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drawings/drawing1.xml" ContentType="application/vnd.openxmlformats-officedocument.drawing+xml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ustomProperty134.bin" ContentType="application/vnd.openxmlformats-officedocument.spreadsheetml.customProperty"/>
  <Override PartName="/xl/customProperty135.bin" ContentType="application/vnd.openxmlformats-officedocument.spreadsheetml.customProperty"/>
  <Override PartName="/xl/customProperty136.bin" ContentType="application/vnd.openxmlformats-officedocument.spreadsheetml.customProperty"/>
  <Override PartName="/xl/customProperty137.bin" ContentType="application/vnd.openxmlformats-officedocument.spreadsheetml.customProperty"/>
  <Override PartName="/xl/customProperty138.bin" ContentType="application/vnd.openxmlformats-officedocument.spreadsheetml.customProperty"/>
  <Override PartName="/xl/customProperty139.bin" ContentType="application/vnd.openxmlformats-officedocument.spreadsheetml.customProperty"/>
  <Override PartName="/xl/customProperty140.bin" ContentType="application/vnd.openxmlformats-officedocument.spreadsheetml.customProperty"/>
  <Override PartName="/xl/customProperty141.bin" ContentType="application/vnd.openxmlformats-officedocument.spreadsheetml.customProperty"/>
  <Override PartName="/xl/customProperty142.bin" ContentType="application/vnd.openxmlformats-officedocument.spreadsheetml.customProperty"/>
  <Override PartName="/xl/customProperty143.bin" ContentType="application/vnd.openxmlformats-officedocument.spreadsheetml.customProperty"/>
  <Override PartName="/xl/customProperty144.bin" ContentType="application/vnd.openxmlformats-officedocument.spreadsheetml.customProperty"/>
  <Override PartName="/xl/customProperty145.bin" ContentType="application/vnd.openxmlformats-officedocument.spreadsheetml.customProperty"/>
  <Override PartName="/xl/customProperty146.bin" ContentType="application/vnd.openxmlformats-officedocument.spreadsheetml.customProperty"/>
  <Override PartName="/xl/customProperty147.bin" ContentType="application/vnd.openxmlformats-officedocument.spreadsheetml.customProperty"/>
  <Override PartName="/xl/customProperty148.bin" ContentType="application/vnd.openxmlformats-officedocument.spreadsheetml.customProperty"/>
  <Override PartName="/xl/customProperty149.bin" ContentType="application/vnd.openxmlformats-officedocument.spreadsheetml.customProperty"/>
  <Override PartName="/xl/drawings/drawing2.xml" ContentType="application/vnd.openxmlformats-officedocument.drawing+xml"/>
  <Override PartName="/xl/customProperty150.bin" ContentType="application/vnd.openxmlformats-officedocument.spreadsheetml.customProperty"/>
  <Override PartName="/xl/customProperty151.bin" ContentType="application/vnd.openxmlformats-officedocument.spreadsheetml.customProperty"/>
  <Override PartName="/xl/drawings/drawing3.xml" ContentType="application/vnd.openxmlformats-officedocument.drawing+xml"/>
  <Override PartName="/xl/customProperty152.bin" ContentType="application/vnd.openxmlformats-officedocument.spreadsheetml.customProperty"/>
  <Override PartName="/xl/customProperty153.bin" ContentType="application/vnd.openxmlformats-officedocument.spreadsheetml.customProperty"/>
  <Override PartName="/xl/customProperty154.bin" ContentType="application/vnd.openxmlformats-officedocument.spreadsheetml.customProperty"/>
  <Override PartName="/xl/customProperty155.bin" ContentType="application/vnd.openxmlformats-officedocument.spreadsheetml.customProperty"/>
  <Override PartName="/xl/customProperty156.bin" ContentType="application/vnd.openxmlformats-officedocument.spreadsheetml.customProperty"/>
  <Override PartName="/xl/customProperty157.bin" ContentType="application/vnd.openxmlformats-officedocument.spreadsheetml.customProperty"/>
  <Override PartName="/xl/customProperty158.bin" ContentType="application/vnd.openxmlformats-officedocument.spreadsheetml.customProperty"/>
  <Override PartName="/xl/customProperty159.bin" ContentType="application/vnd.openxmlformats-officedocument.spreadsheetml.customProperty"/>
  <Override PartName="/xl/customProperty160.bin" ContentType="application/vnd.openxmlformats-officedocument.spreadsheetml.customProperty"/>
  <Override PartName="/xl/customProperty161.bin" ContentType="application/vnd.openxmlformats-officedocument.spreadsheetml.customProperty"/>
  <Override PartName="/xl/customProperty162.bin" ContentType="application/vnd.openxmlformats-officedocument.spreadsheetml.customProperty"/>
  <Override PartName="/xl/customProperty163.bin" ContentType="application/vnd.openxmlformats-officedocument.spreadsheetml.customProperty"/>
  <Override PartName="/xl/customProperty164.bin" ContentType="application/vnd.openxmlformats-officedocument.spreadsheetml.customProperty"/>
  <Override PartName="/xl/customProperty165.bin" ContentType="application/vnd.openxmlformats-officedocument.spreadsheetml.customProperty"/>
  <Override PartName="/xl/customProperty166.bin" ContentType="application/vnd.openxmlformats-officedocument.spreadsheetml.customProperty"/>
  <Override PartName="/xl/customProperty167.bin" ContentType="application/vnd.openxmlformats-officedocument.spreadsheetml.customProperty"/>
  <Override PartName="/xl/drawings/drawing4.xml" ContentType="application/vnd.openxmlformats-officedocument.drawing+xml"/>
  <Override PartName="/xl/customProperty168.bin" ContentType="application/vnd.openxmlformats-officedocument.spreadsheetml.customProperty"/>
  <Override PartName="/xl/customProperty169.bin" ContentType="application/vnd.openxmlformats-officedocument.spreadsheetml.customProperty"/>
  <Override PartName="/xl/drawings/drawing5.xml" ContentType="application/vnd.openxmlformats-officedocument.drawing+xml"/>
  <Override PartName="/xl/customProperty170.bin" ContentType="application/vnd.openxmlformats-officedocument.spreadsheetml.customProperty"/>
  <Override PartName="/xl/customProperty171.bin" ContentType="application/vnd.openxmlformats-officedocument.spreadsheetml.customProperty"/>
  <Override PartName="/xl/customProperty172.bin" ContentType="application/vnd.openxmlformats-officedocument.spreadsheetml.customProperty"/>
  <Override PartName="/xl/customProperty173.bin" ContentType="application/vnd.openxmlformats-officedocument.spreadsheetml.customProperty"/>
  <Override PartName="/xl/customProperty174.bin" ContentType="application/vnd.openxmlformats-officedocument.spreadsheetml.customProperty"/>
  <Override PartName="/xl/customProperty175.bin" ContentType="application/vnd.openxmlformats-officedocument.spreadsheetml.customProperty"/>
  <Override PartName="/xl/customProperty176.bin" ContentType="application/vnd.openxmlformats-officedocument.spreadsheetml.customProperty"/>
  <Override PartName="/xl/customProperty177.bin" ContentType="application/vnd.openxmlformats-officedocument.spreadsheetml.customProperty"/>
  <Override PartName="/xl/customProperty178.bin" ContentType="application/vnd.openxmlformats-officedocument.spreadsheetml.customProperty"/>
  <Override PartName="/xl/customProperty179.bin" ContentType="application/vnd.openxmlformats-officedocument.spreadsheetml.customProperty"/>
  <Override PartName="/xl/customProperty180.bin" ContentType="application/vnd.openxmlformats-officedocument.spreadsheetml.customProperty"/>
  <Override PartName="/xl/customProperty181.bin" ContentType="application/vnd.openxmlformats-officedocument.spreadsheetml.customProperty"/>
  <Override PartName="/xl/customProperty182.bin" ContentType="application/vnd.openxmlformats-officedocument.spreadsheetml.customProperty"/>
  <Override PartName="/xl/customProperty183.bin" ContentType="application/vnd.openxmlformats-officedocument.spreadsheetml.customProperty"/>
  <Override PartName="/xl/customProperty184.bin" ContentType="application/vnd.openxmlformats-officedocument.spreadsheetml.customProperty"/>
  <Override PartName="/xl/customProperty185.bin" ContentType="application/vnd.openxmlformats-officedocument.spreadsheetml.customProperty"/>
  <Override PartName="/xl/customProperty186.bin" ContentType="application/vnd.openxmlformats-officedocument.spreadsheetml.customProperty"/>
  <Override PartName="/xl/customProperty187.bin" ContentType="application/vnd.openxmlformats-officedocument.spreadsheetml.customProperty"/>
  <Override PartName="/xl/customProperty188.bin" ContentType="application/vnd.openxmlformats-officedocument.spreadsheetml.customProperty"/>
  <Override PartName="/xl/customProperty189.bin" ContentType="application/vnd.openxmlformats-officedocument.spreadsheetml.customProperty"/>
  <Override PartName="/xl/customProperty190.bin" ContentType="application/vnd.openxmlformats-officedocument.spreadsheetml.customProperty"/>
  <Override PartName="/xl/customProperty191.bin" ContentType="application/vnd.openxmlformats-officedocument.spreadsheetml.customProperty"/>
  <Override PartName="/xl/customProperty192.bin" ContentType="application/vnd.openxmlformats-officedocument.spreadsheetml.customProperty"/>
  <Override PartName="/xl/customProperty193.bin" ContentType="application/vnd.openxmlformats-officedocument.spreadsheetml.customProperty"/>
  <Override PartName="/xl/customProperty194.bin" ContentType="application/vnd.openxmlformats-officedocument.spreadsheetml.customProperty"/>
  <Override PartName="/xl/customProperty195.bin" ContentType="application/vnd.openxmlformats-officedocument.spreadsheetml.customProperty"/>
  <Override PartName="/xl/customProperty196.bin" ContentType="application/vnd.openxmlformats-officedocument.spreadsheetml.customProperty"/>
  <Override PartName="/xl/customProperty197.bin" ContentType="application/vnd.openxmlformats-officedocument.spreadsheetml.customProperty"/>
  <Override PartName="/xl/customProperty198.bin" ContentType="application/vnd.openxmlformats-officedocument.spreadsheetml.customProperty"/>
  <Override PartName="/xl/customProperty199.bin" ContentType="application/vnd.openxmlformats-officedocument.spreadsheetml.customProperty"/>
  <Override PartName="/xl/customProperty200.bin" ContentType="application/vnd.openxmlformats-officedocument.spreadsheetml.customProperty"/>
  <Override PartName="/xl/customProperty201.bin" ContentType="application/vnd.openxmlformats-officedocument.spreadsheetml.customProperty"/>
  <Override PartName="/xl/customProperty202.bin" ContentType="application/vnd.openxmlformats-officedocument.spreadsheetml.customProperty"/>
  <Override PartName="/xl/customProperty203.bin" ContentType="application/vnd.openxmlformats-officedocument.spreadsheetml.customProperty"/>
  <Override PartName="/xl/customProperty204.bin" ContentType="application/vnd.openxmlformats-officedocument.spreadsheetml.customProperty"/>
  <Override PartName="/xl/customProperty205.bin" ContentType="application/vnd.openxmlformats-officedocument.spreadsheetml.customProperty"/>
  <Override PartName="/xl/drawings/drawing6.xml" ContentType="application/vnd.openxmlformats-officedocument.drawing+xml"/>
  <Override PartName="/xl/customProperty206.bin" ContentType="application/vnd.openxmlformats-officedocument.spreadsheetml.customProperty"/>
  <Override PartName="/xl/customProperty207.bin" ContentType="application/vnd.openxmlformats-officedocument.spreadsheetml.customProperty"/>
  <Override PartName="/xl/customProperty208.bin" ContentType="application/vnd.openxmlformats-officedocument.spreadsheetml.customProperty"/>
  <Override PartName="/xl/customProperty209.bin" ContentType="application/vnd.openxmlformats-officedocument.spreadsheetml.customProperty"/>
  <Override PartName="/xl/customProperty210.bin" ContentType="application/vnd.openxmlformats-officedocument.spreadsheetml.customProperty"/>
  <Override PartName="/xl/customProperty211.bin" ContentType="application/vnd.openxmlformats-officedocument.spreadsheetml.customProperty"/>
  <Override PartName="/xl/customProperty212.bin" ContentType="application/vnd.openxmlformats-officedocument.spreadsheetml.customProperty"/>
  <Override PartName="/xl/customProperty213.bin" ContentType="application/vnd.openxmlformats-officedocument.spreadsheetml.customProperty"/>
  <Override PartName="/xl/customProperty214.bin" ContentType="application/vnd.openxmlformats-officedocument.spreadsheetml.customProperty"/>
  <Override PartName="/xl/customProperty215.bin" ContentType="application/vnd.openxmlformats-officedocument.spreadsheetml.customProperty"/>
  <Override PartName="/xl/customProperty216.bin" ContentType="application/vnd.openxmlformats-officedocument.spreadsheetml.customProperty"/>
  <Override PartName="/xl/customProperty217.bin" ContentType="application/vnd.openxmlformats-officedocument.spreadsheetml.customProperty"/>
  <Override PartName="/xl/customProperty218.bin" ContentType="application/vnd.openxmlformats-officedocument.spreadsheetml.customProperty"/>
  <Override PartName="/xl/customProperty219.bin" ContentType="application/vnd.openxmlformats-officedocument.spreadsheetml.customProperty"/>
  <Override PartName="/xl/customProperty220.bin" ContentType="application/vnd.openxmlformats-officedocument.spreadsheetml.customProperty"/>
  <Override PartName="/xl/customProperty221.bin" ContentType="application/vnd.openxmlformats-officedocument.spreadsheetml.customProperty"/>
  <Override PartName="/xl/customProperty222.bin" ContentType="application/vnd.openxmlformats-officedocument.spreadsheetml.customProperty"/>
  <Override PartName="/xl/customProperty223.bin" ContentType="application/vnd.openxmlformats-officedocument.spreadsheetml.customProperty"/>
  <Override PartName="/xl/customProperty224.bin" ContentType="application/vnd.openxmlformats-officedocument.spreadsheetml.customProperty"/>
  <Override PartName="/xl/customProperty225.bin" ContentType="application/vnd.openxmlformats-officedocument.spreadsheetml.customProperty"/>
  <Override PartName="/xl/customProperty226.bin" ContentType="application/vnd.openxmlformats-officedocument.spreadsheetml.customProperty"/>
  <Override PartName="/xl/customProperty227.bin" ContentType="application/vnd.openxmlformats-officedocument.spreadsheetml.customProperty"/>
  <Override PartName="/xl/customProperty228.bin" ContentType="application/vnd.openxmlformats-officedocument.spreadsheetml.customProperty"/>
  <Override PartName="/xl/customProperty229.bin" ContentType="application/vnd.openxmlformats-officedocument.spreadsheetml.customProperty"/>
  <Override PartName="/xl/customProperty230.bin" ContentType="application/vnd.openxmlformats-officedocument.spreadsheetml.customProperty"/>
  <Override PartName="/xl/customProperty231.bin" ContentType="application/vnd.openxmlformats-officedocument.spreadsheetml.customProperty"/>
  <Override PartName="/xl/customProperty232.bin" ContentType="application/vnd.openxmlformats-officedocument.spreadsheetml.customProperty"/>
  <Override PartName="/xl/customProperty233.bin" ContentType="application/vnd.openxmlformats-officedocument.spreadsheetml.customProperty"/>
  <Override PartName="/xl/customProperty234.bin" ContentType="application/vnd.openxmlformats-officedocument.spreadsheetml.customProperty"/>
  <Override PartName="/xl/customProperty235.bin" ContentType="application/vnd.openxmlformats-officedocument.spreadsheetml.customProperty"/>
  <Override PartName="/xl/customProperty236.bin" ContentType="application/vnd.openxmlformats-officedocument.spreadsheetml.customProperty"/>
  <Override PartName="/xl/customProperty237.bin" ContentType="application/vnd.openxmlformats-officedocument.spreadsheetml.customProperty"/>
  <Override PartName="/xl/customProperty238.bin" ContentType="application/vnd.openxmlformats-officedocument.spreadsheetml.customProperty"/>
  <Override PartName="/xl/customProperty239.bin" ContentType="application/vnd.openxmlformats-officedocument.spreadsheetml.customProperty"/>
  <Override PartName="/xl/customProperty240.bin" ContentType="application/vnd.openxmlformats-officedocument.spreadsheetml.customProperty"/>
  <Override PartName="/xl/customProperty241.bin" ContentType="application/vnd.openxmlformats-officedocument.spreadsheetml.customProperty"/>
  <Override PartName="/xl/customProperty242.bin" ContentType="application/vnd.openxmlformats-officedocument.spreadsheetml.customProperty"/>
  <Override PartName="/xl/customProperty243.bin" ContentType="application/vnd.openxmlformats-officedocument.spreadsheetml.customProperty"/>
  <Override PartName="/xl/customProperty244.bin" ContentType="application/vnd.openxmlformats-officedocument.spreadsheetml.customProperty"/>
  <Override PartName="/xl/customProperty245.bin" ContentType="application/vnd.openxmlformats-officedocument.spreadsheetml.customProperty"/>
  <Override PartName="/xl/customProperty246.bin" ContentType="application/vnd.openxmlformats-officedocument.spreadsheetml.customProperty"/>
  <Override PartName="/xl/customProperty247.bin" ContentType="application/vnd.openxmlformats-officedocument.spreadsheetml.customProperty"/>
  <Override PartName="/xl/customProperty248.bin" ContentType="application/vnd.openxmlformats-officedocument.spreadsheetml.customProperty"/>
  <Override PartName="/xl/customProperty249.bin" ContentType="application/vnd.openxmlformats-officedocument.spreadsheetml.customProperty"/>
  <Override PartName="/xl/customProperty250.bin" ContentType="application/vnd.openxmlformats-officedocument.spreadsheetml.customProperty"/>
  <Override PartName="/xl/customProperty251.bin" ContentType="application/vnd.openxmlformats-officedocument.spreadsheetml.customProperty"/>
  <Override PartName="/xl/customProperty25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psc\GCL\GCO\WP\2024\20240026\Hearing Preparation Guide\Case Center Parties Cross Exhibits\FL RISING &amp; LULAC\NATIVES\"/>
    </mc:Choice>
  </mc:AlternateContent>
  <bookViews>
    <workbookView xWindow="-120" yWindow="16680" windowWidth="29040" windowHeight="15840" autoFilterDateGrouping="0"/>
  </bookViews>
  <sheets>
    <sheet name="Tax &amp; Debt Inputs" sheetId="1" r:id="rId1"/>
    <sheet name="Expansion Factor" sheetId="3" r:id="rId2"/>
    <sheet name="Surv Report Sched 2 pg 1" sheetId="64" r:id="rId3"/>
    <sheet name="Surv Report Sched 2 pg 2" sheetId="65" r:id="rId4"/>
    <sheet name="Surv Report Sched 2 pg 3 Net Ut" sheetId="66" r:id="rId5"/>
    <sheet name="Surv Report Sched 2 pg 3" sheetId="103" r:id="rId6"/>
    <sheet name="Working Captial Input" sheetId="104" r:id="rId7"/>
    <sheet name="Balance Sheet Accounts" sheetId="8" r:id="rId8"/>
    <sheet name="Income Statement Accounts" sheetId="9" r:id="rId9"/>
    <sheet name="Accounting Schedule B-7" sheetId="67" r:id="rId10"/>
    <sheet name="Accounting Schedule B-9" sheetId="68" r:id="rId11"/>
    <sheet name="300s Plant Balances Input" sheetId="16" r:id="rId12"/>
    <sheet name="Labor Input" sheetId="6" r:id="rId13"/>
    <sheet name="Juris SEP" sheetId="23" r:id="rId14"/>
    <sheet name="Polk Assets" sheetId="70" r:id="rId15"/>
    <sheet name="ECRC Plant in Service" sheetId="22" r:id="rId16"/>
    <sheet name="ECRC Accumulated Depreciation" sheetId="24" r:id="rId17"/>
    <sheet name="ECRC Depreciation Expense" sheetId="20" r:id="rId18"/>
    <sheet name="ECRC O&amp;M" sheetId="97" r:id="rId19"/>
    <sheet name="SPP Plant in Service" sheetId="25" r:id="rId20"/>
    <sheet name="SPP Accum Depreciation" sheetId="28" r:id="rId21"/>
    <sheet name="SPP Net Depreciation" sheetId="29" r:id="rId22"/>
    <sheet name="Load Research January CPk" sheetId="32" r:id="rId23"/>
    <sheet name="Load Research February CPk" sheetId="33" r:id="rId24"/>
    <sheet name="Load Research March CPk" sheetId="34" r:id="rId25"/>
    <sheet name="Load Research April CPk" sheetId="35" r:id="rId26"/>
    <sheet name="Load Research May CPk" sheetId="36" r:id="rId27"/>
    <sheet name="Load Research June CPk" sheetId="37" r:id="rId28"/>
    <sheet name="Load Research July CPk" sheetId="38" r:id="rId29"/>
    <sheet name="Load Research August CPk" sheetId="39" r:id="rId30"/>
    <sheet name="Load Research September CPk" sheetId="40" r:id="rId31"/>
    <sheet name="Load Research October CPk" sheetId="41" r:id="rId32"/>
    <sheet name="Load Research November CPk" sheetId="42" r:id="rId33"/>
    <sheet name="Load Research December CPk" sheetId="43" r:id="rId34"/>
    <sheet name="Load Research RS NCPk" sheetId="47" r:id="rId35"/>
    <sheet name="Load Research GS NCPk" sheetId="48" r:id="rId36"/>
    <sheet name="Load Research GSD NCPk" sheetId="49" r:id="rId37"/>
    <sheet name="Load Research GSLD NCPk" sheetId="50" r:id="rId38"/>
    <sheet name="Load Research LS NCPk" sheetId="51" r:id="rId39"/>
    <sheet name="Load Research Billing kWh" sheetId="46" r:id="rId40"/>
    <sheet name="Load Research Projected LF" sheetId="52" r:id="rId41"/>
    <sheet name="Tariff Meter Level Discount" sheetId="54" r:id="rId42"/>
    <sheet name="Load Research Service Level" sheetId="55" r:id="rId43"/>
    <sheet name="Wholesale Firm" sheetId="53" r:id="rId44"/>
    <sheet name="Forecasting Base Revenues by RC" sheetId="58" r:id="rId45"/>
    <sheet name="Forecasting Lighting Facilities" sheetId="62" r:id="rId46"/>
    <sheet name="Transmission Pole Attachments" sheetId="60" r:id="rId47"/>
    <sheet name="Non-Firm Transmission" sheetId="61" r:id="rId48"/>
    <sheet name="Net Dependable Capacity" sheetId="71" r:id="rId49"/>
    <sheet name="Transmission Investment" sheetId="77" r:id="rId50"/>
    <sheet name="Transmission Interconnections" sheetId="75" r:id="rId51"/>
    <sheet name="Separation F" sheetId="171" r:id="rId52"/>
    <sheet name="Transmission GSU Investments" sheetId="73" r:id="rId53"/>
    <sheet name="Transmission Substation Invests" sheetId="79" r:id="rId54"/>
    <sheet name="Dist Overhead Conductors" sheetId="82" r:id="rId55"/>
    <sheet name="Distribution Pole Counts" sheetId="84" r:id="rId56"/>
    <sheet name="Distribution Investment" sheetId="81" r:id="rId57"/>
    <sheet name="Distribution Substation Costs" sheetId="87" r:id="rId58"/>
    <sheet name="ARO Functionalized" sheetId="91" r:id="rId59"/>
    <sheet name="Property Insurance Input" sheetId="111" r:id="rId60"/>
    <sheet name="Income Tax Input" sheetId="114" r:id="rId61"/>
    <sheet name="100s and 200s FERC Accounts" sheetId="11" r:id="rId62"/>
    <sheet name="300s - 3 Digit FERC Accounts" sheetId="14" r:id="rId63"/>
    <sheet name="300s - 5 Digit FERC Accounts" sheetId="15" r:id="rId64"/>
    <sheet name="500s FERC Accounts" sheetId="12" r:id="rId65"/>
    <sheet name="900s FERC Accounts" sheetId="13" r:id="rId66"/>
    <sheet name="Other Operating Revenue" sheetId="56" r:id="rId67"/>
    <sheet name="Generation Land" sheetId="18" r:id="rId68"/>
    <sheet name="ECRC Adj Gen" sheetId="19" r:id="rId69"/>
    <sheet name="SPP ADJ T&amp;D" sheetId="26" r:id="rId70"/>
    <sheet name="Coincident Peak Formula" sheetId="44" r:id="rId71"/>
    <sheet name="Load Management Adjustment" sheetId="45" r:id="rId72"/>
    <sheet name="Load Research" sheetId="30" r:id="rId73"/>
    <sheet name="Functionalized Revenues" sheetId="57" r:id="rId74"/>
    <sheet name="0 MDS Functionalized Revenues" sheetId="164" r:id="rId75"/>
    <sheet name="Depr Check" sheetId="167" r:id="rId76"/>
    <sheet name="Generation" sheetId="69" r:id="rId77"/>
    <sheet name="Transmission Voltage Detail" sheetId="76" r:id="rId78"/>
    <sheet name="Tranmission Substation Detail" sheetId="78" r:id="rId79"/>
    <sheet name="Transmission" sheetId="72" r:id="rId80"/>
    <sheet name="Distribution Overhead Conductor" sheetId="80" r:id="rId81"/>
    <sheet name="Distribution Substation Detail" sheetId="85" r:id="rId82"/>
    <sheet name="Minimum Distribution System" sheetId="89" r:id="rId83"/>
    <sheet name="0 MDS" sheetId="148" r:id="rId84"/>
    <sheet name="Distribution" sheetId="88" r:id="rId85"/>
    <sheet name="0 MDS Distribution" sheetId="149" r:id="rId86"/>
    <sheet name="Weighted Meters" sheetId="86" r:id="rId87"/>
    <sheet name="Communications Equipment" sheetId="99" r:id="rId88"/>
    <sheet name="0 MDS Communications Equipment" sheetId="156" r:id="rId89"/>
    <sheet name="Transportation Equipment" sheetId="101" r:id="rId90"/>
    <sheet name="0 MDS Transportation Equipment" sheetId="157" r:id="rId91"/>
    <sheet name="PHFFU" sheetId="102" r:id="rId92"/>
    <sheet name="0 MDS PHFFU" sheetId="158" r:id="rId93"/>
    <sheet name="CWIP" sheetId="108" r:id="rId94"/>
    <sheet name="0 MDS CWIP" sheetId="159" r:id="rId95"/>
    <sheet name="ROU Leases" sheetId="109" r:id="rId96"/>
    <sheet name="General Plant" sheetId="90" r:id="rId97"/>
    <sheet name="0 MDS General Plant" sheetId="160" r:id="rId98"/>
    <sheet name="Working Capital Transpose" sheetId="106" r:id="rId99"/>
    <sheet name="Working Capital" sheetId="105" r:id="rId100"/>
    <sheet name="0 MDS Working Capital" sheetId="166" r:id="rId101"/>
    <sheet name="Prod O&amp;M" sheetId="93" r:id="rId102"/>
    <sheet name="Labor O&amp;M" sheetId="92" r:id="rId103"/>
    <sheet name="0 MDS Labor O&amp;M" sheetId="152" r:id="rId104"/>
    <sheet name="Transmission O&amp;M" sheetId="94" r:id="rId105"/>
    <sheet name="Fuel Interchange" sheetId="98" r:id="rId106"/>
    <sheet name="Distribution O&amp;M" sheetId="95" r:id="rId107"/>
    <sheet name="0 MDS Distribution O&amp;M" sheetId="150" r:id="rId108"/>
    <sheet name="Other and A&amp;G O&amp;M" sheetId="96" r:id="rId109"/>
    <sheet name="0 MDS Other and A&amp;G O&amp;M" sheetId="153" r:id="rId110"/>
    <sheet name="Property Insurance" sheetId="110" r:id="rId111"/>
    <sheet name="Taxes Other" sheetId="112" r:id="rId112"/>
    <sheet name="0 MDS Taxes Other" sheetId="155" r:id="rId113"/>
    <sheet name="Income Taxes" sheetId="113" r:id="rId114"/>
    <sheet name="0 MDS Income Taxes" sheetId="165" r:id="rId115"/>
    <sheet name="MDS AlloCheck" sheetId="168" r:id="rId116"/>
    <sheet name="Allocation Assignment" sheetId="100" r:id="rId117"/>
    <sheet name="0 MDS Allocation Assignment" sheetId="151" r:id="rId118"/>
    <sheet name="REPORTS" sheetId="107" r:id="rId119"/>
    <sheet name="0 MDS REPORTS" sheetId="161" r:id="rId120"/>
    <sheet name="MFR HEADERS" sheetId="138" r:id="rId121"/>
    <sheet name="VOL I" sheetId="119" r:id="rId122"/>
    <sheet name="VOL II" sheetId="120" r:id="rId123"/>
    <sheet name="Surveillance Report Factors" sheetId="115" r:id="rId124"/>
    <sheet name="Synthesized Report" sheetId="116" r:id="rId125"/>
  </sheets>
  <definedNames>
    <definedName name="\S">#REF!</definedName>
    <definedName name="_12MEACT">#REF!</definedName>
    <definedName name="_12MEBUD">#REF!</definedName>
    <definedName name="_xlnm._FilterDatabase" localSheetId="63" hidden="1">'300s - 5 Digit FERC Accounts'!$N$3:$N$279</definedName>
    <definedName name="_xlnm._FilterDatabase" localSheetId="7" hidden="1">'Balance Sheet Accounts'!#REF!</definedName>
    <definedName name="_xlnm._FilterDatabase" localSheetId="53" hidden="1">'Transmission Substation Invests'!$M$5:$Q$248</definedName>
    <definedName name="_Key1" hidden="1">#REF!</definedName>
    <definedName name="_Order1" hidden="1">255</definedName>
    <definedName name="_Sort" hidden="1">#REF!</definedName>
    <definedName name="a">#REF!</definedName>
    <definedName name="ADJTS">#REF!</definedName>
    <definedName name="AP_OTHER">#REF!</definedName>
    <definedName name="ASSUMPTIONS">#REF!</definedName>
    <definedName name="BAL">#REF!</definedName>
    <definedName name="BalDat">#REF!</definedName>
    <definedName name="BalDatData">#REF!</definedName>
    <definedName name="BegMonth">#REF!</definedName>
    <definedName name="BENEFITS_EXP">#REF!</definedName>
    <definedName name="BS_Forecast">#REF!</definedName>
    <definedName name="BS_Plan">#REF!</definedName>
    <definedName name="BS_Plan2">#REF!</definedName>
    <definedName name="BTLTAX">#REF!</definedName>
    <definedName name="BTLTAXES">#REF!</definedName>
    <definedName name="BTLTXBUD">#REF!</definedName>
    <definedName name="CASHFLS">#REF!</definedName>
    <definedName name="CF_Forecast">#REF!</definedName>
    <definedName name="CF_Plan2">#REF!</definedName>
    <definedName name="CMACT">#REF!</definedName>
    <definedName name="CMBUD">#REF!</definedName>
    <definedName name="CONSCF4A">#REF!</definedName>
    <definedName name="CONSCF4B">#REF!</definedName>
    <definedName name="CONSOLP1">#REF!</definedName>
    <definedName name="CONSOLP2">#REF!</definedName>
    <definedName name="CONSOLP3">#REF!</definedName>
    <definedName name="CONSOLP4">#REF!</definedName>
    <definedName name="_xlnm.Criteria" localSheetId="53">'Transmission Substation Invests'!$U$5:$U$6</definedName>
    <definedName name="DAT">#REF!</definedName>
    <definedName name="DEC">#REF!</definedName>
    <definedName name="DEC_Proj">#REF!</definedName>
    <definedName name="DETAIL146234">#REF!</definedName>
    <definedName name="docket">#REF!</definedName>
    <definedName name="DocketNum">#REF!</definedName>
    <definedName name="DocKetNumber">#REF!</definedName>
    <definedName name="DOWNLOAD">#REF!</definedName>
    <definedName name="DOWNLOAD_1099">#REF!</definedName>
    <definedName name="EGY12MIS">#REF!</definedName>
    <definedName name="EGYASSTS">#REF!</definedName>
    <definedName name="EGYCFSCH">#REF!</definedName>
    <definedName name="EGYCMIS">#REF!</definedName>
    <definedName name="EGYLIABS">#REF!</definedName>
    <definedName name="EGYPCFSH">#REF!</definedName>
    <definedName name="EGYPCFSHPORT">#REF!</definedName>
    <definedName name="EGYPRIS">#REF!</definedName>
    <definedName name="EGYRESCH">#REF!</definedName>
    <definedName name="ESOP_GOAL">#REF!</definedName>
    <definedName name="ESOPWP">#REF!</definedName>
    <definedName name="_xlnm.Extract" localSheetId="63">'300s - 5 Digit FERC Accounts'!$P$3</definedName>
    <definedName name="_xlnm.Extract" localSheetId="7">'Balance Sheet Accounts'!#REF!</definedName>
    <definedName name="_xlnm.Extract" localSheetId="53">'Transmission Substation Invests'!$V$5:$Z$5</definedName>
    <definedName name="F">#REF!</definedName>
    <definedName name="FOR_DENISE_O.">#REF!</definedName>
    <definedName name="FullDocketNumber">#REF!</definedName>
    <definedName name="GLDOWNLOAD">#REF!</definedName>
    <definedName name="HistYear">#REF!</definedName>
    <definedName name="IncTax_GainDisp">#REF!</definedName>
    <definedName name="intangibles">#REF!</definedName>
    <definedName name="INTEXP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ULTIFAMILY_RESIDENTIAL_LOANS_FDIC" hidden="1">"c6311"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ERIODDATE_FDIC" hidden="1">"c13646"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>#REF!</definedName>
    <definedName name="IS_Monthly">#REF!</definedName>
    <definedName name="IS_Plan">#REF!</definedName>
    <definedName name="IS_Plan2">#REF!</definedName>
    <definedName name="LORICLARKDATA">#REF!</definedName>
    <definedName name="Meter_Type_1">#REF!</definedName>
    <definedName name="Meter_Type_10">#REF!</definedName>
    <definedName name="Meter_Type_2">#REF!</definedName>
    <definedName name="Meter_Type_3">#REF!</definedName>
    <definedName name="Meter_Type_4">#REF!</definedName>
    <definedName name="Meter_Type_5">#REF!</definedName>
    <definedName name="Meter_Type_6">#REF!</definedName>
    <definedName name="Meter_Type_7">#REF!</definedName>
    <definedName name="Meter_Type_8">#REF!</definedName>
    <definedName name="Meter_Type_9">#REF!</definedName>
    <definedName name="No_Cust_GS_1PH_Egy">#REF!</definedName>
    <definedName name="No_Cust_GS_1PH_TOU">#REF!</definedName>
    <definedName name="No_Cust_GS_3PH_EGY">#REF!</definedName>
    <definedName name="No_Cust_GS_3PH_TOU">#REF!</definedName>
    <definedName name="No_Cust_GSD_Pri_Dem">#REF!</definedName>
    <definedName name="No_Cust_GSD_Pri_Rec">#REF!</definedName>
    <definedName name="No_Cust_GSD_Sec_Dem">#REF!</definedName>
    <definedName name="No_Cust_GSD_Sec_Egy">#REF!</definedName>
    <definedName name="No_Cust_GSLD_Pri_Rec">#REF!</definedName>
    <definedName name="No_Cust_GSLD_Sec_Rec">#REF!</definedName>
    <definedName name="No_Cust_GSLD_TRANSM">#REF!</definedName>
    <definedName name="No_Cust_IS_Pri">#REF!</definedName>
    <definedName name="No_Cust_IS_TRANSM">#REF!</definedName>
    <definedName name="No_Cust_RS_1PH">#REF!</definedName>
    <definedName name="No_Cust_RS_AMR">#REF!</definedName>
    <definedName name="No_Cust_RS_TOU">#REF!</definedName>
    <definedName name="No_Cust_SL_OL">#REF!</definedName>
    <definedName name="NOI">#REF!</definedName>
    <definedName name="OTHER_CF">#REF!</definedName>
    <definedName name="OTHER_CR">#REF!</definedName>
    <definedName name="P_10">#REF!</definedName>
    <definedName name="P_11">#REF!</definedName>
    <definedName name="P_2">#REF!</definedName>
    <definedName name="P_3">#REF!</definedName>
    <definedName name="P_4">#REF!</definedName>
    <definedName name="P_5">#REF!</definedName>
    <definedName name="P_6">#REF!</definedName>
    <definedName name="P_7">#REF!</definedName>
    <definedName name="P_8">#REF!</definedName>
    <definedName name="P_9">#REF!</definedName>
    <definedName name="PAGE10">#REF!</definedName>
    <definedName name="PAGE1A">#REF!</definedName>
    <definedName name="PAGE1C">#REF!</definedName>
    <definedName name="PAGE1D">#REF!</definedName>
    <definedName name="PAGE1D2">#REF!</definedName>
    <definedName name="PAGE2A">#REF!</definedName>
    <definedName name="PAGE2B">#REF!</definedName>
    <definedName name="PAGE4">#REF!</definedName>
    <definedName name="PAGE4B">#REF!</definedName>
    <definedName name="PAGE4C">#REF!</definedName>
    <definedName name="PAGE4D">#REF!</definedName>
    <definedName name="PAGE4E">#REF!</definedName>
    <definedName name="PAGE6">#REF!</definedName>
    <definedName name="PAGE6B">#REF!</definedName>
    <definedName name="PAGE7">#REF!</definedName>
    <definedName name="PAGE8">#REF!</definedName>
    <definedName name="PAGE9">#REF!</definedName>
    <definedName name="PE_CPYIS">#REF!</definedName>
    <definedName name="PLine1">#REF!</definedName>
    <definedName name="PLine2">#REF!</definedName>
    <definedName name="PLine3">#REF!</definedName>
    <definedName name="PLine4">#REF!</definedName>
    <definedName name="PP_51004_NO_CB">#REF!</definedName>
    <definedName name="_xlnm.Print_Area" localSheetId="121">'VOL I'!$A$1:$K$2022</definedName>
    <definedName name="_xlnm.Print_Area" localSheetId="122">'VOL II'!$A:$N</definedName>
    <definedName name="printa1a_d12">#N/A</definedName>
    <definedName name="PriorYear">#REF!</definedName>
    <definedName name="PYEGYASSTS">#REF!</definedName>
    <definedName name="PYEGYLIABS">#REF!</definedName>
    <definedName name="PYISWP">#REF!</definedName>
    <definedName name="RECON_ASSETS">#REF!</definedName>
    <definedName name="RECON_LIABILITIES">#REF!</definedName>
    <definedName name="RECON_SUMMARY">#REF!</definedName>
    <definedName name="ROE_COMPARISON">#REF!</definedName>
    <definedName name="s">#REF!</definedName>
    <definedName name="ScheduleData">#REF!</definedName>
    <definedName name="SURV">#REF!</definedName>
    <definedName name="TEFIS">#REF!</definedName>
    <definedName name="TEFIS2">#REF!</definedName>
    <definedName name="TestYear">#REF!</definedName>
    <definedName name="TYL1_">#REF!</definedName>
    <definedName name="TYL2_">#REF!</definedName>
    <definedName name="TYL3_">#REF!</definedName>
    <definedName name="WC_AVG">#REF!</definedName>
    <definedName name="WC_CHECK">#REF!</definedName>
    <definedName name="WC_FUEL_CONSRV_ECRC">#REF!</definedName>
    <definedName name="WC_INVESTOR_Funds">#REF!</definedName>
    <definedName name="WC_NONUTILITY_Assets">#REF!</definedName>
    <definedName name="WC_NONUTILITY_Liabilities">#REF!</definedName>
    <definedName name="WC_OTHER_Adjustments">#REF!</definedName>
    <definedName name="WC_OTHERRETURN_Assets">#REF!</definedName>
    <definedName name="WC_OTHERRETURN_Liabilities">#REF!</definedName>
    <definedName name="WC_SCH_Assets">#REF!</definedName>
    <definedName name="WC_SCH_Liabilities">#REF!</definedName>
    <definedName name="WC_SUMMARY">#REF!</definedName>
    <definedName name="WorkPaper1">Generation!$A$11:$K$69</definedName>
    <definedName name="WorkPaper2">Transmission!$B$22:$J$85</definedName>
    <definedName name="YTDACT">#REF!</definedName>
    <definedName name="YTDBU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034" i="161" l="1"/>
  <c r="C2033" i="161"/>
  <c r="C2032" i="161"/>
  <c r="C2031" i="161"/>
  <c r="C2030" i="161"/>
  <c r="C1982" i="161"/>
  <c r="C1981" i="161"/>
  <c r="C1980" i="161"/>
  <c r="C1979" i="161"/>
  <c r="C1978" i="161"/>
  <c r="C1927" i="161"/>
  <c r="C1926" i="161"/>
  <c r="C1925" i="161"/>
  <c r="C1924" i="161"/>
  <c r="C1923" i="161"/>
  <c r="C1887" i="161"/>
  <c r="C1886" i="161"/>
  <c r="C1885" i="161"/>
  <c r="C1884" i="161"/>
  <c r="C1883" i="161"/>
  <c r="C1834" i="161"/>
  <c r="C1833" i="161"/>
  <c r="C1832" i="161"/>
  <c r="C1831" i="161"/>
  <c r="C1830" i="161"/>
  <c r="C1775" i="161"/>
  <c r="C1774" i="161"/>
  <c r="C1773" i="161"/>
  <c r="C1772" i="161"/>
  <c r="C1771" i="161"/>
  <c r="C1715" i="161"/>
  <c r="C1714" i="161"/>
  <c r="C1713" i="161"/>
  <c r="C1712" i="161"/>
  <c r="C1711" i="161"/>
  <c r="C1655" i="161"/>
  <c r="C1654" i="161"/>
  <c r="C1653" i="161"/>
  <c r="C1652" i="161"/>
  <c r="C1651" i="161"/>
  <c r="C1594" i="161"/>
  <c r="C1593" i="161"/>
  <c r="C1592" i="161"/>
  <c r="C1591" i="161"/>
  <c r="C1590" i="161"/>
  <c r="C1532" i="161"/>
  <c r="C1531" i="161"/>
  <c r="C1530" i="161"/>
  <c r="C1529" i="161"/>
  <c r="C1528" i="161"/>
  <c r="C1468" i="161"/>
  <c r="C1467" i="161"/>
  <c r="C1466" i="161"/>
  <c r="C1465" i="161"/>
  <c r="C1464" i="161"/>
  <c r="C1409" i="161"/>
  <c r="C1408" i="161"/>
  <c r="C1407" i="161"/>
  <c r="C1406" i="161"/>
  <c r="C1405" i="161"/>
  <c r="C1371" i="161"/>
  <c r="C1370" i="161"/>
  <c r="C1369" i="161"/>
  <c r="C1368" i="161"/>
  <c r="C1367" i="161"/>
  <c r="C1324" i="161"/>
  <c r="C1323" i="161"/>
  <c r="C1322" i="161"/>
  <c r="C1321" i="161"/>
  <c r="C1320" i="161"/>
  <c r="C1278" i="161"/>
  <c r="C1277" i="161"/>
  <c r="C1276" i="161"/>
  <c r="C1275" i="161"/>
  <c r="C1274" i="161"/>
  <c r="C1219" i="161"/>
  <c r="C1218" i="161"/>
  <c r="C1217" i="161"/>
  <c r="C1216" i="161"/>
  <c r="C1215" i="161"/>
  <c r="C1158" i="161"/>
  <c r="C1157" i="161"/>
  <c r="C1156" i="161"/>
  <c r="C1155" i="161"/>
  <c r="C1154" i="161"/>
  <c r="C1089" i="161"/>
  <c r="C1088" i="161"/>
  <c r="C1087" i="161"/>
  <c r="C1086" i="161"/>
  <c r="C1085" i="161"/>
  <c r="C1053" i="161"/>
  <c r="C1052" i="161"/>
  <c r="C1051" i="161"/>
  <c r="C1050" i="161"/>
  <c r="C1049" i="161"/>
  <c r="C1025" i="161"/>
  <c r="C1024" i="161"/>
  <c r="C1023" i="161"/>
  <c r="C1022" i="161"/>
  <c r="C1021" i="161"/>
  <c r="C961" i="161"/>
  <c r="C960" i="161"/>
  <c r="C959" i="161"/>
  <c r="C958" i="161"/>
  <c r="C957" i="161"/>
  <c r="C893" i="161"/>
  <c r="C892" i="161"/>
  <c r="C891" i="161"/>
  <c r="C890" i="161"/>
  <c r="C889" i="161"/>
  <c r="C857" i="161"/>
  <c r="C856" i="161"/>
  <c r="C855" i="161"/>
  <c r="C854" i="161"/>
  <c r="C853" i="161"/>
  <c r="C792" i="161"/>
  <c r="C791" i="161"/>
  <c r="C790" i="161"/>
  <c r="C789" i="161"/>
  <c r="C788" i="161"/>
  <c r="C731" i="161"/>
  <c r="C730" i="161"/>
  <c r="C729" i="161"/>
  <c r="C728" i="161"/>
  <c r="C727" i="161"/>
  <c r="C673" i="161"/>
  <c r="C672" i="161"/>
  <c r="C671" i="161"/>
  <c r="C670" i="161"/>
  <c r="C669" i="161"/>
  <c r="C617" i="161"/>
  <c r="C616" i="161"/>
  <c r="C615" i="161"/>
  <c r="C614" i="161"/>
  <c r="C613" i="161"/>
  <c r="C578" i="161"/>
  <c r="C577" i="161"/>
  <c r="C576" i="161"/>
  <c r="C575" i="161"/>
  <c r="C574" i="161"/>
  <c r="C517" i="161"/>
  <c r="C516" i="161"/>
  <c r="C515" i="161"/>
  <c r="C514" i="161"/>
  <c r="C513" i="161"/>
  <c r="C453" i="161"/>
  <c r="C452" i="161"/>
  <c r="C451" i="161"/>
  <c r="C450" i="161"/>
  <c r="C449" i="161"/>
  <c r="C384" i="161"/>
  <c r="C383" i="161"/>
  <c r="C382" i="161"/>
  <c r="C381" i="161"/>
  <c r="C380" i="161"/>
  <c r="C348" i="161"/>
  <c r="C347" i="161"/>
  <c r="C346" i="161"/>
  <c r="C345" i="161"/>
  <c r="C344" i="161"/>
  <c r="C278" i="161"/>
  <c r="C277" i="161"/>
  <c r="C276" i="161"/>
  <c r="C275" i="161"/>
  <c r="C274" i="161"/>
  <c r="C217" i="161"/>
  <c r="C216" i="161"/>
  <c r="C215" i="161"/>
  <c r="C214" i="161"/>
  <c r="C213" i="161"/>
  <c r="C170" i="161"/>
  <c r="C169" i="161"/>
  <c r="C168" i="161"/>
  <c r="C167" i="161"/>
  <c r="C166" i="161"/>
  <c r="C108" i="161"/>
  <c r="C107" i="161"/>
  <c r="C106" i="161"/>
  <c r="C105" i="161"/>
  <c r="C104" i="161"/>
  <c r="C57" i="161"/>
  <c r="C56" i="161"/>
  <c r="C55" i="161"/>
  <c r="C54" i="161"/>
  <c r="C53" i="161"/>
  <c r="C2037" i="107"/>
  <c r="C2036" i="107"/>
  <c r="C2035" i="107"/>
  <c r="C2034" i="107"/>
  <c r="C2033" i="107"/>
  <c r="C1985" i="107"/>
  <c r="C1984" i="107"/>
  <c r="C1983" i="107"/>
  <c r="C1982" i="107"/>
  <c r="C1981" i="107"/>
  <c r="C1927" i="107"/>
  <c r="C1926" i="107"/>
  <c r="C1925" i="107"/>
  <c r="C1924" i="107"/>
  <c r="C1923" i="107"/>
  <c r="C1887" i="107"/>
  <c r="C1886" i="107"/>
  <c r="C1885" i="107"/>
  <c r="C1884" i="107"/>
  <c r="C1883" i="107"/>
  <c r="C1834" i="107"/>
  <c r="C1833" i="107"/>
  <c r="C1832" i="107"/>
  <c r="C1831" i="107"/>
  <c r="C1830" i="107"/>
  <c r="C1775" i="107"/>
  <c r="C1774" i="107"/>
  <c r="C1773" i="107"/>
  <c r="C1772" i="107"/>
  <c r="C1771" i="107"/>
  <c r="C1715" i="107"/>
  <c r="C1714" i="107"/>
  <c r="C1713" i="107"/>
  <c r="C1712" i="107"/>
  <c r="C1711" i="107"/>
  <c r="C1655" i="107"/>
  <c r="C1654" i="107"/>
  <c r="C1653" i="107"/>
  <c r="C1652" i="107"/>
  <c r="C1651" i="107"/>
  <c r="C1594" i="107"/>
  <c r="C1593" i="107"/>
  <c r="C1592" i="107"/>
  <c r="C1591" i="107"/>
  <c r="C1590" i="107"/>
  <c r="C1532" i="107"/>
  <c r="C1531" i="107"/>
  <c r="C1530" i="107"/>
  <c r="C1529" i="107"/>
  <c r="C1528" i="107"/>
  <c r="C1468" i="107"/>
  <c r="C1467" i="107"/>
  <c r="C1466" i="107"/>
  <c r="C1465" i="107"/>
  <c r="C1464" i="107"/>
  <c r="C1409" i="107"/>
  <c r="C1408" i="107"/>
  <c r="C1407" i="107"/>
  <c r="C1406" i="107"/>
  <c r="C1405" i="107"/>
  <c r="C1371" i="107"/>
  <c r="C1370" i="107"/>
  <c r="C1369" i="107"/>
  <c r="C1368" i="107"/>
  <c r="C1367" i="107"/>
  <c r="C1324" i="107"/>
  <c r="C1323" i="107"/>
  <c r="C1322" i="107"/>
  <c r="C1321" i="107"/>
  <c r="C1320" i="107"/>
  <c r="C1278" i="107"/>
  <c r="C1277" i="107"/>
  <c r="C1276" i="107"/>
  <c r="C1275" i="107"/>
  <c r="C1274" i="107"/>
  <c r="C1219" i="107"/>
  <c r="C1218" i="107"/>
  <c r="C1217" i="107"/>
  <c r="C1216" i="107"/>
  <c r="C1215" i="107"/>
  <c r="C1158" i="107"/>
  <c r="C1157" i="107"/>
  <c r="C1156" i="107"/>
  <c r="C1155" i="107"/>
  <c r="C1154" i="107"/>
  <c r="C1089" i="107"/>
  <c r="C1088" i="107"/>
  <c r="C1087" i="107"/>
  <c r="C1086" i="107"/>
  <c r="C1085" i="107"/>
  <c r="C1053" i="107"/>
  <c r="C1052" i="107"/>
  <c r="C1051" i="107"/>
  <c r="C1050" i="107"/>
  <c r="C1049" i="107"/>
  <c r="C1025" i="107"/>
  <c r="C1024" i="107"/>
  <c r="C1023" i="107"/>
  <c r="C1022" i="107"/>
  <c r="C1021" i="107"/>
  <c r="C961" i="107"/>
  <c r="C960" i="107"/>
  <c r="C959" i="107"/>
  <c r="C958" i="107"/>
  <c r="C957" i="107"/>
  <c r="C893" i="107"/>
  <c r="C892" i="107"/>
  <c r="C891" i="107"/>
  <c r="C890" i="107"/>
  <c r="C889" i="107"/>
  <c r="C857" i="107"/>
  <c r="C856" i="107"/>
  <c r="C855" i="107"/>
  <c r="C854" i="107"/>
  <c r="C853" i="107"/>
  <c r="C792" i="107"/>
  <c r="C791" i="107"/>
  <c r="C790" i="107"/>
  <c r="C789" i="107"/>
  <c r="C788" i="107"/>
  <c r="C731" i="107"/>
  <c r="C730" i="107"/>
  <c r="C729" i="107"/>
  <c r="C728" i="107"/>
  <c r="C727" i="107"/>
  <c r="C673" i="107"/>
  <c r="C672" i="107"/>
  <c r="C671" i="107"/>
  <c r="C670" i="107"/>
  <c r="C669" i="107"/>
  <c r="C617" i="107"/>
  <c r="C616" i="107"/>
  <c r="C615" i="107"/>
  <c r="C614" i="107"/>
  <c r="C613" i="107"/>
  <c r="C578" i="107"/>
  <c r="C577" i="107"/>
  <c r="C576" i="107"/>
  <c r="C575" i="107"/>
  <c r="C574" i="107"/>
  <c r="C517" i="107"/>
  <c r="C516" i="107"/>
  <c r="C515" i="107"/>
  <c r="C514" i="107"/>
  <c r="C513" i="107"/>
  <c r="C453" i="107"/>
  <c r="C452" i="107"/>
  <c r="C451" i="107"/>
  <c r="C450" i="107"/>
  <c r="C449" i="107"/>
  <c r="C384" i="107"/>
  <c r="C383" i="107"/>
  <c r="C382" i="107"/>
  <c r="C381" i="107"/>
  <c r="C380" i="107"/>
  <c r="C348" i="107"/>
  <c r="C347" i="107"/>
  <c r="C346" i="107"/>
  <c r="C345" i="107"/>
  <c r="C344" i="107"/>
  <c r="C278" i="107"/>
  <c r="C277" i="107"/>
  <c r="C276" i="107"/>
  <c r="C275" i="107"/>
  <c r="C274" i="107"/>
  <c r="C217" i="107"/>
  <c r="C216" i="107"/>
  <c r="C215" i="107"/>
  <c r="C214" i="107"/>
  <c r="C213" i="107"/>
  <c r="C170" i="107"/>
  <c r="C169" i="107"/>
  <c r="C168" i="107"/>
  <c r="C167" i="107"/>
  <c r="C166" i="107"/>
  <c r="C108" i="107"/>
  <c r="C107" i="107"/>
  <c r="C106" i="107"/>
  <c r="C105" i="107"/>
  <c r="C104" i="107"/>
  <c r="C57" i="107"/>
  <c r="C56" i="107"/>
  <c r="C55" i="107"/>
  <c r="C54" i="107"/>
  <c r="C53" i="107"/>
  <c r="H135" i="57"/>
  <c r="H71" i="57"/>
  <c r="F41" i="57" l="1"/>
  <c r="F40" i="57"/>
  <c r="F42" i="57"/>
  <c r="F45" i="57"/>
  <c r="F47" i="57"/>
  <c r="F49" i="57"/>
  <c r="L1947" i="107" l="1"/>
  <c r="M1947" i="107"/>
  <c r="N1947" i="107"/>
  <c r="O1947" i="107"/>
  <c r="P1947" i="107"/>
  <c r="Q1947" i="107"/>
  <c r="L1948" i="107"/>
  <c r="M1948" i="107"/>
  <c r="N1948" i="107"/>
  <c r="O1948" i="107"/>
  <c r="P1948" i="107"/>
  <c r="Q1948" i="107"/>
  <c r="K1948" i="107"/>
  <c r="K1947" i="107"/>
  <c r="K1954" i="107"/>
  <c r="K1953" i="107"/>
  <c r="E2392" i="120" s="1"/>
  <c r="Q1379" i="107"/>
  <c r="Q1339" i="107"/>
  <c r="Q1332" i="107"/>
  <c r="Q1260" i="107"/>
  <c r="Q1249" i="107"/>
  <c r="Q1238" i="107"/>
  <c r="Q1227" i="107"/>
  <c r="Q1188" i="107"/>
  <c r="Q1177" i="107"/>
  <c r="Q1166" i="107"/>
  <c r="Q1068" i="107"/>
  <c r="Q1061" i="107"/>
  <c r="Q1033" i="107"/>
  <c r="Q1003" i="107"/>
  <c r="Q991" i="107"/>
  <c r="Q980" i="107"/>
  <c r="Q969" i="107"/>
  <c r="Q872" i="107"/>
  <c r="Q865" i="107"/>
  <c r="Q739" i="107"/>
  <c r="Q701" i="107"/>
  <c r="Q549" i="107"/>
  <c r="Q537" i="107"/>
  <c r="Q525" i="107"/>
  <c r="Q485" i="107"/>
  <c r="Q473" i="107"/>
  <c r="Q461" i="107"/>
  <c r="Q363" i="107"/>
  <c r="Q356" i="107"/>
  <c r="Q306" i="107"/>
  <c r="Q294" i="107"/>
  <c r="Q198" i="107"/>
  <c r="Q191" i="107"/>
  <c r="Q182" i="107"/>
  <c r="P1379" i="107"/>
  <c r="P1339" i="107"/>
  <c r="P1332" i="107"/>
  <c r="P1260" i="107"/>
  <c r="P1249" i="107"/>
  <c r="P1238" i="107"/>
  <c r="P1227" i="107"/>
  <c r="P1188" i="107"/>
  <c r="P1177" i="107"/>
  <c r="P1166" i="107"/>
  <c r="P1068" i="107"/>
  <c r="P1061" i="107"/>
  <c r="P1033" i="107"/>
  <c r="P1003" i="107"/>
  <c r="P991" i="107"/>
  <c r="P980" i="107"/>
  <c r="P969" i="107"/>
  <c r="P872" i="107"/>
  <c r="P865" i="107"/>
  <c r="P739" i="107"/>
  <c r="P701" i="107"/>
  <c r="P549" i="107"/>
  <c r="P537" i="107"/>
  <c r="P525" i="107"/>
  <c r="P485" i="107"/>
  <c r="P473" i="107"/>
  <c r="P461" i="107"/>
  <c r="P363" i="107"/>
  <c r="P356" i="107"/>
  <c r="P306" i="107"/>
  <c r="P294" i="107"/>
  <c r="P198" i="107"/>
  <c r="P191" i="107"/>
  <c r="P182" i="107"/>
  <c r="O1379" i="107"/>
  <c r="O1339" i="107"/>
  <c r="O1332" i="107"/>
  <c r="O1260" i="107"/>
  <c r="O1249" i="107"/>
  <c r="O1238" i="107"/>
  <c r="O1227" i="107"/>
  <c r="O1188" i="107"/>
  <c r="O1177" i="107"/>
  <c r="O1166" i="107"/>
  <c r="O1068" i="107"/>
  <c r="O1061" i="107"/>
  <c r="O1033" i="107"/>
  <c r="O1003" i="107"/>
  <c r="O991" i="107"/>
  <c r="O980" i="107"/>
  <c r="O969" i="107"/>
  <c r="O872" i="107"/>
  <c r="O865" i="107"/>
  <c r="O739" i="107"/>
  <c r="O701" i="107"/>
  <c r="O549" i="107"/>
  <c r="O537" i="107"/>
  <c r="O525" i="107"/>
  <c r="O485" i="107"/>
  <c r="O473" i="107"/>
  <c r="O461" i="107"/>
  <c r="O363" i="107"/>
  <c r="O356" i="107"/>
  <c r="O306" i="107"/>
  <c r="O294" i="107"/>
  <c r="O198" i="107"/>
  <c r="O191" i="107"/>
  <c r="O182" i="107"/>
  <c r="N1379" i="107"/>
  <c r="N1339" i="107"/>
  <c r="N1332" i="107"/>
  <c r="N1260" i="107"/>
  <c r="N1249" i="107"/>
  <c r="N1238" i="107"/>
  <c r="N1227" i="107"/>
  <c r="N1188" i="107"/>
  <c r="N1177" i="107"/>
  <c r="N1166" i="107"/>
  <c r="N1068" i="107"/>
  <c r="N1061" i="107"/>
  <c r="N1033" i="107"/>
  <c r="N1003" i="107"/>
  <c r="N991" i="107"/>
  <c r="N980" i="107"/>
  <c r="N969" i="107"/>
  <c r="N872" i="107"/>
  <c r="N865" i="107"/>
  <c r="N739" i="107"/>
  <c r="N701" i="107"/>
  <c r="N549" i="107"/>
  <c r="N537" i="107"/>
  <c r="N525" i="107"/>
  <c r="N485" i="107"/>
  <c r="N473" i="107"/>
  <c r="N461" i="107"/>
  <c r="N363" i="107"/>
  <c r="N356" i="107"/>
  <c r="N306" i="107"/>
  <c r="N294" i="107"/>
  <c r="N198" i="107"/>
  <c r="N191" i="107"/>
  <c r="N182" i="107"/>
  <c r="M1379" i="107"/>
  <c r="M1339" i="107"/>
  <c r="M1332" i="107"/>
  <c r="M1260" i="107"/>
  <c r="M1249" i="107"/>
  <c r="M1238" i="107"/>
  <c r="M1227" i="107"/>
  <c r="M1188" i="107"/>
  <c r="M1177" i="107"/>
  <c r="M1166" i="107"/>
  <c r="M1068" i="107"/>
  <c r="M1061" i="107"/>
  <c r="M1033" i="107"/>
  <c r="M1003" i="107"/>
  <c r="M991" i="107"/>
  <c r="M980" i="107"/>
  <c r="M969" i="107"/>
  <c r="M872" i="107"/>
  <c r="M865" i="107"/>
  <c r="M739" i="107"/>
  <c r="M701" i="107"/>
  <c r="M549" i="107"/>
  <c r="M537" i="107"/>
  <c r="M525" i="107"/>
  <c r="M485" i="107"/>
  <c r="M473" i="107"/>
  <c r="M461" i="107"/>
  <c r="M363" i="107"/>
  <c r="M356" i="107"/>
  <c r="M306" i="107"/>
  <c r="M294" i="107"/>
  <c r="M198" i="107"/>
  <c r="M191" i="107"/>
  <c r="M182" i="107"/>
  <c r="L1379" i="107"/>
  <c r="L1339" i="107"/>
  <c r="L1332" i="107"/>
  <c r="L1260" i="107"/>
  <c r="L1249" i="107"/>
  <c r="L1238" i="107"/>
  <c r="L1227" i="107"/>
  <c r="L1188" i="107"/>
  <c r="L1177" i="107"/>
  <c r="L1166" i="107"/>
  <c r="L1068" i="107"/>
  <c r="L1061" i="107"/>
  <c r="L1033" i="107"/>
  <c r="L1003" i="107"/>
  <c r="L991" i="107"/>
  <c r="L980" i="107"/>
  <c r="L969" i="107"/>
  <c r="L872" i="107"/>
  <c r="L865" i="107"/>
  <c r="L739" i="107"/>
  <c r="L701" i="107"/>
  <c r="L549" i="107"/>
  <c r="L537" i="107"/>
  <c r="L525" i="107"/>
  <c r="L485" i="107"/>
  <c r="L473" i="107"/>
  <c r="L461" i="107"/>
  <c r="L363" i="107"/>
  <c r="L356" i="107"/>
  <c r="L306" i="107"/>
  <c r="L294" i="107"/>
  <c r="L198" i="107"/>
  <c r="L191" i="107"/>
  <c r="L182" i="107"/>
  <c r="K1379" i="107"/>
  <c r="K1339" i="107"/>
  <c r="K1332" i="107"/>
  <c r="K1260" i="107"/>
  <c r="K1249" i="107"/>
  <c r="K1238" i="107"/>
  <c r="K1227" i="107"/>
  <c r="K1188" i="107"/>
  <c r="K1177" i="107"/>
  <c r="K1166" i="107"/>
  <c r="K1068" i="107"/>
  <c r="K1061" i="107"/>
  <c r="K1033" i="107"/>
  <c r="K1003" i="107"/>
  <c r="K991" i="107"/>
  <c r="K980" i="107"/>
  <c r="K969" i="107"/>
  <c r="K872" i="107"/>
  <c r="K865" i="107"/>
  <c r="K739" i="107"/>
  <c r="K701" i="107"/>
  <c r="K549" i="107"/>
  <c r="K537" i="107"/>
  <c r="K525" i="107"/>
  <c r="K485" i="107"/>
  <c r="K473" i="107"/>
  <c r="K461" i="107"/>
  <c r="K363" i="107"/>
  <c r="K356" i="107"/>
  <c r="K306" i="107"/>
  <c r="K294" i="107"/>
  <c r="K198" i="107"/>
  <c r="K191" i="107"/>
  <c r="K182" i="107"/>
  <c r="L32" i="30" l="1"/>
  <c r="K32" i="30"/>
  <c r="J32" i="30"/>
  <c r="I32" i="30"/>
  <c r="H32" i="30"/>
  <c r="G32" i="30"/>
  <c r="G29" i="30"/>
  <c r="G11" i="30" l="1"/>
  <c r="G28" i="30" s="1"/>
  <c r="L11" i="30"/>
  <c r="K11" i="30"/>
  <c r="J11" i="30"/>
  <c r="I11" i="30"/>
  <c r="H11" i="30"/>
  <c r="J31" i="30"/>
  <c r="I31" i="30"/>
  <c r="H31" i="30"/>
  <c r="G31" i="30"/>
  <c r="F31" i="30"/>
  <c r="L30" i="30"/>
  <c r="L31" i="30" s="1"/>
  <c r="K30" i="30"/>
  <c r="K31" i="30" s="1"/>
  <c r="J30" i="30"/>
  <c r="I30" i="30"/>
  <c r="H30" i="30"/>
  <c r="G30" i="30"/>
  <c r="F30" i="30"/>
  <c r="L28" i="30"/>
  <c r="K28" i="30"/>
  <c r="J28" i="30"/>
  <c r="I28" i="30"/>
  <c r="H28" i="30"/>
  <c r="F32" i="30" l="1"/>
  <c r="F33" i="30" s="1"/>
  <c r="K2396" i="120" l="1"/>
  <c r="J2396" i="120"/>
  <c r="I2396" i="120"/>
  <c r="H2396" i="120"/>
  <c r="G2396" i="120"/>
  <c r="F2396" i="120"/>
  <c r="E2396" i="120"/>
  <c r="K2395" i="120"/>
  <c r="J2395" i="120"/>
  <c r="I2395" i="120"/>
  <c r="H2395" i="120"/>
  <c r="G2395" i="120"/>
  <c r="F2395" i="120"/>
  <c r="E2395" i="120"/>
  <c r="K2392" i="120"/>
  <c r="K2389" i="120"/>
  <c r="K2386" i="120"/>
  <c r="D2393" i="120"/>
  <c r="D2392" i="120"/>
  <c r="F1897" i="119"/>
  <c r="G1896" i="119"/>
  <c r="F1896" i="119"/>
  <c r="E1896" i="119"/>
  <c r="F1894" i="119"/>
  <c r="G1893" i="119"/>
  <c r="F1893" i="119"/>
  <c r="E1893" i="119"/>
  <c r="Q1950" i="107"/>
  <c r="G1950" i="107"/>
  <c r="D1014" i="120"/>
  <c r="E1014" i="120"/>
  <c r="F1014" i="120"/>
  <c r="G1014" i="120"/>
  <c r="H1014" i="120"/>
  <c r="I1014" i="120"/>
  <c r="J1014" i="120"/>
  <c r="K1014" i="120"/>
  <c r="H965" i="119" l="1"/>
  <c r="G965" i="119"/>
  <c r="F965" i="119"/>
  <c r="E965" i="119"/>
  <c r="H964" i="119"/>
  <c r="F964" i="119"/>
  <c r="H963" i="119"/>
  <c r="G963" i="119"/>
  <c r="F963" i="119"/>
  <c r="E963" i="119"/>
  <c r="F12" i="166" l="1"/>
  <c r="D18" i="155"/>
  <c r="D18" i="112"/>
  <c r="P114" i="165"/>
  <c r="Q107" i="165" s="1"/>
  <c r="R107" i="165" s="1"/>
  <c r="L114" i="165"/>
  <c r="M113" i="165" s="1"/>
  <c r="H114" i="165"/>
  <c r="M112" i="165"/>
  <c r="F59" i="165"/>
  <c r="F51" i="165"/>
  <c r="F43" i="165"/>
  <c r="F40" i="165"/>
  <c r="F39" i="165"/>
  <c r="F49" i="165" s="1"/>
  <c r="F35" i="165"/>
  <c r="F53" i="165" s="1"/>
  <c r="F30" i="165"/>
  <c r="F29" i="165"/>
  <c r="F28" i="165"/>
  <c r="F27" i="165"/>
  <c r="F26" i="165"/>
  <c r="F25" i="165"/>
  <c r="F22" i="165"/>
  <c r="F74" i="165" s="1"/>
  <c r="F21" i="165"/>
  <c r="D7" i="165"/>
  <c r="D6" i="165"/>
  <c r="D5" i="165"/>
  <c r="D7" i="155"/>
  <c r="J8" i="166"/>
  <c r="C10" i="159"/>
  <c r="D6" i="158"/>
  <c r="D5" i="57"/>
  <c r="O2049" i="107"/>
  <c r="N2049" i="107"/>
  <c r="M2049" i="107"/>
  <c r="L2049" i="107"/>
  <c r="K2049" i="107"/>
  <c r="H2048" i="107"/>
  <c r="F2048" i="107" s="1"/>
  <c r="F31" i="165" l="1"/>
  <c r="F89" i="165" s="1"/>
  <c r="F55" i="165"/>
  <c r="F104" i="165" s="1"/>
  <c r="N107" i="165"/>
  <c r="N106" i="165"/>
  <c r="N112" i="165"/>
  <c r="N113" i="165"/>
  <c r="M111" i="165"/>
  <c r="N111" i="165" s="1"/>
  <c r="M106" i="165"/>
  <c r="M107" i="165"/>
  <c r="M110" i="165"/>
  <c r="N110" i="165" s="1"/>
  <c r="Q106" i="165"/>
  <c r="R106" i="165" s="1"/>
  <c r="H2049" i="107"/>
  <c r="J2049" i="107"/>
  <c r="N114" i="165" l="1"/>
  <c r="J108" i="165"/>
  <c r="F108" i="165" s="1"/>
  <c r="J106" i="165"/>
  <c r="J113" i="165"/>
  <c r="F113" i="165" s="1"/>
  <c r="J110" i="165"/>
  <c r="F110" i="165" s="1"/>
  <c r="J107" i="165"/>
  <c r="F107" i="165" s="1"/>
  <c r="J111" i="165"/>
  <c r="F111" i="165" s="1"/>
  <c r="J112" i="165"/>
  <c r="F112" i="165" s="1"/>
  <c r="J109" i="165"/>
  <c r="F109" i="165" s="1"/>
  <c r="J114" i="165" l="1"/>
  <c r="F106" i="165"/>
  <c r="F114" i="165" s="1"/>
  <c r="R144" i="9"/>
  <c r="R130" i="9"/>
  <c r="H144" i="9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A46" i="79" l="1"/>
  <c r="A83" i="79"/>
  <c r="E69" i="79"/>
  <c r="A69" i="79" s="1"/>
  <c r="E34" i="79"/>
  <c r="A34" i="79" s="1"/>
  <c r="E8" i="79"/>
  <c r="A8" i="79" s="1"/>
  <c r="T3" i="79"/>
  <c r="T5" i="79" s="1"/>
  <c r="L132" i="79"/>
  <c r="L133" i="79"/>
  <c r="L134" i="79"/>
  <c r="L135" i="79"/>
  <c r="L136" i="79"/>
  <c r="L137" i="79"/>
  <c r="L138" i="79"/>
  <c r="L139" i="79"/>
  <c r="L140" i="79"/>
  <c r="L141" i="79"/>
  <c r="L142" i="79"/>
  <c r="L143" i="79"/>
  <c r="L144" i="79"/>
  <c r="L145" i="79"/>
  <c r="L146" i="79"/>
  <c r="L147" i="79"/>
  <c r="L148" i="79"/>
  <c r="L149" i="79"/>
  <c r="L150" i="79"/>
  <c r="L151" i="79"/>
  <c r="L152" i="79"/>
  <c r="L153" i="79"/>
  <c r="L154" i="79"/>
  <c r="L155" i="79"/>
  <c r="L156" i="79"/>
  <c r="L157" i="79"/>
  <c r="L158" i="79"/>
  <c r="L159" i="79"/>
  <c r="L160" i="79"/>
  <c r="L161" i="79"/>
  <c r="L162" i="79"/>
  <c r="L163" i="79"/>
  <c r="L164" i="79"/>
  <c r="L165" i="79"/>
  <c r="L166" i="79"/>
  <c r="L167" i="79"/>
  <c r="L168" i="79"/>
  <c r="L169" i="79"/>
  <c r="L170" i="79"/>
  <c r="L171" i="79"/>
  <c r="L172" i="79"/>
  <c r="L173" i="79"/>
  <c r="L174" i="79"/>
  <c r="L175" i="79"/>
  <c r="L176" i="79"/>
  <c r="L177" i="79"/>
  <c r="L178" i="79"/>
  <c r="L179" i="79"/>
  <c r="L180" i="79"/>
  <c r="L181" i="79"/>
  <c r="L182" i="79"/>
  <c r="L183" i="79"/>
  <c r="L184" i="79"/>
  <c r="L185" i="79"/>
  <c r="L186" i="79"/>
  <c r="L187" i="79"/>
  <c r="L188" i="79"/>
  <c r="L189" i="79"/>
  <c r="L190" i="79"/>
  <c r="L191" i="79"/>
  <c r="L192" i="79"/>
  <c r="L193" i="79"/>
  <c r="L194" i="79"/>
  <c r="L195" i="79"/>
  <c r="L196" i="79"/>
  <c r="U269" i="73"/>
  <c r="V240" i="73"/>
  <c r="V241" i="73"/>
  <c r="V242" i="73"/>
  <c r="V243" i="73"/>
  <c r="V244" i="73"/>
  <c r="V245" i="73"/>
  <c r="V246" i="73"/>
  <c r="V247" i="73"/>
  <c r="V248" i="73"/>
  <c r="V249" i="73"/>
  <c r="V250" i="73"/>
  <c r="V251" i="73"/>
  <c r="V252" i="73"/>
  <c r="V253" i="73"/>
  <c r="V254" i="73"/>
  <c r="V255" i="73"/>
  <c r="V256" i="73"/>
  <c r="V257" i="73"/>
  <c r="V258" i="73"/>
  <c r="V151" i="73"/>
  <c r="V152" i="73"/>
  <c r="V153" i="73"/>
  <c r="V154" i="73"/>
  <c r="V155" i="73"/>
  <c r="V156" i="73"/>
  <c r="V157" i="73"/>
  <c r="V158" i="73"/>
  <c r="V159" i="73"/>
  <c r="V160" i="73"/>
  <c r="V161" i="73"/>
  <c r="V162" i="73"/>
  <c r="V163" i="73"/>
  <c r="V164" i="73"/>
  <c r="V165" i="73"/>
  <c r="V166" i="73"/>
  <c r="V167" i="73"/>
  <c r="V168" i="73"/>
  <c r="V169" i="73"/>
  <c r="V170" i="73"/>
  <c r="U86" i="73"/>
  <c r="V58" i="73"/>
  <c r="V59" i="73"/>
  <c r="V60" i="73"/>
  <c r="V61" i="73"/>
  <c r="V62" i="73"/>
  <c r="V63" i="73"/>
  <c r="V64" i="73"/>
  <c r="V65" i="73"/>
  <c r="V66" i="73"/>
  <c r="V67" i="73"/>
  <c r="V68" i="73"/>
  <c r="V69" i="73"/>
  <c r="V70" i="73"/>
  <c r="V71" i="73"/>
  <c r="V72" i="73"/>
  <c r="V73" i="73"/>
  <c r="V74" i="73"/>
  <c r="V75" i="73"/>
  <c r="V78" i="73"/>
  <c r="V79" i="73"/>
  <c r="F35" i="113"/>
  <c r="O131" i="79" l="1"/>
  <c r="O129" i="79"/>
  <c r="O127" i="79"/>
  <c r="O125" i="79"/>
  <c r="O123" i="79"/>
  <c r="O121" i="79"/>
  <c r="O119" i="79"/>
  <c r="O117" i="79"/>
  <c r="O115" i="79"/>
  <c r="O113" i="79"/>
  <c r="O111" i="79"/>
  <c r="O109" i="79"/>
  <c r="O107" i="79"/>
  <c r="O105" i="79"/>
  <c r="O103" i="79"/>
  <c r="O101" i="79"/>
  <c r="O99" i="79"/>
  <c r="O97" i="79"/>
  <c r="O95" i="79"/>
  <c r="O93" i="79"/>
  <c r="O91" i="79"/>
  <c r="O89" i="79"/>
  <c r="O87" i="79"/>
  <c r="O85" i="79"/>
  <c r="O83" i="79"/>
  <c r="O81" i="79"/>
  <c r="O79" i="79"/>
  <c r="O77" i="79"/>
  <c r="O75" i="79"/>
  <c r="O73" i="79"/>
  <c r="O71" i="79"/>
  <c r="O69" i="79"/>
  <c r="O67" i="79"/>
  <c r="O65" i="79"/>
  <c r="O63" i="79"/>
  <c r="O61" i="79"/>
  <c r="O59" i="79"/>
  <c r="O57" i="79"/>
  <c r="O55" i="79"/>
  <c r="O53" i="79"/>
  <c r="O51" i="79"/>
  <c r="O49" i="79"/>
  <c r="O47" i="79"/>
  <c r="O45" i="79"/>
  <c r="O43" i="79"/>
  <c r="O41" i="79"/>
  <c r="O39" i="79"/>
  <c r="O37" i="79"/>
  <c r="N35" i="79"/>
  <c r="N33" i="79"/>
  <c r="N31" i="79"/>
  <c r="N29" i="79"/>
  <c r="N27" i="79"/>
  <c r="N25" i="79"/>
  <c r="N23" i="79"/>
  <c r="N21" i="79"/>
  <c r="N19" i="79"/>
  <c r="N17" i="79"/>
  <c r="N15" i="79"/>
  <c r="N13" i="79"/>
  <c r="N11" i="79"/>
  <c r="N9" i="79"/>
  <c r="N7" i="79"/>
  <c r="N131" i="79"/>
  <c r="N129" i="79"/>
  <c r="N127" i="79"/>
  <c r="N125" i="79"/>
  <c r="N123" i="79"/>
  <c r="N121" i="79"/>
  <c r="N119" i="79"/>
  <c r="N117" i="79"/>
  <c r="N115" i="79"/>
  <c r="N113" i="79"/>
  <c r="N111" i="79"/>
  <c r="N109" i="79"/>
  <c r="N107" i="79"/>
  <c r="N105" i="79"/>
  <c r="N103" i="79"/>
  <c r="N101" i="79"/>
  <c r="N99" i="79"/>
  <c r="N97" i="79"/>
  <c r="N95" i="79"/>
  <c r="N93" i="79"/>
  <c r="D94" i="79" s="1"/>
  <c r="H108" i="78" s="1"/>
  <c r="N91" i="79"/>
  <c r="N89" i="79"/>
  <c r="N87" i="79"/>
  <c r="N85" i="79"/>
  <c r="N83" i="79"/>
  <c r="N81" i="79"/>
  <c r="N79" i="79"/>
  <c r="N77" i="79"/>
  <c r="N75" i="79"/>
  <c r="N73" i="79"/>
  <c r="N71" i="79"/>
  <c r="N69" i="79"/>
  <c r="N67" i="79"/>
  <c r="N65" i="79"/>
  <c r="N63" i="79"/>
  <c r="N61" i="79"/>
  <c r="N59" i="79"/>
  <c r="N57" i="79"/>
  <c r="N55" i="79"/>
  <c r="N53" i="79"/>
  <c r="N51" i="79"/>
  <c r="N49" i="79"/>
  <c r="N47" i="79"/>
  <c r="N45" i="79"/>
  <c r="N43" i="79"/>
  <c r="N41" i="79"/>
  <c r="N39" i="79"/>
  <c r="N37" i="79"/>
  <c r="Q34" i="79"/>
  <c r="Q32" i="79"/>
  <c r="Q30" i="79"/>
  <c r="Q28" i="79"/>
  <c r="Q26" i="79"/>
  <c r="Q24" i="79"/>
  <c r="Q22" i="79"/>
  <c r="Q20" i="79"/>
  <c r="Q18" i="79"/>
  <c r="Q16" i="79"/>
  <c r="Q14" i="79"/>
  <c r="Q12" i="79"/>
  <c r="Q10" i="79"/>
  <c r="Q8" i="79"/>
  <c r="Q6" i="79"/>
  <c r="Q128" i="79"/>
  <c r="P131" i="79"/>
  <c r="P129" i="79"/>
  <c r="E124" i="79" s="1"/>
  <c r="A124" i="79" s="1"/>
  <c r="P127" i="79"/>
  <c r="E122" i="79" s="1"/>
  <c r="A122" i="79" s="1"/>
  <c r="P125" i="79"/>
  <c r="E120" i="79" s="1"/>
  <c r="A120" i="79" s="1"/>
  <c r="P123" i="79"/>
  <c r="E118" i="79" s="1"/>
  <c r="A118" i="79" s="1"/>
  <c r="P121" i="79"/>
  <c r="P119" i="79"/>
  <c r="P117" i="79"/>
  <c r="E115" i="79" s="1"/>
  <c r="A115" i="79" s="1"/>
  <c r="P115" i="79"/>
  <c r="P113" i="79"/>
  <c r="P111" i="79"/>
  <c r="E112" i="79" s="1"/>
  <c r="A112" i="79" s="1"/>
  <c r="P109" i="79"/>
  <c r="E110" i="79" s="1"/>
  <c r="A110" i="79" s="1"/>
  <c r="P107" i="79"/>
  <c r="E108" i="79" s="1"/>
  <c r="A108" i="79" s="1"/>
  <c r="P105" i="79"/>
  <c r="E106" i="79" s="1"/>
  <c r="A106" i="79" s="1"/>
  <c r="P103" i="79"/>
  <c r="E104" i="79" s="1"/>
  <c r="A104" i="79" s="1"/>
  <c r="P101" i="79"/>
  <c r="E102" i="79" s="1"/>
  <c r="A102" i="79" s="1"/>
  <c r="P99" i="79"/>
  <c r="E100" i="79" s="1"/>
  <c r="A100" i="79" s="1"/>
  <c r="P97" i="79"/>
  <c r="E98" i="79" s="1"/>
  <c r="A98" i="79" s="1"/>
  <c r="P95" i="79"/>
  <c r="E96" i="79" s="1"/>
  <c r="P93" i="79"/>
  <c r="E94" i="79" s="1"/>
  <c r="P91" i="79"/>
  <c r="E92" i="79" s="1"/>
  <c r="A92" i="79" s="1"/>
  <c r="P89" i="79"/>
  <c r="E90" i="79" s="1"/>
  <c r="A90" i="79" s="1"/>
  <c r="P87" i="79"/>
  <c r="E88" i="79" s="1"/>
  <c r="A88" i="79" s="1"/>
  <c r="P85" i="79"/>
  <c r="E86" i="79" s="1"/>
  <c r="A86" i="79" s="1"/>
  <c r="P83" i="79"/>
  <c r="E84" i="79" s="1"/>
  <c r="P81" i="79"/>
  <c r="E81" i="79" s="1"/>
  <c r="A81" i="79" s="1"/>
  <c r="P79" i="79"/>
  <c r="E79" i="79" s="1"/>
  <c r="A79" i="79" s="1"/>
  <c r="P77" i="79"/>
  <c r="E77" i="79" s="1"/>
  <c r="A77" i="79" s="1"/>
  <c r="P75" i="79"/>
  <c r="E75" i="79" s="1"/>
  <c r="A75" i="79" s="1"/>
  <c r="P73" i="79"/>
  <c r="E73" i="79" s="1"/>
  <c r="A73" i="79" s="1"/>
  <c r="P71" i="79"/>
  <c r="E71" i="79" s="1"/>
  <c r="A71" i="79" s="1"/>
  <c r="P69" i="79"/>
  <c r="E68" i="79" s="1"/>
  <c r="A68" i="79" s="1"/>
  <c r="P67" i="79"/>
  <c r="E66" i="79" s="1"/>
  <c r="A66" i="79" s="1"/>
  <c r="P65" i="79"/>
  <c r="E64" i="79" s="1"/>
  <c r="A64" i="79" s="1"/>
  <c r="P63" i="79"/>
  <c r="E62" i="79" s="1"/>
  <c r="A62" i="79" s="1"/>
  <c r="P61" i="79"/>
  <c r="E60" i="79" s="1"/>
  <c r="A60" i="79" s="1"/>
  <c r="P59" i="79"/>
  <c r="E58" i="79" s="1"/>
  <c r="A58" i="79" s="1"/>
  <c r="P57" i="79"/>
  <c r="E56" i="79" s="1"/>
  <c r="A56" i="79" s="1"/>
  <c r="P55" i="79"/>
  <c r="E54" i="79" s="1"/>
  <c r="A54" i="79" s="1"/>
  <c r="P53" i="79"/>
  <c r="E52" i="79" s="1"/>
  <c r="A52" i="79" s="1"/>
  <c r="P51" i="79"/>
  <c r="E50" i="79" s="1"/>
  <c r="A50" i="79" s="1"/>
  <c r="P49" i="79"/>
  <c r="E48" i="79" s="1"/>
  <c r="A48" i="79" s="1"/>
  <c r="P47" i="79"/>
  <c r="P45" i="79"/>
  <c r="E44" i="79" s="1"/>
  <c r="A44" i="79" s="1"/>
  <c r="P43" i="79"/>
  <c r="E42" i="79" s="1"/>
  <c r="A42" i="79" s="1"/>
  <c r="P41" i="79"/>
  <c r="E40" i="79" s="1"/>
  <c r="A40" i="79" s="1"/>
  <c r="P39" i="79"/>
  <c r="E38" i="79" s="1"/>
  <c r="A38" i="79" s="1"/>
  <c r="P37" i="79"/>
  <c r="E36" i="79" s="1"/>
  <c r="A36" i="79" s="1"/>
  <c r="O35" i="79"/>
  <c r="O33" i="79"/>
  <c r="O31" i="79"/>
  <c r="O29" i="79"/>
  <c r="O27" i="79"/>
  <c r="O25" i="79"/>
  <c r="O23" i="79"/>
  <c r="O21" i="79"/>
  <c r="O19" i="79"/>
  <c r="O17" i="79"/>
  <c r="O15" i="79"/>
  <c r="O13" i="79"/>
  <c r="O11" i="79"/>
  <c r="O9" i="79"/>
  <c r="O7" i="79"/>
  <c r="Q130" i="79"/>
  <c r="L130" i="79" s="1"/>
  <c r="Q126" i="79"/>
  <c r="N128" i="79"/>
  <c r="O124" i="79"/>
  <c r="Q120" i="79"/>
  <c r="N118" i="79"/>
  <c r="P114" i="79"/>
  <c r="Q111" i="79"/>
  <c r="O108" i="79"/>
  <c r="Q104" i="79"/>
  <c r="N102" i="79"/>
  <c r="P98" i="79"/>
  <c r="E99" i="79" s="1"/>
  <c r="A99" i="79" s="1"/>
  <c r="Q95" i="79"/>
  <c r="O92" i="79"/>
  <c r="Q88" i="79"/>
  <c r="N86" i="79"/>
  <c r="P82" i="79"/>
  <c r="E82" i="79" s="1"/>
  <c r="A82" i="79" s="1"/>
  <c r="Q79" i="79"/>
  <c r="O76" i="79"/>
  <c r="Q72" i="79"/>
  <c r="N70" i="79"/>
  <c r="P66" i="79"/>
  <c r="E65" i="79" s="1"/>
  <c r="A65" i="79" s="1"/>
  <c r="Q63" i="79"/>
  <c r="O60" i="79"/>
  <c r="Q56" i="79"/>
  <c r="N54" i="79"/>
  <c r="P50" i="79"/>
  <c r="E49" i="79" s="1"/>
  <c r="A49" i="79" s="1"/>
  <c r="Q47" i="79"/>
  <c r="L47" i="79" s="1"/>
  <c r="O44" i="79"/>
  <c r="Q40" i="79"/>
  <c r="N38" i="79"/>
  <c r="O34" i="79"/>
  <c r="P31" i="79"/>
  <c r="N28" i="79"/>
  <c r="P24" i="79"/>
  <c r="E24" i="79" s="1"/>
  <c r="A24" i="79" s="1"/>
  <c r="Q21" i="79"/>
  <c r="O18" i="79"/>
  <c r="P15" i="79"/>
  <c r="E15" i="79" s="1"/>
  <c r="A15" i="79" s="1"/>
  <c r="N12" i="79"/>
  <c r="P8" i="79"/>
  <c r="E7" i="79" s="1"/>
  <c r="A7" i="79" s="1"/>
  <c r="Q49" i="79"/>
  <c r="P33" i="79"/>
  <c r="E32" i="79" s="1"/>
  <c r="A32" i="79" s="1"/>
  <c r="Q23" i="79"/>
  <c r="P17" i="79"/>
  <c r="E17" i="79" s="1"/>
  <c r="A17" i="79" s="1"/>
  <c r="Q7" i="79"/>
  <c r="Q129" i="79"/>
  <c r="P96" i="79"/>
  <c r="E97" i="79" s="1"/>
  <c r="Q77" i="79"/>
  <c r="Q61" i="79"/>
  <c r="O42" i="79"/>
  <c r="Q19" i="79"/>
  <c r="Q131" i="79"/>
  <c r="L131" i="79" s="1"/>
  <c r="Q127" i="79"/>
  <c r="N124" i="79"/>
  <c r="P120" i="79"/>
  <c r="E116" i="79" s="1"/>
  <c r="A116" i="79" s="1"/>
  <c r="Q117" i="79"/>
  <c r="O114" i="79"/>
  <c r="Q110" i="79"/>
  <c r="N108" i="79"/>
  <c r="P104" i="79"/>
  <c r="E105" i="79" s="1"/>
  <c r="A105" i="79" s="1"/>
  <c r="Q101" i="79"/>
  <c r="O98" i="79"/>
  <c r="Q94" i="79"/>
  <c r="F95" i="79" s="1"/>
  <c r="N92" i="79"/>
  <c r="P88" i="79"/>
  <c r="E89" i="79" s="1"/>
  <c r="A89" i="79" s="1"/>
  <c r="Q85" i="79"/>
  <c r="O82" i="79"/>
  <c r="Q78" i="79"/>
  <c r="N76" i="79"/>
  <c r="P72" i="79"/>
  <c r="E72" i="79" s="1"/>
  <c r="A72" i="79" s="1"/>
  <c r="Q69" i="79"/>
  <c r="O66" i="79"/>
  <c r="Q62" i="79"/>
  <c r="N60" i="79"/>
  <c r="P56" i="79"/>
  <c r="E55" i="79" s="1"/>
  <c r="A55" i="79" s="1"/>
  <c r="Q53" i="79"/>
  <c r="O50" i="79"/>
  <c r="Q46" i="79"/>
  <c r="N44" i="79"/>
  <c r="P40" i="79"/>
  <c r="E39" i="79" s="1"/>
  <c r="A39" i="79" s="1"/>
  <c r="Q37" i="79"/>
  <c r="N34" i="79"/>
  <c r="P30" i="79"/>
  <c r="E30" i="79" s="1"/>
  <c r="A30" i="79" s="1"/>
  <c r="Q27" i="79"/>
  <c r="O24" i="79"/>
  <c r="P21" i="79"/>
  <c r="E21" i="79" s="1"/>
  <c r="A21" i="79" s="1"/>
  <c r="N18" i="79"/>
  <c r="P14" i="79"/>
  <c r="E14" i="79" s="1"/>
  <c r="A14" i="79" s="1"/>
  <c r="Q11" i="79"/>
  <c r="O8" i="79"/>
  <c r="N56" i="79"/>
  <c r="N40" i="79"/>
  <c r="N30" i="79"/>
  <c r="O20" i="79"/>
  <c r="P10" i="79"/>
  <c r="E10" i="79" s="1"/>
  <c r="A10" i="79" s="1"/>
  <c r="Q125" i="79"/>
  <c r="N116" i="79"/>
  <c r="P112" i="79"/>
  <c r="E113" i="79" s="1"/>
  <c r="A113" i="79" s="1"/>
  <c r="O106" i="79"/>
  <c r="Q93" i="79"/>
  <c r="F94" i="79" s="1"/>
  <c r="P80" i="79"/>
  <c r="E80" i="79" s="1"/>
  <c r="A80" i="79" s="1"/>
  <c r="Q70" i="79"/>
  <c r="N52" i="79"/>
  <c r="O32" i="79"/>
  <c r="P13" i="79"/>
  <c r="E13" i="79" s="1"/>
  <c r="A13" i="79" s="1"/>
  <c r="P130" i="79"/>
  <c r="P126" i="79"/>
  <c r="E121" i="79" s="1"/>
  <c r="A121" i="79" s="1"/>
  <c r="Q123" i="79"/>
  <c r="O120" i="79"/>
  <c r="Q116" i="79"/>
  <c r="N114" i="79"/>
  <c r="P110" i="79"/>
  <c r="E111" i="79" s="1"/>
  <c r="A111" i="79" s="1"/>
  <c r="Q107" i="79"/>
  <c r="O104" i="79"/>
  <c r="Q100" i="79"/>
  <c r="N98" i="79"/>
  <c r="P94" i="79"/>
  <c r="E95" i="79" s="1"/>
  <c r="Q91" i="79"/>
  <c r="O88" i="79"/>
  <c r="Q84" i="79"/>
  <c r="F85" i="79" s="1"/>
  <c r="L84" i="79" s="1"/>
  <c r="N82" i="79"/>
  <c r="P78" i="79"/>
  <c r="E78" i="79" s="1"/>
  <c r="A78" i="79" s="1"/>
  <c r="Q75" i="79"/>
  <c r="O72" i="79"/>
  <c r="Q68" i="79"/>
  <c r="N66" i="79"/>
  <c r="P62" i="79"/>
  <c r="E61" i="79" s="1"/>
  <c r="A61" i="79" s="1"/>
  <c r="Q59" i="79"/>
  <c r="O56" i="79"/>
  <c r="Q52" i="79"/>
  <c r="N50" i="79"/>
  <c r="P46" i="79"/>
  <c r="E45" i="79" s="1"/>
  <c r="A45" i="79" s="1"/>
  <c r="Q43" i="79"/>
  <c r="O40" i="79"/>
  <c r="Q36" i="79"/>
  <c r="Q33" i="79"/>
  <c r="O30" i="79"/>
  <c r="P27" i="79"/>
  <c r="E27" i="79" s="1"/>
  <c r="A27" i="79" s="1"/>
  <c r="N24" i="79"/>
  <c r="P20" i="79"/>
  <c r="E20" i="79" s="1"/>
  <c r="A20" i="79" s="1"/>
  <c r="Q17" i="79"/>
  <c r="O14" i="79"/>
  <c r="P11" i="79"/>
  <c r="E11" i="79" s="1"/>
  <c r="A11" i="79" s="1"/>
  <c r="N8" i="79"/>
  <c r="O58" i="79"/>
  <c r="N26" i="79"/>
  <c r="P6" i="79"/>
  <c r="E5" i="79" s="1"/>
  <c r="O130" i="79"/>
  <c r="O126" i="79"/>
  <c r="Q122" i="79"/>
  <c r="N120" i="79"/>
  <c r="P116" i="79"/>
  <c r="E114" i="79" s="1"/>
  <c r="A114" i="79" s="1"/>
  <c r="Q113" i="79"/>
  <c r="L113" i="79" s="1"/>
  <c r="O110" i="79"/>
  <c r="Q106" i="79"/>
  <c r="N104" i="79"/>
  <c r="P100" i="79"/>
  <c r="E101" i="79" s="1"/>
  <c r="A101" i="79" s="1"/>
  <c r="Q97" i="79"/>
  <c r="O94" i="79"/>
  <c r="Q90" i="79"/>
  <c r="N88" i="79"/>
  <c r="P84" i="79"/>
  <c r="E85" i="79" s="1"/>
  <c r="A85" i="79" s="1"/>
  <c r="Q81" i="79"/>
  <c r="O78" i="79"/>
  <c r="Q74" i="79"/>
  <c r="N72" i="79"/>
  <c r="P68" i="79"/>
  <c r="E67" i="79" s="1"/>
  <c r="A67" i="79" s="1"/>
  <c r="Q65" i="79"/>
  <c r="O62" i="79"/>
  <c r="Q58" i="79"/>
  <c r="P52" i="79"/>
  <c r="E51" i="79" s="1"/>
  <c r="A51" i="79" s="1"/>
  <c r="O46" i="79"/>
  <c r="Q42" i="79"/>
  <c r="P36" i="79"/>
  <c r="E35" i="79" s="1"/>
  <c r="A35" i="79" s="1"/>
  <c r="P26" i="79"/>
  <c r="E26" i="79" s="1"/>
  <c r="A26" i="79" s="1"/>
  <c r="N14" i="79"/>
  <c r="O122" i="79"/>
  <c r="P48" i="79"/>
  <c r="E47" i="79" s="1"/>
  <c r="A47" i="79" s="1"/>
  <c r="N130" i="79"/>
  <c r="N126" i="79"/>
  <c r="P122" i="79"/>
  <c r="E117" i="79" s="1"/>
  <c r="A117" i="79" s="1"/>
  <c r="Q119" i="79"/>
  <c r="L119" i="79" s="1"/>
  <c r="O116" i="79"/>
  <c r="Q112" i="79"/>
  <c r="N110" i="79"/>
  <c r="P106" i="79"/>
  <c r="E107" i="79" s="1"/>
  <c r="A107" i="79" s="1"/>
  <c r="Q103" i="79"/>
  <c r="O100" i="79"/>
  <c r="Q96" i="79"/>
  <c r="F97" i="79" s="1"/>
  <c r="N94" i="79"/>
  <c r="D95" i="79" s="1"/>
  <c r="H109" i="78" s="1"/>
  <c r="P90" i="79"/>
  <c r="E91" i="79" s="1"/>
  <c r="A91" i="79" s="1"/>
  <c r="Q87" i="79"/>
  <c r="O84" i="79"/>
  <c r="Q80" i="79"/>
  <c r="N78" i="79"/>
  <c r="P74" i="79"/>
  <c r="E74" i="79" s="1"/>
  <c r="A74" i="79" s="1"/>
  <c r="Q71" i="79"/>
  <c r="O68" i="79"/>
  <c r="Q64" i="79"/>
  <c r="N62" i="79"/>
  <c r="P58" i="79"/>
  <c r="E57" i="79" s="1"/>
  <c r="A57" i="79" s="1"/>
  <c r="Q55" i="79"/>
  <c r="O52" i="79"/>
  <c r="Q48" i="79"/>
  <c r="N46" i="79"/>
  <c r="P42" i="79"/>
  <c r="E41" i="79" s="1"/>
  <c r="A41" i="79" s="1"/>
  <c r="Q39" i="79"/>
  <c r="O36" i="79"/>
  <c r="P32" i="79"/>
  <c r="E31" i="79" s="1"/>
  <c r="A31" i="79" s="1"/>
  <c r="Q29" i="79"/>
  <c r="O26" i="79"/>
  <c r="P23" i="79"/>
  <c r="E23" i="79" s="1"/>
  <c r="A23" i="79" s="1"/>
  <c r="N20" i="79"/>
  <c r="P16" i="79"/>
  <c r="E16" i="79" s="1"/>
  <c r="A16" i="79" s="1"/>
  <c r="Q13" i="79"/>
  <c r="O10" i="79"/>
  <c r="P7" i="79"/>
  <c r="E6" i="79" s="1"/>
  <c r="A6" i="79" s="1"/>
  <c r="Q118" i="79"/>
  <c r="L118" i="79" s="1"/>
  <c r="Q109" i="79"/>
  <c r="N100" i="79"/>
  <c r="Q86" i="79"/>
  <c r="O74" i="79"/>
  <c r="Q54" i="79"/>
  <c r="N36" i="79"/>
  <c r="O16" i="79"/>
  <c r="P128" i="79"/>
  <c r="E123" i="79" s="1"/>
  <c r="A123" i="79" s="1"/>
  <c r="Q124" i="79"/>
  <c r="N122" i="79"/>
  <c r="P118" i="79"/>
  <c r="Q115" i="79"/>
  <c r="L115" i="79" s="1"/>
  <c r="O112" i="79"/>
  <c r="Q108" i="79"/>
  <c r="N106" i="79"/>
  <c r="P102" i="79"/>
  <c r="E103" i="79" s="1"/>
  <c r="A103" i="79" s="1"/>
  <c r="Q99" i="79"/>
  <c r="O96" i="79"/>
  <c r="Q92" i="79"/>
  <c r="N90" i="79"/>
  <c r="P86" i="79"/>
  <c r="E87" i="79" s="1"/>
  <c r="A87" i="79" s="1"/>
  <c r="Q83" i="79"/>
  <c r="O80" i="79"/>
  <c r="Q76" i="79"/>
  <c r="N74" i="79"/>
  <c r="P70" i="79"/>
  <c r="E70" i="79" s="1"/>
  <c r="A70" i="79" s="1"/>
  <c r="Q67" i="79"/>
  <c r="O64" i="79"/>
  <c r="Q60" i="79"/>
  <c r="N58" i="79"/>
  <c r="P54" i="79"/>
  <c r="E53" i="79" s="1"/>
  <c r="A53" i="79" s="1"/>
  <c r="Q51" i="79"/>
  <c r="O48" i="79"/>
  <c r="Q44" i="79"/>
  <c r="N42" i="79"/>
  <c r="P38" i="79"/>
  <c r="E37" i="79" s="1"/>
  <c r="A37" i="79" s="1"/>
  <c r="Q35" i="79"/>
  <c r="N32" i="79"/>
  <c r="P28" i="79"/>
  <c r="E28" i="79" s="1"/>
  <c r="A28" i="79" s="1"/>
  <c r="Q25" i="79"/>
  <c r="O22" i="79"/>
  <c r="P19" i="79"/>
  <c r="E19" i="79" s="1"/>
  <c r="A19" i="79" s="1"/>
  <c r="N16" i="79"/>
  <c r="P12" i="79"/>
  <c r="E12" i="79" s="1"/>
  <c r="A12" i="79" s="1"/>
  <c r="Q9" i="79"/>
  <c r="O6" i="79"/>
  <c r="Q102" i="79"/>
  <c r="N84" i="79"/>
  <c r="D85" i="79" s="1"/>
  <c r="G85" i="79" s="1"/>
  <c r="P64" i="79"/>
  <c r="E63" i="79" s="1"/>
  <c r="A63" i="79" s="1"/>
  <c r="Q38" i="79"/>
  <c r="P22" i="79"/>
  <c r="E22" i="79" s="1"/>
  <c r="A22" i="79" s="1"/>
  <c r="O128" i="79"/>
  <c r="P124" i="79"/>
  <c r="E119" i="79" s="1"/>
  <c r="A119" i="79" s="1"/>
  <c r="Q121" i="79"/>
  <c r="L121" i="79" s="1"/>
  <c r="O118" i="79"/>
  <c r="Q114" i="79"/>
  <c r="L114" i="79" s="1"/>
  <c r="N112" i="79"/>
  <c r="P108" i="79"/>
  <c r="E109" i="79" s="1"/>
  <c r="A109" i="79" s="1"/>
  <c r="Q105" i="79"/>
  <c r="O102" i="79"/>
  <c r="Q98" i="79"/>
  <c r="N96" i="79"/>
  <c r="P92" i="79"/>
  <c r="E93" i="79" s="1"/>
  <c r="A93" i="79" s="1"/>
  <c r="Q89" i="79"/>
  <c r="O86" i="79"/>
  <c r="Q82" i="79"/>
  <c r="N80" i="79"/>
  <c r="P76" i="79"/>
  <c r="E76" i="79" s="1"/>
  <c r="A76" i="79" s="1"/>
  <c r="Q73" i="79"/>
  <c r="O70" i="79"/>
  <c r="Q66" i="79"/>
  <c r="N64" i="79"/>
  <c r="P60" i="79"/>
  <c r="E59" i="79" s="1"/>
  <c r="A59" i="79" s="1"/>
  <c r="Q57" i="79"/>
  <c r="O54" i="79"/>
  <c r="Q50" i="79"/>
  <c r="N48" i="79"/>
  <c r="P44" i="79"/>
  <c r="E43" i="79" s="1"/>
  <c r="A43" i="79" s="1"/>
  <c r="Q41" i="79"/>
  <c r="O38" i="79"/>
  <c r="P34" i="79"/>
  <c r="E33" i="79" s="1"/>
  <c r="A33" i="79" s="1"/>
  <c r="Q31" i="79"/>
  <c r="L31" i="79" s="1"/>
  <c r="O28" i="79"/>
  <c r="P25" i="79"/>
  <c r="E25" i="79" s="1"/>
  <c r="A25" i="79" s="1"/>
  <c r="N22" i="79"/>
  <c r="P18" i="79"/>
  <c r="E18" i="79" s="1"/>
  <c r="A18" i="79" s="1"/>
  <c r="Q15" i="79"/>
  <c r="O12" i="79"/>
  <c r="P9" i="79"/>
  <c r="E9" i="79" s="1"/>
  <c r="A9" i="79" s="1"/>
  <c r="N6" i="79"/>
  <c r="O90" i="79"/>
  <c r="N68" i="79"/>
  <c r="Q45" i="79"/>
  <c r="P29" i="79"/>
  <c r="E29" i="79" s="1"/>
  <c r="A29" i="79" s="1"/>
  <c r="N10" i="79"/>
  <c r="L93" i="79" l="1"/>
  <c r="F108" i="78"/>
  <c r="A84" i="79"/>
  <c r="J98" i="78"/>
  <c r="L94" i="79"/>
  <c r="F109" i="78"/>
  <c r="A97" i="79"/>
  <c r="J111" i="78"/>
  <c r="L96" i="79"/>
  <c r="F111" i="78"/>
  <c r="A95" i="79"/>
  <c r="J109" i="78"/>
  <c r="A94" i="79"/>
  <c r="J108" i="78"/>
  <c r="A96" i="79"/>
  <c r="J110" i="78"/>
  <c r="P3" i="79"/>
  <c r="A5" i="79"/>
  <c r="G95" i="79"/>
  <c r="D97" i="79"/>
  <c r="G94" i="79"/>
  <c r="F53" i="113"/>
  <c r="G97" i="79" l="1"/>
  <c r="H111" i="78"/>
  <c r="P114" i="113" l="1"/>
  <c r="Q107" i="113" s="1"/>
  <c r="R107" i="113" s="1"/>
  <c r="Q106" i="113" l="1"/>
  <c r="R106" i="113" s="1"/>
  <c r="V261" i="73" l="1"/>
  <c r="U179" i="73"/>
  <c r="T179" i="73"/>
  <c r="S179" i="73"/>
  <c r="R179" i="73"/>
  <c r="Q179" i="73"/>
  <c r="P179" i="73"/>
  <c r="O179" i="73"/>
  <c r="N179" i="73"/>
  <c r="M179" i="73"/>
  <c r="L179" i="73"/>
  <c r="K179" i="73"/>
  <c r="J179" i="73"/>
  <c r="I179" i="73"/>
  <c r="V95" i="73"/>
  <c r="V96" i="73"/>
  <c r="V97" i="73"/>
  <c r="V98" i="73"/>
  <c r="V99" i="73"/>
  <c r="V100" i="73"/>
  <c r="V101" i="73"/>
  <c r="V102" i="73"/>
  <c r="V103" i="73"/>
  <c r="V104" i="73"/>
  <c r="V105" i="73"/>
  <c r="V106" i="73"/>
  <c r="V107" i="73"/>
  <c r="V108" i="73"/>
  <c r="V109" i="73"/>
  <c r="V110" i="73"/>
  <c r="V111" i="73"/>
  <c r="V112" i="73"/>
  <c r="V113" i="73"/>
  <c r="V114" i="73"/>
  <c r="V115" i="73"/>
  <c r="V116" i="73"/>
  <c r="V117" i="73"/>
  <c r="V118" i="73"/>
  <c r="V119" i="73"/>
  <c r="V120" i="73"/>
  <c r="V121" i="73"/>
  <c r="V122" i="73"/>
  <c r="V123" i="73"/>
  <c r="V124" i="73"/>
  <c r="V125" i="73"/>
  <c r="V126" i="73"/>
  <c r="V127" i="73"/>
  <c r="V128" i="73"/>
  <c r="V129" i="73"/>
  <c r="V130" i="73"/>
  <c r="V131" i="73"/>
  <c r="V132" i="73"/>
  <c r="V133" i="73"/>
  <c r="V134" i="73"/>
  <c r="V135" i="73"/>
  <c r="V136" i="73"/>
  <c r="V137" i="73"/>
  <c r="V138" i="73"/>
  <c r="V139" i="73"/>
  <c r="V140" i="73"/>
  <c r="V141" i="73"/>
  <c r="V142" i="73"/>
  <c r="V143" i="73"/>
  <c r="V144" i="73"/>
  <c r="V145" i="73"/>
  <c r="V146" i="73"/>
  <c r="V147" i="73"/>
  <c r="V148" i="73"/>
  <c r="V149" i="73"/>
  <c r="V150" i="73"/>
  <c r="V57" i="73"/>
  <c r="V56" i="73"/>
  <c r="T86" i="73"/>
  <c r="S86" i="73"/>
  <c r="R86" i="73"/>
  <c r="Q86" i="73"/>
  <c r="P86" i="73"/>
  <c r="O86" i="73"/>
  <c r="N86" i="73"/>
  <c r="M86" i="73"/>
  <c r="L86" i="73"/>
  <c r="K86" i="73"/>
  <c r="J86" i="73"/>
  <c r="I86" i="73"/>
  <c r="V86" i="73" l="1"/>
  <c r="V179" i="73"/>
  <c r="C10" i="108" l="1"/>
  <c r="J109" i="114"/>
  <c r="H104" i="114"/>
  <c r="J104" i="114" s="1"/>
  <c r="H101" i="114"/>
  <c r="J101" i="114" s="1"/>
  <c r="G101" i="114"/>
  <c r="H96" i="114"/>
  <c r="J96" i="114" s="1"/>
  <c r="H95" i="114"/>
  <c r="J95" i="114" s="1"/>
  <c r="G95" i="114"/>
  <c r="H103" i="114"/>
  <c r="J103" i="114" s="1"/>
  <c r="G88" i="114"/>
  <c r="H88" i="114" s="1"/>
  <c r="J88" i="114" s="1"/>
  <c r="J81" i="114"/>
  <c r="H77" i="114"/>
  <c r="J77" i="114" s="1"/>
  <c r="H76" i="114"/>
  <c r="J76" i="114" s="1"/>
  <c r="F102" i="114"/>
  <c r="H102" i="114" s="1"/>
  <c r="J102" i="114" s="1"/>
  <c r="I72" i="114"/>
  <c r="I94" i="114" s="1"/>
  <c r="I97" i="114" s="1"/>
  <c r="H71" i="114"/>
  <c r="J71" i="114" s="1"/>
  <c r="H70" i="114"/>
  <c r="J70" i="114" s="1"/>
  <c r="J69" i="114"/>
  <c r="H69" i="114"/>
  <c r="H68" i="114"/>
  <c r="J68" i="114" s="1"/>
  <c r="H67" i="114"/>
  <c r="J67" i="114" s="1"/>
  <c r="J66" i="114"/>
  <c r="H66" i="114"/>
  <c r="H65" i="114"/>
  <c r="J65" i="114" s="1"/>
  <c r="H64" i="114"/>
  <c r="J64" i="114" s="1"/>
  <c r="H63" i="114"/>
  <c r="J63" i="114" s="1"/>
  <c r="H62" i="114"/>
  <c r="J62" i="114" s="1"/>
  <c r="H61" i="114"/>
  <c r="J61" i="114" s="1"/>
  <c r="H60" i="114"/>
  <c r="J60" i="114" s="1"/>
  <c r="H59" i="114"/>
  <c r="J59" i="114" s="1"/>
  <c r="H58" i="114"/>
  <c r="J58" i="114" s="1"/>
  <c r="H57" i="114"/>
  <c r="J57" i="114" s="1"/>
  <c r="J56" i="114"/>
  <c r="H56" i="114"/>
  <c r="H55" i="114"/>
  <c r="J55" i="114" s="1"/>
  <c r="H54" i="114"/>
  <c r="J54" i="114" s="1"/>
  <c r="J53" i="114"/>
  <c r="H53" i="114"/>
  <c r="H52" i="114"/>
  <c r="J52" i="114" s="1"/>
  <c r="H51" i="114"/>
  <c r="J51" i="114" s="1"/>
  <c r="J50" i="114"/>
  <c r="H50" i="114"/>
  <c r="H49" i="114"/>
  <c r="J49" i="114" s="1"/>
  <c r="H48" i="114"/>
  <c r="J48" i="114" s="1"/>
  <c r="G72" i="114"/>
  <c r="H47" i="114"/>
  <c r="J47" i="114" s="1"/>
  <c r="H46" i="114"/>
  <c r="J46" i="114" s="1"/>
  <c r="H45" i="114"/>
  <c r="J45" i="114" s="1"/>
  <c r="H44" i="114"/>
  <c r="J44" i="114" s="1"/>
  <c r="J43" i="114"/>
  <c r="H43" i="114"/>
  <c r="H42" i="114"/>
  <c r="J42" i="114" s="1"/>
  <c r="H41" i="114"/>
  <c r="J41" i="114" s="1"/>
  <c r="H40" i="114"/>
  <c r="J40" i="114" s="1"/>
  <c r="H39" i="114"/>
  <c r="J39" i="114" s="1"/>
  <c r="H38" i="114"/>
  <c r="J38" i="114" s="1"/>
  <c r="H37" i="114"/>
  <c r="J37" i="114" s="1"/>
  <c r="H36" i="114"/>
  <c r="J36" i="114" s="1"/>
  <c r="H35" i="114"/>
  <c r="J35" i="114" s="1"/>
  <c r="H34" i="114"/>
  <c r="J34" i="114" s="1"/>
  <c r="H33" i="114"/>
  <c r="J33" i="114" s="1"/>
  <c r="H32" i="114"/>
  <c r="J32" i="114" s="1"/>
  <c r="H31" i="114"/>
  <c r="J31" i="114" s="1"/>
  <c r="H30" i="114"/>
  <c r="J30" i="114" s="1"/>
  <c r="F72" i="114"/>
  <c r="I26" i="114"/>
  <c r="I74" i="114" s="1"/>
  <c r="H25" i="114"/>
  <c r="J25" i="114" s="1"/>
  <c r="H24" i="114"/>
  <c r="J24" i="114" s="1"/>
  <c r="H23" i="114"/>
  <c r="J23" i="114" s="1"/>
  <c r="H22" i="114"/>
  <c r="J22" i="114" s="1"/>
  <c r="H21" i="114"/>
  <c r="J21" i="114" s="1"/>
  <c r="H20" i="114"/>
  <c r="J20" i="114" s="1"/>
  <c r="H19" i="114"/>
  <c r="J19" i="114" s="1"/>
  <c r="H18" i="114"/>
  <c r="J18" i="114" s="1"/>
  <c r="H17" i="114"/>
  <c r="J17" i="114" s="1"/>
  <c r="H16" i="114"/>
  <c r="J16" i="114" s="1"/>
  <c r="G15" i="114"/>
  <c r="H15" i="114" s="1"/>
  <c r="J15" i="114" s="1"/>
  <c r="H12" i="114"/>
  <c r="J12" i="114" s="1"/>
  <c r="H11" i="114"/>
  <c r="J11" i="114" s="1"/>
  <c r="F26" i="114"/>
  <c r="F74" i="114" s="1"/>
  <c r="H8" i="114"/>
  <c r="I78" i="114" l="1"/>
  <c r="I80" i="114" s="1"/>
  <c r="I82" i="114" s="1"/>
  <c r="F100" i="114"/>
  <c r="F94" i="114"/>
  <c r="F97" i="114" s="1"/>
  <c r="F78" i="114"/>
  <c r="F80" i="114" s="1"/>
  <c r="F82" i="114" s="1"/>
  <c r="J8" i="114"/>
  <c r="G94" i="114"/>
  <c r="G97" i="114" s="1"/>
  <c r="G100" i="114"/>
  <c r="G105" i="114" s="1"/>
  <c r="H75" i="114"/>
  <c r="J75" i="114" s="1"/>
  <c r="G14" i="114"/>
  <c r="H14" i="114" s="1"/>
  <c r="J14" i="114" s="1"/>
  <c r="I100" i="114"/>
  <c r="I105" i="114" s="1"/>
  <c r="I107" i="114" s="1"/>
  <c r="F109" i="114"/>
  <c r="H29" i="114"/>
  <c r="G13" i="114"/>
  <c r="H13" i="114" s="1"/>
  <c r="J13" i="114" s="1"/>
  <c r="F84" i="114" l="1"/>
  <c r="F86" i="114" s="1"/>
  <c r="F87" i="114" s="1"/>
  <c r="F89" i="114" s="1"/>
  <c r="F91" i="114" s="1"/>
  <c r="G26" i="114"/>
  <c r="G74" i="114" s="1"/>
  <c r="G107" i="114"/>
  <c r="H100" i="114"/>
  <c r="F105" i="114"/>
  <c r="F107" i="114" s="1"/>
  <c r="J29" i="114"/>
  <c r="J72" i="114" s="1"/>
  <c r="H72" i="114"/>
  <c r="H94" i="114" s="1"/>
  <c r="H26" i="114"/>
  <c r="H74" i="114" s="1"/>
  <c r="J26" i="114"/>
  <c r="I84" i="114"/>
  <c r="F111" i="114" l="1"/>
  <c r="I87" i="114"/>
  <c r="I89" i="114" s="1"/>
  <c r="I91" i="114" s="1"/>
  <c r="I85" i="114"/>
  <c r="I86" i="114" s="1"/>
  <c r="G84" i="114"/>
  <c r="G78" i="114"/>
  <c r="G80" i="114" s="1"/>
  <c r="G82" i="114" s="1"/>
  <c r="J74" i="114"/>
  <c r="J78" i="114" s="1"/>
  <c r="H105" i="114"/>
  <c r="J105" i="114" s="1"/>
  <c r="J100" i="114"/>
  <c r="H78" i="114"/>
  <c r="H80" i="114" s="1"/>
  <c r="H97" i="114"/>
  <c r="J94" i="114"/>
  <c r="G85" i="114" l="1"/>
  <c r="H85" i="114" s="1"/>
  <c r="J85" i="114" s="1"/>
  <c r="G86" i="114"/>
  <c r="G87" i="114" s="1"/>
  <c r="G89" i="114" s="1"/>
  <c r="G91" i="114" s="1"/>
  <c r="G111" i="114" s="1"/>
  <c r="J97" i="114"/>
  <c r="J107" i="114" s="1"/>
  <c r="H107" i="114"/>
  <c r="H82" i="114"/>
  <c r="J80" i="114"/>
  <c r="J82" i="114" l="1"/>
  <c r="H84" i="114"/>
  <c r="H86" i="114" l="1"/>
  <c r="J84" i="114"/>
  <c r="J86" i="114" l="1"/>
  <c r="H87" i="114"/>
  <c r="H89" i="114" l="1"/>
  <c r="J87" i="114"/>
  <c r="J89" i="114" l="1"/>
  <c r="H91" i="114"/>
  <c r="J91" i="114" l="1"/>
  <c r="H111" i="114"/>
  <c r="J111" i="114" s="1"/>
  <c r="F26" i="113" l="1"/>
  <c r="D4" i="58"/>
  <c r="D5" i="58"/>
  <c r="D6" i="58"/>
  <c r="D7" i="58"/>
  <c r="D9" i="58"/>
  <c r="D10" i="58"/>
  <c r="D40" i="57" s="1"/>
  <c r="D11" i="58"/>
  <c r="D13" i="58"/>
  <c r="D16" i="58"/>
  <c r="D19" i="58"/>
  <c r="J17" i="98" l="1"/>
  <c r="F12" i="105"/>
  <c r="F40" i="113"/>
  <c r="J8" i="105" l="1"/>
  <c r="D6" i="102"/>
  <c r="F324" i="111" l="1"/>
  <c r="H84" i="78"/>
  <c r="H24" i="78"/>
  <c r="C138" i="78"/>
  <c r="C137" i="78"/>
  <c r="C136" i="78"/>
  <c r="C135" i="78"/>
  <c r="C134" i="78"/>
  <c r="C133" i="78"/>
  <c r="C132" i="78"/>
  <c r="C131" i="78"/>
  <c r="C130" i="78"/>
  <c r="C129" i="78"/>
  <c r="C128" i="78"/>
  <c r="C127" i="78"/>
  <c r="C126" i="78"/>
  <c r="C125" i="78"/>
  <c r="C124" i="78"/>
  <c r="C123" i="78"/>
  <c r="C122" i="78"/>
  <c r="C121" i="78"/>
  <c r="C120" i="78"/>
  <c r="C119" i="78"/>
  <c r="C118" i="78"/>
  <c r="C117" i="78"/>
  <c r="C116" i="78"/>
  <c r="C115" i="78"/>
  <c r="C114" i="78"/>
  <c r="C113" i="78"/>
  <c r="C112" i="78"/>
  <c r="C110" i="78"/>
  <c r="C107" i="78"/>
  <c r="C106" i="78"/>
  <c r="C105" i="78"/>
  <c r="C104" i="78"/>
  <c r="C103" i="78"/>
  <c r="C102" i="78"/>
  <c r="C101" i="78"/>
  <c r="C100" i="78"/>
  <c r="C99" i="78"/>
  <c r="C97" i="78"/>
  <c r="C96" i="78"/>
  <c r="C95" i="78"/>
  <c r="C94" i="78"/>
  <c r="C93" i="78"/>
  <c r="C92" i="78"/>
  <c r="C90" i="78"/>
  <c r="C89" i="78"/>
  <c r="C88" i="78"/>
  <c r="C87" i="78"/>
  <c r="C86" i="78"/>
  <c r="C85" i="78"/>
  <c r="C84" i="78"/>
  <c r="C83" i="78"/>
  <c r="C82" i="78"/>
  <c r="C81" i="78"/>
  <c r="C80" i="78"/>
  <c r="C79" i="78"/>
  <c r="C78" i="78"/>
  <c r="C77" i="78"/>
  <c r="C76" i="78"/>
  <c r="C75" i="78"/>
  <c r="C74" i="78"/>
  <c r="C73" i="78"/>
  <c r="C72" i="78"/>
  <c r="C71" i="78"/>
  <c r="C70" i="78"/>
  <c r="C69" i="78"/>
  <c r="C68" i="78"/>
  <c r="C67" i="78"/>
  <c r="C66" i="78"/>
  <c r="C65" i="78"/>
  <c r="C64" i="78"/>
  <c r="C63" i="78"/>
  <c r="C62" i="78"/>
  <c r="C61" i="78"/>
  <c r="C60" i="78"/>
  <c r="C59" i="78"/>
  <c r="C58" i="78"/>
  <c r="C57" i="78"/>
  <c r="C56" i="78"/>
  <c r="C55" i="78"/>
  <c r="C54" i="78"/>
  <c r="C53" i="78"/>
  <c r="C52" i="78"/>
  <c r="C51" i="78"/>
  <c r="C50" i="78"/>
  <c r="C49" i="78"/>
  <c r="C48" i="78"/>
  <c r="C47" i="78"/>
  <c r="C46" i="78"/>
  <c r="C45" i="78"/>
  <c r="C44" i="78"/>
  <c r="C43" i="78"/>
  <c r="C42" i="78"/>
  <c r="C41" i="78"/>
  <c r="C40" i="78"/>
  <c r="C39" i="78"/>
  <c r="C38" i="78"/>
  <c r="C37" i="78"/>
  <c r="C36" i="78"/>
  <c r="C35" i="78"/>
  <c r="C34" i="78"/>
  <c r="C33" i="78"/>
  <c r="C32" i="78"/>
  <c r="C31" i="78"/>
  <c r="C30" i="78"/>
  <c r="C29" i="78"/>
  <c r="C28" i="78"/>
  <c r="C27" i="78"/>
  <c r="C26" i="78"/>
  <c r="C25" i="78"/>
  <c r="C24" i="78"/>
  <c r="C23" i="78"/>
  <c r="C22" i="78"/>
  <c r="C21" i="78"/>
  <c r="B21" i="78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B83" i="78" s="1"/>
  <c r="B84" i="78" s="1"/>
  <c r="B85" i="78" s="1"/>
  <c r="B86" i="78" s="1"/>
  <c r="B87" i="78" s="1"/>
  <c r="B88" i="78" s="1"/>
  <c r="B89" i="78" s="1"/>
  <c r="B90" i="78" s="1"/>
  <c r="B92" i="78" s="1"/>
  <c r="B93" i="78" s="1"/>
  <c r="B94" i="78" s="1"/>
  <c r="B95" i="78" s="1"/>
  <c r="B96" i="78" s="1"/>
  <c r="B97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10" i="78" s="1"/>
  <c r="B112" i="78" s="1"/>
  <c r="B113" i="78" s="1"/>
  <c r="B114" i="78" s="1"/>
  <c r="B115" i="78" s="1"/>
  <c r="B116" i="78" s="1"/>
  <c r="B117" i="78" s="1"/>
  <c r="B118" i="78" s="1"/>
  <c r="B119" i="78" s="1"/>
  <c r="B120" i="78" s="1"/>
  <c r="B121" i="78" s="1"/>
  <c r="B122" i="78" s="1"/>
  <c r="B123" i="78" s="1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B145" i="78" s="1"/>
  <c r="B146" i="78" s="1"/>
  <c r="B147" i="78" s="1"/>
  <c r="B148" i="78" s="1"/>
  <c r="B149" i="78" s="1"/>
  <c r="B150" i="78" s="1"/>
  <c r="B151" i="78" s="1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F124" i="79"/>
  <c r="J138" i="78"/>
  <c r="D124" i="79"/>
  <c r="F123" i="79"/>
  <c r="D123" i="79"/>
  <c r="F122" i="79"/>
  <c r="J136" i="78"/>
  <c r="D122" i="79"/>
  <c r="H136" i="78" s="1"/>
  <c r="F121" i="79"/>
  <c r="J135" i="78"/>
  <c r="D121" i="79"/>
  <c r="F120" i="79"/>
  <c r="J134" i="78"/>
  <c r="D120" i="79"/>
  <c r="H134" i="78" s="1"/>
  <c r="F119" i="79"/>
  <c r="J133" i="78"/>
  <c r="D119" i="79"/>
  <c r="F118" i="79"/>
  <c r="J132" i="78"/>
  <c r="D118" i="79"/>
  <c r="F117" i="79"/>
  <c r="J131" i="78"/>
  <c r="D117" i="79"/>
  <c r="F116" i="79"/>
  <c r="J130" i="78"/>
  <c r="D116" i="79"/>
  <c r="F115" i="79"/>
  <c r="D115" i="79"/>
  <c r="F114" i="79"/>
  <c r="J128" i="78"/>
  <c r="D114" i="79"/>
  <c r="F113" i="79"/>
  <c r="J127" i="78"/>
  <c r="D113" i="79"/>
  <c r="F112" i="79"/>
  <c r="J126" i="78"/>
  <c r="D112" i="79"/>
  <c r="H126" i="78" s="1"/>
  <c r="F111" i="79"/>
  <c r="J125" i="78"/>
  <c r="D111" i="79"/>
  <c r="F110" i="79"/>
  <c r="J124" i="78"/>
  <c r="D110" i="79"/>
  <c r="F109" i="79"/>
  <c r="J123" i="78"/>
  <c r="D109" i="79"/>
  <c r="F108" i="79"/>
  <c r="J122" i="78"/>
  <c r="D108" i="79"/>
  <c r="F107" i="79"/>
  <c r="J121" i="78"/>
  <c r="D107" i="79"/>
  <c r="F106" i="79"/>
  <c r="J120" i="78"/>
  <c r="D106" i="79"/>
  <c r="F105" i="79"/>
  <c r="D105" i="79"/>
  <c r="F104" i="79"/>
  <c r="J118" i="78"/>
  <c r="D104" i="79"/>
  <c r="F103" i="79"/>
  <c r="J117" i="78"/>
  <c r="D103" i="79"/>
  <c r="F102" i="79"/>
  <c r="J116" i="78"/>
  <c r="D102" i="79"/>
  <c r="F101" i="79"/>
  <c r="J115" i="78"/>
  <c r="D101" i="79"/>
  <c r="F100" i="79"/>
  <c r="J114" i="78"/>
  <c r="D100" i="79"/>
  <c r="H114" i="78" s="1"/>
  <c r="F99" i="79"/>
  <c r="J113" i="78"/>
  <c r="D99" i="79"/>
  <c r="F98" i="79"/>
  <c r="J112" i="78"/>
  <c r="D98" i="79"/>
  <c r="F96" i="79"/>
  <c r="F110" i="78" s="1"/>
  <c r="D96" i="79"/>
  <c r="H110" i="78" s="1"/>
  <c r="F93" i="79"/>
  <c r="J107" i="78"/>
  <c r="D93" i="79"/>
  <c r="H107" i="78" s="1"/>
  <c r="F92" i="79"/>
  <c r="J106" i="78"/>
  <c r="D92" i="79"/>
  <c r="F91" i="79"/>
  <c r="J105" i="78"/>
  <c r="D91" i="79"/>
  <c r="F90" i="79"/>
  <c r="J104" i="78"/>
  <c r="D90" i="79"/>
  <c r="F89" i="79"/>
  <c r="J103" i="78"/>
  <c r="D89" i="79"/>
  <c r="F88" i="79"/>
  <c r="J102" i="78"/>
  <c r="D88" i="79"/>
  <c r="F87" i="79"/>
  <c r="J101" i="78"/>
  <c r="D87" i="79"/>
  <c r="F86" i="79"/>
  <c r="J100" i="78"/>
  <c r="D86" i="79"/>
  <c r="F84" i="79"/>
  <c r="F98" i="78" s="1"/>
  <c r="J99" i="78"/>
  <c r="D84" i="79"/>
  <c r="H98" i="78" s="1"/>
  <c r="F82" i="79"/>
  <c r="J97" i="78"/>
  <c r="D82" i="79"/>
  <c r="F81" i="79"/>
  <c r="J96" i="78"/>
  <c r="D81" i="79"/>
  <c r="F80" i="79"/>
  <c r="J95" i="78"/>
  <c r="D80" i="79"/>
  <c r="F79" i="79"/>
  <c r="J94" i="78"/>
  <c r="D79" i="79"/>
  <c r="F78" i="79"/>
  <c r="D78" i="79"/>
  <c r="F77" i="79"/>
  <c r="J92" i="78"/>
  <c r="D77" i="79"/>
  <c r="F76" i="79"/>
  <c r="J91" i="78"/>
  <c r="D76" i="79"/>
  <c r="F75" i="79"/>
  <c r="J90" i="78"/>
  <c r="D75" i="79"/>
  <c r="H90" i="78" s="1"/>
  <c r="F74" i="79"/>
  <c r="J89" i="78"/>
  <c r="D74" i="79"/>
  <c r="F73" i="79"/>
  <c r="J88" i="78"/>
  <c r="D73" i="79"/>
  <c r="F72" i="79"/>
  <c r="J87" i="78"/>
  <c r="D72" i="79"/>
  <c r="F71" i="79"/>
  <c r="J86" i="78"/>
  <c r="D71" i="79"/>
  <c r="F70" i="79"/>
  <c r="J85" i="78"/>
  <c r="D70" i="79"/>
  <c r="F69" i="79"/>
  <c r="F68" i="79"/>
  <c r="J83" i="78"/>
  <c r="D68" i="79"/>
  <c r="F67" i="79"/>
  <c r="J82" i="78"/>
  <c r="D67" i="79"/>
  <c r="H82" i="78" s="1"/>
  <c r="F66" i="79"/>
  <c r="J81" i="78"/>
  <c r="D66" i="79"/>
  <c r="H81" i="78" s="1"/>
  <c r="F65" i="79"/>
  <c r="J80" i="78"/>
  <c r="D65" i="79"/>
  <c r="F64" i="79"/>
  <c r="D64" i="79"/>
  <c r="F63" i="79"/>
  <c r="J78" i="78"/>
  <c r="D63" i="79"/>
  <c r="F62" i="79"/>
  <c r="J77" i="78"/>
  <c r="D62" i="79"/>
  <c r="F61" i="79"/>
  <c r="J76" i="78"/>
  <c r="D61" i="79"/>
  <c r="H76" i="78" s="1"/>
  <c r="F60" i="79"/>
  <c r="J75" i="78"/>
  <c r="D60" i="79"/>
  <c r="F59" i="79"/>
  <c r="J74" i="78"/>
  <c r="D59" i="79"/>
  <c r="H74" i="78" s="1"/>
  <c r="F58" i="79"/>
  <c r="J73" i="78"/>
  <c r="D58" i="79"/>
  <c r="H73" i="78" s="1"/>
  <c r="F57" i="79"/>
  <c r="J72" i="78"/>
  <c r="D57" i="79"/>
  <c r="F56" i="79"/>
  <c r="J71" i="78"/>
  <c r="D56" i="79"/>
  <c r="F55" i="79"/>
  <c r="D55" i="79"/>
  <c r="F54" i="79"/>
  <c r="J69" i="78"/>
  <c r="D54" i="79"/>
  <c r="F53" i="79"/>
  <c r="J68" i="78"/>
  <c r="D53" i="79"/>
  <c r="H68" i="78" s="1"/>
  <c r="F52" i="79"/>
  <c r="J67" i="78"/>
  <c r="D52" i="79"/>
  <c r="F51" i="79"/>
  <c r="J66" i="78"/>
  <c r="D51" i="79"/>
  <c r="H66" i="78" s="1"/>
  <c r="F50" i="79"/>
  <c r="J65" i="78"/>
  <c r="D50" i="79"/>
  <c r="F49" i="79"/>
  <c r="D49" i="79"/>
  <c r="F48" i="79"/>
  <c r="D48" i="79"/>
  <c r="F47" i="79"/>
  <c r="J62" i="78"/>
  <c r="D47" i="79"/>
  <c r="F45" i="79"/>
  <c r="J61" i="78"/>
  <c r="D45" i="79"/>
  <c r="F44" i="79"/>
  <c r="J60" i="78"/>
  <c r="D44" i="79"/>
  <c r="H60" i="78" s="1"/>
  <c r="F43" i="79"/>
  <c r="J59" i="78"/>
  <c r="D43" i="79"/>
  <c r="F42" i="79"/>
  <c r="J58" i="78"/>
  <c r="D42" i="79"/>
  <c r="H58" i="78" s="1"/>
  <c r="F41" i="79"/>
  <c r="J57" i="78"/>
  <c r="D41" i="79"/>
  <c r="H57" i="78" s="1"/>
  <c r="F40" i="79"/>
  <c r="J56" i="78"/>
  <c r="D40" i="79"/>
  <c r="F39" i="79"/>
  <c r="D39" i="79"/>
  <c r="F38" i="79"/>
  <c r="J54" i="78"/>
  <c r="D38" i="79"/>
  <c r="F37" i="79"/>
  <c r="J53" i="78"/>
  <c r="D37" i="79"/>
  <c r="F36" i="79"/>
  <c r="J52" i="78"/>
  <c r="D36" i="79"/>
  <c r="F35" i="79"/>
  <c r="J51" i="78"/>
  <c r="D35" i="79"/>
  <c r="F34" i="79"/>
  <c r="J50" i="78"/>
  <c r="D34" i="79"/>
  <c r="H50" i="78" s="1"/>
  <c r="F33" i="79"/>
  <c r="J49" i="78"/>
  <c r="D33" i="79"/>
  <c r="H49" i="78" s="1"/>
  <c r="F32" i="79"/>
  <c r="D32" i="79"/>
  <c r="F31" i="79"/>
  <c r="J47" i="78"/>
  <c r="D31" i="79"/>
  <c r="F30" i="79"/>
  <c r="J46" i="78"/>
  <c r="D30" i="79"/>
  <c r="F29" i="79"/>
  <c r="J45" i="78"/>
  <c r="D29" i="79"/>
  <c r="F28" i="79"/>
  <c r="J44" i="78"/>
  <c r="D28" i="79"/>
  <c r="F27" i="79"/>
  <c r="J43" i="78"/>
  <c r="D27" i="79"/>
  <c r="F26" i="79"/>
  <c r="J42" i="78"/>
  <c r="D26" i="79"/>
  <c r="H42" i="78" s="1"/>
  <c r="F25" i="79"/>
  <c r="J41" i="78"/>
  <c r="D25" i="79"/>
  <c r="H41" i="78" s="1"/>
  <c r="F24" i="79"/>
  <c r="D24" i="79"/>
  <c r="F23" i="79"/>
  <c r="J39" i="78"/>
  <c r="D23" i="79"/>
  <c r="F22" i="79"/>
  <c r="J38" i="78"/>
  <c r="D22" i="79"/>
  <c r="F21" i="79"/>
  <c r="J37" i="78"/>
  <c r="D21" i="79"/>
  <c r="F20" i="79"/>
  <c r="J36" i="78"/>
  <c r="D20" i="79"/>
  <c r="F19" i="79"/>
  <c r="J35" i="78"/>
  <c r="D19" i="79"/>
  <c r="F18" i="79"/>
  <c r="J34" i="78"/>
  <c r="D18" i="79"/>
  <c r="F17" i="79"/>
  <c r="J33" i="78"/>
  <c r="D17" i="79"/>
  <c r="H33" i="78" s="1"/>
  <c r="F16" i="79"/>
  <c r="D16" i="79"/>
  <c r="F15" i="79"/>
  <c r="D15" i="79"/>
  <c r="F14" i="79"/>
  <c r="J30" i="78"/>
  <c r="D14" i="79"/>
  <c r="F13" i="79"/>
  <c r="J29" i="78"/>
  <c r="D13" i="79"/>
  <c r="F12" i="79"/>
  <c r="J28" i="78"/>
  <c r="D12" i="79"/>
  <c r="H28" i="78" s="1"/>
  <c r="F11" i="79"/>
  <c r="J27" i="78"/>
  <c r="D11" i="79"/>
  <c r="F10" i="79"/>
  <c r="J26" i="78"/>
  <c r="D10" i="79"/>
  <c r="H26" i="78" s="1"/>
  <c r="F9" i="79"/>
  <c r="J25" i="78"/>
  <c r="D9" i="79"/>
  <c r="H25" i="78" s="1"/>
  <c r="F8" i="79"/>
  <c r="F7" i="79"/>
  <c r="D7" i="79"/>
  <c r="F6" i="79"/>
  <c r="J22" i="78"/>
  <c r="D6" i="79"/>
  <c r="F5" i="79"/>
  <c r="D5" i="79"/>
  <c r="Q3" i="79" l="1"/>
  <c r="J21" i="78"/>
  <c r="N3" i="79"/>
  <c r="F24" i="78"/>
  <c r="F28" i="78"/>
  <c r="L12" i="79"/>
  <c r="F32" i="78"/>
  <c r="L16" i="79"/>
  <c r="F36" i="78"/>
  <c r="L20" i="79"/>
  <c r="F40" i="78"/>
  <c r="L24" i="79"/>
  <c r="F44" i="78"/>
  <c r="L28" i="79"/>
  <c r="F48" i="78"/>
  <c r="L33" i="79"/>
  <c r="F52" i="78"/>
  <c r="L37" i="79"/>
  <c r="F56" i="78"/>
  <c r="L41" i="79"/>
  <c r="F60" i="78"/>
  <c r="L45" i="79"/>
  <c r="F64" i="78"/>
  <c r="L50" i="79"/>
  <c r="F68" i="78"/>
  <c r="L54" i="79"/>
  <c r="F70" i="78"/>
  <c r="L56" i="79"/>
  <c r="F74" i="78"/>
  <c r="L60" i="79"/>
  <c r="F78" i="78"/>
  <c r="L64" i="79"/>
  <c r="F82" i="78"/>
  <c r="L68" i="79"/>
  <c r="F22" i="78"/>
  <c r="L7" i="79"/>
  <c r="F25" i="78"/>
  <c r="L9" i="79"/>
  <c r="G11" i="79"/>
  <c r="L11" i="79"/>
  <c r="F29" i="78"/>
  <c r="L13" i="79"/>
  <c r="F31" i="78"/>
  <c r="L15" i="79"/>
  <c r="F33" i="78"/>
  <c r="L17" i="79"/>
  <c r="F35" i="78"/>
  <c r="L19" i="79"/>
  <c r="F37" i="78"/>
  <c r="L21" i="79"/>
  <c r="F39" i="78"/>
  <c r="L23" i="79"/>
  <c r="F41" i="78"/>
  <c r="L25" i="79"/>
  <c r="F43" i="78"/>
  <c r="L27" i="79"/>
  <c r="F45" i="78"/>
  <c r="L29" i="79"/>
  <c r="F47" i="78"/>
  <c r="L32" i="79"/>
  <c r="F49" i="78"/>
  <c r="L34" i="79"/>
  <c r="F51" i="78"/>
  <c r="L36" i="79"/>
  <c r="F53" i="78"/>
  <c r="L38" i="79"/>
  <c r="F55" i="78"/>
  <c r="L40" i="79"/>
  <c r="F57" i="78"/>
  <c r="L42" i="79"/>
  <c r="F59" i="78"/>
  <c r="L44" i="79"/>
  <c r="F61" i="78"/>
  <c r="L46" i="79"/>
  <c r="F63" i="78"/>
  <c r="L49" i="79"/>
  <c r="F65" i="78"/>
  <c r="L51" i="79"/>
  <c r="F67" i="78"/>
  <c r="L53" i="79"/>
  <c r="F69" i="78"/>
  <c r="L55" i="79"/>
  <c r="F71" i="78"/>
  <c r="L57" i="79"/>
  <c r="F73" i="78"/>
  <c r="L59" i="79"/>
  <c r="L61" i="79"/>
  <c r="F77" i="78"/>
  <c r="L63" i="79"/>
  <c r="F79" i="78"/>
  <c r="L65" i="79"/>
  <c r="F81" i="78"/>
  <c r="L67" i="79"/>
  <c r="F83" i="78"/>
  <c r="L69" i="79"/>
  <c r="F23" i="78"/>
  <c r="L8" i="79"/>
  <c r="F21" i="78"/>
  <c r="L6" i="79"/>
  <c r="F84" i="78"/>
  <c r="F86" i="78"/>
  <c r="L71" i="79"/>
  <c r="L73" i="79"/>
  <c r="F90" i="78"/>
  <c r="L75" i="79"/>
  <c r="F92" i="78"/>
  <c r="L77" i="79"/>
  <c r="F94" i="78"/>
  <c r="L79" i="79"/>
  <c r="L81" i="79"/>
  <c r="F99" i="78"/>
  <c r="L83" i="79"/>
  <c r="F101" i="78"/>
  <c r="L86" i="79"/>
  <c r="F103" i="78"/>
  <c r="L88" i="79"/>
  <c r="L90" i="79"/>
  <c r="F107" i="78"/>
  <c r="L92" i="79"/>
  <c r="F112" i="78"/>
  <c r="L97" i="79"/>
  <c r="F114" i="78"/>
  <c r="L99" i="79"/>
  <c r="L101" i="79"/>
  <c r="F118" i="78"/>
  <c r="L103" i="79"/>
  <c r="F120" i="78"/>
  <c r="L105" i="79"/>
  <c r="F122" i="78"/>
  <c r="L107" i="79"/>
  <c r="L109" i="79"/>
  <c r="F126" i="78"/>
  <c r="L111" i="79"/>
  <c r="F128" i="78"/>
  <c r="L116" i="79"/>
  <c r="F130" i="78"/>
  <c r="L120" i="79"/>
  <c r="L123" i="79"/>
  <c r="F134" i="78"/>
  <c r="L125" i="79"/>
  <c r="F136" i="78"/>
  <c r="L127" i="79"/>
  <c r="F138" i="78"/>
  <c r="L129" i="79"/>
  <c r="F26" i="78"/>
  <c r="L10" i="79"/>
  <c r="F30" i="78"/>
  <c r="L14" i="79"/>
  <c r="F34" i="78"/>
  <c r="L18" i="79"/>
  <c r="F38" i="78"/>
  <c r="L22" i="79"/>
  <c r="F42" i="78"/>
  <c r="L26" i="79"/>
  <c r="L30" i="79"/>
  <c r="F50" i="78"/>
  <c r="L35" i="79"/>
  <c r="F54" i="78"/>
  <c r="L39" i="79"/>
  <c r="F58" i="78"/>
  <c r="L43" i="79"/>
  <c r="L48" i="79"/>
  <c r="F66" i="78"/>
  <c r="L52" i="79"/>
  <c r="F72" i="78"/>
  <c r="L58" i="79"/>
  <c r="F76" i="78"/>
  <c r="L62" i="79"/>
  <c r="F80" i="78"/>
  <c r="L66" i="79"/>
  <c r="F85" i="78"/>
  <c r="L70" i="79"/>
  <c r="F87" i="78"/>
  <c r="L72" i="79"/>
  <c r="F89" i="78"/>
  <c r="L74" i="79"/>
  <c r="F91" i="78"/>
  <c r="L76" i="79"/>
  <c r="F93" i="78"/>
  <c r="L78" i="79"/>
  <c r="F95" i="78"/>
  <c r="L80" i="79"/>
  <c r="F97" i="78"/>
  <c r="L82" i="79"/>
  <c r="F100" i="78"/>
  <c r="L85" i="79"/>
  <c r="F102" i="78"/>
  <c r="L87" i="79"/>
  <c r="F104" i="78"/>
  <c r="L89" i="79"/>
  <c r="F106" i="78"/>
  <c r="L91" i="79"/>
  <c r="L95" i="79"/>
  <c r="F113" i="78"/>
  <c r="L98" i="79"/>
  <c r="F115" i="78"/>
  <c r="L100" i="79"/>
  <c r="F117" i="78"/>
  <c r="L102" i="79"/>
  <c r="F119" i="78"/>
  <c r="L104" i="79"/>
  <c r="F121" i="78"/>
  <c r="L106" i="79"/>
  <c r="F123" i="78"/>
  <c r="L108" i="79"/>
  <c r="F125" i="78"/>
  <c r="L110" i="79"/>
  <c r="F127" i="78"/>
  <c r="L112" i="79"/>
  <c r="F129" i="78"/>
  <c r="L117" i="79"/>
  <c r="F131" i="78"/>
  <c r="L122" i="79"/>
  <c r="F133" i="78"/>
  <c r="L124" i="79"/>
  <c r="F135" i="78"/>
  <c r="L126" i="79"/>
  <c r="F137" i="78"/>
  <c r="L128" i="79"/>
  <c r="H99" i="78"/>
  <c r="H132" i="78"/>
  <c r="G118" i="79"/>
  <c r="G105" i="79"/>
  <c r="G32" i="79"/>
  <c r="G7" i="79"/>
  <c r="G48" i="79"/>
  <c r="G64" i="79"/>
  <c r="G78" i="79"/>
  <c r="G60" i="79"/>
  <c r="G76" i="79"/>
  <c r="G16" i="79"/>
  <c r="G115" i="79"/>
  <c r="G123" i="79"/>
  <c r="G111" i="79"/>
  <c r="G22" i="79"/>
  <c r="G30" i="79"/>
  <c r="G49" i="79"/>
  <c r="G55" i="79"/>
  <c r="G38" i="79"/>
  <c r="G47" i="79"/>
  <c r="G15" i="79"/>
  <c r="G87" i="79"/>
  <c r="G91" i="79"/>
  <c r="G73" i="79"/>
  <c r="G82" i="79"/>
  <c r="G90" i="79"/>
  <c r="G104" i="79"/>
  <c r="F27" i="78"/>
  <c r="F75" i="78"/>
  <c r="H32" i="78"/>
  <c r="H40" i="78"/>
  <c r="H48" i="78"/>
  <c r="H56" i="78"/>
  <c r="H64" i="78"/>
  <c r="H72" i="78"/>
  <c r="H80" i="78"/>
  <c r="H88" i="78"/>
  <c r="H96" i="78"/>
  <c r="H105" i="78"/>
  <c r="H116" i="78"/>
  <c r="H124" i="78"/>
  <c r="J93" i="78"/>
  <c r="J129" i="78"/>
  <c r="J137" i="78"/>
  <c r="G18" i="79"/>
  <c r="G20" i="79"/>
  <c r="G35" i="79"/>
  <c r="G39" i="79"/>
  <c r="G50" i="79"/>
  <c r="G54" i="79"/>
  <c r="G63" i="79"/>
  <c r="G79" i="79"/>
  <c r="G86" i="79"/>
  <c r="G88" i="79"/>
  <c r="G98" i="79"/>
  <c r="G102" i="79"/>
  <c r="G106" i="79"/>
  <c r="G108" i="79"/>
  <c r="G113" i="79"/>
  <c r="H65" i="78"/>
  <c r="H89" i="78"/>
  <c r="H97" i="78"/>
  <c r="H106" i="78"/>
  <c r="H117" i="78"/>
  <c r="H125" i="78"/>
  <c r="H133" i="78"/>
  <c r="J70" i="78"/>
  <c r="G8" i="79"/>
  <c r="H34" i="78"/>
  <c r="H118" i="78"/>
  <c r="J23" i="78"/>
  <c r="J31" i="78"/>
  <c r="J55" i="78"/>
  <c r="J63" i="78"/>
  <c r="J79" i="78"/>
  <c r="G26" i="79"/>
  <c r="G28" i="79"/>
  <c r="G43" i="79"/>
  <c r="G58" i="79"/>
  <c r="G62" i="79"/>
  <c r="G72" i="79"/>
  <c r="G84" i="79"/>
  <c r="G112" i="79"/>
  <c r="G119" i="79"/>
  <c r="G14" i="79"/>
  <c r="G24" i="79"/>
  <c r="G34" i="79"/>
  <c r="G36" i="79"/>
  <c r="G52" i="79"/>
  <c r="G56" i="79"/>
  <c r="G66" i="79"/>
  <c r="G70" i="79"/>
  <c r="G77" i="79"/>
  <c r="G81" i="79"/>
  <c r="G92" i="79"/>
  <c r="G101" i="79"/>
  <c r="G110" i="79"/>
  <c r="G114" i="79"/>
  <c r="G116" i="79"/>
  <c r="G121" i="79"/>
  <c r="F46" i="78"/>
  <c r="F62" i="78"/>
  <c r="H27" i="78"/>
  <c r="H35" i="78"/>
  <c r="H43" i="78"/>
  <c r="H51" i="78"/>
  <c r="H59" i="78"/>
  <c r="H67" i="78"/>
  <c r="H75" i="78"/>
  <c r="H83" i="78"/>
  <c r="H91" i="78"/>
  <c r="H100" i="78"/>
  <c r="H119" i="78"/>
  <c r="H127" i="78"/>
  <c r="H135" i="78"/>
  <c r="J24" i="78"/>
  <c r="J32" i="78"/>
  <c r="J40" i="78"/>
  <c r="J48" i="78"/>
  <c r="J64" i="78"/>
  <c r="G96" i="79"/>
  <c r="G99" i="79"/>
  <c r="G120" i="79"/>
  <c r="H36" i="78"/>
  <c r="H44" i="78"/>
  <c r="H52" i="78"/>
  <c r="H92" i="78"/>
  <c r="H101" i="78"/>
  <c r="H112" i="78"/>
  <c r="H120" i="78"/>
  <c r="H128" i="78"/>
  <c r="G25" i="79"/>
  <c r="G29" i="79"/>
  <c r="G59" i="79"/>
  <c r="G61" i="79"/>
  <c r="G71" i="79"/>
  <c r="G5" i="79"/>
  <c r="G19" i="79"/>
  <c r="G23" i="79"/>
  <c r="G33" i="79"/>
  <c r="G37" i="79"/>
  <c r="G57" i="79"/>
  <c r="G67" i="79"/>
  <c r="G10" i="79"/>
  <c r="G12" i="79"/>
  <c r="G27" i="79"/>
  <c r="G31" i="79"/>
  <c r="G41" i="79"/>
  <c r="G45" i="79"/>
  <c r="G65" i="79"/>
  <c r="G6" i="79"/>
  <c r="G9" i="79"/>
  <c r="G13" i="79"/>
  <c r="G42" i="79"/>
  <c r="G44" i="79"/>
  <c r="G89" i="79"/>
  <c r="G17" i="79"/>
  <c r="G21" i="79"/>
  <c r="G40" i="79"/>
  <c r="G51" i="79"/>
  <c r="G53" i="79"/>
  <c r="G68" i="79"/>
  <c r="G74" i="79"/>
  <c r="G80" i="79"/>
  <c r="G93" i="79"/>
  <c r="G109" i="79"/>
  <c r="G122" i="79"/>
  <c r="G124" i="79"/>
  <c r="F88" i="78"/>
  <c r="F96" i="78"/>
  <c r="F105" i="78"/>
  <c r="F116" i="78"/>
  <c r="F124" i="78"/>
  <c r="F132" i="78"/>
  <c r="H21" i="78"/>
  <c r="H29" i="78"/>
  <c r="H37" i="78"/>
  <c r="H45" i="78"/>
  <c r="H53" i="78"/>
  <c r="H61" i="78"/>
  <c r="H69" i="78"/>
  <c r="H77" i="78"/>
  <c r="H85" i="78"/>
  <c r="H93" i="78"/>
  <c r="H102" i="78"/>
  <c r="H113" i="78"/>
  <c r="H121" i="78"/>
  <c r="H129" i="78"/>
  <c r="H137" i="78"/>
  <c r="G103" i="79"/>
  <c r="G107" i="79"/>
  <c r="H22" i="78"/>
  <c r="H30" i="78"/>
  <c r="H38" i="78"/>
  <c r="H46" i="78"/>
  <c r="H54" i="78"/>
  <c r="H62" i="78"/>
  <c r="H70" i="78"/>
  <c r="H78" i="78"/>
  <c r="H86" i="78"/>
  <c r="H94" i="78"/>
  <c r="H103" i="78"/>
  <c r="H122" i="78"/>
  <c r="H130" i="78"/>
  <c r="H138" i="78"/>
  <c r="J119" i="78"/>
  <c r="G69" i="79"/>
  <c r="G75" i="79"/>
  <c r="G100" i="79"/>
  <c r="G117" i="79"/>
  <c r="H23" i="78"/>
  <c r="H31" i="78"/>
  <c r="H39" i="78"/>
  <c r="H47" i="78"/>
  <c r="H55" i="78"/>
  <c r="H63" i="78"/>
  <c r="H71" i="78"/>
  <c r="H79" i="78"/>
  <c r="H87" i="78"/>
  <c r="H95" i="78"/>
  <c r="H104" i="78"/>
  <c r="H115" i="78"/>
  <c r="H123" i="78"/>
  <c r="H131" i="78"/>
  <c r="J84" i="78"/>
  <c r="J153" i="78"/>
  <c r="H153" i="78"/>
  <c r="F152" i="78" l="1"/>
  <c r="J152" i="78"/>
  <c r="H147" i="78"/>
  <c r="I185" i="78" s="1"/>
  <c r="H154" i="78"/>
  <c r="F154" i="78"/>
  <c r="J5" i="79"/>
  <c r="H152" i="78"/>
  <c r="J147" i="78"/>
  <c r="J154" i="78"/>
  <c r="L152" i="78" l="1"/>
  <c r="J156" i="78"/>
  <c r="J157" i="78" s="1"/>
  <c r="H156" i="78"/>
  <c r="H157" i="78" s="1"/>
  <c r="L154" i="78"/>
  <c r="H160" i="78" l="1"/>
  <c r="J161" i="78"/>
  <c r="H161" i="78"/>
  <c r="J162" i="78"/>
  <c r="J160" i="78"/>
  <c r="H162" i="78"/>
  <c r="H164" i="78" l="1"/>
  <c r="J164" i="78"/>
  <c r="K167" i="78" s="1"/>
  <c r="E8" i="58" l="1"/>
  <c r="E24" i="58"/>
  <c r="E19" i="58"/>
  <c r="E16" i="58"/>
  <c r="E13" i="58"/>
  <c r="E11" i="58"/>
  <c r="E10" i="58"/>
  <c r="E9" i="58"/>
  <c r="E7" i="58"/>
  <c r="E6" i="58"/>
  <c r="E5" i="58"/>
  <c r="E4" i="58"/>
  <c r="M4" i="58" s="1"/>
  <c r="M7" i="58"/>
  <c r="P6" i="53" l="1"/>
  <c r="P10" i="53" s="1"/>
  <c r="O10" i="53"/>
  <c r="N10" i="53"/>
  <c r="M10" i="53"/>
  <c r="L10" i="53"/>
  <c r="K10" i="53"/>
  <c r="J10" i="53"/>
  <c r="I10" i="53"/>
  <c r="H10" i="53"/>
  <c r="G10" i="53"/>
  <c r="F10" i="53"/>
  <c r="E10" i="53"/>
  <c r="D10" i="53"/>
  <c r="C10" i="53"/>
  <c r="R93" i="97" l="1"/>
  <c r="U93" i="97" s="1"/>
  <c r="R91" i="97"/>
  <c r="T91" i="97" s="1"/>
  <c r="R90" i="97"/>
  <c r="T90" i="97" s="1"/>
  <c r="R89" i="97"/>
  <c r="R87" i="97"/>
  <c r="T87" i="97" s="1"/>
  <c r="L85" i="97"/>
  <c r="L99" i="97" s="1"/>
  <c r="L105" i="97" s="1"/>
  <c r="Q85" i="97"/>
  <c r="P85" i="97"/>
  <c r="O85" i="97"/>
  <c r="N85" i="97"/>
  <c r="M85" i="97"/>
  <c r="K85" i="97"/>
  <c r="J85" i="97"/>
  <c r="J99" i="97" s="1"/>
  <c r="J105" i="97" s="1"/>
  <c r="I85" i="97"/>
  <c r="H85" i="97"/>
  <c r="G85" i="97"/>
  <c r="R81" i="97"/>
  <c r="T81" i="97" s="1"/>
  <c r="R80" i="97"/>
  <c r="T80" i="97" s="1"/>
  <c r="R79" i="97"/>
  <c r="T79" i="97" s="1"/>
  <c r="Q99" i="97"/>
  <c r="Q105" i="97" s="1"/>
  <c r="K99" i="97"/>
  <c r="K105" i="97" s="1"/>
  <c r="I99" i="97"/>
  <c r="I105" i="97" s="1"/>
  <c r="R74" i="97"/>
  <c r="U74" i="97" s="1"/>
  <c r="P68" i="97"/>
  <c r="H68" i="97"/>
  <c r="R70" i="97"/>
  <c r="U70" i="97" s="1"/>
  <c r="N68" i="97"/>
  <c r="R69" i="97"/>
  <c r="U69" i="97" s="1"/>
  <c r="Q68" i="97"/>
  <c r="O68" i="97"/>
  <c r="M68" i="97"/>
  <c r="M98" i="97" s="1"/>
  <c r="M104" i="97" s="1"/>
  <c r="L68" i="97"/>
  <c r="L98" i="97" s="1"/>
  <c r="L104" i="97" s="1"/>
  <c r="L108" i="97" s="1"/>
  <c r="K68" i="97"/>
  <c r="K98" i="97" s="1"/>
  <c r="K104" i="97" s="1"/>
  <c r="K108" i="97" s="1"/>
  <c r="J68" i="97"/>
  <c r="I68" i="97"/>
  <c r="G68" i="97"/>
  <c r="R66" i="97"/>
  <c r="U66" i="97" s="1"/>
  <c r="R65" i="97"/>
  <c r="U65" i="97" s="1"/>
  <c r="R64" i="97"/>
  <c r="U64" i="97" s="1"/>
  <c r="R63" i="97"/>
  <c r="U63" i="97" s="1"/>
  <c r="R62" i="97"/>
  <c r="U62" i="97" s="1"/>
  <c r="R60" i="97"/>
  <c r="U60" i="97" s="1"/>
  <c r="R59" i="97"/>
  <c r="U59" i="97" s="1"/>
  <c r="R58" i="97"/>
  <c r="U58" i="97" s="1"/>
  <c r="Q56" i="97"/>
  <c r="I56" i="97"/>
  <c r="O55" i="97"/>
  <c r="G55" i="97"/>
  <c r="Q55" i="97"/>
  <c r="P55" i="97"/>
  <c r="O56" i="97"/>
  <c r="N56" i="97"/>
  <c r="M56" i="97"/>
  <c r="L55" i="97"/>
  <c r="K56" i="97"/>
  <c r="J55" i="97"/>
  <c r="I55" i="97"/>
  <c r="H55" i="97"/>
  <c r="G56" i="97"/>
  <c r="F56" i="97"/>
  <c r="K52" i="97"/>
  <c r="Q51" i="97"/>
  <c r="I51" i="97"/>
  <c r="Q52" i="97"/>
  <c r="P52" i="97"/>
  <c r="O52" i="97"/>
  <c r="N51" i="97"/>
  <c r="M51" i="97"/>
  <c r="L51" i="97"/>
  <c r="K51" i="97"/>
  <c r="J51" i="97"/>
  <c r="I52" i="97"/>
  <c r="H52" i="97"/>
  <c r="G52" i="97"/>
  <c r="F51" i="97"/>
  <c r="M48" i="97"/>
  <c r="K47" i="97"/>
  <c r="Q48" i="97"/>
  <c r="P47" i="97"/>
  <c r="O47" i="97"/>
  <c r="N47" i="97"/>
  <c r="M47" i="97"/>
  <c r="L47" i="97"/>
  <c r="K48" i="97"/>
  <c r="J48" i="97"/>
  <c r="I48" i="97"/>
  <c r="H47" i="97"/>
  <c r="G47" i="97"/>
  <c r="F47" i="97"/>
  <c r="P44" i="97"/>
  <c r="H44" i="97"/>
  <c r="O43" i="97"/>
  <c r="G43" i="97"/>
  <c r="K55" i="97"/>
  <c r="Q43" i="97"/>
  <c r="P43" i="97"/>
  <c r="O44" i="97"/>
  <c r="N43" i="97"/>
  <c r="M44" i="97"/>
  <c r="L43" i="97"/>
  <c r="K43" i="97"/>
  <c r="J43" i="97"/>
  <c r="I43" i="97"/>
  <c r="H43" i="97"/>
  <c r="G44" i="97"/>
  <c r="R42" i="97"/>
  <c r="U42" i="97" s="1"/>
  <c r="R40" i="97"/>
  <c r="U40" i="97" s="1"/>
  <c r="R39" i="97"/>
  <c r="U39" i="97" s="1"/>
  <c r="R38" i="97"/>
  <c r="U38" i="97" s="1"/>
  <c r="R37" i="97"/>
  <c r="U37" i="97" s="1"/>
  <c r="R36" i="97"/>
  <c r="U36" i="97" s="1"/>
  <c r="R35" i="97"/>
  <c r="U35" i="97" s="1"/>
  <c r="R34" i="97"/>
  <c r="U34" i="97" s="1"/>
  <c r="R33" i="97"/>
  <c r="U33" i="97" s="1"/>
  <c r="M29" i="97"/>
  <c r="K28" i="97"/>
  <c r="Q27" i="97"/>
  <c r="I27" i="97"/>
  <c r="Q29" i="97"/>
  <c r="P28" i="97"/>
  <c r="O28" i="97"/>
  <c r="N27" i="97"/>
  <c r="M27" i="97"/>
  <c r="L30" i="97"/>
  <c r="K30" i="97"/>
  <c r="J29" i="97"/>
  <c r="I29" i="97"/>
  <c r="H28" i="97"/>
  <c r="G28" i="97"/>
  <c r="F27" i="97"/>
  <c r="U24" i="97"/>
  <c r="B22" i="97"/>
  <c r="L21" i="97"/>
  <c r="K20" i="97"/>
  <c r="J19" i="97"/>
  <c r="Q18" i="97"/>
  <c r="I18" i="97"/>
  <c r="Q21" i="97"/>
  <c r="P20" i="97"/>
  <c r="O19" i="97"/>
  <c r="J96" i="97"/>
  <c r="I21" i="97"/>
  <c r="H20" i="97"/>
  <c r="G19" i="97"/>
  <c r="F85" i="97" l="1"/>
  <c r="R85" i="97" s="1"/>
  <c r="R86" i="97"/>
  <c r="T86" i="97" s="1"/>
  <c r="T96" i="97"/>
  <c r="M99" i="97"/>
  <c r="M105" i="97" s="1"/>
  <c r="M108" i="97" s="1"/>
  <c r="N98" i="97"/>
  <c r="N104" i="97" s="1"/>
  <c r="F99" i="97"/>
  <c r="N99" i="97"/>
  <c r="N105" i="97" s="1"/>
  <c r="G99" i="97"/>
  <c r="G105" i="97" s="1"/>
  <c r="O99" i="97"/>
  <c r="O105" i="97" s="1"/>
  <c r="H99" i="97"/>
  <c r="H105" i="97" s="1"/>
  <c r="P99" i="97"/>
  <c r="P105" i="97" s="1"/>
  <c r="O30" i="97"/>
  <c r="Q98" i="97"/>
  <c r="Q104" i="97" s="1"/>
  <c r="Q108" i="97" s="1"/>
  <c r="G18" i="97"/>
  <c r="O18" i="97"/>
  <c r="H19" i="97"/>
  <c r="P19" i="97"/>
  <c r="I20" i="97"/>
  <c r="Q20" i="97"/>
  <c r="J21" i="97"/>
  <c r="G27" i="97"/>
  <c r="O27" i="97"/>
  <c r="I28" i="97"/>
  <c r="Q28" i="97"/>
  <c r="K29" i="97"/>
  <c r="M30" i="97"/>
  <c r="M43" i="97"/>
  <c r="F44" i="97"/>
  <c r="N44" i="97"/>
  <c r="I47" i="97"/>
  <c r="R47" i="97" s="1"/>
  <c r="U47" i="97" s="1"/>
  <c r="Q47" i="97"/>
  <c r="G51" i="97"/>
  <c r="O51" i="97"/>
  <c r="M55" i="97"/>
  <c r="K96" i="97"/>
  <c r="G98" i="97"/>
  <c r="G104" i="97" s="1"/>
  <c r="G108" i="97" s="1"/>
  <c r="O98" i="97"/>
  <c r="O104" i="97" s="1"/>
  <c r="M96" i="97"/>
  <c r="H18" i="97"/>
  <c r="P18" i="97"/>
  <c r="I19" i="97"/>
  <c r="Q19" i="97"/>
  <c r="J20" i="97"/>
  <c r="K21" i="97"/>
  <c r="H27" i="97"/>
  <c r="P27" i="97"/>
  <c r="J28" i="97"/>
  <c r="L29" i="97"/>
  <c r="F30" i="97"/>
  <c r="N30" i="97"/>
  <c r="F43" i="97"/>
  <c r="R43" i="97" s="1"/>
  <c r="U43" i="97" s="1"/>
  <c r="J47" i="97"/>
  <c r="L48" i="97"/>
  <c r="H51" i="97"/>
  <c r="P51" i="97"/>
  <c r="J52" i="97"/>
  <c r="F55" i="97"/>
  <c r="N55" i="97"/>
  <c r="H56" i="97"/>
  <c r="P56" i="97"/>
  <c r="R78" i="97"/>
  <c r="L96" i="97"/>
  <c r="H98" i="97"/>
  <c r="H104" i="97" s="1"/>
  <c r="P98" i="97"/>
  <c r="P104" i="97" s="1"/>
  <c r="P108" i="97" s="1"/>
  <c r="J18" i="97"/>
  <c r="K19" i="97"/>
  <c r="L20" i="97"/>
  <c r="M21" i="97"/>
  <c r="J27" i="97"/>
  <c r="L28" i="97"/>
  <c r="F29" i="97"/>
  <c r="N29" i="97"/>
  <c r="H30" i="97"/>
  <c r="P30" i="97"/>
  <c r="I44" i="97"/>
  <c r="Q44" i="97"/>
  <c r="R46" i="97"/>
  <c r="U46" i="97" s="1"/>
  <c r="F48" i="97"/>
  <c r="N48" i="97"/>
  <c r="L52" i="97"/>
  <c r="J56" i="97"/>
  <c r="F68" i="97"/>
  <c r="R68" i="97" s="1"/>
  <c r="U68" i="97" s="1"/>
  <c r="N96" i="97"/>
  <c r="J98" i="97"/>
  <c r="J104" i="97" s="1"/>
  <c r="J108" i="97" s="1"/>
  <c r="I98" i="97"/>
  <c r="I104" i="97" s="1"/>
  <c r="I108" i="97" s="1"/>
  <c r="R17" i="97"/>
  <c r="U17" i="97" s="1"/>
  <c r="K18" i="97"/>
  <c r="L19" i="97"/>
  <c r="M20" i="97"/>
  <c r="F21" i="97"/>
  <c r="N21" i="97"/>
  <c r="K27" i="97"/>
  <c r="M28" i="97"/>
  <c r="G29" i="97"/>
  <c r="O29" i="97"/>
  <c r="I30" i="97"/>
  <c r="Q30" i="97"/>
  <c r="J44" i="97"/>
  <c r="G48" i="97"/>
  <c r="O48" i="97"/>
  <c r="M52" i="97"/>
  <c r="R83" i="97"/>
  <c r="U83" i="97" s="1"/>
  <c r="G96" i="97"/>
  <c r="O96" i="97"/>
  <c r="G30" i="97"/>
  <c r="L18" i="97"/>
  <c r="M19" i="97"/>
  <c r="F20" i="97"/>
  <c r="N20" i="97"/>
  <c r="G21" i="97"/>
  <c r="O21" i="97"/>
  <c r="R26" i="97"/>
  <c r="U26" i="97" s="1"/>
  <c r="L27" i="97"/>
  <c r="F28" i="97"/>
  <c r="N28" i="97"/>
  <c r="H29" i="97"/>
  <c r="P29" i="97"/>
  <c r="J30" i="97"/>
  <c r="K44" i="97"/>
  <c r="H48" i="97"/>
  <c r="P48" i="97"/>
  <c r="R50" i="97"/>
  <c r="U50" i="97" s="1"/>
  <c r="F52" i="97"/>
  <c r="N52" i="97"/>
  <c r="L56" i="97"/>
  <c r="H96" i="97"/>
  <c r="P96" i="97"/>
  <c r="M18" i="97"/>
  <c r="F19" i="97"/>
  <c r="N19" i="97"/>
  <c r="G20" i="97"/>
  <c r="O20" i="97"/>
  <c r="H21" i="97"/>
  <c r="P21" i="97"/>
  <c r="L44" i="97"/>
  <c r="B45" i="97"/>
  <c r="I96" i="97"/>
  <c r="Q96" i="97"/>
  <c r="F18" i="97"/>
  <c r="N18" i="97"/>
  <c r="R54" i="97"/>
  <c r="U54" i="97" s="1"/>
  <c r="R56" i="97" l="1"/>
  <c r="U56" i="97" s="1"/>
  <c r="R19" i="97"/>
  <c r="U19" i="97" s="1"/>
  <c r="R51" i="97"/>
  <c r="U51" i="97" s="1"/>
  <c r="R27" i="97"/>
  <c r="U27" i="97" s="1"/>
  <c r="R55" i="97"/>
  <c r="U55" i="97" s="1"/>
  <c r="R30" i="97"/>
  <c r="U30" i="97" s="1"/>
  <c r="U96" i="97"/>
  <c r="R29" i="97"/>
  <c r="U29" i="97" s="1"/>
  <c r="H108" i="97"/>
  <c r="F98" i="97"/>
  <c r="R48" i="97"/>
  <c r="U48" i="97" s="1"/>
  <c r="R20" i="97"/>
  <c r="U20" i="97" s="1"/>
  <c r="O108" i="97"/>
  <c r="R18" i="97"/>
  <c r="U18" i="97" s="1"/>
  <c r="R52" i="97"/>
  <c r="U52" i="97" s="1"/>
  <c r="R44" i="97"/>
  <c r="U44" i="97" s="1"/>
  <c r="F105" i="97"/>
  <c r="R105" i="97" s="1"/>
  <c r="R99" i="97"/>
  <c r="R28" i="97"/>
  <c r="U28" i="97" s="1"/>
  <c r="R21" i="97"/>
  <c r="U21" i="97" s="1"/>
  <c r="F96" i="97"/>
  <c r="N108" i="97"/>
  <c r="R98" i="97" l="1"/>
  <c r="F104" i="97"/>
  <c r="R96" i="97"/>
  <c r="R104" i="97" l="1"/>
  <c r="R108" i="97" s="1"/>
  <c r="F108" i="97"/>
  <c r="E152" i="70" l="1"/>
  <c r="E151" i="70"/>
  <c r="H151" i="70" s="1"/>
  <c r="E150" i="70"/>
  <c r="J149" i="70"/>
  <c r="E149" i="70"/>
  <c r="H149" i="70" s="1"/>
  <c r="E147" i="70"/>
  <c r="E144" i="70"/>
  <c r="E143" i="70"/>
  <c r="H143" i="70" s="1"/>
  <c r="E142" i="70"/>
  <c r="J141" i="70"/>
  <c r="E141" i="70"/>
  <c r="H141" i="70" s="1"/>
  <c r="E136" i="70"/>
  <c r="E135" i="70"/>
  <c r="H135" i="70" s="1"/>
  <c r="E134" i="70"/>
  <c r="E133" i="70"/>
  <c r="H133" i="70" s="1"/>
  <c r="E128" i="70"/>
  <c r="J128" i="70" s="1"/>
  <c r="E127" i="70"/>
  <c r="H127" i="70" s="1"/>
  <c r="E126" i="70"/>
  <c r="H126" i="70" s="1"/>
  <c r="E125" i="70"/>
  <c r="H125" i="70" s="1"/>
  <c r="E118" i="70"/>
  <c r="K118" i="70" s="1"/>
  <c r="E117" i="70"/>
  <c r="H117" i="70" s="1"/>
  <c r="J115" i="70"/>
  <c r="E115" i="70"/>
  <c r="K115" i="70"/>
  <c r="E113" i="70"/>
  <c r="K113" i="70" s="1"/>
  <c r="H110" i="70"/>
  <c r="E110" i="70"/>
  <c r="G110" i="70" s="1"/>
  <c r="E109" i="70"/>
  <c r="H109" i="70" s="1"/>
  <c r="E108" i="70"/>
  <c r="G108" i="70" s="1"/>
  <c r="J108" i="70"/>
  <c r="M108" i="70" s="1"/>
  <c r="J107" i="70"/>
  <c r="E107" i="70"/>
  <c r="K107" i="70" s="1"/>
  <c r="E105" i="70"/>
  <c r="H105" i="70" s="1"/>
  <c r="E104" i="70"/>
  <c r="J104" i="70" s="1"/>
  <c r="K104" i="70"/>
  <c r="E102" i="70"/>
  <c r="J101" i="70"/>
  <c r="E101" i="70"/>
  <c r="H101" i="70" s="1"/>
  <c r="E100" i="70"/>
  <c r="G100" i="70" s="1"/>
  <c r="E99" i="70"/>
  <c r="H94" i="70"/>
  <c r="E94" i="70"/>
  <c r="G94" i="70" s="1"/>
  <c r="E93" i="70"/>
  <c r="H93" i="70" s="1"/>
  <c r="E92" i="70"/>
  <c r="G92" i="70" s="1"/>
  <c r="J92" i="70"/>
  <c r="M92" i="70" s="1"/>
  <c r="J91" i="70"/>
  <c r="E91" i="70"/>
  <c r="K91" i="70" s="1"/>
  <c r="E89" i="70"/>
  <c r="E88" i="70"/>
  <c r="J88" i="70" s="1"/>
  <c r="E86" i="70"/>
  <c r="H81" i="70"/>
  <c r="E81" i="70"/>
  <c r="G81" i="70" s="1"/>
  <c r="E80" i="70"/>
  <c r="H80" i="70" s="1"/>
  <c r="E76" i="70"/>
  <c r="E75" i="70"/>
  <c r="E74" i="70"/>
  <c r="J74" i="70" s="1"/>
  <c r="H73" i="70"/>
  <c r="E73" i="70"/>
  <c r="G73" i="70" s="1"/>
  <c r="E72" i="70"/>
  <c r="H72" i="70" s="1"/>
  <c r="E67" i="70"/>
  <c r="J67" i="70" s="1"/>
  <c r="E65" i="70"/>
  <c r="G65" i="70" s="1"/>
  <c r="E64" i="70"/>
  <c r="H64" i="70" s="1"/>
  <c r="E62" i="70"/>
  <c r="E61" i="70"/>
  <c r="E60" i="70"/>
  <c r="E58" i="70"/>
  <c r="E57" i="70"/>
  <c r="H57" i="70" s="1"/>
  <c r="E56" i="70"/>
  <c r="H55" i="70"/>
  <c r="E55" i="70"/>
  <c r="G55" i="70" s="1"/>
  <c r="E54" i="70"/>
  <c r="E51" i="70"/>
  <c r="E49" i="70"/>
  <c r="H49" i="70" s="1"/>
  <c r="E48" i="70"/>
  <c r="G48" i="70" s="1"/>
  <c r="E47" i="70"/>
  <c r="G47" i="70" s="1"/>
  <c r="J46" i="70"/>
  <c r="E46" i="70"/>
  <c r="K46" i="70" s="1"/>
  <c r="E43" i="70"/>
  <c r="E41" i="70"/>
  <c r="H41" i="70" s="1"/>
  <c r="J31" i="70"/>
  <c r="E31" i="70"/>
  <c r="E30" i="70"/>
  <c r="H30" i="70" s="1"/>
  <c r="E29" i="70"/>
  <c r="G29" i="70" s="1"/>
  <c r="E28" i="70"/>
  <c r="E27" i="70"/>
  <c r="E26" i="70"/>
  <c r="K23" i="70"/>
  <c r="J23" i="70"/>
  <c r="H23" i="70"/>
  <c r="E23" i="70"/>
  <c r="G23" i="70" s="1"/>
  <c r="K22" i="70"/>
  <c r="N22" i="70" s="1"/>
  <c r="E22" i="70"/>
  <c r="H22" i="70" s="1"/>
  <c r="E18" i="70"/>
  <c r="H18" i="70" s="1"/>
  <c r="E17" i="70"/>
  <c r="E14" i="70"/>
  <c r="H14" i="70" s="1"/>
  <c r="C37" i="70"/>
  <c r="E10" i="70"/>
  <c r="H10" i="70" s="1"/>
  <c r="E9" i="70"/>
  <c r="K9" i="70" s="1"/>
  <c r="H65" i="70" l="1"/>
  <c r="H92" i="70"/>
  <c r="J133" i="70"/>
  <c r="J48" i="70"/>
  <c r="H108" i="70"/>
  <c r="H113" i="70"/>
  <c r="J125" i="70"/>
  <c r="K143" i="70"/>
  <c r="G9" i="70"/>
  <c r="J72" i="70"/>
  <c r="M72" i="70" s="1"/>
  <c r="K101" i="70"/>
  <c r="N101" i="70" s="1"/>
  <c r="G109" i="70"/>
  <c r="K135" i="70"/>
  <c r="K151" i="70"/>
  <c r="K92" i="70"/>
  <c r="N92" i="70" s="1"/>
  <c r="H9" i="70"/>
  <c r="K72" i="70"/>
  <c r="J80" i="70"/>
  <c r="K94" i="70"/>
  <c r="N94" i="70" s="1"/>
  <c r="G101" i="70"/>
  <c r="K110" i="70"/>
  <c r="N110" i="70" s="1"/>
  <c r="K100" i="70"/>
  <c r="N100" i="70" s="1"/>
  <c r="K73" i="70"/>
  <c r="N73" i="70" s="1"/>
  <c r="K81" i="70"/>
  <c r="N81" i="70" s="1"/>
  <c r="M101" i="70"/>
  <c r="K14" i="70"/>
  <c r="N14" i="70" s="1"/>
  <c r="K65" i="70"/>
  <c r="N65" i="70" s="1"/>
  <c r="K51" i="70"/>
  <c r="N51" i="70" s="1"/>
  <c r="H51" i="70"/>
  <c r="G51" i="70"/>
  <c r="M9" i="70"/>
  <c r="N9" i="70"/>
  <c r="H75" i="70"/>
  <c r="G75" i="70"/>
  <c r="H27" i="70"/>
  <c r="G27" i="70"/>
  <c r="K27" i="70"/>
  <c r="G17" i="70"/>
  <c r="K17" i="70"/>
  <c r="H17" i="70"/>
  <c r="H60" i="70"/>
  <c r="G60" i="70"/>
  <c r="E106" i="70"/>
  <c r="M14" i="70"/>
  <c r="E16" i="70"/>
  <c r="G18" i="70"/>
  <c r="E20" i="70"/>
  <c r="M22" i="70"/>
  <c r="E24" i="70"/>
  <c r="K24" i="70" s="1"/>
  <c r="G30" i="70"/>
  <c r="J43" i="70"/>
  <c r="K55" i="70"/>
  <c r="N55" i="70" s="1"/>
  <c r="M88" i="70"/>
  <c r="K57" i="70"/>
  <c r="J57" i="70"/>
  <c r="G57" i="70"/>
  <c r="J30" i="70"/>
  <c r="H47" i="70"/>
  <c r="E96" i="70"/>
  <c r="K96" i="70" s="1"/>
  <c r="H128" i="70"/>
  <c r="G128" i="70"/>
  <c r="M128" i="70" s="1"/>
  <c r="H144" i="70"/>
  <c r="G144" i="70"/>
  <c r="E11" i="70"/>
  <c r="J20" i="70"/>
  <c r="K30" i="70"/>
  <c r="K34" i="70"/>
  <c r="K43" i="70"/>
  <c r="H43" i="70"/>
  <c r="G43" i="70"/>
  <c r="K47" i="70"/>
  <c r="N47" i="70" s="1"/>
  <c r="K54" i="70"/>
  <c r="N54" i="70" s="1"/>
  <c r="K58" i="70"/>
  <c r="J61" i="70"/>
  <c r="M91" i="70"/>
  <c r="H99" i="70"/>
  <c r="G99" i="70"/>
  <c r="J99" i="70"/>
  <c r="M99" i="70" s="1"/>
  <c r="E45" i="70"/>
  <c r="J45" i="70" s="1"/>
  <c r="H62" i="70"/>
  <c r="G62" i="70"/>
  <c r="K16" i="70"/>
  <c r="K32" i="70"/>
  <c r="E32" i="70"/>
  <c r="K49" i="70"/>
  <c r="J49" i="70"/>
  <c r="G49" i="70"/>
  <c r="H54" i="70"/>
  <c r="G54" i="70"/>
  <c r="K56" i="70"/>
  <c r="N56" i="70" s="1"/>
  <c r="H56" i="70"/>
  <c r="J58" i="70"/>
  <c r="H58" i="70"/>
  <c r="K63" i="70"/>
  <c r="E78" i="70"/>
  <c r="J78" i="70" s="1"/>
  <c r="J89" i="70"/>
  <c r="G89" i="70"/>
  <c r="H89" i="70"/>
  <c r="J9" i="70"/>
  <c r="K10" i="70"/>
  <c r="E15" i="70"/>
  <c r="K26" i="70"/>
  <c r="H29" i="70"/>
  <c r="E34" i="70"/>
  <c r="K41" i="70"/>
  <c r="N41" i="70" s="1"/>
  <c r="J41" i="70"/>
  <c r="G41" i="70"/>
  <c r="H46" i="70"/>
  <c r="G46" i="70"/>
  <c r="N46" i="70" s="1"/>
  <c r="K48" i="70"/>
  <c r="N48" i="70" s="1"/>
  <c r="H48" i="70"/>
  <c r="E52" i="70"/>
  <c r="J54" i="70"/>
  <c r="G56" i="70"/>
  <c r="G58" i="70"/>
  <c r="G76" i="70"/>
  <c r="H76" i="70"/>
  <c r="J136" i="70"/>
  <c r="J27" i="70"/>
  <c r="J18" i="70"/>
  <c r="J26" i="70"/>
  <c r="H26" i="70"/>
  <c r="H28" i="70"/>
  <c r="G28" i="70"/>
  <c r="K29" i="70"/>
  <c r="J33" i="70"/>
  <c r="E50" i="70"/>
  <c r="K50" i="70" s="1"/>
  <c r="J56" i="70"/>
  <c r="M56" i="70" s="1"/>
  <c r="K61" i="70"/>
  <c r="H61" i="70"/>
  <c r="G61" i="70"/>
  <c r="E66" i="70"/>
  <c r="K66" i="70"/>
  <c r="G102" i="70"/>
  <c r="H102" i="70"/>
  <c r="J60" i="70"/>
  <c r="E8" i="70"/>
  <c r="G10" i="70"/>
  <c r="G14" i="70"/>
  <c r="E19" i="70"/>
  <c r="E21" i="70"/>
  <c r="J21" i="70"/>
  <c r="G22" i="70"/>
  <c r="G26" i="70"/>
  <c r="K28" i="70"/>
  <c r="K31" i="70"/>
  <c r="G31" i="70"/>
  <c r="E35" i="70"/>
  <c r="J35" i="70" s="1"/>
  <c r="K44" i="70"/>
  <c r="E44" i="70"/>
  <c r="E53" i="70"/>
  <c r="J62" i="70"/>
  <c r="D120" i="70"/>
  <c r="G117" i="70"/>
  <c r="H136" i="70"/>
  <c r="G136" i="70"/>
  <c r="H152" i="70"/>
  <c r="G152" i="70"/>
  <c r="D37" i="70"/>
  <c r="J10" i="70"/>
  <c r="E12" i="70"/>
  <c r="K12" i="70" s="1"/>
  <c r="E13" i="70"/>
  <c r="J14" i="70"/>
  <c r="J17" i="70"/>
  <c r="K18" i="70"/>
  <c r="J22" i="70"/>
  <c r="N23" i="70"/>
  <c r="M23" i="70"/>
  <c r="E25" i="70"/>
  <c r="J25" i="70" s="1"/>
  <c r="J28" i="70"/>
  <c r="H31" i="70"/>
  <c r="E33" i="70"/>
  <c r="D83" i="70"/>
  <c r="E42" i="70"/>
  <c r="M48" i="70"/>
  <c r="J51" i="70"/>
  <c r="E59" i="70"/>
  <c r="H67" i="70"/>
  <c r="G67" i="70"/>
  <c r="M67" i="70" s="1"/>
  <c r="J70" i="70"/>
  <c r="J75" i="70"/>
  <c r="M75" i="70" s="1"/>
  <c r="K77" i="70"/>
  <c r="H88" i="70"/>
  <c r="G88" i="70"/>
  <c r="J144" i="70"/>
  <c r="M144" i="70" s="1"/>
  <c r="J147" i="70"/>
  <c r="M147" i="70" s="1"/>
  <c r="H147" i="70"/>
  <c r="G147" i="70"/>
  <c r="J152" i="70"/>
  <c r="M152" i="70" s="1"/>
  <c r="J29" i="70"/>
  <c r="J47" i="70"/>
  <c r="M47" i="70" s="1"/>
  <c r="J55" i="70"/>
  <c r="M55" i="70" s="1"/>
  <c r="K60" i="70"/>
  <c r="K62" i="70"/>
  <c r="N62" i="70" s="1"/>
  <c r="G72" i="70"/>
  <c r="J73" i="70"/>
  <c r="M73" i="70" s="1"/>
  <c r="K75" i="70"/>
  <c r="J94" i="70"/>
  <c r="M94" i="70" s="1"/>
  <c r="K99" i="70"/>
  <c r="N99" i="70" s="1"/>
  <c r="H104" i="70"/>
  <c r="G104" i="70"/>
  <c r="M104" i="70" s="1"/>
  <c r="J109" i="70"/>
  <c r="M109" i="70" s="1"/>
  <c r="J113" i="70"/>
  <c r="G113" i="70"/>
  <c r="N113" i="70" s="1"/>
  <c r="K117" i="70"/>
  <c r="K128" i="70"/>
  <c r="N128" i="70" s="1"/>
  <c r="K136" i="70"/>
  <c r="K144" i="70"/>
  <c r="N144" i="70" s="1"/>
  <c r="K147" i="70"/>
  <c r="N147" i="70" s="1"/>
  <c r="K152" i="70"/>
  <c r="K155" i="70"/>
  <c r="E77" i="70"/>
  <c r="K89" i="70"/>
  <c r="E98" i="70"/>
  <c r="J98" i="70" s="1"/>
  <c r="J110" i="70"/>
  <c r="M110" i="70" s="1"/>
  <c r="H115" i="70"/>
  <c r="G115" i="70"/>
  <c r="M115" i="70" s="1"/>
  <c r="J118" i="70"/>
  <c r="M118" i="70" s="1"/>
  <c r="G126" i="70"/>
  <c r="J126" i="70"/>
  <c r="G134" i="70"/>
  <c r="J134" i="70"/>
  <c r="M134" i="70" s="1"/>
  <c r="J137" i="70"/>
  <c r="G142" i="70"/>
  <c r="J142" i="70"/>
  <c r="G150" i="70"/>
  <c r="J150" i="70"/>
  <c r="M150" i="70" s="1"/>
  <c r="E68" i="70"/>
  <c r="K68" i="70" s="1"/>
  <c r="C120" i="70"/>
  <c r="N91" i="70"/>
  <c r="J105" i="70"/>
  <c r="G105" i="70"/>
  <c r="N118" i="70"/>
  <c r="K129" i="70"/>
  <c r="H134" i="70"/>
  <c r="H142" i="70"/>
  <c r="H150" i="70"/>
  <c r="C83" i="70"/>
  <c r="G64" i="70"/>
  <c r="J65" i="70"/>
  <c r="M65" i="70" s="1"/>
  <c r="K67" i="70"/>
  <c r="K70" i="70"/>
  <c r="G74" i="70"/>
  <c r="M74" i="70" s="1"/>
  <c r="G80" i="70"/>
  <c r="J81" i="70"/>
  <c r="M81" i="70" s="1"/>
  <c r="K86" i="70"/>
  <c r="H91" i="70"/>
  <c r="G91" i="70"/>
  <c r="K93" i="70"/>
  <c r="J100" i="70"/>
  <c r="M100" i="70" s="1"/>
  <c r="K105" i="70"/>
  <c r="K108" i="70"/>
  <c r="N108" i="70" s="1"/>
  <c r="K112" i="70"/>
  <c r="H118" i="70"/>
  <c r="G118" i="70"/>
  <c r="E130" i="70"/>
  <c r="K130" i="70" s="1"/>
  <c r="E138" i="70"/>
  <c r="J146" i="70"/>
  <c r="E146" i="70"/>
  <c r="K146" i="70" s="1"/>
  <c r="E154" i="70"/>
  <c r="J154" i="70" s="1"/>
  <c r="J64" i="70"/>
  <c r="M64" i="70" s="1"/>
  <c r="E70" i="70"/>
  <c r="H74" i="70"/>
  <c r="J76" i="70"/>
  <c r="M76" i="70" s="1"/>
  <c r="M80" i="70"/>
  <c r="G86" i="70"/>
  <c r="K88" i="70"/>
  <c r="N88" i="70" s="1"/>
  <c r="E90" i="70"/>
  <c r="G93" i="70"/>
  <c r="J102" i="70"/>
  <c r="E112" i="70"/>
  <c r="E116" i="70"/>
  <c r="K116" i="70" s="1"/>
  <c r="K127" i="70"/>
  <c r="N127" i="70" s="1"/>
  <c r="N135" i="70"/>
  <c r="K138" i="70"/>
  <c r="E40" i="70"/>
  <c r="K64" i="70"/>
  <c r="N64" i="70" s="1"/>
  <c r="E69" i="70"/>
  <c r="K69" i="70" s="1"/>
  <c r="K74" i="70"/>
  <c r="N74" i="70" s="1"/>
  <c r="K76" i="70"/>
  <c r="N76" i="70" s="1"/>
  <c r="K80" i="70"/>
  <c r="N80" i="70" s="1"/>
  <c r="H86" i="70"/>
  <c r="J93" i="70"/>
  <c r="E97" i="70"/>
  <c r="H100" i="70"/>
  <c r="K102" i="70"/>
  <c r="N102" i="70" s="1"/>
  <c r="H107" i="70"/>
  <c r="G107" i="70"/>
  <c r="N107" i="70" s="1"/>
  <c r="K109" i="70"/>
  <c r="N109" i="70" s="1"/>
  <c r="G127" i="70"/>
  <c r="G135" i="70"/>
  <c r="G143" i="70"/>
  <c r="N143" i="70" s="1"/>
  <c r="G151" i="70"/>
  <c r="N151" i="70" s="1"/>
  <c r="E87" i="70"/>
  <c r="E95" i="70"/>
  <c r="J95" i="70" s="1"/>
  <c r="E103" i="70"/>
  <c r="K103" i="70" s="1"/>
  <c r="E111" i="70"/>
  <c r="J111" i="70" s="1"/>
  <c r="K125" i="70"/>
  <c r="E129" i="70"/>
  <c r="K133" i="70"/>
  <c r="E137" i="70"/>
  <c r="K137" i="70" s="1"/>
  <c r="K141" i="70"/>
  <c r="N141" i="70" s="1"/>
  <c r="E145" i="70"/>
  <c r="K145" i="70" s="1"/>
  <c r="K149" i="70"/>
  <c r="E153" i="70"/>
  <c r="J117" i="70"/>
  <c r="K126" i="70"/>
  <c r="J127" i="70"/>
  <c r="K134" i="70"/>
  <c r="N134" i="70" s="1"/>
  <c r="J135" i="70"/>
  <c r="M135" i="70" s="1"/>
  <c r="K142" i="70"/>
  <c r="J143" i="70"/>
  <c r="K150" i="70"/>
  <c r="N150" i="70" s="1"/>
  <c r="J151" i="70"/>
  <c r="E63" i="70"/>
  <c r="E71" i="70"/>
  <c r="E79" i="70"/>
  <c r="J86" i="70"/>
  <c r="M86" i="70" s="1"/>
  <c r="E123" i="70"/>
  <c r="J123" i="70" s="1"/>
  <c r="E131" i="70"/>
  <c r="J131" i="70" s="1"/>
  <c r="E139" i="70"/>
  <c r="K139" i="70" s="1"/>
  <c r="E155" i="70"/>
  <c r="J155" i="70" s="1"/>
  <c r="C158" i="70"/>
  <c r="E114" i="70"/>
  <c r="J114" i="70" s="1"/>
  <c r="E124" i="70"/>
  <c r="E132" i="70"/>
  <c r="J132" i="70" s="1"/>
  <c r="E140" i="70"/>
  <c r="J140" i="70" s="1"/>
  <c r="E148" i="70"/>
  <c r="J148" i="70" s="1"/>
  <c r="E156" i="70"/>
  <c r="J156" i="70" s="1"/>
  <c r="D158" i="70"/>
  <c r="G125" i="70"/>
  <c r="M125" i="70" s="1"/>
  <c r="G133" i="70"/>
  <c r="M133" i="70" s="1"/>
  <c r="G141" i="70"/>
  <c r="M141" i="70" s="1"/>
  <c r="G149" i="70"/>
  <c r="M149" i="70" s="1"/>
  <c r="M102" i="70" l="1"/>
  <c r="N115" i="70"/>
  <c r="N49" i="70"/>
  <c r="M46" i="70"/>
  <c r="N136" i="70"/>
  <c r="M127" i="70"/>
  <c r="M107" i="70"/>
  <c r="K154" i="70"/>
  <c r="J145" i="70"/>
  <c r="M145" i="70" s="1"/>
  <c r="N89" i="70"/>
  <c r="K123" i="70"/>
  <c r="E120" i="70"/>
  <c r="N67" i="70"/>
  <c r="M49" i="70"/>
  <c r="M117" i="70"/>
  <c r="N86" i="70"/>
  <c r="N117" i="70"/>
  <c r="N75" i="70"/>
  <c r="N104" i="70"/>
  <c r="N43" i="70"/>
  <c r="M113" i="70"/>
  <c r="N72" i="70"/>
  <c r="M78" i="70"/>
  <c r="N12" i="70"/>
  <c r="M12" i="70"/>
  <c r="H153" i="70"/>
  <c r="G153" i="70"/>
  <c r="G71" i="70"/>
  <c r="H71" i="70"/>
  <c r="N133" i="70"/>
  <c r="J97" i="70"/>
  <c r="M97" i="70" s="1"/>
  <c r="G97" i="70"/>
  <c r="H97" i="70"/>
  <c r="J153" i="70"/>
  <c r="M70" i="70"/>
  <c r="H19" i="70"/>
  <c r="G19" i="70"/>
  <c r="K97" i="70"/>
  <c r="N97" i="70" s="1"/>
  <c r="G15" i="70"/>
  <c r="K15" i="70"/>
  <c r="H15" i="70"/>
  <c r="K71" i="70"/>
  <c r="N34" i="70"/>
  <c r="M34" i="70"/>
  <c r="N57" i="70"/>
  <c r="H106" i="70"/>
  <c r="K106" i="70"/>
  <c r="G106" i="70"/>
  <c r="C161" i="70"/>
  <c r="G63" i="70"/>
  <c r="N63" i="70" s="1"/>
  <c r="H63" i="70"/>
  <c r="N126" i="70"/>
  <c r="H129" i="70"/>
  <c r="G129" i="70"/>
  <c r="N129" i="70" s="1"/>
  <c r="M93" i="70"/>
  <c r="E83" i="70"/>
  <c r="K40" i="70"/>
  <c r="H40" i="70"/>
  <c r="G40" i="70"/>
  <c r="J40" i="70"/>
  <c r="H90" i="70"/>
  <c r="K90" i="70"/>
  <c r="G90" i="70"/>
  <c r="H138" i="70"/>
  <c r="G138" i="70"/>
  <c r="N138" i="70" s="1"/>
  <c r="H77" i="70"/>
  <c r="G77" i="70"/>
  <c r="N77" i="70" s="1"/>
  <c r="J87" i="70"/>
  <c r="J139" i="70"/>
  <c r="K33" i="70"/>
  <c r="H33" i="70"/>
  <c r="G33" i="70"/>
  <c r="N10" i="70"/>
  <c r="M10" i="70"/>
  <c r="J71" i="70"/>
  <c r="M61" i="70"/>
  <c r="N30" i="70"/>
  <c r="M30" i="70"/>
  <c r="H96" i="70"/>
  <c r="G96" i="70"/>
  <c r="N96" i="70" s="1"/>
  <c r="J106" i="70"/>
  <c r="D161" i="70"/>
  <c r="H155" i="70"/>
  <c r="G155" i="70"/>
  <c r="M155" i="70" s="1"/>
  <c r="M151" i="70"/>
  <c r="N125" i="70"/>
  <c r="N154" i="70"/>
  <c r="J90" i="70"/>
  <c r="H70" i="70"/>
  <c r="G70" i="70"/>
  <c r="J138" i="70"/>
  <c r="N105" i="70"/>
  <c r="M105" i="70"/>
  <c r="J77" i="70"/>
  <c r="K78" i="70"/>
  <c r="N78" i="70" s="1"/>
  <c r="M62" i="70"/>
  <c r="N31" i="70"/>
  <c r="M31" i="70"/>
  <c r="J66" i="70"/>
  <c r="G66" i="70"/>
  <c r="N66" i="70" s="1"/>
  <c r="H66" i="70"/>
  <c r="M54" i="70"/>
  <c r="M41" i="70"/>
  <c r="J68" i="70"/>
  <c r="H45" i="70"/>
  <c r="G45" i="70"/>
  <c r="K45" i="70"/>
  <c r="N45" i="70" s="1"/>
  <c r="N58" i="70"/>
  <c r="J96" i="70"/>
  <c r="H20" i="70"/>
  <c r="G20" i="70"/>
  <c r="M17" i="70"/>
  <c r="N17" i="70"/>
  <c r="G116" i="70"/>
  <c r="N116" i="70" s="1"/>
  <c r="J116" i="70"/>
  <c r="M116" i="70" s="1"/>
  <c r="H116" i="70"/>
  <c r="H130" i="70"/>
  <c r="G130" i="70"/>
  <c r="N130" i="70" s="1"/>
  <c r="N70" i="70"/>
  <c r="M148" i="70"/>
  <c r="K59" i="70"/>
  <c r="H59" i="70"/>
  <c r="G59" i="70"/>
  <c r="G13" i="70"/>
  <c r="K13" i="70"/>
  <c r="H13" i="70"/>
  <c r="H53" i="70"/>
  <c r="G53" i="70"/>
  <c r="K53" i="70"/>
  <c r="M28" i="70"/>
  <c r="N28" i="70"/>
  <c r="E37" i="70"/>
  <c r="J8" i="70"/>
  <c r="H8" i="70"/>
  <c r="G8" i="70"/>
  <c r="J52" i="70"/>
  <c r="H52" i="70"/>
  <c r="G52" i="70"/>
  <c r="M45" i="70"/>
  <c r="G11" i="70"/>
  <c r="H11" i="70"/>
  <c r="K19" i="70"/>
  <c r="H148" i="70"/>
  <c r="G148" i="70"/>
  <c r="K148" i="70"/>
  <c r="N148" i="70" s="1"/>
  <c r="H131" i="70"/>
  <c r="G131" i="70"/>
  <c r="M131" i="70" s="1"/>
  <c r="M143" i="70"/>
  <c r="N149" i="70"/>
  <c r="H103" i="70"/>
  <c r="G103" i="70"/>
  <c r="N103" i="70" s="1"/>
  <c r="H112" i="70"/>
  <c r="G112" i="70"/>
  <c r="J63" i="70"/>
  <c r="J130" i="70"/>
  <c r="M130" i="70" s="1"/>
  <c r="N93" i="70"/>
  <c r="J129" i="70"/>
  <c r="J103" i="70"/>
  <c r="M51" i="70"/>
  <c r="K25" i="70"/>
  <c r="G25" i="70"/>
  <c r="H25" i="70"/>
  <c r="H12" i="70"/>
  <c r="J12" i="70"/>
  <c r="G12" i="70"/>
  <c r="J53" i="70"/>
  <c r="M53" i="70" s="1"/>
  <c r="M60" i="70"/>
  <c r="N29" i="70"/>
  <c r="M29" i="70"/>
  <c r="M136" i="70"/>
  <c r="K52" i="70"/>
  <c r="N52" i="70" s="1"/>
  <c r="J34" i="70"/>
  <c r="H34" i="70"/>
  <c r="G34" i="70"/>
  <c r="J16" i="70"/>
  <c r="H16" i="70"/>
  <c r="G16" i="70"/>
  <c r="H140" i="70"/>
  <c r="G140" i="70"/>
  <c r="M140" i="70" s="1"/>
  <c r="K140" i="70"/>
  <c r="E158" i="70"/>
  <c r="H123" i="70"/>
  <c r="G123" i="70"/>
  <c r="N123" i="70" s="1"/>
  <c r="N142" i="70"/>
  <c r="H145" i="70"/>
  <c r="G145" i="70"/>
  <c r="N145" i="70" s="1"/>
  <c r="H95" i="70"/>
  <c r="K95" i="70"/>
  <c r="N95" i="70" s="1"/>
  <c r="G95" i="70"/>
  <c r="H154" i="70"/>
  <c r="G154" i="70"/>
  <c r="M154" i="70" s="1"/>
  <c r="M142" i="70"/>
  <c r="M126" i="70"/>
  <c r="H98" i="70"/>
  <c r="K98" i="70"/>
  <c r="N98" i="70" s="1"/>
  <c r="G98" i="70"/>
  <c r="M98" i="70" s="1"/>
  <c r="N152" i="70"/>
  <c r="K131" i="70"/>
  <c r="J44" i="70"/>
  <c r="H44" i="70"/>
  <c r="G44" i="70"/>
  <c r="J112" i="70"/>
  <c r="N61" i="70"/>
  <c r="M58" i="70"/>
  <c r="J32" i="70"/>
  <c r="H32" i="70"/>
  <c r="G32" i="70"/>
  <c r="K20" i="70"/>
  <c r="M43" i="70"/>
  <c r="K11" i="70"/>
  <c r="J15" i="70"/>
  <c r="H139" i="70"/>
  <c r="G139" i="70"/>
  <c r="N139" i="70" s="1"/>
  <c r="G68" i="70"/>
  <c r="N68" i="70" s="1"/>
  <c r="H68" i="70"/>
  <c r="N44" i="70"/>
  <c r="J59" i="70"/>
  <c r="N26" i="70"/>
  <c r="M26" i="70"/>
  <c r="N32" i="70"/>
  <c r="M32" i="70"/>
  <c r="J11" i="70"/>
  <c r="M27" i="70"/>
  <c r="N27" i="70"/>
  <c r="H87" i="70"/>
  <c r="G87" i="70"/>
  <c r="H69" i="70"/>
  <c r="G69" i="70"/>
  <c r="N69" i="70" s="1"/>
  <c r="J42" i="70"/>
  <c r="M42" i="70" s="1"/>
  <c r="H42" i="70"/>
  <c r="G42" i="70"/>
  <c r="H124" i="70"/>
  <c r="G124" i="70"/>
  <c r="K124" i="70"/>
  <c r="G79" i="70"/>
  <c r="K79" i="70"/>
  <c r="N79" i="70" s="1"/>
  <c r="H79" i="70"/>
  <c r="H137" i="70"/>
  <c r="G137" i="70"/>
  <c r="N137" i="70" s="1"/>
  <c r="J69" i="70"/>
  <c r="M95" i="70"/>
  <c r="J79" i="70"/>
  <c r="M79" i="70" s="1"/>
  <c r="H146" i="70"/>
  <c r="G146" i="70"/>
  <c r="N146" i="70" s="1"/>
  <c r="J124" i="70"/>
  <c r="M124" i="70" s="1"/>
  <c r="N60" i="70"/>
  <c r="K42" i="70"/>
  <c r="N42" i="70" s="1"/>
  <c r="K8" i="70"/>
  <c r="K87" i="70"/>
  <c r="H35" i="70"/>
  <c r="G35" i="70"/>
  <c r="K35" i="70"/>
  <c r="G21" i="70"/>
  <c r="K21" i="70"/>
  <c r="H21" i="70"/>
  <c r="J19" i="70"/>
  <c r="M89" i="70"/>
  <c r="N16" i="70"/>
  <c r="M16" i="70"/>
  <c r="M57" i="70"/>
  <c r="J24" i="70"/>
  <c r="H24" i="70"/>
  <c r="G24" i="70"/>
  <c r="H156" i="70"/>
  <c r="G156" i="70"/>
  <c r="M156" i="70" s="1"/>
  <c r="K156" i="70"/>
  <c r="H111" i="70"/>
  <c r="K111" i="70"/>
  <c r="G111" i="70"/>
  <c r="M111" i="70" s="1"/>
  <c r="H132" i="70"/>
  <c r="G132" i="70"/>
  <c r="M132" i="70" s="1"/>
  <c r="K132" i="70"/>
  <c r="H114" i="70"/>
  <c r="G114" i="70"/>
  <c r="K114" i="70"/>
  <c r="N114" i="70" s="1"/>
  <c r="N112" i="70"/>
  <c r="K153" i="70"/>
  <c r="M137" i="70"/>
  <c r="N18" i="70"/>
  <c r="M18" i="70"/>
  <c r="J13" i="70"/>
  <c r="J50" i="70"/>
  <c r="H50" i="70"/>
  <c r="G50" i="70"/>
  <c r="N50" i="70" s="1"/>
  <c r="H78" i="70"/>
  <c r="G78" i="70"/>
  <c r="M123" i="70"/>
  <c r="N24" i="70"/>
  <c r="M24" i="70"/>
  <c r="G83" i="70" l="1"/>
  <c r="M44" i="70"/>
  <c r="N71" i="70"/>
  <c r="N111" i="70"/>
  <c r="M50" i="70"/>
  <c r="G120" i="70"/>
  <c r="N156" i="70"/>
  <c r="N155" i="70"/>
  <c r="M106" i="70"/>
  <c r="N87" i="70"/>
  <c r="N124" i="70"/>
  <c r="M68" i="70"/>
  <c r="M90" i="70"/>
  <c r="M129" i="70"/>
  <c r="H120" i="70"/>
  <c r="M112" i="70"/>
  <c r="G37" i="70"/>
  <c r="M13" i="70"/>
  <c r="N13" i="70"/>
  <c r="M77" i="70"/>
  <c r="N40" i="70"/>
  <c r="N83" i="70" s="1"/>
  <c r="M19" i="70"/>
  <c r="N19" i="70"/>
  <c r="M114" i="70"/>
  <c r="N132" i="70"/>
  <c r="N8" i="70"/>
  <c r="M8" i="70"/>
  <c r="N20" i="70"/>
  <c r="M20" i="70"/>
  <c r="M25" i="70"/>
  <c r="N25" i="70"/>
  <c r="M63" i="70"/>
  <c r="M96" i="70"/>
  <c r="M153" i="70"/>
  <c r="M146" i="70"/>
  <c r="M158" i="70" s="1"/>
  <c r="M21" i="70"/>
  <c r="N21" i="70"/>
  <c r="N131" i="70"/>
  <c r="H158" i="70"/>
  <c r="M66" i="70"/>
  <c r="M138" i="70"/>
  <c r="M33" i="70"/>
  <c r="N33" i="70"/>
  <c r="N90" i="70"/>
  <c r="N106" i="70"/>
  <c r="M11" i="70"/>
  <c r="N11" i="70"/>
  <c r="H83" i="70"/>
  <c r="G158" i="70"/>
  <c r="G161" i="70" s="1"/>
  <c r="N153" i="70"/>
  <c r="M69" i="70"/>
  <c r="E161" i="70"/>
  <c r="M103" i="70"/>
  <c r="N53" i="70"/>
  <c r="N59" i="70"/>
  <c r="M139" i="70"/>
  <c r="H37" i="70"/>
  <c r="M15" i="70"/>
  <c r="N15" i="70"/>
  <c r="M35" i="70"/>
  <c r="N35" i="70"/>
  <c r="M59" i="70"/>
  <c r="N140" i="70"/>
  <c r="M52" i="70"/>
  <c r="M71" i="70"/>
  <c r="M87" i="70"/>
  <c r="M40" i="70"/>
  <c r="M83" i="70" s="1"/>
  <c r="N158" i="70" l="1"/>
  <c r="N120" i="70"/>
  <c r="M120" i="70"/>
  <c r="M161" i="70" s="1"/>
  <c r="M37" i="70"/>
  <c r="N37" i="70"/>
  <c r="H161" i="70"/>
  <c r="N161" i="70" l="1"/>
  <c r="M162" i="70"/>
  <c r="E5" i="6" l="1"/>
  <c r="T562" i="68" l="1"/>
  <c r="S562" i="68"/>
  <c r="R562" i="68"/>
  <c r="Q562" i="68"/>
  <c r="P562" i="68"/>
  <c r="O562" i="68"/>
  <c r="N562" i="68"/>
  <c r="M562" i="68"/>
  <c r="L562" i="68"/>
  <c r="K562" i="68"/>
  <c r="J562" i="68"/>
  <c r="I562" i="68"/>
  <c r="H562" i="68"/>
  <c r="G562" i="68"/>
  <c r="F562" i="68"/>
  <c r="T561" i="68"/>
  <c r="S561" i="68"/>
  <c r="R561" i="68"/>
  <c r="Q561" i="68"/>
  <c r="P561" i="68"/>
  <c r="O561" i="68"/>
  <c r="N561" i="68"/>
  <c r="M561" i="68"/>
  <c r="L561" i="68"/>
  <c r="K561" i="68"/>
  <c r="J561" i="68"/>
  <c r="I561" i="68"/>
  <c r="H561" i="68"/>
  <c r="G561" i="68"/>
  <c r="F561" i="68"/>
  <c r="T560" i="68"/>
  <c r="S560" i="68"/>
  <c r="R560" i="68"/>
  <c r="Q560" i="68"/>
  <c r="P560" i="68"/>
  <c r="O560" i="68"/>
  <c r="N560" i="68"/>
  <c r="M560" i="68"/>
  <c r="L560" i="68"/>
  <c r="K560" i="68"/>
  <c r="J560" i="68"/>
  <c r="I560" i="68"/>
  <c r="H560" i="68"/>
  <c r="G560" i="68"/>
  <c r="F560" i="68"/>
  <c r="T559" i="68"/>
  <c r="S559" i="68"/>
  <c r="R559" i="68"/>
  <c r="Q559" i="68"/>
  <c r="P559" i="68"/>
  <c r="O559" i="68"/>
  <c r="N559" i="68"/>
  <c r="M559" i="68"/>
  <c r="L559" i="68"/>
  <c r="K559" i="68"/>
  <c r="J559" i="68"/>
  <c r="I559" i="68"/>
  <c r="H559" i="68"/>
  <c r="G559" i="68"/>
  <c r="F559" i="68"/>
  <c r="T558" i="68"/>
  <c r="S558" i="68"/>
  <c r="R558" i="68"/>
  <c r="Q558" i="68"/>
  <c r="P558" i="68"/>
  <c r="O558" i="68"/>
  <c r="N558" i="68"/>
  <c r="M558" i="68"/>
  <c r="L558" i="68"/>
  <c r="K558" i="68"/>
  <c r="J558" i="68"/>
  <c r="I558" i="68"/>
  <c r="H558" i="68"/>
  <c r="G558" i="68"/>
  <c r="F558" i="68"/>
  <c r="T557" i="68"/>
  <c r="S557" i="68"/>
  <c r="R557" i="68"/>
  <c r="Q557" i="68"/>
  <c r="P557" i="68"/>
  <c r="O557" i="68"/>
  <c r="N557" i="68"/>
  <c r="M557" i="68"/>
  <c r="L557" i="68"/>
  <c r="K557" i="68"/>
  <c r="J557" i="68"/>
  <c r="I557" i="68"/>
  <c r="H557" i="68"/>
  <c r="G557" i="68"/>
  <c r="F557" i="68"/>
  <c r="T556" i="68"/>
  <c r="S556" i="68"/>
  <c r="R556" i="68"/>
  <c r="Q556" i="68"/>
  <c r="P556" i="68"/>
  <c r="O556" i="68"/>
  <c r="N556" i="68"/>
  <c r="M556" i="68"/>
  <c r="L556" i="68"/>
  <c r="K556" i="68"/>
  <c r="J556" i="68"/>
  <c r="I556" i="68"/>
  <c r="H556" i="68"/>
  <c r="G556" i="68"/>
  <c r="F556" i="68"/>
  <c r="T555" i="68"/>
  <c r="S555" i="68"/>
  <c r="R555" i="68"/>
  <c r="Q555" i="68"/>
  <c r="P555" i="68"/>
  <c r="O555" i="68"/>
  <c r="N555" i="68"/>
  <c r="M555" i="68"/>
  <c r="L555" i="68"/>
  <c r="K555" i="68"/>
  <c r="J555" i="68"/>
  <c r="I555" i="68"/>
  <c r="H555" i="68"/>
  <c r="G555" i="68"/>
  <c r="F555" i="68"/>
  <c r="T554" i="68"/>
  <c r="S554" i="68"/>
  <c r="R554" i="68"/>
  <c r="Q554" i="68"/>
  <c r="P554" i="68"/>
  <c r="O554" i="68"/>
  <c r="N554" i="68"/>
  <c r="M554" i="68"/>
  <c r="L554" i="68"/>
  <c r="K554" i="68"/>
  <c r="J554" i="68"/>
  <c r="I554" i="68"/>
  <c r="H554" i="68"/>
  <c r="G554" i="68"/>
  <c r="F554" i="68"/>
  <c r="T553" i="68"/>
  <c r="S553" i="68"/>
  <c r="R553" i="68"/>
  <c r="Q553" i="68"/>
  <c r="P553" i="68"/>
  <c r="O553" i="68"/>
  <c r="N553" i="68"/>
  <c r="M553" i="68"/>
  <c r="L553" i="68"/>
  <c r="K553" i="68"/>
  <c r="J553" i="68"/>
  <c r="I553" i="68"/>
  <c r="H553" i="68"/>
  <c r="G553" i="68"/>
  <c r="F553" i="68"/>
  <c r="T552" i="68"/>
  <c r="S552" i="68"/>
  <c r="R552" i="68"/>
  <c r="Q552" i="68"/>
  <c r="P552" i="68"/>
  <c r="O552" i="68"/>
  <c r="N552" i="68"/>
  <c r="M552" i="68"/>
  <c r="L552" i="68"/>
  <c r="K552" i="68"/>
  <c r="J552" i="68"/>
  <c r="I552" i="68"/>
  <c r="H552" i="68"/>
  <c r="G552" i="68"/>
  <c r="F552" i="68"/>
  <c r="T551" i="68"/>
  <c r="S551" i="68"/>
  <c r="R551" i="68"/>
  <c r="Q551" i="68"/>
  <c r="P551" i="68"/>
  <c r="O551" i="68"/>
  <c r="N551" i="68"/>
  <c r="M551" i="68"/>
  <c r="L551" i="68"/>
  <c r="K551" i="68"/>
  <c r="J551" i="68"/>
  <c r="I551" i="68"/>
  <c r="H551" i="68"/>
  <c r="G551" i="68"/>
  <c r="F551" i="68"/>
  <c r="T550" i="68"/>
  <c r="S550" i="68"/>
  <c r="R550" i="68"/>
  <c r="Q550" i="68"/>
  <c r="P550" i="68"/>
  <c r="O550" i="68"/>
  <c r="N550" i="68"/>
  <c r="M550" i="68"/>
  <c r="L550" i="68"/>
  <c r="K550" i="68"/>
  <c r="J550" i="68"/>
  <c r="I550" i="68"/>
  <c r="H550" i="68"/>
  <c r="G550" i="68"/>
  <c r="F550" i="68"/>
  <c r="T549" i="68"/>
  <c r="S549" i="68"/>
  <c r="R549" i="68"/>
  <c r="Q549" i="68"/>
  <c r="P549" i="68"/>
  <c r="O549" i="68"/>
  <c r="N549" i="68"/>
  <c r="M549" i="68"/>
  <c r="L549" i="68"/>
  <c r="K549" i="68"/>
  <c r="J549" i="68"/>
  <c r="I549" i="68"/>
  <c r="H549" i="68"/>
  <c r="G549" i="68"/>
  <c r="F549" i="68"/>
  <c r="T548" i="68"/>
  <c r="S548" i="68"/>
  <c r="R548" i="68"/>
  <c r="Q548" i="68"/>
  <c r="P548" i="68"/>
  <c r="O548" i="68"/>
  <c r="N548" i="68"/>
  <c r="M548" i="68"/>
  <c r="L548" i="68"/>
  <c r="K548" i="68"/>
  <c r="J548" i="68"/>
  <c r="I548" i="68"/>
  <c r="H548" i="68"/>
  <c r="G548" i="68"/>
  <c r="F548" i="68"/>
  <c r="T547" i="68"/>
  <c r="S547" i="68"/>
  <c r="R547" i="68"/>
  <c r="Q547" i="68"/>
  <c r="P547" i="68"/>
  <c r="O547" i="68"/>
  <c r="N547" i="68"/>
  <c r="M547" i="68"/>
  <c r="L547" i="68"/>
  <c r="K547" i="68"/>
  <c r="J547" i="68"/>
  <c r="I547" i="68"/>
  <c r="H547" i="68"/>
  <c r="G547" i="68"/>
  <c r="F547" i="68"/>
  <c r="T546" i="68"/>
  <c r="S546" i="68"/>
  <c r="R546" i="68"/>
  <c r="Q546" i="68"/>
  <c r="P546" i="68"/>
  <c r="O546" i="68"/>
  <c r="N546" i="68"/>
  <c r="M546" i="68"/>
  <c r="L546" i="68"/>
  <c r="K546" i="68"/>
  <c r="J546" i="68"/>
  <c r="I546" i="68"/>
  <c r="H546" i="68"/>
  <c r="G546" i="68"/>
  <c r="F546" i="68"/>
  <c r="T545" i="68"/>
  <c r="S545" i="68"/>
  <c r="R545" i="68"/>
  <c r="Q545" i="68"/>
  <c r="P545" i="68"/>
  <c r="O545" i="68"/>
  <c r="N545" i="68"/>
  <c r="M545" i="68"/>
  <c r="L545" i="68"/>
  <c r="K545" i="68"/>
  <c r="J545" i="68"/>
  <c r="I545" i="68"/>
  <c r="H545" i="68"/>
  <c r="G545" i="68"/>
  <c r="F545" i="68"/>
  <c r="T544" i="68"/>
  <c r="S544" i="68"/>
  <c r="R544" i="68"/>
  <c r="Q544" i="68"/>
  <c r="P544" i="68"/>
  <c r="O544" i="68"/>
  <c r="N544" i="68"/>
  <c r="M544" i="68"/>
  <c r="L544" i="68"/>
  <c r="K544" i="68"/>
  <c r="J544" i="68"/>
  <c r="I544" i="68"/>
  <c r="H544" i="68"/>
  <c r="G544" i="68"/>
  <c r="F544" i="68"/>
  <c r="T543" i="68"/>
  <c r="S543" i="68"/>
  <c r="R543" i="68"/>
  <c r="Q543" i="68"/>
  <c r="P543" i="68"/>
  <c r="O543" i="68"/>
  <c r="N543" i="68"/>
  <c r="M543" i="68"/>
  <c r="L543" i="68"/>
  <c r="K543" i="68"/>
  <c r="J543" i="68"/>
  <c r="I543" i="68"/>
  <c r="H543" i="68"/>
  <c r="G543" i="68"/>
  <c r="F543" i="68"/>
  <c r="T542" i="68"/>
  <c r="S542" i="68"/>
  <c r="R542" i="68"/>
  <c r="Q542" i="68"/>
  <c r="P542" i="68"/>
  <c r="O542" i="68"/>
  <c r="N542" i="68"/>
  <c r="M542" i="68"/>
  <c r="L542" i="68"/>
  <c r="K542" i="68"/>
  <c r="J542" i="68"/>
  <c r="I542" i="68"/>
  <c r="H542" i="68"/>
  <c r="G542" i="68"/>
  <c r="F542" i="68"/>
  <c r="T541" i="68"/>
  <c r="S541" i="68"/>
  <c r="R541" i="68"/>
  <c r="Q541" i="68"/>
  <c r="P541" i="68"/>
  <c r="O541" i="68"/>
  <c r="N541" i="68"/>
  <c r="M541" i="68"/>
  <c r="L541" i="68"/>
  <c r="K541" i="68"/>
  <c r="J541" i="68"/>
  <c r="I541" i="68"/>
  <c r="H541" i="68"/>
  <c r="G541" i="68"/>
  <c r="F541" i="68"/>
  <c r="T540" i="68"/>
  <c r="S540" i="68"/>
  <c r="R540" i="68"/>
  <c r="Q540" i="68"/>
  <c r="P540" i="68"/>
  <c r="O540" i="68"/>
  <c r="N540" i="68"/>
  <c r="M540" i="68"/>
  <c r="L540" i="68"/>
  <c r="K540" i="68"/>
  <c r="J540" i="68"/>
  <c r="I540" i="68"/>
  <c r="H540" i="68"/>
  <c r="G540" i="68"/>
  <c r="F540" i="68"/>
  <c r="T539" i="68"/>
  <c r="S539" i="68"/>
  <c r="R539" i="68"/>
  <c r="Q539" i="68"/>
  <c r="P539" i="68"/>
  <c r="O539" i="68"/>
  <c r="N539" i="68"/>
  <c r="M539" i="68"/>
  <c r="L539" i="68"/>
  <c r="K539" i="68"/>
  <c r="J539" i="68"/>
  <c r="I539" i="68"/>
  <c r="H539" i="68"/>
  <c r="G539" i="68"/>
  <c r="F539" i="68"/>
  <c r="T538" i="68"/>
  <c r="S538" i="68"/>
  <c r="R538" i="68"/>
  <c r="Q538" i="68"/>
  <c r="P538" i="68"/>
  <c r="O538" i="68"/>
  <c r="N538" i="68"/>
  <c r="M538" i="68"/>
  <c r="L538" i="68"/>
  <c r="K538" i="68"/>
  <c r="J538" i="68"/>
  <c r="I538" i="68"/>
  <c r="H538" i="68"/>
  <c r="G538" i="68"/>
  <c r="F538" i="68"/>
  <c r="T537" i="68"/>
  <c r="S537" i="68"/>
  <c r="R537" i="68"/>
  <c r="Q537" i="68"/>
  <c r="P537" i="68"/>
  <c r="O537" i="68"/>
  <c r="N537" i="68"/>
  <c r="M537" i="68"/>
  <c r="L537" i="68"/>
  <c r="K537" i="68"/>
  <c r="J537" i="68"/>
  <c r="I537" i="68"/>
  <c r="H537" i="68"/>
  <c r="G537" i="68"/>
  <c r="F537" i="68"/>
  <c r="T536" i="68"/>
  <c r="S536" i="68"/>
  <c r="R536" i="68"/>
  <c r="Q536" i="68"/>
  <c r="P536" i="68"/>
  <c r="O536" i="68"/>
  <c r="N536" i="68"/>
  <c r="M536" i="68"/>
  <c r="L536" i="68"/>
  <c r="K536" i="68"/>
  <c r="J536" i="68"/>
  <c r="I536" i="68"/>
  <c r="H536" i="68"/>
  <c r="G536" i="68"/>
  <c r="F536" i="68"/>
  <c r="T535" i="68"/>
  <c r="S535" i="68"/>
  <c r="R535" i="68"/>
  <c r="Q535" i="68"/>
  <c r="P535" i="68"/>
  <c r="O535" i="68"/>
  <c r="N535" i="68"/>
  <c r="M535" i="68"/>
  <c r="L535" i="68"/>
  <c r="K535" i="68"/>
  <c r="J535" i="68"/>
  <c r="I535" i="68"/>
  <c r="H535" i="68"/>
  <c r="G535" i="68"/>
  <c r="F535" i="68"/>
  <c r="T534" i="68"/>
  <c r="S534" i="68"/>
  <c r="R534" i="68"/>
  <c r="Q534" i="68"/>
  <c r="P534" i="68"/>
  <c r="O534" i="68"/>
  <c r="N534" i="68"/>
  <c r="M534" i="68"/>
  <c r="L534" i="68"/>
  <c r="K534" i="68"/>
  <c r="J534" i="68"/>
  <c r="I534" i="68"/>
  <c r="H534" i="68"/>
  <c r="G534" i="68"/>
  <c r="F534" i="68"/>
  <c r="T533" i="68"/>
  <c r="S533" i="68"/>
  <c r="R533" i="68"/>
  <c r="Q533" i="68"/>
  <c r="P533" i="68"/>
  <c r="O533" i="68"/>
  <c r="N533" i="68"/>
  <c r="M533" i="68"/>
  <c r="L533" i="68"/>
  <c r="K533" i="68"/>
  <c r="J533" i="68"/>
  <c r="I533" i="68"/>
  <c r="H533" i="68"/>
  <c r="G533" i="68"/>
  <c r="F533" i="68"/>
  <c r="T532" i="68"/>
  <c r="S532" i="68"/>
  <c r="R532" i="68"/>
  <c r="Q532" i="68"/>
  <c r="P532" i="68"/>
  <c r="O532" i="68"/>
  <c r="N532" i="68"/>
  <c r="M532" i="68"/>
  <c r="L532" i="68"/>
  <c r="K532" i="68"/>
  <c r="J532" i="68"/>
  <c r="I532" i="68"/>
  <c r="H532" i="68"/>
  <c r="G532" i="68"/>
  <c r="F532" i="68"/>
  <c r="T531" i="68"/>
  <c r="S531" i="68"/>
  <c r="R531" i="68"/>
  <c r="Q531" i="68"/>
  <c r="P531" i="68"/>
  <c r="O531" i="68"/>
  <c r="N531" i="68"/>
  <c r="M531" i="68"/>
  <c r="L531" i="68"/>
  <c r="K531" i="68"/>
  <c r="J531" i="68"/>
  <c r="I531" i="68"/>
  <c r="H531" i="68"/>
  <c r="G531" i="68"/>
  <c r="F531" i="68"/>
  <c r="T530" i="68"/>
  <c r="S530" i="68"/>
  <c r="R530" i="68"/>
  <c r="Q530" i="68"/>
  <c r="P530" i="68"/>
  <c r="O530" i="68"/>
  <c r="N530" i="68"/>
  <c r="M530" i="68"/>
  <c r="L530" i="68"/>
  <c r="K530" i="68"/>
  <c r="J530" i="68"/>
  <c r="I530" i="68"/>
  <c r="H530" i="68"/>
  <c r="G530" i="68"/>
  <c r="F530" i="68"/>
  <c r="T529" i="68"/>
  <c r="S529" i="68"/>
  <c r="R529" i="68"/>
  <c r="Q529" i="68"/>
  <c r="P529" i="68"/>
  <c r="O529" i="68"/>
  <c r="N529" i="68"/>
  <c r="M529" i="68"/>
  <c r="L529" i="68"/>
  <c r="K529" i="68"/>
  <c r="J529" i="68"/>
  <c r="I529" i="68"/>
  <c r="H529" i="68"/>
  <c r="G529" i="68"/>
  <c r="F529" i="68"/>
  <c r="T528" i="68"/>
  <c r="S528" i="68"/>
  <c r="R528" i="68"/>
  <c r="Q528" i="68"/>
  <c r="P528" i="68"/>
  <c r="O528" i="68"/>
  <c r="N528" i="68"/>
  <c r="M528" i="68"/>
  <c r="L528" i="68"/>
  <c r="K528" i="68"/>
  <c r="J528" i="68"/>
  <c r="I528" i="68"/>
  <c r="H528" i="68"/>
  <c r="G528" i="68"/>
  <c r="F528" i="68"/>
  <c r="T527" i="68"/>
  <c r="S527" i="68"/>
  <c r="R527" i="68"/>
  <c r="Q527" i="68"/>
  <c r="P527" i="68"/>
  <c r="O527" i="68"/>
  <c r="N527" i="68"/>
  <c r="M527" i="68"/>
  <c r="L527" i="68"/>
  <c r="K527" i="68"/>
  <c r="J527" i="68"/>
  <c r="I527" i="68"/>
  <c r="H527" i="68"/>
  <c r="G527" i="68"/>
  <c r="F527" i="68"/>
  <c r="T526" i="68"/>
  <c r="S526" i="68"/>
  <c r="R526" i="68"/>
  <c r="Q526" i="68"/>
  <c r="P526" i="68"/>
  <c r="O526" i="68"/>
  <c r="N526" i="68"/>
  <c r="M526" i="68"/>
  <c r="L526" i="68"/>
  <c r="K526" i="68"/>
  <c r="J526" i="68"/>
  <c r="I526" i="68"/>
  <c r="H526" i="68"/>
  <c r="G526" i="68"/>
  <c r="F526" i="68"/>
  <c r="T525" i="68"/>
  <c r="S525" i="68"/>
  <c r="R525" i="68"/>
  <c r="Q525" i="68"/>
  <c r="P525" i="68"/>
  <c r="O525" i="68"/>
  <c r="N525" i="68"/>
  <c r="M525" i="68"/>
  <c r="L525" i="68"/>
  <c r="K525" i="68"/>
  <c r="J525" i="68"/>
  <c r="I525" i="68"/>
  <c r="H525" i="68"/>
  <c r="G525" i="68"/>
  <c r="F525" i="68"/>
  <c r="T524" i="68"/>
  <c r="S524" i="68"/>
  <c r="R524" i="68"/>
  <c r="Q524" i="68"/>
  <c r="P524" i="68"/>
  <c r="O524" i="68"/>
  <c r="N524" i="68"/>
  <c r="M524" i="68"/>
  <c r="L524" i="68"/>
  <c r="K524" i="68"/>
  <c r="J524" i="68"/>
  <c r="I524" i="68"/>
  <c r="H524" i="68"/>
  <c r="G524" i="68"/>
  <c r="F524" i="68"/>
  <c r="T523" i="68"/>
  <c r="S523" i="68"/>
  <c r="R523" i="68"/>
  <c r="Q523" i="68"/>
  <c r="P523" i="68"/>
  <c r="O523" i="68"/>
  <c r="N523" i="68"/>
  <c r="M523" i="68"/>
  <c r="L523" i="68"/>
  <c r="K523" i="68"/>
  <c r="J523" i="68"/>
  <c r="I523" i="68"/>
  <c r="H523" i="68"/>
  <c r="G523" i="68"/>
  <c r="F523" i="68"/>
  <c r="T522" i="68"/>
  <c r="S522" i="68"/>
  <c r="R522" i="68"/>
  <c r="Q522" i="68"/>
  <c r="P522" i="68"/>
  <c r="O522" i="68"/>
  <c r="N522" i="68"/>
  <c r="M522" i="68"/>
  <c r="L522" i="68"/>
  <c r="K522" i="68"/>
  <c r="J522" i="68"/>
  <c r="I522" i="68"/>
  <c r="H522" i="68"/>
  <c r="G522" i="68"/>
  <c r="F522" i="68"/>
  <c r="T521" i="68"/>
  <c r="S521" i="68"/>
  <c r="R521" i="68"/>
  <c r="Q521" i="68"/>
  <c r="P521" i="68"/>
  <c r="O521" i="68"/>
  <c r="N521" i="68"/>
  <c r="M521" i="68"/>
  <c r="L521" i="68"/>
  <c r="K521" i="68"/>
  <c r="J521" i="68"/>
  <c r="I521" i="68"/>
  <c r="H521" i="68"/>
  <c r="G521" i="68"/>
  <c r="F521" i="68"/>
  <c r="T520" i="68"/>
  <c r="S520" i="68"/>
  <c r="R520" i="68"/>
  <c r="Q520" i="68"/>
  <c r="P520" i="68"/>
  <c r="O520" i="68"/>
  <c r="N520" i="68"/>
  <c r="M520" i="68"/>
  <c r="L520" i="68"/>
  <c r="K520" i="68"/>
  <c r="J520" i="68"/>
  <c r="I520" i="68"/>
  <c r="H520" i="68"/>
  <c r="G520" i="68"/>
  <c r="F520" i="68"/>
  <c r="T519" i="68"/>
  <c r="S519" i="68"/>
  <c r="R519" i="68"/>
  <c r="Q519" i="68"/>
  <c r="P519" i="68"/>
  <c r="O519" i="68"/>
  <c r="N519" i="68"/>
  <c r="M519" i="68"/>
  <c r="L519" i="68"/>
  <c r="K519" i="68"/>
  <c r="J519" i="68"/>
  <c r="I519" i="68"/>
  <c r="H519" i="68"/>
  <c r="G519" i="68"/>
  <c r="F519" i="68"/>
  <c r="T518" i="68"/>
  <c r="S518" i="68"/>
  <c r="R518" i="68"/>
  <c r="Q518" i="68"/>
  <c r="P518" i="68"/>
  <c r="O518" i="68"/>
  <c r="N518" i="68"/>
  <c r="M518" i="68"/>
  <c r="L518" i="68"/>
  <c r="K518" i="68"/>
  <c r="J518" i="68"/>
  <c r="I518" i="68"/>
  <c r="H518" i="68"/>
  <c r="G518" i="68"/>
  <c r="F518" i="68"/>
  <c r="T517" i="68"/>
  <c r="S517" i="68"/>
  <c r="R517" i="68"/>
  <c r="Q517" i="68"/>
  <c r="P517" i="68"/>
  <c r="O517" i="68"/>
  <c r="N517" i="68"/>
  <c r="M517" i="68"/>
  <c r="L517" i="68"/>
  <c r="K517" i="68"/>
  <c r="J517" i="68"/>
  <c r="I517" i="68"/>
  <c r="H517" i="68"/>
  <c r="G517" i="68"/>
  <c r="F517" i="68"/>
  <c r="T516" i="68"/>
  <c r="S516" i="68"/>
  <c r="R516" i="68"/>
  <c r="Q516" i="68"/>
  <c r="P516" i="68"/>
  <c r="O516" i="68"/>
  <c r="N516" i="68"/>
  <c r="M516" i="68"/>
  <c r="L516" i="68"/>
  <c r="K516" i="68"/>
  <c r="J516" i="68"/>
  <c r="I516" i="68"/>
  <c r="H516" i="68"/>
  <c r="G516" i="68"/>
  <c r="F516" i="68"/>
  <c r="T515" i="68"/>
  <c r="S515" i="68"/>
  <c r="R515" i="68"/>
  <c r="Q515" i="68"/>
  <c r="P515" i="68"/>
  <c r="O515" i="68"/>
  <c r="N515" i="68"/>
  <c r="M515" i="68"/>
  <c r="L515" i="68"/>
  <c r="K515" i="68"/>
  <c r="J515" i="68"/>
  <c r="I515" i="68"/>
  <c r="H515" i="68"/>
  <c r="G515" i="68"/>
  <c r="F515" i="68"/>
  <c r="T514" i="68"/>
  <c r="S514" i="68"/>
  <c r="R514" i="68"/>
  <c r="Q514" i="68"/>
  <c r="P514" i="68"/>
  <c r="O514" i="68"/>
  <c r="N514" i="68"/>
  <c r="M514" i="68"/>
  <c r="L514" i="68"/>
  <c r="K514" i="68"/>
  <c r="J514" i="68"/>
  <c r="I514" i="68"/>
  <c r="H514" i="68"/>
  <c r="G514" i="68"/>
  <c r="F514" i="68"/>
  <c r="T513" i="68"/>
  <c r="S513" i="68"/>
  <c r="R513" i="68"/>
  <c r="Q513" i="68"/>
  <c r="P513" i="68"/>
  <c r="O513" i="68"/>
  <c r="N513" i="68"/>
  <c r="M513" i="68"/>
  <c r="L513" i="68"/>
  <c r="K513" i="68"/>
  <c r="J513" i="68"/>
  <c r="I513" i="68"/>
  <c r="H513" i="68"/>
  <c r="G513" i="68"/>
  <c r="F513" i="68"/>
  <c r="T512" i="68"/>
  <c r="S512" i="68"/>
  <c r="R512" i="68"/>
  <c r="Q512" i="68"/>
  <c r="P512" i="68"/>
  <c r="O512" i="68"/>
  <c r="N512" i="68"/>
  <c r="M512" i="68"/>
  <c r="L512" i="68"/>
  <c r="K512" i="68"/>
  <c r="J512" i="68"/>
  <c r="I512" i="68"/>
  <c r="H512" i="68"/>
  <c r="G512" i="68"/>
  <c r="F512" i="68"/>
  <c r="T511" i="68"/>
  <c r="S511" i="68"/>
  <c r="R511" i="68"/>
  <c r="Q511" i="68"/>
  <c r="P511" i="68"/>
  <c r="O511" i="68"/>
  <c r="N511" i="68"/>
  <c r="M511" i="68"/>
  <c r="L511" i="68"/>
  <c r="K511" i="68"/>
  <c r="J511" i="68"/>
  <c r="I511" i="68"/>
  <c r="H511" i="68"/>
  <c r="G511" i="68"/>
  <c r="F511" i="68"/>
  <c r="T510" i="68"/>
  <c r="S510" i="68"/>
  <c r="R510" i="68"/>
  <c r="Q510" i="68"/>
  <c r="P510" i="68"/>
  <c r="O510" i="68"/>
  <c r="N510" i="68"/>
  <c r="M510" i="68"/>
  <c r="L510" i="68"/>
  <c r="K510" i="68"/>
  <c r="J510" i="68"/>
  <c r="I510" i="68"/>
  <c r="H510" i="68"/>
  <c r="G510" i="68"/>
  <c r="F510" i="68"/>
  <c r="T509" i="68"/>
  <c r="S509" i="68"/>
  <c r="R509" i="68"/>
  <c r="Q509" i="68"/>
  <c r="P509" i="68"/>
  <c r="O509" i="68"/>
  <c r="N509" i="68"/>
  <c r="M509" i="68"/>
  <c r="L509" i="68"/>
  <c r="K509" i="68"/>
  <c r="J509" i="68"/>
  <c r="I509" i="68"/>
  <c r="H509" i="68"/>
  <c r="G509" i="68"/>
  <c r="F509" i="68"/>
  <c r="T508" i="68"/>
  <c r="S508" i="68"/>
  <c r="R508" i="68"/>
  <c r="Q508" i="68"/>
  <c r="P508" i="68"/>
  <c r="O508" i="68"/>
  <c r="N508" i="68"/>
  <c r="M508" i="68"/>
  <c r="L508" i="68"/>
  <c r="K508" i="68"/>
  <c r="J508" i="68"/>
  <c r="I508" i="68"/>
  <c r="H508" i="68"/>
  <c r="G508" i="68"/>
  <c r="F508" i="68"/>
  <c r="T507" i="68"/>
  <c r="S507" i="68"/>
  <c r="R507" i="68"/>
  <c r="Q507" i="68"/>
  <c r="P507" i="68"/>
  <c r="O507" i="68"/>
  <c r="N507" i="68"/>
  <c r="M507" i="68"/>
  <c r="L507" i="68"/>
  <c r="K507" i="68"/>
  <c r="J507" i="68"/>
  <c r="I507" i="68"/>
  <c r="H507" i="68"/>
  <c r="G507" i="68"/>
  <c r="F507" i="68"/>
  <c r="T506" i="68"/>
  <c r="S506" i="68"/>
  <c r="R506" i="68"/>
  <c r="Q506" i="68"/>
  <c r="P506" i="68"/>
  <c r="O506" i="68"/>
  <c r="N506" i="68"/>
  <c r="M506" i="68"/>
  <c r="L506" i="68"/>
  <c r="K506" i="68"/>
  <c r="J506" i="68"/>
  <c r="I506" i="68"/>
  <c r="H506" i="68"/>
  <c r="G506" i="68"/>
  <c r="F506" i="68"/>
  <c r="T505" i="68"/>
  <c r="S505" i="68"/>
  <c r="R505" i="68"/>
  <c r="Q505" i="68"/>
  <c r="P505" i="68"/>
  <c r="O505" i="68"/>
  <c r="N505" i="68"/>
  <c r="M505" i="68"/>
  <c r="L505" i="68"/>
  <c r="K505" i="68"/>
  <c r="J505" i="68"/>
  <c r="I505" i="68"/>
  <c r="H505" i="68"/>
  <c r="G505" i="68"/>
  <c r="F505" i="68"/>
  <c r="T504" i="68"/>
  <c r="S504" i="68"/>
  <c r="R504" i="68"/>
  <c r="Q504" i="68"/>
  <c r="P504" i="68"/>
  <c r="O504" i="68"/>
  <c r="N504" i="68"/>
  <c r="M504" i="68"/>
  <c r="L504" i="68"/>
  <c r="K504" i="68"/>
  <c r="J504" i="68"/>
  <c r="I504" i="68"/>
  <c r="H504" i="68"/>
  <c r="G504" i="68"/>
  <c r="F504" i="68"/>
  <c r="T503" i="68"/>
  <c r="S503" i="68"/>
  <c r="R503" i="68"/>
  <c r="Q503" i="68"/>
  <c r="P503" i="68"/>
  <c r="O503" i="68"/>
  <c r="N503" i="68"/>
  <c r="M503" i="68"/>
  <c r="L503" i="68"/>
  <c r="K503" i="68"/>
  <c r="J503" i="68"/>
  <c r="I503" i="68"/>
  <c r="H503" i="68"/>
  <c r="G503" i="68"/>
  <c r="F503" i="68"/>
  <c r="T502" i="68"/>
  <c r="S502" i="68"/>
  <c r="R502" i="68"/>
  <c r="Q502" i="68"/>
  <c r="P502" i="68"/>
  <c r="O502" i="68"/>
  <c r="N502" i="68"/>
  <c r="M502" i="68"/>
  <c r="L502" i="68"/>
  <c r="K502" i="68"/>
  <c r="J502" i="68"/>
  <c r="I502" i="68"/>
  <c r="H502" i="68"/>
  <c r="G502" i="68"/>
  <c r="F502" i="68"/>
  <c r="T501" i="68"/>
  <c r="S501" i="68"/>
  <c r="R501" i="68"/>
  <c r="Q501" i="68"/>
  <c r="P501" i="68"/>
  <c r="O501" i="68"/>
  <c r="N501" i="68"/>
  <c r="M501" i="68"/>
  <c r="L501" i="68"/>
  <c r="K501" i="68"/>
  <c r="J501" i="68"/>
  <c r="I501" i="68"/>
  <c r="H501" i="68"/>
  <c r="G501" i="68"/>
  <c r="F501" i="68"/>
  <c r="T500" i="68"/>
  <c r="S500" i="68"/>
  <c r="R500" i="68"/>
  <c r="Q500" i="68"/>
  <c r="P500" i="68"/>
  <c r="O500" i="68"/>
  <c r="N500" i="68"/>
  <c r="M500" i="68"/>
  <c r="L500" i="68"/>
  <c r="K500" i="68"/>
  <c r="J500" i="68"/>
  <c r="I500" i="68"/>
  <c r="H500" i="68"/>
  <c r="G500" i="68"/>
  <c r="F500" i="68"/>
  <c r="T499" i="68"/>
  <c r="S499" i="68"/>
  <c r="R499" i="68"/>
  <c r="Q499" i="68"/>
  <c r="P499" i="68"/>
  <c r="O499" i="68"/>
  <c r="N499" i="68"/>
  <c r="M499" i="68"/>
  <c r="L499" i="68"/>
  <c r="K499" i="68"/>
  <c r="J499" i="68"/>
  <c r="I499" i="68"/>
  <c r="H499" i="68"/>
  <c r="G499" i="68"/>
  <c r="F499" i="68"/>
  <c r="T498" i="68"/>
  <c r="S498" i="68"/>
  <c r="R498" i="68"/>
  <c r="Q498" i="68"/>
  <c r="P498" i="68"/>
  <c r="O498" i="68"/>
  <c r="N498" i="68"/>
  <c r="M498" i="68"/>
  <c r="L498" i="68"/>
  <c r="K498" i="68"/>
  <c r="J498" i="68"/>
  <c r="I498" i="68"/>
  <c r="H498" i="68"/>
  <c r="G498" i="68"/>
  <c r="F498" i="68"/>
  <c r="T497" i="68"/>
  <c r="S497" i="68"/>
  <c r="R497" i="68"/>
  <c r="Q497" i="68"/>
  <c r="P497" i="68"/>
  <c r="O497" i="68"/>
  <c r="N497" i="68"/>
  <c r="M497" i="68"/>
  <c r="L497" i="68"/>
  <c r="K497" i="68"/>
  <c r="J497" i="68"/>
  <c r="I497" i="68"/>
  <c r="H497" i="68"/>
  <c r="G497" i="68"/>
  <c r="F497" i="68"/>
  <c r="T496" i="68"/>
  <c r="S496" i="68"/>
  <c r="R496" i="68"/>
  <c r="Q496" i="68"/>
  <c r="P496" i="68"/>
  <c r="O496" i="68"/>
  <c r="N496" i="68"/>
  <c r="M496" i="68"/>
  <c r="L496" i="68"/>
  <c r="K496" i="68"/>
  <c r="J496" i="68"/>
  <c r="I496" i="68"/>
  <c r="H496" i="68"/>
  <c r="G496" i="68"/>
  <c r="F496" i="68"/>
  <c r="T495" i="68"/>
  <c r="S495" i="68"/>
  <c r="R495" i="68"/>
  <c r="Q495" i="68"/>
  <c r="P495" i="68"/>
  <c r="O495" i="68"/>
  <c r="N495" i="68"/>
  <c r="M495" i="68"/>
  <c r="L495" i="68"/>
  <c r="K495" i="68"/>
  <c r="J495" i="68"/>
  <c r="I495" i="68"/>
  <c r="H495" i="68"/>
  <c r="G495" i="68"/>
  <c r="F495" i="68"/>
  <c r="T494" i="68"/>
  <c r="S494" i="68"/>
  <c r="R494" i="68"/>
  <c r="Q494" i="68"/>
  <c r="P494" i="68"/>
  <c r="O494" i="68"/>
  <c r="N494" i="68"/>
  <c r="M494" i="68"/>
  <c r="L494" i="68"/>
  <c r="K494" i="68"/>
  <c r="J494" i="68"/>
  <c r="I494" i="68"/>
  <c r="H494" i="68"/>
  <c r="G494" i="68"/>
  <c r="F494" i="68"/>
  <c r="T493" i="68"/>
  <c r="S493" i="68"/>
  <c r="R493" i="68"/>
  <c r="Q493" i="68"/>
  <c r="P493" i="68"/>
  <c r="O493" i="68"/>
  <c r="N493" i="68"/>
  <c r="M493" i="68"/>
  <c r="L493" i="68"/>
  <c r="K493" i="68"/>
  <c r="J493" i="68"/>
  <c r="I493" i="68"/>
  <c r="H493" i="68"/>
  <c r="G493" i="68"/>
  <c r="F493" i="68"/>
  <c r="T492" i="68"/>
  <c r="S492" i="68"/>
  <c r="R492" i="68"/>
  <c r="Q492" i="68"/>
  <c r="P492" i="68"/>
  <c r="O492" i="68"/>
  <c r="N492" i="68"/>
  <c r="M492" i="68"/>
  <c r="L492" i="68"/>
  <c r="K492" i="68"/>
  <c r="J492" i="68"/>
  <c r="I492" i="68"/>
  <c r="H492" i="68"/>
  <c r="G492" i="68"/>
  <c r="F492" i="68"/>
  <c r="T491" i="68"/>
  <c r="S491" i="68"/>
  <c r="R491" i="68"/>
  <c r="Q491" i="68"/>
  <c r="P491" i="68"/>
  <c r="O491" i="68"/>
  <c r="N491" i="68"/>
  <c r="M491" i="68"/>
  <c r="L491" i="68"/>
  <c r="K491" i="68"/>
  <c r="J491" i="68"/>
  <c r="I491" i="68"/>
  <c r="H491" i="68"/>
  <c r="G491" i="68"/>
  <c r="F491" i="68"/>
  <c r="T490" i="68"/>
  <c r="S490" i="68"/>
  <c r="R490" i="68"/>
  <c r="Q490" i="68"/>
  <c r="P490" i="68"/>
  <c r="O490" i="68"/>
  <c r="N490" i="68"/>
  <c r="M490" i="68"/>
  <c r="L490" i="68"/>
  <c r="K490" i="68"/>
  <c r="J490" i="68"/>
  <c r="I490" i="68"/>
  <c r="H490" i="68"/>
  <c r="G490" i="68"/>
  <c r="F490" i="68"/>
  <c r="T489" i="68"/>
  <c r="S489" i="68"/>
  <c r="R489" i="68"/>
  <c r="Q489" i="68"/>
  <c r="P489" i="68"/>
  <c r="O489" i="68"/>
  <c r="N489" i="68"/>
  <c r="M489" i="68"/>
  <c r="L489" i="68"/>
  <c r="K489" i="68"/>
  <c r="J489" i="68"/>
  <c r="I489" i="68"/>
  <c r="H489" i="68"/>
  <c r="G489" i="68"/>
  <c r="F489" i="68"/>
  <c r="T488" i="68"/>
  <c r="S488" i="68"/>
  <c r="R488" i="68"/>
  <c r="Q488" i="68"/>
  <c r="P488" i="68"/>
  <c r="O488" i="68"/>
  <c r="N488" i="68"/>
  <c r="M488" i="68"/>
  <c r="L488" i="68"/>
  <c r="K488" i="68"/>
  <c r="J488" i="68"/>
  <c r="I488" i="68"/>
  <c r="H488" i="68"/>
  <c r="G488" i="68"/>
  <c r="F488" i="68"/>
  <c r="T487" i="68"/>
  <c r="S487" i="68"/>
  <c r="R487" i="68"/>
  <c r="Q487" i="68"/>
  <c r="P487" i="68"/>
  <c r="O487" i="68"/>
  <c r="N487" i="68"/>
  <c r="M487" i="68"/>
  <c r="L487" i="68"/>
  <c r="K487" i="68"/>
  <c r="J487" i="68"/>
  <c r="I487" i="68"/>
  <c r="H487" i="68"/>
  <c r="G487" i="68"/>
  <c r="F487" i="68"/>
  <c r="T486" i="68"/>
  <c r="S486" i="68"/>
  <c r="R486" i="68"/>
  <c r="Q486" i="68"/>
  <c r="P486" i="68"/>
  <c r="O486" i="68"/>
  <c r="N486" i="68"/>
  <c r="M486" i="68"/>
  <c r="L486" i="68"/>
  <c r="K486" i="68"/>
  <c r="J486" i="68"/>
  <c r="I486" i="68"/>
  <c r="H486" i="68"/>
  <c r="G486" i="68"/>
  <c r="F486" i="68"/>
  <c r="T485" i="68"/>
  <c r="S485" i="68"/>
  <c r="R485" i="68"/>
  <c r="Q485" i="68"/>
  <c r="P485" i="68"/>
  <c r="O485" i="68"/>
  <c r="N485" i="68"/>
  <c r="M485" i="68"/>
  <c r="L485" i="68"/>
  <c r="K485" i="68"/>
  <c r="J485" i="68"/>
  <c r="I485" i="68"/>
  <c r="H485" i="68"/>
  <c r="G485" i="68"/>
  <c r="F485" i="68"/>
  <c r="T484" i="68"/>
  <c r="S484" i="68"/>
  <c r="R484" i="68"/>
  <c r="Q484" i="68"/>
  <c r="P484" i="68"/>
  <c r="O484" i="68"/>
  <c r="N484" i="68"/>
  <c r="M484" i="68"/>
  <c r="L484" i="68"/>
  <c r="K484" i="68"/>
  <c r="J484" i="68"/>
  <c r="I484" i="68"/>
  <c r="H484" i="68"/>
  <c r="G484" i="68"/>
  <c r="F484" i="68"/>
  <c r="T483" i="68"/>
  <c r="S483" i="68"/>
  <c r="R483" i="68"/>
  <c r="Q483" i="68"/>
  <c r="P483" i="68"/>
  <c r="O483" i="68"/>
  <c r="N483" i="68"/>
  <c r="M483" i="68"/>
  <c r="L483" i="68"/>
  <c r="K483" i="68"/>
  <c r="J483" i="68"/>
  <c r="I483" i="68"/>
  <c r="H483" i="68"/>
  <c r="G483" i="68"/>
  <c r="F483" i="68"/>
  <c r="T482" i="68"/>
  <c r="S482" i="68"/>
  <c r="R482" i="68"/>
  <c r="Q482" i="68"/>
  <c r="P482" i="68"/>
  <c r="O482" i="68"/>
  <c r="N482" i="68"/>
  <c r="M482" i="68"/>
  <c r="L482" i="68"/>
  <c r="K482" i="68"/>
  <c r="J482" i="68"/>
  <c r="I482" i="68"/>
  <c r="H482" i="68"/>
  <c r="G482" i="68"/>
  <c r="F482" i="68"/>
  <c r="T481" i="68"/>
  <c r="S481" i="68"/>
  <c r="R481" i="68"/>
  <c r="Q481" i="68"/>
  <c r="P481" i="68"/>
  <c r="O481" i="68"/>
  <c r="N481" i="68"/>
  <c r="M481" i="68"/>
  <c r="L481" i="68"/>
  <c r="K481" i="68"/>
  <c r="J481" i="68"/>
  <c r="I481" i="68"/>
  <c r="H481" i="68"/>
  <c r="G481" i="68"/>
  <c r="F481" i="68"/>
  <c r="T480" i="68"/>
  <c r="S480" i="68"/>
  <c r="R480" i="68"/>
  <c r="Q480" i="68"/>
  <c r="P480" i="68"/>
  <c r="O480" i="68"/>
  <c r="N480" i="68"/>
  <c r="M480" i="68"/>
  <c r="L480" i="68"/>
  <c r="K480" i="68"/>
  <c r="J480" i="68"/>
  <c r="I480" i="68"/>
  <c r="H480" i="68"/>
  <c r="G480" i="68"/>
  <c r="F480" i="68"/>
  <c r="T479" i="68"/>
  <c r="S479" i="68"/>
  <c r="R479" i="68"/>
  <c r="Q479" i="68"/>
  <c r="P479" i="68"/>
  <c r="O479" i="68"/>
  <c r="N479" i="68"/>
  <c r="M479" i="68"/>
  <c r="L479" i="68"/>
  <c r="K479" i="68"/>
  <c r="J479" i="68"/>
  <c r="I479" i="68"/>
  <c r="H479" i="68"/>
  <c r="G479" i="68"/>
  <c r="F479" i="68"/>
  <c r="T478" i="68"/>
  <c r="S478" i="68"/>
  <c r="R478" i="68"/>
  <c r="Q478" i="68"/>
  <c r="P478" i="68"/>
  <c r="O478" i="68"/>
  <c r="N478" i="68"/>
  <c r="M478" i="68"/>
  <c r="L478" i="68"/>
  <c r="K478" i="68"/>
  <c r="J478" i="68"/>
  <c r="I478" i="68"/>
  <c r="H478" i="68"/>
  <c r="G478" i="68"/>
  <c r="F478" i="68"/>
  <c r="T477" i="68"/>
  <c r="S477" i="68"/>
  <c r="R477" i="68"/>
  <c r="Q477" i="68"/>
  <c r="P477" i="68"/>
  <c r="O477" i="68"/>
  <c r="N477" i="68"/>
  <c r="M477" i="68"/>
  <c r="L477" i="68"/>
  <c r="K477" i="68"/>
  <c r="J477" i="68"/>
  <c r="I477" i="68"/>
  <c r="H477" i="68"/>
  <c r="G477" i="68"/>
  <c r="F477" i="68"/>
  <c r="T476" i="68"/>
  <c r="S476" i="68"/>
  <c r="R476" i="68"/>
  <c r="Q476" i="68"/>
  <c r="P476" i="68"/>
  <c r="O476" i="68"/>
  <c r="N476" i="68"/>
  <c r="M476" i="68"/>
  <c r="L476" i="68"/>
  <c r="K476" i="68"/>
  <c r="J476" i="68"/>
  <c r="I476" i="68"/>
  <c r="H476" i="68"/>
  <c r="G476" i="68"/>
  <c r="F476" i="68"/>
  <c r="T475" i="68"/>
  <c r="S475" i="68"/>
  <c r="R475" i="68"/>
  <c r="Q475" i="68"/>
  <c r="P475" i="68"/>
  <c r="O475" i="68"/>
  <c r="N475" i="68"/>
  <c r="M475" i="68"/>
  <c r="L475" i="68"/>
  <c r="K475" i="68"/>
  <c r="J475" i="68"/>
  <c r="I475" i="68"/>
  <c r="H475" i="68"/>
  <c r="G475" i="68"/>
  <c r="F475" i="68"/>
  <c r="T474" i="68"/>
  <c r="S474" i="68"/>
  <c r="R474" i="68"/>
  <c r="Q474" i="68"/>
  <c r="P474" i="68"/>
  <c r="O474" i="68"/>
  <c r="N474" i="68"/>
  <c r="M474" i="68"/>
  <c r="L474" i="68"/>
  <c r="K474" i="68"/>
  <c r="J474" i="68"/>
  <c r="I474" i="68"/>
  <c r="H474" i="68"/>
  <c r="G474" i="68"/>
  <c r="F474" i="68"/>
  <c r="T473" i="68"/>
  <c r="S473" i="68"/>
  <c r="R473" i="68"/>
  <c r="Q473" i="68"/>
  <c r="P473" i="68"/>
  <c r="O473" i="68"/>
  <c r="N473" i="68"/>
  <c r="M473" i="68"/>
  <c r="L473" i="68"/>
  <c r="K473" i="68"/>
  <c r="J473" i="68"/>
  <c r="I473" i="68"/>
  <c r="H473" i="68"/>
  <c r="G473" i="68"/>
  <c r="F473" i="68"/>
  <c r="T472" i="68"/>
  <c r="S472" i="68"/>
  <c r="R472" i="68"/>
  <c r="Q472" i="68"/>
  <c r="P472" i="68"/>
  <c r="O472" i="68"/>
  <c r="N472" i="68"/>
  <c r="M472" i="68"/>
  <c r="L472" i="68"/>
  <c r="K472" i="68"/>
  <c r="J472" i="68"/>
  <c r="I472" i="68"/>
  <c r="H472" i="68"/>
  <c r="G472" i="68"/>
  <c r="F472" i="68"/>
  <c r="T471" i="68"/>
  <c r="S471" i="68"/>
  <c r="R471" i="68"/>
  <c r="Q471" i="68"/>
  <c r="P471" i="68"/>
  <c r="O471" i="68"/>
  <c r="N471" i="68"/>
  <c r="M471" i="68"/>
  <c r="L471" i="68"/>
  <c r="K471" i="68"/>
  <c r="J471" i="68"/>
  <c r="I471" i="68"/>
  <c r="H471" i="68"/>
  <c r="G471" i="68"/>
  <c r="F471" i="68"/>
  <c r="T470" i="68"/>
  <c r="S470" i="68"/>
  <c r="R470" i="68"/>
  <c r="Q470" i="68"/>
  <c r="P470" i="68"/>
  <c r="O470" i="68"/>
  <c r="N470" i="68"/>
  <c r="M470" i="68"/>
  <c r="L470" i="68"/>
  <c r="K470" i="68"/>
  <c r="J470" i="68"/>
  <c r="I470" i="68"/>
  <c r="H470" i="68"/>
  <c r="G470" i="68"/>
  <c r="F470" i="68"/>
  <c r="T469" i="68"/>
  <c r="S469" i="68"/>
  <c r="R469" i="68"/>
  <c r="Q469" i="68"/>
  <c r="P469" i="68"/>
  <c r="O469" i="68"/>
  <c r="N469" i="68"/>
  <c r="M469" i="68"/>
  <c r="L469" i="68"/>
  <c r="K469" i="68"/>
  <c r="J469" i="68"/>
  <c r="I469" i="68"/>
  <c r="H469" i="68"/>
  <c r="G469" i="68"/>
  <c r="F469" i="68"/>
  <c r="T468" i="68"/>
  <c r="S468" i="68"/>
  <c r="R468" i="68"/>
  <c r="Q468" i="68"/>
  <c r="P468" i="68"/>
  <c r="O468" i="68"/>
  <c r="N468" i="68"/>
  <c r="M468" i="68"/>
  <c r="L468" i="68"/>
  <c r="K468" i="68"/>
  <c r="J468" i="68"/>
  <c r="I468" i="68"/>
  <c r="H468" i="68"/>
  <c r="G468" i="68"/>
  <c r="F468" i="68"/>
  <c r="T467" i="68"/>
  <c r="S467" i="68"/>
  <c r="R467" i="68"/>
  <c r="Q467" i="68"/>
  <c r="P467" i="68"/>
  <c r="O467" i="68"/>
  <c r="N467" i="68"/>
  <c r="M467" i="68"/>
  <c r="L467" i="68"/>
  <c r="K467" i="68"/>
  <c r="J467" i="68"/>
  <c r="I467" i="68"/>
  <c r="H467" i="68"/>
  <c r="G467" i="68"/>
  <c r="F467" i="68"/>
  <c r="T466" i="68"/>
  <c r="S466" i="68"/>
  <c r="R466" i="68"/>
  <c r="Q466" i="68"/>
  <c r="P466" i="68"/>
  <c r="O466" i="68"/>
  <c r="N466" i="68"/>
  <c r="M466" i="68"/>
  <c r="L466" i="68"/>
  <c r="K466" i="68"/>
  <c r="J466" i="68"/>
  <c r="I466" i="68"/>
  <c r="H466" i="68"/>
  <c r="G466" i="68"/>
  <c r="F466" i="68"/>
  <c r="T465" i="68"/>
  <c r="S465" i="68"/>
  <c r="R465" i="68"/>
  <c r="Q465" i="68"/>
  <c r="P465" i="68"/>
  <c r="O465" i="68"/>
  <c r="N465" i="68"/>
  <c r="M465" i="68"/>
  <c r="L465" i="68"/>
  <c r="K465" i="68"/>
  <c r="J465" i="68"/>
  <c r="I465" i="68"/>
  <c r="H465" i="68"/>
  <c r="G465" i="68"/>
  <c r="F465" i="68"/>
  <c r="T464" i="68"/>
  <c r="S464" i="68"/>
  <c r="R464" i="68"/>
  <c r="Q464" i="68"/>
  <c r="P464" i="68"/>
  <c r="O464" i="68"/>
  <c r="N464" i="68"/>
  <c r="M464" i="68"/>
  <c r="L464" i="68"/>
  <c r="K464" i="68"/>
  <c r="J464" i="68"/>
  <c r="I464" i="68"/>
  <c r="H464" i="68"/>
  <c r="G464" i="68"/>
  <c r="F464" i="68"/>
  <c r="T463" i="68"/>
  <c r="S463" i="68"/>
  <c r="R463" i="68"/>
  <c r="Q463" i="68"/>
  <c r="P463" i="68"/>
  <c r="O463" i="68"/>
  <c r="N463" i="68"/>
  <c r="M463" i="68"/>
  <c r="L463" i="68"/>
  <c r="K463" i="68"/>
  <c r="J463" i="68"/>
  <c r="I463" i="68"/>
  <c r="H463" i="68"/>
  <c r="G463" i="68"/>
  <c r="F463" i="68"/>
  <c r="T462" i="68"/>
  <c r="S462" i="68"/>
  <c r="R462" i="68"/>
  <c r="Q462" i="68"/>
  <c r="P462" i="68"/>
  <c r="O462" i="68"/>
  <c r="N462" i="68"/>
  <c r="M462" i="68"/>
  <c r="L462" i="68"/>
  <c r="K462" i="68"/>
  <c r="J462" i="68"/>
  <c r="I462" i="68"/>
  <c r="H462" i="68"/>
  <c r="G462" i="68"/>
  <c r="F462" i="68"/>
  <c r="T461" i="68"/>
  <c r="S461" i="68"/>
  <c r="R461" i="68"/>
  <c r="Q461" i="68"/>
  <c r="P461" i="68"/>
  <c r="O461" i="68"/>
  <c r="N461" i="68"/>
  <c r="M461" i="68"/>
  <c r="L461" i="68"/>
  <c r="K461" i="68"/>
  <c r="J461" i="68"/>
  <c r="I461" i="68"/>
  <c r="H461" i="68"/>
  <c r="G461" i="68"/>
  <c r="F461" i="68"/>
  <c r="T460" i="68"/>
  <c r="S460" i="68"/>
  <c r="R460" i="68"/>
  <c r="Q460" i="68"/>
  <c r="P460" i="68"/>
  <c r="O460" i="68"/>
  <c r="N460" i="68"/>
  <c r="M460" i="68"/>
  <c r="L460" i="68"/>
  <c r="K460" i="68"/>
  <c r="J460" i="68"/>
  <c r="I460" i="68"/>
  <c r="H460" i="68"/>
  <c r="G460" i="68"/>
  <c r="F460" i="68"/>
  <c r="T459" i="68"/>
  <c r="S459" i="68"/>
  <c r="R459" i="68"/>
  <c r="Q459" i="68"/>
  <c r="P459" i="68"/>
  <c r="O459" i="68"/>
  <c r="N459" i="68"/>
  <c r="M459" i="68"/>
  <c r="L459" i="68"/>
  <c r="K459" i="68"/>
  <c r="J459" i="68"/>
  <c r="I459" i="68"/>
  <c r="H459" i="68"/>
  <c r="G459" i="68"/>
  <c r="F459" i="68"/>
  <c r="T458" i="68"/>
  <c r="S458" i="68"/>
  <c r="R458" i="68"/>
  <c r="Q458" i="68"/>
  <c r="P458" i="68"/>
  <c r="O458" i="68"/>
  <c r="N458" i="68"/>
  <c r="M458" i="68"/>
  <c r="L458" i="68"/>
  <c r="K458" i="68"/>
  <c r="J458" i="68"/>
  <c r="I458" i="68"/>
  <c r="H458" i="68"/>
  <c r="G458" i="68"/>
  <c r="F458" i="68"/>
  <c r="T457" i="68"/>
  <c r="S457" i="68"/>
  <c r="R457" i="68"/>
  <c r="Q457" i="68"/>
  <c r="P457" i="68"/>
  <c r="O457" i="68"/>
  <c r="N457" i="68"/>
  <c r="M457" i="68"/>
  <c r="L457" i="68"/>
  <c r="K457" i="68"/>
  <c r="J457" i="68"/>
  <c r="I457" i="68"/>
  <c r="H457" i="68"/>
  <c r="G457" i="68"/>
  <c r="F457" i="68"/>
  <c r="T456" i="68"/>
  <c r="S456" i="68"/>
  <c r="R456" i="68"/>
  <c r="Q456" i="68"/>
  <c r="P456" i="68"/>
  <c r="O456" i="68"/>
  <c r="N456" i="68"/>
  <c r="M456" i="68"/>
  <c r="L456" i="68"/>
  <c r="K456" i="68"/>
  <c r="J456" i="68"/>
  <c r="I456" i="68"/>
  <c r="H456" i="68"/>
  <c r="G456" i="68"/>
  <c r="F456" i="68"/>
  <c r="T455" i="68"/>
  <c r="S455" i="68"/>
  <c r="R455" i="68"/>
  <c r="Q455" i="68"/>
  <c r="P455" i="68"/>
  <c r="O455" i="68"/>
  <c r="N455" i="68"/>
  <c r="M455" i="68"/>
  <c r="L455" i="68"/>
  <c r="K455" i="68"/>
  <c r="J455" i="68"/>
  <c r="I455" i="68"/>
  <c r="H455" i="68"/>
  <c r="G455" i="68"/>
  <c r="F455" i="68"/>
  <c r="T454" i="68"/>
  <c r="S454" i="68"/>
  <c r="R454" i="68"/>
  <c r="Q454" i="68"/>
  <c r="P454" i="68"/>
  <c r="O454" i="68"/>
  <c r="N454" i="68"/>
  <c r="M454" i="68"/>
  <c r="L454" i="68"/>
  <c r="K454" i="68"/>
  <c r="J454" i="68"/>
  <c r="I454" i="68"/>
  <c r="H454" i="68"/>
  <c r="G454" i="68"/>
  <c r="F454" i="68"/>
  <c r="T453" i="68"/>
  <c r="S453" i="68"/>
  <c r="R453" i="68"/>
  <c r="Q453" i="68"/>
  <c r="P453" i="68"/>
  <c r="O453" i="68"/>
  <c r="N453" i="68"/>
  <c r="M453" i="68"/>
  <c r="L453" i="68"/>
  <c r="K453" i="68"/>
  <c r="J453" i="68"/>
  <c r="I453" i="68"/>
  <c r="H453" i="68"/>
  <c r="G453" i="68"/>
  <c r="F453" i="68"/>
  <c r="T452" i="68"/>
  <c r="S452" i="68"/>
  <c r="R452" i="68"/>
  <c r="Q452" i="68"/>
  <c r="P452" i="68"/>
  <c r="O452" i="68"/>
  <c r="N452" i="68"/>
  <c r="M452" i="68"/>
  <c r="L452" i="68"/>
  <c r="K452" i="68"/>
  <c r="J452" i="68"/>
  <c r="I452" i="68"/>
  <c r="H452" i="68"/>
  <c r="G452" i="68"/>
  <c r="F452" i="68"/>
  <c r="T451" i="68"/>
  <c r="S451" i="68"/>
  <c r="R451" i="68"/>
  <c r="Q451" i="68"/>
  <c r="P451" i="68"/>
  <c r="O451" i="68"/>
  <c r="N451" i="68"/>
  <c r="M451" i="68"/>
  <c r="L451" i="68"/>
  <c r="K451" i="68"/>
  <c r="J451" i="68"/>
  <c r="I451" i="68"/>
  <c r="H451" i="68"/>
  <c r="G451" i="68"/>
  <c r="F451" i="68"/>
  <c r="T450" i="68"/>
  <c r="S450" i="68"/>
  <c r="R450" i="68"/>
  <c r="Q450" i="68"/>
  <c r="P450" i="68"/>
  <c r="O450" i="68"/>
  <c r="N450" i="68"/>
  <c r="M450" i="68"/>
  <c r="L450" i="68"/>
  <c r="K450" i="68"/>
  <c r="J450" i="68"/>
  <c r="I450" i="68"/>
  <c r="H450" i="68"/>
  <c r="G450" i="68"/>
  <c r="F450" i="68"/>
  <c r="T449" i="68"/>
  <c r="S449" i="68"/>
  <c r="R449" i="68"/>
  <c r="Q449" i="68"/>
  <c r="P449" i="68"/>
  <c r="O449" i="68"/>
  <c r="N449" i="68"/>
  <c r="M449" i="68"/>
  <c r="L449" i="68"/>
  <c r="K449" i="68"/>
  <c r="J449" i="68"/>
  <c r="I449" i="68"/>
  <c r="H449" i="68"/>
  <c r="G449" i="68"/>
  <c r="F449" i="68"/>
  <c r="T448" i="68"/>
  <c r="S448" i="68"/>
  <c r="R448" i="68"/>
  <c r="Q448" i="68"/>
  <c r="P448" i="68"/>
  <c r="O448" i="68"/>
  <c r="N448" i="68"/>
  <c r="M448" i="68"/>
  <c r="L448" i="68"/>
  <c r="K448" i="68"/>
  <c r="J448" i="68"/>
  <c r="I448" i="68"/>
  <c r="H448" i="68"/>
  <c r="G448" i="68"/>
  <c r="F448" i="68"/>
  <c r="T447" i="68"/>
  <c r="S447" i="68"/>
  <c r="R447" i="68"/>
  <c r="Q447" i="68"/>
  <c r="P447" i="68"/>
  <c r="O447" i="68"/>
  <c r="N447" i="68"/>
  <c r="M447" i="68"/>
  <c r="L447" i="68"/>
  <c r="K447" i="68"/>
  <c r="J447" i="68"/>
  <c r="I447" i="68"/>
  <c r="H447" i="68"/>
  <c r="G447" i="68"/>
  <c r="F447" i="68"/>
  <c r="T446" i="68"/>
  <c r="S446" i="68"/>
  <c r="R446" i="68"/>
  <c r="Q446" i="68"/>
  <c r="P446" i="68"/>
  <c r="O446" i="68"/>
  <c r="N446" i="68"/>
  <c r="M446" i="68"/>
  <c r="L446" i="68"/>
  <c r="K446" i="68"/>
  <c r="J446" i="68"/>
  <c r="I446" i="68"/>
  <c r="H446" i="68"/>
  <c r="G446" i="68"/>
  <c r="F446" i="68"/>
  <c r="T445" i="68"/>
  <c r="S445" i="68"/>
  <c r="R445" i="68"/>
  <c r="Q445" i="68"/>
  <c r="P445" i="68"/>
  <c r="O445" i="68"/>
  <c r="N445" i="68"/>
  <c r="M445" i="68"/>
  <c r="L445" i="68"/>
  <c r="K445" i="68"/>
  <c r="J445" i="68"/>
  <c r="I445" i="68"/>
  <c r="H445" i="68"/>
  <c r="G445" i="68"/>
  <c r="F445" i="68"/>
  <c r="T444" i="68"/>
  <c r="S444" i="68"/>
  <c r="R444" i="68"/>
  <c r="Q444" i="68"/>
  <c r="P444" i="68"/>
  <c r="O444" i="68"/>
  <c r="N444" i="68"/>
  <c r="M444" i="68"/>
  <c r="L444" i="68"/>
  <c r="K444" i="68"/>
  <c r="J444" i="68"/>
  <c r="I444" i="68"/>
  <c r="H444" i="68"/>
  <c r="G444" i="68"/>
  <c r="F444" i="68"/>
  <c r="T443" i="68"/>
  <c r="S443" i="68"/>
  <c r="R443" i="68"/>
  <c r="Q443" i="68"/>
  <c r="P443" i="68"/>
  <c r="O443" i="68"/>
  <c r="N443" i="68"/>
  <c r="M443" i="68"/>
  <c r="L443" i="68"/>
  <c r="K443" i="68"/>
  <c r="J443" i="68"/>
  <c r="I443" i="68"/>
  <c r="H443" i="68"/>
  <c r="G443" i="68"/>
  <c r="F443" i="68"/>
  <c r="T442" i="68"/>
  <c r="S442" i="68"/>
  <c r="R442" i="68"/>
  <c r="Q442" i="68"/>
  <c r="P442" i="68"/>
  <c r="O442" i="68"/>
  <c r="N442" i="68"/>
  <c r="M442" i="68"/>
  <c r="L442" i="68"/>
  <c r="K442" i="68"/>
  <c r="J442" i="68"/>
  <c r="I442" i="68"/>
  <c r="H442" i="68"/>
  <c r="G442" i="68"/>
  <c r="F442" i="68"/>
  <c r="T441" i="68"/>
  <c r="S441" i="68"/>
  <c r="R441" i="68"/>
  <c r="Q441" i="68"/>
  <c r="P441" i="68"/>
  <c r="O441" i="68"/>
  <c r="N441" i="68"/>
  <c r="M441" i="68"/>
  <c r="L441" i="68"/>
  <c r="K441" i="68"/>
  <c r="J441" i="68"/>
  <c r="I441" i="68"/>
  <c r="H441" i="68"/>
  <c r="G441" i="68"/>
  <c r="F441" i="68"/>
  <c r="T440" i="68"/>
  <c r="S440" i="68"/>
  <c r="R440" i="68"/>
  <c r="Q440" i="68"/>
  <c r="P440" i="68"/>
  <c r="O440" i="68"/>
  <c r="N440" i="68"/>
  <c r="M440" i="68"/>
  <c r="L440" i="68"/>
  <c r="K440" i="68"/>
  <c r="J440" i="68"/>
  <c r="I440" i="68"/>
  <c r="H440" i="68"/>
  <c r="G440" i="68"/>
  <c r="F440" i="68"/>
  <c r="T439" i="68"/>
  <c r="S439" i="68"/>
  <c r="R439" i="68"/>
  <c r="Q439" i="68"/>
  <c r="P439" i="68"/>
  <c r="O439" i="68"/>
  <c r="N439" i="68"/>
  <c r="M439" i="68"/>
  <c r="L439" i="68"/>
  <c r="K439" i="68"/>
  <c r="J439" i="68"/>
  <c r="I439" i="68"/>
  <c r="H439" i="68"/>
  <c r="G439" i="68"/>
  <c r="F439" i="68"/>
  <c r="T438" i="68"/>
  <c r="S438" i="68"/>
  <c r="R438" i="68"/>
  <c r="Q438" i="68"/>
  <c r="P438" i="68"/>
  <c r="O438" i="68"/>
  <c r="N438" i="68"/>
  <c r="M438" i="68"/>
  <c r="L438" i="68"/>
  <c r="K438" i="68"/>
  <c r="J438" i="68"/>
  <c r="I438" i="68"/>
  <c r="H438" i="68"/>
  <c r="G438" i="68"/>
  <c r="F438" i="68"/>
  <c r="T437" i="68"/>
  <c r="S437" i="68"/>
  <c r="R437" i="68"/>
  <c r="Q437" i="68"/>
  <c r="P437" i="68"/>
  <c r="O437" i="68"/>
  <c r="N437" i="68"/>
  <c r="M437" i="68"/>
  <c r="L437" i="68"/>
  <c r="K437" i="68"/>
  <c r="J437" i="68"/>
  <c r="I437" i="68"/>
  <c r="H437" i="68"/>
  <c r="G437" i="68"/>
  <c r="F437" i="68"/>
  <c r="T436" i="68"/>
  <c r="S436" i="68"/>
  <c r="R436" i="68"/>
  <c r="Q436" i="68"/>
  <c r="P436" i="68"/>
  <c r="O436" i="68"/>
  <c r="N436" i="68"/>
  <c r="M436" i="68"/>
  <c r="L436" i="68"/>
  <c r="K436" i="68"/>
  <c r="J436" i="68"/>
  <c r="I436" i="68"/>
  <c r="H436" i="68"/>
  <c r="G436" i="68"/>
  <c r="F436" i="68"/>
  <c r="T435" i="68"/>
  <c r="S435" i="68"/>
  <c r="R435" i="68"/>
  <c r="Q435" i="68"/>
  <c r="P435" i="68"/>
  <c r="O435" i="68"/>
  <c r="N435" i="68"/>
  <c r="M435" i="68"/>
  <c r="L435" i="68"/>
  <c r="K435" i="68"/>
  <c r="J435" i="68"/>
  <c r="I435" i="68"/>
  <c r="H435" i="68"/>
  <c r="G435" i="68"/>
  <c r="F435" i="68"/>
  <c r="T434" i="68"/>
  <c r="S434" i="68"/>
  <c r="R434" i="68"/>
  <c r="Q434" i="68"/>
  <c r="P434" i="68"/>
  <c r="O434" i="68"/>
  <c r="N434" i="68"/>
  <c r="M434" i="68"/>
  <c r="L434" i="68"/>
  <c r="K434" i="68"/>
  <c r="J434" i="68"/>
  <c r="I434" i="68"/>
  <c r="H434" i="68"/>
  <c r="G434" i="68"/>
  <c r="F434" i="68"/>
  <c r="T433" i="68"/>
  <c r="S433" i="68"/>
  <c r="R433" i="68"/>
  <c r="Q433" i="68"/>
  <c r="P433" i="68"/>
  <c r="O433" i="68"/>
  <c r="N433" i="68"/>
  <c r="M433" i="68"/>
  <c r="L433" i="68"/>
  <c r="K433" i="68"/>
  <c r="J433" i="68"/>
  <c r="I433" i="68"/>
  <c r="H433" i="68"/>
  <c r="G433" i="68"/>
  <c r="F433" i="68"/>
  <c r="T432" i="68"/>
  <c r="S432" i="68"/>
  <c r="R432" i="68"/>
  <c r="Q432" i="68"/>
  <c r="P432" i="68"/>
  <c r="O432" i="68"/>
  <c r="N432" i="68"/>
  <c r="M432" i="68"/>
  <c r="L432" i="68"/>
  <c r="K432" i="68"/>
  <c r="J432" i="68"/>
  <c r="I432" i="68"/>
  <c r="H432" i="68"/>
  <c r="G432" i="68"/>
  <c r="F432" i="68"/>
  <c r="T431" i="68"/>
  <c r="S431" i="68"/>
  <c r="R431" i="68"/>
  <c r="Q431" i="68"/>
  <c r="P431" i="68"/>
  <c r="O431" i="68"/>
  <c r="N431" i="68"/>
  <c r="M431" i="68"/>
  <c r="L431" i="68"/>
  <c r="K431" i="68"/>
  <c r="J431" i="68"/>
  <c r="I431" i="68"/>
  <c r="H431" i="68"/>
  <c r="G431" i="68"/>
  <c r="F431" i="68"/>
  <c r="T430" i="68"/>
  <c r="S430" i="68"/>
  <c r="R430" i="68"/>
  <c r="Q430" i="68"/>
  <c r="P430" i="68"/>
  <c r="O430" i="68"/>
  <c r="N430" i="68"/>
  <c r="M430" i="68"/>
  <c r="L430" i="68"/>
  <c r="K430" i="68"/>
  <c r="J430" i="68"/>
  <c r="I430" i="68"/>
  <c r="H430" i="68"/>
  <c r="G430" i="68"/>
  <c r="F430" i="68"/>
  <c r="T429" i="68"/>
  <c r="S429" i="68"/>
  <c r="R429" i="68"/>
  <c r="Q429" i="68"/>
  <c r="P429" i="68"/>
  <c r="O429" i="68"/>
  <c r="N429" i="68"/>
  <c r="M429" i="68"/>
  <c r="L429" i="68"/>
  <c r="K429" i="68"/>
  <c r="J429" i="68"/>
  <c r="I429" i="68"/>
  <c r="H429" i="68"/>
  <c r="G429" i="68"/>
  <c r="F429" i="68"/>
  <c r="T428" i="68"/>
  <c r="S428" i="68"/>
  <c r="R428" i="68"/>
  <c r="Q428" i="68"/>
  <c r="P428" i="68"/>
  <c r="O428" i="68"/>
  <c r="N428" i="68"/>
  <c r="M428" i="68"/>
  <c r="L428" i="68"/>
  <c r="K428" i="68"/>
  <c r="J428" i="68"/>
  <c r="I428" i="68"/>
  <c r="H428" i="68"/>
  <c r="G428" i="68"/>
  <c r="F428" i="68"/>
  <c r="T427" i="68"/>
  <c r="S427" i="68"/>
  <c r="R427" i="68"/>
  <c r="Q427" i="68"/>
  <c r="P427" i="68"/>
  <c r="O427" i="68"/>
  <c r="N427" i="68"/>
  <c r="M427" i="68"/>
  <c r="L427" i="68"/>
  <c r="K427" i="68"/>
  <c r="J427" i="68"/>
  <c r="I427" i="68"/>
  <c r="H427" i="68"/>
  <c r="G427" i="68"/>
  <c r="F427" i="68"/>
  <c r="T426" i="68"/>
  <c r="S426" i="68"/>
  <c r="R426" i="68"/>
  <c r="Q426" i="68"/>
  <c r="P426" i="68"/>
  <c r="O426" i="68"/>
  <c r="N426" i="68"/>
  <c r="M426" i="68"/>
  <c r="L426" i="68"/>
  <c r="K426" i="68"/>
  <c r="J426" i="68"/>
  <c r="I426" i="68"/>
  <c r="H426" i="68"/>
  <c r="G426" i="68"/>
  <c r="F426" i="68"/>
  <c r="T425" i="68"/>
  <c r="S425" i="68"/>
  <c r="R425" i="68"/>
  <c r="Q425" i="68"/>
  <c r="P425" i="68"/>
  <c r="O425" i="68"/>
  <c r="N425" i="68"/>
  <c r="M425" i="68"/>
  <c r="L425" i="68"/>
  <c r="K425" i="68"/>
  <c r="J425" i="68"/>
  <c r="I425" i="68"/>
  <c r="H425" i="68"/>
  <c r="G425" i="68"/>
  <c r="F425" i="68"/>
  <c r="T424" i="68"/>
  <c r="S424" i="68"/>
  <c r="R424" i="68"/>
  <c r="Q424" i="68"/>
  <c r="P424" i="68"/>
  <c r="O424" i="68"/>
  <c r="N424" i="68"/>
  <c r="M424" i="68"/>
  <c r="L424" i="68"/>
  <c r="K424" i="68"/>
  <c r="J424" i="68"/>
  <c r="I424" i="68"/>
  <c r="H424" i="68"/>
  <c r="G424" i="68"/>
  <c r="F424" i="68"/>
  <c r="T423" i="68"/>
  <c r="S423" i="68"/>
  <c r="R423" i="68"/>
  <c r="Q423" i="68"/>
  <c r="P423" i="68"/>
  <c r="O423" i="68"/>
  <c r="N423" i="68"/>
  <c r="M423" i="68"/>
  <c r="L423" i="68"/>
  <c r="K423" i="68"/>
  <c r="J423" i="68"/>
  <c r="I423" i="68"/>
  <c r="H423" i="68"/>
  <c r="G423" i="68"/>
  <c r="F423" i="68"/>
  <c r="T422" i="68"/>
  <c r="S422" i="68"/>
  <c r="R422" i="68"/>
  <c r="Q422" i="68"/>
  <c r="P422" i="68"/>
  <c r="O422" i="68"/>
  <c r="N422" i="68"/>
  <c r="M422" i="68"/>
  <c r="L422" i="68"/>
  <c r="K422" i="68"/>
  <c r="J422" i="68"/>
  <c r="I422" i="68"/>
  <c r="H422" i="68"/>
  <c r="G422" i="68"/>
  <c r="F422" i="68"/>
  <c r="T421" i="68"/>
  <c r="S421" i="68"/>
  <c r="R421" i="68"/>
  <c r="Q421" i="68"/>
  <c r="P421" i="68"/>
  <c r="O421" i="68"/>
  <c r="N421" i="68"/>
  <c r="M421" i="68"/>
  <c r="L421" i="68"/>
  <c r="K421" i="68"/>
  <c r="J421" i="68"/>
  <c r="I421" i="68"/>
  <c r="H421" i="68"/>
  <c r="G421" i="68"/>
  <c r="F421" i="68"/>
  <c r="T420" i="68"/>
  <c r="S420" i="68"/>
  <c r="R420" i="68"/>
  <c r="Q420" i="68"/>
  <c r="P420" i="68"/>
  <c r="O420" i="68"/>
  <c r="N420" i="68"/>
  <c r="M420" i="68"/>
  <c r="L420" i="68"/>
  <c r="K420" i="68"/>
  <c r="J420" i="68"/>
  <c r="I420" i="68"/>
  <c r="H420" i="68"/>
  <c r="G420" i="68"/>
  <c r="F420" i="68"/>
  <c r="T419" i="68"/>
  <c r="S419" i="68"/>
  <c r="R419" i="68"/>
  <c r="Q419" i="68"/>
  <c r="P419" i="68"/>
  <c r="O419" i="68"/>
  <c r="N419" i="68"/>
  <c r="M419" i="68"/>
  <c r="L419" i="68"/>
  <c r="K419" i="68"/>
  <c r="J419" i="68"/>
  <c r="I419" i="68"/>
  <c r="H419" i="68"/>
  <c r="G419" i="68"/>
  <c r="F419" i="68"/>
  <c r="T418" i="68"/>
  <c r="S418" i="68"/>
  <c r="R418" i="68"/>
  <c r="Q418" i="68"/>
  <c r="P418" i="68"/>
  <c r="O418" i="68"/>
  <c r="N418" i="68"/>
  <c r="M418" i="68"/>
  <c r="L418" i="68"/>
  <c r="K418" i="68"/>
  <c r="J418" i="68"/>
  <c r="I418" i="68"/>
  <c r="H418" i="68"/>
  <c r="G418" i="68"/>
  <c r="F418" i="68"/>
  <c r="T417" i="68"/>
  <c r="S417" i="68"/>
  <c r="R417" i="68"/>
  <c r="Q417" i="68"/>
  <c r="P417" i="68"/>
  <c r="O417" i="68"/>
  <c r="N417" i="68"/>
  <c r="M417" i="68"/>
  <c r="L417" i="68"/>
  <c r="K417" i="68"/>
  <c r="J417" i="68"/>
  <c r="I417" i="68"/>
  <c r="H417" i="68"/>
  <c r="G417" i="68"/>
  <c r="F417" i="68"/>
  <c r="T416" i="68"/>
  <c r="S416" i="68"/>
  <c r="R416" i="68"/>
  <c r="Q416" i="68"/>
  <c r="P416" i="68"/>
  <c r="O416" i="68"/>
  <c r="N416" i="68"/>
  <c r="M416" i="68"/>
  <c r="L416" i="68"/>
  <c r="K416" i="68"/>
  <c r="J416" i="68"/>
  <c r="I416" i="68"/>
  <c r="H416" i="68"/>
  <c r="G416" i="68"/>
  <c r="F416" i="68"/>
  <c r="T415" i="68"/>
  <c r="S415" i="68"/>
  <c r="R415" i="68"/>
  <c r="Q415" i="68"/>
  <c r="P415" i="68"/>
  <c r="O415" i="68"/>
  <c r="N415" i="68"/>
  <c r="M415" i="68"/>
  <c r="L415" i="68"/>
  <c r="K415" i="68"/>
  <c r="J415" i="68"/>
  <c r="I415" i="68"/>
  <c r="H415" i="68"/>
  <c r="G415" i="68"/>
  <c r="F415" i="68"/>
  <c r="T414" i="68"/>
  <c r="S414" i="68"/>
  <c r="R414" i="68"/>
  <c r="Q414" i="68"/>
  <c r="P414" i="68"/>
  <c r="O414" i="68"/>
  <c r="N414" i="68"/>
  <c r="M414" i="68"/>
  <c r="L414" i="68"/>
  <c r="K414" i="68"/>
  <c r="J414" i="68"/>
  <c r="I414" i="68"/>
  <c r="H414" i="68"/>
  <c r="G414" i="68"/>
  <c r="F414" i="68"/>
  <c r="T413" i="68"/>
  <c r="S413" i="68"/>
  <c r="R413" i="68"/>
  <c r="Q413" i="68"/>
  <c r="P413" i="68"/>
  <c r="O413" i="68"/>
  <c r="N413" i="68"/>
  <c r="M413" i="68"/>
  <c r="L413" i="68"/>
  <c r="K413" i="68"/>
  <c r="J413" i="68"/>
  <c r="I413" i="68"/>
  <c r="H413" i="68"/>
  <c r="G413" i="68"/>
  <c r="F413" i="68"/>
  <c r="T412" i="68"/>
  <c r="S412" i="68"/>
  <c r="R412" i="68"/>
  <c r="Q412" i="68"/>
  <c r="P412" i="68"/>
  <c r="O412" i="68"/>
  <c r="N412" i="68"/>
  <c r="M412" i="68"/>
  <c r="L412" i="68"/>
  <c r="K412" i="68"/>
  <c r="J412" i="68"/>
  <c r="I412" i="68"/>
  <c r="H412" i="68"/>
  <c r="G412" i="68"/>
  <c r="F412" i="68"/>
  <c r="T411" i="68"/>
  <c r="S411" i="68"/>
  <c r="R411" i="68"/>
  <c r="Q411" i="68"/>
  <c r="P411" i="68"/>
  <c r="O411" i="68"/>
  <c r="N411" i="68"/>
  <c r="M411" i="68"/>
  <c r="L411" i="68"/>
  <c r="K411" i="68"/>
  <c r="J411" i="68"/>
  <c r="I411" i="68"/>
  <c r="H411" i="68"/>
  <c r="G411" i="68"/>
  <c r="F411" i="68"/>
  <c r="T410" i="68"/>
  <c r="S410" i="68"/>
  <c r="R410" i="68"/>
  <c r="Q410" i="68"/>
  <c r="P410" i="68"/>
  <c r="O410" i="68"/>
  <c r="N410" i="68"/>
  <c r="M410" i="68"/>
  <c r="L410" i="68"/>
  <c r="K410" i="68"/>
  <c r="J410" i="68"/>
  <c r="I410" i="68"/>
  <c r="H410" i="68"/>
  <c r="G410" i="68"/>
  <c r="F410" i="68"/>
  <c r="T409" i="68"/>
  <c r="S409" i="68"/>
  <c r="R409" i="68"/>
  <c r="Q409" i="68"/>
  <c r="P409" i="68"/>
  <c r="O409" i="68"/>
  <c r="N409" i="68"/>
  <c r="M409" i="68"/>
  <c r="L409" i="68"/>
  <c r="K409" i="68"/>
  <c r="J409" i="68"/>
  <c r="I409" i="68"/>
  <c r="H409" i="68"/>
  <c r="G409" i="68"/>
  <c r="F409" i="68"/>
  <c r="T408" i="68"/>
  <c r="S408" i="68"/>
  <c r="R408" i="68"/>
  <c r="Q408" i="68"/>
  <c r="P408" i="68"/>
  <c r="O408" i="68"/>
  <c r="N408" i="68"/>
  <c r="M408" i="68"/>
  <c r="L408" i="68"/>
  <c r="K408" i="68"/>
  <c r="J408" i="68"/>
  <c r="I408" i="68"/>
  <c r="H408" i="68"/>
  <c r="G408" i="68"/>
  <c r="F408" i="68"/>
  <c r="T407" i="68"/>
  <c r="S407" i="68"/>
  <c r="R407" i="68"/>
  <c r="Q407" i="68"/>
  <c r="P407" i="68"/>
  <c r="O407" i="68"/>
  <c r="N407" i="68"/>
  <c r="M407" i="68"/>
  <c r="L407" i="68"/>
  <c r="K407" i="68"/>
  <c r="J407" i="68"/>
  <c r="I407" i="68"/>
  <c r="H407" i="68"/>
  <c r="G407" i="68"/>
  <c r="F407" i="68"/>
  <c r="T406" i="68"/>
  <c r="S406" i="68"/>
  <c r="R406" i="68"/>
  <c r="Q406" i="68"/>
  <c r="P406" i="68"/>
  <c r="O406" i="68"/>
  <c r="N406" i="68"/>
  <c r="M406" i="68"/>
  <c r="L406" i="68"/>
  <c r="K406" i="68"/>
  <c r="J406" i="68"/>
  <c r="I406" i="68"/>
  <c r="H406" i="68"/>
  <c r="G406" i="68"/>
  <c r="F406" i="68"/>
  <c r="T405" i="68"/>
  <c r="S405" i="68"/>
  <c r="R405" i="68"/>
  <c r="Q405" i="68"/>
  <c r="P405" i="68"/>
  <c r="O405" i="68"/>
  <c r="N405" i="68"/>
  <c r="M405" i="68"/>
  <c r="L405" i="68"/>
  <c r="K405" i="68"/>
  <c r="J405" i="68"/>
  <c r="I405" i="68"/>
  <c r="H405" i="68"/>
  <c r="G405" i="68"/>
  <c r="F405" i="68"/>
  <c r="T404" i="68"/>
  <c r="S404" i="68"/>
  <c r="R404" i="68"/>
  <c r="Q404" i="68"/>
  <c r="P404" i="68"/>
  <c r="O404" i="68"/>
  <c r="N404" i="68"/>
  <c r="M404" i="68"/>
  <c r="L404" i="68"/>
  <c r="K404" i="68"/>
  <c r="J404" i="68"/>
  <c r="I404" i="68"/>
  <c r="H404" i="68"/>
  <c r="G404" i="68"/>
  <c r="F404" i="68"/>
  <c r="T403" i="68"/>
  <c r="S403" i="68"/>
  <c r="R403" i="68"/>
  <c r="Q403" i="68"/>
  <c r="P403" i="68"/>
  <c r="O403" i="68"/>
  <c r="N403" i="68"/>
  <c r="M403" i="68"/>
  <c r="L403" i="68"/>
  <c r="K403" i="68"/>
  <c r="J403" i="68"/>
  <c r="I403" i="68"/>
  <c r="H403" i="68"/>
  <c r="G403" i="68"/>
  <c r="F403" i="68"/>
  <c r="T402" i="68"/>
  <c r="S402" i="68"/>
  <c r="R402" i="68"/>
  <c r="Q402" i="68"/>
  <c r="P402" i="68"/>
  <c r="O402" i="68"/>
  <c r="N402" i="68"/>
  <c r="M402" i="68"/>
  <c r="L402" i="68"/>
  <c r="K402" i="68"/>
  <c r="J402" i="68"/>
  <c r="I402" i="68"/>
  <c r="H402" i="68"/>
  <c r="G402" i="68"/>
  <c r="F402" i="68"/>
  <c r="T401" i="68"/>
  <c r="S401" i="68"/>
  <c r="R401" i="68"/>
  <c r="Q401" i="68"/>
  <c r="P401" i="68"/>
  <c r="O401" i="68"/>
  <c r="N401" i="68"/>
  <c r="M401" i="68"/>
  <c r="L401" i="68"/>
  <c r="K401" i="68"/>
  <c r="J401" i="68"/>
  <c r="I401" i="68"/>
  <c r="H401" i="68"/>
  <c r="G401" i="68"/>
  <c r="F401" i="68"/>
  <c r="T400" i="68"/>
  <c r="S400" i="68"/>
  <c r="R400" i="68"/>
  <c r="Q400" i="68"/>
  <c r="P400" i="68"/>
  <c r="O400" i="68"/>
  <c r="N400" i="68"/>
  <c r="M400" i="68"/>
  <c r="L400" i="68"/>
  <c r="K400" i="68"/>
  <c r="J400" i="68"/>
  <c r="I400" i="68"/>
  <c r="H400" i="68"/>
  <c r="G400" i="68"/>
  <c r="F400" i="68"/>
  <c r="T399" i="68"/>
  <c r="S399" i="68"/>
  <c r="R399" i="68"/>
  <c r="Q399" i="68"/>
  <c r="P399" i="68"/>
  <c r="O399" i="68"/>
  <c r="N399" i="68"/>
  <c r="M399" i="68"/>
  <c r="L399" i="68"/>
  <c r="K399" i="68"/>
  <c r="J399" i="68"/>
  <c r="I399" i="68"/>
  <c r="H399" i="68"/>
  <c r="G399" i="68"/>
  <c r="F399" i="68"/>
  <c r="T398" i="68"/>
  <c r="S398" i="68"/>
  <c r="R398" i="68"/>
  <c r="Q398" i="68"/>
  <c r="P398" i="68"/>
  <c r="O398" i="68"/>
  <c r="N398" i="68"/>
  <c r="M398" i="68"/>
  <c r="L398" i="68"/>
  <c r="K398" i="68"/>
  <c r="J398" i="68"/>
  <c r="I398" i="68"/>
  <c r="H398" i="68"/>
  <c r="G398" i="68"/>
  <c r="F398" i="68"/>
  <c r="T397" i="68"/>
  <c r="S397" i="68"/>
  <c r="R397" i="68"/>
  <c r="Q397" i="68"/>
  <c r="P397" i="68"/>
  <c r="O397" i="68"/>
  <c r="N397" i="68"/>
  <c r="M397" i="68"/>
  <c r="L397" i="68"/>
  <c r="K397" i="68"/>
  <c r="J397" i="68"/>
  <c r="I397" i="68"/>
  <c r="H397" i="68"/>
  <c r="G397" i="68"/>
  <c r="F397" i="68"/>
  <c r="T396" i="68"/>
  <c r="S396" i="68"/>
  <c r="R396" i="68"/>
  <c r="Q396" i="68"/>
  <c r="P396" i="68"/>
  <c r="O396" i="68"/>
  <c r="N396" i="68"/>
  <c r="M396" i="68"/>
  <c r="L396" i="68"/>
  <c r="K396" i="68"/>
  <c r="J396" i="68"/>
  <c r="I396" i="68"/>
  <c r="H396" i="68"/>
  <c r="G396" i="68"/>
  <c r="F396" i="68"/>
  <c r="T395" i="68"/>
  <c r="S395" i="68"/>
  <c r="R395" i="68"/>
  <c r="Q395" i="68"/>
  <c r="P395" i="68"/>
  <c r="O395" i="68"/>
  <c r="N395" i="68"/>
  <c r="M395" i="68"/>
  <c r="L395" i="68"/>
  <c r="K395" i="68"/>
  <c r="J395" i="68"/>
  <c r="I395" i="68"/>
  <c r="H395" i="68"/>
  <c r="G395" i="68"/>
  <c r="F395" i="68"/>
  <c r="T394" i="68"/>
  <c r="S394" i="68"/>
  <c r="R394" i="68"/>
  <c r="Q394" i="68"/>
  <c r="P394" i="68"/>
  <c r="O394" i="68"/>
  <c r="N394" i="68"/>
  <c r="M394" i="68"/>
  <c r="L394" i="68"/>
  <c r="K394" i="68"/>
  <c r="J394" i="68"/>
  <c r="I394" i="68"/>
  <c r="H394" i="68"/>
  <c r="G394" i="68"/>
  <c r="F394" i="68"/>
  <c r="T393" i="68"/>
  <c r="S393" i="68"/>
  <c r="R393" i="68"/>
  <c r="Q393" i="68"/>
  <c r="P393" i="68"/>
  <c r="O393" i="68"/>
  <c r="N393" i="68"/>
  <c r="M393" i="68"/>
  <c r="L393" i="68"/>
  <c r="K393" i="68"/>
  <c r="J393" i="68"/>
  <c r="I393" i="68"/>
  <c r="H393" i="68"/>
  <c r="G393" i="68"/>
  <c r="F393" i="68"/>
  <c r="T392" i="68"/>
  <c r="S392" i="68"/>
  <c r="R392" i="68"/>
  <c r="Q392" i="68"/>
  <c r="P392" i="68"/>
  <c r="O392" i="68"/>
  <c r="N392" i="68"/>
  <c r="M392" i="68"/>
  <c r="L392" i="68"/>
  <c r="K392" i="68"/>
  <c r="J392" i="68"/>
  <c r="I392" i="68"/>
  <c r="H392" i="68"/>
  <c r="G392" i="68"/>
  <c r="F392" i="68"/>
  <c r="T391" i="68"/>
  <c r="S391" i="68"/>
  <c r="R391" i="68"/>
  <c r="Q391" i="68"/>
  <c r="P391" i="68"/>
  <c r="O391" i="68"/>
  <c r="N391" i="68"/>
  <c r="M391" i="68"/>
  <c r="L391" i="68"/>
  <c r="K391" i="68"/>
  <c r="J391" i="68"/>
  <c r="I391" i="68"/>
  <c r="H391" i="68"/>
  <c r="G391" i="68"/>
  <c r="F391" i="68"/>
  <c r="T390" i="68"/>
  <c r="S390" i="68"/>
  <c r="R390" i="68"/>
  <c r="Q390" i="68"/>
  <c r="P390" i="68"/>
  <c r="O390" i="68"/>
  <c r="N390" i="68"/>
  <c r="M390" i="68"/>
  <c r="L390" i="68"/>
  <c r="K390" i="68"/>
  <c r="J390" i="68"/>
  <c r="I390" i="68"/>
  <c r="H390" i="68"/>
  <c r="G390" i="68"/>
  <c r="F390" i="68"/>
  <c r="T389" i="68"/>
  <c r="S389" i="68"/>
  <c r="R389" i="68"/>
  <c r="Q389" i="68"/>
  <c r="P389" i="68"/>
  <c r="O389" i="68"/>
  <c r="N389" i="68"/>
  <c r="M389" i="68"/>
  <c r="L389" i="68"/>
  <c r="K389" i="68"/>
  <c r="J389" i="68"/>
  <c r="I389" i="68"/>
  <c r="H389" i="68"/>
  <c r="G389" i="68"/>
  <c r="F389" i="68"/>
  <c r="T388" i="68"/>
  <c r="S388" i="68"/>
  <c r="R388" i="68"/>
  <c r="Q388" i="68"/>
  <c r="P388" i="68"/>
  <c r="O388" i="68"/>
  <c r="N388" i="68"/>
  <c r="M388" i="68"/>
  <c r="L388" i="68"/>
  <c r="K388" i="68"/>
  <c r="J388" i="68"/>
  <c r="I388" i="68"/>
  <c r="H388" i="68"/>
  <c r="G388" i="68"/>
  <c r="F388" i="68"/>
  <c r="T387" i="68"/>
  <c r="S387" i="68"/>
  <c r="R387" i="68"/>
  <c r="Q387" i="68"/>
  <c r="P387" i="68"/>
  <c r="O387" i="68"/>
  <c r="N387" i="68"/>
  <c r="M387" i="68"/>
  <c r="L387" i="68"/>
  <c r="K387" i="68"/>
  <c r="J387" i="68"/>
  <c r="I387" i="68"/>
  <c r="H387" i="68"/>
  <c r="G387" i="68"/>
  <c r="F387" i="68"/>
  <c r="T386" i="68"/>
  <c r="S386" i="68"/>
  <c r="R386" i="68"/>
  <c r="Q386" i="68"/>
  <c r="P386" i="68"/>
  <c r="O386" i="68"/>
  <c r="N386" i="68"/>
  <c r="M386" i="68"/>
  <c r="L386" i="68"/>
  <c r="K386" i="68"/>
  <c r="J386" i="68"/>
  <c r="I386" i="68"/>
  <c r="H386" i="68"/>
  <c r="G386" i="68"/>
  <c r="F386" i="68"/>
  <c r="T385" i="68"/>
  <c r="S385" i="68"/>
  <c r="R385" i="68"/>
  <c r="Q385" i="68"/>
  <c r="P385" i="68"/>
  <c r="O385" i="68"/>
  <c r="N385" i="68"/>
  <c r="M385" i="68"/>
  <c r="L385" i="68"/>
  <c r="K385" i="68"/>
  <c r="J385" i="68"/>
  <c r="I385" i="68"/>
  <c r="H385" i="68"/>
  <c r="G385" i="68"/>
  <c r="F385" i="68"/>
  <c r="T384" i="68"/>
  <c r="S384" i="68"/>
  <c r="R384" i="68"/>
  <c r="Q384" i="68"/>
  <c r="P384" i="68"/>
  <c r="O384" i="68"/>
  <c r="N384" i="68"/>
  <c r="M384" i="68"/>
  <c r="L384" i="68"/>
  <c r="K384" i="68"/>
  <c r="J384" i="68"/>
  <c r="I384" i="68"/>
  <c r="H384" i="68"/>
  <c r="G384" i="68"/>
  <c r="F384" i="68"/>
  <c r="T383" i="68"/>
  <c r="S383" i="68"/>
  <c r="R383" i="68"/>
  <c r="Q383" i="68"/>
  <c r="P383" i="68"/>
  <c r="O383" i="68"/>
  <c r="N383" i="68"/>
  <c r="M383" i="68"/>
  <c r="L383" i="68"/>
  <c r="K383" i="68"/>
  <c r="J383" i="68"/>
  <c r="I383" i="68"/>
  <c r="H383" i="68"/>
  <c r="G383" i="68"/>
  <c r="F383" i="68"/>
  <c r="T382" i="68"/>
  <c r="S382" i="68"/>
  <c r="R382" i="68"/>
  <c r="Q382" i="68"/>
  <c r="P382" i="68"/>
  <c r="O382" i="68"/>
  <c r="N382" i="68"/>
  <c r="M382" i="68"/>
  <c r="L382" i="68"/>
  <c r="K382" i="68"/>
  <c r="J382" i="68"/>
  <c r="I382" i="68"/>
  <c r="H382" i="68"/>
  <c r="G382" i="68"/>
  <c r="F382" i="68"/>
  <c r="T381" i="68"/>
  <c r="S381" i="68"/>
  <c r="R381" i="68"/>
  <c r="Q381" i="68"/>
  <c r="P381" i="68"/>
  <c r="O381" i="68"/>
  <c r="N381" i="68"/>
  <c r="M381" i="68"/>
  <c r="L381" i="68"/>
  <c r="K381" i="68"/>
  <c r="J381" i="68"/>
  <c r="I381" i="68"/>
  <c r="H381" i="68"/>
  <c r="G381" i="68"/>
  <c r="F381" i="68"/>
  <c r="T380" i="68"/>
  <c r="S380" i="68"/>
  <c r="R380" i="68"/>
  <c r="Q380" i="68"/>
  <c r="P380" i="68"/>
  <c r="O380" i="68"/>
  <c r="N380" i="68"/>
  <c r="M380" i="68"/>
  <c r="L380" i="68"/>
  <c r="K380" i="68"/>
  <c r="J380" i="68"/>
  <c r="I380" i="68"/>
  <c r="H380" i="68"/>
  <c r="G380" i="68"/>
  <c r="F380" i="68"/>
  <c r="T379" i="68"/>
  <c r="S379" i="68"/>
  <c r="R379" i="68"/>
  <c r="Q379" i="68"/>
  <c r="P379" i="68"/>
  <c r="O379" i="68"/>
  <c r="N379" i="68"/>
  <c r="M379" i="68"/>
  <c r="L379" i="68"/>
  <c r="K379" i="68"/>
  <c r="J379" i="68"/>
  <c r="I379" i="68"/>
  <c r="H379" i="68"/>
  <c r="G379" i="68"/>
  <c r="F379" i="68"/>
  <c r="T378" i="68"/>
  <c r="S378" i="68"/>
  <c r="R378" i="68"/>
  <c r="Q378" i="68"/>
  <c r="P378" i="68"/>
  <c r="O378" i="68"/>
  <c r="N378" i="68"/>
  <c r="M378" i="68"/>
  <c r="L378" i="68"/>
  <c r="K378" i="68"/>
  <c r="J378" i="68"/>
  <c r="I378" i="68"/>
  <c r="H378" i="68"/>
  <c r="G378" i="68"/>
  <c r="F378" i="68"/>
  <c r="T377" i="68"/>
  <c r="S377" i="68"/>
  <c r="R377" i="68"/>
  <c r="Q377" i="68"/>
  <c r="P377" i="68"/>
  <c r="O377" i="68"/>
  <c r="N377" i="68"/>
  <c r="M377" i="68"/>
  <c r="L377" i="68"/>
  <c r="K377" i="68"/>
  <c r="J377" i="68"/>
  <c r="I377" i="68"/>
  <c r="H377" i="68"/>
  <c r="G377" i="68"/>
  <c r="F377" i="68"/>
  <c r="T376" i="68"/>
  <c r="S376" i="68"/>
  <c r="R376" i="68"/>
  <c r="Q376" i="68"/>
  <c r="P376" i="68"/>
  <c r="O376" i="68"/>
  <c r="N376" i="68"/>
  <c r="M376" i="68"/>
  <c r="L376" i="68"/>
  <c r="K376" i="68"/>
  <c r="J376" i="68"/>
  <c r="I376" i="68"/>
  <c r="H376" i="68"/>
  <c r="G376" i="68"/>
  <c r="F376" i="68"/>
  <c r="T375" i="68"/>
  <c r="S375" i="68"/>
  <c r="R375" i="68"/>
  <c r="Q375" i="68"/>
  <c r="P375" i="68"/>
  <c r="O375" i="68"/>
  <c r="N375" i="68"/>
  <c r="M375" i="68"/>
  <c r="L375" i="68"/>
  <c r="K375" i="68"/>
  <c r="J375" i="68"/>
  <c r="I375" i="68"/>
  <c r="H375" i="68"/>
  <c r="G375" i="68"/>
  <c r="F375" i="68"/>
  <c r="T374" i="68"/>
  <c r="S374" i="68"/>
  <c r="R374" i="68"/>
  <c r="Q374" i="68"/>
  <c r="P374" i="68"/>
  <c r="O374" i="68"/>
  <c r="N374" i="68"/>
  <c r="M374" i="68"/>
  <c r="L374" i="68"/>
  <c r="K374" i="68"/>
  <c r="J374" i="68"/>
  <c r="I374" i="68"/>
  <c r="H374" i="68"/>
  <c r="G374" i="68"/>
  <c r="F374" i="68"/>
  <c r="T373" i="68"/>
  <c r="S373" i="68"/>
  <c r="R373" i="68"/>
  <c r="Q373" i="68"/>
  <c r="P373" i="68"/>
  <c r="O373" i="68"/>
  <c r="N373" i="68"/>
  <c r="M373" i="68"/>
  <c r="L373" i="68"/>
  <c r="K373" i="68"/>
  <c r="J373" i="68"/>
  <c r="I373" i="68"/>
  <c r="H373" i="68"/>
  <c r="G373" i="68"/>
  <c r="F373" i="68"/>
  <c r="T372" i="68"/>
  <c r="S372" i="68"/>
  <c r="R372" i="68"/>
  <c r="Q372" i="68"/>
  <c r="P372" i="68"/>
  <c r="O372" i="68"/>
  <c r="N372" i="68"/>
  <c r="M372" i="68"/>
  <c r="L372" i="68"/>
  <c r="K372" i="68"/>
  <c r="J372" i="68"/>
  <c r="I372" i="68"/>
  <c r="H372" i="68"/>
  <c r="G372" i="68"/>
  <c r="F372" i="68"/>
  <c r="T371" i="68"/>
  <c r="S371" i="68"/>
  <c r="R371" i="68"/>
  <c r="Q371" i="68"/>
  <c r="P371" i="68"/>
  <c r="O371" i="68"/>
  <c r="N371" i="68"/>
  <c r="M371" i="68"/>
  <c r="L371" i="68"/>
  <c r="K371" i="68"/>
  <c r="J371" i="68"/>
  <c r="I371" i="68"/>
  <c r="H371" i="68"/>
  <c r="G371" i="68"/>
  <c r="F371" i="68"/>
  <c r="T370" i="68"/>
  <c r="S370" i="68"/>
  <c r="R370" i="68"/>
  <c r="Q370" i="68"/>
  <c r="P370" i="68"/>
  <c r="O370" i="68"/>
  <c r="N370" i="68"/>
  <c r="M370" i="68"/>
  <c r="L370" i="68"/>
  <c r="K370" i="68"/>
  <c r="J370" i="68"/>
  <c r="I370" i="68"/>
  <c r="H370" i="68"/>
  <c r="G370" i="68"/>
  <c r="F370" i="68"/>
  <c r="T369" i="68"/>
  <c r="S369" i="68"/>
  <c r="R369" i="68"/>
  <c r="Q369" i="68"/>
  <c r="P369" i="68"/>
  <c r="O369" i="68"/>
  <c r="N369" i="68"/>
  <c r="M369" i="68"/>
  <c r="L369" i="68"/>
  <c r="K369" i="68"/>
  <c r="J369" i="68"/>
  <c r="I369" i="68"/>
  <c r="H369" i="68"/>
  <c r="G369" i="68"/>
  <c r="F369" i="68"/>
  <c r="T368" i="68"/>
  <c r="S368" i="68"/>
  <c r="R368" i="68"/>
  <c r="Q368" i="68"/>
  <c r="P368" i="68"/>
  <c r="O368" i="68"/>
  <c r="N368" i="68"/>
  <c r="M368" i="68"/>
  <c r="L368" i="68"/>
  <c r="K368" i="68"/>
  <c r="J368" i="68"/>
  <c r="I368" i="68"/>
  <c r="H368" i="68"/>
  <c r="G368" i="68"/>
  <c r="F368" i="68"/>
  <c r="T367" i="68"/>
  <c r="S367" i="68"/>
  <c r="R367" i="68"/>
  <c r="Q367" i="68"/>
  <c r="P367" i="68"/>
  <c r="O367" i="68"/>
  <c r="N367" i="68"/>
  <c r="M367" i="68"/>
  <c r="L367" i="68"/>
  <c r="K367" i="68"/>
  <c r="J367" i="68"/>
  <c r="I367" i="68"/>
  <c r="H367" i="68"/>
  <c r="G367" i="68"/>
  <c r="F367" i="68"/>
  <c r="T366" i="68"/>
  <c r="S366" i="68"/>
  <c r="R366" i="68"/>
  <c r="Q366" i="68"/>
  <c r="P366" i="68"/>
  <c r="O366" i="68"/>
  <c r="N366" i="68"/>
  <c r="M366" i="68"/>
  <c r="L366" i="68"/>
  <c r="K366" i="68"/>
  <c r="J366" i="68"/>
  <c r="I366" i="68"/>
  <c r="H366" i="68"/>
  <c r="G366" i="68"/>
  <c r="F366" i="68"/>
  <c r="T365" i="68"/>
  <c r="S365" i="68"/>
  <c r="R365" i="68"/>
  <c r="Q365" i="68"/>
  <c r="P365" i="68"/>
  <c r="O365" i="68"/>
  <c r="N365" i="68"/>
  <c r="M365" i="68"/>
  <c r="L365" i="68"/>
  <c r="K365" i="68"/>
  <c r="J365" i="68"/>
  <c r="I365" i="68"/>
  <c r="H365" i="68"/>
  <c r="G365" i="68"/>
  <c r="F365" i="68"/>
  <c r="T364" i="68"/>
  <c r="S364" i="68"/>
  <c r="R364" i="68"/>
  <c r="Q364" i="68"/>
  <c r="P364" i="68"/>
  <c r="O364" i="68"/>
  <c r="N364" i="68"/>
  <c r="M364" i="68"/>
  <c r="L364" i="68"/>
  <c r="K364" i="68"/>
  <c r="J364" i="68"/>
  <c r="I364" i="68"/>
  <c r="H364" i="68"/>
  <c r="G364" i="68"/>
  <c r="F364" i="68"/>
  <c r="T363" i="68"/>
  <c r="S363" i="68"/>
  <c r="R363" i="68"/>
  <c r="Q363" i="68"/>
  <c r="P363" i="68"/>
  <c r="O363" i="68"/>
  <c r="N363" i="68"/>
  <c r="M363" i="68"/>
  <c r="L363" i="68"/>
  <c r="K363" i="68"/>
  <c r="J363" i="68"/>
  <c r="I363" i="68"/>
  <c r="H363" i="68"/>
  <c r="G363" i="68"/>
  <c r="F363" i="68"/>
  <c r="T362" i="68"/>
  <c r="S362" i="68"/>
  <c r="R362" i="68"/>
  <c r="Q362" i="68"/>
  <c r="P362" i="68"/>
  <c r="O362" i="68"/>
  <c r="N362" i="68"/>
  <c r="M362" i="68"/>
  <c r="L362" i="68"/>
  <c r="K362" i="68"/>
  <c r="J362" i="68"/>
  <c r="I362" i="68"/>
  <c r="H362" i="68"/>
  <c r="G362" i="68"/>
  <c r="F362" i="68"/>
  <c r="T361" i="68"/>
  <c r="S361" i="68"/>
  <c r="R361" i="68"/>
  <c r="Q361" i="68"/>
  <c r="P361" i="68"/>
  <c r="O361" i="68"/>
  <c r="N361" i="68"/>
  <c r="M361" i="68"/>
  <c r="L361" i="68"/>
  <c r="K361" i="68"/>
  <c r="J361" i="68"/>
  <c r="I361" i="68"/>
  <c r="H361" i="68"/>
  <c r="G361" i="68"/>
  <c r="F361" i="68"/>
  <c r="T360" i="68"/>
  <c r="S360" i="68"/>
  <c r="R360" i="68"/>
  <c r="Q360" i="68"/>
  <c r="P360" i="68"/>
  <c r="O360" i="68"/>
  <c r="N360" i="68"/>
  <c r="M360" i="68"/>
  <c r="L360" i="68"/>
  <c r="K360" i="68"/>
  <c r="J360" i="68"/>
  <c r="I360" i="68"/>
  <c r="H360" i="68"/>
  <c r="G360" i="68"/>
  <c r="F360" i="68"/>
  <c r="T359" i="68"/>
  <c r="S359" i="68"/>
  <c r="R359" i="68"/>
  <c r="Q359" i="68"/>
  <c r="P359" i="68"/>
  <c r="O359" i="68"/>
  <c r="N359" i="68"/>
  <c r="M359" i="68"/>
  <c r="L359" i="68"/>
  <c r="K359" i="68"/>
  <c r="J359" i="68"/>
  <c r="I359" i="68"/>
  <c r="H359" i="68"/>
  <c r="G359" i="68"/>
  <c r="F359" i="68"/>
  <c r="T358" i="68"/>
  <c r="S358" i="68"/>
  <c r="R358" i="68"/>
  <c r="Q358" i="68"/>
  <c r="P358" i="68"/>
  <c r="O358" i="68"/>
  <c r="N358" i="68"/>
  <c r="M358" i="68"/>
  <c r="L358" i="68"/>
  <c r="K358" i="68"/>
  <c r="J358" i="68"/>
  <c r="I358" i="68"/>
  <c r="H358" i="68"/>
  <c r="G358" i="68"/>
  <c r="F358" i="68"/>
  <c r="T357" i="68"/>
  <c r="S357" i="68"/>
  <c r="R357" i="68"/>
  <c r="Q357" i="68"/>
  <c r="P357" i="68"/>
  <c r="O357" i="68"/>
  <c r="N357" i="68"/>
  <c r="M357" i="68"/>
  <c r="L357" i="68"/>
  <c r="K357" i="68"/>
  <c r="J357" i="68"/>
  <c r="I357" i="68"/>
  <c r="H357" i="68"/>
  <c r="G357" i="68"/>
  <c r="F357" i="68"/>
  <c r="T356" i="68"/>
  <c r="S356" i="68"/>
  <c r="R356" i="68"/>
  <c r="Q356" i="68"/>
  <c r="P356" i="68"/>
  <c r="O356" i="68"/>
  <c r="N356" i="68"/>
  <c r="M356" i="68"/>
  <c r="L356" i="68"/>
  <c r="K356" i="68"/>
  <c r="J356" i="68"/>
  <c r="I356" i="68"/>
  <c r="H356" i="68"/>
  <c r="G356" i="68"/>
  <c r="F356" i="68"/>
  <c r="T355" i="68"/>
  <c r="S355" i="68"/>
  <c r="R355" i="68"/>
  <c r="Q355" i="68"/>
  <c r="P355" i="68"/>
  <c r="O355" i="68"/>
  <c r="N355" i="68"/>
  <c r="M355" i="68"/>
  <c r="L355" i="68"/>
  <c r="K355" i="68"/>
  <c r="J355" i="68"/>
  <c r="I355" i="68"/>
  <c r="H355" i="68"/>
  <c r="G355" i="68"/>
  <c r="F355" i="68"/>
  <c r="T354" i="68"/>
  <c r="S354" i="68"/>
  <c r="R354" i="68"/>
  <c r="Q354" i="68"/>
  <c r="P354" i="68"/>
  <c r="O354" i="68"/>
  <c r="N354" i="68"/>
  <c r="M354" i="68"/>
  <c r="L354" i="68"/>
  <c r="K354" i="68"/>
  <c r="J354" i="68"/>
  <c r="I354" i="68"/>
  <c r="H354" i="68"/>
  <c r="G354" i="68"/>
  <c r="F354" i="68"/>
  <c r="T353" i="68"/>
  <c r="S353" i="68"/>
  <c r="R353" i="68"/>
  <c r="Q353" i="68"/>
  <c r="P353" i="68"/>
  <c r="O353" i="68"/>
  <c r="N353" i="68"/>
  <c r="M353" i="68"/>
  <c r="L353" i="68"/>
  <c r="K353" i="68"/>
  <c r="J353" i="68"/>
  <c r="I353" i="68"/>
  <c r="H353" i="68"/>
  <c r="G353" i="68"/>
  <c r="F353" i="68"/>
  <c r="T352" i="68"/>
  <c r="S352" i="68"/>
  <c r="R352" i="68"/>
  <c r="Q352" i="68"/>
  <c r="P352" i="68"/>
  <c r="O352" i="68"/>
  <c r="N352" i="68"/>
  <c r="M352" i="68"/>
  <c r="L352" i="68"/>
  <c r="K352" i="68"/>
  <c r="J352" i="68"/>
  <c r="I352" i="68"/>
  <c r="H352" i="68"/>
  <c r="G352" i="68"/>
  <c r="F352" i="68"/>
  <c r="T351" i="68"/>
  <c r="S351" i="68"/>
  <c r="R351" i="68"/>
  <c r="Q351" i="68"/>
  <c r="P351" i="68"/>
  <c r="O351" i="68"/>
  <c r="N351" i="68"/>
  <c r="M351" i="68"/>
  <c r="L351" i="68"/>
  <c r="K351" i="68"/>
  <c r="J351" i="68"/>
  <c r="I351" i="68"/>
  <c r="H351" i="68"/>
  <c r="G351" i="68"/>
  <c r="F351" i="68"/>
  <c r="T350" i="68"/>
  <c r="S350" i="68"/>
  <c r="R350" i="68"/>
  <c r="Q350" i="68"/>
  <c r="P350" i="68"/>
  <c r="O350" i="68"/>
  <c r="N350" i="68"/>
  <c r="M350" i="68"/>
  <c r="L350" i="68"/>
  <c r="K350" i="68"/>
  <c r="J350" i="68"/>
  <c r="I350" i="68"/>
  <c r="H350" i="68"/>
  <c r="G350" i="68"/>
  <c r="F350" i="68"/>
  <c r="T349" i="68"/>
  <c r="S349" i="68"/>
  <c r="R349" i="68"/>
  <c r="Q349" i="68"/>
  <c r="P349" i="68"/>
  <c r="O349" i="68"/>
  <c r="N349" i="68"/>
  <c r="M349" i="68"/>
  <c r="L349" i="68"/>
  <c r="K349" i="68"/>
  <c r="J349" i="68"/>
  <c r="I349" i="68"/>
  <c r="H349" i="68"/>
  <c r="G349" i="68"/>
  <c r="F349" i="68"/>
  <c r="T348" i="68"/>
  <c r="S348" i="68"/>
  <c r="R348" i="68"/>
  <c r="Q348" i="68"/>
  <c r="P348" i="68"/>
  <c r="O348" i="68"/>
  <c r="N348" i="68"/>
  <c r="M348" i="68"/>
  <c r="L348" i="68"/>
  <c r="K348" i="68"/>
  <c r="J348" i="68"/>
  <c r="I348" i="68"/>
  <c r="H348" i="68"/>
  <c r="G348" i="68"/>
  <c r="F348" i="68"/>
  <c r="T347" i="68"/>
  <c r="S347" i="68"/>
  <c r="R347" i="68"/>
  <c r="Q347" i="68"/>
  <c r="P347" i="68"/>
  <c r="O347" i="68"/>
  <c r="N347" i="68"/>
  <c r="M347" i="68"/>
  <c r="L347" i="68"/>
  <c r="K347" i="68"/>
  <c r="J347" i="68"/>
  <c r="I347" i="68"/>
  <c r="H347" i="68"/>
  <c r="G347" i="68"/>
  <c r="F347" i="68"/>
  <c r="T346" i="68"/>
  <c r="S346" i="68"/>
  <c r="R346" i="68"/>
  <c r="Q346" i="68"/>
  <c r="P346" i="68"/>
  <c r="O346" i="68"/>
  <c r="N346" i="68"/>
  <c r="M346" i="68"/>
  <c r="L346" i="68"/>
  <c r="K346" i="68"/>
  <c r="J346" i="68"/>
  <c r="I346" i="68"/>
  <c r="H346" i="68"/>
  <c r="G346" i="68"/>
  <c r="F346" i="68"/>
  <c r="T345" i="68"/>
  <c r="S345" i="68"/>
  <c r="R345" i="68"/>
  <c r="Q345" i="68"/>
  <c r="P345" i="68"/>
  <c r="O345" i="68"/>
  <c r="N345" i="68"/>
  <c r="M345" i="68"/>
  <c r="L345" i="68"/>
  <c r="K345" i="68"/>
  <c r="J345" i="68"/>
  <c r="I345" i="68"/>
  <c r="H345" i="68"/>
  <c r="G345" i="68"/>
  <c r="F345" i="68"/>
  <c r="T344" i="68"/>
  <c r="S344" i="68"/>
  <c r="R344" i="68"/>
  <c r="Q344" i="68"/>
  <c r="P344" i="68"/>
  <c r="O344" i="68"/>
  <c r="N344" i="68"/>
  <c r="M344" i="68"/>
  <c r="L344" i="68"/>
  <c r="K344" i="68"/>
  <c r="J344" i="68"/>
  <c r="I344" i="68"/>
  <c r="H344" i="68"/>
  <c r="G344" i="68"/>
  <c r="F344" i="68"/>
  <c r="T343" i="68"/>
  <c r="S343" i="68"/>
  <c r="R343" i="68"/>
  <c r="Q343" i="68"/>
  <c r="P343" i="68"/>
  <c r="O343" i="68"/>
  <c r="N343" i="68"/>
  <c r="M343" i="68"/>
  <c r="L343" i="68"/>
  <c r="K343" i="68"/>
  <c r="J343" i="68"/>
  <c r="I343" i="68"/>
  <c r="H343" i="68"/>
  <c r="G343" i="68"/>
  <c r="F343" i="68"/>
  <c r="T342" i="68"/>
  <c r="S342" i="68"/>
  <c r="R342" i="68"/>
  <c r="Q342" i="68"/>
  <c r="P342" i="68"/>
  <c r="O342" i="68"/>
  <c r="N342" i="68"/>
  <c r="M342" i="68"/>
  <c r="L342" i="68"/>
  <c r="K342" i="68"/>
  <c r="J342" i="68"/>
  <c r="I342" i="68"/>
  <c r="H342" i="68"/>
  <c r="G342" i="68"/>
  <c r="F342" i="68"/>
  <c r="T341" i="68"/>
  <c r="S341" i="68"/>
  <c r="R341" i="68"/>
  <c r="Q341" i="68"/>
  <c r="P341" i="68"/>
  <c r="O341" i="68"/>
  <c r="N341" i="68"/>
  <c r="M341" i="68"/>
  <c r="L341" i="68"/>
  <c r="K341" i="68"/>
  <c r="J341" i="68"/>
  <c r="I341" i="68"/>
  <c r="H341" i="68"/>
  <c r="G341" i="68"/>
  <c r="F341" i="68"/>
  <c r="T340" i="68"/>
  <c r="S340" i="68"/>
  <c r="R340" i="68"/>
  <c r="Q340" i="68"/>
  <c r="P340" i="68"/>
  <c r="O340" i="68"/>
  <c r="N340" i="68"/>
  <c r="M340" i="68"/>
  <c r="L340" i="68"/>
  <c r="K340" i="68"/>
  <c r="J340" i="68"/>
  <c r="I340" i="68"/>
  <c r="H340" i="68"/>
  <c r="G340" i="68"/>
  <c r="F340" i="68"/>
  <c r="T339" i="68"/>
  <c r="S339" i="68"/>
  <c r="R339" i="68"/>
  <c r="Q339" i="68"/>
  <c r="P339" i="68"/>
  <c r="O339" i="68"/>
  <c r="N339" i="68"/>
  <c r="M339" i="68"/>
  <c r="L339" i="68"/>
  <c r="K339" i="68"/>
  <c r="J339" i="68"/>
  <c r="I339" i="68"/>
  <c r="H339" i="68"/>
  <c r="G339" i="68"/>
  <c r="F339" i="68"/>
  <c r="T338" i="68"/>
  <c r="S338" i="68"/>
  <c r="R338" i="68"/>
  <c r="Q338" i="68"/>
  <c r="P338" i="68"/>
  <c r="O338" i="68"/>
  <c r="N338" i="68"/>
  <c r="M338" i="68"/>
  <c r="L338" i="68"/>
  <c r="K338" i="68"/>
  <c r="J338" i="68"/>
  <c r="I338" i="68"/>
  <c r="H338" i="68"/>
  <c r="G338" i="68"/>
  <c r="F338" i="68"/>
  <c r="T337" i="68"/>
  <c r="S337" i="68"/>
  <c r="R337" i="68"/>
  <c r="Q337" i="68"/>
  <c r="P337" i="68"/>
  <c r="O337" i="68"/>
  <c r="N337" i="68"/>
  <c r="M337" i="68"/>
  <c r="L337" i="68"/>
  <c r="K337" i="68"/>
  <c r="J337" i="68"/>
  <c r="I337" i="68"/>
  <c r="H337" i="68"/>
  <c r="G337" i="68"/>
  <c r="F337" i="68"/>
  <c r="T336" i="68"/>
  <c r="S336" i="68"/>
  <c r="R336" i="68"/>
  <c r="Q336" i="68"/>
  <c r="P336" i="68"/>
  <c r="O336" i="68"/>
  <c r="N336" i="68"/>
  <c r="M336" i="68"/>
  <c r="L336" i="68"/>
  <c r="K336" i="68"/>
  <c r="J336" i="68"/>
  <c r="I336" i="68"/>
  <c r="H336" i="68"/>
  <c r="G336" i="68"/>
  <c r="F336" i="68"/>
  <c r="T335" i="68"/>
  <c r="S335" i="68"/>
  <c r="R335" i="68"/>
  <c r="Q335" i="68"/>
  <c r="P335" i="68"/>
  <c r="O335" i="68"/>
  <c r="N335" i="68"/>
  <c r="M335" i="68"/>
  <c r="L335" i="68"/>
  <c r="K335" i="68"/>
  <c r="J335" i="68"/>
  <c r="I335" i="68"/>
  <c r="H335" i="68"/>
  <c r="G335" i="68"/>
  <c r="F335" i="68"/>
  <c r="T334" i="68"/>
  <c r="S334" i="68"/>
  <c r="R334" i="68"/>
  <c r="Q334" i="68"/>
  <c r="P334" i="68"/>
  <c r="O334" i="68"/>
  <c r="N334" i="68"/>
  <c r="M334" i="68"/>
  <c r="L334" i="68"/>
  <c r="K334" i="68"/>
  <c r="J334" i="68"/>
  <c r="I334" i="68"/>
  <c r="H334" i="68"/>
  <c r="G334" i="68"/>
  <c r="F334" i="68"/>
  <c r="T333" i="68"/>
  <c r="S333" i="68"/>
  <c r="R333" i="68"/>
  <c r="Q333" i="68"/>
  <c r="P333" i="68"/>
  <c r="O333" i="68"/>
  <c r="N333" i="68"/>
  <c r="M333" i="68"/>
  <c r="L333" i="68"/>
  <c r="K333" i="68"/>
  <c r="J333" i="68"/>
  <c r="I333" i="68"/>
  <c r="H333" i="68"/>
  <c r="G333" i="68"/>
  <c r="F333" i="68"/>
  <c r="T332" i="68"/>
  <c r="S332" i="68"/>
  <c r="R332" i="68"/>
  <c r="Q332" i="68"/>
  <c r="P332" i="68"/>
  <c r="O332" i="68"/>
  <c r="N332" i="68"/>
  <c r="M332" i="68"/>
  <c r="L332" i="68"/>
  <c r="K332" i="68"/>
  <c r="J332" i="68"/>
  <c r="I332" i="68"/>
  <c r="H332" i="68"/>
  <c r="G332" i="68"/>
  <c r="F332" i="68"/>
  <c r="T331" i="68"/>
  <c r="S331" i="68"/>
  <c r="R331" i="68"/>
  <c r="Q331" i="68"/>
  <c r="P331" i="68"/>
  <c r="O331" i="68"/>
  <c r="N331" i="68"/>
  <c r="M331" i="68"/>
  <c r="L331" i="68"/>
  <c r="K331" i="68"/>
  <c r="J331" i="68"/>
  <c r="I331" i="68"/>
  <c r="H331" i="68"/>
  <c r="G331" i="68"/>
  <c r="F331" i="68"/>
  <c r="T330" i="68"/>
  <c r="S330" i="68"/>
  <c r="R330" i="68"/>
  <c r="Q330" i="68"/>
  <c r="P330" i="68"/>
  <c r="O330" i="68"/>
  <c r="N330" i="68"/>
  <c r="M330" i="68"/>
  <c r="L330" i="68"/>
  <c r="K330" i="68"/>
  <c r="J330" i="68"/>
  <c r="I330" i="68"/>
  <c r="H330" i="68"/>
  <c r="G330" i="68"/>
  <c r="F330" i="68"/>
  <c r="T329" i="68"/>
  <c r="S329" i="68"/>
  <c r="R329" i="68"/>
  <c r="Q329" i="68"/>
  <c r="P329" i="68"/>
  <c r="O329" i="68"/>
  <c r="N329" i="68"/>
  <c r="M329" i="68"/>
  <c r="L329" i="68"/>
  <c r="K329" i="68"/>
  <c r="J329" i="68"/>
  <c r="I329" i="68"/>
  <c r="H329" i="68"/>
  <c r="G329" i="68"/>
  <c r="F329" i="68"/>
  <c r="T328" i="68"/>
  <c r="S328" i="68"/>
  <c r="R328" i="68"/>
  <c r="Q328" i="68"/>
  <c r="P328" i="68"/>
  <c r="O328" i="68"/>
  <c r="N328" i="68"/>
  <c r="M328" i="68"/>
  <c r="L328" i="68"/>
  <c r="K328" i="68"/>
  <c r="J328" i="68"/>
  <c r="I328" i="68"/>
  <c r="H328" i="68"/>
  <c r="G328" i="68"/>
  <c r="F328" i="68"/>
  <c r="T327" i="68"/>
  <c r="S327" i="68"/>
  <c r="R327" i="68"/>
  <c r="Q327" i="68"/>
  <c r="P327" i="68"/>
  <c r="O327" i="68"/>
  <c r="N327" i="68"/>
  <c r="M327" i="68"/>
  <c r="L327" i="68"/>
  <c r="K327" i="68"/>
  <c r="J327" i="68"/>
  <c r="I327" i="68"/>
  <c r="H327" i="68"/>
  <c r="G327" i="68"/>
  <c r="F327" i="68"/>
  <c r="T326" i="68"/>
  <c r="S326" i="68"/>
  <c r="R326" i="68"/>
  <c r="Q326" i="68"/>
  <c r="P326" i="68"/>
  <c r="O326" i="68"/>
  <c r="N326" i="68"/>
  <c r="M326" i="68"/>
  <c r="L326" i="68"/>
  <c r="K326" i="68"/>
  <c r="J326" i="68"/>
  <c r="I326" i="68"/>
  <c r="H326" i="68"/>
  <c r="G326" i="68"/>
  <c r="F326" i="68"/>
  <c r="T325" i="68"/>
  <c r="S325" i="68"/>
  <c r="R325" i="68"/>
  <c r="Q325" i="68"/>
  <c r="P325" i="68"/>
  <c r="O325" i="68"/>
  <c r="N325" i="68"/>
  <c r="M325" i="68"/>
  <c r="L325" i="68"/>
  <c r="K325" i="68"/>
  <c r="J325" i="68"/>
  <c r="I325" i="68"/>
  <c r="H325" i="68"/>
  <c r="G325" i="68"/>
  <c r="F325" i="68"/>
  <c r="T324" i="68"/>
  <c r="S324" i="68"/>
  <c r="R324" i="68"/>
  <c r="Q324" i="68"/>
  <c r="P324" i="68"/>
  <c r="O324" i="68"/>
  <c r="N324" i="68"/>
  <c r="M324" i="68"/>
  <c r="L324" i="68"/>
  <c r="K324" i="68"/>
  <c r="J324" i="68"/>
  <c r="I324" i="68"/>
  <c r="H324" i="68"/>
  <c r="G324" i="68"/>
  <c r="F324" i="68"/>
  <c r="T323" i="68"/>
  <c r="S323" i="68"/>
  <c r="R323" i="68"/>
  <c r="Q323" i="68"/>
  <c r="P323" i="68"/>
  <c r="O323" i="68"/>
  <c r="N323" i="68"/>
  <c r="M323" i="68"/>
  <c r="L323" i="68"/>
  <c r="K323" i="68"/>
  <c r="J323" i="68"/>
  <c r="I323" i="68"/>
  <c r="H323" i="68"/>
  <c r="G323" i="68"/>
  <c r="F323" i="68"/>
  <c r="T322" i="68"/>
  <c r="S322" i="68"/>
  <c r="R322" i="68"/>
  <c r="Q322" i="68"/>
  <c r="P322" i="68"/>
  <c r="O322" i="68"/>
  <c r="N322" i="68"/>
  <c r="M322" i="68"/>
  <c r="L322" i="68"/>
  <c r="K322" i="68"/>
  <c r="J322" i="68"/>
  <c r="I322" i="68"/>
  <c r="H322" i="68"/>
  <c r="G322" i="68"/>
  <c r="F322" i="68"/>
  <c r="T321" i="68"/>
  <c r="S321" i="68"/>
  <c r="R321" i="68"/>
  <c r="Q321" i="68"/>
  <c r="P321" i="68"/>
  <c r="O321" i="68"/>
  <c r="N321" i="68"/>
  <c r="M321" i="68"/>
  <c r="L321" i="68"/>
  <c r="K321" i="68"/>
  <c r="J321" i="68"/>
  <c r="I321" i="68"/>
  <c r="H321" i="68"/>
  <c r="G321" i="68"/>
  <c r="F321" i="68"/>
  <c r="T320" i="68"/>
  <c r="S320" i="68"/>
  <c r="R320" i="68"/>
  <c r="Q320" i="68"/>
  <c r="P320" i="68"/>
  <c r="O320" i="68"/>
  <c r="N320" i="68"/>
  <c r="M320" i="68"/>
  <c r="L320" i="68"/>
  <c r="K320" i="68"/>
  <c r="J320" i="68"/>
  <c r="I320" i="68"/>
  <c r="H320" i="68"/>
  <c r="G320" i="68"/>
  <c r="F320" i="68"/>
  <c r="T319" i="68"/>
  <c r="S319" i="68"/>
  <c r="R319" i="68"/>
  <c r="Q319" i="68"/>
  <c r="P319" i="68"/>
  <c r="O319" i="68"/>
  <c r="N319" i="68"/>
  <c r="M319" i="68"/>
  <c r="L319" i="68"/>
  <c r="K319" i="68"/>
  <c r="J319" i="68"/>
  <c r="I319" i="68"/>
  <c r="H319" i="68"/>
  <c r="G319" i="68"/>
  <c r="F319" i="68"/>
  <c r="T318" i="68"/>
  <c r="S318" i="68"/>
  <c r="R318" i="68"/>
  <c r="Q318" i="68"/>
  <c r="P318" i="68"/>
  <c r="O318" i="68"/>
  <c r="N318" i="68"/>
  <c r="M318" i="68"/>
  <c r="L318" i="68"/>
  <c r="K318" i="68"/>
  <c r="J318" i="68"/>
  <c r="I318" i="68"/>
  <c r="H318" i="68"/>
  <c r="G318" i="68"/>
  <c r="F318" i="68"/>
  <c r="T317" i="68"/>
  <c r="S317" i="68"/>
  <c r="R317" i="68"/>
  <c r="Q317" i="68"/>
  <c r="P317" i="68"/>
  <c r="O317" i="68"/>
  <c r="N317" i="68"/>
  <c r="M317" i="68"/>
  <c r="L317" i="68"/>
  <c r="K317" i="68"/>
  <c r="J317" i="68"/>
  <c r="I317" i="68"/>
  <c r="H317" i="68"/>
  <c r="G317" i="68"/>
  <c r="F317" i="68"/>
  <c r="T316" i="68"/>
  <c r="S316" i="68"/>
  <c r="R316" i="68"/>
  <c r="Q316" i="68"/>
  <c r="P316" i="68"/>
  <c r="O316" i="68"/>
  <c r="N316" i="68"/>
  <c r="M316" i="68"/>
  <c r="L316" i="68"/>
  <c r="K316" i="68"/>
  <c r="J316" i="68"/>
  <c r="I316" i="68"/>
  <c r="H316" i="68"/>
  <c r="G316" i="68"/>
  <c r="F316" i="68"/>
  <c r="T315" i="68"/>
  <c r="S315" i="68"/>
  <c r="R315" i="68"/>
  <c r="Q315" i="68"/>
  <c r="P315" i="68"/>
  <c r="O315" i="68"/>
  <c r="N315" i="68"/>
  <c r="M315" i="68"/>
  <c r="L315" i="68"/>
  <c r="K315" i="68"/>
  <c r="J315" i="68"/>
  <c r="I315" i="68"/>
  <c r="H315" i="68"/>
  <c r="G315" i="68"/>
  <c r="F315" i="68"/>
  <c r="T314" i="68"/>
  <c r="S314" i="68"/>
  <c r="R314" i="68"/>
  <c r="Q314" i="68"/>
  <c r="P314" i="68"/>
  <c r="O314" i="68"/>
  <c r="N314" i="68"/>
  <c r="M314" i="68"/>
  <c r="L314" i="68"/>
  <c r="K314" i="68"/>
  <c r="J314" i="68"/>
  <c r="I314" i="68"/>
  <c r="H314" i="68"/>
  <c r="G314" i="68"/>
  <c r="F314" i="68"/>
  <c r="T313" i="68"/>
  <c r="S313" i="68"/>
  <c r="R313" i="68"/>
  <c r="Q313" i="68"/>
  <c r="P313" i="68"/>
  <c r="O313" i="68"/>
  <c r="N313" i="68"/>
  <c r="M313" i="68"/>
  <c r="L313" i="68"/>
  <c r="K313" i="68"/>
  <c r="J313" i="68"/>
  <c r="I313" i="68"/>
  <c r="H313" i="68"/>
  <c r="G313" i="68"/>
  <c r="F313" i="68"/>
  <c r="T312" i="68"/>
  <c r="S312" i="68"/>
  <c r="R312" i="68"/>
  <c r="Q312" i="68"/>
  <c r="P312" i="68"/>
  <c r="O312" i="68"/>
  <c r="N312" i="68"/>
  <c r="M312" i="68"/>
  <c r="L312" i="68"/>
  <c r="K312" i="68"/>
  <c r="J312" i="68"/>
  <c r="I312" i="68"/>
  <c r="H312" i="68"/>
  <c r="G312" i="68"/>
  <c r="F312" i="68"/>
  <c r="T311" i="68"/>
  <c r="S311" i="68"/>
  <c r="R311" i="68"/>
  <c r="Q311" i="68"/>
  <c r="P311" i="68"/>
  <c r="O311" i="68"/>
  <c r="N311" i="68"/>
  <c r="M311" i="68"/>
  <c r="L311" i="68"/>
  <c r="K311" i="68"/>
  <c r="J311" i="68"/>
  <c r="I311" i="68"/>
  <c r="H311" i="68"/>
  <c r="G311" i="68"/>
  <c r="F311" i="68"/>
  <c r="T310" i="68"/>
  <c r="S310" i="68"/>
  <c r="R310" i="68"/>
  <c r="Q310" i="68"/>
  <c r="P310" i="68"/>
  <c r="O310" i="68"/>
  <c r="N310" i="68"/>
  <c r="M310" i="68"/>
  <c r="L310" i="68"/>
  <c r="K310" i="68"/>
  <c r="J310" i="68"/>
  <c r="I310" i="68"/>
  <c r="H310" i="68"/>
  <c r="G310" i="68"/>
  <c r="F310" i="68"/>
  <c r="T309" i="68"/>
  <c r="S309" i="68"/>
  <c r="R309" i="68"/>
  <c r="Q309" i="68"/>
  <c r="P309" i="68"/>
  <c r="O309" i="68"/>
  <c r="N309" i="68"/>
  <c r="M309" i="68"/>
  <c r="L309" i="68"/>
  <c r="K309" i="68"/>
  <c r="J309" i="68"/>
  <c r="I309" i="68"/>
  <c r="H309" i="68"/>
  <c r="G309" i="68"/>
  <c r="F309" i="68"/>
  <c r="T308" i="68"/>
  <c r="S308" i="68"/>
  <c r="R308" i="68"/>
  <c r="Q308" i="68"/>
  <c r="P308" i="68"/>
  <c r="O308" i="68"/>
  <c r="N308" i="68"/>
  <c r="M308" i="68"/>
  <c r="L308" i="68"/>
  <c r="K308" i="68"/>
  <c r="J308" i="68"/>
  <c r="I308" i="68"/>
  <c r="H308" i="68"/>
  <c r="G308" i="68"/>
  <c r="F308" i="68"/>
  <c r="T307" i="68"/>
  <c r="S307" i="68"/>
  <c r="R307" i="68"/>
  <c r="Q307" i="68"/>
  <c r="P307" i="68"/>
  <c r="O307" i="68"/>
  <c r="N307" i="68"/>
  <c r="M307" i="68"/>
  <c r="L307" i="68"/>
  <c r="K307" i="68"/>
  <c r="J307" i="68"/>
  <c r="I307" i="68"/>
  <c r="H307" i="68"/>
  <c r="G307" i="68"/>
  <c r="F307" i="68"/>
  <c r="T306" i="68"/>
  <c r="S306" i="68"/>
  <c r="R306" i="68"/>
  <c r="Q306" i="68"/>
  <c r="P306" i="68"/>
  <c r="O306" i="68"/>
  <c r="N306" i="68"/>
  <c r="M306" i="68"/>
  <c r="L306" i="68"/>
  <c r="K306" i="68"/>
  <c r="J306" i="68"/>
  <c r="I306" i="68"/>
  <c r="H306" i="68"/>
  <c r="G306" i="68"/>
  <c r="F306" i="68"/>
  <c r="T305" i="68"/>
  <c r="S305" i="68"/>
  <c r="R305" i="68"/>
  <c r="Q305" i="68"/>
  <c r="P305" i="68"/>
  <c r="O305" i="68"/>
  <c r="N305" i="68"/>
  <c r="M305" i="68"/>
  <c r="L305" i="68"/>
  <c r="K305" i="68"/>
  <c r="J305" i="68"/>
  <c r="I305" i="68"/>
  <c r="H305" i="68"/>
  <c r="G305" i="68"/>
  <c r="F305" i="68"/>
  <c r="T304" i="68"/>
  <c r="S304" i="68"/>
  <c r="R304" i="68"/>
  <c r="Q304" i="68"/>
  <c r="P304" i="68"/>
  <c r="O304" i="68"/>
  <c r="N304" i="68"/>
  <c r="M304" i="68"/>
  <c r="L304" i="68"/>
  <c r="K304" i="68"/>
  <c r="J304" i="68"/>
  <c r="I304" i="68"/>
  <c r="H304" i="68"/>
  <c r="G304" i="68"/>
  <c r="F304" i="68"/>
  <c r="T303" i="68"/>
  <c r="S303" i="68"/>
  <c r="R303" i="68"/>
  <c r="Q303" i="68"/>
  <c r="P303" i="68"/>
  <c r="O303" i="68"/>
  <c r="N303" i="68"/>
  <c r="M303" i="68"/>
  <c r="L303" i="68"/>
  <c r="K303" i="68"/>
  <c r="J303" i="68"/>
  <c r="I303" i="68"/>
  <c r="H303" i="68"/>
  <c r="G303" i="68"/>
  <c r="F303" i="68"/>
  <c r="T302" i="68"/>
  <c r="S302" i="68"/>
  <c r="R302" i="68"/>
  <c r="Q302" i="68"/>
  <c r="P302" i="68"/>
  <c r="O302" i="68"/>
  <c r="N302" i="68"/>
  <c r="M302" i="68"/>
  <c r="L302" i="68"/>
  <c r="K302" i="68"/>
  <c r="J302" i="68"/>
  <c r="I302" i="68"/>
  <c r="H302" i="68"/>
  <c r="G302" i="68"/>
  <c r="F302" i="68"/>
  <c r="T301" i="68"/>
  <c r="S301" i="68"/>
  <c r="R301" i="68"/>
  <c r="Q301" i="68"/>
  <c r="P301" i="68"/>
  <c r="O301" i="68"/>
  <c r="N301" i="68"/>
  <c r="M301" i="68"/>
  <c r="L301" i="68"/>
  <c r="K301" i="68"/>
  <c r="J301" i="68"/>
  <c r="I301" i="68"/>
  <c r="H301" i="68"/>
  <c r="G301" i="68"/>
  <c r="F301" i="68"/>
  <c r="T300" i="68"/>
  <c r="S300" i="68"/>
  <c r="R300" i="68"/>
  <c r="Q300" i="68"/>
  <c r="P300" i="68"/>
  <c r="O300" i="68"/>
  <c r="N300" i="68"/>
  <c r="M300" i="68"/>
  <c r="L300" i="68"/>
  <c r="K300" i="68"/>
  <c r="J300" i="68"/>
  <c r="I300" i="68"/>
  <c r="H300" i="68"/>
  <c r="G300" i="68"/>
  <c r="F300" i="68"/>
  <c r="T299" i="68"/>
  <c r="S299" i="68"/>
  <c r="R299" i="68"/>
  <c r="Q299" i="68"/>
  <c r="P299" i="68"/>
  <c r="O299" i="68"/>
  <c r="N299" i="68"/>
  <c r="M299" i="68"/>
  <c r="L299" i="68"/>
  <c r="K299" i="68"/>
  <c r="J299" i="68"/>
  <c r="I299" i="68"/>
  <c r="H299" i="68"/>
  <c r="G299" i="68"/>
  <c r="F299" i="68"/>
  <c r="T298" i="68"/>
  <c r="S298" i="68"/>
  <c r="R298" i="68"/>
  <c r="Q298" i="68"/>
  <c r="P298" i="68"/>
  <c r="O298" i="68"/>
  <c r="N298" i="68"/>
  <c r="M298" i="68"/>
  <c r="L298" i="68"/>
  <c r="K298" i="68"/>
  <c r="J298" i="68"/>
  <c r="I298" i="68"/>
  <c r="H298" i="68"/>
  <c r="G298" i="68"/>
  <c r="F298" i="68"/>
  <c r="T297" i="68"/>
  <c r="S297" i="68"/>
  <c r="R297" i="68"/>
  <c r="Q297" i="68"/>
  <c r="P297" i="68"/>
  <c r="O297" i="68"/>
  <c r="N297" i="68"/>
  <c r="M297" i="68"/>
  <c r="L297" i="68"/>
  <c r="K297" i="68"/>
  <c r="J297" i="68"/>
  <c r="I297" i="68"/>
  <c r="H297" i="68"/>
  <c r="G297" i="68"/>
  <c r="F297" i="68"/>
  <c r="T296" i="68"/>
  <c r="S296" i="68"/>
  <c r="R296" i="68"/>
  <c r="Q296" i="68"/>
  <c r="P296" i="68"/>
  <c r="O296" i="68"/>
  <c r="N296" i="68"/>
  <c r="M296" i="68"/>
  <c r="L296" i="68"/>
  <c r="K296" i="68"/>
  <c r="J296" i="68"/>
  <c r="I296" i="68"/>
  <c r="H296" i="68"/>
  <c r="G296" i="68"/>
  <c r="F296" i="68"/>
  <c r="T295" i="68"/>
  <c r="S295" i="68"/>
  <c r="R295" i="68"/>
  <c r="Q295" i="68"/>
  <c r="P295" i="68"/>
  <c r="O295" i="68"/>
  <c r="N295" i="68"/>
  <c r="M295" i="68"/>
  <c r="L295" i="68"/>
  <c r="K295" i="68"/>
  <c r="J295" i="68"/>
  <c r="I295" i="68"/>
  <c r="H295" i="68"/>
  <c r="G295" i="68"/>
  <c r="F295" i="68"/>
  <c r="T294" i="68"/>
  <c r="S294" i="68"/>
  <c r="R294" i="68"/>
  <c r="Q294" i="68"/>
  <c r="P294" i="68"/>
  <c r="O294" i="68"/>
  <c r="N294" i="68"/>
  <c r="M294" i="68"/>
  <c r="L294" i="68"/>
  <c r="K294" i="68"/>
  <c r="J294" i="68"/>
  <c r="I294" i="68"/>
  <c r="H294" i="68"/>
  <c r="G294" i="68"/>
  <c r="F294" i="68"/>
  <c r="T293" i="68"/>
  <c r="S293" i="68"/>
  <c r="R293" i="68"/>
  <c r="Q293" i="68"/>
  <c r="P293" i="68"/>
  <c r="O293" i="68"/>
  <c r="N293" i="68"/>
  <c r="M293" i="68"/>
  <c r="L293" i="68"/>
  <c r="K293" i="68"/>
  <c r="J293" i="68"/>
  <c r="I293" i="68"/>
  <c r="H293" i="68"/>
  <c r="G293" i="68"/>
  <c r="F293" i="68"/>
  <c r="T292" i="68"/>
  <c r="S292" i="68"/>
  <c r="R292" i="68"/>
  <c r="Q292" i="68"/>
  <c r="P292" i="68"/>
  <c r="O292" i="68"/>
  <c r="N292" i="68"/>
  <c r="M292" i="68"/>
  <c r="L292" i="68"/>
  <c r="K292" i="68"/>
  <c r="J292" i="68"/>
  <c r="I292" i="68"/>
  <c r="H292" i="68"/>
  <c r="G292" i="68"/>
  <c r="F292" i="68"/>
  <c r="T291" i="68"/>
  <c r="S291" i="68"/>
  <c r="R291" i="68"/>
  <c r="Q291" i="68"/>
  <c r="P291" i="68"/>
  <c r="O291" i="68"/>
  <c r="N291" i="68"/>
  <c r="M291" i="68"/>
  <c r="L291" i="68"/>
  <c r="K291" i="68"/>
  <c r="J291" i="68"/>
  <c r="I291" i="68"/>
  <c r="H291" i="68"/>
  <c r="G291" i="68"/>
  <c r="F291" i="68"/>
  <c r="T290" i="68"/>
  <c r="S290" i="68"/>
  <c r="R290" i="68"/>
  <c r="Q290" i="68"/>
  <c r="P290" i="68"/>
  <c r="O290" i="68"/>
  <c r="N290" i="68"/>
  <c r="M290" i="68"/>
  <c r="L290" i="68"/>
  <c r="K290" i="68"/>
  <c r="J290" i="68"/>
  <c r="I290" i="68"/>
  <c r="H290" i="68"/>
  <c r="G290" i="68"/>
  <c r="F290" i="68"/>
  <c r="T289" i="68"/>
  <c r="S289" i="68"/>
  <c r="R289" i="68"/>
  <c r="Q289" i="68"/>
  <c r="P289" i="68"/>
  <c r="O289" i="68"/>
  <c r="N289" i="68"/>
  <c r="M289" i="68"/>
  <c r="L289" i="68"/>
  <c r="K289" i="68"/>
  <c r="J289" i="68"/>
  <c r="I289" i="68"/>
  <c r="H289" i="68"/>
  <c r="G289" i="68"/>
  <c r="F289" i="68"/>
  <c r="T288" i="68"/>
  <c r="S288" i="68"/>
  <c r="R288" i="68"/>
  <c r="Q288" i="68"/>
  <c r="P288" i="68"/>
  <c r="O288" i="68"/>
  <c r="N288" i="68"/>
  <c r="M288" i="68"/>
  <c r="L288" i="68"/>
  <c r="K288" i="68"/>
  <c r="J288" i="68"/>
  <c r="I288" i="68"/>
  <c r="H288" i="68"/>
  <c r="G288" i="68"/>
  <c r="F288" i="68"/>
  <c r="T287" i="68"/>
  <c r="S287" i="68"/>
  <c r="R287" i="68"/>
  <c r="Q287" i="68"/>
  <c r="P287" i="68"/>
  <c r="O287" i="68"/>
  <c r="N287" i="68"/>
  <c r="M287" i="68"/>
  <c r="L287" i="68"/>
  <c r="K287" i="68"/>
  <c r="J287" i="68"/>
  <c r="I287" i="68"/>
  <c r="H287" i="68"/>
  <c r="G287" i="68"/>
  <c r="F287" i="68"/>
  <c r="T286" i="68"/>
  <c r="S286" i="68"/>
  <c r="R286" i="68"/>
  <c r="Q286" i="68"/>
  <c r="P286" i="68"/>
  <c r="O286" i="68"/>
  <c r="N286" i="68"/>
  <c r="M286" i="68"/>
  <c r="L286" i="68"/>
  <c r="K286" i="68"/>
  <c r="J286" i="68"/>
  <c r="I286" i="68"/>
  <c r="H286" i="68"/>
  <c r="G286" i="68"/>
  <c r="F286" i="68"/>
  <c r="T285" i="68"/>
  <c r="S285" i="68"/>
  <c r="R285" i="68"/>
  <c r="Q285" i="68"/>
  <c r="P285" i="68"/>
  <c r="O285" i="68"/>
  <c r="N285" i="68"/>
  <c r="M285" i="68"/>
  <c r="L285" i="68"/>
  <c r="K285" i="68"/>
  <c r="J285" i="68"/>
  <c r="I285" i="68"/>
  <c r="H285" i="68"/>
  <c r="G285" i="68"/>
  <c r="F285" i="68"/>
  <c r="T284" i="68"/>
  <c r="S284" i="68"/>
  <c r="R284" i="68"/>
  <c r="Q284" i="68"/>
  <c r="P284" i="68"/>
  <c r="O284" i="68"/>
  <c r="N284" i="68"/>
  <c r="M284" i="68"/>
  <c r="L284" i="68"/>
  <c r="K284" i="68"/>
  <c r="J284" i="68"/>
  <c r="I284" i="68"/>
  <c r="H284" i="68"/>
  <c r="G284" i="68"/>
  <c r="F284" i="68"/>
  <c r="T283" i="68"/>
  <c r="S283" i="68"/>
  <c r="R283" i="68"/>
  <c r="Q283" i="68"/>
  <c r="P283" i="68"/>
  <c r="O283" i="68"/>
  <c r="N283" i="68"/>
  <c r="M283" i="68"/>
  <c r="L283" i="68"/>
  <c r="K283" i="68"/>
  <c r="J283" i="68"/>
  <c r="I283" i="68"/>
  <c r="H283" i="68"/>
  <c r="G283" i="68"/>
  <c r="F283" i="68"/>
  <c r="T282" i="68"/>
  <c r="S282" i="68"/>
  <c r="R282" i="68"/>
  <c r="Q282" i="68"/>
  <c r="P282" i="68"/>
  <c r="O282" i="68"/>
  <c r="N282" i="68"/>
  <c r="M282" i="68"/>
  <c r="L282" i="68"/>
  <c r="K282" i="68"/>
  <c r="J282" i="68"/>
  <c r="I282" i="68"/>
  <c r="H282" i="68"/>
  <c r="G282" i="68"/>
  <c r="F282" i="68"/>
  <c r="T281" i="68"/>
  <c r="S281" i="68"/>
  <c r="R281" i="68"/>
  <c r="Q281" i="68"/>
  <c r="P281" i="68"/>
  <c r="O281" i="68"/>
  <c r="N281" i="68"/>
  <c r="M281" i="68"/>
  <c r="L281" i="68"/>
  <c r="K281" i="68"/>
  <c r="J281" i="68"/>
  <c r="I281" i="68"/>
  <c r="H281" i="68"/>
  <c r="G281" i="68"/>
  <c r="F281" i="68"/>
  <c r="T280" i="68"/>
  <c r="S280" i="68"/>
  <c r="R280" i="68"/>
  <c r="Q280" i="68"/>
  <c r="P280" i="68"/>
  <c r="O280" i="68"/>
  <c r="N280" i="68"/>
  <c r="M280" i="68"/>
  <c r="L280" i="68"/>
  <c r="K280" i="68"/>
  <c r="J280" i="68"/>
  <c r="I280" i="68"/>
  <c r="H280" i="68"/>
  <c r="G280" i="68"/>
  <c r="F280" i="68"/>
  <c r="T279" i="68"/>
  <c r="S279" i="68"/>
  <c r="R279" i="68"/>
  <c r="Q279" i="68"/>
  <c r="P279" i="68"/>
  <c r="O279" i="68"/>
  <c r="N279" i="68"/>
  <c r="M279" i="68"/>
  <c r="L279" i="68"/>
  <c r="K279" i="68"/>
  <c r="J279" i="68"/>
  <c r="I279" i="68"/>
  <c r="H279" i="68"/>
  <c r="G279" i="68"/>
  <c r="F279" i="68"/>
  <c r="T278" i="68"/>
  <c r="S278" i="68"/>
  <c r="R278" i="68"/>
  <c r="Q278" i="68"/>
  <c r="P278" i="68"/>
  <c r="O278" i="68"/>
  <c r="N278" i="68"/>
  <c r="M278" i="68"/>
  <c r="L278" i="68"/>
  <c r="K278" i="68"/>
  <c r="J278" i="68"/>
  <c r="I278" i="68"/>
  <c r="H278" i="68"/>
  <c r="G278" i="68"/>
  <c r="F278" i="68"/>
  <c r="T277" i="68"/>
  <c r="S277" i="68"/>
  <c r="R277" i="68"/>
  <c r="Q277" i="68"/>
  <c r="P277" i="68"/>
  <c r="O277" i="68"/>
  <c r="N277" i="68"/>
  <c r="M277" i="68"/>
  <c r="L277" i="68"/>
  <c r="K277" i="68"/>
  <c r="J277" i="68"/>
  <c r="I277" i="68"/>
  <c r="H277" i="68"/>
  <c r="G277" i="68"/>
  <c r="F277" i="68"/>
  <c r="T276" i="68"/>
  <c r="S276" i="68"/>
  <c r="R276" i="68"/>
  <c r="Q276" i="68"/>
  <c r="P276" i="68"/>
  <c r="O276" i="68"/>
  <c r="N276" i="68"/>
  <c r="M276" i="68"/>
  <c r="L276" i="68"/>
  <c r="K276" i="68"/>
  <c r="J276" i="68"/>
  <c r="I276" i="68"/>
  <c r="H276" i="68"/>
  <c r="G276" i="68"/>
  <c r="F276" i="68"/>
  <c r="T275" i="68"/>
  <c r="S275" i="68"/>
  <c r="R275" i="68"/>
  <c r="Q275" i="68"/>
  <c r="P275" i="68"/>
  <c r="O275" i="68"/>
  <c r="N275" i="68"/>
  <c r="M275" i="68"/>
  <c r="L275" i="68"/>
  <c r="K275" i="68"/>
  <c r="J275" i="68"/>
  <c r="I275" i="68"/>
  <c r="H275" i="68"/>
  <c r="G275" i="68"/>
  <c r="F275" i="68"/>
  <c r="T274" i="68"/>
  <c r="S274" i="68"/>
  <c r="R274" i="68"/>
  <c r="Q274" i="68"/>
  <c r="P274" i="68"/>
  <c r="O274" i="68"/>
  <c r="N274" i="68"/>
  <c r="M274" i="68"/>
  <c r="L274" i="68"/>
  <c r="K274" i="68"/>
  <c r="J274" i="68"/>
  <c r="I274" i="68"/>
  <c r="H274" i="68"/>
  <c r="G274" i="68"/>
  <c r="F274" i="68"/>
  <c r="T273" i="68"/>
  <c r="S273" i="68"/>
  <c r="R273" i="68"/>
  <c r="Q273" i="68"/>
  <c r="P273" i="68"/>
  <c r="O273" i="68"/>
  <c r="N273" i="68"/>
  <c r="M273" i="68"/>
  <c r="L273" i="68"/>
  <c r="K273" i="68"/>
  <c r="J273" i="68"/>
  <c r="I273" i="68"/>
  <c r="H273" i="68"/>
  <c r="G273" i="68"/>
  <c r="F273" i="68"/>
  <c r="T272" i="68"/>
  <c r="S272" i="68"/>
  <c r="R272" i="68"/>
  <c r="Q272" i="68"/>
  <c r="P272" i="68"/>
  <c r="O272" i="68"/>
  <c r="N272" i="68"/>
  <c r="M272" i="68"/>
  <c r="L272" i="68"/>
  <c r="K272" i="68"/>
  <c r="J272" i="68"/>
  <c r="I272" i="68"/>
  <c r="H272" i="68"/>
  <c r="G272" i="68"/>
  <c r="F272" i="68"/>
  <c r="T271" i="68"/>
  <c r="S271" i="68"/>
  <c r="R271" i="68"/>
  <c r="Q271" i="68"/>
  <c r="P271" i="68"/>
  <c r="O271" i="68"/>
  <c r="N271" i="68"/>
  <c r="M271" i="68"/>
  <c r="L271" i="68"/>
  <c r="K271" i="68"/>
  <c r="J271" i="68"/>
  <c r="I271" i="68"/>
  <c r="H271" i="68"/>
  <c r="G271" i="68"/>
  <c r="F271" i="68"/>
  <c r="T270" i="68"/>
  <c r="S270" i="68"/>
  <c r="R270" i="68"/>
  <c r="Q270" i="68"/>
  <c r="P270" i="68"/>
  <c r="O270" i="68"/>
  <c r="N270" i="68"/>
  <c r="M270" i="68"/>
  <c r="L270" i="68"/>
  <c r="K270" i="68"/>
  <c r="J270" i="68"/>
  <c r="I270" i="68"/>
  <c r="H270" i="68"/>
  <c r="G270" i="68"/>
  <c r="F270" i="68"/>
  <c r="T269" i="68"/>
  <c r="S269" i="68"/>
  <c r="R269" i="68"/>
  <c r="Q269" i="68"/>
  <c r="P269" i="68"/>
  <c r="O269" i="68"/>
  <c r="N269" i="68"/>
  <c r="M269" i="68"/>
  <c r="L269" i="68"/>
  <c r="K269" i="68"/>
  <c r="J269" i="68"/>
  <c r="I269" i="68"/>
  <c r="H269" i="68"/>
  <c r="G269" i="68"/>
  <c r="F269" i="68"/>
  <c r="T268" i="68"/>
  <c r="S268" i="68"/>
  <c r="R268" i="68"/>
  <c r="Q268" i="68"/>
  <c r="P268" i="68"/>
  <c r="O268" i="68"/>
  <c r="N268" i="68"/>
  <c r="M268" i="68"/>
  <c r="L268" i="68"/>
  <c r="K268" i="68"/>
  <c r="J268" i="68"/>
  <c r="I268" i="68"/>
  <c r="H268" i="68"/>
  <c r="G268" i="68"/>
  <c r="F268" i="68"/>
  <c r="T267" i="68"/>
  <c r="S267" i="68"/>
  <c r="R267" i="68"/>
  <c r="Q267" i="68"/>
  <c r="P267" i="68"/>
  <c r="O267" i="68"/>
  <c r="N267" i="68"/>
  <c r="M267" i="68"/>
  <c r="L267" i="68"/>
  <c r="K267" i="68"/>
  <c r="J267" i="68"/>
  <c r="I267" i="68"/>
  <c r="H267" i="68"/>
  <c r="G267" i="68"/>
  <c r="F267" i="68"/>
  <c r="T266" i="68"/>
  <c r="S266" i="68"/>
  <c r="R266" i="68"/>
  <c r="Q266" i="68"/>
  <c r="P266" i="68"/>
  <c r="O266" i="68"/>
  <c r="N266" i="68"/>
  <c r="M266" i="68"/>
  <c r="L266" i="68"/>
  <c r="K266" i="68"/>
  <c r="J266" i="68"/>
  <c r="I266" i="68"/>
  <c r="H266" i="68"/>
  <c r="G266" i="68"/>
  <c r="F266" i="68"/>
  <c r="T265" i="68"/>
  <c r="S265" i="68"/>
  <c r="R265" i="68"/>
  <c r="Q265" i="68"/>
  <c r="P265" i="68"/>
  <c r="O265" i="68"/>
  <c r="N265" i="68"/>
  <c r="M265" i="68"/>
  <c r="L265" i="68"/>
  <c r="K265" i="68"/>
  <c r="J265" i="68"/>
  <c r="I265" i="68"/>
  <c r="H265" i="68"/>
  <c r="G265" i="68"/>
  <c r="F265" i="68"/>
  <c r="T264" i="68"/>
  <c r="S264" i="68"/>
  <c r="R264" i="68"/>
  <c r="Q264" i="68"/>
  <c r="P264" i="68"/>
  <c r="O264" i="68"/>
  <c r="N264" i="68"/>
  <c r="M264" i="68"/>
  <c r="L264" i="68"/>
  <c r="K264" i="68"/>
  <c r="J264" i="68"/>
  <c r="I264" i="68"/>
  <c r="H264" i="68"/>
  <c r="G264" i="68"/>
  <c r="F264" i="68"/>
  <c r="T263" i="68"/>
  <c r="S263" i="68"/>
  <c r="R263" i="68"/>
  <c r="Q263" i="68"/>
  <c r="P263" i="68"/>
  <c r="O263" i="68"/>
  <c r="N263" i="68"/>
  <c r="M263" i="68"/>
  <c r="L263" i="68"/>
  <c r="K263" i="68"/>
  <c r="J263" i="68"/>
  <c r="I263" i="68"/>
  <c r="H263" i="68"/>
  <c r="G263" i="68"/>
  <c r="F263" i="68"/>
  <c r="T262" i="68"/>
  <c r="S262" i="68"/>
  <c r="R262" i="68"/>
  <c r="Q262" i="68"/>
  <c r="P262" i="68"/>
  <c r="O262" i="68"/>
  <c r="N262" i="68"/>
  <c r="M262" i="68"/>
  <c r="L262" i="68"/>
  <c r="K262" i="68"/>
  <c r="J262" i="68"/>
  <c r="I262" i="68"/>
  <c r="H262" i="68"/>
  <c r="G262" i="68"/>
  <c r="F262" i="68"/>
  <c r="T261" i="68"/>
  <c r="S261" i="68"/>
  <c r="R261" i="68"/>
  <c r="Q261" i="68"/>
  <c r="P261" i="68"/>
  <c r="O261" i="68"/>
  <c r="N261" i="68"/>
  <c r="M261" i="68"/>
  <c r="L261" i="68"/>
  <c r="K261" i="68"/>
  <c r="J261" i="68"/>
  <c r="I261" i="68"/>
  <c r="H261" i="68"/>
  <c r="G261" i="68"/>
  <c r="F261" i="68"/>
  <c r="T260" i="68"/>
  <c r="S260" i="68"/>
  <c r="R260" i="68"/>
  <c r="Q260" i="68"/>
  <c r="P260" i="68"/>
  <c r="O260" i="68"/>
  <c r="N260" i="68"/>
  <c r="M260" i="68"/>
  <c r="L260" i="68"/>
  <c r="K260" i="68"/>
  <c r="J260" i="68"/>
  <c r="I260" i="68"/>
  <c r="H260" i="68"/>
  <c r="G260" i="68"/>
  <c r="F260" i="68"/>
  <c r="T259" i="68"/>
  <c r="S259" i="68"/>
  <c r="R259" i="68"/>
  <c r="Q259" i="68"/>
  <c r="P259" i="68"/>
  <c r="O259" i="68"/>
  <c r="N259" i="68"/>
  <c r="M259" i="68"/>
  <c r="L259" i="68"/>
  <c r="K259" i="68"/>
  <c r="J259" i="68"/>
  <c r="I259" i="68"/>
  <c r="H259" i="68"/>
  <c r="G259" i="68"/>
  <c r="F259" i="68"/>
  <c r="T258" i="68"/>
  <c r="S258" i="68"/>
  <c r="R258" i="68"/>
  <c r="Q258" i="68"/>
  <c r="P258" i="68"/>
  <c r="O258" i="68"/>
  <c r="N258" i="68"/>
  <c r="M258" i="68"/>
  <c r="L258" i="68"/>
  <c r="K258" i="68"/>
  <c r="J258" i="68"/>
  <c r="I258" i="68"/>
  <c r="H258" i="68"/>
  <c r="G258" i="68"/>
  <c r="F258" i="68"/>
  <c r="T257" i="68"/>
  <c r="S257" i="68"/>
  <c r="R257" i="68"/>
  <c r="Q257" i="68"/>
  <c r="P257" i="68"/>
  <c r="O257" i="68"/>
  <c r="N257" i="68"/>
  <c r="M257" i="68"/>
  <c r="L257" i="68"/>
  <c r="K257" i="68"/>
  <c r="J257" i="68"/>
  <c r="I257" i="68"/>
  <c r="H257" i="68"/>
  <c r="G257" i="68"/>
  <c r="F257" i="68"/>
  <c r="T256" i="68"/>
  <c r="S256" i="68"/>
  <c r="R256" i="68"/>
  <c r="Q256" i="68"/>
  <c r="P256" i="68"/>
  <c r="O256" i="68"/>
  <c r="N256" i="68"/>
  <c r="M256" i="68"/>
  <c r="L256" i="68"/>
  <c r="K256" i="68"/>
  <c r="J256" i="68"/>
  <c r="I256" i="68"/>
  <c r="H256" i="68"/>
  <c r="G256" i="68"/>
  <c r="F256" i="68"/>
  <c r="T255" i="68"/>
  <c r="S255" i="68"/>
  <c r="R255" i="68"/>
  <c r="Q255" i="68"/>
  <c r="P255" i="68"/>
  <c r="O255" i="68"/>
  <c r="N255" i="68"/>
  <c r="M255" i="68"/>
  <c r="L255" i="68"/>
  <c r="K255" i="68"/>
  <c r="J255" i="68"/>
  <c r="I255" i="68"/>
  <c r="H255" i="68"/>
  <c r="G255" i="68"/>
  <c r="F255" i="68"/>
  <c r="T254" i="68"/>
  <c r="S254" i="68"/>
  <c r="R254" i="68"/>
  <c r="Q254" i="68"/>
  <c r="P254" i="68"/>
  <c r="O254" i="68"/>
  <c r="N254" i="68"/>
  <c r="M254" i="68"/>
  <c r="L254" i="68"/>
  <c r="K254" i="68"/>
  <c r="J254" i="68"/>
  <c r="I254" i="68"/>
  <c r="H254" i="68"/>
  <c r="G254" i="68"/>
  <c r="F254" i="68"/>
  <c r="T253" i="68"/>
  <c r="S253" i="68"/>
  <c r="R253" i="68"/>
  <c r="Q253" i="68"/>
  <c r="P253" i="68"/>
  <c r="O253" i="68"/>
  <c r="N253" i="68"/>
  <c r="M253" i="68"/>
  <c r="L253" i="68"/>
  <c r="K253" i="68"/>
  <c r="J253" i="68"/>
  <c r="I253" i="68"/>
  <c r="H253" i="68"/>
  <c r="G253" i="68"/>
  <c r="F253" i="68"/>
  <c r="T252" i="68"/>
  <c r="S252" i="68"/>
  <c r="R252" i="68"/>
  <c r="Q252" i="68"/>
  <c r="P252" i="68"/>
  <c r="O252" i="68"/>
  <c r="N252" i="68"/>
  <c r="M252" i="68"/>
  <c r="L252" i="68"/>
  <c r="K252" i="68"/>
  <c r="J252" i="68"/>
  <c r="I252" i="68"/>
  <c r="H252" i="68"/>
  <c r="G252" i="68"/>
  <c r="F252" i="68"/>
  <c r="T251" i="68"/>
  <c r="S251" i="68"/>
  <c r="R251" i="68"/>
  <c r="Q251" i="68"/>
  <c r="P251" i="68"/>
  <c r="O251" i="68"/>
  <c r="N251" i="68"/>
  <c r="M251" i="68"/>
  <c r="L251" i="68"/>
  <c r="K251" i="68"/>
  <c r="J251" i="68"/>
  <c r="I251" i="68"/>
  <c r="H251" i="68"/>
  <c r="G251" i="68"/>
  <c r="F251" i="68"/>
  <c r="T250" i="68"/>
  <c r="S250" i="68"/>
  <c r="R250" i="68"/>
  <c r="Q250" i="68"/>
  <c r="P250" i="68"/>
  <c r="O250" i="68"/>
  <c r="N250" i="68"/>
  <c r="M250" i="68"/>
  <c r="L250" i="68"/>
  <c r="K250" i="68"/>
  <c r="J250" i="68"/>
  <c r="I250" i="68"/>
  <c r="H250" i="68"/>
  <c r="G250" i="68"/>
  <c r="F250" i="68"/>
  <c r="T249" i="68"/>
  <c r="S249" i="68"/>
  <c r="R249" i="68"/>
  <c r="Q249" i="68"/>
  <c r="P249" i="68"/>
  <c r="O249" i="68"/>
  <c r="N249" i="68"/>
  <c r="M249" i="68"/>
  <c r="L249" i="68"/>
  <c r="K249" i="68"/>
  <c r="J249" i="68"/>
  <c r="I249" i="68"/>
  <c r="H249" i="68"/>
  <c r="G249" i="68"/>
  <c r="F249" i="68"/>
  <c r="T248" i="68"/>
  <c r="S248" i="68"/>
  <c r="R248" i="68"/>
  <c r="Q248" i="68"/>
  <c r="P248" i="68"/>
  <c r="O248" i="68"/>
  <c r="N248" i="68"/>
  <c r="M248" i="68"/>
  <c r="L248" i="68"/>
  <c r="K248" i="68"/>
  <c r="J248" i="68"/>
  <c r="I248" i="68"/>
  <c r="H248" i="68"/>
  <c r="G248" i="68"/>
  <c r="F248" i="68"/>
  <c r="T247" i="68"/>
  <c r="S247" i="68"/>
  <c r="R247" i="68"/>
  <c r="Q247" i="68"/>
  <c r="P247" i="68"/>
  <c r="O247" i="68"/>
  <c r="N247" i="68"/>
  <c r="M247" i="68"/>
  <c r="L247" i="68"/>
  <c r="K247" i="68"/>
  <c r="J247" i="68"/>
  <c r="I247" i="68"/>
  <c r="H247" i="68"/>
  <c r="G247" i="68"/>
  <c r="F247" i="68"/>
  <c r="T246" i="68"/>
  <c r="S246" i="68"/>
  <c r="R246" i="68"/>
  <c r="Q246" i="68"/>
  <c r="P246" i="68"/>
  <c r="O246" i="68"/>
  <c r="N246" i="68"/>
  <c r="M246" i="68"/>
  <c r="L246" i="68"/>
  <c r="K246" i="68"/>
  <c r="J246" i="68"/>
  <c r="I246" i="68"/>
  <c r="H246" i="68"/>
  <c r="G246" i="68"/>
  <c r="F246" i="68"/>
  <c r="T245" i="68"/>
  <c r="S245" i="68"/>
  <c r="R245" i="68"/>
  <c r="Q245" i="68"/>
  <c r="P245" i="68"/>
  <c r="O245" i="68"/>
  <c r="N245" i="68"/>
  <c r="M245" i="68"/>
  <c r="L245" i="68"/>
  <c r="K245" i="68"/>
  <c r="J245" i="68"/>
  <c r="I245" i="68"/>
  <c r="H245" i="68"/>
  <c r="G245" i="68"/>
  <c r="F245" i="68"/>
  <c r="T244" i="68"/>
  <c r="S244" i="68"/>
  <c r="R244" i="68"/>
  <c r="Q244" i="68"/>
  <c r="P244" i="68"/>
  <c r="O244" i="68"/>
  <c r="N244" i="68"/>
  <c r="M244" i="68"/>
  <c r="L244" i="68"/>
  <c r="K244" i="68"/>
  <c r="J244" i="68"/>
  <c r="I244" i="68"/>
  <c r="H244" i="68"/>
  <c r="G244" i="68"/>
  <c r="F244" i="68"/>
  <c r="T243" i="68"/>
  <c r="S243" i="68"/>
  <c r="R243" i="68"/>
  <c r="Q243" i="68"/>
  <c r="P243" i="68"/>
  <c r="O243" i="68"/>
  <c r="N243" i="68"/>
  <c r="M243" i="68"/>
  <c r="L243" i="68"/>
  <c r="K243" i="68"/>
  <c r="J243" i="68"/>
  <c r="I243" i="68"/>
  <c r="H243" i="68"/>
  <c r="G243" i="68"/>
  <c r="F243" i="68"/>
  <c r="T242" i="68"/>
  <c r="S242" i="68"/>
  <c r="R242" i="68"/>
  <c r="Q242" i="68"/>
  <c r="P242" i="68"/>
  <c r="O242" i="68"/>
  <c r="N242" i="68"/>
  <c r="M242" i="68"/>
  <c r="L242" i="68"/>
  <c r="K242" i="68"/>
  <c r="J242" i="68"/>
  <c r="I242" i="68"/>
  <c r="H242" i="68"/>
  <c r="G242" i="68"/>
  <c r="F242" i="68"/>
  <c r="T241" i="68"/>
  <c r="S241" i="68"/>
  <c r="R241" i="68"/>
  <c r="Q241" i="68"/>
  <c r="P241" i="68"/>
  <c r="O241" i="68"/>
  <c r="N241" i="68"/>
  <c r="M241" i="68"/>
  <c r="L241" i="68"/>
  <c r="K241" i="68"/>
  <c r="J241" i="68"/>
  <c r="I241" i="68"/>
  <c r="H241" i="68"/>
  <c r="G241" i="68"/>
  <c r="F241" i="68"/>
  <c r="T240" i="68"/>
  <c r="S240" i="68"/>
  <c r="R240" i="68"/>
  <c r="Q240" i="68"/>
  <c r="P240" i="68"/>
  <c r="O240" i="68"/>
  <c r="N240" i="68"/>
  <c r="M240" i="68"/>
  <c r="L240" i="68"/>
  <c r="K240" i="68"/>
  <c r="J240" i="68"/>
  <c r="I240" i="68"/>
  <c r="H240" i="68"/>
  <c r="G240" i="68"/>
  <c r="F240" i="68"/>
  <c r="T239" i="68"/>
  <c r="S239" i="68"/>
  <c r="R239" i="68"/>
  <c r="Q239" i="68"/>
  <c r="P239" i="68"/>
  <c r="O239" i="68"/>
  <c r="N239" i="68"/>
  <c r="M239" i="68"/>
  <c r="L239" i="68"/>
  <c r="K239" i="68"/>
  <c r="J239" i="68"/>
  <c r="I239" i="68"/>
  <c r="H239" i="68"/>
  <c r="G239" i="68"/>
  <c r="F239" i="68"/>
  <c r="T238" i="68"/>
  <c r="S238" i="68"/>
  <c r="R238" i="68"/>
  <c r="Q238" i="68"/>
  <c r="P238" i="68"/>
  <c r="O238" i="68"/>
  <c r="N238" i="68"/>
  <c r="M238" i="68"/>
  <c r="L238" i="68"/>
  <c r="K238" i="68"/>
  <c r="J238" i="68"/>
  <c r="I238" i="68"/>
  <c r="H238" i="68"/>
  <c r="G238" i="68"/>
  <c r="F238" i="68"/>
  <c r="T237" i="68"/>
  <c r="S237" i="68"/>
  <c r="R237" i="68"/>
  <c r="Q237" i="68"/>
  <c r="P237" i="68"/>
  <c r="O237" i="68"/>
  <c r="N237" i="68"/>
  <c r="M237" i="68"/>
  <c r="L237" i="68"/>
  <c r="K237" i="68"/>
  <c r="J237" i="68"/>
  <c r="I237" i="68"/>
  <c r="H237" i="68"/>
  <c r="G237" i="68"/>
  <c r="F237" i="68"/>
  <c r="T236" i="68"/>
  <c r="S236" i="68"/>
  <c r="R236" i="68"/>
  <c r="Q236" i="68"/>
  <c r="P236" i="68"/>
  <c r="O236" i="68"/>
  <c r="N236" i="68"/>
  <c r="M236" i="68"/>
  <c r="L236" i="68"/>
  <c r="K236" i="68"/>
  <c r="J236" i="68"/>
  <c r="I236" i="68"/>
  <c r="H236" i="68"/>
  <c r="G236" i="68"/>
  <c r="F236" i="68"/>
  <c r="T235" i="68"/>
  <c r="S235" i="68"/>
  <c r="R235" i="68"/>
  <c r="Q235" i="68"/>
  <c r="P235" i="68"/>
  <c r="O235" i="68"/>
  <c r="N235" i="68"/>
  <c r="M235" i="68"/>
  <c r="L235" i="68"/>
  <c r="K235" i="68"/>
  <c r="J235" i="68"/>
  <c r="I235" i="68"/>
  <c r="H235" i="68"/>
  <c r="G235" i="68"/>
  <c r="F235" i="68"/>
  <c r="T234" i="68"/>
  <c r="S234" i="68"/>
  <c r="R234" i="68"/>
  <c r="Q234" i="68"/>
  <c r="P234" i="68"/>
  <c r="O234" i="68"/>
  <c r="N234" i="68"/>
  <c r="M234" i="68"/>
  <c r="L234" i="68"/>
  <c r="K234" i="68"/>
  <c r="J234" i="68"/>
  <c r="I234" i="68"/>
  <c r="H234" i="68"/>
  <c r="G234" i="68"/>
  <c r="F234" i="68"/>
  <c r="T233" i="68"/>
  <c r="S233" i="68"/>
  <c r="R233" i="68"/>
  <c r="Q233" i="68"/>
  <c r="P233" i="68"/>
  <c r="O233" i="68"/>
  <c r="N233" i="68"/>
  <c r="M233" i="68"/>
  <c r="L233" i="68"/>
  <c r="K233" i="68"/>
  <c r="J233" i="68"/>
  <c r="I233" i="68"/>
  <c r="H233" i="68"/>
  <c r="G233" i="68"/>
  <c r="F233" i="68"/>
  <c r="T232" i="68"/>
  <c r="S232" i="68"/>
  <c r="R232" i="68"/>
  <c r="Q232" i="68"/>
  <c r="P232" i="68"/>
  <c r="O232" i="68"/>
  <c r="N232" i="68"/>
  <c r="M232" i="68"/>
  <c r="L232" i="68"/>
  <c r="K232" i="68"/>
  <c r="J232" i="68"/>
  <c r="I232" i="68"/>
  <c r="H232" i="68"/>
  <c r="G232" i="68"/>
  <c r="F232" i="68"/>
  <c r="T231" i="68"/>
  <c r="S231" i="68"/>
  <c r="R231" i="68"/>
  <c r="Q231" i="68"/>
  <c r="P231" i="68"/>
  <c r="O231" i="68"/>
  <c r="N231" i="68"/>
  <c r="M231" i="68"/>
  <c r="L231" i="68"/>
  <c r="K231" i="68"/>
  <c r="J231" i="68"/>
  <c r="I231" i="68"/>
  <c r="H231" i="68"/>
  <c r="G231" i="68"/>
  <c r="F231" i="68"/>
  <c r="T230" i="68"/>
  <c r="S230" i="68"/>
  <c r="R230" i="68"/>
  <c r="Q230" i="68"/>
  <c r="P230" i="68"/>
  <c r="O230" i="68"/>
  <c r="N230" i="68"/>
  <c r="M230" i="68"/>
  <c r="L230" i="68"/>
  <c r="K230" i="68"/>
  <c r="J230" i="68"/>
  <c r="I230" i="68"/>
  <c r="H230" i="68"/>
  <c r="G230" i="68"/>
  <c r="F230" i="68"/>
  <c r="T229" i="68"/>
  <c r="S229" i="68"/>
  <c r="R229" i="68"/>
  <c r="Q229" i="68"/>
  <c r="P229" i="68"/>
  <c r="O229" i="68"/>
  <c r="N229" i="68"/>
  <c r="M229" i="68"/>
  <c r="L229" i="68"/>
  <c r="K229" i="68"/>
  <c r="J229" i="68"/>
  <c r="I229" i="68"/>
  <c r="H229" i="68"/>
  <c r="G229" i="68"/>
  <c r="F229" i="68"/>
  <c r="T228" i="68"/>
  <c r="S228" i="68"/>
  <c r="R228" i="68"/>
  <c r="Q228" i="68"/>
  <c r="P228" i="68"/>
  <c r="O228" i="68"/>
  <c r="N228" i="68"/>
  <c r="M228" i="68"/>
  <c r="L228" i="68"/>
  <c r="K228" i="68"/>
  <c r="J228" i="68"/>
  <c r="I228" i="68"/>
  <c r="H228" i="68"/>
  <c r="G228" i="68"/>
  <c r="F228" i="68"/>
  <c r="T227" i="68"/>
  <c r="S227" i="68"/>
  <c r="R227" i="68"/>
  <c r="Q227" i="68"/>
  <c r="P227" i="68"/>
  <c r="O227" i="68"/>
  <c r="N227" i="68"/>
  <c r="M227" i="68"/>
  <c r="L227" i="68"/>
  <c r="K227" i="68"/>
  <c r="J227" i="68"/>
  <c r="I227" i="68"/>
  <c r="H227" i="68"/>
  <c r="G227" i="68"/>
  <c r="F227" i="68"/>
  <c r="T226" i="68"/>
  <c r="S226" i="68"/>
  <c r="R226" i="68"/>
  <c r="Q226" i="68"/>
  <c r="P226" i="68"/>
  <c r="O226" i="68"/>
  <c r="N226" i="68"/>
  <c r="M226" i="68"/>
  <c r="L226" i="68"/>
  <c r="K226" i="68"/>
  <c r="J226" i="68"/>
  <c r="I226" i="68"/>
  <c r="H226" i="68"/>
  <c r="G226" i="68"/>
  <c r="F226" i="68"/>
  <c r="T225" i="68"/>
  <c r="S225" i="68"/>
  <c r="R225" i="68"/>
  <c r="Q225" i="68"/>
  <c r="P225" i="68"/>
  <c r="O225" i="68"/>
  <c r="N225" i="68"/>
  <c r="M225" i="68"/>
  <c r="L225" i="68"/>
  <c r="K225" i="68"/>
  <c r="J225" i="68"/>
  <c r="I225" i="68"/>
  <c r="H225" i="68"/>
  <c r="G225" i="68"/>
  <c r="F225" i="68"/>
  <c r="T224" i="68"/>
  <c r="S224" i="68"/>
  <c r="R224" i="68"/>
  <c r="Q224" i="68"/>
  <c r="P224" i="68"/>
  <c r="O224" i="68"/>
  <c r="N224" i="68"/>
  <c r="M224" i="68"/>
  <c r="L224" i="68"/>
  <c r="K224" i="68"/>
  <c r="J224" i="68"/>
  <c r="I224" i="68"/>
  <c r="H224" i="68"/>
  <c r="G224" i="68"/>
  <c r="F224" i="68"/>
  <c r="T223" i="68"/>
  <c r="S223" i="68"/>
  <c r="R223" i="68"/>
  <c r="Q223" i="68"/>
  <c r="P223" i="68"/>
  <c r="O223" i="68"/>
  <c r="N223" i="68"/>
  <c r="M223" i="68"/>
  <c r="L223" i="68"/>
  <c r="K223" i="68"/>
  <c r="J223" i="68"/>
  <c r="I223" i="68"/>
  <c r="H223" i="68"/>
  <c r="G223" i="68"/>
  <c r="F223" i="68"/>
  <c r="T222" i="68"/>
  <c r="S222" i="68"/>
  <c r="R222" i="68"/>
  <c r="Q222" i="68"/>
  <c r="P222" i="68"/>
  <c r="O222" i="68"/>
  <c r="N222" i="68"/>
  <c r="M222" i="68"/>
  <c r="L222" i="68"/>
  <c r="K222" i="68"/>
  <c r="J222" i="68"/>
  <c r="I222" i="68"/>
  <c r="H222" i="68"/>
  <c r="G222" i="68"/>
  <c r="F222" i="68"/>
  <c r="T221" i="68"/>
  <c r="S221" i="68"/>
  <c r="R221" i="68"/>
  <c r="Q221" i="68"/>
  <c r="P221" i="68"/>
  <c r="O221" i="68"/>
  <c r="N221" i="68"/>
  <c r="M221" i="68"/>
  <c r="L221" i="68"/>
  <c r="K221" i="68"/>
  <c r="J221" i="68"/>
  <c r="I221" i="68"/>
  <c r="H221" i="68"/>
  <c r="G221" i="68"/>
  <c r="F221" i="68"/>
  <c r="T220" i="68"/>
  <c r="S220" i="68"/>
  <c r="R220" i="68"/>
  <c r="Q220" i="68"/>
  <c r="P220" i="68"/>
  <c r="O220" i="68"/>
  <c r="N220" i="68"/>
  <c r="M220" i="68"/>
  <c r="L220" i="68"/>
  <c r="K220" i="68"/>
  <c r="J220" i="68"/>
  <c r="I220" i="68"/>
  <c r="H220" i="68"/>
  <c r="G220" i="68"/>
  <c r="F220" i="68"/>
  <c r="T219" i="68"/>
  <c r="S219" i="68"/>
  <c r="R219" i="68"/>
  <c r="Q219" i="68"/>
  <c r="P219" i="68"/>
  <c r="O219" i="68"/>
  <c r="N219" i="68"/>
  <c r="M219" i="68"/>
  <c r="L219" i="68"/>
  <c r="K219" i="68"/>
  <c r="J219" i="68"/>
  <c r="I219" i="68"/>
  <c r="H219" i="68"/>
  <c r="G219" i="68"/>
  <c r="F219" i="68"/>
  <c r="T218" i="68"/>
  <c r="S218" i="68"/>
  <c r="R218" i="68"/>
  <c r="Q218" i="68"/>
  <c r="P218" i="68"/>
  <c r="O218" i="68"/>
  <c r="N218" i="68"/>
  <c r="M218" i="68"/>
  <c r="L218" i="68"/>
  <c r="K218" i="68"/>
  <c r="J218" i="68"/>
  <c r="I218" i="68"/>
  <c r="H218" i="68"/>
  <c r="G218" i="68"/>
  <c r="F218" i="68"/>
  <c r="T217" i="68"/>
  <c r="S217" i="68"/>
  <c r="R217" i="68"/>
  <c r="Q217" i="68"/>
  <c r="P217" i="68"/>
  <c r="O217" i="68"/>
  <c r="N217" i="68"/>
  <c r="M217" i="68"/>
  <c r="L217" i="68"/>
  <c r="K217" i="68"/>
  <c r="J217" i="68"/>
  <c r="I217" i="68"/>
  <c r="H217" i="68"/>
  <c r="G217" i="68"/>
  <c r="F217" i="68"/>
  <c r="T216" i="68"/>
  <c r="S216" i="68"/>
  <c r="R216" i="68"/>
  <c r="Q216" i="68"/>
  <c r="P216" i="68"/>
  <c r="O216" i="68"/>
  <c r="N216" i="68"/>
  <c r="M216" i="68"/>
  <c r="L216" i="68"/>
  <c r="K216" i="68"/>
  <c r="J216" i="68"/>
  <c r="I216" i="68"/>
  <c r="H216" i="68"/>
  <c r="G216" i="68"/>
  <c r="F216" i="68"/>
  <c r="T215" i="68"/>
  <c r="S215" i="68"/>
  <c r="R215" i="68"/>
  <c r="Q215" i="68"/>
  <c r="P215" i="68"/>
  <c r="O215" i="68"/>
  <c r="N215" i="68"/>
  <c r="M215" i="68"/>
  <c r="L215" i="68"/>
  <c r="K215" i="68"/>
  <c r="J215" i="68"/>
  <c r="I215" i="68"/>
  <c r="H215" i="68"/>
  <c r="G215" i="68"/>
  <c r="F215" i="68"/>
  <c r="T214" i="68"/>
  <c r="S214" i="68"/>
  <c r="R214" i="68"/>
  <c r="Q214" i="68"/>
  <c r="P214" i="68"/>
  <c r="O214" i="68"/>
  <c r="N214" i="68"/>
  <c r="M214" i="68"/>
  <c r="L214" i="68"/>
  <c r="K214" i="68"/>
  <c r="J214" i="68"/>
  <c r="I214" i="68"/>
  <c r="H214" i="68"/>
  <c r="G214" i="68"/>
  <c r="F214" i="68"/>
  <c r="T213" i="68"/>
  <c r="S213" i="68"/>
  <c r="R213" i="68"/>
  <c r="Q213" i="68"/>
  <c r="P213" i="68"/>
  <c r="O213" i="68"/>
  <c r="N213" i="68"/>
  <c r="M213" i="68"/>
  <c r="L213" i="68"/>
  <c r="K213" i="68"/>
  <c r="J213" i="68"/>
  <c r="I213" i="68"/>
  <c r="H213" i="68"/>
  <c r="G213" i="68"/>
  <c r="F213" i="68"/>
  <c r="T212" i="68"/>
  <c r="S212" i="68"/>
  <c r="R212" i="68"/>
  <c r="Q212" i="68"/>
  <c r="P212" i="68"/>
  <c r="O212" i="68"/>
  <c r="N212" i="68"/>
  <c r="M212" i="68"/>
  <c r="L212" i="68"/>
  <c r="K212" i="68"/>
  <c r="J212" i="68"/>
  <c r="I212" i="68"/>
  <c r="H212" i="68"/>
  <c r="G212" i="68"/>
  <c r="F212" i="68"/>
  <c r="T211" i="68"/>
  <c r="S211" i="68"/>
  <c r="R211" i="68"/>
  <c r="Q211" i="68"/>
  <c r="P211" i="68"/>
  <c r="O211" i="68"/>
  <c r="N211" i="68"/>
  <c r="M211" i="68"/>
  <c r="L211" i="68"/>
  <c r="K211" i="68"/>
  <c r="J211" i="68"/>
  <c r="I211" i="68"/>
  <c r="H211" i="68"/>
  <c r="G211" i="68"/>
  <c r="F211" i="68"/>
  <c r="T210" i="68"/>
  <c r="S210" i="68"/>
  <c r="R210" i="68"/>
  <c r="Q210" i="68"/>
  <c r="P210" i="68"/>
  <c r="O210" i="68"/>
  <c r="N210" i="68"/>
  <c r="M210" i="68"/>
  <c r="L210" i="68"/>
  <c r="K210" i="68"/>
  <c r="J210" i="68"/>
  <c r="I210" i="68"/>
  <c r="H210" i="68"/>
  <c r="G210" i="68"/>
  <c r="F210" i="68"/>
  <c r="T209" i="68"/>
  <c r="S209" i="68"/>
  <c r="R209" i="68"/>
  <c r="Q209" i="68"/>
  <c r="P209" i="68"/>
  <c r="O209" i="68"/>
  <c r="N209" i="68"/>
  <c r="M209" i="68"/>
  <c r="L209" i="68"/>
  <c r="K209" i="68"/>
  <c r="J209" i="68"/>
  <c r="I209" i="68"/>
  <c r="H209" i="68"/>
  <c r="G209" i="68"/>
  <c r="F209" i="68"/>
  <c r="T208" i="68"/>
  <c r="S208" i="68"/>
  <c r="R208" i="68"/>
  <c r="Q208" i="68"/>
  <c r="P208" i="68"/>
  <c r="O208" i="68"/>
  <c r="N208" i="68"/>
  <c r="M208" i="68"/>
  <c r="L208" i="68"/>
  <c r="K208" i="68"/>
  <c r="J208" i="68"/>
  <c r="I208" i="68"/>
  <c r="H208" i="68"/>
  <c r="G208" i="68"/>
  <c r="F208" i="68"/>
  <c r="T207" i="68"/>
  <c r="S207" i="68"/>
  <c r="R207" i="68"/>
  <c r="Q207" i="68"/>
  <c r="P207" i="68"/>
  <c r="O207" i="68"/>
  <c r="N207" i="68"/>
  <c r="M207" i="68"/>
  <c r="L207" i="68"/>
  <c r="K207" i="68"/>
  <c r="J207" i="68"/>
  <c r="I207" i="68"/>
  <c r="H207" i="68"/>
  <c r="G207" i="68"/>
  <c r="F207" i="68"/>
  <c r="T206" i="68"/>
  <c r="S206" i="68"/>
  <c r="R206" i="68"/>
  <c r="Q206" i="68"/>
  <c r="P206" i="68"/>
  <c r="O206" i="68"/>
  <c r="N206" i="68"/>
  <c r="M206" i="68"/>
  <c r="L206" i="68"/>
  <c r="K206" i="68"/>
  <c r="J206" i="68"/>
  <c r="I206" i="68"/>
  <c r="H206" i="68"/>
  <c r="G206" i="68"/>
  <c r="F206" i="68"/>
  <c r="T205" i="68"/>
  <c r="S205" i="68"/>
  <c r="R205" i="68"/>
  <c r="Q205" i="68"/>
  <c r="P205" i="68"/>
  <c r="O205" i="68"/>
  <c r="N205" i="68"/>
  <c r="M205" i="68"/>
  <c r="L205" i="68"/>
  <c r="K205" i="68"/>
  <c r="J205" i="68"/>
  <c r="I205" i="68"/>
  <c r="H205" i="68"/>
  <c r="G205" i="68"/>
  <c r="F205" i="68"/>
  <c r="T204" i="68"/>
  <c r="S204" i="68"/>
  <c r="R204" i="68"/>
  <c r="Q204" i="68"/>
  <c r="P204" i="68"/>
  <c r="O204" i="68"/>
  <c r="N204" i="68"/>
  <c r="M204" i="68"/>
  <c r="L204" i="68"/>
  <c r="K204" i="68"/>
  <c r="J204" i="68"/>
  <c r="I204" i="68"/>
  <c r="H204" i="68"/>
  <c r="G204" i="68"/>
  <c r="F204" i="68"/>
  <c r="T203" i="68"/>
  <c r="S203" i="68"/>
  <c r="R203" i="68"/>
  <c r="Q203" i="68"/>
  <c r="P203" i="68"/>
  <c r="O203" i="68"/>
  <c r="N203" i="68"/>
  <c r="M203" i="68"/>
  <c r="L203" i="68"/>
  <c r="K203" i="68"/>
  <c r="J203" i="68"/>
  <c r="I203" i="68"/>
  <c r="H203" i="68"/>
  <c r="G203" i="68"/>
  <c r="F203" i="68"/>
  <c r="T202" i="68"/>
  <c r="S202" i="68"/>
  <c r="R202" i="68"/>
  <c r="Q202" i="68"/>
  <c r="P202" i="68"/>
  <c r="O202" i="68"/>
  <c r="N202" i="68"/>
  <c r="M202" i="68"/>
  <c r="L202" i="68"/>
  <c r="K202" i="68"/>
  <c r="J202" i="68"/>
  <c r="I202" i="68"/>
  <c r="H202" i="68"/>
  <c r="G202" i="68"/>
  <c r="F202" i="68"/>
  <c r="T201" i="68"/>
  <c r="S201" i="68"/>
  <c r="R201" i="68"/>
  <c r="Q201" i="68"/>
  <c r="P201" i="68"/>
  <c r="O201" i="68"/>
  <c r="N201" i="68"/>
  <c r="M201" i="68"/>
  <c r="L201" i="68"/>
  <c r="K201" i="68"/>
  <c r="J201" i="68"/>
  <c r="I201" i="68"/>
  <c r="H201" i="68"/>
  <c r="G201" i="68"/>
  <c r="F201" i="68"/>
  <c r="T200" i="68"/>
  <c r="S200" i="68"/>
  <c r="R200" i="68"/>
  <c r="Q200" i="68"/>
  <c r="P200" i="68"/>
  <c r="O200" i="68"/>
  <c r="N200" i="68"/>
  <c r="M200" i="68"/>
  <c r="L200" i="68"/>
  <c r="K200" i="68"/>
  <c r="J200" i="68"/>
  <c r="I200" i="68"/>
  <c r="H200" i="68"/>
  <c r="G200" i="68"/>
  <c r="F200" i="68"/>
  <c r="T199" i="68"/>
  <c r="S199" i="68"/>
  <c r="R199" i="68"/>
  <c r="Q199" i="68"/>
  <c r="P199" i="68"/>
  <c r="O199" i="68"/>
  <c r="N199" i="68"/>
  <c r="M199" i="68"/>
  <c r="L199" i="68"/>
  <c r="K199" i="68"/>
  <c r="J199" i="68"/>
  <c r="I199" i="68"/>
  <c r="H199" i="68"/>
  <c r="G199" i="68"/>
  <c r="F199" i="68"/>
  <c r="T198" i="68"/>
  <c r="S198" i="68"/>
  <c r="R198" i="68"/>
  <c r="Q198" i="68"/>
  <c r="P198" i="68"/>
  <c r="O198" i="68"/>
  <c r="N198" i="68"/>
  <c r="M198" i="68"/>
  <c r="L198" i="68"/>
  <c r="K198" i="68"/>
  <c r="J198" i="68"/>
  <c r="I198" i="68"/>
  <c r="H198" i="68"/>
  <c r="G198" i="68"/>
  <c r="F198" i="68"/>
  <c r="T197" i="68"/>
  <c r="S197" i="68"/>
  <c r="R197" i="68"/>
  <c r="Q197" i="68"/>
  <c r="P197" i="68"/>
  <c r="O197" i="68"/>
  <c r="N197" i="68"/>
  <c r="M197" i="68"/>
  <c r="L197" i="68"/>
  <c r="K197" i="68"/>
  <c r="J197" i="68"/>
  <c r="I197" i="68"/>
  <c r="H197" i="68"/>
  <c r="G197" i="68"/>
  <c r="F197" i="68"/>
  <c r="T196" i="68"/>
  <c r="S196" i="68"/>
  <c r="R196" i="68"/>
  <c r="Q196" i="68"/>
  <c r="P196" i="68"/>
  <c r="O196" i="68"/>
  <c r="N196" i="68"/>
  <c r="M196" i="68"/>
  <c r="L196" i="68"/>
  <c r="K196" i="68"/>
  <c r="J196" i="68"/>
  <c r="I196" i="68"/>
  <c r="H196" i="68"/>
  <c r="G196" i="68"/>
  <c r="F196" i="68"/>
  <c r="T195" i="68"/>
  <c r="S195" i="68"/>
  <c r="R195" i="68"/>
  <c r="Q195" i="68"/>
  <c r="P195" i="68"/>
  <c r="O195" i="68"/>
  <c r="N195" i="68"/>
  <c r="M195" i="68"/>
  <c r="L195" i="68"/>
  <c r="K195" i="68"/>
  <c r="J195" i="68"/>
  <c r="I195" i="68"/>
  <c r="H195" i="68"/>
  <c r="G195" i="68"/>
  <c r="F195" i="68"/>
  <c r="T194" i="68"/>
  <c r="S194" i="68"/>
  <c r="R194" i="68"/>
  <c r="Q194" i="68"/>
  <c r="P194" i="68"/>
  <c r="O194" i="68"/>
  <c r="N194" i="68"/>
  <c r="M194" i="68"/>
  <c r="L194" i="68"/>
  <c r="K194" i="68"/>
  <c r="J194" i="68"/>
  <c r="I194" i="68"/>
  <c r="H194" i="68"/>
  <c r="G194" i="68"/>
  <c r="F194" i="68"/>
  <c r="T193" i="68"/>
  <c r="S193" i="68"/>
  <c r="R193" i="68"/>
  <c r="Q193" i="68"/>
  <c r="P193" i="68"/>
  <c r="O193" i="68"/>
  <c r="N193" i="68"/>
  <c r="M193" i="68"/>
  <c r="L193" i="68"/>
  <c r="K193" i="68"/>
  <c r="J193" i="68"/>
  <c r="I193" i="68"/>
  <c r="H193" i="68"/>
  <c r="G193" i="68"/>
  <c r="F193" i="68"/>
  <c r="T192" i="68"/>
  <c r="S192" i="68"/>
  <c r="R192" i="68"/>
  <c r="Q192" i="68"/>
  <c r="P192" i="68"/>
  <c r="O192" i="68"/>
  <c r="N192" i="68"/>
  <c r="M192" i="68"/>
  <c r="L192" i="68"/>
  <c r="K192" i="68"/>
  <c r="J192" i="68"/>
  <c r="I192" i="68"/>
  <c r="H192" i="68"/>
  <c r="G192" i="68"/>
  <c r="F192" i="68"/>
  <c r="T191" i="68"/>
  <c r="S191" i="68"/>
  <c r="R191" i="68"/>
  <c r="Q191" i="68"/>
  <c r="P191" i="68"/>
  <c r="O191" i="68"/>
  <c r="N191" i="68"/>
  <c r="M191" i="68"/>
  <c r="L191" i="68"/>
  <c r="K191" i="68"/>
  <c r="J191" i="68"/>
  <c r="I191" i="68"/>
  <c r="H191" i="68"/>
  <c r="G191" i="68"/>
  <c r="F191" i="68"/>
  <c r="T190" i="68"/>
  <c r="S190" i="68"/>
  <c r="R190" i="68"/>
  <c r="Q190" i="68"/>
  <c r="P190" i="68"/>
  <c r="O190" i="68"/>
  <c r="N190" i="68"/>
  <c r="M190" i="68"/>
  <c r="L190" i="68"/>
  <c r="K190" i="68"/>
  <c r="J190" i="68"/>
  <c r="I190" i="68"/>
  <c r="H190" i="68"/>
  <c r="G190" i="68"/>
  <c r="F190" i="68"/>
  <c r="T189" i="68"/>
  <c r="S189" i="68"/>
  <c r="R189" i="68"/>
  <c r="Q189" i="68"/>
  <c r="P189" i="68"/>
  <c r="O189" i="68"/>
  <c r="N189" i="68"/>
  <c r="M189" i="68"/>
  <c r="L189" i="68"/>
  <c r="K189" i="68"/>
  <c r="J189" i="68"/>
  <c r="I189" i="68"/>
  <c r="H189" i="68"/>
  <c r="G189" i="68"/>
  <c r="F189" i="68"/>
  <c r="T188" i="68"/>
  <c r="S188" i="68"/>
  <c r="R188" i="68"/>
  <c r="Q188" i="68"/>
  <c r="P188" i="68"/>
  <c r="O188" i="68"/>
  <c r="N188" i="68"/>
  <c r="M188" i="68"/>
  <c r="L188" i="68"/>
  <c r="K188" i="68"/>
  <c r="J188" i="68"/>
  <c r="I188" i="68"/>
  <c r="H188" i="68"/>
  <c r="G188" i="68"/>
  <c r="F188" i="68"/>
  <c r="T187" i="68"/>
  <c r="S187" i="68"/>
  <c r="R187" i="68"/>
  <c r="Q187" i="68"/>
  <c r="P187" i="68"/>
  <c r="O187" i="68"/>
  <c r="N187" i="68"/>
  <c r="M187" i="68"/>
  <c r="L187" i="68"/>
  <c r="K187" i="68"/>
  <c r="J187" i="68"/>
  <c r="I187" i="68"/>
  <c r="H187" i="68"/>
  <c r="G187" i="68"/>
  <c r="F187" i="68"/>
  <c r="T186" i="68"/>
  <c r="S186" i="68"/>
  <c r="R186" i="68"/>
  <c r="Q186" i="68"/>
  <c r="P186" i="68"/>
  <c r="O186" i="68"/>
  <c r="N186" i="68"/>
  <c r="M186" i="68"/>
  <c r="L186" i="68"/>
  <c r="K186" i="68"/>
  <c r="J186" i="68"/>
  <c r="I186" i="68"/>
  <c r="H186" i="68"/>
  <c r="G186" i="68"/>
  <c r="F186" i="68"/>
  <c r="T185" i="68"/>
  <c r="S185" i="68"/>
  <c r="R185" i="68"/>
  <c r="Q185" i="68"/>
  <c r="P185" i="68"/>
  <c r="O185" i="68"/>
  <c r="N185" i="68"/>
  <c r="M185" i="68"/>
  <c r="L185" i="68"/>
  <c r="K185" i="68"/>
  <c r="J185" i="68"/>
  <c r="I185" i="68"/>
  <c r="H185" i="68"/>
  <c r="G185" i="68"/>
  <c r="F185" i="68"/>
  <c r="T184" i="68"/>
  <c r="S184" i="68"/>
  <c r="R184" i="68"/>
  <c r="Q184" i="68"/>
  <c r="P184" i="68"/>
  <c r="O184" i="68"/>
  <c r="N184" i="68"/>
  <c r="M184" i="68"/>
  <c r="L184" i="68"/>
  <c r="K184" i="68"/>
  <c r="J184" i="68"/>
  <c r="I184" i="68"/>
  <c r="H184" i="68"/>
  <c r="G184" i="68"/>
  <c r="F184" i="68"/>
  <c r="T183" i="68"/>
  <c r="S183" i="68"/>
  <c r="R183" i="68"/>
  <c r="Q183" i="68"/>
  <c r="P183" i="68"/>
  <c r="O183" i="68"/>
  <c r="N183" i="68"/>
  <c r="M183" i="68"/>
  <c r="L183" i="68"/>
  <c r="K183" i="68"/>
  <c r="J183" i="68"/>
  <c r="I183" i="68"/>
  <c r="H183" i="68"/>
  <c r="G183" i="68"/>
  <c r="F183" i="68"/>
  <c r="T182" i="68"/>
  <c r="S182" i="68"/>
  <c r="R182" i="68"/>
  <c r="Q182" i="68"/>
  <c r="P182" i="68"/>
  <c r="O182" i="68"/>
  <c r="N182" i="68"/>
  <c r="M182" i="68"/>
  <c r="L182" i="68"/>
  <c r="K182" i="68"/>
  <c r="J182" i="68"/>
  <c r="I182" i="68"/>
  <c r="H182" i="68"/>
  <c r="G182" i="68"/>
  <c r="F182" i="68"/>
  <c r="T181" i="68"/>
  <c r="S181" i="68"/>
  <c r="R181" i="68"/>
  <c r="Q181" i="68"/>
  <c r="P181" i="68"/>
  <c r="O181" i="68"/>
  <c r="N181" i="68"/>
  <c r="M181" i="68"/>
  <c r="L181" i="68"/>
  <c r="K181" i="68"/>
  <c r="J181" i="68"/>
  <c r="I181" i="68"/>
  <c r="H181" i="68"/>
  <c r="G181" i="68"/>
  <c r="F181" i="68"/>
  <c r="T180" i="68"/>
  <c r="S180" i="68"/>
  <c r="R180" i="68"/>
  <c r="Q180" i="68"/>
  <c r="P180" i="68"/>
  <c r="O180" i="68"/>
  <c r="N180" i="68"/>
  <c r="M180" i="68"/>
  <c r="L180" i="68"/>
  <c r="K180" i="68"/>
  <c r="J180" i="68"/>
  <c r="I180" i="68"/>
  <c r="H180" i="68"/>
  <c r="G180" i="68"/>
  <c r="F180" i="68"/>
  <c r="T179" i="68"/>
  <c r="S179" i="68"/>
  <c r="R179" i="68"/>
  <c r="Q179" i="68"/>
  <c r="P179" i="68"/>
  <c r="O179" i="68"/>
  <c r="N179" i="68"/>
  <c r="M179" i="68"/>
  <c r="L179" i="68"/>
  <c r="K179" i="68"/>
  <c r="J179" i="68"/>
  <c r="I179" i="68"/>
  <c r="H179" i="68"/>
  <c r="G179" i="68"/>
  <c r="F179" i="68"/>
  <c r="T178" i="68"/>
  <c r="S178" i="68"/>
  <c r="R178" i="68"/>
  <c r="Q178" i="68"/>
  <c r="P178" i="68"/>
  <c r="O178" i="68"/>
  <c r="N178" i="68"/>
  <c r="M178" i="68"/>
  <c r="L178" i="68"/>
  <c r="K178" i="68"/>
  <c r="J178" i="68"/>
  <c r="I178" i="68"/>
  <c r="H178" i="68"/>
  <c r="G178" i="68"/>
  <c r="F178" i="68"/>
  <c r="T177" i="68"/>
  <c r="S177" i="68"/>
  <c r="R177" i="68"/>
  <c r="Q177" i="68"/>
  <c r="P177" i="68"/>
  <c r="O177" i="68"/>
  <c r="N177" i="68"/>
  <c r="M177" i="68"/>
  <c r="L177" i="68"/>
  <c r="K177" i="68"/>
  <c r="J177" i="68"/>
  <c r="I177" i="68"/>
  <c r="H177" i="68"/>
  <c r="G177" i="68"/>
  <c r="F177" i="68"/>
  <c r="T176" i="68"/>
  <c r="S176" i="68"/>
  <c r="R176" i="68"/>
  <c r="Q176" i="68"/>
  <c r="P176" i="68"/>
  <c r="O176" i="68"/>
  <c r="N176" i="68"/>
  <c r="M176" i="68"/>
  <c r="L176" i="68"/>
  <c r="K176" i="68"/>
  <c r="J176" i="68"/>
  <c r="I176" i="68"/>
  <c r="H176" i="68"/>
  <c r="G176" i="68"/>
  <c r="F176" i="68"/>
  <c r="T175" i="68"/>
  <c r="S175" i="68"/>
  <c r="R175" i="68"/>
  <c r="Q175" i="68"/>
  <c r="P175" i="68"/>
  <c r="O175" i="68"/>
  <c r="N175" i="68"/>
  <c r="M175" i="68"/>
  <c r="L175" i="68"/>
  <c r="K175" i="68"/>
  <c r="J175" i="68"/>
  <c r="I175" i="68"/>
  <c r="H175" i="68"/>
  <c r="G175" i="68"/>
  <c r="F175" i="68"/>
  <c r="T174" i="68"/>
  <c r="S174" i="68"/>
  <c r="R174" i="68"/>
  <c r="Q174" i="68"/>
  <c r="P174" i="68"/>
  <c r="O174" i="68"/>
  <c r="N174" i="68"/>
  <c r="M174" i="68"/>
  <c r="L174" i="68"/>
  <c r="K174" i="68"/>
  <c r="J174" i="68"/>
  <c r="I174" i="68"/>
  <c r="H174" i="68"/>
  <c r="G174" i="68"/>
  <c r="F174" i="68"/>
  <c r="T173" i="68"/>
  <c r="S173" i="68"/>
  <c r="R173" i="68"/>
  <c r="Q173" i="68"/>
  <c r="P173" i="68"/>
  <c r="O173" i="68"/>
  <c r="N173" i="68"/>
  <c r="M173" i="68"/>
  <c r="L173" i="68"/>
  <c r="K173" i="68"/>
  <c r="J173" i="68"/>
  <c r="I173" i="68"/>
  <c r="H173" i="68"/>
  <c r="G173" i="68"/>
  <c r="F173" i="68"/>
  <c r="T172" i="68"/>
  <c r="S172" i="68"/>
  <c r="R172" i="68"/>
  <c r="Q172" i="68"/>
  <c r="P172" i="68"/>
  <c r="O172" i="68"/>
  <c r="N172" i="68"/>
  <c r="M172" i="68"/>
  <c r="L172" i="68"/>
  <c r="K172" i="68"/>
  <c r="J172" i="68"/>
  <c r="I172" i="68"/>
  <c r="H172" i="68"/>
  <c r="G172" i="68"/>
  <c r="F172" i="68"/>
  <c r="T171" i="68"/>
  <c r="S171" i="68"/>
  <c r="R171" i="68"/>
  <c r="Q171" i="68"/>
  <c r="P171" i="68"/>
  <c r="O171" i="68"/>
  <c r="N171" i="68"/>
  <c r="M171" i="68"/>
  <c r="L171" i="68"/>
  <c r="K171" i="68"/>
  <c r="J171" i="68"/>
  <c r="I171" i="68"/>
  <c r="H171" i="68"/>
  <c r="G171" i="68"/>
  <c r="F171" i="68"/>
  <c r="T170" i="68"/>
  <c r="S170" i="68"/>
  <c r="R170" i="68"/>
  <c r="Q170" i="68"/>
  <c r="P170" i="68"/>
  <c r="O170" i="68"/>
  <c r="N170" i="68"/>
  <c r="M170" i="68"/>
  <c r="L170" i="68"/>
  <c r="K170" i="68"/>
  <c r="J170" i="68"/>
  <c r="I170" i="68"/>
  <c r="H170" i="68"/>
  <c r="G170" i="68"/>
  <c r="F170" i="68"/>
  <c r="T169" i="68"/>
  <c r="S169" i="68"/>
  <c r="R169" i="68"/>
  <c r="Q169" i="68"/>
  <c r="P169" i="68"/>
  <c r="O169" i="68"/>
  <c r="N169" i="68"/>
  <c r="M169" i="68"/>
  <c r="L169" i="68"/>
  <c r="K169" i="68"/>
  <c r="J169" i="68"/>
  <c r="I169" i="68"/>
  <c r="H169" i="68"/>
  <c r="G169" i="68"/>
  <c r="F169" i="68"/>
  <c r="T168" i="68"/>
  <c r="S168" i="68"/>
  <c r="R168" i="68"/>
  <c r="Q168" i="68"/>
  <c r="P168" i="68"/>
  <c r="O168" i="68"/>
  <c r="N168" i="68"/>
  <c r="M168" i="68"/>
  <c r="L168" i="68"/>
  <c r="K168" i="68"/>
  <c r="J168" i="68"/>
  <c r="I168" i="68"/>
  <c r="H168" i="68"/>
  <c r="G168" i="68"/>
  <c r="F168" i="68"/>
  <c r="T167" i="68"/>
  <c r="S167" i="68"/>
  <c r="R167" i="68"/>
  <c r="Q167" i="68"/>
  <c r="P167" i="68"/>
  <c r="O167" i="68"/>
  <c r="N167" i="68"/>
  <c r="M167" i="68"/>
  <c r="L167" i="68"/>
  <c r="K167" i="68"/>
  <c r="J167" i="68"/>
  <c r="I167" i="68"/>
  <c r="H167" i="68"/>
  <c r="G167" i="68"/>
  <c r="F167" i="68"/>
  <c r="T166" i="68"/>
  <c r="S166" i="68"/>
  <c r="R166" i="68"/>
  <c r="Q166" i="68"/>
  <c r="P166" i="68"/>
  <c r="O166" i="68"/>
  <c r="N166" i="68"/>
  <c r="M166" i="68"/>
  <c r="L166" i="68"/>
  <c r="K166" i="68"/>
  <c r="J166" i="68"/>
  <c r="I166" i="68"/>
  <c r="H166" i="68"/>
  <c r="G166" i="68"/>
  <c r="F166" i="68"/>
  <c r="T165" i="68"/>
  <c r="S165" i="68"/>
  <c r="R165" i="68"/>
  <c r="Q165" i="68"/>
  <c r="P165" i="68"/>
  <c r="O165" i="68"/>
  <c r="N165" i="68"/>
  <c r="M165" i="68"/>
  <c r="L165" i="68"/>
  <c r="K165" i="68"/>
  <c r="J165" i="68"/>
  <c r="I165" i="68"/>
  <c r="H165" i="68"/>
  <c r="G165" i="68"/>
  <c r="F165" i="68"/>
  <c r="T164" i="68"/>
  <c r="S164" i="68"/>
  <c r="R164" i="68"/>
  <c r="Q164" i="68"/>
  <c r="P164" i="68"/>
  <c r="O164" i="68"/>
  <c r="N164" i="68"/>
  <c r="M164" i="68"/>
  <c r="L164" i="68"/>
  <c r="K164" i="68"/>
  <c r="J164" i="68"/>
  <c r="I164" i="68"/>
  <c r="H164" i="68"/>
  <c r="G164" i="68"/>
  <c r="F164" i="68"/>
  <c r="T163" i="68"/>
  <c r="S163" i="68"/>
  <c r="R163" i="68"/>
  <c r="Q163" i="68"/>
  <c r="P163" i="68"/>
  <c r="O163" i="68"/>
  <c r="N163" i="68"/>
  <c r="M163" i="68"/>
  <c r="L163" i="68"/>
  <c r="K163" i="68"/>
  <c r="J163" i="68"/>
  <c r="I163" i="68"/>
  <c r="H163" i="68"/>
  <c r="G163" i="68"/>
  <c r="F163" i="68"/>
  <c r="T162" i="68"/>
  <c r="S162" i="68"/>
  <c r="R162" i="68"/>
  <c r="Q162" i="68"/>
  <c r="P162" i="68"/>
  <c r="O162" i="68"/>
  <c r="N162" i="68"/>
  <c r="M162" i="68"/>
  <c r="L162" i="68"/>
  <c r="K162" i="68"/>
  <c r="J162" i="68"/>
  <c r="I162" i="68"/>
  <c r="H162" i="68"/>
  <c r="G162" i="68"/>
  <c r="F162" i="68"/>
  <c r="T161" i="68"/>
  <c r="S161" i="68"/>
  <c r="R161" i="68"/>
  <c r="Q161" i="68"/>
  <c r="P161" i="68"/>
  <c r="O161" i="68"/>
  <c r="N161" i="68"/>
  <c r="M161" i="68"/>
  <c r="L161" i="68"/>
  <c r="K161" i="68"/>
  <c r="J161" i="68"/>
  <c r="I161" i="68"/>
  <c r="H161" i="68"/>
  <c r="G161" i="68"/>
  <c r="F161" i="68"/>
  <c r="T160" i="68"/>
  <c r="S160" i="68"/>
  <c r="R160" i="68"/>
  <c r="Q160" i="68"/>
  <c r="P160" i="68"/>
  <c r="O160" i="68"/>
  <c r="N160" i="68"/>
  <c r="M160" i="68"/>
  <c r="L160" i="68"/>
  <c r="K160" i="68"/>
  <c r="J160" i="68"/>
  <c r="I160" i="68"/>
  <c r="H160" i="68"/>
  <c r="G160" i="68"/>
  <c r="F160" i="68"/>
  <c r="T159" i="68"/>
  <c r="S159" i="68"/>
  <c r="R159" i="68"/>
  <c r="Q159" i="68"/>
  <c r="P159" i="68"/>
  <c r="O159" i="68"/>
  <c r="N159" i="68"/>
  <c r="M159" i="68"/>
  <c r="L159" i="68"/>
  <c r="K159" i="68"/>
  <c r="J159" i="68"/>
  <c r="I159" i="68"/>
  <c r="H159" i="68"/>
  <c r="G159" i="68"/>
  <c r="F159" i="68"/>
  <c r="T158" i="68"/>
  <c r="S158" i="68"/>
  <c r="R158" i="68"/>
  <c r="Q158" i="68"/>
  <c r="P158" i="68"/>
  <c r="O158" i="68"/>
  <c r="N158" i="68"/>
  <c r="M158" i="68"/>
  <c r="L158" i="68"/>
  <c r="K158" i="68"/>
  <c r="J158" i="68"/>
  <c r="I158" i="68"/>
  <c r="H158" i="68"/>
  <c r="G158" i="68"/>
  <c r="F158" i="68"/>
  <c r="T157" i="68"/>
  <c r="S157" i="68"/>
  <c r="R157" i="68"/>
  <c r="Q157" i="68"/>
  <c r="P157" i="68"/>
  <c r="O157" i="68"/>
  <c r="N157" i="68"/>
  <c r="M157" i="68"/>
  <c r="L157" i="68"/>
  <c r="K157" i="68"/>
  <c r="J157" i="68"/>
  <c r="I157" i="68"/>
  <c r="H157" i="68"/>
  <c r="G157" i="68"/>
  <c r="F157" i="68"/>
  <c r="T156" i="68"/>
  <c r="S156" i="68"/>
  <c r="R156" i="68"/>
  <c r="Q156" i="68"/>
  <c r="P156" i="68"/>
  <c r="O156" i="68"/>
  <c r="N156" i="68"/>
  <c r="M156" i="68"/>
  <c r="L156" i="68"/>
  <c r="K156" i="68"/>
  <c r="J156" i="68"/>
  <c r="I156" i="68"/>
  <c r="H156" i="68"/>
  <c r="G156" i="68"/>
  <c r="F156" i="68"/>
  <c r="T155" i="68"/>
  <c r="S155" i="68"/>
  <c r="R155" i="68"/>
  <c r="Q155" i="68"/>
  <c r="P155" i="68"/>
  <c r="O155" i="68"/>
  <c r="N155" i="68"/>
  <c r="M155" i="68"/>
  <c r="L155" i="68"/>
  <c r="K155" i="68"/>
  <c r="J155" i="68"/>
  <c r="I155" i="68"/>
  <c r="H155" i="68"/>
  <c r="G155" i="68"/>
  <c r="F155" i="68"/>
  <c r="T154" i="68"/>
  <c r="S154" i="68"/>
  <c r="R154" i="68"/>
  <c r="Q154" i="68"/>
  <c r="P154" i="68"/>
  <c r="O154" i="68"/>
  <c r="N154" i="68"/>
  <c r="M154" i="68"/>
  <c r="L154" i="68"/>
  <c r="K154" i="68"/>
  <c r="J154" i="68"/>
  <c r="I154" i="68"/>
  <c r="H154" i="68"/>
  <c r="G154" i="68"/>
  <c r="F154" i="68"/>
  <c r="T153" i="68"/>
  <c r="S153" i="68"/>
  <c r="R153" i="68"/>
  <c r="Q153" i="68"/>
  <c r="P153" i="68"/>
  <c r="O153" i="68"/>
  <c r="N153" i="68"/>
  <c r="M153" i="68"/>
  <c r="L153" i="68"/>
  <c r="K153" i="68"/>
  <c r="J153" i="68"/>
  <c r="I153" i="68"/>
  <c r="H153" i="68"/>
  <c r="G153" i="68"/>
  <c r="F153" i="68"/>
  <c r="T152" i="68"/>
  <c r="S152" i="68"/>
  <c r="R152" i="68"/>
  <c r="Q152" i="68"/>
  <c r="P152" i="68"/>
  <c r="O152" i="68"/>
  <c r="N152" i="68"/>
  <c r="M152" i="68"/>
  <c r="L152" i="68"/>
  <c r="K152" i="68"/>
  <c r="J152" i="68"/>
  <c r="I152" i="68"/>
  <c r="H152" i="68"/>
  <c r="G152" i="68"/>
  <c r="F152" i="68"/>
  <c r="T151" i="68"/>
  <c r="S151" i="68"/>
  <c r="R151" i="68"/>
  <c r="Q151" i="68"/>
  <c r="P151" i="68"/>
  <c r="O151" i="68"/>
  <c r="N151" i="68"/>
  <c r="M151" i="68"/>
  <c r="L151" i="68"/>
  <c r="K151" i="68"/>
  <c r="J151" i="68"/>
  <c r="I151" i="68"/>
  <c r="H151" i="68"/>
  <c r="G151" i="68"/>
  <c r="F151" i="68"/>
  <c r="T150" i="68"/>
  <c r="S150" i="68"/>
  <c r="R150" i="68"/>
  <c r="Q150" i="68"/>
  <c r="P150" i="68"/>
  <c r="O150" i="68"/>
  <c r="N150" i="68"/>
  <c r="M150" i="68"/>
  <c r="L150" i="68"/>
  <c r="K150" i="68"/>
  <c r="J150" i="68"/>
  <c r="I150" i="68"/>
  <c r="H150" i="68"/>
  <c r="G150" i="68"/>
  <c r="F150" i="68"/>
  <c r="T149" i="68"/>
  <c r="S149" i="68"/>
  <c r="R149" i="68"/>
  <c r="Q149" i="68"/>
  <c r="P149" i="68"/>
  <c r="O149" i="68"/>
  <c r="N149" i="68"/>
  <c r="M149" i="68"/>
  <c r="L149" i="68"/>
  <c r="K149" i="68"/>
  <c r="J149" i="68"/>
  <c r="I149" i="68"/>
  <c r="H149" i="68"/>
  <c r="G149" i="68"/>
  <c r="F149" i="68"/>
  <c r="T148" i="68"/>
  <c r="S148" i="68"/>
  <c r="R148" i="68"/>
  <c r="Q148" i="68"/>
  <c r="P148" i="68"/>
  <c r="O148" i="68"/>
  <c r="N148" i="68"/>
  <c r="M148" i="68"/>
  <c r="L148" i="68"/>
  <c r="K148" i="68"/>
  <c r="J148" i="68"/>
  <c r="I148" i="68"/>
  <c r="H148" i="68"/>
  <c r="G148" i="68"/>
  <c r="F148" i="68"/>
  <c r="T147" i="68"/>
  <c r="S147" i="68"/>
  <c r="R147" i="68"/>
  <c r="Q147" i="68"/>
  <c r="P147" i="68"/>
  <c r="O147" i="68"/>
  <c r="N147" i="68"/>
  <c r="M147" i="68"/>
  <c r="L147" i="68"/>
  <c r="K147" i="68"/>
  <c r="J147" i="68"/>
  <c r="I147" i="68"/>
  <c r="H147" i="68"/>
  <c r="G147" i="68"/>
  <c r="F147" i="68"/>
  <c r="T146" i="68"/>
  <c r="S146" i="68"/>
  <c r="R146" i="68"/>
  <c r="Q146" i="68"/>
  <c r="P146" i="68"/>
  <c r="O146" i="68"/>
  <c r="N146" i="68"/>
  <c r="M146" i="68"/>
  <c r="L146" i="68"/>
  <c r="K146" i="68"/>
  <c r="J146" i="68"/>
  <c r="I146" i="68"/>
  <c r="H146" i="68"/>
  <c r="G146" i="68"/>
  <c r="F146" i="68"/>
  <c r="T145" i="68"/>
  <c r="S145" i="68"/>
  <c r="R145" i="68"/>
  <c r="Q145" i="68"/>
  <c r="P145" i="68"/>
  <c r="O145" i="68"/>
  <c r="N145" i="68"/>
  <c r="M145" i="68"/>
  <c r="L145" i="68"/>
  <c r="K145" i="68"/>
  <c r="J145" i="68"/>
  <c r="I145" i="68"/>
  <c r="H145" i="68"/>
  <c r="G145" i="68"/>
  <c r="F145" i="68"/>
  <c r="T144" i="68"/>
  <c r="S144" i="68"/>
  <c r="R144" i="68"/>
  <c r="Q144" i="68"/>
  <c r="P144" i="68"/>
  <c r="O144" i="68"/>
  <c r="N144" i="68"/>
  <c r="M144" i="68"/>
  <c r="L144" i="68"/>
  <c r="K144" i="68"/>
  <c r="J144" i="68"/>
  <c r="I144" i="68"/>
  <c r="H144" i="68"/>
  <c r="G144" i="68"/>
  <c r="F144" i="68"/>
  <c r="T143" i="68"/>
  <c r="S143" i="68"/>
  <c r="R143" i="68"/>
  <c r="Q143" i="68"/>
  <c r="P143" i="68"/>
  <c r="O143" i="68"/>
  <c r="N143" i="68"/>
  <c r="M143" i="68"/>
  <c r="L143" i="68"/>
  <c r="K143" i="68"/>
  <c r="J143" i="68"/>
  <c r="I143" i="68"/>
  <c r="H143" i="68"/>
  <c r="G143" i="68"/>
  <c r="F143" i="68"/>
  <c r="T142" i="68"/>
  <c r="S142" i="68"/>
  <c r="R142" i="68"/>
  <c r="Q142" i="68"/>
  <c r="P142" i="68"/>
  <c r="O142" i="68"/>
  <c r="N142" i="68"/>
  <c r="M142" i="68"/>
  <c r="L142" i="68"/>
  <c r="K142" i="68"/>
  <c r="J142" i="68"/>
  <c r="I142" i="68"/>
  <c r="H142" i="68"/>
  <c r="G142" i="68"/>
  <c r="F142" i="68"/>
  <c r="T141" i="68"/>
  <c r="S141" i="68"/>
  <c r="R141" i="68"/>
  <c r="Q141" i="68"/>
  <c r="P141" i="68"/>
  <c r="O141" i="68"/>
  <c r="N141" i="68"/>
  <c r="M141" i="68"/>
  <c r="L141" i="68"/>
  <c r="K141" i="68"/>
  <c r="J141" i="68"/>
  <c r="I141" i="68"/>
  <c r="H141" i="68"/>
  <c r="G141" i="68"/>
  <c r="F141" i="68"/>
  <c r="T140" i="68"/>
  <c r="S140" i="68"/>
  <c r="R140" i="68"/>
  <c r="Q140" i="68"/>
  <c r="P140" i="68"/>
  <c r="O140" i="68"/>
  <c r="N140" i="68"/>
  <c r="M140" i="68"/>
  <c r="L140" i="68"/>
  <c r="K140" i="68"/>
  <c r="J140" i="68"/>
  <c r="I140" i="68"/>
  <c r="H140" i="68"/>
  <c r="G140" i="68"/>
  <c r="F140" i="68"/>
  <c r="T139" i="68"/>
  <c r="S139" i="68"/>
  <c r="R139" i="68"/>
  <c r="Q139" i="68"/>
  <c r="P139" i="68"/>
  <c r="O139" i="68"/>
  <c r="N139" i="68"/>
  <c r="M139" i="68"/>
  <c r="L139" i="68"/>
  <c r="K139" i="68"/>
  <c r="J139" i="68"/>
  <c r="I139" i="68"/>
  <c r="H139" i="68"/>
  <c r="G139" i="68"/>
  <c r="F139" i="68"/>
  <c r="T138" i="68"/>
  <c r="S138" i="68"/>
  <c r="R138" i="68"/>
  <c r="Q138" i="68"/>
  <c r="P138" i="68"/>
  <c r="O138" i="68"/>
  <c r="N138" i="68"/>
  <c r="M138" i="68"/>
  <c r="L138" i="68"/>
  <c r="K138" i="68"/>
  <c r="J138" i="68"/>
  <c r="I138" i="68"/>
  <c r="H138" i="68"/>
  <c r="G138" i="68"/>
  <c r="F138" i="68"/>
  <c r="T137" i="68"/>
  <c r="S137" i="68"/>
  <c r="R137" i="68"/>
  <c r="Q137" i="68"/>
  <c r="P137" i="68"/>
  <c r="O137" i="68"/>
  <c r="N137" i="68"/>
  <c r="M137" i="68"/>
  <c r="L137" i="68"/>
  <c r="K137" i="68"/>
  <c r="J137" i="68"/>
  <c r="I137" i="68"/>
  <c r="H137" i="68"/>
  <c r="G137" i="68"/>
  <c r="F137" i="68"/>
  <c r="T136" i="68"/>
  <c r="S136" i="68"/>
  <c r="R136" i="68"/>
  <c r="Q136" i="68"/>
  <c r="P136" i="68"/>
  <c r="O136" i="68"/>
  <c r="N136" i="68"/>
  <c r="M136" i="68"/>
  <c r="L136" i="68"/>
  <c r="K136" i="68"/>
  <c r="J136" i="68"/>
  <c r="I136" i="68"/>
  <c r="H136" i="68"/>
  <c r="G136" i="68"/>
  <c r="F136" i="68"/>
  <c r="T135" i="68"/>
  <c r="S135" i="68"/>
  <c r="R135" i="68"/>
  <c r="Q135" i="68"/>
  <c r="P135" i="68"/>
  <c r="O135" i="68"/>
  <c r="N135" i="68"/>
  <c r="M135" i="68"/>
  <c r="L135" i="68"/>
  <c r="K135" i="68"/>
  <c r="J135" i="68"/>
  <c r="I135" i="68"/>
  <c r="H135" i="68"/>
  <c r="G135" i="68"/>
  <c r="F135" i="68"/>
  <c r="T134" i="68"/>
  <c r="S134" i="68"/>
  <c r="R134" i="68"/>
  <c r="Q134" i="68"/>
  <c r="P134" i="68"/>
  <c r="O134" i="68"/>
  <c r="N134" i="68"/>
  <c r="M134" i="68"/>
  <c r="L134" i="68"/>
  <c r="K134" i="68"/>
  <c r="J134" i="68"/>
  <c r="I134" i="68"/>
  <c r="H134" i="68"/>
  <c r="G134" i="68"/>
  <c r="F134" i="68"/>
  <c r="T133" i="68"/>
  <c r="S133" i="68"/>
  <c r="R133" i="68"/>
  <c r="Q133" i="68"/>
  <c r="P133" i="68"/>
  <c r="O133" i="68"/>
  <c r="N133" i="68"/>
  <c r="M133" i="68"/>
  <c r="L133" i="68"/>
  <c r="K133" i="68"/>
  <c r="J133" i="68"/>
  <c r="I133" i="68"/>
  <c r="H133" i="68"/>
  <c r="G133" i="68"/>
  <c r="F133" i="68"/>
  <c r="T132" i="68"/>
  <c r="S132" i="68"/>
  <c r="R132" i="68"/>
  <c r="Q132" i="68"/>
  <c r="P132" i="68"/>
  <c r="O132" i="68"/>
  <c r="N132" i="68"/>
  <c r="M132" i="68"/>
  <c r="L132" i="68"/>
  <c r="K132" i="68"/>
  <c r="J132" i="68"/>
  <c r="I132" i="68"/>
  <c r="H132" i="68"/>
  <c r="G132" i="68"/>
  <c r="F132" i="68"/>
  <c r="T131" i="68"/>
  <c r="S131" i="68"/>
  <c r="R131" i="68"/>
  <c r="Q131" i="68"/>
  <c r="P131" i="68"/>
  <c r="O131" i="68"/>
  <c r="N131" i="68"/>
  <c r="M131" i="68"/>
  <c r="L131" i="68"/>
  <c r="K131" i="68"/>
  <c r="J131" i="68"/>
  <c r="I131" i="68"/>
  <c r="H131" i="68"/>
  <c r="G131" i="68"/>
  <c r="F131" i="68"/>
  <c r="T130" i="68"/>
  <c r="S130" i="68"/>
  <c r="R130" i="68"/>
  <c r="Q130" i="68"/>
  <c r="P130" i="68"/>
  <c r="O130" i="68"/>
  <c r="N130" i="68"/>
  <c r="M130" i="68"/>
  <c r="L130" i="68"/>
  <c r="K130" i="68"/>
  <c r="J130" i="68"/>
  <c r="I130" i="68"/>
  <c r="H130" i="68"/>
  <c r="G130" i="68"/>
  <c r="F130" i="68"/>
  <c r="T129" i="68"/>
  <c r="S129" i="68"/>
  <c r="R129" i="68"/>
  <c r="Q129" i="68"/>
  <c r="P129" i="68"/>
  <c r="O129" i="68"/>
  <c r="N129" i="68"/>
  <c r="M129" i="68"/>
  <c r="L129" i="68"/>
  <c r="K129" i="68"/>
  <c r="J129" i="68"/>
  <c r="I129" i="68"/>
  <c r="H129" i="68"/>
  <c r="G129" i="68"/>
  <c r="F129" i="68"/>
  <c r="T128" i="68"/>
  <c r="S128" i="68"/>
  <c r="R128" i="68"/>
  <c r="Q128" i="68"/>
  <c r="P128" i="68"/>
  <c r="O128" i="68"/>
  <c r="N128" i="68"/>
  <c r="M128" i="68"/>
  <c r="L128" i="68"/>
  <c r="K128" i="68"/>
  <c r="J128" i="68"/>
  <c r="I128" i="68"/>
  <c r="H128" i="68"/>
  <c r="G128" i="68"/>
  <c r="F128" i="68"/>
  <c r="T127" i="68"/>
  <c r="S127" i="68"/>
  <c r="R127" i="68"/>
  <c r="Q127" i="68"/>
  <c r="P127" i="68"/>
  <c r="O127" i="68"/>
  <c r="N127" i="68"/>
  <c r="M127" i="68"/>
  <c r="L127" i="68"/>
  <c r="K127" i="68"/>
  <c r="J127" i="68"/>
  <c r="I127" i="68"/>
  <c r="H127" i="68"/>
  <c r="G127" i="68"/>
  <c r="F127" i="68"/>
  <c r="T126" i="68"/>
  <c r="S126" i="68"/>
  <c r="R126" i="68"/>
  <c r="Q126" i="68"/>
  <c r="P126" i="68"/>
  <c r="O126" i="68"/>
  <c r="N126" i="68"/>
  <c r="M126" i="68"/>
  <c r="L126" i="68"/>
  <c r="K126" i="68"/>
  <c r="J126" i="68"/>
  <c r="I126" i="68"/>
  <c r="H126" i="68"/>
  <c r="G126" i="68"/>
  <c r="F126" i="68"/>
  <c r="T125" i="68"/>
  <c r="S125" i="68"/>
  <c r="R125" i="68"/>
  <c r="Q125" i="68"/>
  <c r="P125" i="68"/>
  <c r="O125" i="68"/>
  <c r="N125" i="68"/>
  <c r="M125" i="68"/>
  <c r="L125" i="68"/>
  <c r="K125" i="68"/>
  <c r="J125" i="68"/>
  <c r="I125" i="68"/>
  <c r="H125" i="68"/>
  <c r="G125" i="68"/>
  <c r="F125" i="68"/>
  <c r="T124" i="68"/>
  <c r="S124" i="68"/>
  <c r="R124" i="68"/>
  <c r="Q124" i="68"/>
  <c r="P124" i="68"/>
  <c r="O124" i="68"/>
  <c r="N124" i="68"/>
  <c r="M124" i="68"/>
  <c r="L124" i="68"/>
  <c r="K124" i="68"/>
  <c r="J124" i="68"/>
  <c r="I124" i="68"/>
  <c r="H124" i="68"/>
  <c r="G124" i="68"/>
  <c r="F124" i="68"/>
  <c r="T123" i="68"/>
  <c r="S123" i="68"/>
  <c r="R123" i="68"/>
  <c r="Q123" i="68"/>
  <c r="P123" i="68"/>
  <c r="O123" i="68"/>
  <c r="N123" i="68"/>
  <c r="M123" i="68"/>
  <c r="L123" i="68"/>
  <c r="K123" i="68"/>
  <c r="J123" i="68"/>
  <c r="I123" i="68"/>
  <c r="H123" i="68"/>
  <c r="G123" i="68"/>
  <c r="F123" i="68"/>
  <c r="T122" i="68"/>
  <c r="S122" i="68"/>
  <c r="R122" i="68"/>
  <c r="Q122" i="68"/>
  <c r="P122" i="68"/>
  <c r="O122" i="68"/>
  <c r="N122" i="68"/>
  <c r="M122" i="68"/>
  <c r="L122" i="68"/>
  <c r="K122" i="68"/>
  <c r="J122" i="68"/>
  <c r="I122" i="68"/>
  <c r="H122" i="68"/>
  <c r="G122" i="68"/>
  <c r="F122" i="68"/>
  <c r="T121" i="68"/>
  <c r="S121" i="68"/>
  <c r="R121" i="68"/>
  <c r="Q121" i="68"/>
  <c r="P121" i="68"/>
  <c r="O121" i="68"/>
  <c r="N121" i="68"/>
  <c r="M121" i="68"/>
  <c r="L121" i="68"/>
  <c r="K121" i="68"/>
  <c r="J121" i="68"/>
  <c r="I121" i="68"/>
  <c r="H121" i="68"/>
  <c r="G121" i="68"/>
  <c r="F121" i="68"/>
  <c r="T120" i="68"/>
  <c r="S120" i="68"/>
  <c r="R120" i="68"/>
  <c r="Q120" i="68"/>
  <c r="P120" i="68"/>
  <c r="O120" i="68"/>
  <c r="N120" i="68"/>
  <c r="M120" i="68"/>
  <c r="L120" i="68"/>
  <c r="K120" i="68"/>
  <c r="J120" i="68"/>
  <c r="I120" i="68"/>
  <c r="H120" i="68"/>
  <c r="G120" i="68"/>
  <c r="F120" i="68"/>
  <c r="T119" i="68"/>
  <c r="S119" i="68"/>
  <c r="R119" i="68"/>
  <c r="Q119" i="68"/>
  <c r="P119" i="68"/>
  <c r="O119" i="68"/>
  <c r="N119" i="68"/>
  <c r="M119" i="68"/>
  <c r="L119" i="68"/>
  <c r="K119" i="68"/>
  <c r="J119" i="68"/>
  <c r="I119" i="68"/>
  <c r="H119" i="68"/>
  <c r="G119" i="68"/>
  <c r="F119" i="68"/>
  <c r="T118" i="68"/>
  <c r="S118" i="68"/>
  <c r="R118" i="68"/>
  <c r="Q118" i="68"/>
  <c r="P118" i="68"/>
  <c r="O118" i="68"/>
  <c r="N118" i="68"/>
  <c r="M118" i="68"/>
  <c r="L118" i="68"/>
  <c r="K118" i="68"/>
  <c r="J118" i="68"/>
  <c r="I118" i="68"/>
  <c r="H118" i="68"/>
  <c r="G118" i="68"/>
  <c r="F118" i="68"/>
  <c r="T117" i="68"/>
  <c r="S117" i="68"/>
  <c r="R117" i="68"/>
  <c r="Q117" i="68"/>
  <c r="P117" i="68"/>
  <c r="O117" i="68"/>
  <c r="N117" i="68"/>
  <c r="M117" i="68"/>
  <c r="L117" i="68"/>
  <c r="K117" i="68"/>
  <c r="J117" i="68"/>
  <c r="I117" i="68"/>
  <c r="H117" i="68"/>
  <c r="G117" i="68"/>
  <c r="F117" i="68"/>
  <c r="T116" i="68"/>
  <c r="S116" i="68"/>
  <c r="R116" i="68"/>
  <c r="Q116" i="68"/>
  <c r="P116" i="68"/>
  <c r="O116" i="68"/>
  <c r="N116" i="68"/>
  <c r="M116" i="68"/>
  <c r="L116" i="68"/>
  <c r="K116" i="68"/>
  <c r="J116" i="68"/>
  <c r="I116" i="68"/>
  <c r="H116" i="68"/>
  <c r="G116" i="68"/>
  <c r="F116" i="68"/>
  <c r="T115" i="68"/>
  <c r="S115" i="68"/>
  <c r="R115" i="68"/>
  <c r="Q115" i="68"/>
  <c r="P115" i="68"/>
  <c r="O115" i="68"/>
  <c r="N115" i="68"/>
  <c r="M115" i="68"/>
  <c r="L115" i="68"/>
  <c r="K115" i="68"/>
  <c r="J115" i="68"/>
  <c r="I115" i="68"/>
  <c r="H115" i="68"/>
  <c r="G115" i="68"/>
  <c r="F115" i="68"/>
  <c r="T114" i="68"/>
  <c r="S114" i="68"/>
  <c r="R114" i="68"/>
  <c r="Q114" i="68"/>
  <c r="P114" i="68"/>
  <c r="O114" i="68"/>
  <c r="N114" i="68"/>
  <c r="M114" i="68"/>
  <c r="L114" i="68"/>
  <c r="K114" i="68"/>
  <c r="J114" i="68"/>
  <c r="I114" i="68"/>
  <c r="H114" i="68"/>
  <c r="G114" i="68"/>
  <c r="F114" i="68"/>
  <c r="T113" i="68"/>
  <c r="S113" i="68"/>
  <c r="R113" i="68"/>
  <c r="Q113" i="68"/>
  <c r="P113" i="68"/>
  <c r="O113" i="68"/>
  <c r="N113" i="68"/>
  <c r="M113" i="68"/>
  <c r="L113" i="68"/>
  <c r="K113" i="68"/>
  <c r="J113" i="68"/>
  <c r="I113" i="68"/>
  <c r="H113" i="68"/>
  <c r="G113" i="68"/>
  <c r="F113" i="68"/>
  <c r="T112" i="68"/>
  <c r="S112" i="68"/>
  <c r="R112" i="68"/>
  <c r="Q112" i="68"/>
  <c r="P112" i="68"/>
  <c r="O112" i="68"/>
  <c r="N112" i="68"/>
  <c r="M112" i="68"/>
  <c r="L112" i="68"/>
  <c r="K112" i="68"/>
  <c r="J112" i="68"/>
  <c r="I112" i="68"/>
  <c r="H112" i="68"/>
  <c r="G112" i="68"/>
  <c r="F112" i="68"/>
  <c r="T111" i="68"/>
  <c r="S111" i="68"/>
  <c r="R111" i="68"/>
  <c r="Q111" i="68"/>
  <c r="P111" i="68"/>
  <c r="O111" i="68"/>
  <c r="N111" i="68"/>
  <c r="M111" i="68"/>
  <c r="L111" i="68"/>
  <c r="K111" i="68"/>
  <c r="J111" i="68"/>
  <c r="I111" i="68"/>
  <c r="H111" i="68"/>
  <c r="G111" i="68"/>
  <c r="F111" i="68"/>
  <c r="T110" i="68"/>
  <c r="S110" i="68"/>
  <c r="R110" i="68"/>
  <c r="Q110" i="68"/>
  <c r="P110" i="68"/>
  <c r="O110" i="68"/>
  <c r="N110" i="68"/>
  <c r="M110" i="68"/>
  <c r="L110" i="68"/>
  <c r="K110" i="68"/>
  <c r="J110" i="68"/>
  <c r="I110" i="68"/>
  <c r="H110" i="68"/>
  <c r="G110" i="68"/>
  <c r="F110" i="68"/>
  <c r="T109" i="68"/>
  <c r="S109" i="68"/>
  <c r="R109" i="68"/>
  <c r="Q109" i="68"/>
  <c r="P109" i="68"/>
  <c r="O109" i="68"/>
  <c r="N109" i="68"/>
  <c r="M109" i="68"/>
  <c r="L109" i="68"/>
  <c r="K109" i="68"/>
  <c r="J109" i="68"/>
  <c r="I109" i="68"/>
  <c r="H109" i="68"/>
  <c r="G109" i="68"/>
  <c r="F109" i="68"/>
  <c r="T108" i="68"/>
  <c r="S108" i="68"/>
  <c r="R108" i="68"/>
  <c r="Q108" i="68"/>
  <c r="P108" i="68"/>
  <c r="O108" i="68"/>
  <c r="N108" i="68"/>
  <c r="M108" i="68"/>
  <c r="L108" i="68"/>
  <c r="K108" i="68"/>
  <c r="J108" i="68"/>
  <c r="I108" i="68"/>
  <c r="H108" i="68"/>
  <c r="G108" i="68"/>
  <c r="F108" i="68"/>
  <c r="T107" i="68"/>
  <c r="S107" i="68"/>
  <c r="R107" i="68"/>
  <c r="Q107" i="68"/>
  <c r="P107" i="68"/>
  <c r="O107" i="68"/>
  <c r="N107" i="68"/>
  <c r="M107" i="68"/>
  <c r="L107" i="68"/>
  <c r="K107" i="68"/>
  <c r="J107" i="68"/>
  <c r="I107" i="68"/>
  <c r="H107" i="68"/>
  <c r="G107" i="68"/>
  <c r="F107" i="68"/>
  <c r="T106" i="68"/>
  <c r="S106" i="68"/>
  <c r="R106" i="68"/>
  <c r="Q106" i="68"/>
  <c r="P106" i="68"/>
  <c r="O106" i="68"/>
  <c r="N106" i="68"/>
  <c r="M106" i="68"/>
  <c r="L106" i="68"/>
  <c r="K106" i="68"/>
  <c r="J106" i="68"/>
  <c r="I106" i="68"/>
  <c r="H106" i="68"/>
  <c r="G106" i="68"/>
  <c r="F106" i="68"/>
  <c r="T105" i="68"/>
  <c r="S105" i="68"/>
  <c r="R105" i="68"/>
  <c r="Q105" i="68"/>
  <c r="P105" i="68"/>
  <c r="O105" i="68"/>
  <c r="N105" i="68"/>
  <c r="M105" i="68"/>
  <c r="L105" i="68"/>
  <c r="K105" i="68"/>
  <c r="J105" i="68"/>
  <c r="I105" i="68"/>
  <c r="H105" i="68"/>
  <c r="G105" i="68"/>
  <c r="F105" i="68"/>
  <c r="T104" i="68"/>
  <c r="S104" i="68"/>
  <c r="R104" i="68"/>
  <c r="Q104" i="68"/>
  <c r="P104" i="68"/>
  <c r="O104" i="68"/>
  <c r="N104" i="68"/>
  <c r="M104" i="68"/>
  <c r="L104" i="68"/>
  <c r="K104" i="68"/>
  <c r="J104" i="68"/>
  <c r="I104" i="68"/>
  <c r="H104" i="68"/>
  <c r="G104" i="68"/>
  <c r="F104" i="68"/>
  <c r="T103" i="68"/>
  <c r="S103" i="68"/>
  <c r="R103" i="68"/>
  <c r="Q103" i="68"/>
  <c r="P103" i="68"/>
  <c r="O103" i="68"/>
  <c r="N103" i="68"/>
  <c r="M103" i="68"/>
  <c r="L103" i="68"/>
  <c r="K103" i="68"/>
  <c r="J103" i="68"/>
  <c r="I103" i="68"/>
  <c r="H103" i="68"/>
  <c r="G103" i="68"/>
  <c r="F103" i="68"/>
  <c r="T102" i="68"/>
  <c r="S102" i="68"/>
  <c r="R102" i="68"/>
  <c r="Q102" i="68"/>
  <c r="P102" i="68"/>
  <c r="O102" i="68"/>
  <c r="N102" i="68"/>
  <c r="M102" i="68"/>
  <c r="L102" i="68"/>
  <c r="K102" i="68"/>
  <c r="J102" i="68"/>
  <c r="I102" i="68"/>
  <c r="H102" i="68"/>
  <c r="G102" i="68"/>
  <c r="F102" i="68"/>
  <c r="T101" i="68"/>
  <c r="S101" i="68"/>
  <c r="R101" i="68"/>
  <c r="Q101" i="68"/>
  <c r="P101" i="68"/>
  <c r="O101" i="68"/>
  <c r="N101" i="68"/>
  <c r="M101" i="68"/>
  <c r="L101" i="68"/>
  <c r="K101" i="68"/>
  <c r="J101" i="68"/>
  <c r="I101" i="68"/>
  <c r="H101" i="68"/>
  <c r="G101" i="68"/>
  <c r="F101" i="68"/>
  <c r="T100" i="68"/>
  <c r="S100" i="68"/>
  <c r="R100" i="68"/>
  <c r="Q100" i="68"/>
  <c r="P100" i="68"/>
  <c r="O100" i="68"/>
  <c r="N100" i="68"/>
  <c r="M100" i="68"/>
  <c r="L100" i="68"/>
  <c r="K100" i="68"/>
  <c r="J100" i="68"/>
  <c r="I100" i="68"/>
  <c r="H100" i="68"/>
  <c r="G100" i="68"/>
  <c r="F100" i="68"/>
  <c r="T99" i="68"/>
  <c r="S99" i="68"/>
  <c r="R99" i="68"/>
  <c r="Q99" i="68"/>
  <c r="P99" i="68"/>
  <c r="O99" i="68"/>
  <c r="N99" i="68"/>
  <c r="M99" i="68"/>
  <c r="L99" i="68"/>
  <c r="K99" i="68"/>
  <c r="J99" i="68"/>
  <c r="I99" i="68"/>
  <c r="H99" i="68"/>
  <c r="G99" i="68"/>
  <c r="F99" i="68"/>
  <c r="T98" i="68"/>
  <c r="S98" i="68"/>
  <c r="R98" i="68"/>
  <c r="Q98" i="68"/>
  <c r="P98" i="68"/>
  <c r="O98" i="68"/>
  <c r="N98" i="68"/>
  <c r="M98" i="68"/>
  <c r="L98" i="68"/>
  <c r="K98" i="68"/>
  <c r="J98" i="68"/>
  <c r="I98" i="68"/>
  <c r="H98" i="68"/>
  <c r="G98" i="68"/>
  <c r="F98" i="68"/>
  <c r="T97" i="68"/>
  <c r="S97" i="68"/>
  <c r="R97" i="68"/>
  <c r="Q97" i="68"/>
  <c r="P97" i="68"/>
  <c r="O97" i="68"/>
  <c r="N97" i="68"/>
  <c r="M97" i="68"/>
  <c r="L97" i="68"/>
  <c r="K97" i="68"/>
  <c r="J97" i="68"/>
  <c r="I97" i="68"/>
  <c r="H97" i="68"/>
  <c r="G97" i="68"/>
  <c r="F97" i="68"/>
  <c r="T96" i="68"/>
  <c r="S96" i="68"/>
  <c r="R96" i="68"/>
  <c r="Q96" i="68"/>
  <c r="P96" i="68"/>
  <c r="O96" i="68"/>
  <c r="N96" i="68"/>
  <c r="M96" i="68"/>
  <c r="L96" i="68"/>
  <c r="K96" i="68"/>
  <c r="J96" i="68"/>
  <c r="I96" i="68"/>
  <c r="H96" i="68"/>
  <c r="G96" i="68"/>
  <c r="F96" i="68"/>
  <c r="T95" i="68"/>
  <c r="S95" i="68"/>
  <c r="R95" i="68"/>
  <c r="Q95" i="68"/>
  <c r="P95" i="68"/>
  <c r="O95" i="68"/>
  <c r="N95" i="68"/>
  <c r="M95" i="68"/>
  <c r="L95" i="68"/>
  <c r="K95" i="68"/>
  <c r="J95" i="68"/>
  <c r="I95" i="68"/>
  <c r="H95" i="68"/>
  <c r="G95" i="68"/>
  <c r="F95" i="68"/>
  <c r="T94" i="68"/>
  <c r="S94" i="68"/>
  <c r="R94" i="68"/>
  <c r="Q94" i="68"/>
  <c r="P94" i="68"/>
  <c r="O94" i="68"/>
  <c r="N94" i="68"/>
  <c r="M94" i="68"/>
  <c r="L94" i="68"/>
  <c r="K94" i="68"/>
  <c r="J94" i="68"/>
  <c r="I94" i="68"/>
  <c r="H94" i="68"/>
  <c r="G94" i="68"/>
  <c r="F94" i="68"/>
  <c r="T93" i="68"/>
  <c r="S93" i="68"/>
  <c r="R93" i="68"/>
  <c r="Q93" i="68"/>
  <c r="P93" i="68"/>
  <c r="O93" i="68"/>
  <c r="N93" i="68"/>
  <c r="M93" i="68"/>
  <c r="L93" i="68"/>
  <c r="K93" i="68"/>
  <c r="J93" i="68"/>
  <c r="I93" i="68"/>
  <c r="H93" i="68"/>
  <c r="G93" i="68"/>
  <c r="F93" i="68"/>
  <c r="T92" i="68"/>
  <c r="S92" i="68"/>
  <c r="R92" i="68"/>
  <c r="Q92" i="68"/>
  <c r="P92" i="68"/>
  <c r="O92" i="68"/>
  <c r="N92" i="68"/>
  <c r="M92" i="68"/>
  <c r="L92" i="68"/>
  <c r="K92" i="68"/>
  <c r="J92" i="68"/>
  <c r="I92" i="68"/>
  <c r="H92" i="68"/>
  <c r="G92" i="68"/>
  <c r="F92" i="68"/>
  <c r="T91" i="68"/>
  <c r="S91" i="68"/>
  <c r="R91" i="68"/>
  <c r="Q91" i="68"/>
  <c r="P91" i="68"/>
  <c r="O91" i="68"/>
  <c r="N91" i="68"/>
  <c r="M91" i="68"/>
  <c r="L91" i="68"/>
  <c r="K91" i="68"/>
  <c r="J91" i="68"/>
  <c r="I91" i="68"/>
  <c r="H91" i="68"/>
  <c r="G91" i="68"/>
  <c r="F91" i="68"/>
  <c r="T90" i="68"/>
  <c r="S90" i="68"/>
  <c r="R90" i="68"/>
  <c r="Q90" i="68"/>
  <c r="P90" i="68"/>
  <c r="O90" i="68"/>
  <c r="N90" i="68"/>
  <c r="M90" i="68"/>
  <c r="L90" i="68"/>
  <c r="K90" i="68"/>
  <c r="J90" i="68"/>
  <c r="I90" i="68"/>
  <c r="H90" i="68"/>
  <c r="G90" i="68"/>
  <c r="F90" i="68"/>
  <c r="T89" i="68"/>
  <c r="S89" i="68"/>
  <c r="R89" i="68"/>
  <c r="Q89" i="68"/>
  <c r="P89" i="68"/>
  <c r="O89" i="68"/>
  <c r="N89" i="68"/>
  <c r="M89" i="68"/>
  <c r="L89" i="68"/>
  <c r="K89" i="68"/>
  <c r="J89" i="68"/>
  <c r="I89" i="68"/>
  <c r="H89" i="68"/>
  <c r="G89" i="68"/>
  <c r="F89" i="68"/>
  <c r="T88" i="68"/>
  <c r="S88" i="68"/>
  <c r="R88" i="68"/>
  <c r="Q88" i="68"/>
  <c r="P88" i="68"/>
  <c r="O88" i="68"/>
  <c r="N88" i="68"/>
  <c r="M88" i="68"/>
  <c r="L88" i="68"/>
  <c r="K88" i="68"/>
  <c r="J88" i="68"/>
  <c r="I88" i="68"/>
  <c r="H88" i="68"/>
  <c r="G88" i="68"/>
  <c r="F88" i="68"/>
  <c r="T87" i="68"/>
  <c r="S87" i="68"/>
  <c r="R87" i="68"/>
  <c r="Q87" i="68"/>
  <c r="P87" i="68"/>
  <c r="O87" i="68"/>
  <c r="N87" i="68"/>
  <c r="M87" i="68"/>
  <c r="L87" i="68"/>
  <c r="K87" i="68"/>
  <c r="J87" i="68"/>
  <c r="I87" i="68"/>
  <c r="H87" i="68"/>
  <c r="G87" i="68"/>
  <c r="F87" i="68"/>
  <c r="T86" i="68"/>
  <c r="S86" i="68"/>
  <c r="R86" i="68"/>
  <c r="Q86" i="68"/>
  <c r="P86" i="68"/>
  <c r="O86" i="68"/>
  <c r="N86" i="68"/>
  <c r="M86" i="68"/>
  <c r="L86" i="68"/>
  <c r="K86" i="68"/>
  <c r="J86" i="68"/>
  <c r="I86" i="68"/>
  <c r="H86" i="68"/>
  <c r="G86" i="68"/>
  <c r="F86" i="68"/>
  <c r="T85" i="68"/>
  <c r="S85" i="68"/>
  <c r="R85" i="68"/>
  <c r="Q85" i="68"/>
  <c r="P85" i="68"/>
  <c r="O85" i="68"/>
  <c r="N85" i="68"/>
  <c r="M85" i="68"/>
  <c r="L85" i="68"/>
  <c r="K85" i="68"/>
  <c r="J85" i="68"/>
  <c r="I85" i="68"/>
  <c r="H85" i="68"/>
  <c r="G85" i="68"/>
  <c r="F85" i="68"/>
  <c r="T84" i="68"/>
  <c r="S84" i="68"/>
  <c r="R84" i="68"/>
  <c r="Q84" i="68"/>
  <c r="P84" i="68"/>
  <c r="O84" i="68"/>
  <c r="N84" i="68"/>
  <c r="M84" i="68"/>
  <c r="L84" i="68"/>
  <c r="K84" i="68"/>
  <c r="J84" i="68"/>
  <c r="I84" i="68"/>
  <c r="H84" i="68"/>
  <c r="G84" i="68"/>
  <c r="F84" i="68"/>
  <c r="T83" i="68"/>
  <c r="S83" i="68"/>
  <c r="R83" i="68"/>
  <c r="Q83" i="68"/>
  <c r="P83" i="68"/>
  <c r="O83" i="68"/>
  <c r="N83" i="68"/>
  <c r="M83" i="68"/>
  <c r="L83" i="68"/>
  <c r="K83" i="68"/>
  <c r="J83" i="68"/>
  <c r="I83" i="68"/>
  <c r="H83" i="68"/>
  <c r="G83" i="68"/>
  <c r="F83" i="68"/>
  <c r="T82" i="68"/>
  <c r="S82" i="68"/>
  <c r="R82" i="68"/>
  <c r="Q82" i="68"/>
  <c r="P82" i="68"/>
  <c r="O82" i="68"/>
  <c r="N82" i="68"/>
  <c r="M82" i="68"/>
  <c r="L82" i="68"/>
  <c r="K82" i="68"/>
  <c r="J82" i="68"/>
  <c r="I82" i="68"/>
  <c r="H82" i="68"/>
  <c r="G82" i="68"/>
  <c r="F82" i="68"/>
  <c r="T81" i="68"/>
  <c r="S81" i="68"/>
  <c r="R81" i="68"/>
  <c r="Q81" i="68"/>
  <c r="P81" i="68"/>
  <c r="O81" i="68"/>
  <c r="N81" i="68"/>
  <c r="M81" i="68"/>
  <c r="L81" i="68"/>
  <c r="K81" i="68"/>
  <c r="J81" i="68"/>
  <c r="I81" i="68"/>
  <c r="H81" i="68"/>
  <c r="G81" i="68"/>
  <c r="F81" i="68"/>
  <c r="T80" i="68"/>
  <c r="S80" i="68"/>
  <c r="R80" i="68"/>
  <c r="Q80" i="68"/>
  <c r="P80" i="68"/>
  <c r="O80" i="68"/>
  <c r="N80" i="68"/>
  <c r="M80" i="68"/>
  <c r="L80" i="68"/>
  <c r="K80" i="68"/>
  <c r="J80" i="68"/>
  <c r="I80" i="68"/>
  <c r="H80" i="68"/>
  <c r="G80" i="68"/>
  <c r="F80" i="68"/>
  <c r="T79" i="68"/>
  <c r="S79" i="68"/>
  <c r="R79" i="68"/>
  <c r="Q79" i="68"/>
  <c r="P79" i="68"/>
  <c r="O79" i="68"/>
  <c r="N79" i="68"/>
  <c r="M79" i="68"/>
  <c r="L79" i="68"/>
  <c r="K79" i="68"/>
  <c r="J79" i="68"/>
  <c r="I79" i="68"/>
  <c r="H79" i="68"/>
  <c r="G79" i="68"/>
  <c r="F79" i="68"/>
  <c r="T78" i="68"/>
  <c r="S78" i="68"/>
  <c r="R78" i="68"/>
  <c r="Q78" i="68"/>
  <c r="P78" i="68"/>
  <c r="O78" i="68"/>
  <c r="N78" i="68"/>
  <c r="M78" i="68"/>
  <c r="L78" i="68"/>
  <c r="K78" i="68"/>
  <c r="J78" i="68"/>
  <c r="I78" i="68"/>
  <c r="H78" i="68"/>
  <c r="G78" i="68"/>
  <c r="F78" i="68"/>
  <c r="T77" i="68"/>
  <c r="S77" i="68"/>
  <c r="R77" i="68"/>
  <c r="Q77" i="68"/>
  <c r="P77" i="68"/>
  <c r="O77" i="68"/>
  <c r="N77" i="68"/>
  <c r="M77" i="68"/>
  <c r="L77" i="68"/>
  <c r="K77" i="68"/>
  <c r="J77" i="68"/>
  <c r="I77" i="68"/>
  <c r="H77" i="68"/>
  <c r="G77" i="68"/>
  <c r="F77" i="68"/>
  <c r="T76" i="68"/>
  <c r="S76" i="68"/>
  <c r="R76" i="68"/>
  <c r="Q76" i="68"/>
  <c r="P76" i="68"/>
  <c r="O76" i="68"/>
  <c r="N76" i="68"/>
  <c r="M76" i="68"/>
  <c r="L76" i="68"/>
  <c r="K76" i="68"/>
  <c r="J76" i="68"/>
  <c r="I76" i="68"/>
  <c r="H76" i="68"/>
  <c r="G76" i="68"/>
  <c r="F76" i="68"/>
  <c r="T75" i="68"/>
  <c r="S75" i="68"/>
  <c r="R75" i="68"/>
  <c r="Q75" i="68"/>
  <c r="P75" i="68"/>
  <c r="O75" i="68"/>
  <c r="N75" i="68"/>
  <c r="M75" i="68"/>
  <c r="L75" i="68"/>
  <c r="K75" i="68"/>
  <c r="J75" i="68"/>
  <c r="I75" i="68"/>
  <c r="H75" i="68"/>
  <c r="G75" i="68"/>
  <c r="F75" i="68"/>
  <c r="T74" i="68"/>
  <c r="S74" i="68"/>
  <c r="R74" i="68"/>
  <c r="Q74" i="68"/>
  <c r="P74" i="68"/>
  <c r="O74" i="68"/>
  <c r="N74" i="68"/>
  <c r="M74" i="68"/>
  <c r="L74" i="68"/>
  <c r="K74" i="68"/>
  <c r="J74" i="68"/>
  <c r="I74" i="68"/>
  <c r="H74" i="68"/>
  <c r="G74" i="68"/>
  <c r="F74" i="68"/>
  <c r="T73" i="68"/>
  <c r="S73" i="68"/>
  <c r="R73" i="68"/>
  <c r="Q73" i="68"/>
  <c r="P73" i="68"/>
  <c r="O73" i="68"/>
  <c r="N73" i="68"/>
  <c r="M73" i="68"/>
  <c r="L73" i="68"/>
  <c r="K73" i="68"/>
  <c r="J73" i="68"/>
  <c r="I73" i="68"/>
  <c r="H73" i="68"/>
  <c r="G73" i="68"/>
  <c r="F73" i="68"/>
  <c r="T72" i="68"/>
  <c r="S72" i="68"/>
  <c r="R72" i="68"/>
  <c r="Q72" i="68"/>
  <c r="P72" i="68"/>
  <c r="O72" i="68"/>
  <c r="N72" i="68"/>
  <c r="M72" i="68"/>
  <c r="L72" i="68"/>
  <c r="K72" i="68"/>
  <c r="J72" i="68"/>
  <c r="I72" i="68"/>
  <c r="H72" i="68"/>
  <c r="G72" i="68"/>
  <c r="F72" i="68"/>
  <c r="T71" i="68"/>
  <c r="S71" i="68"/>
  <c r="R71" i="68"/>
  <c r="Q71" i="68"/>
  <c r="P71" i="68"/>
  <c r="O71" i="68"/>
  <c r="N71" i="68"/>
  <c r="M71" i="68"/>
  <c r="L71" i="68"/>
  <c r="K71" i="68"/>
  <c r="J71" i="68"/>
  <c r="I71" i="68"/>
  <c r="H71" i="68"/>
  <c r="G71" i="68"/>
  <c r="F71" i="68"/>
  <c r="T70" i="68"/>
  <c r="S70" i="68"/>
  <c r="R70" i="68"/>
  <c r="Q70" i="68"/>
  <c r="P70" i="68"/>
  <c r="O70" i="68"/>
  <c r="N70" i="68"/>
  <c r="M70" i="68"/>
  <c r="L70" i="68"/>
  <c r="K70" i="68"/>
  <c r="J70" i="68"/>
  <c r="I70" i="68"/>
  <c r="H70" i="68"/>
  <c r="G70" i="68"/>
  <c r="F70" i="68"/>
  <c r="T69" i="68"/>
  <c r="S69" i="68"/>
  <c r="R69" i="68"/>
  <c r="Q69" i="68"/>
  <c r="P69" i="68"/>
  <c r="O69" i="68"/>
  <c r="N69" i="68"/>
  <c r="M69" i="68"/>
  <c r="L69" i="68"/>
  <c r="K69" i="68"/>
  <c r="J69" i="68"/>
  <c r="I69" i="68"/>
  <c r="H69" i="68"/>
  <c r="G69" i="68"/>
  <c r="F69" i="68"/>
  <c r="T68" i="68"/>
  <c r="S68" i="68"/>
  <c r="R68" i="68"/>
  <c r="Q68" i="68"/>
  <c r="P68" i="68"/>
  <c r="O68" i="68"/>
  <c r="N68" i="68"/>
  <c r="M68" i="68"/>
  <c r="L68" i="68"/>
  <c r="K68" i="68"/>
  <c r="J68" i="68"/>
  <c r="I68" i="68"/>
  <c r="H68" i="68"/>
  <c r="G68" i="68"/>
  <c r="F68" i="68"/>
  <c r="T67" i="68"/>
  <c r="S67" i="68"/>
  <c r="R67" i="68"/>
  <c r="Q67" i="68"/>
  <c r="P67" i="68"/>
  <c r="O67" i="68"/>
  <c r="N67" i="68"/>
  <c r="M67" i="68"/>
  <c r="L67" i="68"/>
  <c r="K67" i="68"/>
  <c r="J67" i="68"/>
  <c r="I67" i="68"/>
  <c r="H67" i="68"/>
  <c r="G67" i="68"/>
  <c r="F67" i="68"/>
  <c r="T66" i="68"/>
  <c r="S66" i="68"/>
  <c r="R66" i="68"/>
  <c r="Q66" i="68"/>
  <c r="P66" i="68"/>
  <c r="O66" i="68"/>
  <c r="N66" i="68"/>
  <c r="M66" i="68"/>
  <c r="L66" i="68"/>
  <c r="K66" i="68"/>
  <c r="J66" i="68"/>
  <c r="I66" i="68"/>
  <c r="H66" i="68"/>
  <c r="G66" i="68"/>
  <c r="F66" i="68"/>
  <c r="T65" i="68"/>
  <c r="S65" i="68"/>
  <c r="R65" i="68"/>
  <c r="Q65" i="68"/>
  <c r="P65" i="68"/>
  <c r="O65" i="68"/>
  <c r="N65" i="68"/>
  <c r="M65" i="68"/>
  <c r="L65" i="68"/>
  <c r="K65" i="68"/>
  <c r="J65" i="68"/>
  <c r="I65" i="68"/>
  <c r="H65" i="68"/>
  <c r="G65" i="68"/>
  <c r="F65" i="68"/>
  <c r="T64" i="68"/>
  <c r="S64" i="68"/>
  <c r="R64" i="68"/>
  <c r="Q64" i="68"/>
  <c r="P64" i="68"/>
  <c r="O64" i="68"/>
  <c r="N64" i="68"/>
  <c r="M64" i="68"/>
  <c r="L64" i="68"/>
  <c r="K64" i="68"/>
  <c r="J64" i="68"/>
  <c r="I64" i="68"/>
  <c r="H64" i="68"/>
  <c r="G64" i="68"/>
  <c r="F64" i="68"/>
  <c r="T63" i="68"/>
  <c r="S63" i="68"/>
  <c r="R63" i="68"/>
  <c r="Q63" i="68"/>
  <c r="P63" i="68"/>
  <c r="O63" i="68"/>
  <c r="N63" i="68"/>
  <c r="M63" i="68"/>
  <c r="L63" i="68"/>
  <c r="K63" i="68"/>
  <c r="J63" i="68"/>
  <c r="I63" i="68"/>
  <c r="H63" i="68"/>
  <c r="G63" i="68"/>
  <c r="F63" i="68"/>
  <c r="T62" i="68"/>
  <c r="S62" i="68"/>
  <c r="R62" i="68"/>
  <c r="Q62" i="68"/>
  <c r="P62" i="68"/>
  <c r="O62" i="68"/>
  <c r="N62" i="68"/>
  <c r="M62" i="68"/>
  <c r="L62" i="68"/>
  <c r="K62" i="68"/>
  <c r="J62" i="68"/>
  <c r="I62" i="68"/>
  <c r="H62" i="68"/>
  <c r="G62" i="68"/>
  <c r="F62" i="68"/>
  <c r="T61" i="68"/>
  <c r="S61" i="68"/>
  <c r="R61" i="68"/>
  <c r="Q61" i="68"/>
  <c r="P61" i="68"/>
  <c r="O61" i="68"/>
  <c r="N61" i="68"/>
  <c r="M61" i="68"/>
  <c r="L61" i="68"/>
  <c r="K61" i="68"/>
  <c r="J61" i="68"/>
  <c r="I61" i="68"/>
  <c r="H61" i="68"/>
  <c r="G61" i="68"/>
  <c r="F61" i="68"/>
  <c r="T60" i="68"/>
  <c r="S60" i="68"/>
  <c r="R60" i="68"/>
  <c r="Q60" i="68"/>
  <c r="P60" i="68"/>
  <c r="O60" i="68"/>
  <c r="N60" i="68"/>
  <c r="M60" i="68"/>
  <c r="L60" i="68"/>
  <c r="K60" i="68"/>
  <c r="J60" i="68"/>
  <c r="I60" i="68"/>
  <c r="H60" i="68"/>
  <c r="G60" i="68"/>
  <c r="F60" i="68"/>
  <c r="T59" i="68"/>
  <c r="S59" i="68"/>
  <c r="R59" i="68"/>
  <c r="Q59" i="68"/>
  <c r="P59" i="68"/>
  <c r="O59" i="68"/>
  <c r="N59" i="68"/>
  <c r="M59" i="68"/>
  <c r="L59" i="68"/>
  <c r="K59" i="68"/>
  <c r="J59" i="68"/>
  <c r="I59" i="68"/>
  <c r="H59" i="68"/>
  <c r="G59" i="68"/>
  <c r="F59" i="68"/>
  <c r="T58" i="68"/>
  <c r="S58" i="68"/>
  <c r="R58" i="68"/>
  <c r="Q58" i="68"/>
  <c r="P58" i="68"/>
  <c r="O58" i="68"/>
  <c r="N58" i="68"/>
  <c r="M58" i="68"/>
  <c r="L58" i="68"/>
  <c r="K58" i="68"/>
  <c r="J58" i="68"/>
  <c r="I58" i="68"/>
  <c r="H58" i="68"/>
  <c r="G58" i="68"/>
  <c r="F58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T56" i="68"/>
  <c r="S56" i="68"/>
  <c r="R56" i="68"/>
  <c r="Q56" i="68"/>
  <c r="P56" i="68"/>
  <c r="O56" i="68"/>
  <c r="N56" i="68"/>
  <c r="M56" i="68"/>
  <c r="L56" i="68"/>
  <c r="K56" i="68"/>
  <c r="J56" i="68"/>
  <c r="I56" i="68"/>
  <c r="H56" i="68"/>
  <c r="G56" i="68"/>
  <c r="F56" i="68"/>
  <c r="T55" i="68"/>
  <c r="S55" i="68"/>
  <c r="R55" i="68"/>
  <c r="Q55" i="68"/>
  <c r="P55" i="68"/>
  <c r="O55" i="68"/>
  <c r="N55" i="68"/>
  <c r="M55" i="68"/>
  <c r="L55" i="68"/>
  <c r="K55" i="68"/>
  <c r="J55" i="68"/>
  <c r="I55" i="68"/>
  <c r="H55" i="68"/>
  <c r="G55" i="68"/>
  <c r="F55" i="68"/>
  <c r="T54" i="68"/>
  <c r="S54" i="68"/>
  <c r="R54" i="68"/>
  <c r="Q54" i="68"/>
  <c r="P54" i="68"/>
  <c r="O54" i="68"/>
  <c r="N54" i="68"/>
  <c r="M54" i="68"/>
  <c r="L54" i="68"/>
  <c r="K54" i="68"/>
  <c r="J54" i="68"/>
  <c r="I54" i="68"/>
  <c r="H54" i="68"/>
  <c r="G54" i="68"/>
  <c r="F54" i="68"/>
  <c r="T53" i="68"/>
  <c r="S53" i="68"/>
  <c r="R53" i="68"/>
  <c r="Q53" i="68"/>
  <c r="P53" i="68"/>
  <c r="O53" i="68"/>
  <c r="N53" i="68"/>
  <c r="M53" i="68"/>
  <c r="L53" i="68"/>
  <c r="K53" i="68"/>
  <c r="J53" i="68"/>
  <c r="I53" i="68"/>
  <c r="H53" i="68"/>
  <c r="G53" i="68"/>
  <c r="F53" i="68"/>
  <c r="T52" i="68"/>
  <c r="S52" i="68"/>
  <c r="R52" i="68"/>
  <c r="Q52" i="68"/>
  <c r="P52" i="68"/>
  <c r="O52" i="68"/>
  <c r="N52" i="68"/>
  <c r="M52" i="68"/>
  <c r="L52" i="68"/>
  <c r="K52" i="68"/>
  <c r="J52" i="68"/>
  <c r="I52" i="68"/>
  <c r="H52" i="68"/>
  <c r="G52" i="68"/>
  <c r="F52" i="68"/>
  <c r="T51" i="68"/>
  <c r="S51" i="68"/>
  <c r="R51" i="68"/>
  <c r="Q51" i="68"/>
  <c r="P51" i="68"/>
  <c r="O51" i="68"/>
  <c r="N51" i="68"/>
  <c r="M51" i="68"/>
  <c r="L51" i="68"/>
  <c r="K51" i="68"/>
  <c r="J51" i="68"/>
  <c r="I51" i="68"/>
  <c r="H51" i="68"/>
  <c r="G51" i="68"/>
  <c r="F51" i="68"/>
  <c r="T50" i="68"/>
  <c r="S50" i="68"/>
  <c r="R50" i="68"/>
  <c r="Q50" i="68"/>
  <c r="P50" i="68"/>
  <c r="O50" i="68"/>
  <c r="N50" i="68"/>
  <c r="M50" i="68"/>
  <c r="L50" i="68"/>
  <c r="K50" i="68"/>
  <c r="J50" i="68"/>
  <c r="I50" i="68"/>
  <c r="H50" i="68"/>
  <c r="G50" i="68"/>
  <c r="F50" i="68"/>
  <c r="T49" i="68"/>
  <c r="S49" i="68"/>
  <c r="R49" i="68"/>
  <c r="Q49" i="68"/>
  <c r="P49" i="68"/>
  <c r="O49" i="68"/>
  <c r="N49" i="68"/>
  <c r="M49" i="68"/>
  <c r="L49" i="68"/>
  <c r="K49" i="68"/>
  <c r="J49" i="68"/>
  <c r="I49" i="68"/>
  <c r="H49" i="68"/>
  <c r="G49" i="68"/>
  <c r="F49" i="68"/>
  <c r="T48" i="68"/>
  <c r="S48" i="68"/>
  <c r="R48" i="68"/>
  <c r="Q48" i="68"/>
  <c r="P48" i="68"/>
  <c r="O48" i="68"/>
  <c r="N48" i="68"/>
  <c r="M48" i="68"/>
  <c r="L48" i="68"/>
  <c r="K48" i="68"/>
  <c r="J48" i="68"/>
  <c r="I48" i="68"/>
  <c r="H48" i="68"/>
  <c r="G48" i="68"/>
  <c r="F48" i="68"/>
  <c r="T47" i="68"/>
  <c r="S47" i="68"/>
  <c r="R47" i="68"/>
  <c r="Q47" i="68"/>
  <c r="P47" i="68"/>
  <c r="O47" i="68"/>
  <c r="N47" i="68"/>
  <c r="M47" i="68"/>
  <c r="L47" i="68"/>
  <c r="K47" i="68"/>
  <c r="J47" i="68"/>
  <c r="I47" i="68"/>
  <c r="H47" i="68"/>
  <c r="G47" i="68"/>
  <c r="F47" i="68"/>
  <c r="T46" i="68"/>
  <c r="S46" i="68"/>
  <c r="R46" i="68"/>
  <c r="Q46" i="68"/>
  <c r="P46" i="68"/>
  <c r="O46" i="68"/>
  <c r="N46" i="68"/>
  <c r="M46" i="68"/>
  <c r="L46" i="68"/>
  <c r="K46" i="68"/>
  <c r="J46" i="68"/>
  <c r="I46" i="68"/>
  <c r="H46" i="68"/>
  <c r="G46" i="68"/>
  <c r="F46" i="68"/>
  <c r="T45" i="68"/>
  <c r="S45" i="68"/>
  <c r="R45" i="68"/>
  <c r="Q45" i="68"/>
  <c r="P45" i="68"/>
  <c r="O45" i="68"/>
  <c r="N45" i="68"/>
  <c r="M45" i="68"/>
  <c r="L45" i="68"/>
  <c r="K45" i="68"/>
  <c r="J45" i="68"/>
  <c r="I45" i="68"/>
  <c r="H45" i="68"/>
  <c r="G45" i="68"/>
  <c r="F45" i="68"/>
  <c r="T44" i="68"/>
  <c r="S44" i="68"/>
  <c r="R44" i="68"/>
  <c r="Q44" i="68"/>
  <c r="P44" i="68"/>
  <c r="O44" i="68"/>
  <c r="N44" i="68"/>
  <c r="M44" i="68"/>
  <c r="L44" i="68"/>
  <c r="K44" i="68"/>
  <c r="J44" i="68"/>
  <c r="I44" i="68"/>
  <c r="H44" i="68"/>
  <c r="G44" i="68"/>
  <c r="F44" i="68"/>
  <c r="T43" i="68"/>
  <c r="S43" i="68"/>
  <c r="R43" i="68"/>
  <c r="Q43" i="68"/>
  <c r="P43" i="68"/>
  <c r="O43" i="68"/>
  <c r="N43" i="68"/>
  <c r="M43" i="68"/>
  <c r="L43" i="68"/>
  <c r="K43" i="68"/>
  <c r="J43" i="68"/>
  <c r="I43" i="68"/>
  <c r="H43" i="68"/>
  <c r="G43" i="68"/>
  <c r="F43" i="68"/>
  <c r="T42" i="68"/>
  <c r="S42" i="68"/>
  <c r="R42" i="68"/>
  <c r="Q42" i="68"/>
  <c r="P42" i="68"/>
  <c r="O42" i="68"/>
  <c r="N42" i="68"/>
  <c r="M42" i="68"/>
  <c r="L42" i="68"/>
  <c r="K42" i="68"/>
  <c r="J42" i="68"/>
  <c r="I42" i="68"/>
  <c r="H42" i="68"/>
  <c r="G42" i="68"/>
  <c r="F42" i="68"/>
  <c r="T41" i="68"/>
  <c r="S41" i="68"/>
  <c r="R41" i="68"/>
  <c r="Q41" i="68"/>
  <c r="P41" i="68"/>
  <c r="O41" i="68"/>
  <c r="N41" i="68"/>
  <c r="M41" i="68"/>
  <c r="L41" i="68"/>
  <c r="K41" i="68"/>
  <c r="J41" i="68"/>
  <c r="I41" i="68"/>
  <c r="H41" i="68"/>
  <c r="G41" i="68"/>
  <c r="F41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T39" i="68"/>
  <c r="S39" i="68"/>
  <c r="R39" i="68"/>
  <c r="Q39" i="68"/>
  <c r="P39" i="68"/>
  <c r="O39" i="68"/>
  <c r="N39" i="68"/>
  <c r="M39" i="68"/>
  <c r="L39" i="68"/>
  <c r="K39" i="68"/>
  <c r="J39" i="68"/>
  <c r="I39" i="68"/>
  <c r="H39" i="68"/>
  <c r="G39" i="68"/>
  <c r="F39" i="68"/>
  <c r="T38" i="68"/>
  <c r="S38" i="68"/>
  <c r="R38" i="68"/>
  <c r="Q38" i="68"/>
  <c r="P38" i="68"/>
  <c r="O38" i="68"/>
  <c r="N38" i="68"/>
  <c r="M38" i="68"/>
  <c r="L38" i="68"/>
  <c r="K38" i="68"/>
  <c r="J38" i="68"/>
  <c r="I38" i="68"/>
  <c r="H38" i="68"/>
  <c r="G38" i="68"/>
  <c r="F38" i="68"/>
  <c r="T37" i="68"/>
  <c r="S37" i="68"/>
  <c r="R37" i="68"/>
  <c r="Q37" i="68"/>
  <c r="P37" i="68"/>
  <c r="O37" i="68"/>
  <c r="N37" i="68"/>
  <c r="M37" i="68"/>
  <c r="L37" i="68"/>
  <c r="K37" i="68"/>
  <c r="J37" i="68"/>
  <c r="I37" i="68"/>
  <c r="H37" i="68"/>
  <c r="G37" i="68"/>
  <c r="F37" i="68"/>
  <c r="T36" i="68"/>
  <c r="S36" i="68"/>
  <c r="R36" i="68"/>
  <c r="Q36" i="68"/>
  <c r="P36" i="68"/>
  <c r="O36" i="68"/>
  <c r="N36" i="68"/>
  <c r="M36" i="68"/>
  <c r="L36" i="68"/>
  <c r="K36" i="68"/>
  <c r="J36" i="68"/>
  <c r="I36" i="68"/>
  <c r="H36" i="68"/>
  <c r="G36" i="68"/>
  <c r="F36" i="68"/>
  <c r="T35" i="68"/>
  <c r="S35" i="68"/>
  <c r="R35" i="68"/>
  <c r="Q35" i="68"/>
  <c r="P35" i="68"/>
  <c r="O35" i="68"/>
  <c r="N35" i="68"/>
  <c r="M35" i="68"/>
  <c r="L35" i="68"/>
  <c r="K35" i="68"/>
  <c r="J35" i="68"/>
  <c r="I35" i="68"/>
  <c r="H35" i="68"/>
  <c r="G35" i="68"/>
  <c r="F35" i="68"/>
  <c r="T34" i="68"/>
  <c r="S34" i="68"/>
  <c r="R34" i="68"/>
  <c r="Q34" i="68"/>
  <c r="P34" i="68"/>
  <c r="O34" i="68"/>
  <c r="N34" i="68"/>
  <c r="M34" i="68"/>
  <c r="L34" i="68"/>
  <c r="K34" i="68"/>
  <c r="J34" i="68"/>
  <c r="I34" i="68"/>
  <c r="H34" i="68"/>
  <c r="G34" i="68"/>
  <c r="F34" i="68"/>
  <c r="T33" i="68"/>
  <c r="S33" i="68"/>
  <c r="R33" i="68"/>
  <c r="Q33" i="68"/>
  <c r="P33" i="68"/>
  <c r="O33" i="68"/>
  <c r="N33" i="68"/>
  <c r="M33" i="68"/>
  <c r="L33" i="68"/>
  <c r="K33" i="68"/>
  <c r="J33" i="68"/>
  <c r="I33" i="68"/>
  <c r="H33" i="68"/>
  <c r="G33" i="68"/>
  <c r="F33" i="68"/>
  <c r="T32" i="68"/>
  <c r="S32" i="68"/>
  <c r="R32" i="68"/>
  <c r="Q32" i="68"/>
  <c r="P32" i="68"/>
  <c r="O32" i="68"/>
  <c r="N32" i="68"/>
  <c r="M32" i="68"/>
  <c r="L32" i="68"/>
  <c r="K32" i="68"/>
  <c r="J32" i="68"/>
  <c r="I32" i="68"/>
  <c r="H32" i="68"/>
  <c r="G32" i="68"/>
  <c r="F32" i="68"/>
  <c r="T31" i="68"/>
  <c r="S31" i="68"/>
  <c r="R31" i="68"/>
  <c r="Q31" i="68"/>
  <c r="P31" i="68"/>
  <c r="O31" i="68"/>
  <c r="N31" i="68"/>
  <c r="M31" i="68"/>
  <c r="L31" i="68"/>
  <c r="K31" i="68"/>
  <c r="J31" i="68"/>
  <c r="I31" i="68"/>
  <c r="H31" i="68"/>
  <c r="G31" i="68"/>
  <c r="F31" i="68"/>
  <c r="T30" i="68"/>
  <c r="S30" i="68"/>
  <c r="R30" i="68"/>
  <c r="Q30" i="68"/>
  <c r="P30" i="68"/>
  <c r="O30" i="68"/>
  <c r="N30" i="68"/>
  <c r="M30" i="68"/>
  <c r="L30" i="68"/>
  <c r="K30" i="68"/>
  <c r="J30" i="68"/>
  <c r="I30" i="68"/>
  <c r="H30" i="68"/>
  <c r="G30" i="68"/>
  <c r="F30" i="68"/>
  <c r="T29" i="68"/>
  <c r="S29" i="68"/>
  <c r="R29" i="68"/>
  <c r="Q29" i="68"/>
  <c r="P29" i="68"/>
  <c r="O29" i="68"/>
  <c r="N29" i="68"/>
  <c r="M29" i="68"/>
  <c r="L29" i="68"/>
  <c r="K29" i="68"/>
  <c r="J29" i="68"/>
  <c r="I29" i="68"/>
  <c r="H29" i="68"/>
  <c r="G29" i="68"/>
  <c r="F29" i="68"/>
  <c r="T28" i="68"/>
  <c r="S28" i="68"/>
  <c r="R28" i="68"/>
  <c r="Q28" i="68"/>
  <c r="P28" i="68"/>
  <c r="O28" i="68"/>
  <c r="N28" i="68"/>
  <c r="M28" i="68"/>
  <c r="L28" i="68"/>
  <c r="K28" i="68"/>
  <c r="J28" i="68"/>
  <c r="I28" i="68"/>
  <c r="H28" i="68"/>
  <c r="G28" i="68"/>
  <c r="F28" i="68"/>
  <c r="T27" i="68"/>
  <c r="S27" i="68"/>
  <c r="R27" i="68"/>
  <c r="Q27" i="68"/>
  <c r="P27" i="68"/>
  <c r="O27" i="68"/>
  <c r="N27" i="68"/>
  <c r="M27" i="68"/>
  <c r="L27" i="68"/>
  <c r="K27" i="68"/>
  <c r="J27" i="68"/>
  <c r="I27" i="68"/>
  <c r="H27" i="68"/>
  <c r="G27" i="68"/>
  <c r="F27" i="68"/>
  <c r="T26" i="68"/>
  <c r="S26" i="68"/>
  <c r="R26" i="68"/>
  <c r="Q26" i="68"/>
  <c r="P26" i="68"/>
  <c r="O26" i="68"/>
  <c r="N26" i="68"/>
  <c r="M26" i="68"/>
  <c r="L26" i="68"/>
  <c r="K26" i="68"/>
  <c r="J26" i="68"/>
  <c r="I26" i="68"/>
  <c r="H26" i="68"/>
  <c r="G26" i="68"/>
  <c r="F26" i="68"/>
  <c r="T25" i="68"/>
  <c r="S25" i="68"/>
  <c r="R25" i="68"/>
  <c r="Q25" i="68"/>
  <c r="P25" i="68"/>
  <c r="O25" i="68"/>
  <c r="N25" i="68"/>
  <c r="M25" i="68"/>
  <c r="L25" i="68"/>
  <c r="K25" i="68"/>
  <c r="J25" i="68"/>
  <c r="I25" i="68"/>
  <c r="H25" i="68"/>
  <c r="G25" i="68"/>
  <c r="F25" i="68"/>
  <c r="T24" i="68"/>
  <c r="S24" i="68"/>
  <c r="R24" i="68"/>
  <c r="Q24" i="68"/>
  <c r="P24" i="68"/>
  <c r="O24" i="68"/>
  <c r="N24" i="68"/>
  <c r="M24" i="68"/>
  <c r="L24" i="68"/>
  <c r="K24" i="68"/>
  <c r="J24" i="68"/>
  <c r="I24" i="68"/>
  <c r="H24" i="68"/>
  <c r="G24" i="68"/>
  <c r="F24" i="68"/>
  <c r="T23" i="68"/>
  <c r="S23" i="68"/>
  <c r="R23" i="68"/>
  <c r="Q23" i="68"/>
  <c r="P23" i="68"/>
  <c r="O23" i="68"/>
  <c r="N23" i="68"/>
  <c r="M23" i="68"/>
  <c r="L23" i="68"/>
  <c r="K23" i="68"/>
  <c r="J23" i="68"/>
  <c r="I23" i="68"/>
  <c r="H23" i="68"/>
  <c r="G23" i="68"/>
  <c r="F23" i="68"/>
  <c r="T22" i="68"/>
  <c r="S22" i="68"/>
  <c r="R22" i="68"/>
  <c r="Q22" i="68"/>
  <c r="P22" i="68"/>
  <c r="O22" i="68"/>
  <c r="N22" i="68"/>
  <c r="M22" i="68"/>
  <c r="L22" i="68"/>
  <c r="K22" i="68"/>
  <c r="J22" i="68"/>
  <c r="I22" i="68"/>
  <c r="H22" i="68"/>
  <c r="G22" i="68"/>
  <c r="F22" i="68"/>
  <c r="T21" i="68"/>
  <c r="S21" i="68"/>
  <c r="R21" i="68"/>
  <c r="Q21" i="68"/>
  <c r="P21" i="68"/>
  <c r="O21" i="68"/>
  <c r="N21" i="68"/>
  <c r="M21" i="68"/>
  <c r="L21" i="68"/>
  <c r="K21" i="68"/>
  <c r="J21" i="68"/>
  <c r="I21" i="68"/>
  <c r="H21" i="68"/>
  <c r="G21" i="68"/>
  <c r="F21" i="68"/>
  <c r="T20" i="68"/>
  <c r="S20" i="68"/>
  <c r="R20" i="68"/>
  <c r="Q20" i="68"/>
  <c r="P20" i="68"/>
  <c r="O20" i="68"/>
  <c r="N20" i="68"/>
  <c r="M20" i="68"/>
  <c r="L20" i="68"/>
  <c r="K20" i="68"/>
  <c r="J20" i="68"/>
  <c r="I20" i="68"/>
  <c r="H20" i="68"/>
  <c r="G20" i="68"/>
  <c r="F20" i="68"/>
  <c r="T19" i="68"/>
  <c r="S19" i="68"/>
  <c r="R19" i="68"/>
  <c r="Q19" i="68"/>
  <c r="P19" i="68"/>
  <c r="O19" i="68"/>
  <c r="N19" i="68"/>
  <c r="M19" i="68"/>
  <c r="L19" i="68"/>
  <c r="K19" i="68"/>
  <c r="J19" i="68"/>
  <c r="I19" i="68"/>
  <c r="H19" i="68"/>
  <c r="G19" i="68"/>
  <c r="F19" i="68"/>
  <c r="T18" i="68"/>
  <c r="S18" i="68"/>
  <c r="R18" i="68"/>
  <c r="Q18" i="68"/>
  <c r="P18" i="68"/>
  <c r="O18" i="68"/>
  <c r="N18" i="68"/>
  <c r="M18" i="68"/>
  <c r="L18" i="68"/>
  <c r="K18" i="68"/>
  <c r="J18" i="68"/>
  <c r="I18" i="68"/>
  <c r="H18" i="68"/>
  <c r="G18" i="68"/>
  <c r="F18" i="68"/>
  <c r="T17" i="68"/>
  <c r="S17" i="68"/>
  <c r="R17" i="68"/>
  <c r="Q17" i="68"/>
  <c r="P17" i="68"/>
  <c r="O17" i="68"/>
  <c r="N17" i="68"/>
  <c r="M17" i="68"/>
  <c r="L17" i="68"/>
  <c r="K17" i="68"/>
  <c r="J17" i="68"/>
  <c r="I17" i="68"/>
  <c r="H17" i="68"/>
  <c r="G17" i="68"/>
  <c r="F17" i="68"/>
  <c r="R562" i="67"/>
  <c r="Q562" i="67"/>
  <c r="P562" i="67"/>
  <c r="O562" i="67"/>
  <c r="N562" i="67"/>
  <c r="M562" i="67"/>
  <c r="L562" i="67"/>
  <c r="K562" i="67"/>
  <c r="J562" i="67"/>
  <c r="I562" i="67"/>
  <c r="H562" i="67"/>
  <c r="R561" i="67"/>
  <c r="Q561" i="67"/>
  <c r="P561" i="67"/>
  <c r="O561" i="67"/>
  <c r="N561" i="67"/>
  <c r="M561" i="67"/>
  <c r="L561" i="67"/>
  <c r="K561" i="67"/>
  <c r="J561" i="67"/>
  <c r="I561" i="67"/>
  <c r="H561" i="67"/>
  <c r="R560" i="67"/>
  <c r="Q560" i="67"/>
  <c r="P560" i="67"/>
  <c r="O560" i="67"/>
  <c r="N560" i="67"/>
  <c r="M560" i="67"/>
  <c r="L560" i="67"/>
  <c r="K560" i="67"/>
  <c r="J560" i="67"/>
  <c r="I560" i="67"/>
  <c r="H560" i="67"/>
  <c r="R559" i="67"/>
  <c r="Q559" i="67"/>
  <c r="P559" i="67"/>
  <c r="O559" i="67"/>
  <c r="N559" i="67"/>
  <c r="M559" i="67"/>
  <c r="L559" i="67"/>
  <c r="K559" i="67"/>
  <c r="J559" i="67"/>
  <c r="I559" i="67"/>
  <c r="H559" i="67"/>
  <c r="R558" i="67"/>
  <c r="Q558" i="67"/>
  <c r="P558" i="67"/>
  <c r="O558" i="67"/>
  <c r="N558" i="67"/>
  <c r="M558" i="67"/>
  <c r="L558" i="67"/>
  <c r="K558" i="67"/>
  <c r="J558" i="67"/>
  <c r="I558" i="67"/>
  <c r="H558" i="67"/>
  <c r="R557" i="67"/>
  <c r="Q557" i="67"/>
  <c r="P557" i="67"/>
  <c r="O557" i="67"/>
  <c r="N557" i="67"/>
  <c r="M557" i="67"/>
  <c r="L557" i="67"/>
  <c r="K557" i="67"/>
  <c r="J557" i="67"/>
  <c r="I557" i="67"/>
  <c r="H557" i="67"/>
  <c r="R556" i="67"/>
  <c r="Q556" i="67"/>
  <c r="P556" i="67"/>
  <c r="O556" i="67"/>
  <c r="N556" i="67"/>
  <c r="M556" i="67"/>
  <c r="L556" i="67"/>
  <c r="K556" i="67"/>
  <c r="J556" i="67"/>
  <c r="I556" i="67"/>
  <c r="H556" i="67"/>
  <c r="R555" i="67"/>
  <c r="Q555" i="67"/>
  <c r="P555" i="67"/>
  <c r="O555" i="67"/>
  <c r="N555" i="67"/>
  <c r="M555" i="67"/>
  <c r="L555" i="67"/>
  <c r="K555" i="67"/>
  <c r="J555" i="67"/>
  <c r="I555" i="67"/>
  <c r="H555" i="67"/>
  <c r="R554" i="67"/>
  <c r="Q554" i="67"/>
  <c r="P554" i="67"/>
  <c r="O554" i="67"/>
  <c r="N554" i="67"/>
  <c r="M554" i="67"/>
  <c r="L554" i="67"/>
  <c r="K554" i="67"/>
  <c r="J554" i="67"/>
  <c r="I554" i="67"/>
  <c r="H554" i="67"/>
  <c r="R553" i="67"/>
  <c r="Q553" i="67"/>
  <c r="P553" i="67"/>
  <c r="O553" i="67"/>
  <c r="N553" i="67"/>
  <c r="M553" i="67"/>
  <c r="L553" i="67"/>
  <c r="K553" i="67"/>
  <c r="J553" i="67"/>
  <c r="I553" i="67"/>
  <c r="H553" i="67"/>
  <c r="R552" i="67"/>
  <c r="Q552" i="67"/>
  <c r="P552" i="67"/>
  <c r="O552" i="67"/>
  <c r="N552" i="67"/>
  <c r="M552" i="67"/>
  <c r="L552" i="67"/>
  <c r="K552" i="67"/>
  <c r="J552" i="67"/>
  <c r="I552" i="67"/>
  <c r="H552" i="67"/>
  <c r="R551" i="67"/>
  <c r="Q551" i="67"/>
  <c r="P551" i="67"/>
  <c r="O551" i="67"/>
  <c r="N551" i="67"/>
  <c r="M551" i="67"/>
  <c r="L551" i="67"/>
  <c r="K551" i="67"/>
  <c r="J551" i="67"/>
  <c r="I551" i="67"/>
  <c r="H551" i="67"/>
  <c r="R550" i="67"/>
  <c r="Q550" i="67"/>
  <c r="P550" i="67"/>
  <c r="O550" i="67"/>
  <c r="N550" i="67"/>
  <c r="M550" i="67"/>
  <c r="L550" i="67"/>
  <c r="K550" i="67"/>
  <c r="J550" i="67"/>
  <c r="I550" i="67"/>
  <c r="H550" i="67"/>
  <c r="R549" i="67"/>
  <c r="Q549" i="67"/>
  <c r="P549" i="67"/>
  <c r="O549" i="67"/>
  <c r="N549" i="67"/>
  <c r="M549" i="67"/>
  <c r="L549" i="67"/>
  <c r="K549" i="67"/>
  <c r="J549" i="67"/>
  <c r="I549" i="67"/>
  <c r="H549" i="67"/>
  <c r="R548" i="67"/>
  <c r="Q548" i="67"/>
  <c r="P548" i="67"/>
  <c r="O548" i="67"/>
  <c r="N548" i="67"/>
  <c r="M548" i="67"/>
  <c r="L548" i="67"/>
  <c r="K548" i="67"/>
  <c r="J548" i="67"/>
  <c r="I548" i="67"/>
  <c r="H548" i="67"/>
  <c r="R547" i="67"/>
  <c r="Q547" i="67"/>
  <c r="P547" i="67"/>
  <c r="O547" i="67"/>
  <c r="N547" i="67"/>
  <c r="M547" i="67"/>
  <c r="L547" i="67"/>
  <c r="K547" i="67"/>
  <c r="J547" i="67"/>
  <c r="I547" i="67"/>
  <c r="H547" i="67"/>
  <c r="R546" i="67"/>
  <c r="Q546" i="67"/>
  <c r="P546" i="67"/>
  <c r="O546" i="67"/>
  <c r="N546" i="67"/>
  <c r="M546" i="67"/>
  <c r="L546" i="67"/>
  <c r="K546" i="67"/>
  <c r="J546" i="67"/>
  <c r="I546" i="67"/>
  <c r="H546" i="67"/>
  <c r="R545" i="67"/>
  <c r="Q545" i="67"/>
  <c r="P545" i="67"/>
  <c r="O545" i="67"/>
  <c r="N545" i="67"/>
  <c r="M545" i="67"/>
  <c r="L545" i="67"/>
  <c r="K545" i="67"/>
  <c r="J545" i="67"/>
  <c r="I545" i="67"/>
  <c r="H545" i="67"/>
  <c r="R544" i="67"/>
  <c r="Q544" i="67"/>
  <c r="P544" i="67"/>
  <c r="O544" i="67"/>
  <c r="N544" i="67"/>
  <c r="M544" i="67"/>
  <c r="L544" i="67"/>
  <c r="K544" i="67"/>
  <c r="J544" i="67"/>
  <c r="I544" i="67"/>
  <c r="H544" i="67"/>
  <c r="R543" i="67"/>
  <c r="Q543" i="67"/>
  <c r="P543" i="67"/>
  <c r="O543" i="67"/>
  <c r="N543" i="67"/>
  <c r="M543" i="67"/>
  <c r="L543" i="67"/>
  <c r="K543" i="67"/>
  <c r="J543" i="67"/>
  <c r="I543" i="67"/>
  <c r="H543" i="67"/>
  <c r="R542" i="67"/>
  <c r="Q542" i="67"/>
  <c r="P542" i="67"/>
  <c r="O542" i="67"/>
  <c r="N542" i="67"/>
  <c r="M542" i="67"/>
  <c r="L542" i="67"/>
  <c r="K542" i="67"/>
  <c r="J542" i="67"/>
  <c r="I542" i="67"/>
  <c r="H542" i="67"/>
  <c r="R541" i="67"/>
  <c r="Q541" i="67"/>
  <c r="P541" i="67"/>
  <c r="O541" i="67"/>
  <c r="N541" i="67"/>
  <c r="M541" i="67"/>
  <c r="L541" i="67"/>
  <c r="K541" i="67"/>
  <c r="J541" i="67"/>
  <c r="I541" i="67"/>
  <c r="H541" i="67"/>
  <c r="R540" i="67"/>
  <c r="Q540" i="67"/>
  <c r="P540" i="67"/>
  <c r="O540" i="67"/>
  <c r="N540" i="67"/>
  <c r="M540" i="67"/>
  <c r="L540" i="67"/>
  <c r="K540" i="67"/>
  <c r="J540" i="67"/>
  <c r="I540" i="67"/>
  <c r="H540" i="67"/>
  <c r="R539" i="67"/>
  <c r="Q539" i="67"/>
  <c r="P539" i="67"/>
  <c r="O539" i="67"/>
  <c r="N539" i="67"/>
  <c r="M539" i="67"/>
  <c r="L539" i="67"/>
  <c r="K539" i="67"/>
  <c r="J539" i="67"/>
  <c r="I539" i="67"/>
  <c r="H539" i="67"/>
  <c r="R538" i="67"/>
  <c r="Q538" i="67"/>
  <c r="P538" i="67"/>
  <c r="O538" i="67"/>
  <c r="N538" i="67"/>
  <c r="M538" i="67"/>
  <c r="L538" i="67"/>
  <c r="K538" i="67"/>
  <c r="J538" i="67"/>
  <c r="I538" i="67"/>
  <c r="H538" i="67"/>
  <c r="R537" i="67"/>
  <c r="Q537" i="67"/>
  <c r="P537" i="67"/>
  <c r="O537" i="67"/>
  <c r="N537" i="67"/>
  <c r="M537" i="67"/>
  <c r="L537" i="67"/>
  <c r="K537" i="67"/>
  <c r="J537" i="67"/>
  <c r="I537" i="67"/>
  <c r="H537" i="67"/>
  <c r="R536" i="67"/>
  <c r="Q536" i="67"/>
  <c r="P536" i="67"/>
  <c r="O536" i="67"/>
  <c r="N536" i="67"/>
  <c r="M536" i="67"/>
  <c r="L536" i="67"/>
  <c r="K536" i="67"/>
  <c r="J536" i="67"/>
  <c r="I536" i="67"/>
  <c r="H536" i="67"/>
  <c r="R535" i="67"/>
  <c r="Q535" i="67"/>
  <c r="P535" i="67"/>
  <c r="O535" i="67"/>
  <c r="N535" i="67"/>
  <c r="M535" i="67"/>
  <c r="L535" i="67"/>
  <c r="K535" i="67"/>
  <c r="J535" i="67"/>
  <c r="I535" i="67"/>
  <c r="H535" i="67"/>
  <c r="R534" i="67"/>
  <c r="Q534" i="67"/>
  <c r="P534" i="67"/>
  <c r="O534" i="67"/>
  <c r="N534" i="67"/>
  <c r="M534" i="67"/>
  <c r="L534" i="67"/>
  <c r="K534" i="67"/>
  <c r="J534" i="67"/>
  <c r="I534" i="67"/>
  <c r="H534" i="67"/>
  <c r="R533" i="67"/>
  <c r="Q533" i="67"/>
  <c r="P533" i="67"/>
  <c r="O533" i="67"/>
  <c r="N533" i="67"/>
  <c r="M533" i="67"/>
  <c r="L533" i="67"/>
  <c r="K533" i="67"/>
  <c r="J533" i="67"/>
  <c r="I533" i="67"/>
  <c r="H533" i="67"/>
  <c r="R532" i="67"/>
  <c r="Q532" i="67"/>
  <c r="P532" i="67"/>
  <c r="O532" i="67"/>
  <c r="N532" i="67"/>
  <c r="M532" i="67"/>
  <c r="L532" i="67"/>
  <c r="K532" i="67"/>
  <c r="J532" i="67"/>
  <c r="I532" i="67"/>
  <c r="H532" i="67"/>
  <c r="R531" i="67"/>
  <c r="Q531" i="67"/>
  <c r="P531" i="67"/>
  <c r="O531" i="67"/>
  <c r="N531" i="67"/>
  <c r="M531" i="67"/>
  <c r="L531" i="67"/>
  <c r="K531" i="67"/>
  <c r="J531" i="67"/>
  <c r="I531" i="67"/>
  <c r="H531" i="67"/>
  <c r="R530" i="67"/>
  <c r="Q530" i="67"/>
  <c r="P530" i="67"/>
  <c r="O530" i="67"/>
  <c r="N530" i="67"/>
  <c r="M530" i="67"/>
  <c r="L530" i="67"/>
  <c r="K530" i="67"/>
  <c r="J530" i="67"/>
  <c r="I530" i="67"/>
  <c r="H530" i="67"/>
  <c r="R529" i="67"/>
  <c r="Q529" i="67"/>
  <c r="P529" i="67"/>
  <c r="O529" i="67"/>
  <c r="N529" i="67"/>
  <c r="M529" i="67"/>
  <c r="L529" i="67"/>
  <c r="K529" i="67"/>
  <c r="J529" i="67"/>
  <c r="I529" i="67"/>
  <c r="H529" i="67"/>
  <c r="R528" i="67"/>
  <c r="Q528" i="67"/>
  <c r="P528" i="67"/>
  <c r="O528" i="67"/>
  <c r="N528" i="67"/>
  <c r="M528" i="67"/>
  <c r="L528" i="67"/>
  <c r="K528" i="67"/>
  <c r="J528" i="67"/>
  <c r="I528" i="67"/>
  <c r="H528" i="67"/>
  <c r="R527" i="67"/>
  <c r="Q527" i="67"/>
  <c r="P527" i="67"/>
  <c r="O527" i="67"/>
  <c r="N527" i="67"/>
  <c r="M527" i="67"/>
  <c r="L527" i="67"/>
  <c r="K527" i="67"/>
  <c r="J527" i="67"/>
  <c r="I527" i="67"/>
  <c r="H527" i="67"/>
  <c r="R526" i="67"/>
  <c r="Q526" i="67"/>
  <c r="P526" i="67"/>
  <c r="O526" i="67"/>
  <c r="N526" i="67"/>
  <c r="M526" i="67"/>
  <c r="L526" i="67"/>
  <c r="K526" i="67"/>
  <c r="J526" i="67"/>
  <c r="I526" i="67"/>
  <c r="H526" i="67"/>
  <c r="R525" i="67"/>
  <c r="Q525" i="67"/>
  <c r="P525" i="67"/>
  <c r="O525" i="67"/>
  <c r="N525" i="67"/>
  <c r="M525" i="67"/>
  <c r="L525" i="67"/>
  <c r="K525" i="67"/>
  <c r="J525" i="67"/>
  <c r="I525" i="67"/>
  <c r="H525" i="67"/>
  <c r="R524" i="67"/>
  <c r="Q524" i="67"/>
  <c r="P524" i="67"/>
  <c r="O524" i="67"/>
  <c r="N524" i="67"/>
  <c r="M524" i="67"/>
  <c r="L524" i="67"/>
  <c r="K524" i="67"/>
  <c r="J524" i="67"/>
  <c r="I524" i="67"/>
  <c r="H524" i="67"/>
  <c r="R523" i="67"/>
  <c r="Q523" i="67"/>
  <c r="P523" i="67"/>
  <c r="O523" i="67"/>
  <c r="N523" i="67"/>
  <c r="M523" i="67"/>
  <c r="L523" i="67"/>
  <c r="K523" i="67"/>
  <c r="J523" i="67"/>
  <c r="I523" i="67"/>
  <c r="H523" i="67"/>
  <c r="R522" i="67"/>
  <c r="Q522" i="67"/>
  <c r="P522" i="67"/>
  <c r="O522" i="67"/>
  <c r="N522" i="67"/>
  <c r="M522" i="67"/>
  <c r="L522" i="67"/>
  <c r="K522" i="67"/>
  <c r="J522" i="67"/>
  <c r="I522" i="67"/>
  <c r="H522" i="67"/>
  <c r="R521" i="67"/>
  <c r="Q521" i="67"/>
  <c r="P521" i="67"/>
  <c r="O521" i="67"/>
  <c r="N521" i="67"/>
  <c r="M521" i="67"/>
  <c r="L521" i="67"/>
  <c r="K521" i="67"/>
  <c r="J521" i="67"/>
  <c r="I521" i="67"/>
  <c r="H521" i="67"/>
  <c r="R520" i="67"/>
  <c r="Q520" i="67"/>
  <c r="P520" i="67"/>
  <c r="O520" i="67"/>
  <c r="N520" i="67"/>
  <c r="M520" i="67"/>
  <c r="L520" i="67"/>
  <c r="K520" i="67"/>
  <c r="J520" i="67"/>
  <c r="I520" i="67"/>
  <c r="H520" i="67"/>
  <c r="R519" i="67"/>
  <c r="Q519" i="67"/>
  <c r="P519" i="67"/>
  <c r="O519" i="67"/>
  <c r="N519" i="67"/>
  <c r="M519" i="67"/>
  <c r="L519" i="67"/>
  <c r="K519" i="67"/>
  <c r="J519" i="67"/>
  <c r="I519" i="67"/>
  <c r="H519" i="67"/>
  <c r="R518" i="67"/>
  <c r="Q518" i="67"/>
  <c r="P518" i="67"/>
  <c r="O518" i="67"/>
  <c r="N518" i="67"/>
  <c r="M518" i="67"/>
  <c r="L518" i="67"/>
  <c r="K518" i="67"/>
  <c r="J518" i="67"/>
  <c r="I518" i="67"/>
  <c r="H518" i="67"/>
  <c r="R517" i="67"/>
  <c r="Q517" i="67"/>
  <c r="P517" i="67"/>
  <c r="O517" i="67"/>
  <c r="N517" i="67"/>
  <c r="M517" i="67"/>
  <c r="L517" i="67"/>
  <c r="K517" i="67"/>
  <c r="J517" i="67"/>
  <c r="I517" i="67"/>
  <c r="H517" i="67"/>
  <c r="R516" i="67"/>
  <c r="Q516" i="67"/>
  <c r="P516" i="67"/>
  <c r="O516" i="67"/>
  <c r="N516" i="67"/>
  <c r="M516" i="67"/>
  <c r="L516" i="67"/>
  <c r="K516" i="67"/>
  <c r="J516" i="67"/>
  <c r="I516" i="67"/>
  <c r="H516" i="67"/>
  <c r="R515" i="67"/>
  <c r="Q515" i="67"/>
  <c r="P515" i="67"/>
  <c r="O515" i="67"/>
  <c r="N515" i="67"/>
  <c r="M515" i="67"/>
  <c r="L515" i="67"/>
  <c r="K515" i="67"/>
  <c r="J515" i="67"/>
  <c r="I515" i="67"/>
  <c r="H515" i="67"/>
  <c r="R514" i="67"/>
  <c r="Q514" i="67"/>
  <c r="P514" i="67"/>
  <c r="O514" i="67"/>
  <c r="N514" i="67"/>
  <c r="M514" i="67"/>
  <c r="L514" i="67"/>
  <c r="K514" i="67"/>
  <c r="J514" i="67"/>
  <c r="I514" i="67"/>
  <c r="H514" i="67"/>
  <c r="R513" i="67"/>
  <c r="Q513" i="67"/>
  <c r="P513" i="67"/>
  <c r="O513" i="67"/>
  <c r="N513" i="67"/>
  <c r="M513" i="67"/>
  <c r="L513" i="67"/>
  <c r="K513" i="67"/>
  <c r="J513" i="67"/>
  <c r="I513" i="67"/>
  <c r="H513" i="67"/>
  <c r="R512" i="67"/>
  <c r="Q512" i="67"/>
  <c r="P512" i="67"/>
  <c r="O512" i="67"/>
  <c r="N512" i="67"/>
  <c r="M512" i="67"/>
  <c r="L512" i="67"/>
  <c r="K512" i="67"/>
  <c r="J512" i="67"/>
  <c r="I512" i="67"/>
  <c r="H512" i="67"/>
  <c r="R511" i="67"/>
  <c r="Q511" i="67"/>
  <c r="P511" i="67"/>
  <c r="O511" i="67"/>
  <c r="N511" i="67"/>
  <c r="M511" i="67"/>
  <c r="L511" i="67"/>
  <c r="K511" i="67"/>
  <c r="J511" i="67"/>
  <c r="I511" i="67"/>
  <c r="H511" i="67"/>
  <c r="R510" i="67"/>
  <c r="Q510" i="67"/>
  <c r="P510" i="67"/>
  <c r="O510" i="67"/>
  <c r="N510" i="67"/>
  <c r="M510" i="67"/>
  <c r="L510" i="67"/>
  <c r="K510" i="67"/>
  <c r="J510" i="67"/>
  <c r="I510" i="67"/>
  <c r="H510" i="67"/>
  <c r="R509" i="67"/>
  <c r="Q509" i="67"/>
  <c r="P509" i="67"/>
  <c r="O509" i="67"/>
  <c r="N509" i="67"/>
  <c r="M509" i="67"/>
  <c r="L509" i="67"/>
  <c r="K509" i="67"/>
  <c r="J509" i="67"/>
  <c r="I509" i="67"/>
  <c r="H509" i="67"/>
  <c r="R508" i="67"/>
  <c r="Q508" i="67"/>
  <c r="P508" i="67"/>
  <c r="O508" i="67"/>
  <c r="N508" i="67"/>
  <c r="M508" i="67"/>
  <c r="L508" i="67"/>
  <c r="K508" i="67"/>
  <c r="J508" i="67"/>
  <c r="I508" i="67"/>
  <c r="H508" i="67"/>
  <c r="R507" i="67"/>
  <c r="Q507" i="67"/>
  <c r="P507" i="67"/>
  <c r="O507" i="67"/>
  <c r="N507" i="67"/>
  <c r="M507" i="67"/>
  <c r="L507" i="67"/>
  <c r="K507" i="67"/>
  <c r="J507" i="67"/>
  <c r="I507" i="67"/>
  <c r="H507" i="67"/>
  <c r="R506" i="67"/>
  <c r="Q506" i="67"/>
  <c r="P506" i="67"/>
  <c r="O506" i="67"/>
  <c r="N506" i="67"/>
  <c r="M506" i="67"/>
  <c r="L506" i="67"/>
  <c r="K506" i="67"/>
  <c r="J506" i="67"/>
  <c r="I506" i="67"/>
  <c r="H506" i="67"/>
  <c r="R505" i="67"/>
  <c r="Q505" i="67"/>
  <c r="P505" i="67"/>
  <c r="O505" i="67"/>
  <c r="N505" i="67"/>
  <c r="M505" i="67"/>
  <c r="L505" i="67"/>
  <c r="K505" i="67"/>
  <c r="J505" i="67"/>
  <c r="I505" i="67"/>
  <c r="H505" i="67"/>
  <c r="R504" i="67"/>
  <c r="Q504" i="67"/>
  <c r="P504" i="67"/>
  <c r="O504" i="67"/>
  <c r="N504" i="67"/>
  <c r="M504" i="67"/>
  <c r="L504" i="67"/>
  <c r="K504" i="67"/>
  <c r="J504" i="67"/>
  <c r="I504" i="67"/>
  <c r="H504" i="67"/>
  <c r="R503" i="67"/>
  <c r="Q503" i="67"/>
  <c r="P503" i="67"/>
  <c r="O503" i="67"/>
  <c r="N503" i="67"/>
  <c r="M503" i="67"/>
  <c r="L503" i="67"/>
  <c r="K503" i="67"/>
  <c r="J503" i="67"/>
  <c r="I503" i="67"/>
  <c r="H503" i="67"/>
  <c r="R502" i="67"/>
  <c r="Q502" i="67"/>
  <c r="P502" i="67"/>
  <c r="O502" i="67"/>
  <c r="N502" i="67"/>
  <c r="M502" i="67"/>
  <c r="L502" i="67"/>
  <c r="K502" i="67"/>
  <c r="J502" i="67"/>
  <c r="I502" i="67"/>
  <c r="H502" i="67"/>
  <c r="R501" i="67"/>
  <c r="Q501" i="67"/>
  <c r="P501" i="67"/>
  <c r="O501" i="67"/>
  <c r="N501" i="67"/>
  <c r="M501" i="67"/>
  <c r="L501" i="67"/>
  <c r="K501" i="67"/>
  <c r="J501" i="67"/>
  <c r="I501" i="67"/>
  <c r="H501" i="67"/>
  <c r="R500" i="67"/>
  <c r="Q500" i="67"/>
  <c r="P500" i="67"/>
  <c r="O500" i="67"/>
  <c r="N500" i="67"/>
  <c r="M500" i="67"/>
  <c r="L500" i="67"/>
  <c r="K500" i="67"/>
  <c r="J500" i="67"/>
  <c r="I500" i="67"/>
  <c r="H500" i="67"/>
  <c r="R499" i="67"/>
  <c r="Q499" i="67"/>
  <c r="P499" i="67"/>
  <c r="O499" i="67"/>
  <c r="N499" i="67"/>
  <c r="M499" i="67"/>
  <c r="L499" i="67"/>
  <c r="K499" i="67"/>
  <c r="J499" i="67"/>
  <c r="I499" i="67"/>
  <c r="H499" i="67"/>
  <c r="R498" i="67"/>
  <c r="Q498" i="67"/>
  <c r="P498" i="67"/>
  <c r="O498" i="67"/>
  <c r="N498" i="67"/>
  <c r="M498" i="67"/>
  <c r="L498" i="67"/>
  <c r="K498" i="67"/>
  <c r="J498" i="67"/>
  <c r="I498" i="67"/>
  <c r="H498" i="67"/>
  <c r="R497" i="67"/>
  <c r="Q497" i="67"/>
  <c r="P497" i="67"/>
  <c r="O497" i="67"/>
  <c r="N497" i="67"/>
  <c r="M497" i="67"/>
  <c r="L497" i="67"/>
  <c r="K497" i="67"/>
  <c r="J497" i="67"/>
  <c r="I497" i="67"/>
  <c r="H497" i="67"/>
  <c r="R496" i="67"/>
  <c r="Q496" i="67"/>
  <c r="P496" i="67"/>
  <c r="O496" i="67"/>
  <c r="N496" i="67"/>
  <c r="M496" i="67"/>
  <c r="L496" i="67"/>
  <c r="K496" i="67"/>
  <c r="J496" i="67"/>
  <c r="I496" i="67"/>
  <c r="H496" i="67"/>
  <c r="R495" i="67"/>
  <c r="Q495" i="67"/>
  <c r="P495" i="67"/>
  <c r="O495" i="67"/>
  <c r="N495" i="67"/>
  <c r="M495" i="67"/>
  <c r="L495" i="67"/>
  <c r="K495" i="67"/>
  <c r="J495" i="67"/>
  <c r="I495" i="67"/>
  <c r="H495" i="67"/>
  <c r="R494" i="67"/>
  <c r="Q494" i="67"/>
  <c r="P494" i="67"/>
  <c r="O494" i="67"/>
  <c r="N494" i="67"/>
  <c r="M494" i="67"/>
  <c r="L494" i="67"/>
  <c r="K494" i="67"/>
  <c r="J494" i="67"/>
  <c r="I494" i="67"/>
  <c r="H494" i="67"/>
  <c r="R493" i="67"/>
  <c r="Q493" i="67"/>
  <c r="P493" i="67"/>
  <c r="O493" i="67"/>
  <c r="N493" i="67"/>
  <c r="M493" i="67"/>
  <c r="L493" i="67"/>
  <c r="K493" i="67"/>
  <c r="J493" i="67"/>
  <c r="I493" i="67"/>
  <c r="H493" i="67"/>
  <c r="R492" i="67"/>
  <c r="Q492" i="67"/>
  <c r="P492" i="67"/>
  <c r="O492" i="67"/>
  <c r="N492" i="67"/>
  <c r="M492" i="67"/>
  <c r="L492" i="67"/>
  <c r="K492" i="67"/>
  <c r="J492" i="67"/>
  <c r="I492" i="67"/>
  <c r="H492" i="67"/>
  <c r="R491" i="67"/>
  <c r="Q491" i="67"/>
  <c r="P491" i="67"/>
  <c r="O491" i="67"/>
  <c r="N491" i="67"/>
  <c r="M491" i="67"/>
  <c r="L491" i="67"/>
  <c r="K491" i="67"/>
  <c r="J491" i="67"/>
  <c r="I491" i="67"/>
  <c r="H491" i="67"/>
  <c r="R490" i="67"/>
  <c r="Q490" i="67"/>
  <c r="P490" i="67"/>
  <c r="O490" i="67"/>
  <c r="N490" i="67"/>
  <c r="M490" i="67"/>
  <c r="L490" i="67"/>
  <c r="K490" i="67"/>
  <c r="J490" i="67"/>
  <c r="I490" i="67"/>
  <c r="H490" i="67"/>
  <c r="R489" i="67"/>
  <c r="Q489" i="67"/>
  <c r="P489" i="67"/>
  <c r="O489" i="67"/>
  <c r="N489" i="67"/>
  <c r="M489" i="67"/>
  <c r="L489" i="67"/>
  <c r="K489" i="67"/>
  <c r="J489" i="67"/>
  <c r="I489" i="67"/>
  <c r="H489" i="67"/>
  <c r="R488" i="67"/>
  <c r="Q488" i="67"/>
  <c r="P488" i="67"/>
  <c r="O488" i="67"/>
  <c r="N488" i="67"/>
  <c r="M488" i="67"/>
  <c r="L488" i="67"/>
  <c r="K488" i="67"/>
  <c r="J488" i="67"/>
  <c r="I488" i="67"/>
  <c r="H488" i="67"/>
  <c r="R487" i="67"/>
  <c r="Q487" i="67"/>
  <c r="P487" i="67"/>
  <c r="O487" i="67"/>
  <c r="N487" i="67"/>
  <c r="M487" i="67"/>
  <c r="L487" i="67"/>
  <c r="K487" i="67"/>
  <c r="J487" i="67"/>
  <c r="I487" i="67"/>
  <c r="H487" i="67"/>
  <c r="R486" i="67"/>
  <c r="Q486" i="67"/>
  <c r="P486" i="67"/>
  <c r="O486" i="67"/>
  <c r="N486" i="67"/>
  <c r="M486" i="67"/>
  <c r="L486" i="67"/>
  <c r="K486" i="67"/>
  <c r="J486" i="67"/>
  <c r="I486" i="67"/>
  <c r="H486" i="67"/>
  <c r="R485" i="67"/>
  <c r="Q485" i="67"/>
  <c r="P485" i="67"/>
  <c r="O485" i="67"/>
  <c r="N485" i="67"/>
  <c r="M485" i="67"/>
  <c r="L485" i="67"/>
  <c r="K485" i="67"/>
  <c r="J485" i="67"/>
  <c r="I485" i="67"/>
  <c r="H485" i="67"/>
  <c r="R484" i="67"/>
  <c r="Q484" i="67"/>
  <c r="P484" i="67"/>
  <c r="O484" i="67"/>
  <c r="N484" i="67"/>
  <c r="M484" i="67"/>
  <c r="L484" i="67"/>
  <c r="K484" i="67"/>
  <c r="J484" i="67"/>
  <c r="I484" i="67"/>
  <c r="H484" i="67"/>
  <c r="R483" i="67"/>
  <c r="Q483" i="67"/>
  <c r="P483" i="67"/>
  <c r="O483" i="67"/>
  <c r="N483" i="67"/>
  <c r="M483" i="67"/>
  <c r="L483" i="67"/>
  <c r="K483" i="67"/>
  <c r="J483" i="67"/>
  <c r="I483" i="67"/>
  <c r="H483" i="67"/>
  <c r="R482" i="67"/>
  <c r="Q482" i="67"/>
  <c r="P482" i="67"/>
  <c r="O482" i="67"/>
  <c r="N482" i="67"/>
  <c r="M482" i="67"/>
  <c r="L482" i="67"/>
  <c r="K482" i="67"/>
  <c r="J482" i="67"/>
  <c r="I482" i="67"/>
  <c r="H482" i="67"/>
  <c r="R481" i="67"/>
  <c r="Q481" i="67"/>
  <c r="P481" i="67"/>
  <c r="O481" i="67"/>
  <c r="N481" i="67"/>
  <c r="M481" i="67"/>
  <c r="L481" i="67"/>
  <c r="K481" i="67"/>
  <c r="J481" i="67"/>
  <c r="I481" i="67"/>
  <c r="H481" i="67"/>
  <c r="R480" i="67"/>
  <c r="Q480" i="67"/>
  <c r="P480" i="67"/>
  <c r="O480" i="67"/>
  <c r="N480" i="67"/>
  <c r="M480" i="67"/>
  <c r="L480" i="67"/>
  <c r="K480" i="67"/>
  <c r="J480" i="67"/>
  <c r="I480" i="67"/>
  <c r="H480" i="67"/>
  <c r="R479" i="67"/>
  <c r="Q479" i="67"/>
  <c r="P479" i="67"/>
  <c r="O479" i="67"/>
  <c r="N479" i="67"/>
  <c r="M479" i="67"/>
  <c r="L479" i="67"/>
  <c r="K479" i="67"/>
  <c r="J479" i="67"/>
  <c r="I479" i="67"/>
  <c r="H479" i="67"/>
  <c r="R478" i="67"/>
  <c r="Q478" i="67"/>
  <c r="P478" i="67"/>
  <c r="O478" i="67"/>
  <c r="N478" i="67"/>
  <c r="M478" i="67"/>
  <c r="L478" i="67"/>
  <c r="K478" i="67"/>
  <c r="J478" i="67"/>
  <c r="I478" i="67"/>
  <c r="H478" i="67"/>
  <c r="R477" i="67"/>
  <c r="Q477" i="67"/>
  <c r="P477" i="67"/>
  <c r="O477" i="67"/>
  <c r="N477" i="67"/>
  <c r="M477" i="67"/>
  <c r="L477" i="67"/>
  <c r="K477" i="67"/>
  <c r="J477" i="67"/>
  <c r="I477" i="67"/>
  <c r="H477" i="67"/>
  <c r="R476" i="67"/>
  <c r="Q476" i="67"/>
  <c r="P476" i="67"/>
  <c r="O476" i="67"/>
  <c r="N476" i="67"/>
  <c r="M476" i="67"/>
  <c r="L476" i="67"/>
  <c r="K476" i="67"/>
  <c r="J476" i="67"/>
  <c r="I476" i="67"/>
  <c r="H476" i="67"/>
  <c r="R475" i="67"/>
  <c r="Q475" i="67"/>
  <c r="P475" i="67"/>
  <c r="O475" i="67"/>
  <c r="N475" i="67"/>
  <c r="M475" i="67"/>
  <c r="L475" i="67"/>
  <c r="K475" i="67"/>
  <c r="J475" i="67"/>
  <c r="I475" i="67"/>
  <c r="H475" i="67"/>
  <c r="R474" i="67"/>
  <c r="Q474" i="67"/>
  <c r="P474" i="67"/>
  <c r="O474" i="67"/>
  <c r="N474" i="67"/>
  <c r="M474" i="67"/>
  <c r="L474" i="67"/>
  <c r="K474" i="67"/>
  <c r="J474" i="67"/>
  <c r="I474" i="67"/>
  <c r="H474" i="67"/>
  <c r="R473" i="67"/>
  <c r="Q473" i="67"/>
  <c r="P473" i="67"/>
  <c r="O473" i="67"/>
  <c r="N473" i="67"/>
  <c r="M473" i="67"/>
  <c r="L473" i="67"/>
  <c r="K473" i="67"/>
  <c r="J473" i="67"/>
  <c r="I473" i="67"/>
  <c r="H473" i="67"/>
  <c r="R472" i="67"/>
  <c r="Q472" i="67"/>
  <c r="P472" i="67"/>
  <c r="O472" i="67"/>
  <c r="N472" i="67"/>
  <c r="M472" i="67"/>
  <c r="L472" i="67"/>
  <c r="K472" i="67"/>
  <c r="J472" i="67"/>
  <c r="I472" i="67"/>
  <c r="H472" i="67"/>
  <c r="R471" i="67"/>
  <c r="Q471" i="67"/>
  <c r="P471" i="67"/>
  <c r="O471" i="67"/>
  <c r="N471" i="67"/>
  <c r="M471" i="67"/>
  <c r="L471" i="67"/>
  <c r="K471" i="67"/>
  <c r="J471" i="67"/>
  <c r="I471" i="67"/>
  <c r="H471" i="67"/>
  <c r="R470" i="67"/>
  <c r="Q470" i="67"/>
  <c r="P470" i="67"/>
  <c r="O470" i="67"/>
  <c r="N470" i="67"/>
  <c r="M470" i="67"/>
  <c r="L470" i="67"/>
  <c r="K470" i="67"/>
  <c r="J470" i="67"/>
  <c r="I470" i="67"/>
  <c r="H470" i="67"/>
  <c r="R469" i="67"/>
  <c r="Q469" i="67"/>
  <c r="P469" i="67"/>
  <c r="O469" i="67"/>
  <c r="N469" i="67"/>
  <c r="M469" i="67"/>
  <c r="L469" i="67"/>
  <c r="K469" i="67"/>
  <c r="J469" i="67"/>
  <c r="I469" i="67"/>
  <c r="H469" i="67"/>
  <c r="R468" i="67"/>
  <c r="Q468" i="67"/>
  <c r="P468" i="67"/>
  <c r="O468" i="67"/>
  <c r="N468" i="67"/>
  <c r="M468" i="67"/>
  <c r="L468" i="67"/>
  <c r="K468" i="67"/>
  <c r="J468" i="67"/>
  <c r="I468" i="67"/>
  <c r="H468" i="67"/>
  <c r="R467" i="67"/>
  <c r="Q467" i="67"/>
  <c r="P467" i="67"/>
  <c r="O467" i="67"/>
  <c r="N467" i="67"/>
  <c r="M467" i="67"/>
  <c r="L467" i="67"/>
  <c r="K467" i="67"/>
  <c r="J467" i="67"/>
  <c r="I467" i="67"/>
  <c r="H467" i="67"/>
  <c r="R466" i="67"/>
  <c r="Q466" i="67"/>
  <c r="P466" i="67"/>
  <c r="O466" i="67"/>
  <c r="N466" i="67"/>
  <c r="M466" i="67"/>
  <c r="L466" i="67"/>
  <c r="K466" i="67"/>
  <c r="J466" i="67"/>
  <c r="I466" i="67"/>
  <c r="H466" i="67"/>
  <c r="R465" i="67"/>
  <c r="Q465" i="67"/>
  <c r="P465" i="67"/>
  <c r="O465" i="67"/>
  <c r="N465" i="67"/>
  <c r="M465" i="67"/>
  <c r="L465" i="67"/>
  <c r="K465" i="67"/>
  <c r="J465" i="67"/>
  <c r="I465" i="67"/>
  <c r="H465" i="67"/>
  <c r="R464" i="67"/>
  <c r="Q464" i="67"/>
  <c r="P464" i="67"/>
  <c r="O464" i="67"/>
  <c r="N464" i="67"/>
  <c r="M464" i="67"/>
  <c r="L464" i="67"/>
  <c r="K464" i="67"/>
  <c r="J464" i="67"/>
  <c r="I464" i="67"/>
  <c r="H464" i="67"/>
  <c r="R463" i="67"/>
  <c r="Q463" i="67"/>
  <c r="P463" i="67"/>
  <c r="O463" i="67"/>
  <c r="N463" i="67"/>
  <c r="M463" i="67"/>
  <c r="L463" i="67"/>
  <c r="K463" i="67"/>
  <c r="J463" i="67"/>
  <c r="I463" i="67"/>
  <c r="H463" i="67"/>
  <c r="R462" i="67"/>
  <c r="Q462" i="67"/>
  <c r="P462" i="67"/>
  <c r="O462" i="67"/>
  <c r="N462" i="67"/>
  <c r="M462" i="67"/>
  <c r="L462" i="67"/>
  <c r="K462" i="67"/>
  <c r="J462" i="67"/>
  <c r="I462" i="67"/>
  <c r="H462" i="67"/>
  <c r="R461" i="67"/>
  <c r="Q461" i="67"/>
  <c r="P461" i="67"/>
  <c r="O461" i="67"/>
  <c r="N461" i="67"/>
  <c r="M461" i="67"/>
  <c r="L461" i="67"/>
  <c r="K461" i="67"/>
  <c r="J461" i="67"/>
  <c r="I461" i="67"/>
  <c r="H461" i="67"/>
  <c r="R460" i="67"/>
  <c r="Q460" i="67"/>
  <c r="P460" i="67"/>
  <c r="O460" i="67"/>
  <c r="N460" i="67"/>
  <c r="M460" i="67"/>
  <c r="L460" i="67"/>
  <c r="K460" i="67"/>
  <c r="J460" i="67"/>
  <c r="I460" i="67"/>
  <c r="H460" i="67"/>
  <c r="R459" i="67"/>
  <c r="Q459" i="67"/>
  <c r="P459" i="67"/>
  <c r="O459" i="67"/>
  <c r="N459" i="67"/>
  <c r="M459" i="67"/>
  <c r="L459" i="67"/>
  <c r="K459" i="67"/>
  <c r="J459" i="67"/>
  <c r="I459" i="67"/>
  <c r="H459" i="67"/>
  <c r="R458" i="67"/>
  <c r="Q458" i="67"/>
  <c r="P458" i="67"/>
  <c r="O458" i="67"/>
  <c r="N458" i="67"/>
  <c r="M458" i="67"/>
  <c r="L458" i="67"/>
  <c r="K458" i="67"/>
  <c r="J458" i="67"/>
  <c r="I458" i="67"/>
  <c r="H458" i="67"/>
  <c r="R457" i="67"/>
  <c r="Q457" i="67"/>
  <c r="P457" i="67"/>
  <c r="O457" i="67"/>
  <c r="N457" i="67"/>
  <c r="M457" i="67"/>
  <c r="L457" i="67"/>
  <c r="K457" i="67"/>
  <c r="J457" i="67"/>
  <c r="I457" i="67"/>
  <c r="H457" i="67"/>
  <c r="R456" i="67"/>
  <c r="Q456" i="67"/>
  <c r="P456" i="67"/>
  <c r="O456" i="67"/>
  <c r="N456" i="67"/>
  <c r="M456" i="67"/>
  <c r="L456" i="67"/>
  <c r="K456" i="67"/>
  <c r="J456" i="67"/>
  <c r="I456" i="67"/>
  <c r="H456" i="67"/>
  <c r="R455" i="67"/>
  <c r="Q455" i="67"/>
  <c r="P455" i="67"/>
  <c r="O455" i="67"/>
  <c r="N455" i="67"/>
  <c r="M455" i="67"/>
  <c r="L455" i="67"/>
  <c r="K455" i="67"/>
  <c r="J455" i="67"/>
  <c r="I455" i="67"/>
  <c r="H455" i="67"/>
  <c r="R454" i="67"/>
  <c r="Q454" i="67"/>
  <c r="P454" i="67"/>
  <c r="O454" i="67"/>
  <c r="N454" i="67"/>
  <c r="M454" i="67"/>
  <c r="L454" i="67"/>
  <c r="K454" i="67"/>
  <c r="J454" i="67"/>
  <c r="I454" i="67"/>
  <c r="H454" i="67"/>
  <c r="R453" i="67"/>
  <c r="Q453" i="67"/>
  <c r="P453" i="67"/>
  <c r="O453" i="67"/>
  <c r="N453" i="67"/>
  <c r="M453" i="67"/>
  <c r="L453" i="67"/>
  <c r="K453" i="67"/>
  <c r="J453" i="67"/>
  <c r="I453" i="67"/>
  <c r="H453" i="67"/>
  <c r="R452" i="67"/>
  <c r="Q452" i="67"/>
  <c r="P452" i="67"/>
  <c r="O452" i="67"/>
  <c r="N452" i="67"/>
  <c r="M452" i="67"/>
  <c r="L452" i="67"/>
  <c r="K452" i="67"/>
  <c r="J452" i="67"/>
  <c r="I452" i="67"/>
  <c r="H452" i="67"/>
  <c r="R451" i="67"/>
  <c r="Q451" i="67"/>
  <c r="P451" i="67"/>
  <c r="O451" i="67"/>
  <c r="N451" i="67"/>
  <c r="M451" i="67"/>
  <c r="L451" i="67"/>
  <c r="K451" i="67"/>
  <c r="J451" i="67"/>
  <c r="I451" i="67"/>
  <c r="H451" i="67"/>
  <c r="R450" i="67"/>
  <c r="Q450" i="67"/>
  <c r="P450" i="67"/>
  <c r="O450" i="67"/>
  <c r="N450" i="67"/>
  <c r="M450" i="67"/>
  <c r="L450" i="67"/>
  <c r="K450" i="67"/>
  <c r="J450" i="67"/>
  <c r="I450" i="67"/>
  <c r="H450" i="67"/>
  <c r="R449" i="67"/>
  <c r="Q449" i="67"/>
  <c r="P449" i="67"/>
  <c r="O449" i="67"/>
  <c r="N449" i="67"/>
  <c r="M449" i="67"/>
  <c r="L449" i="67"/>
  <c r="K449" i="67"/>
  <c r="J449" i="67"/>
  <c r="I449" i="67"/>
  <c r="H449" i="67"/>
  <c r="R448" i="67"/>
  <c r="Q448" i="67"/>
  <c r="P448" i="67"/>
  <c r="O448" i="67"/>
  <c r="N448" i="67"/>
  <c r="M448" i="67"/>
  <c r="L448" i="67"/>
  <c r="K448" i="67"/>
  <c r="J448" i="67"/>
  <c r="I448" i="67"/>
  <c r="H448" i="67"/>
  <c r="R447" i="67"/>
  <c r="Q447" i="67"/>
  <c r="P447" i="67"/>
  <c r="O447" i="67"/>
  <c r="N447" i="67"/>
  <c r="M447" i="67"/>
  <c r="L447" i="67"/>
  <c r="K447" i="67"/>
  <c r="J447" i="67"/>
  <c r="I447" i="67"/>
  <c r="H447" i="67"/>
  <c r="R446" i="67"/>
  <c r="Q446" i="67"/>
  <c r="P446" i="67"/>
  <c r="O446" i="67"/>
  <c r="N446" i="67"/>
  <c r="M446" i="67"/>
  <c r="L446" i="67"/>
  <c r="K446" i="67"/>
  <c r="J446" i="67"/>
  <c r="I446" i="67"/>
  <c r="H446" i="67"/>
  <c r="R445" i="67"/>
  <c r="Q445" i="67"/>
  <c r="P445" i="67"/>
  <c r="O445" i="67"/>
  <c r="N445" i="67"/>
  <c r="M445" i="67"/>
  <c r="L445" i="67"/>
  <c r="K445" i="67"/>
  <c r="J445" i="67"/>
  <c r="I445" i="67"/>
  <c r="H445" i="67"/>
  <c r="R444" i="67"/>
  <c r="Q444" i="67"/>
  <c r="P444" i="67"/>
  <c r="O444" i="67"/>
  <c r="N444" i="67"/>
  <c r="M444" i="67"/>
  <c r="L444" i="67"/>
  <c r="K444" i="67"/>
  <c r="J444" i="67"/>
  <c r="I444" i="67"/>
  <c r="H444" i="67"/>
  <c r="R443" i="67"/>
  <c r="Q443" i="67"/>
  <c r="P443" i="67"/>
  <c r="O443" i="67"/>
  <c r="N443" i="67"/>
  <c r="M443" i="67"/>
  <c r="L443" i="67"/>
  <c r="K443" i="67"/>
  <c r="J443" i="67"/>
  <c r="I443" i="67"/>
  <c r="H443" i="67"/>
  <c r="R442" i="67"/>
  <c r="Q442" i="67"/>
  <c r="P442" i="67"/>
  <c r="O442" i="67"/>
  <c r="N442" i="67"/>
  <c r="M442" i="67"/>
  <c r="L442" i="67"/>
  <c r="K442" i="67"/>
  <c r="J442" i="67"/>
  <c r="I442" i="67"/>
  <c r="H442" i="67"/>
  <c r="R441" i="67"/>
  <c r="Q441" i="67"/>
  <c r="P441" i="67"/>
  <c r="O441" i="67"/>
  <c r="N441" i="67"/>
  <c r="M441" i="67"/>
  <c r="L441" i="67"/>
  <c r="K441" i="67"/>
  <c r="J441" i="67"/>
  <c r="I441" i="67"/>
  <c r="H441" i="67"/>
  <c r="R440" i="67"/>
  <c r="Q440" i="67"/>
  <c r="P440" i="67"/>
  <c r="O440" i="67"/>
  <c r="N440" i="67"/>
  <c r="M440" i="67"/>
  <c r="L440" i="67"/>
  <c r="K440" i="67"/>
  <c r="J440" i="67"/>
  <c r="I440" i="67"/>
  <c r="H440" i="67"/>
  <c r="R439" i="67"/>
  <c r="Q439" i="67"/>
  <c r="P439" i="67"/>
  <c r="O439" i="67"/>
  <c r="N439" i="67"/>
  <c r="M439" i="67"/>
  <c r="L439" i="67"/>
  <c r="K439" i="67"/>
  <c r="J439" i="67"/>
  <c r="I439" i="67"/>
  <c r="H439" i="67"/>
  <c r="R438" i="67"/>
  <c r="Q438" i="67"/>
  <c r="P438" i="67"/>
  <c r="O438" i="67"/>
  <c r="N438" i="67"/>
  <c r="M438" i="67"/>
  <c r="L438" i="67"/>
  <c r="K438" i="67"/>
  <c r="J438" i="67"/>
  <c r="I438" i="67"/>
  <c r="H438" i="67"/>
  <c r="R437" i="67"/>
  <c r="Q437" i="67"/>
  <c r="P437" i="67"/>
  <c r="O437" i="67"/>
  <c r="N437" i="67"/>
  <c r="M437" i="67"/>
  <c r="L437" i="67"/>
  <c r="K437" i="67"/>
  <c r="J437" i="67"/>
  <c r="I437" i="67"/>
  <c r="H437" i="67"/>
  <c r="R436" i="67"/>
  <c r="Q436" i="67"/>
  <c r="P436" i="67"/>
  <c r="O436" i="67"/>
  <c r="N436" i="67"/>
  <c r="M436" i="67"/>
  <c r="L436" i="67"/>
  <c r="K436" i="67"/>
  <c r="J436" i="67"/>
  <c r="I436" i="67"/>
  <c r="H436" i="67"/>
  <c r="R435" i="67"/>
  <c r="Q435" i="67"/>
  <c r="P435" i="67"/>
  <c r="O435" i="67"/>
  <c r="N435" i="67"/>
  <c r="M435" i="67"/>
  <c r="L435" i="67"/>
  <c r="K435" i="67"/>
  <c r="J435" i="67"/>
  <c r="I435" i="67"/>
  <c r="H435" i="67"/>
  <c r="R434" i="67"/>
  <c r="Q434" i="67"/>
  <c r="P434" i="67"/>
  <c r="O434" i="67"/>
  <c r="N434" i="67"/>
  <c r="M434" i="67"/>
  <c r="L434" i="67"/>
  <c r="K434" i="67"/>
  <c r="J434" i="67"/>
  <c r="I434" i="67"/>
  <c r="H434" i="67"/>
  <c r="R433" i="67"/>
  <c r="Q433" i="67"/>
  <c r="P433" i="67"/>
  <c r="O433" i="67"/>
  <c r="N433" i="67"/>
  <c r="M433" i="67"/>
  <c r="L433" i="67"/>
  <c r="K433" i="67"/>
  <c r="J433" i="67"/>
  <c r="I433" i="67"/>
  <c r="H433" i="67"/>
  <c r="R432" i="67"/>
  <c r="Q432" i="67"/>
  <c r="P432" i="67"/>
  <c r="O432" i="67"/>
  <c r="N432" i="67"/>
  <c r="M432" i="67"/>
  <c r="L432" i="67"/>
  <c r="K432" i="67"/>
  <c r="J432" i="67"/>
  <c r="I432" i="67"/>
  <c r="H432" i="67"/>
  <c r="R431" i="67"/>
  <c r="Q431" i="67"/>
  <c r="P431" i="67"/>
  <c r="O431" i="67"/>
  <c r="N431" i="67"/>
  <c r="M431" i="67"/>
  <c r="L431" i="67"/>
  <c r="K431" i="67"/>
  <c r="J431" i="67"/>
  <c r="I431" i="67"/>
  <c r="H431" i="67"/>
  <c r="R430" i="67"/>
  <c r="Q430" i="67"/>
  <c r="P430" i="67"/>
  <c r="O430" i="67"/>
  <c r="N430" i="67"/>
  <c r="M430" i="67"/>
  <c r="L430" i="67"/>
  <c r="K430" i="67"/>
  <c r="J430" i="67"/>
  <c r="I430" i="67"/>
  <c r="H430" i="67"/>
  <c r="R429" i="67"/>
  <c r="Q429" i="67"/>
  <c r="P429" i="67"/>
  <c r="O429" i="67"/>
  <c r="N429" i="67"/>
  <c r="M429" i="67"/>
  <c r="L429" i="67"/>
  <c r="K429" i="67"/>
  <c r="J429" i="67"/>
  <c r="I429" i="67"/>
  <c r="H429" i="67"/>
  <c r="R428" i="67"/>
  <c r="Q428" i="67"/>
  <c r="P428" i="67"/>
  <c r="O428" i="67"/>
  <c r="N428" i="67"/>
  <c r="M428" i="67"/>
  <c r="L428" i="67"/>
  <c r="K428" i="67"/>
  <c r="J428" i="67"/>
  <c r="I428" i="67"/>
  <c r="H428" i="67"/>
  <c r="R427" i="67"/>
  <c r="Q427" i="67"/>
  <c r="P427" i="67"/>
  <c r="O427" i="67"/>
  <c r="N427" i="67"/>
  <c r="M427" i="67"/>
  <c r="L427" i="67"/>
  <c r="K427" i="67"/>
  <c r="J427" i="67"/>
  <c r="I427" i="67"/>
  <c r="H427" i="67"/>
  <c r="R426" i="67"/>
  <c r="Q426" i="67"/>
  <c r="P426" i="67"/>
  <c r="O426" i="67"/>
  <c r="N426" i="67"/>
  <c r="M426" i="67"/>
  <c r="L426" i="67"/>
  <c r="K426" i="67"/>
  <c r="J426" i="67"/>
  <c r="I426" i="67"/>
  <c r="H426" i="67"/>
  <c r="R425" i="67"/>
  <c r="Q425" i="67"/>
  <c r="P425" i="67"/>
  <c r="O425" i="67"/>
  <c r="N425" i="67"/>
  <c r="M425" i="67"/>
  <c r="L425" i="67"/>
  <c r="K425" i="67"/>
  <c r="J425" i="67"/>
  <c r="I425" i="67"/>
  <c r="H425" i="67"/>
  <c r="R424" i="67"/>
  <c r="Q424" i="67"/>
  <c r="P424" i="67"/>
  <c r="O424" i="67"/>
  <c r="N424" i="67"/>
  <c r="M424" i="67"/>
  <c r="L424" i="67"/>
  <c r="K424" i="67"/>
  <c r="J424" i="67"/>
  <c r="I424" i="67"/>
  <c r="H424" i="67"/>
  <c r="R423" i="67"/>
  <c r="Q423" i="67"/>
  <c r="P423" i="67"/>
  <c r="O423" i="67"/>
  <c r="N423" i="67"/>
  <c r="M423" i="67"/>
  <c r="L423" i="67"/>
  <c r="K423" i="67"/>
  <c r="J423" i="67"/>
  <c r="I423" i="67"/>
  <c r="H423" i="67"/>
  <c r="R422" i="67"/>
  <c r="Q422" i="67"/>
  <c r="P422" i="67"/>
  <c r="O422" i="67"/>
  <c r="N422" i="67"/>
  <c r="M422" i="67"/>
  <c r="L422" i="67"/>
  <c r="K422" i="67"/>
  <c r="J422" i="67"/>
  <c r="I422" i="67"/>
  <c r="H422" i="67"/>
  <c r="R421" i="67"/>
  <c r="Q421" i="67"/>
  <c r="P421" i="67"/>
  <c r="O421" i="67"/>
  <c r="N421" i="67"/>
  <c r="M421" i="67"/>
  <c r="L421" i="67"/>
  <c r="K421" i="67"/>
  <c r="J421" i="67"/>
  <c r="I421" i="67"/>
  <c r="H421" i="67"/>
  <c r="R420" i="67"/>
  <c r="Q420" i="67"/>
  <c r="P420" i="67"/>
  <c r="O420" i="67"/>
  <c r="N420" i="67"/>
  <c r="M420" i="67"/>
  <c r="L420" i="67"/>
  <c r="K420" i="67"/>
  <c r="J420" i="67"/>
  <c r="I420" i="67"/>
  <c r="H420" i="67"/>
  <c r="R419" i="67"/>
  <c r="Q419" i="67"/>
  <c r="P419" i="67"/>
  <c r="O419" i="67"/>
  <c r="N419" i="67"/>
  <c r="M419" i="67"/>
  <c r="L419" i="67"/>
  <c r="K419" i="67"/>
  <c r="J419" i="67"/>
  <c r="I419" i="67"/>
  <c r="H419" i="67"/>
  <c r="R418" i="67"/>
  <c r="Q418" i="67"/>
  <c r="P418" i="67"/>
  <c r="O418" i="67"/>
  <c r="N418" i="67"/>
  <c r="M418" i="67"/>
  <c r="L418" i="67"/>
  <c r="K418" i="67"/>
  <c r="J418" i="67"/>
  <c r="I418" i="67"/>
  <c r="H418" i="67"/>
  <c r="R417" i="67"/>
  <c r="Q417" i="67"/>
  <c r="P417" i="67"/>
  <c r="O417" i="67"/>
  <c r="N417" i="67"/>
  <c r="M417" i="67"/>
  <c r="L417" i="67"/>
  <c r="K417" i="67"/>
  <c r="J417" i="67"/>
  <c r="I417" i="67"/>
  <c r="H417" i="67"/>
  <c r="R416" i="67"/>
  <c r="Q416" i="67"/>
  <c r="P416" i="67"/>
  <c r="O416" i="67"/>
  <c r="N416" i="67"/>
  <c r="M416" i="67"/>
  <c r="L416" i="67"/>
  <c r="K416" i="67"/>
  <c r="J416" i="67"/>
  <c r="I416" i="67"/>
  <c r="H416" i="67"/>
  <c r="R415" i="67"/>
  <c r="Q415" i="67"/>
  <c r="P415" i="67"/>
  <c r="O415" i="67"/>
  <c r="N415" i="67"/>
  <c r="M415" i="67"/>
  <c r="L415" i="67"/>
  <c r="K415" i="67"/>
  <c r="J415" i="67"/>
  <c r="I415" i="67"/>
  <c r="H415" i="67"/>
  <c r="R414" i="67"/>
  <c r="Q414" i="67"/>
  <c r="P414" i="67"/>
  <c r="O414" i="67"/>
  <c r="N414" i="67"/>
  <c r="M414" i="67"/>
  <c r="L414" i="67"/>
  <c r="K414" i="67"/>
  <c r="J414" i="67"/>
  <c r="I414" i="67"/>
  <c r="H414" i="67"/>
  <c r="R413" i="67"/>
  <c r="Q413" i="67"/>
  <c r="P413" i="67"/>
  <c r="O413" i="67"/>
  <c r="N413" i="67"/>
  <c r="M413" i="67"/>
  <c r="L413" i="67"/>
  <c r="K413" i="67"/>
  <c r="J413" i="67"/>
  <c r="I413" i="67"/>
  <c r="H413" i="67"/>
  <c r="R412" i="67"/>
  <c r="Q412" i="67"/>
  <c r="P412" i="67"/>
  <c r="O412" i="67"/>
  <c r="N412" i="67"/>
  <c r="M412" i="67"/>
  <c r="L412" i="67"/>
  <c r="K412" i="67"/>
  <c r="J412" i="67"/>
  <c r="I412" i="67"/>
  <c r="H412" i="67"/>
  <c r="R411" i="67"/>
  <c r="Q411" i="67"/>
  <c r="P411" i="67"/>
  <c r="O411" i="67"/>
  <c r="N411" i="67"/>
  <c r="M411" i="67"/>
  <c r="L411" i="67"/>
  <c r="K411" i="67"/>
  <c r="J411" i="67"/>
  <c r="I411" i="67"/>
  <c r="H411" i="67"/>
  <c r="R410" i="67"/>
  <c r="Q410" i="67"/>
  <c r="P410" i="67"/>
  <c r="O410" i="67"/>
  <c r="N410" i="67"/>
  <c r="M410" i="67"/>
  <c r="L410" i="67"/>
  <c r="K410" i="67"/>
  <c r="J410" i="67"/>
  <c r="I410" i="67"/>
  <c r="H410" i="67"/>
  <c r="R409" i="67"/>
  <c r="Q409" i="67"/>
  <c r="P409" i="67"/>
  <c r="O409" i="67"/>
  <c r="N409" i="67"/>
  <c r="M409" i="67"/>
  <c r="L409" i="67"/>
  <c r="K409" i="67"/>
  <c r="J409" i="67"/>
  <c r="I409" i="67"/>
  <c r="H409" i="67"/>
  <c r="R408" i="67"/>
  <c r="Q408" i="67"/>
  <c r="P408" i="67"/>
  <c r="O408" i="67"/>
  <c r="N408" i="67"/>
  <c r="M408" i="67"/>
  <c r="L408" i="67"/>
  <c r="K408" i="67"/>
  <c r="J408" i="67"/>
  <c r="I408" i="67"/>
  <c r="H408" i="67"/>
  <c r="R407" i="67"/>
  <c r="Q407" i="67"/>
  <c r="P407" i="67"/>
  <c r="O407" i="67"/>
  <c r="N407" i="67"/>
  <c r="M407" i="67"/>
  <c r="L407" i="67"/>
  <c r="K407" i="67"/>
  <c r="J407" i="67"/>
  <c r="I407" i="67"/>
  <c r="H407" i="67"/>
  <c r="R406" i="67"/>
  <c r="Q406" i="67"/>
  <c r="P406" i="67"/>
  <c r="O406" i="67"/>
  <c r="N406" i="67"/>
  <c r="M406" i="67"/>
  <c r="L406" i="67"/>
  <c r="K406" i="67"/>
  <c r="J406" i="67"/>
  <c r="I406" i="67"/>
  <c r="H406" i="67"/>
  <c r="R405" i="67"/>
  <c r="Q405" i="67"/>
  <c r="P405" i="67"/>
  <c r="O405" i="67"/>
  <c r="N405" i="67"/>
  <c r="M405" i="67"/>
  <c r="L405" i="67"/>
  <c r="K405" i="67"/>
  <c r="J405" i="67"/>
  <c r="I405" i="67"/>
  <c r="H405" i="67"/>
  <c r="R404" i="67"/>
  <c r="Q404" i="67"/>
  <c r="P404" i="67"/>
  <c r="O404" i="67"/>
  <c r="N404" i="67"/>
  <c r="M404" i="67"/>
  <c r="L404" i="67"/>
  <c r="K404" i="67"/>
  <c r="J404" i="67"/>
  <c r="I404" i="67"/>
  <c r="H404" i="67"/>
  <c r="R403" i="67"/>
  <c r="Q403" i="67"/>
  <c r="P403" i="67"/>
  <c r="O403" i="67"/>
  <c r="N403" i="67"/>
  <c r="M403" i="67"/>
  <c r="L403" i="67"/>
  <c r="K403" i="67"/>
  <c r="J403" i="67"/>
  <c r="I403" i="67"/>
  <c r="H403" i="67"/>
  <c r="R402" i="67"/>
  <c r="Q402" i="67"/>
  <c r="P402" i="67"/>
  <c r="O402" i="67"/>
  <c r="N402" i="67"/>
  <c r="M402" i="67"/>
  <c r="L402" i="67"/>
  <c r="K402" i="67"/>
  <c r="J402" i="67"/>
  <c r="I402" i="67"/>
  <c r="H402" i="67"/>
  <c r="R401" i="67"/>
  <c r="Q401" i="67"/>
  <c r="P401" i="67"/>
  <c r="O401" i="67"/>
  <c r="N401" i="67"/>
  <c r="M401" i="67"/>
  <c r="L401" i="67"/>
  <c r="K401" i="67"/>
  <c r="J401" i="67"/>
  <c r="I401" i="67"/>
  <c r="H401" i="67"/>
  <c r="R400" i="67"/>
  <c r="Q400" i="67"/>
  <c r="P400" i="67"/>
  <c r="O400" i="67"/>
  <c r="N400" i="67"/>
  <c r="M400" i="67"/>
  <c r="L400" i="67"/>
  <c r="K400" i="67"/>
  <c r="J400" i="67"/>
  <c r="I400" i="67"/>
  <c r="H400" i="67"/>
  <c r="R399" i="67"/>
  <c r="Q399" i="67"/>
  <c r="P399" i="67"/>
  <c r="O399" i="67"/>
  <c r="N399" i="67"/>
  <c r="M399" i="67"/>
  <c r="L399" i="67"/>
  <c r="K399" i="67"/>
  <c r="J399" i="67"/>
  <c r="I399" i="67"/>
  <c r="H399" i="67"/>
  <c r="R398" i="67"/>
  <c r="Q398" i="67"/>
  <c r="P398" i="67"/>
  <c r="O398" i="67"/>
  <c r="N398" i="67"/>
  <c r="M398" i="67"/>
  <c r="L398" i="67"/>
  <c r="K398" i="67"/>
  <c r="J398" i="67"/>
  <c r="I398" i="67"/>
  <c r="H398" i="67"/>
  <c r="R397" i="67"/>
  <c r="Q397" i="67"/>
  <c r="P397" i="67"/>
  <c r="O397" i="67"/>
  <c r="N397" i="67"/>
  <c r="M397" i="67"/>
  <c r="L397" i="67"/>
  <c r="K397" i="67"/>
  <c r="J397" i="67"/>
  <c r="I397" i="67"/>
  <c r="H397" i="67"/>
  <c r="R396" i="67"/>
  <c r="Q396" i="67"/>
  <c r="P396" i="67"/>
  <c r="O396" i="67"/>
  <c r="N396" i="67"/>
  <c r="M396" i="67"/>
  <c r="L396" i="67"/>
  <c r="K396" i="67"/>
  <c r="J396" i="67"/>
  <c r="I396" i="67"/>
  <c r="H396" i="67"/>
  <c r="R395" i="67"/>
  <c r="Q395" i="67"/>
  <c r="P395" i="67"/>
  <c r="O395" i="67"/>
  <c r="N395" i="67"/>
  <c r="M395" i="67"/>
  <c r="L395" i="67"/>
  <c r="K395" i="67"/>
  <c r="J395" i="67"/>
  <c r="I395" i="67"/>
  <c r="H395" i="67"/>
  <c r="R394" i="67"/>
  <c r="Q394" i="67"/>
  <c r="P394" i="67"/>
  <c r="O394" i="67"/>
  <c r="N394" i="67"/>
  <c r="M394" i="67"/>
  <c r="L394" i="67"/>
  <c r="K394" i="67"/>
  <c r="J394" i="67"/>
  <c r="I394" i="67"/>
  <c r="H394" i="67"/>
  <c r="R393" i="67"/>
  <c r="Q393" i="67"/>
  <c r="P393" i="67"/>
  <c r="O393" i="67"/>
  <c r="N393" i="67"/>
  <c r="M393" i="67"/>
  <c r="L393" i="67"/>
  <c r="K393" i="67"/>
  <c r="J393" i="67"/>
  <c r="I393" i="67"/>
  <c r="H393" i="67"/>
  <c r="R392" i="67"/>
  <c r="Q392" i="67"/>
  <c r="P392" i="67"/>
  <c r="O392" i="67"/>
  <c r="N392" i="67"/>
  <c r="M392" i="67"/>
  <c r="L392" i="67"/>
  <c r="K392" i="67"/>
  <c r="J392" i="67"/>
  <c r="I392" i="67"/>
  <c r="H392" i="67"/>
  <c r="R391" i="67"/>
  <c r="Q391" i="67"/>
  <c r="P391" i="67"/>
  <c r="O391" i="67"/>
  <c r="N391" i="67"/>
  <c r="M391" i="67"/>
  <c r="L391" i="67"/>
  <c r="K391" i="67"/>
  <c r="J391" i="67"/>
  <c r="I391" i="67"/>
  <c r="H391" i="67"/>
  <c r="R390" i="67"/>
  <c r="Q390" i="67"/>
  <c r="P390" i="67"/>
  <c r="O390" i="67"/>
  <c r="N390" i="67"/>
  <c r="M390" i="67"/>
  <c r="L390" i="67"/>
  <c r="K390" i="67"/>
  <c r="J390" i="67"/>
  <c r="I390" i="67"/>
  <c r="H390" i="67"/>
  <c r="R389" i="67"/>
  <c r="Q389" i="67"/>
  <c r="P389" i="67"/>
  <c r="O389" i="67"/>
  <c r="N389" i="67"/>
  <c r="M389" i="67"/>
  <c r="L389" i="67"/>
  <c r="K389" i="67"/>
  <c r="J389" i="67"/>
  <c r="I389" i="67"/>
  <c r="H389" i="67"/>
  <c r="R388" i="67"/>
  <c r="Q388" i="67"/>
  <c r="P388" i="67"/>
  <c r="O388" i="67"/>
  <c r="N388" i="67"/>
  <c r="M388" i="67"/>
  <c r="L388" i="67"/>
  <c r="K388" i="67"/>
  <c r="J388" i="67"/>
  <c r="I388" i="67"/>
  <c r="H388" i="67"/>
  <c r="R387" i="67"/>
  <c r="Q387" i="67"/>
  <c r="P387" i="67"/>
  <c r="O387" i="67"/>
  <c r="N387" i="67"/>
  <c r="M387" i="67"/>
  <c r="L387" i="67"/>
  <c r="K387" i="67"/>
  <c r="J387" i="67"/>
  <c r="I387" i="67"/>
  <c r="H387" i="67"/>
  <c r="R386" i="67"/>
  <c r="Q386" i="67"/>
  <c r="P386" i="67"/>
  <c r="O386" i="67"/>
  <c r="N386" i="67"/>
  <c r="M386" i="67"/>
  <c r="L386" i="67"/>
  <c r="K386" i="67"/>
  <c r="J386" i="67"/>
  <c r="I386" i="67"/>
  <c r="H386" i="67"/>
  <c r="R385" i="67"/>
  <c r="Q385" i="67"/>
  <c r="P385" i="67"/>
  <c r="O385" i="67"/>
  <c r="N385" i="67"/>
  <c r="M385" i="67"/>
  <c r="L385" i="67"/>
  <c r="K385" i="67"/>
  <c r="J385" i="67"/>
  <c r="I385" i="67"/>
  <c r="H385" i="67"/>
  <c r="R384" i="67"/>
  <c r="Q384" i="67"/>
  <c r="P384" i="67"/>
  <c r="O384" i="67"/>
  <c r="N384" i="67"/>
  <c r="M384" i="67"/>
  <c r="L384" i="67"/>
  <c r="K384" i="67"/>
  <c r="J384" i="67"/>
  <c r="I384" i="67"/>
  <c r="H384" i="67"/>
  <c r="R383" i="67"/>
  <c r="Q383" i="67"/>
  <c r="P383" i="67"/>
  <c r="O383" i="67"/>
  <c r="N383" i="67"/>
  <c r="M383" i="67"/>
  <c r="L383" i="67"/>
  <c r="K383" i="67"/>
  <c r="J383" i="67"/>
  <c r="I383" i="67"/>
  <c r="H383" i="67"/>
  <c r="R382" i="67"/>
  <c r="Q382" i="67"/>
  <c r="P382" i="67"/>
  <c r="O382" i="67"/>
  <c r="N382" i="67"/>
  <c r="M382" i="67"/>
  <c r="L382" i="67"/>
  <c r="K382" i="67"/>
  <c r="J382" i="67"/>
  <c r="I382" i="67"/>
  <c r="H382" i="67"/>
  <c r="R381" i="67"/>
  <c r="Q381" i="67"/>
  <c r="P381" i="67"/>
  <c r="O381" i="67"/>
  <c r="N381" i="67"/>
  <c r="M381" i="67"/>
  <c r="L381" i="67"/>
  <c r="K381" i="67"/>
  <c r="J381" i="67"/>
  <c r="I381" i="67"/>
  <c r="H381" i="67"/>
  <c r="R380" i="67"/>
  <c r="Q380" i="67"/>
  <c r="P380" i="67"/>
  <c r="O380" i="67"/>
  <c r="N380" i="67"/>
  <c r="M380" i="67"/>
  <c r="L380" i="67"/>
  <c r="K380" i="67"/>
  <c r="J380" i="67"/>
  <c r="I380" i="67"/>
  <c r="H380" i="67"/>
  <c r="R379" i="67"/>
  <c r="Q379" i="67"/>
  <c r="P379" i="67"/>
  <c r="O379" i="67"/>
  <c r="N379" i="67"/>
  <c r="M379" i="67"/>
  <c r="L379" i="67"/>
  <c r="K379" i="67"/>
  <c r="J379" i="67"/>
  <c r="I379" i="67"/>
  <c r="H379" i="67"/>
  <c r="R378" i="67"/>
  <c r="Q378" i="67"/>
  <c r="P378" i="67"/>
  <c r="O378" i="67"/>
  <c r="N378" i="67"/>
  <c r="M378" i="67"/>
  <c r="L378" i="67"/>
  <c r="K378" i="67"/>
  <c r="J378" i="67"/>
  <c r="I378" i="67"/>
  <c r="H378" i="67"/>
  <c r="R377" i="67"/>
  <c r="Q377" i="67"/>
  <c r="P377" i="67"/>
  <c r="O377" i="67"/>
  <c r="N377" i="67"/>
  <c r="M377" i="67"/>
  <c r="L377" i="67"/>
  <c r="K377" i="67"/>
  <c r="J377" i="67"/>
  <c r="I377" i="67"/>
  <c r="H377" i="67"/>
  <c r="R376" i="67"/>
  <c r="Q376" i="67"/>
  <c r="P376" i="67"/>
  <c r="O376" i="67"/>
  <c r="N376" i="67"/>
  <c r="M376" i="67"/>
  <c r="L376" i="67"/>
  <c r="K376" i="67"/>
  <c r="J376" i="67"/>
  <c r="I376" i="67"/>
  <c r="H376" i="67"/>
  <c r="R375" i="67"/>
  <c r="Q375" i="67"/>
  <c r="P375" i="67"/>
  <c r="O375" i="67"/>
  <c r="N375" i="67"/>
  <c r="M375" i="67"/>
  <c r="L375" i="67"/>
  <c r="K375" i="67"/>
  <c r="J375" i="67"/>
  <c r="I375" i="67"/>
  <c r="H375" i="67"/>
  <c r="R374" i="67"/>
  <c r="Q374" i="67"/>
  <c r="P374" i="67"/>
  <c r="O374" i="67"/>
  <c r="N374" i="67"/>
  <c r="M374" i="67"/>
  <c r="L374" i="67"/>
  <c r="K374" i="67"/>
  <c r="J374" i="67"/>
  <c r="I374" i="67"/>
  <c r="H374" i="67"/>
  <c r="R373" i="67"/>
  <c r="Q373" i="67"/>
  <c r="P373" i="67"/>
  <c r="O373" i="67"/>
  <c r="N373" i="67"/>
  <c r="M373" i="67"/>
  <c r="L373" i="67"/>
  <c r="K373" i="67"/>
  <c r="J373" i="67"/>
  <c r="I373" i="67"/>
  <c r="H373" i="67"/>
  <c r="R372" i="67"/>
  <c r="Q372" i="67"/>
  <c r="P372" i="67"/>
  <c r="O372" i="67"/>
  <c r="N372" i="67"/>
  <c r="M372" i="67"/>
  <c r="L372" i="67"/>
  <c r="K372" i="67"/>
  <c r="J372" i="67"/>
  <c r="I372" i="67"/>
  <c r="H372" i="67"/>
  <c r="R371" i="67"/>
  <c r="Q371" i="67"/>
  <c r="P371" i="67"/>
  <c r="O371" i="67"/>
  <c r="N371" i="67"/>
  <c r="M371" i="67"/>
  <c r="L371" i="67"/>
  <c r="K371" i="67"/>
  <c r="J371" i="67"/>
  <c r="I371" i="67"/>
  <c r="H371" i="67"/>
  <c r="R370" i="67"/>
  <c r="Q370" i="67"/>
  <c r="P370" i="67"/>
  <c r="O370" i="67"/>
  <c r="N370" i="67"/>
  <c r="M370" i="67"/>
  <c r="L370" i="67"/>
  <c r="K370" i="67"/>
  <c r="J370" i="67"/>
  <c r="I370" i="67"/>
  <c r="H370" i="67"/>
  <c r="R369" i="67"/>
  <c r="Q369" i="67"/>
  <c r="P369" i="67"/>
  <c r="O369" i="67"/>
  <c r="N369" i="67"/>
  <c r="M369" i="67"/>
  <c r="L369" i="67"/>
  <c r="K369" i="67"/>
  <c r="J369" i="67"/>
  <c r="I369" i="67"/>
  <c r="H369" i="67"/>
  <c r="R368" i="67"/>
  <c r="Q368" i="67"/>
  <c r="P368" i="67"/>
  <c r="O368" i="67"/>
  <c r="N368" i="67"/>
  <c r="M368" i="67"/>
  <c r="L368" i="67"/>
  <c r="K368" i="67"/>
  <c r="J368" i="67"/>
  <c r="I368" i="67"/>
  <c r="H368" i="67"/>
  <c r="R367" i="67"/>
  <c r="Q367" i="67"/>
  <c r="P367" i="67"/>
  <c r="O367" i="67"/>
  <c r="N367" i="67"/>
  <c r="M367" i="67"/>
  <c r="L367" i="67"/>
  <c r="K367" i="67"/>
  <c r="J367" i="67"/>
  <c r="I367" i="67"/>
  <c r="H367" i="67"/>
  <c r="R366" i="67"/>
  <c r="Q366" i="67"/>
  <c r="P366" i="67"/>
  <c r="O366" i="67"/>
  <c r="N366" i="67"/>
  <c r="M366" i="67"/>
  <c r="L366" i="67"/>
  <c r="K366" i="67"/>
  <c r="J366" i="67"/>
  <c r="I366" i="67"/>
  <c r="H366" i="67"/>
  <c r="R365" i="67"/>
  <c r="Q365" i="67"/>
  <c r="P365" i="67"/>
  <c r="O365" i="67"/>
  <c r="N365" i="67"/>
  <c r="M365" i="67"/>
  <c r="L365" i="67"/>
  <c r="K365" i="67"/>
  <c r="J365" i="67"/>
  <c r="I365" i="67"/>
  <c r="H365" i="67"/>
  <c r="R364" i="67"/>
  <c r="Q364" i="67"/>
  <c r="P364" i="67"/>
  <c r="O364" i="67"/>
  <c r="N364" i="67"/>
  <c r="M364" i="67"/>
  <c r="L364" i="67"/>
  <c r="K364" i="67"/>
  <c r="J364" i="67"/>
  <c r="I364" i="67"/>
  <c r="H364" i="67"/>
  <c r="R363" i="67"/>
  <c r="Q363" i="67"/>
  <c r="P363" i="67"/>
  <c r="O363" i="67"/>
  <c r="N363" i="67"/>
  <c r="M363" i="67"/>
  <c r="L363" i="67"/>
  <c r="K363" i="67"/>
  <c r="J363" i="67"/>
  <c r="I363" i="67"/>
  <c r="H363" i="67"/>
  <c r="R362" i="67"/>
  <c r="Q362" i="67"/>
  <c r="P362" i="67"/>
  <c r="O362" i="67"/>
  <c r="N362" i="67"/>
  <c r="M362" i="67"/>
  <c r="L362" i="67"/>
  <c r="K362" i="67"/>
  <c r="J362" i="67"/>
  <c r="I362" i="67"/>
  <c r="H362" i="67"/>
  <c r="R361" i="67"/>
  <c r="Q361" i="67"/>
  <c r="P361" i="67"/>
  <c r="O361" i="67"/>
  <c r="N361" i="67"/>
  <c r="M361" i="67"/>
  <c r="L361" i="67"/>
  <c r="K361" i="67"/>
  <c r="J361" i="67"/>
  <c r="I361" i="67"/>
  <c r="H361" i="67"/>
  <c r="R360" i="67"/>
  <c r="Q360" i="67"/>
  <c r="P360" i="67"/>
  <c r="O360" i="67"/>
  <c r="N360" i="67"/>
  <c r="M360" i="67"/>
  <c r="L360" i="67"/>
  <c r="K360" i="67"/>
  <c r="J360" i="67"/>
  <c r="I360" i="67"/>
  <c r="H360" i="67"/>
  <c r="R359" i="67"/>
  <c r="Q359" i="67"/>
  <c r="P359" i="67"/>
  <c r="O359" i="67"/>
  <c r="N359" i="67"/>
  <c r="M359" i="67"/>
  <c r="L359" i="67"/>
  <c r="K359" i="67"/>
  <c r="J359" i="67"/>
  <c r="I359" i="67"/>
  <c r="H359" i="67"/>
  <c r="R358" i="67"/>
  <c r="Q358" i="67"/>
  <c r="P358" i="67"/>
  <c r="O358" i="67"/>
  <c r="N358" i="67"/>
  <c r="M358" i="67"/>
  <c r="L358" i="67"/>
  <c r="K358" i="67"/>
  <c r="J358" i="67"/>
  <c r="I358" i="67"/>
  <c r="H358" i="67"/>
  <c r="R357" i="67"/>
  <c r="Q357" i="67"/>
  <c r="P357" i="67"/>
  <c r="O357" i="67"/>
  <c r="N357" i="67"/>
  <c r="M357" i="67"/>
  <c r="L357" i="67"/>
  <c r="K357" i="67"/>
  <c r="J357" i="67"/>
  <c r="I357" i="67"/>
  <c r="H357" i="67"/>
  <c r="R356" i="67"/>
  <c r="Q356" i="67"/>
  <c r="P356" i="67"/>
  <c r="O356" i="67"/>
  <c r="N356" i="67"/>
  <c r="M356" i="67"/>
  <c r="L356" i="67"/>
  <c r="K356" i="67"/>
  <c r="J356" i="67"/>
  <c r="I356" i="67"/>
  <c r="H356" i="67"/>
  <c r="R355" i="67"/>
  <c r="Q355" i="67"/>
  <c r="P355" i="67"/>
  <c r="O355" i="67"/>
  <c r="N355" i="67"/>
  <c r="M355" i="67"/>
  <c r="L355" i="67"/>
  <c r="K355" i="67"/>
  <c r="J355" i="67"/>
  <c r="I355" i="67"/>
  <c r="H355" i="67"/>
  <c r="R354" i="67"/>
  <c r="Q354" i="67"/>
  <c r="P354" i="67"/>
  <c r="O354" i="67"/>
  <c r="N354" i="67"/>
  <c r="M354" i="67"/>
  <c r="L354" i="67"/>
  <c r="K354" i="67"/>
  <c r="J354" i="67"/>
  <c r="I354" i="67"/>
  <c r="H354" i="67"/>
  <c r="R353" i="67"/>
  <c r="Q353" i="67"/>
  <c r="P353" i="67"/>
  <c r="O353" i="67"/>
  <c r="N353" i="67"/>
  <c r="M353" i="67"/>
  <c r="L353" i="67"/>
  <c r="K353" i="67"/>
  <c r="J353" i="67"/>
  <c r="I353" i="67"/>
  <c r="H353" i="67"/>
  <c r="R352" i="67"/>
  <c r="Q352" i="67"/>
  <c r="P352" i="67"/>
  <c r="O352" i="67"/>
  <c r="N352" i="67"/>
  <c r="M352" i="67"/>
  <c r="L352" i="67"/>
  <c r="K352" i="67"/>
  <c r="J352" i="67"/>
  <c r="I352" i="67"/>
  <c r="H352" i="67"/>
  <c r="R351" i="67"/>
  <c r="Q351" i="67"/>
  <c r="P351" i="67"/>
  <c r="O351" i="67"/>
  <c r="N351" i="67"/>
  <c r="M351" i="67"/>
  <c r="L351" i="67"/>
  <c r="K351" i="67"/>
  <c r="J351" i="67"/>
  <c r="I351" i="67"/>
  <c r="H351" i="67"/>
  <c r="R350" i="67"/>
  <c r="Q350" i="67"/>
  <c r="P350" i="67"/>
  <c r="O350" i="67"/>
  <c r="N350" i="67"/>
  <c r="M350" i="67"/>
  <c r="L350" i="67"/>
  <c r="K350" i="67"/>
  <c r="J350" i="67"/>
  <c r="I350" i="67"/>
  <c r="H350" i="67"/>
  <c r="R349" i="67"/>
  <c r="Q349" i="67"/>
  <c r="P349" i="67"/>
  <c r="O349" i="67"/>
  <c r="N349" i="67"/>
  <c r="M349" i="67"/>
  <c r="L349" i="67"/>
  <c r="K349" i="67"/>
  <c r="J349" i="67"/>
  <c r="I349" i="67"/>
  <c r="H349" i="67"/>
  <c r="R348" i="67"/>
  <c r="Q348" i="67"/>
  <c r="P348" i="67"/>
  <c r="O348" i="67"/>
  <c r="N348" i="67"/>
  <c r="M348" i="67"/>
  <c r="L348" i="67"/>
  <c r="K348" i="67"/>
  <c r="J348" i="67"/>
  <c r="I348" i="67"/>
  <c r="H348" i="67"/>
  <c r="R347" i="67"/>
  <c r="Q347" i="67"/>
  <c r="P347" i="67"/>
  <c r="O347" i="67"/>
  <c r="N347" i="67"/>
  <c r="M347" i="67"/>
  <c r="L347" i="67"/>
  <c r="K347" i="67"/>
  <c r="J347" i="67"/>
  <c r="I347" i="67"/>
  <c r="H347" i="67"/>
  <c r="R346" i="67"/>
  <c r="Q346" i="67"/>
  <c r="P346" i="67"/>
  <c r="O346" i="67"/>
  <c r="N346" i="67"/>
  <c r="M346" i="67"/>
  <c r="L346" i="67"/>
  <c r="K346" i="67"/>
  <c r="J346" i="67"/>
  <c r="I346" i="67"/>
  <c r="H346" i="67"/>
  <c r="R345" i="67"/>
  <c r="Q345" i="67"/>
  <c r="P345" i="67"/>
  <c r="O345" i="67"/>
  <c r="N345" i="67"/>
  <c r="M345" i="67"/>
  <c r="L345" i="67"/>
  <c r="K345" i="67"/>
  <c r="J345" i="67"/>
  <c r="I345" i="67"/>
  <c r="H345" i="67"/>
  <c r="R344" i="67"/>
  <c r="Q344" i="67"/>
  <c r="P344" i="67"/>
  <c r="O344" i="67"/>
  <c r="N344" i="67"/>
  <c r="M344" i="67"/>
  <c r="L344" i="67"/>
  <c r="K344" i="67"/>
  <c r="J344" i="67"/>
  <c r="I344" i="67"/>
  <c r="H344" i="67"/>
  <c r="R343" i="67"/>
  <c r="Q343" i="67"/>
  <c r="P343" i="67"/>
  <c r="O343" i="67"/>
  <c r="N343" i="67"/>
  <c r="M343" i="67"/>
  <c r="L343" i="67"/>
  <c r="K343" i="67"/>
  <c r="J343" i="67"/>
  <c r="I343" i="67"/>
  <c r="H343" i="67"/>
  <c r="R342" i="67"/>
  <c r="Q342" i="67"/>
  <c r="P342" i="67"/>
  <c r="O342" i="67"/>
  <c r="N342" i="67"/>
  <c r="M342" i="67"/>
  <c r="L342" i="67"/>
  <c r="K342" i="67"/>
  <c r="J342" i="67"/>
  <c r="I342" i="67"/>
  <c r="H342" i="67"/>
  <c r="R341" i="67"/>
  <c r="Q341" i="67"/>
  <c r="P341" i="67"/>
  <c r="O341" i="67"/>
  <c r="N341" i="67"/>
  <c r="M341" i="67"/>
  <c r="L341" i="67"/>
  <c r="K341" i="67"/>
  <c r="J341" i="67"/>
  <c r="I341" i="67"/>
  <c r="H341" i="67"/>
  <c r="R340" i="67"/>
  <c r="Q340" i="67"/>
  <c r="P340" i="67"/>
  <c r="O340" i="67"/>
  <c r="N340" i="67"/>
  <c r="M340" i="67"/>
  <c r="L340" i="67"/>
  <c r="K340" i="67"/>
  <c r="J340" i="67"/>
  <c r="I340" i="67"/>
  <c r="H340" i="67"/>
  <c r="R339" i="67"/>
  <c r="Q339" i="67"/>
  <c r="P339" i="67"/>
  <c r="O339" i="67"/>
  <c r="N339" i="67"/>
  <c r="M339" i="67"/>
  <c r="L339" i="67"/>
  <c r="K339" i="67"/>
  <c r="J339" i="67"/>
  <c r="I339" i="67"/>
  <c r="H339" i="67"/>
  <c r="R338" i="67"/>
  <c r="Q338" i="67"/>
  <c r="P338" i="67"/>
  <c r="O338" i="67"/>
  <c r="N338" i="67"/>
  <c r="M338" i="67"/>
  <c r="L338" i="67"/>
  <c r="K338" i="67"/>
  <c r="J338" i="67"/>
  <c r="I338" i="67"/>
  <c r="H338" i="67"/>
  <c r="R337" i="67"/>
  <c r="Q337" i="67"/>
  <c r="P337" i="67"/>
  <c r="O337" i="67"/>
  <c r="N337" i="67"/>
  <c r="M337" i="67"/>
  <c r="L337" i="67"/>
  <c r="K337" i="67"/>
  <c r="J337" i="67"/>
  <c r="I337" i="67"/>
  <c r="H337" i="67"/>
  <c r="R336" i="67"/>
  <c r="Q336" i="67"/>
  <c r="P336" i="67"/>
  <c r="O336" i="67"/>
  <c r="N336" i="67"/>
  <c r="M336" i="67"/>
  <c r="L336" i="67"/>
  <c r="K336" i="67"/>
  <c r="J336" i="67"/>
  <c r="I336" i="67"/>
  <c r="H336" i="67"/>
  <c r="R335" i="67"/>
  <c r="Q335" i="67"/>
  <c r="P335" i="67"/>
  <c r="O335" i="67"/>
  <c r="N335" i="67"/>
  <c r="M335" i="67"/>
  <c r="L335" i="67"/>
  <c r="K335" i="67"/>
  <c r="J335" i="67"/>
  <c r="I335" i="67"/>
  <c r="H335" i="67"/>
  <c r="R334" i="67"/>
  <c r="Q334" i="67"/>
  <c r="P334" i="67"/>
  <c r="O334" i="67"/>
  <c r="N334" i="67"/>
  <c r="M334" i="67"/>
  <c r="L334" i="67"/>
  <c r="K334" i="67"/>
  <c r="J334" i="67"/>
  <c r="I334" i="67"/>
  <c r="H334" i="67"/>
  <c r="R333" i="67"/>
  <c r="Q333" i="67"/>
  <c r="P333" i="67"/>
  <c r="O333" i="67"/>
  <c r="N333" i="67"/>
  <c r="M333" i="67"/>
  <c r="L333" i="67"/>
  <c r="K333" i="67"/>
  <c r="J333" i="67"/>
  <c r="I333" i="67"/>
  <c r="H333" i="67"/>
  <c r="R332" i="67"/>
  <c r="Q332" i="67"/>
  <c r="P332" i="67"/>
  <c r="O332" i="67"/>
  <c r="N332" i="67"/>
  <c r="M332" i="67"/>
  <c r="L332" i="67"/>
  <c r="K332" i="67"/>
  <c r="J332" i="67"/>
  <c r="I332" i="67"/>
  <c r="H332" i="67"/>
  <c r="R331" i="67"/>
  <c r="Q331" i="67"/>
  <c r="P331" i="67"/>
  <c r="O331" i="67"/>
  <c r="N331" i="67"/>
  <c r="M331" i="67"/>
  <c r="L331" i="67"/>
  <c r="K331" i="67"/>
  <c r="J331" i="67"/>
  <c r="I331" i="67"/>
  <c r="H331" i="67"/>
  <c r="R330" i="67"/>
  <c r="Q330" i="67"/>
  <c r="P330" i="67"/>
  <c r="O330" i="67"/>
  <c r="N330" i="67"/>
  <c r="M330" i="67"/>
  <c r="L330" i="67"/>
  <c r="K330" i="67"/>
  <c r="J330" i="67"/>
  <c r="I330" i="67"/>
  <c r="H330" i="67"/>
  <c r="R329" i="67"/>
  <c r="Q329" i="67"/>
  <c r="P329" i="67"/>
  <c r="O329" i="67"/>
  <c r="N329" i="67"/>
  <c r="M329" i="67"/>
  <c r="L329" i="67"/>
  <c r="K329" i="67"/>
  <c r="J329" i="67"/>
  <c r="I329" i="67"/>
  <c r="H329" i="67"/>
  <c r="R328" i="67"/>
  <c r="Q328" i="67"/>
  <c r="P328" i="67"/>
  <c r="O328" i="67"/>
  <c r="N328" i="67"/>
  <c r="M328" i="67"/>
  <c r="L328" i="67"/>
  <c r="K328" i="67"/>
  <c r="J328" i="67"/>
  <c r="I328" i="67"/>
  <c r="H328" i="67"/>
  <c r="R327" i="67"/>
  <c r="Q327" i="67"/>
  <c r="P327" i="67"/>
  <c r="O327" i="67"/>
  <c r="N327" i="67"/>
  <c r="M327" i="67"/>
  <c r="L327" i="67"/>
  <c r="K327" i="67"/>
  <c r="J327" i="67"/>
  <c r="I327" i="67"/>
  <c r="H327" i="67"/>
  <c r="R326" i="67"/>
  <c r="Q326" i="67"/>
  <c r="P326" i="67"/>
  <c r="O326" i="67"/>
  <c r="N326" i="67"/>
  <c r="M326" i="67"/>
  <c r="L326" i="67"/>
  <c r="K326" i="67"/>
  <c r="J326" i="67"/>
  <c r="I326" i="67"/>
  <c r="H326" i="67"/>
  <c r="R325" i="67"/>
  <c r="Q325" i="67"/>
  <c r="P325" i="67"/>
  <c r="O325" i="67"/>
  <c r="N325" i="67"/>
  <c r="M325" i="67"/>
  <c r="L325" i="67"/>
  <c r="K325" i="67"/>
  <c r="J325" i="67"/>
  <c r="I325" i="67"/>
  <c r="H325" i="67"/>
  <c r="R324" i="67"/>
  <c r="Q324" i="67"/>
  <c r="P324" i="67"/>
  <c r="O324" i="67"/>
  <c r="N324" i="67"/>
  <c r="M324" i="67"/>
  <c r="L324" i="67"/>
  <c r="K324" i="67"/>
  <c r="J324" i="67"/>
  <c r="I324" i="67"/>
  <c r="H324" i="67"/>
  <c r="R323" i="67"/>
  <c r="Q323" i="67"/>
  <c r="P323" i="67"/>
  <c r="O323" i="67"/>
  <c r="N323" i="67"/>
  <c r="M323" i="67"/>
  <c r="L323" i="67"/>
  <c r="K323" i="67"/>
  <c r="J323" i="67"/>
  <c r="I323" i="67"/>
  <c r="H323" i="67"/>
  <c r="R322" i="67"/>
  <c r="Q322" i="67"/>
  <c r="P322" i="67"/>
  <c r="O322" i="67"/>
  <c r="N322" i="67"/>
  <c r="M322" i="67"/>
  <c r="L322" i="67"/>
  <c r="K322" i="67"/>
  <c r="J322" i="67"/>
  <c r="I322" i="67"/>
  <c r="H322" i="67"/>
  <c r="R321" i="67"/>
  <c r="Q321" i="67"/>
  <c r="P321" i="67"/>
  <c r="O321" i="67"/>
  <c r="N321" i="67"/>
  <c r="M321" i="67"/>
  <c r="L321" i="67"/>
  <c r="K321" i="67"/>
  <c r="J321" i="67"/>
  <c r="I321" i="67"/>
  <c r="H321" i="67"/>
  <c r="R320" i="67"/>
  <c r="Q320" i="67"/>
  <c r="P320" i="67"/>
  <c r="O320" i="67"/>
  <c r="N320" i="67"/>
  <c r="M320" i="67"/>
  <c r="L320" i="67"/>
  <c r="K320" i="67"/>
  <c r="J320" i="67"/>
  <c r="I320" i="67"/>
  <c r="H320" i="67"/>
  <c r="R319" i="67"/>
  <c r="Q319" i="67"/>
  <c r="P319" i="67"/>
  <c r="O319" i="67"/>
  <c r="N319" i="67"/>
  <c r="M319" i="67"/>
  <c r="L319" i="67"/>
  <c r="K319" i="67"/>
  <c r="J319" i="67"/>
  <c r="I319" i="67"/>
  <c r="H319" i="67"/>
  <c r="R318" i="67"/>
  <c r="Q318" i="67"/>
  <c r="P318" i="67"/>
  <c r="O318" i="67"/>
  <c r="N318" i="67"/>
  <c r="M318" i="67"/>
  <c r="L318" i="67"/>
  <c r="K318" i="67"/>
  <c r="J318" i="67"/>
  <c r="I318" i="67"/>
  <c r="H318" i="67"/>
  <c r="R317" i="67"/>
  <c r="Q317" i="67"/>
  <c r="P317" i="67"/>
  <c r="O317" i="67"/>
  <c r="N317" i="67"/>
  <c r="M317" i="67"/>
  <c r="L317" i="67"/>
  <c r="K317" i="67"/>
  <c r="J317" i="67"/>
  <c r="I317" i="67"/>
  <c r="H317" i="67"/>
  <c r="R316" i="67"/>
  <c r="Q316" i="67"/>
  <c r="P316" i="67"/>
  <c r="O316" i="67"/>
  <c r="N316" i="67"/>
  <c r="M316" i="67"/>
  <c r="L316" i="67"/>
  <c r="K316" i="67"/>
  <c r="J316" i="67"/>
  <c r="I316" i="67"/>
  <c r="H316" i="67"/>
  <c r="R315" i="67"/>
  <c r="Q315" i="67"/>
  <c r="P315" i="67"/>
  <c r="O315" i="67"/>
  <c r="N315" i="67"/>
  <c r="M315" i="67"/>
  <c r="L315" i="67"/>
  <c r="K315" i="67"/>
  <c r="J315" i="67"/>
  <c r="I315" i="67"/>
  <c r="H315" i="67"/>
  <c r="R314" i="67"/>
  <c r="Q314" i="67"/>
  <c r="P314" i="67"/>
  <c r="O314" i="67"/>
  <c r="N314" i="67"/>
  <c r="M314" i="67"/>
  <c r="L314" i="67"/>
  <c r="K314" i="67"/>
  <c r="J314" i="67"/>
  <c r="I314" i="67"/>
  <c r="H314" i="67"/>
  <c r="R313" i="67"/>
  <c r="Q313" i="67"/>
  <c r="P313" i="67"/>
  <c r="O313" i="67"/>
  <c r="N313" i="67"/>
  <c r="M313" i="67"/>
  <c r="L313" i="67"/>
  <c r="K313" i="67"/>
  <c r="J313" i="67"/>
  <c r="I313" i="67"/>
  <c r="H313" i="67"/>
  <c r="R312" i="67"/>
  <c r="Q312" i="67"/>
  <c r="P312" i="67"/>
  <c r="O312" i="67"/>
  <c r="N312" i="67"/>
  <c r="M312" i="67"/>
  <c r="L312" i="67"/>
  <c r="K312" i="67"/>
  <c r="J312" i="67"/>
  <c r="I312" i="67"/>
  <c r="H312" i="67"/>
  <c r="R311" i="67"/>
  <c r="Q311" i="67"/>
  <c r="P311" i="67"/>
  <c r="O311" i="67"/>
  <c r="N311" i="67"/>
  <c r="M311" i="67"/>
  <c r="L311" i="67"/>
  <c r="K311" i="67"/>
  <c r="J311" i="67"/>
  <c r="I311" i="67"/>
  <c r="H311" i="67"/>
  <c r="R310" i="67"/>
  <c r="Q310" i="67"/>
  <c r="P310" i="67"/>
  <c r="O310" i="67"/>
  <c r="N310" i="67"/>
  <c r="M310" i="67"/>
  <c r="L310" i="67"/>
  <c r="K310" i="67"/>
  <c r="J310" i="67"/>
  <c r="I310" i="67"/>
  <c r="H310" i="67"/>
  <c r="R309" i="67"/>
  <c r="Q309" i="67"/>
  <c r="P309" i="67"/>
  <c r="O309" i="67"/>
  <c r="N309" i="67"/>
  <c r="M309" i="67"/>
  <c r="L309" i="67"/>
  <c r="K309" i="67"/>
  <c r="J309" i="67"/>
  <c r="I309" i="67"/>
  <c r="H309" i="67"/>
  <c r="R308" i="67"/>
  <c r="Q308" i="67"/>
  <c r="P308" i="67"/>
  <c r="O308" i="67"/>
  <c r="N308" i="67"/>
  <c r="M308" i="67"/>
  <c r="L308" i="67"/>
  <c r="K308" i="67"/>
  <c r="J308" i="67"/>
  <c r="I308" i="67"/>
  <c r="H308" i="67"/>
  <c r="R307" i="67"/>
  <c r="Q307" i="67"/>
  <c r="P307" i="67"/>
  <c r="O307" i="67"/>
  <c r="N307" i="67"/>
  <c r="M307" i="67"/>
  <c r="L307" i="67"/>
  <c r="K307" i="67"/>
  <c r="J307" i="67"/>
  <c r="I307" i="67"/>
  <c r="H307" i="67"/>
  <c r="R306" i="67"/>
  <c r="Q306" i="67"/>
  <c r="P306" i="67"/>
  <c r="O306" i="67"/>
  <c r="N306" i="67"/>
  <c r="M306" i="67"/>
  <c r="L306" i="67"/>
  <c r="K306" i="67"/>
  <c r="J306" i="67"/>
  <c r="I306" i="67"/>
  <c r="H306" i="67"/>
  <c r="R305" i="67"/>
  <c r="Q305" i="67"/>
  <c r="P305" i="67"/>
  <c r="O305" i="67"/>
  <c r="N305" i="67"/>
  <c r="M305" i="67"/>
  <c r="L305" i="67"/>
  <c r="K305" i="67"/>
  <c r="J305" i="67"/>
  <c r="I305" i="67"/>
  <c r="H305" i="67"/>
  <c r="R304" i="67"/>
  <c r="Q304" i="67"/>
  <c r="P304" i="67"/>
  <c r="O304" i="67"/>
  <c r="N304" i="67"/>
  <c r="M304" i="67"/>
  <c r="L304" i="67"/>
  <c r="K304" i="67"/>
  <c r="J304" i="67"/>
  <c r="I304" i="67"/>
  <c r="H304" i="67"/>
  <c r="R303" i="67"/>
  <c r="Q303" i="67"/>
  <c r="P303" i="67"/>
  <c r="O303" i="67"/>
  <c r="N303" i="67"/>
  <c r="M303" i="67"/>
  <c r="L303" i="67"/>
  <c r="K303" i="67"/>
  <c r="J303" i="67"/>
  <c r="I303" i="67"/>
  <c r="H303" i="67"/>
  <c r="R302" i="67"/>
  <c r="Q302" i="67"/>
  <c r="P302" i="67"/>
  <c r="O302" i="67"/>
  <c r="N302" i="67"/>
  <c r="M302" i="67"/>
  <c r="L302" i="67"/>
  <c r="K302" i="67"/>
  <c r="J302" i="67"/>
  <c r="I302" i="67"/>
  <c r="H302" i="67"/>
  <c r="R301" i="67"/>
  <c r="Q301" i="67"/>
  <c r="P301" i="67"/>
  <c r="O301" i="67"/>
  <c r="N301" i="67"/>
  <c r="M301" i="67"/>
  <c r="L301" i="67"/>
  <c r="K301" i="67"/>
  <c r="J301" i="67"/>
  <c r="I301" i="67"/>
  <c r="H301" i="67"/>
  <c r="R300" i="67"/>
  <c r="Q300" i="67"/>
  <c r="P300" i="67"/>
  <c r="O300" i="67"/>
  <c r="N300" i="67"/>
  <c r="M300" i="67"/>
  <c r="L300" i="67"/>
  <c r="K300" i="67"/>
  <c r="J300" i="67"/>
  <c r="I300" i="67"/>
  <c r="H300" i="67"/>
  <c r="R299" i="67"/>
  <c r="Q299" i="67"/>
  <c r="P299" i="67"/>
  <c r="O299" i="67"/>
  <c r="N299" i="67"/>
  <c r="M299" i="67"/>
  <c r="L299" i="67"/>
  <c r="K299" i="67"/>
  <c r="J299" i="67"/>
  <c r="I299" i="67"/>
  <c r="H299" i="67"/>
  <c r="R298" i="67"/>
  <c r="Q298" i="67"/>
  <c r="P298" i="67"/>
  <c r="O298" i="67"/>
  <c r="N298" i="67"/>
  <c r="M298" i="67"/>
  <c r="L298" i="67"/>
  <c r="K298" i="67"/>
  <c r="J298" i="67"/>
  <c r="I298" i="67"/>
  <c r="H298" i="67"/>
  <c r="R297" i="67"/>
  <c r="Q297" i="67"/>
  <c r="P297" i="67"/>
  <c r="O297" i="67"/>
  <c r="N297" i="67"/>
  <c r="M297" i="67"/>
  <c r="L297" i="67"/>
  <c r="K297" i="67"/>
  <c r="J297" i="67"/>
  <c r="I297" i="67"/>
  <c r="H297" i="67"/>
  <c r="R296" i="67"/>
  <c r="Q296" i="67"/>
  <c r="P296" i="67"/>
  <c r="O296" i="67"/>
  <c r="N296" i="67"/>
  <c r="M296" i="67"/>
  <c r="L296" i="67"/>
  <c r="K296" i="67"/>
  <c r="J296" i="67"/>
  <c r="I296" i="67"/>
  <c r="H296" i="67"/>
  <c r="R295" i="67"/>
  <c r="Q295" i="67"/>
  <c r="P295" i="67"/>
  <c r="O295" i="67"/>
  <c r="N295" i="67"/>
  <c r="M295" i="67"/>
  <c r="L295" i="67"/>
  <c r="K295" i="67"/>
  <c r="J295" i="67"/>
  <c r="I295" i="67"/>
  <c r="H295" i="67"/>
  <c r="R294" i="67"/>
  <c r="Q294" i="67"/>
  <c r="P294" i="67"/>
  <c r="O294" i="67"/>
  <c r="N294" i="67"/>
  <c r="M294" i="67"/>
  <c r="L294" i="67"/>
  <c r="K294" i="67"/>
  <c r="J294" i="67"/>
  <c r="I294" i="67"/>
  <c r="H294" i="67"/>
  <c r="R293" i="67"/>
  <c r="Q293" i="67"/>
  <c r="P293" i="67"/>
  <c r="O293" i="67"/>
  <c r="N293" i="67"/>
  <c r="M293" i="67"/>
  <c r="L293" i="67"/>
  <c r="K293" i="67"/>
  <c r="J293" i="67"/>
  <c r="I293" i="67"/>
  <c r="H293" i="67"/>
  <c r="R292" i="67"/>
  <c r="Q292" i="67"/>
  <c r="P292" i="67"/>
  <c r="O292" i="67"/>
  <c r="N292" i="67"/>
  <c r="M292" i="67"/>
  <c r="L292" i="67"/>
  <c r="K292" i="67"/>
  <c r="J292" i="67"/>
  <c r="I292" i="67"/>
  <c r="H292" i="67"/>
  <c r="R291" i="67"/>
  <c r="Q291" i="67"/>
  <c r="P291" i="67"/>
  <c r="O291" i="67"/>
  <c r="N291" i="67"/>
  <c r="M291" i="67"/>
  <c r="L291" i="67"/>
  <c r="K291" i="67"/>
  <c r="J291" i="67"/>
  <c r="I291" i="67"/>
  <c r="H291" i="67"/>
  <c r="R290" i="67"/>
  <c r="Q290" i="67"/>
  <c r="P290" i="67"/>
  <c r="O290" i="67"/>
  <c r="N290" i="67"/>
  <c r="M290" i="67"/>
  <c r="L290" i="67"/>
  <c r="K290" i="67"/>
  <c r="J290" i="67"/>
  <c r="I290" i="67"/>
  <c r="H290" i="67"/>
  <c r="R289" i="67"/>
  <c r="Q289" i="67"/>
  <c r="P289" i="67"/>
  <c r="O289" i="67"/>
  <c r="N289" i="67"/>
  <c r="M289" i="67"/>
  <c r="L289" i="67"/>
  <c r="K289" i="67"/>
  <c r="J289" i="67"/>
  <c r="I289" i="67"/>
  <c r="H289" i="67"/>
  <c r="R288" i="67"/>
  <c r="Q288" i="67"/>
  <c r="P288" i="67"/>
  <c r="O288" i="67"/>
  <c r="N288" i="67"/>
  <c r="M288" i="67"/>
  <c r="L288" i="67"/>
  <c r="K288" i="67"/>
  <c r="J288" i="67"/>
  <c r="I288" i="67"/>
  <c r="H288" i="67"/>
  <c r="R287" i="67"/>
  <c r="Q287" i="67"/>
  <c r="P287" i="67"/>
  <c r="O287" i="67"/>
  <c r="N287" i="67"/>
  <c r="M287" i="67"/>
  <c r="L287" i="67"/>
  <c r="K287" i="67"/>
  <c r="J287" i="67"/>
  <c r="I287" i="67"/>
  <c r="H287" i="67"/>
  <c r="R286" i="67"/>
  <c r="Q286" i="67"/>
  <c r="P286" i="67"/>
  <c r="O286" i="67"/>
  <c r="N286" i="67"/>
  <c r="M286" i="67"/>
  <c r="L286" i="67"/>
  <c r="K286" i="67"/>
  <c r="J286" i="67"/>
  <c r="I286" i="67"/>
  <c r="H286" i="67"/>
  <c r="R285" i="67"/>
  <c r="Q285" i="67"/>
  <c r="P285" i="67"/>
  <c r="O285" i="67"/>
  <c r="N285" i="67"/>
  <c r="M285" i="67"/>
  <c r="L285" i="67"/>
  <c r="K285" i="67"/>
  <c r="J285" i="67"/>
  <c r="I285" i="67"/>
  <c r="H285" i="67"/>
  <c r="R284" i="67"/>
  <c r="Q284" i="67"/>
  <c r="P284" i="67"/>
  <c r="O284" i="67"/>
  <c r="N284" i="67"/>
  <c r="M284" i="67"/>
  <c r="L284" i="67"/>
  <c r="K284" i="67"/>
  <c r="J284" i="67"/>
  <c r="I284" i="67"/>
  <c r="H284" i="67"/>
  <c r="R283" i="67"/>
  <c r="Q283" i="67"/>
  <c r="P283" i="67"/>
  <c r="O283" i="67"/>
  <c r="N283" i="67"/>
  <c r="M283" i="67"/>
  <c r="L283" i="67"/>
  <c r="K283" i="67"/>
  <c r="J283" i="67"/>
  <c r="I283" i="67"/>
  <c r="H283" i="67"/>
  <c r="R282" i="67"/>
  <c r="Q282" i="67"/>
  <c r="P282" i="67"/>
  <c r="O282" i="67"/>
  <c r="N282" i="67"/>
  <c r="M282" i="67"/>
  <c r="L282" i="67"/>
  <c r="K282" i="67"/>
  <c r="J282" i="67"/>
  <c r="I282" i="67"/>
  <c r="H282" i="67"/>
  <c r="R281" i="67"/>
  <c r="Q281" i="67"/>
  <c r="P281" i="67"/>
  <c r="O281" i="67"/>
  <c r="N281" i="67"/>
  <c r="M281" i="67"/>
  <c r="L281" i="67"/>
  <c r="K281" i="67"/>
  <c r="J281" i="67"/>
  <c r="I281" i="67"/>
  <c r="H281" i="67"/>
  <c r="R280" i="67"/>
  <c r="Q280" i="67"/>
  <c r="P280" i="67"/>
  <c r="O280" i="67"/>
  <c r="N280" i="67"/>
  <c r="M280" i="67"/>
  <c r="L280" i="67"/>
  <c r="K280" i="67"/>
  <c r="J280" i="67"/>
  <c r="I280" i="67"/>
  <c r="H280" i="67"/>
  <c r="R279" i="67"/>
  <c r="Q279" i="67"/>
  <c r="P279" i="67"/>
  <c r="O279" i="67"/>
  <c r="N279" i="67"/>
  <c r="M279" i="67"/>
  <c r="L279" i="67"/>
  <c r="K279" i="67"/>
  <c r="J279" i="67"/>
  <c r="I279" i="67"/>
  <c r="H279" i="67"/>
  <c r="R278" i="67"/>
  <c r="Q278" i="67"/>
  <c r="P278" i="67"/>
  <c r="O278" i="67"/>
  <c r="N278" i="67"/>
  <c r="M278" i="67"/>
  <c r="L278" i="67"/>
  <c r="K278" i="67"/>
  <c r="J278" i="67"/>
  <c r="I278" i="67"/>
  <c r="H278" i="67"/>
  <c r="R277" i="67"/>
  <c r="Q277" i="67"/>
  <c r="P277" i="67"/>
  <c r="O277" i="67"/>
  <c r="N277" i="67"/>
  <c r="M277" i="67"/>
  <c r="L277" i="67"/>
  <c r="K277" i="67"/>
  <c r="J277" i="67"/>
  <c r="I277" i="67"/>
  <c r="H277" i="67"/>
  <c r="R276" i="67"/>
  <c r="Q276" i="67"/>
  <c r="P276" i="67"/>
  <c r="O276" i="67"/>
  <c r="N276" i="67"/>
  <c r="M276" i="67"/>
  <c r="L276" i="67"/>
  <c r="K276" i="67"/>
  <c r="J276" i="67"/>
  <c r="I276" i="67"/>
  <c r="H276" i="67"/>
  <c r="R275" i="67"/>
  <c r="Q275" i="67"/>
  <c r="P275" i="67"/>
  <c r="O275" i="67"/>
  <c r="N275" i="67"/>
  <c r="M275" i="67"/>
  <c r="L275" i="67"/>
  <c r="K275" i="67"/>
  <c r="J275" i="67"/>
  <c r="I275" i="67"/>
  <c r="H275" i="67"/>
  <c r="R274" i="67"/>
  <c r="Q274" i="67"/>
  <c r="P274" i="67"/>
  <c r="O274" i="67"/>
  <c r="N274" i="67"/>
  <c r="M274" i="67"/>
  <c r="L274" i="67"/>
  <c r="K274" i="67"/>
  <c r="J274" i="67"/>
  <c r="I274" i="67"/>
  <c r="H274" i="67"/>
  <c r="R273" i="67"/>
  <c r="Q273" i="67"/>
  <c r="P273" i="67"/>
  <c r="O273" i="67"/>
  <c r="N273" i="67"/>
  <c r="M273" i="67"/>
  <c r="L273" i="67"/>
  <c r="K273" i="67"/>
  <c r="J273" i="67"/>
  <c r="I273" i="67"/>
  <c r="H273" i="67"/>
  <c r="R272" i="67"/>
  <c r="Q272" i="67"/>
  <c r="P272" i="67"/>
  <c r="O272" i="67"/>
  <c r="N272" i="67"/>
  <c r="M272" i="67"/>
  <c r="L272" i="67"/>
  <c r="K272" i="67"/>
  <c r="J272" i="67"/>
  <c r="I272" i="67"/>
  <c r="H272" i="67"/>
  <c r="R271" i="67"/>
  <c r="Q271" i="67"/>
  <c r="P271" i="67"/>
  <c r="O271" i="67"/>
  <c r="N271" i="67"/>
  <c r="M271" i="67"/>
  <c r="L271" i="67"/>
  <c r="K271" i="67"/>
  <c r="J271" i="67"/>
  <c r="I271" i="67"/>
  <c r="H271" i="67"/>
  <c r="R270" i="67"/>
  <c r="Q270" i="67"/>
  <c r="P270" i="67"/>
  <c r="O270" i="67"/>
  <c r="N270" i="67"/>
  <c r="M270" i="67"/>
  <c r="L270" i="67"/>
  <c r="K270" i="67"/>
  <c r="J270" i="67"/>
  <c r="I270" i="67"/>
  <c r="H270" i="67"/>
  <c r="R269" i="67"/>
  <c r="Q269" i="67"/>
  <c r="P269" i="67"/>
  <c r="O269" i="67"/>
  <c r="N269" i="67"/>
  <c r="M269" i="67"/>
  <c r="L269" i="67"/>
  <c r="K269" i="67"/>
  <c r="J269" i="67"/>
  <c r="I269" i="67"/>
  <c r="H269" i="67"/>
  <c r="R268" i="67"/>
  <c r="Q268" i="67"/>
  <c r="P268" i="67"/>
  <c r="O268" i="67"/>
  <c r="N268" i="67"/>
  <c r="M268" i="67"/>
  <c r="L268" i="67"/>
  <c r="K268" i="67"/>
  <c r="J268" i="67"/>
  <c r="I268" i="67"/>
  <c r="H268" i="67"/>
  <c r="R267" i="67"/>
  <c r="Q267" i="67"/>
  <c r="P267" i="67"/>
  <c r="O267" i="67"/>
  <c r="N267" i="67"/>
  <c r="M267" i="67"/>
  <c r="L267" i="67"/>
  <c r="K267" i="67"/>
  <c r="J267" i="67"/>
  <c r="I267" i="67"/>
  <c r="H267" i="67"/>
  <c r="R266" i="67"/>
  <c r="Q266" i="67"/>
  <c r="P266" i="67"/>
  <c r="O266" i="67"/>
  <c r="N266" i="67"/>
  <c r="M266" i="67"/>
  <c r="L266" i="67"/>
  <c r="K266" i="67"/>
  <c r="J266" i="67"/>
  <c r="I266" i="67"/>
  <c r="H266" i="67"/>
  <c r="R265" i="67"/>
  <c r="Q265" i="67"/>
  <c r="P265" i="67"/>
  <c r="O265" i="67"/>
  <c r="N265" i="67"/>
  <c r="M265" i="67"/>
  <c r="L265" i="67"/>
  <c r="K265" i="67"/>
  <c r="J265" i="67"/>
  <c r="I265" i="67"/>
  <c r="H265" i="67"/>
  <c r="R264" i="67"/>
  <c r="Q264" i="67"/>
  <c r="P264" i="67"/>
  <c r="O264" i="67"/>
  <c r="N264" i="67"/>
  <c r="M264" i="67"/>
  <c r="L264" i="67"/>
  <c r="K264" i="67"/>
  <c r="J264" i="67"/>
  <c r="I264" i="67"/>
  <c r="H264" i="67"/>
  <c r="R263" i="67"/>
  <c r="Q263" i="67"/>
  <c r="P263" i="67"/>
  <c r="O263" i="67"/>
  <c r="N263" i="67"/>
  <c r="M263" i="67"/>
  <c r="L263" i="67"/>
  <c r="K263" i="67"/>
  <c r="J263" i="67"/>
  <c r="I263" i="67"/>
  <c r="H263" i="67"/>
  <c r="R262" i="67"/>
  <c r="Q262" i="67"/>
  <c r="P262" i="67"/>
  <c r="O262" i="67"/>
  <c r="N262" i="67"/>
  <c r="M262" i="67"/>
  <c r="L262" i="67"/>
  <c r="K262" i="67"/>
  <c r="J262" i="67"/>
  <c r="I262" i="67"/>
  <c r="H262" i="67"/>
  <c r="R261" i="67"/>
  <c r="Q261" i="67"/>
  <c r="P261" i="67"/>
  <c r="O261" i="67"/>
  <c r="N261" i="67"/>
  <c r="M261" i="67"/>
  <c r="L261" i="67"/>
  <c r="K261" i="67"/>
  <c r="J261" i="67"/>
  <c r="I261" i="67"/>
  <c r="H261" i="67"/>
  <c r="R260" i="67"/>
  <c r="Q260" i="67"/>
  <c r="P260" i="67"/>
  <c r="O260" i="67"/>
  <c r="N260" i="67"/>
  <c r="M260" i="67"/>
  <c r="L260" i="67"/>
  <c r="K260" i="67"/>
  <c r="J260" i="67"/>
  <c r="I260" i="67"/>
  <c r="H260" i="67"/>
  <c r="R259" i="67"/>
  <c r="Q259" i="67"/>
  <c r="P259" i="67"/>
  <c r="O259" i="67"/>
  <c r="N259" i="67"/>
  <c r="M259" i="67"/>
  <c r="L259" i="67"/>
  <c r="K259" i="67"/>
  <c r="J259" i="67"/>
  <c r="I259" i="67"/>
  <c r="H259" i="67"/>
  <c r="R258" i="67"/>
  <c r="Q258" i="67"/>
  <c r="P258" i="67"/>
  <c r="O258" i="67"/>
  <c r="N258" i="67"/>
  <c r="M258" i="67"/>
  <c r="L258" i="67"/>
  <c r="K258" i="67"/>
  <c r="J258" i="67"/>
  <c r="I258" i="67"/>
  <c r="H258" i="67"/>
  <c r="R257" i="67"/>
  <c r="Q257" i="67"/>
  <c r="P257" i="67"/>
  <c r="O257" i="67"/>
  <c r="N257" i="67"/>
  <c r="M257" i="67"/>
  <c r="L257" i="67"/>
  <c r="K257" i="67"/>
  <c r="J257" i="67"/>
  <c r="I257" i="67"/>
  <c r="H257" i="67"/>
  <c r="R256" i="67"/>
  <c r="Q256" i="67"/>
  <c r="P256" i="67"/>
  <c r="O256" i="67"/>
  <c r="N256" i="67"/>
  <c r="M256" i="67"/>
  <c r="L256" i="67"/>
  <c r="K256" i="67"/>
  <c r="J256" i="67"/>
  <c r="I256" i="67"/>
  <c r="H256" i="67"/>
  <c r="R255" i="67"/>
  <c r="Q255" i="67"/>
  <c r="P255" i="67"/>
  <c r="O255" i="67"/>
  <c r="N255" i="67"/>
  <c r="M255" i="67"/>
  <c r="L255" i="67"/>
  <c r="K255" i="67"/>
  <c r="J255" i="67"/>
  <c r="I255" i="67"/>
  <c r="H255" i="67"/>
  <c r="R254" i="67"/>
  <c r="Q254" i="67"/>
  <c r="P254" i="67"/>
  <c r="O254" i="67"/>
  <c r="N254" i="67"/>
  <c r="M254" i="67"/>
  <c r="L254" i="67"/>
  <c r="K254" i="67"/>
  <c r="J254" i="67"/>
  <c r="I254" i="67"/>
  <c r="H254" i="67"/>
  <c r="R253" i="67"/>
  <c r="Q253" i="67"/>
  <c r="P253" i="67"/>
  <c r="O253" i="67"/>
  <c r="N253" i="67"/>
  <c r="M253" i="67"/>
  <c r="L253" i="67"/>
  <c r="K253" i="67"/>
  <c r="J253" i="67"/>
  <c r="I253" i="67"/>
  <c r="H253" i="67"/>
  <c r="R252" i="67"/>
  <c r="Q252" i="67"/>
  <c r="P252" i="67"/>
  <c r="O252" i="67"/>
  <c r="N252" i="67"/>
  <c r="M252" i="67"/>
  <c r="L252" i="67"/>
  <c r="K252" i="67"/>
  <c r="J252" i="67"/>
  <c r="I252" i="67"/>
  <c r="H252" i="67"/>
  <c r="R251" i="67"/>
  <c r="Q251" i="67"/>
  <c r="P251" i="67"/>
  <c r="O251" i="67"/>
  <c r="N251" i="67"/>
  <c r="M251" i="67"/>
  <c r="L251" i="67"/>
  <c r="K251" i="67"/>
  <c r="J251" i="67"/>
  <c r="I251" i="67"/>
  <c r="H251" i="67"/>
  <c r="R250" i="67"/>
  <c r="Q250" i="67"/>
  <c r="P250" i="67"/>
  <c r="O250" i="67"/>
  <c r="N250" i="67"/>
  <c r="M250" i="67"/>
  <c r="L250" i="67"/>
  <c r="K250" i="67"/>
  <c r="J250" i="67"/>
  <c r="I250" i="67"/>
  <c r="H250" i="67"/>
  <c r="R249" i="67"/>
  <c r="Q249" i="67"/>
  <c r="P249" i="67"/>
  <c r="O249" i="67"/>
  <c r="N249" i="67"/>
  <c r="M249" i="67"/>
  <c r="L249" i="67"/>
  <c r="K249" i="67"/>
  <c r="J249" i="67"/>
  <c r="I249" i="67"/>
  <c r="H249" i="67"/>
  <c r="R248" i="67"/>
  <c r="Q248" i="67"/>
  <c r="P248" i="67"/>
  <c r="O248" i="67"/>
  <c r="N248" i="67"/>
  <c r="M248" i="67"/>
  <c r="L248" i="67"/>
  <c r="K248" i="67"/>
  <c r="J248" i="67"/>
  <c r="I248" i="67"/>
  <c r="H248" i="67"/>
  <c r="R247" i="67"/>
  <c r="Q247" i="67"/>
  <c r="P247" i="67"/>
  <c r="O247" i="67"/>
  <c r="N247" i="67"/>
  <c r="M247" i="67"/>
  <c r="L247" i="67"/>
  <c r="K247" i="67"/>
  <c r="J247" i="67"/>
  <c r="I247" i="67"/>
  <c r="H247" i="67"/>
  <c r="R246" i="67"/>
  <c r="Q246" i="67"/>
  <c r="P246" i="67"/>
  <c r="O246" i="67"/>
  <c r="N246" i="67"/>
  <c r="M246" i="67"/>
  <c r="L246" i="67"/>
  <c r="K246" i="67"/>
  <c r="J246" i="67"/>
  <c r="I246" i="67"/>
  <c r="H246" i="67"/>
  <c r="R245" i="67"/>
  <c r="Q245" i="67"/>
  <c r="P245" i="67"/>
  <c r="O245" i="67"/>
  <c r="N245" i="67"/>
  <c r="M245" i="67"/>
  <c r="L245" i="67"/>
  <c r="K245" i="67"/>
  <c r="J245" i="67"/>
  <c r="I245" i="67"/>
  <c r="H245" i="67"/>
  <c r="R244" i="67"/>
  <c r="Q244" i="67"/>
  <c r="P244" i="67"/>
  <c r="O244" i="67"/>
  <c r="N244" i="67"/>
  <c r="M244" i="67"/>
  <c r="L244" i="67"/>
  <c r="K244" i="67"/>
  <c r="J244" i="67"/>
  <c r="I244" i="67"/>
  <c r="H244" i="67"/>
  <c r="R243" i="67"/>
  <c r="Q243" i="67"/>
  <c r="P243" i="67"/>
  <c r="O243" i="67"/>
  <c r="N243" i="67"/>
  <c r="M243" i="67"/>
  <c r="L243" i="67"/>
  <c r="K243" i="67"/>
  <c r="J243" i="67"/>
  <c r="I243" i="67"/>
  <c r="H243" i="67"/>
  <c r="R242" i="67"/>
  <c r="Q242" i="67"/>
  <c r="P242" i="67"/>
  <c r="O242" i="67"/>
  <c r="N242" i="67"/>
  <c r="M242" i="67"/>
  <c r="L242" i="67"/>
  <c r="K242" i="67"/>
  <c r="J242" i="67"/>
  <c r="I242" i="67"/>
  <c r="H242" i="67"/>
  <c r="R241" i="67"/>
  <c r="Q241" i="67"/>
  <c r="P241" i="67"/>
  <c r="O241" i="67"/>
  <c r="N241" i="67"/>
  <c r="M241" i="67"/>
  <c r="L241" i="67"/>
  <c r="K241" i="67"/>
  <c r="J241" i="67"/>
  <c r="I241" i="67"/>
  <c r="H241" i="67"/>
  <c r="R240" i="67"/>
  <c r="Q240" i="67"/>
  <c r="P240" i="67"/>
  <c r="O240" i="67"/>
  <c r="N240" i="67"/>
  <c r="M240" i="67"/>
  <c r="L240" i="67"/>
  <c r="K240" i="67"/>
  <c r="J240" i="67"/>
  <c r="I240" i="67"/>
  <c r="H240" i="67"/>
  <c r="R239" i="67"/>
  <c r="Q239" i="67"/>
  <c r="P239" i="67"/>
  <c r="O239" i="67"/>
  <c r="N239" i="67"/>
  <c r="M239" i="67"/>
  <c r="L239" i="67"/>
  <c r="K239" i="67"/>
  <c r="J239" i="67"/>
  <c r="I239" i="67"/>
  <c r="H239" i="67"/>
  <c r="R238" i="67"/>
  <c r="Q238" i="67"/>
  <c r="P238" i="67"/>
  <c r="O238" i="67"/>
  <c r="N238" i="67"/>
  <c r="M238" i="67"/>
  <c r="L238" i="67"/>
  <c r="K238" i="67"/>
  <c r="J238" i="67"/>
  <c r="I238" i="67"/>
  <c r="H238" i="67"/>
  <c r="R237" i="67"/>
  <c r="Q237" i="67"/>
  <c r="P237" i="67"/>
  <c r="O237" i="67"/>
  <c r="N237" i="67"/>
  <c r="M237" i="67"/>
  <c r="L237" i="67"/>
  <c r="K237" i="67"/>
  <c r="J237" i="67"/>
  <c r="I237" i="67"/>
  <c r="H237" i="67"/>
  <c r="R236" i="67"/>
  <c r="Q236" i="67"/>
  <c r="P236" i="67"/>
  <c r="O236" i="67"/>
  <c r="N236" i="67"/>
  <c r="M236" i="67"/>
  <c r="L236" i="67"/>
  <c r="K236" i="67"/>
  <c r="J236" i="67"/>
  <c r="I236" i="67"/>
  <c r="H236" i="67"/>
  <c r="R235" i="67"/>
  <c r="Q235" i="67"/>
  <c r="P235" i="67"/>
  <c r="O235" i="67"/>
  <c r="N235" i="67"/>
  <c r="M235" i="67"/>
  <c r="L235" i="67"/>
  <c r="K235" i="67"/>
  <c r="J235" i="67"/>
  <c r="I235" i="67"/>
  <c r="H235" i="67"/>
  <c r="R234" i="67"/>
  <c r="Q234" i="67"/>
  <c r="P234" i="67"/>
  <c r="O234" i="67"/>
  <c r="N234" i="67"/>
  <c r="M234" i="67"/>
  <c r="L234" i="67"/>
  <c r="K234" i="67"/>
  <c r="J234" i="67"/>
  <c r="I234" i="67"/>
  <c r="H234" i="67"/>
  <c r="R233" i="67"/>
  <c r="Q233" i="67"/>
  <c r="P233" i="67"/>
  <c r="O233" i="67"/>
  <c r="N233" i="67"/>
  <c r="M233" i="67"/>
  <c r="L233" i="67"/>
  <c r="K233" i="67"/>
  <c r="J233" i="67"/>
  <c r="I233" i="67"/>
  <c r="H233" i="67"/>
  <c r="R232" i="67"/>
  <c r="Q232" i="67"/>
  <c r="P232" i="67"/>
  <c r="O232" i="67"/>
  <c r="N232" i="67"/>
  <c r="M232" i="67"/>
  <c r="L232" i="67"/>
  <c r="K232" i="67"/>
  <c r="J232" i="67"/>
  <c r="I232" i="67"/>
  <c r="H232" i="67"/>
  <c r="R231" i="67"/>
  <c r="Q231" i="67"/>
  <c r="P231" i="67"/>
  <c r="O231" i="67"/>
  <c r="N231" i="67"/>
  <c r="M231" i="67"/>
  <c r="L231" i="67"/>
  <c r="K231" i="67"/>
  <c r="J231" i="67"/>
  <c r="I231" i="67"/>
  <c r="H231" i="67"/>
  <c r="R230" i="67"/>
  <c r="Q230" i="67"/>
  <c r="P230" i="67"/>
  <c r="O230" i="67"/>
  <c r="N230" i="67"/>
  <c r="M230" i="67"/>
  <c r="L230" i="67"/>
  <c r="K230" i="67"/>
  <c r="J230" i="67"/>
  <c r="I230" i="67"/>
  <c r="H230" i="67"/>
  <c r="R229" i="67"/>
  <c r="Q229" i="67"/>
  <c r="P229" i="67"/>
  <c r="O229" i="67"/>
  <c r="N229" i="67"/>
  <c r="M229" i="67"/>
  <c r="L229" i="67"/>
  <c r="K229" i="67"/>
  <c r="J229" i="67"/>
  <c r="I229" i="67"/>
  <c r="H229" i="67"/>
  <c r="R228" i="67"/>
  <c r="Q228" i="67"/>
  <c r="P228" i="67"/>
  <c r="O228" i="67"/>
  <c r="N228" i="67"/>
  <c r="M228" i="67"/>
  <c r="L228" i="67"/>
  <c r="K228" i="67"/>
  <c r="J228" i="67"/>
  <c r="I228" i="67"/>
  <c r="H228" i="67"/>
  <c r="R227" i="67"/>
  <c r="Q227" i="67"/>
  <c r="P227" i="67"/>
  <c r="O227" i="67"/>
  <c r="N227" i="67"/>
  <c r="M227" i="67"/>
  <c r="L227" i="67"/>
  <c r="K227" i="67"/>
  <c r="J227" i="67"/>
  <c r="I227" i="67"/>
  <c r="H227" i="67"/>
  <c r="R226" i="67"/>
  <c r="Q226" i="67"/>
  <c r="P226" i="67"/>
  <c r="O226" i="67"/>
  <c r="N226" i="67"/>
  <c r="M226" i="67"/>
  <c r="L226" i="67"/>
  <c r="K226" i="67"/>
  <c r="J226" i="67"/>
  <c r="I226" i="67"/>
  <c r="H226" i="67"/>
  <c r="R225" i="67"/>
  <c r="Q225" i="67"/>
  <c r="P225" i="67"/>
  <c r="O225" i="67"/>
  <c r="N225" i="67"/>
  <c r="M225" i="67"/>
  <c r="L225" i="67"/>
  <c r="K225" i="67"/>
  <c r="J225" i="67"/>
  <c r="I225" i="67"/>
  <c r="H225" i="67"/>
  <c r="R224" i="67"/>
  <c r="Q224" i="67"/>
  <c r="P224" i="67"/>
  <c r="O224" i="67"/>
  <c r="N224" i="67"/>
  <c r="M224" i="67"/>
  <c r="L224" i="67"/>
  <c r="K224" i="67"/>
  <c r="J224" i="67"/>
  <c r="I224" i="67"/>
  <c r="H224" i="67"/>
  <c r="R223" i="67"/>
  <c r="Q223" i="67"/>
  <c r="P223" i="67"/>
  <c r="O223" i="67"/>
  <c r="N223" i="67"/>
  <c r="M223" i="67"/>
  <c r="L223" i="67"/>
  <c r="K223" i="67"/>
  <c r="J223" i="67"/>
  <c r="I223" i="67"/>
  <c r="H223" i="67"/>
  <c r="R222" i="67"/>
  <c r="Q222" i="67"/>
  <c r="P222" i="67"/>
  <c r="O222" i="67"/>
  <c r="N222" i="67"/>
  <c r="M222" i="67"/>
  <c r="L222" i="67"/>
  <c r="K222" i="67"/>
  <c r="J222" i="67"/>
  <c r="I222" i="67"/>
  <c r="H222" i="67"/>
  <c r="R221" i="67"/>
  <c r="Q221" i="67"/>
  <c r="P221" i="67"/>
  <c r="O221" i="67"/>
  <c r="N221" i="67"/>
  <c r="M221" i="67"/>
  <c r="L221" i="67"/>
  <c r="K221" i="67"/>
  <c r="J221" i="67"/>
  <c r="I221" i="67"/>
  <c r="H221" i="67"/>
  <c r="R220" i="67"/>
  <c r="Q220" i="67"/>
  <c r="P220" i="67"/>
  <c r="O220" i="67"/>
  <c r="N220" i="67"/>
  <c r="M220" i="67"/>
  <c r="L220" i="67"/>
  <c r="K220" i="67"/>
  <c r="J220" i="67"/>
  <c r="I220" i="67"/>
  <c r="H220" i="67"/>
  <c r="R219" i="67"/>
  <c r="Q219" i="67"/>
  <c r="P219" i="67"/>
  <c r="O219" i="67"/>
  <c r="N219" i="67"/>
  <c r="M219" i="67"/>
  <c r="L219" i="67"/>
  <c r="K219" i="67"/>
  <c r="J219" i="67"/>
  <c r="I219" i="67"/>
  <c r="H219" i="67"/>
  <c r="R218" i="67"/>
  <c r="Q218" i="67"/>
  <c r="P218" i="67"/>
  <c r="O218" i="67"/>
  <c r="N218" i="67"/>
  <c r="M218" i="67"/>
  <c r="L218" i="67"/>
  <c r="K218" i="67"/>
  <c r="J218" i="67"/>
  <c r="I218" i="67"/>
  <c r="H218" i="67"/>
  <c r="R217" i="67"/>
  <c r="Q217" i="67"/>
  <c r="P217" i="67"/>
  <c r="O217" i="67"/>
  <c r="N217" i="67"/>
  <c r="M217" i="67"/>
  <c r="L217" i="67"/>
  <c r="K217" i="67"/>
  <c r="J217" i="67"/>
  <c r="I217" i="67"/>
  <c r="H217" i="67"/>
  <c r="R216" i="67"/>
  <c r="Q216" i="67"/>
  <c r="P216" i="67"/>
  <c r="O216" i="67"/>
  <c r="N216" i="67"/>
  <c r="M216" i="67"/>
  <c r="L216" i="67"/>
  <c r="K216" i="67"/>
  <c r="J216" i="67"/>
  <c r="I216" i="67"/>
  <c r="H216" i="67"/>
  <c r="R215" i="67"/>
  <c r="Q215" i="67"/>
  <c r="P215" i="67"/>
  <c r="O215" i="67"/>
  <c r="N215" i="67"/>
  <c r="M215" i="67"/>
  <c r="L215" i="67"/>
  <c r="K215" i="67"/>
  <c r="J215" i="67"/>
  <c r="I215" i="67"/>
  <c r="H215" i="67"/>
  <c r="R214" i="67"/>
  <c r="Q214" i="67"/>
  <c r="P214" i="67"/>
  <c r="O214" i="67"/>
  <c r="N214" i="67"/>
  <c r="M214" i="67"/>
  <c r="L214" i="67"/>
  <c r="K214" i="67"/>
  <c r="J214" i="67"/>
  <c r="I214" i="67"/>
  <c r="H214" i="67"/>
  <c r="R213" i="67"/>
  <c r="Q213" i="67"/>
  <c r="P213" i="67"/>
  <c r="O213" i="67"/>
  <c r="N213" i="67"/>
  <c r="M213" i="67"/>
  <c r="L213" i="67"/>
  <c r="K213" i="67"/>
  <c r="J213" i="67"/>
  <c r="I213" i="67"/>
  <c r="H213" i="67"/>
  <c r="R212" i="67"/>
  <c r="Q212" i="67"/>
  <c r="P212" i="67"/>
  <c r="O212" i="67"/>
  <c r="N212" i="67"/>
  <c r="M212" i="67"/>
  <c r="L212" i="67"/>
  <c r="K212" i="67"/>
  <c r="J212" i="67"/>
  <c r="I212" i="67"/>
  <c r="H212" i="67"/>
  <c r="R211" i="67"/>
  <c r="Q211" i="67"/>
  <c r="P211" i="67"/>
  <c r="O211" i="67"/>
  <c r="N211" i="67"/>
  <c r="M211" i="67"/>
  <c r="L211" i="67"/>
  <c r="K211" i="67"/>
  <c r="J211" i="67"/>
  <c r="I211" i="67"/>
  <c r="H211" i="67"/>
  <c r="R210" i="67"/>
  <c r="Q210" i="67"/>
  <c r="P210" i="67"/>
  <c r="O210" i="67"/>
  <c r="N210" i="67"/>
  <c r="M210" i="67"/>
  <c r="L210" i="67"/>
  <c r="K210" i="67"/>
  <c r="J210" i="67"/>
  <c r="I210" i="67"/>
  <c r="H210" i="67"/>
  <c r="R209" i="67"/>
  <c r="Q209" i="67"/>
  <c r="P209" i="67"/>
  <c r="O209" i="67"/>
  <c r="N209" i="67"/>
  <c r="M209" i="67"/>
  <c r="L209" i="67"/>
  <c r="K209" i="67"/>
  <c r="J209" i="67"/>
  <c r="I209" i="67"/>
  <c r="H209" i="67"/>
  <c r="R208" i="67"/>
  <c r="Q208" i="67"/>
  <c r="P208" i="67"/>
  <c r="O208" i="67"/>
  <c r="N208" i="67"/>
  <c r="M208" i="67"/>
  <c r="L208" i="67"/>
  <c r="K208" i="67"/>
  <c r="J208" i="67"/>
  <c r="I208" i="67"/>
  <c r="H208" i="67"/>
  <c r="R207" i="67"/>
  <c r="Q207" i="67"/>
  <c r="P207" i="67"/>
  <c r="O207" i="67"/>
  <c r="N207" i="67"/>
  <c r="M207" i="67"/>
  <c r="L207" i="67"/>
  <c r="K207" i="67"/>
  <c r="J207" i="67"/>
  <c r="I207" i="67"/>
  <c r="H207" i="67"/>
  <c r="R206" i="67"/>
  <c r="Q206" i="67"/>
  <c r="P206" i="67"/>
  <c r="O206" i="67"/>
  <c r="N206" i="67"/>
  <c r="M206" i="67"/>
  <c r="L206" i="67"/>
  <c r="K206" i="67"/>
  <c r="J206" i="67"/>
  <c r="I206" i="67"/>
  <c r="H206" i="67"/>
  <c r="R205" i="67"/>
  <c r="Q205" i="67"/>
  <c r="P205" i="67"/>
  <c r="O205" i="67"/>
  <c r="N205" i="67"/>
  <c r="M205" i="67"/>
  <c r="L205" i="67"/>
  <c r="K205" i="67"/>
  <c r="J205" i="67"/>
  <c r="I205" i="67"/>
  <c r="H205" i="67"/>
  <c r="R204" i="67"/>
  <c r="Q204" i="67"/>
  <c r="P204" i="67"/>
  <c r="O204" i="67"/>
  <c r="N204" i="67"/>
  <c r="M204" i="67"/>
  <c r="L204" i="67"/>
  <c r="K204" i="67"/>
  <c r="J204" i="67"/>
  <c r="I204" i="67"/>
  <c r="H204" i="67"/>
  <c r="R203" i="67"/>
  <c r="Q203" i="67"/>
  <c r="P203" i="67"/>
  <c r="O203" i="67"/>
  <c r="N203" i="67"/>
  <c r="M203" i="67"/>
  <c r="L203" i="67"/>
  <c r="K203" i="67"/>
  <c r="J203" i="67"/>
  <c r="I203" i="67"/>
  <c r="H203" i="67"/>
  <c r="R202" i="67"/>
  <c r="Q202" i="67"/>
  <c r="P202" i="67"/>
  <c r="O202" i="67"/>
  <c r="N202" i="67"/>
  <c r="M202" i="67"/>
  <c r="L202" i="67"/>
  <c r="K202" i="67"/>
  <c r="J202" i="67"/>
  <c r="I202" i="67"/>
  <c r="H202" i="67"/>
  <c r="R201" i="67"/>
  <c r="Q201" i="67"/>
  <c r="P201" i="67"/>
  <c r="O201" i="67"/>
  <c r="N201" i="67"/>
  <c r="M201" i="67"/>
  <c r="L201" i="67"/>
  <c r="K201" i="67"/>
  <c r="J201" i="67"/>
  <c r="I201" i="67"/>
  <c r="H201" i="67"/>
  <c r="R200" i="67"/>
  <c r="Q200" i="67"/>
  <c r="P200" i="67"/>
  <c r="O200" i="67"/>
  <c r="N200" i="67"/>
  <c r="M200" i="67"/>
  <c r="L200" i="67"/>
  <c r="K200" i="67"/>
  <c r="J200" i="67"/>
  <c r="I200" i="67"/>
  <c r="H200" i="67"/>
  <c r="R199" i="67"/>
  <c r="Q199" i="67"/>
  <c r="P199" i="67"/>
  <c r="O199" i="67"/>
  <c r="N199" i="67"/>
  <c r="M199" i="67"/>
  <c r="L199" i="67"/>
  <c r="K199" i="67"/>
  <c r="J199" i="67"/>
  <c r="I199" i="67"/>
  <c r="H199" i="67"/>
  <c r="R198" i="67"/>
  <c r="Q198" i="67"/>
  <c r="P198" i="67"/>
  <c r="O198" i="67"/>
  <c r="N198" i="67"/>
  <c r="M198" i="67"/>
  <c r="L198" i="67"/>
  <c r="K198" i="67"/>
  <c r="J198" i="67"/>
  <c r="I198" i="67"/>
  <c r="H198" i="67"/>
  <c r="R197" i="67"/>
  <c r="Q197" i="67"/>
  <c r="P197" i="67"/>
  <c r="O197" i="67"/>
  <c r="N197" i="67"/>
  <c r="M197" i="67"/>
  <c r="L197" i="67"/>
  <c r="K197" i="67"/>
  <c r="J197" i="67"/>
  <c r="I197" i="67"/>
  <c r="H197" i="67"/>
  <c r="R196" i="67"/>
  <c r="Q196" i="67"/>
  <c r="P196" i="67"/>
  <c r="O196" i="67"/>
  <c r="N196" i="67"/>
  <c r="M196" i="67"/>
  <c r="L196" i="67"/>
  <c r="K196" i="67"/>
  <c r="J196" i="67"/>
  <c r="I196" i="67"/>
  <c r="H196" i="67"/>
  <c r="R195" i="67"/>
  <c r="Q195" i="67"/>
  <c r="P195" i="67"/>
  <c r="O195" i="67"/>
  <c r="N195" i="67"/>
  <c r="M195" i="67"/>
  <c r="L195" i="67"/>
  <c r="K195" i="67"/>
  <c r="J195" i="67"/>
  <c r="I195" i="67"/>
  <c r="H195" i="67"/>
  <c r="R194" i="67"/>
  <c r="Q194" i="67"/>
  <c r="P194" i="67"/>
  <c r="O194" i="67"/>
  <c r="N194" i="67"/>
  <c r="M194" i="67"/>
  <c r="L194" i="67"/>
  <c r="K194" i="67"/>
  <c r="J194" i="67"/>
  <c r="I194" i="67"/>
  <c r="H194" i="67"/>
  <c r="R193" i="67"/>
  <c r="Q193" i="67"/>
  <c r="P193" i="67"/>
  <c r="O193" i="67"/>
  <c r="N193" i="67"/>
  <c r="M193" i="67"/>
  <c r="L193" i="67"/>
  <c r="K193" i="67"/>
  <c r="J193" i="67"/>
  <c r="I193" i="67"/>
  <c r="H193" i="67"/>
  <c r="R192" i="67"/>
  <c r="Q192" i="67"/>
  <c r="P192" i="67"/>
  <c r="O192" i="67"/>
  <c r="N192" i="67"/>
  <c r="M192" i="67"/>
  <c r="L192" i="67"/>
  <c r="K192" i="67"/>
  <c r="J192" i="67"/>
  <c r="I192" i="67"/>
  <c r="H192" i="67"/>
  <c r="R191" i="67"/>
  <c r="Q191" i="67"/>
  <c r="P191" i="67"/>
  <c r="O191" i="67"/>
  <c r="N191" i="67"/>
  <c r="M191" i="67"/>
  <c r="L191" i="67"/>
  <c r="K191" i="67"/>
  <c r="J191" i="67"/>
  <c r="I191" i="67"/>
  <c r="H191" i="67"/>
  <c r="R190" i="67"/>
  <c r="Q190" i="67"/>
  <c r="P190" i="67"/>
  <c r="O190" i="67"/>
  <c r="N190" i="67"/>
  <c r="M190" i="67"/>
  <c r="L190" i="67"/>
  <c r="K190" i="67"/>
  <c r="J190" i="67"/>
  <c r="I190" i="67"/>
  <c r="H190" i="67"/>
  <c r="R189" i="67"/>
  <c r="Q189" i="67"/>
  <c r="P189" i="67"/>
  <c r="O189" i="67"/>
  <c r="N189" i="67"/>
  <c r="M189" i="67"/>
  <c r="L189" i="67"/>
  <c r="K189" i="67"/>
  <c r="J189" i="67"/>
  <c r="I189" i="67"/>
  <c r="H189" i="67"/>
  <c r="R188" i="67"/>
  <c r="Q188" i="67"/>
  <c r="P188" i="67"/>
  <c r="O188" i="67"/>
  <c r="N188" i="67"/>
  <c r="M188" i="67"/>
  <c r="L188" i="67"/>
  <c r="K188" i="67"/>
  <c r="J188" i="67"/>
  <c r="I188" i="67"/>
  <c r="H188" i="67"/>
  <c r="R187" i="67"/>
  <c r="Q187" i="67"/>
  <c r="P187" i="67"/>
  <c r="O187" i="67"/>
  <c r="N187" i="67"/>
  <c r="M187" i="67"/>
  <c r="L187" i="67"/>
  <c r="K187" i="67"/>
  <c r="J187" i="67"/>
  <c r="I187" i="67"/>
  <c r="H187" i="67"/>
  <c r="R186" i="67"/>
  <c r="Q186" i="67"/>
  <c r="P186" i="67"/>
  <c r="O186" i="67"/>
  <c r="N186" i="67"/>
  <c r="M186" i="67"/>
  <c r="L186" i="67"/>
  <c r="K186" i="67"/>
  <c r="J186" i="67"/>
  <c r="I186" i="67"/>
  <c r="H186" i="67"/>
  <c r="R185" i="67"/>
  <c r="Q185" i="67"/>
  <c r="P185" i="67"/>
  <c r="O185" i="67"/>
  <c r="N185" i="67"/>
  <c r="M185" i="67"/>
  <c r="L185" i="67"/>
  <c r="K185" i="67"/>
  <c r="J185" i="67"/>
  <c r="I185" i="67"/>
  <c r="H185" i="67"/>
  <c r="R184" i="67"/>
  <c r="Q184" i="67"/>
  <c r="P184" i="67"/>
  <c r="O184" i="67"/>
  <c r="N184" i="67"/>
  <c r="M184" i="67"/>
  <c r="L184" i="67"/>
  <c r="K184" i="67"/>
  <c r="J184" i="67"/>
  <c r="I184" i="67"/>
  <c r="H184" i="67"/>
  <c r="R183" i="67"/>
  <c r="Q183" i="67"/>
  <c r="P183" i="67"/>
  <c r="O183" i="67"/>
  <c r="N183" i="67"/>
  <c r="M183" i="67"/>
  <c r="L183" i="67"/>
  <c r="K183" i="67"/>
  <c r="J183" i="67"/>
  <c r="I183" i="67"/>
  <c r="H183" i="67"/>
  <c r="R182" i="67"/>
  <c r="Q182" i="67"/>
  <c r="P182" i="67"/>
  <c r="O182" i="67"/>
  <c r="N182" i="67"/>
  <c r="M182" i="67"/>
  <c r="L182" i="67"/>
  <c r="K182" i="67"/>
  <c r="J182" i="67"/>
  <c r="I182" i="67"/>
  <c r="H182" i="67"/>
  <c r="R181" i="67"/>
  <c r="Q181" i="67"/>
  <c r="P181" i="67"/>
  <c r="O181" i="67"/>
  <c r="N181" i="67"/>
  <c r="M181" i="67"/>
  <c r="L181" i="67"/>
  <c r="K181" i="67"/>
  <c r="J181" i="67"/>
  <c r="I181" i="67"/>
  <c r="H181" i="67"/>
  <c r="R180" i="67"/>
  <c r="Q180" i="67"/>
  <c r="P180" i="67"/>
  <c r="O180" i="67"/>
  <c r="N180" i="67"/>
  <c r="M180" i="67"/>
  <c r="L180" i="67"/>
  <c r="K180" i="67"/>
  <c r="J180" i="67"/>
  <c r="I180" i="67"/>
  <c r="H180" i="67"/>
  <c r="R179" i="67"/>
  <c r="Q179" i="67"/>
  <c r="P179" i="67"/>
  <c r="O179" i="67"/>
  <c r="N179" i="67"/>
  <c r="M179" i="67"/>
  <c r="L179" i="67"/>
  <c r="K179" i="67"/>
  <c r="J179" i="67"/>
  <c r="I179" i="67"/>
  <c r="H179" i="67"/>
  <c r="R178" i="67"/>
  <c r="Q178" i="67"/>
  <c r="P178" i="67"/>
  <c r="O178" i="67"/>
  <c r="N178" i="67"/>
  <c r="M178" i="67"/>
  <c r="L178" i="67"/>
  <c r="K178" i="67"/>
  <c r="J178" i="67"/>
  <c r="I178" i="67"/>
  <c r="H178" i="67"/>
  <c r="R177" i="67"/>
  <c r="Q177" i="67"/>
  <c r="P177" i="67"/>
  <c r="O177" i="67"/>
  <c r="N177" i="67"/>
  <c r="M177" i="67"/>
  <c r="L177" i="67"/>
  <c r="K177" i="67"/>
  <c r="J177" i="67"/>
  <c r="I177" i="67"/>
  <c r="H177" i="67"/>
  <c r="R176" i="67"/>
  <c r="Q176" i="67"/>
  <c r="P176" i="67"/>
  <c r="O176" i="67"/>
  <c r="N176" i="67"/>
  <c r="M176" i="67"/>
  <c r="L176" i="67"/>
  <c r="K176" i="67"/>
  <c r="J176" i="67"/>
  <c r="I176" i="67"/>
  <c r="H176" i="67"/>
  <c r="R175" i="67"/>
  <c r="Q175" i="67"/>
  <c r="P175" i="67"/>
  <c r="O175" i="67"/>
  <c r="N175" i="67"/>
  <c r="M175" i="67"/>
  <c r="L175" i="67"/>
  <c r="K175" i="67"/>
  <c r="J175" i="67"/>
  <c r="I175" i="67"/>
  <c r="H175" i="67"/>
  <c r="R174" i="67"/>
  <c r="Q174" i="67"/>
  <c r="P174" i="67"/>
  <c r="O174" i="67"/>
  <c r="N174" i="67"/>
  <c r="M174" i="67"/>
  <c r="L174" i="67"/>
  <c r="K174" i="67"/>
  <c r="J174" i="67"/>
  <c r="I174" i="67"/>
  <c r="H174" i="67"/>
  <c r="R173" i="67"/>
  <c r="Q173" i="67"/>
  <c r="P173" i="67"/>
  <c r="O173" i="67"/>
  <c r="N173" i="67"/>
  <c r="M173" i="67"/>
  <c r="L173" i="67"/>
  <c r="K173" i="67"/>
  <c r="J173" i="67"/>
  <c r="I173" i="67"/>
  <c r="H173" i="67"/>
  <c r="R172" i="67"/>
  <c r="Q172" i="67"/>
  <c r="P172" i="67"/>
  <c r="O172" i="67"/>
  <c r="N172" i="67"/>
  <c r="M172" i="67"/>
  <c r="L172" i="67"/>
  <c r="K172" i="67"/>
  <c r="J172" i="67"/>
  <c r="I172" i="67"/>
  <c r="H172" i="67"/>
  <c r="R171" i="67"/>
  <c r="Q171" i="67"/>
  <c r="P171" i="67"/>
  <c r="O171" i="67"/>
  <c r="N171" i="67"/>
  <c r="M171" i="67"/>
  <c r="L171" i="67"/>
  <c r="K171" i="67"/>
  <c r="J171" i="67"/>
  <c r="I171" i="67"/>
  <c r="H171" i="67"/>
  <c r="R170" i="67"/>
  <c r="Q170" i="67"/>
  <c r="P170" i="67"/>
  <c r="O170" i="67"/>
  <c r="N170" i="67"/>
  <c r="M170" i="67"/>
  <c r="L170" i="67"/>
  <c r="K170" i="67"/>
  <c r="J170" i="67"/>
  <c r="I170" i="67"/>
  <c r="H170" i="67"/>
  <c r="R169" i="67"/>
  <c r="Q169" i="67"/>
  <c r="P169" i="67"/>
  <c r="O169" i="67"/>
  <c r="N169" i="67"/>
  <c r="M169" i="67"/>
  <c r="L169" i="67"/>
  <c r="K169" i="67"/>
  <c r="J169" i="67"/>
  <c r="I169" i="67"/>
  <c r="H169" i="67"/>
  <c r="R168" i="67"/>
  <c r="Q168" i="67"/>
  <c r="P168" i="67"/>
  <c r="O168" i="67"/>
  <c r="N168" i="67"/>
  <c r="M168" i="67"/>
  <c r="L168" i="67"/>
  <c r="K168" i="67"/>
  <c r="J168" i="67"/>
  <c r="I168" i="67"/>
  <c r="H168" i="67"/>
  <c r="R167" i="67"/>
  <c r="Q167" i="67"/>
  <c r="P167" i="67"/>
  <c r="O167" i="67"/>
  <c r="N167" i="67"/>
  <c r="M167" i="67"/>
  <c r="L167" i="67"/>
  <c r="K167" i="67"/>
  <c r="J167" i="67"/>
  <c r="I167" i="67"/>
  <c r="H167" i="67"/>
  <c r="R166" i="67"/>
  <c r="Q166" i="67"/>
  <c r="P166" i="67"/>
  <c r="O166" i="67"/>
  <c r="N166" i="67"/>
  <c r="M166" i="67"/>
  <c r="L166" i="67"/>
  <c r="K166" i="67"/>
  <c r="J166" i="67"/>
  <c r="I166" i="67"/>
  <c r="H166" i="67"/>
  <c r="R165" i="67"/>
  <c r="Q165" i="67"/>
  <c r="P165" i="67"/>
  <c r="O165" i="67"/>
  <c r="N165" i="67"/>
  <c r="M165" i="67"/>
  <c r="L165" i="67"/>
  <c r="K165" i="67"/>
  <c r="J165" i="67"/>
  <c r="I165" i="67"/>
  <c r="H165" i="67"/>
  <c r="R164" i="67"/>
  <c r="Q164" i="67"/>
  <c r="P164" i="67"/>
  <c r="O164" i="67"/>
  <c r="N164" i="67"/>
  <c r="M164" i="67"/>
  <c r="L164" i="67"/>
  <c r="K164" i="67"/>
  <c r="J164" i="67"/>
  <c r="I164" i="67"/>
  <c r="H164" i="67"/>
  <c r="R163" i="67"/>
  <c r="Q163" i="67"/>
  <c r="P163" i="67"/>
  <c r="O163" i="67"/>
  <c r="N163" i="67"/>
  <c r="M163" i="67"/>
  <c r="L163" i="67"/>
  <c r="K163" i="67"/>
  <c r="J163" i="67"/>
  <c r="I163" i="67"/>
  <c r="H163" i="67"/>
  <c r="R162" i="67"/>
  <c r="Q162" i="67"/>
  <c r="P162" i="67"/>
  <c r="O162" i="67"/>
  <c r="N162" i="67"/>
  <c r="M162" i="67"/>
  <c r="L162" i="67"/>
  <c r="K162" i="67"/>
  <c r="J162" i="67"/>
  <c r="I162" i="67"/>
  <c r="H162" i="67"/>
  <c r="R161" i="67"/>
  <c r="Q161" i="67"/>
  <c r="P161" i="67"/>
  <c r="O161" i="67"/>
  <c r="N161" i="67"/>
  <c r="M161" i="67"/>
  <c r="L161" i="67"/>
  <c r="K161" i="67"/>
  <c r="J161" i="67"/>
  <c r="I161" i="67"/>
  <c r="H161" i="67"/>
  <c r="R160" i="67"/>
  <c r="Q160" i="67"/>
  <c r="P160" i="67"/>
  <c r="O160" i="67"/>
  <c r="N160" i="67"/>
  <c r="M160" i="67"/>
  <c r="L160" i="67"/>
  <c r="K160" i="67"/>
  <c r="J160" i="67"/>
  <c r="I160" i="67"/>
  <c r="H160" i="67"/>
  <c r="R159" i="67"/>
  <c r="Q159" i="67"/>
  <c r="P159" i="67"/>
  <c r="O159" i="67"/>
  <c r="N159" i="67"/>
  <c r="M159" i="67"/>
  <c r="L159" i="67"/>
  <c r="K159" i="67"/>
  <c r="J159" i="67"/>
  <c r="I159" i="67"/>
  <c r="H159" i="67"/>
  <c r="R158" i="67"/>
  <c r="Q158" i="67"/>
  <c r="P158" i="67"/>
  <c r="O158" i="67"/>
  <c r="N158" i="67"/>
  <c r="M158" i="67"/>
  <c r="L158" i="67"/>
  <c r="K158" i="67"/>
  <c r="J158" i="67"/>
  <c r="I158" i="67"/>
  <c r="H158" i="67"/>
  <c r="R157" i="67"/>
  <c r="Q157" i="67"/>
  <c r="P157" i="67"/>
  <c r="O157" i="67"/>
  <c r="N157" i="67"/>
  <c r="M157" i="67"/>
  <c r="L157" i="67"/>
  <c r="K157" i="67"/>
  <c r="J157" i="67"/>
  <c r="I157" i="67"/>
  <c r="H157" i="67"/>
  <c r="R156" i="67"/>
  <c r="Q156" i="67"/>
  <c r="P156" i="67"/>
  <c r="O156" i="67"/>
  <c r="N156" i="67"/>
  <c r="M156" i="67"/>
  <c r="L156" i="67"/>
  <c r="K156" i="67"/>
  <c r="J156" i="67"/>
  <c r="I156" i="67"/>
  <c r="H156" i="67"/>
  <c r="R155" i="67"/>
  <c r="Q155" i="67"/>
  <c r="P155" i="67"/>
  <c r="O155" i="67"/>
  <c r="N155" i="67"/>
  <c r="M155" i="67"/>
  <c r="L155" i="67"/>
  <c r="K155" i="67"/>
  <c r="J155" i="67"/>
  <c r="I155" i="67"/>
  <c r="H155" i="67"/>
  <c r="R154" i="67"/>
  <c r="Q154" i="67"/>
  <c r="P154" i="67"/>
  <c r="O154" i="67"/>
  <c r="N154" i="67"/>
  <c r="M154" i="67"/>
  <c r="L154" i="67"/>
  <c r="K154" i="67"/>
  <c r="J154" i="67"/>
  <c r="I154" i="67"/>
  <c r="H154" i="67"/>
  <c r="R153" i="67"/>
  <c r="Q153" i="67"/>
  <c r="P153" i="67"/>
  <c r="O153" i="67"/>
  <c r="N153" i="67"/>
  <c r="M153" i="67"/>
  <c r="L153" i="67"/>
  <c r="K153" i="67"/>
  <c r="J153" i="67"/>
  <c r="I153" i="67"/>
  <c r="H153" i="67"/>
  <c r="R152" i="67"/>
  <c r="Q152" i="67"/>
  <c r="P152" i="67"/>
  <c r="O152" i="67"/>
  <c r="N152" i="67"/>
  <c r="M152" i="67"/>
  <c r="L152" i="67"/>
  <c r="K152" i="67"/>
  <c r="J152" i="67"/>
  <c r="I152" i="67"/>
  <c r="H152" i="67"/>
  <c r="R151" i="67"/>
  <c r="Q151" i="67"/>
  <c r="P151" i="67"/>
  <c r="O151" i="67"/>
  <c r="N151" i="67"/>
  <c r="M151" i="67"/>
  <c r="L151" i="67"/>
  <c r="K151" i="67"/>
  <c r="J151" i="67"/>
  <c r="I151" i="67"/>
  <c r="H151" i="67"/>
  <c r="R150" i="67"/>
  <c r="Q150" i="67"/>
  <c r="P150" i="67"/>
  <c r="O150" i="67"/>
  <c r="N150" i="67"/>
  <c r="M150" i="67"/>
  <c r="L150" i="67"/>
  <c r="K150" i="67"/>
  <c r="J150" i="67"/>
  <c r="I150" i="67"/>
  <c r="H150" i="67"/>
  <c r="R149" i="67"/>
  <c r="Q149" i="67"/>
  <c r="P149" i="67"/>
  <c r="O149" i="67"/>
  <c r="N149" i="67"/>
  <c r="M149" i="67"/>
  <c r="L149" i="67"/>
  <c r="K149" i="67"/>
  <c r="J149" i="67"/>
  <c r="I149" i="67"/>
  <c r="H149" i="67"/>
  <c r="R148" i="67"/>
  <c r="Q148" i="67"/>
  <c r="P148" i="67"/>
  <c r="O148" i="67"/>
  <c r="N148" i="67"/>
  <c r="M148" i="67"/>
  <c r="L148" i="67"/>
  <c r="K148" i="67"/>
  <c r="J148" i="67"/>
  <c r="I148" i="67"/>
  <c r="H148" i="67"/>
  <c r="R147" i="67"/>
  <c r="Q147" i="67"/>
  <c r="P147" i="67"/>
  <c r="O147" i="67"/>
  <c r="N147" i="67"/>
  <c r="M147" i="67"/>
  <c r="L147" i="67"/>
  <c r="K147" i="67"/>
  <c r="J147" i="67"/>
  <c r="I147" i="67"/>
  <c r="H147" i="67"/>
  <c r="R146" i="67"/>
  <c r="Q146" i="67"/>
  <c r="P146" i="67"/>
  <c r="O146" i="67"/>
  <c r="N146" i="67"/>
  <c r="M146" i="67"/>
  <c r="L146" i="67"/>
  <c r="K146" i="67"/>
  <c r="J146" i="67"/>
  <c r="I146" i="67"/>
  <c r="H146" i="67"/>
  <c r="R145" i="67"/>
  <c r="Q145" i="67"/>
  <c r="P145" i="67"/>
  <c r="O145" i="67"/>
  <c r="N145" i="67"/>
  <c r="M145" i="67"/>
  <c r="L145" i="67"/>
  <c r="K145" i="67"/>
  <c r="J145" i="67"/>
  <c r="I145" i="67"/>
  <c r="H145" i="67"/>
  <c r="R144" i="67"/>
  <c r="Q144" i="67"/>
  <c r="P144" i="67"/>
  <c r="O144" i="67"/>
  <c r="N144" i="67"/>
  <c r="M144" i="67"/>
  <c r="L144" i="67"/>
  <c r="K144" i="67"/>
  <c r="J144" i="67"/>
  <c r="I144" i="67"/>
  <c r="H144" i="67"/>
  <c r="R143" i="67"/>
  <c r="Q143" i="67"/>
  <c r="P143" i="67"/>
  <c r="O143" i="67"/>
  <c r="N143" i="67"/>
  <c r="M143" i="67"/>
  <c r="L143" i="67"/>
  <c r="K143" i="67"/>
  <c r="J143" i="67"/>
  <c r="I143" i="67"/>
  <c r="H143" i="67"/>
  <c r="R142" i="67"/>
  <c r="Q142" i="67"/>
  <c r="P142" i="67"/>
  <c r="O142" i="67"/>
  <c r="N142" i="67"/>
  <c r="M142" i="67"/>
  <c r="L142" i="67"/>
  <c r="K142" i="67"/>
  <c r="J142" i="67"/>
  <c r="I142" i="67"/>
  <c r="H142" i="67"/>
  <c r="R141" i="67"/>
  <c r="Q141" i="67"/>
  <c r="P141" i="67"/>
  <c r="O141" i="67"/>
  <c r="N141" i="67"/>
  <c r="M141" i="67"/>
  <c r="L141" i="67"/>
  <c r="K141" i="67"/>
  <c r="J141" i="67"/>
  <c r="I141" i="67"/>
  <c r="H141" i="67"/>
  <c r="R140" i="67"/>
  <c r="Q140" i="67"/>
  <c r="P140" i="67"/>
  <c r="O140" i="67"/>
  <c r="N140" i="67"/>
  <c r="M140" i="67"/>
  <c r="L140" i="67"/>
  <c r="K140" i="67"/>
  <c r="J140" i="67"/>
  <c r="I140" i="67"/>
  <c r="H140" i="67"/>
  <c r="R139" i="67"/>
  <c r="Q139" i="67"/>
  <c r="P139" i="67"/>
  <c r="O139" i="67"/>
  <c r="N139" i="67"/>
  <c r="M139" i="67"/>
  <c r="L139" i="67"/>
  <c r="K139" i="67"/>
  <c r="J139" i="67"/>
  <c r="I139" i="67"/>
  <c r="H139" i="67"/>
  <c r="R138" i="67"/>
  <c r="Q138" i="67"/>
  <c r="P138" i="67"/>
  <c r="O138" i="67"/>
  <c r="N138" i="67"/>
  <c r="M138" i="67"/>
  <c r="L138" i="67"/>
  <c r="K138" i="67"/>
  <c r="J138" i="67"/>
  <c r="I138" i="67"/>
  <c r="H138" i="67"/>
  <c r="R137" i="67"/>
  <c r="Q137" i="67"/>
  <c r="P137" i="67"/>
  <c r="O137" i="67"/>
  <c r="N137" i="67"/>
  <c r="M137" i="67"/>
  <c r="L137" i="67"/>
  <c r="K137" i="67"/>
  <c r="J137" i="67"/>
  <c r="I137" i="67"/>
  <c r="H137" i="67"/>
  <c r="R136" i="67"/>
  <c r="Q136" i="67"/>
  <c r="P136" i="67"/>
  <c r="O136" i="67"/>
  <c r="N136" i="67"/>
  <c r="M136" i="67"/>
  <c r="L136" i="67"/>
  <c r="K136" i="67"/>
  <c r="J136" i="67"/>
  <c r="I136" i="67"/>
  <c r="H136" i="67"/>
  <c r="R135" i="67"/>
  <c r="Q135" i="67"/>
  <c r="P135" i="67"/>
  <c r="O135" i="67"/>
  <c r="N135" i="67"/>
  <c r="M135" i="67"/>
  <c r="L135" i="67"/>
  <c r="K135" i="67"/>
  <c r="J135" i="67"/>
  <c r="I135" i="67"/>
  <c r="H135" i="67"/>
  <c r="R134" i="67"/>
  <c r="Q134" i="67"/>
  <c r="P134" i="67"/>
  <c r="O134" i="67"/>
  <c r="N134" i="67"/>
  <c r="M134" i="67"/>
  <c r="L134" i="67"/>
  <c r="K134" i="67"/>
  <c r="J134" i="67"/>
  <c r="I134" i="67"/>
  <c r="H134" i="67"/>
  <c r="R133" i="67"/>
  <c r="Q133" i="67"/>
  <c r="P133" i="67"/>
  <c r="O133" i="67"/>
  <c r="N133" i="67"/>
  <c r="M133" i="67"/>
  <c r="L133" i="67"/>
  <c r="K133" i="67"/>
  <c r="J133" i="67"/>
  <c r="I133" i="67"/>
  <c r="H133" i="67"/>
  <c r="R132" i="67"/>
  <c r="Q132" i="67"/>
  <c r="P132" i="67"/>
  <c r="O132" i="67"/>
  <c r="N132" i="67"/>
  <c r="M132" i="67"/>
  <c r="L132" i="67"/>
  <c r="K132" i="67"/>
  <c r="J132" i="67"/>
  <c r="I132" i="67"/>
  <c r="H132" i="67"/>
  <c r="R131" i="67"/>
  <c r="Q131" i="67"/>
  <c r="P131" i="67"/>
  <c r="O131" i="67"/>
  <c r="N131" i="67"/>
  <c r="M131" i="67"/>
  <c r="L131" i="67"/>
  <c r="K131" i="67"/>
  <c r="J131" i="67"/>
  <c r="I131" i="67"/>
  <c r="H131" i="67"/>
  <c r="R130" i="67"/>
  <c r="Q130" i="67"/>
  <c r="P130" i="67"/>
  <c r="O130" i="67"/>
  <c r="N130" i="67"/>
  <c r="M130" i="67"/>
  <c r="L130" i="67"/>
  <c r="K130" i="67"/>
  <c r="J130" i="67"/>
  <c r="I130" i="67"/>
  <c r="H130" i="67"/>
  <c r="R129" i="67"/>
  <c r="Q129" i="67"/>
  <c r="P129" i="67"/>
  <c r="O129" i="67"/>
  <c r="N129" i="67"/>
  <c r="M129" i="67"/>
  <c r="L129" i="67"/>
  <c r="K129" i="67"/>
  <c r="J129" i="67"/>
  <c r="I129" i="67"/>
  <c r="H129" i="67"/>
  <c r="R128" i="67"/>
  <c r="Q128" i="67"/>
  <c r="P128" i="67"/>
  <c r="O128" i="67"/>
  <c r="N128" i="67"/>
  <c r="M128" i="67"/>
  <c r="L128" i="67"/>
  <c r="K128" i="67"/>
  <c r="J128" i="67"/>
  <c r="I128" i="67"/>
  <c r="H128" i="67"/>
  <c r="R127" i="67"/>
  <c r="Q127" i="67"/>
  <c r="P127" i="67"/>
  <c r="O127" i="67"/>
  <c r="N127" i="67"/>
  <c r="M127" i="67"/>
  <c r="L127" i="67"/>
  <c r="K127" i="67"/>
  <c r="J127" i="67"/>
  <c r="I127" i="67"/>
  <c r="H127" i="67"/>
  <c r="R126" i="67"/>
  <c r="Q126" i="67"/>
  <c r="P126" i="67"/>
  <c r="O126" i="67"/>
  <c r="N126" i="67"/>
  <c r="M126" i="67"/>
  <c r="L126" i="67"/>
  <c r="K126" i="67"/>
  <c r="J126" i="67"/>
  <c r="I126" i="67"/>
  <c r="H126" i="67"/>
  <c r="R125" i="67"/>
  <c r="Q125" i="67"/>
  <c r="P125" i="67"/>
  <c r="O125" i="67"/>
  <c r="N125" i="67"/>
  <c r="M125" i="67"/>
  <c r="L125" i="67"/>
  <c r="K125" i="67"/>
  <c r="J125" i="67"/>
  <c r="I125" i="67"/>
  <c r="H125" i="67"/>
  <c r="R124" i="67"/>
  <c r="Q124" i="67"/>
  <c r="P124" i="67"/>
  <c r="O124" i="67"/>
  <c r="N124" i="67"/>
  <c r="M124" i="67"/>
  <c r="L124" i="67"/>
  <c r="K124" i="67"/>
  <c r="J124" i="67"/>
  <c r="I124" i="67"/>
  <c r="H124" i="67"/>
  <c r="R123" i="67"/>
  <c r="Q123" i="67"/>
  <c r="P123" i="67"/>
  <c r="O123" i="67"/>
  <c r="N123" i="67"/>
  <c r="M123" i="67"/>
  <c r="L123" i="67"/>
  <c r="K123" i="67"/>
  <c r="J123" i="67"/>
  <c r="I123" i="67"/>
  <c r="H123" i="67"/>
  <c r="R122" i="67"/>
  <c r="Q122" i="67"/>
  <c r="P122" i="67"/>
  <c r="O122" i="67"/>
  <c r="N122" i="67"/>
  <c r="M122" i="67"/>
  <c r="L122" i="67"/>
  <c r="K122" i="67"/>
  <c r="J122" i="67"/>
  <c r="I122" i="67"/>
  <c r="H122" i="67"/>
  <c r="R121" i="67"/>
  <c r="Q121" i="67"/>
  <c r="P121" i="67"/>
  <c r="O121" i="67"/>
  <c r="N121" i="67"/>
  <c r="M121" i="67"/>
  <c r="L121" i="67"/>
  <c r="K121" i="67"/>
  <c r="J121" i="67"/>
  <c r="I121" i="67"/>
  <c r="H121" i="67"/>
  <c r="R120" i="67"/>
  <c r="Q120" i="67"/>
  <c r="P120" i="67"/>
  <c r="O120" i="67"/>
  <c r="N120" i="67"/>
  <c r="M120" i="67"/>
  <c r="L120" i="67"/>
  <c r="K120" i="67"/>
  <c r="J120" i="67"/>
  <c r="I120" i="67"/>
  <c r="H120" i="67"/>
  <c r="R119" i="67"/>
  <c r="Q119" i="67"/>
  <c r="P119" i="67"/>
  <c r="O119" i="67"/>
  <c r="N119" i="67"/>
  <c r="M119" i="67"/>
  <c r="L119" i="67"/>
  <c r="K119" i="67"/>
  <c r="J119" i="67"/>
  <c r="I119" i="67"/>
  <c r="H119" i="67"/>
  <c r="R118" i="67"/>
  <c r="Q118" i="67"/>
  <c r="P118" i="67"/>
  <c r="O118" i="67"/>
  <c r="N118" i="67"/>
  <c r="M118" i="67"/>
  <c r="L118" i="67"/>
  <c r="K118" i="67"/>
  <c r="J118" i="67"/>
  <c r="I118" i="67"/>
  <c r="H118" i="67"/>
  <c r="R117" i="67"/>
  <c r="Q117" i="67"/>
  <c r="P117" i="67"/>
  <c r="O117" i="67"/>
  <c r="N117" i="67"/>
  <c r="M117" i="67"/>
  <c r="L117" i="67"/>
  <c r="K117" i="67"/>
  <c r="J117" i="67"/>
  <c r="I117" i="67"/>
  <c r="H117" i="67"/>
  <c r="R116" i="67"/>
  <c r="Q116" i="67"/>
  <c r="P116" i="67"/>
  <c r="O116" i="67"/>
  <c r="N116" i="67"/>
  <c r="M116" i="67"/>
  <c r="L116" i="67"/>
  <c r="K116" i="67"/>
  <c r="J116" i="67"/>
  <c r="I116" i="67"/>
  <c r="H116" i="67"/>
  <c r="R115" i="67"/>
  <c r="Q115" i="67"/>
  <c r="P115" i="67"/>
  <c r="O115" i="67"/>
  <c r="N115" i="67"/>
  <c r="M115" i="67"/>
  <c r="L115" i="67"/>
  <c r="K115" i="67"/>
  <c r="J115" i="67"/>
  <c r="I115" i="67"/>
  <c r="H115" i="67"/>
  <c r="R114" i="67"/>
  <c r="Q114" i="67"/>
  <c r="P114" i="67"/>
  <c r="O114" i="67"/>
  <c r="N114" i="67"/>
  <c r="M114" i="67"/>
  <c r="L114" i="67"/>
  <c r="K114" i="67"/>
  <c r="J114" i="67"/>
  <c r="I114" i="67"/>
  <c r="H114" i="67"/>
  <c r="R113" i="67"/>
  <c r="Q113" i="67"/>
  <c r="P113" i="67"/>
  <c r="O113" i="67"/>
  <c r="N113" i="67"/>
  <c r="M113" i="67"/>
  <c r="L113" i="67"/>
  <c r="K113" i="67"/>
  <c r="J113" i="67"/>
  <c r="I113" i="67"/>
  <c r="H113" i="67"/>
  <c r="R112" i="67"/>
  <c r="Q112" i="67"/>
  <c r="P112" i="67"/>
  <c r="O112" i="67"/>
  <c r="N112" i="67"/>
  <c r="M112" i="67"/>
  <c r="L112" i="67"/>
  <c r="K112" i="67"/>
  <c r="J112" i="67"/>
  <c r="I112" i="67"/>
  <c r="H112" i="67"/>
  <c r="R111" i="67"/>
  <c r="Q111" i="67"/>
  <c r="P111" i="67"/>
  <c r="O111" i="67"/>
  <c r="N111" i="67"/>
  <c r="M111" i="67"/>
  <c r="L111" i="67"/>
  <c r="K111" i="67"/>
  <c r="J111" i="67"/>
  <c r="I111" i="67"/>
  <c r="H111" i="67"/>
  <c r="R110" i="67"/>
  <c r="Q110" i="67"/>
  <c r="P110" i="67"/>
  <c r="O110" i="67"/>
  <c r="N110" i="67"/>
  <c r="M110" i="67"/>
  <c r="L110" i="67"/>
  <c r="K110" i="67"/>
  <c r="J110" i="67"/>
  <c r="I110" i="67"/>
  <c r="H110" i="67"/>
  <c r="R109" i="67"/>
  <c r="Q109" i="67"/>
  <c r="P109" i="67"/>
  <c r="O109" i="67"/>
  <c r="N109" i="67"/>
  <c r="M109" i="67"/>
  <c r="L109" i="67"/>
  <c r="K109" i="67"/>
  <c r="J109" i="67"/>
  <c r="I109" i="67"/>
  <c r="H109" i="67"/>
  <c r="R108" i="67"/>
  <c r="Q108" i="67"/>
  <c r="P108" i="67"/>
  <c r="O108" i="67"/>
  <c r="N108" i="67"/>
  <c r="M108" i="67"/>
  <c r="L108" i="67"/>
  <c r="K108" i="67"/>
  <c r="J108" i="67"/>
  <c r="I108" i="67"/>
  <c r="H108" i="67"/>
  <c r="R107" i="67"/>
  <c r="Q107" i="67"/>
  <c r="P107" i="67"/>
  <c r="O107" i="67"/>
  <c r="N107" i="67"/>
  <c r="M107" i="67"/>
  <c r="L107" i="67"/>
  <c r="K107" i="67"/>
  <c r="J107" i="67"/>
  <c r="I107" i="67"/>
  <c r="H107" i="67"/>
  <c r="R106" i="67"/>
  <c r="Q106" i="67"/>
  <c r="P106" i="67"/>
  <c r="O106" i="67"/>
  <c r="N106" i="67"/>
  <c r="M106" i="67"/>
  <c r="L106" i="67"/>
  <c r="K106" i="67"/>
  <c r="J106" i="67"/>
  <c r="I106" i="67"/>
  <c r="H106" i="67"/>
  <c r="R105" i="67"/>
  <c r="Q105" i="67"/>
  <c r="P105" i="67"/>
  <c r="O105" i="67"/>
  <c r="N105" i="67"/>
  <c r="M105" i="67"/>
  <c r="L105" i="67"/>
  <c r="K105" i="67"/>
  <c r="J105" i="67"/>
  <c r="I105" i="67"/>
  <c r="H105" i="67"/>
  <c r="R104" i="67"/>
  <c r="Q104" i="67"/>
  <c r="P104" i="67"/>
  <c r="O104" i="67"/>
  <c r="N104" i="67"/>
  <c r="M104" i="67"/>
  <c r="L104" i="67"/>
  <c r="K104" i="67"/>
  <c r="J104" i="67"/>
  <c r="I104" i="67"/>
  <c r="H104" i="67"/>
  <c r="R103" i="67"/>
  <c r="Q103" i="67"/>
  <c r="P103" i="67"/>
  <c r="O103" i="67"/>
  <c r="N103" i="67"/>
  <c r="M103" i="67"/>
  <c r="L103" i="67"/>
  <c r="K103" i="67"/>
  <c r="J103" i="67"/>
  <c r="I103" i="67"/>
  <c r="H103" i="67"/>
  <c r="R102" i="67"/>
  <c r="Q102" i="67"/>
  <c r="P102" i="67"/>
  <c r="O102" i="67"/>
  <c r="N102" i="67"/>
  <c r="M102" i="67"/>
  <c r="L102" i="67"/>
  <c r="K102" i="67"/>
  <c r="J102" i="67"/>
  <c r="I102" i="67"/>
  <c r="H102" i="67"/>
  <c r="R101" i="67"/>
  <c r="Q101" i="67"/>
  <c r="P101" i="67"/>
  <c r="O101" i="67"/>
  <c r="N101" i="67"/>
  <c r="M101" i="67"/>
  <c r="L101" i="67"/>
  <c r="K101" i="67"/>
  <c r="J101" i="67"/>
  <c r="I101" i="67"/>
  <c r="H101" i="67"/>
  <c r="R100" i="67"/>
  <c r="Q100" i="67"/>
  <c r="P100" i="67"/>
  <c r="O100" i="67"/>
  <c r="N100" i="67"/>
  <c r="M100" i="67"/>
  <c r="L100" i="67"/>
  <c r="K100" i="67"/>
  <c r="J100" i="67"/>
  <c r="I100" i="67"/>
  <c r="H100" i="67"/>
  <c r="R99" i="67"/>
  <c r="Q99" i="67"/>
  <c r="P99" i="67"/>
  <c r="O99" i="67"/>
  <c r="N99" i="67"/>
  <c r="M99" i="67"/>
  <c r="L99" i="67"/>
  <c r="K99" i="67"/>
  <c r="J99" i="67"/>
  <c r="I99" i="67"/>
  <c r="H99" i="67"/>
  <c r="R98" i="67"/>
  <c r="Q98" i="67"/>
  <c r="P98" i="67"/>
  <c r="O98" i="67"/>
  <c r="N98" i="67"/>
  <c r="M98" i="67"/>
  <c r="L98" i="67"/>
  <c r="K98" i="67"/>
  <c r="J98" i="67"/>
  <c r="I98" i="67"/>
  <c r="H98" i="67"/>
  <c r="R97" i="67"/>
  <c r="Q97" i="67"/>
  <c r="P97" i="67"/>
  <c r="O97" i="67"/>
  <c r="N97" i="67"/>
  <c r="M97" i="67"/>
  <c r="L97" i="67"/>
  <c r="K97" i="67"/>
  <c r="J97" i="67"/>
  <c r="I97" i="67"/>
  <c r="H97" i="67"/>
  <c r="R96" i="67"/>
  <c r="Q96" i="67"/>
  <c r="P96" i="67"/>
  <c r="O96" i="67"/>
  <c r="N96" i="67"/>
  <c r="M96" i="67"/>
  <c r="L96" i="67"/>
  <c r="K96" i="67"/>
  <c r="J96" i="67"/>
  <c r="I96" i="67"/>
  <c r="H96" i="67"/>
  <c r="R95" i="67"/>
  <c r="Q95" i="67"/>
  <c r="P95" i="67"/>
  <c r="O95" i="67"/>
  <c r="N95" i="67"/>
  <c r="M95" i="67"/>
  <c r="L95" i="67"/>
  <c r="K95" i="67"/>
  <c r="J95" i="67"/>
  <c r="I95" i="67"/>
  <c r="H95" i="67"/>
  <c r="R94" i="67"/>
  <c r="Q94" i="67"/>
  <c r="P94" i="67"/>
  <c r="O94" i="67"/>
  <c r="N94" i="67"/>
  <c r="M94" i="67"/>
  <c r="L94" i="67"/>
  <c r="K94" i="67"/>
  <c r="J94" i="67"/>
  <c r="I94" i="67"/>
  <c r="H94" i="67"/>
  <c r="R93" i="67"/>
  <c r="Q93" i="67"/>
  <c r="P93" i="67"/>
  <c r="O93" i="67"/>
  <c r="N93" i="67"/>
  <c r="M93" i="67"/>
  <c r="L93" i="67"/>
  <c r="K93" i="67"/>
  <c r="J93" i="67"/>
  <c r="I93" i="67"/>
  <c r="H93" i="67"/>
  <c r="R92" i="67"/>
  <c r="Q92" i="67"/>
  <c r="P92" i="67"/>
  <c r="O92" i="67"/>
  <c r="N92" i="67"/>
  <c r="M92" i="67"/>
  <c r="L92" i="67"/>
  <c r="K92" i="67"/>
  <c r="J92" i="67"/>
  <c r="I92" i="67"/>
  <c r="H92" i="67"/>
  <c r="R91" i="67"/>
  <c r="Q91" i="67"/>
  <c r="P91" i="67"/>
  <c r="O91" i="67"/>
  <c r="N91" i="67"/>
  <c r="M91" i="67"/>
  <c r="L91" i="67"/>
  <c r="K91" i="67"/>
  <c r="J91" i="67"/>
  <c r="I91" i="67"/>
  <c r="H91" i="67"/>
  <c r="R90" i="67"/>
  <c r="Q90" i="67"/>
  <c r="P90" i="67"/>
  <c r="O90" i="67"/>
  <c r="N90" i="67"/>
  <c r="M90" i="67"/>
  <c r="L90" i="67"/>
  <c r="K90" i="67"/>
  <c r="J90" i="67"/>
  <c r="I90" i="67"/>
  <c r="H90" i="67"/>
  <c r="R89" i="67"/>
  <c r="Q89" i="67"/>
  <c r="P89" i="67"/>
  <c r="O89" i="67"/>
  <c r="N89" i="67"/>
  <c r="M89" i="67"/>
  <c r="L89" i="67"/>
  <c r="K89" i="67"/>
  <c r="J89" i="67"/>
  <c r="I89" i="67"/>
  <c r="H89" i="67"/>
  <c r="R88" i="67"/>
  <c r="Q88" i="67"/>
  <c r="P88" i="67"/>
  <c r="O88" i="67"/>
  <c r="N88" i="67"/>
  <c r="M88" i="67"/>
  <c r="L88" i="67"/>
  <c r="K88" i="67"/>
  <c r="J88" i="67"/>
  <c r="I88" i="67"/>
  <c r="H88" i="67"/>
  <c r="R87" i="67"/>
  <c r="Q87" i="67"/>
  <c r="P87" i="67"/>
  <c r="O87" i="67"/>
  <c r="N87" i="67"/>
  <c r="M87" i="67"/>
  <c r="L87" i="67"/>
  <c r="K87" i="67"/>
  <c r="J87" i="67"/>
  <c r="I87" i="67"/>
  <c r="H87" i="67"/>
  <c r="R86" i="67"/>
  <c r="Q86" i="67"/>
  <c r="P86" i="67"/>
  <c r="O86" i="67"/>
  <c r="N86" i="67"/>
  <c r="M86" i="67"/>
  <c r="L86" i="67"/>
  <c r="K86" i="67"/>
  <c r="J86" i="67"/>
  <c r="I86" i="67"/>
  <c r="H86" i="67"/>
  <c r="R85" i="67"/>
  <c r="Q85" i="67"/>
  <c r="P85" i="67"/>
  <c r="O85" i="67"/>
  <c r="N85" i="67"/>
  <c r="M85" i="67"/>
  <c r="L85" i="67"/>
  <c r="K85" i="67"/>
  <c r="J85" i="67"/>
  <c r="I85" i="67"/>
  <c r="H85" i="67"/>
  <c r="R84" i="67"/>
  <c r="Q84" i="67"/>
  <c r="P84" i="67"/>
  <c r="O84" i="67"/>
  <c r="N84" i="67"/>
  <c r="M84" i="67"/>
  <c r="L84" i="67"/>
  <c r="K84" i="67"/>
  <c r="J84" i="67"/>
  <c r="I84" i="67"/>
  <c r="H84" i="67"/>
  <c r="R83" i="67"/>
  <c r="Q83" i="67"/>
  <c r="P83" i="67"/>
  <c r="O83" i="67"/>
  <c r="N83" i="67"/>
  <c r="M83" i="67"/>
  <c r="L83" i="67"/>
  <c r="K83" i="67"/>
  <c r="J83" i="67"/>
  <c r="I83" i="67"/>
  <c r="H83" i="67"/>
  <c r="R82" i="67"/>
  <c r="Q82" i="67"/>
  <c r="P82" i="67"/>
  <c r="O82" i="67"/>
  <c r="N82" i="67"/>
  <c r="M82" i="67"/>
  <c r="L82" i="67"/>
  <c r="K82" i="67"/>
  <c r="J82" i="67"/>
  <c r="I82" i="67"/>
  <c r="H82" i="67"/>
  <c r="R81" i="67"/>
  <c r="Q81" i="67"/>
  <c r="P81" i="67"/>
  <c r="O81" i="67"/>
  <c r="N81" i="67"/>
  <c r="M81" i="67"/>
  <c r="L81" i="67"/>
  <c r="K81" i="67"/>
  <c r="J81" i="67"/>
  <c r="I81" i="67"/>
  <c r="H81" i="67"/>
  <c r="R80" i="67"/>
  <c r="Q80" i="67"/>
  <c r="P80" i="67"/>
  <c r="O80" i="67"/>
  <c r="N80" i="67"/>
  <c r="M80" i="67"/>
  <c r="L80" i="67"/>
  <c r="K80" i="67"/>
  <c r="J80" i="67"/>
  <c r="I80" i="67"/>
  <c r="H80" i="67"/>
  <c r="R79" i="67"/>
  <c r="Q79" i="67"/>
  <c r="P79" i="67"/>
  <c r="O79" i="67"/>
  <c r="N79" i="67"/>
  <c r="M79" i="67"/>
  <c r="L79" i="67"/>
  <c r="K79" i="67"/>
  <c r="J79" i="67"/>
  <c r="I79" i="67"/>
  <c r="H79" i="67"/>
  <c r="R78" i="67"/>
  <c r="Q78" i="67"/>
  <c r="P78" i="67"/>
  <c r="O78" i="67"/>
  <c r="N78" i="67"/>
  <c r="M78" i="67"/>
  <c r="L78" i="67"/>
  <c r="K78" i="67"/>
  <c r="J78" i="67"/>
  <c r="I78" i="67"/>
  <c r="H78" i="67"/>
  <c r="R77" i="67"/>
  <c r="Q77" i="67"/>
  <c r="P77" i="67"/>
  <c r="O77" i="67"/>
  <c r="N77" i="67"/>
  <c r="M77" i="67"/>
  <c r="L77" i="67"/>
  <c r="K77" i="67"/>
  <c r="J77" i="67"/>
  <c r="I77" i="67"/>
  <c r="H77" i="67"/>
  <c r="R76" i="67"/>
  <c r="Q76" i="67"/>
  <c r="P76" i="67"/>
  <c r="O76" i="67"/>
  <c r="N76" i="67"/>
  <c r="M76" i="67"/>
  <c r="L76" i="67"/>
  <c r="K76" i="67"/>
  <c r="J76" i="67"/>
  <c r="I76" i="67"/>
  <c r="H76" i="67"/>
  <c r="R75" i="67"/>
  <c r="Q75" i="67"/>
  <c r="P75" i="67"/>
  <c r="O75" i="67"/>
  <c r="N75" i="67"/>
  <c r="M75" i="67"/>
  <c r="L75" i="67"/>
  <c r="K75" i="67"/>
  <c r="J75" i="67"/>
  <c r="I75" i="67"/>
  <c r="H75" i="67"/>
  <c r="R74" i="67"/>
  <c r="Q74" i="67"/>
  <c r="P74" i="67"/>
  <c r="O74" i="67"/>
  <c r="N74" i="67"/>
  <c r="M74" i="67"/>
  <c r="L74" i="67"/>
  <c r="K74" i="67"/>
  <c r="J74" i="67"/>
  <c r="I74" i="67"/>
  <c r="H74" i="67"/>
  <c r="R73" i="67"/>
  <c r="Q73" i="67"/>
  <c r="P73" i="67"/>
  <c r="O73" i="67"/>
  <c r="N73" i="67"/>
  <c r="M73" i="67"/>
  <c r="L73" i="67"/>
  <c r="K73" i="67"/>
  <c r="J73" i="67"/>
  <c r="I73" i="67"/>
  <c r="H73" i="67"/>
  <c r="R72" i="67"/>
  <c r="Q72" i="67"/>
  <c r="P72" i="67"/>
  <c r="O72" i="67"/>
  <c r="N72" i="67"/>
  <c r="M72" i="67"/>
  <c r="L72" i="67"/>
  <c r="K72" i="67"/>
  <c r="J72" i="67"/>
  <c r="I72" i="67"/>
  <c r="H72" i="67"/>
  <c r="R71" i="67"/>
  <c r="Q71" i="67"/>
  <c r="P71" i="67"/>
  <c r="O71" i="67"/>
  <c r="N71" i="67"/>
  <c r="M71" i="67"/>
  <c r="L71" i="67"/>
  <c r="K71" i="67"/>
  <c r="J71" i="67"/>
  <c r="I71" i="67"/>
  <c r="H71" i="67"/>
  <c r="R70" i="67"/>
  <c r="Q70" i="67"/>
  <c r="P70" i="67"/>
  <c r="O70" i="67"/>
  <c r="N70" i="67"/>
  <c r="M70" i="67"/>
  <c r="L70" i="67"/>
  <c r="K70" i="67"/>
  <c r="J70" i="67"/>
  <c r="I70" i="67"/>
  <c r="H70" i="67"/>
  <c r="R69" i="67"/>
  <c r="Q69" i="67"/>
  <c r="P69" i="67"/>
  <c r="O69" i="67"/>
  <c r="N69" i="67"/>
  <c r="M69" i="67"/>
  <c r="L69" i="67"/>
  <c r="K69" i="67"/>
  <c r="J69" i="67"/>
  <c r="I69" i="67"/>
  <c r="H69" i="67"/>
  <c r="R68" i="67"/>
  <c r="Q68" i="67"/>
  <c r="P68" i="67"/>
  <c r="O68" i="67"/>
  <c r="N68" i="67"/>
  <c r="M68" i="67"/>
  <c r="L68" i="67"/>
  <c r="K68" i="67"/>
  <c r="J68" i="67"/>
  <c r="I68" i="67"/>
  <c r="H68" i="67"/>
  <c r="R67" i="67"/>
  <c r="Q67" i="67"/>
  <c r="P67" i="67"/>
  <c r="O67" i="67"/>
  <c r="N67" i="67"/>
  <c r="M67" i="67"/>
  <c r="L67" i="67"/>
  <c r="K67" i="67"/>
  <c r="J67" i="67"/>
  <c r="I67" i="67"/>
  <c r="H67" i="67"/>
  <c r="R66" i="67"/>
  <c r="Q66" i="67"/>
  <c r="P66" i="67"/>
  <c r="O66" i="67"/>
  <c r="N66" i="67"/>
  <c r="M66" i="67"/>
  <c r="L66" i="67"/>
  <c r="K66" i="67"/>
  <c r="J66" i="67"/>
  <c r="I66" i="67"/>
  <c r="H66" i="67"/>
  <c r="R65" i="67"/>
  <c r="Q65" i="67"/>
  <c r="P65" i="67"/>
  <c r="O65" i="67"/>
  <c r="N65" i="67"/>
  <c r="M65" i="67"/>
  <c r="L65" i="67"/>
  <c r="K65" i="67"/>
  <c r="J65" i="67"/>
  <c r="I65" i="67"/>
  <c r="H65" i="67"/>
  <c r="R64" i="67"/>
  <c r="Q64" i="67"/>
  <c r="P64" i="67"/>
  <c r="O64" i="67"/>
  <c r="N64" i="67"/>
  <c r="M64" i="67"/>
  <c r="L64" i="67"/>
  <c r="K64" i="67"/>
  <c r="J64" i="67"/>
  <c r="I64" i="67"/>
  <c r="H64" i="67"/>
  <c r="R63" i="67"/>
  <c r="Q63" i="67"/>
  <c r="P63" i="67"/>
  <c r="O63" i="67"/>
  <c r="N63" i="67"/>
  <c r="M63" i="67"/>
  <c r="L63" i="67"/>
  <c r="K63" i="67"/>
  <c r="J63" i="67"/>
  <c r="I63" i="67"/>
  <c r="H63" i="67"/>
  <c r="R62" i="67"/>
  <c r="Q62" i="67"/>
  <c r="P62" i="67"/>
  <c r="O62" i="67"/>
  <c r="N62" i="67"/>
  <c r="M62" i="67"/>
  <c r="L62" i="67"/>
  <c r="K62" i="67"/>
  <c r="J62" i="67"/>
  <c r="I62" i="67"/>
  <c r="H62" i="67"/>
  <c r="R61" i="67"/>
  <c r="Q61" i="67"/>
  <c r="P61" i="67"/>
  <c r="O61" i="67"/>
  <c r="N61" i="67"/>
  <c r="M61" i="67"/>
  <c r="L61" i="67"/>
  <c r="K61" i="67"/>
  <c r="J61" i="67"/>
  <c r="I61" i="67"/>
  <c r="H61" i="67"/>
  <c r="R60" i="67"/>
  <c r="Q60" i="67"/>
  <c r="P60" i="67"/>
  <c r="O60" i="67"/>
  <c r="N60" i="67"/>
  <c r="M60" i="67"/>
  <c r="L60" i="67"/>
  <c r="K60" i="67"/>
  <c r="J60" i="67"/>
  <c r="I60" i="67"/>
  <c r="H60" i="67"/>
  <c r="R59" i="67"/>
  <c r="Q59" i="67"/>
  <c r="P59" i="67"/>
  <c r="O59" i="67"/>
  <c r="N59" i="67"/>
  <c r="M59" i="67"/>
  <c r="L59" i="67"/>
  <c r="K59" i="67"/>
  <c r="J59" i="67"/>
  <c r="I59" i="67"/>
  <c r="H59" i="67"/>
  <c r="R58" i="67"/>
  <c r="Q58" i="67"/>
  <c r="P58" i="67"/>
  <c r="O58" i="67"/>
  <c r="N58" i="67"/>
  <c r="M58" i="67"/>
  <c r="L58" i="67"/>
  <c r="K58" i="67"/>
  <c r="J58" i="67"/>
  <c r="I58" i="67"/>
  <c r="H58" i="67"/>
  <c r="R57" i="67"/>
  <c r="Q57" i="67"/>
  <c r="P57" i="67"/>
  <c r="O57" i="67"/>
  <c r="N57" i="67"/>
  <c r="M57" i="67"/>
  <c r="L57" i="67"/>
  <c r="K57" i="67"/>
  <c r="J57" i="67"/>
  <c r="I57" i="67"/>
  <c r="H57" i="67"/>
  <c r="R56" i="67"/>
  <c r="Q56" i="67"/>
  <c r="P56" i="67"/>
  <c r="O56" i="67"/>
  <c r="N56" i="67"/>
  <c r="M56" i="67"/>
  <c r="L56" i="67"/>
  <c r="K56" i="67"/>
  <c r="J56" i="67"/>
  <c r="I56" i="67"/>
  <c r="H56" i="67"/>
  <c r="R55" i="67"/>
  <c r="Q55" i="67"/>
  <c r="P55" i="67"/>
  <c r="O55" i="67"/>
  <c r="N55" i="67"/>
  <c r="M55" i="67"/>
  <c r="L55" i="67"/>
  <c r="K55" i="67"/>
  <c r="J55" i="67"/>
  <c r="I55" i="67"/>
  <c r="H55" i="67"/>
  <c r="R54" i="67"/>
  <c r="Q54" i="67"/>
  <c r="P54" i="67"/>
  <c r="O54" i="67"/>
  <c r="N54" i="67"/>
  <c r="M54" i="67"/>
  <c r="L54" i="67"/>
  <c r="K54" i="67"/>
  <c r="J54" i="67"/>
  <c r="I54" i="67"/>
  <c r="H54" i="67"/>
  <c r="R53" i="67"/>
  <c r="Q53" i="67"/>
  <c r="P53" i="67"/>
  <c r="O53" i="67"/>
  <c r="N53" i="67"/>
  <c r="M53" i="67"/>
  <c r="L53" i="67"/>
  <c r="K53" i="67"/>
  <c r="J53" i="67"/>
  <c r="I53" i="67"/>
  <c r="H53" i="67"/>
  <c r="R52" i="67"/>
  <c r="Q52" i="67"/>
  <c r="P52" i="67"/>
  <c r="O52" i="67"/>
  <c r="N52" i="67"/>
  <c r="M52" i="67"/>
  <c r="L52" i="67"/>
  <c r="K52" i="67"/>
  <c r="J52" i="67"/>
  <c r="I52" i="67"/>
  <c r="H52" i="67"/>
  <c r="R51" i="67"/>
  <c r="Q51" i="67"/>
  <c r="P51" i="67"/>
  <c r="O51" i="67"/>
  <c r="N51" i="67"/>
  <c r="M51" i="67"/>
  <c r="L51" i="67"/>
  <c r="K51" i="67"/>
  <c r="J51" i="67"/>
  <c r="I51" i="67"/>
  <c r="H51" i="67"/>
  <c r="R50" i="67"/>
  <c r="Q50" i="67"/>
  <c r="P50" i="67"/>
  <c r="O50" i="67"/>
  <c r="N50" i="67"/>
  <c r="M50" i="67"/>
  <c r="L50" i="67"/>
  <c r="K50" i="67"/>
  <c r="J50" i="67"/>
  <c r="I50" i="67"/>
  <c r="H50" i="67"/>
  <c r="R49" i="67"/>
  <c r="Q49" i="67"/>
  <c r="P49" i="67"/>
  <c r="O49" i="67"/>
  <c r="N49" i="67"/>
  <c r="M49" i="67"/>
  <c r="L49" i="67"/>
  <c r="K49" i="67"/>
  <c r="J49" i="67"/>
  <c r="I49" i="67"/>
  <c r="H49" i="67"/>
  <c r="R48" i="67"/>
  <c r="Q48" i="67"/>
  <c r="P48" i="67"/>
  <c r="O48" i="67"/>
  <c r="N48" i="67"/>
  <c r="M48" i="67"/>
  <c r="L48" i="67"/>
  <c r="K48" i="67"/>
  <c r="J48" i="67"/>
  <c r="I48" i="67"/>
  <c r="H48" i="67"/>
  <c r="R47" i="67"/>
  <c r="Q47" i="67"/>
  <c r="P47" i="67"/>
  <c r="O47" i="67"/>
  <c r="N47" i="67"/>
  <c r="M47" i="67"/>
  <c r="L47" i="67"/>
  <c r="K47" i="67"/>
  <c r="J47" i="67"/>
  <c r="I47" i="67"/>
  <c r="H47" i="67"/>
  <c r="R46" i="67"/>
  <c r="Q46" i="67"/>
  <c r="P46" i="67"/>
  <c r="O46" i="67"/>
  <c r="N46" i="67"/>
  <c r="M46" i="67"/>
  <c r="L46" i="67"/>
  <c r="K46" i="67"/>
  <c r="J46" i="67"/>
  <c r="I46" i="67"/>
  <c r="H46" i="67"/>
  <c r="R45" i="67"/>
  <c r="Q45" i="67"/>
  <c r="P45" i="67"/>
  <c r="O45" i="67"/>
  <c r="N45" i="67"/>
  <c r="M45" i="67"/>
  <c r="L45" i="67"/>
  <c r="K45" i="67"/>
  <c r="J45" i="67"/>
  <c r="I45" i="67"/>
  <c r="H45" i="67"/>
  <c r="R44" i="67"/>
  <c r="Q44" i="67"/>
  <c r="P44" i="67"/>
  <c r="O44" i="67"/>
  <c r="N44" i="67"/>
  <c r="M44" i="67"/>
  <c r="L44" i="67"/>
  <c r="K44" i="67"/>
  <c r="J44" i="67"/>
  <c r="I44" i="67"/>
  <c r="H44" i="67"/>
  <c r="R43" i="67"/>
  <c r="Q43" i="67"/>
  <c r="P43" i="67"/>
  <c r="O43" i="67"/>
  <c r="N43" i="67"/>
  <c r="M43" i="67"/>
  <c r="L43" i="67"/>
  <c r="K43" i="67"/>
  <c r="J43" i="67"/>
  <c r="I43" i="67"/>
  <c r="H43" i="67"/>
  <c r="R42" i="67"/>
  <c r="Q42" i="67"/>
  <c r="P42" i="67"/>
  <c r="O42" i="67"/>
  <c r="N42" i="67"/>
  <c r="M42" i="67"/>
  <c r="L42" i="67"/>
  <c r="K42" i="67"/>
  <c r="J42" i="67"/>
  <c r="I42" i="67"/>
  <c r="H42" i="67"/>
  <c r="R41" i="67"/>
  <c r="Q41" i="67"/>
  <c r="P41" i="67"/>
  <c r="O41" i="67"/>
  <c r="N41" i="67"/>
  <c r="M41" i="67"/>
  <c r="L41" i="67"/>
  <c r="K41" i="67"/>
  <c r="J41" i="67"/>
  <c r="I41" i="67"/>
  <c r="H41" i="67"/>
  <c r="R40" i="67"/>
  <c r="Q40" i="67"/>
  <c r="P40" i="67"/>
  <c r="O40" i="67"/>
  <c r="N40" i="67"/>
  <c r="M40" i="67"/>
  <c r="L40" i="67"/>
  <c r="K40" i="67"/>
  <c r="J40" i="67"/>
  <c r="I40" i="67"/>
  <c r="H40" i="67"/>
  <c r="R39" i="67"/>
  <c r="Q39" i="67"/>
  <c r="P39" i="67"/>
  <c r="O39" i="67"/>
  <c r="N39" i="67"/>
  <c r="M39" i="67"/>
  <c r="L39" i="67"/>
  <c r="K39" i="67"/>
  <c r="J39" i="67"/>
  <c r="I39" i="67"/>
  <c r="H39" i="67"/>
  <c r="R38" i="67"/>
  <c r="Q38" i="67"/>
  <c r="P38" i="67"/>
  <c r="O38" i="67"/>
  <c r="N38" i="67"/>
  <c r="M38" i="67"/>
  <c r="L38" i="67"/>
  <c r="K38" i="67"/>
  <c r="J38" i="67"/>
  <c r="I38" i="67"/>
  <c r="H38" i="67"/>
  <c r="R37" i="67"/>
  <c r="Q37" i="67"/>
  <c r="P37" i="67"/>
  <c r="O37" i="67"/>
  <c r="N37" i="67"/>
  <c r="M37" i="67"/>
  <c r="L37" i="67"/>
  <c r="K37" i="67"/>
  <c r="J37" i="67"/>
  <c r="I37" i="67"/>
  <c r="H37" i="67"/>
  <c r="R36" i="67"/>
  <c r="Q36" i="67"/>
  <c r="P36" i="67"/>
  <c r="O36" i="67"/>
  <c r="N36" i="67"/>
  <c r="M36" i="67"/>
  <c r="L36" i="67"/>
  <c r="K36" i="67"/>
  <c r="J36" i="67"/>
  <c r="I36" i="67"/>
  <c r="H36" i="67"/>
  <c r="R35" i="67"/>
  <c r="Q35" i="67"/>
  <c r="P35" i="67"/>
  <c r="O35" i="67"/>
  <c r="N35" i="67"/>
  <c r="M35" i="67"/>
  <c r="L35" i="67"/>
  <c r="K35" i="67"/>
  <c r="J35" i="67"/>
  <c r="I35" i="67"/>
  <c r="H35" i="67"/>
  <c r="R34" i="67"/>
  <c r="Q34" i="67"/>
  <c r="P34" i="67"/>
  <c r="O34" i="67"/>
  <c r="N34" i="67"/>
  <c r="M34" i="67"/>
  <c r="L34" i="67"/>
  <c r="K34" i="67"/>
  <c r="J34" i="67"/>
  <c r="I34" i="67"/>
  <c r="H34" i="67"/>
  <c r="R33" i="67"/>
  <c r="Q33" i="67"/>
  <c r="P33" i="67"/>
  <c r="O33" i="67"/>
  <c r="N33" i="67"/>
  <c r="M33" i="67"/>
  <c r="L33" i="67"/>
  <c r="K33" i="67"/>
  <c r="J33" i="67"/>
  <c r="I33" i="67"/>
  <c r="H33" i="67"/>
  <c r="R32" i="67"/>
  <c r="Q32" i="67"/>
  <c r="P32" i="67"/>
  <c r="O32" i="67"/>
  <c r="N32" i="67"/>
  <c r="M32" i="67"/>
  <c r="L32" i="67"/>
  <c r="K32" i="67"/>
  <c r="J32" i="67"/>
  <c r="I32" i="67"/>
  <c r="H32" i="67"/>
  <c r="R31" i="67"/>
  <c r="Q31" i="67"/>
  <c r="P31" i="67"/>
  <c r="O31" i="67"/>
  <c r="N31" i="67"/>
  <c r="M31" i="67"/>
  <c r="L31" i="67"/>
  <c r="K31" i="67"/>
  <c r="J31" i="67"/>
  <c r="I31" i="67"/>
  <c r="H31" i="67"/>
  <c r="R30" i="67"/>
  <c r="Q30" i="67"/>
  <c r="P30" i="67"/>
  <c r="O30" i="67"/>
  <c r="N30" i="67"/>
  <c r="M30" i="67"/>
  <c r="L30" i="67"/>
  <c r="K30" i="67"/>
  <c r="J30" i="67"/>
  <c r="I30" i="67"/>
  <c r="H30" i="67"/>
  <c r="R29" i="67"/>
  <c r="Q29" i="67"/>
  <c r="P29" i="67"/>
  <c r="O29" i="67"/>
  <c r="N29" i="67"/>
  <c r="M29" i="67"/>
  <c r="L29" i="67"/>
  <c r="K29" i="67"/>
  <c r="J29" i="67"/>
  <c r="I29" i="67"/>
  <c r="H29" i="67"/>
  <c r="R28" i="67"/>
  <c r="Q28" i="67"/>
  <c r="P28" i="67"/>
  <c r="O28" i="67"/>
  <c r="N28" i="67"/>
  <c r="M28" i="67"/>
  <c r="L28" i="67"/>
  <c r="K28" i="67"/>
  <c r="J28" i="67"/>
  <c r="I28" i="67"/>
  <c r="H28" i="67"/>
  <c r="R27" i="67"/>
  <c r="Q27" i="67"/>
  <c r="P27" i="67"/>
  <c r="O27" i="67"/>
  <c r="N27" i="67"/>
  <c r="M27" i="67"/>
  <c r="L27" i="67"/>
  <c r="K27" i="67"/>
  <c r="J27" i="67"/>
  <c r="I27" i="67"/>
  <c r="H27" i="67"/>
  <c r="R26" i="67"/>
  <c r="Q26" i="67"/>
  <c r="P26" i="67"/>
  <c r="O26" i="67"/>
  <c r="N26" i="67"/>
  <c r="M26" i="67"/>
  <c r="L26" i="67"/>
  <c r="K26" i="67"/>
  <c r="J26" i="67"/>
  <c r="I26" i="67"/>
  <c r="H26" i="67"/>
  <c r="R25" i="67"/>
  <c r="Q25" i="67"/>
  <c r="P25" i="67"/>
  <c r="O25" i="67"/>
  <c r="N25" i="67"/>
  <c r="M25" i="67"/>
  <c r="L25" i="67"/>
  <c r="K25" i="67"/>
  <c r="J25" i="67"/>
  <c r="I25" i="67"/>
  <c r="H25" i="67"/>
  <c r="R24" i="67"/>
  <c r="Q24" i="67"/>
  <c r="P24" i="67"/>
  <c r="O24" i="67"/>
  <c r="N24" i="67"/>
  <c r="M24" i="67"/>
  <c r="L24" i="67"/>
  <c r="K24" i="67"/>
  <c r="J24" i="67"/>
  <c r="I24" i="67"/>
  <c r="H24" i="67"/>
  <c r="R23" i="67"/>
  <c r="Q23" i="67"/>
  <c r="P23" i="67"/>
  <c r="O23" i="67"/>
  <c r="N23" i="67"/>
  <c r="M23" i="67"/>
  <c r="L23" i="67"/>
  <c r="K23" i="67"/>
  <c r="J23" i="67"/>
  <c r="I23" i="67"/>
  <c r="H23" i="67"/>
  <c r="R22" i="67"/>
  <c r="Q22" i="67"/>
  <c r="P22" i="67"/>
  <c r="O22" i="67"/>
  <c r="N22" i="67"/>
  <c r="M22" i="67"/>
  <c r="L22" i="67"/>
  <c r="K22" i="67"/>
  <c r="J22" i="67"/>
  <c r="I22" i="67"/>
  <c r="H22" i="67"/>
  <c r="R21" i="67"/>
  <c r="Q21" i="67"/>
  <c r="P21" i="67"/>
  <c r="O21" i="67"/>
  <c r="N21" i="67"/>
  <c r="M21" i="67"/>
  <c r="L21" i="67"/>
  <c r="K21" i="67"/>
  <c r="J21" i="67"/>
  <c r="I21" i="67"/>
  <c r="H21" i="67"/>
  <c r="R20" i="67"/>
  <c r="Q20" i="67"/>
  <c r="P20" i="67"/>
  <c r="O20" i="67"/>
  <c r="N20" i="67"/>
  <c r="M20" i="67"/>
  <c r="L20" i="67"/>
  <c r="K20" i="67"/>
  <c r="J20" i="67"/>
  <c r="I20" i="67"/>
  <c r="H20" i="67"/>
  <c r="R19" i="67"/>
  <c r="Q19" i="67"/>
  <c r="P19" i="67"/>
  <c r="O19" i="67"/>
  <c r="N19" i="67"/>
  <c r="M19" i="67"/>
  <c r="L19" i="67"/>
  <c r="K19" i="67"/>
  <c r="J19" i="67"/>
  <c r="I19" i="67"/>
  <c r="H19" i="67"/>
  <c r="R18" i="67"/>
  <c r="Q18" i="67"/>
  <c r="P18" i="67"/>
  <c r="O18" i="67"/>
  <c r="N18" i="67"/>
  <c r="M18" i="67"/>
  <c r="L18" i="67"/>
  <c r="K18" i="67"/>
  <c r="J18" i="67"/>
  <c r="I18" i="67"/>
  <c r="H18" i="67"/>
  <c r="R17" i="67"/>
  <c r="Q17" i="67"/>
  <c r="P17" i="67"/>
  <c r="O17" i="67"/>
  <c r="N17" i="67"/>
  <c r="M17" i="67"/>
  <c r="L17" i="67"/>
  <c r="K17" i="67"/>
  <c r="J17" i="67"/>
  <c r="I17" i="67"/>
  <c r="H17" i="67"/>
  <c r="M78" i="104"/>
  <c r="G64" i="153" l="1"/>
  <c r="I64" i="153" s="1"/>
  <c r="D16" i="155" l="1"/>
  <c r="D16" i="112" l="1"/>
  <c r="B9" i="167" l="1"/>
  <c r="G64" i="96" l="1"/>
  <c r="I64" i="96" s="1"/>
  <c r="F77" i="56" l="1"/>
  <c r="F78" i="56"/>
  <c r="F76" i="56"/>
  <c r="D5" i="92" l="1"/>
  <c r="F59" i="113" l="1"/>
  <c r="K2385" i="120" l="1"/>
  <c r="J2385" i="120"/>
  <c r="I2385" i="120"/>
  <c r="H2385" i="120"/>
  <c r="G2385" i="120"/>
  <c r="F2385" i="120"/>
  <c r="E2385" i="120"/>
  <c r="D2385" i="120"/>
  <c r="K2383" i="120"/>
  <c r="K2382" i="120"/>
  <c r="J2382" i="120"/>
  <c r="I2382" i="120"/>
  <c r="H2382" i="120"/>
  <c r="G2382" i="120"/>
  <c r="F2382" i="120"/>
  <c r="E2382" i="120"/>
  <c r="D2382" i="120"/>
  <c r="K2380" i="120"/>
  <c r="G1890" i="119"/>
  <c r="F1890" i="119"/>
  <c r="E1890" i="119"/>
  <c r="G1887" i="119"/>
  <c r="F1887" i="119"/>
  <c r="E1887" i="119"/>
  <c r="M1987" i="161"/>
  <c r="L1987" i="161"/>
  <c r="M5" i="58"/>
  <c r="M6" i="58"/>
  <c r="M8" i="58"/>
  <c r="M9" i="58"/>
  <c r="D59" i="166"/>
  <c r="B20" i="166"/>
  <c r="B21" i="166" s="1"/>
  <c r="B22" i="166" s="1"/>
  <c r="B23" i="166" s="1"/>
  <c r="B24" i="166" s="1"/>
  <c r="B25" i="166" s="1"/>
  <c r="B26" i="166" s="1"/>
  <c r="B27" i="166" s="1"/>
  <c r="B28" i="166" s="1"/>
  <c r="B30" i="166" s="1"/>
  <c r="B31" i="166" s="1"/>
  <c r="B32" i="166" s="1"/>
  <c r="B33" i="166" s="1"/>
  <c r="B34" i="166" s="1"/>
  <c r="B35" i="166" s="1"/>
  <c r="B36" i="166" s="1"/>
  <c r="B37" i="166" s="1"/>
  <c r="B38" i="166" s="1"/>
  <c r="B39" i="166" s="1"/>
  <c r="B40" i="166" s="1"/>
  <c r="B41" i="166" s="1"/>
  <c r="B42" i="166" s="1"/>
  <c r="B43" i="166" s="1"/>
  <c r="B44" i="166" s="1"/>
  <c r="B45" i="166" s="1"/>
  <c r="B46" i="166" s="1"/>
  <c r="B47" i="166" s="1"/>
  <c r="B48" i="166" s="1"/>
  <c r="B49" i="166" s="1"/>
  <c r="B50" i="166" s="1"/>
  <c r="B51" i="166" s="1"/>
  <c r="B52" i="166" s="1"/>
  <c r="B53" i="166" s="1"/>
  <c r="B54" i="166" s="1"/>
  <c r="B55" i="166" s="1"/>
  <c r="B56" i="166" s="1"/>
  <c r="B57" i="166" s="1"/>
  <c r="B58" i="166" s="1"/>
  <c r="B59" i="166" s="1"/>
  <c r="B60" i="166" s="1"/>
  <c r="B61" i="166" s="1"/>
  <c r="B62" i="166" s="1"/>
  <c r="B63" i="166" s="1"/>
  <c r="B64" i="166" s="1"/>
  <c r="B65" i="166" s="1"/>
  <c r="B66" i="166" s="1"/>
  <c r="B67" i="166" s="1"/>
  <c r="B68" i="166" s="1"/>
  <c r="B69" i="166" s="1"/>
  <c r="B70" i="166" s="1"/>
  <c r="B71" i="166" s="1"/>
  <c r="B72" i="166" s="1"/>
  <c r="B73" i="166" s="1"/>
  <c r="B74" i="166" s="1"/>
  <c r="B75" i="166" s="1"/>
  <c r="B76" i="166" s="1"/>
  <c r="B77" i="166" s="1"/>
  <c r="B78" i="166" s="1"/>
  <c r="B79" i="166" s="1"/>
  <c r="B80" i="166" s="1"/>
  <c r="B81" i="166" s="1"/>
  <c r="B82" i="166" s="1"/>
  <c r="B83" i="166" s="1"/>
  <c r="B84" i="166" s="1"/>
  <c r="B85" i="166" s="1"/>
  <c r="B86" i="166" s="1"/>
  <c r="B87" i="166" s="1"/>
  <c r="B88" i="166" s="1"/>
  <c r="B89" i="166" s="1"/>
  <c r="B90" i="166" s="1"/>
  <c r="B91" i="166" s="1"/>
  <c r="B92" i="166" s="1"/>
  <c r="B93" i="166" s="1"/>
  <c r="B94" i="166" s="1"/>
  <c r="B95" i="166" s="1"/>
  <c r="B96" i="166" s="1"/>
  <c r="B97" i="166" s="1"/>
  <c r="B98" i="166" s="1"/>
  <c r="B99" i="166" s="1"/>
  <c r="B100" i="166" s="1"/>
  <c r="B101" i="166" s="1"/>
  <c r="F17" i="166"/>
  <c r="F28" i="166" s="1"/>
  <c r="G10" i="166"/>
  <c r="J4" i="166"/>
  <c r="H191" i="164"/>
  <c r="H152" i="164"/>
  <c r="H101" i="164"/>
  <c r="H84" i="164"/>
  <c r="H69" i="164"/>
  <c r="C60" i="164"/>
  <c r="C61" i="164" s="1"/>
  <c r="C62" i="164" s="1"/>
  <c r="C63" i="164" s="1"/>
  <c r="C64" i="164" s="1"/>
  <c r="C65" i="164" s="1"/>
  <c r="C66" i="164" s="1"/>
  <c r="C67" i="164" s="1"/>
  <c r="C68" i="164" s="1"/>
  <c r="C69" i="164" s="1"/>
  <c r="C70" i="164" s="1"/>
  <c r="C71" i="164" s="1"/>
  <c r="C72" i="164" s="1"/>
  <c r="C73" i="164" s="1"/>
  <c r="C74" i="164" s="1"/>
  <c r="C75" i="164" s="1"/>
  <c r="C76" i="164" s="1"/>
  <c r="C77" i="164" s="1"/>
  <c r="C78" i="164" s="1"/>
  <c r="C79" i="164" s="1"/>
  <c r="C80" i="164" s="1"/>
  <c r="C81" i="164" s="1"/>
  <c r="C82" i="164" s="1"/>
  <c r="C83" i="164" s="1"/>
  <c r="C84" i="164" s="1"/>
  <c r="C85" i="164" s="1"/>
  <c r="C86" i="164" s="1"/>
  <c r="C87" i="164" s="1"/>
  <c r="C88" i="164" s="1"/>
  <c r="C89" i="164" s="1"/>
  <c r="C90" i="164" s="1"/>
  <c r="C91" i="164" s="1"/>
  <c r="C92" i="164" s="1"/>
  <c r="C93" i="164" s="1"/>
  <c r="C94" i="164" s="1"/>
  <c r="C95" i="164" s="1"/>
  <c r="C96" i="164" s="1"/>
  <c r="C97" i="164" s="1"/>
  <c r="C98" i="164" s="1"/>
  <c r="C99" i="164" s="1"/>
  <c r="C100" i="164" s="1"/>
  <c r="C101" i="164" s="1"/>
  <c r="C102" i="164" s="1"/>
  <c r="C103" i="164" s="1"/>
  <c r="C104" i="164" s="1"/>
  <c r="C105" i="164" s="1"/>
  <c r="C106" i="164" s="1"/>
  <c r="C107" i="164" s="1"/>
  <c r="C108" i="164" s="1"/>
  <c r="C109" i="164" s="1"/>
  <c r="C110" i="164" s="1"/>
  <c r="C111" i="164" s="1"/>
  <c r="C112" i="164" s="1"/>
  <c r="C113" i="164" s="1"/>
  <c r="C114" i="164" s="1"/>
  <c r="C115" i="164" s="1"/>
  <c r="C116" i="164" s="1"/>
  <c r="C117" i="164" s="1"/>
  <c r="C118" i="164" s="1"/>
  <c r="C119" i="164" s="1"/>
  <c r="C120" i="164" s="1"/>
  <c r="C121" i="164" s="1"/>
  <c r="C122" i="164" s="1"/>
  <c r="C123" i="164" s="1"/>
  <c r="C124" i="164" s="1"/>
  <c r="C125" i="164" s="1"/>
  <c r="C126" i="164" s="1"/>
  <c r="C127" i="164" s="1"/>
  <c r="C128" i="164" s="1"/>
  <c r="C129" i="164" s="1"/>
  <c r="C130" i="164" s="1"/>
  <c r="C131" i="164" s="1"/>
  <c r="C132" i="164" s="1"/>
  <c r="C133" i="164" s="1"/>
  <c r="C134" i="164" s="1"/>
  <c r="C135" i="164" s="1"/>
  <c r="C136" i="164" s="1"/>
  <c r="C137" i="164" s="1"/>
  <c r="C138" i="164" s="1"/>
  <c r="C139" i="164" s="1"/>
  <c r="C140" i="164" s="1"/>
  <c r="C141" i="164" s="1"/>
  <c r="C142" i="164" s="1"/>
  <c r="C143" i="164" s="1"/>
  <c r="C144" i="164" s="1"/>
  <c r="C145" i="164" s="1"/>
  <c r="C146" i="164" s="1"/>
  <c r="C147" i="164" s="1"/>
  <c r="C148" i="164" s="1"/>
  <c r="C149" i="164" s="1"/>
  <c r="C150" i="164" s="1"/>
  <c r="C151" i="164" s="1"/>
  <c r="C152" i="164" s="1"/>
  <c r="C153" i="164" s="1"/>
  <c r="C154" i="164" s="1"/>
  <c r="C155" i="164" s="1"/>
  <c r="C156" i="164" s="1"/>
  <c r="C157" i="164" s="1"/>
  <c r="C158" i="164" s="1"/>
  <c r="C159" i="164" s="1"/>
  <c r="C160" i="164" s="1"/>
  <c r="C161" i="164" s="1"/>
  <c r="C162" i="164" s="1"/>
  <c r="C163" i="164" s="1"/>
  <c r="C164" i="164" s="1"/>
  <c r="C165" i="164" s="1"/>
  <c r="C166" i="164" s="1"/>
  <c r="C167" i="164" s="1"/>
  <c r="C168" i="164" s="1"/>
  <c r="C169" i="164" s="1"/>
  <c r="C170" i="164" s="1"/>
  <c r="C171" i="164" s="1"/>
  <c r="C172" i="164" s="1"/>
  <c r="C173" i="164" s="1"/>
  <c r="C174" i="164" s="1"/>
  <c r="C175" i="164" s="1"/>
  <c r="C176" i="164" s="1"/>
  <c r="C177" i="164" s="1"/>
  <c r="C178" i="164" s="1"/>
  <c r="C179" i="164" s="1"/>
  <c r="C180" i="164" s="1"/>
  <c r="C181" i="164" s="1"/>
  <c r="C182" i="164" s="1"/>
  <c r="C183" i="164" s="1"/>
  <c r="C184" i="164" s="1"/>
  <c r="C185" i="164" s="1"/>
  <c r="C186" i="164" s="1"/>
  <c r="C187" i="164" s="1"/>
  <c r="C188" i="164" s="1"/>
  <c r="C189" i="164" s="1"/>
  <c r="C190" i="164" s="1"/>
  <c r="C191" i="164" s="1"/>
  <c r="C192" i="164" s="1"/>
  <c r="C193" i="164" s="1"/>
  <c r="C194" i="164" s="1"/>
  <c r="C195" i="164" s="1"/>
  <c r="C196" i="164" s="1"/>
  <c r="C197" i="164" s="1"/>
  <c r="C198" i="164" s="1"/>
  <c r="C199" i="164" s="1"/>
  <c r="C200" i="164" s="1"/>
  <c r="D47" i="164"/>
  <c r="E47" i="164" s="1"/>
  <c r="G47" i="164" s="1"/>
  <c r="D42" i="164"/>
  <c r="E42" i="164" s="1"/>
  <c r="G42" i="164" s="1"/>
  <c r="F33" i="164"/>
  <c r="E33" i="164"/>
  <c r="A33" i="164"/>
  <c r="E32" i="164"/>
  <c r="A32" i="164"/>
  <c r="F31" i="164"/>
  <c r="E31" i="164"/>
  <c r="A31" i="164"/>
  <c r="E30" i="164"/>
  <c r="A30" i="164"/>
  <c r="F29" i="164"/>
  <c r="E29" i="164"/>
  <c r="A29" i="164"/>
  <c r="E28" i="164"/>
  <c r="A28" i="164"/>
  <c r="E27" i="164"/>
  <c r="A27" i="164"/>
  <c r="F26" i="164"/>
  <c r="E26" i="164"/>
  <c r="A26" i="164"/>
  <c r="G25" i="164"/>
  <c r="F25" i="164"/>
  <c r="E25" i="164"/>
  <c r="A25" i="164"/>
  <c r="E19" i="164"/>
  <c r="D19" i="164"/>
  <c r="E18" i="164"/>
  <c r="D18" i="164"/>
  <c r="D16" i="164"/>
  <c r="E15" i="164"/>
  <c r="E14" i="164"/>
  <c r="E13" i="164"/>
  <c r="E12" i="164"/>
  <c r="E11" i="164"/>
  <c r="D11" i="164"/>
  <c r="D6" i="164"/>
  <c r="G154" i="164" s="1"/>
  <c r="D3" i="164"/>
  <c r="H115" i="164" s="1"/>
  <c r="F1339" i="161"/>
  <c r="F1333" i="161"/>
  <c r="I1333" i="161" s="1"/>
  <c r="F1041" i="161"/>
  <c r="F1040" i="161"/>
  <c r="F1434" i="161" s="1"/>
  <c r="I1434" i="161" s="1"/>
  <c r="F1039" i="161"/>
  <c r="F477" i="161"/>
  <c r="F474" i="161"/>
  <c r="I474" i="161" s="1"/>
  <c r="F313" i="161"/>
  <c r="I313" i="161" s="1"/>
  <c r="F179" i="161"/>
  <c r="I179" i="161" s="1"/>
  <c r="F187" i="151"/>
  <c r="F526" i="161" s="1"/>
  <c r="I526" i="161" s="1"/>
  <c r="F92" i="151"/>
  <c r="F86" i="151"/>
  <c r="F307" i="161" s="1"/>
  <c r="I307" i="161" s="1"/>
  <c r="F480" i="151"/>
  <c r="F358" i="151"/>
  <c r="F1034" i="161" s="1"/>
  <c r="F159" i="151"/>
  <c r="F479" i="161" s="1"/>
  <c r="F158" i="151"/>
  <c r="F478" i="161" s="1"/>
  <c r="I478" i="161" s="1"/>
  <c r="F157" i="151"/>
  <c r="H17" i="101"/>
  <c r="G17" i="101"/>
  <c r="F17" i="101"/>
  <c r="Q2054" i="161"/>
  <c r="Q2023" i="161"/>
  <c r="Q2020" i="161"/>
  <c r="Q1996" i="161"/>
  <c r="G1996" i="161"/>
  <c r="Q1994" i="161"/>
  <c r="P1994" i="161"/>
  <c r="O1994" i="161"/>
  <c r="N1994" i="161"/>
  <c r="M1994" i="161"/>
  <c r="L1994" i="161"/>
  <c r="K1994" i="161"/>
  <c r="H1994" i="161"/>
  <c r="F1994" i="161" s="1"/>
  <c r="G1994" i="161"/>
  <c r="Q1991" i="161"/>
  <c r="P1991" i="161"/>
  <c r="O1991" i="161"/>
  <c r="N1991" i="161"/>
  <c r="M1991" i="161"/>
  <c r="L1991" i="161"/>
  <c r="K1991" i="161"/>
  <c r="H1991" i="161"/>
  <c r="G1991" i="161"/>
  <c r="F1991" i="161" s="1"/>
  <c r="P1987" i="161"/>
  <c r="O1987" i="161"/>
  <c r="N1987" i="161"/>
  <c r="G1987" i="161"/>
  <c r="H1975" i="161"/>
  <c r="G1975" i="161"/>
  <c r="H1969" i="161"/>
  <c r="G1969" i="161"/>
  <c r="G1965" i="161"/>
  <c r="Q1950" i="161"/>
  <c r="G1950" i="161"/>
  <c r="Q1947" i="161"/>
  <c r="G1947" i="161"/>
  <c r="G1938" i="161"/>
  <c r="G1935" i="161"/>
  <c r="G1932" i="161"/>
  <c r="I1671" i="161"/>
  <c r="F1429" i="161"/>
  <c r="I1429" i="161" s="1"/>
  <c r="I1360" i="161"/>
  <c r="I1339" i="161"/>
  <c r="I1178" i="161"/>
  <c r="I1146" i="161"/>
  <c r="F1435" i="161"/>
  <c r="I1435" i="161" s="1"/>
  <c r="I981" i="161"/>
  <c r="I950" i="161"/>
  <c r="Q687" i="161"/>
  <c r="P687" i="161"/>
  <c r="O687" i="161"/>
  <c r="N687" i="161"/>
  <c r="M687" i="161"/>
  <c r="L687" i="161"/>
  <c r="K687" i="161"/>
  <c r="J687" i="161"/>
  <c r="H687" i="161"/>
  <c r="G687" i="161"/>
  <c r="F687" i="161"/>
  <c r="I687" i="161" s="1"/>
  <c r="I686" i="161"/>
  <c r="I685" i="161"/>
  <c r="I684" i="161"/>
  <c r="I683" i="161"/>
  <c r="I682" i="161"/>
  <c r="I681" i="161"/>
  <c r="I680" i="161"/>
  <c r="I679" i="161"/>
  <c r="I441" i="161"/>
  <c r="K267" i="161"/>
  <c r="J267" i="161"/>
  <c r="I267" i="161"/>
  <c r="I159" i="161"/>
  <c r="I149" i="161"/>
  <c r="I148" i="161"/>
  <c r="I139" i="161"/>
  <c r="I138" i="161"/>
  <c r="I127" i="161"/>
  <c r="I126" i="161"/>
  <c r="I119" i="161"/>
  <c r="I118" i="161"/>
  <c r="I116" i="161"/>
  <c r="D81" i="161"/>
  <c r="J74" i="161"/>
  <c r="Q74" i="161" s="1"/>
  <c r="F74" i="161"/>
  <c r="H74" i="161" s="1"/>
  <c r="G43" i="160"/>
  <c r="E28" i="159"/>
  <c r="E27" i="159"/>
  <c r="E26" i="159"/>
  <c r="E25" i="159"/>
  <c r="E24" i="159"/>
  <c r="F22" i="159"/>
  <c r="E11" i="159"/>
  <c r="C11" i="159"/>
  <c r="E23" i="158"/>
  <c r="D22" i="158"/>
  <c r="F22" i="158" s="1"/>
  <c r="F26" i="158" s="1"/>
  <c r="D21" i="158"/>
  <c r="F21" i="158" s="1"/>
  <c r="D20" i="158"/>
  <c r="F20" i="158" s="1"/>
  <c r="D19" i="158"/>
  <c r="E9" i="96"/>
  <c r="E8" i="96"/>
  <c r="H46" i="157"/>
  <c r="F160" i="151" s="1"/>
  <c r="F480" i="161" s="1"/>
  <c r="H45" i="157"/>
  <c r="H44" i="157"/>
  <c r="H43" i="157"/>
  <c r="H42" i="157"/>
  <c r="F156" i="151" s="1"/>
  <c r="F476" i="161" s="1"/>
  <c r="I476" i="161" s="1"/>
  <c r="H41" i="157"/>
  <c r="F155" i="151" s="1"/>
  <c r="F475" i="161" s="1"/>
  <c r="K18" i="157"/>
  <c r="H17" i="157"/>
  <c r="G17" i="157"/>
  <c r="F17" i="157"/>
  <c r="K11" i="157"/>
  <c r="K4" i="157"/>
  <c r="F31" i="156"/>
  <c r="F26" i="156"/>
  <c r="L25" i="156"/>
  <c r="F25" i="156"/>
  <c r="F22" i="156"/>
  <c r="L18" i="156"/>
  <c r="L11" i="156"/>
  <c r="F20" i="155"/>
  <c r="E19" i="155"/>
  <c r="D19" i="155"/>
  <c r="F18" i="155"/>
  <c r="F67" i="155" s="1"/>
  <c r="D17" i="155"/>
  <c r="F17" i="155" s="1"/>
  <c r="F39" i="155" s="1"/>
  <c r="E9" i="153"/>
  <c r="E8" i="153"/>
  <c r="H83" i="153"/>
  <c r="H81" i="153"/>
  <c r="H80" i="153"/>
  <c r="H75" i="153"/>
  <c r="U71" i="153"/>
  <c r="L71" i="153"/>
  <c r="H71" i="153"/>
  <c r="I70" i="153"/>
  <c r="H63" i="153"/>
  <c r="H66" i="153" s="1"/>
  <c r="G44" i="153"/>
  <c r="G43" i="153"/>
  <c r="G42" i="153"/>
  <c r="G41" i="153"/>
  <c r="G36" i="153"/>
  <c r="F36" i="153"/>
  <c r="G35" i="153"/>
  <c r="G34" i="153"/>
  <c r="G33" i="153"/>
  <c r="F33" i="153"/>
  <c r="G27" i="153"/>
  <c r="F27" i="153"/>
  <c r="G26" i="153"/>
  <c r="G25" i="153"/>
  <c r="G24" i="153"/>
  <c r="G23" i="153"/>
  <c r="U173" i="152"/>
  <c r="T173" i="152"/>
  <c r="M246" i="152"/>
  <c r="L246" i="152"/>
  <c r="O246" i="152" s="1"/>
  <c r="K246" i="152"/>
  <c r="N246" i="152" s="1"/>
  <c r="H206" i="152"/>
  <c r="H194" i="152"/>
  <c r="H208" i="152" s="1"/>
  <c r="I191" i="152"/>
  <c r="M100" i="152"/>
  <c r="G65" i="152"/>
  <c r="F64" i="152"/>
  <c r="H64" i="152" s="1"/>
  <c r="F63" i="152"/>
  <c r="H63" i="152" s="1"/>
  <c r="F62" i="152"/>
  <c r="H62" i="152" s="1"/>
  <c r="F61" i="152"/>
  <c r="H61" i="152" s="1"/>
  <c r="F57" i="152"/>
  <c r="H57" i="152" s="1"/>
  <c r="F56" i="152"/>
  <c r="H56" i="152" s="1"/>
  <c r="G55" i="152"/>
  <c r="F55" i="152"/>
  <c r="F54" i="152"/>
  <c r="G51" i="152"/>
  <c r="F50" i="152"/>
  <c r="H50" i="152" s="1"/>
  <c r="F49" i="152"/>
  <c r="H49" i="152" s="1"/>
  <c r="F48" i="152"/>
  <c r="H48" i="152" s="1"/>
  <c r="F47" i="152"/>
  <c r="H47" i="152" s="1"/>
  <c r="F46" i="152"/>
  <c r="H46" i="152" s="1"/>
  <c r="D9" i="152"/>
  <c r="D8" i="152"/>
  <c r="D7" i="152"/>
  <c r="D6" i="152"/>
  <c r="F40" i="151"/>
  <c r="F182" i="161" s="1"/>
  <c r="I182" i="161" s="1"/>
  <c r="F38" i="151"/>
  <c r="F180" i="161" s="1"/>
  <c r="F37" i="151"/>
  <c r="F36" i="151"/>
  <c r="Z53" i="150"/>
  <c r="Z47" i="150"/>
  <c r="V60" i="150"/>
  <c r="W173" i="152" s="1"/>
  <c r="U60" i="150"/>
  <c r="V173" i="152" s="1"/>
  <c r="T60" i="150"/>
  <c r="S60" i="150"/>
  <c r="R60" i="150"/>
  <c r="S173" i="152" s="1"/>
  <c r="J19" i="149"/>
  <c r="E19" i="149" s="1"/>
  <c r="M40" i="149"/>
  <c r="E40" i="149" s="1"/>
  <c r="F308" i="151" s="1"/>
  <c r="F924" i="161" s="1"/>
  <c r="L33" i="149"/>
  <c r="K26" i="149"/>
  <c r="I202" i="149"/>
  <c r="H202" i="149"/>
  <c r="G202" i="149"/>
  <c r="F202" i="149"/>
  <c r="F204" i="149" s="1"/>
  <c r="R201" i="149"/>
  <c r="Q201" i="149"/>
  <c r="P201" i="149"/>
  <c r="O201" i="149"/>
  <c r="N201" i="149"/>
  <c r="G201" i="149"/>
  <c r="F201" i="149"/>
  <c r="U198" i="149"/>
  <c r="Q198" i="149"/>
  <c r="Q202" i="149" s="1"/>
  <c r="Q204" i="149" s="1"/>
  <c r="U194" i="149"/>
  <c r="U191" i="149"/>
  <c r="U187" i="149"/>
  <c r="U184" i="149"/>
  <c r="U180" i="149"/>
  <c r="U177" i="149"/>
  <c r="U173" i="149"/>
  <c r="U170" i="149"/>
  <c r="U166" i="149"/>
  <c r="U163" i="149"/>
  <c r="I163" i="149"/>
  <c r="H163" i="149"/>
  <c r="U159" i="149"/>
  <c r="U156" i="149"/>
  <c r="U152" i="149"/>
  <c r="U201" i="149" s="1"/>
  <c r="I145" i="149"/>
  <c r="H145" i="149"/>
  <c r="G145" i="149"/>
  <c r="F145" i="149"/>
  <c r="R144" i="149"/>
  <c r="Q144" i="149"/>
  <c r="P144" i="149"/>
  <c r="O144" i="149"/>
  <c r="N144" i="149"/>
  <c r="F144" i="149"/>
  <c r="F147" i="149" s="1"/>
  <c r="U141" i="149"/>
  <c r="Q141" i="149"/>
  <c r="E141" i="149" s="1"/>
  <c r="F398" i="151" s="1"/>
  <c r="F1129" i="161" s="1"/>
  <c r="U137" i="149"/>
  <c r="U134" i="149"/>
  <c r="U130" i="149"/>
  <c r="U127" i="149"/>
  <c r="U123" i="149"/>
  <c r="U120" i="149"/>
  <c r="U116" i="149"/>
  <c r="U113" i="149"/>
  <c r="U109" i="149"/>
  <c r="I106" i="149"/>
  <c r="H106" i="149"/>
  <c r="G106" i="149"/>
  <c r="U99" i="149" s="1"/>
  <c r="U102" i="149"/>
  <c r="U95" i="149"/>
  <c r="F89" i="149"/>
  <c r="AA166" i="152" s="1"/>
  <c r="L75" i="149"/>
  <c r="AA160" i="152" s="1"/>
  <c r="I53" i="149"/>
  <c r="H53" i="149"/>
  <c r="G53" i="149"/>
  <c r="F53" i="149"/>
  <c r="R52" i="149"/>
  <c r="Q52" i="149"/>
  <c r="P52" i="149"/>
  <c r="O52" i="149"/>
  <c r="N52" i="149"/>
  <c r="F52" i="149"/>
  <c r="U50" i="149"/>
  <c r="Q49" i="149"/>
  <c r="E49" i="149" s="1"/>
  <c r="F315" i="151" s="1"/>
  <c r="F933" i="161" s="1"/>
  <c r="I933" i="161" s="1"/>
  <c r="U46" i="149"/>
  <c r="U43" i="149"/>
  <c r="U39" i="149"/>
  <c r="U36" i="149"/>
  <c r="U32" i="149"/>
  <c r="U29" i="149"/>
  <c r="E26" i="149"/>
  <c r="F298" i="151" s="1"/>
  <c r="F910" i="161" s="1"/>
  <c r="G910" i="161" s="1"/>
  <c r="U25" i="149"/>
  <c r="U22" i="149"/>
  <c r="U18" i="149"/>
  <c r="I14" i="149"/>
  <c r="H14" i="149"/>
  <c r="G14" i="149"/>
  <c r="U11" i="149"/>
  <c r="U4" i="149"/>
  <c r="I35" i="148"/>
  <c r="G35" i="148"/>
  <c r="I34" i="148"/>
  <c r="G34" i="148"/>
  <c r="I30" i="148"/>
  <c r="G30" i="148"/>
  <c r="I29" i="148"/>
  <c r="G29" i="148"/>
  <c r="I25" i="148"/>
  <c r="G25" i="148"/>
  <c r="I24" i="148"/>
  <c r="G24" i="148"/>
  <c r="I21" i="148"/>
  <c r="G21" i="148"/>
  <c r="I20" i="148"/>
  <c r="G20" i="148"/>
  <c r="F12" i="148"/>
  <c r="G12" i="148" s="1"/>
  <c r="F11" i="148"/>
  <c r="G11" i="148" s="1"/>
  <c r="F10" i="148"/>
  <c r="G10" i="148" s="1"/>
  <c r="F9" i="148"/>
  <c r="G9" i="148" s="1"/>
  <c r="F8" i="148"/>
  <c r="G8" i="148" s="1"/>
  <c r="F7" i="148"/>
  <c r="G7" i="148" s="1"/>
  <c r="F6" i="148"/>
  <c r="G6" i="148" s="1"/>
  <c r="F5" i="148"/>
  <c r="G5" i="148" s="1"/>
  <c r="D8" i="159" l="1"/>
  <c r="D26" i="159" s="1"/>
  <c r="F26" i="159" s="1"/>
  <c r="G26" i="159" s="1"/>
  <c r="D7" i="159"/>
  <c r="D25" i="159" s="1"/>
  <c r="D9" i="159"/>
  <c r="D10" i="159"/>
  <c r="D6" i="159"/>
  <c r="D24" i="159" s="1"/>
  <c r="F24" i="159" s="1"/>
  <c r="G24" i="159" s="1"/>
  <c r="F72" i="149"/>
  <c r="F293" i="151"/>
  <c r="F903" i="161" s="1"/>
  <c r="G180" i="161"/>
  <c r="I180" i="161"/>
  <c r="U106" i="149"/>
  <c r="G204" i="149"/>
  <c r="H72" i="153"/>
  <c r="H180" i="161"/>
  <c r="J180" i="161" s="1"/>
  <c r="E29" i="159"/>
  <c r="F55" i="149"/>
  <c r="F33" i="156"/>
  <c r="J1994" i="161"/>
  <c r="U205" i="149"/>
  <c r="D17" i="164"/>
  <c r="F18" i="164"/>
  <c r="H117" i="164" s="1"/>
  <c r="H175" i="164" s="1"/>
  <c r="F31" i="151" s="1"/>
  <c r="G38" i="153"/>
  <c r="O2039" i="161"/>
  <c r="O2042" i="161"/>
  <c r="U148" i="149"/>
  <c r="H27" i="153"/>
  <c r="H36" i="153"/>
  <c r="H51" i="152"/>
  <c r="H55" i="152"/>
  <c r="I1129" i="161"/>
  <c r="H1129" i="161"/>
  <c r="J1129" i="161" s="1"/>
  <c r="K74" i="161"/>
  <c r="N74" i="161"/>
  <c r="L74" i="161"/>
  <c r="G46" i="153"/>
  <c r="G11" i="164"/>
  <c r="G12" i="164" s="1"/>
  <c r="G13" i="164" s="1"/>
  <c r="F19" i="164"/>
  <c r="H118" i="164" s="1"/>
  <c r="H33" i="153"/>
  <c r="F19" i="155"/>
  <c r="F53" i="155" s="1"/>
  <c r="F1969" i="161"/>
  <c r="F1975" i="161"/>
  <c r="P1996" i="161"/>
  <c r="N2017" i="161"/>
  <c r="N1563" i="161" s="1"/>
  <c r="O2017" i="161"/>
  <c r="O1563" i="161" s="1"/>
  <c r="M1996" i="161"/>
  <c r="P2017" i="161"/>
  <c r="P1563" i="161" s="1"/>
  <c r="H1987" i="161"/>
  <c r="J1987" i="161"/>
  <c r="M1988" i="161" s="1"/>
  <c r="O1996" i="161"/>
  <c r="M2017" i="161"/>
  <c r="M1563" i="161" s="1"/>
  <c r="L2017" i="161"/>
  <c r="L1563" i="161" s="1"/>
  <c r="K1996" i="161"/>
  <c r="K1987" i="161"/>
  <c r="F1987" i="161"/>
  <c r="G1988" i="161" s="1"/>
  <c r="G26" i="164"/>
  <c r="E17" i="164"/>
  <c r="H177" i="164"/>
  <c r="F33" i="151" s="1"/>
  <c r="F1433" i="161"/>
  <c r="I1433" i="161" s="1"/>
  <c r="I480" i="161"/>
  <c r="M74" i="161"/>
  <c r="L267" i="161"/>
  <c r="O74" i="161"/>
  <c r="G179" i="161"/>
  <c r="G182" i="161"/>
  <c r="G74" i="161"/>
  <c r="P74" i="161"/>
  <c r="H179" i="161"/>
  <c r="H182" i="161"/>
  <c r="J182" i="161" s="1"/>
  <c r="M267" i="161"/>
  <c r="I475" i="161"/>
  <c r="I477" i="161"/>
  <c r="I479" i="161"/>
  <c r="H910" i="161"/>
  <c r="I910" i="161" s="1"/>
  <c r="I924" i="161"/>
  <c r="H924" i="161"/>
  <c r="G924" i="161"/>
  <c r="M1129" i="161"/>
  <c r="G933" i="161"/>
  <c r="H933" i="161"/>
  <c r="J933" i="161" s="1"/>
  <c r="G1129" i="161"/>
  <c r="J1991" i="161"/>
  <c r="O1988" i="161"/>
  <c r="F25" i="159"/>
  <c r="G25" i="159" s="1"/>
  <c r="D27" i="159"/>
  <c r="D28" i="159"/>
  <c r="F28" i="159" s="1"/>
  <c r="G28" i="159" s="1"/>
  <c r="D23" i="158"/>
  <c r="F19" i="158"/>
  <c r="D21" i="155"/>
  <c r="F16" i="155"/>
  <c r="G29" i="153"/>
  <c r="H84" i="153"/>
  <c r="H87" i="153" s="1"/>
  <c r="H65" i="152"/>
  <c r="F51" i="152"/>
  <c r="F58" i="152"/>
  <c r="H54" i="152"/>
  <c r="G58" i="152"/>
  <c r="G67" i="152" s="1"/>
  <c r="F65" i="152"/>
  <c r="F73" i="149"/>
  <c r="F75" i="149" s="1"/>
  <c r="Q145" i="149"/>
  <c r="Q147" i="149" s="1"/>
  <c r="U53" i="149"/>
  <c r="E198" i="149"/>
  <c r="U144" i="149"/>
  <c r="E33" i="149"/>
  <c r="F303" i="151" s="1"/>
  <c r="F917" i="161" s="1"/>
  <c r="H917" i="161" s="1"/>
  <c r="I917" i="161" s="1"/>
  <c r="F81" i="149"/>
  <c r="Q53" i="149"/>
  <c r="Q55" i="149" s="1"/>
  <c r="D29" i="159" l="1"/>
  <c r="H903" i="161"/>
  <c r="G903" i="161"/>
  <c r="I160" i="152"/>
  <c r="H47" i="150"/>
  <c r="G917" i="161"/>
  <c r="K1988" i="161"/>
  <c r="F17" i="164"/>
  <c r="H121" i="164" s="1"/>
  <c r="G49" i="153"/>
  <c r="H58" i="152"/>
  <c r="H67" i="152" s="1"/>
  <c r="U219" i="152" s="1"/>
  <c r="U100" i="153" s="1"/>
  <c r="F143" i="151"/>
  <c r="F424" i="161" s="1"/>
  <c r="P1988" i="161"/>
  <c r="Q1988" i="161"/>
  <c r="L1996" i="161"/>
  <c r="L1997" i="161" s="1"/>
  <c r="L1988" i="161"/>
  <c r="K2017" i="161"/>
  <c r="H1988" i="161"/>
  <c r="N1988" i="161"/>
  <c r="N1996" i="161"/>
  <c r="J1996" i="161"/>
  <c r="Q1997" i="161" s="1"/>
  <c r="H1996" i="161"/>
  <c r="F1996" i="161" s="1"/>
  <c r="G1997" i="161" s="1"/>
  <c r="P1997" i="161"/>
  <c r="F266" i="151"/>
  <c r="F831" i="161" s="1"/>
  <c r="F1633" i="161" s="1"/>
  <c r="F260" i="151"/>
  <c r="F825" i="161" s="1"/>
  <c r="F1627" i="161" s="1"/>
  <c r="F264" i="151"/>
  <c r="F829" i="161" s="1"/>
  <c r="F1631" i="161" s="1"/>
  <c r="F263" i="151"/>
  <c r="F828" i="161" s="1"/>
  <c r="F1630" i="161" s="1"/>
  <c r="F261" i="151"/>
  <c r="F826" i="161" s="1"/>
  <c r="F1628" i="161" s="1"/>
  <c r="F265" i="151"/>
  <c r="F830" i="161" s="1"/>
  <c r="F1632" i="161" s="1"/>
  <c r="F262" i="151"/>
  <c r="F827" i="161" s="1"/>
  <c r="F1629" i="161" s="1"/>
  <c r="Q267" i="161"/>
  <c r="O267" i="161"/>
  <c r="F1988" i="161"/>
  <c r="J917" i="161"/>
  <c r="J910" i="161"/>
  <c r="J924" i="161"/>
  <c r="N267" i="161"/>
  <c r="J179" i="161"/>
  <c r="J18" i="159"/>
  <c r="G44" i="159"/>
  <c r="J20" i="159"/>
  <c r="F27" i="159"/>
  <c r="G27" i="159" s="1"/>
  <c r="G29" i="159" s="1"/>
  <c r="F29" i="159"/>
  <c r="J17" i="159"/>
  <c r="J16" i="159"/>
  <c r="F23" i="158"/>
  <c r="F25" i="155"/>
  <c r="F21" i="155"/>
  <c r="F67" i="152"/>
  <c r="F83" i="149"/>
  <c r="I903" i="161" l="1"/>
  <c r="J903" i="161"/>
  <c r="M50" i="150"/>
  <c r="N163" i="152"/>
  <c r="H1997" i="161"/>
  <c r="F1997" i="161" s="1"/>
  <c r="D29" i="152"/>
  <c r="K27" i="152" s="1"/>
  <c r="D35" i="157" s="1"/>
  <c r="D34" i="155"/>
  <c r="D53" i="159"/>
  <c r="I424" i="161"/>
  <c r="G424" i="161"/>
  <c r="H424" i="161"/>
  <c r="J424" i="161" s="1"/>
  <c r="M424" i="161" s="1"/>
  <c r="J1988" i="161"/>
  <c r="N2023" i="161"/>
  <c r="N2020" i="161"/>
  <c r="L2020" i="161"/>
  <c r="L2023" i="161"/>
  <c r="P2023" i="161"/>
  <c r="P2020" i="161"/>
  <c r="O2023" i="161"/>
  <c r="O2020" i="161"/>
  <c r="M2023" i="161"/>
  <c r="M2020" i="161"/>
  <c r="N1997" i="161"/>
  <c r="K1997" i="161"/>
  <c r="K1563" i="161"/>
  <c r="J1563" i="161" s="1"/>
  <c r="J2017" i="161"/>
  <c r="O1997" i="161"/>
  <c r="M1997" i="161"/>
  <c r="Q910" i="161"/>
  <c r="P910" i="161"/>
  <c r="O910" i="161"/>
  <c r="N910" i="161"/>
  <c r="M910" i="161"/>
  <c r="L910" i="161"/>
  <c r="K910" i="161"/>
  <c r="P267" i="161"/>
  <c r="K924" i="161"/>
  <c r="Q924" i="161"/>
  <c r="P924" i="161"/>
  <c r="O924" i="161"/>
  <c r="N924" i="161"/>
  <c r="M924" i="161"/>
  <c r="L924" i="161"/>
  <c r="K917" i="161"/>
  <c r="Q917" i="161"/>
  <c r="P917" i="161"/>
  <c r="O917" i="161"/>
  <c r="N917" i="161"/>
  <c r="M917" i="161"/>
  <c r="L917" i="161"/>
  <c r="J19" i="159"/>
  <c r="J21" i="159"/>
  <c r="M903" i="161" l="1"/>
  <c r="L903" i="161"/>
  <c r="K903" i="161"/>
  <c r="Q903" i="161"/>
  <c r="P903" i="161"/>
  <c r="O903" i="161"/>
  <c r="N903" i="161"/>
  <c r="F259" i="151"/>
  <c r="J1997" i="161"/>
  <c r="L2018" i="161"/>
  <c r="H2017" i="161"/>
  <c r="F2017" i="161" s="1"/>
  <c r="G2018" i="161" s="1"/>
  <c r="N2018" i="161"/>
  <c r="Q2018" i="161"/>
  <c r="O2018" i="161"/>
  <c r="K2018" i="161"/>
  <c r="M2018" i="161"/>
  <c r="M933" i="161" s="1"/>
  <c r="P2018" i="161"/>
  <c r="H2018" i="161"/>
  <c r="F2018" i="161" s="1"/>
  <c r="G1041" i="161"/>
  <c r="G1435" i="161" s="1"/>
  <c r="G480" i="161"/>
  <c r="G831" i="161"/>
  <c r="G1633" i="161" s="1"/>
  <c r="G313" i="161"/>
  <c r="F824" i="161" l="1"/>
  <c r="F832" i="161" s="1"/>
  <c r="K2020" i="161"/>
  <c r="K424" i="161"/>
  <c r="J2018" i="161"/>
  <c r="K1129" i="161"/>
  <c r="K933" i="161"/>
  <c r="O1129" i="161"/>
  <c r="O424" i="161"/>
  <c r="O933" i="161"/>
  <c r="P1129" i="161"/>
  <c r="P424" i="161"/>
  <c r="P933" i="161"/>
  <c r="Q1129" i="161"/>
  <c r="Q424" i="161"/>
  <c r="Q933" i="161"/>
  <c r="N1129" i="161"/>
  <c r="N933" i="161"/>
  <c r="N424" i="161"/>
  <c r="L1129" i="161"/>
  <c r="L933" i="161"/>
  <c r="L424" i="161"/>
  <c r="H1041" i="161"/>
  <c r="H831" i="161"/>
  <c r="H480" i="161"/>
  <c r="J480" i="161" s="1"/>
  <c r="H313" i="161"/>
  <c r="J313" i="161" s="1"/>
  <c r="F1626" i="161" l="1"/>
  <c r="F1634" i="161" s="1"/>
  <c r="K2023" i="161"/>
  <c r="J2020" i="161"/>
  <c r="K2021" i="161" s="1"/>
  <c r="H1633" i="161"/>
  <c r="J831" i="161"/>
  <c r="I831" i="161"/>
  <c r="M313" i="161"/>
  <c r="L313" i="161"/>
  <c r="K313" i="161"/>
  <c r="Q313" i="161"/>
  <c r="O313" i="161"/>
  <c r="N313" i="161"/>
  <c r="P313" i="161"/>
  <c r="L480" i="161"/>
  <c r="K480" i="161"/>
  <c r="Q480" i="161"/>
  <c r="P480" i="161"/>
  <c r="N480" i="161"/>
  <c r="M480" i="161"/>
  <c r="O480" i="161"/>
  <c r="H1435" i="161"/>
  <c r="J1041" i="161"/>
  <c r="Q2021" i="161" l="1"/>
  <c r="H2020" i="161"/>
  <c r="P2021" i="161"/>
  <c r="N2021" i="161"/>
  <c r="O2021" i="161"/>
  <c r="M2021" i="161"/>
  <c r="L2021" i="161"/>
  <c r="J2023" i="161"/>
  <c r="K2024" i="161" s="1"/>
  <c r="J1633" i="161"/>
  <c r="L831" i="161"/>
  <c r="L1633" i="161" s="1"/>
  <c r="K831" i="161"/>
  <c r="K1633" i="161" s="1"/>
  <c r="Q831" i="161"/>
  <c r="Q1633" i="161" s="1"/>
  <c r="P831" i="161"/>
  <c r="P1633" i="161" s="1"/>
  <c r="O831" i="161"/>
  <c r="O1633" i="161" s="1"/>
  <c r="N831" i="161"/>
  <c r="N1633" i="161" s="1"/>
  <c r="M831" i="161"/>
  <c r="M1633" i="161" s="1"/>
  <c r="J1435" i="161"/>
  <c r="Q1041" i="161"/>
  <c r="Q1435" i="161" s="1"/>
  <c r="P1041" i="161"/>
  <c r="P1435" i="161" s="1"/>
  <c r="O1041" i="161"/>
  <c r="O1435" i="161" s="1"/>
  <c r="N1041" i="161"/>
  <c r="N1435" i="161" s="1"/>
  <c r="M1041" i="161"/>
  <c r="M1435" i="161" s="1"/>
  <c r="L1041" i="161"/>
  <c r="L1435" i="161" s="1"/>
  <c r="K1041" i="161"/>
  <c r="K1435" i="161" s="1"/>
  <c r="F2020" i="161" l="1"/>
  <c r="G2021" i="161" s="1"/>
  <c r="H2023" i="161"/>
  <c r="Q2024" i="161"/>
  <c r="O2024" i="161"/>
  <c r="M2024" i="161"/>
  <c r="P2024" i="161"/>
  <c r="N2024" i="161"/>
  <c r="L2024" i="161"/>
  <c r="J2021" i="161"/>
  <c r="J2024" i="161" l="1"/>
  <c r="H2021" i="161"/>
  <c r="F2021" i="161" s="1"/>
  <c r="F2023" i="161"/>
  <c r="G2024" i="161" s="1"/>
  <c r="H2024" i="161" l="1"/>
  <c r="F2024" i="161" s="1"/>
  <c r="L114" i="113" l="1"/>
  <c r="M113" i="113" s="1"/>
  <c r="H114" i="113"/>
  <c r="M106" i="113" l="1"/>
  <c r="M107" i="113"/>
  <c r="M110" i="113"/>
  <c r="M112" i="113"/>
  <c r="M111" i="113"/>
  <c r="M155" i="72" l="1"/>
  <c r="M148" i="72"/>
  <c r="M141" i="72"/>
  <c r="M134" i="72"/>
  <c r="B3" i="167" s="1"/>
  <c r="M103" i="72"/>
  <c r="M110" i="72"/>
  <c r="M96" i="72"/>
  <c r="M89" i="72"/>
  <c r="E33" i="57" l="1"/>
  <c r="E32" i="57"/>
  <c r="E31" i="57"/>
  <c r="E30" i="57"/>
  <c r="E29" i="57"/>
  <c r="E28" i="57"/>
  <c r="E27" i="57"/>
  <c r="E26" i="57"/>
  <c r="E25" i="57"/>
  <c r="K18" i="101" l="1"/>
  <c r="K11" i="101"/>
  <c r="K4" i="101"/>
  <c r="L25" i="99"/>
  <c r="B5" i="167" s="1"/>
  <c r="L18" i="99"/>
  <c r="L11" i="99"/>
  <c r="U46" i="88"/>
  <c r="U39" i="88"/>
  <c r="U32" i="88"/>
  <c r="U25" i="88"/>
  <c r="U18" i="88"/>
  <c r="U11" i="88"/>
  <c r="U4" i="88"/>
  <c r="U137" i="88"/>
  <c r="U130" i="88"/>
  <c r="U123" i="88"/>
  <c r="U116" i="88"/>
  <c r="U109" i="88"/>
  <c r="U102" i="88"/>
  <c r="U95" i="88"/>
  <c r="U152" i="88"/>
  <c r="B4" i="167" s="1"/>
  <c r="U159" i="88"/>
  <c r="U166" i="88"/>
  <c r="U173" i="88"/>
  <c r="U180" i="88"/>
  <c r="U187" i="88"/>
  <c r="U194" i="88"/>
  <c r="M44" i="72"/>
  <c r="M37" i="72"/>
  <c r="M30" i="72"/>
  <c r="M23" i="72"/>
  <c r="N4" i="69"/>
  <c r="D27" i="69"/>
  <c r="D28" i="69"/>
  <c r="D37" i="69"/>
  <c r="D38" i="69"/>
  <c r="D39" i="69"/>
  <c r="D40" i="69"/>
  <c r="D43" i="69"/>
  <c r="D46" i="69"/>
  <c r="D47" i="69"/>
  <c r="D48" i="69"/>
  <c r="D49" i="69"/>
  <c r="D50" i="69"/>
  <c r="D51" i="69"/>
  <c r="D55" i="69"/>
  <c r="D56" i="69"/>
  <c r="D57" i="69"/>
  <c r="D58" i="69"/>
  <c r="D59" i="69"/>
  <c r="D60" i="69"/>
  <c r="N11" i="69"/>
  <c r="N18" i="69"/>
  <c r="N25" i="69"/>
  <c r="N32" i="69"/>
  <c r="K33" i="90" l="1"/>
  <c r="B7" i="167" s="1"/>
  <c r="B6" i="167"/>
  <c r="K17" i="90"/>
  <c r="K17" i="160"/>
  <c r="N39" i="69"/>
  <c r="K25" i="90"/>
  <c r="K25" i="160"/>
  <c r="D163" i="69" l="1"/>
  <c r="D104" i="69"/>
  <c r="E18" i="57"/>
  <c r="P27" i="20" l="1"/>
  <c r="P26" i="20"/>
  <c r="P25" i="20"/>
  <c r="P24" i="20"/>
  <c r="P23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F220" i="15" l="1"/>
  <c r="E220" i="15"/>
  <c r="D220" i="15"/>
  <c r="F219" i="15"/>
  <c r="E219" i="15"/>
  <c r="D219" i="15"/>
  <c r="F218" i="15"/>
  <c r="E218" i="15"/>
  <c r="D218" i="15"/>
  <c r="A220" i="15"/>
  <c r="A219" i="15"/>
  <c r="A218" i="15"/>
  <c r="F194" i="15"/>
  <c r="E194" i="15"/>
  <c r="D194" i="15"/>
  <c r="A194" i="15"/>
  <c r="F171" i="15"/>
  <c r="E171" i="15"/>
  <c r="D171" i="15"/>
  <c r="A171" i="15"/>
  <c r="F146" i="15"/>
  <c r="E146" i="15"/>
  <c r="D146" i="15"/>
  <c r="A146" i="15"/>
  <c r="F123" i="15"/>
  <c r="E123" i="15"/>
  <c r="D123" i="15"/>
  <c r="A123" i="15"/>
  <c r="F99" i="15"/>
  <c r="E99" i="15"/>
  <c r="D99" i="15"/>
  <c r="A99" i="15"/>
  <c r="S33" i="91" l="1"/>
  <c r="R38" i="91" l="1"/>
  <c r="Q38" i="91"/>
  <c r="P38" i="91"/>
  <c r="O38" i="91"/>
  <c r="N38" i="91"/>
  <c r="M38" i="91"/>
  <c r="L38" i="91"/>
  <c r="K38" i="91"/>
  <c r="J38" i="91"/>
  <c r="I38" i="91"/>
  <c r="H38" i="91"/>
  <c r="R37" i="91"/>
  <c r="Q37" i="91"/>
  <c r="P37" i="91"/>
  <c r="O37" i="91"/>
  <c r="N37" i="91"/>
  <c r="M37" i="91"/>
  <c r="L37" i="91"/>
  <c r="K37" i="91"/>
  <c r="J37" i="91"/>
  <c r="I37" i="91"/>
  <c r="H37" i="91"/>
  <c r="R34" i="91"/>
  <c r="Q34" i="91"/>
  <c r="P34" i="91"/>
  <c r="O34" i="91"/>
  <c r="N34" i="91"/>
  <c r="M34" i="91"/>
  <c r="L34" i="91"/>
  <c r="K34" i="91"/>
  <c r="J34" i="91"/>
  <c r="I34" i="91"/>
  <c r="H34" i="91"/>
  <c r="R33" i="91"/>
  <c r="Q33" i="91"/>
  <c r="P33" i="91"/>
  <c r="O33" i="91"/>
  <c r="N33" i="91"/>
  <c r="M33" i="91"/>
  <c r="L33" i="91"/>
  <c r="K33" i="91"/>
  <c r="J33" i="91"/>
  <c r="I33" i="91"/>
  <c r="H33" i="91"/>
  <c r="S38" i="91"/>
  <c r="S37" i="91"/>
  <c r="S34" i="91"/>
  <c r="J140" i="85"/>
  <c r="H140" i="85"/>
  <c r="F140" i="85"/>
  <c r="J75" i="85"/>
  <c r="H75" i="85"/>
  <c r="F75" i="85"/>
  <c r="D24" i="58" l="1"/>
  <c r="D41" i="164"/>
  <c r="E41" i="164" s="1"/>
  <c r="G41" i="164" s="1"/>
  <c r="D40" i="164"/>
  <c r="E40" i="164" s="1"/>
  <c r="G40" i="164" s="1"/>
  <c r="D39" i="164"/>
  <c r="E39" i="164" s="1"/>
  <c r="G39" i="164" s="1"/>
  <c r="D38" i="164"/>
  <c r="D5" i="164" l="1"/>
  <c r="D43" i="164" s="1"/>
  <c r="E43" i="164" s="1"/>
  <c r="G43" i="164" s="1"/>
  <c r="M2042" i="161"/>
  <c r="M2039" i="161"/>
  <c r="L2039" i="161"/>
  <c r="L2042" i="161"/>
  <c r="N2042" i="161"/>
  <c r="N2039" i="161"/>
  <c r="E38" i="164"/>
  <c r="D44" i="164" l="1"/>
  <c r="E44" i="164" s="1"/>
  <c r="G44" i="164" s="1"/>
  <c r="Q2042" i="161" s="1"/>
  <c r="P2042" i="161"/>
  <c r="P2039" i="161"/>
  <c r="G38" i="164"/>
  <c r="E11" i="30"/>
  <c r="E10" i="30"/>
  <c r="G1941" i="161" s="1"/>
  <c r="K6" i="6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M76" i="104"/>
  <c r="D81" i="107"/>
  <c r="E45" i="164" l="1"/>
  <c r="G45" i="164" s="1"/>
  <c r="G49" i="164" s="1"/>
  <c r="Q2039" i="161"/>
  <c r="D45" i="164"/>
  <c r="D49" i="164" s="1"/>
  <c r="K2039" i="161"/>
  <c r="K2042" i="161"/>
  <c r="J2042" i="161" s="1"/>
  <c r="G1944" i="107"/>
  <c r="G1944" i="161"/>
  <c r="A5" i="120"/>
  <c r="A4" i="120"/>
  <c r="A3" i="120"/>
  <c r="A2" i="120"/>
  <c r="A1" i="120"/>
  <c r="B5" i="119"/>
  <c r="B4" i="119"/>
  <c r="B3" i="119"/>
  <c r="B2" i="119"/>
  <c r="B1" i="119"/>
  <c r="F74" i="107"/>
  <c r="G74" i="107" s="1"/>
  <c r="J74" i="107"/>
  <c r="P74" i="107" s="1"/>
  <c r="C21" i="1"/>
  <c r="Q198" i="88"/>
  <c r="Q141" i="88"/>
  <c r="Q49" i="88"/>
  <c r="A1136" i="120" l="1"/>
  <c r="A1434" i="120"/>
  <c r="A1138" i="120"/>
  <c r="A1436" i="120"/>
  <c r="A1438" i="120"/>
  <c r="A1140" i="120"/>
  <c r="A1137" i="120"/>
  <c r="A1435" i="120"/>
  <c r="A1437" i="120"/>
  <c r="A1139" i="120"/>
  <c r="A362" i="120"/>
  <c r="A541" i="120"/>
  <c r="A544" i="120"/>
  <c r="A365" i="120"/>
  <c r="A366" i="120"/>
  <c r="A545" i="120"/>
  <c r="A543" i="120"/>
  <c r="A364" i="120"/>
  <c r="A542" i="120"/>
  <c r="A363" i="120"/>
  <c r="B1392" i="119"/>
  <c r="B1091" i="119"/>
  <c r="B1089" i="119"/>
  <c r="B1390" i="119"/>
  <c r="B1388" i="119"/>
  <c r="B1087" i="119"/>
  <c r="B1088" i="119"/>
  <c r="B1389" i="119"/>
  <c r="B1090" i="119"/>
  <c r="B1391" i="119"/>
  <c r="B489" i="119"/>
  <c r="B308" i="119"/>
  <c r="B485" i="119"/>
  <c r="B304" i="119"/>
  <c r="B486" i="119"/>
  <c r="B305" i="119"/>
  <c r="B487" i="119"/>
  <c r="B306" i="119"/>
  <c r="B488" i="119"/>
  <c r="B307" i="119"/>
  <c r="E49" i="164"/>
  <c r="D8" i="164" s="1"/>
  <c r="H190" i="164"/>
  <c r="F14" i="151"/>
  <c r="K2043" i="161"/>
  <c r="H2042" i="161"/>
  <c r="O2043" i="161"/>
  <c r="P2043" i="161"/>
  <c r="Q2043" i="161"/>
  <c r="L2043" i="161"/>
  <c r="N2043" i="161"/>
  <c r="M2043" i="161"/>
  <c r="J2039" i="161"/>
  <c r="K2040" i="161" s="1"/>
  <c r="F1888" i="119"/>
  <c r="J70" i="107"/>
  <c r="O70" i="107" s="1"/>
  <c r="J70" i="161"/>
  <c r="F70" i="161"/>
  <c r="Q74" i="107"/>
  <c r="K74" i="107"/>
  <c r="L74" i="107"/>
  <c r="M74" i="107"/>
  <c r="N74" i="107"/>
  <c r="O74" i="107"/>
  <c r="F70" i="107"/>
  <c r="H70" i="107" s="1"/>
  <c r="H74" i="107"/>
  <c r="G27" i="164" l="1"/>
  <c r="J2043" i="161"/>
  <c r="F2042" i="161"/>
  <c r="G2043" i="161" s="1"/>
  <c r="P2040" i="161"/>
  <c r="O2040" i="161"/>
  <c r="H2039" i="161"/>
  <c r="Q2040" i="161"/>
  <c r="L2040" i="161"/>
  <c r="M2040" i="161"/>
  <c r="N2040" i="161"/>
  <c r="P70" i="107"/>
  <c r="Q70" i="107"/>
  <c r="L70" i="107"/>
  <c r="K70" i="107"/>
  <c r="M70" i="107"/>
  <c r="N70" i="107"/>
  <c r="F80" i="161"/>
  <c r="F1612" i="161" s="1"/>
  <c r="H70" i="161"/>
  <c r="G70" i="161"/>
  <c r="O70" i="161"/>
  <c r="Q70" i="161"/>
  <c r="P70" i="161"/>
  <c r="K70" i="161"/>
  <c r="N70" i="161"/>
  <c r="L70" i="161"/>
  <c r="M70" i="161"/>
  <c r="G70" i="107"/>
  <c r="J2040" i="161" l="1"/>
  <c r="H2043" i="161"/>
  <c r="F2043" i="161" s="1"/>
  <c r="F2039" i="161"/>
  <c r="G2040" i="161" s="1"/>
  <c r="A2490" i="120"/>
  <c r="A2489" i="120"/>
  <c r="A2488" i="120"/>
  <c r="A2487" i="120"/>
  <c r="A2486" i="120"/>
  <c r="A2428" i="120"/>
  <c r="A2427" i="120"/>
  <c r="A2426" i="120"/>
  <c r="A2425" i="120"/>
  <c r="A2424" i="120"/>
  <c r="A2366" i="120"/>
  <c r="A2365" i="120"/>
  <c r="A2364" i="120"/>
  <c r="A2363" i="120"/>
  <c r="A2362" i="120"/>
  <c r="A2304" i="120"/>
  <c r="A2303" i="120"/>
  <c r="A2302" i="120"/>
  <c r="A2301" i="120"/>
  <c r="A2300" i="120"/>
  <c r="A2242" i="120"/>
  <c r="A2241" i="120"/>
  <c r="A2240" i="120"/>
  <c r="A2239" i="120"/>
  <c r="A2238" i="120"/>
  <c r="A2180" i="120"/>
  <c r="A2179" i="120"/>
  <c r="A2178" i="120"/>
  <c r="A2177" i="120"/>
  <c r="A2176" i="120"/>
  <c r="A2118" i="120"/>
  <c r="A2117" i="120"/>
  <c r="A2116" i="120"/>
  <c r="A2115" i="120"/>
  <c r="A2114" i="120"/>
  <c r="A2056" i="120"/>
  <c r="A2055" i="120"/>
  <c r="A2054" i="120"/>
  <c r="A2053" i="120"/>
  <c r="A2052" i="120"/>
  <c r="A1994" i="120"/>
  <c r="A1993" i="120"/>
  <c r="A1992" i="120"/>
  <c r="A1991" i="120"/>
  <c r="A1990" i="120"/>
  <c r="A1932" i="120"/>
  <c r="A1931" i="120"/>
  <c r="A1930" i="120"/>
  <c r="A1929" i="120"/>
  <c r="A1928" i="120"/>
  <c r="A1870" i="120"/>
  <c r="A1869" i="120"/>
  <c r="A1868" i="120"/>
  <c r="A1867" i="120"/>
  <c r="A1866" i="120"/>
  <c r="A1808" i="120"/>
  <c r="A1807" i="120"/>
  <c r="A1806" i="120"/>
  <c r="A1805" i="120"/>
  <c r="A1804" i="120"/>
  <c r="A1746" i="120"/>
  <c r="A1745" i="120"/>
  <c r="A1744" i="120"/>
  <c r="A1743" i="120"/>
  <c r="A1742" i="120"/>
  <c r="A1684" i="120"/>
  <c r="A1683" i="120"/>
  <c r="A1682" i="120"/>
  <c r="A1681" i="120"/>
  <c r="A1680" i="120"/>
  <c r="A1622" i="120"/>
  <c r="A1621" i="120"/>
  <c r="A1620" i="120"/>
  <c r="A1619" i="120"/>
  <c r="A1618" i="120"/>
  <c r="A1560" i="120"/>
  <c r="A1559" i="120"/>
  <c r="A1558" i="120"/>
  <c r="A1557" i="120"/>
  <c r="A1556" i="120"/>
  <c r="A1498" i="120"/>
  <c r="A1497" i="120"/>
  <c r="A1496" i="120"/>
  <c r="A1495" i="120"/>
  <c r="A1494" i="120"/>
  <c r="A1379" i="120"/>
  <c r="A1378" i="120"/>
  <c r="A1377" i="120"/>
  <c r="A1376" i="120"/>
  <c r="A1375" i="120"/>
  <c r="A1319" i="120"/>
  <c r="A1318" i="120"/>
  <c r="A1317" i="120"/>
  <c r="A1316" i="120"/>
  <c r="A1315" i="120"/>
  <c r="A1259" i="120"/>
  <c r="A1258" i="120"/>
  <c r="A1257" i="120"/>
  <c r="A1256" i="120"/>
  <c r="A1255" i="120"/>
  <c r="A1200" i="120"/>
  <c r="A1199" i="120"/>
  <c r="A1198" i="120"/>
  <c r="A1197" i="120"/>
  <c r="A1196" i="120"/>
  <c r="A1081" i="120"/>
  <c r="A1080" i="120"/>
  <c r="A1079" i="120"/>
  <c r="A1078" i="120"/>
  <c r="A1077" i="120"/>
  <c r="A1022" i="120"/>
  <c r="A1021" i="120"/>
  <c r="A1020" i="120"/>
  <c r="A1019" i="120"/>
  <c r="A1018" i="120"/>
  <c r="A962" i="120"/>
  <c r="A961" i="120"/>
  <c r="A960" i="120"/>
  <c r="A959" i="120"/>
  <c r="A958" i="120"/>
  <c r="A903" i="120"/>
  <c r="A902" i="120"/>
  <c r="A901" i="120"/>
  <c r="A900" i="120"/>
  <c r="A899" i="120"/>
  <c r="A843" i="120"/>
  <c r="A842" i="120"/>
  <c r="A841" i="120"/>
  <c r="A840" i="120"/>
  <c r="A839" i="120"/>
  <c r="A784" i="120"/>
  <c r="A783" i="120"/>
  <c r="A782" i="120"/>
  <c r="A781" i="120"/>
  <c r="A780" i="120"/>
  <c r="A724" i="120"/>
  <c r="A723" i="120"/>
  <c r="A722" i="120"/>
  <c r="A721" i="120"/>
  <c r="A720" i="120"/>
  <c r="A664" i="120"/>
  <c r="A663" i="120"/>
  <c r="A662" i="120"/>
  <c r="A661" i="120"/>
  <c r="A660" i="120"/>
  <c r="A605" i="120"/>
  <c r="A604" i="120"/>
  <c r="A603" i="120"/>
  <c r="A602" i="120"/>
  <c r="A601" i="120"/>
  <c r="A485" i="120"/>
  <c r="A484" i="120"/>
  <c r="A483" i="120"/>
  <c r="A482" i="120"/>
  <c r="A481" i="120"/>
  <c r="A426" i="120"/>
  <c r="A425" i="120"/>
  <c r="A424" i="120"/>
  <c r="A423" i="120"/>
  <c r="A422" i="120"/>
  <c r="A305" i="120"/>
  <c r="A304" i="120"/>
  <c r="A303" i="120"/>
  <c r="A302" i="120"/>
  <c r="A301" i="120"/>
  <c r="A245" i="120"/>
  <c r="A244" i="120"/>
  <c r="A243" i="120"/>
  <c r="A242" i="120"/>
  <c r="A241" i="120"/>
  <c r="A185" i="120"/>
  <c r="A184" i="120"/>
  <c r="A183" i="120"/>
  <c r="A182" i="120"/>
  <c r="A181" i="120"/>
  <c r="A125" i="120"/>
  <c r="A124" i="120"/>
  <c r="A123" i="120"/>
  <c r="A122" i="120"/>
  <c r="A121" i="120"/>
  <c r="A61" i="120"/>
  <c r="A65" i="120"/>
  <c r="A64" i="120"/>
  <c r="A63" i="120"/>
  <c r="A62" i="120"/>
  <c r="B1993" i="119"/>
  <c r="B1992" i="119"/>
  <c r="B1991" i="119"/>
  <c r="B1990" i="119"/>
  <c r="B1989" i="119"/>
  <c r="B1932" i="119"/>
  <c r="B1931" i="119"/>
  <c r="B1930" i="119"/>
  <c r="B1929" i="119"/>
  <c r="B1928" i="119"/>
  <c r="B1871" i="119"/>
  <c r="B1870" i="119"/>
  <c r="B1869" i="119"/>
  <c r="B1868" i="119"/>
  <c r="B1867" i="119"/>
  <c r="B1813" i="119"/>
  <c r="B1812" i="119"/>
  <c r="B1811" i="119"/>
  <c r="B1810" i="119"/>
  <c r="B1809" i="119"/>
  <c r="B1753" i="119"/>
  <c r="B1752" i="119"/>
  <c r="B1751" i="119"/>
  <c r="B1750" i="119"/>
  <c r="B1749" i="119"/>
  <c r="B1693" i="119"/>
  <c r="B1692" i="119"/>
  <c r="B1691" i="119"/>
  <c r="B1690" i="119"/>
  <c r="B1689" i="119"/>
  <c r="B1633" i="119"/>
  <c r="B1632" i="119"/>
  <c r="B1631" i="119"/>
  <c r="B1630" i="119"/>
  <c r="B1629" i="119"/>
  <c r="B1573" i="119"/>
  <c r="B1572" i="119"/>
  <c r="B1571" i="119"/>
  <c r="B1570" i="119"/>
  <c r="B1569" i="119"/>
  <c r="B1513" i="119"/>
  <c r="B1512" i="119"/>
  <c r="B1511" i="119"/>
  <c r="B1510" i="119"/>
  <c r="B1509" i="119"/>
  <c r="B1453" i="119"/>
  <c r="B1452" i="119"/>
  <c r="B1451" i="119"/>
  <c r="B1450" i="119"/>
  <c r="B1449" i="119"/>
  <c r="B1332" i="119"/>
  <c r="B1331" i="119"/>
  <c r="B1330" i="119"/>
  <c r="B1329" i="119"/>
  <c r="B1328" i="119"/>
  <c r="B1272" i="119"/>
  <c r="B1271" i="119"/>
  <c r="B1270" i="119"/>
  <c r="B1269" i="119"/>
  <c r="B1268" i="119"/>
  <c r="B1212" i="119"/>
  <c r="B1211" i="119"/>
  <c r="B1210" i="119"/>
  <c r="B1209" i="119"/>
  <c r="B1208" i="119"/>
  <c r="B1152" i="119"/>
  <c r="B1151" i="119"/>
  <c r="B1150" i="119"/>
  <c r="B1149" i="119"/>
  <c r="B1148" i="119"/>
  <c r="B1031" i="119"/>
  <c r="B1030" i="119"/>
  <c r="B1029" i="119"/>
  <c r="B1028" i="119"/>
  <c r="B1027" i="119"/>
  <c r="B971" i="119"/>
  <c r="B970" i="119"/>
  <c r="B969" i="119"/>
  <c r="B968" i="119"/>
  <c r="B967" i="119"/>
  <c r="B910" i="119"/>
  <c r="B909" i="119"/>
  <c r="B908" i="119"/>
  <c r="B907" i="119"/>
  <c r="B906" i="119"/>
  <c r="B850" i="119"/>
  <c r="B849" i="119"/>
  <c r="B848" i="119"/>
  <c r="B847" i="119"/>
  <c r="B846" i="119"/>
  <c r="B790" i="119"/>
  <c r="B789" i="119"/>
  <c r="B788" i="119"/>
  <c r="B787" i="119"/>
  <c r="B786" i="119"/>
  <c r="B730" i="119"/>
  <c r="B729" i="119"/>
  <c r="B728" i="119"/>
  <c r="B727" i="119"/>
  <c r="B726" i="119"/>
  <c r="B670" i="119"/>
  <c r="B669" i="119"/>
  <c r="B668" i="119"/>
  <c r="B667" i="119"/>
  <c r="B666" i="119"/>
  <c r="B610" i="119"/>
  <c r="B609" i="119"/>
  <c r="B608" i="119"/>
  <c r="B607" i="119"/>
  <c r="B606" i="119"/>
  <c r="B550" i="119"/>
  <c r="B549" i="119"/>
  <c r="B548" i="119"/>
  <c r="B547" i="119"/>
  <c r="B546" i="119"/>
  <c r="B429" i="119"/>
  <c r="B428" i="119"/>
  <c r="B427" i="119"/>
  <c r="B426" i="119"/>
  <c r="B425" i="119"/>
  <c r="B369" i="119"/>
  <c r="B368" i="119"/>
  <c r="B367" i="119"/>
  <c r="B366" i="119"/>
  <c r="B365" i="119"/>
  <c r="B248" i="119"/>
  <c r="B247" i="119"/>
  <c r="B246" i="119"/>
  <c r="B245" i="119"/>
  <c r="B244" i="119"/>
  <c r="B188" i="119"/>
  <c r="B187" i="119"/>
  <c r="B186" i="119"/>
  <c r="B185" i="119"/>
  <c r="B184" i="119"/>
  <c r="B127" i="119"/>
  <c r="B126" i="119"/>
  <c r="B125" i="119"/>
  <c r="B124" i="119"/>
  <c r="B123" i="119"/>
  <c r="B62" i="119"/>
  <c r="B66" i="119"/>
  <c r="B65" i="119"/>
  <c r="B64" i="119"/>
  <c r="B63" i="119"/>
  <c r="H2040" i="161" l="1"/>
  <c r="F2040" i="161" s="1"/>
  <c r="A26" i="57"/>
  <c r="A27" i="57"/>
  <c r="A28" i="57"/>
  <c r="A29" i="57"/>
  <c r="A30" i="57"/>
  <c r="A31" i="57"/>
  <c r="A32" i="57"/>
  <c r="A33" i="57"/>
  <c r="A25" i="57"/>
  <c r="G25" i="57" l="1"/>
  <c r="F33" i="57"/>
  <c r="F26" i="57"/>
  <c r="F31" i="57"/>
  <c r="F29" i="57"/>
  <c r="F25" i="57"/>
  <c r="B58" i="106" l="1"/>
  <c r="C19" i="109" l="1"/>
  <c r="C11" i="108" l="1"/>
  <c r="E198" i="88" l="1"/>
  <c r="E141" i="88"/>
  <c r="D162" i="69" l="1"/>
  <c r="N158" i="69"/>
  <c r="N165" i="69"/>
  <c r="N107" i="69"/>
  <c r="N100" i="69"/>
  <c r="N151" i="69"/>
  <c r="N93" i="69"/>
  <c r="N144" i="69"/>
  <c r="N86" i="69"/>
  <c r="N137" i="69"/>
  <c r="N79" i="69"/>
  <c r="N130" i="69"/>
  <c r="B2" i="167" s="1"/>
  <c r="B8" i="167" s="1"/>
  <c r="B10" i="167" s="1"/>
  <c r="N72" i="69"/>
  <c r="D103" i="69"/>
  <c r="D182" i="69"/>
  <c r="D180" i="69"/>
  <c r="D179" i="69"/>
  <c r="D178" i="69"/>
  <c r="D177" i="69"/>
  <c r="D176" i="69"/>
  <c r="D175" i="69"/>
  <c r="D171" i="69"/>
  <c r="D170" i="69"/>
  <c r="D169" i="69"/>
  <c r="D168" i="69"/>
  <c r="D167" i="69"/>
  <c r="D166" i="69"/>
  <c r="D160" i="69"/>
  <c r="D159" i="69"/>
  <c r="D158" i="69"/>
  <c r="D157" i="69"/>
  <c r="D152" i="69"/>
  <c r="D148" i="69"/>
  <c r="D147" i="69"/>
  <c r="D141" i="69"/>
  <c r="D123" i="69"/>
  <c r="D121" i="69"/>
  <c r="D120" i="69"/>
  <c r="D119" i="69"/>
  <c r="D118" i="69"/>
  <c r="D117" i="69"/>
  <c r="D116" i="69"/>
  <c r="D112" i="69"/>
  <c r="D111" i="69"/>
  <c r="D110" i="69"/>
  <c r="D109" i="69"/>
  <c r="D108" i="69"/>
  <c r="D107" i="69"/>
  <c r="D101" i="69"/>
  <c r="D100" i="69"/>
  <c r="D99" i="69"/>
  <c r="D98" i="69"/>
  <c r="D93" i="69"/>
  <c r="D89" i="69"/>
  <c r="D88" i="69"/>
  <c r="D82" i="69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E15" i="19" l="1"/>
  <c r="E18" i="19"/>
  <c r="E17" i="19"/>
  <c r="E16" i="19"/>
  <c r="P19" i="22"/>
  <c r="D172" i="69" l="1"/>
  <c r="N147" i="69"/>
  <c r="D16" i="19"/>
  <c r="D15" i="19"/>
  <c r="D249" i="15"/>
  <c r="E249" i="15"/>
  <c r="F249" i="15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4" i="8"/>
  <c r="D25" i="58" l="1"/>
  <c r="E8" i="19" l="1"/>
  <c r="E12" i="19"/>
  <c r="D174" i="69" s="1"/>
  <c r="E11" i="19"/>
  <c r="E10" i="19"/>
  <c r="E9" i="19"/>
  <c r="D8" i="19"/>
  <c r="D9" i="19"/>
  <c r="P22" i="24"/>
  <c r="P23" i="24"/>
  <c r="P24" i="24"/>
  <c r="P25" i="24"/>
  <c r="P17" i="24"/>
  <c r="P18" i="24"/>
  <c r="D146" i="69" l="1"/>
  <c r="D17" i="19"/>
  <c r="C15" i="19"/>
  <c r="C16" i="19"/>
  <c r="C8" i="19"/>
  <c r="C9" i="19"/>
  <c r="P17" i="22"/>
  <c r="P18" i="22"/>
  <c r="P22" i="22"/>
  <c r="P23" i="22"/>
  <c r="P24" i="22"/>
  <c r="P25" i="22"/>
  <c r="P26" i="22"/>
  <c r="C18" i="19" s="1"/>
  <c r="N21" i="69" s="1"/>
  <c r="P9" i="22"/>
  <c r="P10" i="22"/>
  <c r="P11" i="22"/>
  <c r="P12" i="22"/>
  <c r="P13" i="22"/>
  <c r="C12" i="19" s="1"/>
  <c r="P14" i="22"/>
  <c r="P15" i="22"/>
  <c r="P16" i="22"/>
  <c r="I277" i="16"/>
  <c r="Q277" i="16"/>
  <c r="I278" i="16"/>
  <c r="Q278" i="16"/>
  <c r="I279" i="16"/>
  <c r="Q279" i="16"/>
  <c r="I280" i="16"/>
  <c r="Q280" i="16"/>
  <c r="I281" i="16"/>
  <c r="Q281" i="16"/>
  <c r="I282" i="16"/>
  <c r="Q282" i="16"/>
  <c r="I7" i="16"/>
  <c r="Q7" i="16"/>
  <c r="I8" i="16"/>
  <c r="Q8" i="16"/>
  <c r="I9" i="16"/>
  <c r="Q9" i="16"/>
  <c r="I10" i="16"/>
  <c r="Q10" i="16"/>
  <c r="I11" i="16"/>
  <c r="Q11" i="16"/>
  <c r="I12" i="16"/>
  <c r="Q12" i="16"/>
  <c r="I13" i="16"/>
  <c r="Q13" i="16"/>
  <c r="I14" i="16"/>
  <c r="Q14" i="16"/>
  <c r="I15" i="16"/>
  <c r="Q15" i="16"/>
  <c r="I16" i="16"/>
  <c r="Q16" i="16"/>
  <c r="I17" i="16"/>
  <c r="Q17" i="16"/>
  <c r="I18" i="16"/>
  <c r="Q18" i="16"/>
  <c r="I19" i="16"/>
  <c r="Q19" i="16"/>
  <c r="I20" i="16"/>
  <c r="Q20" i="16"/>
  <c r="I21" i="16"/>
  <c r="Q21" i="16"/>
  <c r="I22" i="16"/>
  <c r="Q22" i="16"/>
  <c r="I23" i="16"/>
  <c r="Q23" i="16"/>
  <c r="I24" i="16"/>
  <c r="Q24" i="16"/>
  <c r="I25" i="16"/>
  <c r="Q25" i="16"/>
  <c r="I26" i="16"/>
  <c r="Q26" i="16"/>
  <c r="I27" i="16"/>
  <c r="Q27" i="16"/>
  <c r="I28" i="16"/>
  <c r="Q28" i="16"/>
  <c r="I29" i="16"/>
  <c r="Q29" i="16"/>
  <c r="I30" i="16"/>
  <c r="Q30" i="16"/>
  <c r="I31" i="16"/>
  <c r="Q31" i="16"/>
  <c r="I32" i="16"/>
  <c r="Q32" i="16"/>
  <c r="I33" i="16"/>
  <c r="Q33" i="16"/>
  <c r="I34" i="16"/>
  <c r="Q34" i="16"/>
  <c r="I35" i="16"/>
  <c r="Q35" i="16"/>
  <c r="I36" i="16"/>
  <c r="Q36" i="16"/>
  <c r="I37" i="16"/>
  <c r="Q37" i="16"/>
  <c r="I38" i="16"/>
  <c r="Q38" i="16"/>
  <c r="I39" i="16"/>
  <c r="Q39" i="16"/>
  <c r="I40" i="16"/>
  <c r="Q40" i="16"/>
  <c r="I41" i="16"/>
  <c r="Q41" i="16"/>
  <c r="I42" i="16"/>
  <c r="Q42" i="16"/>
  <c r="I43" i="16"/>
  <c r="Q43" i="16"/>
  <c r="I44" i="16"/>
  <c r="Q44" i="16"/>
  <c r="I45" i="16"/>
  <c r="Q45" i="16"/>
  <c r="I46" i="16"/>
  <c r="Q46" i="16"/>
  <c r="I47" i="16"/>
  <c r="Q47" i="16"/>
  <c r="I48" i="16"/>
  <c r="Q48" i="16"/>
  <c r="I49" i="16"/>
  <c r="Q49" i="16"/>
  <c r="I50" i="16"/>
  <c r="Q50" i="16"/>
  <c r="I51" i="16"/>
  <c r="Q51" i="16"/>
  <c r="I52" i="16"/>
  <c r="Q52" i="16"/>
  <c r="I53" i="16"/>
  <c r="Q53" i="16"/>
  <c r="I54" i="16"/>
  <c r="Q54" i="16"/>
  <c r="I55" i="16"/>
  <c r="Q55" i="16"/>
  <c r="I56" i="16"/>
  <c r="Q56" i="16"/>
  <c r="I57" i="16"/>
  <c r="Q57" i="16"/>
  <c r="I58" i="16"/>
  <c r="Q58" i="16"/>
  <c r="I59" i="16"/>
  <c r="Q59" i="16"/>
  <c r="I60" i="16"/>
  <c r="Q60" i="16"/>
  <c r="I61" i="16"/>
  <c r="Q61" i="16"/>
  <c r="I62" i="16"/>
  <c r="Q62" i="16"/>
  <c r="I63" i="16"/>
  <c r="Q63" i="16"/>
  <c r="I64" i="16"/>
  <c r="Q64" i="16"/>
  <c r="I65" i="16"/>
  <c r="Q65" i="16"/>
  <c r="I66" i="16"/>
  <c r="Q66" i="16"/>
  <c r="I67" i="16"/>
  <c r="Q67" i="16"/>
  <c r="I68" i="16"/>
  <c r="Q68" i="16"/>
  <c r="I69" i="16"/>
  <c r="Q69" i="16"/>
  <c r="I70" i="16"/>
  <c r="Q70" i="16"/>
  <c r="I71" i="16"/>
  <c r="Q71" i="16"/>
  <c r="I72" i="16"/>
  <c r="Q72" i="16"/>
  <c r="I73" i="16"/>
  <c r="Q73" i="16"/>
  <c r="I74" i="16"/>
  <c r="Q74" i="16"/>
  <c r="I75" i="16"/>
  <c r="Q75" i="16"/>
  <c r="I76" i="16"/>
  <c r="Q76" i="16"/>
  <c r="I77" i="16"/>
  <c r="Q77" i="16"/>
  <c r="I78" i="16"/>
  <c r="Q78" i="16"/>
  <c r="I79" i="16"/>
  <c r="Q79" i="16"/>
  <c r="I80" i="16"/>
  <c r="Q80" i="16"/>
  <c r="I81" i="16"/>
  <c r="Q81" i="16"/>
  <c r="I82" i="16"/>
  <c r="Q82" i="16"/>
  <c r="I83" i="16"/>
  <c r="Q83" i="16"/>
  <c r="I84" i="16"/>
  <c r="Q84" i="16"/>
  <c r="I85" i="16"/>
  <c r="Q85" i="16"/>
  <c r="I86" i="16"/>
  <c r="Q86" i="16"/>
  <c r="I87" i="16"/>
  <c r="Q87" i="16"/>
  <c r="I88" i="16"/>
  <c r="Q88" i="16"/>
  <c r="I89" i="16"/>
  <c r="Q89" i="16"/>
  <c r="I90" i="16"/>
  <c r="Q90" i="16"/>
  <c r="I91" i="16"/>
  <c r="Q91" i="16"/>
  <c r="I92" i="16"/>
  <c r="Q92" i="16"/>
  <c r="I93" i="16"/>
  <c r="Q93" i="16"/>
  <c r="I94" i="16"/>
  <c r="Q94" i="16"/>
  <c r="I95" i="16"/>
  <c r="Q95" i="16"/>
  <c r="I96" i="16"/>
  <c r="Q96" i="16"/>
  <c r="I97" i="16"/>
  <c r="Q97" i="16"/>
  <c r="I98" i="16"/>
  <c r="Q98" i="16"/>
  <c r="I99" i="16"/>
  <c r="Q99" i="16"/>
  <c r="I100" i="16"/>
  <c r="Q100" i="16"/>
  <c r="I101" i="16"/>
  <c r="Q101" i="16"/>
  <c r="I102" i="16"/>
  <c r="Q102" i="16"/>
  <c r="I103" i="16"/>
  <c r="Q103" i="16"/>
  <c r="I104" i="16"/>
  <c r="Q104" i="16"/>
  <c r="I105" i="16"/>
  <c r="Q105" i="16"/>
  <c r="I106" i="16"/>
  <c r="Q106" i="16"/>
  <c r="I107" i="16"/>
  <c r="Q107" i="16"/>
  <c r="I108" i="16"/>
  <c r="Q108" i="16"/>
  <c r="I109" i="16"/>
  <c r="Q109" i="16"/>
  <c r="I110" i="16"/>
  <c r="Q110" i="16"/>
  <c r="I111" i="16"/>
  <c r="Q111" i="16"/>
  <c r="I112" i="16"/>
  <c r="Q112" i="16"/>
  <c r="I113" i="16"/>
  <c r="Q113" i="16"/>
  <c r="I114" i="16"/>
  <c r="Q114" i="16"/>
  <c r="I115" i="16"/>
  <c r="Q115" i="16"/>
  <c r="I116" i="16"/>
  <c r="Q116" i="16"/>
  <c r="I117" i="16"/>
  <c r="Q117" i="16"/>
  <c r="I118" i="16"/>
  <c r="Q118" i="16"/>
  <c r="I119" i="16"/>
  <c r="Q119" i="16"/>
  <c r="I120" i="16"/>
  <c r="Q120" i="16"/>
  <c r="I121" i="16"/>
  <c r="Q121" i="16"/>
  <c r="I122" i="16"/>
  <c r="Q122" i="16"/>
  <c r="I123" i="16"/>
  <c r="Q123" i="16"/>
  <c r="I124" i="16"/>
  <c r="Q124" i="16"/>
  <c r="I125" i="16"/>
  <c r="Q125" i="16"/>
  <c r="I126" i="16"/>
  <c r="Q126" i="16"/>
  <c r="I127" i="16"/>
  <c r="Q127" i="16"/>
  <c r="I128" i="16"/>
  <c r="Q128" i="16"/>
  <c r="I129" i="16"/>
  <c r="Q129" i="16"/>
  <c r="I130" i="16"/>
  <c r="Q130" i="16"/>
  <c r="I131" i="16"/>
  <c r="Q131" i="16"/>
  <c r="I132" i="16"/>
  <c r="Q132" i="16"/>
  <c r="I133" i="16"/>
  <c r="Q133" i="16"/>
  <c r="I134" i="16"/>
  <c r="Q134" i="16"/>
  <c r="I135" i="16"/>
  <c r="Q135" i="16"/>
  <c r="I136" i="16"/>
  <c r="Q136" i="16"/>
  <c r="I137" i="16"/>
  <c r="Q137" i="16"/>
  <c r="I138" i="16"/>
  <c r="Q138" i="16"/>
  <c r="I139" i="16"/>
  <c r="Q139" i="16"/>
  <c r="I140" i="16"/>
  <c r="Q140" i="16"/>
  <c r="I141" i="16"/>
  <c r="Q141" i="16"/>
  <c r="I142" i="16"/>
  <c r="Q142" i="16"/>
  <c r="I143" i="16"/>
  <c r="Q143" i="16"/>
  <c r="I144" i="16"/>
  <c r="Q144" i="16"/>
  <c r="I145" i="16"/>
  <c r="Q145" i="16"/>
  <c r="I146" i="16"/>
  <c r="Q146" i="16"/>
  <c r="I147" i="16"/>
  <c r="Q147" i="16"/>
  <c r="I148" i="16"/>
  <c r="Q148" i="16"/>
  <c r="I149" i="16"/>
  <c r="Q149" i="16"/>
  <c r="I150" i="16"/>
  <c r="Q150" i="16"/>
  <c r="I151" i="16"/>
  <c r="Q151" i="16"/>
  <c r="I152" i="16"/>
  <c r="Q152" i="16"/>
  <c r="I153" i="16"/>
  <c r="Q153" i="16"/>
  <c r="I154" i="16"/>
  <c r="Q154" i="16"/>
  <c r="I155" i="16"/>
  <c r="Q155" i="16"/>
  <c r="I156" i="16"/>
  <c r="Q156" i="16"/>
  <c r="I157" i="16"/>
  <c r="Q157" i="16"/>
  <c r="I158" i="16"/>
  <c r="Q158" i="16"/>
  <c r="I159" i="16"/>
  <c r="Q159" i="16"/>
  <c r="I160" i="16"/>
  <c r="Q160" i="16"/>
  <c r="I161" i="16"/>
  <c r="Q161" i="16"/>
  <c r="I162" i="16"/>
  <c r="Q162" i="16"/>
  <c r="I163" i="16"/>
  <c r="Q163" i="16"/>
  <c r="I164" i="16"/>
  <c r="Q164" i="16"/>
  <c r="I165" i="16"/>
  <c r="Q165" i="16"/>
  <c r="I166" i="16"/>
  <c r="Q166" i="16"/>
  <c r="I167" i="16"/>
  <c r="Q167" i="16"/>
  <c r="I168" i="16"/>
  <c r="Q168" i="16"/>
  <c r="I169" i="16"/>
  <c r="Q169" i="16"/>
  <c r="I170" i="16"/>
  <c r="Q170" i="16"/>
  <c r="I171" i="16"/>
  <c r="Q171" i="16"/>
  <c r="I172" i="16"/>
  <c r="Q172" i="16"/>
  <c r="I173" i="16"/>
  <c r="Q173" i="16"/>
  <c r="I174" i="16"/>
  <c r="Q174" i="16"/>
  <c r="I175" i="16"/>
  <c r="Q175" i="16"/>
  <c r="I176" i="16"/>
  <c r="Q176" i="16"/>
  <c r="I177" i="16"/>
  <c r="Q177" i="16"/>
  <c r="I178" i="16"/>
  <c r="Q178" i="16"/>
  <c r="I179" i="16"/>
  <c r="Q179" i="16"/>
  <c r="I180" i="16"/>
  <c r="Q180" i="16"/>
  <c r="I181" i="16"/>
  <c r="Q181" i="16"/>
  <c r="I182" i="16"/>
  <c r="Q182" i="16"/>
  <c r="I183" i="16"/>
  <c r="Q183" i="16"/>
  <c r="I184" i="16"/>
  <c r="Q184" i="16"/>
  <c r="I185" i="16"/>
  <c r="Q185" i="16"/>
  <c r="I186" i="16"/>
  <c r="Q186" i="16"/>
  <c r="I187" i="16"/>
  <c r="Q187" i="16"/>
  <c r="I188" i="16"/>
  <c r="Q188" i="16"/>
  <c r="I189" i="16"/>
  <c r="Q189" i="16"/>
  <c r="I190" i="16"/>
  <c r="Q190" i="16"/>
  <c r="I191" i="16"/>
  <c r="Q191" i="16"/>
  <c r="I192" i="16"/>
  <c r="Q192" i="16"/>
  <c r="I193" i="16"/>
  <c r="Q193" i="16"/>
  <c r="I194" i="16"/>
  <c r="Q194" i="16"/>
  <c r="I195" i="16"/>
  <c r="Q195" i="16"/>
  <c r="I196" i="16"/>
  <c r="Q196" i="16"/>
  <c r="I197" i="16"/>
  <c r="Q197" i="16"/>
  <c r="I198" i="16"/>
  <c r="Q198" i="16"/>
  <c r="I199" i="16"/>
  <c r="Q199" i="16"/>
  <c r="I200" i="16"/>
  <c r="Q200" i="16"/>
  <c r="I201" i="16"/>
  <c r="Q201" i="16"/>
  <c r="I202" i="16"/>
  <c r="Q202" i="16"/>
  <c r="I203" i="16"/>
  <c r="Q203" i="16"/>
  <c r="I204" i="16"/>
  <c r="Q204" i="16"/>
  <c r="I205" i="16"/>
  <c r="Q205" i="16"/>
  <c r="I206" i="16"/>
  <c r="Q206" i="16"/>
  <c r="I207" i="16"/>
  <c r="Q207" i="16"/>
  <c r="I208" i="16"/>
  <c r="Q208" i="16"/>
  <c r="I209" i="16"/>
  <c r="Q209" i="16"/>
  <c r="I210" i="16"/>
  <c r="Q210" i="16"/>
  <c r="I211" i="16"/>
  <c r="Q211" i="16"/>
  <c r="I212" i="16"/>
  <c r="Q212" i="16"/>
  <c r="I213" i="16"/>
  <c r="Q213" i="16"/>
  <c r="I214" i="16"/>
  <c r="Q214" i="16"/>
  <c r="I215" i="16"/>
  <c r="Q215" i="16"/>
  <c r="I216" i="16"/>
  <c r="Q216" i="16"/>
  <c r="I217" i="16"/>
  <c r="Q217" i="16"/>
  <c r="I218" i="16"/>
  <c r="Q218" i="16"/>
  <c r="I219" i="16"/>
  <c r="Q219" i="16"/>
  <c r="I220" i="16"/>
  <c r="Q220" i="16"/>
  <c r="I221" i="16"/>
  <c r="Q221" i="16"/>
  <c r="I222" i="16"/>
  <c r="Q222" i="16"/>
  <c r="I223" i="16"/>
  <c r="Q223" i="16"/>
  <c r="I224" i="16"/>
  <c r="Q224" i="16"/>
  <c r="I225" i="16"/>
  <c r="Q225" i="16"/>
  <c r="I226" i="16"/>
  <c r="Q226" i="16"/>
  <c r="I227" i="16"/>
  <c r="Q227" i="16"/>
  <c r="I228" i="16"/>
  <c r="Q228" i="16"/>
  <c r="I229" i="16"/>
  <c r="Q229" i="16"/>
  <c r="I230" i="16"/>
  <c r="Q230" i="16"/>
  <c r="I231" i="16"/>
  <c r="Q231" i="16"/>
  <c r="I232" i="16"/>
  <c r="Q232" i="16"/>
  <c r="I233" i="16"/>
  <c r="Q233" i="16"/>
  <c r="I234" i="16"/>
  <c r="Q234" i="16"/>
  <c r="I235" i="16"/>
  <c r="Q235" i="16"/>
  <c r="I236" i="16"/>
  <c r="Q236" i="16"/>
  <c r="I237" i="16"/>
  <c r="Q237" i="16"/>
  <c r="I238" i="16"/>
  <c r="Q238" i="16"/>
  <c r="I239" i="16"/>
  <c r="Q239" i="16"/>
  <c r="I240" i="16"/>
  <c r="Q240" i="16"/>
  <c r="I241" i="16"/>
  <c r="Q241" i="16"/>
  <c r="I242" i="16"/>
  <c r="Q242" i="16"/>
  <c r="I243" i="16"/>
  <c r="Q243" i="16"/>
  <c r="I244" i="16"/>
  <c r="Q244" i="16"/>
  <c r="I245" i="16"/>
  <c r="Q245" i="16"/>
  <c r="I246" i="16"/>
  <c r="Q246" i="16"/>
  <c r="I247" i="16"/>
  <c r="Q247" i="16"/>
  <c r="I248" i="16"/>
  <c r="Q248" i="16"/>
  <c r="I249" i="16"/>
  <c r="Q249" i="16"/>
  <c r="I250" i="16"/>
  <c r="Q250" i="16"/>
  <c r="I251" i="16"/>
  <c r="Q251" i="16"/>
  <c r="I252" i="16"/>
  <c r="Q252" i="16"/>
  <c r="I253" i="16"/>
  <c r="Q253" i="16"/>
  <c r="I254" i="16"/>
  <c r="Q254" i="16"/>
  <c r="I255" i="16"/>
  <c r="Q255" i="16"/>
  <c r="I256" i="16"/>
  <c r="Q256" i="16"/>
  <c r="I257" i="16"/>
  <c r="Q257" i="16"/>
  <c r="I258" i="16"/>
  <c r="Q258" i="16"/>
  <c r="I259" i="16"/>
  <c r="Q259" i="16"/>
  <c r="I260" i="16"/>
  <c r="Q260" i="16"/>
  <c r="I261" i="16"/>
  <c r="Q261" i="16"/>
  <c r="I262" i="16"/>
  <c r="Q262" i="16"/>
  <c r="I263" i="16"/>
  <c r="Q263" i="16"/>
  <c r="I264" i="16"/>
  <c r="Q264" i="16"/>
  <c r="I265" i="16"/>
  <c r="Q265" i="16"/>
  <c r="I266" i="16"/>
  <c r="Q266" i="16"/>
  <c r="I267" i="16"/>
  <c r="Q267" i="16"/>
  <c r="I268" i="16"/>
  <c r="Q268" i="16"/>
  <c r="I269" i="16"/>
  <c r="Q269" i="16"/>
  <c r="I270" i="16"/>
  <c r="Q270" i="16"/>
  <c r="I271" i="16"/>
  <c r="Q271" i="16"/>
  <c r="I272" i="16"/>
  <c r="Q272" i="16"/>
  <c r="I273" i="16"/>
  <c r="Q273" i="16"/>
  <c r="I274" i="16"/>
  <c r="Q274" i="16"/>
  <c r="I275" i="16"/>
  <c r="Q275" i="16"/>
  <c r="I276" i="16"/>
  <c r="Q276" i="16"/>
  <c r="C17" i="19" l="1"/>
  <c r="E82" i="6"/>
  <c r="Y6" i="8" l="1"/>
  <c r="Z6" i="8"/>
  <c r="Y5" i="8"/>
  <c r="Z5" i="8"/>
  <c r="Y4" i="8"/>
  <c r="Z4" i="8"/>
  <c r="Y7" i="8"/>
  <c r="Z7" i="8"/>
  <c r="Y8" i="8"/>
  <c r="Z8" i="8"/>
  <c r="Y9" i="8"/>
  <c r="Z9" i="8"/>
  <c r="Y10" i="8"/>
  <c r="Z10" i="8"/>
  <c r="Y11" i="8"/>
  <c r="Z11" i="8"/>
  <c r="Y12" i="8"/>
  <c r="Z12" i="8"/>
  <c r="Y13" i="8"/>
  <c r="Z13" i="8"/>
  <c r="Y14" i="8"/>
  <c r="Z14" i="8"/>
  <c r="Y15" i="8"/>
  <c r="Z15" i="8"/>
  <c r="Y16" i="8"/>
  <c r="Z16" i="8"/>
  <c r="Y17" i="8"/>
  <c r="Z17" i="8"/>
  <c r="M70" i="104" l="1"/>
  <c r="L70" i="104"/>
  <c r="K70" i="104"/>
  <c r="J70" i="104"/>
  <c r="I70" i="104"/>
  <c r="H70" i="104"/>
  <c r="G70" i="104"/>
  <c r="F70" i="104"/>
  <c r="E70" i="104"/>
  <c r="J41" i="104"/>
  <c r="I41" i="104"/>
  <c r="K41" i="104"/>
  <c r="K74" i="104" s="1"/>
  <c r="L41" i="104"/>
  <c r="L74" i="104" s="1"/>
  <c r="I74" i="104" l="1"/>
  <c r="J74" i="104"/>
  <c r="G41" i="104"/>
  <c r="G74" i="104" s="1"/>
  <c r="C37" i="109" l="1"/>
  <c r="F22" i="108"/>
  <c r="J4" i="105"/>
  <c r="C5" i="1" l="1"/>
  <c r="D272" i="15" l="1"/>
  <c r="D7" i="90" l="1"/>
  <c r="D7" i="160"/>
  <c r="D39" i="57" l="1"/>
  <c r="D38" i="57"/>
  <c r="E38" i="57" s="1"/>
  <c r="E224" i="15" l="1"/>
  <c r="E15" i="57"/>
  <c r="E13" i="57" l="1"/>
  <c r="D35" i="26" l="1"/>
  <c r="D34" i="26"/>
  <c r="D33" i="26"/>
  <c r="F8" i="160" s="1"/>
  <c r="D32" i="26"/>
  <c r="F8" i="90" l="1"/>
  <c r="F75" i="56"/>
  <c r="F74" i="56"/>
  <c r="F73" i="56"/>
  <c r="F72" i="56"/>
  <c r="F71" i="56"/>
  <c r="F70" i="56"/>
  <c r="F69" i="56"/>
  <c r="F68" i="56"/>
  <c r="F67" i="56"/>
  <c r="F66" i="56"/>
  <c r="F65" i="56"/>
  <c r="F64" i="56"/>
  <c r="F63" i="56"/>
  <c r="F62" i="56"/>
  <c r="F61" i="56"/>
  <c r="F60" i="56"/>
  <c r="F59" i="56"/>
  <c r="F58" i="56"/>
  <c r="F57" i="56"/>
  <c r="F56" i="56"/>
  <c r="F55" i="56"/>
  <c r="F54" i="56"/>
  <c r="F53" i="56"/>
  <c r="H77" i="164" s="1"/>
  <c r="F52" i="56"/>
  <c r="H87" i="164" s="1"/>
  <c r="F51" i="56"/>
  <c r="H89" i="164" s="1"/>
  <c r="F50" i="56"/>
  <c r="H88" i="164" s="1"/>
  <c r="F49" i="56"/>
  <c r="H90" i="164" s="1"/>
  <c r="F48" i="56"/>
  <c r="H99" i="164" s="1"/>
  <c r="F47" i="56"/>
  <c r="H98" i="164" s="1"/>
  <c r="F46" i="56"/>
  <c r="H97" i="164" s="1"/>
  <c r="F45" i="56"/>
  <c r="H96" i="164" s="1"/>
  <c r="F44" i="56"/>
  <c r="H95" i="164" s="1"/>
  <c r="F43" i="56"/>
  <c r="H94" i="164" s="1"/>
  <c r="F42" i="56"/>
  <c r="F41" i="56"/>
  <c r="H107" i="164" s="1"/>
  <c r="F40" i="56"/>
  <c r="H102" i="164" s="1"/>
  <c r="F39" i="56"/>
  <c r="H92" i="164" s="1"/>
  <c r="F38" i="56"/>
  <c r="H91" i="164" s="1"/>
  <c r="F37" i="56"/>
  <c r="H86" i="164" s="1"/>
  <c r="F36" i="56"/>
  <c r="F35" i="56"/>
  <c r="H85" i="164" s="1"/>
  <c r="H159" i="164" s="1"/>
  <c r="F34" i="56"/>
  <c r="H83" i="164" s="1"/>
  <c r="F33" i="56"/>
  <c r="H82" i="164" s="1"/>
  <c r="F32" i="56"/>
  <c r="H81" i="164" s="1"/>
  <c r="F31" i="56"/>
  <c r="H80" i="164" s="1"/>
  <c r="F30" i="56"/>
  <c r="H79" i="164" s="1"/>
  <c r="H176" i="164" s="1"/>
  <c r="F32" i="151" s="1"/>
  <c r="F29" i="56"/>
  <c r="F28" i="56"/>
  <c r="H78" i="164" s="1"/>
  <c r="F27" i="56"/>
  <c r="H73" i="164" s="1"/>
  <c r="F26" i="56"/>
  <c r="H72" i="164" s="1"/>
  <c r="F25" i="56"/>
  <c r="H65" i="164" s="1"/>
  <c r="F24" i="56"/>
  <c r="H71" i="164" s="1"/>
  <c r="F23" i="56"/>
  <c r="H70" i="164" s="1"/>
  <c r="F22" i="56"/>
  <c r="H66" i="164" s="1"/>
  <c r="F21" i="56"/>
  <c r="H64" i="164" s="1"/>
  <c r="F20" i="56"/>
  <c r="H68" i="164" s="1"/>
  <c r="F19" i="56"/>
  <c r="H67" i="164" s="1"/>
  <c r="F18" i="56"/>
  <c r="H62" i="164" s="1"/>
  <c r="F17" i="56"/>
  <c r="H63" i="164" s="1"/>
  <c r="F16" i="56"/>
  <c r="H61" i="164" s="1"/>
  <c r="F15" i="56"/>
  <c r="H59" i="164" s="1"/>
  <c r="H126" i="164" s="1"/>
  <c r="H128" i="164" s="1"/>
  <c r="F14" i="56"/>
  <c r="F13" i="56"/>
  <c r="H100" i="164"/>
  <c r="J89" i="56"/>
  <c r="J90" i="56"/>
  <c r="J91" i="56"/>
  <c r="J92" i="56"/>
  <c r="J93" i="56"/>
  <c r="J94" i="56"/>
  <c r="J95" i="56"/>
  <c r="J96" i="56"/>
  <c r="J97" i="56"/>
  <c r="J98" i="56"/>
  <c r="J99" i="56"/>
  <c r="J100" i="56"/>
  <c r="J101" i="56"/>
  <c r="J102" i="56"/>
  <c r="J103" i="56"/>
  <c r="J104" i="56"/>
  <c r="J105" i="56"/>
  <c r="J88" i="56"/>
  <c r="D79" i="56"/>
  <c r="D80" i="56"/>
  <c r="D81" i="56"/>
  <c r="D82" i="56"/>
  <c r="D83" i="56"/>
  <c r="D84" i="56"/>
  <c r="D85" i="56"/>
  <c r="D86" i="56"/>
  <c r="H132" i="164" l="1"/>
  <c r="F16" i="151" s="1"/>
  <c r="K18" i="56"/>
  <c r="H183" i="164"/>
  <c r="F15" i="151"/>
  <c r="E3" i="56"/>
  <c r="H111" i="164"/>
  <c r="H113" i="164" s="1"/>
  <c r="H133" i="164"/>
  <c r="F17" i="151" s="1"/>
  <c r="H174" i="164"/>
  <c r="H74" i="164"/>
  <c r="H136" i="164"/>
  <c r="F20" i="151" s="1"/>
  <c r="H93" i="164"/>
  <c r="H119" i="164"/>
  <c r="H122" i="164" s="1"/>
  <c r="H153" i="164"/>
  <c r="G155" i="164" s="1"/>
  <c r="F79" i="56"/>
  <c r="H4" i="13"/>
  <c r="F121" i="15"/>
  <c r="E121" i="15"/>
  <c r="D121" i="15"/>
  <c r="A121" i="15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101" i="16"/>
  <c r="A102" i="16"/>
  <c r="A103" i="16"/>
  <c r="A104" i="16"/>
  <c r="A105" i="16"/>
  <c r="A106" i="16"/>
  <c r="A107" i="16"/>
  <c r="A108" i="16"/>
  <c r="A109" i="16"/>
  <c r="A110" i="16"/>
  <c r="A111" i="16"/>
  <c r="A112" i="16"/>
  <c r="A113" i="16"/>
  <c r="A114" i="16"/>
  <c r="A115" i="16"/>
  <c r="A116" i="16"/>
  <c r="A117" i="16"/>
  <c r="A118" i="16"/>
  <c r="A119" i="16"/>
  <c r="A120" i="16"/>
  <c r="A121" i="16"/>
  <c r="A122" i="16"/>
  <c r="A123" i="16"/>
  <c r="A124" i="16"/>
  <c r="A125" i="16"/>
  <c r="A126" i="16"/>
  <c r="A127" i="16"/>
  <c r="A128" i="16"/>
  <c r="A129" i="16"/>
  <c r="A130" i="16"/>
  <c r="A131" i="16"/>
  <c r="A132" i="16"/>
  <c r="A133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199" i="16"/>
  <c r="A200" i="16"/>
  <c r="A201" i="16"/>
  <c r="A202" i="16"/>
  <c r="A203" i="16"/>
  <c r="A204" i="16"/>
  <c r="A205" i="16"/>
  <c r="A206" i="16"/>
  <c r="A207" i="16"/>
  <c r="A208" i="16"/>
  <c r="A209" i="16"/>
  <c r="A210" i="16"/>
  <c r="A211" i="16"/>
  <c r="A212" i="16"/>
  <c r="A213" i="16"/>
  <c r="A214" i="16"/>
  <c r="A215" i="16"/>
  <c r="A216" i="16"/>
  <c r="A217" i="16"/>
  <c r="A218" i="16"/>
  <c r="A219" i="16"/>
  <c r="A220" i="16"/>
  <c r="A221" i="16"/>
  <c r="A222" i="16"/>
  <c r="A223" i="16"/>
  <c r="A224" i="16"/>
  <c r="A225" i="16"/>
  <c r="A226" i="16"/>
  <c r="A227" i="16"/>
  <c r="A228" i="16"/>
  <c r="A229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255" i="16"/>
  <c r="A256" i="16"/>
  <c r="A257" i="16"/>
  <c r="A258" i="16"/>
  <c r="A259" i="16"/>
  <c r="A260" i="16"/>
  <c r="A261" i="16"/>
  <c r="A262" i="16"/>
  <c r="A263" i="16"/>
  <c r="A264" i="16"/>
  <c r="A265" i="16"/>
  <c r="A266" i="16"/>
  <c r="A267" i="16"/>
  <c r="A268" i="16"/>
  <c r="A269" i="16"/>
  <c r="A270" i="16"/>
  <c r="A271" i="16"/>
  <c r="A272" i="16"/>
  <c r="A273" i="16"/>
  <c r="A274" i="16"/>
  <c r="A275" i="16"/>
  <c r="A276" i="16"/>
  <c r="A277" i="16"/>
  <c r="A278" i="16"/>
  <c r="A279" i="16"/>
  <c r="A280" i="16"/>
  <c r="A281" i="16"/>
  <c r="A282" i="16"/>
  <c r="A283" i="16"/>
  <c r="A284" i="16"/>
  <c r="A285" i="16"/>
  <c r="A286" i="16"/>
  <c r="A287" i="16"/>
  <c r="A288" i="16"/>
  <c r="A289" i="16"/>
  <c r="A290" i="16"/>
  <c r="A291" i="16"/>
  <c r="A292" i="16"/>
  <c r="A293" i="16"/>
  <c r="A294" i="16"/>
  <c r="A295" i="16"/>
  <c r="A296" i="16"/>
  <c r="A297" i="16"/>
  <c r="A298" i="16"/>
  <c r="A299" i="16"/>
  <c r="A300" i="16"/>
  <c r="A301" i="16"/>
  <c r="A302" i="16"/>
  <c r="A303" i="16"/>
  <c r="A304" i="16"/>
  <c r="A305" i="16"/>
  <c r="A306" i="16"/>
  <c r="A307" i="16"/>
  <c r="A308" i="16"/>
  <c r="A309" i="16"/>
  <c r="A310" i="16"/>
  <c r="A311" i="16"/>
  <c r="A312" i="16"/>
  <c r="A313" i="16"/>
  <c r="A314" i="16"/>
  <c r="A315" i="16"/>
  <c r="A316" i="16"/>
  <c r="A317" i="16"/>
  <c r="A318" i="16"/>
  <c r="A319" i="16"/>
  <c r="A320" i="16"/>
  <c r="A321" i="16"/>
  <c r="A322" i="16"/>
  <c r="A323" i="16"/>
  <c r="A324" i="16"/>
  <c r="A325" i="16"/>
  <c r="A326" i="16"/>
  <c r="A327" i="16"/>
  <c r="A328" i="16"/>
  <c r="A329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6" i="16"/>
  <c r="H186" i="164" l="1"/>
  <c r="F34" i="151"/>
  <c r="H178" i="164"/>
  <c r="F30" i="151"/>
  <c r="H140" i="164"/>
  <c r="H165" i="164"/>
  <c r="G156" i="164"/>
  <c r="H108" i="164"/>
  <c r="H185" i="164" s="1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2" i="15"/>
  <c r="A124" i="15"/>
  <c r="A125" i="15"/>
  <c r="A126" i="15"/>
  <c r="A127" i="15"/>
  <c r="A128" i="15"/>
  <c r="A129" i="15"/>
  <c r="A130" i="15"/>
  <c r="A131" i="15"/>
  <c r="A132" i="15"/>
  <c r="A133" i="15"/>
  <c r="A134" i="15"/>
  <c r="A135" i="15"/>
  <c r="A136" i="15"/>
  <c r="A137" i="15"/>
  <c r="A138" i="15"/>
  <c r="A139" i="15"/>
  <c r="A140" i="15"/>
  <c r="A141" i="15"/>
  <c r="A142" i="15"/>
  <c r="A143" i="15"/>
  <c r="A144" i="15"/>
  <c r="A145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A164" i="15"/>
  <c r="A165" i="15"/>
  <c r="A166" i="15"/>
  <c r="A167" i="15"/>
  <c r="A168" i="15"/>
  <c r="A169" i="15"/>
  <c r="A170" i="15"/>
  <c r="A172" i="15"/>
  <c r="A173" i="15"/>
  <c r="A174" i="15"/>
  <c r="A175" i="15"/>
  <c r="A176" i="15"/>
  <c r="A177" i="15"/>
  <c r="A178" i="15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5" i="15"/>
  <c r="A196" i="15"/>
  <c r="A197" i="15"/>
  <c r="A198" i="15"/>
  <c r="A199" i="15"/>
  <c r="A200" i="15"/>
  <c r="A201" i="15"/>
  <c r="A202" i="15"/>
  <c r="A203" i="15"/>
  <c r="A204" i="15"/>
  <c r="A205" i="15"/>
  <c r="A206" i="15"/>
  <c r="A207" i="15"/>
  <c r="A208" i="15"/>
  <c r="A209" i="15"/>
  <c r="A210" i="15"/>
  <c r="A211" i="15"/>
  <c r="A212" i="15"/>
  <c r="A213" i="15"/>
  <c r="A214" i="15"/>
  <c r="A215" i="15"/>
  <c r="A216" i="15"/>
  <c r="A217" i="15"/>
  <c r="A221" i="15"/>
  <c r="A222" i="15"/>
  <c r="A223" i="15"/>
  <c r="A224" i="15"/>
  <c r="A225" i="15"/>
  <c r="A226" i="15"/>
  <c r="A227" i="15"/>
  <c r="A228" i="15"/>
  <c r="A229" i="15"/>
  <c r="A230" i="15"/>
  <c r="A231" i="15"/>
  <c r="A232" i="15"/>
  <c r="A233" i="15"/>
  <c r="A234" i="15"/>
  <c r="A235" i="15"/>
  <c r="A236" i="15"/>
  <c r="A237" i="15"/>
  <c r="A238" i="15"/>
  <c r="A239" i="15"/>
  <c r="A240" i="15"/>
  <c r="A241" i="15"/>
  <c r="A242" i="15"/>
  <c r="A243" i="15"/>
  <c r="A244" i="15"/>
  <c r="A245" i="15"/>
  <c r="A246" i="15"/>
  <c r="A247" i="15"/>
  <c r="A248" i="15"/>
  <c r="A250" i="15"/>
  <c r="A251" i="15"/>
  <c r="A252" i="15"/>
  <c r="A253" i="15"/>
  <c r="A254" i="15"/>
  <c r="A255" i="15"/>
  <c r="A256" i="15"/>
  <c r="A257" i="15"/>
  <c r="A258" i="15"/>
  <c r="A259" i="15"/>
  <c r="A260" i="15"/>
  <c r="A261" i="15"/>
  <c r="A262" i="15"/>
  <c r="A263" i="15"/>
  <c r="A264" i="15"/>
  <c r="A265" i="15"/>
  <c r="A266" i="15"/>
  <c r="A267" i="15"/>
  <c r="A268" i="15"/>
  <c r="A269" i="15"/>
  <c r="A270" i="15"/>
  <c r="A271" i="15"/>
  <c r="A272" i="15"/>
  <c r="A273" i="15"/>
  <c r="A274" i="15"/>
  <c r="A275" i="15"/>
  <c r="A276" i="15"/>
  <c r="A277" i="15"/>
  <c r="A278" i="15"/>
  <c r="A279" i="15"/>
  <c r="A280" i="15"/>
  <c r="A281" i="15"/>
  <c r="A282" i="15"/>
  <c r="A283" i="15"/>
  <c r="A284" i="15"/>
  <c r="A285" i="15"/>
  <c r="A286" i="15"/>
  <c r="A287" i="15"/>
  <c r="A288" i="15"/>
  <c r="A289" i="15"/>
  <c r="A290" i="15"/>
  <c r="A291" i="15"/>
  <c r="A292" i="15"/>
  <c r="A293" i="15"/>
  <c r="A294" i="15"/>
  <c r="A295" i="15"/>
  <c r="A296" i="15"/>
  <c r="A297" i="15"/>
  <c r="A298" i="15"/>
  <c r="A299" i="15"/>
  <c r="A300" i="15"/>
  <c r="A301" i="15"/>
  <c r="A302" i="15"/>
  <c r="A303" i="15"/>
  <c r="A304" i="15"/>
  <c r="A305" i="15"/>
  <c r="A306" i="15"/>
  <c r="A307" i="15"/>
  <c r="A308" i="15"/>
  <c r="A309" i="15"/>
  <c r="A310" i="15"/>
  <c r="A311" i="15"/>
  <c r="A312" i="15"/>
  <c r="A313" i="15"/>
  <c r="A314" i="15"/>
  <c r="A315" i="15"/>
  <c r="A316" i="15"/>
  <c r="A317" i="15"/>
  <c r="A318" i="15"/>
  <c r="A319" i="15"/>
  <c r="A320" i="15"/>
  <c r="A321" i="15"/>
  <c r="A322" i="15"/>
  <c r="A323" i="15"/>
  <c r="A324" i="15"/>
  <c r="A325" i="15"/>
  <c r="A326" i="15"/>
  <c r="A327" i="15"/>
  <c r="A328" i="15"/>
  <c r="A329" i="15"/>
  <c r="A330" i="15"/>
  <c r="A331" i="15"/>
  <c r="A332" i="15"/>
  <c r="A333" i="15"/>
  <c r="A334" i="15"/>
  <c r="A335" i="15"/>
  <c r="A336" i="15"/>
  <c r="A337" i="15"/>
  <c r="A338" i="15"/>
  <c r="A339" i="15"/>
  <c r="A340" i="15"/>
  <c r="A341" i="15"/>
  <c r="A342" i="15"/>
  <c r="A343" i="15"/>
  <c r="A344" i="15"/>
  <c r="A345" i="15"/>
  <c r="A346" i="15"/>
  <c r="A347" i="15"/>
  <c r="A348" i="15"/>
  <c r="A349" i="15"/>
  <c r="A350" i="15"/>
  <c r="A351" i="15"/>
  <c r="A352" i="15"/>
  <c r="A353" i="15"/>
  <c r="A354" i="15"/>
  <c r="A355" i="15"/>
  <c r="A356" i="15"/>
  <c r="A357" i="15"/>
  <c r="A358" i="15"/>
  <c r="A359" i="15"/>
  <c r="A360" i="15"/>
  <c r="A361" i="15"/>
  <c r="A362" i="15"/>
  <c r="A363" i="15"/>
  <c r="A364" i="15"/>
  <c r="A365" i="15"/>
  <c r="A366" i="15"/>
  <c r="A367" i="15"/>
  <c r="A368" i="15"/>
  <c r="A369" i="15"/>
  <c r="A370" i="15"/>
  <c r="A371" i="15"/>
  <c r="A372" i="15"/>
  <c r="A373" i="15"/>
  <c r="A374" i="15"/>
  <c r="A375" i="15"/>
  <c r="A376" i="15"/>
  <c r="A377" i="15"/>
  <c r="A378" i="15"/>
  <c r="A379" i="15"/>
  <c r="A380" i="15"/>
  <c r="A381" i="15"/>
  <c r="A382" i="15"/>
  <c r="A383" i="15"/>
  <c r="A384" i="15"/>
  <c r="A385" i="15"/>
  <c r="A386" i="15"/>
  <c r="A387" i="15"/>
  <c r="A388" i="15"/>
  <c r="A389" i="15"/>
  <c r="A390" i="15"/>
  <c r="A391" i="15"/>
  <c r="A392" i="15"/>
  <c r="A393" i="15"/>
  <c r="A394" i="15"/>
  <c r="A395" i="15"/>
  <c r="A396" i="15"/>
  <c r="A397" i="15"/>
  <c r="A398" i="15"/>
  <c r="A399" i="15"/>
  <c r="A400" i="15"/>
  <c r="A401" i="15"/>
  <c r="A402" i="15"/>
  <c r="A403" i="15"/>
  <c r="A404" i="15"/>
  <c r="A405" i="15"/>
  <c r="A406" i="15"/>
  <c r="A407" i="15"/>
  <c r="A408" i="15"/>
  <c r="A409" i="15"/>
  <c r="A410" i="15"/>
  <c r="A411" i="15"/>
  <c r="A412" i="15"/>
  <c r="A413" i="15"/>
  <c r="A414" i="15"/>
  <c r="A415" i="15"/>
  <c r="A416" i="15"/>
  <c r="A417" i="15"/>
  <c r="A418" i="15"/>
  <c r="A419" i="15"/>
  <c r="A420" i="15"/>
  <c r="A421" i="15"/>
  <c r="A422" i="15"/>
  <c r="A423" i="15"/>
  <c r="A424" i="15"/>
  <c r="A425" i="15"/>
  <c r="A426" i="15"/>
  <c r="A427" i="15"/>
  <c r="A428" i="15"/>
  <c r="A429" i="15"/>
  <c r="A430" i="15"/>
  <c r="A431" i="15"/>
  <c r="A432" i="15"/>
  <c r="A433" i="15"/>
  <c r="A434" i="15"/>
  <c r="A435" i="15"/>
  <c r="A436" i="15"/>
  <c r="A437" i="15"/>
  <c r="A438" i="15"/>
  <c r="A439" i="15"/>
  <c r="A440" i="15"/>
  <c r="A441" i="15"/>
  <c r="A442" i="15"/>
  <c r="A443" i="15"/>
  <c r="A444" i="15"/>
  <c r="A445" i="15"/>
  <c r="A446" i="15"/>
  <c r="A447" i="15"/>
  <c r="A448" i="15"/>
  <c r="A449" i="15"/>
  <c r="A450" i="15"/>
  <c r="A451" i="15"/>
  <c r="A452" i="15"/>
  <c r="A453" i="15"/>
  <c r="A454" i="15"/>
  <c r="A455" i="15"/>
  <c r="A456" i="15"/>
  <c r="A457" i="15"/>
  <c r="A458" i="15"/>
  <c r="A459" i="15"/>
  <c r="A460" i="15"/>
  <c r="A461" i="15"/>
  <c r="A462" i="15"/>
  <c r="A463" i="15"/>
  <c r="A464" i="15"/>
  <c r="A465" i="15"/>
  <c r="A466" i="15"/>
  <c r="A467" i="15"/>
  <c r="A468" i="15"/>
  <c r="A469" i="15"/>
  <c r="A470" i="15"/>
  <c r="A471" i="15"/>
  <c r="A472" i="15"/>
  <c r="A473" i="15"/>
  <c r="A474" i="15"/>
  <c r="A475" i="15"/>
  <c r="A476" i="15"/>
  <c r="A477" i="15"/>
  <c r="A478" i="15"/>
  <c r="A479" i="15"/>
  <c r="A480" i="15"/>
  <c r="A481" i="15"/>
  <c r="A482" i="15"/>
  <c r="A483" i="15"/>
  <c r="A484" i="15"/>
  <c r="A485" i="15"/>
  <c r="A486" i="15"/>
  <c r="A487" i="15"/>
  <c r="A488" i="15"/>
  <c r="A489" i="15"/>
  <c r="A490" i="15"/>
  <c r="A491" i="15"/>
  <c r="A492" i="15"/>
  <c r="A493" i="15"/>
  <c r="A494" i="15"/>
  <c r="A495" i="15"/>
  <c r="A496" i="15"/>
  <c r="A497" i="15"/>
  <c r="A498" i="15"/>
  <c r="A499" i="15"/>
  <c r="A500" i="15"/>
  <c r="A501" i="15"/>
  <c r="A502" i="15"/>
  <c r="A503" i="15"/>
  <c r="A504" i="15"/>
  <c r="A505" i="15"/>
  <c r="A506" i="15"/>
  <c r="A507" i="15"/>
  <c r="A508" i="15"/>
  <c r="A509" i="15"/>
  <c r="A4" i="15"/>
  <c r="H192" i="164" l="1"/>
  <c r="H193" i="164" s="1"/>
  <c r="F24" i="151"/>
  <c r="H123" i="164"/>
  <c r="K9" i="6"/>
  <c r="G10" i="6"/>
  <c r="G72" i="6"/>
  <c r="G73" i="6"/>
  <c r="G74" i="6"/>
  <c r="G75" i="6"/>
  <c r="G76" i="6"/>
  <c r="G77" i="6"/>
  <c r="G78" i="6"/>
  <c r="G79" i="6"/>
  <c r="H196" i="164" l="1"/>
  <c r="K2509" i="120"/>
  <c r="J2509" i="120"/>
  <c r="I2509" i="120"/>
  <c r="H2509" i="120"/>
  <c r="G2509" i="120"/>
  <c r="F2509" i="120"/>
  <c r="E2509" i="120"/>
  <c r="D2509" i="120"/>
  <c r="K2506" i="120"/>
  <c r="J2506" i="120"/>
  <c r="I2506" i="120"/>
  <c r="H2506" i="120"/>
  <c r="G2506" i="120"/>
  <c r="F2506" i="120"/>
  <c r="E2506" i="120"/>
  <c r="D2506" i="120"/>
  <c r="K2503" i="120"/>
  <c r="J2503" i="120"/>
  <c r="I2503" i="120"/>
  <c r="H2503" i="120"/>
  <c r="G2503" i="120"/>
  <c r="F2503" i="120"/>
  <c r="E2503" i="120"/>
  <c r="D2503" i="120"/>
  <c r="K2502" i="120"/>
  <c r="J2502" i="120"/>
  <c r="I2502" i="120"/>
  <c r="H2502" i="120"/>
  <c r="G2502" i="120"/>
  <c r="F2502" i="120"/>
  <c r="E2502" i="120"/>
  <c r="D2502" i="120"/>
  <c r="K2501" i="120"/>
  <c r="J2501" i="120"/>
  <c r="I2501" i="120"/>
  <c r="H2501" i="120"/>
  <c r="G2501" i="120"/>
  <c r="F2501" i="120"/>
  <c r="E2501" i="120"/>
  <c r="D2501" i="120"/>
  <c r="K2500" i="120"/>
  <c r="J2500" i="120"/>
  <c r="I2500" i="120"/>
  <c r="H2500" i="120"/>
  <c r="G2500" i="120"/>
  <c r="F2500" i="120"/>
  <c r="E2500" i="120"/>
  <c r="D2500" i="120"/>
  <c r="K2497" i="120"/>
  <c r="J2497" i="120"/>
  <c r="I2497" i="120"/>
  <c r="H2497" i="120"/>
  <c r="G2497" i="120"/>
  <c r="F2497" i="120"/>
  <c r="E2497" i="120"/>
  <c r="D2497" i="120"/>
  <c r="K2468" i="120"/>
  <c r="J2468" i="120"/>
  <c r="I2468" i="120"/>
  <c r="H2468" i="120"/>
  <c r="G2468" i="120"/>
  <c r="F2468" i="120"/>
  <c r="E2468" i="120"/>
  <c r="D2468" i="120"/>
  <c r="K2465" i="120"/>
  <c r="J2465" i="120"/>
  <c r="I2465" i="120"/>
  <c r="H2465" i="120"/>
  <c r="G2465" i="120"/>
  <c r="F2465" i="120"/>
  <c r="E2465" i="120"/>
  <c r="D2465" i="120"/>
  <c r="K2463" i="120"/>
  <c r="K2462" i="120"/>
  <c r="J2462" i="120"/>
  <c r="I2462" i="120"/>
  <c r="H2462" i="120"/>
  <c r="G2462" i="120"/>
  <c r="F2462" i="120"/>
  <c r="E2462" i="120"/>
  <c r="D2462" i="120"/>
  <c r="K2460" i="120"/>
  <c r="K2459" i="120"/>
  <c r="J2459" i="120"/>
  <c r="I2459" i="120"/>
  <c r="H2459" i="120"/>
  <c r="G2459" i="120"/>
  <c r="F2459" i="120"/>
  <c r="E2459" i="120"/>
  <c r="D2459" i="120"/>
  <c r="K2457" i="120"/>
  <c r="K2456" i="120"/>
  <c r="J2456" i="120"/>
  <c r="I2456" i="120"/>
  <c r="H2456" i="120"/>
  <c r="G2456" i="120"/>
  <c r="F2456" i="120"/>
  <c r="E2456" i="120"/>
  <c r="D2456" i="120"/>
  <c r="K2454" i="120"/>
  <c r="K2453" i="120"/>
  <c r="J2453" i="120"/>
  <c r="I2453" i="120"/>
  <c r="H2453" i="120"/>
  <c r="G2453" i="120"/>
  <c r="F2453" i="120"/>
  <c r="E2453" i="120"/>
  <c r="D2453" i="120"/>
  <c r="K2451" i="120"/>
  <c r="K2450" i="120"/>
  <c r="J2450" i="120"/>
  <c r="I2450" i="120"/>
  <c r="H2450" i="120"/>
  <c r="G2450" i="120"/>
  <c r="F2450" i="120"/>
  <c r="E2450" i="120"/>
  <c r="D2450" i="120"/>
  <c r="K2448" i="120"/>
  <c r="K2447" i="120"/>
  <c r="J2447" i="120"/>
  <c r="I2447" i="120"/>
  <c r="H2447" i="120"/>
  <c r="G2447" i="120"/>
  <c r="F2447" i="120"/>
  <c r="E2447" i="120"/>
  <c r="D2447" i="120"/>
  <c r="K2445" i="120"/>
  <c r="K2444" i="120"/>
  <c r="J2444" i="120"/>
  <c r="I2444" i="120"/>
  <c r="H2444" i="120"/>
  <c r="G2444" i="120"/>
  <c r="F2444" i="120"/>
  <c r="E2444" i="120"/>
  <c r="D2444" i="120"/>
  <c r="K2441" i="120"/>
  <c r="J2441" i="120"/>
  <c r="I2441" i="120"/>
  <c r="H2441" i="120"/>
  <c r="G2441" i="120"/>
  <c r="F2441" i="120"/>
  <c r="E2441" i="120"/>
  <c r="D2441" i="120"/>
  <c r="K2439" i="120"/>
  <c r="J2439" i="120"/>
  <c r="I2439" i="120"/>
  <c r="H2439" i="120"/>
  <c r="G2439" i="120"/>
  <c r="F2439" i="120"/>
  <c r="E2439" i="120"/>
  <c r="D2439" i="120"/>
  <c r="K2438" i="120"/>
  <c r="J2438" i="120"/>
  <c r="I2438" i="120"/>
  <c r="H2438" i="120"/>
  <c r="G2438" i="120"/>
  <c r="F2438" i="120"/>
  <c r="E2438" i="120"/>
  <c r="D2438" i="120"/>
  <c r="K2436" i="120"/>
  <c r="J2436" i="120"/>
  <c r="I2436" i="120"/>
  <c r="H2436" i="120"/>
  <c r="G2436" i="120"/>
  <c r="F2436" i="120"/>
  <c r="E2436" i="120"/>
  <c r="D2436" i="120"/>
  <c r="K2435" i="120"/>
  <c r="J2435" i="120"/>
  <c r="I2435" i="120"/>
  <c r="H2435" i="120"/>
  <c r="G2435" i="120"/>
  <c r="F2435" i="120"/>
  <c r="E2435" i="120"/>
  <c r="D2435" i="120"/>
  <c r="K2433" i="120"/>
  <c r="K2417" i="120"/>
  <c r="J2417" i="120"/>
  <c r="I2417" i="120"/>
  <c r="H2417" i="120"/>
  <c r="G2417" i="120"/>
  <c r="F2417" i="120"/>
  <c r="E2417" i="120"/>
  <c r="D2417" i="120"/>
  <c r="K2416" i="120"/>
  <c r="J2416" i="120"/>
  <c r="I2416" i="120"/>
  <c r="H2416" i="120"/>
  <c r="G2416" i="120"/>
  <c r="F2416" i="120"/>
  <c r="E2416" i="120"/>
  <c r="D2416" i="120"/>
  <c r="K2415" i="120"/>
  <c r="J2415" i="120"/>
  <c r="I2415" i="120"/>
  <c r="H2415" i="120"/>
  <c r="G2415" i="120"/>
  <c r="F2415" i="120"/>
  <c r="E2415" i="120"/>
  <c r="D2415" i="120"/>
  <c r="K2413" i="120"/>
  <c r="K2412" i="120"/>
  <c r="J2412" i="120"/>
  <c r="I2412" i="120"/>
  <c r="H2412" i="120"/>
  <c r="G2412" i="120"/>
  <c r="F2412" i="120"/>
  <c r="E2412" i="120"/>
  <c r="D2412" i="120"/>
  <c r="K2411" i="120"/>
  <c r="J2411" i="120"/>
  <c r="I2411" i="120"/>
  <c r="H2411" i="120"/>
  <c r="G2411" i="120"/>
  <c r="F2411" i="120"/>
  <c r="E2411" i="120"/>
  <c r="D2411" i="120"/>
  <c r="K2410" i="120"/>
  <c r="J2410" i="120"/>
  <c r="I2410" i="120"/>
  <c r="H2410" i="120"/>
  <c r="G2410" i="120"/>
  <c r="F2410" i="120"/>
  <c r="E2410" i="120"/>
  <c r="D2410" i="120"/>
  <c r="K2409" i="120"/>
  <c r="J2409" i="120"/>
  <c r="I2409" i="120"/>
  <c r="H2409" i="120"/>
  <c r="G2409" i="120"/>
  <c r="F2409" i="120"/>
  <c r="E2409" i="120"/>
  <c r="D2409" i="120"/>
  <c r="K2407" i="120"/>
  <c r="K2406" i="120"/>
  <c r="J2406" i="120"/>
  <c r="I2406" i="120"/>
  <c r="H2406" i="120"/>
  <c r="G2406" i="120"/>
  <c r="F2406" i="120"/>
  <c r="E2406" i="120"/>
  <c r="D2406" i="120"/>
  <c r="K2405" i="120"/>
  <c r="J2405" i="120"/>
  <c r="I2405" i="120"/>
  <c r="H2405" i="120"/>
  <c r="G2405" i="120"/>
  <c r="F2405" i="120"/>
  <c r="E2405" i="120"/>
  <c r="D2405" i="120"/>
  <c r="K2404" i="120"/>
  <c r="J2404" i="120"/>
  <c r="I2404" i="120"/>
  <c r="H2404" i="120"/>
  <c r="G2404" i="120"/>
  <c r="F2404" i="120"/>
  <c r="E2404" i="120"/>
  <c r="D2404" i="120"/>
  <c r="K2403" i="120"/>
  <c r="J2403" i="120"/>
  <c r="I2403" i="120"/>
  <c r="H2403" i="120"/>
  <c r="G2403" i="120"/>
  <c r="F2403" i="120"/>
  <c r="E2403" i="120"/>
  <c r="D2403" i="120"/>
  <c r="K2402" i="120"/>
  <c r="J2402" i="120"/>
  <c r="I2402" i="120"/>
  <c r="H2402" i="120"/>
  <c r="G2402" i="120"/>
  <c r="F2402" i="120"/>
  <c r="E2402" i="120"/>
  <c r="D2402" i="120"/>
  <c r="K2401" i="120"/>
  <c r="J2401" i="120"/>
  <c r="I2401" i="120"/>
  <c r="H2401" i="120"/>
  <c r="G2401" i="120"/>
  <c r="F2401" i="120"/>
  <c r="E2401" i="120"/>
  <c r="D2401" i="120"/>
  <c r="K2400" i="120"/>
  <c r="J2400" i="120"/>
  <c r="I2400" i="120"/>
  <c r="H2400" i="120"/>
  <c r="G2400" i="120"/>
  <c r="F2400" i="120"/>
  <c r="E2400" i="120"/>
  <c r="D2400" i="120"/>
  <c r="K2399" i="120"/>
  <c r="J2399" i="120"/>
  <c r="I2399" i="120"/>
  <c r="H2399" i="120"/>
  <c r="G2399" i="120"/>
  <c r="F2399" i="120"/>
  <c r="E2399" i="120"/>
  <c r="D2399" i="120"/>
  <c r="K2398" i="120"/>
  <c r="J2398" i="120"/>
  <c r="I2398" i="120"/>
  <c r="H2398" i="120"/>
  <c r="G2398" i="120"/>
  <c r="F2398" i="120"/>
  <c r="E2398" i="120"/>
  <c r="D2398" i="120"/>
  <c r="K2397" i="120"/>
  <c r="J2397" i="120"/>
  <c r="I2397" i="120"/>
  <c r="H2397" i="120"/>
  <c r="G2397" i="120"/>
  <c r="F2397" i="120"/>
  <c r="E2397" i="120"/>
  <c r="D2397" i="120"/>
  <c r="D2396" i="120"/>
  <c r="D2395" i="120"/>
  <c r="K2391" i="120"/>
  <c r="J2391" i="120"/>
  <c r="I2391" i="120"/>
  <c r="H2391" i="120"/>
  <c r="G2391" i="120"/>
  <c r="F2391" i="120"/>
  <c r="E2391" i="120"/>
  <c r="D2391" i="120"/>
  <c r="K2388" i="120"/>
  <c r="J2388" i="120"/>
  <c r="I2388" i="120"/>
  <c r="H2388" i="120"/>
  <c r="G2388" i="120"/>
  <c r="F2388" i="120"/>
  <c r="E2388" i="120"/>
  <c r="D2388" i="120"/>
  <c r="K2379" i="120"/>
  <c r="J2379" i="120"/>
  <c r="I2379" i="120"/>
  <c r="H2379" i="120"/>
  <c r="G2379" i="120"/>
  <c r="F2379" i="120"/>
  <c r="E2379" i="120"/>
  <c r="D2379" i="120"/>
  <c r="K2377" i="120"/>
  <c r="K2376" i="120"/>
  <c r="J2376" i="120"/>
  <c r="I2376" i="120"/>
  <c r="H2376" i="120"/>
  <c r="G2376" i="120"/>
  <c r="F2376" i="120"/>
  <c r="E2376" i="120"/>
  <c r="D2376" i="120"/>
  <c r="K2374" i="120"/>
  <c r="K2373" i="120"/>
  <c r="J2373" i="120"/>
  <c r="I2373" i="120"/>
  <c r="H2373" i="120"/>
  <c r="G2373" i="120"/>
  <c r="F2373" i="120"/>
  <c r="E2373" i="120"/>
  <c r="D2373" i="120"/>
  <c r="K2371" i="120"/>
  <c r="K2335" i="120"/>
  <c r="J2335" i="120"/>
  <c r="I2335" i="120"/>
  <c r="H2335" i="120"/>
  <c r="G2335" i="120"/>
  <c r="F2335" i="120"/>
  <c r="E2335" i="120"/>
  <c r="D2335" i="120"/>
  <c r="K2334" i="120"/>
  <c r="J2334" i="120"/>
  <c r="I2334" i="120"/>
  <c r="H2334" i="120"/>
  <c r="G2334" i="120"/>
  <c r="F2334" i="120"/>
  <c r="E2334" i="120"/>
  <c r="D2334" i="120"/>
  <c r="K2332" i="120"/>
  <c r="J2332" i="120"/>
  <c r="I2332" i="120"/>
  <c r="H2332" i="120"/>
  <c r="G2332" i="120"/>
  <c r="F2332" i="120"/>
  <c r="E2332" i="120"/>
  <c r="D2332" i="120"/>
  <c r="K2323" i="120"/>
  <c r="J2323" i="120"/>
  <c r="I2323" i="120"/>
  <c r="H2323" i="120"/>
  <c r="G2323" i="120"/>
  <c r="F2323" i="120"/>
  <c r="E2323" i="120"/>
  <c r="D2323" i="120"/>
  <c r="K2322" i="120"/>
  <c r="J2322" i="120"/>
  <c r="I2322" i="120"/>
  <c r="H2322" i="120"/>
  <c r="G2322" i="120"/>
  <c r="F2322" i="120"/>
  <c r="E2322" i="120"/>
  <c r="D2322" i="120"/>
  <c r="K2320" i="120"/>
  <c r="J2320" i="120"/>
  <c r="I2320" i="120"/>
  <c r="H2320" i="120"/>
  <c r="G2320" i="120"/>
  <c r="F2320" i="120"/>
  <c r="E2320" i="120"/>
  <c r="D2320" i="120"/>
  <c r="K2276" i="120"/>
  <c r="J2276" i="120"/>
  <c r="I2276" i="120"/>
  <c r="H2276" i="120"/>
  <c r="G2276" i="120"/>
  <c r="F2276" i="120"/>
  <c r="E2276" i="120"/>
  <c r="D2276" i="120"/>
  <c r="K2275" i="120"/>
  <c r="J2275" i="120"/>
  <c r="I2275" i="120"/>
  <c r="H2275" i="120"/>
  <c r="G2275" i="120"/>
  <c r="F2275" i="120"/>
  <c r="E2275" i="120"/>
  <c r="D2275" i="120"/>
  <c r="K2265" i="120"/>
  <c r="J2265" i="120"/>
  <c r="I2265" i="120"/>
  <c r="H2265" i="120"/>
  <c r="G2265" i="120"/>
  <c r="F2265" i="120"/>
  <c r="E2265" i="120"/>
  <c r="D2265" i="120"/>
  <c r="K2264" i="120"/>
  <c r="J2264" i="120"/>
  <c r="I2264" i="120"/>
  <c r="H2264" i="120"/>
  <c r="G2264" i="120"/>
  <c r="F2264" i="120"/>
  <c r="E2264" i="120"/>
  <c r="D2264" i="120"/>
  <c r="K2254" i="120"/>
  <c r="J2254" i="120"/>
  <c r="I2254" i="120"/>
  <c r="H2254" i="120"/>
  <c r="G2254" i="120"/>
  <c r="F2254" i="120"/>
  <c r="E2254" i="120"/>
  <c r="D2254" i="120"/>
  <c r="K2253" i="120"/>
  <c r="J2253" i="120"/>
  <c r="I2253" i="120"/>
  <c r="H2253" i="120"/>
  <c r="G2253" i="120"/>
  <c r="F2253" i="120"/>
  <c r="E2253" i="120"/>
  <c r="D2253" i="120"/>
  <c r="K2220" i="120"/>
  <c r="J2220" i="120"/>
  <c r="I2220" i="120"/>
  <c r="H2220" i="120"/>
  <c r="G2220" i="120"/>
  <c r="F2220" i="120"/>
  <c r="E2220" i="120"/>
  <c r="D2220" i="120"/>
  <c r="K2219" i="120"/>
  <c r="J2219" i="120"/>
  <c r="I2219" i="120"/>
  <c r="H2219" i="120"/>
  <c r="G2219" i="120"/>
  <c r="F2219" i="120"/>
  <c r="E2219" i="120"/>
  <c r="D2219" i="120"/>
  <c r="K2209" i="120"/>
  <c r="J2209" i="120"/>
  <c r="I2209" i="120"/>
  <c r="H2209" i="120"/>
  <c r="G2209" i="120"/>
  <c r="F2209" i="120"/>
  <c r="E2209" i="120"/>
  <c r="D2209" i="120"/>
  <c r="K2208" i="120"/>
  <c r="J2208" i="120"/>
  <c r="I2208" i="120"/>
  <c r="H2208" i="120"/>
  <c r="G2208" i="120"/>
  <c r="F2208" i="120"/>
  <c r="E2208" i="120"/>
  <c r="D2208" i="120"/>
  <c r="K2198" i="120"/>
  <c r="J2198" i="120"/>
  <c r="I2198" i="120"/>
  <c r="H2198" i="120"/>
  <c r="G2198" i="120"/>
  <c r="F2198" i="120"/>
  <c r="E2198" i="120"/>
  <c r="D2198" i="120"/>
  <c r="K2197" i="120"/>
  <c r="J2197" i="120"/>
  <c r="I2197" i="120"/>
  <c r="H2197" i="120"/>
  <c r="G2197" i="120"/>
  <c r="F2197" i="120"/>
  <c r="E2197" i="120"/>
  <c r="D2197" i="120"/>
  <c r="K2159" i="120"/>
  <c r="J2159" i="120"/>
  <c r="I2159" i="120"/>
  <c r="H2159" i="120"/>
  <c r="G2159" i="120"/>
  <c r="F2159" i="120"/>
  <c r="E2159" i="120"/>
  <c r="D2159" i="120"/>
  <c r="K2158" i="120"/>
  <c r="J2158" i="120"/>
  <c r="I2158" i="120"/>
  <c r="H2158" i="120"/>
  <c r="G2158" i="120"/>
  <c r="F2158" i="120"/>
  <c r="E2158" i="120"/>
  <c r="D2158" i="120"/>
  <c r="K2148" i="120"/>
  <c r="J2148" i="120"/>
  <c r="I2148" i="120"/>
  <c r="H2148" i="120"/>
  <c r="G2148" i="120"/>
  <c r="F2148" i="120"/>
  <c r="E2148" i="120"/>
  <c r="D2148" i="120"/>
  <c r="K2147" i="120"/>
  <c r="J2147" i="120"/>
  <c r="I2147" i="120"/>
  <c r="H2147" i="120"/>
  <c r="G2147" i="120"/>
  <c r="F2147" i="120"/>
  <c r="E2147" i="120"/>
  <c r="D2147" i="120"/>
  <c r="K2137" i="120"/>
  <c r="J2137" i="120"/>
  <c r="I2137" i="120"/>
  <c r="H2137" i="120"/>
  <c r="G2137" i="120"/>
  <c r="F2137" i="120"/>
  <c r="E2137" i="120"/>
  <c r="D2137" i="120"/>
  <c r="K2136" i="120"/>
  <c r="J2136" i="120"/>
  <c r="I2136" i="120"/>
  <c r="H2136" i="120"/>
  <c r="G2136" i="120"/>
  <c r="F2136" i="120"/>
  <c r="E2136" i="120"/>
  <c r="D2136" i="120"/>
  <c r="K2135" i="120"/>
  <c r="J2135" i="120"/>
  <c r="I2135" i="120"/>
  <c r="H2135" i="120"/>
  <c r="G2135" i="120"/>
  <c r="F2135" i="120"/>
  <c r="E2135" i="120"/>
  <c r="D2135" i="120"/>
  <c r="K2097" i="120"/>
  <c r="J2097" i="120"/>
  <c r="I2097" i="120"/>
  <c r="H2097" i="120"/>
  <c r="G2097" i="120"/>
  <c r="F2097" i="120"/>
  <c r="E2097" i="120"/>
  <c r="D2097" i="120"/>
  <c r="K2096" i="120"/>
  <c r="J2096" i="120"/>
  <c r="I2096" i="120"/>
  <c r="H2096" i="120"/>
  <c r="G2096" i="120"/>
  <c r="F2096" i="120"/>
  <c r="E2096" i="120"/>
  <c r="D2096" i="120"/>
  <c r="K2086" i="120"/>
  <c r="J2086" i="120"/>
  <c r="I2086" i="120"/>
  <c r="H2086" i="120"/>
  <c r="G2086" i="120"/>
  <c r="F2086" i="120"/>
  <c r="E2086" i="120"/>
  <c r="D2086" i="120"/>
  <c r="K2085" i="120"/>
  <c r="J2085" i="120"/>
  <c r="I2085" i="120"/>
  <c r="H2085" i="120"/>
  <c r="G2085" i="120"/>
  <c r="F2085" i="120"/>
  <c r="E2085" i="120"/>
  <c r="D2085" i="120"/>
  <c r="K2084" i="120"/>
  <c r="J2084" i="120"/>
  <c r="I2084" i="120"/>
  <c r="H2084" i="120"/>
  <c r="G2084" i="120"/>
  <c r="F2084" i="120"/>
  <c r="E2084" i="120"/>
  <c r="D2084" i="120"/>
  <c r="K2074" i="120"/>
  <c r="J2074" i="120"/>
  <c r="I2074" i="120"/>
  <c r="H2074" i="120"/>
  <c r="G2074" i="120"/>
  <c r="F2074" i="120"/>
  <c r="E2074" i="120"/>
  <c r="D2074" i="120"/>
  <c r="K2073" i="120"/>
  <c r="J2073" i="120"/>
  <c r="I2073" i="120"/>
  <c r="H2073" i="120"/>
  <c r="G2073" i="120"/>
  <c r="F2073" i="120"/>
  <c r="E2073" i="120"/>
  <c r="D2073" i="120"/>
  <c r="K2036" i="120"/>
  <c r="J2036" i="120"/>
  <c r="I2036" i="120"/>
  <c r="H2036" i="120"/>
  <c r="G2036" i="120"/>
  <c r="F2036" i="120"/>
  <c r="E2036" i="120"/>
  <c r="D2036" i="120"/>
  <c r="K2035" i="120"/>
  <c r="J2035" i="120"/>
  <c r="I2035" i="120"/>
  <c r="H2035" i="120"/>
  <c r="G2035" i="120"/>
  <c r="F2035" i="120"/>
  <c r="E2035" i="120"/>
  <c r="D2035" i="120"/>
  <c r="K2025" i="120"/>
  <c r="J2025" i="120"/>
  <c r="I2025" i="120"/>
  <c r="H2025" i="120"/>
  <c r="G2025" i="120"/>
  <c r="F2025" i="120"/>
  <c r="E2025" i="120"/>
  <c r="D2025" i="120"/>
  <c r="K2024" i="120"/>
  <c r="J2024" i="120"/>
  <c r="I2024" i="120"/>
  <c r="H2024" i="120"/>
  <c r="G2024" i="120"/>
  <c r="F2024" i="120"/>
  <c r="E2024" i="120"/>
  <c r="D2024" i="120"/>
  <c r="K2014" i="120"/>
  <c r="J2014" i="120"/>
  <c r="I2014" i="120"/>
  <c r="H2014" i="120"/>
  <c r="G2014" i="120"/>
  <c r="F2014" i="120"/>
  <c r="E2014" i="120"/>
  <c r="D2014" i="120"/>
  <c r="K2013" i="120"/>
  <c r="J2013" i="120"/>
  <c r="I2013" i="120"/>
  <c r="H2013" i="120"/>
  <c r="G2013" i="120"/>
  <c r="F2013" i="120"/>
  <c r="E2013" i="120"/>
  <c r="D2013" i="120"/>
  <c r="K2011" i="120"/>
  <c r="J2011" i="120"/>
  <c r="I2011" i="120"/>
  <c r="H2011" i="120"/>
  <c r="G2011" i="120"/>
  <c r="F2011" i="120"/>
  <c r="E2011" i="120"/>
  <c r="D2011" i="120"/>
  <c r="K1984" i="120"/>
  <c r="J1984" i="120"/>
  <c r="F1984" i="120"/>
  <c r="E1984" i="120"/>
  <c r="D1984" i="120"/>
  <c r="K1983" i="120"/>
  <c r="J1983" i="120"/>
  <c r="F1983" i="120"/>
  <c r="E1983" i="120"/>
  <c r="D1983" i="120"/>
  <c r="K1982" i="120"/>
  <c r="J1982" i="120"/>
  <c r="F1982" i="120"/>
  <c r="E1982" i="120"/>
  <c r="D1982" i="120"/>
  <c r="K1981" i="120"/>
  <c r="J1981" i="120"/>
  <c r="F1981" i="120"/>
  <c r="E1981" i="120"/>
  <c r="D1981" i="120"/>
  <c r="K1980" i="120"/>
  <c r="J1980" i="120"/>
  <c r="I1980" i="120"/>
  <c r="H1980" i="120"/>
  <c r="G1980" i="120"/>
  <c r="F1980" i="120"/>
  <c r="E1980" i="120"/>
  <c r="D1980" i="120"/>
  <c r="K1979" i="120"/>
  <c r="J1979" i="120"/>
  <c r="I1979" i="120"/>
  <c r="H1979" i="120"/>
  <c r="G1979" i="120"/>
  <c r="F1979" i="120"/>
  <c r="E1979" i="120"/>
  <c r="D1979" i="120"/>
  <c r="K1978" i="120"/>
  <c r="D1978" i="120"/>
  <c r="K1977" i="120"/>
  <c r="D1977" i="120"/>
  <c r="K1976" i="120"/>
  <c r="D1976" i="120"/>
  <c r="K1975" i="120"/>
  <c r="D1975" i="120"/>
  <c r="K1974" i="120"/>
  <c r="J1974" i="120"/>
  <c r="I1974" i="120"/>
  <c r="H1974" i="120"/>
  <c r="G1974" i="120"/>
  <c r="F1974" i="120"/>
  <c r="E1974" i="120"/>
  <c r="D1974" i="120"/>
  <c r="K1973" i="120"/>
  <c r="J1973" i="120"/>
  <c r="I1973" i="120"/>
  <c r="H1973" i="120"/>
  <c r="G1973" i="120"/>
  <c r="F1973" i="120"/>
  <c r="E1973" i="120"/>
  <c r="D1973" i="120"/>
  <c r="K1972" i="120"/>
  <c r="J1972" i="120"/>
  <c r="I1972" i="120"/>
  <c r="H1972" i="120"/>
  <c r="G1972" i="120"/>
  <c r="F1972" i="120"/>
  <c r="E1972" i="120"/>
  <c r="D1972" i="120"/>
  <c r="K1971" i="120"/>
  <c r="D1971" i="120"/>
  <c r="K1970" i="120"/>
  <c r="J1970" i="120"/>
  <c r="I1970" i="120"/>
  <c r="H1970" i="120"/>
  <c r="G1970" i="120"/>
  <c r="F1970" i="120"/>
  <c r="E1970" i="120"/>
  <c r="D1970" i="120"/>
  <c r="K1969" i="120"/>
  <c r="K1968" i="120"/>
  <c r="K1967" i="120"/>
  <c r="K1966" i="120"/>
  <c r="J1966" i="120"/>
  <c r="I1966" i="120"/>
  <c r="H1966" i="120"/>
  <c r="G1966" i="120"/>
  <c r="F1966" i="120"/>
  <c r="E1966" i="120"/>
  <c r="D1966" i="120"/>
  <c r="K1965" i="120"/>
  <c r="J1965" i="120"/>
  <c r="I1965" i="120"/>
  <c r="H1965" i="120"/>
  <c r="G1965" i="120"/>
  <c r="F1965" i="120"/>
  <c r="E1965" i="120"/>
  <c r="K1964" i="120"/>
  <c r="J1964" i="120"/>
  <c r="I1964" i="120"/>
  <c r="H1964" i="120"/>
  <c r="G1964" i="120"/>
  <c r="F1964" i="120"/>
  <c r="E1964" i="120"/>
  <c r="D1964" i="120"/>
  <c r="K1963" i="120"/>
  <c r="K1962" i="120"/>
  <c r="J1962" i="120"/>
  <c r="I1962" i="120"/>
  <c r="H1962" i="120"/>
  <c r="G1962" i="120"/>
  <c r="F1962" i="120"/>
  <c r="E1962" i="120"/>
  <c r="D1962" i="120"/>
  <c r="K1961" i="120"/>
  <c r="J1961" i="120"/>
  <c r="F1961" i="120"/>
  <c r="E1961" i="120"/>
  <c r="D1961" i="120"/>
  <c r="K1960" i="120"/>
  <c r="J1960" i="120"/>
  <c r="F1960" i="120"/>
  <c r="E1960" i="120"/>
  <c r="D1960" i="120"/>
  <c r="K1959" i="120"/>
  <c r="J1959" i="120"/>
  <c r="F1959" i="120"/>
  <c r="E1959" i="120"/>
  <c r="D1959" i="120"/>
  <c r="K1958" i="120"/>
  <c r="J1958" i="120"/>
  <c r="I1958" i="120"/>
  <c r="H1958" i="120"/>
  <c r="G1958" i="120"/>
  <c r="F1958" i="120"/>
  <c r="E1958" i="120"/>
  <c r="D1958" i="120"/>
  <c r="K1957" i="120"/>
  <c r="J1957" i="120"/>
  <c r="I1957" i="120"/>
  <c r="H1957" i="120"/>
  <c r="G1957" i="120"/>
  <c r="F1957" i="120"/>
  <c r="E1957" i="120"/>
  <c r="D1957" i="120"/>
  <c r="K1956" i="120"/>
  <c r="D1956" i="120"/>
  <c r="K1955" i="120"/>
  <c r="D1955" i="120"/>
  <c r="K1954" i="120"/>
  <c r="D1954" i="120"/>
  <c r="K1953" i="120"/>
  <c r="J1953" i="120"/>
  <c r="I1953" i="120"/>
  <c r="H1953" i="120"/>
  <c r="G1953" i="120"/>
  <c r="F1953" i="120"/>
  <c r="E1953" i="120"/>
  <c r="D1953" i="120"/>
  <c r="K1952" i="120"/>
  <c r="J1952" i="120"/>
  <c r="I1952" i="120"/>
  <c r="H1952" i="120"/>
  <c r="G1952" i="120"/>
  <c r="F1952" i="120"/>
  <c r="E1952" i="120"/>
  <c r="D1952" i="120"/>
  <c r="K1951" i="120"/>
  <c r="J1951" i="120"/>
  <c r="I1951" i="120"/>
  <c r="H1951" i="120"/>
  <c r="G1951" i="120"/>
  <c r="F1951" i="120"/>
  <c r="E1951" i="120"/>
  <c r="K1950" i="120"/>
  <c r="J1950" i="120"/>
  <c r="I1950" i="120"/>
  <c r="H1950" i="120"/>
  <c r="G1950" i="120"/>
  <c r="F1950" i="120"/>
  <c r="E1950" i="120"/>
  <c r="D1950" i="120"/>
  <c r="K1910" i="120"/>
  <c r="J1910" i="120"/>
  <c r="I1910" i="120"/>
  <c r="H1910" i="120"/>
  <c r="G1910" i="120"/>
  <c r="F1910" i="120"/>
  <c r="E1910" i="120"/>
  <c r="D1910" i="120"/>
  <c r="K1909" i="120"/>
  <c r="J1909" i="120"/>
  <c r="I1909" i="120"/>
  <c r="H1909" i="120"/>
  <c r="G1909" i="120"/>
  <c r="F1909" i="120"/>
  <c r="E1909" i="120"/>
  <c r="D1909" i="120"/>
  <c r="K1899" i="120"/>
  <c r="J1899" i="120"/>
  <c r="I1899" i="120"/>
  <c r="H1899" i="120"/>
  <c r="G1899" i="120"/>
  <c r="F1899" i="120"/>
  <c r="E1899" i="120"/>
  <c r="D1899" i="120"/>
  <c r="K1898" i="120"/>
  <c r="J1898" i="120"/>
  <c r="I1898" i="120"/>
  <c r="H1898" i="120"/>
  <c r="G1898" i="120"/>
  <c r="F1898" i="120"/>
  <c r="E1898" i="120"/>
  <c r="D1898" i="120"/>
  <c r="K1888" i="120"/>
  <c r="J1888" i="120"/>
  <c r="I1888" i="120"/>
  <c r="H1888" i="120"/>
  <c r="G1888" i="120"/>
  <c r="F1888" i="120"/>
  <c r="E1888" i="120"/>
  <c r="D1888" i="120"/>
  <c r="K1887" i="120"/>
  <c r="J1887" i="120"/>
  <c r="I1887" i="120"/>
  <c r="H1887" i="120"/>
  <c r="G1887" i="120"/>
  <c r="F1887" i="120"/>
  <c r="E1887" i="120"/>
  <c r="D1887" i="120"/>
  <c r="K1848" i="120"/>
  <c r="J1848" i="120"/>
  <c r="I1848" i="120"/>
  <c r="H1848" i="120"/>
  <c r="G1848" i="120"/>
  <c r="F1848" i="120"/>
  <c r="E1848" i="120"/>
  <c r="D1848" i="120"/>
  <c r="K1847" i="120"/>
  <c r="J1847" i="120"/>
  <c r="I1847" i="120"/>
  <c r="H1847" i="120"/>
  <c r="G1847" i="120"/>
  <c r="F1847" i="120"/>
  <c r="E1847" i="120"/>
  <c r="D1847" i="120"/>
  <c r="K1837" i="120"/>
  <c r="J1837" i="120"/>
  <c r="I1837" i="120"/>
  <c r="H1837" i="120"/>
  <c r="G1837" i="120"/>
  <c r="F1837" i="120"/>
  <c r="E1837" i="120"/>
  <c r="D1837" i="120"/>
  <c r="K1836" i="120"/>
  <c r="J1836" i="120"/>
  <c r="I1836" i="120"/>
  <c r="H1836" i="120"/>
  <c r="G1836" i="120"/>
  <c r="F1836" i="120"/>
  <c r="E1836" i="120"/>
  <c r="D1836" i="120"/>
  <c r="K1826" i="120"/>
  <c r="J1826" i="120"/>
  <c r="I1826" i="120"/>
  <c r="H1826" i="120"/>
  <c r="G1826" i="120"/>
  <c r="F1826" i="120"/>
  <c r="E1826" i="120"/>
  <c r="D1826" i="120"/>
  <c r="K1825" i="120"/>
  <c r="J1825" i="120"/>
  <c r="I1825" i="120"/>
  <c r="H1825" i="120"/>
  <c r="G1825" i="120"/>
  <c r="F1825" i="120"/>
  <c r="E1825" i="120"/>
  <c r="D1825" i="120"/>
  <c r="K1773" i="120"/>
  <c r="J1773" i="120"/>
  <c r="I1773" i="120"/>
  <c r="H1773" i="120"/>
  <c r="G1773" i="120"/>
  <c r="F1773" i="120"/>
  <c r="E1773" i="120"/>
  <c r="D1773" i="120"/>
  <c r="K1764" i="120"/>
  <c r="J1764" i="120"/>
  <c r="I1764" i="120"/>
  <c r="H1764" i="120"/>
  <c r="G1764" i="120"/>
  <c r="F1764" i="120"/>
  <c r="E1764" i="120"/>
  <c r="D1764" i="120"/>
  <c r="K1763" i="120"/>
  <c r="J1763" i="120"/>
  <c r="I1763" i="120"/>
  <c r="H1763" i="120"/>
  <c r="G1763" i="120"/>
  <c r="F1763" i="120"/>
  <c r="E1763" i="120"/>
  <c r="D1763" i="120"/>
  <c r="K1720" i="120"/>
  <c r="J1720" i="120"/>
  <c r="I1720" i="120"/>
  <c r="H1720" i="120"/>
  <c r="G1720" i="120"/>
  <c r="F1720" i="120"/>
  <c r="E1720" i="120"/>
  <c r="D1720" i="120"/>
  <c r="K1712" i="120"/>
  <c r="J1712" i="120"/>
  <c r="I1712" i="120"/>
  <c r="H1712" i="120"/>
  <c r="G1712" i="120"/>
  <c r="F1712" i="120"/>
  <c r="E1712" i="120"/>
  <c r="D1712" i="120"/>
  <c r="K1711" i="120"/>
  <c r="J1711" i="120"/>
  <c r="I1711" i="120"/>
  <c r="H1711" i="120"/>
  <c r="G1711" i="120"/>
  <c r="F1711" i="120"/>
  <c r="E1711" i="120"/>
  <c r="D1711" i="120"/>
  <c r="K1710" i="120"/>
  <c r="J1710" i="120"/>
  <c r="I1710" i="120"/>
  <c r="H1710" i="120"/>
  <c r="G1710" i="120"/>
  <c r="F1710" i="120"/>
  <c r="E1710" i="120"/>
  <c r="D1710" i="120"/>
  <c r="K1705" i="120"/>
  <c r="J1705" i="120"/>
  <c r="I1705" i="120"/>
  <c r="H1705" i="120"/>
  <c r="G1705" i="120"/>
  <c r="F1705" i="120"/>
  <c r="E1705" i="120"/>
  <c r="D1705" i="120"/>
  <c r="K1704" i="120"/>
  <c r="J1704" i="120"/>
  <c r="I1704" i="120"/>
  <c r="H1704" i="120"/>
  <c r="G1704" i="120"/>
  <c r="F1704" i="120"/>
  <c r="E1704" i="120"/>
  <c r="D1704" i="120"/>
  <c r="K1703" i="120"/>
  <c r="J1703" i="120"/>
  <c r="I1703" i="120"/>
  <c r="H1703" i="120"/>
  <c r="G1703" i="120"/>
  <c r="F1703" i="120"/>
  <c r="E1703" i="120"/>
  <c r="D1703" i="120"/>
  <c r="K1698" i="120"/>
  <c r="J1698" i="120"/>
  <c r="I1698" i="120"/>
  <c r="H1698" i="120"/>
  <c r="G1698" i="120"/>
  <c r="F1698" i="120"/>
  <c r="E1698" i="120"/>
  <c r="D1698" i="120"/>
  <c r="K1697" i="120"/>
  <c r="J1697" i="120"/>
  <c r="I1697" i="120"/>
  <c r="H1697" i="120"/>
  <c r="G1697" i="120"/>
  <c r="F1697" i="120"/>
  <c r="E1697" i="120"/>
  <c r="D1697" i="120"/>
  <c r="K1696" i="120"/>
  <c r="J1696" i="120"/>
  <c r="I1696" i="120"/>
  <c r="H1696" i="120"/>
  <c r="G1696" i="120"/>
  <c r="F1696" i="120"/>
  <c r="E1696" i="120"/>
  <c r="D1696" i="120"/>
  <c r="K1643" i="120"/>
  <c r="J1643" i="120"/>
  <c r="I1643" i="120"/>
  <c r="H1643" i="120"/>
  <c r="G1643" i="120"/>
  <c r="F1643" i="120"/>
  <c r="E1643" i="120"/>
  <c r="D1643" i="120"/>
  <c r="K1634" i="120"/>
  <c r="J1634" i="120"/>
  <c r="I1634" i="120"/>
  <c r="H1634" i="120"/>
  <c r="G1634" i="120"/>
  <c r="F1634" i="120"/>
  <c r="E1634" i="120"/>
  <c r="D1634" i="120"/>
  <c r="K1633" i="120"/>
  <c r="J1633" i="120"/>
  <c r="I1633" i="120"/>
  <c r="H1633" i="120"/>
  <c r="G1633" i="120"/>
  <c r="F1633" i="120"/>
  <c r="E1633" i="120"/>
  <c r="D1633" i="120"/>
  <c r="K1630" i="120"/>
  <c r="J1630" i="120"/>
  <c r="I1630" i="120"/>
  <c r="H1630" i="120"/>
  <c r="G1630" i="120"/>
  <c r="F1630" i="120"/>
  <c r="E1630" i="120"/>
  <c r="D1630" i="120"/>
  <c r="K1629" i="120"/>
  <c r="J1629" i="120"/>
  <c r="I1629" i="120"/>
  <c r="H1629" i="120"/>
  <c r="G1629" i="120"/>
  <c r="F1629" i="120"/>
  <c r="E1629" i="120"/>
  <c r="D1629" i="120"/>
  <c r="K1600" i="120"/>
  <c r="J1600" i="120"/>
  <c r="I1600" i="120"/>
  <c r="H1600" i="120"/>
  <c r="G1600" i="120"/>
  <c r="F1600" i="120"/>
  <c r="E1600" i="120"/>
  <c r="D1600" i="120"/>
  <c r="K1599" i="120"/>
  <c r="J1599" i="120"/>
  <c r="I1599" i="120"/>
  <c r="H1599" i="120"/>
  <c r="G1599" i="120"/>
  <c r="F1599" i="120"/>
  <c r="E1599" i="120"/>
  <c r="D1599" i="120"/>
  <c r="K1589" i="120"/>
  <c r="J1589" i="120"/>
  <c r="I1589" i="120"/>
  <c r="H1589" i="120"/>
  <c r="G1589" i="120"/>
  <c r="F1589" i="120"/>
  <c r="E1589" i="120"/>
  <c r="D1589" i="120"/>
  <c r="K1588" i="120"/>
  <c r="J1588" i="120"/>
  <c r="I1588" i="120"/>
  <c r="H1588" i="120"/>
  <c r="G1588" i="120"/>
  <c r="F1588" i="120"/>
  <c r="E1588" i="120"/>
  <c r="D1588" i="120"/>
  <c r="K1578" i="120"/>
  <c r="J1578" i="120"/>
  <c r="I1578" i="120"/>
  <c r="H1578" i="120"/>
  <c r="G1578" i="120"/>
  <c r="F1578" i="120"/>
  <c r="E1578" i="120"/>
  <c r="D1578" i="120"/>
  <c r="K1577" i="120"/>
  <c r="J1577" i="120"/>
  <c r="I1577" i="120"/>
  <c r="H1577" i="120"/>
  <c r="G1577" i="120"/>
  <c r="F1577" i="120"/>
  <c r="E1577" i="120"/>
  <c r="D1577" i="120"/>
  <c r="K1548" i="120"/>
  <c r="J1548" i="120"/>
  <c r="I1548" i="120"/>
  <c r="H1548" i="120"/>
  <c r="G1548" i="120"/>
  <c r="F1548" i="120"/>
  <c r="E1548" i="120"/>
  <c r="D1548" i="120"/>
  <c r="K1539" i="120"/>
  <c r="J1539" i="120"/>
  <c r="I1539" i="120"/>
  <c r="H1539" i="120"/>
  <c r="G1539" i="120"/>
  <c r="F1539" i="120"/>
  <c r="E1539" i="120"/>
  <c r="D1539" i="120"/>
  <c r="K1538" i="120"/>
  <c r="J1538" i="120"/>
  <c r="I1538" i="120"/>
  <c r="H1538" i="120"/>
  <c r="G1538" i="120"/>
  <c r="F1538" i="120"/>
  <c r="E1538" i="120"/>
  <c r="D1538" i="120"/>
  <c r="K1527" i="120"/>
  <c r="J1527" i="120"/>
  <c r="I1527" i="120"/>
  <c r="H1527" i="120"/>
  <c r="G1527" i="120"/>
  <c r="F1527" i="120"/>
  <c r="E1527" i="120"/>
  <c r="D1527" i="120"/>
  <c r="K1526" i="120"/>
  <c r="J1526" i="120"/>
  <c r="I1526" i="120"/>
  <c r="H1526" i="120"/>
  <c r="G1526" i="120"/>
  <c r="F1526" i="120"/>
  <c r="E1526" i="120"/>
  <c r="D1526" i="120"/>
  <c r="K1516" i="120"/>
  <c r="J1516" i="120"/>
  <c r="I1516" i="120"/>
  <c r="H1516" i="120"/>
  <c r="G1516" i="120"/>
  <c r="F1516" i="120"/>
  <c r="E1516" i="120"/>
  <c r="D1516" i="120"/>
  <c r="K1515" i="120"/>
  <c r="J1515" i="120"/>
  <c r="I1515" i="120"/>
  <c r="H1515" i="120"/>
  <c r="G1515" i="120"/>
  <c r="F1515" i="120"/>
  <c r="E1515" i="120"/>
  <c r="D1515" i="120"/>
  <c r="K1466" i="120"/>
  <c r="J1466" i="120"/>
  <c r="I1466" i="120"/>
  <c r="H1466" i="120"/>
  <c r="G1466" i="120"/>
  <c r="F1466" i="120"/>
  <c r="E1466" i="120"/>
  <c r="D1466" i="120"/>
  <c r="K1454" i="120"/>
  <c r="J1454" i="120"/>
  <c r="I1454" i="120"/>
  <c r="H1454" i="120"/>
  <c r="G1454" i="120"/>
  <c r="F1454" i="120"/>
  <c r="E1454" i="120"/>
  <c r="D1454" i="120"/>
  <c r="K1453" i="120"/>
  <c r="J1453" i="120"/>
  <c r="I1453" i="120"/>
  <c r="H1453" i="120"/>
  <c r="G1453" i="120"/>
  <c r="F1453" i="120"/>
  <c r="E1453" i="120"/>
  <c r="D1453" i="120"/>
  <c r="K1445" i="120"/>
  <c r="J1445" i="120"/>
  <c r="I1445" i="120"/>
  <c r="H1445" i="120"/>
  <c r="G1445" i="120"/>
  <c r="F1445" i="120"/>
  <c r="E1445" i="120"/>
  <c r="D1445" i="120"/>
  <c r="K1427" i="120"/>
  <c r="J1427" i="120"/>
  <c r="I1427" i="120"/>
  <c r="H1427" i="120"/>
  <c r="G1427" i="120"/>
  <c r="F1427" i="120"/>
  <c r="E1427" i="120"/>
  <c r="D1427" i="120"/>
  <c r="K1426" i="120"/>
  <c r="J1426" i="120"/>
  <c r="I1426" i="120"/>
  <c r="H1426" i="120"/>
  <c r="G1426" i="120"/>
  <c r="F1426" i="120"/>
  <c r="E1426" i="120"/>
  <c r="D1426" i="120"/>
  <c r="K1424" i="120"/>
  <c r="J1424" i="120"/>
  <c r="I1424" i="120"/>
  <c r="H1424" i="120"/>
  <c r="G1424" i="120"/>
  <c r="F1424" i="120"/>
  <c r="E1424" i="120"/>
  <c r="D1424" i="120"/>
  <c r="K1421" i="120"/>
  <c r="J1421" i="120"/>
  <c r="I1421" i="120"/>
  <c r="H1421" i="120"/>
  <c r="G1421" i="120"/>
  <c r="F1421" i="120"/>
  <c r="E1421" i="120"/>
  <c r="D1421" i="120"/>
  <c r="K1416" i="120"/>
  <c r="J1416" i="120"/>
  <c r="I1416" i="120"/>
  <c r="H1416" i="120"/>
  <c r="G1416" i="120"/>
  <c r="F1416" i="120"/>
  <c r="E1416" i="120"/>
  <c r="D1416" i="120"/>
  <c r="K1409" i="120"/>
  <c r="J1409" i="120"/>
  <c r="I1409" i="120"/>
  <c r="H1409" i="120"/>
  <c r="G1409" i="120"/>
  <c r="F1409" i="120"/>
  <c r="E1409" i="120"/>
  <c r="D1409" i="120"/>
  <c r="K1402" i="120"/>
  <c r="J1402" i="120"/>
  <c r="I1402" i="120"/>
  <c r="H1402" i="120"/>
  <c r="G1402" i="120"/>
  <c r="F1402" i="120"/>
  <c r="E1402" i="120"/>
  <c r="D1402" i="120"/>
  <c r="K1395" i="120"/>
  <c r="J1395" i="120"/>
  <c r="I1395" i="120"/>
  <c r="H1395" i="120"/>
  <c r="G1395" i="120"/>
  <c r="F1395" i="120"/>
  <c r="E1395" i="120"/>
  <c r="D1395" i="120"/>
  <c r="K1388" i="120"/>
  <c r="J1388" i="120"/>
  <c r="I1388" i="120"/>
  <c r="H1388" i="120"/>
  <c r="G1388" i="120"/>
  <c r="F1388" i="120"/>
  <c r="E1388" i="120"/>
  <c r="D1388" i="120"/>
  <c r="K1344" i="120"/>
  <c r="J1344" i="120"/>
  <c r="I1344" i="120"/>
  <c r="H1344" i="120"/>
  <c r="G1344" i="120"/>
  <c r="F1344" i="120"/>
  <c r="E1344" i="120"/>
  <c r="D1344" i="120"/>
  <c r="K1340" i="120"/>
  <c r="J1340" i="120"/>
  <c r="I1340" i="120"/>
  <c r="H1340" i="120"/>
  <c r="G1340" i="120"/>
  <c r="F1340" i="120"/>
  <c r="E1340" i="120"/>
  <c r="D1340" i="120"/>
  <c r="K1339" i="120"/>
  <c r="J1339" i="120"/>
  <c r="I1339" i="120"/>
  <c r="H1339" i="120"/>
  <c r="G1339" i="120"/>
  <c r="F1339" i="120"/>
  <c r="E1339" i="120"/>
  <c r="D1339" i="120"/>
  <c r="K1337" i="120"/>
  <c r="J1337" i="120"/>
  <c r="I1337" i="120"/>
  <c r="H1337" i="120"/>
  <c r="G1337" i="120"/>
  <c r="F1337" i="120"/>
  <c r="E1337" i="120"/>
  <c r="D1337" i="120"/>
  <c r="K1333" i="120"/>
  <c r="J1333" i="120"/>
  <c r="I1333" i="120"/>
  <c r="H1333" i="120"/>
  <c r="G1333" i="120"/>
  <c r="F1333" i="120"/>
  <c r="E1333" i="120"/>
  <c r="D1333" i="120"/>
  <c r="K1332" i="120"/>
  <c r="J1332" i="120"/>
  <c r="I1332" i="120"/>
  <c r="H1332" i="120"/>
  <c r="G1332" i="120"/>
  <c r="F1332" i="120"/>
  <c r="E1332" i="120"/>
  <c r="D1332" i="120"/>
  <c r="K1331" i="120"/>
  <c r="J1331" i="120"/>
  <c r="I1331" i="120"/>
  <c r="H1331" i="120"/>
  <c r="G1331" i="120"/>
  <c r="F1331" i="120"/>
  <c r="E1331" i="120"/>
  <c r="D1331" i="120"/>
  <c r="K1276" i="120"/>
  <c r="J1276" i="120"/>
  <c r="I1276" i="120"/>
  <c r="H1276" i="120"/>
  <c r="G1276" i="120"/>
  <c r="F1276" i="120"/>
  <c r="E1276" i="120"/>
  <c r="D1276" i="120"/>
  <c r="K1253" i="120"/>
  <c r="J1253" i="120"/>
  <c r="I1253" i="120"/>
  <c r="H1253" i="120"/>
  <c r="G1253" i="120"/>
  <c r="F1253" i="120"/>
  <c r="E1253" i="120"/>
  <c r="D1253" i="120"/>
  <c r="K1244" i="120"/>
  <c r="J1244" i="120"/>
  <c r="I1244" i="120"/>
  <c r="H1244" i="120"/>
  <c r="G1244" i="120"/>
  <c r="F1244" i="120"/>
  <c r="E1244" i="120"/>
  <c r="D1244" i="120"/>
  <c r="K1243" i="120"/>
  <c r="J1243" i="120"/>
  <c r="I1243" i="120"/>
  <c r="H1243" i="120"/>
  <c r="G1243" i="120"/>
  <c r="F1243" i="120"/>
  <c r="E1243" i="120"/>
  <c r="D1243" i="120"/>
  <c r="K1241" i="120"/>
  <c r="J1241" i="120"/>
  <c r="I1241" i="120"/>
  <c r="H1241" i="120"/>
  <c r="G1241" i="120"/>
  <c r="F1241" i="120"/>
  <c r="E1241" i="120"/>
  <c r="D1241" i="120"/>
  <c r="K1240" i="120"/>
  <c r="J1240" i="120"/>
  <c r="I1240" i="120"/>
  <c r="H1240" i="120"/>
  <c r="G1240" i="120"/>
  <c r="F1240" i="120"/>
  <c r="E1240" i="120"/>
  <c r="D1240" i="120"/>
  <c r="K1229" i="120"/>
  <c r="J1229" i="120"/>
  <c r="I1229" i="120"/>
  <c r="H1229" i="120"/>
  <c r="G1229" i="120"/>
  <c r="F1229" i="120"/>
  <c r="E1229" i="120"/>
  <c r="D1229" i="120"/>
  <c r="K1228" i="120"/>
  <c r="J1228" i="120"/>
  <c r="I1228" i="120"/>
  <c r="H1228" i="120"/>
  <c r="G1228" i="120"/>
  <c r="F1228" i="120"/>
  <c r="E1228" i="120"/>
  <c r="D1228" i="120"/>
  <c r="K1218" i="120"/>
  <c r="J1218" i="120"/>
  <c r="I1218" i="120"/>
  <c r="H1218" i="120"/>
  <c r="G1218" i="120"/>
  <c r="F1218" i="120"/>
  <c r="E1218" i="120"/>
  <c r="D1218" i="120"/>
  <c r="K1217" i="120"/>
  <c r="J1217" i="120"/>
  <c r="I1217" i="120"/>
  <c r="H1217" i="120"/>
  <c r="G1217" i="120"/>
  <c r="F1217" i="120"/>
  <c r="E1217" i="120"/>
  <c r="D1217" i="120"/>
  <c r="K1149" i="120"/>
  <c r="J1149" i="120"/>
  <c r="I1149" i="120"/>
  <c r="H1149" i="120"/>
  <c r="G1149" i="120"/>
  <c r="F1149" i="120"/>
  <c r="E1149" i="120"/>
  <c r="D1149" i="120"/>
  <c r="K1130" i="120"/>
  <c r="J1130" i="120"/>
  <c r="I1130" i="120"/>
  <c r="H1130" i="120"/>
  <c r="G1130" i="120"/>
  <c r="F1130" i="120"/>
  <c r="E1130" i="120"/>
  <c r="D1130" i="120"/>
  <c r="K1129" i="120"/>
  <c r="J1129" i="120"/>
  <c r="I1129" i="120"/>
  <c r="H1129" i="120"/>
  <c r="G1129" i="120"/>
  <c r="F1129" i="120"/>
  <c r="E1129" i="120"/>
  <c r="D1129" i="120"/>
  <c r="K1128" i="120"/>
  <c r="J1128" i="120"/>
  <c r="I1128" i="120"/>
  <c r="H1128" i="120"/>
  <c r="G1128" i="120"/>
  <c r="F1128" i="120"/>
  <c r="E1128" i="120"/>
  <c r="D1128" i="120"/>
  <c r="K1126" i="120"/>
  <c r="J1126" i="120"/>
  <c r="I1126" i="120"/>
  <c r="H1126" i="120"/>
  <c r="G1126" i="120"/>
  <c r="F1126" i="120"/>
  <c r="E1126" i="120"/>
  <c r="D1126" i="120"/>
  <c r="K1123" i="120"/>
  <c r="J1123" i="120"/>
  <c r="I1123" i="120"/>
  <c r="H1123" i="120"/>
  <c r="G1123" i="120"/>
  <c r="F1123" i="120"/>
  <c r="E1123" i="120"/>
  <c r="D1123" i="120"/>
  <c r="K1118" i="120"/>
  <c r="J1118" i="120"/>
  <c r="I1118" i="120"/>
  <c r="H1118" i="120"/>
  <c r="G1118" i="120"/>
  <c r="F1118" i="120"/>
  <c r="E1118" i="120"/>
  <c r="D1118" i="120"/>
  <c r="K1111" i="120"/>
  <c r="J1111" i="120"/>
  <c r="I1111" i="120"/>
  <c r="H1111" i="120"/>
  <c r="G1111" i="120"/>
  <c r="F1111" i="120"/>
  <c r="E1111" i="120"/>
  <c r="D1111" i="120"/>
  <c r="K1104" i="120"/>
  <c r="J1104" i="120"/>
  <c r="I1104" i="120"/>
  <c r="H1104" i="120"/>
  <c r="G1104" i="120"/>
  <c r="F1104" i="120"/>
  <c r="E1104" i="120"/>
  <c r="D1104" i="120"/>
  <c r="K1097" i="120"/>
  <c r="J1097" i="120"/>
  <c r="I1097" i="120"/>
  <c r="H1097" i="120"/>
  <c r="G1097" i="120"/>
  <c r="F1097" i="120"/>
  <c r="E1097" i="120"/>
  <c r="D1097" i="120"/>
  <c r="K1090" i="120"/>
  <c r="J1090" i="120"/>
  <c r="I1090" i="120"/>
  <c r="H1090" i="120"/>
  <c r="G1090" i="120"/>
  <c r="F1090" i="120"/>
  <c r="E1090" i="120"/>
  <c r="D1090" i="120"/>
  <c r="K1047" i="120"/>
  <c r="J1047" i="120"/>
  <c r="I1047" i="120"/>
  <c r="H1047" i="120"/>
  <c r="G1047" i="120"/>
  <c r="F1047" i="120"/>
  <c r="E1047" i="120"/>
  <c r="D1047" i="120"/>
  <c r="K1043" i="120"/>
  <c r="J1043" i="120"/>
  <c r="I1043" i="120"/>
  <c r="H1043" i="120"/>
  <c r="G1043" i="120"/>
  <c r="F1043" i="120"/>
  <c r="E1043" i="120"/>
  <c r="D1043" i="120"/>
  <c r="K1042" i="120"/>
  <c r="J1042" i="120"/>
  <c r="I1042" i="120"/>
  <c r="H1042" i="120"/>
  <c r="G1042" i="120"/>
  <c r="F1042" i="120"/>
  <c r="E1042" i="120"/>
  <c r="D1042" i="120"/>
  <c r="K1040" i="120"/>
  <c r="J1040" i="120"/>
  <c r="I1040" i="120"/>
  <c r="H1040" i="120"/>
  <c r="G1040" i="120"/>
  <c r="F1040" i="120"/>
  <c r="E1040" i="120"/>
  <c r="D1040" i="120"/>
  <c r="K1036" i="120"/>
  <c r="J1036" i="120"/>
  <c r="I1036" i="120"/>
  <c r="H1036" i="120"/>
  <c r="G1036" i="120"/>
  <c r="F1036" i="120"/>
  <c r="E1036" i="120"/>
  <c r="D1036" i="120"/>
  <c r="K1035" i="120"/>
  <c r="J1035" i="120"/>
  <c r="I1035" i="120"/>
  <c r="H1035" i="120"/>
  <c r="G1035" i="120"/>
  <c r="F1035" i="120"/>
  <c r="E1035" i="120"/>
  <c r="D1035" i="120"/>
  <c r="K1034" i="120"/>
  <c r="J1034" i="120"/>
  <c r="I1034" i="120"/>
  <c r="H1034" i="120"/>
  <c r="G1034" i="120"/>
  <c r="F1034" i="120"/>
  <c r="E1034" i="120"/>
  <c r="D1034" i="120"/>
  <c r="K1004" i="120"/>
  <c r="J1004" i="120"/>
  <c r="I1004" i="120"/>
  <c r="H1004" i="120"/>
  <c r="G1004" i="120"/>
  <c r="F1004" i="120"/>
  <c r="E1004" i="120"/>
  <c r="D1004" i="120"/>
  <c r="K1003" i="120"/>
  <c r="J1003" i="120"/>
  <c r="I1003" i="120"/>
  <c r="H1003" i="120"/>
  <c r="G1003" i="120"/>
  <c r="F1003" i="120"/>
  <c r="E1003" i="120"/>
  <c r="D1003" i="120"/>
  <c r="K993" i="120"/>
  <c r="J993" i="120"/>
  <c r="I993" i="120"/>
  <c r="H993" i="120"/>
  <c r="G993" i="120"/>
  <c r="F993" i="120"/>
  <c r="E993" i="120"/>
  <c r="D993" i="120"/>
  <c r="K992" i="120"/>
  <c r="J992" i="120"/>
  <c r="I992" i="120"/>
  <c r="H992" i="120"/>
  <c r="G992" i="120"/>
  <c r="F992" i="120"/>
  <c r="E992" i="120"/>
  <c r="D992" i="120"/>
  <c r="K981" i="120"/>
  <c r="J981" i="120"/>
  <c r="I981" i="120"/>
  <c r="H981" i="120"/>
  <c r="G981" i="120"/>
  <c r="F981" i="120"/>
  <c r="E981" i="120"/>
  <c r="D981" i="120"/>
  <c r="K980" i="120"/>
  <c r="J980" i="120"/>
  <c r="I980" i="120"/>
  <c r="H980" i="120"/>
  <c r="G980" i="120"/>
  <c r="F980" i="120"/>
  <c r="E980" i="120"/>
  <c r="D980" i="120"/>
  <c r="K944" i="120"/>
  <c r="J944" i="120"/>
  <c r="I944" i="120"/>
  <c r="H944" i="120"/>
  <c r="G944" i="120"/>
  <c r="F944" i="120"/>
  <c r="E944" i="120"/>
  <c r="D944" i="120"/>
  <c r="K943" i="120"/>
  <c r="J943" i="120"/>
  <c r="I943" i="120"/>
  <c r="H943" i="120"/>
  <c r="G943" i="120"/>
  <c r="F943" i="120"/>
  <c r="E943" i="120"/>
  <c r="D943" i="120"/>
  <c r="K932" i="120"/>
  <c r="J932" i="120"/>
  <c r="I932" i="120"/>
  <c r="H932" i="120"/>
  <c r="G932" i="120"/>
  <c r="F932" i="120"/>
  <c r="E932" i="120"/>
  <c r="D932" i="120"/>
  <c r="K931" i="120"/>
  <c r="J931" i="120"/>
  <c r="I931" i="120"/>
  <c r="H931" i="120"/>
  <c r="G931" i="120"/>
  <c r="F931" i="120"/>
  <c r="E931" i="120"/>
  <c r="D931" i="120"/>
  <c r="K921" i="120"/>
  <c r="J921" i="120"/>
  <c r="I921" i="120"/>
  <c r="H921" i="120"/>
  <c r="G921" i="120"/>
  <c r="F921" i="120"/>
  <c r="E921" i="120"/>
  <c r="D921" i="120"/>
  <c r="K920" i="120"/>
  <c r="J920" i="120"/>
  <c r="I920" i="120"/>
  <c r="H920" i="120"/>
  <c r="G920" i="120"/>
  <c r="F920" i="120"/>
  <c r="E920" i="120"/>
  <c r="D920" i="120"/>
  <c r="K881" i="120"/>
  <c r="J881" i="120"/>
  <c r="I881" i="120"/>
  <c r="H881" i="120"/>
  <c r="G881" i="120"/>
  <c r="F881" i="120"/>
  <c r="E881" i="120"/>
  <c r="D881" i="120"/>
  <c r="K880" i="120"/>
  <c r="J880" i="120"/>
  <c r="I880" i="120"/>
  <c r="H880" i="120"/>
  <c r="G880" i="120"/>
  <c r="F880" i="120"/>
  <c r="E880" i="120"/>
  <c r="D880" i="120"/>
  <c r="K870" i="120"/>
  <c r="J870" i="120"/>
  <c r="I870" i="120"/>
  <c r="H870" i="120"/>
  <c r="G870" i="120"/>
  <c r="F870" i="120"/>
  <c r="E870" i="120"/>
  <c r="D870" i="120"/>
  <c r="K869" i="120"/>
  <c r="J869" i="120"/>
  <c r="I869" i="120"/>
  <c r="H869" i="120"/>
  <c r="G869" i="120"/>
  <c r="F869" i="120"/>
  <c r="E869" i="120"/>
  <c r="D869" i="120"/>
  <c r="K859" i="120"/>
  <c r="J859" i="120"/>
  <c r="I859" i="120"/>
  <c r="H859" i="120"/>
  <c r="G859" i="120"/>
  <c r="F859" i="120"/>
  <c r="E859" i="120"/>
  <c r="D859" i="120"/>
  <c r="K858" i="120"/>
  <c r="J858" i="120"/>
  <c r="I858" i="120"/>
  <c r="H858" i="120"/>
  <c r="G858" i="120"/>
  <c r="F858" i="120"/>
  <c r="E858" i="120"/>
  <c r="D858" i="120"/>
  <c r="K856" i="120"/>
  <c r="J856" i="120"/>
  <c r="I856" i="120"/>
  <c r="H856" i="120"/>
  <c r="G856" i="120"/>
  <c r="F856" i="120"/>
  <c r="E856" i="120"/>
  <c r="D856" i="120"/>
  <c r="K855" i="120"/>
  <c r="J855" i="120"/>
  <c r="I855" i="120"/>
  <c r="H855" i="120"/>
  <c r="G855" i="120"/>
  <c r="F855" i="120"/>
  <c r="E855" i="120"/>
  <c r="D855" i="120"/>
  <c r="K854" i="120"/>
  <c r="J854" i="120"/>
  <c r="I854" i="120"/>
  <c r="H854" i="120"/>
  <c r="G854" i="120"/>
  <c r="F854" i="120"/>
  <c r="E854" i="120"/>
  <c r="D854" i="120"/>
  <c r="K853" i="120"/>
  <c r="J853" i="120"/>
  <c r="I853" i="120"/>
  <c r="H853" i="120"/>
  <c r="G853" i="120"/>
  <c r="F853" i="120"/>
  <c r="E853" i="120"/>
  <c r="D853" i="120"/>
  <c r="K852" i="120"/>
  <c r="J852" i="120"/>
  <c r="I852" i="120"/>
  <c r="H852" i="120"/>
  <c r="G852" i="120"/>
  <c r="F852" i="120"/>
  <c r="E852" i="120"/>
  <c r="D852" i="120"/>
  <c r="K851" i="120"/>
  <c r="J851" i="120"/>
  <c r="I851" i="120"/>
  <c r="H851" i="120"/>
  <c r="G851" i="120"/>
  <c r="F851" i="120"/>
  <c r="E851" i="120"/>
  <c r="D851" i="120"/>
  <c r="K850" i="120"/>
  <c r="J850" i="120"/>
  <c r="I850" i="120"/>
  <c r="H850" i="120"/>
  <c r="G850" i="120"/>
  <c r="F850" i="120"/>
  <c r="E850" i="120"/>
  <c r="D850" i="120"/>
  <c r="K849" i="120"/>
  <c r="J849" i="120"/>
  <c r="I849" i="120"/>
  <c r="H849" i="120"/>
  <c r="G849" i="120"/>
  <c r="F849" i="120"/>
  <c r="E849" i="120"/>
  <c r="D849" i="120"/>
  <c r="K819" i="120"/>
  <c r="J819" i="120"/>
  <c r="I819" i="120"/>
  <c r="H819" i="120"/>
  <c r="G819" i="120"/>
  <c r="F819" i="120"/>
  <c r="E819" i="120"/>
  <c r="D819" i="120"/>
  <c r="K818" i="120"/>
  <c r="J818" i="120"/>
  <c r="I818" i="120"/>
  <c r="H818" i="120"/>
  <c r="G818" i="120"/>
  <c r="F818" i="120"/>
  <c r="E818" i="120"/>
  <c r="D818" i="120"/>
  <c r="K814" i="120"/>
  <c r="J814" i="120"/>
  <c r="I814" i="120"/>
  <c r="H814" i="120"/>
  <c r="G814" i="120"/>
  <c r="F814" i="120"/>
  <c r="E814" i="120"/>
  <c r="D814" i="120"/>
  <c r="K813" i="120"/>
  <c r="J813" i="120"/>
  <c r="I813" i="120"/>
  <c r="H813" i="120"/>
  <c r="G813" i="120"/>
  <c r="F813" i="120"/>
  <c r="E813" i="120"/>
  <c r="D813" i="120"/>
  <c r="K803" i="120"/>
  <c r="J803" i="120"/>
  <c r="I803" i="120"/>
  <c r="H803" i="120"/>
  <c r="G803" i="120"/>
  <c r="F803" i="120"/>
  <c r="E803" i="120"/>
  <c r="D803" i="120"/>
  <c r="K802" i="120"/>
  <c r="J802" i="120"/>
  <c r="I802" i="120"/>
  <c r="H802" i="120"/>
  <c r="G802" i="120"/>
  <c r="F802" i="120"/>
  <c r="E802" i="120"/>
  <c r="D802" i="120"/>
  <c r="K752" i="120"/>
  <c r="J752" i="120"/>
  <c r="I752" i="120"/>
  <c r="H752" i="120"/>
  <c r="G752" i="120"/>
  <c r="F752" i="120"/>
  <c r="E752" i="120"/>
  <c r="D752" i="120"/>
  <c r="K743" i="120"/>
  <c r="J743" i="120"/>
  <c r="I743" i="120"/>
  <c r="H743" i="120"/>
  <c r="G743" i="120"/>
  <c r="F743" i="120"/>
  <c r="E743" i="120"/>
  <c r="D743" i="120"/>
  <c r="K742" i="120"/>
  <c r="J742" i="120"/>
  <c r="I742" i="120"/>
  <c r="H742" i="120"/>
  <c r="G742" i="120"/>
  <c r="F742" i="120"/>
  <c r="E742" i="120"/>
  <c r="D742" i="120"/>
  <c r="K741" i="120"/>
  <c r="J741" i="120"/>
  <c r="I741" i="120"/>
  <c r="H741" i="120"/>
  <c r="G741" i="120"/>
  <c r="F741" i="120"/>
  <c r="E741" i="120"/>
  <c r="D741" i="120"/>
  <c r="K706" i="120"/>
  <c r="J706" i="120"/>
  <c r="I706" i="120"/>
  <c r="H706" i="120"/>
  <c r="G706" i="120"/>
  <c r="F706" i="120"/>
  <c r="E706" i="120"/>
  <c r="D706" i="120"/>
  <c r="K705" i="120"/>
  <c r="J705" i="120"/>
  <c r="I705" i="120"/>
  <c r="H705" i="120"/>
  <c r="G705" i="120"/>
  <c r="F705" i="120"/>
  <c r="E705" i="120"/>
  <c r="D705" i="120"/>
  <c r="K695" i="120"/>
  <c r="J695" i="120"/>
  <c r="I695" i="120"/>
  <c r="H695" i="120"/>
  <c r="G695" i="120"/>
  <c r="F695" i="120"/>
  <c r="E695" i="120"/>
  <c r="D695" i="120"/>
  <c r="K694" i="120"/>
  <c r="J694" i="120"/>
  <c r="I694" i="120"/>
  <c r="H694" i="120"/>
  <c r="G694" i="120"/>
  <c r="F694" i="120"/>
  <c r="E694" i="120"/>
  <c r="D694" i="120"/>
  <c r="K693" i="120"/>
  <c r="J693" i="120"/>
  <c r="I693" i="120"/>
  <c r="H693" i="120"/>
  <c r="G693" i="120"/>
  <c r="F693" i="120"/>
  <c r="E693" i="120"/>
  <c r="D693" i="120"/>
  <c r="K683" i="120"/>
  <c r="J683" i="120"/>
  <c r="I683" i="120"/>
  <c r="H683" i="120"/>
  <c r="G683" i="120"/>
  <c r="F683" i="120"/>
  <c r="E683" i="120"/>
  <c r="D683" i="120"/>
  <c r="K682" i="120"/>
  <c r="J682" i="120"/>
  <c r="I682" i="120"/>
  <c r="H682" i="120"/>
  <c r="G682" i="120"/>
  <c r="F682" i="120"/>
  <c r="E682" i="120"/>
  <c r="D682" i="120"/>
  <c r="K658" i="120"/>
  <c r="J658" i="120"/>
  <c r="I658" i="120"/>
  <c r="H658" i="120"/>
  <c r="G658" i="120"/>
  <c r="F658" i="120"/>
  <c r="E658" i="120"/>
  <c r="D658" i="120"/>
  <c r="K649" i="120"/>
  <c r="J649" i="120"/>
  <c r="I649" i="120"/>
  <c r="H649" i="120"/>
  <c r="G649" i="120"/>
  <c r="F649" i="120"/>
  <c r="E649" i="120"/>
  <c r="D649" i="120"/>
  <c r="K648" i="120"/>
  <c r="J648" i="120"/>
  <c r="I648" i="120"/>
  <c r="H648" i="120"/>
  <c r="G648" i="120"/>
  <c r="F648" i="120"/>
  <c r="E648" i="120"/>
  <c r="D648" i="120"/>
  <c r="K646" i="120"/>
  <c r="J646" i="120"/>
  <c r="I646" i="120"/>
  <c r="H646" i="120"/>
  <c r="G646" i="120"/>
  <c r="F646" i="120"/>
  <c r="E646" i="120"/>
  <c r="D646" i="120"/>
  <c r="K636" i="120"/>
  <c r="J636" i="120"/>
  <c r="I636" i="120"/>
  <c r="H636" i="120"/>
  <c r="G636" i="120"/>
  <c r="F636" i="120"/>
  <c r="E636" i="120"/>
  <c r="D636" i="120"/>
  <c r="K635" i="120"/>
  <c r="J635" i="120"/>
  <c r="I635" i="120"/>
  <c r="H635" i="120"/>
  <c r="G635" i="120"/>
  <c r="F635" i="120"/>
  <c r="E635" i="120"/>
  <c r="D635" i="120"/>
  <c r="K633" i="120"/>
  <c r="J633" i="120"/>
  <c r="I633" i="120"/>
  <c r="H633" i="120"/>
  <c r="G633" i="120"/>
  <c r="F633" i="120"/>
  <c r="E633" i="120"/>
  <c r="D633" i="120"/>
  <c r="K624" i="120"/>
  <c r="J624" i="120"/>
  <c r="I624" i="120"/>
  <c r="H624" i="120"/>
  <c r="G624" i="120"/>
  <c r="F624" i="120"/>
  <c r="E624" i="120"/>
  <c r="D624" i="120"/>
  <c r="K623" i="120"/>
  <c r="J623" i="120"/>
  <c r="I623" i="120"/>
  <c r="H623" i="120"/>
  <c r="G623" i="120"/>
  <c r="F623" i="120"/>
  <c r="E623" i="120"/>
  <c r="D623" i="120"/>
  <c r="K621" i="120"/>
  <c r="J621" i="120"/>
  <c r="I621" i="120"/>
  <c r="H621" i="120"/>
  <c r="G621" i="120"/>
  <c r="F621" i="120"/>
  <c r="E621" i="120"/>
  <c r="D621" i="120"/>
  <c r="K561" i="120"/>
  <c r="J561" i="120"/>
  <c r="I561" i="120"/>
  <c r="H561" i="120"/>
  <c r="G561" i="120"/>
  <c r="F561" i="120"/>
  <c r="E561" i="120"/>
  <c r="D561" i="120"/>
  <c r="K560" i="120"/>
  <c r="J560" i="120"/>
  <c r="I560" i="120"/>
  <c r="H560" i="120"/>
  <c r="G560" i="120"/>
  <c r="F560" i="120"/>
  <c r="E560" i="120"/>
  <c r="D560" i="120"/>
  <c r="K552" i="120"/>
  <c r="J552" i="120"/>
  <c r="I552" i="120"/>
  <c r="H552" i="120"/>
  <c r="G552" i="120"/>
  <c r="F552" i="120"/>
  <c r="E552" i="120"/>
  <c r="D552" i="120"/>
  <c r="K533" i="120"/>
  <c r="J533" i="120"/>
  <c r="I533" i="120"/>
  <c r="H533" i="120"/>
  <c r="G533" i="120"/>
  <c r="F533" i="120"/>
  <c r="E533" i="120"/>
  <c r="D533" i="120"/>
  <c r="K531" i="120"/>
  <c r="J531" i="120"/>
  <c r="I531" i="120"/>
  <c r="H531" i="120"/>
  <c r="G531" i="120"/>
  <c r="F531" i="120"/>
  <c r="E531" i="120"/>
  <c r="D531" i="120"/>
  <c r="K528" i="120"/>
  <c r="J528" i="120"/>
  <c r="I528" i="120"/>
  <c r="H528" i="120"/>
  <c r="G528" i="120"/>
  <c r="F528" i="120"/>
  <c r="E528" i="120"/>
  <c r="D528" i="120"/>
  <c r="K527" i="120"/>
  <c r="J527" i="120"/>
  <c r="I527" i="120"/>
  <c r="H527" i="120"/>
  <c r="G527" i="120"/>
  <c r="F527" i="120"/>
  <c r="E527" i="120"/>
  <c r="D527" i="120"/>
  <c r="K522" i="120"/>
  <c r="J522" i="120"/>
  <c r="I522" i="120"/>
  <c r="H522" i="120"/>
  <c r="G522" i="120"/>
  <c r="F522" i="120"/>
  <c r="E522" i="120"/>
  <c r="D522" i="120"/>
  <c r="K515" i="120"/>
  <c r="J515" i="120"/>
  <c r="I515" i="120"/>
  <c r="H515" i="120"/>
  <c r="G515" i="120"/>
  <c r="F515" i="120"/>
  <c r="E515" i="120"/>
  <c r="D515" i="120"/>
  <c r="K508" i="120"/>
  <c r="J508" i="120"/>
  <c r="I508" i="120"/>
  <c r="H508" i="120"/>
  <c r="G508" i="120"/>
  <c r="F508" i="120"/>
  <c r="E508" i="120"/>
  <c r="D508" i="120"/>
  <c r="K501" i="120"/>
  <c r="J501" i="120"/>
  <c r="I501" i="120"/>
  <c r="H501" i="120"/>
  <c r="G501" i="120"/>
  <c r="F501" i="120"/>
  <c r="E501" i="120"/>
  <c r="D501" i="120"/>
  <c r="K494" i="120"/>
  <c r="J494" i="120"/>
  <c r="I494" i="120"/>
  <c r="H494" i="120"/>
  <c r="G494" i="120"/>
  <c r="F494" i="120"/>
  <c r="E494" i="120"/>
  <c r="D494" i="120"/>
  <c r="K451" i="120"/>
  <c r="J451" i="120"/>
  <c r="I451" i="120"/>
  <c r="H451" i="120"/>
  <c r="G451" i="120"/>
  <c r="F451" i="120"/>
  <c r="E451" i="120"/>
  <c r="D451" i="120"/>
  <c r="K447" i="120"/>
  <c r="J447" i="120"/>
  <c r="I447" i="120"/>
  <c r="H447" i="120"/>
  <c r="G447" i="120"/>
  <c r="F447" i="120"/>
  <c r="E447" i="120"/>
  <c r="D447" i="120"/>
  <c r="K446" i="120"/>
  <c r="J446" i="120"/>
  <c r="I446" i="120"/>
  <c r="H446" i="120"/>
  <c r="G446" i="120"/>
  <c r="F446" i="120"/>
  <c r="E446" i="120"/>
  <c r="D446" i="120"/>
  <c r="K444" i="120"/>
  <c r="J444" i="120"/>
  <c r="I444" i="120"/>
  <c r="H444" i="120"/>
  <c r="G444" i="120"/>
  <c r="F444" i="120"/>
  <c r="E444" i="120"/>
  <c r="D444" i="120"/>
  <c r="K440" i="120"/>
  <c r="J440" i="120"/>
  <c r="I440" i="120"/>
  <c r="H440" i="120"/>
  <c r="G440" i="120"/>
  <c r="F440" i="120"/>
  <c r="E440" i="120"/>
  <c r="D440" i="120"/>
  <c r="K439" i="120"/>
  <c r="J439" i="120"/>
  <c r="I439" i="120"/>
  <c r="H439" i="120"/>
  <c r="G439" i="120"/>
  <c r="F439" i="120"/>
  <c r="E439" i="120"/>
  <c r="D439" i="120"/>
  <c r="K438" i="120"/>
  <c r="J438" i="120"/>
  <c r="I438" i="120"/>
  <c r="H438" i="120"/>
  <c r="G438" i="120"/>
  <c r="F438" i="120"/>
  <c r="E438" i="120"/>
  <c r="D438" i="120"/>
  <c r="K356" i="120"/>
  <c r="J356" i="120"/>
  <c r="I356" i="120"/>
  <c r="H356" i="120"/>
  <c r="G356" i="120"/>
  <c r="F356" i="120"/>
  <c r="E356" i="120"/>
  <c r="D356" i="120"/>
  <c r="K355" i="120"/>
  <c r="J355" i="120"/>
  <c r="I355" i="120"/>
  <c r="H355" i="120"/>
  <c r="G355" i="120"/>
  <c r="F355" i="120"/>
  <c r="E355" i="120"/>
  <c r="D355" i="120"/>
  <c r="K353" i="120"/>
  <c r="J353" i="120"/>
  <c r="I353" i="120"/>
  <c r="H353" i="120"/>
  <c r="G353" i="120"/>
  <c r="F353" i="120"/>
  <c r="E353" i="120"/>
  <c r="D353" i="120"/>
  <c r="K344" i="120"/>
  <c r="J344" i="120"/>
  <c r="I344" i="120"/>
  <c r="H344" i="120"/>
  <c r="G344" i="120"/>
  <c r="F344" i="120"/>
  <c r="E344" i="120"/>
  <c r="D344" i="120"/>
  <c r="K343" i="120"/>
  <c r="J343" i="120"/>
  <c r="I343" i="120"/>
  <c r="H343" i="120"/>
  <c r="G343" i="120"/>
  <c r="F343" i="120"/>
  <c r="E343" i="120"/>
  <c r="D343" i="120"/>
  <c r="K332" i="120"/>
  <c r="J332" i="120"/>
  <c r="I332" i="120"/>
  <c r="H332" i="120"/>
  <c r="G332" i="120"/>
  <c r="F332" i="120"/>
  <c r="E332" i="120"/>
  <c r="D332" i="120"/>
  <c r="K331" i="120"/>
  <c r="J331" i="120"/>
  <c r="I331" i="120"/>
  <c r="H331" i="120"/>
  <c r="G331" i="120"/>
  <c r="F331" i="120"/>
  <c r="E331" i="120"/>
  <c r="D331" i="120"/>
  <c r="K320" i="120"/>
  <c r="J320" i="120"/>
  <c r="I320" i="120"/>
  <c r="H320" i="120"/>
  <c r="G320" i="120"/>
  <c r="F320" i="120"/>
  <c r="E320" i="120"/>
  <c r="D320" i="120"/>
  <c r="K319" i="120"/>
  <c r="J319" i="120"/>
  <c r="I319" i="120"/>
  <c r="H319" i="120"/>
  <c r="G319" i="120"/>
  <c r="F319" i="120"/>
  <c r="E319" i="120"/>
  <c r="D319" i="120"/>
  <c r="K287" i="120"/>
  <c r="J287" i="120"/>
  <c r="I287" i="120"/>
  <c r="H287" i="120"/>
  <c r="G287" i="120"/>
  <c r="F287" i="120"/>
  <c r="E287" i="120"/>
  <c r="D287" i="120"/>
  <c r="K286" i="120"/>
  <c r="J286" i="120"/>
  <c r="I286" i="120"/>
  <c r="H286" i="120"/>
  <c r="G286" i="120"/>
  <c r="F286" i="120"/>
  <c r="E286" i="120"/>
  <c r="D286" i="120"/>
  <c r="K285" i="120"/>
  <c r="J285" i="120"/>
  <c r="I285" i="120"/>
  <c r="H285" i="120"/>
  <c r="G285" i="120"/>
  <c r="F285" i="120"/>
  <c r="E285" i="120"/>
  <c r="D285" i="120"/>
  <c r="K283" i="120"/>
  <c r="J283" i="120"/>
  <c r="I283" i="120"/>
  <c r="H283" i="120"/>
  <c r="G283" i="120"/>
  <c r="F283" i="120"/>
  <c r="E283" i="120"/>
  <c r="D283" i="120"/>
  <c r="K280" i="120"/>
  <c r="J280" i="120"/>
  <c r="I280" i="120"/>
  <c r="H280" i="120"/>
  <c r="G280" i="120"/>
  <c r="F280" i="120"/>
  <c r="E280" i="120"/>
  <c r="D280" i="120"/>
  <c r="K275" i="120"/>
  <c r="J275" i="120"/>
  <c r="I275" i="120"/>
  <c r="H275" i="120"/>
  <c r="G275" i="120"/>
  <c r="F275" i="120"/>
  <c r="E275" i="120"/>
  <c r="D275" i="120"/>
  <c r="K268" i="120"/>
  <c r="J268" i="120"/>
  <c r="I268" i="120"/>
  <c r="H268" i="120"/>
  <c r="G268" i="120"/>
  <c r="F268" i="120"/>
  <c r="E268" i="120"/>
  <c r="D268" i="120"/>
  <c r="K261" i="120"/>
  <c r="J261" i="120"/>
  <c r="I261" i="120"/>
  <c r="H261" i="120"/>
  <c r="G261" i="120"/>
  <c r="F261" i="120"/>
  <c r="E261" i="120"/>
  <c r="D261" i="120"/>
  <c r="K254" i="120"/>
  <c r="J254" i="120"/>
  <c r="I254" i="120"/>
  <c r="H254" i="120"/>
  <c r="G254" i="120"/>
  <c r="F254" i="120"/>
  <c r="E254" i="120"/>
  <c r="D254" i="120"/>
  <c r="K221" i="120"/>
  <c r="J221" i="120"/>
  <c r="I221" i="120"/>
  <c r="H221" i="120"/>
  <c r="G221" i="120"/>
  <c r="F221" i="120"/>
  <c r="E221" i="120"/>
  <c r="D221" i="120"/>
  <c r="K217" i="120"/>
  <c r="J217" i="120"/>
  <c r="I217" i="120"/>
  <c r="H217" i="120"/>
  <c r="G217" i="120"/>
  <c r="F217" i="120"/>
  <c r="E217" i="120"/>
  <c r="D217" i="120"/>
  <c r="K216" i="120"/>
  <c r="J216" i="120"/>
  <c r="I216" i="120"/>
  <c r="H216" i="120"/>
  <c r="G216" i="120"/>
  <c r="F216" i="120"/>
  <c r="E216" i="120"/>
  <c r="D216" i="120"/>
  <c r="K214" i="120"/>
  <c r="J214" i="120"/>
  <c r="I214" i="120"/>
  <c r="H214" i="120"/>
  <c r="G214" i="120"/>
  <c r="F214" i="120"/>
  <c r="E214" i="120"/>
  <c r="D214" i="120"/>
  <c r="K212" i="120"/>
  <c r="J212" i="120"/>
  <c r="I212" i="120"/>
  <c r="H212" i="120"/>
  <c r="G212" i="120"/>
  <c r="F212" i="120"/>
  <c r="E212" i="120"/>
  <c r="D212" i="120"/>
  <c r="K211" i="120"/>
  <c r="J211" i="120"/>
  <c r="I211" i="120"/>
  <c r="H211" i="120"/>
  <c r="G211" i="120"/>
  <c r="F211" i="120"/>
  <c r="E211" i="120"/>
  <c r="D211" i="120"/>
  <c r="K210" i="120"/>
  <c r="J210" i="120"/>
  <c r="I210" i="120"/>
  <c r="H210" i="120"/>
  <c r="G210" i="120"/>
  <c r="F210" i="120"/>
  <c r="E210" i="120"/>
  <c r="D210" i="120"/>
  <c r="K205" i="120"/>
  <c r="J205" i="120"/>
  <c r="I205" i="120"/>
  <c r="H205" i="120"/>
  <c r="G205" i="120"/>
  <c r="F205" i="120"/>
  <c r="E205" i="120"/>
  <c r="D205" i="120"/>
  <c r="K204" i="120"/>
  <c r="J204" i="120"/>
  <c r="I204" i="120"/>
  <c r="H204" i="120"/>
  <c r="G204" i="120"/>
  <c r="F204" i="120"/>
  <c r="E204" i="120"/>
  <c r="D204" i="120"/>
  <c r="K203" i="120"/>
  <c r="J203" i="120"/>
  <c r="I203" i="120"/>
  <c r="H203" i="120"/>
  <c r="G203" i="120"/>
  <c r="F203" i="120"/>
  <c r="E203" i="120"/>
  <c r="D203" i="120"/>
  <c r="K199" i="120"/>
  <c r="J199" i="120"/>
  <c r="I199" i="120"/>
  <c r="H199" i="120"/>
  <c r="G199" i="120"/>
  <c r="F199" i="120"/>
  <c r="E199" i="120"/>
  <c r="D199" i="120"/>
  <c r="K196" i="120"/>
  <c r="J196" i="120"/>
  <c r="I196" i="120"/>
  <c r="H196" i="120"/>
  <c r="G196" i="120"/>
  <c r="F196" i="120"/>
  <c r="E196" i="120"/>
  <c r="D196" i="120"/>
  <c r="K176" i="120"/>
  <c r="J176" i="120"/>
  <c r="I176" i="120"/>
  <c r="H176" i="120"/>
  <c r="G176" i="120"/>
  <c r="F176" i="120"/>
  <c r="E176" i="120"/>
  <c r="D176" i="120"/>
  <c r="K166" i="120"/>
  <c r="J166" i="120"/>
  <c r="I166" i="120"/>
  <c r="H166" i="120"/>
  <c r="G166" i="120"/>
  <c r="F166" i="120"/>
  <c r="E166" i="120"/>
  <c r="D166" i="120"/>
  <c r="K165" i="120"/>
  <c r="J165" i="120"/>
  <c r="I165" i="120"/>
  <c r="H165" i="120"/>
  <c r="G165" i="120"/>
  <c r="F165" i="120"/>
  <c r="E165" i="120"/>
  <c r="D165" i="120"/>
  <c r="K156" i="120"/>
  <c r="J156" i="120"/>
  <c r="I156" i="120"/>
  <c r="H156" i="120"/>
  <c r="G156" i="120"/>
  <c r="F156" i="120"/>
  <c r="E156" i="120"/>
  <c r="D156" i="120"/>
  <c r="K155" i="120"/>
  <c r="J155" i="120"/>
  <c r="I155" i="120"/>
  <c r="H155" i="120"/>
  <c r="G155" i="120"/>
  <c r="F155" i="120"/>
  <c r="E155" i="120"/>
  <c r="D155" i="120"/>
  <c r="K144" i="120"/>
  <c r="J144" i="120"/>
  <c r="I144" i="120"/>
  <c r="H144" i="120"/>
  <c r="G144" i="120"/>
  <c r="F144" i="120"/>
  <c r="E144" i="120"/>
  <c r="D144" i="120"/>
  <c r="K143" i="120"/>
  <c r="J143" i="120"/>
  <c r="I143" i="120"/>
  <c r="H143" i="120"/>
  <c r="G143" i="120"/>
  <c r="F143" i="120"/>
  <c r="E143" i="120"/>
  <c r="D143" i="120"/>
  <c r="K136" i="120"/>
  <c r="J136" i="120"/>
  <c r="I136" i="120"/>
  <c r="H136" i="120"/>
  <c r="G136" i="120"/>
  <c r="F136" i="120"/>
  <c r="E136" i="120"/>
  <c r="D136" i="120"/>
  <c r="K135" i="120"/>
  <c r="J135" i="120"/>
  <c r="I135" i="120"/>
  <c r="H135" i="120"/>
  <c r="G135" i="120"/>
  <c r="F135" i="120"/>
  <c r="E135" i="120"/>
  <c r="D135" i="120"/>
  <c r="K133" i="120"/>
  <c r="J133" i="120"/>
  <c r="I133" i="120"/>
  <c r="H133" i="120"/>
  <c r="G133" i="120"/>
  <c r="F133" i="120"/>
  <c r="E133" i="120"/>
  <c r="D133" i="120"/>
  <c r="K90" i="120"/>
  <c r="J90" i="120"/>
  <c r="I90" i="120"/>
  <c r="H90" i="120"/>
  <c r="G90" i="120"/>
  <c r="F90" i="120"/>
  <c r="E90" i="120"/>
  <c r="D90" i="120"/>
  <c r="K88" i="120"/>
  <c r="J88" i="120"/>
  <c r="I88" i="120"/>
  <c r="H88" i="120"/>
  <c r="G88" i="120"/>
  <c r="F88" i="120"/>
  <c r="E88" i="120"/>
  <c r="D88" i="120"/>
  <c r="K85" i="120"/>
  <c r="J85" i="120"/>
  <c r="I85" i="120"/>
  <c r="H85" i="120"/>
  <c r="G85" i="120"/>
  <c r="F85" i="120"/>
  <c r="E85" i="120"/>
  <c r="D85" i="120"/>
  <c r="K83" i="120"/>
  <c r="J83" i="120"/>
  <c r="I83" i="120"/>
  <c r="H83" i="120"/>
  <c r="G83" i="120"/>
  <c r="F83" i="120"/>
  <c r="E83" i="120"/>
  <c r="D83" i="120"/>
  <c r="K81" i="120"/>
  <c r="J81" i="120"/>
  <c r="I81" i="120"/>
  <c r="H81" i="120"/>
  <c r="G81" i="120"/>
  <c r="F81" i="120"/>
  <c r="E81" i="120"/>
  <c r="D81" i="120"/>
  <c r="K78" i="120"/>
  <c r="J78" i="120"/>
  <c r="I78" i="120"/>
  <c r="H78" i="120"/>
  <c r="G78" i="120"/>
  <c r="F78" i="120"/>
  <c r="E78" i="120"/>
  <c r="D78" i="120"/>
  <c r="K76" i="120"/>
  <c r="J76" i="120"/>
  <c r="I76" i="120"/>
  <c r="H76" i="120"/>
  <c r="G76" i="120"/>
  <c r="F76" i="120"/>
  <c r="E76" i="120"/>
  <c r="D76" i="120"/>
  <c r="K74" i="120"/>
  <c r="J74" i="120"/>
  <c r="I74" i="120"/>
  <c r="H74" i="120"/>
  <c r="G74" i="120"/>
  <c r="F74" i="120"/>
  <c r="E74" i="120"/>
  <c r="D74" i="120"/>
  <c r="K71" i="120"/>
  <c r="J71" i="120"/>
  <c r="I71" i="120"/>
  <c r="H71" i="120"/>
  <c r="G71" i="120"/>
  <c r="F71" i="120"/>
  <c r="E71" i="120"/>
  <c r="D71" i="120"/>
  <c r="K70" i="120"/>
  <c r="J70" i="120"/>
  <c r="I70" i="120"/>
  <c r="H70" i="120"/>
  <c r="G70" i="120"/>
  <c r="F70" i="120"/>
  <c r="E70" i="120"/>
  <c r="D70" i="120"/>
  <c r="F2013" i="119"/>
  <c r="G2012" i="119"/>
  <c r="F2012" i="119"/>
  <c r="E2012" i="119"/>
  <c r="G2009" i="119"/>
  <c r="F2009" i="119"/>
  <c r="E2009" i="119"/>
  <c r="G2006" i="119"/>
  <c r="F2006" i="119"/>
  <c r="E2006" i="119"/>
  <c r="G2005" i="119"/>
  <c r="F2005" i="119"/>
  <c r="E2005" i="119"/>
  <c r="G2004" i="119"/>
  <c r="F2004" i="119"/>
  <c r="E2004" i="119"/>
  <c r="G2003" i="119"/>
  <c r="F2003" i="119"/>
  <c r="E2003" i="119"/>
  <c r="F2001" i="119"/>
  <c r="G2000" i="119"/>
  <c r="F2000" i="119"/>
  <c r="E2000" i="119"/>
  <c r="F1998" i="119"/>
  <c r="F1973" i="119"/>
  <c r="G1972" i="119"/>
  <c r="F1972" i="119"/>
  <c r="E1972" i="119"/>
  <c r="F1970" i="119"/>
  <c r="G1969" i="119"/>
  <c r="F1969" i="119"/>
  <c r="E1969" i="119"/>
  <c r="F1967" i="119"/>
  <c r="G1966" i="119"/>
  <c r="F1966" i="119"/>
  <c r="E1966" i="119"/>
  <c r="F1964" i="119"/>
  <c r="G1963" i="119"/>
  <c r="F1963" i="119"/>
  <c r="E1963" i="119"/>
  <c r="F1961" i="119"/>
  <c r="G1960" i="119"/>
  <c r="F1960" i="119"/>
  <c r="E1960" i="119"/>
  <c r="F1958" i="119"/>
  <c r="G1957" i="119"/>
  <c r="F1957" i="119"/>
  <c r="E1957" i="119"/>
  <c r="F1955" i="119"/>
  <c r="G1954" i="119"/>
  <c r="F1954" i="119"/>
  <c r="E1954" i="119"/>
  <c r="F1952" i="119"/>
  <c r="G1951" i="119"/>
  <c r="F1951" i="119"/>
  <c r="E1951" i="119"/>
  <c r="F1949" i="119"/>
  <c r="G1948" i="119"/>
  <c r="F1948" i="119"/>
  <c r="E1948" i="119"/>
  <c r="G1945" i="119"/>
  <c r="F1945" i="119"/>
  <c r="E1945" i="119"/>
  <c r="G1943" i="119"/>
  <c r="F1943" i="119"/>
  <c r="E1943" i="119"/>
  <c r="G1942" i="119"/>
  <c r="F1942" i="119"/>
  <c r="E1942" i="119"/>
  <c r="G1940" i="119"/>
  <c r="F1940" i="119"/>
  <c r="E1940" i="119"/>
  <c r="G1939" i="119"/>
  <c r="F1939" i="119"/>
  <c r="E1939" i="119"/>
  <c r="G1921" i="119"/>
  <c r="F1921" i="119"/>
  <c r="E1921" i="119"/>
  <c r="G1920" i="119"/>
  <c r="F1920" i="119"/>
  <c r="E1920" i="119"/>
  <c r="G1917" i="119"/>
  <c r="F1917" i="119"/>
  <c r="E1917" i="119"/>
  <c r="G1915" i="119"/>
  <c r="F1915" i="119"/>
  <c r="E1915" i="119"/>
  <c r="G1914" i="119"/>
  <c r="F1914" i="119"/>
  <c r="E1914" i="119"/>
  <c r="G1911" i="119"/>
  <c r="F1911" i="119"/>
  <c r="E1911" i="119"/>
  <c r="G1910" i="119"/>
  <c r="F1910" i="119"/>
  <c r="E1910" i="119"/>
  <c r="G1909" i="119"/>
  <c r="F1909" i="119"/>
  <c r="E1909" i="119"/>
  <c r="G1908" i="119"/>
  <c r="F1908" i="119"/>
  <c r="E1908" i="119"/>
  <c r="G1907" i="119"/>
  <c r="F1907" i="119"/>
  <c r="E1907" i="119"/>
  <c r="G1906" i="119"/>
  <c r="F1906" i="119"/>
  <c r="E1906" i="119"/>
  <c r="G1905" i="119"/>
  <c r="F1905" i="119"/>
  <c r="E1905" i="119"/>
  <c r="G1904" i="119"/>
  <c r="F1904" i="119"/>
  <c r="E1904" i="119"/>
  <c r="G1903" i="119"/>
  <c r="F1903" i="119"/>
  <c r="E1903" i="119"/>
  <c r="G1902" i="119"/>
  <c r="F1902" i="119"/>
  <c r="E1902" i="119"/>
  <c r="G1901" i="119"/>
  <c r="F1901" i="119"/>
  <c r="E1901" i="119"/>
  <c r="G1900" i="119"/>
  <c r="F1900" i="119"/>
  <c r="E1900" i="119"/>
  <c r="G1884" i="119"/>
  <c r="F1884" i="119"/>
  <c r="E1884" i="119"/>
  <c r="G1881" i="119"/>
  <c r="F1881" i="119"/>
  <c r="E1881" i="119"/>
  <c r="G1878" i="119"/>
  <c r="F1878" i="119"/>
  <c r="E1878" i="119"/>
  <c r="K45" i="120"/>
  <c r="J45" i="120"/>
  <c r="I45" i="120"/>
  <c r="H45" i="120"/>
  <c r="G45" i="120"/>
  <c r="F45" i="120"/>
  <c r="E45" i="120"/>
  <c r="D45" i="120"/>
  <c r="K43" i="120"/>
  <c r="J43" i="120"/>
  <c r="I43" i="120"/>
  <c r="H43" i="120"/>
  <c r="G43" i="120"/>
  <c r="F43" i="120"/>
  <c r="E43" i="120"/>
  <c r="D43" i="120"/>
  <c r="K42" i="120"/>
  <c r="J42" i="120"/>
  <c r="I42" i="120"/>
  <c r="H42" i="120"/>
  <c r="G42" i="120"/>
  <c r="F42" i="120"/>
  <c r="E42" i="120"/>
  <c r="D42" i="120"/>
  <c r="K41" i="120"/>
  <c r="J41" i="120"/>
  <c r="I41" i="120"/>
  <c r="H41" i="120"/>
  <c r="G41" i="120"/>
  <c r="F41" i="120"/>
  <c r="E41" i="120"/>
  <c r="D41" i="120"/>
  <c r="K39" i="120"/>
  <c r="J39" i="120"/>
  <c r="I39" i="120"/>
  <c r="H39" i="120"/>
  <c r="G39" i="120"/>
  <c r="F39" i="120"/>
  <c r="E39" i="120"/>
  <c r="D39" i="120"/>
  <c r="K33" i="120"/>
  <c r="J33" i="120"/>
  <c r="I33" i="120"/>
  <c r="H33" i="120"/>
  <c r="G33" i="120"/>
  <c r="F33" i="120"/>
  <c r="E33" i="120"/>
  <c r="D33" i="120"/>
  <c r="K32" i="120"/>
  <c r="J32" i="120"/>
  <c r="I32" i="120"/>
  <c r="H32" i="120"/>
  <c r="G32" i="120"/>
  <c r="F32" i="120"/>
  <c r="E32" i="120"/>
  <c r="D32" i="120"/>
  <c r="K31" i="120"/>
  <c r="J31" i="120"/>
  <c r="I31" i="120"/>
  <c r="H31" i="120"/>
  <c r="G31" i="120"/>
  <c r="F31" i="120"/>
  <c r="E31" i="120"/>
  <c r="D31" i="120"/>
  <c r="K29" i="120"/>
  <c r="J29" i="120"/>
  <c r="I29" i="120"/>
  <c r="H29" i="120"/>
  <c r="G29" i="120"/>
  <c r="F29" i="120"/>
  <c r="E29" i="120"/>
  <c r="D29" i="120"/>
  <c r="K28" i="120"/>
  <c r="J28" i="120"/>
  <c r="I28" i="120"/>
  <c r="H28" i="120"/>
  <c r="G28" i="120"/>
  <c r="F28" i="120"/>
  <c r="E28" i="120"/>
  <c r="D28" i="120"/>
  <c r="K26" i="120"/>
  <c r="J26" i="120"/>
  <c r="I26" i="120"/>
  <c r="H26" i="120"/>
  <c r="G26" i="120"/>
  <c r="F26" i="120"/>
  <c r="E26" i="120"/>
  <c r="D26" i="120"/>
  <c r="K19" i="120"/>
  <c r="J19" i="120"/>
  <c r="I19" i="120"/>
  <c r="H19" i="120"/>
  <c r="G19" i="120"/>
  <c r="F19" i="120"/>
  <c r="E19" i="120"/>
  <c r="D19" i="120"/>
  <c r="K18" i="120"/>
  <c r="J18" i="120"/>
  <c r="I18" i="120"/>
  <c r="H18" i="120"/>
  <c r="G18" i="120"/>
  <c r="F18" i="120"/>
  <c r="E18" i="120"/>
  <c r="D18" i="120"/>
  <c r="K17" i="120"/>
  <c r="J17" i="120"/>
  <c r="I17" i="120"/>
  <c r="H17" i="120"/>
  <c r="G17" i="120"/>
  <c r="F17" i="120"/>
  <c r="E17" i="120"/>
  <c r="D17" i="120"/>
  <c r="K15" i="120"/>
  <c r="J15" i="120"/>
  <c r="I15" i="120"/>
  <c r="H15" i="120"/>
  <c r="G15" i="120"/>
  <c r="F15" i="120"/>
  <c r="E15" i="120"/>
  <c r="D15" i="120"/>
  <c r="H1853" i="119"/>
  <c r="G1853" i="119"/>
  <c r="F1853" i="119"/>
  <c r="E1853" i="119"/>
  <c r="H1852" i="119"/>
  <c r="G1852" i="119"/>
  <c r="F1852" i="119"/>
  <c r="E1852" i="119"/>
  <c r="H1842" i="119"/>
  <c r="G1842" i="119"/>
  <c r="F1842" i="119"/>
  <c r="E1842" i="119"/>
  <c r="H1841" i="119"/>
  <c r="G1841" i="119"/>
  <c r="F1841" i="119"/>
  <c r="E1841" i="119"/>
  <c r="H1831" i="119"/>
  <c r="G1831" i="119"/>
  <c r="F1831" i="119"/>
  <c r="E1831" i="119"/>
  <c r="H1830" i="119"/>
  <c r="G1830" i="119"/>
  <c r="F1830" i="119"/>
  <c r="E1830" i="119"/>
  <c r="H1793" i="119"/>
  <c r="G1793" i="119"/>
  <c r="F1793" i="119"/>
  <c r="E1793" i="119"/>
  <c r="H1792" i="119"/>
  <c r="G1792" i="119"/>
  <c r="F1792" i="119"/>
  <c r="E1792" i="119"/>
  <c r="H1782" i="119"/>
  <c r="G1782" i="119"/>
  <c r="F1782" i="119"/>
  <c r="E1782" i="119"/>
  <c r="H1781" i="119"/>
  <c r="G1781" i="119"/>
  <c r="F1781" i="119"/>
  <c r="E1781" i="119"/>
  <c r="H1771" i="119"/>
  <c r="G1771" i="119"/>
  <c r="F1771" i="119"/>
  <c r="E1771" i="119"/>
  <c r="H1770" i="119"/>
  <c r="G1770" i="119"/>
  <c r="F1770" i="119"/>
  <c r="E1770" i="119"/>
  <c r="H1720" i="119"/>
  <c r="G1720" i="119"/>
  <c r="F1720" i="119"/>
  <c r="E1720" i="119"/>
  <c r="H1711" i="119"/>
  <c r="G1711" i="119"/>
  <c r="F1711" i="119"/>
  <c r="E1711" i="119"/>
  <c r="H1710" i="119"/>
  <c r="G1710" i="119"/>
  <c r="F1710" i="119"/>
  <c r="E1710" i="119"/>
  <c r="G1669" i="119"/>
  <c r="F1669" i="119"/>
  <c r="E1669" i="119"/>
  <c r="H1661" i="119"/>
  <c r="G1661" i="119"/>
  <c r="F1661" i="119"/>
  <c r="E1661" i="119"/>
  <c r="H1660" i="119"/>
  <c r="G1660" i="119"/>
  <c r="F1660" i="119"/>
  <c r="E1660" i="119"/>
  <c r="H1659" i="119"/>
  <c r="G1659" i="119"/>
  <c r="F1659" i="119"/>
  <c r="E1659" i="119"/>
  <c r="H1654" i="119"/>
  <c r="G1654" i="119"/>
  <c r="F1654" i="119"/>
  <c r="E1654" i="119"/>
  <c r="H1653" i="119"/>
  <c r="G1653" i="119"/>
  <c r="F1653" i="119"/>
  <c r="E1653" i="119"/>
  <c r="H1652" i="119"/>
  <c r="G1652" i="119"/>
  <c r="F1652" i="119"/>
  <c r="E1652" i="119"/>
  <c r="H1647" i="119"/>
  <c r="G1647" i="119"/>
  <c r="F1647" i="119"/>
  <c r="E1647" i="119"/>
  <c r="H1646" i="119"/>
  <c r="G1646" i="119"/>
  <c r="F1646" i="119"/>
  <c r="E1646" i="119"/>
  <c r="H1645" i="119"/>
  <c r="G1645" i="119"/>
  <c r="F1645" i="119"/>
  <c r="E1645" i="119"/>
  <c r="H1595" i="119"/>
  <c r="G1595" i="119"/>
  <c r="F1595" i="119"/>
  <c r="E1595" i="119"/>
  <c r="H1586" i="119"/>
  <c r="G1586" i="119"/>
  <c r="F1586" i="119"/>
  <c r="E1586" i="119"/>
  <c r="H1585" i="119"/>
  <c r="G1585" i="119"/>
  <c r="F1585" i="119"/>
  <c r="E1585" i="119"/>
  <c r="H1582" i="119"/>
  <c r="G1582" i="119"/>
  <c r="F1582" i="119"/>
  <c r="E1582" i="119"/>
  <c r="H1581" i="119"/>
  <c r="G1581" i="119"/>
  <c r="F1581" i="119"/>
  <c r="E1581" i="119"/>
  <c r="H1553" i="119"/>
  <c r="G1553" i="119"/>
  <c r="F1553" i="119"/>
  <c r="E1553" i="119"/>
  <c r="H1552" i="119"/>
  <c r="G1552" i="119"/>
  <c r="F1552" i="119"/>
  <c r="E1552" i="119"/>
  <c r="H1542" i="119"/>
  <c r="G1542" i="119"/>
  <c r="F1542" i="119"/>
  <c r="E1542" i="119"/>
  <c r="H1541" i="119"/>
  <c r="G1541" i="119"/>
  <c r="F1541" i="119"/>
  <c r="E1541" i="119"/>
  <c r="H1531" i="119"/>
  <c r="G1531" i="119"/>
  <c r="F1531" i="119"/>
  <c r="E1531" i="119"/>
  <c r="H1530" i="119"/>
  <c r="G1530" i="119"/>
  <c r="F1530" i="119"/>
  <c r="E1530" i="119"/>
  <c r="H1503" i="119"/>
  <c r="G1503" i="119"/>
  <c r="F1503" i="119"/>
  <c r="E1503" i="119"/>
  <c r="H1494" i="119"/>
  <c r="G1494" i="119"/>
  <c r="F1494" i="119"/>
  <c r="E1494" i="119"/>
  <c r="H1493" i="119"/>
  <c r="G1493" i="119"/>
  <c r="F1493" i="119"/>
  <c r="E1493" i="119"/>
  <c r="H1482" i="119"/>
  <c r="G1482" i="119"/>
  <c r="F1482" i="119"/>
  <c r="E1482" i="119"/>
  <c r="H1481" i="119"/>
  <c r="G1481" i="119"/>
  <c r="F1481" i="119"/>
  <c r="E1481" i="119"/>
  <c r="E1473" i="119"/>
  <c r="H1471" i="119"/>
  <c r="G1471" i="119"/>
  <c r="F1471" i="119"/>
  <c r="E1471" i="119"/>
  <c r="H1470" i="119"/>
  <c r="G1470" i="119"/>
  <c r="F1470" i="119"/>
  <c r="E1470" i="119"/>
  <c r="H1407" i="119"/>
  <c r="G1407" i="119"/>
  <c r="F1407" i="119"/>
  <c r="E1407" i="119"/>
  <c r="G1406" i="119"/>
  <c r="F1406" i="119"/>
  <c r="E1406" i="119"/>
  <c r="H1398" i="119"/>
  <c r="G1398" i="119"/>
  <c r="F1398" i="119"/>
  <c r="E1398" i="119"/>
  <c r="H1380" i="119"/>
  <c r="G1380" i="119"/>
  <c r="F1380" i="119"/>
  <c r="E1380" i="119"/>
  <c r="H1379" i="119"/>
  <c r="G1379" i="119"/>
  <c r="F1379" i="119"/>
  <c r="E1379" i="119"/>
  <c r="H1377" i="119"/>
  <c r="G1377" i="119"/>
  <c r="F1377" i="119"/>
  <c r="E1377" i="119"/>
  <c r="H1374" i="119"/>
  <c r="G1374" i="119"/>
  <c r="F1374" i="119"/>
  <c r="E1374" i="119"/>
  <c r="H1369" i="119"/>
  <c r="G1369" i="119"/>
  <c r="F1369" i="119"/>
  <c r="E1369" i="119"/>
  <c r="H1362" i="119"/>
  <c r="G1362" i="119"/>
  <c r="F1362" i="119"/>
  <c r="E1362" i="119"/>
  <c r="H1355" i="119"/>
  <c r="G1355" i="119"/>
  <c r="F1355" i="119"/>
  <c r="E1355" i="119"/>
  <c r="H1348" i="119"/>
  <c r="G1348" i="119"/>
  <c r="F1348" i="119"/>
  <c r="E1348" i="119"/>
  <c r="H1341" i="119"/>
  <c r="G1341" i="119"/>
  <c r="F1341" i="119"/>
  <c r="E1341" i="119"/>
  <c r="H1297" i="119"/>
  <c r="G1297" i="119"/>
  <c r="F1297" i="119"/>
  <c r="E1297" i="119"/>
  <c r="H1293" i="119"/>
  <c r="G1293" i="119"/>
  <c r="F1293" i="119"/>
  <c r="E1293" i="119"/>
  <c r="H1292" i="119"/>
  <c r="G1292" i="119"/>
  <c r="F1292" i="119"/>
  <c r="E1292" i="119"/>
  <c r="H1290" i="119"/>
  <c r="G1290" i="119"/>
  <c r="F1290" i="119"/>
  <c r="E1290" i="119"/>
  <c r="H1286" i="119"/>
  <c r="G1286" i="119"/>
  <c r="F1286" i="119"/>
  <c r="E1286" i="119"/>
  <c r="H1285" i="119"/>
  <c r="G1285" i="119"/>
  <c r="F1285" i="119"/>
  <c r="E1285" i="119"/>
  <c r="H1284" i="119"/>
  <c r="G1284" i="119"/>
  <c r="F1284" i="119"/>
  <c r="E1284" i="119"/>
  <c r="H1230" i="119"/>
  <c r="H1229" i="119"/>
  <c r="G1229" i="119"/>
  <c r="F1229" i="119"/>
  <c r="E1229" i="119"/>
  <c r="H1228" i="119"/>
  <c r="H1227" i="119"/>
  <c r="H1226" i="119"/>
  <c r="H1225" i="119"/>
  <c r="H1224" i="119"/>
  <c r="H1223" i="119"/>
  <c r="H1222" i="119"/>
  <c r="E1222" i="119"/>
  <c r="H1221" i="119"/>
  <c r="H1220" i="119"/>
  <c r="H1205" i="119"/>
  <c r="G1205" i="119"/>
  <c r="F1205" i="119"/>
  <c r="E1205" i="119"/>
  <c r="H1196" i="119"/>
  <c r="G1196" i="119"/>
  <c r="F1196" i="119"/>
  <c r="E1196" i="119"/>
  <c r="H1195" i="119"/>
  <c r="G1195" i="119"/>
  <c r="F1195" i="119"/>
  <c r="E1195" i="119"/>
  <c r="H1193" i="119"/>
  <c r="G1193" i="119"/>
  <c r="F1193" i="119"/>
  <c r="E1193" i="119"/>
  <c r="H1192" i="119"/>
  <c r="G1192" i="119"/>
  <c r="F1192" i="119"/>
  <c r="E1192" i="119"/>
  <c r="H1181" i="119"/>
  <c r="G1181" i="119"/>
  <c r="F1181" i="119"/>
  <c r="E1181" i="119"/>
  <c r="H1180" i="119"/>
  <c r="G1180" i="119"/>
  <c r="F1180" i="119"/>
  <c r="E1180" i="119"/>
  <c r="E1172" i="119"/>
  <c r="H1170" i="119"/>
  <c r="G1170" i="119"/>
  <c r="F1170" i="119"/>
  <c r="E1170" i="119"/>
  <c r="H1169" i="119"/>
  <c r="G1169" i="119"/>
  <c r="F1169" i="119"/>
  <c r="E1169" i="119"/>
  <c r="G1099" i="119"/>
  <c r="F1099" i="119"/>
  <c r="E1099" i="119"/>
  <c r="H1080" i="119"/>
  <c r="G1080" i="119"/>
  <c r="F1080" i="119"/>
  <c r="E1080" i="119"/>
  <c r="H1079" i="119"/>
  <c r="G1079" i="119"/>
  <c r="F1079" i="119"/>
  <c r="E1079" i="119"/>
  <c r="H1078" i="119"/>
  <c r="G1078" i="119"/>
  <c r="F1078" i="119"/>
  <c r="E1078" i="119"/>
  <c r="H1076" i="119"/>
  <c r="G1076" i="119"/>
  <c r="F1076" i="119"/>
  <c r="E1076" i="119"/>
  <c r="H1073" i="119"/>
  <c r="G1073" i="119"/>
  <c r="F1073" i="119"/>
  <c r="E1073" i="119"/>
  <c r="H1068" i="119"/>
  <c r="G1068" i="119"/>
  <c r="F1068" i="119"/>
  <c r="E1068" i="119"/>
  <c r="H1061" i="119"/>
  <c r="G1061" i="119"/>
  <c r="F1061" i="119"/>
  <c r="E1061" i="119"/>
  <c r="H1054" i="119"/>
  <c r="G1054" i="119"/>
  <c r="F1054" i="119"/>
  <c r="E1054" i="119"/>
  <c r="H1047" i="119"/>
  <c r="G1047" i="119"/>
  <c r="F1047" i="119"/>
  <c r="E1047" i="119"/>
  <c r="H1040" i="119"/>
  <c r="G1040" i="119"/>
  <c r="F1040" i="119"/>
  <c r="E1040" i="119"/>
  <c r="H996" i="119"/>
  <c r="G996" i="119"/>
  <c r="F996" i="119"/>
  <c r="E996" i="119"/>
  <c r="H992" i="119"/>
  <c r="G992" i="119"/>
  <c r="F992" i="119"/>
  <c r="E992" i="119"/>
  <c r="H991" i="119"/>
  <c r="G991" i="119"/>
  <c r="F991" i="119"/>
  <c r="E991" i="119"/>
  <c r="H989" i="119"/>
  <c r="G989" i="119"/>
  <c r="F989" i="119"/>
  <c r="E989" i="119"/>
  <c r="H985" i="119"/>
  <c r="G985" i="119"/>
  <c r="F985" i="119"/>
  <c r="E985" i="119"/>
  <c r="H984" i="119"/>
  <c r="G984" i="119"/>
  <c r="F984" i="119"/>
  <c r="E984" i="119"/>
  <c r="H983" i="119"/>
  <c r="G983" i="119"/>
  <c r="F983" i="119"/>
  <c r="E983" i="119"/>
  <c r="H952" i="119"/>
  <c r="G952" i="119"/>
  <c r="F952" i="119"/>
  <c r="E952" i="119"/>
  <c r="H951" i="119"/>
  <c r="G951" i="119"/>
  <c r="F951" i="119"/>
  <c r="E951" i="119"/>
  <c r="H941" i="119"/>
  <c r="G941" i="119"/>
  <c r="F941" i="119"/>
  <c r="E941" i="119"/>
  <c r="H940" i="119"/>
  <c r="G940" i="119"/>
  <c r="F940" i="119"/>
  <c r="E940" i="119"/>
  <c r="H929" i="119"/>
  <c r="G929" i="119"/>
  <c r="F929" i="119"/>
  <c r="E929" i="119"/>
  <c r="H928" i="119"/>
  <c r="G928" i="119"/>
  <c r="F928" i="119"/>
  <c r="E928" i="119"/>
  <c r="H891" i="119"/>
  <c r="G891" i="119"/>
  <c r="F891" i="119"/>
  <c r="E891" i="119"/>
  <c r="H890" i="119"/>
  <c r="G890" i="119"/>
  <c r="F890" i="119"/>
  <c r="E890" i="119"/>
  <c r="H879" i="119"/>
  <c r="G879" i="119"/>
  <c r="F879" i="119"/>
  <c r="E879" i="119"/>
  <c r="H878" i="119"/>
  <c r="G878" i="119"/>
  <c r="F878" i="119"/>
  <c r="E878" i="119"/>
  <c r="H868" i="119"/>
  <c r="G868" i="119"/>
  <c r="F868" i="119"/>
  <c r="E868" i="119"/>
  <c r="H867" i="119"/>
  <c r="G867" i="119"/>
  <c r="F867" i="119"/>
  <c r="E867" i="119"/>
  <c r="H828" i="119"/>
  <c r="G828" i="119"/>
  <c r="F828" i="119"/>
  <c r="E828" i="119"/>
  <c r="H827" i="119"/>
  <c r="G827" i="119"/>
  <c r="F827" i="119"/>
  <c r="E827" i="119"/>
  <c r="H817" i="119"/>
  <c r="G817" i="119"/>
  <c r="F817" i="119"/>
  <c r="E817" i="119"/>
  <c r="H816" i="119"/>
  <c r="G816" i="119"/>
  <c r="F816" i="119"/>
  <c r="E816" i="119"/>
  <c r="H806" i="119"/>
  <c r="G806" i="119"/>
  <c r="F806" i="119"/>
  <c r="E806" i="119"/>
  <c r="H805" i="119"/>
  <c r="G805" i="119"/>
  <c r="F805" i="119"/>
  <c r="E805" i="119"/>
  <c r="G803" i="119"/>
  <c r="F803" i="119"/>
  <c r="E803" i="119"/>
  <c r="G802" i="119"/>
  <c r="F802" i="119"/>
  <c r="E802" i="119"/>
  <c r="G801" i="119"/>
  <c r="F801" i="119"/>
  <c r="E801" i="119"/>
  <c r="G800" i="119"/>
  <c r="F800" i="119"/>
  <c r="E800" i="119"/>
  <c r="G799" i="119"/>
  <c r="F799" i="119"/>
  <c r="E799" i="119"/>
  <c r="G798" i="119"/>
  <c r="F798" i="119"/>
  <c r="E798" i="119"/>
  <c r="G797" i="119"/>
  <c r="F797" i="119"/>
  <c r="E797" i="119"/>
  <c r="G796" i="119"/>
  <c r="F796" i="119"/>
  <c r="E796" i="119"/>
  <c r="H765" i="119"/>
  <c r="G765" i="119"/>
  <c r="F765" i="119"/>
  <c r="E765" i="119"/>
  <c r="H764" i="119"/>
  <c r="G764" i="119"/>
  <c r="F764" i="119"/>
  <c r="E764" i="119"/>
  <c r="H760" i="119"/>
  <c r="G760" i="119"/>
  <c r="F760" i="119"/>
  <c r="E760" i="119"/>
  <c r="H759" i="119"/>
  <c r="G759" i="119"/>
  <c r="F759" i="119"/>
  <c r="E759" i="119"/>
  <c r="H749" i="119"/>
  <c r="G749" i="119"/>
  <c r="F749" i="119"/>
  <c r="E749" i="119"/>
  <c r="H748" i="119"/>
  <c r="G748" i="119"/>
  <c r="F748" i="119"/>
  <c r="E748" i="119"/>
  <c r="H698" i="119"/>
  <c r="G698" i="119"/>
  <c r="F698" i="119"/>
  <c r="E698" i="119"/>
  <c r="H689" i="119"/>
  <c r="G689" i="119"/>
  <c r="F689" i="119"/>
  <c r="E689" i="119"/>
  <c r="H688" i="119"/>
  <c r="G688" i="119"/>
  <c r="F688" i="119"/>
  <c r="E688" i="119"/>
  <c r="H687" i="119"/>
  <c r="G687" i="119"/>
  <c r="F687" i="119"/>
  <c r="E687" i="119"/>
  <c r="H652" i="119"/>
  <c r="G652" i="119"/>
  <c r="F652" i="119"/>
  <c r="E652" i="119"/>
  <c r="H651" i="119"/>
  <c r="G651" i="119"/>
  <c r="F651" i="119"/>
  <c r="E651" i="119"/>
  <c r="H641" i="119"/>
  <c r="G641" i="119"/>
  <c r="F641" i="119"/>
  <c r="E641" i="119"/>
  <c r="H640" i="119"/>
  <c r="G640" i="119"/>
  <c r="F640" i="119"/>
  <c r="E640" i="119"/>
  <c r="H639" i="119"/>
  <c r="G639" i="119"/>
  <c r="F639" i="119"/>
  <c r="E639" i="119"/>
  <c r="H629" i="119"/>
  <c r="G629" i="119"/>
  <c r="F629" i="119"/>
  <c r="E629" i="119"/>
  <c r="H628" i="119"/>
  <c r="G628" i="119"/>
  <c r="F628" i="119"/>
  <c r="E628" i="119"/>
  <c r="H603" i="119"/>
  <c r="G603" i="119"/>
  <c r="F603" i="119"/>
  <c r="E603" i="119"/>
  <c r="H594" i="119"/>
  <c r="G594" i="119"/>
  <c r="F594" i="119"/>
  <c r="E594" i="119"/>
  <c r="H593" i="119"/>
  <c r="G593" i="119"/>
  <c r="F593" i="119"/>
  <c r="E593" i="119"/>
  <c r="H591" i="119"/>
  <c r="G591" i="119"/>
  <c r="F591" i="119"/>
  <c r="E591" i="119"/>
  <c r="H581" i="119"/>
  <c r="G581" i="119"/>
  <c r="F581" i="119"/>
  <c r="E581" i="119"/>
  <c r="H580" i="119"/>
  <c r="G580" i="119"/>
  <c r="F580" i="119"/>
  <c r="E580" i="119"/>
  <c r="H578" i="119"/>
  <c r="G578" i="119"/>
  <c r="F578" i="119"/>
  <c r="E578" i="119"/>
  <c r="H569" i="119"/>
  <c r="G569" i="119"/>
  <c r="F569" i="119"/>
  <c r="E569" i="119"/>
  <c r="H568" i="119"/>
  <c r="G568" i="119"/>
  <c r="F568" i="119"/>
  <c r="E568" i="119"/>
  <c r="H566" i="119"/>
  <c r="G566" i="119"/>
  <c r="F566" i="119"/>
  <c r="E566" i="119"/>
  <c r="H505" i="119"/>
  <c r="G505" i="119"/>
  <c r="F505" i="119"/>
  <c r="E505" i="119"/>
  <c r="G504" i="119"/>
  <c r="F504" i="119"/>
  <c r="E504" i="119"/>
  <c r="H496" i="119"/>
  <c r="G496" i="119"/>
  <c r="F496" i="119"/>
  <c r="E496" i="119"/>
  <c r="H477" i="119"/>
  <c r="G477" i="119"/>
  <c r="F477" i="119"/>
  <c r="E477" i="119"/>
  <c r="H475" i="119"/>
  <c r="G475" i="119"/>
  <c r="F475" i="119"/>
  <c r="E475" i="119"/>
  <c r="H472" i="119"/>
  <c r="G472" i="119"/>
  <c r="F472" i="119"/>
  <c r="E472" i="119"/>
  <c r="H471" i="119"/>
  <c r="G471" i="119"/>
  <c r="F471" i="119"/>
  <c r="E471" i="119"/>
  <c r="H466" i="119"/>
  <c r="G466" i="119"/>
  <c r="F466" i="119"/>
  <c r="E466" i="119"/>
  <c r="H459" i="119"/>
  <c r="G459" i="119"/>
  <c r="F459" i="119"/>
  <c r="E459" i="119"/>
  <c r="H452" i="119"/>
  <c r="G452" i="119"/>
  <c r="F452" i="119"/>
  <c r="E452" i="119"/>
  <c r="H445" i="119"/>
  <c r="G445" i="119"/>
  <c r="F445" i="119"/>
  <c r="E445" i="119"/>
  <c r="H438" i="119"/>
  <c r="G438" i="119"/>
  <c r="F438" i="119"/>
  <c r="E438" i="119"/>
  <c r="H394" i="119"/>
  <c r="G394" i="119"/>
  <c r="F394" i="119"/>
  <c r="E394" i="119"/>
  <c r="H390" i="119"/>
  <c r="G390" i="119"/>
  <c r="F390" i="119"/>
  <c r="E390" i="119"/>
  <c r="H389" i="119"/>
  <c r="G389" i="119"/>
  <c r="F389" i="119"/>
  <c r="E389" i="119"/>
  <c r="H387" i="119"/>
  <c r="G387" i="119"/>
  <c r="F387" i="119"/>
  <c r="E387" i="119"/>
  <c r="H383" i="119"/>
  <c r="G383" i="119"/>
  <c r="F383" i="119"/>
  <c r="E383" i="119"/>
  <c r="H382" i="119"/>
  <c r="G382" i="119"/>
  <c r="F382" i="119"/>
  <c r="E382" i="119"/>
  <c r="H381" i="119"/>
  <c r="G381" i="119"/>
  <c r="F381" i="119"/>
  <c r="E381" i="119"/>
  <c r="H376" i="119"/>
  <c r="G376" i="119"/>
  <c r="F376" i="119"/>
  <c r="E376" i="119"/>
  <c r="H299" i="119"/>
  <c r="G299" i="119"/>
  <c r="F299" i="119"/>
  <c r="E299" i="119"/>
  <c r="H298" i="119"/>
  <c r="G298" i="119"/>
  <c r="F298" i="119"/>
  <c r="E298" i="119"/>
  <c r="H296" i="119"/>
  <c r="G296" i="119"/>
  <c r="F296" i="119"/>
  <c r="E296" i="119"/>
  <c r="H287" i="119"/>
  <c r="G287" i="119"/>
  <c r="F287" i="119"/>
  <c r="E287" i="119"/>
  <c r="H286" i="119"/>
  <c r="G286" i="119"/>
  <c r="F286" i="119"/>
  <c r="E286" i="119"/>
  <c r="H285" i="119"/>
  <c r="H275" i="119"/>
  <c r="G275" i="119"/>
  <c r="F275" i="119"/>
  <c r="E275" i="119"/>
  <c r="H274" i="119"/>
  <c r="G274" i="119"/>
  <c r="F274" i="119"/>
  <c r="E274" i="119"/>
  <c r="H263" i="119"/>
  <c r="G263" i="119"/>
  <c r="F263" i="119"/>
  <c r="E263" i="119"/>
  <c r="H262" i="119"/>
  <c r="G262" i="119"/>
  <c r="F262" i="119"/>
  <c r="E262" i="119"/>
  <c r="G238" i="119"/>
  <c r="F238" i="119"/>
  <c r="E238" i="119"/>
  <c r="H230" i="119"/>
  <c r="G230" i="119"/>
  <c r="F230" i="119"/>
  <c r="E230" i="119"/>
  <c r="H229" i="119"/>
  <c r="G229" i="119"/>
  <c r="F229" i="119"/>
  <c r="E229" i="119"/>
  <c r="H228" i="119"/>
  <c r="G228" i="119"/>
  <c r="F228" i="119"/>
  <c r="E228" i="119"/>
  <c r="H226" i="119"/>
  <c r="G226" i="119"/>
  <c r="F226" i="119"/>
  <c r="E226" i="119"/>
  <c r="H223" i="119"/>
  <c r="G223" i="119"/>
  <c r="F223" i="119"/>
  <c r="E223" i="119"/>
  <c r="H218" i="119"/>
  <c r="G218" i="119"/>
  <c r="F218" i="119"/>
  <c r="E218" i="119"/>
  <c r="H211" i="119"/>
  <c r="G211" i="119"/>
  <c r="F211" i="119"/>
  <c r="E211" i="119"/>
  <c r="H204" i="119"/>
  <c r="G204" i="119"/>
  <c r="F204" i="119"/>
  <c r="E204" i="119"/>
  <c r="H197" i="119"/>
  <c r="G197" i="119"/>
  <c r="F197" i="119"/>
  <c r="E197" i="119"/>
  <c r="H163" i="119"/>
  <c r="G163" i="119"/>
  <c r="F163" i="119"/>
  <c r="E163" i="119"/>
  <c r="H159" i="119"/>
  <c r="G159" i="119"/>
  <c r="F159" i="119"/>
  <c r="E159" i="119"/>
  <c r="H158" i="119"/>
  <c r="G158" i="119"/>
  <c r="F158" i="119"/>
  <c r="E158" i="119"/>
  <c r="H156" i="119"/>
  <c r="G156" i="119"/>
  <c r="F156" i="119"/>
  <c r="E156" i="119"/>
  <c r="H154" i="119"/>
  <c r="G154" i="119"/>
  <c r="F154" i="119"/>
  <c r="E154" i="119"/>
  <c r="H153" i="119"/>
  <c r="G153" i="119"/>
  <c r="F153" i="119"/>
  <c r="E153" i="119"/>
  <c r="H152" i="119"/>
  <c r="G152" i="119"/>
  <c r="F152" i="119"/>
  <c r="E152" i="119"/>
  <c r="H147" i="119"/>
  <c r="G147" i="119"/>
  <c r="F147" i="119"/>
  <c r="E147" i="119"/>
  <c r="H146" i="119"/>
  <c r="G146" i="119"/>
  <c r="F146" i="119"/>
  <c r="E146" i="119"/>
  <c r="H145" i="119"/>
  <c r="G145" i="119"/>
  <c r="F145" i="119"/>
  <c r="E145" i="119"/>
  <c r="H141" i="119"/>
  <c r="G141" i="119"/>
  <c r="F141" i="119"/>
  <c r="E141" i="119"/>
  <c r="H138" i="119"/>
  <c r="G138" i="119"/>
  <c r="F138" i="119"/>
  <c r="E138" i="119"/>
  <c r="G117" i="119"/>
  <c r="F117" i="119"/>
  <c r="E117" i="119"/>
  <c r="G107" i="119"/>
  <c r="F107" i="119"/>
  <c r="E107" i="119"/>
  <c r="G106" i="119"/>
  <c r="F106" i="119"/>
  <c r="E106" i="119"/>
  <c r="G97" i="119"/>
  <c r="F97" i="119"/>
  <c r="E97" i="119"/>
  <c r="G96" i="119"/>
  <c r="F96" i="119"/>
  <c r="E96" i="119"/>
  <c r="G85" i="119"/>
  <c r="F85" i="119"/>
  <c r="E85" i="119"/>
  <c r="G84" i="119"/>
  <c r="F84" i="119"/>
  <c r="E84" i="119"/>
  <c r="G77" i="119"/>
  <c r="F77" i="119"/>
  <c r="E77" i="119"/>
  <c r="G76" i="119"/>
  <c r="F76" i="119"/>
  <c r="E76" i="119"/>
  <c r="G74" i="119"/>
  <c r="F74" i="119"/>
  <c r="E74" i="119"/>
  <c r="H39" i="119"/>
  <c r="G39" i="119"/>
  <c r="F39" i="119"/>
  <c r="E39" i="119"/>
  <c r="H33" i="119"/>
  <c r="G33" i="119"/>
  <c r="F33" i="119"/>
  <c r="E33" i="119"/>
  <c r="H32" i="119"/>
  <c r="G32" i="119"/>
  <c r="F32" i="119"/>
  <c r="E32" i="119"/>
  <c r="H31" i="119"/>
  <c r="G31" i="119"/>
  <c r="F31" i="119"/>
  <c r="E31" i="119"/>
  <c r="H29" i="119"/>
  <c r="G29" i="119"/>
  <c r="F29" i="119"/>
  <c r="E29" i="119"/>
  <c r="H28" i="119"/>
  <c r="G28" i="119"/>
  <c r="F28" i="119"/>
  <c r="E28" i="119"/>
  <c r="H26" i="119"/>
  <c r="G26" i="119"/>
  <c r="F26" i="119"/>
  <c r="E26" i="119"/>
  <c r="H19" i="119"/>
  <c r="G19" i="119"/>
  <c r="F19" i="119"/>
  <c r="E19" i="119"/>
  <c r="H18" i="119"/>
  <c r="G18" i="119"/>
  <c r="F18" i="119"/>
  <c r="E18" i="119"/>
  <c r="H17" i="119"/>
  <c r="G17" i="119"/>
  <c r="F17" i="119"/>
  <c r="E17" i="119"/>
  <c r="H16" i="119"/>
  <c r="H15" i="119"/>
  <c r="G15" i="119"/>
  <c r="F15" i="119"/>
  <c r="E15" i="119"/>
  <c r="V262" i="73" l="1"/>
  <c r="V239" i="73"/>
  <c r="V238" i="73"/>
  <c r="V237" i="73"/>
  <c r="V236" i="73"/>
  <c r="V235" i="73"/>
  <c r="V234" i="73"/>
  <c r="V233" i="73"/>
  <c r="V232" i="73"/>
  <c r="V231" i="73"/>
  <c r="V230" i="73"/>
  <c r="V229" i="73"/>
  <c r="V228" i="73"/>
  <c r="V227" i="73"/>
  <c r="V226" i="73"/>
  <c r="V225" i="73"/>
  <c r="V224" i="73"/>
  <c r="V223" i="73"/>
  <c r="V222" i="73"/>
  <c r="V221" i="73"/>
  <c r="V220" i="73"/>
  <c r="V219" i="73"/>
  <c r="V218" i="73"/>
  <c r="V217" i="73"/>
  <c r="V216" i="73"/>
  <c r="V215" i="73"/>
  <c r="V214" i="73"/>
  <c r="V213" i="73"/>
  <c r="V212" i="73"/>
  <c r="V211" i="73"/>
  <c r="V210" i="73"/>
  <c r="V209" i="73"/>
  <c r="V208" i="73"/>
  <c r="V207" i="73"/>
  <c r="V206" i="73"/>
  <c r="V205" i="73"/>
  <c r="V204" i="73"/>
  <c r="V203" i="73"/>
  <c r="V202" i="73"/>
  <c r="V201" i="73"/>
  <c r="V200" i="73"/>
  <c r="V199" i="73"/>
  <c r="V198" i="73"/>
  <c r="V197" i="73"/>
  <c r="V196" i="73"/>
  <c r="V195" i="73"/>
  <c r="V194" i="73"/>
  <c r="V193" i="73"/>
  <c r="V192" i="73"/>
  <c r="V191" i="73"/>
  <c r="V190" i="73"/>
  <c r="V189" i="73"/>
  <c r="V188" i="73"/>
  <c r="V187" i="73"/>
  <c r="V186" i="73"/>
  <c r="T269" i="73"/>
  <c r="S269" i="73"/>
  <c r="R269" i="73"/>
  <c r="Q269" i="73"/>
  <c r="P269" i="73"/>
  <c r="O269" i="73"/>
  <c r="N269" i="73"/>
  <c r="M269" i="73"/>
  <c r="L269" i="73"/>
  <c r="K269" i="73"/>
  <c r="J269" i="73"/>
  <c r="V4" i="73"/>
  <c r="V5" i="73"/>
  <c r="V6" i="73"/>
  <c r="V7" i="73"/>
  <c r="V8" i="73"/>
  <c r="V9" i="73"/>
  <c r="V10" i="73"/>
  <c r="V11" i="73"/>
  <c r="V12" i="73"/>
  <c r="V13" i="73"/>
  <c r="V14" i="73"/>
  <c r="V15" i="73"/>
  <c r="V16" i="73"/>
  <c r="V17" i="73"/>
  <c r="V18" i="73"/>
  <c r="V19" i="73"/>
  <c r="V20" i="73"/>
  <c r="V21" i="73"/>
  <c r="V22" i="73"/>
  <c r="V23" i="73"/>
  <c r="V24" i="73"/>
  <c r="V25" i="73"/>
  <c r="V26" i="73"/>
  <c r="V27" i="73"/>
  <c r="V28" i="73"/>
  <c r="V29" i="73"/>
  <c r="V30" i="73"/>
  <c r="V31" i="73"/>
  <c r="V32" i="73"/>
  <c r="V33" i="73"/>
  <c r="V34" i="73"/>
  <c r="V35" i="73"/>
  <c r="V36" i="73"/>
  <c r="V37" i="73"/>
  <c r="V38" i="73"/>
  <c r="V39" i="73"/>
  <c r="V40" i="73"/>
  <c r="V41" i="73"/>
  <c r="V42" i="73"/>
  <c r="V43" i="73"/>
  <c r="V44" i="73"/>
  <c r="V45" i="73"/>
  <c r="V46" i="73"/>
  <c r="V47" i="73"/>
  <c r="V48" i="73"/>
  <c r="V49" i="73"/>
  <c r="V50" i="73"/>
  <c r="V51" i="73"/>
  <c r="V52" i="73"/>
  <c r="V53" i="73"/>
  <c r="V54" i="73"/>
  <c r="V55" i="73"/>
  <c r="V3" i="73"/>
  <c r="V269" i="73" l="1"/>
  <c r="V270" i="73" s="1"/>
  <c r="P15" i="24"/>
  <c r="P16" i="24"/>
  <c r="P19" i="24"/>
  <c r="P26" i="24"/>
  <c r="D18" i="19" s="1"/>
  <c r="N89" i="69" l="1"/>
  <c r="D113" i="69"/>
  <c r="Q283" i="16"/>
  <c r="Q284" i="16"/>
  <c r="Q285" i="16"/>
  <c r="Q286" i="16"/>
  <c r="Q287" i="16"/>
  <c r="Q288" i="16"/>
  <c r="Q289" i="16"/>
  <c r="Q290" i="16"/>
  <c r="Q291" i="16"/>
  <c r="Q292" i="16"/>
  <c r="Q293" i="16"/>
  <c r="Q294" i="16"/>
  <c r="Q295" i="16"/>
  <c r="Q296" i="16"/>
  <c r="Q297" i="16"/>
  <c r="Q298" i="16"/>
  <c r="Q299" i="16"/>
  <c r="Q300" i="16"/>
  <c r="Q301" i="16"/>
  <c r="Q302" i="16"/>
  <c r="Q303" i="16"/>
  <c r="Q304" i="16"/>
  <c r="Q305" i="16"/>
  <c r="Q306" i="16"/>
  <c r="Q307" i="16"/>
  <c r="Q308" i="16"/>
  <c r="Q309" i="16"/>
  <c r="Q310" i="16"/>
  <c r="Q311" i="16"/>
  <c r="Q312" i="16"/>
  <c r="Q313" i="16"/>
  <c r="Q314" i="16"/>
  <c r="Q315" i="16"/>
  <c r="Q316" i="16"/>
  <c r="Q317" i="16"/>
  <c r="Q318" i="16"/>
  <c r="Q319" i="16"/>
  <c r="Q320" i="16"/>
  <c r="Q321" i="16"/>
  <c r="Q322" i="16"/>
  <c r="Q323" i="16"/>
  <c r="Q324" i="16"/>
  <c r="Q325" i="16"/>
  <c r="Q326" i="16"/>
  <c r="Q327" i="16"/>
  <c r="Q328" i="16"/>
  <c r="Q329" i="16"/>
  <c r="Q330" i="16"/>
  <c r="Q331" i="16"/>
  <c r="Q332" i="16"/>
  <c r="Q333" i="16"/>
  <c r="Q334" i="16"/>
  <c r="Q335" i="16"/>
  <c r="Q336" i="16"/>
  <c r="Q337" i="16"/>
  <c r="Q338" i="16"/>
  <c r="Q339" i="16"/>
  <c r="Q340" i="16"/>
  <c r="Q341" i="16"/>
  <c r="Q342" i="16"/>
  <c r="Q343" i="16"/>
  <c r="Q344" i="16"/>
  <c r="Q345" i="16"/>
  <c r="Q346" i="16"/>
  <c r="Q347" i="16"/>
  <c r="Q348" i="16"/>
  <c r="Q349" i="16"/>
  <c r="Q350" i="16"/>
  <c r="Q6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6" i="16"/>
  <c r="U198" i="88" l="1"/>
  <c r="U191" i="88"/>
  <c r="U184" i="88"/>
  <c r="U177" i="88"/>
  <c r="U170" i="88"/>
  <c r="U163" i="88"/>
  <c r="U156" i="88"/>
  <c r="U201" i="88"/>
  <c r="U141" i="88"/>
  <c r="U134" i="88"/>
  <c r="U127" i="88"/>
  <c r="U120" i="88"/>
  <c r="U113" i="88"/>
  <c r="U144" i="88"/>
  <c r="U50" i="88"/>
  <c r="U43" i="88"/>
  <c r="U53" i="88"/>
  <c r="U36" i="88"/>
  <c r="U29" i="88"/>
  <c r="U22" i="88"/>
  <c r="M145" i="72"/>
  <c r="M138" i="72"/>
  <c r="M166" i="72" s="1"/>
  <c r="M162" i="72"/>
  <c r="M117" i="72"/>
  <c r="N133" i="69"/>
  <c r="N162" i="69"/>
  <c r="N155" i="69"/>
  <c r="N148" i="69"/>
  <c r="N141" i="69"/>
  <c r="N134" i="69"/>
  <c r="N111" i="69"/>
  <c r="N75" i="69"/>
  <c r="N104" i="69"/>
  <c r="N97" i="69"/>
  <c r="N90" i="69"/>
  <c r="N83" i="69"/>
  <c r="N76" i="69"/>
  <c r="N118" i="69" s="1"/>
  <c r="N7" i="69"/>
  <c r="U205" i="88" l="1"/>
  <c r="N169" i="69"/>
  <c r="N176" i="69" s="1"/>
  <c r="M51" i="72"/>
  <c r="N172" i="69"/>
  <c r="N114" i="69"/>
  <c r="E19" i="57" l="1"/>
  <c r="D19" i="57"/>
  <c r="D18" i="57"/>
  <c r="F19" i="57" l="1"/>
  <c r="H118" i="57" s="1"/>
  <c r="F18" i="57" l="1"/>
  <c r="H117" i="57" s="1"/>
  <c r="D16" i="57"/>
  <c r="E14" i="57"/>
  <c r="D11" i="57" l="1"/>
  <c r="E12" i="57"/>
  <c r="E11" i="57"/>
  <c r="G11" i="57" l="1"/>
  <c r="G12" i="57" s="1"/>
  <c r="G13" i="57" s="1"/>
  <c r="E17" i="57"/>
  <c r="D17" i="57"/>
  <c r="F17" i="57" l="1"/>
  <c r="H121" i="57" s="1"/>
  <c r="D7" i="113" l="1"/>
  <c r="D6" i="113"/>
  <c r="D5" i="113"/>
  <c r="N159" i="69" l="1"/>
  <c r="N160" i="69" s="1"/>
  <c r="N163" i="69" s="1"/>
  <c r="N101" i="69"/>
  <c r="N102" i="69" s="1"/>
  <c r="N105" i="69" s="1"/>
  <c r="B20" i="105" l="1"/>
  <c r="B21" i="105" s="1"/>
  <c r="B22" i="105" s="1"/>
  <c r="B23" i="105" s="1"/>
  <c r="B24" i="105" s="1"/>
  <c r="B25" i="105" s="1"/>
  <c r="B26" i="105" s="1"/>
  <c r="B27" i="105" s="1"/>
  <c r="B28" i="105" s="1"/>
  <c r="A12" i="25"/>
  <c r="K12" i="25" s="1"/>
  <c r="A13" i="25"/>
  <c r="K13" i="25" s="1"/>
  <c r="A14" i="25"/>
  <c r="K14" i="25" s="1"/>
  <c r="A15" i="25"/>
  <c r="K15" i="25" s="1"/>
  <c r="A16" i="25"/>
  <c r="K16" i="25" s="1"/>
  <c r="A17" i="25"/>
  <c r="K17" i="25" s="1"/>
  <c r="A18" i="25"/>
  <c r="K18" i="25" s="1"/>
  <c r="A19" i="25"/>
  <c r="K19" i="25" s="1"/>
  <c r="A20" i="25"/>
  <c r="K20" i="25" s="1"/>
  <c r="A21" i="25"/>
  <c r="K21" i="25" s="1"/>
  <c r="A22" i="25"/>
  <c r="K22" i="25" s="1"/>
  <c r="A23" i="25"/>
  <c r="K23" i="25" s="1"/>
  <c r="A24" i="25"/>
  <c r="K24" i="25" s="1"/>
  <c r="A25" i="25"/>
  <c r="K25" i="25" s="1"/>
  <c r="A26" i="25"/>
  <c r="K26" i="25" s="1"/>
  <c r="A27" i="25"/>
  <c r="K27" i="25" s="1"/>
  <c r="A28" i="25"/>
  <c r="K28" i="25" s="1"/>
  <c r="A29" i="25"/>
  <c r="K29" i="25" s="1"/>
  <c r="A30" i="25"/>
  <c r="K30" i="25" s="1"/>
  <c r="A31" i="25"/>
  <c r="K31" i="25" s="1"/>
  <c r="A32" i="25"/>
  <c r="K32" i="25" s="1"/>
  <c r="A33" i="25"/>
  <c r="K33" i="25" s="1"/>
  <c r="A34" i="25"/>
  <c r="K34" i="25" s="1"/>
  <c r="A35" i="25"/>
  <c r="K35" i="25" s="1"/>
  <c r="A36" i="25"/>
  <c r="K36" i="25" s="1"/>
  <c r="A37" i="25"/>
  <c r="K37" i="25" s="1"/>
  <c r="A38" i="25"/>
  <c r="K38" i="25" s="1"/>
  <c r="A39" i="25"/>
  <c r="K39" i="25" s="1"/>
  <c r="A40" i="25"/>
  <c r="K40" i="25" s="1"/>
  <c r="A41" i="25"/>
  <c r="K41" i="25" s="1"/>
  <c r="A42" i="25"/>
  <c r="K42" i="25" s="1"/>
  <c r="A43" i="25"/>
  <c r="K43" i="25" s="1"/>
  <c r="A44" i="25"/>
  <c r="K44" i="25" s="1"/>
  <c r="A45" i="25"/>
  <c r="K45" i="25" s="1"/>
  <c r="A46" i="25"/>
  <c r="K46" i="25" s="1"/>
  <c r="A47" i="25"/>
  <c r="K47" i="25" s="1"/>
  <c r="A48" i="25"/>
  <c r="K48" i="25" s="1"/>
  <c r="A49" i="25"/>
  <c r="K49" i="25" s="1"/>
  <c r="A50" i="25"/>
  <c r="K50" i="25" s="1"/>
  <c r="A51" i="25"/>
  <c r="K51" i="25" s="1"/>
  <c r="A52" i="25"/>
  <c r="K52" i="25" s="1"/>
  <c r="A53" i="25"/>
  <c r="K53" i="25" s="1"/>
  <c r="A54" i="25"/>
  <c r="K54" i="25" s="1"/>
  <c r="A55" i="25"/>
  <c r="K55" i="25" s="1"/>
  <c r="A56" i="25"/>
  <c r="K56" i="25" s="1"/>
  <c r="B30" i="105" l="1"/>
  <c r="B31" i="105" s="1"/>
  <c r="B32" i="105" s="1"/>
  <c r="B33" i="105" s="1"/>
  <c r="B34" i="105" s="1"/>
  <c r="B35" i="105" s="1"/>
  <c r="B36" i="105" s="1"/>
  <c r="B37" i="105" s="1"/>
  <c r="B38" i="105" s="1"/>
  <c r="B39" i="105" s="1"/>
  <c r="B40" i="105" s="1"/>
  <c r="B41" i="105" s="1"/>
  <c r="B42" i="105" s="1"/>
  <c r="B43" i="105" s="1"/>
  <c r="B44" i="105" s="1"/>
  <c r="B45" i="105" s="1"/>
  <c r="B46" i="105" s="1"/>
  <c r="B47" i="105" s="1"/>
  <c r="B48" i="105" s="1"/>
  <c r="B49" i="105" s="1"/>
  <c r="B50" i="105" s="1"/>
  <c r="B51" i="105" s="1"/>
  <c r="B52" i="105" s="1"/>
  <c r="B53" i="105" s="1"/>
  <c r="B54" i="105" s="1"/>
  <c r="B55" i="105" s="1"/>
  <c r="B56" i="105" s="1"/>
  <c r="B57" i="105" s="1"/>
  <c r="B58" i="105" s="1"/>
  <c r="B59" i="105" s="1"/>
  <c r="B60" i="105" s="1"/>
  <c r="B61" i="105" s="1"/>
  <c r="B62" i="105" s="1"/>
  <c r="B63" i="105" s="1"/>
  <c r="B64" i="105" s="1"/>
  <c r="B65" i="105" s="1"/>
  <c r="B66" i="105" s="1"/>
  <c r="B67" i="105" s="1"/>
  <c r="B68" i="105" s="1"/>
  <c r="B69" i="105" s="1"/>
  <c r="B70" i="105" s="1"/>
  <c r="B71" i="105" s="1"/>
  <c r="B72" i="105" s="1"/>
  <c r="B73" i="105" s="1"/>
  <c r="B74" i="105" s="1"/>
  <c r="B75" i="105" s="1"/>
  <c r="B76" i="105" s="1"/>
  <c r="B77" i="105" s="1"/>
  <c r="B78" i="105" s="1"/>
  <c r="B79" i="105" s="1"/>
  <c r="B80" i="105" s="1"/>
  <c r="B81" i="105" s="1"/>
  <c r="B82" i="105" s="1"/>
  <c r="B83" i="105" s="1"/>
  <c r="B84" i="105" s="1"/>
  <c r="B85" i="105" s="1"/>
  <c r="B86" i="105" s="1"/>
  <c r="B87" i="105" s="1"/>
  <c r="B88" i="105" s="1"/>
  <c r="B89" i="105" s="1"/>
  <c r="B90" i="105" s="1"/>
  <c r="B91" i="105" s="1"/>
  <c r="B92" i="105" s="1"/>
  <c r="B93" i="105" s="1"/>
  <c r="B94" i="105" s="1"/>
  <c r="B95" i="105" s="1"/>
  <c r="B96" i="105" s="1"/>
  <c r="B97" i="105" s="1"/>
  <c r="B98" i="105" s="1"/>
  <c r="B99" i="105" s="1"/>
  <c r="B100" i="105" s="1"/>
  <c r="B101" i="105" s="1"/>
  <c r="F80" i="107" l="1"/>
  <c r="F174" i="85" l="1"/>
  <c r="H174" i="85"/>
  <c r="J174" i="85"/>
  <c r="F30" i="85"/>
  <c r="H30" i="85"/>
  <c r="J30" i="85"/>
  <c r="F170" i="85"/>
  <c r="H170" i="85"/>
  <c r="J170" i="85"/>
  <c r="B12" i="85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M7" i="87"/>
  <c r="M8" i="87"/>
  <c r="M9" i="87"/>
  <c r="M10" i="87"/>
  <c r="M11" i="87"/>
  <c r="M12" i="87"/>
  <c r="M13" i="87"/>
  <c r="M14" i="87"/>
  <c r="M15" i="87"/>
  <c r="M16" i="87"/>
  <c r="M17" i="87"/>
  <c r="M18" i="87"/>
  <c r="M19" i="87"/>
  <c r="M20" i="87"/>
  <c r="M21" i="87"/>
  <c r="M22" i="87"/>
  <c r="M23" i="87"/>
  <c r="M24" i="87"/>
  <c r="M25" i="87"/>
  <c r="M26" i="87"/>
  <c r="M27" i="87"/>
  <c r="M28" i="87"/>
  <c r="M29" i="87"/>
  <c r="M30" i="87"/>
  <c r="M31" i="87"/>
  <c r="M32" i="87"/>
  <c r="M33" i="87"/>
  <c r="M34" i="87"/>
  <c r="M35" i="87"/>
  <c r="M36" i="87"/>
  <c r="M37" i="87"/>
  <c r="M38" i="87"/>
  <c r="M39" i="87"/>
  <c r="M40" i="87"/>
  <c r="M41" i="87"/>
  <c r="M42" i="87"/>
  <c r="M43" i="87"/>
  <c r="M44" i="87"/>
  <c r="M45" i="87"/>
  <c r="M46" i="87"/>
  <c r="M47" i="87"/>
  <c r="M48" i="87"/>
  <c r="M49" i="87"/>
  <c r="M50" i="87"/>
  <c r="M51" i="87"/>
  <c r="M52" i="87"/>
  <c r="M53" i="87"/>
  <c r="M54" i="87"/>
  <c r="M55" i="87"/>
  <c r="M56" i="87"/>
  <c r="M57" i="87"/>
  <c r="M58" i="87"/>
  <c r="M59" i="87"/>
  <c r="M60" i="87"/>
  <c r="M61" i="87"/>
  <c r="M62" i="87"/>
  <c r="M63" i="87"/>
  <c r="M64" i="87"/>
  <c r="M65" i="87"/>
  <c r="M66" i="87"/>
  <c r="M67" i="87"/>
  <c r="M68" i="87"/>
  <c r="M69" i="87"/>
  <c r="M70" i="87"/>
  <c r="M71" i="87"/>
  <c r="M72" i="87"/>
  <c r="M73" i="87"/>
  <c r="M74" i="87"/>
  <c r="M75" i="87"/>
  <c r="M76" i="87"/>
  <c r="M77" i="87"/>
  <c r="M78" i="87"/>
  <c r="M79" i="87"/>
  <c r="M80" i="87"/>
  <c r="M81" i="87"/>
  <c r="M82" i="87"/>
  <c r="M83" i="87"/>
  <c r="M84" i="87"/>
  <c r="M85" i="87"/>
  <c r="M86" i="87"/>
  <c r="M87" i="87"/>
  <c r="M88" i="87"/>
  <c r="M89" i="87"/>
  <c r="M90" i="87"/>
  <c r="M91" i="87"/>
  <c r="M92" i="87"/>
  <c r="M93" i="87"/>
  <c r="M94" i="87"/>
  <c r="M95" i="87"/>
  <c r="M96" i="87"/>
  <c r="M97" i="87"/>
  <c r="M98" i="87"/>
  <c r="M99" i="87"/>
  <c r="M100" i="87"/>
  <c r="M101" i="87"/>
  <c r="M102" i="87"/>
  <c r="M103" i="87"/>
  <c r="M104" i="87"/>
  <c r="M105" i="87"/>
  <c r="M106" i="87"/>
  <c r="M107" i="87"/>
  <c r="M108" i="87"/>
  <c r="M109" i="87"/>
  <c r="M110" i="87"/>
  <c r="M111" i="87"/>
  <c r="M112" i="87"/>
  <c r="M113" i="87"/>
  <c r="M114" i="87"/>
  <c r="M115" i="87"/>
  <c r="M116" i="87"/>
  <c r="M117" i="87"/>
  <c r="M118" i="87"/>
  <c r="M119" i="87"/>
  <c r="M120" i="87"/>
  <c r="M121" i="87"/>
  <c r="M122" i="87"/>
  <c r="M123" i="87"/>
  <c r="M124" i="87"/>
  <c r="M125" i="87"/>
  <c r="M126" i="87"/>
  <c r="M127" i="87"/>
  <c r="M128" i="87"/>
  <c r="M129" i="87"/>
  <c r="M130" i="87"/>
  <c r="M131" i="87"/>
  <c r="M132" i="87"/>
  <c r="M133" i="87"/>
  <c r="M134" i="87"/>
  <c r="M135" i="87"/>
  <c r="M136" i="87"/>
  <c r="M137" i="87"/>
  <c r="M138" i="87"/>
  <c r="M139" i="87"/>
  <c r="M140" i="87"/>
  <c r="M141" i="87"/>
  <c r="M142" i="87"/>
  <c r="M143" i="87"/>
  <c r="M144" i="87"/>
  <c r="M145" i="87"/>
  <c r="M146" i="87"/>
  <c r="M147" i="87"/>
  <c r="M148" i="87"/>
  <c r="M149" i="87"/>
  <c r="M150" i="87"/>
  <c r="M151" i="87"/>
  <c r="M152" i="87"/>
  <c r="M153" i="87"/>
  <c r="M154" i="87"/>
  <c r="M155" i="87"/>
  <c r="M156" i="87"/>
  <c r="M157" i="87"/>
  <c r="M158" i="87"/>
  <c r="M159" i="87"/>
  <c r="M160" i="87"/>
  <c r="M161" i="87"/>
  <c r="M162" i="87"/>
  <c r="M163" i="87"/>
  <c r="M164" i="87"/>
  <c r="M165" i="87"/>
  <c r="M166" i="87"/>
  <c r="M167" i="87"/>
  <c r="M168" i="87"/>
  <c r="M6" i="87"/>
  <c r="B75" i="85" l="1"/>
  <c r="B76" i="85" s="1"/>
  <c r="B77" i="85" s="1"/>
  <c r="B78" i="85" s="1"/>
  <c r="B79" i="85" s="1"/>
  <c r="B80" i="85" s="1"/>
  <c r="B81" i="85" s="1"/>
  <c r="B82" i="85" s="1"/>
  <c r="B83" i="85" s="1"/>
  <c r="B84" i="85" s="1"/>
  <c r="B85" i="85" s="1"/>
  <c r="B86" i="85" s="1"/>
  <c r="B87" i="85" s="1"/>
  <c r="B88" i="85" s="1"/>
  <c r="B89" i="85" s="1"/>
  <c r="B90" i="85" s="1"/>
  <c r="B91" i="85" s="1"/>
  <c r="B92" i="85" s="1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B114" i="85" s="1"/>
  <c r="B115" i="85" s="1"/>
  <c r="B116" i="85" s="1"/>
  <c r="B117" i="85" s="1"/>
  <c r="B118" i="85" s="1"/>
  <c r="B119" i="85" s="1"/>
  <c r="B120" i="85" s="1"/>
  <c r="B121" i="85" s="1"/>
  <c r="B122" i="85" s="1"/>
  <c r="B123" i="85" s="1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1" i="85" s="1"/>
  <c r="B142" i="85" s="1"/>
  <c r="B143" i="85" s="1"/>
  <c r="B144" i="85" s="1"/>
  <c r="B145" i="85" s="1"/>
  <c r="B146" i="85" s="1"/>
  <c r="B147" i="85" s="1"/>
  <c r="B148" i="85" s="1"/>
  <c r="B149" i="85" s="1"/>
  <c r="B150" i="85" s="1"/>
  <c r="B151" i="85" s="1"/>
  <c r="B152" i="85" s="1"/>
  <c r="B153" i="85" s="1"/>
  <c r="B154" i="85" s="1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B176" i="85" s="1"/>
  <c r="B177" i="85" s="1"/>
  <c r="B178" i="85" s="1"/>
  <c r="B179" i="85" s="1"/>
  <c r="B180" i="85" s="1"/>
  <c r="B181" i="85" s="1"/>
  <c r="B182" i="85" s="1"/>
  <c r="B183" i="85" s="1"/>
  <c r="B184" i="85" s="1"/>
  <c r="B185" i="85" s="1"/>
  <c r="B186" i="85" s="1"/>
  <c r="B187" i="85" s="1"/>
  <c r="B188" i="85" s="1"/>
  <c r="B189" i="85" s="1"/>
  <c r="B190" i="85" s="1"/>
  <c r="B191" i="85" s="1"/>
  <c r="B192" i="85" s="1"/>
  <c r="B193" i="85" s="1"/>
  <c r="B194" i="85" s="1"/>
  <c r="B195" i="85" s="1"/>
  <c r="B196" i="85" s="1"/>
  <c r="B197" i="85" s="1"/>
  <c r="B198" i="85" s="1"/>
  <c r="B199" i="85" s="1"/>
  <c r="B200" i="85" s="1"/>
  <c r="B201" i="85" s="1"/>
  <c r="B202" i="85" s="1"/>
  <c r="B203" i="85" s="1"/>
  <c r="B204" i="85" s="1"/>
  <c r="B205" i="85" s="1"/>
  <c r="B206" i="85" s="1"/>
  <c r="B207" i="85" s="1"/>
  <c r="B208" i="85" s="1"/>
  <c r="B209" i="85" s="1"/>
  <c r="B210" i="85" s="1"/>
  <c r="B211" i="85" s="1"/>
  <c r="B212" i="85" s="1"/>
  <c r="B213" i="85" s="1"/>
  <c r="B2" i="16" l="1"/>
  <c r="C40" i="69" l="1"/>
  <c r="F4" i="60" l="1"/>
  <c r="G4" i="60" s="1"/>
  <c r="F5" i="60"/>
  <c r="G5" i="60" s="1"/>
  <c r="F6" i="60"/>
  <c r="G6" i="60" s="1"/>
  <c r="F7" i="60"/>
  <c r="G7" i="60" s="1"/>
  <c r="F8" i="60"/>
  <c r="G8" i="60" s="1"/>
  <c r="F9" i="60"/>
  <c r="G9" i="60" s="1"/>
  <c r="F10" i="60"/>
  <c r="G10" i="60" s="1"/>
  <c r="F11" i="60"/>
  <c r="G11" i="60" s="1"/>
  <c r="F12" i="60"/>
  <c r="G12" i="60" s="1"/>
  <c r="F13" i="60"/>
  <c r="G13" i="60" s="1"/>
  <c r="F14" i="60"/>
  <c r="G14" i="60" s="1"/>
  <c r="F15" i="60"/>
  <c r="G15" i="60" s="1"/>
  <c r="F16" i="60"/>
  <c r="G16" i="60" s="1"/>
  <c r="F17" i="60"/>
  <c r="G17" i="60" s="1"/>
  <c r="F18" i="60"/>
  <c r="G18" i="60" s="1"/>
  <c r="F19" i="60"/>
  <c r="G19" i="60" s="1"/>
  <c r="F20" i="60"/>
  <c r="G20" i="60" s="1"/>
  <c r="F21" i="60"/>
  <c r="G21" i="60" s="1"/>
  <c r="F22" i="60"/>
  <c r="G22" i="60" s="1"/>
  <c r="F23" i="60"/>
  <c r="G23" i="60" s="1"/>
  <c r="F24" i="60"/>
  <c r="G24" i="60" s="1"/>
  <c r="F25" i="60"/>
  <c r="G25" i="60" s="1"/>
  <c r="F3" i="60"/>
  <c r="G3" i="60" s="1"/>
  <c r="G26" i="60" s="1"/>
  <c r="D4" i="164" s="1"/>
  <c r="H134" i="164" s="1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B4" i="69"/>
  <c r="F18" i="151" l="1"/>
  <c r="F122" i="161" s="1"/>
  <c r="H135" i="164"/>
  <c r="F19" i="151" s="1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6" i="16"/>
  <c r="H131" i="164" l="1"/>
  <c r="H137" i="164"/>
  <c r="H184" i="164" s="1"/>
  <c r="H187" i="164" s="1"/>
  <c r="H195" i="164" s="1"/>
  <c r="H197" i="164" s="1"/>
  <c r="H200" i="164" s="1"/>
  <c r="I200" i="164" s="1"/>
  <c r="C6" i="110"/>
  <c r="C5" i="110"/>
  <c r="C4" i="110"/>
  <c r="D9" i="92"/>
  <c r="D8" i="92"/>
  <c r="D7" i="92"/>
  <c r="D6" i="92"/>
  <c r="L33" i="88"/>
  <c r="K26" i="88"/>
  <c r="J19" i="88"/>
  <c r="J176" i="85"/>
  <c r="J175" i="85"/>
  <c r="J173" i="85"/>
  <c r="J172" i="85"/>
  <c r="J171" i="85"/>
  <c r="J169" i="85"/>
  <c r="J168" i="85"/>
  <c r="J167" i="85"/>
  <c r="J166" i="85"/>
  <c r="J165" i="85"/>
  <c r="J164" i="85"/>
  <c r="J163" i="85"/>
  <c r="J162" i="85"/>
  <c r="J161" i="85"/>
  <c r="J160" i="85"/>
  <c r="J159" i="85"/>
  <c r="J158" i="85"/>
  <c r="J157" i="85"/>
  <c r="J156" i="85"/>
  <c r="J155" i="85"/>
  <c r="J154" i="85"/>
  <c r="J153" i="85"/>
  <c r="J152" i="85"/>
  <c r="J151" i="85"/>
  <c r="J150" i="85"/>
  <c r="J149" i="85"/>
  <c r="J148" i="85"/>
  <c r="J147" i="85"/>
  <c r="J146" i="85"/>
  <c r="J145" i="85"/>
  <c r="J144" i="85"/>
  <c r="J143" i="85"/>
  <c r="J142" i="85"/>
  <c r="J141" i="85"/>
  <c r="J139" i="85"/>
  <c r="J138" i="85"/>
  <c r="J137" i="85"/>
  <c r="J136" i="85"/>
  <c r="J135" i="85"/>
  <c r="J134" i="85"/>
  <c r="J133" i="85"/>
  <c r="J132" i="85"/>
  <c r="J131" i="85"/>
  <c r="J130" i="85"/>
  <c r="J129" i="85"/>
  <c r="J128" i="85"/>
  <c r="J127" i="85"/>
  <c r="J126" i="85"/>
  <c r="J125" i="85"/>
  <c r="J124" i="85"/>
  <c r="J123" i="85"/>
  <c r="J122" i="85"/>
  <c r="J121" i="85"/>
  <c r="J120" i="85"/>
  <c r="J119" i="85"/>
  <c r="J118" i="85"/>
  <c r="J117" i="85"/>
  <c r="J116" i="85"/>
  <c r="J115" i="85"/>
  <c r="J114" i="85"/>
  <c r="J113" i="85"/>
  <c r="J112" i="85"/>
  <c r="J111" i="85"/>
  <c r="J110" i="85"/>
  <c r="J109" i="85"/>
  <c r="J108" i="85"/>
  <c r="J107" i="85"/>
  <c r="J106" i="85"/>
  <c r="J105" i="85"/>
  <c r="J104" i="85"/>
  <c r="J103" i="85"/>
  <c r="J102" i="85"/>
  <c r="J101" i="85"/>
  <c r="J100" i="85"/>
  <c r="J99" i="85"/>
  <c r="J98" i="85"/>
  <c r="J97" i="85"/>
  <c r="J96" i="85"/>
  <c r="J95" i="85"/>
  <c r="J94" i="85"/>
  <c r="J93" i="85"/>
  <c r="J92" i="85"/>
  <c r="J91" i="85"/>
  <c r="J90" i="85"/>
  <c r="J89" i="85"/>
  <c r="J88" i="85"/>
  <c r="J87" i="85"/>
  <c r="J86" i="85"/>
  <c r="J85" i="85"/>
  <c r="J84" i="85"/>
  <c r="J83" i="85"/>
  <c r="J82" i="85"/>
  <c r="J81" i="85"/>
  <c r="J80" i="85"/>
  <c r="J79" i="85"/>
  <c r="J78" i="85"/>
  <c r="J77" i="85"/>
  <c r="J76" i="85"/>
  <c r="J74" i="85"/>
  <c r="J73" i="85"/>
  <c r="J72" i="85"/>
  <c r="J71" i="85"/>
  <c r="J70" i="85"/>
  <c r="J69" i="85"/>
  <c r="J68" i="85"/>
  <c r="J67" i="85"/>
  <c r="J66" i="85"/>
  <c r="J65" i="85"/>
  <c r="J64" i="85"/>
  <c r="J63" i="85"/>
  <c r="J62" i="85"/>
  <c r="J61" i="85"/>
  <c r="J60" i="85"/>
  <c r="J59" i="85"/>
  <c r="J58" i="85"/>
  <c r="J57" i="85"/>
  <c r="J56" i="85"/>
  <c r="J55" i="85"/>
  <c r="J54" i="85"/>
  <c r="J53" i="85"/>
  <c r="J52" i="85"/>
  <c r="J51" i="85"/>
  <c r="J50" i="85"/>
  <c r="J49" i="85"/>
  <c r="J48" i="85"/>
  <c r="J47" i="85"/>
  <c r="J46" i="85"/>
  <c r="J45" i="85"/>
  <c r="J44" i="85"/>
  <c r="J43" i="85"/>
  <c r="J42" i="85"/>
  <c r="J41" i="85"/>
  <c r="J40" i="85"/>
  <c r="J39" i="85"/>
  <c r="J38" i="85"/>
  <c r="J37" i="85"/>
  <c r="J36" i="85"/>
  <c r="J35" i="85"/>
  <c r="J34" i="85"/>
  <c r="J33" i="85"/>
  <c r="J32" i="85"/>
  <c r="J31" i="85"/>
  <c r="J29" i="85"/>
  <c r="J28" i="85"/>
  <c r="J27" i="85"/>
  <c r="J26" i="85"/>
  <c r="J25" i="85"/>
  <c r="J24" i="85"/>
  <c r="J23" i="85"/>
  <c r="J22" i="85"/>
  <c r="J21" i="85"/>
  <c r="J20" i="85"/>
  <c r="J19" i="85"/>
  <c r="J18" i="85"/>
  <c r="J17" i="85"/>
  <c r="J16" i="85"/>
  <c r="J15" i="85"/>
  <c r="J14" i="85"/>
  <c r="J13" i="85"/>
  <c r="J12" i="85"/>
  <c r="J11" i="85"/>
  <c r="H179" i="85"/>
  <c r="H178" i="85"/>
  <c r="H177" i="85"/>
  <c r="H176" i="85"/>
  <c r="H175" i="85"/>
  <c r="H173" i="85"/>
  <c r="H172" i="85"/>
  <c r="H171" i="85"/>
  <c r="H169" i="85"/>
  <c r="H168" i="85"/>
  <c r="H167" i="85"/>
  <c r="H166" i="85"/>
  <c r="H165" i="85"/>
  <c r="H164" i="85"/>
  <c r="H163" i="85"/>
  <c r="H162" i="85"/>
  <c r="H161" i="85"/>
  <c r="H160" i="85"/>
  <c r="H159" i="85"/>
  <c r="H158" i="85"/>
  <c r="H157" i="85"/>
  <c r="H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39" i="85"/>
  <c r="H138" i="85"/>
  <c r="H137" i="85"/>
  <c r="H136" i="85"/>
  <c r="H135" i="85"/>
  <c r="H134" i="85"/>
  <c r="H133" i="85"/>
  <c r="H132" i="85"/>
  <c r="H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7" i="85"/>
  <c r="H116" i="85"/>
  <c r="H115" i="85"/>
  <c r="H114" i="85"/>
  <c r="H113" i="85"/>
  <c r="H112" i="85"/>
  <c r="H111" i="85"/>
  <c r="H110" i="85"/>
  <c r="H109" i="85"/>
  <c r="H108" i="85"/>
  <c r="H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F179" i="85"/>
  <c r="F178" i="85"/>
  <c r="F177" i="85"/>
  <c r="F176" i="85"/>
  <c r="F175" i="85"/>
  <c r="F173" i="85"/>
  <c r="F172" i="85"/>
  <c r="F171" i="85"/>
  <c r="F169" i="85"/>
  <c r="F168" i="85"/>
  <c r="F167" i="85"/>
  <c r="F166" i="85"/>
  <c r="F165" i="85"/>
  <c r="F164" i="85"/>
  <c r="F163" i="85"/>
  <c r="F162" i="85"/>
  <c r="F161" i="85"/>
  <c r="F160" i="85"/>
  <c r="F159" i="85"/>
  <c r="F158" i="85"/>
  <c r="F157" i="85"/>
  <c r="F156" i="85"/>
  <c r="F155" i="85"/>
  <c r="F154" i="85"/>
  <c r="F153" i="85"/>
  <c r="F152" i="85"/>
  <c r="F151" i="85"/>
  <c r="F150" i="85"/>
  <c r="F149" i="85"/>
  <c r="F148" i="85"/>
  <c r="F147" i="85"/>
  <c r="F146" i="85"/>
  <c r="F145" i="85"/>
  <c r="F144" i="85"/>
  <c r="F143" i="85"/>
  <c r="F142" i="85"/>
  <c r="F141" i="85"/>
  <c r="F139" i="85"/>
  <c r="F138" i="85"/>
  <c r="F137" i="85"/>
  <c r="F136" i="85"/>
  <c r="F135" i="85"/>
  <c r="F134" i="85"/>
  <c r="F133" i="85"/>
  <c r="F132" i="85"/>
  <c r="F131" i="85"/>
  <c r="F130" i="85"/>
  <c r="F129" i="85"/>
  <c r="F128" i="85"/>
  <c r="F127" i="85"/>
  <c r="F126" i="85"/>
  <c r="F125" i="85"/>
  <c r="F124" i="85"/>
  <c r="F123" i="85"/>
  <c r="F122" i="85"/>
  <c r="F121" i="85"/>
  <c r="F120" i="85"/>
  <c r="F119" i="85"/>
  <c r="F118" i="85"/>
  <c r="F117" i="85"/>
  <c r="F116" i="85"/>
  <c r="F115" i="85"/>
  <c r="F114" i="85"/>
  <c r="F113" i="85"/>
  <c r="F112" i="85"/>
  <c r="F111" i="85"/>
  <c r="F110" i="85"/>
  <c r="F109" i="85"/>
  <c r="F108" i="85"/>
  <c r="F107" i="85"/>
  <c r="F106" i="85"/>
  <c r="F105" i="85"/>
  <c r="F104" i="85"/>
  <c r="F103" i="85"/>
  <c r="F102" i="85"/>
  <c r="F101" i="85"/>
  <c r="F100" i="85"/>
  <c r="F99" i="85"/>
  <c r="F98" i="85"/>
  <c r="F97" i="85"/>
  <c r="F96" i="85"/>
  <c r="F95" i="85"/>
  <c r="F94" i="85"/>
  <c r="F93" i="85"/>
  <c r="F92" i="85"/>
  <c r="F91" i="85"/>
  <c r="F90" i="85"/>
  <c r="F89" i="85"/>
  <c r="F88" i="85"/>
  <c r="F87" i="85"/>
  <c r="F86" i="85"/>
  <c r="F85" i="85"/>
  <c r="F84" i="85"/>
  <c r="F83" i="85"/>
  <c r="F82" i="85"/>
  <c r="F81" i="85"/>
  <c r="F80" i="85"/>
  <c r="F79" i="85"/>
  <c r="F78" i="85"/>
  <c r="F77" i="85"/>
  <c r="F76" i="85"/>
  <c r="F74" i="85"/>
  <c r="F73" i="85"/>
  <c r="F72" i="85"/>
  <c r="F71" i="85"/>
  <c r="F70" i="85"/>
  <c r="F69" i="85"/>
  <c r="F68" i="85"/>
  <c r="F67" i="85"/>
  <c r="F66" i="85"/>
  <c r="F65" i="85"/>
  <c r="F64" i="85"/>
  <c r="F63" i="85"/>
  <c r="F62" i="85"/>
  <c r="F61" i="85"/>
  <c r="F60" i="85"/>
  <c r="F59" i="85"/>
  <c r="F58" i="85"/>
  <c r="F57" i="85"/>
  <c r="F56" i="85"/>
  <c r="F55" i="85"/>
  <c r="F54" i="85"/>
  <c r="F53" i="85"/>
  <c r="F52" i="85"/>
  <c r="F51" i="85"/>
  <c r="F50" i="85"/>
  <c r="F49" i="85"/>
  <c r="F48" i="85"/>
  <c r="F47" i="85"/>
  <c r="F46" i="85"/>
  <c r="F45" i="85"/>
  <c r="F44" i="85"/>
  <c r="F43" i="85"/>
  <c r="F42" i="85"/>
  <c r="F41" i="85"/>
  <c r="F40" i="85"/>
  <c r="F39" i="85"/>
  <c r="F38" i="85"/>
  <c r="F37" i="85"/>
  <c r="F36" i="85"/>
  <c r="F35" i="85"/>
  <c r="F34" i="85"/>
  <c r="F33" i="85"/>
  <c r="F32" i="85"/>
  <c r="F31" i="85"/>
  <c r="F29" i="85"/>
  <c r="F28" i="85"/>
  <c r="F27" i="85"/>
  <c r="F26" i="85"/>
  <c r="F25" i="85"/>
  <c r="F24" i="85"/>
  <c r="F23" i="85"/>
  <c r="F22" i="85"/>
  <c r="F21" i="85"/>
  <c r="F20" i="85"/>
  <c r="F19" i="85"/>
  <c r="F18" i="85"/>
  <c r="F17" i="85"/>
  <c r="F16" i="85"/>
  <c r="F15" i="85"/>
  <c r="F14" i="85"/>
  <c r="F13" i="85"/>
  <c r="F12" i="85"/>
  <c r="F11" i="85"/>
  <c r="G54" i="80"/>
  <c r="G53" i="80"/>
  <c r="G52" i="80"/>
  <c r="G51" i="80"/>
  <c r="G50" i="80"/>
  <c r="G49" i="80"/>
  <c r="G48" i="80"/>
  <c r="G47" i="80"/>
  <c r="G46" i="80"/>
  <c r="G42" i="80"/>
  <c r="G41" i="80"/>
  <c r="G40" i="80"/>
  <c r="G39" i="80"/>
  <c r="G38" i="80"/>
  <c r="G37" i="80"/>
  <c r="G36" i="80"/>
  <c r="G35" i="80"/>
  <c r="G34" i="80"/>
  <c r="G33" i="80"/>
  <c r="G32" i="80"/>
  <c r="G31" i="80"/>
  <c r="G30" i="80"/>
  <c r="G29" i="80"/>
  <c r="G28" i="80"/>
  <c r="G27" i="80"/>
  <c r="G26" i="80"/>
  <c r="G25" i="80"/>
  <c r="G24" i="80"/>
  <c r="G23" i="80"/>
  <c r="G22" i="80"/>
  <c r="G21" i="80"/>
  <c r="G20" i="80"/>
  <c r="G19" i="80"/>
  <c r="G18" i="80"/>
  <c r="G17" i="80"/>
  <c r="G16" i="80"/>
  <c r="G15" i="80"/>
  <c r="G14" i="80"/>
  <c r="G13" i="80"/>
  <c r="E56" i="80"/>
  <c r="E55" i="80"/>
  <c r="E54" i="80"/>
  <c r="E53" i="80"/>
  <c r="E52" i="80"/>
  <c r="E51" i="80"/>
  <c r="E50" i="80"/>
  <c r="E49" i="80"/>
  <c r="E48" i="80"/>
  <c r="E47" i="80"/>
  <c r="E46" i="80"/>
  <c r="E42" i="80"/>
  <c r="E41" i="80"/>
  <c r="E40" i="80"/>
  <c r="E39" i="80"/>
  <c r="E38" i="80"/>
  <c r="E37" i="80"/>
  <c r="E36" i="80"/>
  <c r="E35" i="80"/>
  <c r="E34" i="80"/>
  <c r="E33" i="80"/>
  <c r="E32" i="80"/>
  <c r="E31" i="80"/>
  <c r="E30" i="80"/>
  <c r="E29" i="80"/>
  <c r="E28" i="80"/>
  <c r="E27" i="80"/>
  <c r="E26" i="80"/>
  <c r="E25" i="80"/>
  <c r="E24" i="80"/>
  <c r="E23" i="80"/>
  <c r="E22" i="80"/>
  <c r="E21" i="80"/>
  <c r="E20" i="80"/>
  <c r="E19" i="80"/>
  <c r="E18" i="80"/>
  <c r="E17" i="80"/>
  <c r="E16" i="80"/>
  <c r="E15" i="80"/>
  <c r="E14" i="80"/>
  <c r="E13" i="80"/>
  <c r="G56" i="80"/>
  <c r="G55" i="80"/>
  <c r="J179" i="85"/>
  <c r="J178" i="85"/>
  <c r="J177" i="85"/>
  <c r="M40" i="88"/>
  <c r="C8" i="110"/>
  <c r="K8" i="6"/>
  <c r="J184" i="85" l="1"/>
  <c r="H184" i="85"/>
  <c r="F184" i="85"/>
  <c r="H1978" i="107" l="1"/>
  <c r="G1922" i="119" s="1"/>
  <c r="G1978" i="107"/>
  <c r="I1671" i="107"/>
  <c r="F1612" i="107"/>
  <c r="D14" i="116" s="1"/>
  <c r="Q687" i="107"/>
  <c r="K857" i="120" s="1"/>
  <c r="P687" i="107"/>
  <c r="J857" i="120" s="1"/>
  <c r="O687" i="107"/>
  <c r="I857" i="120" s="1"/>
  <c r="N687" i="107"/>
  <c r="H857" i="120" s="1"/>
  <c r="M687" i="107"/>
  <c r="G857" i="120" s="1"/>
  <c r="L687" i="107"/>
  <c r="F857" i="120" s="1"/>
  <c r="K687" i="107"/>
  <c r="E857" i="120" s="1"/>
  <c r="J687" i="107"/>
  <c r="D857" i="120" s="1"/>
  <c r="H687" i="107"/>
  <c r="G804" i="119" s="1"/>
  <c r="G687" i="107"/>
  <c r="F804" i="119" s="1"/>
  <c r="I686" i="107"/>
  <c r="H803" i="119" s="1"/>
  <c r="I685" i="107"/>
  <c r="H802" i="119" s="1"/>
  <c r="I684" i="107"/>
  <c r="H801" i="119" s="1"/>
  <c r="I683" i="107"/>
  <c r="H800" i="119" s="1"/>
  <c r="I682" i="107"/>
  <c r="H799" i="119" s="1"/>
  <c r="I681" i="107"/>
  <c r="H798" i="119" s="1"/>
  <c r="I680" i="107"/>
  <c r="H797" i="119" s="1"/>
  <c r="I679" i="107"/>
  <c r="H796" i="119" s="1"/>
  <c r="I441" i="107"/>
  <c r="H504" i="119" s="1"/>
  <c r="J267" i="107"/>
  <c r="I267" i="107"/>
  <c r="H238" i="119" s="1"/>
  <c r="F687" i="107"/>
  <c r="F474" i="107"/>
  <c r="I474" i="107" l="1"/>
  <c r="H571" i="119" s="1"/>
  <c r="E571" i="119"/>
  <c r="L267" i="107"/>
  <c r="D295" i="120"/>
  <c r="I687" i="107"/>
  <c r="H804" i="119" s="1"/>
  <c r="E804" i="119"/>
  <c r="F1978" i="107"/>
  <c r="E1922" i="119" s="1"/>
  <c r="F1922" i="119"/>
  <c r="K267" i="107"/>
  <c r="M267" i="107" l="1"/>
  <c r="E295" i="120"/>
  <c r="N267" i="107"/>
  <c r="F295" i="120"/>
  <c r="P267" i="107" l="1"/>
  <c r="J295" i="120" s="1"/>
  <c r="H295" i="120"/>
  <c r="G295" i="120"/>
  <c r="O267" i="107"/>
  <c r="I295" i="120" s="1"/>
  <c r="Q267" i="107"/>
  <c r="K295" i="120" s="1"/>
  <c r="I1360" i="107"/>
  <c r="H1669" i="119" s="1"/>
  <c r="I1178" i="107"/>
  <c r="H1473" i="119" s="1"/>
  <c r="I1146" i="107"/>
  <c r="H1406" i="119" s="1"/>
  <c r="Q2057" i="107" l="1"/>
  <c r="K2510" i="120" s="1"/>
  <c r="I981" i="107"/>
  <c r="H1172" i="119" s="1"/>
  <c r="I950" i="107"/>
  <c r="H1099" i="119" s="1"/>
  <c r="I148" i="107"/>
  <c r="H106" i="119" s="1"/>
  <c r="I149" i="107"/>
  <c r="H107" i="119" s="1"/>
  <c r="I159" i="107"/>
  <c r="H117" i="119" s="1"/>
  <c r="I116" i="107"/>
  <c r="H74" i="119" s="1"/>
  <c r="I118" i="107"/>
  <c r="H76" i="119" s="1"/>
  <c r="I119" i="107"/>
  <c r="H77" i="119" s="1"/>
  <c r="I126" i="107"/>
  <c r="H84" i="119" s="1"/>
  <c r="I127" i="107"/>
  <c r="H85" i="119" s="1"/>
  <c r="I138" i="107"/>
  <c r="H96" i="119" s="1"/>
  <c r="I139" i="107"/>
  <c r="H97" i="119" s="1"/>
  <c r="H1972" i="107"/>
  <c r="G1916" i="119" s="1"/>
  <c r="G1972" i="107"/>
  <c r="F1916" i="119" s="1"/>
  <c r="F1972" i="107" l="1"/>
  <c r="E1916" i="119" s="1"/>
  <c r="L2026" i="107"/>
  <c r="F2469" i="120" s="1"/>
  <c r="M2026" i="107"/>
  <c r="G2469" i="120" s="1"/>
  <c r="N2026" i="107"/>
  <c r="H2469" i="120" s="1"/>
  <c r="O2026" i="107"/>
  <c r="I2469" i="120" s="1"/>
  <c r="P2026" i="107"/>
  <c r="J2469" i="120" s="1"/>
  <c r="Q2026" i="107"/>
  <c r="K2469" i="120" s="1"/>
  <c r="K2026" i="107"/>
  <c r="E2469" i="120" s="1"/>
  <c r="L2023" i="107"/>
  <c r="F2466" i="120" s="1"/>
  <c r="M2023" i="107"/>
  <c r="G2466" i="120" s="1"/>
  <c r="N2023" i="107"/>
  <c r="H2466" i="120" s="1"/>
  <c r="O2023" i="107"/>
  <c r="I2466" i="120" s="1"/>
  <c r="P2023" i="107"/>
  <c r="J2466" i="120" s="1"/>
  <c r="Q2023" i="107"/>
  <c r="K2466" i="120" s="1"/>
  <c r="K2023" i="107"/>
  <c r="E2466" i="120" s="1"/>
  <c r="L2020" i="107"/>
  <c r="M2020" i="107"/>
  <c r="N2020" i="107"/>
  <c r="O2020" i="107"/>
  <c r="P2020" i="107"/>
  <c r="K2020" i="107"/>
  <c r="K1999" i="107"/>
  <c r="E2442" i="120" s="1"/>
  <c r="L1999" i="107"/>
  <c r="F2442" i="120" s="1"/>
  <c r="M1999" i="107"/>
  <c r="G2442" i="120" s="1"/>
  <c r="N1999" i="107"/>
  <c r="H2442" i="120" s="1"/>
  <c r="O1999" i="107"/>
  <c r="I2442" i="120" s="1"/>
  <c r="P1999" i="107"/>
  <c r="J2442" i="120" s="1"/>
  <c r="Q1999" i="107"/>
  <c r="K2442" i="120" s="1"/>
  <c r="J1999" i="107"/>
  <c r="D2442" i="120" s="1"/>
  <c r="G1999" i="107"/>
  <c r="H1999" i="107"/>
  <c r="G1946" i="119" s="1"/>
  <c r="Q1997" i="107"/>
  <c r="K2440" i="120" s="1"/>
  <c r="P1997" i="107"/>
  <c r="J2440" i="120" s="1"/>
  <c r="O1997" i="107"/>
  <c r="I2440" i="120" s="1"/>
  <c r="N1997" i="107"/>
  <c r="H2440" i="120" s="1"/>
  <c r="M1997" i="107"/>
  <c r="G2440" i="120" s="1"/>
  <c r="L1997" i="107"/>
  <c r="F2440" i="120" s="1"/>
  <c r="K1997" i="107"/>
  <c r="H1997" i="107"/>
  <c r="G1944" i="119" s="1"/>
  <c r="G1997" i="107"/>
  <c r="Q1994" i="107"/>
  <c r="K2437" i="120" s="1"/>
  <c r="P1994" i="107"/>
  <c r="J2437" i="120" s="1"/>
  <c r="O1994" i="107"/>
  <c r="I2437" i="120" s="1"/>
  <c r="N1994" i="107"/>
  <c r="H2437" i="120" s="1"/>
  <c r="M1994" i="107"/>
  <c r="G2437" i="120" s="1"/>
  <c r="L1994" i="107"/>
  <c r="F2437" i="120" s="1"/>
  <c r="K1994" i="107"/>
  <c r="E2437" i="120" s="1"/>
  <c r="H1994" i="107"/>
  <c r="G1941" i="119" s="1"/>
  <c r="G1994" i="107"/>
  <c r="F1941" i="119" s="1"/>
  <c r="P1990" i="107"/>
  <c r="J2433" i="120" s="1"/>
  <c r="K1990" i="107"/>
  <c r="E2433" i="120" s="1"/>
  <c r="L1990" i="107"/>
  <c r="F2433" i="120" s="1"/>
  <c r="M1990" i="107"/>
  <c r="G2433" i="120" s="1"/>
  <c r="N1990" i="107"/>
  <c r="H2433" i="120" s="1"/>
  <c r="O1990" i="107"/>
  <c r="I2433" i="120" s="1"/>
  <c r="J1990" i="107"/>
  <c r="H1990" i="107"/>
  <c r="G1937" i="119" s="1"/>
  <c r="G1990" i="107"/>
  <c r="G1968" i="107"/>
  <c r="F1912" i="119" s="1"/>
  <c r="Q1953" i="107"/>
  <c r="G1953" i="107"/>
  <c r="G1947" i="107"/>
  <c r="F1891" i="119" s="1"/>
  <c r="J1997" i="107" l="1"/>
  <c r="D2440" i="120" s="1"/>
  <c r="E2440" i="120"/>
  <c r="F1997" i="107"/>
  <c r="E1944" i="119" s="1"/>
  <c r="F1944" i="119"/>
  <c r="F1990" i="107"/>
  <c r="E1937" i="119" s="1"/>
  <c r="F1937" i="119"/>
  <c r="Q1991" i="107"/>
  <c r="K2434" i="120" s="1"/>
  <c r="D2433" i="120"/>
  <c r="F1999" i="107"/>
  <c r="E1946" i="119" s="1"/>
  <c r="F1946" i="119"/>
  <c r="K1563" i="107"/>
  <c r="E2463" i="120"/>
  <c r="P1563" i="107"/>
  <c r="J1963" i="120" s="1"/>
  <c r="J2463" i="120"/>
  <c r="O1563" i="107"/>
  <c r="I1963" i="120" s="1"/>
  <c r="I2463" i="120"/>
  <c r="N1563" i="107"/>
  <c r="H1963" i="120" s="1"/>
  <c r="H2463" i="120"/>
  <c r="M1563" i="107"/>
  <c r="G1963" i="120" s="1"/>
  <c r="G2463" i="120"/>
  <c r="L1563" i="107"/>
  <c r="F2463" i="120"/>
  <c r="F1994" i="107"/>
  <c r="E1941" i="119" s="1"/>
  <c r="M1991" i="107"/>
  <c r="G2434" i="120" s="1"/>
  <c r="O1991" i="107"/>
  <c r="I2434" i="120" s="1"/>
  <c r="K1991" i="107"/>
  <c r="E2434" i="120" s="1"/>
  <c r="P2000" i="107"/>
  <c r="J2443" i="120" s="1"/>
  <c r="L2000" i="107"/>
  <c r="F2443" i="120" s="1"/>
  <c r="N1991" i="107"/>
  <c r="H2434" i="120" s="1"/>
  <c r="P1991" i="107"/>
  <c r="J2434" i="120" s="1"/>
  <c r="O2000" i="107"/>
  <c r="I2443" i="120" s="1"/>
  <c r="K2000" i="107"/>
  <c r="E2443" i="120" s="1"/>
  <c r="N2000" i="107"/>
  <c r="H2443" i="120" s="1"/>
  <c r="J2020" i="107"/>
  <c r="L1991" i="107"/>
  <c r="F2434" i="120" s="1"/>
  <c r="Q2000" i="107"/>
  <c r="K2443" i="120" s="1"/>
  <c r="M2000" i="107"/>
  <c r="G2443" i="120" s="1"/>
  <c r="J1994" i="107"/>
  <c r="D2437" i="120" s="1"/>
  <c r="J2023" i="107"/>
  <c r="D2466" i="120" s="1"/>
  <c r="J2026" i="107"/>
  <c r="G1938" i="107"/>
  <c r="F1882" i="119" s="1"/>
  <c r="G1935" i="107"/>
  <c r="F1879" i="119" s="1"/>
  <c r="G1932" i="107"/>
  <c r="F1876" i="119" s="1"/>
  <c r="F187" i="100"/>
  <c r="F526" i="107" s="1"/>
  <c r="E619" i="119" s="1"/>
  <c r="G2000" i="107" l="1"/>
  <c r="F1947" i="119" s="1"/>
  <c r="G1991" i="107"/>
  <c r="H1991" i="107"/>
  <c r="G1938" i="119" s="1"/>
  <c r="H2000" i="107"/>
  <c r="G1947" i="119" s="1"/>
  <c r="L2027" i="107"/>
  <c r="F2470" i="120" s="1"/>
  <c r="D2469" i="120"/>
  <c r="N2021" i="107"/>
  <c r="H2464" i="120" s="1"/>
  <c r="D2463" i="120"/>
  <c r="F1963" i="120"/>
  <c r="J1563" i="107"/>
  <c r="D1963" i="120" s="1"/>
  <c r="E1963" i="120"/>
  <c r="O2021" i="107"/>
  <c r="I2464" i="120" s="1"/>
  <c r="J2000" i="107"/>
  <c r="D2443" i="120" s="1"/>
  <c r="H2020" i="107"/>
  <c r="J1991" i="107"/>
  <c r="D2434" i="120" s="1"/>
  <c r="L2021" i="107"/>
  <c r="F2464" i="120" s="1"/>
  <c r="K2021" i="107"/>
  <c r="E2464" i="120" s="1"/>
  <c r="M2021" i="107"/>
  <c r="G2464" i="120" s="1"/>
  <c r="P2021" i="107"/>
  <c r="J2464" i="120" s="1"/>
  <c r="Q2021" i="107"/>
  <c r="K2464" i="120" s="1"/>
  <c r="P2024" i="107"/>
  <c r="J2467" i="120" s="1"/>
  <c r="L2024" i="107"/>
  <c r="F2467" i="120" s="1"/>
  <c r="Q2024" i="107"/>
  <c r="K2467" i="120" s="1"/>
  <c r="H2023" i="107"/>
  <c r="G1970" i="119" s="1"/>
  <c r="M2024" i="107"/>
  <c r="G2467" i="120" s="1"/>
  <c r="P2027" i="107"/>
  <c r="J2470" i="120" s="1"/>
  <c r="K2027" i="107"/>
  <c r="E2470" i="120" s="1"/>
  <c r="O2027" i="107"/>
  <c r="I2470" i="120" s="1"/>
  <c r="N2024" i="107"/>
  <c r="H2467" i="120" s="1"/>
  <c r="Q2027" i="107"/>
  <c r="K2470" i="120" s="1"/>
  <c r="M2027" i="107"/>
  <c r="G2470" i="120" s="1"/>
  <c r="H2026" i="107"/>
  <c r="G1973" i="119" s="1"/>
  <c r="O2024" i="107"/>
  <c r="I2467" i="120" s="1"/>
  <c r="K2024" i="107"/>
  <c r="E2467" i="120" s="1"/>
  <c r="N2027" i="107"/>
  <c r="H2470" i="120" s="1"/>
  <c r="F51" i="113"/>
  <c r="F43" i="113"/>
  <c r="F39" i="113"/>
  <c r="F2000" i="107" l="1"/>
  <c r="E1947" i="119" s="1"/>
  <c r="N111" i="113"/>
  <c r="N112" i="113"/>
  <c r="N110" i="113"/>
  <c r="N113" i="113"/>
  <c r="N107" i="113"/>
  <c r="N106" i="113"/>
  <c r="F1991" i="107"/>
  <c r="E1938" i="119" s="1"/>
  <c r="F1938" i="119"/>
  <c r="F2020" i="107"/>
  <c r="H2021" i="107" s="1"/>
  <c r="G1968" i="119" s="1"/>
  <c r="G1967" i="119"/>
  <c r="J2021" i="107"/>
  <c r="D2464" i="120" s="1"/>
  <c r="F49" i="113"/>
  <c r="F55" i="113" s="1"/>
  <c r="F104" i="113" s="1"/>
  <c r="J2024" i="107"/>
  <c r="D2467" i="120" s="1"/>
  <c r="F2026" i="107"/>
  <c r="F2023" i="107"/>
  <c r="J2027" i="107"/>
  <c r="D2470" i="120" s="1"/>
  <c r="J106" i="113" l="1"/>
  <c r="F106" i="113" s="1"/>
  <c r="J108" i="113"/>
  <c r="F108" i="113" s="1"/>
  <c r="J113" i="113"/>
  <c r="F113" i="113" s="1"/>
  <c r="J112" i="113"/>
  <c r="F112" i="113" s="1"/>
  <c r="J111" i="113"/>
  <c r="F111" i="113" s="1"/>
  <c r="J110" i="113"/>
  <c r="F110" i="113" s="1"/>
  <c r="J109" i="113"/>
  <c r="F109" i="113" s="1"/>
  <c r="J107" i="113"/>
  <c r="F107" i="113" s="1"/>
  <c r="N114" i="113"/>
  <c r="G2024" i="107"/>
  <c r="F1971" i="119" s="1"/>
  <c r="E1970" i="119"/>
  <c r="G2027" i="107"/>
  <c r="F1974" i="119" s="1"/>
  <c r="E1973" i="119"/>
  <c r="G2021" i="107"/>
  <c r="F2021" i="107" s="1"/>
  <c r="E1968" i="119" s="1"/>
  <c r="E1967" i="119"/>
  <c r="H2024" i="107"/>
  <c r="H2027" i="107"/>
  <c r="F27" i="113"/>
  <c r="F28" i="113"/>
  <c r="F29" i="113"/>
  <c r="F30" i="113"/>
  <c r="F25" i="113"/>
  <c r="F22" i="113"/>
  <c r="F74" i="113" s="1"/>
  <c r="F21" i="113"/>
  <c r="F31" i="113" l="1"/>
  <c r="F89" i="113" s="1"/>
  <c r="J114" i="113"/>
  <c r="F2027" i="107"/>
  <c r="E1974" i="119" s="1"/>
  <c r="G1974" i="119"/>
  <c r="F2024" i="107"/>
  <c r="E1971" i="119" s="1"/>
  <c r="G1971" i="119"/>
  <c r="F1968" i="119"/>
  <c r="F1339" i="107"/>
  <c r="E1648" i="119" s="1"/>
  <c r="F92" i="100"/>
  <c r="F313" i="107" s="1"/>
  <c r="F86" i="100"/>
  <c r="F307" i="107" s="1"/>
  <c r="I307" i="107" l="1"/>
  <c r="H277" i="119" s="1"/>
  <c r="E277" i="119"/>
  <c r="I313" i="107"/>
  <c r="H283" i="119" s="1"/>
  <c r="E283" i="119"/>
  <c r="H313" i="107"/>
  <c r="G313" i="107"/>
  <c r="F283" i="119" s="1"/>
  <c r="I1339" i="107"/>
  <c r="H1648" i="119" s="1"/>
  <c r="E19" i="112"/>
  <c r="J313" i="107" l="1"/>
  <c r="G283" i="119"/>
  <c r="F20" i="112"/>
  <c r="D59" i="105"/>
  <c r="F1429" i="107"/>
  <c r="F1039" i="107"/>
  <c r="E1226" i="119" s="1"/>
  <c r="F1040" i="107"/>
  <c r="E1227" i="119" s="1"/>
  <c r="F1041" i="107"/>
  <c r="E1228" i="119" s="1"/>
  <c r="D7" i="112"/>
  <c r="D340" i="120" l="1"/>
  <c r="Q313" i="107"/>
  <c r="K340" i="120" s="1"/>
  <c r="P313" i="107"/>
  <c r="J340" i="120" s="1"/>
  <c r="M313" i="107"/>
  <c r="G340" i="120" s="1"/>
  <c r="K313" i="107"/>
  <c r="E340" i="120" s="1"/>
  <c r="L313" i="107"/>
  <c r="F340" i="120" s="1"/>
  <c r="N313" i="107"/>
  <c r="H340" i="120" s="1"/>
  <c r="O313" i="107"/>
  <c r="I340" i="120" s="1"/>
  <c r="I1429" i="107"/>
  <c r="H1773" i="119" s="1"/>
  <c r="E1773" i="119"/>
  <c r="F1433" i="107"/>
  <c r="F1435" i="107"/>
  <c r="H1041" i="107"/>
  <c r="G1228" i="119" s="1"/>
  <c r="G1041" i="107"/>
  <c r="F1434" i="107"/>
  <c r="I1434" i="107" l="1"/>
  <c r="H1778" i="119" s="1"/>
  <c r="E1778" i="119"/>
  <c r="I1435" i="107"/>
  <c r="H1779" i="119" s="1"/>
  <c r="E1779" i="119"/>
  <c r="I1433" i="107"/>
  <c r="H1777" i="119" s="1"/>
  <c r="E1777" i="119"/>
  <c r="G1435" i="107"/>
  <c r="F1779" i="119" s="1"/>
  <c r="F1228" i="119"/>
  <c r="H1435" i="107"/>
  <c r="G1779" i="119" s="1"/>
  <c r="J1041" i="107"/>
  <c r="D1275" i="120" s="1"/>
  <c r="U71" i="96"/>
  <c r="L71" i="96"/>
  <c r="F63" i="110"/>
  <c r="D51" i="110"/>
  <c r="F22" i="110"/>
  <c r="F29" i="110" s="1"/>
  <c r="J1435" i="107" l="1"/>
  <c r="D1834" i="120" s="1"/>
  <c r="N1041" i="107"/>
  <c r="P1041" i="107"/>
  <c r="Q1041" i="107"/>
  <c r="O1041" i="107"/>
  <c r="M1041" i="107"/>
  <c r="L1041" i="107"/>
  <c r="K1041" i="107"/>
  <c r="F32" i="110"/>
  <c r="F31" i="110"/>
  <c r="F35" i="110" s="1"/>
  <c r="K70" i="153" s="1"/>
  <c r="F33" i="110"/>
  <c r="F85" i="151" l="1"/>
  <c r="F306" i="161" s="1"/>
  <c r="J70" i="153"/>
  <c r="K1435" i="107"/>
  <c r="E1834" i="120" s="1"/>
  <c r="E1275" i="120"/>
  <c r="L1435" i="107"/>
  <c r="F1834" i="120" s="1"/>
  <c r="F1275" i="120"/>
  <c r="M1435" i="107"/>
  <c r="G1834" i="120" s="1"/>
  <c r="G1275" i="120"/>
  <c r="O1435" i="107"/>
  <c r="I1834" i="120" s="1"/>
  <c r="I1275" i="120"/>
  <c r="Q1435" i="107"/>
  <c r="K1834" i="120" s="1"/>
  <c r="K1275" i="120"/>
  <c r="P1435" i="107"/>
  <c r="J1834" i="120" s="1"/>
  <c r="J1275" i="120"/>
  <c r="N1435" i="107"/>
  <c r="H1834" i="120" s="1"/>
  <c r="H1275" i="120"/>
  <c r="K70" i="96"/>
  <c r="J70" i="96" l="1"/>
  <c r="F85" i="100"/>
  <c r="F306" i="107" s="1"/>
  <c r="I306" i="161"/>
  <c r="F480" i="100"/>
  <c r="F1333" i="107" s="1"/>
  <c r="E1642" i="119" s="1"/>
  <c r="I70" i="96"/>
  <c r="H71" i="96"/>
  <c r="H83" i="96"/>
  <c r="H81" i="96"/>
  <c r="H80" i="96"/>
  <c r="H75" i="96"/>
  <c r="H63" i="96"/>
  <c r="I191" i="92"/>
  <c r="H206" i="92"/>
  <c r="H194" i="92"/>
  <c r="F358" i="100"/>
  <c r="F1034" i="107" s="1"/>
  <c r="E1221" i="119" s="1"/>
  <c r="H208" i="92" l="1"/>
  <c r="I306" i="107"/>
  <c r="H276" i="119" s="1"/>
  <c r="E276" i="119"/>
  <c r="H66" i="96"/>
  <c r="H72" i="96" s="1"/>
  <c r="H84" i="96"/>
  <c r="C9" i="110"/>
  <c r="D54" i="110" s="1"/>
  <c r="D53" i="110"/>
  <c r="C7" i="110"/>
  <c r="D52" i="110" s="1"/>
  <c r="H87" i="96" l="1"/>
  <c r="D6" i="110"/>
  <c r="D56" i="110"/>
  <c r="E51" i="110" s="1"/>
  <c r="D4" i="110"/>
  <c r="D8" i="110"/>
  <c r="D5" i="110"/>
  <c r="D9" i="110"/>
  <c r="D7" i="110"/>
  <c r="E54" i="110" l="1"/>
  <c r="E53" i="110"/>
  <c r="E52" i="110"/>
  <c r="E56" i="110" s="1"/>
  <c r="Q40" i="109"/>
  <c r="M40" i="109"/>
  <c r="M42" i="109" s="1"/>
  <c r="K40" i="109"/>
  <c r="K42" i="109" s="1"/>
  <c r="I40" i="109"/>
  <c r="I42" i="109" s="1"/>
  <c r="E40" i="109"/>
  <c r="Q22" i="109"/>
  <c r="M22" i="109"/>
  <c r="K22" i="109"/>
  <c r="I22" i="109"/>
  <c r="E22" i="109"/>
  <c r="C22" i="109"/>
  <c r="G19" i="109"/>
  <c r="G22" i="109" s="1"/>
  <c r="E42" i="109" l="1"/>
  <c r="C40" i="109"/>
  <c r="C42" i="109" s="1"/>
  <c r="F341" i="151" s="1"/>
  <c r="F1003" i="161" s="1"/>
  <c r="Q42" i="109"/>
  <c r="G37" i="109"/>
  <c r="O19" i="109"/>
  <c r="E25" i="108"/>
  <c r="E26" i="108"/>
  <c r="E27" i="108"/>
  <c r="E28" i="108"/>
  <c r="E24" i="108"/>
  <c r="F341" i="100" l="1"/>
  <c r="D10" i="108"/>
  <c r="D28" i="108" s="1"/>
  <c r="F28" i="108" s="1"/>
  <c r="G28" i="108" s="1"/>
  <c r="D6" i="108"/>
  <c r="D24" i="108" s="1"/>
  <c r="D9" i="108"/>
  <c r="D27" i="108" s="1"/>
  <c r="F27" i="108" s="1"/>
  <c r="G27" i="108" s="1"/>
  <c r="J19" i="108" s="1"/>
  <c r="D8" i="108"/>
  <c r="D26" i="108" s="1"/>
  <c r="F26" i="108" s="1"/>
  <c r="G26" i="108" s="1"/>
  <c r="J18" i="108" s="1"/>
  <c r="D7" i="108"/>
  <c r="D25" i="108" s="1"/>
  <c r="F25" i="108" s="1"/>
  <c r="G25" i="108" s="1"/>
  <c r="J17" i="108" s="1"/>
  <c r="G40" i="109"/>
  <c r="G42" i="109" s="1"/>
  <c r="O37" i="109"/>
  <c r="E29" i="108"/>
  <c r="O22" i="109"/>
  <c r="S19" i="109"/>
  <c r="S22" i="109" s="1"/>
  <c r="F1003" i="107" l="1"/>
  <c r="E1194" i="119" s="1"/>
  <c r="G44" i="108"/>
  <c r="J20" i="108"/>
  <c r="O40" i="109"/>
  <c r="O42" i="109" s="1"/>
  <c r="S37" i="109"/>
  <c r="S40" i="109" s="1"/>
  <c r="S42" i="109" s="1"/>
  <c r="F24" i="108"/>
  <c r="D29" i="108"/>
  <c r="F29" i="108" l="1"/>
  <c r="G24" i="108"/>
  <c r="D14" i="72"/>
  <c r="F116" i="151" s="1"/>
  <c r="F364" i="161" s="1"/>
  <c r="D13" i="72"/>
  <c r="F371" i="151" s="1"/>
  <c r="F1069" i="161" s="1"/>
  <c r="D12" i="72"/>
  <c r="F288" i="151" s="1"/>
  <c r="F873" i="161" s="1"/>
  <c r="I873" i="161" l="1"/>
  <c r="I1069" i="161"/>
  <c r="I364" i="161"/>
  <c r="G29" i="108"/>
  <c r="J16" i="108"/>
  <c r="F288" i="100"/>
  <c r="F873" i="107" s="1"/>
  <c r="E987" i="119" s="1"/>
  <c r="F371" i="100"/>
  <c r="F1069" i="107" s="1"/>
  <c r="E1288" i="119" s="1"/>
  <c r="F116" i="100"/>
  <c r="F364" i="107" s="1"/>
  <c r="E385" i="119" s="1"/>
  <c r="H8" i="93"/>
  <c r="G8" i="93"/>
  <c r="J21" i="108" l="1"/>
  <c r="H9" i="93"/>
  <c r="F40" i="100"/>
  <c r="F182" i="107" s="1"/>
  <c r="F38" i="100"/>
  <c r="F180" i="107" s="1"/>
  <c r="F37" i="100"/>
  <c r="F36" i="100"/>
  <c r="F179" i="107" s="1"/>
  <c r="B7" i="104"/>
  <c r="B8" i="104"/>
  <c r="B9" i="104"/>
  <c r="B10" i="104"/>
  <c r="B11" i="104"/>
  <c r="B12" i="104"/>
  <c r="B13" i="104"/>
  <c r="B14" i="104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69" i="104"/>
  <c r="B68" i="104"/>
  <c r="B67" i="104"/>
  <c r="B66" i="104"/>
  <c r="B65" i="104"/>
  <c r="B64" i="104"/>
  <c r="B63" i="104"/>
  <c r="B62" i="104"/>
  <c r="B61" i="104"/>
  <c r="B60" i="104"/>
  <c r="B59" i="104"/>
  <c r="B58" i="104"/>
  <c r="B57" i="104"/>
  <c r="B56" i="104"/>
  <c r="B55" i="104"/>
  <c r="B54" i="104"/>
  <c r="B53" i="104"/>
  <c r="B52" i="104"/>
  <c r="B51" i="104"/>
  <c r="B50" i="104"/>
  <c r="B49" i="104"/>
  <c r="B48" i="104"/>
  <c r="I179" i="107" l="1"/>
  <c r="H136" i="119" s="1"/>
  <c r="E136" i="119"/>
  <c r="G179" i="107"/>
  <c r="F136" i="119" s="1"/>
  <c r="H179" i="107"/>
  <c r="E137" i="119"/>
  <c r="I180" i="107"/>
  <c r="H137" i="119" s="1"/>
  <c r="G180" i="107"/>
  <c r="F137" i="119" s="1"/>
  <c r="H180" i="107"/>
  <c r="E139" i="119"/>
  <c r="I182" i="107"/>
  <c r="H139" i="119" s="1"/>
  <c r="G182" i="107"/>
  <c r="F139" i="119" s="1"/>
  <c r="H182" i="107"/>
  <c r="F45" i="100"/>
  <c r="F192" i="107" s="1"/>
  <c r="E149" i="119" s="1"/>
  <c r="F45" i="151"/>
  <c r="F192" i="161" s="1"/>
  <c r="E41" i="104"/>
  <c r="H41" i="104"/>
  <c r="H74" i="104" s="1"/>
  <c r="H41" i="106"/>
  <c r="I41" i="106"/>
  <c r="J41" i="106"/>
  <c r="K41" i="106"/>
  <c r="H42" i="106"/>
  <c r="I42" i="106"/>
  <c r="J42" i="106"/>
  <c r="K42" i="106"/>
  <c r="H43" i="106"/>
  <c r="I43" i="106"/>
  <c r="J43" i="106"/>
  <c r="K43" i="106"/>
  <c r="H44" i="106"/>
  <c r="I44" i="106"/>
  <c r="J44" i="106"/>
  <c r="K44" i="106"/>
  <c r="H45" i="106"/>
  <c r="I45" i="106"/>
  <c r="J45" i="106"/>
  <c r="K45" i="106"/>
  <c r="H46" i="106"/>
  <c r="H49" i="106" s="1"/>
  <c r="I46" i="106"/>
  <c r="J46" i="106"/>
  <c r="K46" i="106"/>
  <c r="G84" i="106"/>
  <c r="H84" i="106"/>
  <c r="I84" i="106"/>
  <c r="J84" i="106"/>
  <c r="K84" i="106"/>
  <c r="G85" i="106"/>
  <c r="H85" i="106"/>
  <c r="I85" i="106"/>
  <c r="J85" i="106"/>
  <c r="K85" i="106"/>
  <c r="G86" i="106"/>
  <c r="H86" i="106"/>
  <c r="I86" i="106"/>
  <c r="J86" i="106"/>
  <c r="K86" i="106"/>
  <c r="G87" i="106"/>
  <c r="H87" i="106"/>
  <c r="I87" i="106"/>
  <c r="J87" i="106"/>
  <c r="K87" i="106"/>
  <c r="G88" i="106"/>
  <c r="H88" i="106"/>
  <c r="I88" i="106"/>
  <c r="J88" i="106"/>
  <c r="K88" i="106"/>
  <c r="G89" i="106"/>
  <c r="H89" i="106"/>
  <c r="I89" i="106"/>
  <c r="J89" i="106"/>
  <c r="K89" i="106"/>
  <c r="E84" i="106"/>
  <c r="E85" i="106"/>
  <c r="E86" i="106"/>
  <c r="E87" i="106"/>
  <c r="E88" i="106"/>
  <c r="E89" i="106"/>
  <c r="G65" i="106"/>
  <c r="H65" i="106"/>
  <c r="I65" i="106"/>
  <c r="J65" i="106"/>
  <c r="G66" i="106"/>
  <c r="H66" i="106"/>
  <c r="I66" i="106"/>
  <c r="J66" i="106"/>
  <c r="G67" i="106"/>
  <c r="H67" i="106"/>
  <c r="I67" i="106"/>
  <c r="J67" i="106"/>
  <c r="G68" i="106"/>
  <c r="H68" i="106"/>
  <c r="I68" i="106"/>
  <c r="J68" i="106"/>
  <c r="G69" i="106"/>
  <c r="H69" i="106"/>
  <c r="I69" i="106"/>
  <c r="J69" i="106"/>
  <c r="G70" i="106"/>
  <c r="H70" i="106"/>
  <c r="I70" i="106"/>
  <c r="J70" i="106"/>
  <c r="G71" i="106"/>
  <c r="H71" i="106"/>
  <c r="I71" i="106"/>
  <c r="J71" i="106"/>
  <c r="G72" i="106"/>
  <c r="H72" i="106"/>
  <c r="I72" i="106"/>
  <c r="J72" i="106"/>
  <c r="G73" i="106"/>
  <c r="H73" i="106"/>
  <c r="I73" i="106"/>
  <c r="J73" i="106"/>
  <c r="G74" i="106"/>
  <c r="H74" i="106"/>
  <c r="I74" i="106"/>
  <c r="J74" i="106"/>
  <c r="G75" i="106"/>
  <c r="H75" i="106"/>
  <c r="I75" i="106"/>
  <c r="J75" i="106"/>
  <c r="G76" i="106"/>
  <c r="H76" i="106"/>
  <c r="I76" i="106"/>
  <c r="J76" i="106"/>
  <c r="E65" i="106"/>
  <c r="E66" i="106"/>
  <c r="E67" i="106"/>
  <c r="E68" i="106"/>
  <c r="E69" i="106"/>
  <c r="E70" i="106"/>
  <c r="E71" i="106"/>
  <c r="E72" i="106"/>
  <c r="E73" i="106"/>
  <c r="E74" i="106"/>
  <c r="E75" i="106"/>
  <c r="E76" i="106"/>
  <c r="E41" i="106"/>
  <c r="E43" i="106"/>
  <c r="E44" i="106"/>
  <c r="E45" i="106"/>
  <c r="E46" i="106"/>
  <c r="H11" i="106"/>
  <c r="I11" i="106"/>
  <c r="J11" i="106"/>
  <c r="H12" i="106"/>
  <c r="I12" i="106"/>
  <c r="J12" i="106"/>
  <c r="H13" i="106"/>
  <c r="I13" i="106"/>
  <c r="J13" i="106"/>
  <c r="H14" i="106"/>
  <c r="I14" i="106"/>
  <c r="J14" i="106"/>
  <c r="H15" i="106"/>
  <c r="I15" i="106"/>
  <c r="J15" i="106"/>
  <c r="H16" i="106"/>
  <c r="I16" i="106"/>
  <c r="J16" i="106"/>
  <c r="H17" i="106"/>
  <c r="I17" i="106"/>
  <c r="J17" i="106"/>
  <c r="H18" i="106"/>
  <c r="I18" i="106"/>
  <c r="J18" i="106"/>
  <c r="H19" i="106"/>
  <c r="I19" i="106"/>
  <c r="J19" i="106"/>
  <c r="H20" i="106"/>
  <c r="I20" i="106"/>
  <c r="J20" i="106"/>
  <c r="H21" i="106"/>
  <c r="I21" i="106"/>
  <c r="J21" i="106"/>
  <c r="H22" i="106"/>
  <c r="I22" i="106"/>
  <c r="J22" i="106"/>
  <c r="H23" i="106"/>
  <c r="I23" i="106"/>
  <c r="J23" i="106"/>
  <c r="H24" i="106"/>
  <c r="I24" i="106"/>
  <c r="J24" i="106"/>
  <c r="H25" i="106"/>
  <c r="I25" i="106"/>
  <c r="J25" i="106"/>
  <c r="H26" i="106"/>
  <c r="I26" i="106"/>
  <c r="J26" i="106"/>
  <c r="H27" i="106"/>
  <c r="I27" i="106"/>
  <c r="J27" i="106"/>
  <c r="H28" i="106"/>
  <c r="I28" i="106"/>
  <c r="J28" i="106"/>
  <c r="H29" i="106"/>
  <c r="I29" i="106"/>
  <c r="J29" i="106"/>
  <c r="H30" i="106"/>
  <c r="I30" i="106"/>
  <c r="J30" i="106"/>
  <c r="H31" i="106"/>
  <c r="I31" i="106"/>
  <c r="J31" i="106"/>
  <c r="H32" i="106"/>
  <c r="I32" i="106"/>
  <c r="J32" i="106"/>
  <c r="H33" i="106"/>
  <c r="I33" i="106"/>
  <c r="J33" i="106"/>
  <c r="E11" i="106"/>
  <c r="E12" i="106"/>
  <c r="E13" i="106"/>
  <c r="E14" i="106"/>
  <c r="E15" i="106"/>
  <c r="E16" i="106"/>
  <c r="E17" i="106"/>
  <c r="E18" i="106"/>
  <c r="E19" i="106"/>
  <c r="E20" i="106"/>
  <c r="E21" i="106"/>
  <c r="E22" i="106"/>
  <c r="E23" i="106"/>
  <c r="E24" i="106"/>
  <c r="E25" i="106"/>
  <c r="E26" i="106"/>
  <c r="E27" i="106"/>
  <c r="E28" i="106"/>
  <c r="E29" i="106"/>
  <c r="E30" i="106"/>
  <c r="E31" i="106"/>
  <c r="E32" i="106"/>
  <c r="E33" i="106"/>
  <c r="F17" i="105"/>
  <c r="F28" i="105" s="1"/>
  <c r="M85" i="106"/>
  <c r="K11" i="106"/>
  <c r="D33" i="106"/>
  <c r="K31" i="106"/>
  <c r="G30" i="106"/>
  <c r="D29" i="106"/>
  <c r="K27" i="106"/>
  <c r="G26" i="106"/>
  <c r="D25" i="106"/>
  <c r="K23" i="106"/>
  <c r="G22" i="106"/>
  <c r="D21" i="106"/>
  <c r="K19" i="106"/>
  <c r="G18" i="106"/>
  <c r="D17" i="106"/>
  <c r="K15" i="106"/>
  <c r="G14" i="106"/>
  <c r="D13" i="106"/>
  <c r="D46" i="106"/>
  <c r="G43" i="106"/>
  <c r="F65" i="106"/>
  <c r="D75" i="106"/>
  <c r="K73" i="106"/>
  <c r="D71" i="106"/>
  <c r="K69" i="106"/>
  <c r="D67" i="106"/>
  <c r="F89" i="106"/>
  <c r="D87" i="106"/>
  <c r="M32" i="106"/>
  <c r="F30" i="106"/>
  <c r="M28" i="106"/>
  <c r="F26" i="106"/>
  <c r="M24" i="106"/>
  <c r="F22" i="106"/>
  <c r="M20" i="106"/>
  <c r="F18" i="106"/>
  <c r="M16" i="106"/>
  <c r="F14" i="106"/>
  <c r="M12" i="106"/>
  <c r="M45" i="106"/>
  <c r="F43" i="106"/>
  <c r="F76" i="106"/>
  <c r="M74" i="106"/>
  <c r="F72" i="106"/>
  <c r="M70" i="106"/>
  <c r="F68" i="106"/>
  <c r="M66" i="106"/>
  <c r="D89" i="106"/>
  <c r="M86" i="106"/>
  <c r="M11" i="106"/>
  <c r="K32" i="106"/>
  <c r="G31" i="106"/>
  <c r="D30" i="106"/>
  <c r="K28" i="106"/>
  <c r="G27" i="106"/>
  <c r="D26" i="106"/>
  <c r="K24" i="106"/>
  <c r="G23" i="106"/>
  <c r="D22" i="106"/>
  <c r="K20" i="106"/>
  <c r="G19" i="106"/>
  <c r="D18" i="106"/>
  <c r="K16" i="106"/>
  <c r="G15" i="106"/>
  <c r="D14" i="106"/>
  <c r="K12" i="106"/>
  <c r="M41" i="106"/>
  <c r="G44" i="106"/>
  <c r="D43" i="106"/>
  <c r="D76" i="106"/>
  <c r="K74" i="106"/>
  <c r="D72" i="106"/>
  <c r="K70" i="106"/>
  <c r="D68" i="106"/>
  <c r="K66" i="106"/>
  <c r="M88" i="106"/>
  <c r="M33" i="106"/>
  <c r="F31" i="106"/>
  <c r="M29" i="106"/>
  <c r="F27" i="106"/>
  <c r="M25" i="106"/>
  <c r="F23" i="106"/>
  <c r="M21" i="106"/>
  <c r="F19" i="106"/>
  <c r="M17" i="106"/>
  <c r="F15" i="106"/>
  <c r="M13" i="106"/>
  <c r="M46" i="106"/>
  <c r="F44" i="106"/>
  <c r="D42" i="106"/>
  <c r="K65" i="106"/>
  <c r="M75" i="106"/>
  <c r="F73" i="106"/>
  <c r="M71" i="106"/>
  <c r="F69" i="106"/>
  <c r="M67" i="106"/>
  <c r="M84" i="106"/>
  <c r="F85" i="106"/>
  <c r="K33" i="106"/>
  <c r="G32" i="106"/>
  <c r="D31" i="106"/>
  <c r="K29" i="106"/>
  <c r="G28" i="106"/>
  <c r="D27" i="106"/>
  <c r="K25" i="106"/>
  <c r="G24" i="106"/>
  <c r="D23" i="106"/>
  <c r="K21" i="106"/>
  <c r="G20" i="106"/>
  <c r="D19" i="106"/>
  <c r="K17" i="106"/>
  <c r="G16" i="106"/>
  <c r="D15" i="106"/>
  <c r="K13" i="106"/>
  <c r="G12" i="106"/>
  <c r="G45" i="106"/>
  <c r="D44" i="106"/>
  <c r="F42" i="106"/>
  <c r="M65" i="106"/>
  <c r="K75" i="106"/>
  <c r="D73" i="106"/>
  <c r="K71" i="106"/>
  <c r="D69" i="106"/>
  <c r="K67" i="106"/>
  <c r="M89" i="106"/>
  <c r="D85" i="106"/>
  <c r="F87" i="106"/>
  <c r="D11" i="106"/>
  <c r="F32" i="106"/>
  <c r="M30" i="106"/>
  <c r="F28" i="106"/>
  <c r="M26" i="106"/>
  <c r="F24" i="106"/>
  <c r="M22" i="106"/>
  <c r="F20" i="106"/>
  <c r="M18" i="106"/>
  <c r="F16" i="106"/>
  <c r="M14" i="106"/>
  <c r="F12" i="106"/>
  <c r="D41" i="106"/>
  <c r="F45" i="106"/>
  <c r="M43" i="106"/>
  <c r="M76" i="106"/>
  <c r="F74" i="106"/>
  <c r="M72" i="106"/>
  <c r="F70" i="106"/>
  <c r="M68" i="106"/>
  <c r="F66" i="106"/>
  <c r="F86" i="106"/>
  <c r="M87" i="106"/>
  <c r="F11" i="106"/>
  <c r="G33" i="106"/>
  <c r="D32" i="106"/>
  <c r="K30" i="106"/>
  <c r="G29" i="106"/>
  <c r="D28" i="106"/>
  <c r="K26" i="106"/>
  <c r="G25" i="106"/>
  <c r="D24" i="106"/>
  <c r="K22" i="106"/>
  <c r="G21" i="106"/>
  <c r="D20" i="106"/>
  <c r="K18" i="106"/>
  <c r="G17" i="106"/>
  <c r="D16" i="106"/>
  <c r="K14" i="106"/>
  <c r="G13" i="106"/>
  <c r="D12" i="106"/>
  <c r="F41" i="106"/>
  <c r="G46" i="106"/>
  <c r="D45" i="106"/>
  <c r="K76" i="106"/>
  <c r="D74" i="106"/>
  <c r="K72" i="106"/>
  <c r="D70" i="106"/>
  <c r="K68" i="106"/>
  <c r="D66" i="106"/>
  <c r="D84" i="106"/>
  <c r="F88" i="106"/>
  <c r="D86" i="106"/>
  <c r="F33" i="106"/>
  <c r="M31" i="106"/>
  <c r="F29" i="106"/>
  <c r="M27" i="106"/>
  <c r="F25" i="106"/>
  <c r="M23" i="106"/>
  <c r="F21" i="106"/>
  <c r="M19" i="106"/>
  <c r="F17" i="106"/>
  <c r="M15" i="106"/>
  <c r="F13" i="106"/>
  <c r="G41" i="106"/>
  <c r="F46" i="106"/>
  <c r="M44" i="106"/>
  <c r="G42" i="106"/>
  <c r="D65" i="106"/>
  <c r="F75" i="106"/>
  <c r="M73" i="106"/>
  <c r="F71" i="106"/>
  <c r="M69" i="106"/>
  <c r="F67" i="106"/>
  <c r="F84" i="106"/>
  <c r="D88" i="106"/>
  <c r="G139" i="119" l="1"/>
  <c r="J182" i="107"/>
  <c r="D197" i="120" s="1"/>
  <c r="J179" i="107"/>
  <c r="D194" i="120" s="1"/>
  <c r="G136" i="119"/>
  <c r="E74" i="104"/>
  <c r="G137" i="119"/>
  <c r="J180" i="107"/>
  <c r="D195" i="120" s="1"/>
  <c r="I49" i="106"/>
  <c r="L85" i="106"/>
  <c r="I192" i="161"/>
  <c r="L86" i="106"/>
  <c r="L23" i="106"/>
  <c r="L66" i="106"/>
  <c r="L84" i="106"/>
  <c r="L75" i="106"/>
  <c r="L73" i="106"/>
  <c r="L87" i="106"/>
  <c r="J49" i="106"/>
  <c r="L20" i="106"/>
  <c r="L69" i="106"/>
  <c r="L15" i="106"/>
  <c r="L31" i="106"/>
  <c r="L21" i="106"/>
  <c r="L74" i="106"/>
  <c r="L28" i="106"/>
  <c r="L71" i="106"/>
  <c r="L88" i="106"/>
  <c r="L70" i="106"/>
  <c r="L43" i="106"/>
  <c r="L13" i="106"/>
  <c r="L19" i="106"/>
  <c r="L12" i="106"/>
  <c r="L46" i="106"/>
  <c r="L17" i="106"/>
  <c r="L25" i="106"/>
  <c r="L45" i="106"/>
  <c r="L16" i="106"/>
  <c r="L24" i="106"/>
  <c r="L44" i="106"/>
  <c r="L67" i="106"/>
  <c r="L89" i="106"/>
  <c r="L32" i="106"/>
  <c r="L27" i="106"/>
  <c r="L29" i="106"/>
  <c r="L33" i="106"/>
  <c r="E36" i="106"/>
  <c r="J36" i="106"/>
  <c r="I36" i="106"/>
  <c r="I52" i="106" s="1"/>
  <c r="I98" i="106" s="1"/>
  <c r="H36" i="106"/>
  <c r="H52" i="106" s="1"/>
  <c r="H98" i="106" s="1"/>
  <c r="E79" i="106"/>
  <c r="J79" i="106"/>
  <c r="I79" i="106"/>
  <c r="H79" i="106"/>
  <c r="G79" i="106"/>
  <c r="E92" i="106"/>
  <c r="J92" i="106"/>
  <c r="I92" i="106"/>
  <c r="H92" i="106"/>
  <c r="G92" i="106"/>
  <c r="G49" i="106"/>
  <c r="L41" i="106"/>
  <c r="L68" i="106"/>
  <c r="L72" i="106"/>
  <c r="L76" i="106"/>
  <c r="L14" i="106"/>
  <c r="L18" i="106"/>
  <c r="L22" i="106"/>
  <c r="L26" i="106"/>
  <c r="L30" i="106"/>
  <c r="L65" i="106"/>
  <c r="D79" i="106"/>
  <c r="E18" i="166" s="1"/>
  <c r="G18" i="166" s="1"/>
  <c r="F79" i="166" s="1"/>
  <c r="M92" i="106"/>
  <c r="D36" i="106"/>
  <c r="F92" i="106"/>
  <c r="K79" i="106"/>
  <c r="M36" i="106"/>
  <c r="F79" i="106"/>
  <c r="F49" i="106"/>
  <c r="K92" i="106"/>
  <c r="K49" i="106"/>
  <c r="F36" i="106"/>
  <c r="D92" i="106"/>
  <c r="E18" i="105" s="1"/>
  <c r="G18" i="105" s="1"/>
  <c r="F79" i="105" s="1"/>
  <c r="D49" i="106"/>
  <c r="M79" i="106"/>
  <c r="K36" i="106"/>
  <c r="E23" i="102"/>
  <c r="D22" i="102"/>
  <c r="F22" i="102" s="1"/>
  <c r="F26" i="102" s="1"/>
  <c r="D21" i="102"/>
  <c r="F21" i="102" s="1"/>
  <c r="D20" i="102"/>
  <c r="F20" i="102" s="1"/>
  <c r="D19" i="102"/>
  <c r="J52" i="106" l="1"/>
  <c r="J98" i="106" s="1"/>
  <c r="F52" i="106"/>
  <c r="F98" i="106" s="1"/>
  <c r="G95" i="106"/>
  <c r="H95" i="106"/>
  <c r="H102" i="106" s="1"/>
  <c r="I95" i="106"/>
  <c r="I102" i="106" s="1"/>
  <c r="E24" i="166" s="1"/>
  <c r="J95" i="106"/>
  <c r="E95" i="106"/>
  <c r="D23" i="102"/>
  <c r="D95" i="106"/>
  <c r="G11" i="106"/>
  <c r="L92" i="106"/>
  <c r="M95" i="106"/>
  <c r="K95" i="106"/>
  <c r="K52" i="106"/>
  <c r="K98" i="106" s="1"/>
  <c r="F95" i="106"/>
  <c r="F102" i="106" s="1"/>
  <c r="D52" i="106"/>
  <c r="D98" i="106" s="1"/>
  <c r="L79" i="106"/>
  <c r="F19" i="102"/>
  <c r="H42" i="101"/>
  <c r="F156" i="100" s="1"/>
  <c r="F476" i="107" s="1"/>
  <c r="H43" i="101"/>
  <c r="F157" i="100" s="1"/>
  <c r="F477" i="107" s="1"/>
  <c r="H44" i="101"/>
  <c r="F158" i="100" s="1"/>
  <c r="F478" i="107" s="1"/>
  <c r="H45" i="101"/>
  <c r="F159" i="100" s="1"/>
  <c r="F479" i="107" s="1"/>
  <c r="H46" i="101"/>
  <c r="F160" i="100" s="1"/>
  <c r="F480" i="107" s="1"/>
  <c r="H41" i="101"/>
  <c r="F155" i="100" s="1"/>
  <c r="F475" i="107" s="1"/>
  <c r="F31" i="99"/>
  <c r="F26" i="99"/>
  <c r="F25" i="99"/>
  <c r="F22" i="99"/>
  <c r="G43" i="90"/>
  <c r="E572" i="119" l="1"/>
  <c r="I475" i="107"/>
  <c r="H572" i="119" s="1"/>
  <c r="E577" i="119"/>
  <c r="I480" i="107"/>
  <c r="H577" i="119" s="1"/>
  <c r="H480" i="107"/>
  <c r="G480" i="107"/>
  <c r="F577" i="119" s="1"/>
  <c r="I476" i="107"/>
  <c r="H573" i="119" s="1"/>
  <c r="E573" i="119"/>
  <c r="I479" i="107"/>
  <c r="H576" i="119" s="1"/>
  <c r="E576" i="119"/>
  <c r="J102" i="106"/>
  <c r="E25" i="105" s="1"/>
  <c r="E575" i="119"/>
  <c r="I478" i="107"/>
  <c r="H575" i="119" s="1"/>
  <c r="I477" i="107"/>
  <c r="H574" i="119" s="1"/>
  <c r="E574" i="119"/>
  <c r="F33" i="99"/>
  <c r="E23" i="105"/>
  <c r="E23" i="166"/>
  <c r="E21" i="105"/>
  <c r="E21" i="166"/>
  <c r="D102" i="106"/>
  <c r="G36" i="106"/>
  <c r="G52" i="106" s="1"/>
  <c r="G98" i="106" s="1"/>
  <c r="G102" i="106" s="1"/>
  <c r="E22" i="166" s="1"/>
  <c r="L11" i="106"/>
  <c r="L36" i="106" s="1"/>
  <c r="L95" i="106"/>
  <c r="K102" i="106"/>
  <c r="E24" i="105"/>
  <c r="F23" i="102"/>
  <c r="M246" i="92"/>
  <c r="L246" i="92"/>
  <c r="O246" i="92" s="1"/>
  <c r="K246" i="92"/>
  <c r="N246" i="92" s="1"/>
  <c r="M100" i="92"/>
  <c r="G27" i="96"/>
  <c r="G26" i="96"/>
  <c r="G25" i="96"/>
  <c r="G24" i="96"/>
  <c r="G23" i="96"/>
  <c r="G44" i="96"/>
  <c r="G35" i="96"/>
  <c r="G43" i="96"/>
  <c r="G41" i="96"/>
  <c r="G36" i="96"/>
  <c r="G33" i="96"/>
  <c r="G42" i="96"/>
  <c r="G34" i="96"/>
  <c r="E25" i="166" l="1"/>
  <c r="J480" i="107"/>
  <c r="G577" i="119"/>
  <c r="E22" i="105"/>
  <c r="E26" i="105"/>
  <c r="E26" i="166"/>
  <c r="G46" i="96"/>
  <c r="G29" i="96"/>
  <c r="G38" i="96"/>
  <c r="D632" i="120" l="1"/>
  <c r="M480" i="107"/>
  <c r="G632" i="120" s="1"/>
  <c r="K480" i="107"/>
  <c r="E632" i="120" s="1"/>
  <c r="N480" i="107"/>
  <c r="H632" i="120" s="1"/>
  <c r="Q480" i="107"/>
  <c r="K632" i="120" s="1"/>
  <c r="O480" i="107"/>
  <c r="I632" i="120" s="1"/>
  <c r="L480" i="107"/>
  <c r="F632" i="120" s="1"/>
  <c r="P480" i="107"/>
  <c r="J632" i="120" s="1"/>
  <c r="G49" i="96"/>
  <c r="F36" i="96"/>
  <c r="H36" i="96" s="1"/>
  <c r="F33" i="96"/>
  <c r="H33" i="96" s="1"/>
  <c r="F27" i="96"/>
  <c r="H27" i="96" s="1"/>
  <c r="R60" i="95" l="1"/>
  <c r="S173" i="92" s="1"/>
  <c r="S60" i="95" l="1"/>
  <c r="T173" i="92" s="1"/>
  <c r="T60" i="95"/>
  <c r="U173" i="92" s="1"/>
  <c r="V60" i="95" l="1"/>
  <c r="W173" i="92" s="1"/>
  <c r="U60" i="95"/>
  <c r="V173" i="92" s="1"/>
  <c r="L75" i="88" l="1"/>
  <c r="AA160" i="92" s="1"/>
  <c r="Z47" i="95" l="1"/>
  <c r="M38" i="94"/>
  <c r="L44" i="94"/>
  <c r="H38" i="94"/>
  <c r="J16" i="98" l="1"/>
  <c r="J15" i="98"/>
  <c r="I7" i="12" s="1"/>
  <c r="H51" i="98"/>
  <c r="H45" i="98"/>
  <c r="H42" i="98"/>
  <c r="G28" i="98"/>
  <c r="F44" i="98"/>
  <c r="I45" i="98" s="1"/>
  <c r="J45" i="98" s="1"/>
  <c r="F41" i="98"/>
  <c r="I42" i="98" s="1"/>
  <c r="F39" i="151" s="1"/>
  <c r="F35" i="151" l="1"/>
  <c r="F178" i="161" s="1"/>
  <c r="F35" i="100"/>
  <c r="F178" i="107" s="1"/>
  <c r="H28" i="98"/>
  <c r="J28" i="98" s="1"/>
  <c r="G33" i="98"/>
  <c r="H33" i="98" s="1"/>
  <c r="J18" i="98"/>
  <c r="J20" i="98" s="1"/>
  <c r="J53" i="98" s="1"/>
  <c r="F39" i="100"/>
  <c r="J42" i="98"/>
  <c r="J51" i="98" s="1"/>
  <c r="I51" i="98"/>
  <c r="L69" i="93"/>
  <c r="L64" i="93"/>
  <c r="O64" i="93" s="1"/>
  <c r="L63" i="93"/>
  <c r="O63" i="93" s="1"/>
  <c r="L62" i="93"/>
  <c r="O62" i="93" s="1"/>
  <c r="L61" i="93"/>
  <c r="O61" i="93" s="1"/>
  <c r="K57" i="93"/>
  <c r="K56" i="93"/>
  <c r="N56" i="93" s="1"/>
  <c r="K55" i="93"/>
  <c r="N55" i="93" s="1"/>
  <c r="L54" i="93"/>
  <c r="O54" i="93" s="1"/>
  <c r="L50" i="93"/>
  <c r="O50" i="93" s="1"/>
  <c r="L49" i="93"/>
  <c r="L48" i="93"/>
  <c r="O48" i="93" s="1"/>
  <c r="K47" i="93"/>
  <c r="L45" i="93"/>
  <c r="O45" i="93" s="1"/>
  <c r="I67" i="93"/>
  <c r="I46" i="93"/>
  <c r="F185" i="107" l="1"/>
  <c r="I178" i="107"/>
  <c r="H135" i="119" s="1"/>
  <c r="E135" i="119"/>
  <c r="G178" i="107"/>
  <c r="H178" i="107"/>
  <c r="I178" i="161"/>
  <c r="G178" i="161"/>
  <c r="G185" i="161" s="1"/>
  <c r="F185" i="161"/>
  <c r="H178" i="161"/>
  <c r="F41" i="100"/>
  <c r="F41" i="151"/>
  <c r="O49" i="93"/>
  <c r="L46" i="93"/>
  <c r="L67" i="93"/>
  <c r="O67" i="93" s="1"/>
  <c r="N57" i="93"/>
  <c r="N47" i="93"/>
  <c r="O69" i="93"/>
  <c r="G185" i="107" l="1"/>
  <c r="F135" i="119"/>
  <c r="J178" i="161"/>
  <c r="H185" i="161"/>
  <c r="F648" i="107"/>
  <c r="E142" i="119"/>
  <c r="F1842" i="107"/>
  <c r="I185" i="107"/>
  <c r="H142" i="119" s="1"/>
  <c r="J178" i="107"/>
  <c r="D193" i="120" s="1"/>
  <c r="G135" i="119"/>
  <c r="H185" i="107"/>
  <c r="G1842" i="161"/>
  <c r="G648" i="161"/>
  <c r="F1842" i="161"/>
  <c r="F648" i="161"/>
  <c r="I648" i="161" s="1"/>
  <c r="I185" i="161"/>
  <c r="F183" i="161"/>
  <c r="F186" i="161" s="1"/>
  <c r="D5" i="168"/>
  <c r="F183" i="107"/>
  <c r="E140" i="119" s="1"/>
  <c r="C5" i="168"/>
  <c r="E5" i="168" s="1"/>
  <c r="G183" i="161"/>
  <c r="G186" i="161" s="1"/>
  <c r="O46" i="93"/>
  <c r="I648" i="107" l="1"/>
  <c r="H761" i="119" s="1"/>
  <c r="E761" i="119"/>
  <c r="H1842" i="161"/>
  <c r="H648" i="161"/>
  <c r="J185" i="161"/>
  <c r="H648" i="107"/>
  <c r="G761" i="119" s="1"/>
  <c r="J185" i="107"/>
  <c r="G142" i="119"/>
  <c r="H1842" i="107"/>
  <c r="H183" i="161"/>
  <c r="I183" i="161" s="1"/>
  <c r="F142" i="119"/>
  <c r="G648" i="107"/>
  <c r="F761" i="119" s="1"/>
  <c r="G1842" i="107"/>
  <c r="G183" i="107"/>
  <c r="F140" i="119" s="1"/>
  <c r="H183" i="107"/>
  <c r="H186" i="107" s="1"/>
  <c r="F186" i="107"/>
  <c r="J183" i="161"/>
  <c r="F187" i="161"/>
  <c r="F1843" i="161"/>
  <c r="F1844" i="161" s="1"/>
  <c r="F649" i="161"/>
  <c r="F650" i="161" s="1"/>
  <c r="G187" i="161"/>
  <c r="G21" i="161" s="1"/>
  <c r="G1843" i="161"/>
  <c r="G1844" i="161" s="1"/>
  <c r="G649" i="161"/>
  <c r="G650" i="161" s="1"/>
  <c r="D17" i="93"/>
  <c r="D18" i="93"/>
  <c r="D19" i="93"/>
  <c r="D20" i="93"/>
  <c r="D21" i="93"/>
  <c r="D22" i="93"/>
  <c r="D23" i="93"/>
  <c r="D24" i="93"/>
  <c r="D25" i="93"/>
  <c r="D26" i="93"/>
  <c r="D15" i="93"/>
  <c r="D16" i="93"/>
  <c r="H186" i="161" l="1"/>
  <c r="G186" i="107"/>
  <c r="G649" i="107" s="1"/>
  <c r="D200" i="120"/>
  <c r="J1842" i="107"/>
  <c r="D2250" i="120" s="1"/>
  <c r="J648" i="107"/>
  <c r="D815" i="120" s="1"/>
  <c r="J648" i="161"/>
  <c r="J1842" i="161"/>
  <c r="I186" i="107"/>
  <c r="H143" i="119" s="1"/>
  <c r="G1843" i="107"/>
  <c r="G1844" i="107" s="1"/>
  <c r="E29" i="116" s="1"/>
  <c r="G187" i="107"/>
  <c r="G21" i="107" s="1"/>
  <c r="F20" i="119" s="1"/>
  <c r="E143" i="119"/>
  <c r="F1843" i="107"/>
  <c r="F1844" i="107" s="1"/>
  <c r="D29" i="116" s="1"/>
  <c r="F187" i="107"/>
  <c r="F649" i="107"/>
  <c r="J183" i="107"/>
  <c r="D198" i="120" s="1"/>
  <c r="G140" i="119"/>
  <c r="I183" i="107"/>
  <c r="H140" i="119" s="1"/>
  <c r="J186" i="107"/>
  <c r="G143" i="119"/>
  <c r="H1843" i="107"/>
  <c r="H1844" i="107" s="1"/>
  <c r="F29" i="116" s="1"/>
  <c r="H649" i="107"/>
  <c r="H187" i="107"/>
  <c r="C9" i="95"/>
  <c r="C9" i="150"/>
  <c r="F21" i="161"/>
  <c r="I186" i="161"/>
  <c r="H187" i="161"/>
  <c r="H21" i="161" s="1"/>
  <c r="H649" i="161"/>
  <c r="H1843" i="161"/>
  <c r="H1844" i="161" s="1"/>
  <c r="J186" i="161"/>
  <c r="G650" i="107"/>
  <c r="F763" i="119" s="1"/>
  <c r="F762" i="119"/>
  <c r="D28" i="93"/>
  <c r="D30" i="93" s="1"/>
  <c r="F143" i="119" l="1"/>
  <c r="F144" i="119"/>
  <c r="T29" i="116"/>
  <c r="I187" i="107"/>
  <c r="H144" i="119" s="1"/>
  <c r="F650" i="107"/>
  <c r="E763" i="119" s="1"/>
  <c r="E762" i="119"/>
  <c r="I649" i="107"/>
  <c r="H762" i="119" s="1"/>
  <c r="E144" i="119"/>
  <c r="F21" i="107"/>
  <c r="H21" i="107"/>
  <c r="G144" i="119"/>
  <c r="G762" i="119"/>
  <c r="H650" i="107"/>
  <c r="D201" i="120"/>
  <c r="J187" i="107"/>
  <c r="J1843" i="107"/>
  <c r="J649" i="107"/>
  <c r="J649" i="161"/>
  <c r="J650" i="161" s="1"/>
  <c r="J187" i="161"/>
  <c r="J21" i="161" s="1"/>
  <c r="J1843" i="161"/>
  <c r="J1844" i="161" s="1"/>
  <c r="I649" i="161"/>
  <c r="H650" i="161"/>
  <c r="I650" i="161" s="1"/>
  <c r="I187" i="161"/>
  <c r="I21" i="161"/>
  <c r="G65" i="92"/>
  <c r="F64" i="92"/>
  <c r="H64" i="92" s="1"/>
  <c r="F63" i="92"/>
  <c r="H63" i="92" s="1"/>
  <c r="F62" i="92"/>
  <c r="H62" i="92" s="1"/>
  <c r="F61" i="92"/>
  <c r="H61" i="92" s="1"/>
  <c r="G55" i="92"/>
  <c r="G58" i="92" s="1"/>
  <c r="F57" i="92"/>
  <c r="H57" i="92" s="1"/>
  <c r="F56" i="92"/>
  <c r="H56" i="92" s="1"/>
  <c r="F55" i="92"/>
  <c r="F54" i="92"/>
  <c r="G51" i="92"/>
  <c r="F50" i="92"/>
  <c r="H50" i="92" s="1"/>
  <c r="F49" i="92"/>
  <c r="H49" i="92" s="1"/>
  <c r="F48" i="92"/>
  <c r="H48" i="92" s="1"/>
  <c r="F47" i="92"/>
  <c r="H47" i="92" s="1"/>
  <c r="F46" i="92"/>
  <c r="H46" i="92" s="1"/>
  <c r="E20" i="119" l="1"/>
  <c r="G763" i="119"/>
  <c r="I650" i="107"/>
  <c r="H763" i="119" s="1"/>
  <c r="G20" i="119"/>
  <c r="I21" i="107"/>
  <c r="J650" i="107"/>
  <c r="D817" i="120" s="1"/>
  <c r="D816" i="120"/>
  <c r="D2251" i="120"/>
  <c r="J1844" i="107"/>
  <c r="D202" i="120"/>
  <c r="J21" i="107"/>
  <c r="D20" i="120" s="1"/>
  <c r="G67" i="92"/>
  <c r="H55" i="92"/>
  <c r="H65" i="92"/>
  <c r="F58" i="92"/>
  <c r="F51" i="92"/>
  <c r="F65" i="92"/>
  <c r="H54" i="92"/>
  <c r="H51" i="92"/>
  <c r="N201" i="88"/>
  <c r="O201" i="88"/>
  <c r="P201" i="88"/>
  <c r="Q201" i="88"/>
  <c r="R201" i="88"/>
  <c r="I202" i="88"/>
  <c r="F201" i="88"/>
  <c r="G201" i="88"/>
  <c r="G204" i="88" s="1"/>
  <c r="F202" i="88"/>
  <c r="F204" i="88" s="1"/>
  <c r="G202" i="88"/>
  <c r="H202" i="88"/>
  <c r="I163" i="88"/>
  <c r="H163" i="88"/>
  <c r="I145" i="88"/>
  <c r="H145" i="88"/>
  <c r="G145" i="88"/>
  <c r="F145" i="88"/>
  <c r="N144" i="88"/>
  <c r="O144" i="88"/>
  <c r="P144" i="88"/>
  <c r="Q144" i="88"/>
  <c r="R144" i="88"/>
  <c r="F144" i="88"/>
  <c r="F147" i="88" s="1"/>
  <c r="AG20" i="115" l="1"/>
  <c r="H20" i="119"/>
  <c r="H29" i="116"/>
  <c r="R29" i="116" s="1"/>
  <c r="D2252" i="120"/>
  <c r="H58" i="92"/>
  <c r="H67" i="92" s="1"/>
  <c r="F67" i="92"/>
  <c r="AK20" i="115" l="1"/>
  <c r="AI20" i="115"/>
  <c r="U219" i="92"/>
  <c r="U100" i="96" s="1"/>
  <c r="D29" i="92"/>
  <c r="D53" i="108" l="1"/>
  <c r="D34" i="112"/>
  <c r="K27" i="92"/>
  <c r="D35" i="101" s="1"/>
  <c r="I106" i="88"/>
  <c r="H106" i="88"/>
  <c r="G106" i="88"/>
  <c r="F89" i="88"/>
  <c r="AA166" i="92" s="1"/>
  <c r="H53" i="88"/>
  <c r="I53" i="88"/>
  <c r="N52" i="88"/>
  <c r="O52" i="88"/>
  <c r="P52" i="88"/>
  <c r="Q52" i="88"/>
  <c r="R52" i="88"/>
  <c r="G53" i="88"/>
  <c r="F53" i="88"/>
  <c r="F52" i="88"/>
  <c r="U106" i="88" l="1"/>
  <c r="U99" i="88"/>
  <c r="Z53" i="95"/>
  <c r="F55" i="88"/>
  <c r="F81" i="88"/>
  <c r="F83" i="88" s="1"/>
  <c r="N163" i="92" s="1"/>
  <c r="E40" i="88"/>
  <c r="E26" i="88"/>
  <c r="E33" i="88"/>
  <c r="U148" i="88" l="1"/>
  <c r="F303" i="100"/>
  <c r="F917" i="107" s="1"/>
  <c r="E1055" i="119" s="1"/>
  <c r="F298" i="100"/>
  <c r="F910" i="107" s="1"/>
  <c r="E1048" i="119" s="1"/>
  <c r="F308" i="100"/>
  <c r="F924" i="107" s="1"/>
  <c r="E1062" i="119" s="1"/>
  <c r="M50" i="95"/>
  <c r="F73" i="88"/>
  <c r="G924" i="107" l="1"/>
  <c r="F1062" i="119" s="1"/>
  <c r="H924" i="107"/>
  <c r="I924" i="107"/>
  <c r="H1062" i="119" s="1"/>
  <c r="G910" i="107"/>
  <c r="F1048" i="119" s="1"/>
  <c r="H910" i="107"/>
  <c r="G917" i="107"/>
  <c r="F1055" i="119" s="1"/>
  <c r="H917" i="107"/>
  <c r="I14" i="88"/>
  <c r="H14" i="88"/>
  <c r="G14" i="88"/>
  <c r="J917" i="107" l="1"/>
  <c r="G1055" i="119"/>
  <c r="J910" i="107"/>
  <c r="N910" i="107" s="1"/>
  <c r="H1098" i="120" s="1"/>
  <c r="G1048" i="119"/>
  <c r="J924" i="107"/>
  <c r="L924" i="107" s="1"/>
  <c r="F1112" i="120" s="1"/>
  <c r="G1062" i="119"/>
  <c r="I917" i="107"/>
  <c r="H1055" i="119" s="1"/>
  <c r="O917" i="107"/>
  <c r="I1105" i="120" s="1"/>
  <c r="N917" i="107"/>
  <c r="H1105" i="120" s="1"/>
  <c r="L917" i="107"/>
  <c r="F1105" i="120" s="1"/>
  <c r="M910" i="107"/>
  <c r="G1098" i="120" s="1"/>
  <c r="M917" i="107"/>
  <c r="G1105" i="120" s="1"/>
  <c r="P917" i="107"/>
  <c r="J1105" i="120" s="1"/>
  <c r="K917" i="107"/>
  <c r="E1105" i="120" s="1"/>
  <c r="I910" i="107"/>
  <c r="H1048" i="119" s="1"/>
  <c r="E19" i="88"/>
  <c r="I35" i="89"/>
  <c r="I34" i="89"/>
  <c r="I30" i="89"/>
  <c r="I29" i="89"/>
  <c r="I25" i="89"/>
  <c r="I24" i="89"/>
  <c r="I21" i="89"/>
  <c r="I20" i="89"/>
  <c r="G35" i="89"/>
  <c r="G34" i="89"/>
  <c r="G30" i="89"/>
  <c r="G29" i="89"/>
  <c r="G25" i="89"/>
  <c r="G24" i="89"/>
  <c r="G21" i="89"/>
  <c r="G20" i="89"/>
  <c r="F12" i="89"/>
  <c r="G12" i="89" s="1"/>
  <c r="F11" i="89"/>
  <c r="G11" i="89" s="1"/>
  <c r="F10" i="89"/>
  <c r="G10" i="89" s="1"/>
  <c r="F9" i="89"/>
  <c r="G9" i="89" s="1"/>
  <c r="F8" i="89"/>
  <c r="G8" i="89" s="1"/>
  <c r="F7" i="89"/>
  <c r="G7" i="89" s="1"/>
  <c r="F6" i="89"/>
  <c r="G6" i="89" s="1"/>
  <c r="F5" i="89"/>
  <c r="G5" i="89" s="1"/>
  <c r="L190" i="85"/>
  <c r="L200" i="85" s="1"/>
  <c r="J196" i="85"/>
  <c r="J200" i="85"/>
  <c r="H196" i="85"/>
  <c r="H200" i="85"/>
  <c r="F200" i="85"/>
  <c r="F196" i="85"/>
  <c r="F198" i="85"/>
  <c r="G61" i="80"/>
  <c r="G57" i="80"/>
  <c r="G43" i="80"/>
  <c r="E61" i="80"/>
  <c r="E57" i="80"/>
  <c r="E43" i="80"/>
  <c r="P910" i="107" l="1"/>
  <c r="J1098" i="120" s="1"/>
  <c r="K924" i="107"/>
  <c r="E1112" i="120" s="1"/>
  <c r="M924" i="107"/>
  <c r="G1112" i="120" s="1"/>
  <c r="D1112" i="120"/>
  <c r="O924" i="107"/>
  <c r="I1112" i="120" s="1"/>
  <c r="Q924" i="107"/>
  <c r="K1112" i="120" s="1"/>
  <c r="P924" i="107"/>
  <c r="J1112" i="120" s="1"/>
  <c r="N924" i="107"/>
  <c r="H1112" i="120" s="1"/>
  <c r="K910" i="107"/>
  <c r="E1098" i="120" s="1"/>
  <c r="D1098" i="120"/>
  <c r="O910" i="107"/>
  <c r="I1098" i="120" s="1"/>
  <c r="L910" i="107"/>
  <c r="F1098" i="120" s="1"/>
  <c r="Q910" i="107"/>
  <c r="K1098" i="120" s="1"/>
  <c r="Q917" i="107"/>
  <c r="K1105" i="120" s="1"/>
  <c r="D1105" i="120"/>
  <c r="J189" i="85"/>
  <c r="J192" i="85" s="1"/>
  <c r="J202" i="85" s="1"/>
  <c r="H189" i="85"/>
  <c r="H192" i="85" s="1"/>
  <c r="E63" i="80"/>
  <c r="F293" i="100"/>
  <c r="F903" i="107" s="1"/>
  <c r="E1041" i="119" s="1"/>
  <c r="G63" i="80"/>
  <c r="F189" i="85"/>
  <c r="F192" i="85" s="1"/>
  <c r="F202" i="85" s="1"/>
  <c r="E59" i="80"/>
  <c r="F57" i="80" s="1"/>
  <c r="G59" i="80"/>
  <c r="H57" i="80" s="1"/>
  <c r="F72" i="88"/>
  <c r="J198" i="85"/>
  <c r="H198" i="85"/>
  <c r="J207" i="85" l="1"/>
  <c r="J209" i="85" s="1"/>
  <c r="J211" i="85" s="1"/>
  <c r="F207" i="85"/>
  <c r="F209" i="85" s="1"/>
  <c r="F211" i="85" s="1"/>
  <c r="G903" i="107"/>
  <c r="F1041" i="119" s="1"/>
  <c r="H903" i="107"/>
  <c r="I903" i="107" s="1"/>
  <c r="H1041" i="119" s="1"/>
  <c r="H202" i="85"/>
  <c r="H43" i="80"/>
  <c r="H59" i="80" s="1"/>
  <c r="F43" i="80"/>
  <c r="F59" i="80" s="1"/>
  <c r="F75" i="88"/>
  <c r="I160" i="92" s="1"/>
  <c r="J903" i="107" l="1"/>
  <c r="O903" i="107" s="1"/>
  <c r="I1091" i="120" s="1"/>
  <c r="G1041" i="119"/>
  <c r="K903" i="107"/>
  <c r="E1091" i="120" s="1"/>
  <c r="N903" i="107"/>
  <c r="H1091" i="120" s="1"/>
  <c r="M903" i="107"/>
  <c r="G1091" i="120" s="1"/>
  <c r="H207" i="85"/>
  <c r="H209" i="85" s="1"/>
  <c r="H211" i="85" s="1"/>
  <c r="H47" i="95"/>
  <c r="I73" i="72"/>
  <c r="I72" i="72"/>
  <c r="I74" i="72" s="1"/>
  <c r="H72" i="72"/>
  <c r="I45" i="72"/>
  <c r="I37" i="72"/>
  <c r="I64" i="72" s="1"/>
  <c r="H56" i="72"/>
  <c r="H65" i="72" s="1"/>
  <c r="H40" i="72"/>
  <c r="H33" i="72"/>
  <c r="G56" i="72"/>
  <c r="G38" i="72"/>
  <c r="P903" i="107" l="1"/>
  <c r="J1091" i="120" s="1"/>
  <c r="L903" i="107"/>
  <c r="F1091" i="120" s="1"/>
  <c r="D1091" i="120"/>
  <c r="Q903" i="107"/>
  <c r="K1091" i="120" s="1"/>
  <c r="G65" i="72"/>
  <c r="E4" i="73" l="1" a="1"/>
  <c r="E4" i="73" s="1"/>
  <c r="E5" i="73" a="1"/>
  <c r="E5" i="73" s="1"/>
  <c r="E6" i="73" a="1"/>
  <c r="E6" i="73" s="1"/>
  <c r="E7" i="73" a="1"/>
  <c r="E7" i="73" s="1"/>
  <c r="E8" i="73" a="1"/>
  <c r="E8" i="73" s="1"/>
  <c r="E9" i="73" a="1"/>
  <c r="E9" i="73" s="1"/>
  <c r="E10" i="73" a="1"/>
  <c r="E10" i="73" s="1"/>
  <c r="E11" i="73" a="1"/>
  <c r="E11" i="73" s="1"/>
  <c r="E12" i="73" a="1"/>
  <c r="E12" i="73" s="1"/>
  <c r="E13" i="73" a="1"/>
  <c r="E13" i="73" s="1"/>
  <c r="E14" i="73" a="1"/>
  <c r="E14" i="73" s="1"/>
  <c r="E15" i="73" a="1"/>
  <c r="E15" i="73" s="1"/>
  <c r="E16" i="73" a="1"/>
  <c r="E16" i="73" s="1"/>
  <c r="E17" i="73" a="1"/>
  <c r="E17" i="73" s="1"/>
  <c r="E18" i="73" a="1"/>
  <c r="E18" i="73" s="1"/>
  <c r="E19" i="73" a="1"/>
  <c r="E19" i="73" s="1"/>
  <c r="E20" i="73" a="1"/>
  <c r="E20" i="73" s="1"/>
  <c r="E21" i="73" a="1"/>
  <c r="E21" i="73" s="1"/>
  <c r="E22" i="73" a="1"/>
  <c r="E22" i="73" s="1"/>
  <c r="E23" i="73" a="1"/>
  <c r="E23" i="73" s="1"/>
  <c r="E24" i="73" a="1"/>
  <c r="E24" i="73" s="1"/>
  <c r="E25" i="73" a="1"/>
  <c r="E25" i="73" s="1"/>
  <c r="E26" i="73" a="1"/>
  <c r="E26" i="73" s="1"/>
  <c r="E27" i="73" a="1"/>
  <c r="E27" i="73" s="1"/>
  <c r="E28" i="73" a="1"/>
  <c r="E28" i="73" s="1"/>
  <c r="E3" i="73" a="1"/>
  <c r="E3" i="73" s="1"/>
  <c r="C6" i="78" l="1"/>
  <c r="F141" i="78" s="1"/>
  <c r="C7" i="78"/>
  <c r="F142" i="78" s="1"/>
  <c r="C4" i="78"/>
  <c r="C5" i="78"/>
  <c r="F140" i="78" s="1"/>
  <c r="H29" i="76"/>
  <c r="G29" i="76"/>
  <c r="F29" i="76"/>
  <c r="H37" i="76"/>
  <c r="H36" i="76"/>
  <c r="H35" i="76"/>
  <c r="H34" i="76"/>
  <c r="H33" i="76"/>
  <c r="H32" i="76"/>
  <c r="H31" i="76"/>
  <c r="H30" i="76"/>
  <c r="G37" i="76"/>
  <c r="G36" i="76"/>
  <c r="G35" i="76"/>
  <c r="G34" i="76"/>
  <c r="G33" i="76"/>
  <c r="G32" i="76"/>
  <c r="G31" i="76"/>
  <c r="G30" i="76"/>
  <c r="F37" i="76"/>
  <c r="F36" i="76"/>
  <c r="F35" i="76"/>
  <c r="I35" i="76" s="1"/>
  <c r="J35" i="76" s="1"/>
  <c r="F34" i="76"/>
  <c r="F33" i="76"/>
  <c r="F32" i="76"/>
  <c r="F31" i="76"/>
  <c r="I31" i="76" s="1"/>
  <c r="J31" i="76" s="1"/>
  <c r="F30" i="76"/>
  <c r="G12" i="76"/>
  <c r="H12" i="76"/>
  <c r="I35" i="72" s="1"/>
  <c r="F35" i="72" s="1"/>
  <c r="G13" i="76"/>
  <c r="H13" i="76"/>
  <c r="I47" i="72" s="1"/>
  <c r="G14" i="76"/>
  <c r="H14" i="76"/>
  <c r="I49" i="72" s="1"/>
  <c r="F49" i="72" s="1"/>
  <c r="G15" i="76"/>
  <c r="H15" i="76"/>
  <c r="I50" i="72" s="1"/>
  <c r="F50" i="72" s="1"/>
  <c r="G16" i="76"/>
  <c r="H16" i="76"/>
  <c r="I51" i="72" s="1"/>
  <c r="F51" i="72" s="1"/>
  <c r="G17" i="76"/>
  <c r="H17" i="76"/>
  <c r="I52" i="72" s="1"/>
  <c r="F52" i="72" s="1"/>
  <c r="G18" i="76"/>
  <c r="H18" i="76"/>
  <c r="I53" i="72" s="1"/>
  <c r="F53" i="72" s="1"/>
  <c r="G19" i="76"/>
  <c r="H19" i="76"/>
  <c r="I54" i="72" s="1"/>
  <c r="F54" i="72" s="1"/>
  <c r="H11" i="76"/>
  <c r="I32" i="72" s="1"/>
  <c r="G11" i="76"/>
  <c r="F12" i="76"/>
  <c r="F13" i="76"/>
  <c r="I13" i="76" s="1"/>
  <c r="J13" i="76" s="1"/>
  <c r="F45" i="76" s="1"/>
  <c r="G45" i="76" s="1"/>
  <c r="F14" i="76"/>
  <c r="F15" i="76"/>
  <c r="I15" i="76" s="1"/>
  <c r="J15" i="76" s="1"/>
  <c r="F48" i="76" s="1"/>
  <c r="F16" i="76"/>
  <c r="F17" i="76"/>
  <c r="F18" i="76"/>
  <c r="F19" i="76"/>
  <c r="F11" i="76"/>
  <c r="I17" i="76" l="1"/>
  <c r="J17" i="76" s="1"/>
  <c r="F51" i="76" s="1"/>
  <c r="G51" i="76" s="1"/>
  <c r="C8" i="78"/>
  <c r="F143" i="78" s="1"/>
  <c r="F139" i="78"/>
  <c r="G20" i="76"/>
  <c r="I12" i="76"/>
  <c r="J12" i="76" s="1"/>
  <c r="F44" i="76" s="1"/>
  <c r="G44" i="76" s="1"/>
  <c r="I19" i="76"/>
  <c r="J19" i="76" s="1"/>
  <c r="F53" i="76" s="1"/>
  <c r="G53" i="76" s="1"/>
  <c r="I18" i="76"/>
  <c r="J18" i="76" s="1"/>
  <c r="F52" i="76" s="1"/>
  <c r="G52" i="76" s="1"/>
  <c r="I16" i="76"/>
  <c r="J16" i="76" s="1"/>
  <c r="F50" i="76" s="1"/>
  <c r="G50" i="76" s="1"/>
  <c r="I14" i="76"/>
  <c r="J14" i="76" s="1"/>
  <c r="F46" i="76" s="1"/>
  <c r="G46" i="76" s="1"/>
  <c r="F20" i="76"/>
  <c r="I36" i="76"/>
  <c r="J36" i="76" s="1"/>
  <c r="F49" i="76"/>
  <c r="G49" i="76" s="1"/>
  <c r="G48" i="76"/>
  <c r="I38" i="72"/>
  <c r="I33" i="72"/>
  <c r="F32" i="72"/>
  <c r="H20" i="76"/>
  <c r="I11" i="76"/>
  <c r="I184" i="78" s="1"/>
  <c r="I186" i="78" s="1"/>
  <c r="I167" i="78" s="1"/>
  <c r="F47" i="72"/>
  <c r="I56" i="72"/>
  <c r="I29" i="76"/>
  <c r="J29" i="76" s="1"/>
  <c r="I33" i="76"/>
  <c r="J33" i="76" s="1"/>
  <c r="I30" i="76"/>
  <c r="J30" i="76" s="1"/>
  <c r="I37" i="76"/>
  <c r="J37" i="76" s="1"/>
  <c r="H38" i="76"/>
  <c r="I32" i="76"/>
  <c r="J32" i="76" s="1"/>
  <c r="I34" i="76"/>
  <c r="J34" i="76" s="1"/>
  <c r="F38" i="76"/>
  <c r="G38" i="76"/>
  <c r="C9" i="78" l="1"/>
  <c r="F147" i="78"/>
  <c r="J6" i="79" s="1"/>
  <c r="J7" i="79" s="1"/>
  <c r="F153" i="78"/>
  <c r="F47" i="76"/>
  <c r="G47" i="76" s="1"/>
  <c r="I38" i="76"/>
  <c r="F38" i="72"/>
  <c r="I79" i="72"/>
  <c r="I40" i="72"/>
  <c r="M115" i="152" s="1"/>
  <c r="I65" i="72"/>
  <c r="F65" i="72" s="1"/>
  <c r="I80" i="72"/>
  <c r="F56" i="72"/>
  <c r="J11" i="76"/>
  <c r="F43" i="76" s="1"/>
  <c r="G43" i="76" s="1"/>
  <c r="I20" i="76"/>
  <c r="C19" i="72"/>
  <c r="F156" i="78" l="1"/>
  <c r="L153" i="78"/>
  <c r="I81" i="72"/>
  <c r="M56" i="94" s="1"/>
  <c r="I60" i="72"/>
  <c r="M115" i="92"/>
  <c r="C14" i="72"/>
  <c r="C13" i="72"/>
  <c r="C12" i="72"/>
  <c r="C6" i="72"/>
  <c r="C7" i="72"/>
  <c r="C5" i="72"/>
  <c r="L156" i="78" l="1"/>
  <c r="F157" i="78"/>
  <c r="G155" i="72"/>
  <c r="G109" i="72"/>
  <c r="G43" i="72"/>
  <c r="G73" i="72" s="1"/>
  <c r="F164" i="69"/>
  <c r="F161" i="69"/>
  <c r="F162" i="78" l="1"/>
  <c r="F160" i="78"/>
  <c r="F161" i="78"/>
  <c r="E184" i="69"/>
  <c r="F180" i="69"/>
  <c r="F179" i="69"/>
  <c r="F178" i="69"/>
  <c r="F177" i="69"/>
  <c r="F176" i="69"/>
  <c r="F175" i="69"/>
  <c r="F172" i="69"/>
  <c r="F171" i="69"/>
  <c r="F170" i="69"/>
  <c r="F169" i="69"/>
  <c r="F168" i="69"/>
  <c r="F167" i="69"/>
  <c r="F157" i="69"/>
  <c r="F163" i="69"/>
  <c r="F162" i="69"/>
  <c r="F113" i="151" s="1"/>
  <c r="F357" i="161" s="1"/>
  <c r="F160" i="69"/>
  <c r="F159" i="69"/>
  <c r="F158" i="69"/>
  <c r="F152" i="69"/>
  <c r="F147" i="69"/>
  <c r="F111" i="151" s="1"/>
  <c r="F105" i="69"/>
  <c r="F102" i="69"/>
  <c r="E125" i="69"/>
  <c r="F120" i="69"/>
  <c r="F121" i="69"/>
  <c r="F119" i="69"/>
  <c r="F118" i="69"/>
  <c r="F117" i="69"/>
  <c r="F116" i="69"/>
  <c r="F113" i="69"/>
  <c r="F112" i="69"/>
  <c r="F111" i="69"/>
  <c r="F110" i="69"/>
  <c r="F109" i="69"/>
  <c r="F108" i="69"/>
  <c r="F104" i="69"/>
  <c r="F103" i="69"/>
  <c r="F101" i="69"/>
  <c r="F100" i="69"/>
  <c r="F99" i="69"/>
  <c r="F98" i="69"/>
  <c r="F93" i="69"/>
  <c r="F88" i="69"/>
  <c r="F366" i="151" s="1"/>
  <c r="F62" i="69"/>
  <c r="F44" i="69"/>
  <c r="F41" i="69"/>
  <c r="F32" i="69"/>
  <c r="E64" i="69"/>
  <c r="E32" i="69"/>
  <c r="F60" i="69"/>
  <c r="F59" i="69"/>
  <c r="F58" i="69"/>
  <c r="F57" i="69"/>
  <c r="F56" i="69"/>
  <c r="F55" i="69"/>
  <c r="F51" i="69"/>
  <c r="F50" i="69"/>
  <c r="F49" i="69"/>
  <c r="F48" i="69"/>
  <c r="F47" i="69"/>
  <c r="F43" i="69"/>
  <c r="F40" i="69"/>
  <c r="F39" i="69"/>
  <c r="F38" i="69"/>
  <c r="F27" i="69"/>
  <c r="L161" i="78" l="1"/>
  <c r="L160" i="78"/>
  <c r="F164" i="78"/>
  <c r="L162" i="78"/>
  <c r="F283" i="100"/>
  <c r="F283" i="151"/>
  <c r="G357" i="161"/>
  <c r="F368" i="100"/>
  <c r="F1062" i="107" s="1"/>
  <c r="E1281" i="119" s="1"/>
  <c r="F368" i="151"/>
  <c r="F1062" i="161" s="1"/>
  <c r="F107" i="69"/>
  <c r="N87" i="69"/>
  <c r="N88" i="69" s="1"/>
  <c r="N91" i="69" s="1"/>
  <c r="F123" i="69"/>
  <c r="N108" i="69"/>
  <c r="N109" i="69" s="1"/>
  <c r="N112" i="69" s="1"/>
  <c r="F182" i="69"/>
  <c r="N166" i="69"/>
  <c r="N167" i="69" s="1"/>
  <c r="N170" i="69" s="1"/>
  <c r="F166" i="69"/>
  <c r="N145" i="69"/>
  <c r="N146" i="69" s="1"/>
  <c r="N149" i="69" s="1"/>
  <c r="F46" i="69"/>
  <c r="F366" i="100"/>
  <c r="F111" i="100"/>
  <c r="F113" i="100"/>
  <c r="F357" i="107" s="1"/>
  <c r="E378" i="119" s="1"/>
  <c r="E89" i="69"/>
  <c r="F89" i="69" s="1"/>
  <c r="E82" i="69"/>
  <c r="F82" i="69" s="1"/>
  <c r="H82" i="69" s="1"/>
  <c r="I82" i="69" s="1"/>
  <c r="K82" i="69" s="1"/>
  <c r="E148" i="69"/>
  <c r="F148" i="69" s="1"/>
  <c r="E141" i="69"/>
  <c r="F141" i="69" s="1"/>
  <c r="H141" i="69" s="1"/>
  <c r="I141" i="69" s="1"/>
  <c r="K141" i="69" s="1"/>
  <c r="F37" i="69"/>
  <c r="E28" i="69"/>
  <c r="F28" i="69" s="1"/>
  <c r="G167" i="78" l="1"/>
  <c r="L164" i="78"/>
  <c r="G357" i="107"/>
  <c r="F378" i="119" s="1"/>
  <c r="E24" i="69" l="1"/>
  <c r="F24" i="69" s="1"/>
  <c r="C101" i="69" l="1"/>
  <c r="C160" i="69" s="1"/>
  <c r="C85" i="69"/>
  <c r="E85" i="69" l="1"/>
  <c r="F85" i="69" s="1"/>
  <c r="C144" i="69"/>
  <c r="C54" i="69"/>
  <c r="C115" i="69" s="1"/>
  <c r="C174" i="69" s="1"/>
  <c r="C55" i="69"/>
  <c r="C116" i="69" s="1"/>
  <c r="C175" i="69" s="1"/>
  <c r="C56" i="69"/>
  <c r="C117" i="69" s="1"/>
  <c r="C176" i="69" s="1"/>
  <c r="C57" i="69"/>
  <c r="C118" i="69" s="1"/>
  <c r="C177" i="69" s="1"/>
  <c r="C58" i="69"/>
  <c r="C119" i="69" s="1"/>
  <c r="C178" i="69" s="1"/>
  <c r="C59" i="69"/>
  <c r="C120" i="69" s="1"/>
  <c r="C179" i="69" s="1"/>
  <c r="C47" i="69"/>
  <c r="C108" i="69" s="1"/>
  <c r="C167" i="69" s="1"/>
  <c r="C48" i="69"/>
  <c r="C109" i="69" s="1"/>
  <c r="C168" i="69" s="1"/>
  <c r="C49" i="69"/>
  <c r="C110" i="69" s="1"/>
  <c r="C169" i="69" s="1"/>
  <c r="C50" i="69"/>
  <c r="C111" i="69" s="1"/>
  <c r="C170" i="69" s="1"/>
  <c r="C51" i="69"/>
  <c r="C112" i="69" s="1"/>
  <c r="C171" i="69" s="1"/>
  <c r="C46" i="69"/>
  <c r="C107" i="69" s="1"/>
  <c r="C166" i="69" s="1"/>
  <c r="C43" i="69"/>
  <c r="C104" i="69" s="1"/>
  <c r="C163" i="69" s="1"/>
  <c r="C44" i="69"/>
  <c r="C105" i="69" s="1"/>
  <c r="C164" i="69" s="1"/>
  <c r="C42" i="69"/>
  <c r="C103" i="69" s="1"/>
  <c r="C162" i="69" s="1"/>
  <c r="C41" i="69"/>
  <c r="C102" i="69" s="1"/>
  <c r="C161" i="69" s="1"/>
  <c r="C39" i="69"/>
  <c r="C100" i="69" s="1"/>
  <c r="C159" i="69" s="1"/>
  <c r="C38" i="69"/>
  <c r="C99" i="69" s="1"/>
  <c r="C158" i="69" s="1"/>
  <c r="C37" i="69"/>
  <c r="C98" i="69" s="1"/>
  <c r="C26" i="69"/>
  <c r="C87" i="69" s="1"/>
  <c r="C25" i="69"/>
  <c r="C86" i="69" s="1"/>
  <c r="C23" i="69"/>
  <c r="B7" i="69"/>
  <c r="B5" i="69"/>
  <c r="J54" i="69" s="1"/>
  <c r="C84" i="69" l="1"/>
  <c r="C30" i="69"/>
  <c r="C145" i="69"/>
  <c r="E144" i="69"/>
  <c r="F144" i="69" s="1"/>
  <c r="B6" i="69"/>
  <c r="J60" i="69"/>
  <c r="C146" i="69"/>
  <c r="C125" i="69"/>
  <c r="C157" i="69"/>
  <c r="C184" i="69" s="1"/>
  <c r="C64" i="69"/>
  <c r="C34" i="69" l="1"/>
  <c r="C66" i="69" s="1"/>
  <c r="C91" i="69"/>
  <c r="C143" i="69"/>
  <c r="E23" i="69"/>
  <c r="J64" i="69"/>
  <c r="F286" i="151" s="1"/>
  <c r="F867" i="161" s="1"/>
  <c r="H191" i="57"/>
  <c r="H175" i="57"/>
  <c r="D33" i="159" l="1"/>
  <c r="F944" i="161"/>
  <c r="F31" i="100"/>
  <c r="F141" i="107" s="1"/>
  <c r="E99" i="119" s="1"/>
  <c r="F141" i="161"/>
  <c r="F286" i="100"/>
  <c r="F867" i="107" s="1"/>
  <c r="E981" i="119" s="1"/>
  <c r="F23" i="69"/>
  <c r="C150" i="69"/>
  <c r="C95" i="69"/>
  <c r="C127" i="69" s="1"/>
  <c r="E86" i="69"/>
  <c r="E87" i="69"/>
  <c r="E84" i="69"/>
  <c r="D53" i="166" l="1"/>
  <c r="H141" i="161"/>
  <c r="J141" i="161" s="1"/>
  <c r="G141" i="161"/>
  <c r="G141" i="107"/>
  <c r="F99" i="119" s="1"/>
  <c r="H141" i="107"/>
  <c r="J141" i="107" s="1"/>
  <c r="F944" i="107"/>
  <c r="E1082" i="119" s="1"/>
  <c r="D33" i="108"/>
  <c r="E91" i="69"/>
  <c r="E95" i="69" s="1"/>
  <c r="E127" i="69" s="1"/>
  <c r="F84" i="69"/>
  <c r="C154" i="69"/>
  <c r="C186" i="69" s="1"/>
  <c r="E145" i="69"/>
  <c r="E146" i="69"/>
  <c r="E143" i="69"/>
  <c r="I141" i="161" l="1"/>
  <c r="I141" i="107"/>
  <c r="H99" i="119" s="1"/>
  <c r="O141" i="161"/>
  <c r="N141" i="161"/>
  <c r="M141" i="161"/>
  <c r="K141" i="161"/>
  <c r="L141" i="161"/>
  <c r="Q141" i="161"/>
  <c r="P141" i="161"/>
  <c r="G99" i="119"/>
  <c r="D158" i="120"/>
  <c r="L141" i="107"/>
  <c r="F158" i="120" s="1"/>
  <c r="O141" i="107"/>
  <c r="I158" i="120" s="1"/>
  <c r="P141" i="107"/>
  <c r="J158" i="120" s="1"/>
  <c r="K141" i="107"/>
  <c r="E158" i="120" s="1"/>
  <c r="Q141" i="107"/>
  <c r="K158" i="120" s="1"/>
  <c r="N141" i="107"/>
  <c r="H158" i="120" s="1"/>
  <c r="M141" i="107"/>
  <c r="G158" i="120" s="1"/>
  <c r="D53" i="105"/>
  <c r="E150" i="69"/>
  <c r="E154" i="69" s="1"/>
  <c r="E186" i="69" s="1"/>
  <c r="F143" i="69"/>
  <c r="H101" i="57" l="1"/>
  <c r="H100" i="57"/>
  <c r="H84" i="57"/>
  <c r="H69" i="57"/>
  <c r="C60" i="57"/>
  <c r="C61" i="57" s="1"/>
  <c r="C62" i="57" s="1"/>
  <c r="C63" i="57" s="1"/>
  <c r="C64" i="57" s="1"/>
  <c r="C65" i="57" s="1"/>
  <c r="C66" i="57" s="1"/>
  <c r="C67" i="57" s="1"/>
  <c r="C68" i="57" s="1"/>
  <c r="C69" i="57" s="1"/>
  <c r="C70" i="57" s="1"/>
  <c r="C71" i="57" s="1"/>
  <c r="C72" i="57" s="1"/>
  <c r="C73" i="57" s="1"/>
  <c r="C74" i="57" s="1"/>
  <c r="C75" i="57" s="1"/>
  <c r="C76" i="57" s="1"/>
  <c r="C77" i="57" s="1"/>
  <c r="C78" i="57" s="1"/>
  <c r="C79" i="57" s="1"/>
  <c r="C80" i="57" s="1"/>
  <c r="C81" i="57" s="1"/>
  <c r="C82" i="57" s="1"/>
  <c r="C83" i="57" s="1"/>
  <c r="C84" i="57" s="1"/>
  <c r="C85" i="57" s="1"/>
  <c r="C86" i="57" s="1"/>
  <c r="C87" i="57" s="1"/>
  <c r="C88" i="57" s="1"/>
  <c r="C89" i="57" s="1"/>
  <c r="C90" i="57" s="1"/>
  <c r="C91" i="57" s="1"/>
  <c r="C92" i="57" s="1"/>
  <c r="C93" i="57" s="1"/>
  <c r="C94" i="57" s="1"/>
  <c r="C95" i="57" s="1"/>
  <c r="C96" i="57" s="1"/>
  <c r="C97" i="57" s="1"/>
  <c r="C98" i="57" s="1"/>
  <c r="C99" i="57" s="1"/>
  <c r="C100" i="57" s="1"/>
  <c r="C101" i="57" s="1"/>
  <c r="C102" i="57" s="1"/>
  <c r="C103" i="57" s="1"/>
  <c r="C104" i="57" s="1"/>
  <c r="C105" i="57" s="1"/>
  <c r="C106" i="57" s="1"/>
  <c r="C107" i="57" s="1"/>
  <c r="C108" i="57" s="1"/>
  <c r="C109" i="57" s="1"/>
  <c r="C110" i="57" s="1"/>
  <c r="C111" i="57" s="1"/>
  <c r="C112" i="57" s="1"/>
  <c r="C113" i="57" s="1"/>
  <c r="C114" i="57" s="1"/>
  <c r="C115" i="57" s="1"/>
  <c r="C116" i="57" s="1"/>
  <c r="C117" i="57" s="1"/>
  <c r="C118" i="57" s="1"/>
  <c r="C119" i="57" s="1"/>
  <c r="C120" i="57" s="1"/>
  <c r="C121" i="57" s="1"/>
  <c r="C122" i="57" s="1"/>
  <c r="C123" i="57" s="1"/>
  <c r="C124" i="57" s="1"/>
  <c r="C125" i="57" s="1"/>
  <c r="C126" i="57" s="1"/>
  <c r="C127" i="57" s="1"/>
  <c r="C128" i="57" s="1"/>
  <c r="C129" i="57" s="1"/>
  <c r="C130" i="57" s="1"/>
  <c r="C131" i="57" s="1"/>
  <c r="C132" i="57" s="1"/>
  <c r="C133" i="57" s="1"/>
  <c r="C134" i="57" s="1"/>
  <c r="C135" i="57" s="1"/>
  <c r="C136" i="57" s="1"/>
  <c r="C137" i="57" s="1"/>
  <c r="C138" i="57" s="1"/>
  <c r="C139" i="57" s="1"/>
  <c r="C140" i="57" s="1"/>
  <c r="C141" i="57" s="1"/>
  <c r="C142" i="57" s="1"/>
  <c r="C143" i="57" s="1"/>
  <c r="C144" i="57" s="1"/>
  <c r="C145" i="57" s="1"/>
  <c r="C146" i="57" s="1"/>
  <c r="C147" i="57" s="1"/>
  <c r="C148" i="57" s="1"/>
  <c r="C149" i="57" s="1"/>
  <c r="C150" i="57" s="1"/>
  <c r="C151" i="57" s="1"/>
  <c r="C152" i="57" s="1"/>
  <c r="C153" i="57" s="1"/>
  <c r="C154" i="57" s="1"/>
  <c r="C155" i="57" s="1"/>
  <c r="C156" i="57" s="1"/>
  <c r="C157" i="57" s="1"/>
  <c r="C158" i="57" s="1"/>
  <c r="C159" i="57" s="1"/>
  <c r="C160" i="57" s="1"/>
  <c r="C161" i="57" s="1"/>
  <c r="C162" i="57" s="1"/>
  <c r="C163" i="57" s="1"/>
  <c r="C164" i="57" s="1"/>
  <c r="C165" i="57" s="1"/>
  <c r="C166" i="57" s="1"/>
  <c r="C167" i="57" s="1"/>
  <c r="C168" i="57" s="1"/>
  <c r="C169" i="57" s="1"/>
  <c r="C170" i="57" s="1"/>
  <c r="C171" i="57" s="1"/>
  <c r="C172" i="57" s="1"/>
  <c r="C173" i="57" s="1"/>
  <c r="C174" i="57" s="1"/>
  <c r="C175" i="57" s="1"/>
  <c r="C176" i="57" s="1"/>
  <c r="C177" i="57" s="1"/>
  <c r="C178" i="57" s="1"/>
  <c r="C179" i="57" s="1"/>
  <c r="C180" i="57" s="1"/>
  <c r="C181" i="57" s="1"/>
  <c r="C182" i="57" s="1"/>
  <c r="C183" i="57" s="1"/>
  <c r="C184" i="57" s="1"/>
  <c r="C185" i="57" s="1"/>
  <c r="C186" i="57" s="1"/>
  <c r="C187" i="57" s="1"/>
  <c r="C188" i="57" s="1"/>
  <c r="C189" i="57" s="1"/>
  <c r="C190" i="57" s="1"/>
  <c r="C191" i="57" s="1"/>
  <c r="C192" i="57" s="1"/>
  <c r="C193" i="57" s="1"/>
  <c r="C194" i="57" s="1"/>
  <c r="C195" i="57" s="1"/>
  <c r="C196" i="57" s="1"/>
  <c r="C197" i="57" s="1"/>
  <c r="C198" i="57" s="1"/>
  <c r="C199" i="57" s="1"/>
  <c r="C200" i="57" s="1"/>
  <c r="D43" i="57" l="1"/>
  <c r="D44" i="57" s="1"/>
  <c r="E44" i="57" l="1"/>
  <c r="E43" i="57"/>
  <c r="D6" i="57"/>
  <c r="G154" i="57" s="1"/>
  <c r="D4" i="57" l="1"/>
  <c r="H134" i="57" s="1"/>
  <c r="F18" i="100" s="1"/>
  <c r="F122" i="107" s="1"/>
  <c r="E80" i="119" s="1"/>
  <c r="D3" i="57" l="1"/>
  <c r="H115" i="57" l="1"/>
  <c r="H177" i="57" s="1"/>
  <c r="D47" i="57"/>
  <c r="E47" i="57" s="1"/>
  <c r="G47" i="57" s="1"/>
  <c r="G43" i="57"/>
  <c r="G44" i="57"/>
  <c r="D42" i="57"/>
  <c r="D41" i="57"/>
  <c r="E40" i="57"/>
  <c r="G26" i="57"/>
  <c r="F33" i="100" l="1"/>
  <c r="F144" i="107" s="1"/>
  <c r="E102" i="119" s="1"/>
  <c r="F144" i="161"/>
  <c r="I144" i="161" s="1"/>
  <c r="E39" i="57"/>
  <c r="E41" i="57"/>
  <c r="E42" i="57"/>
  <c r="P2042" i="107"/>
  <c r="J2495" i="120" s="1"/>
  <c r="P2045" i="107"/>
  <c r="J2498" i="120" s="1"/>
  <c r="Q2045" i="107"/>
  <c r="K2498" i="120" s="1"/>
  <c r="Q2042" i="107"/>
  <c r="K2495" i="120" s="1"/>
  <c r="D45" i="57"/>
  <c r="D49" i="57" s="1"/>
  <c r="G40" i="57"/>
  <c r="G42" i="57" l="1"/>
  <c r="G41" i="57"/>
  <c r="N2042" i="107" s="1"/>
  <c r="H2495" i="120" s="1"/>
  <c r="G39" i="57"/>
  <c r="L2042" i="107" s="1"/>
  <c r="F2495" i="120" s="1"/>
  <c r="O2042" i="107"/>
  <c r="I2495" i="120" s="1"/>
  <c r="O2045" i="107"/>
  <c r="I2498" i="120" s="1"/>
  <c r="E45" i="57"/>
  <c r="M2042" i="107"/>
  <c r="G2495" i="120" s="1"/>
  <c r="M2045" i="107"/>
  <c r="G2498" i="120" s="1"/>
  <c r="N2045" i="107" l="1"/>
  <c r="H2498" i="120" s="1"/>
  <c r="L2045" i="107"/>
  <c r="F2498" i="120" s="1"/>
  <c r="G38" i="57"/>
  <c r="I25" i="30"/>
  <c r="I24" i="30"/>
  <c r="H25" i="30"/>
  <c r="J42" i="46"/>
  <c r="V42" i="46" s="1"/>
  <c r="J25" i="30" s="1"/>
  <c r="P2014" i="161" s="1"/>
  <c r="Q38" i="46"/>
  <c r="T40" i="46" s="1"/>
  <c r="I23" i="30" s="1"/>
  <c r="P37" i="46"/>
  <c r="O36" i="46"/>
  <c r="N35" i="46"/>
  <c r="U39" i="46" s="1"/>
  <c r="H24" i="30" s="1"/>
  <c r="M34" i="46"/>
  <c r="Q30" i="46"/>
  <c r="P29" i="46"/>
  <c r="O28" i="46"/>
  <c r="N27" i="46"/>
  <c r="M26" i="46"/>
  <c r="L25" i="46"/>
  <c r="K24" i="46"/>
  <c r="K21" i="46"/>
  <c r="V21" i="46" s="1"/>
  <c r="K13" i="46"/>
  <c r="U13" i="46" s="1"/>
  <c r="I22" i="30"/>
  <c r="H22" i="30"/>
  <c r="Q12" i="55"/>
  <c r="U32" i="46" l="1"/>
  <c r="G24" i="30" s="1"/>
  <c r="M2014" i="107" s="1"/>
  <c r="N2014" i="161"/>
  <c r="N2017" i="107"/>
  <c r="O2011" i="161"/>
  <c r="O2014" i="107"/>
  <c r="N2008" i="107"/>
  <c r="N1561" i="107" s="1"/>
  <c r="H1961" i="120" s="1"/>
  <c r="N2005" i="161"/>
  <c r="N2014" i="107"/>
  <c r="H2457" i="120" s="1"/>
  <c r="N2011" i="161"/>
  <c r="M2011" i="161"/>
  <c r="O2014" i="161"/>
  <c r="O2017" i="107"/>
  <c r="O2008" i="107"/>
  <c r="O1561" i="107" s="1"/>
  <c r="I1961" i="120" s="1"/>
  <c r="O2005" i="161"/>
  <c r="O2011" i="107"/>
  <c r="I2454" i="120" s="1"/>
  <c r="O2008" i="161"/>
  <c r="P1556" i="161"/>
  <c r="T13" i="46"/>
  <c r="V32" i="46"/>
  <c r="G25" i="30" s="1"/>
  <c r="T39" i="46"/>
  <c r="H23" i="30" s="1"/>
  <c r="P2017" i="107"/>
  <c r="J2460" i="120" s="1"/>
  <c r="J22" i="30"/>
  <c r="V13" i="46"/>
  <c r="T21" i="46"/>
  <c r="U21" i="46"/>
  <c r="T42" i="46"/>
  <c r="J23" i="30" s="1"/>
  <c r="P2008" i="161" s="1"/>
  <c r="U42" i="46"/>
  <c r="J24" i="30" s="1"/>
  <c r="P2011" i="161" s="1"/>
  <c r="P1555" i="161" s="1"/>
  <c r="T32" i="46"/>
  <c r="G23" i="30" s="1"/>
  <c r="K2042" i="107"/>
  <c r="E2495" i="120" s="1"/>
  <c r="K2045" i="107"/>
  <c r="E2498" i="120" s="1"/>
  <c r="E49" i="57"/>
  <c r="G27" i="57" s="1"/>
  <c r="G45" i="57"/>
  <c r="G49" i="57" s="1"/>
  <c r="F115" i="161" s="1"/>
  <c r="J30" i="55"/>
  <c r="J9" i="55"/>
  <c r="J4" i="55"/>
  <c r="J3" i="55"/>
  <c r="L1" i="55"/>
  <c r="K1" i="55"/>
  <c r="K6" i="55" s="1"/>
  <c r="J1" i="55"/>
  <c r="J12" i="55" s="1"/>
  <c r="P12" i="55" s="1"/>
  <c r="G2457" i="120" l="1"/>
  <c r="M1555" i="107"/>
  <c r="K61" i="55"/>
  <c r="K15" i="55"/>
  <c r="K35" i="55"/>
  <c r="P35" i="55" s="1"/>
  <c r="K75" i="55"/>
  <c r="L85" i="55"/>
  <c r="P85" i="55" s="1"/>
  <c r="L84" i="55"/>
  <c r="P84" i="55" s="1"/>
  <c r="L24" i="55"/>
  <c r="K37" i="55"/>
  <c r="K60" i="55"/>
  <c r="K80" i="55"/>
  <c r="P80" i="55" s="1"/>
  <c r="L83" i="55"/>
  <c r="P83" i="55" s="1"/>
  <c r="L64" i="55"/>
  <c r="P64" i="55" s="1"/>
  <c r="K5" i="55"/>
  <c r="L67" i="55"/>
  <c r="P67" i="55" s="1"/>
  <c r="K38" i="55"/>
  <c r="P38" i="55" s="1"/>
  <c r="K42" i="55"/>
  <c r="K18" i="55"/>
  <c r="L68" i="55"/>
  <c r="P68" i="55" s="1"/>
  <c r="K76" i="55"/>
  <c r="K77" i="55"/>
  <c r="K59" i="55"/>
  <c r="K21" i="55"/>
  <c r="P21" i="55" s="1"/>
  <c r="K31" i="55"/>
  <c r="K45" i="55"/>
  <c r="P45" i="55" s="1"/>
  <c r="K32" i="55"/>
  <c r="L49" i="55"/>
  <c r="K34" i="55"/>
  <c r="L52" i="55"/>
  <c r="P52" i="55" s="1"/>
  <c r="L69" i="55"/>
  <c r="P69" i="55" s="1"/>
  <c r="L27" i="55"/>
  <c r="P27" i="55" s="1"/>
  <c r="K56" i="55"/>
  <c r="K72" i="55"/>
  <c r="G115" i="161"/>
  <c r="H115" i="161"/>
  <c r="I115" i="161" s="1"/>
  <c r="I2451" i="120"/>
  <c r="O1554" i="107"/>
  <c r="I1954" i="120" s="1"/>
  <c r="H2451" i="120"/>
  <c r="N1555" i="107"/>
  <c r="H1955" i="120" s="1"/>
  <c r="O1554" i="161"/>
  <c r="N1555" i="161"/>
  <c r="N1561" i="161"/>
  <c r="M2011" i="107"/>
  <c r="G2454" i="120" s="1"/>
  <c r="M2008" i="161"/>
  <c r="O1561" i="161"/>
  <c r="P1554" i="161"/>
  <c r="O1556" i="107"/>
  <c r="I1956" i="120" s="1"/>
  <c r="I2460" i="120"/>
  <c r="O1555" i="107"/>
  <c r="I1955" i="120" s="1"/>
  <c r="I2457" i="120"/>
  <c r="O1555" i="161"/>
  <c r="N2011" i="107"/>
  <c r="N2008" i="161"/>
  <c r="O1556" i="161"/>
  <c r="P2008" i="107"/>
  <c r="J2451" i="120" s="1"/>
  <c r="P2005" i="161"/>
  <c r="M2017" i="107"/>
  <c r="M1556" i="107" s="1"/>
  <c r="M2014" i="161"/>
  <c r="M1555" i="161"/>
  <c r="N1556" i="107"/>
  <c r="H1956" i="120" s="1"/>
  <c r="H2460" i="120"/>
  <c r="N1556" i="161"/>
  <c r="G1955" i="120"/>
  <c r="D8" i="57"/>
  <c r="R9" i="55"/>
  <c r="Q9" i="55"/>
  <c r="P9" i="55"/>
  <c r="Q56" i="55"/>
  <c r="P56" i="55"/>
  <c r="P15" i="55"/>
  <c r="R15" i="55"/>
  <c r="Q15" i="55"/>
  <c r="Q59" i="55"/>
  <c r="P59" i="55"/>
  <c r="Q24" i="55"/>
  <c r="P24" i="55"/>
  <c r="Q60" i="55"/>
  <c r="P60" i="55"/>
  <c r="P3" i="55"/>
  <c r="Q3" i="55"/>
  <c r="R3" i="55"/>
  <c r="P18" i="55"/>
  <c r="Q18" i="55"/>
  <c r="P34" i="55"/>
  <c r="Q34" i="55"/>
  <c r="P72" i="55"/>
  <c r="Q72" i="55"/>
  <c r="P75" i="55"/>
  <c r="Q75" i="55"/>
  <c r="Q37" i="55"/>
  <c r="P37" i="55"/>
  <c r="Q61" i="55"/>
  <c r="P61" i="55"/>
  <c r="P30" i="55"/>
  <c r="R30" i="55"/>
  <c r="Q30" i="55"/>
  <c r="R5" i="55"/>
  <c r="Q5" i="55"/>
  <c r="P5" i="55"/>
  <c r="R31" i="55"/>
  <c r="Q31" i="55"/>
  <c r="P31" i="55"/>
  <c r="Q4" i="55"/>
  <c r="P4" i="55"/>
  <c r="Q42" i="55"/>
  <c r="P42" i="55"/>
  <c r="Q6" i="55"/>
  <c r="P6" i="55"/>
  <c r="Q32" i="55"/>
  <c r="P32" i="55"/>
  <c r="P49" i="55"/>
  <c r="Q49" i="55"/>
  <c r="P2011" i="107"/>
  <c r="J2454" i="120" s="1"/>
  <c r="J20" i="30"/>
  <c r="M1554" i="107"/>
  <c r="G1954" i="120" s="1"/>
  <c r="P1556" i="107"/>
  <c r="J1956" i="120" s="1"/>
  <c r="P2014" i="107"/>
  <c r="J2457" i="120" s="1"/>
  <c r="J21" i="30"/>
  <c r="F14" i="100"/>
  <c r="H190" i="57"/>
  <c r="J2045" i="107"/>
  <c r="D2498" i="120" s="1"/>
  <c r="J2042" i="107"/>
  <c r="F20" i="30"/>
  <c r="L1999" i="161" s="1"/>
  <c r="E20" i="30"/>
  <c r="K1999" i="161" s="1"/>
  <c r="Q77" i="55" l="1"/>
  <c r="P77" i="55"/>
  <c r="P76" i="55"/>
  <c r="Q76" i="55"/>
  <c r="J115" i="161"/>
  <c r="G2460" i="120"/>
  <c r="P2002" i="107"/>
  <c r="J2445" i="120" s="1"/>
  <c r="P1999" i="161"/>
  <c r="N1554" i="161"/>
  <c r="H2454" i="120"/>
  <c r="N1554" i="107"/>
  <c r="H1954" i="120" s="1"/>
  <c r="M1556" i="161"/>
  <c r="P2005" i="107"/>
  <c r="J2448" i="120" s="1"/>
  <c r="P2002" i="161"/>
  <c r="M1554" i="161"/>
  <c r="G1956" i="120"/>
  <c r="F115" i="107"/>
  <c r="K2043" i="107"/>
  <c r="E2496" i="120" s="1"/>
  <c r="D2495" i="120"/>
  <c r="H20" i="30"/>
  <c r="G21" i="30"/>
  <c r="H21" i="30"/>
  <c r="I21" i="30"/>
  <c r="G20" i="30"/>
  <c r="I20" i="30"/>
  <c r="G22" i="30"/>
  <c r="E21" i="30"/>
  <c r="K2002" i="161" s="1"/>
  <c r="K2002" i="107"/>
  <c r="E2445" i="120" s="1"/>
  <c r="P1555" i="107"/>
  <c r="J1955" i="120" s="1"/>
  <c r="F21" i="30"/>
  <c r="L2002" i="161" s="1"/>
  <c r="L2002" i="107"/>
  <c r="F2445" i="120" s="1"/>
  <c r="P1554" i="107"/>
  <c r="J1954" i="120" s="1"/>
  <c r="P2046" i="107"/>
  <c r="J2499" i="120" s="1"/>
  <c r="N2046" i="107"/>
  <c r="H2499" i="120" s="1"/>
  <c r="M2046" i="107"/>
  <c r="G2499" i="120" s="1"/>
  <c r="L2046" i="107"/>
  <c r="F2499" i="120" s="1"/>
  <c r="H2045" i="107"/>
  <c r="G2001" i="119" s="1"/>
  <c r="O2046" i="107"/>
  <c r="I2499" i="120" s="1"/>
  <c r="Q2046" i="107"/>
  <c r="K2499" i="120" s="1"/>
  <c r="K2046" i="107"/>
  <c r="E2499" i="120" s="1"/>
  <c r="H2042" i="107"/>
  <c r="G1998" i="119" s="1"/>
  <c r="Q2043" i="107"/>
  <c r="K2496" i="120" s="1"/>
  <c r="N2043" i="107"/>
  <c r="H2496" i="120" s="1"/>
  <c r="P2043" i="107"/>
  <c r="J2496" i="120" s="1"/>
  <c r="L2043" i="107"/>
  <c r="F2496" i="120" s="1"/>
  <c r="M2043" i="107"/>
  <c r="G2496" i="120" s="1"/>
  <c r="O2043" i="107"/>
  <c r="I2496" i="120" s="1"/>
  <c r="L115" i="161" l="1"/>
  <c r="O115" i="161"/>
  <c r="K115" i="161"/>
  <c r="N115" i="161"/>
  <c r="J14" i="161"/>
  <c r="Q115" i="161"/>
  <c r="P115" i="161"/>
  <c r="M115" i="161"/>
  <c r="N2002" i="107"/>
  <c r="N1999" i="161"/>
  <c r="M2008" i="107"/>
  <c r="M1561" i="107" s="1"/>
  <c r="M2005" i="161"/>
  <c r="O2002" i="107"/>
  <c r="I2445" i="120" s="1"/>
  <c r="O1999" i="161"/>
  <c r="G1941" i="107"/>
  <c r="F1885" i="119" s="1"/>
  <c r="M2002" i="107"/>
  <c r="G2445" i="120" s="1"/>
  <c r="M1999" i="161"/>
  <c r="O2005" i="107"/>
  <c r="O1560" i="107" s="1"/>
  <c r="I1960" i="120" s="1"/>
  <c r="O2002" i="161"/>
  <c r="N2005" i="107"/>
  <c r="N1560" i="107" s="1"/>
  <c r="N2002" i="161"/>
  <c r="M2005" i="107"/>
  <c r="M1560" i="107" s="1"/>
  <c r="M2002" i="161"/>
  <c r="N1559" i="107"/>
  <c r="H1959" i="120" s="1"/>
  <c r="H2445" i="120"/>
  <c r="E73" i="119"/>
  <c r="D20" i="30"/>
  <c r="F22" i="30"/>
  <c r="L2005" i="161" s="1"/>
  <c r="L2005" i="107"/>
  <c r="F2448" i="120" s="1"/>
  <c r="E22" i="30"/>
  <c r="K2005" i="161" s="1"/>
  <c r="K2005" i="107"/>
  <c r="E2448" i="120" s="1"/>
  <c r="D21" i="30"/>
  <c r="J2043" i="107"/>
  <c r="D2496" i="120" s="1"/>
  <c r="F2045" i="107"/>
  <c r="F2042" i="107"/>
  <c r="J2046" i="107"/>
  <c r="D2499" i="120" s="1"/>
  <c r="E16" i="30"/>
  <c r="I14" i="30"/>
  <c r="M1965" i="161" s="1"/>
  <c r="L15" i="30"/>
  <c r="K15" i="30"/>
  <c r="J15" i="30"/>
  <c r="I15" i="30"/>
  <c r="H15" i="30"/>
  <c r="G15" i="30"/>
  <c r="L14" i="30"/>
  <c r="P1965" i="161" s="1"/>
  <c r="K14" i="30"/>
  <c r="O1965" i="161" s="1"/>
  <c r="J14" i="30"/>
  <c r="N1965" i="161" s="1"/>
  <c r="H14" i="30"/>
  <c r="L1965" i="161" s="1"/>
  <c r="G14" i="30"/>
  <c r="L9" i="30"/>
  <c r="K9" i="30"/>
  <c r="J9" i="30"/>
  <c r="I9" i="30"/>
  <c r="H9" i="30"/>
  <c r="G9" i="30"/>
  <c r="M1559" i="107" l="1"/>
  <c r="G1959" i="120" s="1"/>
  <c r="Q14" i="161"/>
  <c r="N14" i="161"/>
  <c r="K14" i="161"/>
  <c r="P14" i="161"/>
  <c r="O14" i="161"/>
  <c r="M14" i="161"/>
  <c r="L14" i="161"/>
  <c r="G2448" i="120"/>
  <c r="O1559" i="107"/>
  <c r="I1959" i="120" s="1"/>
  <c r="G2451" i="120"/>
  <c r="K1938" i="107"/>
  <c r="E2377" i="120" s="1"/>
  <c r="K1938" i="161"/>
  <c r="O1938" i="107"/>
  <c r="I2377" i="120" s="1"/>
  <c r="O1938" i="161"/>
  <c r="P1938" i="107"/>
  <c r="J2377" i="120" s="1"/>
  <c r="P1938" i="161"/>
  <c r="O1559" i="161"/>
  <c r="L1938" i="107"/>
  <c r="F2377" i="120" s="1"/>
  <c r="L1938" i="161"/>
  <c r="K1968" i="107"/>
  <c r="K1965" i="161"/>
  <c r="O1560" i="161"/>
  <c r="N1938" i="107"/>
  <c r="H2377" i="120" s="1"/>
  <c r="N1938" i="161"/>
  <c r="J2005" i="107"/>
  <c r="D2448" i="120" s="1"/>
  <c r="J2002" i="161"/>
  <c r="O2003" i="161" s="1"/>
  <c r="H2448" i="120"/>
  <c r="J2002" i="107"/>
  <c r="O2003" i="107" s="1"/>
  <c r="I2446" i="120" s="1"/>
  <c r="J1999" i="161"/>
  <c r="M1561" i="161"/>
  <c r="I2448" i="120"/>
  <c r="M1560" i="161"/>
  <c r="M2000" i="161"/>
  <c r="M1559" i="161"/>
  <c r="M1938" i="107"/>
  <c r="G2377" i="120" s="1"/>
  <c r="M1938" i="161"/>
  <c r="G1971" i="161"/>
  <c r="G1974" i="107"/>
  <c r="F1918" i="119" s="1"/>
  <c r="N2000" i="161"/>
  <c r="N1559" i="161"/>
  <c r="N1560" i="161"/>
  <c r="G1960" i="120"/>
  <c r="H1960" i="120"/>
  <c r="G1961" i="120"/>
  <c r="G2046" i="107"/>
  <c r="F2002" i="119" s="1"/>
  <c r="E2001" i="119"/>
  <c r="G2043" i="107"/>
  <c r="F1999" i="119" s="1"/>
  <c r="E1998" i="119"/>
  <c r="H16" i="30"/>
  <c r="L1968" i="107"/>
  <c r="J16" i="30"/>
  <c r="N1968" i="107"/>
  <c r="K16" i="30"/>
  <c r="O1968" i="107"/>
  <c r="I16" i="30"/>
  <c r="M1968" i="107"/>
  <c r="E23" i="30"/>
  <c r="K2008" i="161" s="1"/>
  <c r="D22" i="30"/>
  <c r="K2008" i="107"/>
  <c r="E2451" i="120" s="1"/>
  <c r="L16" i="30"/>
  <c r="P1968" i="107"/>
  <c r="F23" i="30"/>
  <c r="L2008" i="161" s="1"/>
  <c r="L2008" i="107"/>
  <c r="F2451" i="120" s="1"/>
  <c r="H2043" i="107"/>
  <c r="H2046" i="107"/>
  <c r="G2002" i="119" s="1"/>
  <c r="F14" i="30"/>
  <c r="F9" i="30"/>
  <c r="F15" i="30"/>
  <c r="D15" i="30" s="1"/>
  <c r="G16" i="30"/>
  <c r="I8" i="30"/>
  <c r="L8" i="30"/>
  <c r="K8" i="30"/>
  <c r="J8" i="30"/>
  <c r="H8" i="30"/>
  <c r="G8" i="30"/>
  <c r="N3" i="45"/>
  <c r="N7" i="45"/>
  <c r="N6" i="45"/>
  <c r="N5" i="45"/>
  <c r="N4" i="45"/>
  <c r="M3" i="45"/>
  <c r="M7" i="45"/>
  <c r="M6" i="45"/>
  <c r="M5" i="45"/>
  <c r="M4" i="45"/>
  <c r="L3" i="45"/>
  <c r="L7" i="45"/>
  <c r="L6" i="45"/>
  <c r="L5" i="45"/>
  <c r="L4" i="45"/>
  <c r="K3" i="45"/>
  <c r="K7" i="45"/>
  <c r="K6" i="45"/>
  <c r="K5" i="45"/>
  <c r="K4" i="45"/>
  <c r="J3" i="45"/>
  <c r="J7" i="45"/>
  <c r="J6" i="45"/>
  <c r="J5" i="45"/>
  <c r="J4" i="45"/>
  <c r="I3" i="45"/>
  <c r="I7" i="45"/>
  <c r="I6" i="45"/>
  <c r="I5" i="45"/>
  <c r="I4" i="45"/>
  <c r="H3" i="45"/>
  <c r="H7" i="45"/>
  <c r="H6" i="45"/>
  <c r="H5" i="45"/>
  <c r="H4" i="45"/>
  <c r="G3" i="45"/>
  <c r="G7" i="45"/>
  <c r="G6" i="45"/>
  <c r="G5" i="45"/>
  <c r="G4" i="45"/>
  <c r="F3" i="45"/>
  <c r="F7" i="45"/>
  <c r="F6" i="45"/>
  <c r="F5" i="45"/>
  <c r="F4" i="45"/>
  <c r="E3" i="45"/>
  <c r="E7" i="45"/>
  <c r="E6" i="45"/>
  <c r="E5" i="45"/>
  <c r="E4" i="45"/>
  <c r="D3" i="45"/>
  <c r="D7" i="45"/>
  <c r="D6" i="45"/>
  <c r="D5" i="45"/>
  <c r="D4" i="45"/>
  <c r="C8" i="45"/>
  <c r="D8" i="45" s="1"/>
  <c r="E8" i="45" s="1"/>
  <c r="F8" i="45" s="1"/>
  <c r="G8" i="45" s="1"/>
  <c r="H8" i="45" s="1"/>
  <c r="I8" i="45" s="1"/>
  <c r="J8" i="45" s="1"/>
  <c r="K8" i="45" s="1"/>
  <c r="L8" i="45" s="1"/>
  <c r="M8" i="45" s="1"/>
  <c r="N8" i="45" s="1"/>
  <c r="N10" i="45" s="1"/>
  <c r="C7" i="45"/>
  <c r="C6" i="45"/>
  <c r="C5" i="45"/>
  <c r="C4" i="45"/>
  <c r="C3" i="45"/>
  <c r="O4" i="44"/>
  <c r="O25" i="44"/>
  <c r="O21" i="44"/>
  <c r="O20" i="44"/>
  <c r="O19" i="44"/>
  <c r="O15" i="44"/>
  <c r="O14" i="44"/>
  <c r="O13" i="44"/>
  <c r="O16" i="44" s="1"/>
  <c r="O9" i="44"/>
  <c r="O8" i="44"/>
  <c r="O7" i="44"/>
  <c r="N4" i="44"/>
  <c r="N25" i="44"/>
  <c r="N21" i="44"/>
  <c r="N20" i="44"/>
  <c r="N19" i="44"/>
  <c r="N22" i="44" s="1"/>
  <c r="N15" i="44"/>
  <c r="N14" i="44"/>
  <c r="N13" i="44"/>
  <c r="N9" i="44"/>
  <c r="N8" i="44"/>
  <c r="N7" i="44"/>
  <c r="M4" i="44"/>
  <c r="M25" i="44"/>
  <c r="M21" i="44"/>
  <c r="M20" i="44"/>
  <c r="M19" i="44"/>
  <c r="M15" i="44"/>
  <c r="M14" i="44"/>
  <c r="M13" i="44"/>
  <c r="M9" i="44"/>
  <c r="M8" i="44"/>
  <c r="M7" i="44"/>
  <c r="L4" i="44"/>
  <c r="L25" i="44"/>
  <c r="L21" i="44"/>
  <c r="L20" i="44"/>
  <c r="L19" i="44"/>
  <c r="L15" i="44"/>
  <c r="L14" i="44"/>
  <c r="L13" i="44"/>
  <c r="L9" i="44"/>
  <c r="L8" i="44"/>
  <c r="L7" i="44"/>
  <c r="K4" i="44"/>
  <c r="K25" i="44"/>
  <c r="K21" i="44"/>
  <c r="K20" i="44"/>
  <c r="K19" i="44"/>
  <c r="K15" i="44"/>
  <c r="K14" i="44"/>
  <c r="K13" i="44"/>
  <c r="K9" i="44"/>
  <c r="K8" i="44"/>
  <c r="K7" i="44"/>
  <c r="J4" i="44"/>
  <c r="J25" i="44"/>
  <c r="J21" i="44"/>
  <c r="J20" i="44"/>
  <c r="J19" i="44"/>
  <c r="J15" i="44"/>
  <c r="J14" i="44"/>
  <c r="J13" i="44"/>
  <c r="J9" i="44"/>
  <c r="J8" i="44"/>
  <c r="J7" i="44"/>
  <c r="I4" i="44"/>
  <c r="I25" i="44"/>
  <c r="I21" i="44"/>
  <c r="I20" i="44"/>
  <c r="I19" i="44"/>
  <c r="I15" i="44"/>
  <c r="I14" i="44"/>
  <c r="I13" i="44"/>
  <c r="I16" i="44" s="1"/>
  <c r="I9" i="44"/>
  <c r="I8" i="44"/>
  <c r="I7" i="44"/>
  <c r="H4" i="44"/>
  <c r="H25" i="44"/>
  <c r="H21" i="44"/>
  <c r="H20" i="44"/>
  <c r="H19" i="44"/>
  <c r="H15" i="44"/>
  <c r="H14" i="44"/>
  <c r="H13" i="44"/>
  <c r="H9" i="44"/>
  <c r="H8" i="44"/>
  <c r="H7" i="44"/>
  <c r="G4" i="44"/>
  <c r="G25" i="44"/>
  <c r="G21" i="44"/>
  <c r="G20" i="44"/>
  <c r="G19" i="44"/>
  <c r="G15" i="44"/>
  <c r="G14" i="44"/>
  <c r="G13" i="44"/>
  <c r="G9" i="44"/>
  <c r="G8" i="44"/>
  <c r="G7" i="44"/>
  <c r="G10" i="44" s="1"/>
  <c r="F4" i="44"/>
  <c r="F25" i="44"/>
  <c r="F21" i="44"/>
  <c r="F20" i="44"/>
  <c r="F19" i="44"/>
  <c r="F15" i="44"/>
  <c r="F14" i="44"/>
  <c r="F13" i="44"/>
  <c r="F9" i="44"/>
  <c r="F8" i="44"/>
  <c r="F7" i="44"/>
  <c r="E4" i="44"/>
  <c r="E25" i="44"/>
  <c r="E21" i="44"/>
  <c r="E20" i="44"/>
  <c r="E19" i="44"/>
  <c r="E22" i="44" s="1"/>
  <c r="E15" i="44"/>
  <c r="E14" i="44"/>
  <c r="E13" i="44"/>
  <c r="E9" i="44"/>
  <c r="E8" i="44"/>
  <c r="E7" i="44"/>
  <c r="D25" i="44"/>
  <c r="D21" i="44"/>
  <c r="D20" i="44"/>
  <c r="D19" i="44"/>
  <c r="D15" i="44"/>
  <c r="D14" i="44"/>
  <c r="D13" i="44"/>
  <c r="D9" i="44"/>
  <c r="D8" i="44"/>
  <c r="D7" i="44"/>
  <c r="D4" i="44"/>
  <c r="R7" i="44" l="1"/>
  <c r="Q7" i="44"/>
  <c r="P7" i="44"/>
  <c r="R8" i="44"/>
  <c r="Q8" i="44"/>
  <c r="P8" i="44"/>
  <c r="R15" i="44"/>
  <c r="Q15" i="44"/>
  <c r="P15" i="44"/>
  <c r="F10" i="44"/>
  <c r="R19" i="44"/>
  <c r="Q19" i="44"/>
  <c r="P19" i="44"/>
  <c r="R4" i="44"/>
  <c r="Q4" i="44"/>
  <c r="P4" i="44"/>
  <c r="R20" i="44"/>
  <c r="Q20" i="44"/>
  <c r="P20" i="44"/>
  <c r="J22" i="44"/>
  <c r="L10" i="44"/>
  <c r="R21" i="44"/>
  <c r="Q21" i="44"/>
  <c r="P21" i="44"/>
  <c r="R25" i="44"/>
  <c r="Q25" i="44"/>
  <c r="P25" i="44"/>
  <c r="R9" i="44"/>
  <c r="Q9" i="44"/>
  <c r="P9" i="44"/>
  <c r="R13" i="44"/>
  <c r="Q13" i="44"/>
  <c r="P13" i="44"/>
  <c r="R14" i="44"/>
  <c r="Q14" i="44"/>
  <c r="P14" i="44"/>
  <c r="K10" i="44"/>
  <c r="E2407" i="120"/>
  <c r="N2003" i="161"/>
  <c r="G115" i="107"/>
  <c r="D2445" i="120"/>
  <c r="N2003" i="107"/>
  <c r="H2446" i="120" s="1"/>
  <c r="K1974" i="107"/>
  <c r="E2413" i="120" s="1"/>
  <c r="K1971" i="161"/>
  <c r="M1974" i="107"/>
  <c r="G2413" i="120" s="1"/>
  <c r="M1971" i="161"/>
  <c r="L1935" i="107"/>
  <c r="F2374" i="120" s="1"/>
  <c r="L1935" i="161"/>
  <c r="J1965" i="161"/>
  <c r="H1965" i="161"/>
  <c r="P1974" i="107"/>
  <c r="J2413" i="120" s="1"/>
  <c r="P1971" i="161"/>
  <c r="K2006" i="107"/>
  <c r="E2449" i="120" s="1"/>
  <c r="M2006" i="107"/>
  <c r="G2449" i="120" s="1"/>
  <c r="N1935" i="107"/>
  <c r="H2374" i="120" s="1"/>
  <c r="N1935" i="161"/>
  <c r="N2006" i="107"/>
  <c r="H2449" i="120" s="1"/>
  <c r="M2003" i="161"/>
  <c r="L1554" i="161"/>
  <c r="L2006" i="107"/>
  <c r="F2449" i="120" s="1"/>
  <c r="P2006" i="107"/>
  <c r="J2449" i="120" s="1"/>
  <c r="O1935" i="107"/>
  <c r="I2374" i="120" s="1"/>
  <c r="O1935" i="161"/>
  <c r="J2008" i="107"/>
  <c r="D2451" i="120" s="1"/>
  <c r="J2005" i="161"/>
  <c r="N1974" i="107"/>
  <c r="H2413" i="120" s="1"/>
  <c r="N1971" i="161"/>
  <c r="Q2006" i="107"/>
  <c r="K2449" i="120" s="1"/>
  <c r="P2000" i="161"/>
  <c r="Q2000" i="161"/>
  <c r="H1999" i="161"/>
  <c r="L2000" i="161"/>
  <c r="K2000" i="161"/>
  <c r="K1935" i="107"/>
  <c r="E2374" i="120" s="1"/>
  <c r="K1935" i="161"/>
  <c r="H2005" i="107"/>
  <c r="G1952" i="119" s="1"/>
  <c r="K1554" i="161"/>
  <c r="O2006" i="107"/>
  <c r="I2449" i="120" s="1"/>
  <c r="H2002" i="107"/>
  <c r="K2003" i="107"/>
  <c r="E2446" i="120" s="1"/>
  <c r="M2003" i="107"/>
  <c r="G2446" i="120" s="1"/>
  <c r="P2003" i="107"/>
  <c r="J2446" i="120" s="1"/>
  <c r="J1938" i="161"/>
  <c r="Q1939" i="161" s="1"/>
  <c r="H1938" i="161"/>
  <c r="O1974" i="107"/>
  <c r="I2413" i="120" s="1"/>
  <c r="O1971" i="161"/>
  <c r="P1935" i="107"/>
  <c r="J2374" i="120" s="1"/>
  <c r="P1935" i="161"/>
  <c r="M1935" i="107"/>
  <c r="G2374" i="120" s="1"/>
  <c r="M1935" i="161"/>
  <c r="L1974" i="107"/>
  <c r="F2413" i="120" s="1"/>
  <c r="L1971" i="161"/>
  <c r="Q2003" i="107"/>
  <c r="K2446" i="120" s="1"/>
  <c r="L2003" i="107"/>
  <c r="F2446" i="120" s="1"/>
  <c r="O2000" i="161"/>
  <c r="Q2003" i="161"/>
  <c r="H2002" i="161"/>
  <c r="P2003" i="161"/>
  <c r="K2003" i="161"/>
  <c r="L2003" i="161"/>
  <c r="J2407" i="120"/>
  <c r="G2407" i="120"/>
  <c r="I2407" i="120"/>
  <c r="H2407" i="120"/>
  <c r="F2407" i="120"/>
  <c r="H115" i="107"/>
  <c r="G1999" i="119"/>
  <c r="L16" i="44"/>
  <c r="L28" i="44" s="1"/>
  <c r="S7" i="44"/>
  <c r="O3" i="45"/>
  <c r="C10" i="45"/>
  <c r="F2043" i="107"/>
  <c r="E1999" i="119" s="1"/>
  <c r="D9" i="30"/>
  <c r="J1938" i="107"/>
  <c r="D2377" i="120" s="1"/>
  <c r="H1938" i="107"/>
  <c r="D14" i="30"/>
  <c r="J1968" i="107"/>
  <c r="D2407" i="120" s="1"/>
  <c r="H1968" i="107"/>
  <c r="G1912" i="119" s="1"/>
  <c r="E24" i="30"/>
  <c r="K2011" i="161" s="1"/>
  <c r="D23" i="30"/>
  <c r="K2011" i="107"/>
  <c r="E2454" i="120" s="1"/>
  <c r="M2009" i="107"/>
  <c r="G2452" i="120" s="1"/>
  <c r="F24" i="30"/>
  <c r="L2011" i="161" s="1"/>
  <c r="L2011" i="107"/>
  <c r="F2454" i="120" s="1"/>
  <c r="O22" i="44"/>
  <c r="L22" i="44"/>
  <c r="U20" i="44"/>
  <c r="S21" i="44"/>
  <c r="H16" i="44"/>
  <c r="G22" i="44"/>
  <c r="E16" i="44"/>
  <c r="D10" i="44"/>
  <c r="T14" i="44"/>
  <c r="U14" i="44"/>
  <c r="D16" i="44"/>
  <c r="U7" i="44"/>
  <c r="O5" i="45"/>
  <c r="F2046" i="107"/>
  <c r="E2002" i="119" s="1"/>
  <c r="O6" i="45"/>
  <c r="N16" i="44"/>
  <c r="U8" i="44"/>
  <c r="K16" i="44"/>
  <c r="U15" i="44"/>
  <c r="J10" i="44"/>
  <c r="S8" i="44"/>
  <c r="S15" i="44"/>
  <c r="T9" i="44"/>
  <c r="U19" i="44"/>
  <c r="J16" i="44"/>
  <c r="J28" i="44" s="1"/>
  <c r="S9" i="44"/>
  <c r="O7" i="45"/>
  <c r="U25" i="44"/>
  <c r="S19" i="44"/>
  <c r="O4" i="45"/>
  <c r="S20" i="44"/>
  <c r="T7" i="44"/>
  <c r="U21" i="44"/>
  <c r="T21" i="44"/>
  <c r="O1944" i="161" s="1"/>
  <c r="S13" i="44"/>
  <c r="T15" i="44"/>
  <c r="S14" i="44"/>
  <c r="U9" i="44"/>
  <c r="T8" i="44"/>
  <c r="T20" i="44"/>
  <c r="T13" i="44"/>
  <c r="I22" i="44"/>
  <c r="T19" i="44"/>
  <c r="U13" i="44"/>
  <c r="L10" i="45"/>
  <c r="H10" i="45"/>
  <c r="G16" i="44"/>
  <c r="F22" i="44"/>
  <c r="F16" i="44"/>
  <c r="F28" i="44" s="1"/>
  <c r="D10" i="45"/>
  <c r="G10" i="45"/>
  <c r="E10" i="44"/>
  <c r="E28" i="44" s="1"/>
  <c r="J10" i="45"/>
  <c r="F10" i="45"/>
  <c r="K10" i="45"/>
  <c r="M10" i="45"/>
  <c r="I10" i="45"/>
  <c r="E10" i="45"/>
  <c r="O8" i="45"/>
  <c r="F16" i="30"/>
  <c r="F8" i="30"/>
  <c r="S4" i="44"/>
  <c r="D22" i="44"/>
  <c r="I10" i="44"/>
  <c r="M16" i="44"/>
  <c r="T4" i="44"/>
  <c r="M22" i="44"/>
  <c r="O10" i="44"/>
  <c r="O28" i="44" s="1"/>
  <c r="U4" i="44"/>
  <c r="H10" i="44"/>
  <c r="N10" i="44"/>
  <c r="N28" i="44" s="1"/>
  <c r="S25" i="44"/>
  <c r="T25" i="44"/>
  <c r="H22" i="44"/>
  <c r="K22" i="44"/>
  <c r="M10" i="44"/>
  <c r="Q2009" i="107" l="1"/>
  <c r="K2452" i="120" s="1"/>
  <c r="N2009" i="107"/>
  <c r="H2452" i="120" s="1"/>
  <c r="H2008" i="107"/>
  <c r="G1955" i="119" s="1"/>
  <c r="P2009" i="107"/>
  <c r="J2452" i="120" s="1"/>
  <c r="K2009" i="107"/>
  <c r="E2452" i="120" s="1"/>
  <c r="M28" i="44"/>
  <c r="K28" i="44"/>
  <c r="K10" i="30"/>
  <c r="K7" i="30"/>
  <c r="O1932" i="161" s="1"/>
  <c r="G10" i="30"/>
  <c r="G7" i="30"/>
  <c r="K1932" i="161" s="1"/>
  <c r="R22" i="44"/>
  <c r="P22" i="44"/>
  <c r="Q22" i="44"/>
  <c r="R16" i="44"/>
  <c r="Q16" i="44"/>
  <c r="P16" i="44"/>
  <c r="G28" i="44"/>
  <c r="R10" i="44"/>
  <c r="Q10" i="44"/>
  <c r="P10" i="44"/>
  <c r="L10" i="30"/>
  <c r="L7" i="30"/>
  <c r="P1932" i="161" s="1"/>
  <c r="J10" i="30"/>
  <c r="J7" i="30"/>
  <c r="N1932" i="161" s="1"/>
  <c r="O10" i="45"/>
  <c r="F73" i="119"/>
  <c r="P1939" i="161"/>
  <c r="F2005" i="107"/>
  <c r="H2006" i="107" s="1"/>
  <c r="J2006" i="107"/>
  <c r="D2449" i="120" s="1"/>
  <c r="M1969" i="107"/>
  <c r="G2408" i="120" s="1"/>
  <c r="L1555" i="161"/>
  <c r="O1939" i="161"/>
  <c r="P1966" i="161"/>
  <c r="Q1966" i="161"/>
  <c r="O1966" i="161"/>
  <c r="M1966" i="161"/>
  <c r="N1966" i="161"/>
  <c r="L1966" i="161"/>
  <c r="J2000" i="161"/>
  <c r="K1939" i="161"/>
  <c r="K1966" i="161"/>
  <c r="F1965" i="161"/>
  <c r="G1966" i="161" s="1"/>
  <c r="O1969" i="107"/>
  <c r="I2408" i="120" s="1"/>
  <c r="P1969" i="107"/>
  <c r="J2408" i="120" s="1"/>
  <c r="M1939" i="161"/>
  <c r="G1949" i="119"/>
  <c r="F2002" i="107"/>
  <c r="L1939" i="161"/>
  <c r="N1939" i="161"/>
  <c r="J1971" i="161"/>
  <c r="M1972" i="161" s="1"/>
  <c r="H1971" i="161"/>
  <c r="F2002" i="161"/>
  <c r="G2003" i="161" s="1"/>
  <c r="J2003" i="107"/>
  <c r="D2446" i="120" s="1"/>
  <c r="P2006" i="161"/>
  <c r="Q2006" i="161"/>
  <c r="H2005" i="161"/>
  <c r="O2006" i="161"/>
  <c r="N2006" i="161"/>
  <c r="K2006" i="161"/>
  <c r="M2006" i="161"/>
  <c r="L2006" i="161"/>
  <c r="O1944" i="107"/>
  <c r="I2383" i="120" s="1"/>
  <c r="J2011" i="107"/>
  <c r="D2454" i="120" s="1"/>
  <c r="J2008" i="161"/>
  <c r="J1935" i="161"/>
  <c r="Q1936" i="161" s="1"/>
  <c r="H1935" i="161"/>
  <c r="K1555" i="161"/>
  <c r="L2009" i="107"/>
  <c r="F2452" i="120" s="1"/>
  <c r="O2009" i="107"/>
  <c r="I2452" i="120" s="1"/>
  <c r="N1969" i="107"/>
  <c r="H2408" i="120" s="1"/>
  <c r="J2003" i="161"/>
  <c r="F1938" i="161"/>
  <c r="G1939" i="161" s="1"/>
  <c r="F1999" i="161"/>
  <c r="G2000" i="161" s="1"/>
  <c r="K1972" i="161"/>
  <c r="E1952" i="119"/>
  <c r="F1938" i="107"/>
  <c r="E1882" i="119" s="1"/>
  <c r="G1882" i="119"/>
  <c r="P1944" i="161"/>
  <c r="K1944" i="161"/>
  <c r="G73" i="119"/>
  <c r="J115" i="107"/>
  <c r="J14" i="107" s="1"/>
  <c r="D13" i="120" s="1"/>
  <c r="I115" i="107"/>
  <c r="H73" i="119" s="1"/>
  <c r="H28" i="44"/>
  <c r="F1968" i="107"/>
  <c r="D16" i="30"/>
  <c r="J1974" i="107"/>
  <c r="D2413" i="120" s="1"/>
  <c r="H1974" i="107"/>
  <c r="F25" i="30"/>
  <c r="L2014" i="107"/>
  <c r="F2457" i="120" s="1"/>
  <c r="Q1969" i="107"/>
  <c r="K2408" i="120" s="1"/>
  <c r="K1969" i="107"/>
  <c r="E2408" i="120" s="1"/>
  <c r="L1554" i="107"/>
  <c r="F1954" i="120" s="1"/>
  <c r="K1554" i="107"/>
  <c r="F2008" i="107"/>
  <c r="Q1939" i="107"/>
  <c r="K2378" i="120" s="1"/>
  <c r="O1939" i="107"/>
  <c r="I2378" i="120" s="1"/>
  <c r="L1939" i="107"/>
  <c r="F2378" i="120" s="1"/>
  <c r="P1939" i="107"/>
  <c r="J2378" i="120" s="1"/>
  <c r="M1939" i="107"/>
  <c r="G2378" i="120" s="1"/>
  <c r="K1939" i="107"/>
  <c r="E2378" i="120" s="1"/>
  <c r="N1939" i="107"/>
  <c r="H2378" i="120" s="1"/>
  <c r="L1969" i="107"/>
  <c r="F2408" i="120" s="1"/>
  <c r="E25" i="30"/>
  <c r="K2014" i="161" s="1"/>
  <c r="D24" i="30"/>
  <c r="K2014" i="107"/>
  <c r="E2457" i="120" s="1"/>
  <c r="D8" i="30"/>
  <c r="J1935" i="107"/>
  <c r="D2374" i="120" s="1"/>
  <c r="H1935" i="107"/>
  <c r="T16" i="44"/>
  <c r="S16" i="44"/>
  <c r="O1932" i="107"/>
  <c r="I2371" i="120" s="1"/>
  <c r="U16" i="44"/>
  <c r="P1932" i="107"/>
  <c r="J2371" i="120" s="1"/>
  <c r="N1944" i="161"/>
  <c r="N1932" i="107"/>
  <c r="H2371" i="120" s="1"/>
  <c r="K1932" i="107"/>
  <c r="E2371" i="120" s="1"/>
  <c r="T10" i="44"/>
  <c r="U10" i="44"/>
  <c r="I28" i="44"/>
  <c r="S10" i="44"/>
  <c r="U22" i="44"/>
  <c r="T22" i="44"/>
  <c r="S22" i="44"/>
  <c r="D28" i="44"/>
  <c r="H2011" i="107" l="1"/>
  <c r="G1958" i="119" s="1"/>
  <c r="N1941" i="161"/>
  <c r="N1941" i="107"/>
  <c r="I10" i="30"/>
  <c r="I7" i="30"/>
  <c r="K1941" i="107"/>
  <c r="K1941" i="161"/>
  <c r="N1972" i="161"/>
  <c r="P1941" i="161"/>
  <c r="P1941" i="107"/>
  <c r="P2012" i="107"/>
  <c r="J2455" i="120" s="1"/>
  <c r="O1941" i="161"/>
  <c r="O1941" i="107"/>
  <c r="X3" i="44"/>
  <c r="R28" i="44"/>
  <c r="Q28" i="44"/>
  <c r="F7" i="30" s="1"/>
  <c r="P28" i="44"/>
  <c r="O2012" i="107"/>
  <c r="I2455" i="120" s="1"/>
  <c r="H10" i="30"/>
  <c r="H7" i="30"/>
  <c r="L1932" i="161" s="1"/>
  <c r="P178" i="107"/>
  <c r="J193" i="120" s="1"/>
  <c r="M180" i="107"/>
  <c r="G195" i="120" s="1"/>
  <c r="M178" i="107"/>
  <c r="G193" i="120" s="1"/>
  <c r="G2006" i="107"/>
  <c r="F1953" i="119" s="1"/>
  <c r="O180" i="107"/>
  <c r="I195" i="120" s="1"/>
  <c r="O183" i="107"/>
  <c r="I198" i="120" s="1"/>
  <c r="O179" i="107"/>
  <c r="I194" i="120" s="1"/>
  <c r="O178" i="107"/>
  <c r="I193" i="120" s="1"/>
  <c r="M179" i="107"/>
  <c r="G194" i="120" s="1"/>
  <c r="P183" i="107"/>
  <c r="J198" i="120" s="1"/>
  <c r="M183" i="107"/>
  <c r="G198" i="120" s="1"/>
  <c r="P180" i="107"/>
  <c r="J195" i="120" s="1"/>
  <c r="H1966" i="161"/>
  <c r="Q2012" i="107"/>
  <c r="K2455" i="120" s="1"/>
  <c r="H2000" i="161"/>
  <c r="F2000" i="161" s="1"/>
  <c r="K2012" i="107"/>
  <c r="E2455" i="120" s="1"/>
  <c r="L1972" i="161"/>
  <c r="M2012" i="107"/>
  <c r="G2455" i="120" s="1"/>
  <c r="L2012" i="107"/>
  <c r="F2455" i="120" s="1"/>
  <c r="N2012" i="107"/>
  <c r="H2455" i="120" s="1"/>
  <c r="J2009" i="107"/>
  <c r="D2452" i="120" s="1"/>
  <c r="O2057" i="107"/>
  <c r="I2510" i="120" s="1"/>
  <c r="P179" i="107"/>
  <c r="J194" i="120" s="1"/>
  <c r="N183" i="107"/>
  <c r="H198" i="120" s="1"/>
  <c r="J2006" i="161"/>
  <c r="M180" i="161"/>
  <c r="M183" i="161"/>
  <c r="M178" i="161"/>
  <c r="M179" i="161"/>
  <c r="Q2009" i="161"/>
  <c r="H2008" i="161"/>
  <c r="O2009" i="161"/>
  <c r="P2009" i="161"/>
  <c r="N2009" i="161"/>
  <c r="M2009" i="161"/>
  <c r="K2009" i="161"/>
  <c r="L2009" i="161"/>
  <c r="K183" i="161"/>
  <c r="K180" i="161"/>
  <c r="J1966" i="161"/>
  <c r="K178" i="161"/>
  <c r="K179" i="161"/>
  <c r="O178" i="161"/>
  <c r="O183" i="161"/>
  <c r="O180" i="161"/>
  <c r="O179" i="161"/>
  <c r="H2003" i="107"/>
  <c r="G1950" i="119" s="1"/>
  <c r="G2003" i="107"/>
  <c r="E1949" i="119"/>
  <c r="N1936" i="161"/>
  <c r="H2003" i="161"/>
  <c r="F2003" i="161" s="1"/>
  <c r="Q183" i="161"/>
  <c r="Q180" i="161"/>
  <c r="Q178" i="161"/>
  <c r="Q179" i="161"/>
  <c r="L2017" i="107"/>
  <c r="F2460" i="120" s="1"/>
  <c r="L2014" i="161"/>
  <c r="O1936" i="161"/>
  <c r="O2054" i="161"/>
  <c r="F2005" i="161"/>
  <c r="G2006" i="161" s="1"/>
  <c r="J1939" i="161"/>
  <c r="P180" i="161"/>
  <c r="P183" i="161"/>
  <c r="P178" i="161"/>
  <c r="P179" i="161"/>
  <c r="K1556" i="161"/>
  <c r="P1944" i="107"/>
  <c r="J2383" i="120" s="1"/>
  <c r="L1936" i="161"/>
  <c r="G1939" i="107"/>
  <c r="F1883" i="119" s="1"/>
  <c r="F1971" i="161"/>
  <c r="G1972" i="161" s="1"/>
  <c r="P1936" i="161"/>
  <c r="J2014" i="107"/>
  <c r="D2457" i="120" s="1"/>
  <c r="J2011" i="161"/>
  <c r="N1944" i="107"/>
  <c r="H2383" i="120" s="1"/>
  <c r="H1939" i="107"/>
  <c r="G1883" i="119" s="1"/>
  <c r="N179" i="107"/>
  <c r="H194" i="120" s="1"/>
  <c r="P1972" i="161"/>
  <c r="Q1972" i="161"/>
  <c r="H144" i="161"/>
  <c r="J144" i="161" s="1"/>
  <c r="H474" i="161"/>
  <c r="J474" i="161" s="1"/>
  <c r="H1178" i="161"/>
  <c r="J1178" i="161" s="1"/>
  <c r="H981" i="161"/>
  <c r="J981" i="161" s="1"/>
  <c r="M1936" i="161"/>
  <c r="N178" i="107"/>
  <c r="H193" i="120" s="1"/>
  <c r="K1944" i="107"/>
  <c r="E2383" i="120" s="1"/>
  <c r="H1939" i="161"/>
  <c r="O1972" i="161"/>
  <c r="G1178" i="161"/>
  <c r="G981" i="161"/>
  <c r="F1966" i="161"/>
  <c r="G144" i="161"/>
  <c r="G474" i="161"/>
  <c r="L180" i="161"/>
  <c r="L183" i="161"/>
  <c r="L178" i="161"/>
  <c r="L179" i="161"/>
  <c r="N180" i="107"/>
  <c r="H195" i="120" s="1"/>
  <c r="G1039" i="161"/>
  <c r="G1433" i="161" s="1"/>
  <c r="G829" i="161"/>
  <c r="G1631" i="161" s="1"/>
  <c r="G478" i="161"/>
  <c r="F1935" i="161"/>
  <c r="G1936" i="161" s="1"/>
  <c r="K1936" i="161"/>
  <c r="N180" i="161"/>
  <c r="N183" i="161"/>
  <c r="N178" i="161"/>
  <c r="N179" i="161"/>
  <c r="E1954" i="120"/>
  <c r="X4" i="44"/>
  <c r="P115" i="107"/>
  <c r="P14" i="107" s="1"/>
  <c r="J13" i="120" s="1"/>
  <c r="M115" i="107"/>
  <c r="M14" i="107" s="1"/>
  <c r="G13" i="120" s="1"/>
  <c r="Q115" i="107"/>
  <c r="Q14" i="107" s="1"/>
  <c r="K13" i="120" s="1"/>
  <c r="G2009" i="107"/>
  <c r="F1956" i="119" s="1"/>
  <c r="E1955" i="119"/>
  <c r="F2006" i="107"/>
  <c r="E1953" i="119" s="1"/>
  <c r="G1953" i="119"/>
  <c r="F1974" i="107"/>
  <c r="E1918" i="119" s="1"/>
  <c r="G1918" i="119"/>
  <c r="G1969" i="107"/>
  <c r="F1913" i="119" s="1"/>
  <c r="E1912" i="119"/>
  <c r="F1935" i="107"/>
  <c r="E1879" i="119" s="1"/>
  <c r="G1879" i="119"/>
  <c r="M1944" i="161"/>
  <c r="D132" i="120"/>
  <c r="O115" i="107"/>
  <c r="K115" i="107"/>
  <c r="L115" i="107"/>
  <c r="N115" i="107"/>
  <c r="H2009" i="107"/>
  <c r="H1969" i="107"/>
  <c r="G1913" i="119" s="1"/>
  <c r="L1555" i="107"/>
  <c r="F1955" i="120" s="1"/>
  <c r="K1555" i="107"/>
  <c r="E1955" i="120" s="1"/>
  <c r="J1939" i="107"/>
  <c r="D2378" i="120" s="1"/>
  <c r="Q180" i="107"/>
  <c r="K195" i="120" s="1"/>
  <c r="Q178" i="107"/>
  <c r="K193" i="120" s="1"/>
  <c r="Q179" i="107"/>
  <c r="K194" i="120" s="1"/>
  <c r="Q183" i="107"/>
  <c r="D25" i="30"/>
  <c r="K2017" i="107"/>
  <c r="E2460" i="120" s="1"/>
  <c r="L178" i="107"/>
  <c r="F193" i="120" s="1"/>
  <c r="L180" i="107"/>
  <c r="F195" i="120" s="1"/>
  <c r="L179" i="107"/>
  <c r="F194" i="120" s="1"/>
  <c r="L183" i="107"/>
  <c r="K178" i="107"/>
  <c r="E193" i="120" s="1"/>
  <c r="K180" i="107"/>
  <c r="E195" i="120" s="1"/>
  <c r="K179" i="107"/>
  <c r="E194" i="120" s="1"/>
  <c r="J1969" i="107"/>
  <c r="D2408" i="120" s="1"/>
  <c r="K183" i="107"/>
  <c r="F2011" i="107"/>
  <c r="Q1975" i="107"/>
  <c r="K2414" i="120" s="1"/>
  <c r="M1975" i="107"/>
  <c r="G2414" i="120" s="1"/>
  <c r="P1975" i="107"/>
  <c r="J2414" i="120" s="1"/>
  <c r="L1975" i="107"/>
  <c r="F2414" i="120" s="1"/>
  <c r="K1975" i="107"/>
  <c r="E2414" i="120" s="1"/>
  <c r="O1975" i="107"/>
  <c r="I2414" i="120" s="1"/>
  <c r="N1975" i="107"/>
  <c r="H2414" i="120" s="1"/>
  <c r="Q1936" i="107"/>
  <c r="K2375" i="120" s="1"/>
  <c r="L1936" i="107"/>
  <c r="F2375" i="120" s="1"/>
  <c r="N1936" i="107"/>
  <c r="H2375" i="120" s="1"/>
  <c r="M1936" i="107"/>
  <c r="G2375" i="120" s="1"/>
  <c r="P1936" i="107"/>
  <c r="J2375" i="120" s="1"/>
  <c r="O1936" i="107"/>
  <c r="I2375" i="120" s="1"/>
  <c r="K1936" i="107"/>
  <c r="E2375" i="120" s="1"/>
  <c r="L1944" i="161"/>
  <c r="L1932" i="107"/>
  <c r="F2371" i="120" s="1"/>
  <c r="S28" i="44"/>
  <c r="U28" i="44"/>
  <c r="T28" i="44"/>
  <c r="H2014" i="107" l="1"/>
  <c r="G1961" i="119" s="1"/>
  <c r="N2015" i="107"/>
  <c r="H2458" i="120" s="1"/>
  <c r="F10" i="30"/>
  <c r="L1941" i="107"/>
  <c r="L1941" i="161"/>
  <c r="I2380" i="120"/>
  <c r="H2380" i="120"/>
  <c r="E2380" i="120"/>
  <c r="J2380" i="120"/>
  <c r="M1932" i="161"/>
  <c r="M1932" i="107"/>
  <c r="G2371" i="120" s="1"/>
  <c r="H1932" i="161"/>
  <c r="J1932" i="161"/>
  <c r="O186" i="107"/>
  <c r="I201" i="120" s="1"/>
  <c r="L1933" i="161"/>
  <c r="M1941" i="107"/>
  <c r="M1941" i="161"/>
  <c r="K2015" i="107"/>
  <c r="E2458" i="120" s="1"/>
  <c r="P2015" i="107"/>
  <c r="J2458" i="120" s="1"/>
  <c r="M2015" i="107"/>
  <c r="G2458" i="120" s="1"/>
  <c r="Q2015" i="107"/>
  <c r="K2458" i="120" s="1"/>
  <c r="L2015" i="107"/>
  <c r="F2458" i="120" s="1"/>
  <c r="M186" i="107"/>
  <c r="G201" i="120" s="1"/>
  <c r="O2015" i="107"/>
  <c r="I2458" i="120" s="1"/>
  <c r="P186" i="107"/>
  <c r="J201" i="120" s="1"/>
  <c r="G1039" i="107"/>
  <c r="F1226" i="119" s="1"/>
  <c r="G478" i="107"/>
  <c r="F575" i="119" s="1"/>
  <c r="G1936" i="107"/>
  <c r="F1880" i="119" s="1"/>
  <c r="H1936" i="107"/>
  <c r="H477" i="107" s="1"/>
  <c r="G132" i="120"/>
  <c r="O186" i="161"/>
  <c r="O1843" i="161" s="1"/>
  <c r="K186" i="161"/>
  <c r="K649" i="161" s="1"/>
  <c r="M186" i="161"/>
  <c r="M649" i="161" s="1"/>
  <c r="N2057" i="107"/>
  <c r="H2510" i="120" s="1"/>
  <c r="L1556" i="107"/>
  <c r="F1956" i="120" s="1"/>
  <c r="H1972" i="161"/>
  <c r="F1972" i="161" s="1"/>
  <c r="N186" i="161"/>
  <c r="N1843" i="161" s="1"/>
  <c r="H1975" i="107"/>
  <c r="H307" i="107" s="1"/>
  <c r="J2012" i="107"/>
  <c r="D2455" i="120" s="1"/>
  <c r="P186" i="161"/>
  <c r="P1843" i="161" s="1"/>
  <c r="N186" i="107"/>
  <c r="H201" i="120" s="1"/>
  <c r="G1975" i="107"/>
  <c r="F1919" i="119" s="1"/>
  <c r="G474" i="107"/>
  <c r="F571" i="119" s="1"/>
  <c r="Q186" i="161"/>
  <c r="Q1843" i="161" s="1"/>
  <c r="F1939" i="107"/>
  <c r="E1883" i="119" s="1"/>
  <c r="J1936" i="161"/>
  <c r="H1039" i="107"/>
  <c r="G1226" i="119" s="1"/>
  <c r="L186" i="161"/>
  <c r="L649" i="161" s="1"/>
  <c r="H478" i="107"/>
  <c r="J478" i="107" s="1"/>
  <c r="D630" i="120" s="1"/>
  <c r="J1972" i="161"/>
  <c r="H1936" i="161"/>
  <c r="F1936" i="161" s="1"/>
  <c r="K2054" i="161"/>
  <c r="Q474" i="161"/>
  <c r="L474" i="161"/>
  <c r="P474" i="161"/>
  <c r="N474" i="161"/>
  <c r="M474" i="161"/>
  <c r="O474" i="161"/>
  <c r="K474" i="161"/>
  <c r="P2054" i="161"/>
  <c r="J2009" i="161"/>
  <c r="H829" i="161"/>
  <c r="H478" i="161"/>
  <c r="J478" i="161" s="1"/>
  <c r="H1039" i="161"/>
  <c r="N2054" i="161"/>
  <c r="G477" i="161"/>
  <c r="G828" i="161"/>
  <c r="G1630" i="161" s="1"/>
  <c r="K2057" i="107"/>
  <c r="E2510" i="120" s="1"/>
  <c r="P981" i="161"/>
  <c r="O981" i="161"/>
  <c r="N981" i="161"/>
  <c r="M981" i="161"/>
  <c r="K981" i="161"/>
  <c r="L981" i="161"/>
  <c r="Q981" i="161"/>
  <c r="P2012" i="161"/>
  <c r="Q2012" i="161"/>
  <c r="H2011" i="161"/>
  <c r="O2012" i="161"/>
  <c r="N2012" i="161"/>
  <c r="M2012" i="161"/>
  <c r="L2012" i="161"/>
  <c r="K2012" i="161"/>
  <c r="P2057" i="107"/>
  <c r="J2510" i="120" s="1"/>
  <c r="M1944" i="107"/>
  <c r="O144" i="161"/>
  <c r="N144" i="161"/>
  <c r="M144" i="161"/>
  <c r="L144" i="161"/>
  <c r="K144" i="161"/>
  <c r="P144" i="161"/>
  <c r="Q144" i="161"/>
  <c r="L1556" i="161"/>
  <c r="K1843" i="161"/>
  <c r="J2017" i="107"/>
  <c r="D2460" i="120" s="1"/>
  <c r="J2014" i="161"/>
  <c r="L2015" i="161" s="1"/>
  <c r="G144" i="107"/>
  <c r="F102" i="119" s="1"/>
  <c r="H307" i="161"/>
  <c r="J307" i="161" s="1"/>
  <c r="G981" i="107"/>
  <c r="F1172" i="119" s="1"/>
  <c r="F1939" i="161"/>
  <c r="G307" i="161"/>
  <c r="H2006" i="161"/>
  <c r="F2006" i="161" s="1"/>
  <c r="F2008" i="161"/>
  <c r="G2009" i="161" s="1"/>
  <c r="L1944" i="107"/>
  <c r="G1178" i="107"/>
  <c r="F1473" i="119" s="1"/>
  <c r="M1178" i="161"/>
  <c r="O1178" i="161"/>
  <c r="K1178" i="161"/>
  <c r="L1178" i="161"/>
  <c r="Q1178" i="161"/>
  <c r="P1178" i="161"/>
  <c r="N1178" i="161"/>
  <c r="F1950" i="119"/>
  <c r="F2003" i="107"/>
  <c r="E1950" i="119" s="1"/>
  <c r="J132" i="120"/>
  <c r="Y17" i="44"/>
  <c r="Y9" i="44"/>
  <c r="Y19" i="44"/>
  <c r="Y15" i="44"/>
  <c r="Y13" i="44"/>
  <c r="Y11" i="44"/>
  <c r="X17" i="44"/>
  <c r="X19" i="44"/>
  <c r="X15" i="44"/>
  <c r="X13" i="44"/>
  <c r="X9" i="44"/>
  <c r="X11" i="44"/>
  <c r="K132" i="120"/>
  <c r="G2012" i="107"/>
  <c r="F1959" i="119" s="1"/>
  <c r="E1958" i="119"/>
  <c r="F2009" i="107"/>
  <c r="E1956" i="119" s="1"/>
  <c r="G1956" i="119"/>
  <c r="I132" i="120"/>
  <c r="O14" i="107"/>
  <c r="I13" i="120" s="1"/>
  <c r="F132" i="120"/>
  <c r="L14" i="107"/>
  <c r="F13" i="120" s="1"/>
  <c r="H132" i="120"/>
  <c r="N14" i="107"/>
  <c r="H13" i="120" s="1"/>
  <c r="E132" i="120"/>
  <c r="K14" i="107"/>
  <c r="E13" i="120" s="1"/>
  <c r="K186" i="107"/>
  <c r="E201" i="120" s="1"/>
  <c r="E198" i="120"/>
  <c r="L186" i="107"/>
  <c r="F201" i="120" s="1"/>
  <c r="F198" i="120"/>
  <c r="Q186" i="107"/>
  <c r="K201" i="120" s="1"/>
  <c r="K198" i="120"/>
  <c r="F2014" i="107"/>
  <c r="F1969" i="107"/>
  <c r="E1913" i="119" s="1"/>
  <c r="H474" i="107"/>
  <c r="H981" i="107"/>
  <c r="H1178" i="107"/>
  <c r="H144" i="107"/>
  <c r="G102" i="119" s="1"/>
  <c r="H2012" i="107"/>
  <c r="G1959" i="119" s="1"/>
  <c r="K1556" i="107"/>
  <c r="E1956" i="120" s="1"/>
  <c r="O649" i="107"/>
  <c r="I816" i="120" s="1"/>
  <c r="O1843" i="107"/>
  <c r="I2251" i="120" s="1"/>
  <c r="J1975" i="107"/>
  <c r="D2414" i="120" s="1"/>
  <c r="J1936" i="107"/>
  <c r="D2375" i="120" s="1"/>
  <c r="G477" i="107"/>
  <c r="F574" i="119" s="1"/>
  <c r="D7" i="30"/>
  <c r="G16" i="69" s="1"/>
  <c r="H1932" i="107"/>
  <c r="G1876" i="119" s="1"/>
  <c r="J1932" i="107"/>
  <c r="F11" i="30"/>
  <c r="F28" i="30" s="1"/>
  <c r="H29" i="30" l="1"/>
  <c r="H33" i="30" s="1"/>
  <c r="H12" i="30" s="1"/>
  <c r="L1950" i="107" s="1"/>
  <c r="F2389" i="120" s="1"/>
  <c r="J29" i="30"/>
  <c r="J33" i="30" s="1"/>
  <c r="J12" i="30" s="1"/>
  <c r="N1950" i="107" s="1"/>
  <c r="H2389" i="120" s="1"/>
  <c r="I29" i="30"/>
  <c r="I33" i="30" s="1"/>
  <c r="I12" i="30" s="1"/>
  <c r="M1950" i="107" s="1"/>
  <c r="G2389" i="120" s="1"/>
  <c r="K29" i="30"/>
  <c r="K33" i="30" s="1"/>
  <c r="K12" i="30" s="1"/>
  <c r="O1950" i="107" s="1"/>
  <c r="I2389" i="120" s="1"/>
  <c r="L29" i="30"/>
  <c r="L33" i="30" s="1"/>
  <c r="L12" i="30" s="1"/>
  <c r="P1950" i="107" s="1"/>
  <c r="J2389" i="120" s="1"/>
  <c r="P1843" i="107"/>
  <c r="J2251" i="120" s="1"/>
  <c r="M1933" i="161"/>
  <c r="H1944" i="107"/>
  <c r="H1944" i="161"/>
  <c r="F1944" i="161" s="1"/>
  <c r="J1944" i="161"/>
  <c r="J2015" i="107"/>
  <c r="D2458" i="120" s="1"/>
  <c r="H2009" i="161"/>
  <c r="F2380" i="120"/>
  <c r="H1941" i="161"/>
  <c r="H1941" i="107"/>
  <c r="J1941" i="107"/>
  <c r="M1942" i="107" s="1"/>
  <c r="G2381" i="120" s="1"/>
  <c r="J1941" i="161"/>
  <c r="L1942" i="161" s="1"/>
  <c r="O649" i="161"/>
  <c r="Q1933" i="161"/>
  <c r="O1933" i="161"/>
  <c r="N1933" i="161"/>
  <c r="K1933" i="161"/>
  <c r="P1933" i="161"/>
  <c r="F1932" i="161"/>
  <c r="G1933" i="161" s="1"/>
  <c r="M1942" i="161"/>
  <c r="G2380" i="120"/>
  <c r="M649" i="107"/>
  <c r="G816" i="120" s="1"/>
  <c r="P649" i="107"/>
  <c r="J816" i="120" s="1"/>
  <c r="M1843" i="107"/>
  <c r="G2251" i="120" s="1"/>
  <c r="G1919" i="119"/>
  <c r="G1433" i="107"/>
  <c r="F1777" i="119" s="1"/>
  <c r="J1039" i="107"/>
  <c r="D1273" i="120" s="1"/>
  <c r="G1880" i="119"/>
  <c r="F1936" i="107"/>
  <c r="E1880" i="119" s="1"/>
  <c r="F1975" i="107"/>
  <c r="E1919" i="119" s="1"/>
  <c r="G307" i="107"/>
  <c r="F277" i="119" s="1"/>
  <c r="G575" i="119"/>
  <c r="L2057" i="107"/>
  <c r="F2510" i="120" s="1"/>
  <c r="F2383" i="120"/>
  <c r="M2057" i="107"/>
  <c r="G2510" i="120" s="1"/>
  <c r="G2383" i="120"/>
  <c r="N649" i="107"/>
  <c r="H816" i="120" s="1"/>
  <c r="M1843" i="161"/>
  <c r="N1843" i="107"/>
  <c r="H2251" i="120" s="1"/>
  <c r="N649" i="161"/>
  <c r="L1843" i="161"/>
  <c r="Q649" i="161"/>
  <c r="P649" i="161"/>
  <c r="H2017" i="107"/>
  <c r="G1964" i="119" s="1"/>
  <c r="F2012" i="107"/>
  <c r="E1959" i="119" s="1"/>
  <c r="H1433" i="107"/>
  <c r="G1777" i="119" s="1"/>
  <c r="F2009" i="161"/>
  <c r="L2018" i="107"/>
  <c r="F2461" i="120" s="1"/>
  <c r="P2018" i="107"/>
  <c r="J2461" i="120" s="1"/>
  <c r="M2018" i="107"/>
  <c r="G2461" i="120" s="1"/>
  <c r="H1433" i="161"/>
  <c r="J1039" i="161"/>
  <c r="H1631" i="161"/>
  <c r="J829" i="161"/>
  <c r="I829" i="161"/>
  <c r="M307" i="161"/>
  <c r="L307" i="161"/>
  <c r="K307" i="161"/>
  <c r="Q307" i="161"/>
  <c r="O307" i="161"/>
  <c r="N307" i="161"/>
  <c r="P307" i="161"/>
  <c r="O2018" i="107"/>
  <c r="I2461" i="120" s="1"/>
  <c r="H828" i="161"/>
  <c r="H477" i="161"/>
  <c r="J477" i="161" s="1"/>
  <c r="N2018" i="107"/>
  <c r="H2461" i="120" s="1"/>
  <c r="L2054" i="161"/>
  <c r="M2054" i="161"/>
  <c r="J2012" i="161"/>
  <c r="L478" i="161"/>
  <c r="K478" i="161"/>
  <c r="M478" i="161"/>
  <c r="Q478" i="161"/>
  <c r="P478" i="161"/>
  <c r="N478" i="161"/>
  <c r="O478" i="161"/>
  <c r="Q2018" i="107"/>
  <c r="K2461" i="120" s="1"/>
  <c r="K2018" i="107"/>
  <c r="E2461" i="120" s="1"/>
  <c r="Q2015" i="161"/>
  <c r="H2014" i="161"/>
  <c r="P2015" i="161"/>
  <c r="N2015" i="161"/>
  <c r="O2015" i="161"/>
  <c r="M2015" i="161"/>
  <c r="K2015" i="161"/>
  <c r="F2011" i="161"/>
  <c r="G2012" i="161" s="1"/>
  <c r="P478" i="107"/>
  <c r="J630" i="120" s="1"/>
  <c r="L478" i="107"/>
  <c r="F630" i="120" s="1"/>
  <c r="K478" i="107"/>
  <c r="E630" i="120" s="1"/>
  <c r="Q478" i="107"/>
  <c r="K630" i="120" s="1"/>
  <c r="N478" i="107"/>
  <c r="H630" i="120" s="1"/>
  <c r="O478" i="107"/>
  <c r="I630" i="120" s="1"/>
  <c r="M478" i="107"/>
  <c r="G630" i="120" s="1"/>
  <c r="K1843" i="107"/>
  <c r="E2251" i="120" s="1"/>
  <c r="K649" i="107"/>
  <c r="E816" i="120" s="1"/>
  <c r="L1843" i="107"/>
  <c r="F2251" i="120" s="1"/>
  <c r="L649" i="107"/>
  <c r="F816" i="120" s="1"/>
  <c r="Q649" i="107"/>
  <c r="K816" i="120" s="1"/>
  <c r="J1178" i="107"/>
  <c r="D1518" i="120" s="1"/>
  <c r="G1473" i="119"/>
  <c r="J981" i="107"/>
  <c r="D1220" i="120" s="1"/>
  <c r="G1172" i="119"/>
  <c r="J474" i="107"/>
  <c r="D626" i="120" s="1"/>
  <c r="G571" i="119"/>
  <c r="G2015" i="107"/>
  <c r="F1962" i="119" s="1"/>
  <c r="E1961" i="119"/>
  <c r="J307" i="107"/>
  <c r="G277" i="119"/>
  <c r="J477" i="107"/>
  <c r="G574" i="119"/>
  <c r="L1933" i="107"/>
  <c r="F2372" i="120" s="1"/>
  <c r="D2371" i="120"/>
  <c r="Q1843" i="107"/>
  <c r="K2251" i="120" s="1"/>
  <c r="J144" i="107"/>
  <c r="D161" i="120" s="1"/>
  <c r="I144" i="107"/>
  <c r="H102" i="119" s="1"/>
  <c r="H2015" i="107"/>
  <c r="G1885" i="119"/>
  <c r="J1944" i="107"/>
  <c r="D2383" i="120" s="1"/>
  <c r="F1932" i="107"/>
  <c r="Q1933" i="107"/>
  <c r="K2372" i="120" s="1"/>
  <c r="P1933" i="107"/>
  <c r="J2372" i="120" s="1"/>
  <c r="O1933" i="107"/>
  <c r="I2372" i="120" s="1"/>
  <c r="M1933" i="107"/>
  <c r="G2372" i="120" s="1"/>
  <c r="K1933" i="107"/>
  <c r="E2372" i="120" s="1"/>
  <c r="N1933" i="107"/>
  <c r="H2372" i="120" s="1"/>
  <c r="G62" i="69"/>
  <c r="H62" i="69" s="1"/>
  <c r="I62" i="69" s="1"/>
  <c r="K62" i="69" s="1"/>
  <c r="G164" i="69"/>
  <c r="H164" i="69" s="1"/>
  <c r="I164" i="69" s="1"/>
  <c r="K164" i="69" s="1"/>
  <c r="G161" i="69"/>
  <c r="H161" i="69" s="1"/>
  <c r="I161" i="69" s="1"/>
  <c r="K161" i="69" s="1"/>
  <c r="G116" i="69"/>
  <c r="H116" i="69" s="1"/>
  <c r="I116" i="69" s="1"/>
  <c r="K116" i="69" s="1"/>
  <c r="G172" i="69"/>
  <c r="H172" i="69" s="1"/>
  <c r="I172" i="69" s="1"/>
  <c r="K172" i="69" s="1"/>
  <c r="G157" i="69"/>
  <c r="H157" i="69" s="1"/>
  <c r="I157" i="69" s="1"/>
  <c r="K157" i="69" s="1"/>
  <c r="G98" i="69"/>
  <c r="H98" i="69" s="1"/>
  <c r="I98" i="69" s="1"/>
  <c r="K98" i="69" s="1"/>
  <c r="G110" i="69"/>
  <c r="H110" i="69" s="1"/>
  <c r="I110" i="69" s="1"/>
  <c r="K110" i="69" s="1"/>
  <c r="G55" i="69"/>
  <c r="H55" i="69" s="1"/>
  <c r="I55" i="69" s="1"/>
  <c r="K55" i="69" s="1"/>
  <c r="G59" i="69"/>
  <c r="H59" i="69" s="1"/>
  <c r="I59" i="69" s="1"/>
  <c r="K59" i="69" s="1"/>
  <c r="G39" i="69"/>
  <c r="H39" i="69" s="1"/>
  <c r="I39" i="69" s="1"/>
  <c r="K39" i="69" s="1"/>
  <c r="G46" i="69"/>
  <c r="H46" i="69" s="1"/>
  <c r="I46" i="69" s="1"/>
  <c r="K46" i="69" s="1"/>
  <c r="G178" i="69"/>
  <c r="H178" i="69" s="1"/>
  <c r="I178" i="69" s="1"/>
  <c r="K178" i="69" s="1"/>
  <c r="G104" i="69"/>
  <c r="H104" i="69" s="1"/>
  <c r="I104" i="69" s="1"/>
  <c r="K104" i="69" s="1"/>
  <c r="G119" i="69"/>
  <c r="H119" i="69" s="1"/>
  <c r="I119" i="69" s="1"/>
  <c r="K119" i="69" s="1"/>
  <c r="G50" i="69"/>
  <c r="H50" i="69" s="1"/>
  <c r="I50" i="69" s="1"/>
  <c r="K50" i="69" s="1"/>
  <c r="G56" i="69"/>
  <c r="H56" i="69" s="1"/>
  <c r="I56" i="69" s="1"/>
  <c r="K56" i="69" s="1"/>
  <c r="G57" i="69"/>
  <c r="H57" i="69" s="1"/>
  <c r="I57" i="69" s="1"/>
  <c r="K57" i="69" s="1"/>
  <c r="G102" i="69"/>
  <c r="H102" i="69" s="1"/>
  <c r="I102" i="69" s="1"/>
  <c r="K102" i="69" s="1"/>
  <c r="G107" i="69"/>
  <c r="H107" i="69" s="1"/>
  <c r="I107" i="69" s="1"/>
  <c r="K107" i="69" s="1"/>
  <c r="G169" i="69"/>
  <c r="H169" i="69" s="1"/>
  <c r="I169" i="69" s="1"/>
  <c r="K169" i="69" s="1"/>
  <c r="G43" i="69"/>
  <c r="H43" i="69" s="1"/>
  <c r="I43" i="69" s="1"/>
  <c r="K43" i="69" s="1"/>
  <c r="G40" i="69"/>
  <c r="H40" i="69" s="1"/>
  <c r="I40" i="69" s="1"/>
  <c r="K40" i="69" s="1"/>
  <c r="G152" i="69"/>
  <c r="H152" i="69" s="1"/>
  <c r="I152" i="69" s="1"/>
  <c r="K152" i="69" s="1"/>
  <c r="G179" i="69"/>
  <c r="H179" i="69" s="1"/>
  <c r="I179" i="69" s="1"/>
  <c r="K179" i="69" s="1"/>
  <c r="G166" i="69"/>
  <c r="H166" i="69" s="1"/>
  <c r="I166" i="69" s="1"/>
  <c r="K166" i="69" s="1"/>
  <c r="G176" i="69"/>
  <c r="H176" i="69" s="1"/>
  <c r="I176" i="69" s="1"/>
  <c r="K176" i="69" s="1"/>
  <c r="G123" i="69"/>
  <c r="H123" i="69" s="1"/>
  <c r="I123" i="69" s="1"/>
  <c r="K123" i="69" s="1"/>
  <c r="G93" i="69"/>
  <c r="H93" i="69" s="1"/>
  <c r="I93" i="69" s="1"/>
  <c r="K93" i="69" s="1"/>
  <c r="G58" i="69"/>
  <c r="H58" i="69" s="1"/>
  <c r="I58" i="69" s="1"/>
  <c r="K58" i="69" s="1"/>
  <c r="G27" i="69"/>
  <c r="H27" i="69" s="1"/>
  <c r="J27" i="69" s="1"/>
  <c r="G47" i="69"/>
  <c r="H47" i="69" s="1"/>
  <c r="I47" i="69" s="1"/>
  <c r="K47" i="69" s="1"/>
  <c r="G105" i="69"/>
  <c r="H105" i="69" s="1"/>
  <c r="I105" i="69" s="1"/>
  <c r="K105" i="69" s="1"/>
  <c r="G108" i="69"/>
  <c r="H108" i="69" s="1"/>
  <c r="I108" i="69" s="1"/>
  <c r="K108" i="69" s="1"/>
  <c r="G41" i="69"/>
  <c r="H41" i="69" s="1"/>
  <c r="I41" i="69" s="1"/>
  <c r="K41" i="69" s="1"/>
  <c r="G51" i="69"/>
  <c r="H51" i="69" s="1"/>
  <c r="I51" i="69" s="1"/>
  <c r="K51" i="69" s="1"/>
  <c r="G44" i="69"/>
  <c r="H44" i="69" s="1"/>
  <c r="I44" i="69" s="1"/>
  <c r="K44" i="69" s="1"/>
  <c r="G60" i="69"/>
  <c r="H60" i="69" s="1"/>
  <c r="G163" i="69"/>
  <c r="H163" i="69" s="1"/>
  <c r="I163" i="69" s="1"/>
  <c r="K163" i="69" s="1"/>
  <c r="G48" i="69"/>
  <c r="H48" i="69" s="1"/>
  <c r="I48" i="69" s="1"/>
  <c r="K48" i="69" s="1"/>
  <c r="G162" i="69"/>
  <c r="H162" i="69" s="1"/>
  <c r="I162" i="69" s="1"/>
  <c r="K162" i="69" s="1"/>
  <c r="G118" i="69"/>
  <c r="H118" i="69" s="1"/>
  <c r="I118" i="69" s="1"/>
  <c r="K118" i="69" s="1"/>
  <c r="G168" i="69"/>
  <c r="H168" i="69" s="1"/>
  <c r="I168" i="69" s="1"/>
  <c r="K168" i="69" s="1"/>
  <c r="G180" i="69"/>
  <c r="H180" i="69" s="1"/>
  <c r="G159" i="69"/>
  <c r="H159" i="69" s="1"/>
  <c r="I159" i="69" s="1"/>
  <c r="K159" i="69" s="1"/>
  <c r="G99" i="69"/>
  <c r="H99" i="69" s="1"/>
  <c r="I99" i="69" s="1"/>
  <c r="K99" i="69" s="1"/>
  <c r="G101" i="69"/>
  <c r="H101" i="69" s="1"/>
  <c r="I101" i="69" s="1"/>
  <c r="K101" i="69" s="1"/>
  <c r="G160" i="69"/>
  <c r="H160" i="69" s="1"/>
  <c r="I160" i="69" s="1"/>
  <c r="K160" i="69" s="1"/>
  <c r="G117" i="69"/>
  <c r="H117" i="69" s="1"/>
  <c r="I117" i="69" s="1"/>
  <c r="K117" i="69" s="1"/>
  <c r="G113" i="69"/>
  <c r="H113" i="69" s="1"/>
  <c r="I113" i="69" s="1"/>
  <c r="K113" i="69" s="1"/>
  <c r="G38" i="69"/>
  <c r="H38" i="69" s="1"/>
  <c r="I38" i="69" s="1"/>
  <c r="K38" i="69" s="1"/>
  <c r="G175" i="69"/>
  <c r="H175" i="69" s="1"/>
  <c r="I175" i="69" s="1"/>
  <c r="K175" i="69" s="1"/>
  <c r="G167" i="69"/>
  <c r="H167" i="69" s="1"/>
  <c r="I167" i="69" s="1"/>
  <c r="K167" i="69" s="1"/>
  <c r="G171" i="69"/>
  <c r="H171" i="69" s="1"/>
  <c r="I171" i="69" s="1"/>
  <c r="K171" i="69" s="1"/>
  <c r="G32" i="69"/>
  <c r="H32" i="69" s="1"/>
  <c r="I32" i="69" s="1"/>
  <c r="K32" i="69" s="1"/>
  <c r="G100" i="69"/>
  <c r="H100" i="69" s="1"/>
  <c r="I100" i="69" s="1"/>
  <c r="K100" i="69" s="1"/>
  <c r="G112" i="69"/>
  <c r="H112" i="69" s="1"/>
  <c r="I112" i="69" s="1"/>
  <c r="K112" i="69" s="1"/>
  <c r="G170" i="69"/>
  <c r="H170" i="69" s="1"/>
  <c r="I170" i="69" s="1"/>
  <c r="K170" i="69" s="1"/>
  <c r="G109" i="69"/>
  <c r="H109" i="69" s="1"/>
  <c r="I109" i="69" s="1"/>
  <c r="K109" i="69" s="1"/>
  <c r="G103" i="69"/>
  <c r="H103" i="69" s="1"/>
  <c r="I103" i="69" s="1"/>
  <c r="K103" i="69" s="1"/>
  <c r="G49" i="69"/>
  <c r="H49" i="69" s="1"/>
  <c r="I49" i="69" s="1"/>
  <c r="K49" i="69" s="1"/>
  <c r="G177" i="69"/>
  <c r="H177" i="69" s="1"/>
  <c r="I177" i="69" s="1"/>
  <c r="K177" i="69" s="1"/>
  <c r="G147" i="69"/>
  <c r="H147" i="69" s="1"/>
  <c r="J147" i="69" s="1"/>
  <c r="G182" i="69"/>
  <c r="H182" i="69" s="1"/>
  <c r="I182" i="69" s="1"/>
  <c r="K182" i="69" s="1"/>
  <c r="G120" i="69"/>
  <c r="H120" i="69" s="1"/>
  <c r="I120" i="69" s="1"/>
  <c r="K120" i="69" s="1"/>
  <c r="G121" i="69"/>
  <c r="H121" i="69" s="1"/>
  <c r="G158" i="69"/>
  <c r="H158" i="69" s="1"/>
  <c r="I158" i="69" s="1"/>
  <c r="K158" i="69" s="1"/>
  <c r="G88" i="69"/>
  <c r="H88" i="69" s="1"/>
  <c r="J88" i="69" s="1"/>
  <c r="G111" i="69"/>
  <c r="H111" i="69" s="1"/>
  <c r="I111" i="69" s="1"/>
  <c r="K111" i="69" s="1"/>
  <c r="G148" i="69"/>
  <c r="H148" i="69" s="1"/>
  <c r="G28" i="69"/>
  <c r="G89" i="69"/>
  <c r="H89" i="69" s="1"/>
  <c r="G37" i="69"/>
  <c r="H37" i="69" s="1"/>
  <c r="I37" i="69" s="1"/>
  <c r="K37" i="69" s="1"/>
  <c r="G24" i="69"/>
  <c r="H24" i="69" s="1"/>
  <c r="I24" i="69" s="1"/>
  <c r="K24" i="69" s="1"/>
  <c r="G85" i="69"/>
  <c r="H85" i="69" s="1"/>
  <c r="I85" i="69" s="1"/>
  <c r="K85" i="69" s="1"/>
  <c r="G144" i="69"/>
  <c r="H144" i="69" s="1"/>
  <c r="I144" i="69" s="1"/>
  <c r="K144" i="69" s="1"/>
  <c r="G23" i="69"/>
  <c r="H23" i="69" s="1"/>
  <c r="I23" i="69" s="1"/>
  <c r="K23" i="69" s="1"/>
  <c r="G84" i="69"/>
  <c r="H84" i="69" s="1"/>
  <c r="I84" i="69" s="1"/>
  <c r="K84" i="69" s="1"/>
  <c r="G143" i="69"/>
  <c r="H143" i="69" s="1"/>
  <c r="I143" i="69" s="1"/>
  <c r="K143" i="69" s="1"/>
  <c r="D10" i="30"/>
  <c r="K13" i="30"/>
  <c r="G13" i="30"/>
  <c r="L13" i="30"/>
  <c r="I13" i="30"/>
  <c r="J13" i="30"/>
  <c r="H13" i="30"/>
  <c r="T611" i="9"/>
  <c r="T612" i="9"/>
  <c r="D16" i="3"/>
  <c r="D13" i="3"/>
  <c r="G33" i="30" l="1"/>
  <c r="G12" i="30" s="1"/>
  <c r="F29" i="30"/>
  <c r="H1933" i="161"/>
  <c r="P1942" i="161"/>
  <c r="Q1942" i="161"/>
  <c r="K1942" i="161"/>
  <c r="N1942" i="161"/>
  <c r="O1942" i="161"/>
  <c r="G526" i="161"/>
  <c r="F1933" i="161"/>
  <c r="G1034" i="161"/>
  <c r="G825" i="161"/>
  <c r="G1627" i="161" s="1"/>
  <c r="G1339" i="161"/>
  <c r="G824" i="161"/>
  <c r="G1626" i="161" s="1"/>
  <c r="G1035" i="161"/>
  <c r="G1429" i="161" s="1"/>
  <c r="G1333" i="161"/>
  <c r="G306" i="161"/>
  <c r="G1003" i="161"/>
  <c r="G873" i="161"/>
  <c r="G1069" i="161"/>
  <c r="G364" i="161"/>
  <c r="G192" i="161"/>
  <c r="G1062" i="161"/>
  <c r="G867" i="161"/>
  <c r="G944" i="161" s="1"/>
  <c r="D2380" i="120"/>
  <c r="Q1942" i="107"/>
  <c r="K2381" i="120" s="1"/>
  <c r="K1942" i="107"/>
  <c r="N1942" i="107"/>
  <c r="H2381" i="120" s="1"/>
  <c r="P1942" i="107"/>
  <c r="J2381" i="120" s="1"/>
  <c r="O1942" i="107"/>
  <c r="I2381" i="120" s="1"/>
  <c r="J1933" i="161"/>
  <c r="Q1945" i="161"/>
  <c r="O1945" i="161"/>
  <c r="N1945" i="161"/>
  <c r="K1945" i="161"/>
  <c r="P1945" i="161"/>
  <c r="M1945" i="161"/>
  <c r="L1945" i="161"/>
  <c r="H2012" i="161"/>
  <c r="F1941" i="161"/>
  <c r="G1942" i="161" s="1"/>
  <c r="H1942" i="161"/>
  <c r="H1945" i="161"/>
  <c r="G1945" i="161"/>
  <c r="L1942" i="107"/>
  <c r="F2381" i="120" s="1"/>
  <c r="G1888" i="119"/>
  <c r="F1944" i="107"/>
  <c r="H1945" i="107" s="1"/>
  <c r="G1889" i="119" s="1"/>
  <c r="Q1039" i="107"/>
  <c r="M1039" i="107"/>
  <c r="J1433" i="107"/>
  <c r="D1832" i="120" s="1"/>
  <c r="L1039" i="107"/>
  <c r="F1273" i="120" s="1"/>
  <c r="O1039" i="107"/>
  <c r="O1433" i="107" s="1"/>
  <c r="I1832" i="120" s="1"/>
  <c r="N1039" i="107"/>
  <c r="N1433" i="107" s="1"/>
  <c r="H1832" i="120" s="1"/>
  <c r="P1039" i="107"/>
  <c r="P1433" i="107" s="1"/>
  <c r="J1832" i="120" s="1"/>
  <c r="K1039" i="107"/>
  <c r="E1273" i="120" s="1"/>
  <c r="F2012" i="161"/>
  <c r="F2017" i="107"/>
  <c r="H2018" i="107" s="1"/>
  <c r="M1178" i="107"/>
  <c r="G1518" i="120" s="1"/>
  <c r="P1178" i="107"/>
  <c r="J1518" i="120" s="1"/>
  <c r="Q1178" i="107"/>
  <c r="K1518" i="120" s="1"/>
  <c r="Q474" i="107"/>
  <c r="K626" i="120" s="1"/>
  <c r="K474" i="107"/>
  <c r="E626" i="120" s="1"/>
  <c r="L474" i="107"/>
  <c r="F626" i="120" s="1"/>
  <c r="P474" i="107"/>
  <c r="J626" i="120" s="1"/>
  <c r="Q981" i="107"/>
  <c r="K1220" i="120" s="1"/>
  <c r="K981" i="107"/>
  <c r="E1220" i="120" s="1"/>
  <c r="K1178" i="107"/>
  <c r="E1518" i="120" s="1"/>
  <c r="L981" i="107"/>
  <c r="F1220" i="120" s="1"/>
  <c r="L1178" i="107"/>
  <c r="F1518" i="120" s="1"/>
  <c r="M474" i="107"/>
  <c r="G626" i="120" s="1"/>
  <c r="J2018" i="107"/>
  <c r="D2461" i="120" s="1"/>
  <c r="M981" i="107"/>
  <c r="G1220" i="120" s="1"/>
  <c r="O981" i="107"/>
  <c r="I1220" i="120" s="1"/>
  <c r="N981" i="107"/>
  <c r="H1220" i="120" s="1"/>
  <c r="N1178" i="107"/>
  <c r="H1518" i="120" s="1"/>
  <c r="O474" i="107"/>
  <c r="I626" i="120" s="1"/>
  <c r="P981" i="107"/>
  <c r="J1220" i="120" s="1"/>
  <c r="O1178" i="107"/>
  <c r="I1518" i="120" s="1"/>
  <c r="N474" i="107"/>
  <c r="H626" i="120" s="1"/>
  <c r="L1947" i="161"/>
  <c r="L1950" i="161"/>
  <c r="J2015" i="161"/>
  <c r="J2054" i="161"/>
  <c r="M2055" i="161" s="1"/>
  <c r="Q1039" i="161"/>
  <c r="Q1433" i="161" s="1"/>
  <c r="J1433" i="161"/>
  <c r="O1039" i="161"/>
  <c r="O1433" i="161" s="1"/>
  <c r="M1039" i="161"/>
  <c r="M1433" i="161" s="1"/>
  <c r="L1039" i="161"/>
  <c r="L1433" i="161" s="1"/>
  <c r="K1039" i="161"/>
  <c r="K1433" i="161" s="1"/>
  <c r="P1039" i="161"/>
  <c r="P1433" i="161" s="1"/>
  <c r="N1039" i="161"/>
  <c r="N1433" i="161" s="1"/>
  <c r="M1947" i="161"/>
  <c r="M1950" i="161"/>
  <c r="N1950" i="161"/>
  <c r="N1947" i="161"/>
  <c r="K1947" i="161"/>
  <c r="K1950" i="161"/>
  <c r="H2054" i="161"/>
  <c r="P1950" i="161"/>
  <c r="P1947" i="161"/>
  <c r="O1950" i="161"/>
  <c r="O1947" i="161"/>
  <c r="F2014" i="161"/>
  <c r="G2015" i="161" s="1"/>
  <c r="J1631" i="161"/>
  <c r="L829" i="161"/>
  <c r="L1631" i="161" s="1"/>
  <c r="K829" i="161"/>
  <c r="K1631" i="161" s="1"/>
  <c r="Q829" i="161"/>
  <c r="Q1631" i="161" s="1"/>
  <c r="O829" i="161"/>
  <c r="O1631" i="161" s="1"/>
  <c r="N829" i="161"/>
  <c r="N1631" i="161" s="1"/>
  <c r="M829" i="161"/>
  <c r="M1631" i="161" s="1"/>
  <c r="P829" i="161"/>
  <c r="P1631" i="161" s="1"/>
  <c r="P477" i="161"/>
  <c r="O477" i="161"/>
  <c r="N477" i="161"/>
  <c r="M477" i="161"/>
  <c r="L477" i="161"/>
  <c r="Q477" i="161"/>
  <c r="K477" i="161"/>
  <c r="J828" i="161"/>
  <c r="I828" i="161"/>
  <c r="H1630" i="161"/>
  <c r="F2015" i="107"/>
  <c r="E1962" i="119" s="1"/>
  <c r="G1962" i="119"/>
  <c r="G1965" i="119"/>
  <c r="G2018" i="107"/>
  <c r="F1965" i="119" s="1"/>
  <c r="E1964" i="119"/>
  <c r="K1433" i="107"/>
  <c r="E1832" i="120" s="1"/>
  <c r="M1433" i="107"/>
  <c r="G1832" i="120" s="1"/>
  <c r="G1273" i="120"/>
  <c r="L1433" i="107"/>
  <c r="F1832" i="120" s="1"/>
  <c r="Q1433" i="107"/>
  <c r="K1832" i="120" s="1"/>
  <c r="K1273" i="120"/>
  <c r="D334" i="120"/>
  <c r="K307" i="107"/>
  <c r="E334" i="120" s="1"/>
  <c r="L307" i="107"/>
  <c r="F334" i="120" s="1"/>
  <c r="M307" i="107"/>
  <c r="G334" i="120" s="1"/>
  <c r="O307" i="107"/>
  <c r="I334" i="120" s="1"/>
  <c r="P307" i="107"/>
  <c r="J334" i="120" s="1"/>
  <c r="N307" i="107"/>
  <c r="H334" i="120" s="1"/>
  <c r="Q307" i="107"/>
  <c r="K334" i="120" s="1"/>
  <c r="D629" i="120"/>
  <c r="N477" i="107"/>
  <c r="H629" i="120" s="1"/>
  <c r="O477" i="107"/>
  <c r="I629" i="120" s="1"/>
  <c r="Q477" i="107"/>
  <c r="K629" i="120" s="1"/>
  <c r="P477" i="107"/>
  <c r="J629" i="120" s="1"/>
  <c r="L477" i="107"/>
  <c r="F629" i="120" s="1"/>
  <c r="K477" i="107"/>
  <c r="E629" i="120" s="1"/>
  <c r="M477" i="107"/>
  <c r="G629" i="120" s="1"/>
  <c r="G1933" i="107"/>
  <c r="F1877" i="119" s="1"/>
  <c r="E1876" i="119"/>
  <c r="Q144" i="107"/>
  <c r="K161" i="120" s="1"/>
  <c r="L144" i="107"/>
  <c r="F161" i="120" s="1"/>
  <c r="P144" i="107"/>
  <c r="J161" i="120" s="1"/>
  <c r="M144" i="107"/>
  <c r="G161" i="120" s="1"/>
  <c r="N144" i="107"/>
  <c r="H161" i="120" s="1"/>
  <c r="O144" i="107"/>
  <c r="I161" i="120" s="1"/>
  <c r="K144" i="107"/>
  <c r="E161" i="120" s="1"/>
  <c r="H1933" i="107"/>
  <c r="G1877" i="119" s="1"/>
  <c r="N1953" i="107"/>
  <c r="H2392" i="120" s="1"/>
  <c r="H2386" i="120"/>
  <c r="I60" i="69"/>
  <c r="J121" i="69"/>
  <c r="J180" i="69"/>
  <c r="G2386" i="120"/>
  <c r="M1953" i="107"/>
  <c r="G2392" i="120" s="1"/>
  <c r="O1953" i="107"/>
  <c r="I2392" i="120" s="1"/>
  <c r="I2386" i="120"/>
  <c r="F2386" i="120"/>
  <c r="L1953" i="107"/>
  <c r="F2392" i="120" s="1"/>
  <c r="J1933" i="107"/>
  <c r="D2372" i="120" s="1"/>
  <c r="E2386" i="120"/>
  <c r="L1945" i="107"/>
  <c r="F2384" i="120" s="1"/>
  <c r="Q1945" i="107"/>
  <c r="K2384" i="120" s="1"/>
  <c r="J2057" i="107"/>
  <c r="D2510" i="120" s="1"/>
  <c r="P1945" i="107"/>
  <c r="J2384" i="120" s="1"/>
  <c r="O1945" i="107"/>
  <c r="I2384" i="120" s="1"/>
  <c r="K1945" i="107"/>
  <c r="E2384" i="120" s="1"/>
  <c r="M1945" i="107"/>
  <c r="G2384" i="120" s="1"/>
  <c r="N1945" i="107"/>
  <c r="H2384" i="120" s="1"/>
  <c r="J91" i="69"/>
  <c r="J95" i="69" s="1"/>
  <c r="K88" i="69"/>
  <c r="P1953" i="107"/>
  <c r="J2392" i="120" s="1"/>
  <c r="J2386" i="120"/>
  <c r="G34" i="69"/>
  <c r="H28" i="69"/>
  <c r="I28" i="69" s="1"/>
  <c r="K28" i="69" s="1"/>
  <c r="J150" i="69"/>
  <c r="J154" i="69" s="1"/>
  <c r="K147" i="69"/>
  <c r="K27" i="69"/>
  <c r="J30" i="69"/>
  <c r="J34" i="69" s="1"/>
  <c r="J66" i="69" s="1"/>
  <c r="H2057" i="107"/>
  <c r="G2013" i="119" s="1"/>
  <c r="F1941" i="107"/>
  <c r="E1885" i="119" s="1"/>
  <c r="F13" i="30"/>
  <c r="D11" i="30" s="1"/>
  <c r="A11" i="25"/>
  <c r="K1950" i="107" l="1"/>
  <c r="F12" i="30"/>
  <c r="J1273" i="120"/>
  <c r="H2015" i="161"/>
  <c r="F1942" i="161"/>
  <c r="G1945" i="107"/>
  <c r="E1888" i="119"/>
  <c r="J1942" i="161"/>
  <c r="F1945" i="161"/>
  <c r="J1945" i="161"/>
  <c r="J1942" i="107"/>
  <c r="D2381" i="120" s="1"/>
  <c r="E2381" i="120"/>
  <c r="H1035" i="161"/>
  <c r="H1333" i="161"/>
  <c r="J1333" i="161" s="1"/>
  <c r="H1034" i="161"/>
  <c r="J1034" i="161" s="1"/>
  <c r="H526" i="161"/>
  <c r="J526" i="161" s="1"/>
  <c r="H825" i="161"/>
  <c r="H1339" i="161"/>
  <c r="J1339" i="161" s="1"/>
  <c r="H824" i="161"/>
  <c r="H306" i="161"/>
  <c r="J306" i="161" s="1"/>
  <c r="H1003" i="161"/>
  <c r="H364" i="161"/>
  <c r="J364" i="161" s="1"/>
  <c r="H873" i="161"/>
  <c r="J873" i="161" s="1"/>
  <c r="H1069" i="161"/>
  <c r="J1069" i="161" s="1"/>
  <c r="H192" i="161"/>
  <c r="J192" i="161" s="1"/>
  <c r="H357" i="161"/>
  <c r="H1062" i="161"/>
  <c r="H867" i="161"/>
  <c r="H1273" i="120"/>
  <c r="I1273" i="120"/>
  <c r="G1035" i="107"/>
  <c r="G873" i="107"/>
  <c r="F987" i="119" s="1"/>
  <c r="G192" i="107"/>
  <c r="F149" i="119" s="1"/>
  <c r="G526" i="107"/>
  <c r="F619" i="119" s="1"/>
  <c r="G306" i="107"/>
  <c r="F276" i="119" s="1"/>
  <c r="G1003" i="107"/>
  <c r="F1194" i="119" s="1"/>
  <c r="G867" i="107"/>
  <c r="G944" i="107" s="1"/>
  <c r="F1082" i="119" s="1"/>
  <c r="G1333" i="107"/>
  <c r="F1642" i="119" s="1"/>
  <c r="G1339" i="107"/>
  <c r="F1648" i="119" s="1"/>
  <c r="G1034" i="107"/>
  <c r="F1221" i="119" s="1"/>
  <c r="G1062" i="107"/>
  <c r="F1281" i="119" s="1"/>
  <c r="G364" i="107"/>
  <c r="F385" i="119" s="1"/>
  <c r="H867" i="107"/>
  <c r="G981" i="119" s="1"/>
  <c r="H1339" i="107"/>
  <c r="J1339" i="107" s="1"/>
  <c r="D1699" i="120" s="1"/>
  <c r="G1069" i="107"/>
  <c r="F1288" i="119" s="1"/>
  <c r="H357" i="107"/>
  <c r="G378" i="119" s="1"/>
  <c r="H1035" i="107"/>
  <c r="G1222" i="119" s="1"/>
  <c r="H1062" i="107"/>
  <c r="G1281" i="119" s="1"/>
  <c r="H192" i="107"/>
  <c r="G149" i="119" s="1"/>
  <c r="H364" i="107"/>
  <c r="G385" i="119" s="1"/>
  <c r="H873" i="107"/>
  <c r="G987" i="119" s="1"/>
  <c r="H526" i="107"/>
  <c r="G619" i="119" s="1"/>
  <c r="H1333" i="107"/>
  <c r="G1642" i="119" s="1"/>
  <c r="H306" i="107"/>
  <c r="J306" i="107" s="1"/>
  <c r="D333" i="120" s="1"/>
  <c r="H1003" i="107"/>
  <c r="G1194" i="119" s="1"/>
  <c r="F1933" i="107"/>
  <c r="E1877" i="119" s="1"/>
  <c r="H1034" i="107"/>
  <c r="G1221" i="119" s="1"/>
  <c r="H1069" i="107"/>
  <c r="G1288" i="119" s="1"/>
  <c r="Q2055" i="161"/>
  <c r="O2055" i="161"/>
  <c r="P2055" i="161"/>
  <c r="K2055" i="161"/>
  <c r="N2055" i="161"/>
  <c r="G122" i="161"/>
  <c r="G826" i="161"/>
  <c r="G827" i="161"/>
  <c r="G1629" i="161" s="1"/>
  <c r="G476" i="161"/>
  <c r="G475" i="161"/>
  <c r="F2015" i="161"/>
  <c r="F2054" i="161"/>
  <c r="G2055" i="161" s="1"/>
  <c r="H1950" i="161"/>
  <c r="J1947" i="161"/>
  <c r="Q1948" i="161" s="1"/>
  <c r="H1947" i="161"/>
  <c r="J1950" i="161"/>
  <c r="Q1951" i="161" s="1"/>
  <c r="M828" i="161"/>
  <c r="M1630" i="161" s="1"/>
  <c r="L828" i="161"/>
  <c r="L1630" i="161" s="1"/>
  <c r="K828" i="161"/>
  <c r="K1630" i="161" s="1"/>
  <c r="Q828" i="161"/>
  <c r="Q1630" i="161" s="1"/>
  <c r="P828" i="161"/>
  <c r="P1630" i="161" s="1"/>
  <c r="O828" i="161"/>
  <c r="O1630" i="161" s="1"/>
  <c r="J1630" i="161"/>
  <c r="N828" i="161"/>
  <c r="N1630" i="161" s="1"/>
  <c r="L2055" i="161"/>
  <c r="C35" i="26"/>
  <c r="C34" i="26"/>
  <c r="C33" i="26"/>
  <c r="C32" i="26"/>
  <c r="K11" i="25"/>
  <c r="F2018" i="107"/>
  <c r="E1965" i="119" s="1"/>
  <c r="G1429" i="107"/>
  <c r="F1773" i="119" s="1"/>
  <c r="F1222" i="119"/>
  <c r="I21" i="26"/>
  <c r="I16" i="26"/>
  <c r="D31" i="26"/>
  <c r="D29" i="26"/>
  <c r="D30" i="26"/>
  <c r="K14" i="157" s="1"/>
  <c r="I10" i="26"/>
  <c r="H16" i="26"/>
  <c r="C31" i="26"/>
  <c r="C29" i="26"/>
  <c r="H13" i="26"/>
  <c r="U28" i="149" s="1"/>
  <c r="C30" i="26"/>
  <c r="K7" i="157" s="1"/>
  <c r="H10" i="26"/>
  <c r="H18" i="26"/>
  <c r="J1945" i="107"/>
  <c r="D2384" i="120" s="1"/>
  <c r="I526" i="107"/>
  <c r="H619" i="119" s="1"/>
  <c r="D13" i="30"/>
  <c r="J1947" i="107"/>
  <c r="J2387" i="120" s="1"/>
  <c r="H1947" i="107"/>
  <c r="G1891" i="119" s="1"/>
  <c r="J1953" i="107"/>
  <c r="H1953" i="107"/>
  <c r="G1897" i="119" s="1"/>
  <c r="I364" i="107"/>
  <c r="H385" i="119" s="1"/>
  <c r="H1942" i="107"/>
  <c r="G1942" i="107"/>
  <c r="F2057" i="107"/>
  <c r="Q2058" i="107"/>
  <c r="K2511" i="120" s="1"/>
  <c r="M2058" i="107"/>
  <c r="G2511" i="120" s="1"/>
  <c r="O2058" i="107"/>
  <c r="I2511" i="120" s="1"/>
  <c r="K2058" i="107"/>
  <c r="E2511" i="120" s="1"/>
  <c r="P2058" i="107"/>
  <c r="J2511" i="120" s="1"/>
  <c r="L2058" i="107"/>
  <c r="F2511" i="120" s="1"/>
  <c r="N2058" i="107"/>
  <c r="H2511" i="120" s="1"/>
  <c r="I1069" i="107"/>
  <c r="H1288" i="119" s="1"/>
  <c r="I1333" i="107"/>
  <c r="H1642" i="119" s="1"/>
  <c r="I180" i="69"/>
  <c r="K180" i="69" s="1"/>
  <c r="K60" i="69"/>
  <c r="I121" i="69"/>
  <c r="K121" i="69" s="1"/>
  <c r="J873" i="107"/>
  <c r="D1038" i="120" s="1"/>
  <c r="I873" i="107"/>
  <c r="H987" i="119" s="1"/>
  <c r="I192" i="107"/>
  <c r="H149" i="119" s="1"/>
  <c r="D19" i="26"/>
  <c r="I13" i="26"/>
  <c r="C16" i="26"/>
  <c r="H17" i="26"/>
  <c r="C15" i="26"/>
  <c r="H21" i="26"/>
  <c r="C14" i="26"/>
  <c r="H15" i="26"/>
  <c r="H20" i="26"/>
  <c r="C13" i="26"/>
  <c r="H14" i="26"/>
  <c r="U35" i="149" s="1"/>
  <c r="H19" i="26"/>
  <c r="C11" i="26"/>
  <c r="C12" i="26"/>
  <c r="C19" i="26"/>
  <c r="H12" i="26"/>
  <c r="C18" i="26"/>
  <c r="H11" i="26"/>
  <c r="C17" i="26"/>
  <c r="I20" i="26"/>
  <c r="I19" i="26"/>
  <c r="I18" i="26"/>
  <c r="D14" i="26"/>
  <c r="D13" i="26"/>
  <c r="D12" i="26"/>
  <c r="D15" i="26"/>
  <c r="I11" i="26"/>
  <c r="D11" i="26"/>
  <c r="I12" i="26"/>
  <c r="D18" i="26"/>
  <c r="I14" i="26"/>
  <c r="D17" i="26"/>
  <c r="I15" i="26"/>
  <c r="D16" i="26"/>
  <c r="I17" i="26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D12" i="30" l="1"/>
  <c r="J1950" i="107"/>
  <c r="H1950" i="107"/>
  <c r="E2389" i="120"/>
  <c r="K1951" i="107"/>
  <c r="G1886" i="119"/>
  <c r="F1886" i="119"/>
  <c r="M40" i="72"/>
  <c r="K1948" i="161"/>
  <c r="I867" i="161"/>
  <c r="J867" i="161"/>
  <c r="H944" i="161"/>
  <c r="I944" i="161" s="1"/>
  <c r="E34" i="26"/>
  <c r="E11" i="26"/>
  <c r="E33" i="26"/>
  <c r="E15" i="26"/>
  <c r="E32" i="26"/>
  <c r="E12" i="26"/>
  <c r="J16" i="26"/>
  <c r="E14" i="26"/>
  <c r="E31" i="26"/>
  <c r="E29" i="26"/>
  <c r="E43" i="26" s="1"/>
  <c r="E30" i="26"/>
  <c r="J10" i="26"/>
  <c r="E35" i="26"/>
  <c r="K1951" i="161"/>
  <c r="K306" i="161" s="1"/>
  <c r="J1062" i="161"/>
  <c r="Q1062" i="161" s="1"/>
  <c r="I1062" i="161"/>
  <c r="H1626" i="161"/>
  <c r="J824" i="161"/>
  <c r="J1626" i="161" s="1"/>
  <c r="I824" i="161"/>
  <c r="H1627" i="161"/>
  <c r="I825" i="161"/>
  <c r="J825" i="161"/>
  <c r="U140" i="149"/>
  <c r="J357" i="161"/>
  <c r="I357" i="161"/>
  <c r="M1951" i="161"/>
  <c r="M182" i="161" s="1"/>
  <c r="M185" i="161" s="1"/>
  <c r="O1951" i="161"/>
  <c r="O1339" i="161" s="1"/>
  <c r="L1951" i="161"/>
  <c r="F1889" i="119"/>
  <c r="F1945" i="107"/>
  <c r="E1889" i="119" s="1"/>
  <c r="J1003" i="161"/>
  <c r="K1003" i="161" s="1"/>
  <c r="I1003" i="161"/>
  <c r="H1429" i="161"/>
  <c r="J1035" i="161"/>
  <c r="I1003" i="107"/>
  <c r="H1194" i="119" s="1"/>
  <c r="J1003" i="107"/>
  <c r="D1242" i="120" s="1"/>
  <c r="J192" i="107"/>
  <c r="D207" i="120" s="1"/>
  <c r="H1429" i="107"/>
  <c r="G1773" i="119" s="1"/>
  <c r="F981" i="119"/>
  <c r="J1035" i="107"/>
  <c r="D1269" i="120" s="1"/>
  <c r="J1034" i="107"/>
  <c r="D1268" i="120" s="1"/>
  <c r="I357" i="107"/>
  <c r="H378" i="119" s="1"/>
  <c r="J357" i="107"/>
  <c r="D435" i="120" s="1"/>
  <c r="J364" i="107"/>
  <c r="D442" i="120" s="1"/>
  <c r="J1069" i="107"/>
  <c r="D1335" i="120" s="1"/>
  <c r="L21" i="99"/>
  <c r="L21" i="156"/>
  <c r="U119" i="88"/>
  <c r="U119" i="149"/>
  <c r="U133" i="88"/>
  <c r="U133" i="149"/>
  <c r="U126" i="149"/>
  <c r="U105" i="149"/>
  <c r="U112" i="88"/>
  <c r="U112" i="149"/>
  <c r="M106" i="72"/>
  <c r="M47" i="72"/>
  <c r="U21" i="88"/>
  <c r="U21" i="149"/>
  <c r="L14" i="99"/>
  <c r="L14" i="156"/>
  <c r="U42" i="88"/>
  <c r="U42" i="149"/>
  <c r="D8" i="90"/>
  <c r="K20" i="90" s="1"/>
  <c r="D8" i="160"/>
  <c r="K20" i="160" s="1"/>
  <c r="U49" i="149"/>
  <c r="U14" i="149"/>
  <c r="J867" i="107"/>
  <c r="D1032" i="120" s="1"/>
  <c r="I867" i="107"/>
  <c r="H981" i="119" s="1"/>
  <c r="H944" i="107"/>
  <c r="I944" i="107" s="1"/>
  <c r="H1082" i="119" s="1"/>
  <c r="G1648" i="119"/>
  <c r="G276" i="119"/>
  <c r="I1062" i="107"/>
  <c r="H1281" i="119" s="1"/>
  <c r="J1062" i="107"/>
  <c r="D1328" i="120" s="1"/>
  <c r="J526" i="107"/>
  <c r="D673" i="120" s="1"/>
  <c r="J1333" i="107"/>
  <c r="D1693" i="120" s="1"/>
  <c r="F1950" i="161"/>
  <c r="G1951" i="161" s="1"/>
  <c r="M1948" i="161"/>
  <c r="K1034" i="161"/>
  <c r="K364" i="161"/>
  <c r="K192" i="161"/>
  <c r="K1333" i="161"/>
  <c r="K526" i="161"/>
  <c r="K873" i="161"/>
  <c r="K1069" i="161"/>
  <c r="K357" i="161"/>
  <c r="K1062" i="161"/>
  <c r="G1628" i="161"/>
  <c r="O182" i="161"/>
  <c r="O185" i="161" s="1"/>
  <c r="O306" i="161"/>
  <c r="O1003" i="161"/>
  <c r="K182" i="161"/>
  <c r="K185" i="161" s="1"/>
  <c r="K1339" i="161"/>
  <c r="N1951" i="161"/>
  <c r="Q873" i="161"/>
  <c r="Q526" i="161"/>
  <c r="Q1333" i="161"/>
  <c r="Q1034" i="161"/>
  <c r="Q192" i="161"/>
  <c r="Q1069" i="161"/>
  <c r="Q364" i="161"/>
  <c r="Q357" i="161"/>
  <c r="G2387" i="120"/>
  <c r="L182" i="161"/>
  <c r="L185" i="161" s="1"/>
  <c r="L306" i="161"/>
  <c r="L1339" i="161"/>
  <c r="O1948" i="161"/>
  <c r="N1948" i="161"/>
  <c r="P1951" i="161"/>
  <c r="H2387" i="120"/>
  <c r="L1948" i="161"/>
  <c r="Q182" i="161"/>
  <c r="Q185" i="161" s="1"/>
  <c r="Q306" i="161"/>
  <c r="Q1339" i="161"/>
  <c r="Q1003" i="161"/>
  <c r="H2055" i="161"/>
  <c r="M824" i="161"/>
  <c r="M1339" i="161"/>
  <c r="J2055" i="161"/>
  <c r="P1948" i="161"/>
  <c r="F1947" i="161"/>
  <c r="G1948" i="161" s="1"/>
  <c r="H122" i="161"/>
  <c r="H475" i="161"/>
  <c r="J475" i="161" s="1"/>
  <c r="H827" i="161"/>
  <c r="H476" i="161"/>
  <c r="J476" i="161" s="1"/>
  <c r="H826" i="161"/>
  <c r="U140" i="88"/>
  <c r="M113" i="72"/>
  <c r="D43" i="26"/>
  <c r="G2058" i="107"/>
  <c r="F2014" i="119" s="1"/>
  <c r="E2013" i="119"/>
  <c r="F1953" i="107"/>
  <c r="E1897" i="119" s="1"/>
  <c r="E2393" i="120"/>
  <c r="D2389" i="120"/>
  <c r="D2386" i="120"/>
  <c r="U35" i="88"/>
  <c r="U126" i="88"/>
  <c r="U105" i="88"/>
  <c r="I23" i="26"/>
  <c r="K14" i="101"/>
  <c r="C23" i="26"/>
  <c r="M26" i="72" s="1"/>
  <c r="U49" i="88"/>
  <c r="U14" i="88"/>
  <c r="C43" i="26"/>
  <c r="K7" i="101"/>
  <c r="H23" i="26"/>
  <c r="U28" i="88"/>
  <c r="D23" i="26"/>
  <c r="F2387" i="120"/>
  <c r="M1954" i="107"/>
  <c r="H2058" i="107"/>
  <c r="L1954" i="107"/>
  <c r="F2393" i="120" s="1"/>
  <c r="F1942" i="107"/>
  <c r="E1886" i="119" s="1"/>
  <c r="G122" i="107"/>
  <c r="F80" i="119" s="1"/>
  <c r="G475" i="107"/>
  <c r="F572" i="119" s="1"/>
  <c r="G476" i="107"/>
  <c r="F573" i="119" s="1"/>
  <c r="P1954" i="107"/>
  <c r="J2393" i="120" s="1"/>
  <c r="Q1954" i="107"/>
  <c r="K2393" i="120" s="1"/>
  <c r="P873" i="107"/>
  <c r="J1038" i="120" s="1"/>
  <c r="F1947" i="107"/>
  <c r="N1954" i="107"/>
  <c r="H2393" i="120" s="1"/>
  <c r="J2058" i="107"/>
  <c r="D2511" i="120" s="1"/>
  <c r="P364" i="107"/>
  <c r="J442" i="120" s="1"/>
  <c r="P1035" i="107"/>
  <c r="H475" i="107"/>
  <c r="H476" i="107"/>
  <c r="H122" i="107"/>
  <c r="G80" i="119" s="1"/>
  <c r="P192" i="107"/>
  <c r="J207" i="120" s="1"/>
  <c r="L867" i="107"/>
  <c r="J944" i="107"/>
  <c r="D1132" i="120" s="1"/>
  <c r="O1954" i="107"/>
  <c r="I2393" i="120" s="1"/>
  <c r="I2387" i="120"/>
  <c r="E16" i="26"/>
  <c r="E17" i="26"/>
  <c r="E18" i="26"/>
  <c r="E19" i="26"/>
  <c r="J18" i="26"/>
  <c r="J15" i="26"/>
  <c r="J19" i="26"/>
  <c r="J12" i="26"/>
  <c r="J20" i="26"/>
  <c r="J11" i="26"/>
  <c r="J21" i="26"/>
  <c r="E13" i="26"/>
  <c r="J17" i="26"/>
  <c r="M151" i="72"/>
  <c r="J13" i="26"/>
  <c r="J14" i="26"/>
  <c r="E2390" i="120" l="1"/>
  <c r="G1894" i="119"/>
  <c r="F1950" i="107"/>
  <c r="H1951" i="107" s="1"/>
  <c r="G1895" i="119" s="1"/>
  <c r="M1951" i="107"/>
  <c r="G2390" i="120" s="1"/>
  <c r="P1951" i="107"/>
  <c r="J2390" i="120" s="1"/>
  <c r="N1951" i="107"/>
  <c r="H2390" i="120" s="1"/>
  <c r="L1951" i="107"/>
  <c r="F2390" i="120" s="1"/>
  <c r="O1951" i="107"/>
  <c r="I2390" i="120" s="1"/>
  <c r="Q1951" i="107"/>
  <c r="K2390" i="120" s="1"/>
  <c r="G333" i="120"/>
  <c r="G2393" i="120"/>
  <c r="Q873" i="107"/>
  <c r="K1038" i="120" s="1"/>
  <c r="K2387" i="120"/>
  <c r="K873" i="107"/>
  <c r="E1038" i="120" s="1"/>
  <c r="E2387" i="120"/>
  <c r="L1003" i="161"/>
  <c r="P1034" i="107"/>
  <c r="J1268" i="120" s="1"/>
  <c r="L824" i="161"/>
  <c r="L1626" i="161" s="1"/>
  <c r="M1003" i="161"/>
  <c r="O824" i="161"/>
  <c r="O1626" i="161" s="1"/>
  <c r="E8" i="90"/>
  <c r="E8" i="160"/>
  <c r="J1429" i="161"/>
  <c r="M1035" i="161"/>
  <c r="M1429" i="161" s="1"/>
  <c r="L1035" i="161"/>
  <c r="L1429" i="161" s="1"/>
  <c r="Q1035" i="161"/>
  <c r="Q1429" i="161" s="1"/>
  <c r="K1035" i="161"/>
  <c r="K1429" i="161" s="1"/>
  <c r="O1035" i="161"/>
  <c r="O1429" i="161" s="1"/>
  <c r="P1035" i="161"/>
  <c r="P1429" i="161" s="1"/>
  <c r="N1035" i="161"/>
  <c r="N1429" i="161" s="1"/>
  <c r="L28" i="99"/>
  <c r="L28" i="156"/>
  <c r="M306" i="161"/>
  <c r="K824" i="161"/>
  <c r="K1626" i="161" s="1"/>
  <c r="O1035" i="107"/>
  <c r="N1034" i="107"/>
  <c r="H1268" i="120" s="1"/>
  <c r="U190" i="88"/>
  <c r="U190" i="149"/>
  <c r="J944" i="161"/>
  <c r="O867" i="161"/>
  <c r="O944" i="161" s="1"/>
  <c r="N867" i="161"/>
  <c r="N944" i="161" s="1"/>
  <c r="L867" i="161"/>
  <c r="L944" i="161" s="1"/>
  <c r="M867" i="161"/>
  <c r="M944" i="161" s="1"/>
  <c r="K867" i="161"/>
  <c r="K944" i="161" s="1"/>
  <c r="P867" i="161"/>
  <c r="P944" i="161" s="1"/>
  <c r="Q867" i="161"/>
  <c r="Q944" i="161" s="1"/>
  <c r="J1627" i="161"/>
  <c r="K825" i="161"/>
  <c r="K1627" i="161" s="1"/>
  <c r="P825" i="161"/>
  <c r="P1627" i="161" s="1"/>
  <c r="L825" i="161"/>
  <c r="L1627" i="161" s="1"/>
  <c r="Q825" i="161"/>
  <c r="Q1627" i="161" s="1"/>
  <c r="M825" i="161"/>
  <c r="M1627" i="161" s="1"/>
  <c r="O825" i="161"/>
  <c r="O1627" i="161" s="1"/>
  <c r="N825" i="161"/>
  <c r="N1627" i="161" s="1"/>
  <c r="Q824" i="161"/>
  <c r="Q1626" i="161" s="1"/>
  <c r="O867" i="107"/>
  <c r="I1032" i="120" s="1"/>
  <c r="M867" i="107"/>
  <c r="P867" i="107"/>
  <c r="Q867" i="107"/>
  <c r="N867" i="107"/>
  <c r="K867" i="107"/>
  <c r="E1032" i="120" s="1"/>
  <c r="P1062" i="107"/>
  <c r="J1328" i="120" s="1"/>
  <c r="P1333" i="107"/>
  <c r="J1693" i="120" s="1"/>
  <c r="M1035" i="107"/>
  <c r="G1269" i="120" s="1"/>
  <c r="Q1035" i="107"/>
  <c r="J1429" i="107"/>
  <c r="D1828" i="120" s="1"/>
  <c r="K1035" i="107"/>
  <c r="L1035" i="107"/>
  <c r="N1035" i="107"/>
  <c r="N1429" i="107" s="1"/>
  <c r="H1828" i="120" s="1"/>
  <c r="G1082" i="119"/>
  <c r="G1242" i="120"/>
  <c r="P357" i="107"/>
  <c r="J435" i="120" s="1"/>
  <c r="M364" i="107"/>
  <c r="G442" i="120" s="1"/>
  <c r="M1034" i="107"/>
  <c r="G1268" i="120" s="1"/>
  <c r="N526" i="107"/>
  <c r="H673" i="120" s="1"/>
  <c r="L526" i="107"/>
  <c r="F673" i="120" s="1"/>
  <c r="P1069" i="107"/>
  <c r="J1335" i="120" s="1"/>
  <c r="P526" i="107"/>
  <c r="J673" i="120" s="1"/>
  <c r="L1069" i="107"/>
  <c r="F1335" i="120" s="1"/>
  <c r="M526" i="107"/>
  <c r="G673" i="120" s="1"/>
  <c r="J23" i="26"/>
  <c r="U155" i="149" s="1"/>
  <c r="U162" i="149"/>
  <c r="U183" i="88"/>
  <c r="U183" i="149"/>
  <c r="U169" i="88"/>
  <c r="U169" i="149"/>
  <c r="U176" i="88"/>
  <c r="U176" i="149"/>
  <c r="U197" i="149"/>
  <c r="E23" i="26"/>
  <c r="N9" i="26" s="1"/>
  <c r="U98" i="88"/>
  <c r="U98" i="149"/>
  <c r="U147" i="149" s="1"/>
  <c r="U7" i="88"/>
  <c r="U7" i="149"/>
  <c r="U56" i="149" s="1"/>
  <c r="J1951" i="161"/>
  <c r="L357" i="107"/>
  <c r="F435" i="120" s="1"/>
  <c r="L873" i="107"/>
  <c r="F1038" i="120" s="1"/>
  <c r="J1948" i="107"/>
  <c r="D2387" i="120" s="1"/>
  <c r="K1333" i="107"/>
  <c r="E1693" i="120" s="1"/>
  <c r="M1069" i="107"/>
  <c r="G1335" i="120" s="1"/>
  <c r="M1333" i="107"/>
  <c r="G1693" i="120" s="1"/>
  <c r="M873" i="107"/>
  <c r="G1038" i="120" s="1"/>
  <c r="M357" i="107"/>
  <c r="G435" i="120" s="1"/>
  <c r="M1062" i="107"/>
  <c r="G1328" i="120" s="1"/>
  <c r="M192" i="107"/>
  <c r="G207" i="120" s="1"/>
  <c r="N192" i="107"/>
  <c r="H207" i="120" s="1"/>
  <c r="N1069" i="107"/>
  <c r="H1335" i="120" s="1"/>
  <c r="H1242" i="120"/>
  <c r="N364" i="107"/>
  <c r="H442" i="120" s="1"/>
  <c r="G1699" i="120"/>
  <c r="E1699" i="120"/>
  <c r="K364" i="107"/>
  <c r="E442" i="120" s="1"/>
  <c r="K1062" i="107"/>
  <c r="E1328" i="120" s="1"/>
  <c r="K1242" i="120"/>
  <c r="Q1333" i="107"/>
  <c r="K1693" i="120" s="1"/>
  <c r="K1034" i="107"/>
  <c r="E1268" i="120" s="1"/>
  <c r="J1948" i="161"/>
  <c r="K526" i="107"/>
  <c r="E673" i="120" s="1"/>
  <c r="Q526" i="107"/>
  <c r="K673" i="120" s="1"/>
  <c r="E1242" i="120"/>
  <c r="K1069" i="107"/>
  <c r="E1335" i="120" s="1"/>
  <c r="E333" i="120"/>
  <c r="K357" i="107"/>
  <c r="E435" i="120" s="1"/>
  <c r="K192" i="107"/>
  <c r="E207" i="120" s="1"/>
  <c r="G1954" i="107"/>
  <c r="F1898" i="119" s="1"/>
  <c r="O187" i="161"/>
  <c r="O21" i="161" s="1"/>
  <c r="O1842" i="161"/>
  <c r="O1844" i="161" s="1"/>
  <c r="O648" i="161"/>
  <c r="O650" i="161" s="1"/>
  <c r="L192" i="107"/>
  <c r="F207" i="120" s="1"/>
  <c r="Q1069" i="107"/>
  <c r="K1335" i="120" s="1"/>
  <c r="Q364" i="107"/>
  <c r="K442" i="120" s="1"/>
  <c r="H1954" i="107"/>
  <c r="G1898" i="119" s="1"/>
  <c r="E197" i="120"/>
  <c r="H1629" i="161"/>
  <c r="J827" i="161"/>
  <c r="I827" i="161"/>
  <c r="M1626" i="161"/>
  <c r="L526" i="161"/>
  <c r="L1333" i="161"/>
  <c r="L1069" i="161"/>
  <c r="L873" i="161"/>
  <c r="L364" i="161"/>
  <c r="L192" i="161"/>
  <c r="L1034" i="161"/>
  <c r="L357" i="161"/>
  <c r="L1062" i="161"/>
  <c r="Q192" i="107"/>
  <c r="K207" i="120" s="1"/>
  <c r="L364" i="107"/>
  <c r="F442" i="120" s="1"/>
  <c r="N873" i="107"/>
  <c r="H1038" i="120" s="1"/>
  <c r="N1333" i="107"/>
  <c r="H1693" i="120" s="1"/>
  <c r="J826" i="161"/>
  <c r="I826" i="161"/>
  <c r="H1628" i="161"/>
  <c r="P364" i="161"/>
  <c r="P526" i="161"/>
  <c r="P873" i="161"/>
  <c r="P192" i="161"/>
  <c r="P1034" i="161"/>
  <c r="P1069" i="161"/>
  <c r="P1333" i="161"/>
  <c r="P357" i="161"/>
  <c r="P1062" i="161"/>
  <c r="M1842" i="161"/>
  <c r="M1844" i="161" s="1"/>
  <c r="M648" i="161"/>
  <c r="M650" i="161" s="1"/>
  <c r="M187" i="161"/>
  <c r="M21" i="161" s="1"/>
  <c r="F2055" i="161"/>
  <c r="P476" i="161"/>
  <c r="N476" i="161"/>
  <c r="M476" i="161"/>
  <c r="O476" i="161"/>
  <c r="L476" i="161"/>
  <c r="K476" i="161"/>
  <c r="Q476" i="161"/>
  <c r="M475" i="161"/>
  <c r="L475" i="161"/>
  <c r="Q475" i="161"/>
  <c r="K475" i="161"/>
  <c r="N475" i="161"/>
  <c r="P475" i="161"/>
  <c r="O475" i="161"/>
  <c r="P182" i="161"/>
  <c r="P185" i="161" s="1"/>
  <c r="P306" i="161"/>
  <c r="P1339" i="161"/>
  <c r="P824" i="161"/>
  <c r="P1003" i="161"/>
  <c r="L1842" i="161"/>
  <c r="L1844" i="161" s="1"/>
  <c r="L648" i="161"/>
  <c r="L650" i="161" s="1"/>
  <c r="L187" i="161"/>
  <c r="L21" i="161" s="1"/>
  <c r="N1062" i="107"/>
  <c r="H1328" i="120" s="1"/>
  <c r="H1948" i="161"/>
  <c r="F1948" i="161" s="1"/>
  <c r="O1333" i="161"/>
  <c r="O192" i="161"/>
  <c r="O1034" i="161"/>
  <c r="O1069" i="161"/>
  <c r="O526" i="161"/>
  <c r="O364" i="161"/>
  <c r="O873" i="161"/>
  <c r="O357" i="161"/>
  <c r="O1062" i="161"/>
  <c r="M1034" i="161"/>
  <c r="M873" i="161"/>
  <c r="M192" i="161"/>
  <c r="M364" i="161"/>
  <c r="M1333" i="161"/>
  <c r="M1069" i="161"/>
  <c r="M526" i="161"/>
  <c r="M357" i="161"/>
  <c r="M1062" i="161"/>
  <c r="Q648" i="161"/>
  <c r="Q650" i="161" s="1"/>
  <c r="Q1842" i="161"/>
  <c r="Q1844" i="161" s="1"/>
  <c r="Q187" i="161"/>
  <c r="Q21" i="161" s="1"/>
  <c r="N182" i="161"/>
  <c r="N185" i="161" s="1"/>
  <c r="N306" i="161"/>
  <c r="N824" i="161"/>
  <c r="N1339" i="161"/>
  <c r="N1003" i="161"/>
  <c r="L1333" i="107"/>
  <c r="F1693" i="120" s="1"/>
  <c r="N357" i="107"/>
  <c r="H435" i="120" s="1"/>
  <c r="J122" i="161"/>
  <c r="I122" i="161"/>
  <c r="N1069" i="161"/>
  <c r="N873" i="161"/>
  <c r="N1333" i="161"/>
  <c r="N192" i="161"/>
  <c r="N364" i="161"/>
  <c r="N1034" i="161"/>
  <c r="N526" i="161"/>
  <c r="N357" i="161"/>
  <c r="N1062" i="161"/>
  <c r="K1842" i="161"/>
  <c r="K1844" i="161" s="1"/>
  <c r="K648" i="161"/>
  <c r="K650" i="161" s="1"/>
  <c r="K187" i="161"/>
  <c r="K21" i="161" s="1"/>
  <c r="H1951" i="161"/>
  <c r="F1951" i="161" s="1"/>
  <c r="U197" i="88"/>
  <c r="M158" i="72"/>
  <c r="N8" i="26"/>
  <c r="M92" i="72"/>
  <c r="O364" i="107"/>
  <c r="I442" i="120" s="1"/>
  <c r="I1242" i="120"/>
  <c r="J476" i="107"/>
  <c r="D628" i="120" s="1"/>
  <c r="G573" i="119"/>
  <c r="J475" i="107"/>
  <c r="D627" i="120" s="1"/>
  <c r="G572" i="119"/>
  <c r="Q1429" i="107"/>
  <c r="K1828" i="120" s="1"/>
  <c r="K1269" i="120"/>
  <c r="L1429" i="107"/>
  <c r="F1828" i="120" s="1"/>
  <c r="F1269" i="120"/>
  <c r="O1429" i="107"/>
  <c r="I1828" i="120" s="1"/>
  <c r="I1269" i="120"/>
  <c r="P1429" i="107"/>
  <c r="J1828" i="120" s="1"/>
  <c r="J1269" i="120"/>
  <c r="K1429" i="107"/>
  <c r="E1828" i="120" s="1"/>
  <c r="E1269" i="120"/>
  <c r="G1948" i="107"/>
  <c r="F1892" i="119" s="1"/>
  <c r="E1891" i="119"/>
  <c r="J1242" i="120"/>
  <c r="F1699" i="120"/>
  <c r="F2058" i="107"/>
  <c r="E2014" i="119" s="1"/>
  <c r="G2014" i="119"/>
  <c r="Q1034" i="107"/>
  <c r="K1268" i="120" s="1"/>
  <c r="Q357" i="107"/>
  <c r="K435" i="120" s="1"/>
  <c r="Q1062" i="107"/>
  <c r="K1328" i="120" s="1"/>
  <c r="K944" i="107"/>
  <c r="E1132" i="120" s="1"/>
  <c r="L944" i="107"/>
  <c r="F1132" i="120" s="1"/>
  <c r="F1032" i="120"/>
  <c r="Q944" i="107"/>
  <c r="K1132" i="120" s="1"/>
  <c r="K1032" i="120"/>
  <c r="M944" i="107"/>
  <c r="G1132" i="120" s="1"/>
  <c r="G1032" i="120"/>
  <c r="P944" i="107"/>
  <c r="J1132" i="120" s="1"/>
  <c r="J1032" i="120"/>
  <c r="N944" i="107"/>
  <c r="H1132" i="120" s="1"/>
  <c r="H1032" i="120"/>
  <c r="U147" i="88"/>
  <c r="M137" i="72"/>
  <c r="U162" i="88"/>
  <c r="U155" i="88"/>
  <c r="M120" i="72"/>
  <c r="U56" i="88"/>
  <c r="N7" i="26"/>
  <c r="F1242" i="120"/>
  <c r="L1034" i="107"/>
  <c r="F1268" i="120" s="1"/>
  <c r="L1062" i="107"/>
  <c r="F1328" i="120" s="1"/>
  <c r="O192" i="107"/>
  <c r="I207" i="120" s="1"/>
  <c r="F333" i="120"/>
  <c r="O1333" i="107"/>
  <c r="I1693" i="120" s="1"/>
  <c r="J122" i="107"/>
  <c r="D139" i="120" s="1"/>
  <c r="I122" i="107"/>
  <c r="H80" i="119" s="1"/>
  <c r="O1062" i="107"/>
  <c r="I1328" i="120" s="1"/>
  <c r="O1034" i="107"/>
  <c r="I1268" i="120" s="1"/>
  <c r="O357" i="107"/>
  <c r="I435" i="120" s="1"/>
  <c r="H333" i="120"/>
  <c r="H1699" i="120"/>
  <c r="H1948" i="107"/>
  <c r="G1892" i="119" s="1"/>
  <c r="O873" i="107"/>
  <c r="I1038" i="120" s="1"/>
  <c r="O526" i="107"/>
  <c r="I673" i="120" s="1"/>
  <c r="I1699" i="120"/>
  <c r="I333" i="120"/>
  <c r="O1069" i="107"/>
  <c r="I1335" i="120" s="1"/>
  <c r="K333" i="120"/>
  <c r="K1699" i="120"/>
  <c r="J1954" i="107"/>
  <c r="D2390" i="120" s="1"/>
  <c r="J333" i="120"/>
  <c r="J1699" i="120"/>
  <c r="F146" i="69"/>
  <c r="N140" i="69"/>
  <c r="G1951" i="107" l="1"/>
  <c r="E1894" i="119"/>
  <c r="J1951" i="107"/>
  <c r="O944" i="107"/>
  <c r="I1132" i="120" s="1"/>
  <c r="M1429" i="107"/>
  <c r="G1828" i="120" s="1"/>
  <c r="H1269" i="120"/>
  <c r="U204" i="88"/>
  <c r="U204" i="149"/>
  <c r="M476" i="107"/>
  <c r="G628" i="120" s="1"/>
  <c r="Q476" i="107"/>
  <c r="K628" i="120" s="1"/>
  <c r="K185" i="107"/>
  <c r="K648" i="107" s="1"/>
  <c r="L476" i="107"/>
  <c r="F628" i="120" s="1"/>
  <c r="K476" i="107"/>
  <c r="E628" i="120" s="1"/>
  <c r="N1842" i="161"/>
  <c r="N1844" i="161" s="1"/>
  <c r="N648" i="161"/>
  <c r="N650" i="161" s="1"/>
  <c r="N187" i="161"/>
  <c r="N21" i="161" s="1"/>
  <c r="N1626" i="161"/>
  <c r="M827" i="161"/>
  <c r="M1629" i="161" s="1"/>
  <c r="J1629" i="161"/>
  <c r="L827" i="161"/>
  <c r="L1629" i="161" s="1"/>
  <c r="K827" i="161"/>
  <c r="K1629" i="161" s="1"/>
  <c r="Q827" i="161"/>
  <c r="Q1629" i="161" s="1"/>
  <c r="P827" i="161"/>
  <c r="P1629" i="161" s="1"/>
  <c r="O827" i="161"/>
  <c r="O1629" i="161" s="1"/>
  <c r="N827" i="161"/>
  <c r="N1629" i="161" s="1"/>
  <c r="M122" i="161"/>
  <c r="L122" i="161"/>
  <c r="K122" i="161"/>
  <c r="Q122" i="161"/>
  <c r="P122" i="161"/>
  <c r="O122" i="161"/>
  <c r="N122" i="161"/>
  <c r="N476" i="107"/>
  <c r="H628" i="120" s="1"/>
  <c r="P1626" i="161"/>
  <c r="F1954" i="107"/>
  <c r="E1898" i="119" s="1"/>
  <c r="P187" i="161"/>
  <c r="P21" i="161" s="1"/>
  <c r="P1842" i="161"/>
  <c r="P1844" i="161" s="1"/>
  <c r="P648" i="161"/>
  <c r="P650" i="161" s="1"/>
  <c r="N826" i="161"/>
  <c r="N1628" i="161" s="1"/>
  <c r="M826" i="161"/>
  <c r="L826" i="161"/>
  <c r="K826" i="161"/>
  <c r="Q826" i="161"/>
  <c r="J1628" i="161"/>
  <c r="P826" i="161"/>
  <c r="P1628" i="161" s="1"/>
  <c r="O826" i="161"/>
  <c r="O475" i="107"/>
  <c r="I627" i="120" s="1"/>
  <c r="L475" i="107"/>
  <c r="F627" i="120" s="1"/>
  <c r="P475" i="107"/>
  <c r="J627" i="120" s="1"/>
  <c r="K475" i="107"/>
  <c r="E627" i="120" s="1"/>
  <c r="M475" i="107"/>
  <c r="G627" i="120" s="1"/>
  <c r="N475" i="107"/>
  <c r="H627" i="120" s="1"/>
  <c r="Q475" i="107"/>
  <c r="K627" i="120" s="1"/>
  <c r="O476" i="107"/>
  <c r="I628" i="120" s="1"/>
  <c r="P476" i="107"/>
  <c r="J628" i="120" s="1"/>
  <c r="M54" i="72"/>
  <c r="P185" i="107"/>
  <c r="J200" i="120" s="1"/>
  <c r="J197" i="120"/>
  <c r="Q185" i="107"/>
  <c r="K200" i="120" s="1"/>
  <c r="K197" i="120"/>
  <c r="O185" i="107"/>
  <c r="I200" i="120" s="1"/>
  <c r="I197" i="120"/>
  <c r="F1948" i="107"/>
  <c r="E1892" i="119" s="1"/>
  <c r="N185" i="107"/>
  <c r="H200" i="120" s="1"/>
  <c r="H197" i="120"/>
  <c r="L185" i="107"/>
  <c r="F200" i="120" s="1"/>
  <c r="F197" i="120"/>
  <c r="M185" i="107"/>
  <c r="G197" i="120"/>
  <c r="N152" i="69"/>
  <c r="N153" i="69" s="1"/>
  <c r="N154" i="69"/>
  <c r="N175" i="69" s="1"/>
  <c r="M165" i="72"/>
  <c r="K122" i="107"/>
  <c r="E139" i="120" s="1"/>
  <c r="L122" i="107"/>
  <c r="F139" i="120" s="1"/>
  <c r="M122" i="107"/>
  <c r="G139" i="120" s="1"/>
  <c r="P122" i="107"/>
  <c r="J139" i="120" s="1"/>
  <c r="O122" i="107"/>
  <c r="I139" i="120" s="1"/>
  <c r="Q122" i="107"/>
  <c r="K139" i="120" s="1"/>
  <c r="N122" i="107"/>
  <c r="H139" i="120" s="1"/>
  <c r="D150" i="69"/>
  <c r="N138" i="69" s="1"/>
  <c r="N139" i="69" s="1"/>
  <c r="N142" i="69" s="1"/>
  <c r="F145" i="69"/>
  <c r="F110" i="151" s="1"/>
  <c r="G146" i="69"/>
  <c r="H146" i="69" s="1"/>
  <c r="I146" i="69" s="1"/>
  <c r="K146" i="69" s="1"/>
  <c r="E20" i="19"/>
  <c r="I6" i="19" s="1"/>
  <c r="F1951" i="107" l="1"/>
  <c r="E1895" i="119" s="1"/>
  <c r="F1895" i="119"/>
  <c r="K650" i="107"/>
  <c r="E817" i="120" s="1"/>
  <c r="E815" i="120"/>
  <c r="L648" i="107"/>
  <c r="F815" i="120" s="1"/>
  <c r="E200" i="120"/>
  <c r="K187" i="107"/>
  <c r="K1842" i="107"/>
  <c r="O648" i="107"/>
  <c r="I815" i="120" s="1"/>
  <c r="Q1842" i="107"/>
  <c r="Q1844" i="107" s="1"/>
  <c r="O29" i="116" s="1"/>
  <c r="O187" i="107"/>
  <c r="I202" i="120" s="1"/>
  <c r="O1842" i="107"/>
  <c r="O1844" i="107" s="1"/>
  <c r="M29" i="116" s="1"/>
  <c r="P187" i="107"/>
  <c r="J202" i="120" s="1"/>
  <c r="Q648" i="107"/>
  <c r="Q650" i="107" s="1"/>
  <c r="K817" i="120" s="1"/>
  <c r="O1628" i="161"/>
  <c r="L1842" i="107"/>
  <c r="L1844" i="107" s="1"/>
  <c r="J29" i="116" s="1"/>
  <c r="P1842" i="107"/>
  <c r="J2250" i="120" s="1"/>
  <c r="P648" i="107"/>
  <c r="P650" i="107" s="1"/>
  <c r="J817" i="120" s="1"/>
  <c r="L187" i="107"/>
  <c r="L21" i="107" s="1"/>
  <c r="F20" i="120" s="1"/>
  <c r="Q1628" i="161"/>
  <c r="N187" i="107"/>
  <c r="N21" i="107" s="1"/>
  <c r="H20" i="120" s="1"/>
  <c r="N648" i="107"/>
  <c r="N650" i="107" s="1"/>
  <c r="H817" i="120" s="1"/>
  <c r="K1628" i="161"/>
  <c r="N1842" i="107"/>
  <c r="N1844" i="107" s="1"/>
  <c r="L1628" i="161"/>
  <c r="Q187" i="107"/>
  <c r="Q21" i="107" s="1"/>
  <c r="K20" i="120" s="1"/>
  <c r="M1628" i="161"/>
  <c r="M1842" i="107"/>
  <c r="G200" i="120"/>
  <c r="M187" i="107"/>
  <c r="M648" i="107"/>
  <c r="N156" i="69"/>
  <c r="D184" i="69"/>
  <c r="F174" i="69"/>
  <c r="F184" i="69" s="1"/>
  <c r="G145" i="69"/>
  <c r="G150" i="69" s="1"/>
  <c r="G154" i="69" s="1"/>
  <c r="F110" i="100"/>
  <c r="D154" i="69"/>
  <c r="F150" i="69"/>
  <c r="F154" i="69" s="1"/>
  <c r="K815" i="120" l="1"/>
  <c r="K2250" i="120"/>
  <c r="O650" i="107"/>
  <c r="I817" i="120" s="1"/>
  <c r="D186" i="69"/>
  <c r="O21" i="107"/>
  <c r="I20" i="120" s="1"/>
  <c r="K202" i="120"/>
  <c r="F202" i="120"/>
  <c r="L650" i="107"/>
  <c r="F817" i="120" s="1"/>
  <c r="F2250" i="120"/>
  <c r="K1844" i="107"/>
  <c r="E2250" i="120"/>
  <c r="E202" i="120"/>
  <c r="K21" i="107"/>
  <c r="E20" i="120" s="1"/>
  <c r="P1844" i="107"/>
  <c r="J2252" i="120" s="1"/>
  <c r="P21" i="107"/>
  <c r="J20" i="120" s="1"/>
  <c r="I2250" i="120"/>
  <c r="H202" i="120"/>
  <c r="H2252" i="120"/>
  <c r="L29" i="116"/>
  <c r="H2250" i="120"/>
  <c r="H815" i="120"/>
  <c r="J815" i="120"/>
  <c r="I2252" i="120"/>
  <c r="G174" i="69"/>
  <c r="H174" i="69" s="1"/>
  <c r="H184" i="69" s="1"/>
  <c r="F2252" i="120"/>
  <c r="K2252" i="120"/>
  <c r="M650" i="107"/>
  <c r="G817" i="120" s="1"/>
  <c r="G815" i="120"/>
  <c r="M21" i="107"/>
  <c r="G20" i="120" s="1"/>
  <c r="G202" i="120"/>
  <c r="M1844" i="107"/>
  <c r="G2250" i="120"/>
  <c r="F186" i="69"/>
  <c r="N131" i="69" s="1"/>
  <c r="N173" i="69" s="1"/>
  <c r="N174" i="69" s="1"/>
  <c r="N177" i="69" s="1"/>
  <c r="H145" i="69"/>
  <c r="I145" i="69" s="1"/>
  <c r="P14" i="24"/>
  <c r="P13" i="24"/>
  <c r="D12" i="19" s="1"/>
  <c r="D115" i="69" s="1"/>
  <c r="P12" i="24"/>
  <c r="P11" i="24"/>
  <c r="P10" i="24"/>
  <c r="P9" i="24"/>
  <c r="P8" i="24"/>
  <c r="D11" i="19" s="1"/>
  <c r="P7" i="24"/>
  <c r="D10" i="19" s="1"/>
  <c r="D87" i="69" s="1"/>
  <c r="N132" i="69" l="1"/>
  <c r="N135" i="69" s="1"/>
  <c r="N29" i="116"/>
  <c r="I29" i="116"/>
  <c r="E2252" i="120"/>
  <c r="G184" i="69"/>
  <c r="G186" i="69" s="1"/>
  <c r="K29" i="116"/>
  <c r="G2252" i="120"/>
  <c r="F87" i="69"/>
  <c r="G87" i="69" s="1"/>
  <c r="H87" i="69" s="1"/>
  <c r="I87" i="69" s="1"/>
  <c r="K87" i="69" s="1"/>
  <c r="N94" i="69"/>
  <c r="N95" i="69" s="1"/>
  <c r="N96" i="69"/>
  <c r="H150" i="69"/>
  <c r="H154" i="69" s="1"/>
  <c r="H186" i="69" s="1"/>
  <c r="K145" i="69"/>
  <c r="K150" i="69" s="1"/>
  <c r="K154" i="69" s="1"/>
  <c r="I150" i="69"/>
  <c r="I154" i="69" s="1"/>
  <c r="P8" i="22"/>
  <c r="C11" i="19" s="1"/>
  <c r="P7" i="22"/>
  <c r="C10" i="19" s="1"/>
  <c r="D26" i="69" s="1"/>
  <c r="P29" i="116" l="1"/>
  <c r="N14" i="69"/>
  <c r="N28" i="69"/>
  <c r="F115" i="69"/>
  <c r="F125" i="69" s="1"/>
  <c r="D125" i="69"/>
  <c r="N82" i="69"/>
  <c r="N117" i="69" s="1"/>
  <c r="D91" i="69"/>
  <c r="N98" i="69"/>
  <c r="D20" i="19"/>
  <c r="I5" i="19" s="1"/>
  <c r="C20" i="19"/>
  <c r="I4" i="19" s="1"/>
  <c r="I7" i="18"/>
  <c r="I8" i="18"/>
  <c r="I6" i="18"/>
  <c r="I13" i="18"/>
  <c r="I14" i="18"/>
  <c r="I15" i="18"/>
  <c r="I16" i="18"/>
  <c r="J16" i="18" s="1"/>
  <c r="I17" i="18"/>
  <c r="J17" i="18" s="1"/>
  <c r="I12" i="18"/>
  <c r="D17" i="18"/>
  <c r="E17" i="18"/>
  <c r="D18" i="18"/>
  <c r="E18" i="18"/>
  <c r="D19" i="18"/>
  <c r="E19" i="18"/>
  <c r="D20" i="18"/>
  <c r="E20" i="18"/>
  <c r="D21" i="18"/>
  <c r="E21" i="18"/>
  <c r="D22" i="18"/>
  <c r="E22" i="18"/>
  <c r="E16" i="18"/>
  <c r="D16" i="18"/>
  <c r="D6" i="18"/>
  <c r="E6" i="18"/>
  <c r="D52" i="69" s="1"/>
  <c r="D7" i="18"/>
  <c r="D29" i="18" s="1"/>
  <c r="E7" i="18"/>
  <c r="D54" i="69" s="1"/>
  <c r="D8" i="18"/>
  <c r="E8" i="18"/>
  <c r="D42" i="69" s="1"/>
  <c r="D9" i="18"/>
  <c r="E9" i="18"/>
  <c r="E31" i="18" s="1"/>
  <c r="D10" i="18"/>
  <c r="E10" i="18"/>
  <c r="D11" i="18"/>
  <c r="E11" i="18"/>
  <c r="E5" i="18"/>
  <c r="D5" i="18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2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H164" i="149" s="1"/>
  <c r="F238" i="15"/>
  <c r="I164" i="149" s="1"/>
  <c r="F239" i="15"/>
  <c r="F240" i="15"/>
  <c r="F241" i="15"/>
  <c r="F242" i="15"/>
  <c r="F243" i="15"/>
  <c r="F244" i="15"/>
  <c r="F245" i="15"/>
  <c r="N196" i="149" s="1"/>
  <c r="F246" i="15"/>
  <c r="O196" i="149" s="1"/>
  <c r="O202" i="149" s="1"/>
  <c r="O204" i="149" s="1"/>
  <c r="F247" i="15"/>
  <c r="P197" i="149" s="1"/>
  <c r="F248" i="15"/>
  <c r="F250" i="15"/>
  <c r="F251" i="15"/>
  <c r="F252" i="15"/>
  <c r="F253" i="15"/>
  <c r="F254" i="15"/>
  <c r="F255" i="15"/>
  <c r="F256" i="15"/>
  <c r="F257" i="15"/>
  <c r="E10" i="160" s="1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E7" i="160" s="1"/>
  <c r="F273" i="15"/>
  <c r="F274" i="15"/>
  <c r="F275" i="15"/>
  <c r="F276" i="15"/>
  <c r="E6" i="160" s="1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F352" i="15"/>
  <c r="F353" i="15"/>
  <c r="F354" i="15"/>
  <c r="F355" i="15"/>
  <c r="F356" i="15"/>
  <c r="F357" i="15"/>
  <c r="F358" i="15"/>
  <c r="F359" i="15"/>
  <c r="F360" i="15"/>
  <c r="F361" i="15"/>
  <c r="F362" i="15"/>
  <c r="F363" i="15"/>
  <c r="F364" i="15"/>
  <c r="F365" i="15"/>
  <c r="F366" i="15"/>
  <c r="F367" i="15"/>
  <c r="F368" i="15"/>
  <c r="F369" i="15"/>
  <c r="F370" i="15"/>
  <c r="F371" i="15"/>
  <c r="F372" i="15"/>
  <c r="F373" i="15"/>
  <c r="F374" i="15"/>
  <c r="F375" i="15"/>
  <c r="F376" i="15"/>
  <c r="F377" i="15"/>
  <c r="F378" i="15"/>
  <c r="F379" i="15"/>
  <c r="F380" i="15"/>
  <c r="F381" i="15"/>
  <c r="F382" i="15"/>
  <c r="F383" i="15"/>
  <c r="F384" i="15"/>
  <c r="F385" i="15"/>
  <c r="F386" i="15"/>
  <c r="F387" i="15"/>
  <c r="F388" i="15"/>
  <c r="F389" i="15"/>
  <c r="F390" i="15"/>
  <c r="F391" i="15"/>
  <c r="F392" i="15"/>
  <c r="F393" i="15"/>
  <c r="F394" i="15"/>
  <c r="F395" i="15"/>
  <c r="F396" i="15"/>
  <c r="F397" i="15"/>
  <c r="F398" i="15"/>
  <c r="F399" i="15"/>
  <c r="F400" i="15"/>
  <c r="F401" i="15"/>
  <c r="F402" i="15"/>
  <c r="F403" i="15"/>
  <c r="F404" i="15"/>
  <c r="F405" i="15"/>
  <c r="F406" i="15"/>
  <c r="F407" i="15"/>
  <c r="F408" i="15"/>
  <c r="F409" i="15"/>
  <c r="F410" i="15"/>
  <c r="F411" i="15"/>
  <c r="F412" i="15"/>
  <c r="F413" i="15"/>
  <c r="F414" i="15"/>
  <c r="F415" i="15"/>
  <c r="F416" i="15"/>
  <c r="F417" i="15"/>
  <c r="F418" i="15"/>
  <c r="F419" i="15"/>
  <c r="F420" i="15"/>
  <c r="F421" i="15"/>
  <c r="F422" i="15"/>
  <c r="F423" i="15"/>
  <c r="F424" i="15"/>
  <c r="F425" i="15"/>
  <c r="F426" i="15"/>
  <c r="F427" i="15"/>
  <c r="F428" i="15"/>
  <c r="F429" i="15"/>
  <c r="F430" i="15"/>
  <c r="F431" i="15"/>
  <c r="F432" i="15"/>
  <c r="F433" i="15"/>
  <c r="F434" i="15"/>
  <c r="F435" i="15"/>
  <c r="F436" i="15"/>
  <c r="F437" i="15"/>
  <c r="F438" i="15"/>
  <c r="F439" i="15"/>
  <c r="F440" i="15"/>
  <c r="F441" i="15"/>
  <c r="F442" i="15"/>
  <c r="F443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56" i="15"/>
  <c r="F457" i="15"/>
  <c r="F458" i="15"/>
  <c r="F459" i="15"/>
  <c r="F460" i="15"/>
  <c r="F461" i="15"/>
  <c r="F462" i="15"/>
  <c r="F463" i="15"/>
  <c r="F464" i="15"/>
  <c r="F465" i="15"/>
  <c r="F466" i="15"/>
  <c r="F467" i="15"/>
  <c r="F468" i="15"/>
  <c r="F469" i="15"/>
  <c r="F470" i="15"/>
  <c r="F471" i="15"/>
  <c r="F472" i="15"/>
  <c r="F473" i="15"/>
  <c r="F474" i="15"/>
  <c r="F475" i="15"/>
  <c r="F476" i="15"/>
  <c r="F477" i="15"/>
  <c r="F478" i="15"/>
  <c r="F479" i="15"/>
  <c r="F480" i="15"/>
  <c r="F481" i="15"/>
  <c r="F482" i="15"/>
  <c r="F483" i="15"/>
  <c r="F484" i="15"/>
  <c r="F485" i="15"/>
  <c r="F486" i="15"/>
  <c r="F487" i="15"/>
  <c r="F488" i="15"/>
  <c r="F489" i="15"/>
  <c r="F490" i="15"/>
  <c r="F491" i="15"/>
  <c r="F492" i="15"/>
  <c r="F493" i="15"/>
  <c r="F494" i="15"/>
  <c r="F495" i="15"/>
  <c r="F496" i="15"/>
  <c r="F497" i="15"/>
  <c r="F498" i="15"/>
  <c r="F499" i="15"/>
  <c r="F500" i="15"/>
  <c r="F501" i="15"/>
  <c r="F502" i="15"/>
  <c r="F503" i="15"/>
  <c r="F504" i="15"/>
  <c r="F505" i="15"/>
  <c r="F506" i="15"/>
  <c r="F507" i="15"/>
  <c r="F508" i="15"/>
  <c r="F509" i="15"/>
  <c r="F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2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21" i="15"/>
  <c r="E222" i="15"/>
  <c r="E223" i="15"/>
  <c r="E225" i="15"/>
  <c r="E226" i="15"/>
  <c r="E227" i="15"/>
  <c r="E228" i="15"/>
  <c r="E229" i="15"/>
  <c r="E230" i="15"/>
  <c r="E231" i="15"/>
  <c r="E232" i="15"/>
  <c r="E233" i="15"/>
  <c r="E234" i="15"/>
  <c r="E235" i="15"/>
  <c r="E236" i="15"/>
  <c r="G107" i="149" s="1"/>
  <c r="E237" i="15"/>
  <c r="H107" i="149" s="1"/>
  <c r="E238" i="15"/>
  <c r="I107" i="149" s="1"/>
  <c r="E239" i="15"/>
  <c r="E240" i="15"/>
  <c r="E241" i="15"/>
  <c r="E242" i="15"/>
  <c r="E243" i="15"/>
  <c r="E244" i="15"/>
  <c r="E245" i="15"/>
  <c r="N139" i="149" s="1"/>
  <c r="E246" i="15"/>
  <c r="O139" i="149" s="1"/>
  <c r="O145" i="149" s="1"/>
  <c r="O147" i="149" s="1"/>
  <c r="E247" i="15"/>
  <c r="P140" i="149" s="1"/>
  <c r="E248" i="15"/>
  <c r="E250" i="15"/>
  <c r="E251" i="15"/>
  <c r="E252" i="15"/>
  <c r="E253" i="15"/>
  <c r="E254" i="15"/>
  <c r="E255" i="15"/>
  <c r="E256" i="15"/>
  <c r="H41" i="160" s="1"/>
  <c r="E257" i="15"/>
  <c r="F10" i="160" s="1"/>
  <c r="E258" i="15"/>
  <c r="E259" i="15"/>
  <c r="E260" i="15"/>
  <c r="E261" i="15"/>
  <c r="E262" i="15"/>
  <c r="E263" i="15"/>
  <c r="E264" i="15"/>
  <c r="E265" i="15"/>
  <c r="E266" i="15"/>
  <c r="E267" i="15"/>
  <c r="E268" i="15"/>
  <c r="E269" i="15"/>
  <c r="E270" i="15"/>
  <c r="E271" i="15"/>
  <c r="E272" i="15"/>
  <c r="E273" i="15"/>
  <c r="E274" i="15"/>
  <c r="E275" i="15"/>
  <c r="E276" i="15"/>
  <c r="E277" i="15"/>
  <c r="E278" i="15"/>
  <c r="E279" i="15"/>
  <c r="H42" i="160" s="1"/>
  <c r="E280" i="15"/>
  <c r="E281" i="15"/>
  <c r="E282" i="15"/>
  <c r="E283" i="15"/>
  <c r="E284" i="15"/>
  <c r="E285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0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2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21" i="15"/>
  <c r="D222" i="15"/>
  <c r="D223" i="15"/>
  <c r="I168" i="78" s="1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G15" i="149" s="1"/>
  <c r="D237" i="15"/>
  <c r="H15" i="149" s="1"/>
  <c r="D238" i="15"/>
  <c r="I15" i="149" s="1"/>
  <c r="D239" i="15"/>
  <c r="D240" i="15"/>
  <c r="C29" i="148" s="1"/>
  <c r="E29" i="148" s="1"/>
  <c r="D241" i="15"/>
  <c r="C20" i="148" s="1"/>
  <c r="E20" i="148" s="1"/>
  <c r="D242" i="15"/>
  <c r="C24" i="148" s="1"/>
  <c r="E24" i="148" s="1"/>
  <c r="D243" i="15"/>
  <c r="D244" i="15"/>
  <c r="C34" i="148" s="1"/>
  <c r="E34" i="148" s="1"/>
  <c r="D245" i="15"/>
  <c r="N47" i="149" s="1"/>
  <c r="D246" i="15"/>
  <c r="O47" i="149" s="1"/>
  <c r="O53" i="149" s="1"/>
  <c r="O55" i="149" s="1"/>
  <c r="D247" i="15"/>
  <c r="P48" i="149" s="1"/>
  <c r="D248" i="15"/>
  <c r="D250" i="15"/>
  <c r="D251" i="15"/>
  <c r="D252" i="15"/>
  <c r="D253" i="15"/>
  <c r="D254" i="15"/>
  <c r="D255" i="15"/>
  <c r="D256" i="15"/>
  <c r="F41" i="160" s="1"/>
  <c r="D257" i="15"/>
  <c r="D10" i="160" s="1"/>
  <c r="K21" i="160" s="1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3" i="15"/>
  <c r="D274" i="15"/>
  <c r="D275" i="15"/>
  <c r="D276" i="15"/>
  <c r="D6" i="160" s="1"/>
  <c r="D277" i="15"/>
  <c r="D278" i="15"/>
  <c r="D279" i="15"/>
  <c r="F42" i="160" s="1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6" i="15"/>
  <c r="D427" i="15"/>
  <c r="D428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4" i="15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29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4" i="14"/>
  <c r="E245" i="14"/>
  <c r="E246" i="14"/>
  <c r="E247" i="14"/>
  <c r="E248" i="14"/>
  <c r="E249" i="14"/>
  <c r="E250" i="14"/>
  <c r="E251" i="14"/>
  <c r="E252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3" i="14"/>
  <c r="D154" i="14"/>
  <c r="D155" i="14"/>
  <c r="D156" i="14"/>
  <c r="D157" i="14"/>
  <c r="D158" i="14"/>
  <c r="D159" i="14"/>
  <c r="D160" i="14"/>
  <c r="D161" i="14"/>
  <c r="D162" i="14"/>
  <c r="D163" i="14"/>
  <c r="D164" i="14"/>
  <c r="D165" i="14"/>
  <c r="D166" i="14"/>
  <c r="D167" i="14"/>
  <c r="D168" i="14"/>
  <c r="D169" i="14"/>
  <c r="D170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0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5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29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6" i="16"/>
  <c r="I179" i="78" l="1"/>
  <c r="I169" i="78"/>
  <c r="E12" i="160"/>
  <c r="G24" i="160" s="1"/>
  <c r="F7" i="90"/>
  <c r="K28" i="90" s="1"/>
  <c r="F7" i="160"/>
  <c r="K28" i="160" s="1"/>
  <c r="G11" i="101"/>
  <c r="G11" i="157"/>
  <c r="P145" i="149"/>
  <c r="P147" i="149" s="1"/>
  <c r="E140" i="149"/>
  <c r="F397" i="151" s="1"/>
  <c r="F1128" i="161" s="1"/>
  <c r="F12" i="160"/>
  <c r="H24" i="160" s="1"/>
  <c r="H38" i="160"/>
  <c r="H43" i="160" s="1"/>
  <c r="G10" i="101"/>
  <c r="F5" i="160"/>
  <c r="G10" i="157"/>
  <c r="I108" i="149"/>
  <c r="I144" i="149"/>
  <c r="I147" i="149" s="1"/>
  <c r="N145" i="149"/>
  <c r="N147" i="149" s="1"/>
  <c r="E139" i="149"/>
  <c r="H108" i="149"/>
  <c r="H144" i="149"/>
  <c r="H147" i="149" s="1"/>
  <c r="G20" i="101"/>
  <c r="G20" i="157"/>
  <c r="G144" i="149"/>
  <c r="G147" i="149" s="1"/>
  <c r="G108" i="149"/>
  <c r="E107" i="149"/>
  <c r="F9" i="90"/>
  <c r="F9" i="160"/>
  <c r="F6" i="160"/>
  <c r="G19" i="101"/>
  <c r="G19" i="157"/>
  <c r="G18" i="157"/>
  <c r="G18" i="101"/>
  <c r="I6" i="90"/>
  <c r="F416" i="100" s="1"/>
  <c r="I6" i="160"/>
  <c r="F416" i="151" s="1"/>
  <c r="F1189" i="161" s="1"/>
  <c r="G13" i="157"/>
  <c r="G13" i="101"/>
  <c r="F4" i="160"/>
  <c r="G12" i="101"/>
  <c r="G12" i="157"/>
  <c r="H10" i="157"/>
  <c r="H10" i="101"/>
  <c r="E5" i="160"/>
  <c r="E9" i="90"/>
  <c r="E9" i="160"/>
  <c r="E196" i="149"/>
  <c r="N202" i="149"/>
  <c r="N204" i="149" s="1"/>
  <c r="E164" i="149"/>
  <c r="H165" i="149"/>
  <c r="H201" i="149"/>
  <c r="H204" i="149" s="1"/>
  <c r="H20" i="101"/>
  <c r="H20" i="157"/>
  <c r="H19" i="157"/>
  <c r="H19" i="101"/>
  <c r="H18" i="101"/>
  <c r="H18" i="157"/>
  <c r="H13" i="157"/>
  <c r="H13" i="101"/>
  <c r="E4" i="160"/>
  <c r="I7" i="90"/>
  <c r="F162" i="100" s="1"/>
  <c r="F486" i="107" s="1"/>
  <c r="E583" i="119" s="1"/>
  <c r="I7" i="160"/>
  <c r="F162" i="151" s="1"/>
  <c r="F486" i="161" s="1"/>
  <c r="H12" i="157"/>
  <c r="H12" i="101"/>
  <c r="I201" i="149"/>
  <c r="I204" i="149" s="1"/>
  <c r="I165" i="149"/>
  <c r="H11" i="157"/>
  <c r="H11" i="101"/>
  <c r="E197" i="149"/>
  <c r="F142" i="151" s="1"/>
  <c r="F423" i="161" s="1"/>
  <c r="P202" i="149"/>
  <c r="P204" i="149" s="1"/>
  <c r="F11" i="157"/>
  <c r="F11" i="101"/>
  <c r="P53" i="149"/>
  <c r="P55" i="149" s="1"/>
  <c r="E48" i="149"/>
  <c r="F10" i="157"/>
  <c r="D5" i="160"/>
  <c r="F10" i="101"/>
  <c r="E15" i="149"/>
  <c r="I16" i="149"/>
  <c r="I52" i="149"/>
  <c r="I55" i="149" s="1"/>
  <c r="D12" i="160"/>
  <c r="F24" i="160" s="1"/>
  <c r="F38" i="160"/>
  <c r="F43" i="160" s="1"/>
  <c r="R50" i="149"/>
  <c r="E47" i="149"/>
  <c r="N53" i="149"/>
  <c r="N55" i="149" s="1"/>
  <c r="H52" i="149"/>
  <c r="H55" i="149" s="1"/>
  <c r="H16" i="149"/>
  <c r="H35" i="148"/>
  <c r="H34" i="148"/>
  <c r="U8" i="149"/>
  <c r="G52" i="149"/>
  <c r="G55" i="149" s="1"/>
  <c r="G16" i="149"/>
  <c r="U15" i="149"/>
  <c r="D9" i="90"/>
  <c r="D9" i="160"/>
  <c r="F20" i="157"/>
  <c r="F20" i="101"/>
  <c r="F19" i="157"/>
  <c r="F19" i="101"/>
  <c r="H24" i="148"/>
  <c r="H25" i="148"/>
  <c r="J25" i="148" s="1"/>
  <c r="F18" i="101"/>
  <c r="F18" i="157"/>
  <c r="F13" i="157"/>
  <c r="F13" i="101"/>
  <c r="D4" i="160"/>
  <c r="H20" i="148"/>
  <c r="H21" i="148"/>
  <c r="J21" i="148" s="1"/>
  <c r="I5" i="90"/>
  <c r="F333" i="100" s="1"/>
  <c r="I5" i="160"/>
  <c r="F333" i="151" s="1"/>
  <c r="F992" i="161" s="1"/>
  <c r="F12" i="157"/>
  <c r="F12" i="101"/>
  <c r="H30" i="148"/>
  <c r="H29" i="148"/>
  <c r="G115" i="69"/>
  <c r="H115" i="69" s="1"/>
  <c r="H125" i="69" s="1"/>
  <c r="D4" i="90"/>
  <c r="P48" i="88"/>
  <c r="P53" i="88" s="1"/>
  <c r="P55" i="88" s="1"/>
  <c r="P140" i="88"/>
  <c r="P145" i="88" s="1"/>
  <c r="P147" i="88" s="1"/>
  <c r="P197" i="88"/>
  <c r="P202" i="88" s="1"/>
  <c r="P204" i="88" s="1"/>
  <c r="N29" i="69"/>
  <c r="F37" i="14"/>
  <c r="L39" i="15" s="1"/>
  <c r="E37" i="14"/>
  <c r="D37" i="14"/>
  <c r="F25" i="14"/>
  <c r="E25" i="14"/>
  <c r="K27" i="15" s="1"/>
  <c r="D25" i="14"/>
  <c r="J27" i="15" s="1"/>
  <c r="J39" i="15"/>
  <c r="K39" i="15"/>
  <c r="L27" i="15"/>
  <c r="F1189" i="107"/>
  <c r="E1484" i="119" s="1"/>
  <c r="F992" i="107"/>
  <c r="E1183" i="119" s="1"/>
  <c r="E43" i="72"/>
  <c r="E45" i="72" s="1"/>
  <c r="M38" i="72" s="1"/>
  <c r="M39" i="72" s="1"/>
  <c r="M42" i="72" s="1"/>
  <c r="F86" i="69"/>
  <c r="F365" i="100" s="1"/>
  <c r="N80" i="69"/>
  <c r="N81" i="69" s="1"/>
  <c r="N84" i="69" s="1"/>
  <c r="D95" i="69"/>
  <c r="D127" i="69" s="1"/>
  <c r="F91" i="69"/>
  <c r="D30" i="69"/>
  <c r="N42" i="69"/>
  <c r="F42" i="90"/>
  <c r="C34" i="89"/>
  <c r="E34" i="89" s="1"/>
  <c r="H34" i="89" s="1"/>
  <c r="E54" i="72"/>
  <c r="E53" i="72"/>
  <c r="E52" i="72"/>
  <c r="E42" i="72"/>
  <c r="E35" i="72"/>
  <c r="N139" i="88"/>
  <c r="N145" i="88" s="1"/>
  <c r="N147" i="88" s="1"/>
  <c r="E120" i="72"/>
  <c r="E119" i="72"/>
  <c r="E109" i="72"/>
  <c r="E108" i="72"/>
  <c r="E101" i="72"/>
  <c r="O196" i="88"/>
  <c r="O202" i="88" s="1"/>
  <c r="O204" i="88" s="1"/>
  <c r="E166" i="72"/>
  <c r="E159" i="72"/>
  <c r="E155" i="72"/>
  <c r="E154" i="72"/>
  <c r="E27" i="18"/>
  <c r="D21" i="69" s="1"/>
  <c r="N15" i="69"/>
  <c r="N8" i="69"/>
  <c r="N36" i="69"/>
  <c r="N33" i="69"/>
  <c r="N34" i="69" s="1"/>
  <c r="N19" i="69"/>
  <c r="N20" i="69" s="1"/>
  <c r="N22" i="69"/>
  <c r="G107" i="88"/>
  <c r="H164" i="88"/>
  <c r="H165" i="88" s="1"/>
  <c r="F41" i="90"/>
  <c r="H42" i="90"/>
  <c r="N196" i="88"/>
  <c r="N202" i="88" s="1"/>
  <c r="N204" i="88" s="1"/>
  <c r="D6" i="90"/>
  <c r="C20" i="89"/>
  <c r="E20" i="89" s="1"/>
  <c r="H21" i="89" s="1"/>
  <c r="E51" i="72"/>
  <c r="E118" i="72"/>
  <c r="G118" i="72" s="1"/>
  <c r="E97" i="72"/>
  <c r="E99" i="72" s="1"/>
  <c r="E165" i="72"/>
  <c r="E147" i="72"/>
  <c r="E7" i="90"/>
  <c r="K36" i="90" s="1"/>
  <c r="D10" i="90"/>
  <c r="K21" i="90" s="1"/>
  <c r="C29" i="89"/>
  <c r="E29" i="89" s="1"/>
  <c r="H30" i="89" s="1"/>
  <c r="E50" i="72"/>
  <c r="J50" i="72" s="1"/>
  <c r="E117" i="72"/>
  <c r="E164" i="72"/>
  <c r="H164" i="72" s="1"/>
  <c r="E143" i="72"/>
  <c r="E49" i="72"/>
  <c r="F10" i="90"/>
  <c r="E116" i="72"/>
  <c r="E163" i="72"/>
  <c r="O47" i="88"/>
  <c r="O53" i="88" s="1"/>
  <c r="O55" i="88" s="1"/>
  <c r="E47" i="72"/>
  <c r="H41" i="90"/>
  <c r="I107" i="88"/>
  <c r="I108" i="88" s="1"/>
  <c r="E115" i="72"/>
  <c r="E10" i="90"/>
  <c r="E162" i="72"/>
  <c r="N47" i="88"/>
  <c r="N53" i="88" s="1"/>
  <c r="N55" i="88" s="1"/>
  <c r="O139" i="88"/>
  <c r="O145" i="88" s="1"/>
  <c r="O147" i="88" s="1"/>
  <c r="H107" i="88"/>
  <c r="E113" i="72"/>
  <c r="I164" i="88"/>
  <c r="I165" i="88" s="1"/>
  <c r="F95" i="69"/>
  <c r="F127" i="69" s="1"/>
  <c r="N73" i="69" s="1"/>
  <c r="E33" i="18"/>
  <c r="D33" i="18"/>
  <c r="F5" i="14"/>
  <c r="D27" i="18"/>
  <c r="D15" i="14"/>
  <c r="J18" i="15" s="1"/>
  <c r="D32" i="14"/>
  <c r="J34" i="15" s="1"/>
  <c r="D30" i="14"/>
  <c r="J32" i="15" s="1"/>
  <c r="E54" i="14"/>
  <c r="K56" i="15" s="1"/>
  <c r="E29" i="14"/>
  <c r="K31" i="15" s="1"/>
  <c r="E12" i="14"/>
  <c r="K15" i="15" s="1"/>
  <c r="F38" i="14"/>
  <c r="F12" i="14"/>
  <c r="L15" i="15" s="1"/>
  <c r="D54" i="14"/>
  <c r="J56" i="15" s="1"/>
  <c r="D38" i="14"/>
  <c r="J40" i="15" s="1"/>
  <c r="D20" i="14"/>
  <c r="J22" i="15" s="1"/>
  <c r="E4" i="14"/>
  <c r="E45" i="14"/>
  <c r="K47" i="15" s="1"/>
  <c r="E28" i="14"/>
  <c r="K30" i="15" s="1"/>
  <c r="E11" i="14"/>
  <c r="K14" i="15" s="1"/>
  <c r="F53" i="14"/>
  <c r="L55" i="15" s="1"/>
  <c r="F36" i="14"/>
  <c r="L38" i="15" s="1"/>
  <c r="F19" i="14"/>
  <c r="K5" i="15"/>
  <c r="D57" i="14"/>
  <c r="J59" i="15" s="1"/>
  <c r="D47" i="14"/>
  <c r="J49" i="15" s="1"/>
  <c r="D13" i="14"/>
  <c r="J16" i="15" s="1"/>
  <c r="E38" i="14"/>
  <c r="F4" i="14"/>
  <c r="F54" i="14"/>
  <c r="L56" i="15" s="1"/>
  <c r="F29" i="14"/>
  <c r="L31" i="15" s="1"/>
  <c r="D4" i="14"/>
  <c r="D46" i="14"/>
  <c r="J48" i="15" s="1"/>
  <c r="D29" i="14"/>
  <c r="J31" i="15" s="1"/>
  <c r="D12" i="14"/>
  <c r="J15" i="15" s="1"/>
  <c r="E53" i="14"/>
  <c r="K55" i="15" s="1"/>
  <c r="E36" i="14"/>
  <c r="K38" i="15" s="1"/>
  <c r="E19" i="14"/>
  <c r="F45" i="14"/>
  <c r="L47" i="15" s="1"/>
  <c r="F28" i="14"/>
  <c r="L30" i="15" s="1"/>
  <c r="F11" i="14"/>
  <c r="L14" i="15" s="1"/>
  <c r="D53" i="14"/>
  <c r="J55" i="15" s="1"/>
  <c r="D45" i="14"/>
  <c r="J47" i="15" s="1"/>
  <c r="D36" i="14"/>
  <c r="J38" i="15" s="1"/>
  <c r="D28" i="14"/>
  <c r="J30" i="15" s="1"/>
  <c r="D19" i="14"/>
  <c r="D11" i="14"/>
  <c r="J14" i="15" s="1"/>
  <c r="E52" i="14"/>
  <c r="K54" i="15" s="1"/>
  <c r="E44" i="14"/>
  <c r="K46" i="15" s="1"/>
  <c r="E35" i="14"/>
  <c r="K37" i="15" s="1"/>
  <c r="E27" i="14"/>
  <c r="K29" i="15" s="1"/>
  <c r="E18" i="14"/>
  <c r="K21" i="15" s="1"/>
  <c r="E10" i="14"/>
  <c r="K13" i="15" s="1"/>
  <c r="F52" i="14"/>
  <c r="L54" i="15" s="1"/>
  <c r="F44" i="14"/>
  <c r="L46" i="15" s="1"/>
  <c r="F35" i="14"/>
  <c r="L37" i="15" s="1"/>
  <c r="F27" i="14"/>
  <c r="L29" i="15" s="1"/>
  <c r="F18" i="14"/>
  <c r="L21" i="15" s="1"/>
  <c r="F10" i="14"/>
  <c r="L13" i="15" s="1"/>
  <c r="C24" i="89"/>
  <c r="E24" i="89" s="1"/>
  <c r="H25" i="89" s="1"/>
  <c r="D12" i="90"/>
  <c r="F24" i="90" s="1"/>
  <c r="F38" i="90"/>
  <c r="F43" i="90" s="1"/>
  <c r="K6" i="15"/>
  <c r="D49" i="14"/>
  <c r="J51" i="15" s="1"/>
  <c r="D39" i="14"/>
  <c r="J41" i="15" s="1"/>
  <c r="K4" i="15"/>
  <c r="D52" i="14"/>
  <c r="J54" i="15" s="1"/>
  <c r="D35" i="14"/>
  <c r="J37" i="15" s="1"/>
  <c r="D18" i="14"/>
  <c r="J21" i="15" s="1"/>
  <c r="E51" i="14"/>
  <c r="K53" i="15" s="1"/>
  <c r="E34" i="14"/>
  <c r="K36" i="15" s="1"/>
  <c r="E17" i="14"/>
  <c r="K20" i="15" s="1"/>
  <c r="F51" i="14"/>
  <c r="L53" i="15" s="1"/>
  <c r="H38" i="90"/>
  <c r="H43" i="90" s="1"/>
  <c r="F12" i="90"/>
  <c r="H24" i="90" s="1"/>
  <c r="F42" i="69"/>
  <c r="F285" i="151" s="1"/>
  <c r="J14" i="18"/>
  <c r="D7" i="14"/>
  <c r="D5" i="14"/>
  <c r="D44" i="14"/>
  <c r="J46" i="15" s="1"/>
  <c r="D27" i="14"/>
  <c r="D10" i="14"/>
  <c r="J13" i="15" s="1"/>
  <c r="E43" i="14"/>
  <c r="K45" i="15" s="1"/>
  <c r="E26" i="14"/>
  <c r="K28" i="15" s="1"/>
  <c r="E9" i="14"/>
  <c r="K12" i="15" s="1"/>
  <c r="F43" i="14"/>
  <c r="L45" i="15" s="1"/>
  <c r="F34" i="14"/>
  <c r="L36" i="15" s="1"/>
  <c r="F26" i="14"/>
  <c r="L28" i="15" s="1"/>
  <c r="F17" i="14"/>
  <c r="L20" i="15" s="1"/>
  <c r="F9" i="14"/>
  <c r="L12" i="15" s="1"/>
  <c r="D51" i="14"/>
  <c r="J53" i="15" s="1"/>
  <c r="D43" i="14"/>
  <c r="J45" i="15" s="1"/>
  <c r="D34" i="14"/>
  <c r="J36" i="15" s="1"/>
  <c r="D26" i="14"/>
  <c r="D17" i="14"/>
  <c r="J20" i="15" s="1"/>
  <c r="D9" i="14"/>
  <c r="J12" i="15" s="1"/>
  <c r="E58" i="14"/>
  <c r="K60" i="15" s="1"/>
  <c r="E50" i="14"/>
  <c r="K52" i="15" s="1"/>
  <c r="E42" i="14"/>
  <c r="E33" i="14"/>
  <c r="K35" i="15" s="1"/>
  <c r="E24" i="14"/>
  <c r="K26" i="15" s="1"/>
  <c r="E16" i="14"/>
  <c r="K19" i="15" s="1"/>
  <c r="E8" i="14"/>
  <c r="K11" i="15" s="1"/>
  <c r="F58" i="14"/>
  <c r="L60" i="15" s="1"/>
  <c r="F50" i="14"/>
  <c r="L52" i="15" s="1"/>
  <c r="F42" i="14"/>
  <c r="F33" i="14"/>
  <c r="L35" i="15" s="1"/>
  <c r="F24" i="14"/>
  <c r="L26" i="15" s="1"/>
  <c r="F16" i="14"/>
  <c r="L19" i="15" s="1"/>
  <c r="F8" i="14"/>
  <c r="L11" i="15" s="1"/>
  <c r="F6" i="90"/>
  <c r="F4" i="90"/>
  <c r="E12" i="90"/>
  <c r="G24" i="90" s="1"/>
  <c r="E21" i="69"/>
  <c r="F21" i="69" s="1"/>
  <c r="H21" i="69" s="1"/>
  <c r="E26" i="69"/>
  <c r="E25" i="69"/>
  <c r="D41" i="14"/>
  <c r="J43" i="15" s="1"/>
  <c r="D55" i="14"/>
  <c r="J57" i="15" s="1"/>
  <c r="D21" i="14"/>
  <c r="J23" i="15" s="1"/>
  <c r="E46" i="14"/>
  <c r="E20" i="14"/>
  <c r="K22" i="15" s="1"/>
  <c r="F46" i="14"/>
  <c r="F20" i="14"/>
  <c r="L22" i="15" s="1"/>
  <c r="E5" i="90"/>
  <c r="D58" i="14"/>
  <c r="J60" i="15" s="1"/>
  <c r="D50" i="14"/>
  <c r="J52" i="15" s="1"/>
  <c r="D42" i="14"/>
  <c r="J44" i="15" s="1"/>
  <c r="D33" i="14"/>
  <c r="J35" i="15" s="1"/>
  <c r="D24" i="14"/>
  <c r="J26" i="15" s="1"/>
  <c r="D16" i="14"/>
  <c r="J19" i="15" s="1"/>
  <c r="D8" i="14"/>
  <c r="J11" i="15" s="1"/>
  <c r="E57" i="14"/>
  <c r="K59" i="15" s="1"/>
  <c r="E49" i="14"/>
  <c r="K51" i="15" s="1"/>
  <c r="E41" i="14"/>
  <c r="K43" i="15" s="1"/>
  <c r="E32" i="14"/>
  <c r="K34" i="15" s="1"/>
  <c r="E23" i="14"/>
  <c r="K25" i="15" s="1"/>
  <c r="E15" i="14"/>
  <c r="K18" i="15" s="1"/>
  <c r="E7" i="14"/>
  <c r="F57" i="14"/>
  <c r="L59" i="15" s="1"/>
  <c r="F49" i="14"/>
  <c r="L51" i="15" s="1"/>
  <c r="F41" i="14"/>
  <c r="L43" i="15" s="1"/>
  <c r="F32" i="14"/>
  <c r="L34" i="15" s="1"/>
  <c r="F23" i="14"/>
  <c r="L25" i="15" s="1"/>
  <c r="F15" i="14"/>
  <c r="L18" i="15" s="1"/>
  <c r="F7" i="14"/>
  <c r="E6" i="90"/>
  <c r="H21" i="101"/>
  <c r="H28" i="101" s="1"/>
  <c r="E4" i="90"/>
  <c r="E29" i="18"/>
  <c r="D23" i="14"/>
  <c r="J25" i="15" s="1"/>
  <c r="E48" i="14"/>
  <c r="K50" i="15" s="1"/>
  <c r="E31" i="14"/>
  <c r="K33" i="15" s="1"/>
  <c r="E6" i="14"/>
  <c r="K10" i="15" s="1"/>
  <c r="H1189" i="107"/>
  <c r="E56" i="14"/>
  <c r="E40" i="14"/>
  <c r="E22" i="14"/>
  <c r="K24" i="15" s="1"/>
  <c r="E14" i="14"/>
  <c r="K17" i="15" s="1"/>
  <c r="F56" i="14"/>
  <c r="F48" i="14"/>
  <c r="L50" i="15" s="1"/>
  <c r="F40" i="14"/>
  <c r="F31" i="14"/>
  <c r="L33" i="15" s="1"/>
  <c r="F22" i="14"/>
  <c r="L24" i="15" s="1"/>
  <c r="F14" i="14"/>
  <c r="L17" i="15" s="1"/>
  <c r="F6" i="14"/>
  <c r="L10" i="15" s="1"/>
  <c r="F14" i="101"/>
  <c r="D5" i="90"/>
  <c r="D56" i="14"/>
  <c r="D48" i="14"/>
  <c r="J50" i="15" s="1"/>
  <c r="D40" i="14"/>
  <c r="J42" i="15" s="1"/>
  <c r="D31" i="14"/>
  <c r="J33" i="15" s="1"/>
  <c r="D22" i="14"/>
  <c r="J24" i="15" s="1"/>
  <c r="D14" i="14"/>
  <c r="J17" i="15" s="1"/>
  <c r="D6" i="14"/>
  <c r="J10" i="15" s="1"/>
  <c r="E55" i="14"/>
  <c r="K57" i="15" s="1"/>
  <c r="E47" i="14"/>
  <c r="K49" i="15" s="1"/>
  <c r="E39" i="14"/>
  <c r="E30" i="14"/>
  <c r="K32" i="15" s="1"/>
  <c r="E21" i="14"/>
  <c r="K23" i="15" s="1"/>
  <c r="E13" i="14"/>
  <c r="K16" i="15" s="1"/>
  <c r="E5" i="14"/>
  <c r="F55" i="14"/>
  <c r="L57" i="15" s="1"/>
  <c r="F47" i="14"/>
  <c r="L49" i="15" s="1"/>
  <c r="F39" i="14"/>
  <c r="F30" i="14"/>
  <c r="L32" i="15" s="1"/>
  <c r="F21" i="14"/>
  <c r="L23" i="15" s="1"/>
  <c r="F13" i="14"/>
  <c r="L16" i="15" s="1"/>
  <c r="G14" i="101"/>
  <c r="F5" i="90"/>
  <c r="E161" i="72"/>
  <c r="E28" i="18"/>
  <c r="F52" i="69"/>
  <c r="G52" i="69" s="1"/>
  <c r="H52" i="69" s="1"/>
  <c r="I52" i="69" s="1"/>
  <c r="K52" i="69" s="1"/>
  <c r="J52" i="72"/>
  <c r="G15" i="88"/>
  <c r="H212" i="85"/>
  <c r="H213" i="85" s="1"/>
  <c r="I140" i="85" s="1"/>
  <c r="J51" i="72"/>
  <c r="I118" i="72"/>
  <c r="H118" i="72"/>
  <c r="E103" i="72"/>
  <c r="H15" i="88"/>
  <c r="J212" i="85"/>
  <c r="J213" i="85" s="1"/>
  <c r="K140" i="85" s="1"/>
  <c r="G144" i="88"/>
  <c r="G147" i="88" s="1"/>
  <c r="G108" i="88"/>
  <c r="E145" i="72"/>
  <c r="E150" i="72"/>
  <c r="E149" i="72"/>
  <c r="R50" i="88"/>
  <c r="I15" i="88"/>
  <c r="F212" i="85"/>
  <c r="F213" i="85" s="1"/>
  <c r="G140" i="85" s="1"/>
  <c r="J53" i="72"/>
  <c r="J165" i="72" s="1"/>
  <c r="J35" i="72"/>
  <c r="J147" i="72" s="1"/>
  <c r="G147" i="72"/>
  <c r="I147" i="72"/>
  <c r="H147" i="72"/>
  <c r="H119" i="72"/>
  <c r="E104" i="72"/>
  <c r="G101" i="72"/>
  <c r="H101" i="72"/>
  <c r="I101" i="72"/>
  <c r="J13" i="18"/>
  <c r="D32" i="18"/>
  <c r="D28" i="18"/>
  <c r="J15" i="18"/>
  <c r="E32" i="18"/>
  <c r="D31" i="18"/>
  <c r="D30" i="18"/>
  <c r="E30" i="18"/>
  <c r="I24" i="18"/>
  <c r="I25" i="18"/>
  <c r="I5" i="18"/>
  <c r="J12" i="18" s="1"/>
  <c r="I19" i="18"/>
  <c r="J29" i="15" l="1"/>
  <c r="G168" i="78"/>
  <c r="G169" i="78" s="1"/>
  <c r="H21" i="157"/>
  <c r="H28" i="157" s="1"/>
  <c r="G113" i="72"/>
  <c r="J28" i="15"/>
  <c r="K168" i="78"/>
  <c r="K169" i="78" s="1"/>
  <c r="H163" i="72"/>
  <c r="G159" i="72"/>
  <c r="I109" i="78"/>
  <c r="I77" i="78"/>
  <c r="I60" i="78"/>
  <c r="I70" i="78"/>
  <c r="I88" i="78"/>
  <c r="I132" i="78"/>
  <c r="I135" i="78"/>
  <c r="I73" i="78"/>
  <c r="I32" i="78"/>
  <c r="I97" i="78"/>
  <c r="I53" i="78"/>
  <c r="I79" i="78"/>
  <c r="I57" i="78"/>
  <c r="I38" i="78"/>
  <c r="I71" i="78"/>
  <c r="I133" i="78"/>
  <c r="I39" i="78"/>
  <c r="I45" i="78"/>
  <c r="I90" i="78"/>
  <c r="I42" i="78"/>
  <c r="I23" i="78"/>
  <c r="I117" i="78"/>
  <c r="I75" i="78"/>
  <c r="I89" i="78"/>
  <c r="I172" i="78"/>
  <c r="I105" i="78"/>
  <c r="I123" i="78"/>
  <c r="I44" i="78"/>
  <c r="I104" i="78"/>
  <c r="I130" i="78"/>
  <c r="I76" i="78"/>
  <c r="I95" i="78"/>
  <c r="I63" i="78"/>
  <c r="I136" i="78"/>
  <c r="I27" i="78"/>
  <c r="I37" i="78"/>
  <c r="I82" i="78"/>
  <c r="I142" i="78"/>
  <c r="I36" i="78"/>
  <c r="I34" i="78"/>
  <c r="I80" i="78"/>
  <c r="I127" i="78"/>
  <c r="I143" i="78"/>
  <c r="I128" i="78"/>
  <c r="I21" i="78"/>
  <c r="I107" i="78"/>
  <c r="I33" i="78"/>
  <c r="I139" i="78"/>
  <c r="I49" i="78"/>
  <c r="I106" i="78"/>
  <c r="I59" i="78"/>
  <c r="I43" i="78"/>
  <c r="I85" i="78"/>
  <c r="I81" i="78"/>
  <c r="I124" i="78"/>
  <c r="I115" i="78"/>
  <c r="I52" i="78"/>
  <c r="I103" i="78"/>
  <c r="I46" i="78"/>
  <c r="I98" i="78"/>
  <c r="I174" i="78"/>
  <c r="I92" i="78"/>
  <c r="I112" i="78"/>
  <c r="I86" i="78"/>
  <c r="I58" i="78"/>
  <c r="I102" i="78"/>
  <c r="I87" i="78"/>
  <c r="I61" i="78"/>
  <c r="I48" i="78"/>
  <c r="I74" i="78"/>
  <c r="I64" i="78"/>
  <c r="I47" i="78"/>
  <c r="I93" i="78"/>
  <c r="I28" i="78"/>
  <c r="I66" i="78"/>
  <c r="I173" i="78"/>
  <c r="I134" i="78"/>
  <c r="I110" i="78"/>
  <c r="I99" i="78"/>
  <c r="I91" i="78"/>
  <c r="I83" i="78"/>
  <c r="I40" i="78"/>
  <c r="I26" i="78"/>
  <c r="I113" i="78"/>
  <c r="I129" i="78"/>
  <c r="I67" i="78"/>
  <c r="I138" i="78"/>
  <c r="I50" i="78"/>
  <c r="I30" i="78"/>
  <c r="I120" i="78"/>
  <c r="I29" i="78"/>
  <c r="I84" i="78"/>
  <c r="I121" i="78"/>
  <c r="I111" i="78"/>
  <c r="I125" i="78"/>
  <c r="I137" i="78"/>
  <c r="I119" i="78"/>
  <c r="I24" i="78"/>
  <c r="I101" i="78"/>
  <c r="I100" i="78"/>
  <c r="I65" i="78"/>
  <c r="I25" i="78"/>
  <c r="I114" i="78"/>
  <c r="I94" i="78"/>
  <c r="I140" i="78"/>
  <c r="I51" i="78"/>
  <c r="I54" i="78"/>
  <c r="I126" i="78"/>
  <c r="I68" i="78"/>
  <c r="I69" i="78"/>
  <c r="I108" i="78"/>
  <c r="I55" i="78"/>
  <c r="I116" i="78"/>
  <c r="I122" i="78"/>
  <c r="I62" i="78"/>
  <c r="I22" i="78"/>
  <c r="I131" i="78"/>
  <c r="I31" i="78"/>
  <c r="I118" i="78"/>
  <c r="I72" i="78"/>
  <c r="I35" i="78"/>
  <c r="I56" i="78"/>
  <c r="I96" i="78"/>
  <c r="I41" i="78"/>
  <c r="I141" i="78"/>
  <c r="I78" i="78"/>
  <c r="H992" i="107"/>
  <c r="G1189" i="107"/>
  <c r="F1484" i="119" s="1"/>
  <c r="G992" i="107"/>
  <c r="F1183" i="119" s="1"/>
  <c r="H486" i="107"/>
  <c r="G583" i="119" s="1"/>
  <c r="G486" i="107"/>
  <c r="F583" i="119" s="1"/>
  <c r="E11" i="160"/>
  <c r="G163" i="72"/>
  <c r="I163" i="72"/>
  <c r="E11" i="90"/>
  <c r="I144" i="88"/>
  <c r="I147" i="88" s="1"/>
  <c r="G120" i="72"/>
  <c r="F11" i="160"/>
  <c r="H23" i="160" s="1"/>
  <c r="H26" i="160" s="1"/>
  <c r="H35" i="89"/>
  <c r="G166" i="72"/>
  <c r="H29" i="89"/>
  <c r="H31" i="89" s="1"/>
  <c r="D11" i="160"/>
  <c r="F23" i="160" s="1"/>
  <c r="F26" i="160" s="1"/>
  <c r="I155" i="72"/>
  <c r="J54" i="72"/>
  <c r="J120" i="72" s="1"/>
  <c r="G125" i="69"/>
  <c r="K48" i="15"/>
  <c r="R142" i="149"/>
  <c r="K41" i="15"/>
  <c r="K123" i="149"/>
  <c r="K42" i="15"/>
  <c r="L130" i="149"/>
  <c r="H1189" i="161"/>
  <c r="J1189" i="161" s="1"/>
  <c r="G1189" i="161"/>
  <c r="F396" i="151"/>
  <c r="F1127" i="161" s="1"/>
  <c r="K58" i="15"/>
  <c r="I19" i="156"/>
  <c r="F375" i="151"/>
  <c r="F1097" i="161" s="1"/>
  <c r="U103" i="149"/>
  <c r="U104" i="149" s="1"/>
  <c r="U107" i="149" s="1"/>
  <c r="E108" i="149"/>
  <c r="G1128" i="161"/>
  <c r="H1128" i="161"/>
  <c r="J1128" i="161" s="1"/>
  <c r="K40" i="15"/>
  <c r="J116" i="149"/>
  <c r="E111" i="72"/>
  <c r="M104" i="72" s="1"/>
  <c r="M105" i="72" s="1"/>
  <c r="M108" i="72" s="1"/>
  <c r="G21" i="157"/>
  <c r="G28" i="157" s="1"/>
  <c r="G40" i="157" s="1"/>
  <c r="F408" i="151" s="1"/>
  <c r="F1177" i="161" s="1"/>
  <c r="K44" i="15"/>
  <c r="M137" i="149"/>
  <c r="G14" i="157"/>
  <c r="G24" i="157" s="1"/>
  <c r="K12" i="157" s="1"/>
  <c r="K13" i="157" s="1"/>
  <c r="K16" i="157" s="1"/>
  <c r="F13" i="160"/>
  <c r="K26" i="160" s="1"/>
  <c r="K27" i="160" s="1"/>
  <c r="K30" i="160" s="1"/>
  <c r="H36" i="157"/>
  <c r="H40" i="157"/>
  <c r="E165" i="149"/>
  <c r="F120" i="151" s="1"/>
  <c r="F392" i="161" s="1"/>
  <c r="U160" i="149"/>
  <c r="U161" i="149" s="1"/>
  <c r="U164" i="149" s="1"/>
  <c r="L58" i="15"/>
  <c r="H18" i="156"/>
  <c r="L48" i="15"/>
  <c r="R199" i="149"/>
  <c r="L44" i="15"/>
  <c r="M194" i="149"/>
  <c r="F141" i="151"/>
  <c r="F422" i="161" s="1"/>
  <c r="H486" i="161"/>
  <c r="J486" i="161" s="1"/>
  <c r="G486" i="161"/>
  <c r="G423" i="161"/>
  <c r="H423" i="161"/>
  <c r="J423" i="161" s="1"/>
  <c r="L41" i="15"/>
  <c r="K180" i="149"/>
  <c r="G23" i="160"/>
  <c r="G26" i="160" s="1"/>
  <c r="E13" i="160"/>
  <c r="L42" i="15"/>
  <c r="L187" i="149"/>
  <c r="L40" i="15"/>
  <c r="J173" i="149"/>
  <c r="H14" i="157"/>
  <c r="H24" i="157" s="1"/>
  <c r="K19" i="157" s="1"/>
  <c r="K20" i="157" s="1"/>
  <c r="K23" i="157" s="1"/>
  <c r="H992" i="161"/>
  <c r="J992" i="161" s="1"/>
  <c r="G992" i="161"/>
  <c r="F292" i="151"/>
  <c r="F901" i="161" s="1"/>
  <c r="E16" i="149"/>
  <c r="K25" i="148"/>
  <c r="L34" i="149" s="1"/>
  <c r="L35" i="149"/>
  <c r="U57" i="149"/>
  <c r="H165" i="72"/>
  <c r="I108" i="72"/>
  <c r="K21" i="148"/>
  <c r="K27" i="149" s="1"/>
  <c r="K28" i="149"/>
  <c r="J24" i="148"/>
  <c r="H26" i="148"/>
  <c r="I66" i="149"/>
  <c r="F313" i="151"/>
  <c r="F931" i="161" s="1"/>
  <c r="H22" i="148"/>
  <c r="J20" i="148"/>
  <c r="K20" i="148" s="1"/>
  <c r="E50" i="149"/>
  <c r="F316" i="151" s="1"/>
  <c r="F934" i="161" s="1"/>
  <c r="R53" i="149"/>
  <c r="R55" i="149" s="1"/>
  <c r="F14" i="157"/>
  <c r="J58" i="15"/>
  <c r="G17" i="156"/>
  <c r="I154" i="72"/>
  <c r="I157" i="72" s="1"/>
  <c r="I119" i="72"/>
  <c r="H31" i="148"/>
  <c r="J29" i="148"/>
  <c r="K29" i="148" s="1"/>
  <c r="F21" i="157"/>
  <c r="F28" i="157" s="1"/>
  <c r="F40" i="157" s="1"/>
  <c r="F325" i="151" s="1"/>
  <c r="F980" i="161" s="1"/>
  <c r="F314" i="151"/>
  <c r="F932" i="161" s="1"/>
  <c r="L140" i="85"/>
  <c r="J30" i="148"/>
  <c r="K30" i="148" s="1"/>
  <c r="J20" i="149" s="1"/>
  <c r="J34" i="148"/>
  <c r="K34" i="148" s="1"/>
  <c r="H36" i="148"/>
  <c r="J35" i="148"/>
  <c r="H154" i="72"/>
  <c r="E157" i="72"/>
  <c r="M149" i="72" s="1"/>
  <c r="M150" i="72" s="1"/>
  <c r="M153" i="72" s="1"/>
  <c r="F866" i="161"/>
  <c r="G86" i="69"/>
  <c r="G91" i="69" s="1"/>
  <c r="G95" i="69" s="1"/>
  <c r="G127" i="69" s="1"/>
  <c r="F365" i="151"/>
  <c r="E196" i="88"/>
  <c r="F141" i="100" s="1"/>
  <c r="F422" i="107" s="1"/>
  <c r="E467" i="119" s="1"/>
  <c r="J163" i="72"/>
  <c r="I159" i="72"/>
  <c r="I109" i="72"/>
  <c r="G119" i="72"/>
  <c r="F119" i="72" s="1"/>
  <c r="H108" i="72"/>
  <c r="G174" i="85"/>
  <c r="G75" i="85"/>
  <c r="K174" i="85"/>
  <c r="K75" i="85"/>
  <c r="I174" i="85"/>
  <c r="I75" i="85"/>
  <c r="F11" i="90"/>
  <c r="F13" i="90" s="1"/>
  <c r="K26" i="90" s="1"/>
  <c r="K27" i="90" s="1"/>
  <c r="K30" i="90" s="1"/>
  <c r="N12" i="69"/>
  <c r="N13" i="69" s="1"/>
  <c r="N16" i="69" s="1"/>
  <c r="D11" i="90"/>
  <c r="F21" i="101"/>
  <c r="F28" i="101" s="1"/>
  <c r="F40" i="101" s="1"/>
  <c r="N37" i="69"/>
  <c r="M137" i="88"/>
  <c r="I201" i="88"/>
  <c r="I204" i="88" s="1"/>
  <c r="H166" i="72"/>
  <c r="H120" i="72"/>
  <c r="I120" i="72"/>
  <c r="I166" i="72"/>
  <c r="G165" i="72"/>
  <c r="I165" i="72"/>
  <c r="J164" i="72"/>
  <c r="I164" i="72"/>
  <c r="E168" i="72"/>
  <c r="M156" i="72" s="1"/>
  <c r="M157" i="72" s="1"/>
  <c r="M160" i="72" s="1"/>
  <c r="G164" i="72"/>
  <c r="F26" i="69"/>
  <c r="G26" i="69" s="1"/>
  <c r="H26" i="69" s="1"/>
  <c r="I26" i="69" s="1"/>
  <c r="K26" i="69" s="1"/>
  <c r="J1189" i="107"/>
  <c r="D1529" i="120" s="1"/>
  <c r="G1484" i="119"/>
  <c r="J486" i="107"/>
  <c r="D638" i="120" s="1"/>
  <c r="J992" i="107"/>
  <c r="D1231" i="120" s="1"/>
  <c r="G1183" i="119"/>
  <c r="E107" i="88"/>
  <c r="U103" i="88" s="1"/>
  <c r="U104" i="88" s="1"/>
  <c r="U107" i="88" s="1"/>
  <c r="I117" i="72"/>
  <c r="K180" i="88"/>
  <c r="G17" i="99"/>
  <c r="L12" i="99" s="1"/>
  <c r="L13" i="99" s="1"/>
  <c r="L16" i="99" s="1"/>
  <c r="R142" i="88"/>
  <c r="E142" i="88" s="1"/>
  <c r="Q202" i="88"/>
  <c r="Q204" i="88" s="1"/>
  <c r="J173" i="88"/>
  <c r="J116" i="88"/>
  <c r="K123" i="88"/>
  <c r="M194" i="88"/>
  <c r="H18" i="99"/>
  <c r="L26" i="99" s="1"/>
  <c r="L27" i="99" s="1"/>
  <c r="L30" i="99" s="1"/>
  <c r="I19" i="99"/>
  <c r="L19" i="99" s="1"/>
  <c r="L20" i="99" s="1"/>
  <c r="L23" i="99" s="1"/>
  <c r="Q145" i="88"/>
  <c r="Q147" i="88" s="1"/>
  <c r="M100" i="72"/>
  <c r="M93" i="72"/>
  <c r="N23" i="69"/>
  <c r="N43" i="69"/>
  <c r="N115" i="69"/>
  <c r="N116" i="69" s="1"/>
  <c r="N119" i="69" s="1"/>
  <c r="N74" i="69"/>
  <c r="N77" i="69" s="1"/>
  <c r="F54" i="69"/>
  <c r="G54" i="69" s="1"/>
  <c r="H54" i="69" s="1"/>
  <c r="J174" i="69" s="1"/>
  <c r="J184" i="69" s="1"/>
  <c r="F114" i="151" s="1"/>
  <c r="N26" i="69"/>
  <c r="N27" i="69" s="1"/>
  <c r="N30" i="69" s="1"/>
  <c r="D64" i="69"/>
  <c r="D34" i="69"/>
  <c r="U15" i="88"/>
  <c r="U8" i="88"/>
  <c r="J162" i="72"/>
  <c r="H201" i="88"/>
  <c r="H204" i="88" s="1"/>
  <c r="E164" i="88"/>
  <c r="H113" i="72"/>
  <c r="H108" i="88"/>
  <c r="H144" i="88"/>
  <c r="H147" i="88" s="1"/>
  <c r="E139" i="88"/>
  <c r="H117" i="72"/>
  <c r="G117" i="72"/>
  <c r="G115" i="72"/>
  <c r="I115" i="72"/>
  <c r="H20" i="89"/>
  <c r="J20" i="89" s="1"/>
  <c r="K30" i="88" s="1"/>
  <c r="G116" i="72"/>
  <c r="E122" i="72"/>
  <c r="M111" i="72" s="1"/>
  <c r="M112" i="72" s="1"/>
  <c r="M115" i="72" s="1"/>
  <c r="H116" i="72"/>
  <c r="I162" i="72"/>
  <c r="K170" i="85"/>
  <c r="K30" i="85"/>
  <c r="I170" i="85"/>
  <c r="I30" i="85"/>
  <c r="G170" i="85"/>
  <c r="G30" i="85"/>
  <c r="H159" i="72"/>
  <c r="I116" i="72"/>
  <c r="G162" i="72"/>
  <c r="H162" i="72"/>
  <c r="H115" i="72"/>
  <c r="G21" i="101"/>
  <c r="G28" i="101" s="1"/>
  <c r="G40" i="101" s="1"/>
  <c r="I113" i="72"/>
  <c r="F113" i="72" s="1"/>
  <c r="E47" i="88"/>
  <c r="J47" i="72"/>
  <c r="J159" i="72" s="1"/>
  <c r="J49" i="72"/>
  <c r="J161" i="72" s="1"/>
  <c r="H14" i="101"/>
  <c r="H24" i="101" s="1"/>
  <c r="K19" i="101" s="1"/>
  <c r="K20" i="101" s="1"/>
  <c r="K23" i="101" s="1"/>
  <c r="E56" i="72"/>
  <c r="M45" i="72" s="1"/>
  <c r="M46" i="72" s="1"/>
  <c r="M49" i="72" s="1"/>
  <c r="L130" i="88"/>
  <c r="H24" i="89"/>
  <c r="J24" i="89" s="1"/>
  <c r="L37" i="88" s="1"/>
  <c r="E48" i="88"/>
  <c r="F314" i="100" s="1"/>
  <c r="I992" i="107"/>
  <c r="H1183" i="119" s="1"/>
  <c r="J5" i="15"/>
  <c r="L5" i="15" s="1"/>
  <c r="E197" i="88"/>
  <c r="I26" i="18"/>
  <c r="I28" i="18" s="1"/>
  <c r="I486" i="107"/>
  <c r="H583" i="119" s="1"/>
  <c r="J6" i="15"/>
  <c r="L6" i="15" s="1"/>
  <c r="J101" i="72"/>
  <c r="J4" i="15"/>
  <c r="L4" i="15" s="1"/>
  <c r="L187" i="88"/>
  <c r="F25" i="69"/>
  <c r="E30" i="69"/>
  <c r="J119" i="72"/>
  <c r="F285" i="100"/>
  <c r="G42" i="69"/>
  <c r="I1189" i="107"/>
  <c r="H1484" i="119" s="1"/>
  <c r="G161" i="72"/>
  <c r="J19" i="18"/>
  <c r="J21" i="18" s="1"/>
  <c r="I161" i="72"/>
  <c r="H40" i="101"/>
  <c r="H36" i="101"/>
  <c r="R199" i="88"/>
  <c r="H161" i="72"/>
  <c r="J117" i="72"/>
  <c r="J118" i="72"/>
  <c r="F101" i="72"/>
  <c r="J34" i="89"/>
  <c r="H36" i="89"/>
  <c r="J21" i="89"/>
  <c r="K28" i="88" s="1"/>
  <c r="E152" i="72"/>
  <c r="J29" i="89"/>
  <c r="J23" i="88" s="1"/>
  <c r="K156" i="85"/>
  <c r="K176" i="85"/>
  <c r="K158" i="85"/>
  <c r="K142" i="85"/>
  <c r="K125" i="85"/>
  <c r="K109" i="85"/>
  <c r="K93" i="85"/>
  <c r="K77" i="85"/>
  <c r="K60" i="85"/>
  <c r="K44" i="85"/>
  <c r="K27" i="85"/>
  <c r="K11" i="85"/>
  <c r="K165" i="85"/>
  <c r="K149" i="85"/>
  <c r="K132" i="85"/>
  <c r="K116" i="85"/>
  <c r="K100" i="85"/>
  <c r="K84" i="85"/>
  <c r="K67" i="85"/>
  <c r="K51" i="85"/>
  <c r="K35" i="85"/>
  <c r="K18" i="85"/>
  <c r="K119" i="85"/>
  <c r="K103" i="85"/>
  <c r="K87" i="85"/>
  <c r="K70" i="85"/>
  <c r="K54" i="85"/>
  <c r="K38" i="85"/>
  <c r="K21" i="85"/>
  <c r="K172" i="85"/>
  <c r="K110" i="85"/>
  <c r="K45" i="85"/>
  <c r="K138" i="85"/>
  <c r="K73" i="85"/>
  <c r="K167" i="85"/>
  <c r="K102" i="85"/>
  <c r="K37" i="85"/>
  <c r="K171" i="85"/>
  <c r="K154" i="85"/>
  <c r="K137" i="85"/>
  <c r="K121" i="85"/>
  <c r="K105" i="85"/>
  <c r="K89" i="85"/>
  <c r="K72" i="85"/>
  <c r="K56" i="85"/>
  <c r="K40" i="85"/>
  <c r="K23" i="85"/>
  <c r="K179" i="85"/>
  <c r="K161" i="85"/>
  <c r="K145" i="85"/>
  <c r="K128" i="85"/>
  <c r="K112" i="85"/>
  <c r="K96" i="85"/>
  <c r="K80" i="85"/>
  <c r="K63" i="85"/>
  <c r="K47" i="85"/>
  <c r="K31" i="85"/>
  <c r="K14" i="85"/>
  <c r="K115" i="85"/>
  <c r="K99" i="85"/>
  <c r="K83" i="85"/>
  <c r="K66" i="85"/>
  <c r="K50" i="85"/>
  <c r="K34" i="85"/>
  <c r="K17" i="85"/>
  <c r="K159" i="85"/>
  <c r="K94" i="85"/>
  <c r="K28" i="85"/>
  <c r="K122" i="85"/>
  <c r="K57" i="85"/>
  <c r="K151" i="85"/>
  <c r="K86" i="85"/>
  <c r="K20" i="85"/>
  <c r="K114" i="85"/>
  <c r="K49" i="85"/>
  <c r="K166" i="85"/>
  <c r="K150" i="85"/>
  <c r="K133" i="85"/>
  <c r="K117" i="85"/>
  <c r="K101" i="85"/>
  <c r="K85" i="85"/>
  <c r="K68" i="85"/>
  <c r="K52" i="85"/>
  <c r="K36" i="85"/>
  <c r="K19" i="85"/>
  <c r="K175" i="85"/>
  <c r="K157" i="85"/>
  <c r="K141" i="85"/>
  <c r="K124" i="85"/>
  <c r="K108" i="85"/>
  <c r="K92" i="85"/>
  <c r="K76" i="85"/>
  <c r="K59" i="85"/>
  <c r="K43" i="85"/>
  <c r="K26" i="85"/>
  <c r="K127" i="85"/>
  <c r="K111" i="85"/>
  <c r="K95" i="85"/>
  <c r="K79" i="85"/>
  <c r="K113" i="85"/>
  <c r="K48" i="85"/>
  <c r="K153" i="85"/>
  <c r="K88" i="85"/>
  <c r="K22" i="85"/>
  <c r="K74" i="85"/>
  <c r="K42" i="85"/>
  <c r="K177" i="85"/>
  <c r="K61" i="85"/>
  <c r="K90" i="85"/>
  <c r="K118" i="85"/>
  <c r="K147" i="85"/>
  <c r="K65" i="85"/>
  <c r="K144" i="85"/>
  <c r="K164" i="85"/>
  <c r="K173" i="85"/>
  <c r="K169" i="85"/>
  <c r="K91" i="85"/>
  <c r="K134" i="85"/>
  <c r="K168" i="85"/>
  <c r="K162" i="85"/>
  <c r="K97" i="85"/>
  <c r="K32" i="85"/>
  <c r="K136" i="85"/>
  <c r="K71" i="85"/>
  <c r="K123" i="85"/>
  <c r="K62" i="85"/>
  <c r="K29" i="85"/>
  <c r="K143" i="85"/>
  <c r="K12" i="85"/>
  <c r="K41" i="85"/>
  <c r="K69" i="85"/>
  <c r="K130" i="85"/>
  <c r="K33" i="85"/>
  <c r="K160" i="85"/>
  <c r="K135" i="85"/>
  <c r="K129" i="85"/>
  <c r="K104" i="85"/>
  <c r="K46" i="85"/>
  <c r="K78" i="85"/>
  <c r="K163" i="85"/>
  <c r="K148" i="85"/>
  <c r="K146" i="85"/>
  <c r="K81" i="85"/>
  <c r="K15" i="85"/>
  <c r="K120" i="85"/>
  <c r="K55" i="85"/>
  <c r="K107" i="85"/>
  <c r="K58" i="85"/>
  <c r="K25" i="85"/>
  <c r="K126" i="85"/>
  <c r="K155" i="85"/>
  <c r="K24" i="85"/>
  <c r="K53" i="85"/>
  <c r="K98" i="85"/>
  <c r="K16" i="85"/>
  <c r="K131" i="85"/>
  <c r="K152" i="85"/>
  <c r="K139" i="85"/>
  <c r="K64" i="85"/>
  <c r="K39" i="85"/>
  <c r="K13" i="85"/>
  <c r="K106" i="85"/>
  <c r="K82" i="85"/>
  <c r="K178" i="85"/>
  <c r="E106" i="72"/>
  <c r="E130" i="72"/>
  <c r="R53" i="88"/>
  <c r="R55" i="88" s="1"/>
  <c r="E50" i="88"/>
  <c r="J30" i="89"/>
  <c r="J21" i="88" s="1"/>
  <c r="H52" i="88"/>
  <c r="H55" i="88" s="1"/>
  <c r="H16" i="88"/>
  <c r="I162" i="85"/>
  <c r="I146" i="85"/>
  <c r="I129" i="85"/>
  <c r="I113" i="85"/>
  <c r="I97" i="85"/>
  <c r="I81" i="85"/>
  <c r="I64" i="85"/>
  <c r="I48" i="85"/>
  <c r="I32" i="85"/>
  <c r="I15" i="85"/>
  <c r="I169" i="85"/>
  <c r="I153" i="85"/>
  <c r="I136" i="85"/>
  <c r="I120" i="85"/>
  <c r="I104" i="85"/>
  <c r="I88" i="85"/>
  <c r="I71" i="85"/>
  <c r="I55" i="85"/>
  <c r="I39" i="85"/>
  <c r="I22" i="85"/>
  <c r="I173" i="85"/>
  <c r="I156" i="85"/>
  <c r="I139" i="85"/>
  <c r="I123" i="85"/>
  <c r="I107" i="85"/>
  <c r="I91" i="85"/>
  <c r="I74" i="85"/>
  <c r="I58" i="85"/>
  <c r="I42" i="85"/>
  <c r="I25" i="85"/>
  <c r="I163" i="85"/>
  <c r="I98" i="85"/>
  <c r="I33" i="85"/>
  <c r="I143" i="85"/>
  <c r="I78" i="85"/>
  <c r="I12" i="85"/>
  <c r="I122" i="85"/>
  <c r="I57" i="85"/>
  <c r="I151" i="85"/>
  <c r="I86" i="85"/>
  <c r="I20" i="85"/>
  <c r="I176" i="85"/>
  <c r="I158" i="85"/>
  <c r="I142" i="85"/>
  <c r="I125" i="85"/>
  <c r="I109" i="85"/>
  <c r="I93" i="85"/>
  <c r="I77" i="85"/>
  <c r="I60" i="85"/>
  <c r="I44" i="85"/>
  <c r="I27" i="85"/>
  <c r="I11" i="85"/>
  <c r="I165" i="85"/>
  <c r="I149" i="85"/>
  <c r="I132" i="85"/>
  <c r="I116" i="85"/>
  <c r="I100" i="85"/>
  <c r="I84" i="85"/>
  <c r="I67" i="85"/>
  <c r="I51" i="85"/>
  <c r="I35" i="85"/>
  <c r="I18" i="85"/>
  <c r="I168" i="85"/>
  <c r="I152" i="85"/>
  <c r="I135" i="85"/>
  <c r="I119" i="85"/>
  <c r="I103" i="85"/>
  <c r="I87" i="85"/>
  <c r="I70" i="85"/>
  <c r="I54" i="85"/>
  <c r="I38" i="85"/>
  <c r="I21" i="85"/>
  <c r="I147" i="85"/>
  <c r="I82" i="85"/>
  <c r="I16" i="85"/>
  <c r="I126" i="85"/>
  <c r="I61" i="85"/>
  <c r="I172" i="85"/>
  <c r="I106" i="85"/>
  <c r="I41" i="85"/>
  <c r="I134" i="85"/>
  <c r="I69" i="85"/>
  <c r="I171" i="85"/>
  <c r="I154" i="85"/>
  <c r="I137" i="85"/>
  <c r="I121" i="85"/>
  <c r="I105" i="85"/>
  <c r="I89" i="85"/>
  <c r="I72" i="85"/>
  <c r="I56" i="85"/>
  <c r="I40" i="85"/>
  <c r="I23" i="85"/>
  <c r="I179" i="85"/>
  <c r="I161" i="85"/>
  <c r="I145" i="85"/>
  <c r="I128" i="85"/>
  <c r="I112" i="85"/>
  <c r="I96" i="85"/>
  <c r="I80" i="85"/>
  <c r="I63" i="85"/>
  <c r="I47" i="85"/>
  <c r="I31" i="85"/>
  <c r="I14" i="85"/>
  <c r="I164" i="85"/>
  <c r="I148" i="85"/>
  <c r="I131" i="85"/>
  <c r="I115" i="85"/>
  <c r="I99" i="85"/>
  <c r="I83" i="85"/>
  <c r="I66" i="85"/>
  <c r="I50" i="85"/>
  <c r="I34" i="85"/>
  <c r="I17" i="85"/>
  <c r="I130" i="85"/>
  <c r="I65" i="85"/>
  <c r="I177" i="85"/>
  <c r="I110" i="85"/>
  <c r="I45" i="85"/>
  <c r="I155" i="85"/>
  <c r="I90" i="85"/>
  <c r="I24" i="85"/>
  <c r="I118" i="85"/>
  <c r="I53" i="85"/>
  <c r="I133" i="85"/>
  <c r="I68" i="85"/>
  <c r="I175" i="85"/>
  <c r="I108" i="85"/>
  <c r="I43" i="85"/>
  <c r="I144" i="85"/>
  <c r="I79" i="85"/>
  <c r="I13" i="85"/>
  <c r="I94" i="85"/>
  <c r="I167" i="85"/>
  <c r="I95" i="85"/>
  <c r="I117" i="85"/>
  <c r="I52" i="85"/>
  <c r="I157" i="85"/>
  <c r="I92" i="85"/>
  <c r="I26" i="85"/>
  <c r="I127" i="85"/>
  <c r="I62" i="85"/>
  <c r="I114" i="85"/>
  <c r="I28" i="85"/>
  <c r="I102" i="85"/>
  <c r="I150" i="85"/>
  <c r="I59" i="85"/>
  <c r="I29" i="85"/>
  <c r="I73" i="85"/>
  <c r="I166" i="85"/>
  <c r="I101" i="85"/>
  <c r="I36" i="85"/>
  <c r="I141" i="85"/>
  <c r="I76" i="85"/>
  <c r="I178" i="85"/>
  <c r="I111" i="85"/>
  <c r="I46" i="85"/>
  <c r="I49" i="85"/>
  <c r="I138" i="85"/>
  <c r="I37" i="85"/>
  <c r="I85" i="85"/>
  <c r="I19" i="85"/>
  <c r="I124" i="85"/>
  <c r="I160" i="85"/>
  <c r="I159" i="85"/>
  <c r="G31" i="72"/>
  <c r="G19" i="85"/>
  <c r="G36" i="85"/>
  <c r="G52" i="85"/>
  <c r="G68" i="85"/>
  <c r="G85" i="85"/>
  <c r="G101" i="85"/>
  <c r="G121" i="85"/>
  <c r="G142" i="85"/>
  <c r="G25" i="85"/>
  <c r="G42" i="85"/>
  <c r="G58" i="85"/>
  <c r="G18" i="85"/>
  <c r="G35" i="85"/>
  <c r="G51" i="85"/>
  <c r="G67" i="85"/>
  <c r="G84" i="85"/>
  <c r="G100" i="85"/>
  <c r="G116" i="85"/>
  <c r="G132" i="85"/>
  <c r="G149" i="85"/>
  <c r="G165" i="85"/>
  <c r="G105" i="85"/>
  <c r="G103" i="85"/>
  <c r="G177" i="85"/>
  <c r="G45" i="85"/>
  <c r="G90" i="85"/>
  <c r="G122" i="85"/>
  <c r="G150" i="85"/>
  <c r="G172" i="85"/>
  <c r="G49" i="85"/>
  <c r="G91" i="85"/>
  <c r="G123" i="85"/>
  <c r="G151" i="85"/>
  <c r="G173" i="85"/>
  <c r="G53" i="85"/>
  <c r="G94" i="85"/>
  <c r="G134" i="85"/>
  <c r="G158" i="85"/>
  <c r="G24" i="85"/>
  <c r="G111" i="85"/>
  <c r="G154" i="85"/>
  <c r="G97" i="85"/>
  <c r="G21" i="85"/>
  <c r="G14" i="85"/>
  <c r="G80" i="85"/>
  <c r="G128" i="85"/>
  <c r="G145" i="85"/>
  <c r="G179" i="85"/>
  <c r="G28" i="85"/>
  <c r="G144" i="85"/>
  <c r="G83" i="85"/>
  <c r="G167" i="85"/>
  <c r="G126" i="85"/>
  <c r="G148" i="85"/>
  <c r="G23" i="85"/>
  <c r="G40" i="85"/>
  <c r="G56" i="85"/>
  <c r="G72" i="85"/>
  <c r="G89" i="85"/>
  <c r="G109" i="85"/>
  <c r="G125" i="85"/>
  <c r="G13" i="85"/>
  <c r="G29" i="85"/>
  <c r="G46" i="85"/>
  <c r="G62" i="85"/>
  <c r="G22" i="85"/>
  <c r="G39" i="85"/>
  <c r="G55" i="85"/>
  <c r="G71" i="85"/>
  <c r="G88" i="85"/>
  <c r="G104" i="85"/>
  <c r="G120" i="85"/>
  <c r="G136" i="85"/>
  <c r="G153" i="85"/>
  <c r="G169" i="85"/>
  <c r="G110" i="85"/>
  <c r="G119" i="85"/>
  <c r="G70" i="85"/>
  <c r="G61" i="85"/>
  <c r="G98" i="85"/>
  <c r="G130" i="85"/>
  <c r="G155" i="85"/>
  <c r="G178" i="85"/>
  <c r="G65" i="85"/>
  <c r="G99" i="85"/>
  <c r="G131" i="85"/>
  <c r="G156" i="85"/>
  <c r="G11" i="85"/>
  <c r="G69" i="85"/>
  <c r="G102" i="85"/>
  <c r="G139" i="85"/>
  <c r="G163" i="85"/>
  <c r="G41" i="85"/>
  <c r="G127" i="85"/>
  <c r="G164" i="85"/>
  <c r="G107" i="85"/>
  <c r="G162" i="85"/>
  <c r="G118" i="85"/>
  <c r="G168" i="85"/>
  <c r="G135" i="85"/>
  <c r="G32" i="85"/>
  <c r="G81" i="85"/>
  <c r="G117" i="85"/>
  <c r="G133" i="85"/>
  <c r="G38" i="85"/>
  <c r="G31" i="85"/>
  <c r="G63" i="85"/>
  <c r="G112" i="85"/>
  <c r="G161" i="85"/>
  <c r="G87" i="85"/>
  <c r="G82" i="85"/>
  <c r="G166" i="85"/>
  <c r="G115" i="85"/>
  <c r="G37" i="85"/>
  <c r="G152" i="85"/>
  <c r="G95" i="85"/>
  <c r="G27" i="85"/>
  <c r="G44" i="85"/>
  <c r="G60" i="85"/>
  <c r="G77" i="85"/>
  <c r="G93" i="85"/>
  <c r="G113" i="85"/>
  <c r="G129" i="85"/>
  <c r="G17" i="85"/>
  <c r="G34" i="85"/>
  <c r="G50" i="85"/>
  <c r="G66" i="85"/>
  <c r="G26" i="85"/>
  <c r="G43" i="85"/>
  <c r="G59" i="85"/>
  <c r="G76" i="85"/>
  <c r="G92" i="85"/>
  <c r="G108" i="85"/>
  <c r="G124" i="85"/>
  <c r="G141" i="85"/>
  <c r="G157" i="85"/>
  <c r="G175" i="85"/>
  <c r="G57" i="85"/>
  <c r="G143" i="85"/>
  <c r="G12" i="85"/>
  <c r="G73" i="85"/>
  <c r="G106" i="85"/>
  <c r="G137" i="85"/>
  <c r="G160" i="85"/>
  <c r="G16" i="85"/>
  <c r="G74" i="85"/>
  <c r="G138" i="85"/>
  <c r="G20" i="85"/>
  <c r="G78" i="85"/>
  <c r="G147" i="85"/>
  <c r="G79" i="85"/>
  <c r="G171" i="85"/>
  <c r="G15" i="85"/>
  <c r="G48" i="85"/>
  <c r="G64" i="85"/>
  <c r="G54" i="85"/>
  <c r="G47" i="85"/>
  <c r="G96" i="85"/>
  <c r="G159" i="85"/>
  <c r="G114" i="85"/>
  <c r="G33" i="85"/>
  <c r="G146" i="85"/>
  <c r="G86" i="85"/>
  <c r="G176" i="85"/>
  <c r="J116" i="72"/>
  <c r="I16" i="88"/>
  <c r="I52" i="88"/>
  <c r="I55" i="88" s="1"/>
  <c r="J25" i="89"/>
  <c r="J35" i="89"/>
  <c r="F118" i="72"/>
  <c r="F163" i="72"/>
  <c r="E15" i="88"/>
  <c r="G52" i="88"/>
  <c r="G55" i="88" s="1"/>
  <c r="G16" i="88"/>
  <c r="F147" i="72"/>
  <c r="Q53" i="88"/>
  <c r="Q55" i="88" s="1"/>
  <c r="E49" i="88"/>
  <c r="E140" i="88"/>
  <c r="I21" i="18"/>
  <c r="I486" i="161" l="1"/>
  <c r="I1189" i="161"/>
  <c r="L21" i="148"/>
  <c r="F159" i="72"/>
  <c r="H86" i="69"/>
  <c r="I86" i="69" s="1"/>
  <c r="F282" i="151"/>
  <c r="H26" i="99"/>
  <c r="K109" i="78"/>
  <c r="K53" i="78"/>
  <c r="K56" i="78"/>
  <c r="K39" i="78"/>
  <c r="K125" i="78"/>
  <c r="K133" i="78"/>
  <c r="K38" i="78"/>
  <c r="K21" i="78"/>
  <c r="K89" i="78"/>
  <c r="K90" i="78"/>
  <c r="K32" i="78"/>
  <c r="K61" i="78"/>
  <c r="K121" i="78"/>
  <c r="K81" i="78"/>
  <c r="K70" i="78"/>
  <c r="K100" i="78"/>
  <c r="K74" i="78"/>
  <c r="K120" i="78"/>
  <c r="K118" i="78"/>
  <c r="K173" i="78"/>
  <c r="K94" i="78"/>
  <c r="K105" i="78"/>
  <c r="K41" i="78"/>
  <c r="K49" i="78"/>
  <c r="K75" i="78"/>
  <c r="K22" i="78"/>
  <c r="K129" i="78"/>
  <c r="K128" i="78"/>
  <c r="K140" i="78"/>
  <c r="K139" i="78"/>
  <c r="K135" i="78"/>
  <c r="K46" i="78"/>
  <c r="K52" i="78"/>
  <c r="K98" i="78"/>
  <c r="K106" i="78"/>
  <c r="K62" i="78"/>
  <c r="K93" i="78"/>
  <c r="K36" i="78"/>
  <c r="K51" i="78"/>
  <c r="K143" i="78"/>
  <c r="K72" i="78"/>
  <c r="K37" i="78"/>
  <c r="K45" i="78"/>
  <c r="K43" i="78"/>
  <c r="K59" i="78"/>
  <c r="K142" i="78"/>
  <c r="K25" i="78"/>
  <c r="K77" i="78"/>
  <c r="K110" i="78"/>
  <c r="K132" i="78"/>
  <c r="K117" i="78"/>
  <c r="K40" i="78"/>
  <c r="K95" i="78"/>
  <c r="K66" i="78"/>
  <c r="K47" i="78"/>
  <c r="K60" i="78"/>
  <c r="K104" i="78"/>
  <c r="K50" i="78"/>
  <c r="K31" i="78"/>
  <c r="K130" i="78"/>
  <c r="K28" i="78"/>
  <c r="K131" i="78"/>
  <c r="K85" i="78"/>
  <c r="K123" i="78"/>
  <c r="K91" i="78"/>
  <c r="K108" i="78"/>
  <c r="K127" i="78"/>
  <c r="K57" i="78"/>
  <c r="K103" i="78"/>
  <c r="K24" i="78"/>
  <c r="K55" i="78"/>
  <c r="K80" i="78"/>
  <c r="K88" i="78"/>
  <c r="K30" i="78"/>
  <c r="K35" i="78"/>
  <c r="K54" i="78"/>
  <c r="K96" i="78"/>
  <c r="K48" i="78"/>
  <c r="K83" i="78"/>
  <c r="K29" i="78"/>
  <c r="K116" i="78"/>
  <c r="K111" i="78"/>
  <c r="K119" i="78"/>
  <c r="K101" i="78"/>
  <c r="K174" i="78"/>
  <c r="K26" i="78"/>
  <c r="K137" i="78"/>
  <c r="K65" i="78"/>
  <c r="K113" i="78"/>
  <c r="K33" i="78"/>
  <c r="K58" i="78"/>
  <c r="K42" i="78"/>
  <c r="K136" i="78"/>
  <c r="K84" i="78"/>
  <c r="K34" i="78"/>
  <c r="K114" i="78"/>
  <c r="K67" i="78"/>
  <c r="K124" i="78"/>
  <c r="K172" i="78"/>
  <c r="K176" i="78" s="1"/>
  <c r="K87" i="78"/>
  <c r="K68" i="78"/>
  <c r="K99" i="78"/>
  <c r="K92" i="78"/>
  <c r="K112" i="78"/>
  <c r="K78" i="78"/>
  <c r="K126" i="78"/>
  <c r="K69" i="78"/>
  <c r="K63" i="78"/>
  <c r="K79" i="78"/>
  <c r="K73" i="78"/>
  <c r="K122" i="78"/>
  <c r="K115" i="78"/>
  <c r="K71" i="78"/>
  <c r="K64" i="78"/>
  <c r="K134" i="78"/>
  <c r="K86" i="78"/>
  <c r="K141" i="78"/>
  <c r="K138" i="78"/>
  <c r="K82" i="78"/>
  <c r="K107" i="78"/>
  <c r="K97" i="78"/>
  <c r="K76" i="78"/>
  <c r="K27" i="78"/>
  <c r="K102" i="78"/>
  <c r="K23" i="78"/>
  <c r="K44" i="78"/>
  <c r="I147" i="78"/>
  <c r="I1128" i="161"/>
  <c r="G89" i="78"/>
  <c r="L89" i="78" s="1"/>
  <c r="G99" i="78"/>
  <c r="L99" i="78" s="1"/>
  <c r="G133" i="78"/>
  <c r="L133" i="78" s="1"/>
  <c r="G37" i="78"/>
  <c r="L37" i="78" s="1"/>
  <c r="G75" i="78"/>
  <c r="L75" i="78" s="1"/>
  <c r="G27" i="78"/>
  <c r="G121" i="78"/>
  <c r="L121" i="78" s="1"/>
  <c r="G41" i="78"/>
  <c r="L41" i="78" s="1"/>
  <c r="G36" i="78"/>
  <c r="L36" i="78" s="1"/>
  <c r="G68" i="78"/>
  <c r="L68" i="78" s="1"/>
  <c r="G125" i="78"/>
  <c r="L125" i="78" s="1"/>
  <c r="G123" i="78"/>
  <c r="L123" i="78" s="1"/>
  <c r="G128" i="78"/>
  <c r="L128" i="78" s="1"/>
  <c r="G69" i="78"/>
  <c r="G42" i="78"/>
  <c r="L42" i="78" s="1"/>
  <c r="G61" i="78"/>
  <c r="L61" i="78" s="1"/>
  <c r="G140" i="78"/>
  <c r="L140" i="78" s="1"/>
  <c r="G77" i="78"/>
  <c r="L77" i="78" s="1"/>
  <c r="G98" i="78"/>
  <c r="L98" i="78" s="1"/>
  <c r="G66" i="78"/>
  <c r="L66" i="78" s="1"/>
  <c r="G43" i="78"/>
  <c r="L43" i="78" s="1"/>
  <c r="G91" i="78"/>
  <c r="L91" i="78" s="1"/>
  <c r="G72" i="78"/>
  <c r="L72" i="78" s="1"/>
  <c r="G67" i="78"/>
  <c r="L67" i="78" s="1"/>
  <c r="G44" i="78"/>
  <c r="L44" i="78" s="1"/>
  <c r="G129" i="78"/>
  <c r="L129" i="78" s="1"/>
  <c r="G64" i="78"/>
  <c r="L64" i="78" s="1"/>
  <c r="G100" i="78"/>
  <c r="L100" i="78" s="1"/>
  <c r="G118" i="78"/>
  <c r="L118" i="78" s="1"/>
  <c r="G51" i="78"/>
  <c r="L51" i="78" s="1"/>
  <c r="G46" i="78"/>
  <c r="L46" i="78" s="1"/>
  <c r="G60" i="78"/>
  <c r="L60" i="78" s="1"/>
  <c r="G126" i="78"/>
  <c r="L126" i="78" s="1"/>
  <c r="G139" i="78"/>
  <c r="L139" i="78" s="1"/>
  <c r="G141" i="78"/>
  <c r="L141" i="78" s="1"/>
  <c r="G110" i="78"/>
  <c r="L110" i="78" s="1"/>
  <c r="G138" i="78"/>
  <c r="L138" i="78" s="1"/>
  <c r="G105" i="78"/>
  <c r="L105" i="78" s="1"/>
  <c r="G25" i="78"/>
  <c r="L25" i="78" s="1"/>
  <c r="G31" i="78"/>
  <c r="L31" i="78" s="1"/>
  <c r="G103" i="78"/>
  <c r="L103" i="78" s="1"/>
  <c r="G55" i="78"/>
  <c r="L55" i="78" s="1"/>
  <c r="G107" i="78"/>
  <c r="L107" i="78" s="1"/>
  <c r="G28" i="78"/>
  <c r="L28" i="78" s="1"/>
  <c r="G115" i="78"/>
  <c r="L115" i="78" s="1"/>
  <c r="G73" i="78"/>
  <c r="L73" i="78" s="1"/>
  <c r="G49" i="78"/>
  <c r="L49" i="78" s="1"/>
  <c r="G136" i="78"/>
  <c r="L136" i="78" s="1"/>
  <c r="G79" i="78"/>
  <c r="L79" i="78" s="1"/>
  <c r="G74" i="78"/>
  <c r="L74" i="78" s="1"/>
  <c r="G52" i="78"/>
  <c r="L52" i="78" s="1"/>
  <c r="G40" i="78"/>
  <c r="L40" i="78" s="1"/>
  <c r="G82" i="78"/>
  <c r="L82" i="78" s="1"/>
  <c r="G112" i="78"/>
  <c r="L112" i="78" s="1"/>
  <c r="G57" i="78"/>
  <c r="L57" i="78" s="1"/>
  <c r="G76" i="78"/>
  <c r="L76" i="78" s="1"/>
  <c r="G33" i="78"/>
  <c r="L33" i="78" s="1"/>
  <c r="G26" i="78"/>
  <c r="L26" i="78" s="1"/>
  <c r="G101" i="78"/>
  <c r="L101" i="78" s="1"/>
  <c r="G109" i="78"/>
  <c r="L109" i="78" s="1"/>
  <c r="G30" i="78"/>
  <c r="L30" i="78" s="1"/>
  <c r="G130" i="78"/>
  <c r="L130" i="78" s="1"/>
  <c r="G62" i="78"/>
  <c r="L62" i="78" s="1"/>
  <c r="G71" i="78"/>
  <c r="L71" i="78" s="1"/>
  <c r="G119" i="78"/>
  <c r="L119" i="78" s="1"/>
  <c r="G48" i="78"/>
  <c r="L48" i="78" s="1"/>
  <c r="G23" i="78"/>
  <c r="L23" i="78" s="1"/>
  <c r="G97" i="78"/>
  <c r="L97" i="78" s="1"/>
  <c r="G96" i="78"/>
  <c r="L96" i="78" s="1"/>
  <c r="G104" i="78"/>
  <c r="L104" i="78" s="1"/>
  <c r="G54" i="78"/>
  <c r="L54" i="78" s="1"/>
  <c r="G108" i="78"/>
  <c r="L108" i="78" s="1"/>
  <c r="G63" i="78"/>
  <c r="L63" i="78" s="1"/>
  <c r="G143" i="78"/>
  <c r="L143" i="78" s="1"/>
  <c r="G84" i="78"/>
  <c r="L84" i="78" s="1"/>
  <c r="G35" i="78"/>
  <c r="L35" i="78" s="1"/>
  <c r="G45" i="78"/>
  <c r="L45" i="78" s="1"/>
  <c r="G38" i="78"/>
  <c r="L38" i="78" s="1"/>
  <c r="G95" i="78"/>
  <c r="L95" i="78" s="1"/>
  <c r="G93" i="78"/>
  <c r="L93" i="78" s="1"/>
  <c r="G34" i="78"/>
  <c r="L34" i="78" s="1"/>
  <c r="G90" i="78"/>
  <c r="L90" i="78" s="1"/>
  <c r="G86" i="78"/>
  <c r="L86" i="78" s="1"/>
  <c r="G134" i="78"/>
  <c r="L134" i="78" s="1"/>
  <c r="G124" i="78"/>
  <c r="L124" i="78" s="1"/>
  <c r="G39" i="78"/>
  <c r="L39" i="78" s="1"/>
  <c r="G172" i="78"/>
  <c r="G120" i="78"/>
  <c r="L120" i="78" s="1"/>
  <c r="G53" i="78"/>
  <c r="L53" i="78" s="1"/>
  <c r="G22" i="78"/>
  <c r="L22" i="78" s="1"/>
  <c r="G111" i="78"/>
  <c r="L111" i="78" s="1"/>
  <c r="G81" i="78"/>
  <c r="L81" i="78" s="1"/>
  <c r="G122" i="78"/>
  <c r="L122" i="78" s="1"/>
  <c r="G65" i="78"/>
  <c r="L65" i="78" s="1"/>
  <c r="G59" i="78"/>
  <c r="L59" i="78" s="1"/>
  <c r="G21" i="78"/>
  <c r="G70" i="78"/>
  <c r="L70" i="78" s="1"/>
  <c r="G116" i="78"/>
  <c r="L116" i="78" s="1"/>
  <c r="G132" i="78"/>
  <c r="L132" i="78" s="1"/>
  <c r="G131" i="78"/>
  <c r="L131" i="78" s="1"/>
  <c r="G113" i="78"/>
  <c r="L113" i="78" s="1"/>
  <c r="G142" i="78"/>
  <c r="L142" i="78" s="1"/>
  <c r="G106" i="78"/>
  <c r="L106" i="78" s="1"/>
  <c r="G173" i="78"/>
  <c r="G174" i="78"/>
  <c r="L174" i="78" s="1"/>
  <c r="G92" i="78"/>
  <c r="L92" i="78" s="1"/>
  <c r="G137" i="78"/>
  <c r="L137" i="78" s="1"/>
  <c r="G24" i="78"/>
  <c r="L24" i="78" s="1"/>
  <c r="G32" i="78"/>
  <c r="L32" i="78" s="1"/>
  <c r="G83" i="78"/>
  <c r="L83" i="78" s="1"/>
  <c r="G102" i="78"/>
  <c r="L102" i="78" s="1"/>
  <c r="G94" i="78"/>
  <c r="L94" i="78" s="1"/>
  <c r="G88" i="78"/>
  <c r="L88" i="78" s="1"/>
  <c r="G87" i="78"/>
  <c r="L87" i="78" s="1"/>
  <c r="G56" i="78"/>
  <c r="L56" i="78" s="1"/>
  <c r="G29" i="78"/>
  <c r="L29" i="78" s="1"/>
  <c r="G50" i="78"/>
  <c r="L50" i="78" s="1"/>
  <c r="G78" i="78"/>
  <c r="L78" i="78" s="1"/>
  <c r="G127" i="78"/>
  <c r="L127" i="78" s="1"/>
  <c r="G47" i="78"/>
  <c r="L47" i="78" s="1"/>
  <c r="G114" i="78"/>
  <c r="L114" i="78" s="1"/>
  <c r="G117" i="78"/>
  <c r="L117" i="78" s="1"/>
  <c r="G58" i="78"/>
  <c r="L58" i="78" s="1"/>
  <c r="G135" i="78"/>
  <c r="L135" i="78" s="1"/>
  <c r="G80" i="78"/>
  <c r="L80" i="78" s="1"/>
  <c r="G85" i="78"/>
  <c r="L85" i="78" s="1"/>
  <c r="H22" i="99"/>
  <c r="J113" i="72"/>
  <c r="F375" i="100"/>
  <c r="F1097" i="107" s="1"/>
  <c r="E1340" i="119" s="1"/>
  <c r="L174" i="85"/>
  <c r="I176" i="78"/>
  <c r="N1189" i="107"/>
  <c r="H1529" i="120" s="1"/>
  <c r="N486" i="107"/>
  <c r="H638" i="120" s="1"/>
  <c r="J166" i="72"/>
  <c r="L170" i="85"/>
  <c r="E176" i="72"/>
  <c r="F165" i="72"/>
  <c r="E175" i="72"/>
  <c r="I111" i="72"/>
  <c r="G22" i="99"/>
  <c r="G26" i="99"/>
  <c r="F166" i="72"/>
  <c r="H26" i="89"/>
  <c r="H22" i="89"/>
  <c r="D13" i="160"/>
  <c r="K18" i="160" s="1"/>
  <c r="K19" i="160" s="1"/>
  <c r="K22" i="160" s="1"/>
  <c r="L25" i="148"/>
  <c r="F120" i="72"/>
  <c r="Q1189" i="161"/>
  <c r="K1189" i="161"/>
  <c r="L1189" i="161"/>
  <c r="O1189" i="161"/>
  <c r="P1189" i="161"/>
  <c r="M1189" i="161"/>
  <c r="N1189" i="161"/>
  <c r="Q1189" i="107"/>
  <c r="K1529" i="120" s="1"/>
  <c r="R145" i="88"/>
  <c r="R147" i="88" s="1"/>
  <c r="G1097" i="161"/>
  <c r="H1097" i="161"/>
  <c r="J1097" i="161" s="1"/>
  <c r="I22" i="156"/>
  <c r="I26" i="156"/>
  <c r="I25" i="156"/>
  <c r="L19" i="156"/>
  <c r="L20" i="156" s="1"/>
  <c r="L23" i="156" s="1"/>
  <c r="O1189" i="107"/>
  <c r="I1529" i="120" s="1"/>
  <c r="L1189" i="107"/>
  <c r="F1529" i="120" s="1"/>
  <c r="Q1128" i="161"/>
  <c r="P1128" i="161"/>
  <c r="K1128" i="161"/>
  <c r="L1128" i="161"/>
  <c r="O1128" i="161"/>
  <c r="N1128" i="161"/>
  <c r="M1128" i="161"/>
  <c r="G1127" i="161"/>
  <c r="H1127" i="161"/>
  <c r="J1127" i="161" s="1"/>
  <c r="E142" i="149"/>
  <c r="R145" i="149"/>
  <c r="R147" i="149" s="1"/>
  <c r="E199" i="149"/>
  <c r="R202" i="149"/>
  <c r="R204" i="149" s="1"/>
  <c r="F164" i="72"/>
  <c r="Q486" i="161"/>
  <c r="K486" i="161"/>
  <c r="P486" i="161"/>
  <c r="M486" i="161"/>
  <c r="L486" i="161"/>
  <c r="N486" i="161"/>
  <c r="O486" i="161"/>
  <c r="H22" i="156"/>
  <c r="L26" i="156"/>
  <c r="L27" i="156" s="1"/>
  <c r="L30" i="156" s="1"/>
  <c r="H26" i="156"/>
  <c r="H25" i="156"/>
  <c r="L486" i="107"/>
  <c r="F638" i="120" s="1"/>
  <c r="K486" i="107"/>
  <c r="E638" i="120" s="1"/>
  <c r="G422" i="161"/>
  <c r="H422" i="161"/>
  <c r="J422" i="161" s="1"/>
  <c r="G392" i="161"/>
  <c r="H392" i="161"/>
  <c r="J392" i="161" s="1"/>
  <c r="I423" i="161"/>
  <c r="H47" i="157"/>
  <c r="F153" i="151"/>
  <c r="F473" i="161" s="1"/>
  <c r="L423" i="161"/>
  <c r="N423" i="161"/>
  <c r="K423" i="161"/>
  <c r="Q423" i="161"/>
  <c r="O423" i="161"/>
  <c r="M423" i="161"/>
  <c r="P423" i="161"/>
  <c r="E20" i="149"/>
  <c r="K29" i="149"/>
  <c r="K22" i="148"/>
  <c r="H81" i="149"/>
  <c r="H83" i="149" s="1"/>
  <c r="E35" i="149"/>
  <c r="F305" i="151" s="1"/>
  <c r="F919" i="161" s="1"/>
  <c r="J23" i="149"/>
  <c r="J31" i="148"/>
  <c r="L29" i="148"/>
  <c r="G934" i="161"/>
  <c r="H934" i="161"/>
  <c r="J934" i="161" s="1"/>
  <c r="E34" i="149"/>
  <c r="G81" i="149"/>
  <c r="K24" i="148"/>
  <c r="L24" i="148" s="1"/>
  <c r="L37" i="149"/>
  <c r="J26" i="148"/>
  <c r="E28" i="149"/>
  <c r="E89" i="149"/>
  <c r="U12" i="149"/>
  <c r="U13" i="149" s="1"/>
  <c r="U16" i="149" s="1"/>
  <c r="L26" i="85"/>
  <c r="M42" i="149"/>
  <c r="G932" i="161"/>
  <c r="H932" i="161"/>
  <c r="J932" i="161" s="1"/>
  <c r="K30" i="149"/>
  <c r="L20" i="148"/>
  <c r="L22" i="148" s="1"/>
  <c r="J22" i="148"/>
  <c r="E27" i="149"/>
  <c r="K52" i="149"/>
  <c r="J21" i="149"/>
  <c r="L30" i="148"/>
  <c r="K31" i="148"/>
  <c r="J22" i="149"/>
  <c r="L30" i="85"/>
  <c r="K35" i="148"/>
  <c r="M41" i="149" s="1"/>
  <c r="U47" i="149"/>
  <c r="U48" i="149" s="1"/>
  <c r="U51" i="149" s="1"/>
  <c r="G901" i="161"/>
  <c r="H901" i="161"/>
  <c r="I901" i="161" s="1"/>
  <c r="G26" i="156"/>
  <c r="L12" i="156"/>
  <c r="L13" i="156" s="1"/>
  <c r="L16" i="156" s="1"/>
  <c r="G25" i="156"/>
  <c r="G22" i="156"/>
  <c r="G931" i="161"/>
  <c r="H931" i="161"/>
  <c r="J931" i="161" s="1"/>
  <c r="I992" i="161"/>
  <c r="M43" i="149"/>
  <c r="M44" i="149"/>
  <c r="L34" i="148"/>
  <c r="J36" i="148"/>
  <c r="F24" i="157"/>
  <c r="K5" i="157" s="1"/>
  <c r="K6" i="157" s="1"/>
  <c r="K9" i="157" s="1"/>
  <c r="K992" i="161"/>
  <c r="Q992" i="161"/>
  <c r="P992" i="161"/>
  <c r="M992" i="161"/>
  <c r="O992" i="161"/>
  <c r="N992" i="161"/>
  <c r="L992" i="161"/>
  <c r="P992" i="107"/>
  <c r="J1231" i="120" s="1"/>
  <c r="O992" i="107"/>
  <c r="I1231" i="120" s="1"/>
  <c r="Q992" i="107"/>
  <c r="K1231" i="120" s="1"/>
  <c r="N992" i="107"/>
  <c r="H1231" i="120" s="1"/>
  <c r="H91" i="69"/>
  <c r="H95" i="69" s="1"/>
  <c r="H127" i="69" s="1"/>
  <c r="H866" i="161"/>
  <c r="J866" i="161" s="1"/>
  <c r="G866" i="161"/>
  <c r="F358" i="161"/>
  <c r="F112" i="151"/>
  <c r="F356" i="161" s="1"/>
  <c r="F325" i="100"/>
  <c r="F408" i="100"/>
  <c r="F153" i="100"/>
  <c r="F473" i="107" s="1"/>
  <c r="E570" i="119" s="1"/>
  <c r="F24" i="101"/>
  <c r="K5" i="101" s="1"/>
  <c r="K6" i="101" s="1"/>
  <c r="K9" i="101" s="1"/>
  <c r="H25" i="99"/>
  <c r="L75" i="85"/>
  <c r="P1189" i="107"/>
  <c r="J1529" i="120" s="1"/>
  <c r="M1189" i="107"/>
  <c r="G1529" i="120" s="1"/>
  <c r="K1189" i="107"/>
  <c r="E1529" i="120" s="1"/>
  <c r="G25" i="99"/>
  <c r="J115" i="69"/>
  <c r="J125" i="69" s="1"/>
  <c r="J56" i="72"/>
  <c r="I54" i="69"/>
  <c r="I115" i="69" s="1"/>
  <c r="J115" i="72"/>
  <c r="J122" i="72" s="1"/>
  <c r="L111" i="85"/>
  <c r="F932" i="107"/>
  <c r="E1070" i="119" s="1"/>
  <c r="F866" i="107"/>
  <c r="E980" i="119" s="1"/>
  <c r="I22" i="99"/>
  <c r="E131" i="72"/>
  <c r="F116" i="72"/>
  <c r="I25" i="99"/>
  <c r="I26" i="99"/>
  <c r="F398" i="100"/>
  <c r="F1129" i="107" s="1"/>
  <c r="E1372" i="119" s="1"/>
  <c r="P486" i="107"/>
  <c r="J638" i="120" s="1"/>
  <c r="O486" i="107"/>
  <c r="I638" i="120" s="1"/>
  <c r="M486" i="107"/>
  <c r="G638" i="120" s="1"/>
  <c r="Q486" i="107"/>
  <c r="K638" i="120" s="1"/>
  <c r="E108" i="88"/>
  <c r="K992" i="107"/>
  <c r="E1231" i="120" s="1"/>
  <c r="L992" i="107"/>
  <c r="F1231" i="120" s="1"/>
  <c r="M992" i="107"/>
  <c r="G1231" i="120" s="1"/>
  <c r="U57" i="88"/>
  <c r="M121" i="72"/>
  <c r="F117" i="72"/>
  <c r="H122" i="72"/>
  <c r="E126" i="72"/>
  <c r="M90" i="72" s="1"/>
  <c r="M97" i="72"/>
  <c r="M98" i="72" s="1"/>
  <c r="M101" i="72" s="1"/>
  <c r="E171" i="72"/>
  <c r="M135" i="72" s="1"/>
  <c r="M136" i="72" s="1"/>
  <c r="M139" i="72" s="1"/>
  <c r="M142" i="72"/>
  <c r="M143" i="72" s="1"/>
  <c r="M146" i="72" s="1"/>
  <c r="F396" i="100"/>
  <c r="F1127" i="107" s="1"/>
  <c r="E1370" i="119" s="1"/>
  <c r="E165" i="88"/>
  <c r="F120" i="100" s="1"/>
  <c r="F392" i="107" s="1"/>
  <c r="E437" i="119" s="1"/>
  <c r="U160" i="88"/>
  <c r="U161" i="88" s="1"/>
  <c r="U164" i="88" s="1"/>
  <c r="F313" i="100"/>
  <c r="U47" i="88"/>
  <c r="U48" i="88" s="1"/>
  <c r="U51" i="88" s="1"/>
  <c r="G168" i="72"/>
  <c r="G122" i="72"/>
  <c r="F162" i="72"/>
  <c r="H168" i="72"/>
  <c r="I122" i="72"/>
  <c r="I66" i="88"/>
  <c r="I168" i="72"/>
  <c r="J168" i="72"/>
  <c r="F115" i="72"/>
  <c r="L77" i="85"/>
  <c r="L38" i="85"/>
  <c r="L138" i="85"/>
  <c r="L141" i="85"/>
  <c r="L117" i="85"/>
  <c r="L34" i="85"/>
  <c r="L85" i="85"/>
  <c r="L89" i="85"/>
  <c r="L86" i="85"/>
  <c r="L168" i="85"/>
  <c r="L132" i="85"/>
  <c r="L116" i="85"/>
  <c r="L93" i="85"/>
  <c r="L115" i="85"/>
  <c r="L28" i="85"/>
  <c r="L154" i="85"/>
  <c r="L45" i="85"/>
  <c r="L136" i="85"/>
  <c r="G24" i="101"/>
  <c r="K12" i="101" s="1"/>
  <c r="K13" i="101" s="1"/>
  <c r="K16" i="101" s="1"/>
  <c r="L137" i="85"/>
  <c r="L62" i="85"/>
  <c r="L31" i="85"/>
  <c r="L171" i="85"/>
  <c r="L79" i="85"/>
  <c r="L66" i="85"/>
  <c r="H23" i="90"/>
  <c r="H26" i="90" s="1"/>
  <c r="L128" i="85"/>
  <c r="L161" i="85"/>
  <c r="L172" i="85"/>
  <c r="L160" i="85"/>
  <c r="L54" i="85"/>
  <c r="L109" i="85"/>
  <c r="L149" i="85"/>
  <c r="L18" i="85"/>
  <c r="K86" i="69"/>
  <c r="K91" i="69" s="1"/>
  <c r="K95" i="69" s="1"/>
  <c r="I91" i="69"/>
  <c r="I95" i="69" s="1"/>
  <c r="L44" i="85"/>
  <c r="L70" i="85"/>
  <c r="L105" i="85"/>
  <c r="L119" i="85"/>
  <c r="L92" i="85"/>
  <c r="L143" i="85"/>
  <c r="L130" i="85"/>
  <c r="L56" i="85"/>
  <c r="K30" i="89"/>
  <c r="J20" i="88" s="1"/>
  <c r="E20" i="88" s="1"/>
  <c r="F294" i="100" s="1"/>
  <c r="F161" i="72"/>
  <c r="K24" i="89"/>
  <c r="L36" i="88" s="1"/>
  <c r="I81" i="88" s="1"/>
  <c r="I83" i="88" s="1"/>
  <c r="Q163" i="92" s="1"/>
  <c r="H422" i="107"/>
  <c r="G422" i="107"/>
  <c r="F467" i="119" s="1"/>
  <c r="K25" i="89"/>
  <c r="L34" i="88" s="1"/>
  <c r="L35" i="88"/>
  <c r="K34" i="89"/>
  <c r="M43" i="88" s="1"/>
  <c r="M44" i="88"/>
  <c r="F397" i="100"/>
  <c r="F1128" i="107" s="1"/>
  <c r="E1371" i="119" s="1"/>
  <c r="F315" i="100"/>
  <c r="F292" i="100"/>
  <c r="F316" i="100"/>
  <c r="F142" i="100"/>
  <c r="F423" i="107" s="1"/>
  <c r="E468" i="119" s="1"/>
  <c r="F399" i="100"/>
  <c r="F1130" i="107" s="1"/>
  <c r="E1373" i="119" s="1"/>
  <c r="K35" i="89"/>
  <c r="M41" i="88" s="1"/>
  <c r="E41" i="88" s="1"/>
  <c r="F309" i="100" s="1"/>
  <c r="M42" i="88"/>
  <c r="F143" i="100"/>
  <c r="F424" i="107" s="1"/>
  <c r="E469" i="119" s="1"/>
  <c r="L41" i="85"/>
  <c r="L134" i="85"/>
  <c r="L17" i="85"/>
  <c r="L95" i="85"/>
  <c r="L135" i="85"/>
  <c r="L14" i="85"/>
  <c r="L68" i="85"/>
  <c r="L144" i="85"/>
  <c r="L100" i="85"/>
  <c r="L19" i="85"/>
  <c r="L157" i="85"/>
  <c r="L107" i="85"/>
  <c r="L84" i="85"/>
  <c r="L60" i="85"/>
  <c r="L145" i="85"/>
  <c r="H42" i="69"/>
  <c r="I42" i="69" s="1"/>
  <c r="G64" i="69"/>
  <c r="L159" i="85"/>
  <c r="L23" i="85"/>
  <c r="L103" i="85"/>
  <c r="L67" i="85"/>
  <c r="L177" i="85"/>
  <c r="L96" i="85"/>
  <c r="L87" i="85"/>
  <c r="L13" i="85"/>
  <c r="L148" i="85"/>
  <c r="L158" i="85"/>
  <c r="L51" i="85"/>
  <c r="E34" i="69"/>
  <c r="F30" i="69"/>
  <c r="L133" i="85"/>
  <c r="L142" i="85"/>
  <c r="L78" i="85"/>
  <c r="L27" i="85"/>
  <c r="L99" i="85"/>
  <c r="L71" i="85"/>
  <c r="L125" i="85"/>
  <c r="L80" i="85"/>
  <c r="L165" i="85"/>
  <c r="L35" i="85"/>
  <c r="H47" i="101"/>
  <c r="F64" i="69"/>
  <c r="D66" i="69"/>
  <c r="G25" i="69"/>
  <c r="G30" i="69" s="1"/>
  <c r="F282" i="100"/>
  <c r="G42" i="72"/>
  <c r="G45" i="72" s="1"/>
  <c r="L94" i="85"/>
  <c r="L150" i="85"/>
  <c r="J186" i="69"/>
  <c r="F114" i="100"/>
  <c r="L76" i="85"/>
  <c r="L129" i="85"/>
  <c r="L63" i="85"/>
  <c r="L21" i="85"/>
  <c r="E199" i="88"/>
  <c r="U195" i="88" s="1"/>
  <c r="U196" i="88" s="1"/>
  <c r="U199" i="88" s="1"/>
  <c r="R202" i="88"/>
  <c r="R204" i="88" s="1"/>
  <c r="G23" i="90"/>
  <c r="G26" i="90" s="1"/>
  <c r="K34" i="90" s="1"/>
  <c r="K35" i="90" s="1"/>
  <c r="K38" i="90" s="1"/>
  <c r="E13" i="90"/>
  <c r="L123" i="85"/>
  <c r="L48" i="85"/>
  <c r="L102" i="85"/>
  <c r="L72" i="85"/>
  <c r="D13" i="90"/>
  <c r="K18" i="90" s="1"/>
  <c r="K19" i="90" s="1"/>
  <c r="K22" i="90" s="1"/>
  <c r="F23" i="90"/>
  <c r="F26" i="90" s="1"/>
  <c r="G37" i="72"/>
  <c r="F31" i="72"/>
  <c r="G33" i="72"/>
  <c r="F33" i="72" s="1"/>
  <c r="L46" i="85"/>
  <c r="L73" i="85"/>
  <c r="L127" i="85"/>
  <c r="L52" i="85"/>
  <c r="L43" i="85"/>
  <c r="L164" i="85"/>
  <c r="I196" i="85"/>
  <c r="I184" i="85"/>
  <c r="L12" i="85"/>
  <c r="L98" i="85"/>
  <c r="L58" i="85"/>
  <c r="L22" i="85"/>
  <c r="L88" i="85"/>
  <c r="L153" i="85"/>
  <c r="L113" i="85"/>
  <c r="L106" i="85"/>
  <c r="L126" i="85"/>
  <c r="L118" i="85"/>
  <c r="L176" i="85"/>
  <c r="J31" i="89"/>
  <c r="E16" i="88"/>
  <c r="L11" i="85"/>
  <c r="G184" i="85"/>
  <c r="G196" i="85"/>
  <c r="L37" i="85"/>
  <c r="L36" i="85"/>
  <c r="L29" i="85"/>
  <c r="L108" i="85"/>
  <c r="L53" i="85"/>
  <c r="L65" i="85"/>
  <c r="L50" i="85"/>
  <c r="L40" i="85"/>
  <c r="L151" i="85"/>
  <c r="L163" i="85"/>
  <c r="L74" i="85"/>
  <c r="L139" i="85"/>
  <c r="L39" i="85"/>
  <c r="L104" i="85"/>
  <c r="L169" i="85"/>
  <c r="L64" i="85"/>
  <c r="J22" i="89"/>
  <c r="L152" i="85"/>
  <c r="L90" i="85"/>
  <c r="L124" i="85"/>
  <c r="L178" i="85"/>
  <c r="L101" i="85"/>
  <c r="L59" i="85"/>
  <c r="L114" i="85"/>
  <c r="L175" i="85"/>
  <c r="L121" i="85"/>
  <c r="L57" i="85"/>
  <c r="L25" i="85"/>
  <c r="L91" i="85"/>
  <c r="L156" i="85"/>
  <c r="L55" i="85"/>
  <c r="L120" i="85"/>
  <c r="L15" i="85"/>
  <c r="L81" i="85"/>
  <c r="L146" i="85"/>
  <c r="K20" i="89"/>
  <c r="K29" i="88" s="1"/>
  <c r="L131" i="85"/>
  <c r="L61" i="85"/>
  <c r="L166" i="85"/>
  <c r="K184" i="85"/>
  <c r="K196" i="85"/>
  <c r="K29" i="89"/>
  <c r="J22" i="88" s="1"/>
  <c r="J26" i="89"/>
  <c r="L49" i="85"/>
  <c r="L167" i="85"/>
  <c r="L24" i="85"/>
  <c r="L110" i="85"/>
  <c r="L83" i="85"/>
  <c r="L47" i="85"/>
  <c r="L112" i="85"/>
  <c r="L179" i="85"/>
  <c r="L20" i="85"/>
  <c r="L122" i="85"/>
  <c r="L33" i="85"/>
  <c r="L42" i="85"/>
  <c r="L173" i="85"/>
  <c r="L32" i="85"/>
  <c r="L97" i="85"/>
  <c r="L162" i="85"/>
  <c r="L82" i="85"/>
  <c r="L16" i="85"/>
  <c r="L155" i="85"/>
  <c r="L69" i="85"/>
  <c r="L147" i="85"/>
  <c r="K21" i="89"/>
  <c r="K27" i="88" s="1"/>
  <c r="J36" i="89"/>
  <c r="H1097" i="107" l="1"/>
  <c r="G1097" i="107"/>
  <c r="F1340" i="119" s="1"/>
  <c r="I1097" i="161"/>
  <c r="J24" i="149"/>
  <c r="I180" i="78"/>
  <c r="I181" i="78" s="1"/>
  <c r="E32" i="72" s="1"/>
  <c r="E31" i="72"/>
  <c r="L173" i="78"/>
  <c r="H43" i="72"/>
  <c r="L21" i="78"/>
  <c r="L147" i="78" s="1"/>
  <c r="G147" i="78"/>
  <c r="K147" i="78"/>
  <c r="G176" i="78"/>
  <c r="L172" i="78"/>
  <c r="L176" i="78" s="1"/>
  <c r="L69" i="78"/>
  <c r="L27" i="78"/>
  <c r="I932" i="161"/>
  <c r="I392" i="161"/>
  <c r="K31" i="149"/>
  <c r="K176" i="149" s="1"/>
  <c r="H932" i="107"/>
  <c r="I931" i="161"/>
  <c r="L26" i="148"/>
  <c r="F399" i="151"/>
  <c r="F1130" i="161" s="1"/>
  <c r="U138" i="149"/>
  <c r="U139" i="149" s="1"/>
  <c r="U142" i="149" s="1"/>
  <c r="I1127" i="161"/>
  <c r="K1127" i="161"/>
  <c r="Q1127" i="161"/>
  <c r="L1127" i="161"/>
  <c r="O1127" i="161"/>
  <c r="N1127" i="161"/>
  <c r="P1127" i="161"/>
  <c r="M1127" i="161"/>
  <c r="O1097" i="161"/>
  <c r="N1097" i="161"/>
  <c r="M1097" i="161"/>
  <c r="L1097" i="161"/>
  <c r="K1097" i="161"/>
  <c r="Q1097" i="161"/>
  <c r="P1097" i="161"/>
  <c r="K392" i="161"/>
  <c r="L392" i="161"/>
  <c r="O392" i="161"/>
  <c r="M392" i="161"/>
  <c r="Q392" i="161"/>
  <c r="N392" i="161"/>
  <c r="P392" i="161"/>
  <c r="I422" i="161"/>
  <c r="M422" i="161"/>
  <c r="L422" i="161"/>
  <c r="O422" i="161"/>
  <c r="Q422" i="161"/>
  <c r="P422" i="161"/>
  <c r="K422" i="161"/>
  <c r="N422" i="161"/>
  <c r="F144" i="151"/>
  <c r="F425" i="161" s="1"/>
  <c r="U195" i="149"/>
  <c r="U196" i="149" s="1"/>
  <c r="U199" i="149" s="1"/>
  <c r="K119" i="149"/>
  <c r="K120" i="149"/>
  <c r="E120" i="149" s="1"/>
  <c r="F383" i="151" s="1"/>
  <c r="F1108" i="161" s="1"/>
  <c r="J113" i="149"/>
  <c r="E113" i="149" s="1"/>
  <c r="F378" i="151" s="1"/>
  <c r="F1101" i="161" s="1"/>
  <c r="J111" i="149"/>
  <c r="J168" i="149"/>
  <c r="J169" i="149"/>
  <c r="J112" i="149"/>
  <c r="K36" i="148"/>
  <c r="P932" i="161"/>
  <c r="O932" i="161"/>
  <c r="K932" i="161"/>
  <c r="L932" i="161"/>
  <c r="Q932" i="161"/>
  <c r="N932" i="161"/>
  <c r="M932" i="161"/>
  <c r="K53" i="149"/>
  <c r="K55" i="149" s="1"/>
  <c r="L31" i="148"/>
  <c r="M52" i="149"/>
  <c r="M45" i="149"/>
  <c r="M190" i="149" s="1"/>
  <c r="E41" i="149"/>
  <c r="E29" i="149"/>
  <c r="K121" i="149"/>
  <c r="E121" i="149" s="1"/>
  <c r="F384" i="151" s="1"/>
  <c r="F1109" i="161" s="1"/>
  <c r="K178" i="149"/>
  <c r="E178" i="149" s="1"/>
  <c r="F129" i="151" s="1"/>
  <c r="F404" i="161" s="1"/>
  <c r="O50" i="150"/>
  <c r="P163" i="152"/>
  <c r="G73" i="149"/>
  <c r="F299" i="151"/>
  <c r="F911" i="161" s="1"/>
  <c r="L35" i="148"/>
  <c r="L36" i="148" s="1"/>
  <c r="H73" i="149"/>
  <c r="F300" i="151"/>
  <c r="F912" i="161" s="1"/>
  <c r="J115" i="149"/>
  <c r="E115" i="149" s="1"/>
  <c r="F380" i="151" s="1"/>
  <c r="F1103" i="161" s="1"/>
  <c r="E23" i="149"/>
  <c r="J172" i="149"/>
  <c r="E172" i="149" s="1"/>
  <c r="F125" i="151" s="1"/>
  <c r="F398" i="161" s="1"/>
  <c r="E43" i="149"/>
  <c r="F311" i="151" s="1"/>
  <c r="F927" i="161" s="1"/>
  <c r="M192" i="149"/>
  <c r="E192" i="149" s="1"/>
  <c r="F139" i="151" s="1"/>
  <c r="F418" i="161" s="1"/>
  <c r="M135" i="149"/>
  <c r="E135" i="149" s="1"/>
  <c r="F394" i="151" s="1"/>
  <c r="F1123" i="161" s="1"/>
  <c r="K931" i="161"/>
  <c r="N931" i="161"/>
  <c r="Q931" i="161"/>
  <c r="P931" i="161"/>
  <c r="O931" i="161"/>
  <c r="M931" i="161"/>
  <c r="L931" i="161"/>
  <c r="E22" i="149"/>
  <c r="J114" i="149"/>
  <c r="E114" i="149" s="1"/>
  <c r="F379" i="151" s="1"/>
  <c r="F1102" i="161" s="1"/>
  <c r="J171" i="149"/>
  <c r="E171" i="149" s="1"/>
  <c r="F124" i="151" s="1"/>
  <c r="F397" i="161" s="1"/>
  <c r="M53" i="149"/>
  <c r="E42" i="149"/>
  <c r="F310" i="151" s="1"/>
  <c r="F926" i="161" s="1"/>
  <c r="M134" i="149"/>
  <c r="E134" i="149" s="1"/>
  <c r="F393" i="151" s="1"/>
  <c r="F1122" i="161" s="1"/>
  <c r="M191" i="149"/>
  <c r="E191" i="149" s="1"/>
  <c r="F138" i="151" s="1"/>
  <c r="F417" i="161" s="1"/>
  <c r="G83" i="149"/>
  <c r="J901" i="161"/>
  <c r="F304" i="151"/>
  <c r="F918" i="161" s="1"/>
  <c r="E37" i="149"/>
  <c r="F307" i="151" s="1"/>
  <c r="F921" i="161" s="1"/>
  <c r="J81" i="149"/>
  <c r="J83" i="149" s="1"/>
  <c r="I934" i="161"/>
  <c r="L53" i="149"/>
  <c r="G72" i="149"/>
  <c r="F294" i="151"/>
  <c r="F904" i="161" s="1"/>
  <c r="E44" i="149"/>
  <c r="F312" i="151" s="1"/>
  <c r="F928" i="161" s="1"/>
  <c r="M136" i="149"/>
  <c r="E136" i="149" s="1"/>
  <c r="F395" i="151" s="1"/>
  <c r="F1124" i="161" s="1"/>
  <c r="M193" i="149"/>
  <c r="E193" i="149" s="1"/>
  <c r="F140" i="151" s="1"/>
  <c r="F419" i="161" s="1"/>
  <c r="E21" i="149"/>
  <c r="E24" i="149" s="1"/>
  <c r="J53" i="149"/>
  <c r="J170" i="149"/>
  <c r="E170" i="149" s="1"/>
  <c r="F123" i="151" s="1"/>
  <c r="F396" i="161" s="1"/>
  <c r="E30" i="149"/>
  <c r="E31" i="149" s="1"/>
  <c r="K179" i="149"/>
  <c r="E179" i="149" s="1"/>
  <c r="F130" i="151" s="1"/>
  <c r="F405" i="161" s="1"/>
  <c r="K122" i="149"/>
  <c r="E122" i="149" s="1"/>
  <c r="F385" i="151" s="1"/>
  <c r="F1110" i="161" s="1"/>
  <c r="G89" i="149"/>
  <c r="H166" i="152"/>
  <c r="G166" i="152" s="1"/>
  <c r="L36" i="149"/>
  <c r="K26" i="148"/>
  <c r="O934" i="161"/>
  <c r="N934" i="161"/>
  <c r="Q934" i="161"/>
  <c r="M934" i="161"/>
  <c r="L934" i="161"/>
  <c r="P934" i="161"/>
  <c r="K934" i="161"/>
  <c r="I919" i="161"/>
  <c r="G919" i="161"/>
  <c r="H919" i="161"/>
  <c r="J919" i="161" s="1"/>
  <c r="J52" i="149"/>
  <c r="I866" i="161"/>
  <c r="J80" i="72"/>
  <c r="F80" i="72" s="1"/>
  <c r="K54" i="69"/>
  <c r="I174" i="69"/>
  <c r="I184" i="69" s="1"/>
  <c r="I186" i="69" s="1"/>
  <c r="F284" i="100"/>
  <c r="D34" i="159" s="1"/>
  <c r="F284" i="151"/>
  <c r="F865" i="161" s="1"/>
  <c r="P866" i="161"/>
  <c r="O866" i="161"/>
  <c r="N866" i="161"/>
  <c r="M866" i="161"/>
  <c r="L866" i="161"/>
  <c r="K866" i="161"/>
  <c r="Q866" i="161"/>
  <c r="G356" i="161"/>
  <c r="H356" i="161"/>
  <c r="I356" i="161" s="1"/>
  <c r="F359" i="161"/>
  <c r="F435" i="161"/>
  <c r="G358" i="161"/>
  <c r="G435" i="161" s="1"/>
  <c r="H358" i="161"/>
  <c r="I358" i="161" s="1"/>
  <c r="F369" i="100"/>
  <c r="F1063" i="107" s="1"/>
  <c r="E1282" i="119" s="1"/>
  <c r="F369" i="151"/>
  <c r="L25" i="89"/>
  <c r="F1177" i="107"/>
  <c r="H473" i="161"/>
  <c r="I473" i="161" s="1"/>
  <c r="F482" i="161"/>
  <c r="G473" i="161"/>
  <c r="G1177" i="161"/>
  <c r="H1177" i="161"/>
  <c r="F980" i="107"/>
  <c r="G392" i="107"/>
  <c r="F437" i="119" s="1"/>
  <c r="H1127" i="107"/>
  <c r="J1127" i="107" s="1"/>
  <c r="G1129" i="107"/>
  <c r="F1372" i="119" s="1"/>
  <c r="G932" i="107"/>
  <c r="F1070" i="119" s="1"/>
  <c r="J127" i="69"/>
  <c r="G866" i="107"/>
  <c r="F980" i="119" s="1"/>
  <c r="H866" i="107"/>
  <c r="G980" i="119" s="1"/>
  <c r="F934" i="107"/>
  <c r="E1072" i="119" s="1"/>
  <c r="F933" i="107"/>
  <c r="E1071" i="119" s="1"/>
  <c r="F931" i="107"/>
  <c r="G931" i="107" s="1"/>
  <c r="F1069" i="119" s="1"/>
  <c r="F901" i="107"/>
  <c r="E1039" i="119" s="1"/>
  <c r="H1129" i="107"/>
  <c r="J1129" i="107" s="1"/>
  <c r="N1129" i="107" s="1"/>
  <c r="H1419" i="120" s="1"/>
  <c r="F168" i="72"/>
  <c r="U138" i="88"/>
  <c r="U139" i="88" s="1"/>
  <c r="U142" i="88" s="1"/>
  <c r="M163" i="72"/>
  <c r="M164" i="72" s="1"/>
  <c r="M167" i="72" s="1"/>
  <c r="F122" i="72"/>
  <c r="I1097" i="107"/>
  <c r="H1340" i="119" s="1"/>
  <c r="G1340" i="119"/>
  <c r="J422" i="107"/>
  <c r="L422" i="107" s="1"/>
  <c r="F523" i="120" s="1"/>
  <c r="G467" i="119"/>
  <c r="H392" i="107"/>
  <c r="I392" i="107" s="1"/>
  <c r="H437" i="119" s="1"/>
  <c r="G1127" i="107"/>
  <c r="F1370" i="119" s="1"/>
  <c r="J932" i="107"/>
  <c r="L932" i="107" s="1"/>
  <c r="G1070" i="119"/>
  <c r="M118" i="72"/>
  <c r="M119" i="72" s="1"/>
  <c r="M122" i="72" s="1"/>
  <c r="M91" i="72"/>
  <c r="M94" i="72" s="1"/>
  <c r="E89" i="88"/>
  <c r="H166" i="92" s="1"/>
  <c r="U12" i="88"/>
  <c r="L24" i="89"/>
  <c r="E36" i="88"/>
  <c r="F306" i="100" s="1"/>
  <c r="K26" i="89"/>
  <c r="G108" i="72"/>
  <c r="F108" i="72" s="1"/>
  <c r="G154" i="72"/>
  <c r="G157" i="72" s="1"/>
  <c r="G72" i="72"/>
  <c r="G74" i="72" s="1"/>
  <c r="I52" i="94" s="1"/>
  <c r="F42" i="72"/>
  <c r="J42" i="72" s="1"/>
  <c r="J154" i="72" s="1"/>
  <c r="K36" i="89"/>
  <c r="L30" i="89"/>
  <c r="L34" i="89"/>
  <c r="L35" i="89"/>
  <c r="I1129" i="107"/>
  <c r="H1372" i="119" s="1"/>
  <c r="I422" i="107"/>
  <c r="H467" i="119" s="1"/>
  <c r="I932" i="107"/>
  <c r="H1070" i="119" s="1"/>
  <c r="H424" i="107"/>
  <c r="G424" i="107"/>
  <c r="F469" i="119" s="1"/>
  <c r="G1130" i="107"/>
  <c r="F1373" i="119" s="1"/>
  <c r="H1130" i="107"/>
  <c r="H423" i="107"/>
  <c r="G423" i="107"/>
  <c r="F468" i="119" s="1"/>
  <c r="G1128" i="107"/>
  <c r="F1371" i="119" s="1"/>
  <c r="H1128" i="107"/>
  <c r="F144" i="100"/>
  <c r="F425" i="107" s="1"/>
  <c r="E470" i="119" s="1"/>
  <c r="L20" i="89"/>
  <c r="P50" i="95"/>
  <c r="F925" i="107"/>
  <c r="E1063" i="119" s="1"/>
  <c r="F904" i="107"/>
  <c r="E1042" i="119" s="1"/>
  <c r="H25" i="69"/>
  <c r="H30" i="69" s="1"/>
  <c r="H34" i="69" s="1"/>
  <c r="F34" i="69"/>
  <c r="E66" i="69"/>
  <c r="F66" i="69" s="1"/>
  <c r="J1097" i="107"/>
  <c r="D1387" i="120" s="1"/>
  <c r="F358" i="107"/>
  <c r="E379" i="119" s="1"/>
  <c r="F112" i="100"/>
  <c r="F482" i="107"/>
  <c r="E579" i="119" s="1"/>
  <c r="H473" i="107"/>
  <c r="G473" i="107"/>
  <c r="F570" i="119" s="1"/>
  <c r="K115" i="69"/>
  <c r="K125" i="69" s="1"/>
  <c r="K127" i="69" s="1"/>
  <c r="I125" i="69"/>
  <c r="I127" i="69" s="1"/>
  <c r="H64" i="69"/>
  <c r="G66" i="69"/>
  <c r="K42" i="69"/>
  <c r="I64" i="69"/>
  <c r="K64" i="69" s="1"/>
  <c r="E43" i="88"/>
  <c r="F311" i="100" s="1"/>
  <c r="L184" i="85"/>
  <c r="E42" i="88"/>
  <c r="F310" i="100" s="1"/>
  <c r="M53" i="88"/>
  <c r="K31" i="89"/>
  <c r="M45" i="88"/>
  <c r="G189" i="85"/>
  <c r="G192" i="85" s="1"/>
  <c r="G198" i="85"/>
  <c r="L29" i="89"/>
  <c r="I189" i="85"/>
  <c r="I192" i="85" s="1"/>
  <c r="I198" i="85"/>
  <c r="L196" i="85"/>
  <c r="F37" i="72"/>
  <c r="G40" i="72"/>
  <c r="F40" i="72" s="1"/>
  <c r="K22" i="89"/>
  <c r="K189" i="85"/>
  <c r="K192" i="85" s="1"/>
  <c r="K198" i="85"/>
  <c r="E29" i="88"/>
  <c r="F301" i="100" s="1"/>
  <c r="M52" i="88"/>
  <c r="E30" i="88"/>
  <c r="F302" i="100" s="1"/>
  <c r="L21" i="89"/>
  <c r="E23" i="88"/>
  <c r="F297" i="100" s="1"/>
  <c r="E34" i="88"/>
  <c r="F304" i="100" s="1"/>
  <c r="L38" i="88"/>
  <c r="L126" i="88" s="1"/>
  <c r="G81" i="88"/>
  <c r="L52" i="88"/>
  <c r="E44" i="88"/>
  <c r="F312" i="100" s="1"/>
  <c r="E21" i="88"/>
  <c r="F295" i="100" s="1"/>
  <c r="J53" i="88"/>
  <c r="L53" i="88"/>
  <c r="H81" i="88"/>
  <c r="H83" i="88" s="1"/>
  <c r="P163" i="92" s="1"/>
  <c r="E35" i="88"/>
  <c r="F305" i="100" s="1"/>
  <c r="J24" i="88"/>
  <c r="J113" i="88" s="1"/>
  <c r="E113" i="88" s="1"/>
  <c r="F378" i="100" s="1"/>
  <c r="E37" i="88"/>
  <c r="F307" i="100" s="1"/>
  <c r="J81" i="88"/>
  <c r="J83" i="88" s="1"/>
  <c r="R163" i="92" s="1"/>
  <c r="E28" i="88"/>
  <c r="F300" i="100" s="1"/>
  <c r="K53" i="88"/>
  <c r="G72" i="88"/>
  <c r="G64" i="72"/>
  <c r="K175" i="149" l="1"/>
  <c r="K118" i="149"/>
  <c r="J55" i="149"/>
  <c r="K177" i="149"/>
  <c r="E177" i="149" s="1"/>
  <c r="F128" i="151" s="1"/>
  <c r="F403" i="161" s="1"/>
  <c r="M55" i="149"/>
  <c r="H155" i="72"/>
  <c r="H109" i="72"/>
  <c r="H45" i="72"/>
  <c r="H73" i="72"/>
  <c r="F43" i="72"/>
  <c r="J43" i="72" s="1"/>
  <c r="J73" i="72" s="1"/>
  <c r="G901" i="107"/>
  <c r="F1039" i="119" s="1"/>
  <c r="L26" i="89"/>
  <c r="G89" i="88"/>
  <c r="G53" i="95" s="1"/>
  <c r="K174" i="69"/>
  <c r="K184" i="69" s="1"/>
  <c r="K186" i="69" s="1"/>
  <c r="H1130" i="161"/>
  <c r="J1130" i="161" s="1"/>
  <c r="G1130" i="161"/>
  <c r="H425" i="161"/>
  <c r="J425" i="161" s="1"/>
  <c r="G425" i="161"/>
  <c r="I405" i="161"/>
  <c r="G405" i="161"/>
  <c r="H405" i="161"/>
  <c r="J405" i="161" s="1"/>
  <c r="I926" i="161"/>
  <c r="G926" i="161"/>
  <c r="H926" i="161"/>
  <c r="J926" i="161" s="1"/>
  <c r="I912" i="161"/>
  <c r="G912" i="161"/>
  <c r="H912" i="161"/>
  <c r="J912" i="161" s="1"/>
  <c r="E111" i="149"/>
  <c r="J145" i="149"/>
  <c r="Q919" i="161"/>
  <c r="K919" i="161"/>
  <c r="O919" i="161"/>
  <c r="N919" i="161"/>
  <c r="L919" i="161"/>
  <c r="M919" i="161"/>
  <c r="P919" i="161"/>
  <c r="J73" i="149"/>
  <c r="F302" i="151"/>
  <c r="F914" i="161" s="1"/>
  <c r="G404" i="161"/>
  <c r="H404" i="161"/>
  <c r="J404" i="161" s="1"/>
  <c r="I1101" i="161"/>
  <c r="G1101" i="161"/>
  <c r="H1101" i="161"/>
  <c r="J1101" i="161" s="1"/>
  <c r="I396" i="161"/>
  <c r="G396" i="161"/>
  <c r="H396" i="161"/>
  <c r="J396" i="161" s="1"/>
  <c r="R163" i="152"/>
  <c r="Q50" i="150"/>
  <c r="O901" i="161"/>
  <c r="M901" i="161"/>
  <c r="L901" i="161"/>
  <c r="K901" i="161"/>
  <c r="N901" i="161"/>
  <c r="Q901" i="161"/>
  <c r="P901" i="161"/>
  <c r="G927" i="161"/>
  <c r="H927" i="161"/>
  <c r="J927" i="161" s="1"/>
  <c r="G1109" i="161"/>
  <c r="H1109" i="161"/>
  <c r="J1109" i="161" s="1"/>
  <c r="I403" i="161"/>
  <c r="G403" i="161"/>
  <c r="H403" i="161"/>
  <c r="J403" i="161" s="1"/>
  <c r="G418" i="161"/>
  <c r="H418" i="161"/>
  <c r="J418" i="161" s="1"/>
  <c r="F287" i="100"/>
  <c r="D32" i="159" s="1"/>
  <c r="I112" i="152"/>
  <c r="F287" i="151"/>
  <c r="F872" i="161" s="1"/>
  <c r="F943" i="161" s="1"/>
  <c r="E176" i="149"/>
  <c r="K201" i="149"/>
  <c r="G918" i="161"/>
  <c r="H918" i="161"/>
  <c r="I918" i="161" s="1"/>
  <c r="E63" i="149"/>
  <c r="U19" i="149"/>
  <c r="U20" i="149" s="1"/>
  <c r="U23" i="149" s="1"/>
  <c r="G397" i="161"/>
  <c r="H397" i="161"/>
  <c r="I397" i="161" s="1"/>
  <c r="E64" i="149"/>
  <c r="F64" i="149" s="1"/>
  <c r="U26" i="149"/>
  <c r="U27" i="149" s="1"/>
  <c r="U30" i="149" s="1"/>
  <c r="I73" i="149"/>
  <c r="F301" i="151"/>
  <c r="F913" i="161" s="1"/>
  <c r="E36" i="149"/>
  <c r="I81" i="149"/>
  <c r="L52" i="149"/>
  <c r="L55" i="149" s="1"/>
  <c r="L38" i="149"/>
  <c r="L185" i="149" s="1"/>
  <c r="E185" i="149" s="1"/>
  <c r="F134" i="151" s="1"/>
  <c r="F411" i="161" s="1"/>
  <c r="H72" i="149"/>
  <c r="H75" i="149" s="1"/>
  <c r="F295" i="151"/>
  <c r="F905" i="161" s="1"/>
  <c r="E53" i="149"/>
  <c r="G904" i="161"/>
  <c r="H904" i="161"/>
  <c r="I904" i="161" s="1"/>
  <c r="G1102" i="161"/>
  <c r="H1102" i="161"/>
  <c r="I1102" i="161" s="1"/>
  <c r="G911" i="161"/>
  <c r="H911" i="161"/>
  <c r="I911" i="161" s="1"/>
  <c r="I1108" i="161"/>
  <c r="G1108" i="161"/>
  <c r="H1108" i="161"/>
  <c r="J1108" i="161" s="1"/>
  <c r="I928" i="161"/>
  <c r="G928" i="161"/>
  <c r="H928" i="161"/>
  <c r="J928" i="161" s="1"/>
  <c r="I921" i="161"/>
  <c r="G921" i="161"/>
  <c r="H921" i="161"/>
  <c r="J921" i="161" s="1"/>
  <c r="H167" i="152"/>
  <c r="AA167" i="152"/>
  <c r="G75" i="149"/>
  <c r="N50" i="150"/>
  <c r="O163" i="152"/>
  <c r="I72" i="149"/>
  <c r="F296" i="151"/>
  <c r="F906" i="161" s="1"/>
  <c r="I398" i="161"/>
  <c r="G398" i="161"/>
  <c r="H398" i="161"/>
  <c r="J398" i="161" s="1"/>
  <c r="M201" i="149"/>
  <c r="E190" i="149"/>
  <c r="E112" i="149"/>
  <c r="J144" i="149"/>
  <c r="E119" i="149"/>
  <c r="F382" i="151" s="1"/>
  <c r="F1107" i="161" s="1"/>
  <c r="K144" i="149"/>
  <c r="G53" i="150"/>
  <c r="F53" i="150" s="1"/>
  <c r="F90" i="149"/>
  <c r="G90" i="149"/>
  <c r="I419" i="161"/>
  <c r="G419" i="161"/>
  <c r="H419" i="161"/>
  <c r="J419" i="161" s="1"/>
  <c r="I417" i="161"/>
  <c r="G417" i="161"/>
  <c r="H417" i="161"/>
  <c r="J417" i="161" s="1"/>
  <c r="J72" i="149"/>
  <c r="F297" i="151"/>
  <c r="F907" i="161" s="1"/>
  <c r="F309" i="151"/>
  <c r="F925" i="161" s="1"/>
  <c r="E45" i="149"/>
  <c r="U40" i="149" s="1"/>
  <c r="U41" i="149" s="1"/>
  <c r="U44" i="149" s="1"/>
  <c r="E169" i="149"/>
  <c r="J201" i="149"/>
  <c r="E175" i="149"/>
  <c r="F126" i="151" s="1"/>
  <c r="F401" i="161" s="1"/>
  <c r="K202" i="149"/>
  <c r="I1110" i="161"/>
  <c r="G1110" i="161"/>
  <c r="H1110" i="161"/>
  <c r="J1110" i="161" s="1"/>
  <c r="I1124" i="161"/>
  <c r="G1124" i="161"/>
  <c r="H1124" i="161"/>
  <c r="J1124" i="161" s="1"/>
  <c r="I1122" i="161"/>
  <c r="G1122" i="161"/>
  <c r="H1122" i="161"/>
  <c r="J1122" i="161" s="1"/>
  <c r="G1123" i="161"/>
  <c r="H1123" i="161"/>
  <c r="J1123" i="161" s="1"/>
  <c r="I1103" i="161"/>
  <c r="G1103" i="161"/>
  <c r="H1103" i="161"/>
  <c r="J1103" i="161" s="1"/>
  <c r="M133" i="149"/>
  <c r="M189" i="149"/>
  <c r="M132" i="149"/>
  <c r="E168" i="149"/>
  <c r="J202" i="149"/>
  <c r="K145" i="149"/>
  <c r="E118" i="149"/>
  <c r="F865" i="107"/>
  <c r="E979" i="119" s="1"/>
  <c r="D34" i="108"/>
  <c r="F367" i="100"/>
  <c r="F1061" i="107" s="1"/>
  <c r="E1280" i="119" s="1"/>
  <c r="G934" i="107"/>
  <c r="F1072" i="119" s="1"/>
  <c r="H934" i="107"/>
  <c r="J934" i="107" s="1"/>
  <c r="Q934" i="107" s="1"/>
  <c r="K1122" i="120" s="1"/>
  <c r="O422" i="107"/>
  <c r="I523" i="120" s="1"/>
  <c r="I1127" i="107"/>
  <c r="H1370" i="119" s="1"/>
  <c r="P932" i="107"/>
  <c r="J1120" i="120" s="1"/>
  <c r="G1370" i="119"/>
  <c r="L1127" i="107"/>
  <c r="F1417" i="120" s="1"/>
  <c r="P1127" i="107"/>
  <c r="J1417" i="120" s="1"/>
  <c r="N1127" i="107"/>
  <c r="H1417" i="120" s="1"/>
  <c r="Q1127" i="107"/>
  <c r="K1417" i="120" s="1"/>
  <c r="M1127" i="107"/>
  <c r="G1417" i="120" s="1"/>
  <c r="K1127" i="107"/>
  <c r="E1417" i="120" s="1"/>
  <c r="H865" i="161"/>
  <c r="I865" i="161" s="1"/>
  <c r="G865" i="161"/>
  <c r="F868" i="161"/>
  <c r="H435" i="161"/>
  <c r="J358" i="161"/>
  <c r="H359" i="161"/>
  <c r="I359" i="161" s="1"/>
  <c r="J356" i="161"/>
  <c r="G359" i="161"/>
  <c r="F1063" i="161"/>
  <c r="F367" i="151"/>
  <c r="F1061" i="161" s="1"/>
  <c r="J1177" i="161"/>
  <c r="E1171" i="119"/>
  <c r="G980" i="107"/>
  <c r="F1171" i="119" s="1"/>
  <c r="H980" i="107"/>
  <c r="H980" i="161"/>
  <c r="I980" i="161" s="1"/>
  <c r="G980" i="161"/>
  <c r="I1177" i="161"/>
  <c r="J473" i="161"/>
  <c r="G1177" i="107"/>
  <c r="F1472" i="119" s="1"/>
  <c r="H1177" i="107"/>
  <c r="E1472" i="119"/>
  <c r="K422" i="107"/>
  <c r="E523" i="120" s="1"/>
  <c r="I866" i="107"/>
  <c r="H980" i="119" s="1"/>
  <c r="N5" i="69"/>
  <c r="N6" i="69" s="1"/>
  <c r="N9" i="69" s="1"/>
  <c r="G1372" i="119"/>
  <c r="H933" i="107"/>
  <c r="G1071" i="119" s="1"/>
  <c r="G933" i="107"/>
  <c r="F1071" i="119" s="1"/>
  <c r="J866" i="107"/>
  <c r="D1031" i="120" s="1"/>
  <c r="F1120" i="120"/>
  <c r="F154" i="72"/>
  <c r="F920" i="107"/>
  <c r="E1058" i="119" s="1"/>
  <c r="H901" i="107"/>
  <c r="I901" i="107" s="1"/>
  <c r="H1039" i="119" s="1"/>
  <c r="Q932" i="107"/>
  <c r="K1120" i="120" s="1"/>
  <c r="F356" i="107"/>
  <c r="E377" i="119" s="1"/>
  <c r="E1069" i="119"/>
  <c r="H931" i="107"/>
  <c r="K1129" i="107"/>
  <c r="E1419" i="120" s="1"/>
  <c r="I473" i="107"/>
  <c r="H570" i="119" s="1"/>
  <c r="G570" i="119"/>
  <c r="K932" i="107"/>
  <c r="D1120" i="120"/>
  <c r="J392" i="107"/>
  <c r="G437" i="119"/>
  <c r="O932" i="107"/>
  <c r="I1120" i="120" s="1"/>
  <c r="N932" i="107"/>
  <c r="H1120" i="120" s="1"/>
  <c r="M932" i="107"/>
  <c r="N422" i="107"/>
  <c r="H523" i="120" s="1"/>
  <c r="D523" i="120"/>
  <c r="Q422" i="107"/>
  <c r="K523" i="120" s="1"/>
  <c r="M422" i="107"/>
  <c r="G523" i="120" s="1"/>
  <c r="P422" i="107"/>
  <c r="J523" i="120" s="1"/>
  <c r="O1127" i="107"/>
  <c r="I1417" i="120" s="1"/>
  <c r="D1417" i="120"/>
  <c r="J423" i="107"/>
  <c r="M423" i="107" s="1"/>
  <c r="G524" i="120" s="1"/>
  <c r="G468" i="119"/>
  <c r="J424" i="107"/>
  <c r="L424" i="107" s="1"/>
  <c r="F525" i="120" s="1"/>
  <c r="G469" i="119"/>
  <c r="Q1129" i="107"/>
  <c r="K1419" i="120" s="1"/>
  <c r="J1128" i="107"/>
  <c r="Q1128" i="107" s="1"/>
  <c r="K1418" i="120" s="1"/>
  <c r="G1371" i="119"/>
  <c r="J1130" i="107"/>
  <c r="L1130" i="107" s="1"/>
  <c r="F1420" i="120" s="1"/>
  <c r="G1373" i="119"/>
  <c r="P1129" i="107"/>
  <c r="J1419" i="120" s="1"/>
  <c r="D1419" i="120"/>
  <c r="L1129" i="107"/>
  <c r="F1419" i="120" s="1"/>
  <c r="M1129" i="107"/>
  <c r="G1419" i="120" s="1"/>
  <c r="O1129" i="107"/>
  <c r="I1419" i="120" s="1"/>
  <c r="U13" i="88"/>
  <c r="U16" i="88" s="1"/>
  <c r="L31" i="89"/>
  <c r="L36" i="89"/>
  <c r="G111" i="72"/>
  <c r="J45" i="72"/>
  <c r="J72" i="72"/>
  <c r="F72" i="72" s="1"/>
  <c r="J108" i="72"/>
  <c r="I423" i="107"/>
  <c r="H468" i="119" s="1"/>
  <c r="I1128" i="107"/>
  <c r="H1371" i="119" s="1"/>
  <c r="L22" i="89"/>
  <c r="I933" i="107"/>
  <c r="H1071" i="119" s="1"/>
  <c r="I424" i="107"/>
  <c r="H469" i="119" s="1"/>
  <c r="I1130" i="107"/>
  <c r="H1373" i="119" s="1"/>
  <c r="I25" i="69"/>
  <c r="K25" i="69" s="1"/>
  <c r="G425" i="107"/>
  <c r="F470" i="119" s="1"/>
  <c r="H425" i="107"/>
  <c r="H66" i="69"/>
  <c r="O50" i="95"/>
  <c r="Q50" i="95"/>
  <c r="M136" i="88"/>
  <c r="E136" i="88" s="1"/>
  <c r="F395" i="100" s="1"/>
  <c r="F1101" i="107"/>
  <c r="E1344" i="119" s="1"/>
  <c r="G904" i="107"/>
  <c r="F1042" i="119" s="1"/>
  <c r="H904" i="107"/>
  <c r="G925" i="107"/>
  <c r="F1063" i="119" s="1"/>
  <c r="H925" i="107"/>
  <c r="F927" i="107"/>
  <c r="E1065" i="119" s="1"/>
  <c r="F918" i="107"/>
  <c r="E1056" i="119" s="1"/>
  <c r="F928" i="107"/>
  <c r="E1066" i="119" s="1"/>
  <c r="F919" i="107"/>
  <c r="E1057" i="119" s="1"/>
  <c r="F905" i="107"/>
  <c r="E1043" i="119" s="1"/>
  <c r="F921" i="107"/>
  <c r="E1059" i="119" s="1"/>
  <c r="E45" i="88"/>
  <c r="U40" i="88" s="1"/>
  <c r="U41" i="88" s="1"/>
  <c r="U44" i="88" s="1"/>
  <c r="F926" i="107"/>
  <c r="E1064" i="119" s="1"/>
  <c r="J72" i="88"/>
  <c r="F907" i="107"/>
  <c r="E1045" i="119" s="1"/>
  <c r="J473" i="107"/>
  <c r="D625" i="120" s="1"/>
  <c r="L184" i="88"/>
  <c r="E184" i="88" s="1"/>
  <c r="F133" i="100" s="1"/>
  <c r="L129" i="88"/>
  <c r="E129" i="88" s="1"/>
  <c r="F390" i="100" s="1"/>
  <c r="L183" i="88"/>
  <c r="E183" i="88" s="1"/>
  <c r="F132" i="100" s="1"/>
  <c r="J73" i="88"/>
  <c r="F914" i="107"/>
  <c r="E1052" i="119" s="1"/>
  <c r="L186" i="88"/>
  <c r="E186" i="88" s="1"/>
  <c r="F135" i="100" s="1"/>
  <c r="M55" i="88"/>
  <c r="F1140" i="107"/>
  <c r="E1400" i="119" s="1"/>
  <c r="G1063" i="107"/>
  <c r="H1063" i="107"/>
  <c r="F435" i="107"/>
  <c r="E498" i="119" s="1"/>
  <c r="G358" i="107"/>
  <c r="H358" i="107"/>
  <c r="G379" i="119" s="1"/>
  <c r="H73" i="88"/>
  <c r="F912" i="107"/>
  <c r="E1050" i="119" s="1"/>
  <c r="L55" i="88"/>
  <c r="I73" i="88"/>
  <c r="F913" i="107"/>
  <c r="E1051" i="119" s="1"/>
  <c r="P1097" i="107"/>
  <c r="J1387" i="120" s="1"/>
  <c r="L1097" i="107"/>
  <c r="F1387" i="120" s="1"/>
  <c r="N1097" i="107"/>
  <c r="H1387" i="120" s="1"/>
  <c r="O1097" i="107"/>
  <c r="I1387" i="120" s="1"/>
  <c r="Q1097" i="107"/>
  <c r="K1387" i="120" s="1"/>
  <c r="M1097" i="107"/>
  <c r="G1387" i="120" s="1"/>
  <c r="K1097" i="107"/>
  <c r="E1387" i="120" s="1"/>
  <c r="G60" i="72"/>
  <c r="G166" i="92"/>
  <c r="AA167" i="92" s="1"/>
  <c r="J111" i="88"/>
  <c r="J168" i="88"/>
  <c r="J112" i="88"/>
  <c r="J169" i="88"/>
  <c r="J170" i="88"/>
  <c r="E170" i="88" s="1"/>
  <c r="F123" i="100" s="1"/>
  <c r="M193" i="88"/>
  <c r="E193" i="88" s="1"/>
  <c r="F140" i="100" s="1"/>
  <c r="L128" i="88"/>
  <c r="E128" i="88" s="1"/>
  <c r="F389" i="100" s="1"/>
  <c r="L125" i="88"/>
  <c r="L185" i="88"/>
  <c r="E185" i="88" s="1"/>
  <c r="F134" i="100" s="1"/>
  <c r="L182" i="88"/>
  <c r="M135" i="88"/>
  <c r="E135" i="88" s="1"/>
  <c r="F394" i="100" s="1"/>
  <c r="F90" i="88"/>
  <c r="G90" i="88"/>
  <c r="E126" i="88"/>
  <c r="F387" i="100" s="1"/>
  <c r="E38" i="88"/>
  <c r="E37" i="72"/>
  <c r="H143" i="72"/>
  <c r="I143" i="72"/>
  <c r="J31" i="72"/>
  <c r="E33" i="72"/>
  <c r="I97" i="72"/>
  <c r="H97" i="72"/>
  <c r="G143" i="72"/>
  <c r="G97" i="72"/>
  <c r="J172" i="88"/>
  <c r="E172" i="88" s="1"/>
  <c r="F125" i="100" s="1"/>
  <c r="M134" i="88"/>
  <c r="E134" i="88" s="1"/>
  <c r="F393" i="100" s="1"/>
  <c r="L189" i="85"/>
  <c r="L192" i="85" s="1"/>
  <c r="L202" i="85" s="1"/>
  <c r="L198" i="85"/>
  <c r="M132" i="88"/>
  <c r="M189" i="88"/>
  <c r="M133" i="88"/>
  <c r="M190" i="88"/>
  <c r="M191" i="88"/>
  <c r="E191" i="88" s="1"/>
  <c r="F138" i="100" s="1"/>
  <c r="G144" i="72"/>
  <c r="H144" i="72"/>
  <c r="H150" i="72" s="1"/>
  <c r="H176" i="72" s="1"/>
  <c r="I144" i="72"/>
  <c r="I150" i="72" s="1"/>
  <c r="I176" i="72" s="1"/>
  <c r="H98" i="72"/>
  <c r="H104" i="72" s="1"/>
  <c r="H131" i="72" s="1"/>
  <c r="G98" i="72"/>
  <c r="I98" i="72"/>
  <c r="I104" i="72" s="1"/>
  <c r="I131" i="72" s="1"/>
  <c r="E38" i="72"/>
  <c r="J32" i="72"/>
  <c r="L127" i="88"/>
  <c r="E127" i="88" s="1"/>
  <c r="F388" i="100" s="1"/>
  <c r="H72" i="88"/>
  <c r="E53" i="88"/>
  <c r="G83" i="88"/>
  <c r="O163" i="92" s="1"/>
  <c r="E81" i="88"/>
  <c r="J115" i="88"/>
  <c r="E115" i="88" s="1"/>
  <c r="F380" i="100" s="1"/>
  <c r="E27" i="88"/>
  <c r="F299" i="100" s="1"/>
  <c r="K31" i="88"/>
  <c r="K52" i="88"/>
  <c r="K55" i="88" s="1"/>
  <c r="E22" i="88"/>
  <c r="F296" i="100" s="1"/>
  <c r="J114" i="88"/>
  <c r="E114" i="88" s="1"/>
  <c r="F379" i="100" s="1"/>
  <c r="J171" i="88"/>
  <c r="E171" i="88" s="1"/>
  <c r="F124" i="100" s="1"/>
  <c r="J52" i="88"/>
  <c r="J55" i="88" s="1"/>
  <c r="M192" i="88"/>
  <c r="E192" i="88" s="1"/>
  <c r="F139" i="100" s="1"/>
  <c r="I112" i="92"/>
  <c r="I7" i="6"/>
  <c r="I8" i="6"/>
  <c r="I6" i="6"/>
  <c r="K7" i="6"/>
  <c r="K5" i="6"/>
  <c r="L128" i="149" l="1"/>
  <c r="E128" i="149" s="1"/>
  <c r="F389" i="151" s="1"/>
  <c r="F1116" i="161" s="1"/>
  <c r="K19" i="6"/>
  <c r="H74" i="72"/>
  <c r="J52" i="94" s="1"/>
  <c r="F73" i="72"/>
  <c r="H64" i="72"/>
  <c r="H60" i="72"/>
  <c r="F60" i="72" s="1"/>
  <c r="F45" i="72"/>
  <c r="H111" i="72"/>
  <c r="F109" i="72"/>
  <c r="F155" i="72"/>
  <c r="J155" i="72" s="1"/>
  <c r="J157" i="72" s="1"/>
  <c r="H157" i="72"/>
  <c r="F868" i="107"/>
  <c r="E982" i="119" s="1"/>
  <c r="H865" i="107"/>
  <c r="G979" i="119" s="1"/>
  <c r="J901" i="107"/>
  <c r="D1089" i="120" s="1"/>
  <c r="G865" i="107"/>
  <c r="F979" i="119" s="1"/>
  <c r="J933" i="107"/>
  <c r="K933" i="107" s="1"/>
  <c r="E1121" i="120" s="1"/>
  <c r="D32" i="108"/>
  <c r="E33" i="108" s="1"/>
  <c r="G33" i="108" s="1"/>
  <c r="F478" i="100" s="1"/>
  <c r="I404" i="161"/>
  <c r="I425" i="161"/>
  <c r="J147" i="149"/>
  <c r="E73" i="149"/>
  <c r="K147" i="149"/>
  <c r="I75" i="149"/>
  <c r="F908" i="161"/>
  <c r="I418" i="161"/>
  <c r="I927" i="161"/>
  <c r="I934" i="107"/>
  <c r="H1072" i="119" s="1"/>
  <c r="Q1130" i="107"/>
  <c r="K1420" i="120" s="1"/>
  <c r="O1130" i="161"/>
  <c r="N1130" i="161"/>
  <c r="M1130" i="161"/>
  <c r="K1130" i="161"/>
  <c r="P1130" i="161"/>
  <c r="L1130" i="161"/>
  <c r="Q1130" i="161"/>
  <c r="I1130" i="161"/>
  <c r="J204" i="149"/>
  <c r="M425" i="161"/>
  <c r="L425" i="161"/>
  <c r="P425" i="161"/>
  <c r="Q425" i="161"/>
  <c r="O425" i="161"/>
  <c r="N425" i="161"/>
  <c r="K425" i="161"/>
  <c r="G411" i="161"/>
  <c r="G439" i="161" s="1"/>
  <c r="H411" i="161"/>
  <c r="J411" i="161" s="1"/>
  <c r="F439" i="161"/>
  <c r="M1103" i="161"/>
  <c r="O1103" i="161"/>
  <c r="P1103" i="161"/>
  <c r="N1103" i="161"/>
  <c r="K1103" i="161"/>
  <c r="L1103" i="161"/>
  <c r="Q1103" i="161"/>
  <c r="G401" i="161"/>
  <c r="H401" i="161"/>
  <c r="N1108" i="161"/>
  <c r="P1108" i="161"/>
  <c r="L1108" i="161"/>
  <c r="M1108" i="161"/>
  <c r="Q1108" i="161"/>
  <c r="K1108" i="161"/>
  <c r="O1108" i="161"/>
  <c r="E33" i="159"/>
  <c r="G33" i="159" s="1"/>
  <c r="F478" i="151" s="1"/>
  <c r="F1334" i="161" s="1"/>
  <c r="H1334" i="161" s="1"/>
  <c r="I1334" i="161" s="1"/>
  <c r="E32" i="159"/>
  <c r="P1109" i="161"/>
  <c r="O1109" i="161"/>
  <c r="N1109" i="161"/>
  <c r="M1109" i="161"/>
  <c r="K1109" i="161"/>
  <c r="L1109" i="161"/>
  <c r="Q1109" i="161"/>
  <c r="I914" i="161"/>
  <c r="G914" i="161"/>
  <c r="H914" i="161"/>
  <c r="J914" i="161" s="1"/>
  <c r="N1124" i="161"/>
  <c r="P1124" i="161"/>
  <c r="K1124" i="161"/>
  <c r="M1124" i="161"/>
  <c r="L1124" i="161"/>
  <c r="O1124" i="161"/>
  <c r="Q1124" i="161"/>
  <c r="G1107" i="161"/>
  <c r="H1107" i="161"/>
  <c r="J1107" i="161" s="1"/>
  <c r="I1107" i="161"/>
  <c r="J904" i="161"/>
  <c r="F1144" i="161"/>
  <c r="G1116" i="161"/>
  <c r="G1144" i="161" s="1"/>
  <c r="H1116" i="161"/>
  <c r="J1116" i="161" s="1"/>
  <c r="J918" i="161"/>
  <c r="N926" i="161"/>
  <c r="K926" i="161"/>
  <c r="Q926" i="161"/>
  <c r="L926" i="161"/>
  <c r="M926" i="161"/>
  <c r="P926" i="161"/>
  <c r="O926" i="161"/>
  <c r="G1072" i="119"/>
  <c r="F121" i="151"/>
  <c r="F394" i="161" s="1"/>
  <c r="E173" i="149"/>
  <c r="U167" i="149" s="1"/>
  <c r="U168" i="149" s="1"/>
  <c r="U171" i="149" s="1"/>
  <c r="F122" i="151"/>
  <c r="F395" i="161" s="1"/>
  <c r="K419" i="161"/>
  <c r="P419" i="161"/>
  <c r="N419" i="161"/>
  <c r="Q419" i="161"/>
  <c r="M419" i="161"/>
  <c r="L419" i="161"/>
  <c r="O419" i="161"/>
  <c r="G906" i="161"/>
  <c r="H906" i="161"/>
  <c r="I906" i="161" s="1"/>
  <c r="O921" i="161"/>
  <c r="M921" i="161"/>
  <c r="L921" i="161"/>
  <c r="K921" i="161"/>
  <c r="P921" i="161"/>
  <c r="Q921" i="161"/>
  <c r="N921" i="161"/>
  <c r="O418" i="161"/>
  <c r="N418" i="161"/>
  <c r="P418" i="161"/>
  <c r="Q418" i="161"/>
  <c r="K418" i="161"/>
  <c r="M418" i="161"/>
  <c r="L418" i="161"/>
  <c r="M396" i="161"/>
  <c r="P396" i="161"/>
  <c r="K396" i="161"/>
  <c r="Q396" i="161"/>
  <c r="O396" i="161"/>
  <c r="N396" i="161"/>
  <c r="L396" i="161"/>
  <c r="K404" i="161"/>
  <c r="N404" i="161"/>
  <c r="P404" i="161"/>
  <c r="L404" i="161"/>
  <c r="O404" i="161"/>
  <c r="M404" i="161"/>
  <c r="Q404" i="161"/>
  <c r="F376" i="151"/>
  <c r="F1099" i="161" s="1"/>
  <c r="E116" i="149"/>
  <c r="U110" i="149" s="1"/>
  <c r="U111" i="149" s="1"/>
  <c r="U114" i="149" s="1"/>
  <c r="E132" i="149"/>
  <c r="M145" i="149"/>
  <c r="I1123" i="161"/>
  <c r="F377" i="151"/>
  <c r="F1100" i="161" s="1"/>
  <c r="K47" i="150"/>
  <c r="L160" i="152"/>
  <c r="I83" i="149"/>
  <c r="E81" i="149"/>
  <c r="J397" i="161"/>
  <c r="N927" i="161"/>
  <c r="M927" i="161"/>
  <c r="L927" i="161"/>
  <c r="K927" i="161"/>
  <c r="Q927" i="161"/>
  <c r="P927" i="161"/>
  <c r="O927" i="161"/>
  <c r="F872" i="107"/>
  <c r="E986" i="119" s="1"/>
  <c r="M202" i="149"/>
  <c r="M204" i="149" s="1"/>
  <c r="E189" i="149"/>
  <c r="F136" i="151" s="1"/>
  <c r="F415" i="161" s="1"/>
  <c r="L1123" i="161"/>
  <c r="K1123" i="161"/>
  <c r="M1123" i="161"/>
  <c r="Q1123" i="161"/>
  <c r="P1123" i="161"/>
  <c r="O1123" i="161"/>
  <c r="N1123" i="161"/>
  <c r="M1110" i="161"/>
  <c r="L1110" i="161"/>
  <c r="O1110" i="161"/>
  <c r="Q1110" i="161"/>
  <c r="K1110" i="161"/>
  <c r="P1110" i="161"/>
  <c r="N1110" i="161"/>
  <c r="F929" i="161"/>
  <c r="G925" i="161"/>
  <c r="G929" i="161" s="1"/>
  <c r="H925" i="161"/>
  <c r="I925" i="161" s="1"/>
  <c r="F137" i="151"/>
  <c r="F416" i="161" s="1"/>
  <c r="J911" i="161"/>
  <c r="J1102" i="161"/>
  <c r="H1144" i="161"/>
  <c r="J1144" i="161" s="1"/>
  <c r="F306" i="151"/>
  <c r="F920" i="161" s="1"/>
  <c r="F936" i="161" s="1"/>
  <c r="E38" i="149"/>
  <c r="K204" i="149"/>
  <c r="K403" i="161"/>
  <c r="Q403" i="161"/>
  <c r="O403" i="161"/>
  <c r="P403" i="161"/>
  <c r="M403" i="161"/>
  <c r="N403" i="161"/>
  <c r="L403" i="161"/>
  <c r="O405" i="161"/>
  <c r="M405" i="161"/>
  <c r="K405" i="161"/>
  <c r="L405" i="161"/>
  <c r="Q405" i="161"/>
  <c r="P405" i="161"/>
  <c r="N405" i="161"/>
  <c r="E123" i="149"/>
  <c r="U117" i="149" s="1"/>
  <c r="U118" i="149" s="1"/>
  <c r="U121" i="149" s="1"/>
  <c r="F381" i="151"/>
  <c r="F1106" i="161" s="1"/>
  <c r="I907" i="161"/>
  <c r="G907" i="161"/>
  <c r="H907" i="161"/>
  <c r="J907" i="161" s="1"/>
  <c r="P928" i="161"/>
  <c r="L928" i="161"/>
  <c r="Q928" i="161"/>
  <c r="M928" i="161"/>
  <c r="N928" i="161"/>
  <c r="K928" i="161"/>
  <c r="O928" i="161"/>
  <c r="F937" i="161"/>
  <c r="I905" i="161"/>
  <c r="G905" i="161"/>
  <c r="G937" i="161" s="1"/>
  <c r="G949" i="161" s="1"/>
  <c r="G2051" i="161" s="1"/>
  <c r="H905" i="161"/>
  <c r="G913" i="161"/>
  <c r="H913" i="161"/>
  <c r="J913" i="161" s="1"/>
  <c r="E180" i="149"/>
  <c r="U174" i="149" s="1"/>
  <c r="U175" i="149" s="1"/>
  <c r="U178" i="149" s="1"/>
  <c r="F127" i="151"/>
  <c r="F402" i="161" s="1"/>
  <c r="F406" i="161" s="1"/>
  <c r="E133" i="149"/>
  <c r="F392" i="151" s="1"/>
  <c r="F1121" i="161" s="1"/>
  <c r="M144" i="149"/>
  <c r="P1122" i="161"/>
  <c r="N1122" i="161"/>
  <c r="L1122" i="161"/>
  <c r="O1122" i="161"/>
  <c r="Q1122" i="161"/>
  <c r="K1122" i="161"/>
  <c r="M1122" i="161"/>
  <c r="J75" i="149"/>
  <c r="E72" i="149"/>
  <c r="F915" i="161"/>
  <c r="K160" i="152"/>
  <c r="J47" i="150"/>
  <c r="F874" i="161"/>
  <c r="G872" i="161"/>
  <c r="G874" i="161" s="1"/>
  <c r="H872" i="161"/>
  <c r="I872" i="161" s="1"/>
  <c r="L1101" i="161"/>
  <c r="K1101" i="161"/>
  <c r="M1101" i="161"/>
  <c r="P1101" i="161"/>
  <c r="Q1101" i="161"/>
  <c r="N1101" i="161"/>
  <c r="O1101" i="161"/>
  <c r="K912" i="161"/>
  <c r="Q912" i="161"/>
  <c r="N912" i="161"/>
  <c r="M912" i="161"/>
  <c r="O912" i="161"/>
  <c r="L912" i="161"/>
  <c r="P912" i="161"/>
  <c r="K417" i="161"/>
  <c r="O417" i="161"/>
  <c r="Q417" i="161"/>
  <c r="N417" i="161"/>
  <c r="M417" i="161"/>
  <c r="L417" i="161"/>
  <c r="P417" i="161"/>
  <c r="G54" i="150"/>
  <c r="Z54" i="150"/>
  <c r="F54" i="150" s="1"/>
  <c r="K398" i="161"/>
  <c r="O398" i="161"/>
  <c r="L398" i="161"/>
  <c r="Q398" i="161"/>
  <c r="N398" i="161"/>
  <c r="P398" i="161"/>
  <c r="M398" i="161"/>
  <c r="J160" i="152"/>
  <c r="I47" i="150"/>
  <c r="F947" i="161"/>
  <c r="L125" i="149"/>
  <c r="L182" i="149"/>
  <c r="L127" i="149"/>
  <c r="E127" i="149" s="1"/>
  <c r="F388" i="151" s="1"/>
  <c r="F1115" i="161" s="1"/>
  <c r="L126" i="149"/>
  <c r="L184" i="149"/>
  <c r="E184" i="149" s="1"/>
  <c r="F133" i="151" s="1"/>
  <c r="F410" i="161" s="1"/>
  <c r="L183" i="149"/>
  <c r="L129" i="149"/>
  <c r="E129" i="149" s="1"/>
  <c r="F390" i="151" s="1"/>
  <c r="F1117" i="161" s="1"/>
  <c r="L186" i="149"/>
  <c r="E186" i="149" s="1"/>
  <c r="F135" i="151" s="1"/>
  <c r="F412" i="161" s="1"/>
  <c r="F63" i="149"/>
  <c r="F66" i="149" s="1"/>
  <c r="I1109" i="161"/>
  <c r="E52" i="149"/>
  <c r="E55" i="149" s="1"/>
  <c r="U5" i="149" s="1"/>
  <c r="N40" i="69"/>
  <c r="N41" i="69" s="1"/>
  <c r="N44" i="69" s="1"/>
  <c r="I435" i="161"/>
  <c r="N424" i="107"/>
  <c r="H525" i="120" s="1"/>
  <c r="O424" i="107"/>
  <c r="I525" i="120" s="1"/>
  <c r="G1039" i="119"/>
  <c r="P901" i="107"/>
  <c r="J1089" i="120" s="1"/>
  <c r="M933" i="107"/>
  <c r="K424" i="107"/>
  <c r="E525" i="120" s="1"/>
  <c r="N934" i="107"/>
  <c r="H1122" i="120" s="1"/>
  <c r="M934" i="107"/>
  <c r="G1122" i="120" s="1"/>
  <c r="O901" i="107"/>
  <c r="I1089" i="120" s="1"/>
  <c r="N901" i="107"/>
  <c r="H1089" i="120" s="1"/>
  <c r="O423" i="107"/>
  <c r="I524" i="120" s="1"/>
  <c r="G868" i="161"/>
  <c r="D52" i="166"/>
  <c r="D35" i="158"/>
  <c r="J865" i="161"/>
  <c r="H868" i="161"/>
  <c r="I868" i="161" s="1"/>
  <c r="J359" i="161"/>
  <c r="Q356" i="161"/>
  <c r="P356" i="161"/>
  <c r="O356" i="161"/>
  <c r="N356" i="161"/>
  <c r="L356" i="161"/>
  <c r="K356" i="161"/>
  <c r="M356" i="161"/>
  <c r="J435" i="161"/>
  <c r="Q358" i="161"/>
  <c r="Q435" i="161" s="1"/>
  <c r="P358" i="161"/>
  <c r="P435" i="161" s="1"/>
  <c r="O358" i="161"/>
  <c r="O435" i="161" s="1"/>
  <c r="N358" i="161"/>
  <c r="N435" i="161" s="1"/>
  <c r="L358" i="161"/>
  <c r="L435" i="161" s="1"/>
  <c r="K358" i="161"/>
  <c r="K435" i="161" s="1"/>
  <c r="M358" i="161"/>
  <c r="M435" i="161" s="1"/>
  <c r="G1061" i="161"/>
  <c r="H1061" i="161"/>
  <c r="I1061" i="161" s="1"/>
  <c r="F1064" i="161"/>
  <c r="F1140" i="161"/>
  <c r="G1063" i="161"/>
  <c r="G1140" i="161" s="1"/>
  <c r="H1063" i="161"/>
  <c r="I1063" i="161" s="1"/>
  <c r="G920" i="107"/>
  <c r="F1058" i="119" s="1"/>
  <c r="H920" i="107"/>
  <c r="J920" i="107" s="1"/>
  <c r="O920" i="107" s="1"/>
  <c r="I1108" i="120" s="1"/>
  <c r="N473" i="161"/>
  <c r="M473" i="161"/>
  <c r="P473" i="161"/>
  <c r="L473" i="161"/>
  <c r="O473" i="161"/>
  <c r="Q473" i="161"/>
  <c r="K473" i="161"/>
  <c r="J980" i="107"/>
  <c r="G1171" i="119"/>
  <c r="I980" i="107"/>
  <c r="H1171" i="119" s="1"/>
  <c r="I1177" i="107"/>
  <c r="H1472" i="119" s="1"/>
  <c r="G1472" i="119"/>
  <c r="J1177" i="107"/>
  <c r="J980" i="161"/>
  <c r="M1177" i="161"/>
  <c r="N1177" i="161"/>
  <c r="O1177" i="161"/>
  <c r="L1177" i="161"/>
  <c r="K1177" i="161"/>
  <c r="Q1177" i="161"/>
  <c r="P1177" i="161"/>
  <c r="L866" i="107"/>
  <c r="F1031" i="120" s="1"/>
  <c r="P866" i="107"/>
  <c r="J1031" i="120" s="1"/>
  <c r="N866" i="107"/>
  <c r="H1031" i="120" s="1"/>
  <c r="K866" i="107"/>
  <c r="E1031" i="120" s="1"/>
  <c r="Q866" i="107"/>
  <c r="K1031" i="120" s="1"/>
  <c r="M866" i="107"/>
  <c r="G1031" i="120" s="1"/>
  <c r="O866" i="107"/>
  <c r="I1031" i="120" s="1"/>
  <c r="K423" i="107"/>
  <c r="E524" i="120" s="1"/>
  <c r="Q423" i="107"/>
  <c r="K524" i="120" s="1"/>
  <c r="P423" i="107"/>
  <c r="J524" i="120" s="1"/>
  <c r="G356" i="107"/>
  <c r="F377" i="119" s="1"/>
  <c r="N1128" i="107"/>
  <c r="H1418" i="120" s="1"/>
  <c r="P1128" i="107"/>
  <c r="J1418" i="120" s="1"/>
  <c r="G1061" i="107"/>
  <c r="F1280" i="119" s="1"/>
  <c r="G1120" i="120"/>
  <c r="E1120" i="120"/>
  <c r="N933" i="107"/>
  <c r="H1121" i="120" s="1"/>
  <c r="F1064" i="107"/>
  <c r="E1283" i="119" s="1"/>
  <c r="H1061" i="107"/>
  <c r="G1280" i="119" s="1"/>
  <c r="H356" i="107"/>
  <c r="G377" i="119" s="1"/>
  <c r="F359" i="107"/>
  <c r="E380" i="119" s="1"/>
  <c r="K901" i="107"/>
  <c r="E1089" i="120" s="1"/>
  <c r="Q901" i="107"/>
  <c r="K1089" i="120" s="1"/>
  <c r="M901" i="107"/>
  <c r="L901" i="107"/>
  <c r="F1089" i="120" s="1"/>
  <c r="P933" i="107"/>
  <c r="J1121" i="120" s="1"/>
  <c r="P934" i="107"/>
  <c r="J1122" i="120" s="1"/>
  <c r="L934" i="107"/>
  <c r="F1122" i="120" s="1"/>
  <c r="Q933" i="107"/>
  <c r="K1121" i="120" s="1"/>
  <c r="O933" i="107"/>
  <c r="I1121" i="120" s="1"/>
  <c r="O934" i="107"/>
  <c r="I1122" i="120" s="1"/>
  <c r="G1069" i="119"/>
  <c r="J931" i="107"/>
  <c r="I931" i="107"/>
  <c r="H1069" i="119" s="1"/>
  <c r="F1124" i="107"/>
  <c r="E1367" i="119" s="1"/>
  <c r="L1128" i="107"/>
  <c r="F1418" i="120" s="1"/>
  <c r="P1130" i="107"/>
  <c r="J1420" i="120" s="1"/>
  <c r="K1130" i="107"/>
  <c r="E1420" i="120" s="1"/>
  <c r="M424" i="107"/>
  <c r="G525" i="120" s="1"/>
  <c r="P424" i="107"/>
  <c r="J525" i="120" s="1"/>
  <c r="L423" i="107"/>
  <c r="F524" i="120" s="1"/>
  <c r="O1128" i="107"/>
  <c r="I1418" i="120" s="1"/>
  <c r="M1128" i="107"/>
  <c r="G1418" i="120" s="1"/>
  <c r="N1130" i="107"/>
  <c r="H1420" i="120" s="1"/>
  <c r="M1130" i="107"/>
  <c r="G1420" i="120" s="1"/>
  <c r="J925" i="107"/>
  <c r="D1113" i="120" s="1"/>
  <c r="G1063" i="119"/>
  <c r="I904" i="107"/>
  <c r="H1042" i="119" s="1"/>
  <c r="G1042" i="119"/>
  <c r="L933" i="107"/>
  <c r="F1121" i="120" s="1"/>
  <c r="D1121" i="120"/>
  <c r="D493" i="120"/>
  <c r="Q392" i="107"/>
  <c r="K493" i="120" s="1"/>
  <c r="K392" i="107"/>
  <c r="E493" i="120" s="1"/>
  <c r="L392" i="107"/>
  <c r="F493" i="120" s="1"/>
  <c r="N392" i="107"/>
  <c r="H493" i="120" s="1"/>
  <c r="M392" i="107"/>
  <c r="G493" i="120" s="1"/>
  <c r="P392" i="107"/>
  <c r="J493" i="120" s="1"/>
  <c r="O392" i="107"/>
  <c r="I493" i="120" s="1"/>
  <c r="K934" i="107"/>
  <c r="E1122" i="120" s="1"/>
  <c r="D1122" i="120"/>
  <c r="J425" i="107"/>
  <c r="P425" i="107" s="1"/>
  <c r="J526" i="120" s="1"/>
  <c r="G470" i="119"/>
  <c r="O1130" i="107"/>
  <c r="I1420" i="120" s="1"/>
  <c r="D1420" i="120"/>
  <c r="K1128" i="107"/>
  <c r="E1418" i="120" s="1"/>
  <c r="D1418" i="120"/>
  <c r="Q424" i="107"/>
  <c r="K525" i="120" s="1"/>
  <c r="D525" i="120"/>
  <c r="N423" i="107"/>
  <c r="H524" i="120" s="1"/>
  <c r="D524" i="120"/>
  <c r="G1140" i="107"/>
  <c r="F1400" i="119" s="1"/>
  <c r="F1282" i="119"/>
  <c r="I1063" i="107"/>
  <c r="H1282" i="119" s="1"/>
  <c r="G1282" i="119"/>
  <c r="G435" i="107"/>
  <c r="F498" i="119" s="1"/>
  <c r="F379" i="119"/>
  <c r="K20" i="6"/>
  <c r="J33" i="72"/>
  <c r="M34" i="72"/>
  <c r="M27" i="72"/>
  <c r="E65" i="88"/>
  <c r="G65" i="88" s="1"/>
  <c r="G66" i="88" s="1"/>
  <c r="U33" i="88"/>
  <c r="U34" i="88" s="1"/>
  <c r="U37" i="88" s="1"/>
  <c r="H75" i="88"/>
  <c r="I425" i="107"/>
  <c r="H470" i="119" s="1"/>
  <c r="I30" i="69"/>
  <c r="I34" i="69" s="1"/>
  <c r="J904" i="107"/>
  <c r="D1092" i="120" s="1"/>
  <c r="I925" i="107"/>
  <c r="H1063" i="119" s="1"/>
  <c r="N50" i="95"/>
  <c r="H921" i="107"/>
  <c r="G921" i="107"/>
  <c r="F1059" i="119" s="1"/>
  <c r="G905" i="107"/>
  <c r="F1043" i="119" s="1"/>
  <c r="H905" i="107"/>
  <c r="I905" i="107" s="1"/>
  <c r="H1043" i="119" s="1"/>
  <c r="H918" i="107"/>
  <c r="F922" i="107"/>
  <c r="E1060" i="119" s="1"/>
  <c r="G918" i="107"/>
  <c r="F1056" i="119" s="1"/>
  <c r="H919" i="107"/>
  <c r="G919" i="107"/>
  <c r="F1057" i="119" s="1"/>
  <c r="G927" i="107"/>
  <c r="F1065" i="119" s="1"/>
  <c r="H927" i="107"/>
  <c r="H928" i="107"/>
  <c r="G928" i="107"/>
  <c r="F1066" i="119" s="1"/>
  <c r="H1101" i="107"/>
  <c r="G1101" i="107"/>
  <c r="F1344" i="119" s="1"/>
  <c r="F1114" i="107"/>
  <c r="E1357" i="119" s="1"/>
  <c r="F409" i="107"/>
  <c r="F410" i="107"/>
  <c r="E455" i="119" s="1"/>
  <c r="F419" i="107"/>
  <c r="E464" i="119" s="1"/>
  <c r="F1115" i="107"/>
  <c r="E1358" i="119" s="1"/>
  <c r="F396" i="107"/>
  <c r="E441" i="119" s="1"/>
  <c r="F1102" i="107"/>
  <c r="E1345" i="119" s="1"/>
  <c r="F1122" i="107"/>
  <c r="E1365" i="119" s="1"/>
  <c r="F1123" i="107"/>
  <c r="F412" i="107"/>
  <c r="E457" i="119" s="1"/>
  <c r="F906" i="107"/>
  <c r="E1044" i="119" s="1"/>
  <c r="F911" i="107"/>
  <c r="E1049" i="119" s="1"/>
  <c r="F417" i="107"/>
  <c r="H417" i="107" s="1"/>
  <c r="F398" i="107"/>
  <c r="E443" i="119" s="1"/>
  <c r="F418" i="107"/>
  <c r="E463" i="119" s="1"/>
  <c r="F1103" i="107"/>
  <c r="E1346" i="119" s="1"/>
  <c r="F411" i="107"/>
  <c r="F1117" i="107"/>
  <c r="E1360" i="119" s="1"/>
  <c r="F397" i="107"/>
  <c r="E442" i="119" s="1"/>
  <c r="F1116" i="107"/>
  <c r="G1116" i="107" s="1"/>
  <c r="F1359" i="119" s="1"/>
  <c r="J358" i="107"/>
  <c r="D436" i="120" s="1"/>
  <c r="H435" i="107"/>
  <c r="I865" i="107"/>
  <c r="H979" i="119" s="1"/>
  <c r="J865" i="107"/>
  <c r="D1030" i="120" s="1"/>
  <c r="H868" i="107"/>
  <c r="G907" i="107"/>
  <c r="F1045" i="119" s="1"/>
  <c r="H907" i="107"/>
  <c r="E625" i="120"/>
  <c r="F625" i="120"/>
  <c r="G625" i="120"/>
  <c r="H625" i="120"/>
  <c r="I625" i="120"/>
  <c r="J625" i="120"/>
  <c r="K625" i="120"/>
  <c r="J75" i="88"/>
  <c r="M160" i="92" s="1"/>
  <c r="H913" i="107"/>
  <c r="G913" i="107"/>
  <c r="F1051" i="119" s="1"/>
  <c r="J1063" i="107"/>
  <c r="D1329" i="120" s="1"/>
  <c r="H1140" i="107"/>
  <c r="L144" i="88"/>
  <c r="H926" i="107"/>
  <c r="G926" i="107"/>
  <c r="F1064" i="119" s="1"/>
  <c r="F929" i="107"/>
  <c r="E1067" i="119" s="1"/>
  <c r="H912" i="107"/>
  <c r="G912" i="107"/>
  <c r="F1050" i="119" s="1"/>
  <c r="G868" i="107"/>
  <c r="F982" i="119" s="1"/>
  <c r="I358" i="107"/>
  <c r="H379" i="119" s="1"/>
  <c r="G914" i="107"/>
  <c r="F1052" i="119" s="1"/>
  <c r="H914" i="107"/>
  <c r="F937" i="107"/>
  <c r="E1075" i="119" s="1"/>
  <c r="G104" i="72"/>
  <c r="F98" i="72"/>
  <c r="M144" i="88"/>
  <c r="E133" i="88"/>
  <c r="F392" i="100" s="1"/>
  <c r="G103" i="72"/>
  <c r="F97" i="72"/>
  <c r="G99" i="72"/>
  <c r="E190" i="88"/>
  <c r="F137" i="100" s="1"/>
  <c r="M201" i="88"/>
  <c r="M145" i="88"/>
  <c r="E132" i="88"/>
  <c r="F391" i="100" s="1"/>
  <c r="I99" i="72"/>
  <c r="I103" i="72"/>
  <c r="H149" i="72"/>
  <c r="H145" i="72"/>
  <c r="E125" i="88"/>
  <c r="F386" i="100" s="1"/>
  <c r="L145" i="88"/>
  <c r="E168" i="88"/>
  <c r="F121" i="100" s="1"/>
  <c r="J202" i="88"/>
  <c r="I72" i="88"/>
  <c r="I75" i="88" s="1"/>
  <c r="L160" i="92" s="1"/>
  <c r="E52" i="88"/>
  <c r="E55" i="88" s="1"/>
  <c r="U5" i="88" s="1"/>
  <c r="U6" i="88" s="1"/>
  <c r="U9" i="88" s="1"/>
  <c r="E24" i="88"/>
  <c r="K118" i="88"/>
  <c r="K175" i="88"/>
  <c r="K121" i="88"/>
  <c r="E121" i="88" s="1"/>
  <c r="F384" i="100" s="1"/>
  <c r="K122" i="88"/>
  <c r="E122" i="88" s="1"/>
  <c r="F385" i="100" s="1"/>
  <c r="K120" i="88"/>
  <c r="E120" i="88" s="1"/>
  <c r="F383" i="100" s="1"/>
  <c r="K178" i="88"/>
  <c r="E178" i="88" s="1"/>
  <c r="F129" i="100" s="1"/>
  <c r="K179" i="88"/>
  <c r="E179" i="88" s="1"/>
  <c r="F130" i="100" s="1"/>
  <c r="K177" i="88"/>
  <c r="E177" i="88" s="1"/>
  <c r="F128" i="100" s="1"/>
  <c r="G150" i="72"/>
  <c r="G176" i="72" s="1"/>
  <c r="F144" i="72"/>
  <c r="F150" i="72" s="1"/>
  <c r="F176" i="72" s="1"/>
  <c r="J37" i="72"/>
  <c r="E40" i="72"/>
  <c r="E64" i="72"/>
  <c r="F53" i="95"/>
  <c r="Z54" i="95" s="1"/>
  <c r="F54" i="95" s="1"/>
  <c r="E111" i="88"/>
  <c r="F376" i="100" s="1"/>
  <c r="J145" i="88"/>
  <c r="K176" i="88"/>
  <c r="G73" i="88"/>
  <c r="E31" i="88"/>
  <c r="J144" i="72"/>
  <c r="J150" i="72" s="1"/>
  <c r="J176" i="72" s="1"/>
  <c r="J98" i="72"/>
  <c r="J104" i="72" s="1"/>
  <c r="J131" i="72" s="1"/>
  <c r="L207" i="85"/>
  <c r="L209" i="85" s="1"/>
  <c r="G145" i="72"/>
  <c r="G149" i="72"/>
  <c r="F143" i="72"/>
  <c r="F149" i="72" s="1"/>
  <c r="J143" i="72"/>
  <c r="J97" i="72"/>
  <c r="L202" i="88"/>
  <c r="E182" i="88"/>
  <c r="F131" i="100" s="1"/>
  <c r="E169" i="88"/>
  <c r="F122" i="100" s="1"/>
  <c r="J201" i="88"/>
  <c r="H167" i="92"/>
  <c r="K119" i="88"/>
  <c r="J38" i="72"/>
  <c r="N115" i="152" s="1"/>
  <c r="E65" i="72"/>
  <c r="E189" i="88"/>
  <c r="F136" i="100" s="1"/>
  <c r="M202" i="88"/>
  <c r="H103" i="72"/>
  <c r="H99" i="72"/>
  <c r="I149" i="72"/>
  <c r="I145" i="72"/>
  <c r="L201" i="88"/>
  <c r="J144" i="88"/>
  <c r="E112" i="88"/>
  <c r="F377" i="100" s="1"/>
  <c r="AA17" i="8"/>
  <c r="AA16" i="8"/>
  <c r="AA15" i="8"/>
  <c r="AA14" i="8"/>
  <c r="AA11" i="8"/>
  <c r="AA10" i="8"/>
  <c r="AA9" i="8"/>
  <c r="AA8" i="8"/>
  <c r="AA7" i="8"/>
  <c r="AA6" i="8"/>
  <c r="AA5" i="8"/>
  <c r="AA4" i="8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376" i="9"/>
  <c r="T377" i="9"/>
  <c r="T378" i="9"/>
  <c r="T379" i="9"/>
  <c r="T380" i="9"/>
  <c r="T381" i="9"/>
  <c r="T382" i="9"/>
  <c r="T383" i="9"/>
  <c r="T384" i="9"/>
  <c r="T385" i="9"/>
  <c r="T386" i="9"/>
  <c r="T387" i="9"/>
  <c r="T388" i="9"/>
  <c r="T389" i="9"/>
  <c r="T390" i="9"/>
  <c r="T391" i="9"/>
  <c r="T392" i="9"/>
  <c r="T393" i="9"/>
  <c r="T394" i="9"/>
  <c r="T395" i="9"/>
  <c r="T396" i="9"/>
  <c r="T397" i="9"/>
  <c r="T398" i="9"/>
  <c r="T399" i="9"/>
  <c r="T400" i="9"/>
  <c r="T401" i="9"/>
  <c r="T402" i="9"/>
  <c r="T403" i="9"/>
  <c r="T404" i="9"/>
  <c r="T405" i="9"/>
  <c r="T406" i="9"/>
  <c r="T407" i="9"/>
  <c r="T408" i="9"/>
  <c r="T409" i="9"/>
  <c r="T410" i="9"/>
  <c r="T411" i="9"/>
  <c r="T412" i="9"/>
  <c r="T413" i="9"/>
  <c r="T414" i="9"/>
  <c r="T415" i="9"/>
  <c r="T416" i="9"/>
  <c r="T417" i="9"/>
  <c r="T418" i="9"/>
  <c r="T419" i="9"/>
  <c r="T420" i="9"/>
  <c r="T421" i="9"/>
  <c r="T422" i="9"/>
  <c r="T423" i="9"/>
  <c r="T424" i="9"/>
  <c r="T425" i="9"/>
  <c r="T426" i="9"/>
  <c r="T427" i="9"/>
  <c r="T428" i="9"/>
  <c r="T429" i="9"/>
  <c r="T430" i="9"/>
  <c r="T431" i="9"/>
  <c r="T432" i="9"/>
  <c r="T433" i="9"/>
  <c r="T434" i="9"/>
  <c r="T435" i="9"/>
  <c r="T436" i="9"/>
  <c r="T437" i="9"/>
  <c r="T438" i="9"/>
  <c r="T439" i="9"/>
  <c r="T440" i="9"/>
  <c r="T441" i="9"/>
  <c r="T442" i="9"/>
  <c r="T443" i="9"/>
  <c r="T444" i="9"/>
  <c r="T445" i="9"/>
  <c r="T446" i="9"/>
  <c r="T447" i="9"/>
  <c r="T448" i="9"/>
  <c r="T449" i="9"/>
  <c r="T450" i="9"/>
  <c r="T451" i="9"/>
  <c r="T452" i="9"/>
  <c r="T453" i="9"/>
  <c r="T454" i="9"/>
  <c r="T455" i="9"/>
  <c r="T456" i="9"/>
  <c r="T457" i="9"/>
  <c r="T458" i="9"/>
  <c r="T459" i="9"/>
  <c r="T460" i="9"/>
  <c r="T461" i="9"/>
  <c r="T462" i="9"/>
  <c r="T463" i="9"/>
  <c r="T464" i="9"/>
  <c r="T465" i="9"/>
  <c r="T466" i="9"/>
  <c r="T467" i="9"/>
  <c r="T468" i="9"/>
  <c r="T469" i="9"/>
  <c r="T470" i="9"/>
  <c r="T471" i="9"/>
  <c r="T472" i="9"/>
  <c r="T473" i="9"/>
  <c r="T474" i="9"/>
  <c r="T475" i="9"/>
  <c r="T476" i="9"/>
  <c r="T477" i="9"/>
  <c r="T478" i="9"/>
  <c r="T479" i="9"/>
  <c r="T480" i="9"/>
  <c r="T481" i="9"/>
  <c r="T482" i="9"/>
  <c r="T483" i="9"/>
  <c r="T484" i="9"/>
  <c r="T485" i="9"/>
  <c r="T486" i="9"/>
  <c r="T487" i="9"/>
  <c r="T488" i="9"/>
  <c r="T489" i="9"/>
  <c r="T490" i="9"/>
  <c r="T491" i="9"/>
  <c r="T492" i="9"/>
  <c r="T493" i="9"/>
  <c r="T494" i="9"/>
  <c r="T495" i="9"/>
  <c r="T496" i="9"/>
  <c r="T497" i="9"/>
  <c r="T498" i="9"/>
  <c r="T499" i="9"/>
  <c r="T500" i="9"/>
  <c r="T501" i="9"/>
  <c r="T502" i="9"/>
  <c r="T503" i="9"/>
  <c r="T504" i="9"/>
  <c r="T505" i="9"/>
  <c r="T506" i="9"/>
  <c r="T507" i="9"/>
  <c r="T508" i="9"/>
  <c r="T509" i="9"/>
  <c r="T510" i="9"/>
  <c r="T511" i="9"/>
  <c r="T512" i="9"/>
  <c r="T513" i="9"/>
  <c r="T514" i="9"/>
  <c r="T515" i="9"/>
  <c r="T516" i="9"/>
  <c r="T517" i="9"/>
  <c r="T518" i="9"/>
  <c r="T519" i="9"/>
  <c r="T520" i="9"/>
  <c r="T521" i="9"/>
  <c r="T522" i="9"/>
  <c r="T523" i="9"/>
  <c r="T524" i="9"/>
  <c r="T525" i="9"/>
  <c r="T526" i="9"/>
  <c r="T527" i="9"/>
  <c r="T528" i="9"/>
  <c r="T529" i="9"/>
  <c r="T530" i="9"/>
  <c r="T531" i="9"/>
  <c r="T532" i="9"/>
  <c r="T533" i="9"/>
  <c r="T534" i="9"/>
  <c r="T535" i="9"/>
  <c r="T536" i="9"/>
  <c r="T537" i="9"/>
  <c r="T538" i="9"/>
  <c r="T539" i="9"/>
  <c r="T540" i="9"/>
  <c r="T541" i="9"/>
  <c r="T542" i="9"/>
  <c r="T543" i="9"/>
  <c r="T544" i="9"/>
  <c r="T545" i="9"/>
  <c r="T546" i="9"/>
  <c r="T547" i="9"/>
  <c r="T548" i="9"/>
  <c r="T549" i="9"/>
  <c r="T550" i="9"/>
  <c r="T551" i="9"/>
  <c r="T552" i="9"/>
  <c r="T553" i="9"/>
  <c r="T554" i="9"/>
  <c r="T555" i="9"/>
  <c r="T556" i="9"/>
  <c r="T557" i="9"/>
  <c r="T558" i="9"/>
  <c r="T559" i="9"/>
  <c r="T560" i="9"/>
  <c r="T561" i="9"/>
  <c r="T562" i="9"/>
  <c r="T563" i="9"/>
  <c r="T564" i="9"/>
  <c r="T565" i="9"/>
  <c r="T566" i="9"/>
  <c r="T567" i="9"/>
  <c r="T568" i="9"/>
  <c r="T569" i="9"/>
  <c r="T570" i="9"/>
  <c r="T571" i="9"/>
  <c r="T572" i="9"/>
  <c r="T573" i="9"/>
  <c r="T574" i="9"/>
  <c r="T575" i="9"/>
  <c r="T576" i="9"/>
  <c r="T577" i="9"/>
  <c r="T578" i="9"/>
  <c r="T579" i="9"/>
  <c r="T580" i="9"/>
  <c r="T581" i="9"/>
  <c r="T582" i="9"/>
  <c r="T583" i="9"/>
  <c r="T584" i="9"/>
  <c r="T585" i="9"/>
  <c r="T586" i="9"/>
  <c r="T587" i="9"/>
  <c r="T588" i="9"/>
  <c r="T589" i="9"/>
  <c r="T590" i="9"/>
  <c r="T591" i="9"/>
  <c r="T592" i="9"/>
  <c r="T593" i="9"/>
  <c r="T594" i="9"/>
  <c r="T595" i="9"/>
  <c r="T596" i="9"/>
  <c r="T597" i="9"/>
  <c r="T598" i="9"/>
  <c r="T599" i="9"/>
  <c r="T600" i="9"/>
  <c r="T601" i="9"/>
  <c r="T602" i="9"/>
  <c r="T603" i="9"/>
  <c r="T604" i="9"/>
  <c r="T605" i="9"/>
  <c r="T606" i="9"/>
  <c r="T607" i="9"/>
  <c r="T608" i="9"/>
  <c r="T609" i="9"/>
  <c r="T610" i="9"/>
  <c r="T613" i="9"/>
  <c r="T614" i="9"/>
  <c r="T615" i="9"/>
  <c r="T616" i="9"/>
  <c r="T617" i="9"/>
  <c r="T618" i="9"/>
  <c r="T619" i="9"/>
  <c r="T620" i="9"/>
  <c r="T621" i="9"/>
  <c r="T622" i="9"/>
  <c r="T623" i="9"/>
  <c r="T624" i="9"/>
  <c r="T625" i="9"/>
  <c r="T626" i="9"/>
  <c r="T627" i="9"/>
  <c r="T628" i="9"/>
  <c r="T629" i="9"/>
  <c r="T630" i="9"/>
  <c r="T631" i="9"/>
  <c r="T632" i="9"/>
  <c r="T633" i="9"/>
  <c r="T634" i="9"/>
  <c r="T635" i="9"/>
  <c r="T636" i="9"/>
  <c r="T637" i="9"/>
  <c r="T638" i="9"/>
  <c r="T639" i="9"/>
  <c r="T640" i="9"/>
  <c r="T641" i="9"/>
  <c r="T642" i="9"/>
  <c r="T643" i="9"/>
  <c r="T644" i="9"/>
  <c r="T645" i="9"/>
  <c r="T646" i="9"/>
  <c r="T647" i="9"/>
  <c r="T648" i="9"/>
  <c r="T649" i="9"/>
  <c r="T650" i="9"/>
  <c r="T651" i="9"/>
  <c r="T652" i="9"/>
  <c r="T653" i="9"/>
  <c r="T654" i="9"/>
  <c r="T655" i="9"/>
  <c r="T656" i="9"/>
  <c r="T657" i="9"/>
  <c r="T658" i="9"/>
  <c r="T659" i="9"/>
  <c r="T660" i="9"/>
  <c r="T661" i="9"/>
  <c r="T662" i="9"/>
  <c r="T663" i="9"/>
  <c r="T664" i="9"/>
  <c r="T665" i="9"/>
  <c r="T666" i="9"/>
  <c r="T667" i="9"/>
  <c r="T668" i="9"/>
  <c r="T669" i="9"/>
  <c r="T670" i="9"/>
  <c r="T671" i="9"/>
  <c r="T672" i="9"/>
  <c r="T673" i="9"/>
  <c r="T674" i="9"/>
  <c r="T675" i="9"/>
  <c r="T676" i="9"/>
  <c r="T677" i="9"/>
  <c r="T678" i="9"/>
  <c r="T679" i="9"/>
  <c r="T680" i="9"/>
  <c r="T681" i="9"/>
  <c r="T682" i="9"/>
  <c r="T683" i="9"/>
  <c r="T684" i="9"/>
  <c r="T685" i="9"/>
  <c r="T686" i="9"/>
  <c r="T687" i="9"/>
  <c r="T688" i="9"/>
  <c r="T689" i="9"/>
  <c r="T690" i="9"/>
  <c r="T691" i="9"/>
  <c r="T692" i="9"/>
  <c r="T693" i="9"/>
  <c r="T694" i="9"/>
  <c r="T695" i="9"/>
  <c r="T696" i="9"/>
  <c r="T697" i="9"/>
  <c r="T698" i="9"/>
  <c r="T699" i="9"/>
  <c r="T700" i="9"/>
  <c r="T701" i="9"/>
  <c r="T702" i="9"/>
  <c r="T703" i="9"/>
  <c r="T704" i="9"/>
  <c r="T705" i="9"/>
  <c r="T706" i="9"/>
  <c r="T707" i="9"/>
  <c r="T708" i="9"/>
  <c r="T709" i="9"/>
  <c r="T710" i="9"/>
  <c r="T711" i="9"/>
  <c r="T712" i="9"/>
  <c r="T713" i="9"/>
  <c r="T714" i="9"/>
  <c r="T715" i="9"/>
  <c r="T716" i="9"/>
  <c r="T717" i="9"/>
  <c r="T718" i="9"/>
  <c r="T719" i="9"/>
  <c r="T720" i="9"/>
  <c r="T721" i="9"/>
  <c r="T722" i="9"/>
  <c r="T723" i="9"/>
  <c r="T724" i="9"/>
  <c r="T725" i="9"/>
  <c r="T726" i="9"/>
  <c r="T727" i="9"/>
  <c r="T728" i="9"/>
  <c r="T729" i="9"/>
  <c r="T730" i="9"/>
  <c r="T731" i="9"/>
  <c r="T732" i="9"/>
  <c r="T733" i="9"/>
  <c r="T734" i="9"/>
  <c r="T735" i="9"/>
  <c r="T736" i="9"/>
  <c r="T737" i="9"/>
  <c r="T738" i="9"/>
  <c r="T739" i="9"/>
  <c r="T740" i="9"/>
  <c r="T741" i="9"/>
  <c r="T742" i="9"/>
  <c r="T743" i="9"/>
  <c r="T744" i="9"/>
  <c r="T745" i="9"/>
  <c r="T746" i="9"/>
  <c r="T747" i="9"/>
  <c r="T748" i="9"/>
  <c r="T749" i="9"/>
  <c r="T750" i="9"/>
  <c r="T4" i="9"/>
  <c r="I7" i="11"/>
  <c r="V345" i="8"/>
  <c r="V346" i="8"/>
  <c r="V347" i="8"/>
  <c r="V348" i="8"/>
  <c r="V349" i="8"/>
  <c r="V350" i="8"/>
  <c r="V351" i="8"/>
  <c r="V352" i="8"/>
  <c r="V353" i="8"/>
  <c r="V354" i="8"/>
  <c r="V355" i="8"/>
  <c r="V356" i="8"/>
  <c r="V357" i="8"/>
  <c r="V358" i="8"/>
  <c r="V359" i="8"/>
  <c r="V360" i="8"/>
  <c r="V361" i="8"/>
  <c r="V362" i="8"/>
  <c r="V363" i="8"/>
  <c r="V364" i="8"/>
  <c r="V365" i="8"/>
  <c r="V366" i="8"/>
  <c r="V367" i="8"/>
  <c r="V368" i="8"/>
  <c r="V369" i="8"/>
  <c r="V370" i="8"/>
  <c r="V371" i="8"/>
  <c r="V372" i="8"/>
  <c r="V373" i="8"/>
  <c r="V374" i="8"/>
  <c r="V375" i="8"/>
  <c r="V376" i="8"/>
  <c r="V377" i="8"/>
  <c r="V378" i="8"/>
  <c r="V379" i="8"/>
  <c r="V380" i="8"/>
  <c r="V381" i="8"/>
  <c r="V382" i="8"/>
  <c r="V383" i="8"/>
  <c r="V384" i="8"/>
  <c r="V385" i="8"/>
  <c r="V386" i="8"/>
  <c r="V387" i="8"/>
  <c r="V388" i="8"/>
  <c r="V389" i="8"/>
  <c r="V390" i="8"/>
  <c r="V391" i="8"/>
  <c r="V392" i="8"/>
  <c r="V393" i="8"/>
  <c r="V394" i="8"/>
  <c r="V395" i="8"/>
  <c r="V396" i="8"/>
  <c r="V397" i="8"/>
  <c r="V398" i="8"/>
  <c r="V399" i="8"/>
  <c r="V400" i="8"/>
  <c r="V401" i="8"/>
  <c r="V402" i="8"/>
  <c r="V403" i="8"/>
  <c r="V404" i="8"/>
  <c r="V405" i="8"/>
  <c r="V406" i="8"/>
  <c r="V407" i="8"/>
  <c r="V408" i="8"/>
  <c r="V409" i="8"/>
  <c r="V410" i="8"/>
  <c r="V411" i="8"/>
  <c r="V412" i="8"/>
  <c r="V413" i="8"/>
  <c r="V414" i="8"/>
  <c r="V415" i="8"/>
  <c r="V416" i="8"/>
  <c r="V417" i="8"/>
  <c r="V418" i="8"/>
  <c r="V419" i="8"/>
  <c r="V420" i="8"/>
  <c r="V421" i="8"/>
  <c r="V422" i="8"/>
  <c r="V423" i="8"/>
  <c r="V424" i="8"/>
  <c r="V425" i="8"/>
  <c r="V426" i="8"/>
  <c r="V427" i="8"/>
  <c r="V428" i="8"/>
  <c r="V429" i="8"/>
  <c r="V430" i="8"/>
  <c r="V431" i="8"/>
  <c r="V432" i="8"/>
  <c r="V433" i="8"/>
  <c r="V434" i="8"/>
  <c r="V435" i="8"/>
  <c r="V436" i="8"/>
  <c r="V437" i="8"/>
  <c r="V438" i="8"/>
  <c r="V439" i="8"/>
  <c r="V440" i="8"/>
  <c r="V441" i="8"/>
  <c r="V442" i="8"/>
  <c r="V443" i="8"/>
  <c r="V444" i="8"/>
  <c r="V445" i="8"/>
  <c r="V446" i="8"/>
  <c r="V447" i="8"/>
  <c r="V448" i="8"/>
  <c r="V449" i="8"/>
  <c r="V450" i="8"/>
  <c r="V451" i="8"/>
  <c r="V452" i="8"/>
  <c r="V453" i="8"/>
  <c r="V454" i="8"/>
  <c r="V455" i="8"/>
  <c r="V456" i="8"/>
  <c r="V457" i="8"/>
  <c r="V458" i="8"/>
  <c r="V459" i="8"/>
  <c r="V460" i="8"/>
  <c r="V461" i="8"/>
  <c r="V462" i="8"/>
  <c r="V463" i="8"/>
  <c r="V464" i="8"/>
  <c r="V465" i="8"/>
  <c r="V466" i="8"/>
  <c r="V467" i="8"/>
  <c r="V468" i="8"/>
  <c r="V469" i="8"/>
  <c r="V470" i="8"/>
  <c r="V471" i="8"/>
  <c r="V472" i="8"/>
  <c r="V473" i="8"/>
  <c r="V474" i="8"/>
  <c r="V475" i="8"/>
  <c r="V476" i="8"/>
  <c r="V477" i="8"/>
  <c r="V478" i="8"/>
  <c r="V479" i="8"/>
  <c r="V480" i="8"/>
  <c r="V481" i="8"/>
  <c r="V482" i="8"/>
  <c r="V483" i="8"/>
  <c r="V484" i="8"/>
  <c r="V485" i="8"/>
  <c r="V486" i="8"/>
  <c r="V487" i="8"/>
  <c r="V488" i="8"/>
  <c r="V489" i="8"/>
  <c r="V490" i="8"/>
  <c r="V491" i="8"/>
  <c r="V492" i="8"/>
  <c r="V493" i="8"/>
  <c r="V494" i="8"/>
  <c r="V495" i="8"/>
  <c r="V496" i="8"/>
  <c r="V497" i="8"/>
  <c r="V498" i="8"/>
  <c r="V499" i="8"/>
  <c r="V500" i="8"/>
  <c r="V501" i="8"/>
  <c r="V502" i="8"/>
  <c r="V503" i="8"/>
  <c r="V504" i="8"/>
  <c r="V505" i="8"/>
  <c r="V506" i="8"/>
  <c r="V507" i="8"/>
  <c r="V508" i="8"/>
  <c r="V509" i="8"/>
  <c r="V510" i="8"/>
  <c r="V511" i="8"/>
  <c r="V512" i="8"/>
  <c r="V513" i="8"/>
  <c r="V514" i="8"/>
  <c r="V515" i="8"/>
  <c r="V516" i="8"/>
  <c r="V517" i="8"/>
  <c r="V518" i="8"/>
  <c r="V519" i="8"/>
  <c r="V520" i="8"/>
  <c r="V521" i="8"/>
  <c r="V522" i="8"/>
  <c r="V523" i="8"/>
  <c r="V524" i="8"/>
  <c r="V525" i="8"/>
  <c r="V526" i="8"/>
  <c r="V527" i="8"/>
  <c r="V528" i="8"/>
  <c r="V529" i="8"/>
  <c r="V530" i="8"/>
  <c r="V531" i="8"/>
  <c r="V532" i="8"/>
  <c r="V533" i="8"/>
  <c r="V534" i="8"/>
  <c r="V535" i="8"/>
  <c r="V536" i="8"/>
  <c r="V537" i="8"/>
  <c r="V538" i="8"/>
  <c r="V539" i="8"/>
  <c r="V540" i="8"/>
  <c r="V541" i="8"/>
  <c r="V542" i="8"/>
  <c r="V543" i="8"/>
  <c r="V544" i="8"/>
  <c r="V545" i="8"/>
  <c r="V546" i="8"/>
  <c r="V547" i="8"/>
  <c r="V548" i="8"/>
  <c r="V549" i="8"/>
  <c r="V550" i="8"/>
  <c r="V551" i="8"/>
  <c r="V552" i="8"/>
  <c r="V553" i="8"/>
  <c r="V554" i="8"/>
  <c r="V555" i="8"/>
  <c r="V556" i="8"/>
  <c r="V557" i="8"/>
  <c r="V558" i="8"/>
  <c r="V559" i="8"/>
  <c r="V560" i="8"/>
  <c r="V561" i="8"/>
  <c r="V562" i="8"/>
  <c r="V563" i="8"/>
  <c r="V564" i="8"/>
  <c r="V565" i="8"/>
  <c r="V566" i="8"/>
  <c r="V567" i="8"/>
  <c r="V568" i="8"/>
  <c r="V569" i="8"/>
  <c r="V570" i="8"/>
  <c r="V571" i="8"/>
  <c r="V572" i="8"/>
  <c r="V573" i="8"/>
  <c r="V574" i="8"/>
  <c r="V575" i="8"/>
  <c r="V576" i="8"/>
  <c r="V577" i="8"/>
  <c r="V578" i="8"/>
  <c r="V579" i="8"/>
  <c r="V580" i="8"/>
  <c r="V581" i="8"/>
  <c r="V582" i="8"/>
  <c r="V583" i="8"/>
  <c r="V584" i="8"/>
  <c r="V585" i="8"/>
  <c r="V586" i="8"/>
  <c r="V587" i="8"/>
  <c r="V588" i="8"/>
  <c r="V589" i="8"/>
  <c r="V590" i="8"/>
  <c r="V591" i="8"/>
  <c r="V592" i="8"/>
  <c r="V593" i="8"/>
  <c r="V594" i="8"/>
  <c r="V595" i="8"/>
  <c r="V596" i="8"/>
  <c r="V597" i="8"/>
  <c r="V598" i="8"/>
  <c r="V599" i="8"/>
  <c r="V600" i="8"/>
  <c r="V601" i="8"/>
  <c r="V602" i="8"/>
  <c r="V603" i="8"/>
  <c r="V604" i="8"/>
  <c r="V605" i="8"/>
  <c r="V606" i="8"/>
  <c r="V607" i="8"/>
  <c r="V608" i="8"/>
  <c r="V609" i="8"/>
  <c r="V610" i="8"/>
  <c r="V611" i="8"/>
  <c r="V612" i="8"/>
  <c r="V613" i="8"/>
  <c r="V614" i="8"/>
  <c r="V615" i="8"/>
  <c r="V616" i="8"/>
  <c r="V617" i="8"/>
  <c r="V618" i="8"/>
  <c r="V619" i="8"/>
  <c r="V620" i="8"/>
  <c r="V621" i="8"/>
  <c r="V622" i="8"/>
  <c r="V623" i="8"/>
  <c r="V624" i="8"/>
  <c r="V625" i="8"/>
  <c r="V626" i="8"/>
  <c r="V627" i="8"/>
  <c r="V628" i="8"/>
  <c r="V629" i="8"/>
  <c r="V630" i="8"/>
  <c r="V631" i="8"/>
  <c r="V632" i="8"/>
  <c r="V633" i="8"/>
  <c r="V634" i="8"/>
  <c r="V635" i="8"/>
  <c r="V636" i="8"/>
  <c r="V637" i="8"/>
  <c r="V638" i="8"/>
  <c r="V639" i="8"/>
  <c r="V640" i="8"/>
  <c r="V641" i="8"/>
  <c r="V642" i="8"/>
  <c r="V643" i="8"/>
  <c r="V644" i="8"/>
  <c r="V645" i="8"/>
  <c r="V646" i="8"/>
  <c r="V647" i="8"/>
  <c r="V648" i="8"/>
  <c r="V649" i="8"/>
  <c r="V650" i="8"/>
  <c r="V651" i="8"/>
  <c r="V652" i="8"/>
  <c r="V653" i="8"/>
  <c r="V654" i="8"/>
  <c r="V655" i="8"/>
  <c r="V656" i="8"/>
  <c r="V657" i="8"/>
  <c r="V658" i="8"/>
  <c r="V659" i="8"/>
  <c r="V660" i="8"/>
  <c r="V661" i="8"/>
  <c r="V662" i="8"/>
  <c r="V663" i="8"/>
  <c r="V664" i="8"/>
  <c r="V665" i="8"/>
  <c r="V666" i="8"/>
  <c r="V667" i="8"/>
  <c r="V668" i="8"/>
  <c r="V669" i="8"/>
  <c r="V670" i="8"/>
  <c r="V671" i="8"/>
  <c r="V672" i="8"/>
  <c r="V673" i="8"/>
  <c r="V674" i="8"/>
  <c r="V675" i="8"/>
  <c r="V676" i="8"/>
  <c r="V677" i="8"/>
  <c r="V678" i="8"/>
  <c r="V679" i="8"/>
  <c r="V680" i="8"/>
  <c r="V681" i="8"/>
  <c r="V682" i="8"/>
  <c r="V683" i="8"/>
  <c r="V684" i="8"/>
  <c r="V685" i="8"/>
  <c r="V686" i="8"/>
  <c r="V687" i="8"/>
  <c r="V688" i="8"/>
  <c r="V689" i="8"/>
  <c r="V690" i="8"/>
  <c r="V691" i="8"/>
  <c r="V692" i="8"/>
  <c r="V693" i="8"/>
  <c r="V694" i="8"/>
  <c r="V695" i="8"/>
  <c r="V696" i="8"/>
  <c r="V697" i="8"/>
  <c r="V698" i="8"/>
  <c r="V699" i="8"/>
  <c r="V700" i="8"/>
  <c r="V701" i="8"/>
  <c r="V702" i="8"/>
  <c r="V703" i="8"/>
  <c r="V704" i="8"/>
  <c r="V705" i="8"/>
  <c r="V706" i="8"/>
  <c r="V707" i="8"/>
  <c r="V708" i="8"/>
  <c r="V709" i="8"/>
  <c r="V710" i="8"/>
  <c r="V711" i="8"/>
  <c r="V712" i="8"/>
  <c r="V713" i="8"/>
  <c r="V714" i="8"/>
  <c r="V715" i="8"/>
  <c r="V716" i="8"/>
  <c r="V717" i="8"/>
  <c r="V718" i="8"/>
  <c r="V719" i="8"/>
  <c r="V720" i="8"/>
  <c r="V721" i="8"/>
  <c r="V722" i="8"/>
  <c r="V723" i="8"/>
  <c r="V724" i="8"/>
  <c r="V725" i="8"/>
  <c r="V726" i="8"/>
  <c r="V727" i="8"/>
  <c r="V728" i="8"/>
  <c r="V729" i="8"/>
  <c r="V730" i="8"/>
  <c r="V731" i="8"/>
  <c r="V732" i="8"/>
  <c r="V733" i="8"/>
  <c r="V734" i="8"/>
  <c r="V735" i="8"/>
  <c r="V736" i="8"/>
  <c r="V737" i="8"/>
  <c r="V738" i="8"/>
  <c r="V739" i="8"/>
  <c r="V740" i="8"/>
  <c r="V741" i="8"/>
  <c r="V742" i="8"/>
  <c r="V743" i="8"/>
  <c r="V744" i="8"/>
  <c r="V745" i="8"/>
  <c r="V746" i="8"/>
  <c r="V747" i="8"/>
  <c r="V748" i="8"/>
  <c r="V749" i="8"/>
  <c r="V750" i="8"/>
  <c r="U6" i="8"/>
  <c r="V6" i="8" s="1"/>
  <c r="U7" i="8"/>
  <c r="V7" i="8" s="1"/>
  <c r="U8" i="8"/>
  <c r="V8" i="8" s="1"/>
  <c r="U9" i="8"/>
  <c r="V9" i="8" s="1"/>
  <c r="U10" i="8"/>
  <c r="V10" i="8" s="1"/>
  <c r="U11" i="8"/>
  <c r="V11" i="8" s="1"/>
  <c r="U12" i="8"/>
  <c r="V12" i="8" s="1"/>
  <c r="U13" i="8"/>
  <c r="V13" i="8" s="1"/>
  <c r="U14" i="8"/>
  <c r="V14" i="8" s="1"/>
  <c r="U15" i="8"/>
  <c r="V15" i="8" s="1"/>
  <c r="U16" i="8"/>
  <c r="V16" i="8" s="1"/>
  <c r="U17" i="8"/>
  <c r="V17" i="8" s="1"/>
  <c r="U18" i="8"/>
  <c r="V18" i="8" s="1"/>
  <c r="U19" i="8"/>
  <c r="V19" i="8" s="1"/>
  <c r="U20" i="8"/>
  <c r="V20" i="8" s="1"/>
  <c r="U21" i="8"/>
  <c r="V21" i="8" s="1"/>
  <c r="U22" i="8"/>
  <c r="V22" i="8" s="1"/>
  <c r="U23" i="8"/>
  <c r="V23" i="8" s="1"/>
  <c r="U24" i="8"/>
  <c r="V24" i="8" s="1"/>
  <c r="U25" i="8"/>
  <c r="V25" i="8" s="1"/>
  <c r="U26" i="8"/>
  <c r="V26" i="8" s="1"/>
  <c r="U27" i="8"/>
  <c r="V27" i="8" s="1"/>
  <c r="U28" i="8"/>
  <c r="V28" i="8" s="1"/>
  <c r="U29" i="8"/>
  <c r="V29" i="8" s="1"/>
  <c r="U30" i="8"/>
  <c r="V30" i="8" s="1"/>
  <c r="U31" i="8"/>
  <c r="V31" i="8" s="1"/>
  <c r="U32" i="8"/>
  <c r="V32" i="8" s="1"/>
  <c r="U33" i="8"/>
  <c r="V33" i="8" s="1"/>
  <c r="U34" i="8"/>
  <c r="V34" i="8" s="1"/>
  <c r="U35" i="8"/>
  <c r="V35" i="8" s="1"/>
  <c r="U36" i="8"/>
  <c r="V36" i="8" s="1"/>
  <c r="U37" i="8"/>
  <c r="V37" i="8" s="1"/>
  <c r="U38" i="8"/>
  <c r="V38" i="8" s="1"/>
  <c r="U39" i="8"/>
  <c r="V39" i="8" s="1"/>
  <c r="U40" i="8"/>
  <c r="V40" i="8" s="1"/>
  <c r="U41" i="8"/>
  <c r="V41" i="8" s="1"/>
  <c r="U42" i="8"/>
  <c r="V42" i="8" s="1"/>
  <c r="U43" i="8"/>
  <c r="V43" i="8" s="1"/>
  <c r="U44" i="8"/>
  <c r="V44" i="8" s="1"/>
  <c r="U45" i="8"/>
  <c r="V45" i="8" s="1"/>
  <c r="U46" i="8"/>
  <c r="V46" i="8" s="1"/>
  <c r="U47" i="8"/>
  <c r="V47" i="8" s="1"/>
  <c r="U48" i="8"/>
  <c r="V48" i="8" s="1"/>
  <c r="U49" i="8"/>
  <c r="V49" i="8" s="1"/>
  <c r="U50" i="8"/>
  <c r="V50" i="8" s="1"/>
  <c r="U51" i="8"/>
  <c r="V51" i="8" s="1"/>
  <c r="U52" i="8"/>
  <c r="V52" i="8" s="1"/>
  <c r="U53" i="8"/>
  <c r="V53" i="8" s="1"/>
  <c r="U54" i="8"/>
  <c r="V54" i="8" s="1"/>
  <c r="U55" i="8"/>
  <c r="V55" i="8" s="1"/>
  <c r="U56" i="8"/>
  <c r="V56" i="8" s="1"/>
  <c r="U57" i="8"/>
  <c r="V57" i="8" s="1"/>
  <c r="U58" i="8"/>
  <c r="V58" i="8" s="1"/>
  <c r="U59" i="8"/>
  <c r="V59" i="8" s="1"/>
  <c r="U60" i="8"/>
  <c r="V60" i="8" s="1"/>
  <c r="U61" i="8"/>
  <c r="V61" i="8" s="1"/>
  <c r="U62" i="8"/>
  <c r="V62" i="8" s="1"/>
  <c r="U63" i="8"/>
  <c r="V63" i="8" s="1"/>
  <c r="U64" i="8"/>
  <c r="V64" i="8" s="1"/>
  <c r="U65" i="8"/>
  <c r="V65" i="8" s="1"/>
  <c r="U66" i="8"/>
  <c r="V66" i="8" s="1"/>
  <c r="U67" i="8"/>
  <c r="V67" i="8" s="1"/>
  <c r="U68" i="8"/>
  <c r="V68" i="8" s="1"/>
  <c r="U69" i="8"/>
  <c r="V69" i="8" s="1"/>
  <c r="U70" i="8"/>
  <c r="V70" i="8" s="1"/>
  <c r="U71" i="8"/>
  <c r="V71" i="8" s="1"/>
  <c r="U72" i="8"/>
  <c r="V72" i="8" s="1"/>
  <c r="U73" i="8"/>
  <c r="V73" i="8" s="1"/>
  <c r="U74" i="8"/>
  <c r="V74" i="8" s="1"/>
  <c r="U75" i="8"/>
  <c r="V75" i="8" s="1"/>
  <c r="U76" i="8"/>
  <c r="V76" i="8" s="1"/>
  <c r="U77" i="8"/>
  <c r="V77" i="8" s="1"/>
  <c r="U78" i="8"/>
  <c r="V78" i="8" s="1"/>
  <c r="U79" i="8"/>
  <c r="V79" i="8" s="1"/>
  <c r="U80" i="8"/>
  <c r="V80" i="8" s="1"/>
  <c r="U81" i="8"/>
  <c r="V81" i="8" s="1"/>
  <c r="U82" i="8"/>
  <c r="V82" i="8" s="1"/>
  <c r="U83" i="8"/>
  <c r="V83" i="8" s="1"/>
  <c r="U84" i="8"/>
  <c r="V84" i="8" s="1"/>
  <c r="U85" i="8"/>
  <c r="V85" i="8" s="1"/>
  <c r="U86" i="8"/>
  <c r="V86" i="8" s="1"/>
  <c r="U87" i="8"/>
  <c r="V87" i="8" s="1"/>
  <c r="U88" i="8"/>
  <c r="V88" i="8" s="1"/>
  <c r="U89" i="8"/>
  <c r="V89" i="8" s="1"/>
  <c r="U90" i="8"/>
  <c r="V90" i="8" s="1"/>
  <c r="U91" i="8"/>
  <c r="V91" i="8" s="1"/>
  <c r="U92" i="8"/>
  <c r="V92" i="8" s="1"/>
  <c r="U93" i="8"/>
  <c r="V93" i="8" s="1"/>
  <c r="U94" i="8"/>
  <c r="V94" i="8" s="1"/>
  <c r="U95" i="8"/>
  <c r="V95" i="8" s="1"/>
  <c r="U96" i="8"/>
  <c r="V96" i="8" s="1"/>
  <c r="U97" i="8"/>
  <c r="V97" i="8" s="1"/>
  <c r="U98" i="8"/>
  <c r="V98" i="8" s="1"/>
  <c r="U99" i="8"/>
  <c r="V99" i="8" s="1"/>
  <c r="U100" i="8"/>
  <c r="V100" i="8" s="1"/>
  <c r="U101" i="8"/>
  <c r="V101" i="8" s="1"/>
  <c r="U102" i="8"/>
  <c r="V102" i="8" s="1"/>
  <c r="U103" i="8"/>
  <c r="V103" i="8" s="1"/>
  <c r="U104" i="8"/>
  <c r="V104" i="8" s="1"/>
  <c r="U105" i="8"/>
  <c r="V105" i="8" s="1"/>
  <c r="U106" i="8"/>
  <c r="V106" i="8" s="1"/>
  <c r="U107" i="8"/>
  <c r="V107" i="8" s="1"/>
  <c r="U108" i="8"/>
  <c r="V108" i="8" s="1"/>
  <c r="U109" i="8"/>
  <c r="V109" i="8" s="1"/>
  <c r="U110" i="8"/>
  <c r="V110" i="8" s="1"/>
  <c r="U111" i="8"/>
  <c r="V111" i="8" s="1"/>
  <c r="U112" i="8"/>
  <c r="V112" i="8" s="1"/>
  <c r="U113" i="8"/>
  <c r="V113" i="8" s="1"/>
  <c r="U114" i="8"/>
  <c r="V114" i="8" s="1"/>
  <c r="U115" i="8"/>
  <c r="V115" i="8" s="1"/>
  <c r="U116" i="8"/>
  <c r="V116" i="8" s="1"/>
  <c r="U117" i="8"/>
  <c r="V117" i="8" s="1"/>
  <c r="U118" i="8"/>
  <c r="V118" i="8" s="1"/>
  <c r="U119" i="8"/>
  <c r="V119" i="8" s="1"/>
  <c r="U120" i="8"/>
  <c r="V120" i="8" s="1"/>
  <c r="U121" i="8"/>
  <c r="V121" i="8" s="1"/>
  <c r="U122" i="8"/>
  <c r="V122" i="8" s="1"/>
  <c r="U123" i="8"/>
  <c r="V123" i="8" s="1"/>
  <c r="U124" i="8"/>
  <c r="V124" i="8" s="1"/>
  <c r="U125" i="8"/>
  <c r="V125" i="8" s="1"/>
  <c r="U126" i="8"/>
  <c r="V126" i="8" s="1"/>
  <c r="U127" i="8"/>
  <c r="V127" i="8" s="1"/>
  <c r="U128" i="8"/>
  <c r="V128" i="8" s="1"/>
  <c r="U129" i="8"/>
  <c r="V129" i="8" s="1"/>
  <c r="U130" i="8"/>
  <c r="V130" i="8" s="1"/>
  <c r="U131" i="8"/>
  <c r="V131" i="8" s="1"/>
  <c r="U132" i="8"/>
  <c r="V132" i="8" s="1"/>
  <c r="U133" i="8"/>
  <c r="V133" i="8" s="1"/>
  <c r="U134" i="8"/>
  <c r="V134" i="8" s="1"/>
  <c r="U135" i="8"/>
  <c r="V135" i="8" s="1"/>
  <c r="U136" i="8"/>
  <c r="V136" i="8" s="1"/>
  <c r="U137" i="8"/>
  <c r="V137" i="8" s="1"/>
  <c r="U138" i="8"/>
  <c r="V138" i="8" s="1"/>
  <c r="U139" i="8"/>
  <c r="V139" i="8" s="1"/>
  <c r="U140" i="8"/>
  <c r="V140" i="8" s="1"/>
  <c r="U141" i="8"/>
  <c r="V141" i="8" s="1"/>
  <c r="U142" i="8"/>
  <c r="V142" i="8" s="1"/>
  <c r="U143" i="8"/>
  <c r="V143" i="8" s="1"/>
  <c r="U144" i="8"/>
  <c r="V144" i="8" s="1"/>
  <c r="U145" i="8"/>
  <c r="V145" i="8" s="1"/>
  <c r="U146" i="8"/>
  <c r="V146" i="8" s="1"/>
  <c r="U147" i="8"/>
  <c r="V147" i="8" s="1"/>
  <c r="U148" i="8"/>
  <c r="V148" i="8" s="1"/>
  <c r="U149" i="8"/>
  <c r="V149" i="8" s="1"/>
  <c r="U150" i="8"/>
  <c r="V150" i="8" s="1"/>
  <c r="U151" i="8"/>
  <c r="V151" i="8" s="1"/>
  <c r="U152" i="8"/>
  <c r="V152" i="8" s="1"/>
  <c r="U153" i="8"/>
  <c r="V153" i="8" s="1"/>
  <c r="U154" i="8"/>
  <c r="V154" i="8" s="1"/>
  <c r="U155" i="8"/>
  <c r="V155" i="8" s="1"/>
  <c r="U156" i="8"/>
  <c r="V156" i="8" s="1"/>
  <c r="U157" i="8"/>
  <c r="V157" i="8" s="1"/>
  <c r="U158" i="8"/>
  <c r="V158" i="8" s="1"/>
  <c r="U159" i="8"/>
  <c r="V159" i="8" s="1"/>
  <c r="U160" i="8"/>
  <c r="V160" i="8" s="1"/>
  <c r="U161" i="8"/>
  <c r="V161" i="8" s="1"/>
  <c r="U162" i="8"/>
  <c r="V162" i="8" s="1"/>
  <c r="U163" i="8"/>
  <c r="V163" i="8" s="1"/>
  <c r="U164" i="8"/>
  <c r="V164" i="8" s="1"/>
  <c r="U165" i="8"/>
  <c r="V165" i="8" s="1"/>
  <c r="U166" i="8"/>
  <c r="V166" i="8" s="1"/>
  <c r="U167" i="8"/>
  <c r="V167" i="8" s="1"/>
  <c r="U168" i="8"/>
  <c r="V168" i="8" s="1"/>
  <c r="U169" i="8"/>
  <c r="V169" i="8" s="1"/>
  <c r="U170" i="8"/>
  <c r="V170" i="8" s="1"/>
  <c r="U171" i="8"/>
  <c r="V171" i="8" s="1"/>
  <c r="U172" i="8"/>
  <c r="V172" i="8" s="1"/>
  <c r="U173" i="8"/>
  <c r="V173" i="8" s="1"/>
  <c r="U174" i="8"/>
  <c r="V174" i="8" s="1"/>
  <c r="U175" i="8"/>
  <c r="V175" i="8" s="1"/>
  <c r="U176" i="8"/>
  <c r="V176" i="8" s="1"/>
  <c r="U177" i="8"/>
  <c r="V177" i="8" s="1"/>
  <c r="U178" i="8"/>
  <c r="V178" i="8" s="1"/>
  <c r="U179" i="8"/>
  <c r="V179" i="8" s="1"/>
  <c r="U180" i="8"/>
  <c r="V180" i="8" s="1"/>
  <c r="U181" i="8"/>
  <c r="V181" i="8" s="1"/>
  <c r="U182" i="8"/>
  <c r="V182" i="8" s="1"/>
  <c r="U183" i="8"/>
  <c r="V183" i="8" s="1"/>
  <c r="U184" i="8"/>
  <c r="V184" i="8" s="1"/>
  <c r="U185" i="8"/>
  <c r="V185" i="8" s="1"/>
  <c r="U186" i="8"/>
  <c r="V186" i="8" s="1"/>
  <c r="U187" i="8"/>
  <c r="V187" i="8" s="1"/>
  <c r="U188" i="8"/>
  <c r="V188" i="8" s="1"/>
  <c r="U189" i="8"/>
  <c r="V189" i="8" s="1"/>
  <c r="U190" i="8"/>
  <c r="V190" i="8" s="1"/>
  <c r="U191" i="8"/>
  <c r="V191" i="8" s="1"/>
  <c r="U192" i="8"/>
  <c r="V192" i="8" s="1"/>
  <c r="U193" i="8"/>
  <c r="V193" i="8" s="1"/>
  <c r="U194" i="8"/>
  <c r="V194" i="8" s="1"/>
  <c r="U195" i="8"/>
  <c r="V195" i="8" s="1"/>
  <c r="U196" i="8"/>
  <c r="V196" i="8" s="1"/>
  <c r="U197" i="8"/>
  <c r="V197" i="8" s="1"/>
  <c r="U198" i="8"/>
  <c r="V198" i="8" s="1"/>
  <c r="U199" i="8"/>
  <c r="V199" i="8" s="1"/>
  <c r="U200" i="8"/>
  <c r="V200" i="8" s="1"/>
  <c r="U201" i="8"/>
  <c r="V201" i="8" s="1"/>
  <c r="U202" i="8"/>
  <c r="V202" i="8" s="1"/>
  <c r="U203" i="8"/>
  <c r="V203" i="8" s="1"/>
  <c r="U204" i="8"/>
  <c r="V204" i="8" s="1"/>
  <c r="U205" i="8"/>
  <c r="V205" i="8" s="1"/>
  <c r="U206" i="8"/>
  <c r="V206" i="8" s="1"/>
  <c r="U207" i="8"/>
  <c r="V207" i="8" s="1"/>
  <c r="U208" i="8"/>
  <c r="V208" i="8" s="1"/>
  <c r="U209" i="8"/>
  <c r="V209" i="8" s="1"/>
  <c r="U210" i="8"/>
  <c r="V210" i="8" s="1"/>
  <c r="U211" i="8"/>
  <c r="V211" i="8" s="1"/>
  <c r="U212" i="8"/>
  <c r="V212" i="8" s="1"/>
  <c r="U213" i="8"/>
  <c r="V213" i="8" s="1"/>
  <c r="U214" i="8"/>
  <c r="V214" i="8" s="1"/>
  <c r="U215" i="8"/>
  <c r="V215" i="8" s="1"/>
  <c r="U216" i="8"/>
  <c r="V216" i="8" s="1"/>
  <c r="U217" i="8"/>
  <c r="V217" i="8" s="1"/>
  <c r="U218" i="8"/>
  <c r="V218" i="8" s="1"/>
  <c r="U219" i="8"/>
  <c r="V219" i="8" s="1"/>
  <c r="U220" i="8"/>
  <c r="V220" i="8" s="1"/>
  <c r="U221" i="8"/>
  <c r="V221" i="8" s="1"/>
  <c r="U222" i="8"/>
  <c r="V222" i="8" s="1"/>
  <c r="U223" i="8"/>
  <c r="V223" i="8" s="1"/>
  <c r="U224" i="8"/>
  <c r="V224" i="8" s="1"/>
  <c r="U225" i="8"/>
  <c r="V225" i="8" s="1"/>
  <c r="U226" i="8"/>
  <c r="V226" i="8" s="1"/>
  <c r="U227" i="8"/>
  <c r="V227" i="8" s="1"/>
  <c r="U228" i="8"/>
  <c r="V228" i="8" s="1"/>
  <c r="U229" i="8"/>
  <c r="V229" i="8" s="1"/>
  <c r="U230" i="8"/>
  <c r="V230" i="8" s="1"/>
  <c r="U231" i="8"/>
  <c r="V231" i="8" s="1"/>
  <c r="U232" i="8"/>
  <c r="V232" i="8" s="1"/>
  <c r="U233" i="8"/>
  <c r="V233" i="8" s="1"/>
  <c r="U234" i="8"/>
  <c r="V234" i="8" s="1"/>
  <c r="U235" i="8"/>
  <c r="V235" i="8" s="1"/>
  <c r="U236" i="8"/>
  <c r="V236" i="8" s="1"/>
  <c r="U237" i="8"/>
  <c r="V237" i="8" s="1"/>
  <c r="U238" i="8"/>
  <c r="V238" i="8" s="1"/>
  <c r="U239" i="8"/>
  <c r="V239" i="8" s="1"/>
  <c r="U240" i="8"/>
  <c r="V240" i="8" s="1"/>
  <c r="U241" i="8"/>
  <c r="V241" i="8" s="1"/>
  <c r="U242" i="8"/>
  <c r="V242" i="8" s="1"/>
  <c r="U243" i="8"/>
  <c r="V243" i="8" s="1"/>
  <c r="U244" i="8"/>
  <c r="V244" i="8" s="1"/>
  <c r="U245" i="8"/>
  <c r="V245" i="8" s="1"/>
  <c r="U246" i="8"/>
  <c r="V246" i="8" s="1"/>
  <c r="U247" i="8"/>
  <c r="V247" i="8" s="1"/>
  <c r="U248" i="8"/>
  <c r="V248" i="8" s="1"/>
  <c r="U249" i="8"/>
  <c r="V249" i="8" s="1"/>
  <c r="U250" i="8"/>
  <c r="V250" i="8" s="1"/>
  <c r="U251" i="8"/>
  <c r="V251" i="8" s="1"/>
  <c r="U252" i="8"/>
  <c r="V252" i="8" s="1"/>
  <c r="U253" i="8"/>
  <c r="V253" i="8" s="1"/>
  <c r="U254" i="8"/>
  <c r="V254" i="8" s="1"/>
  <c r="U255" i="8"/>
  <c r="V255" i="8" s="1"/>
  <c r="U256" i="8"/>
  <c r="V256" i="8" s="1"/>
  <c r="U257" i="8"/>
  <c r="V257" i="8" s="1"/>
  <c r="U258" i="8"/>
  <c r="V258" i="8" s="1"/>
  <c r="U259" i="8"/>
  <c r="V259" i="8" s="1"/>
  <c r="U260" i="8"/>
  <c r="V260" i="8" s="1"/>
  <c r="U261" i="8"/>
  <c r="V261" i="8" s="1"/>
  <c r="U262" i="8"/>
  <c r="V262" i="8" s="1"/>
  <c r="U263" i="8"/>
  <c r="V263" i="8" s="1"/>
  <c r="U264" i="8"/>
  <c r="V264" i="8" s="1"/>
  <c r="U265" i="8"/>
  <c r="V265" i="8" s="1"/>
  <c r="U266" i="8"/>
  <c r="V266" i="8" s="1"/>
  <c r="U267" i="8"/>
  <c r="V267" i="8" s="1"/>
  <c r="U268" i="8"/>
  <c r="V268" i="8" s="1"/>
  <c r="U269" i="8"/>
  <c r="V269" i="8" s="1"/>
  <c r="U270" i="8"/>
  <c r="V270" i="8" s="1"/>
  <c r="U271" i="8"/>
  <c r="V271" i="8" s="1"/>
  <c r="U272" i="8"/>
  <c r="V272" i="8" s="1"/>
  <c r="U273" i="8"/>
  <c r="V273" i="8" s="1"/>
  <c r="U274" i="8"/>
  <c r="V274" i="8" s="1"/>
  <c r="U275" i="8"/>
  <c r="V275" i="8" s="1"/>
  <c r="U276" i="8"/>
  <c r="V276" i="8" s="1"/>
  <c r="U277" i="8"/>
  <c r="V277" i="8" s="1"/>
  <c r="U278" i="8"/>
  <c r="V278" i="8" s="1"/>
  <c r="U279" i="8"/>
  <c r="V279" i="8" s="1"/>
  <c r="U280" i="8"/>
  <c r="V280" i="8" s="1"/>
  <c r="U281" i="8"/>
  <c r="V281" i="8" s="1"/>
  <c r="U282" i="8"/>
  <c r="V282" i="8" s="1"/>
  <c r="U283" i="8"/>
  <c r="V283" i="8" s="1"/>
  <c r="U284" i="8"/>
  <c r="V284" i="8" s="1"/>
  <c r="U285" i="8"/>
  <c r="V285" i="8" s="1"/>
  <c r="U286" i="8"/>
  <c r="V286" i="8" s="1"/>
  <c r="U287" i="8"/>
  <c r="V287" i="8" s="1"/>
  <c r="U288" i="8"/>
  <c r="V288" i="8" s="1"/>
  <c r="U289" i="8"/>
  <c r="V289" i="8" s="1"/>
  <c r="U290" i="8"/>
  <c r="V290" i="8" s="1"/>
  <c r="U291" i="8"/>
  <c r="V291" i="8" s="1"/>
  <c r="U292" i="8"/>
  <c r="V292" i="8" s="1"/>
  <c r="U293" i="8"/>
  <c r="V293" i="8" s="1"/>
  <c r="U294" i="8"/>
  <c r="V294" i="8" s="1"/>
  <c r="U295" i="8"/>
  <c r="V295" i="8" s="1"/>
  <c r="U296" i="8"/>
  <c r="V296" i="8" s="1"/>
  <c r="U297" i="8"/>
  <c r="V297" i="8" s="1"/>
  <c r="U298" i="8"/>
  <c r="V298" i="8" s="1"/>
  <c r="U299" i="8"/>
  <c r="V299" i="8" s="1"/>
  <c r="U300" i="8"/>
  <c r="V300" i="8" s="1"/>
  <c r="U301" i="8"/>
  <c r="V301" i="8" s="1"/>
  <c r="U302" i="8"/>
  <c r="V302" i="8" s="1"/>
  <c r="U303" i="8"/>
  <c r="V303" i="8" s="1"/>
  <c r="U304" i="8"/>
  <c r="V304" i="8" s="1"/>
  <c r="U305" i="8"/>
  <c r="V305" i="8" s="1"/>
  <c r="U306" i="8"/>
  <c r="V306" i="8" s="1"/>
  <c r="U307" i="8"/>
  <c r="V307" i="8" s="1"/>
  <c r="U308" i="8"/>
  <c r="V308" i="8" s="1"/>
  <c r="U309" i="8"/>
  <c r="V309" i="8" s="1"/>
  <c r="U310" i="8"/>
  <c r="V310" i="8" s="1"/>
  <c r="U311" i="8"/>
  <c r="V311" i="8" s="1"/>
  <c r="U312" i="8"/>
  <c r="V312" i="8" s="1"/>
  <c r="U313" i="8"/>
  <c r="V313" i="8" s="1"/>
  <c r="U314" i="8"/>
  <c r="V314" i="8" s="1"/>
  <c r="U315" i="8"/>
  <c r="V315" i="8" s="1"/>
  <c r="U316" i="8"/>
  <c r="V316" i="8" s="1"/>
  <c r="U317" i="8"/>
  <c r="V317" i="8" s="1"/>
  <c r="U318" i="8"/>
  <c r="V318" i="8" s="1"/>
  <c r="U319" i="8"/>
  <c r="V319" i="8" s="1"/>
  <c r="U320" i="8"/>
  <c r="V320" i="8" s="1"/>
  <c r="U321" i="8"/>
  <c r="V321" i="8" s="1"/>
  <c r="U322" i="8"/>
  <c r="V322" i="8" s="1"/>
  <c r="U323" i="8"/>
  <c r="V323" i="8" s="1"/>
  <c r="U324" i="8"/>
  <c r="V324" i="8" s="1"/>
  <c r="U325" i="8"/>
  <c r="V325" i="8" s="1"/>
  <c r="U326" i="8"/>
  <c r="V326" i="8" s="1"/>
  <c r="U327" i="8"/>
  <c r="V327" i="8" s="1"/>
  <c r="U328" i="8"/>
  <c r="V328" i="8" s="1"/>
  <c r="U329" i="8"/>
  <c r="V329" i="8" s="1"/>
  <c r="U330" i="8"/>
  <c r="V330" i="8" s="1"/>
  <c r="U331" i="8"/>
  <c r="V331" i="8" s="1"/>
  <c r="U332" i="8"/>
  <c r="V332" i="8" s="1"/>
  <c r="U345" i="8"/>
  <c r="U346" i="8"/>
  <c r="U347" i="8"/>
  <c r="U348" i="8"/>
  <c r="U349" i="8"/>
  <c r="U350" i="8"/>
  <c r="U351" i="8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8"/>
  <c r="U376" i="8"/>
  <c r="U377" i="8"/>
  <c r="U378" i="8"/>
  <c r="U379" i="8"/>
  <c r="U380" i="8"/>
  <c r="U381" i="8"/>
  <c r="U382" i="8"/>
  <c r="U383" i="8"/>
  <c r="U384" i="8"/>
  <c r="U385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U401" i="8"/>
  <c r="U402" i="8"/>
  <c r="U403" i="8"/>
  <c r="U404" i="8"/>
  <c r="U405" i="8"/>
  <c r="U406" i="8"/>
  <c r="U407" i="8"/>
  <c r="U408" i="8"/>
  <c r="U409" i="8"/>
  <c r="U410" i="8"/>
  <c r="U411" i="8"/>
  <c r="U412" i="8"/>
  <c r="U413" i="8"/>
  <c r="U414" i="8"/>
  <c r="U415" i="8"/>
  <c r="U416" i="8"/>
  <c r="U417" i="8"/>
  <c r="U418" i="8"/>
  <c r="U419" i="8"/>
  <c r="U420" i="8"/>
  <c r="U421" i="8"/>
  <c r="U422" i="8"/>
  <c r="U423" i="8"/>
  <c r="U424" i="8"/>
  <c r="U425" i="8"/>
  <c r="U426" i="8"/>
  <c r="U427" i="8"/>
  <c r="U428" i="8"/>
  <c r="U429" i="8"/>
  <c r="U430" i="8"/>
  <c r="U431" i="8"/>
  <c r="U432" i="8"/>
  <c r="U433" i="8"/>
  <c r="U434" i="8"/>
  <c r="U435" i="8"/>
  <c r="U436" i="8"/>
  <c r="U437" i="8"/>
  <c r="U438" i="8"/>
  <c r="U439" i="8"/>
  <c r="U440" i="8"/>
  <c r="U441" i="8"/>
  <c r="U442" i="8"/>
  <c r="U443" i="8"/>
  <c r="U444" i="8"/>
  <c r="U445" i="8"/>
  <c r="U446" i="8"/>
  <c r="U447" i="8"/>
  <c r="U448" i="8"/>
  <c r="U449" i="8"/>
  <c r="U450" i="8"/>
  <c r="U451" i="8"/>
  <c r="U452" i="8"/>
  <c r="U453" i="8"/>
  <c r="U454" i="8"/>
  <c r="U455" i="8"/>
  <c r="U456" i="8"/>
  <c r="U457" i="8"/>
  <c r="U458" i="8"/>
  <c r="U459" i="8"/>
  <c r="U460" i="8"/>
  <c r="U461" i="8"/>
  <c r="U462" i="8"/>
  <c r="U463" i="8"/>
  <c r="U464" i="8"/>
  <c r="U465" i="8"/>
  <c r="U466" i="8"/>
  <c r="U467" i="8"/>
  <c r="U468" i="8"/>
  <c r="U469" i="8"/>
  <c r="U470" i="8"/>
  <c r="U471" i="8"/>
  <c r="U472" i="8"/>
  <c r="U473" i="8"/>
  <c r="U474" i="8"/>
  <c r="U475" i="8"/>
  <c r="U476" i="8"/>
  <c r="U477" i="8"/>
  <c r="U478" i="8"/>
  <c r="U479" i="8"/>
  <c r="U480" i="8"/>
  <c r="U481" i="8"/>
  <c r="U482" i="8"/>
  <c r="U483" i="8"/>
  <c r="U484" i="8"/>
  <c r="U485" i="8"/>
  <c r="U486" i="8"/>
  <c r="U487" i="8"/>
  <c r="U488" i="8"/>
  <c r="U489" i="8"/>
  <c r="U490" i="8"/>
  <c r="U491" i="8"/>
  <c r="U492" i="8"/>
  <c r="U493" i="8"/>
  <c r="U494" i="8"/>
  <c r="U495" i="8"/>
  <c r="U496" i="8"/>
  <c r="U497" i="8"/>
  <c r="U498" i="8"/>
  <c r="U499" i="8"/>
  <c r="U500" i="8"/>
  <c r="U501" i="8"/>
  <c r="U502" i="8"/>
  <c r="U503" i="8"/>
  <c r="U504" i="8"/>
  <c r="U505" i="8"/>
  <c r="U506" i="8"/>
  <c r="U507" i="8"/>
  <c r="U508" i="8"/>
  <c r="U509" i="8"/>
  <c r="U510" i="8"/>
  <c r="U511" i="8"/>
  <c r="U512" i="8"/>
  <c r="U513" i="8"/>
  <c r="U514" i="8"/>
  <c r="U515" i="8"/>
  <c r="U516" i="8"/>
  <c r="U517" i="8"/>
  <c r="U518" i="8"/>
  <c r="U519" i="8"/>
  <c r="U520" i="8"/>
  <c r="U521" i="8"/>
  <c r="U522" i="8"/>
  <c r="U523" i="8"/>
  <c r="U524" i="8"/>
  <c r="U525" i="8"/>
  <c r="U526" i="8"/>
  <c r="U527" i="8"/>
  <c r="U528" i="8"/>
  <c r="U529" i="8"/>
  <c r="U530" i="8"/>
  <c r="U531" i="8"/>
  <c r="U532" i="8"/>
  <c r="U533" i="8"/>
  <c r="U534" i="8"/>
  <c r="U535" i="8"/>
  <c r="U536" i="8"/>
  <c r="U537" i="8"/>
  <c r="U538" i="8"/>
  <c r="U539" i="8"/>
  <c r="U540" i="8"/>
  <c r="U541" i="8"/>
  <c r="U542" i="8"/>
  <c r="U543" i="8"/>
  <c r="U544" i="8"/>
  <c r="U545" i="8"/>
  <c r="U546" i="8"/>
  <c r="U547" i="8"/>
  <c r="U548" i="8"/>
  <c r="U549" i="8"/>
  <c r="U550" i="8"/>
  <c r="U551" i="8"/>
  <c r="U552" i="8"/>
  <c r="U553" i="8"/>
  <c r="U554" i="8"/>
  <c r="U555" i="8"/>
  <c r="U556" i="8"/>
  <c r="U557" i="8"/>
  <c r="U558" i="8"/>
  <c r="U559" i="8"/>
  <c r="U560" i="8"/>
  <c r="U561" i="8"/>
  <c r="U562" i="8"/>
  <c r="U563" i="8"/>
  <c r="U564" i="8"/>
  <c r="U565" i="8"/>
  <c r="U566" i="8"/>
  <c r="U567" i="8"/>
  <c r="U568" i="8"/>
  <c r="U569" i="8"/>
  <c r="U570" i="8"/>
  <c r="U571" i="8"/>
  <c r="U572" i="8"/>
  <c r="U573" i="8"/>
  <c r="U574" i="8"/>
  <c r="U575" i="8"/>
  <c r="U576" i="8"/>
  <c r="U577" i="8"/>
  <c r="U578" i="8"/>
  <c r="U579" i="8"/>
  <c r="U580" i="8"/>
  <c r="U581" i="8"/>
  <c r="U582" i="8"/>
  <c r="U583" i="8"/>
  <c r="U584" i="8"/>
  <c r="U585" i="8"/>
  <c r="U586" i="8"/>
  <c r="U587" i="8"/>
  <c r="U588" i="8"/>
  <c r="U589" i="8"/>
  <c r="U590" i="8"/>
  <c r="U591" i="8"/>
  <c r="U592" i="8"/>
  <c r="U593" i="8"/>
  <c r="U594" i="8"/>
  <c r="U595" i="8"/>
  <c r="U596" i="8"/>
  <c r="U597" i="8"/>
  <c r="U598" i="8"/>
  <c r="U599" i="8"/>
  <c r="U600" i="8"/>
  <c r="U601" i="8"/>
  <c r="U602" i="8"/>
  <c r="U603" i="8"/>
  <c r="U604" i="8"/>
  <c r="U605" i="8"/>
  <c r="U606" i="8"/>
  <c r="U607" i="8"/>
  <c r="U608" i="8"/>
  <c r="U609" i="8"/>
  <c r="U610" i="8"/>
  <c r="U611" i="8"/>
  <c r="U612" i="8"/>
  <c r="U613" i="8"/>
  <c r="U614" i="8"/>
  <c r="U615" i="8"/>
  <c r="U616" i="8"/>
  <c r="U617" i="8"/>
  <c r="U618" i="8"/>
  <c r="U619" i="8"/>
  <c r="U620" i="8"/>
  <c r="U621" i="8"/>
  <c r="U622" i="8"/>
  <c r="U623" i="8"/>
  <c r="U624" i="8"/>
  <c r="U625" i="8"/>
  <c r="U626" i="8"/>
  <c r="U627" i="8"/>
  <c r="U628" i="8"/>
  <c r="U629" i="8"/>
  <c r="U630" i="8"/>
  <c r="U631" i="8"/>
  <c r="U632" i="8"/>
  <c r="U633" i="8"/>
  <c r="U634" i="8"/>
  <c r="U635" i="8"/>
  <c r="U636" i="8"/>
  <c r="U637" i="8"/>
  <c r="U638" i="8"/>
  <c r="U639" i="8"/>
  <c r="U640" i="8"/>
  <c r="U641" i="8"/>
  <c r="U642" i="8"/>
  <c r="U643" i="8"/>
  <c r="U644" i="8"/>
  <c r="U645" i="8"/>
  <c r="U646" i="8"/>
  <c r="U647" i="8"/>
  <c r="U648" i="8"/>
  <c r="U649" i="8"/>
  <c r="U650" i="8"/>
  <c r="U651" i="8"/>
  <c r="U652" i="8"/>
  <c r="U653" i="8"/>
  <c r="U654" i="8"/>
  <c r="U655" i="8"/>
  <c r="U656" i="8"/>
  <c r="U657" i="8"/>
  <c r="U658" i="8"/>
  <c r="U659" i="8"/>
  <c r="U660" i="8"/>
  <c r="U661" i="8"/>
  <c r="U662" i="8"/>
  <c r="U663" i="8"/>
  <c r="U664" i="8"/>
  <c r="U665" i="8"/>
  <c r="U666" i="8"/>
  <c r="U667" i="8"/>
  <c r="U668" i="8"/>
  <c r="U669" i="8"/>
  <c r="U670" i="8"/>
  <c r="U671" i="8"/>
  <c r="U672" i="8"/>
  <c r="U673" i="8"/>
  <c r="U674" i="8"/>
  <c r="U675" i="8"/>
  <c r="U676" i="8"/>
  <c r="U677" i="8"/>
  <c r="U678" i="8"/>
  <c r="U679" i="8"/>
  <c r="U680" i="8"/>
  <c r="U681" i="8"/>
  <c r="U682" i="8"/>
  <c r="U683" i="8"/>
  <c r="U684" i="8"/>
  <c r="U685" i="8"/>
  <c r="U686" i="8"/>
  <c r="U687" i="8"/>
  <c r="U688" i="8"/>
  <c r="U689" i="8"/>
  <c r="U690" i="8"/>
  <c r="U691" i="8"/>
  <c r="U692" i="8"/>
  <c r="U693" i="8"/>
  <c r="U694" i="8"/>
  <c r="U695" i="8"/>
  <c r="U696" i="8"/>
  <c r="U697" i="8"/>
  <c r="U698" i="8"/>
  <c r="U699" i="8"/>
  <c r="U700" i="8"/>
  <c r="U701" i="8"/>
  <c r="U702" i="8"/>
  <c r="U703" i="8"/>
  <c r="U704" i="8"/>
  <c r="U705" i="8"/>
  <c r="U706" i="8"/>
  <c r="U707" i="8"/>
  <c r="U708" i="8"/>
  <c r="U709" i="8"/>
  <c r="U710" i="8"/>
  <c r="U711" i="8"/>
  <c r="U712" i="8"/>
  <c r="U713" i="8"/>
  <c r="U714" i="8"/>
  <c r="U715" i="8"/>
  <c r="U716" i="8"/>
  <c r="U717" i="8"/>
  <c r="U718" i="8"/>
  <c r="U719" i="8"/>
  <c r="U720" i="8"/>
  <c r="U721" i="8"/>
  <c r="U722" i="8"/>
  <c r="U723" i="8"/>
  <c r="U724" i="8"/>
  <c r="U725" i="8"/>
  <c r="U726" i="8"/>
  <c r="U727" i="8"/>
  <c r="U728" i="8"/>
  <c r="U729" i="8"/>
  <c r="U730" i="8"/>
  <c r="U731" i="8"/>
  <c r="U732" i="8"/>
  <c r="U733" i="8"/>
  <c r="U734" i="8"/>
  <c r="U735" i="8"/>
  <c r="U736" i="8"/>
  <c r="U737" i="8"/>
  <c r="U738" i="8"/>
  <c r="U739" i="8"/>
  <c r="U740" i="8"/>
  <c r="U741" i="8"/>
  <c r="U742" i="8"/>
  <c r="U743" i="8"/>
  <c r="U744" i="8"/>
  <c r="U745" i="8"/>
  <c r="U746" i="8"/>
  <c r="U747" i="8"/>
  <c r="U748" i="8"/>
  <c r="U749" i="8"/>
  <c r="U750" i="8"/>
  <c r="U5" i="8"/>
  <c r="V5" i="8" s="1"/>
  <c r="U4" i="8"/>
  <c r="V4" i="8" s="1"/>
  <c r="F157" i="72" l="1"/>
  <c r="M147" i="149"/>
  <c r="J109" i="72"/>
  <c r="J111" i="72" s="1"/>
  <c r="F111" i="72"/>
  <c r="F289" i="100"/>
  <c r="F876" i="107" s="1"/>
  <c r="F289" i="151"/>
  <c r="F876" i="161" s="1"/>
  <c r="J112" i="92"/>
  <c r="J112" i="152"/>
  <c r="F64" i="72"/>
  <c r="H908" i="161"/>
  <c r="I908" i="161" s="1"/>
  <c r="E32" i="108"/>
  <c r="E34" i="108" s="1"/>
  <c r="G34" i="108" s="1"/>
  <c r="H872" i="107"/>
  <c r="I872" i="107" s="1"/>
  <c r="H986" i="119" s="1"/>
  <c r="G872" i="107"/>
  <c r="F986" i="119" s="1"/>
  <c r="F943" i="107"/>
  <c r="E1081" i="119" s="1"/>
  <c r="G1121" i="120"/>
  <c r="G1334" i="161"/>
  <c r="G1354" i="161" s="1"/>
  <c r="F874" i="107"/>
  <c r="E988" i="119" s="1"/>
  <c r="F1354" i="161"/>
  <c r="G943" i="161"/>
  <c r="E194" i="149"/>
  <c r="U188" i="149" s="1"/>
  <c r="U189" i="149" s="1"/>
  <c r="U192" i="149" s="1"/>
  <c r="H439" i="161"/>
  <c r="I439" i="161" s="1"/>
  <c r="I411" i="161"/>
  <c r="F939" i="161"/>
  <c r="E183" i="149"/>
  <c r="L201" i="149"/>
  <c r="F1111" i="161"/>
  <c r="H1106" i="161"/>
  <c r="I1106" i="161" s="1"/>
  <c r="G1106" i="161"/>
  <c r="G947" i="161"/>
  <c r="F948" i="161"/>
  <c r="M914" i="161"/>
  <c r="L914" i="161"/>
  <c r="Q914" i="161"/>
  <c r="N914" i="161"/>
  <c r="K914" i="161"/>
  <c r="P914" i="161"/>
  <c r="O914" i="161"/>
  <c r="I410" i="161"/>
  <c r="G410" i="161"/>
  <c r="H410" i="161"/>
  <c r="J410" i="161" s="1"/>
  <c r="I913" i="161"/>
  <c r="G915" i="161"/>
  <c r="K1102" i="161"/>
  <c r="M1102" i="161"/>
  <c r="O1102" i="161"/>
  <c r="L1102" i="161"/>
  <c r="Q1102" i="161"/>
  <c r="P1102" i="161"/>
  <c r="N1102" i="161"/>
  <c r="J925" i="161"/>
  <c r="J947" i="161" s="1"/>
  <c r="H929" i="161"/>
  <c r="I929" i="161" s="1"/>
  <c r="N397" i="161"/>
  <c r="M397" i="161"/>
  <c r="L397" i="161"/>
  <c r="K397" i="161"/>
  <c r="Q397" i="161"/>
  <c r="O397" i="161"/>
  <c r="J439" i="161"/>
  <c r="P397" i="161"/>
  <c r="G1100" i="161"/>
  <c r="H1100" i="161"/>
  <c r="I1100" i="161" s="1"/>
  <c r="G395" i="161"/>
  <c r="H395" i="161"/>
  <c r="P904" i="161"/>
  <c r="K904" i="161"/>
  <c r="M904" i="161"/>
  <c r="L904" i="161"/>
  <c r="Q904" i="161"/>
  <c r="O904" i="161"/>
  <c r="N904" i="161"/>
  <c r="H943" i="161"/>
  <c r="I943" i="161" s="1"/>
  <c r="E126" i="149"/>
  <c r="L144" i="149"/>
  <c r="Q913" i="161"/>
  <c r="P913" i="161"/>
  <c r="M913" i="161"/>
  <c r="L913" i="161"/>
  <c r="N913" i="161"/>
  <c r="O913" i="161"/>
  <c r="K913" i="161"/>
  <c r="H915" i="161"/>
  <c r="I915" i="161" s="1"/>
  <c r="G415" i="161"/>
  <c r="I415" i="161"/>
  <c r="H415" i="161"/>
  <c r="F420" i="161"/>
  <c r="G908" i="161"/>
  <c r="K918" i="161"/>
  <c r="N918" i="161"/>
  <c r="O918" i="161"/>
  <c r="P918" i="161"/>
  <c r="M918" i="161"/>
  <c r="L918" i="161"/>
  <c r="Q918" i="161"/>
  <c r="I401" i="161"/>
  <c r="J401" i="161"/>
  <c r="I1115" i="161"/>
  <c r="G1115" i="161"/>
  <c r="H1115" i="161"/>
  <c r="J1115" i="161" s="1"/>
  <c r="L907" i="161"/>
  <c r="P907" i="161"/>
  <c r="N907" i="161"/>
  <c r="O907" i="161"/>
  <c r="K907" i="161"/>
  <c r="Q907" i="161"/>
  <c r="M907" i="161"/>
  <c r="L911" i="161"/>
  <c r="O911" i="161"/>
  <c r="J915" i="161"/>
  <c r="N911" i="161"/>
  <c r="K911" i="161"/>
  <c r="M911" i="161"/>
  <c r="M915" i="161" s="1"/>
  <c r="Q911" i="161"/>
  <c r="P911" i="161"/>
  <c r="I1116" i="161"/>
  <c r="G115" i="152"/>
  <c r="M116" i="152" s="1"/>
  <c r="E182" i="149"/>
  <c r="L202" i="149"/>
  <c r="J905" i="161"/>
  <c r="H937" i="161"/>
  <c r="H949" i="161" s="1"/>
  <c r="H2051" i="161" s="1"/>
  <c r="F2051" i="161" s="1"/>
  <c r="P50" i="150"/>
  <c r="Q163" i="152"/>
  <c r="F391" i="151"/>
  <c r="F1120" i="161" s="1"/>
  <c r="E137" i="149"/>
  <c r="U131" i="149" s="1"/>
  <c r="U132" i="149" s="1"/>
  <c r="U135" i="149" s="1"/>
  <c r="G394" i="161"/>
  <c r="H394" i="161"/>
  <c r="F399" i="161"/>
  <c r="O1116" i="161"/>
  <c r="M1116" i="161"/>
  <c r="K1116" i="161"/>
  <c r="L1116" i="161"/>
  <c r="N1116" i="161"/>
  <c r="Q1116" i="161"/>
  <c r="P1116" i="161"/>
  <c r="E125" i="149"/>
  <c r="L145" i="149"/>
  <c r="J872" i="161"/>
  <c r="J943" i="161" s="1"/>
  <c r="H874" i="161"/>
  <c r="I874" i="161" s="1"/>
  <c r="E65" i="149"/>
  <c r="U33" i="149"/>
  <c r="U34" i="149" s="1"/>
  <c r="U37" i="149" s="1"/>
  <c r="E34" i="159"/>
  <c r="G34" i="159" s="1"/>
  <c r="G32" i="159"/>
  <c r="F477" i="151" s="1"/>
  <c r="I412" i="161"/>
  <c r="G412" i="161"/>
  <c r="H412" i="161"/>
  <c r="J412" i="161" s="1"/>
  <c r="F29" i="156"/>
  <c r="D56" i="166"/>
  <c r="D38" i="158"/>
  <c r="E38" i="158" s="1"/>
  <c r="F38" i="158" s="1"/>
  <c r="D37" i="159"/>
  <c r="M160" i="152"/>
  <c r="L47" i="150"/>
  <c r="G920" i="161"/>
  <c r="G922" i="161" s="1"/>
  <c r="H920" i="161"/>
  <c r="H936" i="161" s="1"/>
  <c r="F922" i="161"/>
  <c r="G416" i="161"/>
  <c r="H416" i="161"/>
  <c r="J416" i="161" s="1"/>
  <c r="J906" i="161"/>
  <c r="I1144" i="161"/>
  <c r="P1107" i="161"/>
  <c r="O1107" i="161"/>
  <c r="N1107" i="161"/>
  <c r="M1107" i="161"/>
  <c r="L1107" i="161"/>
  <c r="Q1107" i="161"/>
  <c r="K1107" i="161"/>
  <c r="M411" i="161"/>
  <c r="P411" i="161"/>
  <c r="L411" i="161"/>
  <c r="Q411" i="161"/>
  <c r="O411" i="161"/>
  <c r="N411" i="161"/>
  <c r="K411" i="161"/>
  <c r="I1117" i="161"/>
  <c r="G1117" i="161"/>
  <c r="H1117" i="161"/>
  <c r="J1117" i="161" s="1"/>
  <c r="G1121" i="161"/>
  <c r="H1121" i="161"/>
  <c r="J1121" i="161" s="1"/>
  <c r="G402" i="161"/>
  <c r="G406" i="161" s="1"/>
  <c r="H402" i="161"/>
  <c r="J402" i="161" s="1"/>
  <c r="F949" i="161"/>
  <c r="U6" i="149"/>
  <c r="U9" i="149" s="1"/>
  <c r="H1099" i="161"/>
  <c r="I1099" i="161" s="1"/>
  <c r="G1099" i="161"/>
  <c r="F1104" i="161"/>
  <c r="H947" i="161"/>
  <c r="I947" i="161" s="1"/>
  <c r="G1111" i="161"/>
  <c r="F374" i="100"/>
  <c r="F1076" i="107" s="1"/>
  <c r="E1295" i="119" s="1"/>
  <c r="F374" i="151"/>
  <c r="F119" i="100"/>
  <c r="F371" i="107" s="1"/>
  <c r="E392" i="119" s="1"/>
  <c r="F119" i="151"/>
  <c r="F371" i="161" s="1"/>
  <c r="I920" i="107"/>
  <c r="H1058" i="119" s="1"/>
  <c r="G1058" i="119"/>
  <c r="H1064" i="107"/>
  <c r="I1064" i="107" s="1"/>
  <c r="J1061" i="107"/>
  <c r="D1327" i="120" s="1"/>
  <c r="K925" i="107"/>
  <c r="E1113" i="120" s="1"/>
  <c r="L865" i="161"/>
  <c r="K865" i="161"/>
  <c r="Q865" i="161"/>
  <c r="P865" i="161"/>
  <c r="O865" i="161"/>
  <c r="J868" i="161"/>
  <c r="N865" i="161"/>
  <c r="M865" i="161"/>
  <c r="E35" i="158"/>
  <c r="F35" i="158" s="1"/>
  <c r="J1334" i="161"/>
  <c r="H1354" i="161"/>
  <c r="M359" i="161"/>
  <c r="K359" i="161"/>
  <c r="L359" i="161"/>
  <c r="N359" i="161"/>
  <c r="O359" i="161"/>
  <c r="P359" i="161"/>
  <c r="Q359" i="161"/>
  <c r="J1063" i="161"/>
  <c r="H1140" i="161"/>
  <c r="J1061" i="161"/>
  <c r="H1064" i="161"/>
  <c r="I1064" i="161" s="1"/>
  <c r="G1064" i="161"/>
  <c r="O925" i="107"/>
  <c r="I1113" i="120" s="1"/>
  <c r="H1115" i="107"/>
  <c r="J1115" i="107" s="1"/>
  <c r="D1405" i="120" s="1"/>
  <c r="L904" i="107"/>
  <c r="F1092" i="120" s="1"/>
  <c r="P925" i="107"/>
  <c r="J1113" i="120" s="1"/>
  <c r="N904" i="107"/>
  <c r="H1092" i="120" s="1"/>
  <c r="H1124" i="107"/>
  <c r="G1367" i="119" s="1"/>
  <c r="P904" i="107"/>
  <c r="J1092" i="120" s="1"/>
  <c r="M904" i="107"/>
  <c r="G1092" i="120" s="1"/>
  <c r="J47" i="95"/>
  <c r="K160" i="92"/>
  <c r="O980" i="161"/>
  <c r="N980" i="161"/>
  <c r="M980" i="161"/>
  <c r="L980" i="161"/>
  <c r="P980" i="161"/>
  <c r="K980" i="161"/>
  <c r="Q980" i="161"/>
  <c r="I1517" i="120"/>
  <c r="G1517" i="120"/>
  <c r="J1517" i="120"/>
  <c r="D1517" i="120"/>
  <c r="K1517" i="120"/>
  <c r="E1517" i="120"/>
  <c r="F1517" i="120"/>
  <c r="H1517" i="120"/>
  <c r="K1219" i="120"/>
  <c r="G1219" i="120"/>
  <c r="J1219" i="120"/>
  <c r="I1219" i="120"/>
  <c r="F1219" i="120"/>
  <c r="E1219" i="120"/>
  <c r="D1219" i="120"/>
  <c r="H1219" i="120"/>
  <c r="G1124" i="107"/>
  <c r="F1367" i="119" s="1"/>
  <c r="G1064" i="107"/>
  <c r="F1283" i="119" s="1"/>
  <c r="I1061" i="107"/>
  <c r="H1280" i="119" s="1"/>
  <c r="G359" i="107"/>
  <c r="F380" i="119" s="1"/>
  <c r="I356" i="107"/>
  <c r="H377" i="119" s="1"/>
  <c r="H359" i="107"/>
  <c r="I359" i="107" s="1"/>
  <c r="H380" i="119" s="1"/>
  <c r="J356" i="107"/>
  <c r="D434" i="120" s="1"/>
  <c r="D4" i="11"/>
  <c r="E4" i="11"/>
  <c r="E79" i="11"/>
  <c r="D79" i="11"/>
  <c r="E78" i="11"/>
  <c r="D78" i="11"/>
  <c r="E77" i="11"/>
  <c r="D77" i="11"/>
  <c r="E76" i="11"/>
  <c r="D76" i="11"/>
  <c r="E75" i="11"/>
  <c r="D75" i="11"/>
  <c r="E74" i="11"/>
  <c r="D74" i="11"/>
  <c r="E73" i="11"/>
  <c r="D73" i="11"/>
  <c r="E72" i="11"/>
  <c r="D72" i="11"/>
  <c r="E71" i="11"/>
  <c r="D71" i="11"/>
  <c r="E70" i="11"/>
  <c r="D70" i="11"/>
  <c r="E69" i="11"/>
  <c r="D69" i="11"/>
  <c r="E68" i="11"/>
  <c r="D68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9" i="11"/>
  <c r="D39" i="11"/>
  <c r="E38" i="11"/>
  <c r="D38" i="11"/>
  <c r="E37" i="11"/>
  <c r="D37" i="11"/>
  <c r="E36" i="11"/>
  <c r="D36" i="11"/>
  <c r="E35" i="11"/>
  <c r="D35" i="11"/>
  <c r="E34" i="11"/>
  <c r="D34" i="11"/>
  <c r="E33" i="11"/>
  <c r="D33" i="11"/>
  <c r="E32" i="11"/>
  <c r="D32" i="11"/>
  <c r="E31" i="11"/>
  <c r="D31" i="11"/>
  <c r="E30" i="11"/>
  <c r="D30" i="11"/>
  <c r="E29" i="11"/>
  <c r="D29" i="11"/>
  <c r="E28" i="11"/>
  <c r="D28" i="11"/>
  <c r="E27" i="11"/>
  <c r="D27" i="11"/>
  <c r="E26" i="11"/>
  <c r="D26" i="11"/>
  <c r="E25" i="11"/>
  <c r="D25" i="11"/>
  <c r="E24" i="11"/>
  <c r="D24" i="11"/>
  <c r="E23" i="11"/>
  <c r="D23" i="11"/>
  <c r="E22" i="11"/>
  <c r="D22" i="11"/>
  <c r="E21" i="11"/>
  <c r="D21" i="11"/>
  <c r="E20" i="11"/>
  <c r="D20" i="11"/>
  <c r="E19" i="11"/>
  <c r="D19" i="11"/>
  <c r="E18" i="11"/>
  <c r="D18" i="11"/>
  <c r="E17" i="11"/>
  <c r="D17" i="11"/>
  <c r="E16" i="11"/>
  <c r="D16" i="11"/>
  <c r="E15" i="11"/>
  <c r="D15" i="11"/>
  <c r="E14" i="11"/>
  <c r="D14" i="11"/>
  <c r="E13" i="11"/>
  <c r="D13" i="11"/>
  <c r="E12" i="11"/>
  <c r="D12" i="11"/>
  <c r="E11" i="11"/>
  <c r="D11" i="11"/>
  <c r="E10" i="11"/>
  <c r="D10" i="11"/>
  <c r="E9" i="11"/>
  <c r="D9" i="11"/>
  <c r="E8" i="11"/>
  <c r="D8" i="11"/>
  <c r="E7" i="11"/>
  <c r="D7" i="11"/>
  <c r="E6" i="11"/>
  <c r="D6" i="11"/>
  <c r="E5" i="11"/>
  <c r="D5" i="11"/>
  <c r="H6" i="11"/>
  <c r="H7" i="11"/>
  <c r="I6" i="11"/>
  <c r="G1089" i="120"/>
  <c r="D1119" i="120"/>
  <c r="L931" i="107"/>
  <c r="N931" i="107"/>
  <c r="H1119" i="120" s="1"/>
  <c r="P931" i="107"/>
  <c r="J1119" i="120" s="1"/>
  <c r="Q931" i="107"/>
  <c r="K1119" i="120" s="1"/>
  <c r="O931" i="107"/>
  <c r="I1119" i="120" s="1"/>
  <c r="K931" i="107"/>
  <c r="M931" i="107"/>
  <c r="P920" i="107"/>
  <c r="J1108" i="120" s="1"/>
  <c r="K920" i="107"/>
  <c r="E1108" i="120" s="1"/>
  <c r="F1334" i="107"/>
  <c r="E1643" i="119" s="1"/>
  <c r="Q425" i="107"/>
  <c r="K526" i="120" s="1"/>
  <c r="G1115" i="107"/>
  <c r="F1358" i="119" s="1"/>
  <c r="N925" i="107"/>
  <c r="H1113" i="120" s="1"/>
  <c r="Q925" i="107"/>
  <c r="K1113" i="120" s="1"/>
  <c r="L925" i="107"/>
  <c r="F1113" i="120" s="1"/>
  <c r="M925" i="107"/>
  <c r="G1113" i="120" s="1"/>
  <c r="L920" i="107"/>
  <c r="F1108" i="120" s="1"/>
  <c r="J914" i="107"/>
  <c r="D1102" i="120" s="1"/>
  <c r="G1052" i="119"/>
  <c r="O904" i="107"/>
  <c r="I1092" i="120" s="1"/>
  <c r="K904" i="107"/>
  <c r="E1092" i="120" s="1"/>
  <c r="Q904" i="107"/>
  <c r="K1092" i="120" s="1"/>
  <c r="J913" i="107"/>
  <c r="D1101" i="120" s="1"/>
  <c r="G1051" i="119"/>
  <c r="J928" i="107"/>
  <c r="G1066" i="119"/>
  <c r="J919" i="107"/>
  <c r="N919" i="107" s="1"/>
  <c r="H1107" i="120" s="1"/>
  <c r="G1057" i="119"/>
  <c r="J905" i="107"/>
  <c r="D1093" i="120" s="1"/>
  <c r="G1043" i="119"/>
  <c r="M920" i="107"/>
  <c r="G1108" i="120" s="1"/>
  <c r="Q920" i="107"/>
  <c r="K1108" i="120" s="1"/>
  <c r="N425" i="107"/>
  <c r="H526" i="120" s="1"/>
  <c r="M55" i="72"/>
  <c r="J912" i="107"/>
  <c r="D1100" i="120" s="1"/>
  <c r="G1050" i="119"/>
  <c r="I926" i="107"/>
  <c r="H1064" i="119" s="1"/>
  <c r="G1064" i="119"/>
  <c r="J907" i="107"/>
  <c r="D1095" i="120" s="1"/>
  <c r="G1045" i="119"/>
  <c r="J927" i="107"/>
  <c r="G1065" i="119"/>
  <c r="J918" i="107"/>
  <c r="D1106" i="120" s="1"/>
  <c r="G1056" i="119"/>
  <c r="J921" i="107"/>
  <c r="P921" i="107" s="1"/>
  <c r="J1109" i="120" s="1"/>
  <c r="G1059" i="119"/>
  <c r="N920" i="107"/>
  <c r="H1108" i="120" s="1"/>
  <c r="D1108" i="120"/>
  <c r="J417" i="107"/>
  <c r="D518" i="120" s="1"/>
  <c r="G462" i="119"/>
  <c r="H1116" i="107"/>
  <c r="I1116" i="107" s="1"/>
  <c r="H1359" i="119" s="1"/>
  <c r="E1359" i="119"/>
  <c r="G409" i="107"/>
  <c r="F454" i="119" s="1"/>
  <c r="E454" i="119"/>
  <c r="K425" i="107"/>
  <c r="E526" i="120" s="1"/>
  <c r="L425" i="107"/>
  <c r="F526" i="120" s="1"/>
  <c r="H411" i="107"/>
  <c r="I411" i="107" s="1"/>
  <c r="H456" i="119" s="1"/>
  <c r="E456" i="119"/>
  <c r="G417" i="107"/>
  <c r="F462" i="119" s="1"/>
  <c r="E462" i="119"/>
  <c r="G1123" i="107"/>
  <c r="F1366" i="119" s="1"/>
  <c r="E1366" i="119"/>
  <c r="J1101" i="107"/>
  <c r="M1101" i="107" s="1"/>
  <c r="G1391" i="120" s="1"/>
  <c r="G1344" i="119"/>
  <c r="O425" i="107"/>
  <c r="I526" i="120" s="1"/>
  <c r="D526" i="120"/>
  <c r="M425" i="107"/>
  <c r="G526" i="120" s="1"/>
  <c r="I868" i="107"/>
  <c r="G982" i="119"/>
  <c r="I1140" i="107"/>
  <c r="H1400" i="119" s="1"/>
  <c r="G1400" i="119"/>
  <c r="I435" i="107"/>
  <c r="H498" i="119" s="1"/>
  <c r="G498" i="119"/>
  <c r="E60" i="72"/>
  <c r="M31" i="72"/>
  <c r="M32" i="72" s="1"/>
  <c r="M35" i="72" s="1"/>
  <c r="E64" i="88"/>
  <c r="F64" i="88" s="1"/>
  <c r="U26" i="88"/>
  <c r="U27" i="88" s="1"/>
  <c r="U30" i="88" s="1"/>
  <c r="E63" i="88"/>
  <c r="F63" i="88" s="1"/>
  <c r="U19" i="88"/>
  <c r="I918" i="107"/>
  <c r="H1056" i="119" s="1"/>
  <c r="I921" i="107"/>
  <c r="H1059" i="119" s="1"/>
  <c r="J204" i="88"/>
  <c r="G929" i="107"/>
  <c r="F1067" i="119" s="1"/>
  <c r="G922" i="107"/>
  <c r="F1060" i="119" s="1"/>
  <c r="J147" i="88"/>
  <c r="L147" i="88"/>
  <c r="I919" i="107"/>
  <c r="H1057" i="119" s="1"/>
  <c r="K30" i="69"/>
  <c r="G411" i="107"/>
  <c r="F456" i="119" s="1"/>
  <c r="H409" i="107"/>
  <c r="I1101" i="107"/>
  <c r="H1344" i="119" s="1"/>
  <c r="L47" i="95"/>
  <c r="G54" i="95"/>
  <c r="K47" i="95"/>
  <c r="H1123" i="107"/>
  <c r="H922" i="107"/>
  <c r="H418" i="107"/>
  <c r="G418" i="107"/>
  <c r="F463" i="119" s="1"/>
  <c r="H398" i="107"/>
  <c r="G398" i="107"/>
  <c r="F443" i="119" s="1"/>
  <c r="G1122" i="107"/>
  <c r="F1365" i="119" s="1"/>
  <c r="H1122" i="107"/>
  <c r="H410" i="107"/>
  <c r="G410" i="107"/>
  <c r="F455" i="119" s="1"/>
  <c r="H1102" i="107"/>
  <c r="G1102" i="107"/>
  <c r="F1345" i="119" s="1"/>
  <c r="H397" i="107"/>
  <c r="G397" i="107"/>
  <c r="F442" i="119" s="1"/>
  <c r="H396" i="107"/>
  <c r="G396" i="107"/>
  <c r="F441" i="119" s="1"/>
  <c r="H1117" i="107"/>
  <c r="G1117" i="107"/>
  <c r="F1360" i="119" s="1"/>
  <c r="F915" i="107"/>
  <c r="E1053" i="119" s="1"/>
  <c r="G911" i="107"/>
  <c r="F1049" i="119" s="1"/>
  <c r="H911" i="107"/>
  <c r="I911" i="107" s="1"/>
  <c r="H1049" i="119" s="1"/>
  <c r="F947" i="107"/>
  <c r="D37" i="108" s="1"/>
  <c r="H1114" i="107"/>
  <c r="G1114" i="107"/>
  <c r="F1357" i="119" s="1"/>
  <c r="F908" i="107"/>
  <c r="E1046" i="119" s="1"/>
  <c r="G906" i="107"/>
  <c r="F948" i="107"/>
  <c r="E1097" i="119" s="1"/>
  <c r="H906" i="107"/>
  <c r="F936" i="107"/>
  <c r="H412" i="107"/>
  <c r="G412" i="107"/>
  <c r="F457" i="119" s="1"/>
  <c r="H419" i="107"/>
  <c r="G419" i="107"/>
  <c r="F464" i="119" s="1"/>
  <c r="G1103" i="107"/>
  <c r="F1346" i="119" s="1"/>
  <c r="H1103" i="107"/>
  <c r="F395" i="107"/>
  <c r="F405" i="107"/>
  <c r="E450" i="119" s="1"/>
  <c r="F404" i="107"/>
  <c r="E449" i="119" s="1"/>
  <c r="F1121" i="107"/>
  <c r="F1100" i="107"/>
  <c r="E1343" i="119" s="1"/>
  <c r="F1108" i="107"/>
  <c r="E1351" i="119" s="1"/>
  <c r="F1120" i="107"/>
  <c r="F1110" i="107"/>
  <c r="F394" i="107"/>
  <c r="E439" i="119" s="1"/>
  <c r="I927" i="107"/>
  <c r="H1065" i="119" s="1"/>
  <c r="F1109" i="107"/>
  <c r="E1352" i="119" s="1"/>
  <c r="F1113" i="107"/>
  <c r="F416" i="107"/>
  <c r="E461" i="119" s="1"/>
  <c r="I928" i="107"/>
  <c r="H1066" i="119" s="1"/>
  <c r="F1099" i="107"/>
  <c r="F403" i="107"/>
  <c r="I913" i="107"/>
  <c r="H1051" i="119" s="1"/>
  <c r="I907" i="107"/>
  <c r="H1045" i="119" s="1"/>
  <c r="G937" i="107"/>
  <c r="E187" i="88"/>
  <c r="U181" i="88" s="1"/>
  <c r="U182" i="88" s="1"/>
  <c r="U185" i="88" s="1"/>
  <c r="F408" i="107"/>
  <c r="E453" i="119" s="1"/>
  <c r="F949" i="107"/>
  <c r="E1098" i="119" s="1"/>
  <c r="E1327" i="120"/>
  <c r="I417" i="107"/>
  <c r="H462" i="119" s="1"/>
  <c r="E194" i="88"/>
  <c r="U188" i="88" s="1"/>
  <c r="U189" i="88" s="1"/>
  <c r="U192" i="88" s="1"/>
  <c r="F415" i="107"/>
  <c r="E460" i="119" s="1"/>
  <c r="I914" i="107"/>
  <c r="H1052" i="119" s="1"/>
  <c r="M1063" i="107"/>
  <c r="O1063" i="107"/>
  <c r="Q1063" i="107"/>
  <c r="P1063" i="107"/>
  <c r="L1063" i="107"/>
  <c r="N1063" i="107"/>
  <c r="K1063" i="107"/>
  <c r="J1140" i="107"/>
  <c r="D1447" i="120" s="1"/>
  <c r="M147" i="88"/>
  <c r="H937" i="107"/>
  <c r="J926" i="107"/>
  <c r="H929" i="107"/>
  <c r="K34" i="69"/>
  <c r="I66" i="69"/>
  <c r="K66" i="69" s="1"/>
  <c r="J435" i="107"/>
  <c r="D554" i="120" s="1"/>
  <c r="M358" i="107"/>
  <c r="K358" i="107"/>
  <c r="N358" i="107"/>
  <c r="L358" i="107"/>
  <c r="P358" i="107"/>
  <c r="Q358" i="107"/>
  <c r="O358" i="107"/>
  <c r="H434" i="120"/>
  <c r="I434" i="120"/>
  <c r="I912" i="107"/>
  <c r="H1050" i="119" s="1"/>
  <c r="J1030" i="120"/>
  <c r="E1030" i="120"/>
  <c r="J868" i="107"/>
  <c r="D1033" i="120" s="1"/>
  <c r="G1030" i="120"/>
  <c r="I1030" i="120"/>
  <c r="F1030" i="120"/>
  <c r="K1030" i="120"/>
  <c r="H1030" i="120"/>
  <c r="F18" i="112"/>
  <c r="F67" i="112" s="1"/>
  <c r="D19" i="112"/>
  <c r="F19" i="112" s="1"/>
  <c r="F53" i="112" s="1"/>
  <c r="D17" i="112"/>
  <c r="F17" i="112" s="1"/>
  <c r="F39" i="112" s="1"/>
  <c r="AA12" i="8"/>
  <c r="AA13" i="8"/>
  <c r="G10" i="105"/>
  <c r="F145" i="72"/>
  <c r="J103" i="72"/>
  <c r="J99" i="72"/>
  <c r="I175" i="72"/>
  <c r="I152" i="72"/>
  <c r="I171" i="72" s="1"/>
  <c r="K144" i="88"/>
  <c r="E119" i="88"/>
  <c r="F382" i="100" s="1"/>
  <c r="G152" i="72"/>
  <c r="G171" i="72" s="1"/>
  <c r="G175" i="72"/>
  <c r="E73" i="88"/>
  <c r="G75" i="88"/>
  <c r="J160" i="92" s="1"/>
  <c r="I130" i="72"/>
  <c r="I106" i="72"/>
  <c r="I126" i="72" s="1"/>
  <c r="M204" i="88"/>
  <c r="F103" i="72"/>
  <c r="G106" i="72"/>
  <c r="G126" i="72" s="1"/>
  <c r="G130" i="72"/>
  <c r="E175" i="88"/>
  <c r="F126" i="100" s="1"/>
  <c r="K202" i="88"/>
  <c r="G131" i="72"/>
  <c r="F104" i="72"/>
  <c r="F131" i="72" s="1"/>
  <c r="H106" i="72"/>
  <c r="H126" i="72" s="1"/>
  <c r="H130" i="72"/>
  <c r="J145" i="72"/>
  <c r="J149" i="72"/>
  <c r="E72" i="88"/>
  <c r="J71" i="72"/>
  <c r="J40" i="72"/>
  <c r="J60" i="72" s="1"/>
  <c r="J64" i="72"/>
  <c r="K145" i="88"/>
  <c r="E118" i="88"/>
  <c r="F381" i="100" s="1"/>
  <c r="E137" i="88"/>
  <c r="U131" i="88" s="1"/>
  <c r="U132" i="88" s="1"/>
  <c r="U135" i="88" s="1"/>
  <c r="F99" i="72"/>
  <c r="E176" i="88"/>
  <c r="F127" i="100" s="1"/>
  <c r="K201" i="88"/>
  <c r="E130" i="88"/>
  <c r="U124" i="88" s="1"/>
  <c r="U125" i="88" s="1"/>
  <c r="U128" i="88" s="1"/>
  <c r="L204" i="88"/>
  <c r="J79" i="72"/>
  <c r="N115" i="92"/>
  <c r="G115" i="92" s="1"/>
  <c r="J65" i="72"/>
  <c r="F152" i="72"/>
  <c r="F171" i="72" s="1"/>
  <c r="F175" i="72"/>
  <c r="E116" i="88"/>
  <c r="U110" i="88" s="1"/>
  <c r="U111" i="88" s="1"/>
  <c r="U114" i="88" s="1"/>
  <c r="E173" i="88"/>
  <c r="U167" i="88" s="1"/>
  <c r="U168" i="88" s="1"/>
  <c r="U171" i="88" s="1"/>
  <c r="H152" i="72"/>
  <c r="H171" i="72" s="1"/>
  <c r="H175" i="72"/>
  <c r="H70" i="57"/>
  <c r="H73" i="57"/>
  <c r="H80" i="57"/>
  <c r="H85" i="57"/>
  <c r="H159" i="57" s="1"/>
  <c r="H92" i="57"/>
  <c r="H94" i="57"/>
  <c r="H98" i="57"/>
  <c r="H89" i="57"/>
  <c r="H63" i="57"/>
  <c r="H95" i="57"/>
  <c r="H78" i="57"/>
  <c r="H81" i="57"/>
  <c r="H87" i="57"/>
  <c r="H65" i="57"/>
  <c r="H82" i="57"/>
  <c r="H86" i="57"/>
  <c r="H107" i="57"/>
  <c r="H96" i="57"/>
  <c r="H90" i="57"/>
  <c r="H77" i="57"/>
  <c r="H67" i="57"/>
  <c r="H68" i="57"/>
  <c r="H64" i="57"/>
  <c r="H99" i="57"/>
  <c r="H62" i="57"/>
  <c r="H136" i="57" s="1"/>
  <c r="H66" i="57"/>
  <c r="H79" i="57"/>
  <c r="H176" i="57" s="1"/>
  <c r="H83" i="57"/>
  <c r="H91" i="57"/>
  <c r="H97" i="57"/>
  <c r="H88" i="57"/>
  <c r="H102" i="57"/>
  <c r="P915" i="161" l="1"/>
  <c r="I937" i="161"/>
  <c r="I402" i="161"/>
  <c r="K915" i="161"/>
  <c r="I920" i="161"/>
  <c r="F945" i="161"/>
  <c r="G876" i="161"/>
  <c r="G945" i="161" s="1"/>
  <c r="H876" i="161"/>
  <c r="I876" i="161"/>
  <c r="E990" i="119"/>
  <c r="G876" i="107"/>
  <c r="F945" i="107"/>
  <c r="H876" i="107"/>
  <c r="I876" i="107" s="1"/>
  <c r="H990" i="119" s="1"/>
  <c r="H948" i="161"/>
  <c r="I948" i="161" s="1"/>
  <c r="L915" i="161"/>
  <c r="D35" i="102"/>
  <c r="E35" i="102" s="1"/>
  <c r="F35" i="102" s="1"/>
  <c r="H943" i="107"/>
  <c r="I943" i="107" s="1"/>
  <c r="H1081" i="119" s="1"/>
  <c r="G943" i="107"/>
  <c r="F1081" i="119" s="1"/>
  <c r="G874" i="107"/>
  <c r="F988" i="119" s="1"/>
  <c r="D52" i="105"/>
  <c r="G32" i="108"/>
  <c r="G986" i="119"/>
  <c r="H874" i="107"/>
  <c r="G988" i="119" s="1"/>
  <c r="J872" i="107"/>
  <c r="D1037" i="120" s="1"/>
  <c r="E434" i="120"/>
  <c r="J434" i="120"/>
  <c r="F434" i="120"/>
  <c r="G420" i="161"/>
  <c r="O915" i="161"/>
  <c r="Q915" i="161"/>
  <c r="U54" i="149"/>
  <c r="U55" i="149" s="1"/>
  <c r="U58" i="149" s="1"/>
  <c r="G434" i="120"/>
  <c r="I1121" i="161"/>
  <c r="H939" i="161"/>
  <c r="I939" i="161" s="1"/>
  <c r="I936" i="161"/>
  <c r="G1104" i="161"/>
  <c r="L1117" i="161"/>
  <c r="Q1117" i="161"/>
  <c r="O1117" i="161"/>
  <c r="N1117" i="161"/>
  <c r="M1117" i="161"/>
  <c r="P1117" i="161"/>
  <c r="K1117" i="161"/>
  <c r="M416" i="161"/>
  <c r="L416" i="161"/>
  <c r="Q416" i="161"/>
  <c r="K416" i="161"/>
  <c r="O416" i="161"/>
  <c r="N416" i="161"/>
  <c r="P416" i="161"/>
  <c r="J1099" i="161"/>
  <c r="H1104" i="161"/>
  <c r="I1104" i="161" s="1"/>
  <c r="Q402" i="161"/>
  <c r="O402" i="161"/>
  <c r="N402" i="161"/>
  <c r="L402" i="161"/>
  <c r="K402" i="161"/>
  <c r="P402" i="161"/>
  <c r="M402" i="161"/>
  <c r="H29" i="156"/>
  <c r="I29" i="156"/>
  <c r="G29" i="156"/>
  <c r="G65" i="149"/>
  <c r="G66" i="149" s="1"/>
  <c r="E66" i="149"/>
  <c r="J415" i="161"/>
  <c r="H420" i="161"/>
  <c r="I420" i="161" s="1"/>
  <c r="J395" i="161"/>
  <c r="M439" i="161"/>
  <c r="O1144" i="161"/>
  <c r="F372" i="100"/>
  <c r="F1072" i="107" s="1"/>
  <c r="E1291" i="119" s="1"/>
  <c r="F372" i="151"/>
  <c r="F1072" i="161" s="1"/>
  <c r="P906" i="161"/>
  <c r="O906" i="161"/>
  <c r="N906" i="161"/>
  <c r="M906" i="161"/>
  <c r="L906" i="161"/>
  <c r="Q906" i="161"/>
  <c r="K906" i="161"/>
  <c r="K412" i="161"/>
  <c r="N412" i="161"/>
  <c r="O412" i="161"/>
  <c r="Q412" i="161"/>
  <c r="L412" i="161"/>
  <c r="P412" i="161"/>
  <c r="M412" i="161"/>
  <c r="G399" i="161"/>
  <c r="N439" i="161"/>
  <c r="M1144" i="161"/>
  <c r="F290" i="151"/>
  <c r="F879" i="161" s="1"/>
  <c r="K112" i="152"/>
  <c r="G112" i="152" s="1"/>
  <c r="G948" i="161"/>
  <c r="H2052" i="161"/>
  <c r="G2052" i="161"/>
  <c r="H406" i="161"/>
  <c r="I406" i="161" s="1"/>
  <c r="L147" i="149"/>
  <c r="P439" i="161"/>
  <c r="K1144" i="161"/>
  <c r="D57" i="166"/>
  <c r="F30" i="156"/>
  <c r="D38" i="159"/>
  <c r="L204" i="149"/>
  <c r="N1121" i="161"/>
  <c r="M1121" i="161"/>
  <c r="L1121" i="161"/>
  <c r="O1121" i="161"/>
  <c r="Q1121" i="161"/>
  <c r="K1121" i="161"/>
  <c r="P1121" i="161"/>
  <c r="J920" i="161"/>
  <c r="J948" i="161" s="1"/>
  <c r="H922" i="161"/>
  <c r="I922" i="161" s="1"/>
  <c r="I394" i="161"/>
  <c r="J394" i="161"/>
  <c r="H399" i="161"/>
  <c r="I399" i="161" s="1"/>
  <c r="M905" i="161"/>
  <c r="M937" i="161" s="1"/>
  <c r="O905" i="161"/>
  <c r="O937" i="161" s="1"/>
  <c r="N905" i="161"/>
  <c r="N937" i="161" s="1"/>
  <c r="Q905" i="161"/>
  <c r="Q937" i="161" s="1"/>
  <c r="J937" i="161"/>
  <c r="K905" i="161"/>
  <c r="K937" i="161" s="1"/>
  <c r="P905" i="161"/>
  <c r="P937" i="161" s="1"/>
  <c r="L905" i="161"/>
  <c r="L937" i="161" s="1"/>
  <c r="Q401" i="161"/>
  <c r="P401" i="161"/>
  <c r="N401" i="161"/>
  <c r="K401" i="161"/>
  <c r="M401" i="161"/>
  <c r="O401" i="161"/>
  <c r="L401" i="161"/>
  <c r="J406" i="161"/>
  <c r="F387" i="151"/>
  <c r="F1114" i="161" s="1"/>
  <c r="E144" i="149"/>
  <c r="P925" i="161"/>
  <c r="P929" i="161" s="1"/>
  <c r="J929" i="161"/>
  <c r="O925" i="161"/>
  <c r="O929" i="161" s="1"/>
  <c r="M925" i="161"/>
  <c r="M929" i="161" s="1"/>
  <c r="L925" i="161"/>
  <c r="L929" i="161" s="1"/>
  <c r="K925" i="161"/>
  <c r="K929" i="161" s="1"/>
  <c r="N925" i="161"/>
  <c r="N929" i="161" s="1"/>
  <c r="Q925" i="161"/>
  <c r="Q929" i="161" s="1"/>
  <c r="F132" i="151"/>
  <c r="F409" i="161" s="1"/>
  <c r="E201" i="149"/>
  <c r="J874" i="161"/>
  <c r="O872" i="161"/>
  <c r="O874" i="161" s="1"/>
  <c r="M872" i="161"/>
  <c r="M874" i="161" s="1"/>
  <c r="L872" i="161"/>
  <c r="L874" i="161" s="1"/>
  <c r="Q872" i="161"/>
  <c r="Q874" i="161" s="1"/>
  <c r="K872" i="161"/>
  <c r="K874" i="161" s="1"/>
  <c r="P872" i="161"/>
  <c r="P874" i="161" s="1"/>
  <c r="N872" i="161"/>
  <c r="N874" i="161" s="1"/>
  <c r="J908" i="161"/>
  <c r="O439" i="161"/>
  <c r="N1144" i="161"/>
  <c r="G936" i="161"/>
  <c r="G939" i="161" s="1"/>
  <c r="F370" i="100"/>
  <c r="F1068" i="107" s="1"/>
  <c r="E1287" i="119" s="1"/>
  <c r="F370" i="151"/>
  <c r="F1068" i="161" s="1"/>
  <c r="F479" i="151"/>
  <c r="F1332" i="161" s="1"/>
  <c r="F1335" i="161" s="1"/>
  <c r="G60" i="159"/>
  <c r="K17" i="159" s="1"/>
  <c r="L17" i="159" s="1"/>
  <c r="Q439" i="161"/>
  <c r="P1144" i="161"/>
  <c r="D58" i="166"/>
  <c r="D39" i="159"/>
  <c r="I949" i="161"/>
  <c r="I416" i="161"/>
  <c r="F131" i="151"/>
  <c r="F408" i="161" s="1"/>
  <c r="E187" i="149"/>
  <c r="U181" i="149" s="1"/>
  <c r="U182" i="149" s="1"/>
  <c r="U185" i="149" s="1"/>
  <c r="E202" i="149"/>
  <c r="P908" i="161"/>
  <c r="J1100" i="161"/>
  <c r="K439" i="161"/>
  <c r="Q1144" i="161"/>
  <c r="F386" i="151"/>
  <c r="F1113" i="161" s="1"/>
  <c r="E130" i="149"/>
  <c r="U124" i="149" s="1"/>
  <c r="U125" i="149" s="1"/>
  <c r="U128" i="149" s="1"/>
  <c r="E145" i="149"/>
  <c r="F1125" i="161"/>
  <c r="H1120" i="161"/>
  <c r="G1120" i="161"/>
  <c r="G1125" i="161" s="1"/>
  <c r="I1120" i="161"/>
  <c r="N116" i="152"/>
  <c r="N915" i="161"/>
  <c r="O1115" i="161"/>
  <c r="P1115" i="161"/>
  <c r="K1115" i="161"/>
  <c r="M1115" i="161"/>
  <c r="Q1115" i="161"/>
  <c r="N1115" i="161"/>
  <c r="L1115" i="161"/>
  <c r="I395" i="161"/>
  <c r="L439" i="161"/>
  <c r="L1144" i="161"/>
  <c r="L410" i="161"/>
  <c r="P410" i="161"/>
  <c r="O410" i="161"/>
  <c r="M410" i="161"/>
  <c r="K410" i="161"/>
  <c r="N410" i="161"/>
  <c r="Q410" i="161"/>
  <c r="J1106" i="161"/>
  <c r="H1111" i="161"/>
  <c r="I1111" i="161" s="1"/>
  <c r="K1327" i="120"/>
  <c r="H1327" i="120"/>
  <c r="H12" i="11"/>
  <c r="H4" i="11"/>
  <c r="I12" i="11"/>
  <c r="I4" i="11"/>
  <c r="I11" i="11" s="1"/>
  <c r="E14" i="105"/>
  <c r="G14" i="105" s="1"/>
  <c r="E14" i="166"/>
  <c r="G14" i="166" s="1"/>
  <c r="E12" i="105"/>
  <c r="G12" i="105" s="1"/>
  <c r="F45" i="105" s="1"/>
  <c r="F476" i="100" s="1"/>
  <c r="F1301" i="107" s="1"/>
  <c r="E1583" i="119" s="1"/>
  <c r="E12" i="166"/>
  <c r="G12" i="166" s="1"/>
  <c r="F45" i="166" s="1"/>
  <c r="F476" i="151" s="1"/>
  <c r="F1301" i="161" s="1"/>
  <c r="E22" i="108"/>
  <c r="G22" i="108" s="1"/>
  <c r="E22" i="159"/>
  <c r="G22" i="159" s="1"/>
  <c r="E11" i="105"/>
  <c r="E11" i="166"/>
  <c r="E13" i="105"/>
  <c r="G13" i="105" s="1"/>
  <c r="E13" i="166"/>
  <c r="G13" i="166" s="1"/>
  <c r="E15" i="105"/>
  <c r="G15" i="105" s="1"/>
  <c r="E15" i="166"/>
  <c r="G15" i="166" s="1"/>
  <c r="F1076" i="161"/>
  <c r="F291" i="100"/>
  <c r="F880" i="107" s="1"/>
  <c r="E994" i="119" s="1"/>
  <c r="F291" i="151"/>
  <c r="Q907" i="107"/>
  <c r="K1095" i="120" s="1"/>
  <c r="I1124" i="107"/>
  <c r="H1367" i="119" s="1"/>
  <c r="G371" i="161"/>
  <c r="H371" i="161"/>
  <c r="J371" i="161" s="1"/>
  <c r="F117" i="100"/>
  <c r="F367" i="107" s="1"/>
  <c r="F117" i="151"/>
  <c r="F115" i="100"/>
  <c r="F363" i="107" s="1"/>
  <c r="E384" i="119" s="1"/>
  <c r="F115" i="151"/>
  <c r="F363" i="161" s="1"/>
  <c r="F20" i="100"/>
  <c r="F124" i="107" s="1"/>
  <c r="E82" i="119" s="1"/>
  <c r="F124" i="161"/>
  <c r="F32" i="100"/>
  <c r="F143" i="107" s="1"/>
  <c r="E101" i="119" s="1"/>
  <c r="F143" i="161"/>
  <c r="G1081" i="119"/>
  <c r="M907" i="107"/>
  <c r="G1095" i="120" s="1"/>
  <c r="G1327" i="120"/>
  <c r="I1327" i="120"/>
  <c r="G1283" i="119"/>
  <c r="F1327" i="120"/>
  <c r="J1327" i="120"/>
  <c r="I874" i="107"/>
  <c r="H988" i="119" s="1"/>
  <c r="J1064" i="107"/>
  <c r="D1330" i="120" s="1"/>
  <c r="K913" i="107"/>
  <c r="E1101" i="120" s="1"/>
  <c r="G1358" i="119"/>
  <c r="N907" i="107"/>
  <c r="H1095" i="120" s="1"/>
  <c r="I1115" i="107"/>
  <c r="H1358" i="119" s="1"/>
  <c r="N913" i="107"/>
  <c r="H1101" i="120" s="1"/>
  <c r="K434" i="120"/>
  <c r="G380" i="119"/>
  <c r="Q905" i="107"/>
  <c r="K1093" i="120" s="1"/>
  <c r="J359" i="107"/>
  <c r="D437" i="120" s="1"/>
  <c r="P918" i="107"/>
  <c r="J1106" i="120" s="1"/>
  <c r="O417" i="107"/>
  <c r="I518" i="120" s="1"/>
  <c r="I1140" i="161"/>
  <c r="J1124" i="107"/>
  <c r="K1124" i="107" s="1"/>
  <c r="E1414" i="120" s="1"/>
  <c r="P1334" i="161"/>
  <c r="P1354" i="161" s="1"/>
  <c r="L1334" i="161"/>
  <c r="L1354" i="161" s="1"/>
  <c r="J1354" i="161"/>
  <c r="N1334" i="161"/>
  <c r="N1354" i="161" s="1"/>
  <c r="M1334" i="161"/>
  <c r="M1354" i="161" s="1"/>
  <c r="K1334" i="161"/>
  <c r="K1354" i="161" s="1"/>
  <c r="Q1334" i="161"/>
  <c r="Q1354" i="161" s="1"/>
  <c r="O1334" i="161"/>
  <c r="O1354" i="161" s="1"/>
  <c r="I1354" i="161"/>
  <c r="M868" i="161"/>
  <c r="N868" i="161"/>
  <c r="O868" i="161"/>
  <c r="P868" i="161"/>
  <c r="Q868" i="161"/>
  <c r="K868" i="161"/>
  <c r="L868" i="161"/>
  <c r="Q1061" i="161"/>
  <c r="P1061" i="161"/>
  <c r="O1061" i="161"/>
  <c r="J1064" i="161"/>
  <c r="N1061" i="161"/>
  <c r="M1061" i="161"/>
  <c r="L1061" i="161"/>
  <c r="K1061" i="161"/>
  <c r="J1140" i="161"/>
  <c r="Q1063" i="161"/>
  <c r="Q1140" i="161" s="1"/>
  <c r="P1063" i="161"/>
  <c r="P1140" i="161" s="1"/>
  <c r="O1063" i="161"/>
  <c r="O1140" i="161" s="1"/>
  <c r="N1063" i="161"/>
  <c r="N1140" i="161" s="1"/>
  <c r="M1063" i="161"/>
  <c r="M1140" i="161" s="1"/>
  <c r="L1063" i="161"/>
  <c r="L1140" i="161" s="1"/>
  <c r="K1063" i="161"/>
  <c r="K1140" i="161" s="1"/>
  <c r="L417" i="107"/>
  <c r="F518" i="120" s="1"/>
  <c r="O918" i="107"/>
  <c r="I1106" i="120" s="1"/>
  <c r="L1115" i="107"/>
  <c r="F1405" i="120" s="1"/>
  <c r="Q918" i="107"/>
  <c r="K1106" i="120" s="1"/>
  <c r="M918" i="107"/>
  <c r="G1106" i="120" s="1"/>
  <c r="M905" i="107"/>
  <c r="G1093" i="120" s="1"/>
  <c r="P905" i="107"/>
  <c r="J1093" i="120" s="1"/>
  <c r="Q913" i="107"/>
  <c r="K1101" i="120" s="1"/>
  <c r="P913" i="107"/>
  <c r="J1101" i="120" s="1"/>
  <c r="L913" i="107"/>
  <c r="F1101" i="120" s="1"/>
  <c r="M913" i="107"/>
  <c r="G1101" i="120" s="1"/>
  <c r="O913" i="107"/>
  <c r="I1101" i="120" s="1"/>
  <c r="L905" i="107"/>
  <c r="F1093" i="120" s="1"/>
  <c r="K905" i="107"/>
  <c r="E1093" i="120" s="1"/>
  <c r="N905" i="107"/>
  <c r="H1093" i="120" s="1"/>
  <c r="O905" i="107"/>
  <c r="I1093" i="120" s="1"/>
  <c r="F66" i="88"/>
  <c r="M417" i="107"/>
  <c r="G518" i="120" s="1"/>
  <c r="N417" i="107"/>
  <c r="H518" i="120" s="1"/>
  <c r="E66" i="88"/>
  <c r="G67" i="88" s="1"/>
  <c r="K66" i="88" s="1"/>
  <c r="K67" i="88" s="1"/>
  <c r="O907" i="107"/>
  <c r="I1095" i="120" s="1"/>
  <c r="K907" i="107"/>
  <c r="E1095" i="120" s="1"/>
  <c r="P907" i="107"/>
  <c r="J1095" i="120" s="1"/>
  <c r="L907" i="107"/>
  <c r="F1095" i="120" s="1"/>
  <c r="P1101" i="107"/>
  <c r="J1391" i="120" s="1"/>
  <c r="Q912" i="107"/>
  <c r="K1100" i="120" s="1"/>
  <c r="L912" i="107"/>
  <c r="F1100" i="120" s="1"/>
  <c r="P912" i="107"/>
  <c r="J1100" i="120" s="1"/>
  <c r="N912" i="107"/>
  <c r="H1100" i="120" s="1"/>
  <c r="M912" i="107"/>
  <c r="G1100" i="120" s="1"/>
  <c r="O912" i="107"/>
  <c r="I1100" i="120" s="1"/>
  <c r="K912" i="107"/>
  <c r="E1100" i="120" s="1"/>
  <c r="M921" i="107"/>
  <c r="G1109" i="120" s="1"/>
  <c r="O921" i="107"/>
  <c r="I1109" i="120" s="1"/>
  <c r="J922" i="107"/>
  <c r="D1110" i="120" s="1"/>
  <c r="Q921" i="107"/>
  <c r="K1109" i="120" s="1"/>
  <c r="L918" i="107"/>
  <c r="F1106" i="120" s="1"/>
  <c r="M919" i="107"/>
  <c r="G1107" i="120" s="1"/>
  <c r="O919" i="107"/>
  <c r="I1107" i="120" s="1"/>
  <c r="N918" i="107"/>
  <c r="H1106" i="120" s="1"/>
  <c r="M1115" i="107"/>
  <c r="G1405" i="120" s="1"/>
  <c r="K918" i="107"/>
  <c r="E1106" i="120" s="1"/>
  <c r="N1115" i="107"/>
  <c r="H1405" i="120" s="1"/>
  <c r="G1334" i="107"/>
  <c r="G1354" i="107" s="1"/>
  <c r="F1663" i="119" s="1"/>
  <c r="F1354" i="107"/>
  <c r="E1663" i="119" s="1"/>
  <c r="H1334" i="107"/>
  <c r="I1334" i="107" s="1"/>
  <c r="H1643" i="119" s="1"/>
  <c r="M24" i="72"/>
  <c r="M25" i="72" s="1"/>
  <c r="M28" i="72" s="1"/>
  <c r="G371" i="107"/>
  <c r="F392" i="119" s="1"/>
  <c r="H1076" i="107"/>
  <c r="J1076" i="107" s="1"/>
  <c r="D1342" i="120" s="1"/>
  <c r="H371" i="107"/>
  <c r="I371" i="107" s="1"/>
  <c r="H392" i="119" s="1"/>
  <c r="G1076" i="107"/>
  <c r="F1295" i="119" s="1"/>
  <c r="M914" i="107"/>
  <c r="G1102" i="120" s="1"/>
  <c r="Q914" i="107"/>
  <c r="K1102" i="120" s="1"/>
  <c r="N914" i="107"/>
  <c r="H1102" i="120" s="1"/>
  <c r="K914" i="107"/>
  <c r="E1102" i="120" s="1"/>
  <c r="O914" i="107"/>
  <c r="I1102" i="120" s="1"/>
  <c r="L914" i="107"/>
  <c r="F1102" i="120" s="1"/>
  <c r="P914" i="107"/>
  <c r="J1102" i="120" s="1"/>
  <c r="H5" i="11"/>
  <c r="H9" i="11" s="1"/>
  <c r="H11" i="11"/>
  <c r="G1119" i="120"/>
  <c r="E1119" i="120"/>
  <c r="F1119" i="120"/>
  <c r="H1283" i="119"/>
  <c r="H982" i="119"/>
  <c r="Q919" i="107"/>
  <c r="K1107" i="120" s="1"/>
  <c r="P919" i="107"/>
  <c r="J1107" i="120" s="1"/>
  <c r="N921" i="107"/>
  <c r="H1109" i="120" s="1"/>
  <c r="L921" i="107"/>
  <c r="F1109" i="120" s="1"/>
  <c r="L919" i="107"/>
  <c r="F1107" i="120" s="1"/>
  <c r="Q1101" i="107"/>
  <c r="K1391" i="120" s="1"/>
  <c r="Q1115" i="107"/>
  <c r="K1405" i="120" s="1"/>
  <c r="O1115" i="107"/>
  <c r="I1405" i="120" s="1"/>
  <c r="P1115" i="107"/>
  <c r="J1405" i="120" s="1"/>
  <c r="K1115" i="107"/>
  <c r="E1405" i="120" s="1"/>
  <c r="Q417" i="107"/>
  <c r="K518" i="120" s="1"/>
  <c r="K417" i="107"/>
  <c r="E518" i="120" s="1"/>
  <c r="P417" i="107"/>
  <c r="J518" i="120" s="1"/>
  <c r="L1101" i="107"/>
  <c r="F1391" i="120" s="1"/>
  <c r="J937" i="107"/>
  <c r="D1125" i="120" s="1"/>
  <c r="D1114" i="120"/>
  <c r="H949" i="107"/>
  <c r="I949" i="107" s="1"/>
  <c r="H1098" i="119" s="1"/>
  <c r="G1075" i="119"/>
  <c r="G949" i="107"/>
  <c r="F1075" i="119"/>
  <c r="F939" i="107"/>
  <c r="E1077" i="119" s="1"/>
  <c r="E1074" i="119"/>
  <c r="J911" i="107"/>
  <c r="D1099" i="120" s="1"/>
  <c r="G1049" i="119"/>
  <c r="K921" i="107"/>
  <c r="E1109" i="120" s="1"/>
  <c r="D1109" i="120"/>
  <c r="D1115" i="120"/>
  <c r="M927" i="107"/>
  <c r="G1115" i="120" s="1"/>
  <c r="L927" i="107"/>
  <c r="F1115" i="120" s="1"/>
  <c r="N927" i="107"/>
  <c r="H1115" i="120" s="1"/>
  <c r="K927" i="107"/>
  <c r="E1115" i="120" s="1"/>
  <c r="P927" i="107"/>
  <c r="J1115" i="120" s="1"/>
  <c r="O927" i="107"/>
  <c r="I1115" i="120" s="1"/>
  <c r="Q927" i="107"/>
  <c r="K1115" i="120" s="1"/>
  <c r="K919" i="107"/>
  <c r="E1107" i="120" s="1"/>
  <c r="D1107" i="120"/>
  <c r="D1116" i="120"/>
  <c r="P928" i="107"/>
  <c r="J1116" i="120" s="1"/>
  <c r="N928" i="107"/>
  <c r="H1116" i="120" s="1"/>
  <c r="M928" i="107"/>
  <c r="G1116" i="120" s="1"/>
  <c r="L928" i="107"/>
  <c r="F1116" i="120" s="1"/>
  <c r="O928" i="107"/>
  <c r="I1116" i="120" s="1"/>
  <c r="K928" i="107"/>
  <c r="E1116" i="120" s="1"/>
  <c r="Q928" i="107"/>
  <c r="K1116" i="120" s="1"/>
  <c r="I929" i="107"/>
  <c r="H1067" i="119" s="1"/>
  <c r="G1067" i="119"/>
  <c r="H908" i="107"/>
  <c r="G1046" i="119" s="1"/>
  <c r="G1044" i="119"/>
  <c r="G948" i="107"/>
  <c r="F1097" i="119" s="1"/>
  <c r="F1044" i="119"/>
  <c r="D39" i="110"/>
  <c r="E1085" i="119"/>
  <c r="I922" i="107"/>
  <c r="H1060" i="119" s="1"/>
  <c r="G1060" i="119"/>
  <c r="H1099" i="107"/>
  <c r="G1342" i="119" s="1"/>
  <c r="E1342" i="119"/>
  <c r="F1118" i="107"/>
  <c r="E1361" i="119" s="1"/>
  <c r="E1356" i="119"/>
  <c r="G1110" i="107"/>
  <c r="F1353" i="119" s="1"/>
  <c r="E1353" i="119"/>
  <c r="H1121" i="107"/>
  <c r="I1121" i="107" s="1"/>
  <c r="H1364" i="119" s="1"/>
  <c r="E1364" i="119"/>
  <c r="J1103" i="107"/>
  <c r="N1103" i="107" s="1"/>
  <c r="H1393" i="120" s="1"/>
  <c r="G1346" i="119"/>
  <c r="J1114" i="107"/>
  <c r="N1114" i="107" s="1"/>
  <c r="H1404" i="120" s="1"/>
  <c r="G1357" i="119"/>
  <c r="J1117" i="107"/>
  <c r="P1117" i="107" s="1"/>
  <c r="J1407" i="120" s="1"/>
  <c r="G1360" i="119"/>
  <c r="J396" i="107"/>
  <c r="L396" i="107" s="1"/>
  <c r="F497" i="120" s="1"/>
  <c r="G441" i="119"/>
  <c r="I397" i="107"/>
  <c r="H442" i="119" s="1"/>
  <c r="G442" i="119"/>
  <c r="I1102" i="107"/>
  <c r="H1345" i="119" s="1"/>
  <c r="G1345" i="119"/>
  <c r="J410" i="107"/>
  <c r="Q410" i="107" s="1"/>
  <c r="K511" i="120" s="1"/>
  <c r="G455" i="119"/>
  <c r="J398" i="107"/>
  <c r="N398" i="107" s="1"/>
  <c r="H499" i="120" s="1"/>
  <c r="G443" i="119"/>
  <c r="I418" i="107"/>
  <c r="H463" i="119" s="1"/>
  <c r="G463" i="119"/>
  <c r="I409" i="107"/>
  <c r="H454" i="119" s="1"/>
  <c r="G454" i="119"/>
  <c r="K1101" i="107"/>
  <c r="E1391" i="120" s="1"/>
  <c r="O1101" i="107"/>
  <c r="I1391" i="120" s="1"/>
  <c r="H403" i="107"/>
  <c r="I403" i="107" s="1"/>
  <c r="H448" i="119" s="1"/>
  <c r="E448" i="119"/>
  <c r="I1120" i="107"/>
  <c r="H1363" i="119" s="1"/>
  <c r="E1363" i="119"/>
  <c r="G395" i="107"/>
  <c r="F440" i="119" s="1"/>
  <c r="E440" i="119"/>
  <c r="J419" i="107"/>
  <c r="L419" i="107" s="1"/>
  <c r="F520" i="120" s="1"/>
  <c r="G464" i="119"/>
  <c r="J412" i="107"/>
  <c r="Q412" i="107" s="1"/>
  <c r="K513" i="120" s="1"/>
  <c r="G457" i="119"/>
  <c r="J1122" i="107"/>
  <c r="M1122" i="107" s="1"/>
  <c r="G1412" i="120" s="1"/>
  <c r="G1365" i="119"/>
  <c r="J1123" i="107"/>
  <c r="M1123" i="107" s="1"/>
  <c r="G1413" i="120" s="1"/>
  <c r="G1366" i="119"/>
  <c r="N1101" i="107"/>
  <c r="H1391" i="120" s="1"/>
  <c r="D1391" i="120"/>
  <c r="J411" i="107"/>
  <c r="G456" i="119"/>
  <c r="J1116" i="107"/>
  <c r="G1359" i="119"/>
  <c r="N1140" i="107"/>
  <c r="H1447" i="120" s="1"/>
  <c r="H1329" i="120"/>
  <c r="P1140" i="107"/>
  <c r="J1447" i="120" s="1"/>
  <c r="J1329" i="120"/>
  <c r="O1140" i="107"/>
  <c r="I1447" i="120" s="1"/>
  <c r="I1329" i="120"/>
  <c r="K1140" i="107"/>
  <c r="E1447" i="120" s="1"/>
  <c r="E1329" i="120"/>
  <c r="L1140" i="107"/>
  <c r="F1447" i="120" s="1"/>
  <c r="F1329" i="120"/>
  <c r="Q1140" i="107"/>
  <c r="K1447" i="120" s="1"/>
  <c r="K1329" i="120"/>
  <c r="M1140" i="107"/>
  <c r="G1447" i="120" s="1"/>
  <c r="G1329" i="120"/>
  <c r="Q435" i="107"/>
  <c r="K554" i="120" s="1"/>
  <c r="K436" i="120"/>
  <c r="L435" i="107"/>
  <c r="F554" i="120" s="1"/>
  <c r="F436" i="120"/>
  <c r="K435" i="107"/>
  <c r="E554" i="120" s="1"/>
  <c r="E436" i="120"/>
  <c r="O435" i="107"/>
  <c r="I554" i="120" s="1"/>
  <c r="I436" i="120"/>
  <c r="P435" i="107"/>
  <c r="J554" i="120" s="1"/>
  <c r="J436" i="120"/>
  <c r="N435" i="107"/>
  <c r="H554" i="120" s="1"/>
  <c r="H436" i="120"/>
  <c r="M435" i="107"/>
  <c r="G554" i="120" s="1"/>
  <c r="G436" i="120"/>
  <c r="U20" i="88"/>
  <c r="U23" i="88" s="1"/>
  <c r="U54" i="88"/>
  <c r="U55" i="88" s="1"/>
  <c r="U58" i="88" s="1"/>
  <c r="D56" i="105"/>
  <c r="J397" i="107"/>
  <c r="D498" i="120" s="1"/>
  <c r="H947" i="107"/>
  <c r="H915" i="107"/>
  <c r="F30" i="99"/>
  <c r="H30" i="99" s="1"/>
  <c r="J409" i="107"/>
  <c r="G1113" i="107"/>
  <c r="G908" i="107"/>
  <c r="F1046" i="119" s="1"/>
  <c r="D38" i="108"/>
  <c r="E202" i="88"/>
  <c r="G936" i="107"/>
  <c r="H395" i="107"/>
  <c r="D38" i="102"/>
  <c r="E38" i="102" s="1"/>
  <c r="F38" i="102" s="1"/>
  <c r="G1099" i="107"/>
  <c r="F1342" i="119" s="1"/>
  <c r="I396" i="107"/>
  <c r="H441" i="119" s="1"/>
  <c r="I419" i="107"/>
  <c r="H464" i="119" s="1"/>
  <c r="H1113" i="107"/>
  <c r="G1121" i="107"/>
  <c r="F1364" i="119" s="1"/>
  <c r="I1123" i="107"/>
  <c r="H1366" i="119" s="1"/>
  <c r="G947" i="107"/>
  <c r="F1085" i="119" s="1"/>
  <c r="H936" i="107"/>
  <c r="D40" i="110"/>
  <c r="H948" i="107"/>
  <c r="G915" i="107"/>
  <c r="F1053" i="119" s="1"/>
  <c r="D57" i="105"/>
  <c r="F29" i="99"/>
  <c r="I29" i="99" s="1"/>
  <c r="J906" i="107"/>
  <c r="J418" i="107"/>
  <c r="J1102" i="107"/>
  <c r="H1120" i="107"/>
  <c r="G1363" i="119" s="1"/>
  <c r="I1117" i="107"/>
  <c r="H1360" i="119" s="1"/>
  <c r="I398" i="107"/>
  <c r="H443" i="119" s="1"/>
  <c r="H1110" i="107"/>
  <c r="I1103" i="107"/>
  <c r="H1346" i="119" s="1"/>
  <c r="G1120" i="107"/>
  <c r="F1363" i="119" s="1"/>
  <c r="F1125" i="107"/>
  <c r="E1368" i="119" s="1"/>
  <c r="I410" i="107"/>
  <c r="H455" i="119" s="1"/>
  <c r="G403" i="107"/>
  <c r="F448" i="119" s="1"/>
  <c r="I412" i="107"/>
  <c r="H457" i="119" s="1"/>
  <c r="I1114" i="107"/>
  <c r="H1357" i="119" s="1"/>
  <c r="I47" i="95"/>
  <c r="H1108" i="107"/>
  <c r="G1108" i="107"/>
  <c r="F1351" i="119" s="1"/>
  <c r="F1144" i="107"/>
  <c r="E1404" i="119" s="1"/>
  <c r="G1109" i="107"/>
  <c r="H1109" i="107"/>
  <c r="H1100" i="107"/>
  <c r="G1100" i="107"/>
  <c r="F1104" i="107"/>
  <c r="E1347" i="119" s="1"/>
  <c r="H394" i="107"/>
  <c r="G394" i="107"/>
  <c r="F399" i="107"/>
  <c r="E444" i="119" s="1"/>
  <c r="G416" i="107"/>
  <c r="F461" i="119" s="1"/>
  <c r="H416" i="107"/>
  <c r="F439" i="107"/>
  <c r="E502" i="119" s="1"/>
  <c r="H404" i="107"/>
  <c r="G404" i="107"/>
  <c r="H405" i="107"/>
  <c r="G405" i="107"/>
  <c r="F450" i="119" s="1"/>
  <c r="E145" i="88"/>
  <c r="F1107" i="107"/>
  <c r="I906" i="107"/>
  <c r="H1044" i="119" s="1"/>
  <c r="I1122" i="107"/>
  <c r="H1365" i="119" s="1"/>
  <c r="F401" i="107"/>
  <c r="K112" i="92"/>
  <c r="G112" i="92" s="1"/>
  <c r="J113" i="92" s="1"/>
  <c r="F290" i="100"/>
  <c r="K147" i="88"/>
  <c r="K868" i="107"/>
  <c r="E1033" i="120" s="1"/>
  <c r="N868" i="107"/>
  <c r="H1033" i="120" s="1"/>
  <c r="P868" i="107"/>
  <c r="J1033" i="120" s="1"/>
  <c r="N359" i="107"/>
  <c r="H437" i="120" s="1"/>
  <c r="K204" i="88"/>
  <c r="Q868" i="107"/>
  <c r="K1033" i="120" s="1"/>
  <c r="P359" i="107"/>
  <c r="J437" i="120" s="1"/>
  <c r="F413" i="107"/>
  <c r="E458" i="119" s="1"/>
  <c r="H408" i="107"/>
  <c r="G408" i="107"/>
  <c r="E201" i="88"/>
  <c r="F402" i="107"/>
  <c r="E447" i="119" s="1"/>
  <c r="I415" i="107"/>
  <c r="H460" i="119" s="1"/>
  <c r="H415" i="107"/>
  <c r="G460" i="119" s="1"/>
  <c r="G415" i="107"/>
  <c r="F460" i="119" s="1"/>
  <c r="F420" i="107"/>
  <c r="E465" i="119" s="1"/>
  <c r="I937" i="107"/>
  <c r="H1075" i="119" s="1"/>
  <c r="E144" i="88"/>
  <c r="L868" i="107"/>
  <c r="F1033" i="120" s="1"/>
  <c r="L359" i="107"/>
  <c r="F437" i="120" s="1"/>
  <c r="F477" i="100"/>
  <c r="K1064" i="107"/>
  <c r="E1330" i="120" s="1"/>
  <c r="D58" i="105"/>
  <c r="D41" i="110"/>
  <c r="D39" i="108"/>
  <c r="O868" i="107"/>
  <c r="I1033" i="120" s="1"/>
  <c r="F479" i="100"/>
  <c r="G60" i="108"/>
  <c r="K17" i="108" s="1"/>
  <c r="L17" i="108" s="1"/>
  <c r="E123" i="88"/>
  <c r="U117" i="88" s="1"/>
  <c r="U118" i="88" s="1"/>
  <c r="U121" i="88" s="1"/>
  <c r="F1106" i="107"/>
  <c r="E1349" i="119" s="1"/>
  <c r="M868" i="107"/>
  <c r="G1033" i="120" s="1"/>
  <c r="O359" i="107"/>
  <c r="I437" i="120" s="1"/>
  <c r="L926" i="107"/>
  <c r="O926" i="107"/>
  <c r="P926" i="107"/>
  <c r="K926" i="107"/>
  <c r="M926" i="107"/>
  <c r="Q926" i="107"/>
  <c r="N926" i="107"/>
  <c r="J929" i="107"/>
  <c r="D1117" i="120" s="1"/>
  <c r="D21" i="112"/>
  <c r="F16" i="112"/>
  <c r="H153" i="57"/>
  <c r="G155" i="57" s="1"/>
  <c r="H165" i="57" s="1"/>
  <c r="H119" i="57"/>
  <c r="H122" i="57" s="1"/>
  <c r="H93" i="57"/>
  <c r="H108" i="57" s="1"/>
  <c r="H132" i="57"/>
  <c r="F120" i="161" s="1"/>
  <c r="H174" i="57"/>
  <c r="F140" i="161" s="1"/>
  <c r="K14" i="56"/>
  <c r="M14" i="56" s="1"/>
  <c r="H126" i="57"/>
  <c r="H128" i="57" s="1"/>
  <c r="F117" i="161" s="1"/>
  <c r="K16" i="56"/>
  <c r="M16" i="56" s="1"/>
  <c r="H72" i="57"/>
  <c r="K15" i="56"/>
  <c r="M15" i="56" s="1"/>
  <c r="H61" i="57"/>
  <c r="H152" i="57"/>
  <c r="K20" i="56"/>
  <c r="H113" i="57"/>
  <c r="F145" i="161" s="1"/>
  <c r="I5" i="11"/>
  <c r="I9" i="11" s="1"/>
  <c r="J81" i="72"/>
  <c r="F79" i="72"/>
  <c r="J152" i="72"/>
  <c r="J171" i="72" s="1"/>
  <c r="J175" i="72"/>
  <c r="J106" i="72"/>
  <c r="J126" i="72" s="1"/>
  <c r="J130" i="72"/>
  <c r="F71" i="72"/>
  <c r="F74" i="72" s="1"/>
  <c r="J74" i="72"/>
  <c r="E180" i="88"/>
  <c r="U174" i="88" s="1"/>
  <c r="U175" i="88" s="1"/>
  <c r="U178" i="88" s="1"/>
  <c r="F106" i="72"/>
  <c r="F126" i="72" s="1"/>
  <c r="F130" i="72"/>
  <c r="N116" i="92"/>
  <c r="M116" i="92"/>
  <c r="K13" i="56"/>
  <c r="K17" i="56"/>
  <c r="M17" i="56" s="1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80" i="6"/>
  <c r="G81" i="6"/>
  <c r="G82" i="6"/>
  <c r="G83" i="6"/>
  <c r="G84" i="6"/>
  <c r="G85" i="6"/>
  <c r="G86" i="6"/>
  <c r="G87" i="6"/>
  <c r="G6" i="6"/>
  <c r="G7" i="6"/>
  <c r="G8" i="6"/>
  <c r="G9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5" i="6"/>
  <c r="E388" i="119" l="1"/>
  <c r="H367" i="107"/>
  <c r="H436" i="107" s="1"/>
  <c r="G367" i="107"/>
  <c r="G436" i="107" s="1"/>
  <c r="G945" i="107"/>
  <c r="F1083" i="119" s="1"/>
  <c r="F990" i="119"/>
  <c r="E1083" i="119"/>
  <c r="D36" i="102"/>
  <c r="D35" i="108"/>
  <c r="D54" i="105"/>
  <c r="D37" i="110"/>
  <c r="P947" i="161"/>
  <c r="G990" i="119"/>
  <c r="H945" i="107"/>
  <c r="J876" i="107"/>
  <c r="K359" i="107"/>
  <c r="E437" i="120" s="1"/>
  <c r="J936" i="161"/>
  <c r="J939" i="161" s="1"/>
  <c r="H945" i="161"/>
  <c r="I945" i="161" s="1"/>
  <c r="J876" i="161"/>
  <c r="E9" i="12"/>
  <c r="G19" i="93" s="1"/>
  <c r="G261" i="92"/>
  <c r="G250" i="92"/>
  <c r="G240" i="92"/>
  <c r="G199" i="92"/>
  <c r="G151" i="92"/>
  <c r="G140" i="92"/>
  <c r="X140" i="92" s="1"/>
  <c r="G261" i="152"/>
  <c r="G250" i="152"/>
  <c r="G243" i="152"/>
  <c r="G203" i="152"/>
  <c r="I203" i="152" s="1"/>
  <c r="G192" i="152"/>
  <c r="I192" i="152" s="1"/>
  <c r="G149" i="152"/>
  <c r="G138" i="152"/>
  <c r="Y138" i="152" s="1"/>
  <c r="G103" i="152"/>
  <c r="G90" i="152"/>
  <c r="F39" i="150"/>
  <c r="X39" i="150" s="1"/>
  <c r="X57" i="150" s="1"/>
  <c r="F27" i="150"/>
  <c r="W27" i="150" s="1"/>
  <c r="G262" i="92"/>
  <c r="G251" i="92"/>
  <c r="G241" i="92"/>
  <c r="G200" i="92"/>
  <c r="G152" i="92"/>
  <c r="Y152" i="92" s="1"/>
  <c r="G141" i="92"/>
  <c r="G133" i="92"/>
  <c r="G244" i="152"/>
  <c r="G139" i="152"/>
  <c r="Z139" i="152" s="1"/>
  <c r="G260" i="92"/>
  <c r="G249" i="92"/>
  <c r="G239" i="92"/>
  <c r="G198" i="92"/>
  <c r="G150" i="92"/>
  <c r="G139" i="92"/>
  <c r="Z139" i="92" s="1"/>
  <c r="G260" i="152"/>
  <c r="G249" i="152"/>
  <c r="G242" i="152"/>
  <c r="G202" i="152"/>
  <c r="I202" i="152" s="1"/>
  <c r="G148" i="152"/>
  <c r="G137" i="152"/>
  <c r="G102" i="152"/>
  <c r="G87" i="152"/>
  <c r="F38" i="150"/>
  <c r="F26" i="150"/>
  <c r="Y26" i="150" s="1"/>
  <c r="G259" i="92"/>
  <c r="G248" i="92"/>
  <c r="G205" i="92"/>
  <c r="G193" i="92"/>
  <c r="I193" i="92" s="1"/>
  <c r="G149" i="92"/>
  <c r="G138" i="92"/>
  <c r="Y138" i="92" s="1"/>
  <c r="G259" i="152"/>
  <c r="G248" i="152"/>
  <c r="G241" i="152"/>
  <c r="G201" i="152"/>
  <c r="I201" i="152" s="1"/>
  <c r="G191" i="152"/>
  <c r="G147" i="152"/>
  <c r="H147" i="152" s="1"/>
  <c r="G136" i="152"/>
  <c r="G86" i="152"/>
  <c r="G88" i="152" s="1"/>
  <c r="M88" i="152" s="1"/>
  <c r="F37" i="150"/>
  <c r="F25" i="150"/>
  <c r="X25" i="150" s="1"/>
  <c r="F41" i="150"/>
  <c r="F33" i="150"/>
  <c r="F21" i="150"/>
  <c r="G262" i="152"/>
  <c r="G204" i="152"/>
  <c r="I204" i="152" s="1"/>
  <c r="G193" i="152"/>
  <c r="I193" i="152" s="1"/>
  <c r="G104" i="152"/>
  <c r="F20" i="150"/>
  <c r="G258" i="92"/>
  <c r="G247" i="92"/>
  <c r="G204" i="92"/>
  <c r="G192" i="92"/>
  <c r="I192" i="92" s="1"/>
  <c r="G148" i="92"/>
  <c r="G137" i="92"/>
  <c r="G258" i="152"/>
  <c r="G247" i="152"/>
  <c r="G240" i="152"/>
  <c r="G200" i="152"/>
  <c r="I200" i="152" s="1"/>
  <c r="G154" i="152"/>
  <c r="G146" i="152"/>
  <c r="G135" i="152"/>
  <c r="G99" i="152"/>
  <c r="N99" i="152" s="1"/>
  <c r="L99" i="152" s="1"/>
  <c r="G83" i="152"/>
  <c r="F36" i="150"/>
  <c r="F24" i="150"/>
  <c r="G257" i="152"/>
  <c r="G199" i="152"/>
  <c r="I199" i="152" s="1"/>
  <c r="G142" i="152"/>
  <c r="G98" i="152"/>
  <c r="G263" i="92"/>
  <c r="G255" i="92"/>
  <c r="G242" i="92"/>
  <c r="G201" i="92"/>
  <c r="G153" i="92"/>
  <c r="G142" i="92"/>
  <c r="G134" i="92"/>
  <c r="G263" i="152"/>
  <c r="G255" i="152"/>
  <c r="G205" i="152"/>
  <c r="I205" i="152" s="1"/>
  <c r="G151" i="152"/>
  <c r="G140" i="152"/>
  <c r="X140" i="152" s="1"/>
  <c r="G105" i="152"/>
  <c r="G93" i="152"/>
  <c r="G251" i="152"/>
  <c r="G150" i="152"/>
  <c r="G92" i="152"/>
  <c r="F29" i="150"/>
  <c r="G29" i="150" s="1"/>
  <c r="G257" i="92"/>
  <c r="G244" i="92"/>
  <c r="G203" i="92"/>
  <c r="G191" i="92"/>
  <c r="G147" i="92"/>
  <c r="H147" i="92" s="1"/>
  <c r="G136" i="92"/>
  <c r="G239" i="152"/>
  <c r="G153" i="152"/>
  <c r="Z153" i="152" s="1"/>
  <c r="G134" i="152"/>
  <c r="G82" i="152"/>
  <c r="G84" i="152" s="1"/>
  <c r="F35" i="150"/>
  <c r="F23" i="150"/>
  <c r="G256" i="92"/>
  <c r="G243" i="92"/>
  <c r="G202" i="92"/>
  <c r="I202" i="92" s="1"/>
  <c r="G154" i="92"/>
  <c r="G146" i="92"/>
  <c r="G135" i="92"/>
  <c r="G256" i="152"/>
  <c r="G198" i="152"/>
  <c r="G152" i="152"/>
  <c r="Y152" i="152" s="1"/>
  <c r="G141" i="152"/>
  <c r="G133" i="152"/>
  <c r="G94" i="152"/>
  <c r="F34" i="150"/>
  <c r="G34" i="150" s="1"/>
  <c r="F22" i="150"/>
  <c r="G22" i="150" s="1"/>
  <c r="F40" i="150"/>
  <c r="Y40" i="150" s="1"/>
  <c r="Y57" i="150" s="1"/>
  <c r="F28" i="150"/>
  <c r="N908" i="161"/>
  <c r="D54" i="166"/>
  <c r="D36" i="158"/>
  <c r="D35" i="159"/>
  <c r="J874" i="107"/>
  <c r="D1039" i="120" s="1"/>
  <c r="K943" i="107"/>
  <c r="E1131" i="120" s="1"/>
  <c r="M943" i="161"/>
  <c r="Q874" i="107"/>
  <c r="K1039" i="120" s="1"/>
  <c r="O874" i="107"/>
  <c r="I1039" i="120" s="1"/>
  <c r="H1037" i="120"/>
  <c r="J943" i="107"/>
  <c r="D1131" i="120" s="1"/>
  <c r="L874" i="107"/>
  <c r="F1039" i="120" s="1"/>
  <c r="M874" i="107"/>
  <c r="G1039" i="120" s="1"/>
  <c r="J1037" i="120"/>
  <c r="K943" i="161"/>
  <c r="Q943" i="161"/>
  <c r="N1064" i="107"/>
  <c r="H1330" i="120" s="1"/>
  <c r="M359" i="107"/>
  <c r="G437" i="120" s="1"/>
  <c r="P943" i="161"/>
  <c r="G1068" i="107"/>
  <c r="F1287" i="119" s="1"/>
  <c r="F1139" i="107"/>
  <c r="E1399" i="119" s="1"/>
  <c r="E1037" i="120"/>
  <c r="F1302" i="107"/>
  <c r="E1584" i="119" s="1"/>
  <c r="G1301" i="107"/>
  <c r="G1302" i="107" s="1"/>
  <c r="F1584" i="119" s="1"/>
  <c r="H1301" i="107"/>
  <c r="O943" i="161"/>
  <c r="L943" i="161"/>
  <c r="E147" i="149"/>
  <c r="U96" i="149" s="1"/>
  <c r="U145" i="149" s="1"/>
  <c r="U146" i="149" s="1"/>
  <c r="U149" i="149" s="1"/>
  <c r="N947" i="161"/>
  <c r="K947" i="161"/>
  <c r="K908" i="161"/>
  <c r="E39" i="159"/>
  <c r="G39" i="159" s="1"/>
  <c r="F487" i="151" s="1"/>
  <c r="F1348" i="161" s="1"/>
  <c r="H1348" i="161" s="1"/>
  <c r="I1348" i="161" s="1"/>
  <c r="G1332" i="161"/>
  <c r="G1335" i="161" s="1"/>
  <c r="Q1064" i="107"/>
  <c r="K1330" i="120" s="1"/>
  <c r="H1332" i="161"/>
  <c r="I1332" i="161" s="1"/>
  <c r="F1353" i="161"/>
  <c r="H1068" i="107"/>
  <c r="G1287" i="119" s="1"/>
  <c r="E37" i="159"/>
  <c r="G37" i="159" s="1"/>
  <c r="F485" i="151" s="1"/>
  <c r="F1346" i="161" s="1"/>
  <c r="K2051" i="161"/>
  <c r="K949" i="161"/>
  <c r="Q394" i="161"/>
  <c r="K394" i="161"/>
  <c r="P394" i="161"/>
  <c r="M394" i="161"/>
  <c r="N394" i="161"/>
  <c r="O394" i="161"/>
  <c r="L394" i="161"/>
  <c r="J399" i="161"/>
  <c r="H30" i="156"/>
  <c r="H33" i="156" s="1"/>
  <c r="H37" i="156" s="1"/>
  <c r="I30" i="156"/>
  <c r="I33" i="156" s="1"/>
  <c r="I37" i="156" s="1"/>
  <c r="G30" i="156"/>
  <c r="G31" i="156" s="1"/>
  <c r="G879" i="161"/>
  <c r="H879" i="161"/>
  <c r="J879" i="161" s="1"/>
  <c r="Q908" i="161"/>
  <c r="L395" i="161"/>
  <c r="N395" i="161"/>
  <c r="P395" i="161"/>
  <c r="K395" i="161"/>
  <c r="M395" i="161"/>
  <c r="O395" i="161"/>
  <c r="Q395" i="161"/>
  <c r="E38" i="159"/>
  <c r="G38" i="159" s="1"/>
  <c r="F486" i="151" s="1"/>
  <c r="F1347" i="161" s="1"/>
  <c r="M947" i="161"/>
  <c r="J2051" i="161"/>
  <c r="J949" i="161"/>
  <c r="G830" i="161"/>
  <c r="G479" i="161"/>
  <c r="G482" i="161" s="1"/>
  <c r="G1040" i="161"/>
  <c r="G1434" i="161" s="1"/>
  <c r="F2052" i="161"/>
  <c r="M406" i="161"/>
  <c r="M908" i="161"/>
  <c r="Q949" i="161"/>
  <c r="Q2051" i="161"/>
  <c r="H1040" i="161"/>
  <c r="H479" i="161"/>
  <c r="H830" i="161"/>
  <c r="P406" i="161"/>
  <c r="N1099" i="161"/>
  <c r="M1099" i="161"/>
  <c r="L1099" i="161"/>
  <c r="Q1099" i="161"/>
  <c r="K1099" i="161"/>
  <c r="P1099" i="161"/>
  <c r="O1099" i="161"/>
  <c r="J1104" i="161"/>
  <c r="F373" i="100"/>
  <c r="F1075" i="107" s="1"/>
  <c r="E1294" i="119" s="1"/>
  <c r="F373" i="151"/>
  <c r="F1075" i="161" s="1"/>
  <c r="F1077" i="161" s="1"/>
  <c r="J1120" i="161"/>
  <c r="H1125" i="161"/>
  <c r="I1125" i="161" s="1"/>
  <c r="L1100" i="161"/>
  <c r="K1100" i="161"/>
  <c r="Q1100" i="161"/>
  <c r="M1100" i="161"/>
  <c r="P1100" i="161"/>
  <c r="O1100" i="161"/>
  <c r="N1100" i="161"/>
  <c r="F1359" i="161"/>
  <c r="N2051" i="161"/>
  <c r="N949" i="161"/>
  <c r="O920" i="161"/>
  <c r="M920" i="161"/>
  <c r="M948" i="161" s="1"/>
  <c r="L920" i="161"/>
  <c r="K920" i="161"/>
  <c r="K922" i="161" s="1"/>
  <c r="Q920" i="161"/>
  <c r="Q922" i="161" s="1"/>
  <c r="P920" i="161"/>
  <c r="P948" i="161" s="1"/>
  <c r="N920" i="161"/>
  <c r="J922" i="161"/>
  <c r="O947" i="161"/>
  <c r="K406" i="161"/>
  <c r="F1141" i="161"/>
  <c r="G1072" i="161"/>
  <c r="G1141" i="161" s="1"/>
  <c r="H1072" i="161"/>
  <c r="G67" i="149"/>
  <c r="K66" i="149" s="1"/>
  <c r="F67" i="149"/>
  <c r="J66" i="149" s="1"/>
  <c r="L406" i="161"/>
  <c r="F1070" i="161"/>
  <c r="G1068" i="161"/>
  <c r="H1068" i="161"/>
  <c r="I1068" i="161" s="1"/>
  <c r="F1139" i="161"/>
  <c r="G1114" i="161"/>
  <c r="H1114" i="161"/>
  <c r="I1114" i="161" s="1"/>
  <c r="F1143" i="161"/>
  <c r="F1132" i="161"/>
  <c r="O2051" i="161"/>
  <c r="O949" i="161"/>
  <c r="U97" i="149"/>
  <c r="U100" i="149" s="1"/>
  <c r="G408" i="161"/>
  <c r="G429" i="161" s="1"/>
  <c r="G440" i="161" s="1"/>
  <c r="H408" i="161"/>
  <c r="F413" i="161"/>
  <c r="F429" i="161"/>
  <c r="M2051" i="161"/>
  <c r="M949" i="161"/>
  <c r="L947" i="161"/>
  <c r="O908" i="161"/>
  <c r="N406" i="161"/>
  <c r="K1106" i="161"/>
  <c r="K1111" i="161" s="1"/>
  <c r="Q1106" i="161"/>
  <c r="Q1111" i="161" s="1"/>
  <c r="L1106" i="161"/>
  <c r="L1111" i="161" s="1"/>
  <c r="O1106" i="161"/>
  <c r="O1111" i="161" s="1"/>
  <c r="N1106" i="161"/>
  <c r="N1111" i="161" s="1"/>
  <c r="P1106" i="161"/>
  <c r="P1111" i="161" s="1"/>
  <c r="M1106" i="161"/>
  <c r="M1111" i="161" s="1"/>
  <c r="J1111" i="161"/>
  <c r="E204" i="149"/>
  <c r="U153" i="149" s="1"/>
  <c r="L949" i="161"/>
  <c r="L2051" i="161"/>
  <c r="L908" i="161"/>
  <c r="Q947" i="161"/>
  <c r="O406" i="161"/>
  <c r="N943" i="161"/>
  <c r="M52" i="72"/>
  <c r="M53" i="72" s="1"/>
  <c r="M56" i="72" s="1"/>
  <c r="F1118" i="161"/>
  <c r="H1113" i="161"/>
  <c r="I1113" i="161" s="1"/>
  <c r="G1113" i="161"/>
  <c r="G1133" i="161" s="1"/>
  <c r="G1145" i="161" s="1"/>
  <c r="F1133" i="161"/>
  <c r="G409" i="161"/>
  <c r="H409" i="161"/>
  <c r="F438" i="161"/>
  <c r="F428" i="161"/>
  <c r="P949" i="161"/>
  <c r="P2051" i="161"/>
  <c r="K113" i="152"/>
  <c r="J113" i="152"/>
  <c r="I113" i="152"/>
  <c r="Q415" i="161"/>
  <c r="Q420" i="161" s="1"/>
  <c r="P415" i="161"/>
  <c r="P420" i="161" s="1"/>
  <c r="M415" i="161"/>
  <c r="M420" i="161" s="1"/>
  <c r="N415" i="161"/>
  <c r="N420" i="161" s="1"/>
  <c r="K415" i="161"/>
  <c r="K420" i="161" s="1"/>
  <c r="L415" i="161"/>
  <c r="L420" i="161" s="1"/>
  <c r="O415" i="161"/>
  <c r="O420" i="161" s="1"/>
  <c r="J420" i="161"/>
  <c r="Q406" i="161"/>
  <c r="O1064" i="107"/>
  <c r="I1330" i="120" s="1"/>
  <c r="H1354" i="107"/>
  <c r="I1354" i="107" s="1"/>
  <c r="H1663" i="119" s="1"/>
  <c r="L1064" i="107"/>
  <c r="F1330" i="120" s="1"/>
  <c r="G11" i="105"/>
  <c r="E16" i="105"/>
  <c r="J1334" i="107"/>
  <c r="D1694" i="120" s="1"/>
  <c r="F1302" i="161"/>
  <c r="H1301" i="161"/>
  <c r="I1301" i="161" s="1"/>
  <c r="G1301" i="161"/>
  <c r="G1302" i="161" s="1"/>
  <c r="G11" i="166"/>
  <c r="E16" i="166"/>
  <c r="G16" i="166" s="1"/>
  <c r="F65" i="166" s="1"/>
  <c r="F51" i="166"/>
  <c r="M1064" i="107"/>
  <c r="G1330" i="120" s="1"/>
  <c r="F51" i="105"/>
  <c r="I371" i="161"/>
  <c r="F880" i="161"/>
  <c r="G1076" i="161"/>
  <c r="H1076" i="161"/>
  <c r="I1076" i="161" s="1"/>
  <c r="F367" i="161"/>
  <c r="F436" i="161" s="1"/>
  <c r="O1124" i="107"/>
  <c r="I1414" i="120" s="1"/>
  <c r="P1124" i="107"/>
  <c r="J1414" i="120" s="1"/>
  <c r="L1124" i="107"/>
  <c r="F1414" i="120" s="1"/>
  <c r="Q1124" i="107"/>
  <c r="K1414" i="120" s="1"/>
  <c r="K371" i="161"/>
  <c r="O371" i="161"/>
  <c r="M371" i="161"/>
  <c r="P371" i="161"/>
  <c r="L371" i="161"/>
  <c r="N371" i="161"/>
  <c r="Q371" i="161"/>
  <c r="F118" i="100"/>
  <c r="F370" i="107" s="1"/>
  <c r="E391" i="119" s="1"/>
  <c r="F118" i="151"/>
  <c r="F370" i="161" s="1"/>
  <c r="F365" i="161"/>
  <c r="G363" i="161"/>
  <c r="H363" i="161"/>
  <c r="I363" i="161" s="1"/>
  <c r="F434" i="161"/>
  <c r="H143" i="107"/>
  <c r="I143" i="107" s="1"/>
  <c r="H101" i="119" s="1"/>
  <c r="H192" i="57"/>
  <c r="H196" i="57" s="1"/>
  <c r="F131" i="161"/>
  <c r="H145" i="161"/>
  <c r="J145" i="161" s="1"/>
  <c r="G145" i="161"/>
  <c r="G143" i="107"/>
  <c r="F101" i="119" s="1"/>
  <c r="G117" i="161"/>
  <c r="H117" i="161"/>
  <c r="J117" i="161" s="1"/>
  <c r="F142" i="161"/>
  <c r="G140" i="161"/>
  <c r="G142" i="161" s="1"/>
  <c r="H140" i="161"/>
  <c r="I140" i="161" s="1"/>
  <c r="F146" i="161"/>
  <c r="H143" i="161"/>
  <c r="G143" i="161"/>
  <c r="H120" i="161"/>
  <c r="I120" i="161" s="1"/>
  <c r="G120" i="161"/>
  <c r="F19" i="100"/>
  <c r="F123" i="107" s="1"/>
  <c r="E81" i="119" s="1"/>
  <c r="F123" i="161"/>
  <c r="G124" i="161"/>
  <c r="H124" i="161"/>
  <c r="J124" i="161" s="1"/>
  <c r="Q943" i="107"/>
  <c r="K1131" i="120" s="1"/>
  <c r="K874" i="107"/>
  <c r="E1039" i="120" s="1"/>
  <c r="O943" i="107"/>
  <c r="I1131" i="120" s="1"/>
  <c r="N911" i="107"/>
  <c r="N947" i="107" s="1"/>
  <c r="Q359" i="107"/>
  <c r="K437" i="120" s="1"/>
  <c r="F1643" i="119"/>
  <c r="M1124" i="107"/>
  <c r="G1414" i="120" s="1"/>
  <c r="N1124" i="107"/>
  <c r="H1414" i="120" s="1"/>
  <c r="Q911" i="107"/>
  <c r="K1099" i="120" s="1"/>
  <c r="K911" i="107"/>
  <c r="E1099" i="120" s="1"/>
  <c r="P1064" i="107"/>
  <c r="J1330" i="120" s="1"/>
  <c r="D1414" i="120"/>
  <c r="G1643" i="119"/>
  <c r="K1064" i="161"/>
  <c r="L1064" i="161"/>
  <c r="M1064" i="161"/>
  <c r="N1064" i="161"/>
  <c r="O1064" i="161"/>
  <c r="P1064" i="161"/>
  <c r="Q1064" i="161"/>
  <c r="K397" i="107"/>
  <c r="E498" i="120" s="1"/>
  <c r="N397" i="107"/>
  <c r="H498" i="120" s="1"/>
  <c r="P922" i="107"/>
  <c r="J1110" i="120" s="1"/>
  <c r="K82" i="88"/>
  <c r="K83" i="88" s="1"/>
  <c r="X163" i="92" s="1"/>
  <c r="F67" i="88"/>
  <c r="J66" i="88" s="1"/>
  <c r="J67" i="88" s="1"/>
  <c r="O396" i="107"/>
  <c r="I497" i="120" s="1"/>
  <c r="I1099" i="107"/>
  <c r="H1342" i="119" s="1"/>
  <c r="M397" i="107"/>
  <c r="G498" i="120" s="1"/>
  <c r="M911" i="107"/>
  <c r="M947" i="107" s="1"/>
  <c r="O922" i="107"/>
  <c r="I1110" i="120" s="1"/>
  <c r="N922" i="107"/>
  <c r="H1110" i="120" s="1"/>
  <c r="J947" i="107"/>
  <c r="D1135" i="120" s="1"/>
  <c r="Q922" i="107"/>
  <c r="K1110" i="120" s="1"/>
  <c r="M922" i="107"/>
  <c r="G1110" i="120" s="1"/>
  <c r="J1120" i="107"/>
  <c r="D1410" i="120" s="1"/>
  <c r="P397" i="107"/>
  <c r="J498" i="120" s="1"/>
  <c r="F1070" i="107"/>
  <c r="E1289" i="119" s="1"/>
  <c r="I1076" i="107"/>
  <c r="H1295" i="119" s="1"/>
  <c r="G1295" i="119"/>
  <c r="F434" i="107"/>
  <c r="E497" i="119" s="1"/>
  <c r="H363" i="107"/>
  <c r="G384" i="119" s="1"/>
  <c r="F365" i="107"/>
  <c r="E386" i="119" s="1"/>
  <c r="G363" i="107"/>
  <c r="F384" i="119" s="1"/>
  <c r="G392" i="119"/>
  <c r="J371" i="107"/>
  <c r="D449" i="120" s="1"/>
  <c r="L1076" i="107"/>
  <c r="F1342" i="120" s="1"/>
  <c r="H1072" i="107"/>
  <c r="G1291" i="119" s="1"/>
  <c r="G388" i="119"/>
  <c r="F499" i="119"/>
  <c r="G1072" i="107"/>
  <c r="F1291" i="119" s="1"/>
  <c r="F1141" i="107"/>
  <c r="E1401" i="119" s="1"/>
  <c r="G880" i="107"/>
  <c r="F994" i="119" s="1"/>
  <c r="H880" i="107"/>
  <c r="I880" i="107" s="1"/>
  <c r="H994" i="119" s="1"/>
  <c r="F436" i="107"/>
  <c r="E499" i="119" s="1"/>
  <c r="Q1103" i="107"/>
  <c r="K1393" i="120" s="1"/>
  <c r="L922" i="107"/>
  <c r="F1110" i="120" s="1"/>
  <c r="J949" i="107"/>
  <c r="D1148" i="120" s="1"/>
  <c r="Q1117" i="107"/>
  <c r="K1407" i="120" s="1"/>
  <c r="N1117" i="107"/>
  <c r="H1407" i="120" s="1"/>
  <c r="G124" i="107"/>
  <c r="F82" i="119" s="1"/>
  <c r="H124" i="107"/>
  <c r="G82" i="119" s="1"/>
  <c r="E37" i="108"/>
  <c r="G37" i="108" s="1"/>
  <c r="F485" i="100" s="1"/>
  <c r="K410" i="107"/>
  <c r="E511" i="120" s="1"/>
  <c r="G30" i="99"/>
  <c r="K419" i="107"/>
  <c r="E520" i="120" s="1"/>
  <c r="M1076" i="107"/>
  <c r="G1342" i="120" s="1"/>
  <c r="O412" i="107"/>
  <c r="I513" i="120" s="1"/>
  <c r="O410" i="107"/>
  <c r="I511" i="120" s="1"/>
  <c r="Q1114" i="107"/>
  <c r="K1404" i="120" s="1"/>
  <c r="N410" i="107"/>
  <c r="H511" i="120" s="1"/>
  <c r="N396" i="107"/>
  <c r="H497" i="120" s="1"/>
  <c r="P1103" i="107"/>
  <c r="J1393" i="120" s="1"/>
  <c r="L1103" i="107"/>
  <c r="F1393" i="120" s="1"/>
  <c r="O1103" i="107"/>
  <c r="I1393" i="120" s="1"/>
  <c r="K1103" i="107"/>
  <c r="E1393" i="120" s="1"/>
  <c r="Q396" i="107"/>
  <c r="K497" i="120" s="1"/>
  <c r="Q1123" i="107"/>
  <c r="K1413" i="120" s="1"/>
  <c r="Q419" i="107"/>
  <c r="K520" i="120" s="1"/>
  <c r="P1076" i="107"/>
  <c r="J1342" i="120" s="1"/>
  <c r="K1076" i="107"/>
  <c r="E1342" i="120" s="1"/>
  <c r="L1122" i="107"/>
  <c r="F1412" i="120" s="1"/>
  <c r="K1123" i="107"/>
  <c r="E1413" i="120" s="1"/>
  <c r="K23" i="56"/>
  <c r="K19" i="56"/>
  <c r="K21" i="56" s="1"/>
  <c r="P1122" i="107"/>
  <c r="J1412" i="120" s="1"/>
  <c r="O397" i="107"/>
  <c r="I498" i="120" s="1"/>
  <c r="Q397" i="107"/>
  <c r="K498" i="120" s="1"/>
  <c r="L397" i="107"/>
  <c r="F498" i="120" s="1"/>
  <c r="K412" i="107"/>
  <c r="E513" i="120" s="1"/>
  <c r="N412" i="107"/>
  <c r="H513" i="120" s="1"/>
  <c r="M412" i="107"/>
  <c r="G513" i="120" s="1"/>
  <c r="K1122" i="107"/>
  <c r="E1412" i="120" s="1"/>
  <c r="P419" i="107"/>
  <c r="J520" i="120" s="1"/>
  <c r="Q398" i="107"/>
  <c r="K499" i="120" s="1"/>
  <c r="O1123" i="107"/>
  <c r="I1413" i="120" s="1"/>
  <c r="P412" i="107"/>
  <c r="J513" i="120" s="1"/>
  <c r="H1125" i="107"/>
  <c r="G1368" i="119" s="1"/>
  <c r="N929" i="107"/>
  <c r="H1117" i="120" s="1"/>
  <c r="H1114" i="120"/>
  <c r="M929" i="107"/>
  <c r="G1117" i="120" s="1"/>
  <c r="G1114" i="120"/>
  <c r="P929" i="107"/>
  <c r="J1117" i="120" s="1"/>
  <c r="J1114" i="120"/>
  <c r="L929" i="107"/>
  <c r="F1117" i="120" s="1"/>
  <c r="F1114" i="120"/>
  <c r="I915" i="107"/>
  <c r="H1053" i="119" s="1"/>
  <c r="G1053" i="119"/>
  <c r="G2054" i="107"/>
  <c r="F1098" i="119"/>
  <c r="Q929" i="107"/>
  <c r="K1117" i="120" s="1"/>
  <c r="K1114" i="120"/>
  <c r="K929" i="107"/>
  <c r="E1117" i="120" s="1"/>
  <c r="E1114" i="120"/>
  <c r="O929" i="107"/>
  <c r="I1117" i="120" s="1"/>
  <c r="I1114" i="120"/>
  <c r="J915" i="107"/>
  <c r="D1103" i="120" s="1"/>
  <c r="L911" i="107"/>
  <c r="L915" i="107" s="1"/>
  <c r="F1103" i="120" s="1"/>
  <c r="O911" i="107"/>
  <c r="I1099" i="120" s="1"/>
  <c r="P911" i="107"/>
  <c r="J1099" i="120" s="1"/>
  <c r="J1099" i="107"/>
  <c r="D1389" i="120" s="1"/>
  <c r="Q1076" i="107"/>
  <c r="K1342" i="120" s="1"/>
  <c r="N1076" i="107"/>
  <c r="H1342" i="120" s="1"/>
  <c r="O1076" i="107"/>
  <c r="I1342" i="120" s="1"/>
  <c r="I30" i="99"/>
  <c r="I31" i="99" s="1"/>
  <c r="J2054" i="107"/>
  <c r="D2507" i="120" s="1"/>
  <c r="P410" i="107"/>
  <c r="J511" i="120" s="1"/>
  <c r="K1114" i="107"/>
  <c r="E1404" i="120" s="1"/>
  <c r="P1114" i="107"/>
  <c r="J1404" i="120" s="1"/>
  <c r="O1114" i="107"/>
  <c r="I1404" i="120" s="1"/>
  <c r="L410" i="107"/>
  <c r="F511" i="120" s="1"/>
  <c r="L1114" i="107"/>
  <c r="F1404" i="120" s="1"/>
  <c r="I936" i="107"/>
  <c r="H1074" i="119" s="1"/>
  <c r="G1074" i="119"/>
  <c r="L1117" i="107"/>
  <c r="F1407" i="120" s="1"/>
  <c r="K1117" i="107"/>
  <c r="E1407" i="120" s="1"/>
  <c r="M1117" i="107"/>
  <c r="G1407" i="120" s="1"/>
  <c r="L1123" i="107"/>
  <c r="F1413" i="120" s="1"/>
  <c r="N1122" i="107"/>
  <c r="H1412" i="120" s="1"/>
  <c r="N1123" i="107"/>
  <c r="H1413" i="120" s="1"/>
  <c r="M396" i="107"/>
  <c r="G497" i="120" s="1"/>
  <c r="P396" i="107"/>
  <c r="J497" i="120" s="1"/>
  <c r="M419" i="107"/>
  <c r="G520" i="120" s="1"/>
  <c r="O419" i="107"/>
  <c r="I520" i="120" s="1"/>
  <c r="O1122" i="107"/>
  <c r="I1412" i="120" s="1"/>
  <c r="I908" i="107"/>
  <c r="H1046" i="119" s="1"/>
  <c r="I947" i="107"/>
  <c r="H1085" i="119" s="1"/>
  <c r="G1085" i="119"/>
  <c r="K906" i="107"/>
  <c r="K948" i="107" s="1"/>
  <c r="E1147" i="120" s="1"/>
  <c r="D1094" i="120"/>
  <c r="I948" i="107"/>
  <c r="H1097" i="119" s="1"/>
  <c r="G1097" i="119"/>
  <c r="G939" i="107"/>
  <c r="F1077" i="119" s="1"/>
  <c r="F1074" i="119"/>
  <c r="H2054" i="107"/>
  <c r="G2010" i="119" s="1"/>
  <c r="G1098" i="119"/>
  <c r="K922" i="107"/>
  <c r="E1110" i="120" s="1"/>
  <c r="I408" i="107"/>
  <c r="H453" i="119" s="1"/>
  <c r="G453" i="119"/>
  <c r="G401" i="107"/>
  <c r="F446" i="119" s="1"/>
  <c r="E446" i="119"/>
  <c r="J405" i="107"/>
  <c r="M405" i="107" s="1"/>
  <c r="G506" i="120" s="1"/>
  <c r="G450" i="119"/>
  <c r="H439" i="107"/>
  <c r="G502" i="119" s="1"/>
  <c r="G449" i="119"/>
  <c r="J416" i="107"/>
  <c r="P416" i="107" s="1"/>
  <c r="J517" i="120" s="1"/>
  <c r="G461" i="119"/>
  <c r="J394" i="107"/>
  <c r="D495" i="120" s="1"/>
  <c r="G439" i="119"/>
  <c r="G1104" i="107"/>
  <c r="F1347" i="119" s="1"/>
  <c r="F1343" i="119"/>
  <c r="J1109" i="107"/>
  <c r="N1109" i="107" s="1"/>
  <c r="H1399" i="120" s="1"/>
  <c r="G1352" i="119"/>
  <c r="J1108" i="107"/>
  <c r="L1108" i="107" s="1"/>
  <c r="F1398" i="120" s="1"/>
  <c r="G1351" i="119"/>
  <c r="K418" i="107"/>
  <c r="E519" i="120" s="1"/>
  <c r="D519" i="120"/>
  <c r="I1113" i="107"/>
  <c r="H1356" i="119" s="1"/>
  <c r="G1356" i="119"/>
  <c r="I395" i="107"/>
  <c r="H440" i="119" s="1"/>
  <c r="G440" i="119"/>
  <c r="G1118" i="107"/>
  <c r="F1361" i="119" s="1"/>
  <c r="F1356" i="119"/>
  <c r="G413" i="107"/>
  <c r="F458" i="119" s="1"/>
  <c r="F453" i="119"/>
  <c r="F1143" i="107"/>
  <c r="E1403" i="119" s="1"/>
  <c r="E1350" i="119"/>
  <c r="G439" i="107"/>
  <c r="F502" i="119" s="1"/>
  <c r="F449" i="119"/>
  <c r="G399" i="107"/>
  <c r="F444" i="119" s="1"/>
  <c r="F439" i="119"/>
  <c r="I1100" i="107"/>
  <c r="H1343" i="119" s="1"/>
  <c r="G1343" i="119"/>
  <c r="G1144" i="107"/>
  <c r="F1404" i="119" s="1"/>
  <c r="F1352" i="119"/>
  <c r="J1110" i="107"/>
  <c r="K1110" i="107" s="1"/>
  <c r="E1400" i="120" s="1"/>
  <c r="G1353" i="119"/>
  <c r="O1102" i="107"/>
  <c r="I1392" i="120" s="1"/>
  <c r="D1392" i="120"/>
  <c r="L409" i="107"/>
  <c r="F510" i="120" s="1"/>
  <c r="D510" i="120"/>
  <c r="D1406" i="120"/>
  <c r="P1116" i="107"/>
  <c r="J1406" i="120" s="1"/>
  <c r="M1116" i="107"/>
  <c r="G1406" i="120" s="1"/>
  <c r="L1116" i="107"/>
  <c r="F1406" i="120" s="1"/>
  <c r="K1116" i="107"/>
  <c r="E1406" i="120" s="1"/>
  <c r="Q1116" i="107"/>
  <c r="K1406" i="120" s="1"/>
  <c r="O1116" i="107"/>
  <c r="I1406" i="120" s="1"/>
  <c r="N1116" i="107"/>
  <c r="H1406" i="120" s="1"/>
  <c r="D512" i="120"/>
  <c r="M411" i="107"/>
  <c r="G512" i="120" s="1"/>
  <c r="K411" i="107"/>
  <c r="E512" i="120" s="1"/>
  <c r="P411" i="107"/>
  <c r="J512" i="120" s="1"/>
  <c r="Q411" i="107"/>
  <c r="K512" i="120" s="1"/>
  <c r="O411" i="107"/>
  <c r="I512" i="120" s="1"/>
  <c r="N411" i="107"/>
  <c r="H512" i="120" s="1"/>
  <c r="L411" i="107"/>
  <c r="F512" i="120" s="1"/>
  <c r="P1123" i="107"/>
  <c r="J1413" i="120" s="1"/>
  <c r="D1413" i="120"/>
  <c r="Q1122" i="107"/>
  <c r="K1412" i="120" s="1"/>
  <c r="D1412" i="120"/>
  <c r="L412" i="107"/>
  <c r="F513" i="120" s="1"/>
  <c r="D513" i="120"/>
  <c r="N419" i="107"/>
  <c r="H520" i="120" s="1"/>
  <c r="D520" i="120"/>
  <c r="J403" i="107"/>
  <c r="G448" i="119"/>
  <c r="M398" i="107"/>
  <c r="G499" i="120" s="1"/>
  <c r="D499" i="120"/>
  <c r="P398" i="107"/>
  <c r="J499" i="120" s="1"/>
  <c r="L398" i="107"/>
  <c r="F499" i="120" s="1"/>
  <c r="O398" i="107"/>
  <c r="I499" i="120" s="1"/>
  <c r="K398" i="107"/>
  <c r="E499" i="120" s="1"/>
  <c r="M410" i="107"/>
  <c r="G511" i="120" s="1"/>
  <c r="D511" i="120"/>
  <c r="K396" i="107"/>
  <c r="E497" i="120" s="1"/>
  <c r="D497" i="120"/>
  <c r="O1117" i="107"/>
  <c r="I1407" i="120" s="1"/>
  <c r="D1407" i="120"/>
  <c r="M1114" i="107"/>
  <c r="G1404" i="120" s="1"/>
  <c r="D1404" i="120"/>
  <c r="M1103" i="107"/>
  <c r="G1393" i="120" s="1"/>
  <c r="D1393" i="120"/>
  <c r="J1121" i="107"/>
  <c r="G1364" i="119"/>
  <c r="F41" i="95"/>
  <c r="F39" i="95"/>
  <c r="X39" i="95" s="1"/>
  <c r="X57" i="95" s="1"/>
  <c r="Y170" i="92" s="1"/>
  <c r="F37" i="95"/>
  <c r="F35" i="95"/>
  <c r="F33" i="95"/>
  <c r="F27" i="95"/>
  <c r="F25" i="95"/>
  <c r="X25" i="95" s="1"/>
  <c r="F23" i="95"/>
  <c r="F21" i="95"/>
  <c r="F40" i="95"/>
  <c r="Y40" i="95" s="1"/>
  <c r="Y57" i="95" s="1"/>
  <c r="Z170" i="92" s="1"/>
  <c r="F38" i="95"/>
  <c r="F36" i="95"/>
  <c r="F34" i="95"/>
  <c r="G34" i="95" s="1"/>
  <c r="F29" i="95"/>
  <c r="F26" i="95"/>
  <c r="Y26" i="95" s="1"/>
  <c r="F24" i="95"/>
  <c r="F22" i="95"/>
  <c r="G22" i="95" s="1"/>
  <c r="F20" i="95"/>
  <c r="F28" i="95"/>
  <c r="F879" i="107"/>
  <c r="E993" i="119" s="1"/>
  <c r="K113" i="92"/>
  <c r="H185" i="57"/>
  <c r="E41" i="110"/>
  <c r="F41" i="110" s="1"/>
  <c r="M409" i="107"/>
  <c r="G510" i="120" s="1"/>
  <c r="P409" i="107"/>
  <c r="J510" i="120" s="1"/>
  <c r="K409" i="107"/>
  <c r="E510" i="120" s="1"/>
  <c r="Q409" i="107"/>
  <c r="K510" i="120" s="1"/>
  <c r="N409" i="107"/>
  <c r="H510" i="120" s="1"/>
  <c r="O409" i="107"/>
  <c r="I510" i="120" s="1"/>
  <c r="I416" i="107"/>
  <c r="H461" i="119" s="1"/>
  <c r="E204" i="88"/>
  <c r="U153" i="88" s="1"/>
  <c r="M418" i="107"/>
  <c r="G519" i="120" s="1"/>
  <c r="K937" i="107"/>
  <c r="J948" i="107"/>
  <c r="D1147" i="120" s="1"/>
  <c r="O906" i="107"/>
  <c r="G1125" i="107"/>
  <c r="F1368" i="119" s="1"/>
  <c r="O418" i="107"/>
  <c r="I519" i="120" s="1"/>
  <c r="N418" i="107"/>
  <c r="H519" i="120" s="1"/>
  <c r="G29" i="99"/>
  <c r="M906" i="107"/>
  <c r="Q418" i="107"/>
  <c r="K519" i="120" s="1"/>
  <c r="N906" i="107"/>
  <c r="H29" i="99"/>
  <c r="H31" i="99" s="1"/>
  <c r="Q906" i="107"/>
  <c r="J1113" i="107"/>
  <c r="O1113" i="107" s="1"/>
  <c r="P418" i="107"/>
  <c r="J519" i="120" s="1"/>
  <c r="J908" i="107"/>
  <c r="D1096" i="120" s="1"/>
  <c r="L906" i="107"/>
  <c r="H1118" i="107"/>
  <c r="L418" i="107"/>
  <c r="F519" i="120" s="1"/>
  <c r="J395" i="107"/>
  <c r="J936" i="107"/>
  <c r="P906" i="107"/>
  <c r="H939" i="107"/>
  <c r="H401" i="107"/>
  <c r="H429" i="107" s="1"/>
  <c r="F429" i="107"/>
  <c r="J404" i="107"/>
  <c r="O404" i="107" s="1"/>
  <c r="I505" i="120" s="1"/>
  <c r="I404" i="107"/>
  <c r="H449" i="119" s="1"/>
  <c r="F1132" i="107"/>
  <c r="E1375" i="119" s="1"/>
  <c r="G420" i="107"/>
  <c r="F465" i="119" s="1"/>
  <c r="L1102" i="107"/>
  <c r="F1392" i="120" s="1"/>
  <c r="P1102" i="107"/>
  <c r="J1392" i="120" s="1"/>
  <c r="G1107" i="107"/>
  <c r="Q1102" i="107"/>
  <c r="K1392" i="120" s="1"/>
  <c r="H1107" i="107"/>
  <c r="N1102" i="107"/>
  <c r="H1392" i="120" s="1"/>
  <c r="K1102" i="107"/>
  <c r="H399" i="107"/>
  <c r="I394" i="107"/>
  <c r="H439" i="119" s="1"/>
  <c r="M1102" i="107"/>
  <c r="G1392" i="120" s="1"/>
  <c r="I1108" i="107"/>
  <c r="H1351" i="119" s="1"/>
  <c r="E147" i="88"/>
  <c r="U96" i="88" s="1"/>
  <c r="I1110" i="107"/>
  <c r="H1353" i="119" s="1"/>
  <c r="H1104" i="107"/>
  <c r="J1100" i="107"/>
  <c r="H1144" i="107"/>
  <c r="I405" i="107"/>
  <c r="H450" i="119" s="1"/>
  <c r="E40" i="110"/>
  <c r="F40" i="110" s="1"/>
  <c r="I1109" i="107"/>
  <c r="H1352" i="119" s="1"/>
  <c r="F1332" i="107"/>
  <c r="O937" i="107"/>
  <c r="E38" i="108"/>
  <c r="G38" i="108" s="1"/>
  <c r="F486" i="100" s="1"/>
  <c r="E39" i="108"/>
  <c r="G39" i="108" s="1"/>
  <c r="F487" i="100" s="1"/>
  <c r="K947" i="107"/>
  <c r="E1135" i="120" s="1"/>
  <c r="H402" i="107"/>
  <c r="G447" i="119" s="1"/>
  <c r="G402" i="107"/>
  <c r="F438" i="107"/>
  <c r="E501" i="119" s="1"/>
  <c r="F428" i="107"/>
  <c r="E473" i="119" s="1"/>
  <c r="Q937" i="107"/>
  <c r="K1125" i="120" s="1"/>
  <c r="P937" i="107"/>
  <c r="J1125" i="120" s="1"/>
  <c r="J415" i="107"/>
  <c r="D516" i="120" s="1"/>
  <c r="H420" i="107"/>
  <c r="M937" i="107"/>
  <c r="H1106" i="107"/>
  <c r="G1349" i="119" s="1"/>
  <c r="F1111" i="107"/>
  <c r="E1354" i="119" s="1"/>
  <c r="G1106" i="107"/>
  <c r="F1349" i="119" s="1"/>
  <c r="F1133" i="107"/>
  <c r="E1376" i="119" s="1"/>
  <c r="N937" i="107"/>
  <c r="H1125" i="120" s="1"/>
  <c r="F406" i="107"/>
  <c r="E451" i="119" s="1"/>
  <c r="L937" i="107"/>
  <c r="E39" i="110"/>
  <c r="F39" i="110" s="1"/>
  <c r="I113" i="92"/>
  <c r="J408" i="107"/>
  <c r="D509" i="120" s="1"/>
  <c r="H413" i="107"/>
  <c r="G102" i="92"/>
  <c r="G92" i="92"/>
  <c r="I205" i="92"/>
  <c r="G105" i="92"/>
  <c r="G90" i="92"/>
  <c r="I204" i="92"/>
  <c r="G104" i="92"/>
  <c r="G87" i="92"/>
  <c r="I203" i="92"/>
  <c r="G103" i="92"/>
  <c r="G86" i="92"/>
  <c r="G99" i="92"/>
  <c r="N99" i="92" s="1"/>
  <c r="L99" i="92" s="1"/>
  <c r="G83" i="92"/>
  <c r="I201" i="92"/>
  <c r="Z153" i="92"/>
  <c r="G98" i="92"/>
  <c r="G82" i="92"/>
  <c r="I200" i="92"/>
  <c r="G94" i="92"/>
  <c r="I199" i="92"/>
  <c r="G93" i="92"/>
  <c r="G29" i="95"/>
  <c r="W27" i="95"/>
  <c r="E12" i="13"/>
  <c r="E20" i="13"/>
  <c r="E5" i="13"/>
  <c r="E15" i="13"/>
  <c r="E13" i="13"/>
  <c r="E21" i="13"/>
  <c r="E6" i="13"/>
  <c r="E14" i="13"/>
  <c r="G75" i="96" s="1"/>
  <c r="E22" i="13"/>
  <c r="E4" i="13"/>
  <c r="F23" i="153" s="1"/>
  <c r="E23" i="13"/>
  <c r="E7" i="13"/>
  <c r="E19" i="13"/>
  <c r="E8" i="13"/>
  <c r="E16" i="13"/>
  <c r="E24" i="13"/>
  <c r="E17" i="13"/>
  <c r="E18" i="13"/>
  <c r="E27" i="13"/>
  <c r="E9" i="13"/>
  <c r="E25" i="13"/>
  <c r="E26" i="13"/>
  <c r="E10" i="13"/>
  <c r="E11" i="13"/>
  <c r="H140" i="57"/>
  <c r="F25" i="112"/>
  <c r="F21" i="112"/>
  <c r="G156" i="57"/>
  <c r="F30" i="100"/>
  <c r="H178" i="57"/>
  <c r="F15" i="100"/>
  <c r="F117" i="107" s="1"/>
  <c r="H183" i="57"/>
  <c r="H74" i="57"/>
  <c r="H123" i="57" s="1"/>
  <c r="H133" i="57"/>
  <c r="F16" i="100"/>
  <c r="F34" i="100"/>
  <c r="F145" i="107" s="1"/>
  <c r="H186" i="57"/>
  <c r="F24" i="100"/>
  <c r="K24" i="56"/>
  <c r="N56" i="94"/>
  <c r="F81" i="72"/>
  <c r="I82" i="72" s="1"/>
  <c r="K74" i="88"/>
  <c r="J75" i="72"/>
  <c r="K52" i="94"/>
  <c r="I75" i="72"/>
  <c r="H75" i="72"/>
  <c r="G75" i="72"/>
  <c r="E20" i="12"/>
  <c r="G63" i="93" s="1"/>
  <c r="E25" i="93" s="1"/>
  <c r="E36" i="12"/>
  <c r="G32" i="94" s="1"/>
  <c r="E52" i="12"/>
  <c r="E5" i="12"/>
  <c r="E21" i="12"/>
  <c r="G64" i="93" s="1"/>
  <c r="E37" i="12"/>
  <c r="G40" i="94" s="1"/>
  <c r="E53" i="12"/>
  <c r="E6" i="12"/>
  <c r="G46" i="93" s="1"/>
  <c r="E16" i="93" s="1"/>
  <c r="F16" i="93" s="1"/>
  <c r="E22" i="12"/>
  <c r="G65" i="93" s="1"/>
  <c r="E38" i="12"/>
  <c r="G41" i="94" s="1"/>
  <c r="E54" i="12"/>
  <c r="E7" i="12"/>
  <c r="G47" i="93" s="1"/>
  <c r="E23" i="12"/>
  <c r="G66" i="93" s="1"/>
  <c r="E26" i="93" s="1"/>
  <c r="E39" i="12"/>
  <c r="G42" i="94" s="1"/>
  <c r="E55" i="12"/>
  <c r="E8" i="12"/>
  <c r="E24" i="12"/>
  <c r="G67" i="93" s="1"/>
  <c r="E40" i="12"/>
  <c r="G36" i="94" s="1"/>
  <c r="E56" i="12"/>
  <c r="E25" i="12"/>
  <c r="G68" i="93" s="1"/>
  <c r="E41" i="12"/>
  <c r="G37" i="94" s="1"/>
  <c r="E57" i="12"/>
  <c r="E10" i="12"/>
  <c r="E26" i="12"/>
  <c r="E42" i="12"/>
  <c r="G43" i="94" s="1"/>
  <c r="E58" i="12"/>
  <c r="E11" i="12"/>
  <c r="G21" i="93" s="1"/>
  <c r="E27" i="12"/>
  <c r="G69" i="93" s="1"/>
  <c r="E43" i="12"/>
  <c r="E59" i="12"/>
  <c r="E12" i="12"/>
  <c r="E28" i="12"/>
  <c r="E44" i="12"/>
  <c r="E60" i="12"/>
  <c r="E13" i="12"/>
  <c r="E29" i="12"/>
  <c r="E45" i="12"/>
  <c r="E61" i="12"/>
  <c r="E14" i="12"/>
  <c r="E30" i="12"/>
  <c r="G19" i="94" s="1"/>
  <c r="E46" i="12"/>
  <c r="E62" i="12"/>
  <c r="E15" i="12"/>
  <c r="E31" i="12"/>
  <c r="G20" i="94" s="1"/>
  <c r="E47" i="12"/>
  <c r="E4" i="12"/>
  <c r="E35" i="12"/>
  <c r="G31" i="94" s="1"/>
  <c r="E16" i="12"/>
  <c r="E32" i="12"/>
  <c r="G24" i="94" s="1"/>
  <c r="E48" i="12"/>
  <c r="E17" i="12"/>
  <c r="E33" i="12"/>
  <c r="G25" i="94" s="1"/>
  <c r="E49" i="12"/>
  <c r="E51" i="12"/>
  <c r="E18" i="12"/>
  <c r="G28" i="93" s="1"/>
  <c r="E34" i="12"/>
  <c r="G28" i="94" s="1"/>
  <c r="M28" i="94" s="1"/>
  <c r="L28" i="94" s="1"/>
  <c r="E50" i="12"/>
  <c r="E19" i="12"/>
  <c r="G62" i="93" s="1"/>
  <c r="E24" i="93" s="1"/>
  <c r="D11" i="3"/>
  <c r="D10" i="3"/>
  <c r="K915" i="107" l="1"/>
  <c r="E1103" i="120" s="1"/>
  <c r="F1037" i="120"/>
  <c r="I1037" i="120"/>
  <c r="M915" i="107"/>
  <c r="G1103" i="120" s="1"/>
  <c r="I31" i="156"/>
  <c r="G60" i="150"/>
  <c r="H173" i="152" s="1"/>
  <c r="G84" i="92"/>
  <c r="G49" i="93"/>
  <c r="E18" i="93" s="1"/>
  <c r="G143" i="152"/>
  <c r="G252" i="152"/>
  <c r="G95" i="152"/>
  <c r="G264" i="152"/>
  <c r="G88" i="92"/>
  <c r="N88" i="92" s="1"/>
  <c r="N98" i="152"/>
  <c r="G100" i="152"/>
  <c r="AA135" i="152"/>
  <c r="H135" i="152"/>
  <c r="G106" i="152"/>
  <c r="G108" i="152" s="1"/>
  <c r="J945" i="161"/>
  <c r="O876" i="161"/>
  <c r="O945" i="161" s="1"/>
  <c r="N876" i="161"/>
  <c r="N945" i="161" s="1"/>
  <c r="L876" i="161"/>
  <c r="L945" i="161" s="1"/>
  <c r="M876" i="161"/>
  <c r="M945" i="161" s="1"/>
  <c r="P876" i="161"/>
  <c r="P945" i="161" s="1"/>
  <c r="K876" i="161"/>
  <c r="K945" i="161" s="1"/>
  <c r="Q876" i="161"/>
  <c r="Q945" i="161" s="1"/>
  <c r="I145" i="161"/>
  <c r="G1348" i="161"/>
  <c r="G1359" i="161" s="1"/>
  <c r="G155" i="152"/>
  <c r="G157" i="152" s="1"/>
  <c r="I198" i="152"/>
  <c r="I206" i="152" s="1"/>
  <c r="G206" i="152"/>
  <c r="Y23" i="150"/>
  <c r="X23" i="150"/>
  <c r="G194" i="152"/>
  <c r="AA148" i="152"/>
  <c r="H148" i="152"/>
  <c r="Q936" i="161"/>
  <c r="Q939" i="161" s="1"/>
  <c r="Q948" i="161"/>
  <c r="Z170" i="152"/>
  <c r="F42" i="150"/>
  <c r="Z24" i="150"/>
  <c r="X24" i="150"/>
  <c r="Y24" i="150"/>
  <c r="I194" i="152"/>
  <c r="D1041" i="120"/>
  <c r="J945" i="107"/>
  <c r="D1133" i="120" s="1"/>
  <c r="M876" i="107"/>
  <c r="O876" i="107"/>
  <c r="P876" i="107"/>
  <c r="K876" i="107"/>
  <c r="Q876" i="107"/>
  <c r="N876" i="107"/>
  <c r="L876" i="107"/>
  <c r="K1037" i="120"/>
  <c r="F30" i="150"/>
  <c r="I945" i="107"/>
  <c r="H1083" i="119" s="1"/>
  <c r="G1083" i="119"/>
  <c r="K948" i="161"/>
  <c r="S38" i="150"/>
  <c r="S57" i="150" s="1"/>
  <c r="V38" i="150"/>
  <c r="V57" i="150" s="1"/>
  <c r="T38" i="150"/>
  <c r="T57" i="150" s="1"/>
  <c r="U38" i="150"/>
  <c r="U57" i="150" s="1"/>
  <c r="R38" i="150"/>
  <c r="R57" i="150" s="1"/>
  <c r="Y170" i="152"/>
  <c r="N88" i="152"/>
  <c r="L88" i="152" s="1"/>
  <c r="N943" i="107"/>
  <c r="H1131" i="120" s="1"/>
  <c r="L943" i="107"/>
  <c r="F1131" i="120" s="1"/>
  <c r="G1037" i="120"/>
  <c r="P943" i="107"/>
  <c r="J1131" i="120" s="1"/>
  <c r="N874" i="107"/>
  <c r="H1039" i="120" s="1"/>
  <c r="M943" i="107"/>
  <c r="G1131" i="120" s="1"/>
  <c r="P874" i="107"/>
  <c r="J1039" i="120" s="1"/>
  <c r="H1099" i="120"/>
  <c r="M1120" i="107"/>
  <c r="F1583" i="119"/>
  <c r="I1068" i="107"/>
  <c r="H1287" i="119" s="1"/>
  <c r="K936" i="107"/>
  <c r="Q915" i="107"/>
  <c r="K1103" i="120" s="1"/>
  <c r="Q947" i="107"/>
  <c r="K1135" i="120" s="1"/>
  <c r="E17" i="166"/>
  <c r="G1139" i="107"/>
  <c r="F1399" i="119" s="1"/>
  <c r="G1070" i="107"/>
  <c r="F1289" i="119" s="1"/>
  <c r="H1335" i="161"/>
  <c r="I1335" i="161" s="1"/>
  <c r="G1353" i="161"/>
  <c r="H1139" i="107"/>
  <c r="I1139" i="107" s="1"/>
  <c r="H1399" i="119" s="1"/>
  <c r="J1068" i="107"/>
  <c r="D1334" i="120" s="1"/>
  <c r="H1070" i="107"/>
  <c r="G1289" i="119" s="1"/>
  <c r="J143" i="107"/>
  <c r="D160" i="120" s="1"/>
  <c r="G101" i="119"/>
  <c r="G1583" i="119"/>
  <c r="H1302" i="107"/>
  <c r="J1301" i="107"/>
  <c r="I1301" i="107"/>
  <c r="H1583" i="119" s="1"/>
  <c r="H1353" i="161"/>
  <c r="I1353" i="161" s="1"/>
  <c r="J1332" i="161"/>
  <c r="J1335" i="161" s="1"/>
  <c r="I879" i="161"/>
  <c r="J1072" i="107"/>
  <c r="D1338" i="120" s="1"/>
  <c r="P1120" i="107"/>
  <c r="K2052" i="161"/>
  <c r="K936" i="161"/>
  <c r="K939" i="161" s="1"/>
  <c r="G1663" i="119"/>
  <c r="Q1334" i="107"/>
  <c r="Q1354" i="107" s="1"/>
  <c r="K1714" i="120" s="1"/>
  <c r="P1334" i="107"/>
  <c r="J1694" i="120" s="1"/>
  <c r="K1334" i="107"/>
  <c r="E1694" i="120" s="1"/>
  <c r="J1354" i="107"/>
  <c r="D1714" i="120" s="1"/>
  <c r="O1334" i="107"/>
  <c r="O1354" i="107" s="1"/>
  <c r="I1714" i="120" s="1"/>
  <c r="N1334" i="107"/>
  <c r="N1354" i="107" s="1"/>
  <c r="H1714" i="120" s="1"/>
  <c r="M1334" i="107"/>
  <c r="G1694" i="120" s="1"/>
  <c r="L1334" i="107"/>
  <c r="L1354" i="107" s="1"/>
  <c r="F1714" i="120" s="1"/>
  <c r="G65" i="153"/>
  <c r="I65" i="153" s="1"/>
  <c r="F35" i="96"/>
  <c r="H35" i="96" s="1"/>
  <c r="F35" i="153"/>
  <c r="H35" i="153" s="1"/>
  <c r="F26" i="96"/>
  <c r="H26" i="96" s="1"/>
  <c r="F71" i="100" s="1"/>
  <c r="F286" i="107" s="1"/>
  <c r="E256" i="119" s="1"/>
  <c r="F26" i="153"/>
  <c r="H26" i="153" s="1"/>
  <c r="F71" i="151" s="1"/>
  <c r="G76" i="96"/>
  <c r="I76" i="96" s="1"/>
  <c r="G76" i="153"/>
  <c r="I76" i="153" s="1"/>
  <c r="F44" i="96"/>
  <c r="H44" i="96" s="1"/>
  <c r="F44" i="153"/>
  <c r="H44" i="153" s="1"/>
  <c r="G83" i="96"/>
  <c r="I83" i="96" s="1"/>
  <c r="G83" i="153"/>
  <c r="I83" i="153" s="1"/>
  <c r="F24" i="96"/>
  <c r="H24" i="96" s="1"/>
  <c r="F73" i="100" s="1"/>
  <c r="F288" i="107" s="1"/>
  <c r="E258" i="119" s="1"/>
  <c r="F24" i="153"/>
  <c r="H24" i="153" s="1"/>
  <c r="F73" i="151" s="1"/>
  <c r="F288" i="161" s="1"/>
  <c r="G61" i="93"/>
  <c r="I255" i="92" s="1"/>
  <c r="G27" i="93"/>
  <c r="G69" i="153"/>
  <c r="E7" i="153"/>
  <c r="H23" i="153"/>
  <c r="G80" i="96"/>
  <c r="I80" i="96" s="1"/>
  <c r="G80" i="153"/>
  <c r="I80" i="153" s="1"/>
  <c r="G56" i="93"/>
  <c r="E22" i="93" s="1"/>
  <c r="G25" i="93"/>
  <c r="G53" i="93"/>
  <c r="E19" i="93" s="1"/>
  <c r="G22" i="93"/>
  <c r="G50" i="93"/>
  <c r="I244" i="152" s="1"/>
  <c r="G20" i="93"/>
  <c r="G18" i="93"/>
  <c r="G48" i="93"/>
  <c r="F17" i="93" s="1"/>
  <c r="G78" i="96"/>
  <c r="I78" i="96" s="1"/>
  <c r="G78" i="153"/>
  <c r="I78" i="153" s="1"/>
  <c r="G82" i="96"/>
  <c r="I82" i="96" s="1"/>
  <c r="G82" i="153"/>
  <c r="I82" i="153" s="1"/>
  <c r="F43" i="96"/>
  <c r="H43" i="96" s="1"/>
  <c r="F43" i="153"/>
  <c r="H43" i="153" s="1"/>
  <c r="G57" i="93"/>
  <c r="E23" i="93" s="1"/>
  <c r="G26" i="93"/>
  <c r="G55" i="93"/>
  <c r="E21" i="93" s="1"/>
  <c r="G24" i="93"/>
  <c r="F42" i="96"/>
  <c r="H42" i="96" s="1"/>
  <c r="F42" i="153"/>
  <c r="H42" i="153" s="1"/>
  <c r="G63" i="96"/>
  <c r="G63" i="153"/>
  <c r="G75" i="153"/>
  <c r="G54" i="93"/>
  <c r="E20" i="93" s="1"/>
  <c r="G23" i="93"/>
  <c r="G79" i="96"/>
  <c r="I79" i="96" s="1"/>
  <c r="G79" i="153"/>
  <c r="I79" i="153" s="1"/>
  <c r="F41" i="96"/>
  <c r="H41" i="96" s="1"/>
  <c r="F41" i="153"/>
  <c r="G77" i="96"/>
  <c r="I77" i="96" s="1"/>
  <c r="G77" i="153"/>
  <c r="I77" i="153" s="1"/>
  <c r="F25" i="96"/>
  <c r="H25" i="96" s="1"/>
  <c r="F25" i="153"/>
  <c r="H25" i="153" s="1"/>
  <c r="F34" i="96"/>
  <c r="H34" i="96" s="1"/>
  <c r="F34" i="153"/>
  <c r="G81" i="96"/>
  <c r="I81" i="96" s="1"/>
  <c r="G81" i="153"/>
  <c r="I81" i="153" s="1"/>
  <c r="M88" i="92"/>
  <c r="L88" i="92" s="1"/>
  <c r="K1099" i="107"/>
  <c r="E1389" i="120" s="1"/>
  <c r="G365" i="107"/>
  <c r="F386" i="119" s="1"/>
  <c r="H31" i="156"/>
  <c r="L371" i="107"/>
  <c r="F449" i="120" s="1"/>
  <c r="J84" i="152"/>
  <c r="J106" i="152"/>
  <c r="J409" i="161"/>
  <c r="H428" i="161"/>
  <c r="I428" i="161" s="1"/>
  <c r="H438" i="161"/>
  <c r="I438" i="161" s="1"/>
  <c r="G1118" i="161"/>
  <c r="G1132" i="161"/>
  <c r="G1135" i="161" s="1"/>
  <c r="G1143" i="161"/>
  <c r="K74" i="149"/>
  <c r="J67" i="149"/>
  <c r="Q1120" i="161"/>
  <c r="Q1125" i="161" s="1"/>
  <c r="O1120" i="161"/>
  <c r="O1125" i="161" s="1"/>
  <c r="L1120" i="161"/>
  <c r="L1125" i="161" s="1"/>
  <c r="N1120" i="161"/>
  <c r="N1125" i="161" s="1"/>
  <c r="P1120" i="161"/>
  <c r="P1125" i="161" s="1"/>
  <c r="M1120" i="161"/>
  <c r="M1125" i="161" s="1"/>
  <c r="K1120" i="161"/>
  <c r="K1125" i="161" s="1"/>
  <c r="J1125" i="161"/>
  <c r="K1104" i="161"/>
  <c r="J479" i="161"/>
  <c r="H482" i="161"/>
  <c r="I482" i="161" s="1"/>
  <c r="F1358" i="161"/>
  <c r="G1347" i="161"/>
  <c r="G1358" i="161" s="1"/>
  <c r="H1347" i="161"/>
  <c r="I1347" i="161" s="1"/>
  <c r="L399" i="161"/>
  <c r="N915" i="107"/>
  <c r="H1103" i="120" s="1"/>
  <c r="K84" i="152"/>
  <c r="K106" i="152"/>
  <c r="G413" i="161"/>
  <c r="G438" i="161"/>
  <c r="G428" i="161"/>
  <c r="G431" i="161" s="1"/>
  <c r="L2052" i="161"/>
  <c r="K67" i="149"/>
  <c r="K82" i="149"/>
  <c r="K83" i="149" s="1"/>
  <c r="N922" i="161"/>
  <c r="N936" i="161"/>
  <c r="N939" i="161" s="1"/>
  <c r="N2052" i="161"/>
  <c r="G1075" i="161"/>
  <c r="G1077" i="161" s="1"/>
  <c r="G1142" i="161" s="1"/>
  <c r="H1075" i="161"/>
  <c r="J1075" i="161" s="1"/>
  <c r="Q1104" i="161"/>
  <c r="J1040" i="161"/>
  <c r="H1434" i="161"/>
  <c r="O399" i="161"/>
  <c r="N948" i="161"/>
  <c r="I1072" i="161"/>
  <c r="H1141" i="161"/>
  <c r="I1141" i="161" s="1"/>
  <c r="J1072" i="161"/>
  <c r="P936" i="161"/>
  <c r="P939" i="161" s="1"/>
  <c r="P922" i="161"/>
  <c r="L1104" i="161"/>
  <c r="Q399" i="161"/>
  <c r="P2052" i="161"/>
  <c r="F1145" i="161"/>
  <c r="U154" i="149"/>
  <c r="U157" i="149" s="1"/>
  <c r="U202" i="149"/>
  <c r="U203" i="149" s="1"/>
  <c r="U206" i="149" s="1"/>
  <c r="M2052" i="161"/>
  <c r="O2052" i="161"/>
  <c r="J1068" i="161"/>
  <c r="H1070" i="161"/>
  <c r="I1070" i="161" s="1"/>
  <c r="H1139" i="161"/>
  <c r="I1139" i="161" s="1"/>
  <c r="M1104" i="161"/>
  <c r="Q2052" i="161"/>
  <c r="G832" i="161"/>
  <c r="G1632" i="161"/>
  <c r="G1634" i="161" s="1"/>
  <c r="K399" i="161"/>
  <c r="G33" i="156"/>
  <c r="G37" i="156" s="1"/>
  <c r="F440" i="161"/>
  <c r="F1135" i="161"/>
  <c r="G1070" i="161"/>
  <c r="G1139" i="161"/>
  <c r="H1359" i="161"/>
  <c r="I1359" i="161" s="1"/>
  <c r="J1348" i="161"/>
  <c r="N1104" i="161"/>
  <c r="N879" i="161"/>
  <c r="L879" i="161"/>
  <c r="P879" i="161"/>
  <c r="O879" i="161"/>
  <c r="K879" i="161"/>
  <c r="Q879" i="161"/>
  <c r="M879" i="161"/>
  <c r="F431" i="161"/>
  <c r="L936" i="161"/>
  <c r="L939" i="161" s="1"/>
  <c r="L922" i="161"/>
  <c r="L948" i="161"/>
  <c r="P399" i="161"/>
  <c r="F1357" i="161"/>
  <c r="F1349" i="161"/>
  <c r="G1346" i="161"/>
  <c r="H1346" i="161"/>
  <c r="I1346" i="161" s="1"/>
  <c r="J1113" i="161"/>
  <c r="H1118" i="161"/>
  <c r="I1118" i="161" s="1"/>
  <c r="H1133" i="161"/>
  <c r="H1145" i="161" s="1"/>
  <c r="J1145" i="161" s="1"/>
  <c r="I408" i="161"/>
  <c r="J408" i="161"/>
  <c r="H413" i="161"/>
  <c r="I413" i="161" s="1"/>
  <c r="H429" i="161"/>
  <c r="H440" i="161" s="1"/>
  <c r="M922" i="161"/>
  <c r="M936" i="161"/>
  <c r="M939" i="161" s="1"/>
  <c r="O1104" i="161"/>
  <c r="G113" i="152"/>
  <c r="I84" i="152"/>
  <c r="I106" i="152"/>
  <c r="I409" i="161"/>
  <c r="J1114" i="161"/>
  <c r="H1143" i="161"/>
  <c r="I1143" i="161" s="1"/>
  <c r="H1132" i="161"/>
  <c r="O948" i="161"/>
  <c r="O922" i="161"/>
  <c r="P1104" i="161"/>
  <c r="I830" i="161"/>
  <c r="J830" i="161"/>
  <c r="H1632" i="161"/>
  <c r="H1634" i="161" s="1"/>
  <c r="H832" i="161"/>
  <c r="I832" i="161" s="1"/>
  <c r="N399" i="161"/>
  <c r="M399" i="161"/>
  <c r="O936" i="161"/>
  <c r="O939" i="161" s="1"/>
  <c r="H1302" i="161"/>
  <c r="I1302" i="161" s="1"/>
  <c r="J1301" i="161"/>
  <c r="E19" i="166"/>
  <c r="G17" i="166"/>
  <c r="G16" i="105"/>
  <c r="F65" i="105" s="1"/>
  <c r="E17" i="105"/>
  <c r="G367" i="161"/>
  <c r="G436" i="161" s="1"/>
  <c r="H123" i="107"/>
  <c r="I123" i="107" s="1"/>
  <c r="H81" i="119" s="1"/>
  <c r="G123" i="107"/>
  <c r="F81" i="119" s="1"/>
  <c r="F1142" i="161"/>
  <c r="F1079" i="161"/>
  <c r="H367" i="161"/>
  <c r="I367" i="161" s="1"/>
  <c r="F881" i="161"/>
  <c r="G880" i="161"/>
  <c r="G881" i="161" s="1"/>
  <c r="H880" i="161"/>
  <c r="I880" i="161" s="1"/>
  <c r="J1076" i="161"/>
  <c r="O1120" i="107"/>
  <c r="I1410" i="120" s="1"/>
  <c r="K1120" i="107"/>
  <c r="N1120" i="107"/>
  <c r="H1410" i="120" s="1"/>
  <c r="L1120" i="107"/>
  <c r="F1410" i="120" s="1"/>
  <c r="F1346" i="107"/>
  <c r="G1346" i="107" s="1"/>
  <c r="F1655" i="119" s="1"/>
  <c r="J363" i="161"/>
  <c r="H365" i="161"/>
  <c r="H434" i="161"/>
  <c r="G365" i="161"/>
  <c r="G434" i="161"/>
  <c r="F372" i="161"/>
  <c r="G370" i="161"/>
  <c r="G372" i="161" s="1"/>
  <c r="G437" i="161" s="1"/>
  <c r="H370" i="161"/>
  <c r="I370" i="161" s="1"/>
  <c r="K25" i="56"/>
  <c r="G146" i="161"/>
  <c r="G147" i="161" s="1"/>
  <c r="G123" i="161"/>
  <c r="H123" i="161"/>
  <c r="J123" i="161" s="1"/>
  <c r="H146" i="161"/>
  <c r="I146" i="161" s="1"/>
  <c r="J143" i="161"/>
  <c r="O117" i="161"/>
  <c r="P117" i="161"/>
  <c r="K117" i="161"/>
  <c r="M117" i="161"/>
  <c r="L117" i="161"/>
  <c r="N117" i="161"/>
  <c r="Q117" i="161"/>
  <c r="H142" i="161"/>
  <c r="I142" i="161" s="1"/>
  <c r="J140" i="161"/>
  <c r="P145" i="161"/>
  <c r="O145" i="161"/>
  <c r="N145" i="161"/>
  <c r="M145" i="161"/>
  <c r="K145" i="161"/>
  <c r="L145" i="161"/>
  <c r="Q145" i="161"/>
  <c r="F17" i="100"/>
  <c r="F121" i="107" s="1"/>
  <c r="E79" i="119" s="1"/>
  <c r="F121" i="161"/>
  <c r="J120" i="161"/>
  <c r="I124" i="161"/>
  <c r="F147" i="161"/>
  <c r="H131" i="161"/>
  <c r="I131" i="161" s="1"/>
  <c r="G131" i="161"/>
  <c r="F14" i="161"/>
  <c r="F150" i="161"/>
  <c r="Q124" i="161"/>
  <c r="L124" i="161"/>
  <c r="P124" i="161"/>
  <c r="N124" i="161"/>
  <c r="K124" i="161"/>
  <c r="O124" i="161"/>
  <c r="M124" i="161"/>
  <c r="I143" i="161"/>
  <c r="I117" i="161"/>
  <c r="I242" i="92"/>
  <c r="I244" i="92"/>
  <c r="I263" i="92"/>
  <c r="I263" i="152"/>
  <c r="I258" i="152"/>
  <c r="I258" i="92"/>
  <c r="H258" i="152"/>
  <c r="H258" i="92"/>
  <c r="K258" i="92" s="1"/>
  <c r="N258" i="92" s="1"/>
  <c r="I241" i="92"/>
  <c r="H241" i="92"/>
  <c r="I241" i="152"/>
  <c r="H241" i="152"/>
  <c r="H255" i="92"/>
  <c r="I256" i="92"/>
  <c r="L256" i="92" s="1"/>
  <c r="O256" i="92" s="1"/>
  <c r="I256" i="152"/>
  <c r="I243" i="92"/>
  <c r="L243" i="92" s="1"/>
  <c r="O243" i="92" s="1"/>
  <c r="I243" i="152"/>
  <c r="L243" i="152" s="1"/>
  <c r="O243" i="152" s="1"/>
  <c r="I259" i="92"/>
  <c r="H259" i="152"/>
  <c r="H259" i="92"/>
  <c r="I259" i="152"/>
  <c r="I257" i="152"/>
  <c r="I257" i="92"/>
  <c r="L257" i="92" s="1"/>
  <c r="O257" i="92" s="1"/>
  <c r="I261" i="92"/>
  <c r="I261" i="152"/>
  <c r="I240" i="92"/>
  <c r="L240" i="92" s="1"/>
  <c r="O240" i="92" s="1"/>
  <c r="I240" i="152"/>
  <c r="G16" i="93"/>
  <c r="M1099" i="107"/>
  <c r="G1389" i="120" s="1"/>
  <c r="N1099" i="107"/>
  <c r="H1389" i="120" s="1"/>
  <c r="L1099" i="107"/>
  <c r="F1389" i="120" s="1"/>
  <c r="I124" i="107"/>
  <c r="H82" i="119" s="1"/>
  <c r="J124" i="107"/>
  <c r="D141" i="120" s="1"/>
  <c r="P915" i="107"/>
  <c r="J1103" i="120" s="1"/>
  <c r="O947" i="107"/>
  <c r="I1135" i="120" s="1"/>
  <c r="H1141" i="107"/>
  <c r="I1141" i="107" s="1"/>
  <c r="H1401" i="119" s="1"/>
  <c r="I1072" i="107"/>
  <c r="H1291" i="119" s="1"/>
  <c r="O915" i="107"/>
  <c r="I1103" i="120" s="1"/>
  <c r="L936" i="107"/>
  <c r="F1124" i="120" s="1"/>
  <c r="M936" i="107"/>
  <c r="G1124" i="120" s="1"/>
  <c r="E83" i="88"/>
  <c r="W50" i="95"/>
  <c r="F50" i="95" s="1"/>
  <c r="W51" i="95" s="1"/>
  <c r="J1125" i="107"/>
  <c r="D1415" i="120" s="1"/>
  <c r="Q1120" i="107"/>
  <c r="K1410" i="120" s="1"/>
  <c r="G1099" i="120"/>
  <c r="G429" i="107"/>
  <c r="G440" i="107" s="1"/>
  <c r="F503" i="119" s="1"/>
  <c r="N1108" i="107"/>
  <c r="H1398" i="120" s="1"/>
  <c r="I33" i="99"/>
  <c r="I37" i="99" s="1"/>
  <c r="P1110" i="107"/>
  <c r="J1400" i="120" s="1"/>
  <c r="L1110" i="107"/>
  <c r="F1400" i="120" s="1"/>
  <c r="G31" i="99"/>
  <c r="M416" i="107"/>
  <c r="G517" i="120" s="1"/>
  <c r="Q416" i="107"/>
  <c r="K517" i="120" s="1"/>
  <c r="K416" i="107"/>
  <c r="E517" i="120" s="1"/>
  <c r="N416" i="107"/>
  <c r="H517" i="120" s="1"/>
  <c r="P1108" i="107"/>
  <c r="J1398" i="120" s="1"/>
  <c r="P394" i="107"/>
  <c r="J495" i="120" s="1"/>
  <c r="N394" i="107"/>
  <c r="H495" i="120" s="1"/>
  <c r="O394" i="107"/>
  <c r="I495" i="120" s="1"/>
  <c r="L394" i="107"/>
  <c r="F495" i="120" s="1"/>
  <c r="Q394" i="107"/>
  <c r="K495" i="120" s="1"/>
  <c r="K394" i="107"/>
  <c r="E495" i="120" s="1"/>
  <c r="M394" i="107"/>
  <c r="G495" i="120" s="1"/>
  <c r="M1109" i="107"/>
  <c r="G1399" i="120" s="1"/>
  <c r="N405" i="107"/>
  <c r="H506" i="120" s="1"/>
  <c r="Q405" i="107"/>
  <c r="K506" i="120" s="1"/>
  <c r="K405" i="107"/>
  <c r="E506" i="120" s="1"/>
  <c r="P405" i="107"/>
  <c r="J506" i="120" s="1"/>
  <c r="P947" i="107"/>
  <c r="J1135" i="120" s="1"/>
  <c r="L405" i="107"/>
  <c r="F506" i="120" s="1"/>
  <c r="I439" i="107"/>
  <c r="H502" i="119" s="1"/>
  <c r="F67" i="110"/>
  <c r="S70" i="153"/>
  <c r="L416" i="107"/>
  <c r="F517" i="120" s="1"/>
  <c r="T70" i="96"/>
  <c r="F91" i="100" s="1"/>
  <c r="F312" i="107" s="1"/>
  <c r="T70" i="153"/>
  <c r="R70" i="96"/>
  <c r="F89" i="100" s="1"/>
  <c r="R70" i="153"/>
  <c r="I194" i="92"/>
  <c r="J363" i="107"/>
  <c r="D441" i="120" s="1"/>
  <c r="H365" i="107"/>
  <c r="I365" i="107" s="1"/>
  <c r="H386" i="119" s="1"/>
  <c r="I363" i="107"/>
  <c r="H384" i="119" s="1"/>
  <c r="H434" i="107"/>
  <c r="I434" i="107" s="1"/>
  <c r="H497" i="119" s="1"/>
  <c r="J367" i="107"/>
  <c r="D445" i="120" s="1"/>
  <c r="G434" i="107"/>
  <c r="F497" i="119" s="1"/>
  <c r="P1109" i="107"/>
  <c r="J1399" i="120" s="1"/>
  <c r="Q1109" i="107"/>
  <c r="K1399" i="120" s="1"/>
  <c r="P1099" i="107"/>
  <c r="J1389" i="120" s="1"/>
  <c r="O1109" i="107"/>
  <c r="O1144" i="107" s="1"/>
  <c r="I1451" i="120" s="1"/>
  <c r="L1109" i="107"/>
  <c r="F1399" i="120" s="1"/>
  <c r="O1099" i="107"/>
  <c r="I1389" i="120" s="1"/>
  <c r="I1125" i="107"/>
  <c r="H1368" i="119" s="1"/>
  <c r="O1108" i="107"/>
  <c r="I1398" i="120" s="1"/>
  <c r="O1110" i="107"/>
  <c r="I1400" i="120" s="1"/>
  <c r="M1108" i="107"/>
  <c r="G1398" i="120" s="1"/>
  <c r="Q1110" i="107"/>
  <c r="K1400" i="120" s="1"/>
  <c r="Q1099" i="107"/>
  <c r="K1389" i="120" s="1"/>
  <c r="Q1108" i="107"/>
  <c r="K1398" i="120" s="1"/>
  <c r="H879" i="107"/>
  <c r="G993" i="119" s="1"/>
  <c r="J880" i="107"/>
  <c r="D1045" i="120" s="1"/>
  <c r="M371" i="107"/>
  <c r="G449" i="120" s="1"/>
  <c r="F881" i="107"/>
  <c r="E995" i="119" s="1"/>
  <c r="O371" i="107"/>
  <c r="I449" i="120" s="1"/>
  <c r="N371" i="107"/>
  <c r="H449" i="120" s="1"/>
  <c r="Q371" i="107"/>
  <c r="K449" i="120" s="1"/>
  <c r="K371" i="107"/>
  <c r="E449" i="120" s="1"/>
  <c r="P371" i="107"/>
  <c r="J449" i="120" s="1"/>
  <c r="I367" i="107"/>
  <c r="H388" i="119" s="1"/>
  <c r="I436" i="107"/>
  <c r="H499" i="119" s="1"/>
  <c r="G1141" i="107"/>
  <c r="F1401" i="119" s="1"/>
  <c r="G879" i="107"/>
  <c r="F993" i="119" s="1"/>
  <c r="G1075" i="107"/>
  <c r="F1294" i="119" s="1"/>
  <c r="H1075" i="107"/>
  <c r="J1075" i="107" s="1"/>
  <c r="D1341" i="120" s="1"/>
  <c r="F1077" i="107"/>
  <c r="F1079" i="107" s="1"/>
  <c r="E1298" i="119" s="1"/>
  <c r="F388" i="119"/>
  <c r="G113" i="92"/>
  <c r="F372" i="107"/>
  <c r="F437" i="107" s="1"/>
  <c r="E500" i="119" s="1"/>
  <c r="G370" i="107"/>
  <c r="G372" i="107" s="1"/>
  <c r="G437" i="107" s="1"/>
  <c r="H370" i="107"/>
  <c r="G391" i="119" s="1"/>
  <c r="G994" i="119"/>
  <c r="F1125" i="120"/>
  <c r="G1125" i="120"/>
  <c r="G1135" i="120"/>
  <c r="H1135" i="120"/>
  <c r="E103" i="119"/>
  <c r="E75" i="119"/>
  <c r="N1110" i="107"/>
  <c r="H1400" i="120" s="1"/>
  <c r="M908" i="107"/>
  <c r="G1096" i="120" s="1"/>
  <c r="F1348" i="107"/>
  <c r="E1657" i="119" s="1"/>
  <c r="F1347" i="107"/>
  <c r="E1656" i="119" s="1"/>
  <c r="F140" i="107"/>
  <c r="E98" i="119" s="1"/>
  <c r="F131" i="107"/>
  <c r="H131" i="107" s="1"/>
  <c r="F120" i="107"/>
  <c r="E78" i="119" s="1"/>
  <c r="K939" i="107"/>
  <c r="E1127" i="120" s="1"/>
  <c r="E1124" i="120"/>
  <c r="P908" i="107"/>
  <c r="J1096" i="120" s="1"/>
  <c r="J1094" i="120"/>
  <c r="L947" i="107"/>
  <c r="F1135" i="120" s="1"/>
  <c r="F1099" i="120"/>
  <c r="O2054" i="107"/>
  <c r="I1125" i="120"/>
  <c r="I939" i="107"/>
  <c r="G1077" i="119"/>
  <c r="J939" i="107"/>
  <c r="D1127" i="120" s="1"/>
  <c r="D1124" i="120"/>
  <c r="L948" i="107"/>
  <c r="F1147" i="120" s="1"/>
  <c r="F1094" i="120"/>
  <c r="Q936" i="107"/>
  <c r="K1124" i="120" s="1"/>
  <c r="K1094" i="120"/>
  <c r="N908" i="107"/>
  <c r="H1096" i="120" s="1"/>
  <c r="H1094" i="120"/>
  <c r="M948" i="107"/>
  <c r="G1147" i="120" s="1"/>
  <c r="G1094" i="120"/>
  <c r="O948" i="107"/>
  <c r="I1147" i="120" s="1"/>
  <c r="I1094" i="120"/>
  <c r="K2054" i="107"/>
  <c r="E1125" i="120"/>
  <c r="K908" i="107"/>
  <c r="E1096" i="120" s="1"/>
  <c r="E1094" i="120"/>
  <c r="F2010" i="119"/>
  <c r="F2054" i="107"/>
  <c r="H440" i="107"/>
  <c r="G503" i="119" s="1"/>
  <c r="G474" i="119"/>
  <c r="O1118" i="107"/>
  <c r="I1408" i="120" s="1"/>
  <c r="I1403" i="120"/>
  <c r="I413" i="107"/>
  <c r="H458" i="119" s="1"/>
  <c r="G458" i="119"/>
  <c r="I420" i="107"/>
  <c r="H465" i="119" s="1"/>
  <c r="G465" i="119"/>
  <c r="E1410" i="120"/>
  <c r="J1410" i="120"/>
  <c r="J1104" i="107"/>
  <c r="D1394" i="120" s="1"/>
  <c r="D1390" i="120"/>
  <c r="E1392" i="120"/>
  <c r="J1107" i="107"/>
  <c r="Q1107" i="107" s="1"/>
  <c r="K1397" i="120" s="1"/>
  <c r="G1350" i="119"/>
  <c r="F440" i="107"/>
  <c r="E503" i="119" s="1"/>
  <c r="E474" i="119"/>
  <c r="G406" i="107"/>
  <c r="F451" i="119" s="1"/>
  <c r="F447" i="119"/>
  <c r="G1410" i="120"/>
  <c r="J1144" i="107"/>
  <c r="D1451" i="120" s="1"/>
  <c r="G1404" i="119"/>
  <c r="I1104" i="107"/>
  <c r="H1347" i="119" s="1"/>
  <c r="G1347" i="119"/>
  <c r="I399" i="107"/>
  <c r="H444" i="119" s="1"/>
  <c r="G444" i="119"/>
  <c r="G1143" i="107"/>
  <c r="F1403" i="119" s="1"/>
  <c r="F1350" i="119"/>
  <c r="J439" i="107"/>
  <c r="D558" i="120" s="1"/>
  <c r="D505" i="120"/>
  <c r="I401" i="107"/>
  <c r="H446" i="119" s="1"/>
  <c r="G446" i="119"/>
  <c r="J399" i="107"/>
  <c r="D500" i="120" s="1"/>
  <c r="D496" i="120"/>
  <c r="I1118" i="107"/>
  <c r="H1361" i="119" s="1"/>
  <c r="G1361" i="119"/>
  <c r="M1113" i="107"/>
  <c r="D1403" i="120"/>
  <c r="D1411" i="120"/>
  <c r="M1121" i="107"/>
  <c r="G1411" i="120" s="1"/>
  <c r="O1121" i="107"/>
  <c r="I1411" i="120" s="1"/>
  <c r="K1121" i="107"/>
  <c r="E1411" i="120" s="1"/>
  <c r="N1121" i="107"/>
  <c r="H1411" i="120" s="1"/>
  <c r="L1121" i="107"/>
  <c r="F1411" i="120" s="1"/>
  <c r="Q1121" i="107"/>
  <c r="K1411" i="120" s="1"/>
  <c r="P1121" i="107"/>
  <c r="J1411" i="120" s="1"/>
  <c r="D504" i="120"/>
  <c r="Q403" i="107"/>
  <c r="K504" i="120" s="1"/>
  <c r="M403" i="107"/>
  <c r="G504" i="120" s="1"/>
  <c r="L403" i="107"/>
  <c r="F504" i="120" s="1"/>
  <c r="K403" i="107"/>
  <c r="E504" i="120" s="1"/>
  <c r="N403" i="107"/>
  <c r="H504" i="120" s="1"/>
  <c r="P403" i="107"/>
  <c r="J504" i="120" s="1"/>
  <c r="O403" i="107"/>
  <c r="I504" i="120" s="1"/>
  <c r="M1110" i="107"/>
  <c r="G1400" i="120" s="1"/>
  <c r="D1400" i="120"/>
  <c r="K1108" i="107"/>
  <c r="E1398" i="120" s="1"/>
  <c r="D1398" i="120"/>
  <c r="K1109" i="107"/>
  <c r="E1399" i="120" s="1"/>
  <c r="D1399" i="120"/>
  <c r="O416" i="107"/>
  <c r="I517" i="120" s="1"/>
  <c r="D517" i="120"/>
  <c r="O405" i="107"/>
  <c r="I506" i="120" s="1"/>
  <c r="D506" i="120"/>
  <c r="G26" i="94"/>
  <c r="H7" i="12"/>
  <c r="J7" i="12" s="1"/>
  <c r="G60" i="95"/>
  <c r="H173" i="92" s="1"/>
  <c r="H4" i="12"/>
  <c r="G21" i="94"/>
  <c r="S38" i="95"/>
  <c r="T151" i="92" s="1"/>
  <c r="V38" i="95"/>
  <c r="W151" i="92" s="1"/>
  <c r="R38" i="95"/>
  <c r="S151" i="92" s="1"/>
  <c r="U38" i="95"/>
  <c r="V151" i="92" s="1"/>
  <c r="T38" i="95"/>
  <c r="U151" i="92" s="1"/>
  <c r="G1332" i="107"/>
  <c r="F1641" i="119" s="1"/>
  <c r="E1641" i="119"/>
  <c r="U145" i="88"/>
  <c r="U146" i="88" s="1"/>
  <c r="U149" i="88" s="1"/>
  <c r="U97" i="88"/>
  <c r="U100" i="88" s="1"/>
  <c r="U202" i="88"/>
  <c r="U203" i="88" s="1"/>
  <c r="U206" i="88" s="1"/>
  <c r="U154" i="88"/>
  <c r="U157" i="88" s="1"/>
  <c r="P1113" i="107"/>
  <c r="G44" i="94"/>
  <c r="L908" i="107"/>
  <c r="F1096" i="120" s="1"/>
  <c r="O439" i="107"/>
  <c r="I558" i="120" s="1"/>
  <c r="N395" i="107"/>
  <c r="H496" i="120" s="1"/>
  <c r="K949" i="107"/>
  <c r="E1148" i="120" s="1"/>
  <c r="M404" i="107"/>
  <c r="G1132" i="107"/>
  <c r="F1375" i="119" s="1"/>
  <c r="N1113" i="107"/>
  <c r="L1113" i="107"/>
  <c r="P936" i="107"/>
  <c r="P948" i="107"/>
  <c r="J1147" i="120" s="1"/>
  <c r="O936" i="107"/>
  <c r="O908" i="107"/>
  <c r="I1096" i="120" s="1"/>
  <c r="J1118" i="107"/>
  <c r="D1408" i="120" s="1"/>
  <c r="Q1113" i="107"/>
  <c r="K1113" i="107"/>
  <c r="Q948" i="107"/>
  <c r="K1147" i="120" s="1"/>
  <c r="Q908" i="107"/>
  <c r="K1096" i="120" s="1"/>
  <c r="H1143" i="107"/>
  <c r="G33" i="99"/>
  <c r="G37" i="99" s="1"/>
  <c r="J401" i="107"/>
  <c r="K401" i="107" s="1"/>
  <c r="E502" i="120" s="1"/>
  <c r="H406" i="107"/>
  <c r="K1100" i="107"/>
  <c r="E1390" i="120" s="1"/>
  <c r="O1100" i="107"/>
  <c r="I1390" i="120" s="1"/>
  <c r="P395" i="107"/>
  <c r="Q404" i="107"/>
  <c r="N948" i="107"/>
  <c r="H1147" i="120" s="1"/>
  <c r="L395" i="107"/>
  <c r="K404" i="107"/>
  <c r="Q1100" i="107"/>
  <c r="N936" i="107"/>
  <c r="O395" i="107"/>
  <c r="N404" i="107"/>
  <c r="N1100" i="107"/>
  <c r="K395" i="107"/>
  <c r="Q395" i="107"/>
  <c r="P404" i="107"/>
  <c r="H33" i="99"/>
  <c r="H37" i="99" s="1"/>
  <c r="M395" i="107"/>
  <c r="L404" i="107"/>
  <c r="O949" i="107"/>
  <c r="I1148" i="120" s="1"/>
  <c r="H1132" i="107"/>
  <c r="I1107" i="107"/>
  <c r="H1350" i="119" s="1"/>
  <c r="N1144" i="107"/>
  <c r="H1451" i="120" s="1"/>
  <c r="M1100" i="107"/>
  <c r="P1100" i="107"/>
  <c r="L1100" i="107"/>
  <c r="S70" i="96"/>
  <c r="S71" i="96" s="1"/>
  <c r="F1335" i="107"/>
  <c r="E1644" i="119" s="1"/>
  <c r="I1144" i="107"/>
  <c r="H1404" i="119" s="1"/>
  <c r="I84" i="92"/>
  <c r="H1332" i="107"/>
  <c r="F1353" i="107"/>
  <c r="E1662" i="119" s="1"/>
  <c r="F30" i="95"/>
  <c r="O408" i="107"/>
  <c r="N408" i="107"/>
  <c r="Q408" i="107"/>
  <c r="K408" i="107"/>
  <c r="L408" i="107"/>
  <c r="P408" i="107"/>
  <c r="M408" i="107"/>
  <c r="J413" i="107"/>
  <c r="D514" i="120" s="1"/>
  <c r="N949" i="107"/>
  <c r="H1148" i="120" s="1"/>
  <c r="N2054" i="107"/>
  <c r="P2054" i="107"/>
  <c r="P949" i="107"/>
  <c r="J1148" i="120" s="1"/>
  <c r="Q949" i="107"/>
  <c r="K1148" i="120" s="1"/>
  <c r="Q2054" i="107"/>
  <c r="F431" i="107"/>
  <c r="E476" i="119" s="1"/>
  <c r="I402" i="107"/>
  <c r="H447" i="119" s="1"/>
  <c r="F1145" i="107"/>
  <c r="E1405" i="119" s="1"/>
  <c r="M949" i="107"/>
  <c r="G1148" i="120" s="1"/>
  <c r="M2054" i="107"/>
  <c r="I429" i="107"/>
  <c r="H474" i="119" s="1"/>
  <c r="G428" i="107"/>
  <c r="G438" i="107"/>
  <c r="G1111" i="107"/>
  <c r="F1354" i="119" s="1"/>
  <c r="G1133" i="107"/>
  <c r="J402" i="107"/>
  <c r="D503" i="120" s="1"/>
  <c r="H438" i="107"/>
  <c r="H428" i="107"/>
  <c r="L2054" i="107"/>
  <c r="L949" i="107"/>
  <c r="F1148" i="120" s="1"/>
  <c r="J1139" i="107"/>
  <c r="D1446" i="120" s="1"/>
  <c r="I1106" i="107"/>
  <c r="H1349" i="119" s="1"/>
  <c r="J1106" i="107"/>
  <c r="D1396" i="120" s="1"/>
  <c r="H1111" i="107"/>
  <c r="H1133" i="107"/>
  <c r="G1376" i="119" s="1"/>
  <c r="K415" i="107"/>
  <c r="M415" i="107"/>
  <c r="O415" i="107"/>
  <c r="Q415" i="107"/>
  <c r="L415" i="107"/>
  <c r="N415" i="107"/>
  <c r="P415" i="107"/>
  <c r="J420" i="107"/>
  <c r="D521" i="120" s="1"/>
  <c r="F1135" i="107"/>
  <c r="E1378" i="119" s="1"/>
  <c r="G106" i="92"/>
  <c r="J106" i="92" s="1"/>
  <c r="F42" i="95"/>
  <c r="G194" i="92"/>
  <c r="Z24" i="95"/>
  <c r="Y24" i="95"/>
  <c r="X24" i="95"/>
  <c r="AA148" i="92"/>
  <c r="H148" i="92"/>
  <c r="G30" i="94"/>
  <c r="G33" i="94" s="1"/>
  <c r="H5" i="12"/>
  <c r="H69" i="93"/>
  <c r="K69" i="93" s="1"/>
  <c r="I68" i="93"/>
  <c r="H68" i="93" s="1"/>
  <c r="H262" i="152" s="1"/>
  <c r="I66" i="93"/>
  <c r="H66" i="93" s="1"/>
  <c r="H260" i="92" s="1"/>
  <c r="H64" i="93"/>
  <c r="G69" i="96"/>
  <c r="C10" i="110"/>
  <c r="E7" i="96"/>
  <c r="H6" i="13"/>
  <c r="F23" i="96"/>
  <c r="H49" i="93"/>
  <c r="H243" i="152" s="1"/>
  <c r="I47" i="93"/>
  <c r="X23" i="95"/>
  <c r="X60" i="95" s="1"/>
  <c r="Y173" i="92" s="1"/>
  <c r="Y23" i="95"/>
  <c r="G206" i="92"/>
  <c r="I198" i="92"/>
  <c r="I206" i="92" s="1"/>
  <c r="H62" i="93"/>
  <c r="H256" i="92" s="1"/>
  <c r="I63" i="96"/>
  <c r="I75" i="96"/>
  <c r="K84" i="92"/>
  <c r="J84" i="92"/>
  <c r="G252" i="92"/>
  <c r="G45" i="93"/>
  <c r="H5" i="13"/>
  <c r="H6" i="12"/>
  <c r="N36" i="94"/>
  <c r="G38" i="94"/>
  <c r="N98" i="92"/>
  <c r="G100" i="92"/>
  <c r="G264" i="92"/>
  <c r="H67" i="93"/>
  <c r="H261" i="92" s="1"/>
  <c r="I65" i="93"/>
  <c r="H63" i="93"/>
  <c r="H257" i="152" s="1"/>
  <c r="G143" i="92"/>
  <c r="I57" i="93"/>
  <c r="I251" i="152" s="1"/>
  <c r="H50" i="93"/>
  <c r="H244" i="152" s="1"/>
  <c r="L244" i="92"/>
  <c r="O244" i="92" s="1"/>
  <c r="H48" i="93"/>
  <c r="H242" i="152" s="1"/>
  <c r="H46" i="93"/>
  <c r="H240" i="92" s="1"/>
  <c r="G65" i="96"/>
  <c r="I65" i="96" s="1"/>
  <c r="AA135" i="92"/>
  <c r="H135" i="92"/>
  <c r="G155" i="92"/>
  <c r="G95" i="92"/>
  <c r="H193" i="57"/>
  <c r="H131" i="57"/>
  <c r="G117" i="107"/>
  <c r="H117" i="107"/>
  <c r="H145" i="107"/>
  <c r="I145" i="107" s="1"/>
  <c r="H103" i="119" s="1"/>
  <c r="G145" i="107"/>
  <c r="F146" i="107"/>
  <c r="E104" i="119" s="1"/>
  <c r="H137" i="57"/>
  <c r="H184" i="57" s="1"/>
  <c r="H187" i="57" s="1"/>
  <c r="H195" i="57" s="1"/>
  <c r="H197" i="57" s="1"/>
  <c r="D12" i="3"/>
  <c r="D14" i="3" s="1"/>
  <c r="D15" i="3" s="1"/>
  <c r="D17" i="3" s="1"/>
  <c r="D18" i="3" s="1"/>
  <c r="D19" i="3" s="1"/>
  <c r="D3" i="3" s="1"/>
  <c r="J82" i="72"/>
  <c r="F82" i="72" s="1"/>
  <c r="G163" i="92"/>
  <c r="F75" i="72"/>
  <c r="L56" i="94"/>
  <c r="M57" i="94" s="1"/>
  <c r="K75" i="88"/>
  <c r="X160" i="92" s="1"/>
  <c r="E74" i="88"/>
  <c r="H52" i="94"/>
  <c r="K53" i="94" s="1"/>
  <c r="E1655" i="119" l="1"/>
  <c r="N143" i="107"/>
  <c r="H160" i="120" s="1"/>
  <c r="P143" i="107"/>
  <c r="J160" i="120" s="1"/>
  <c r="H251" i="92"/>
  <c r="I255" i="152"/>
  <c r="F38" i="96"/>
  <c r="G70" i="93"/>
  <c r="S151" i="152"/>
  <c r="H61" i="93"/>
  <c r="H255" i="152"/>
  <c r="I208" i="92"/>
  <c r="U151" i="152"/>
  <c r="I208" i="152"/>
  <c r="F44" i="150"/>
  <c r="G208" i="152"/>
  <c r="G266" i="152"/>
  <c r="V170" i="152"/>
  <c r="U63" i="150"/>
  <c r="V176" i="152" s="1"/>
  <c r="K1041" i="120"/>
  <c r="Q945" i="107"/>
  <c r="K1133" i="120" s="1"/>
  <c r="J2052" i="161"/>
  <c r="U170" i="152"/>
  <c r="T63" i="150"/>
  <c r="U176" i="152" s="1"/>
  <c r="V151" i="152"/>
  <c r="K945" i="107"/>
  <c r="E1133" i="120" s="1"/>
  <c r="E1041" i="120"/>
  <c r="W170" i="152"/>
  <c r="V63" i="150"/>
  <c r="W176" i="152" s="1"/>
  <c r="W151" i="152"/>
  <c r="P945" i="107"/>
  <c r="J1133" i="120" s="1"/>
  <c r="J1041" i="120"/>
  <c r="T170" i="152"/>
  <c r="S63" i="150"/>
  <c r="T176" i="152" s="1"/>
  <c r="O945" i="107"/>
  <c r="I1133" i="120" s="1"/>
  <c r="I1041" i="120"/>
  <c r="H247" i="152"/>
  <c r="K247" i="152" s="1"/>
  <c r="T151" i="152"/>
  <c r="M945" i="107"/>
  <c r="G1133" i="120" s="1"/>
  <c r="G1041" i="120"/>
  <c r="X60" i="150"/>
  <c r="Y60" i="150"/>
  <c r="F1041" i="120"/>
  <c r="L945" i="107"/>
  <c r="F1133" i="120" s="1"/>
  <c r="P87" i="161"/>
  <c r="G87" i="161"/>
  <c r="Q87" i="161"/>
  <c r="H87" i="161"/>
  <c r="O87" i="161"/>
  <c r="F87" i="161"/>
  <c r="N87" i="161"/>
  <c r="M87" i="161"/>
  <c r="J87" i="161"/>
  <c r="L87" i="161"/>
  <c r="K87" i="161"/>
  <c r="S170" i="152"/>
  <c r="R63" i="150"/>
  <c r="S176" i="152" s="1"/>
  <c r="N945" i="107"/>
  <c r="H1133" i="120" s="1"/>
  <c r="H1041" i="120"/>
  <c r="L98" i="152"/>
  <c r="L100" i="152" s="1"/>
  <c r="N100" i="152"/>
  <c r="I1070" i="107"/>
  <c r="H1289" i="119" s="1"/>
  <c r="G1334" i="120"/>
  <c r="K143" i="107"/>
  <c r="E160" i="120" s="1"/>
  <c r="K1354" i="107"/>
  <c r="E1714" i="120" s="1"/>
  <c r="O143" i="107"/>
  <c r="I160" i="120" s="1"/>
  <c r="M143" i="107"/>
  <c r="G160" i="120" s="1"/>
  <c r="Q143" i="107"/>
  <c r="K160" i="120" s="1"/>
  <c r="L143" i="107"/>
  <c r="F160" i="120" s="1"/>
  <c r="M939" i="107"/>
  <c r="G1127" i="120" s="1"/>
  <c r="H288" i="107"/>
  <c r="L1144" i="107"/>
  <c r="F1451" i="120" s="1"/>
  <c r="H1346" i="107"/>
  <c r="G1655" i="119" s="1"/>
  <c r="K1334" i="120"/>
  <c r="K1694" i="120"/>
  <c r="F1334" i="120"/>
  <c r="J1334" i="120"/>
  <c r="J1070" i="107"/>
  <c r="D1336" i="120" s="1"/>
  <c r="G1399" i="119"/>
  <c r="E1334" i="120"/>
  <c r="I1334" i="120"/>
  <c r="H1334" i="120"/>
  <c r="F883" i="107"/>
  <c r="E997" i="119" s="1"/>
  <c r="J434" i="107"/>
  <c r="D553" i="120" s="1"/>
  <c r="N1332" i="161"/>
  <c r="N1335" i="161" s="1"/>
  <c r="H286" i="107"/>
  <c r="G256" i="119" s="1"/>
  <c r="G286" i="107"/>
  <c r="F256" i="119" s="1"/>
  <c r="G81" i="119"/>
  <c r="J123" i="107"/>
  <c r="D140" i="120" s="1"/>
  <c r="G288" i="107"/>
  <c r="F258" i="119" s="1"/>
  <c r="D1631" i="120"/>
  <c r="P1301" i="107"/>
  <c r="N1301" i="107"/>
  <c r="L1301" i="107"/>
  <c r="M1301" i="107"/>
  <c r="O1301" i="107"/>
  <c r="J1302" i="107"/>
  <c r="D1632" i="120" s="1"/>
  <c r="K1301" i="107"/>
  <c r="Q1301" i="107"/>
  <c r="I1302" i="107"/>
  <c r="G1584" i="119"/>
  <c r="P1072" i="107"/>
  <c r="P1141" i="107" s="1"/>
  <c r="J1448" i="120" s="1"/>
  <c r="J1141" i="107"/>
  <c r="D1448" i="120" s="1"/>
  <c r="M1072" i="107"/>
  <c r="M1141" i="107" s="1"/>
  <c r="G1448" i="120" s="1"/>
  <c r="O1072" i="107"/>
  <c r="I1338" i="120" s="1"/>
  <c r="N1072" i="107"/>
  <c r="N1141" i="107" s="1"/>
  <c r="H1448" i="120" s="1"/>
  <c r="Q1072" i="107"/>
  <c r="Q1141" i="107" s="1"/>
  <c r="K1448" i="120" s="1"/>
  <c r="L1072" i="107"/>
  <c r="F1338" i="120" s="1"/>
  <c r="K1072" i="107"/>
  <c r="E1338" i="120" s="1"/>
  <c r="P1354" i="107"/>
  <c r="J1714" i="120" s="1"/>
  <c r="O1332" i="161"/>
  <c r="O1335" i="161" s="1"/>
  <c r="P1332" i="161"/>
  <c r="P1353" i="161" s="1"/>
  <c r="Q1332" i="161"/>
  <c r="Q1353" i="161" s="1"/>
  <c r="M1332" i="161"/>
  <c r="M1335" i="161" s="1"/>
  <c r="J1353" i="161"/>
  <c r="L1332" i="161"/>
  <c r="L1335" i="161" s="1"/>
  <c r="K1332" i="161"/>
  <c r="K1353" i="161" s="1"/>
  <c r="G881" i="107"/>
  <c r="F995" i="119" s="1"/>
  <c r="J365" i="107"/>
  <c r="D443" i="120" s="1"/>
  <c r="J367" i="161"/>
  <c r="P367" i="161" s="1"/>
  <c r="P436" i="161" s="1"/>
  <c r="G1079" i="161"/>
  <c r="H1135" i="161"/>
  <c r="I1135" i="161" s="1"/>
  <c r="H1077" i="161"/>
  <c r="I1077" i="161" s="1"/>
  <c r="F1148" i="161"/>
  <c r="F946" i="107"/>
  <c r="E1084" i="119" s="1"/>
  <c r="I247" i="152"/>
  <c r="I247" i="92"/>
  <c r="H251" i="152"/>
  <c r="H247" i="92"/>
  <c r="H250" i="152"/>
  <c r="I56" i="93"/>
  <c r="I250" i="92" s="1"/>
  <c r="H250" i="92"/>
  <c r="K250" i="92" s="1"/>
  <c r="I242" i="152"/>
  <c r="L242" i="152" s="1"/>
  <c r="O242" i="152" s="1"/>
  <c r="M1354" i="107"/>
  <c r="G1714" i="120" s="1"/>
  <c r="I1694" i="120"/>
  <c r="H1694" i="120"/>
  <c r="F1694" i="120"/>
  <c r="G1148" i="161"/>
  <c r="I106" i="92"/>
  <c r="F46" i="96"/>
  <c r="H46" i="96"/>
  <c r="F75" i="100" s="1"/>
  <c r="F290" i="107" s="1"/>
  <c r="E260" i="119" s="1"/>
  <c r="G84" i="96"/>
  <c r="I248" i="92"/>
  <c r="L248" i="92" s="1"/>
  <c r="O248" i="92" s="1"/>
  <c r="I69" i="153"/>
  <c r="I71" i="153" s="1"/>
  <c r="G71" i="153"/>
  <c r="I76" i="93"/>
  <c r="G84" i="153"/>
  <c r="I75" i="153"/>
  <c r="I84" i="153" s="1"/>
  <c r="G288" i="161"/>
  <c r="H288" i="161"/>
  <c r="J288" i="161" s="1"/>
  <c r="F286" i="161"/>
  <c r="H249" i="152"/>
  <c r="F46" i="153"/>
  <c r="H41" i="153"/>
  <c r="H46" i="153" s="1"/>
  <c r="F75" i="151" s="1"/>
  <c r="F290" i="161" s="1"/>
  <c r="I63" i="153"/>
  <c r="I66" i="153" s="1"/>
  <c r="G66" i="153"/>
  <c r="E17" i="93"/>
  <c r="H54" i="93"/>
  <c r="H248" i="152" s="1"/>
  <c r="H76" i="93"/>
  <c r="H271" i="92" s="1"/>
  <c r="H249" i="92"/>
  <c r="K249" i="92" s="1"/>
  <c r="F72" i="151"/>
  <c r="F287" i="161" s="1"/>
  <c r="H29" i="153"/>
  <c r="I55" i="93"/>
  <c r="I249" i="152" s="1"/>
  <c r="L249" i="152" s="1"/>
  <c r="O249" i="152" s="1"/>
  <c r="I84" i="96"/>
  <c r="I248" i="152"/>
  <c r="L248" i="152" s="1"/>
  <c r="O248" i="152" s="1"/>
  <c r="H34" i="153"/>
  <c r="H38" i="153" s="1"/>
  <c r="F74" i="151" s="1"/>
  <c r="F289" i="161" s="1"/>
  <c r="F38" i="153"/>
  <c r="F29" i="153"/>
  <c r="K106" i="92"/>
  <c r="H106" i="152"/>
  <c r="H84" i="152"/>
  <c r="K367" i="107"/>
  <c r="K436" i="107" s="1"/>
  <c r="E555" i="120" s="1"/>
  <c r="N367" i="107"/>
  <c r="N436" i="107" s="1"/>
  <c r="H555" i="120" s="1"/>
  <c r="Q367" i="107"/>
  <c r="K445" i="120" s="1"/>
  <c r="N1114" i="161"/>
  <c r="M1114" i="161"/>
  <c r="L1114" i="161"/>
  <c r="Q1114" i="161"/>
  <c r="K1114" i="161"/>
  <c r="O1114" i="161"/>
  <c r="P1114" i="161"/>
  <c r="J1132" i="161"/>
  <c r="J1143" i="161"/>
  <c r="M1075" i="161"/>
  <c r="L1075" i="161"/>
  <c r="N1075" i="161"/>
  <c r="K1075" i="161"/>
  <c r="Q1075" i="161"/>
  <c r="P1075" i="161"/>
  <c r="O1075" i="161"/>
  <c r="Q408" i="161"/>
  <c r="Q429" i="161" s="1"/>
  <c r="Q440" i="161" s="1"/>
  <c r="P408" i="161"/>
  <c r="P429" i="161" s="1"/>
  <c r="P440" i="161" s="1"/>
  <c r="M408" i="161"/>
  <c r="M429" i="161" s="1"/>
  <c r="M440" i="161" s="1"/>
  <c r="K408" i="161"/>
  <c r="K429" i="161" s="1"/>
  <c r="K440" i="161" s="1"/>
  <c r="N408" i="161"/>
  <c r="N429" i="161" s="1"/>
  <c r="N440" i="161" s="1"/>
  <c r="O408" i="161"/>
  <c r="O429" i="161" s="1"/>
  <c r="O440" i="161" s="1"/>
  <c r="L408" i="161"/>
  <c r="L429" i="161" s="1"/>
  <c r="L440" i="161" s="1"/>
  <c r="J413" i="161"/>
  <c r="J429" i="161"/>
  <c r="J440" i="161" s="1"/>
  <c r="J1346" i="161"/>
  <c r="H1357" i="161"/>
  <c r="I1357" i="161" s="1"/>
  <c r="H1349" i="161"/>
  <c r="I1349" i="161" s="1"/>
  <c r="J1070" i="161"/>
  <c r="L1068" i="161"/>
  <c r="M1068" i="161"/>
  <c r="K1068" i="161"/>
  <c r="O1068" i="161"/>
  <c r="Q1068" i="161"/>
  <c r="N1068" i="161"/>
  <c r="P1068" i="161"/>
  <c r="J1139" i="161"/>
  <c r="G1357" i="161"/>
  <c r="G1349" i="161"/>
  <c r="I1132" i="161"/>
  <c r="N1072" i="161"/>
  <c r="N1141" i="161" s="1"/>
  <c r="Q1072" i="161"/>
  <c r="Q1141" i="161" s="1"/>
  <c r="P1072" i="161"/>
  <c r="P1141" i="161" s="1"/>
  <c r="O1072" i="161"/>
  <c r="O1141" i="161" s="1"/>
  <c r="M1072" i="161"/>
  <c r="M1141" i="161" s="1"/>
  <c r="L1072" i="161"/>
  <c r="L1141" i="161" s="1"/>
  <c r="J1141" i="161"/>
  <c r="K1072" i="161"/>
  <c r="K1141" i="161" s="1"/>
  <c r="K479" i="161"/>
  <c r="K482" i="161" s="1"/>
  <c r="L479" i="161"/>
  <c r="L482" i="161" s="1"/>
  <c r="O479" i="161"/>
  <c r="O482" i="161" s="1"/>
  <c r="P479" i="161"/>
  <c r="P482" i="161" s="1"/>
  <c r="Q479" i="161"/>
  <c r="Q482" i="161" s="1"/>
  <c r="N479" i="161"/>
  <c r="N482" i="161" s="1"/>
  <c r="M479" i="161"/>
  <c r="M482" i="161" s="1"/>
  <c r="J482" i="161"/>
  <c r="I429" i="161"/>
  <c r="Q1040" i="161"/>
  <c r="Q1434" i="161" s="1"/>
  <c r="P1040" i="161"/>
  <c r="P1434" i="161" s="1"/>
  <c r="K1040" i="161"/>
  <c r="K1434" i="161" s="1"/>
  <c r="O1040" i="161"/>
  <c r="O1434" i="161" s="1"/>
  <c r="N1040" i="161"/>
  <c r="N1434" i="161" s="1"/>
  <c r="L1040" i="161"/>
  <c r="L1434" i="161" s="1"/>
  <c r="M1040" i="161"/>
  <c r="M1434" i="161" s="1"/>
  <c r="J1434" i="161"/>
  <c r="H431" i="161"/>
  <c r="I431" i="161" s="1"/>
  <c r="G1077" i="107"/>
  <c r="F1296" i="119" s="1"/>
  <c r="M1113" i="161"/>
  <c r="M1133" i="161" s="1"/>
  <c r="M1145" i="161" s="1"/>
  <c r="O1113" i="161"/>
  <c r="O1133" i="161" s="1"/>
  <c r="O1145" i="161" s="1"/>
  <c r="L1113" i="161"/>
  <c r="L1133" i="161" s="1"/>
  <c r="L1145" i="161" s="1"/>
  <c r="N1113" i="161"/>
  <c r="N1133" i="161" s="1"/>
  <c r="N1145" i="161" s="1"/>
  <c r="K1113" i="161"/>
  <c r="K1133" i="161" s="1"/>
  <c r="K1145" i="161" s="1"/>
  <c r="P1113" i="161"/>
  <c r="P1133" i="161" s="1"/>
  <c r="P1145" i="161" s="1"/>
  <c r="Q1113" i="161"/>
  <c r="Q1133" i="161" s="1"/>
  <c r="Q1145" i="161" s="1"/>
  <c r="J1118" i="161"/>
  <c r="J1133" i="161"/>
  <c r="I440" i="161"/>
  <c r="Q409" i="161"/>
  <c r="L409" i="161"/>
  <c r="O409" i="161"/>
  <c r="N409" i="161"/>
  <c r="P409" i="161"/>
  <c r="K409" i="161"/>
  <c r="M409" i="161"/>
  <c r="J428" i="161"/>
  <c r="J438" i="161"/>
  <c r="O830" i="161"/>
  <c r="M830" i="161"/>
  <c r="Q830" i="161"/>
  <c r="K830" i="161"/>
  <c r="J832" i="161"/>
  <c r="J1632" i="161"/>
  <c r="J1634" i="161" s="1"/>
  <c r="N830" i="161"/>
  <c r="L830" i="161"/>
  <c r="P830" i="161"/>
  <c r="J1359" i="161"/>
  <c r="L1348" i="161"/>
  <c r="L1359" i="161" s="1"/>
  <c r="P1348" i="161"/>
  <c r="P1359" i="161" s="1"/>
  <c r="Q1348" i="161"/>
  <c r="Q1359" i="161" s="1"/>
  <c r="K1348" i="161"/>
  <c r="K1359" i="161" s="1"/>
  <c r="N1348" i="161"/>
  <c r="N1359" i="161" s="1"/>
  <c r="M1348" i="161"/>
  <c r="M1359" i="161" s="1"/>
  <c r="O1348" i="161"/>
  <c r="O1359" i="161" s="1"/>
  <c r="I1133" i="161"/>
  <c r="I1145" i="161"/>
  <c r="I1075" i="161"/>
  <c r="E83" i="149"/>
  <c r="W50" i="150"/>
  <c r="X163" i="152"/>
  <c r="J1347" i="161"/>
  <c r="H1358" i="161"/>
  <c r="I1358" i="161" s="1"/>
  <c r="E74" i="149"/>
  <c r="K75" i="149"/>
  <c r="Q124" i="107"/>
  <c r="K141" i="120" s="1"/>
  <c r="G17" i="105"/>
  <c r="E19" i="105"/>
  <c r="G19" i="166"/>
  <c r="J5" i="166"/>
  <c r="J6" i="166" s="1"/>
  <c r="Q1301" i="161"/>
  <c r="Q1302" i="161" s="1"/>
  <c r="O1301" i="161"/>
  <c r="O1302" i="161" s="1"/>
  <c r="J1302" i="161"/>
  <c r="P1301" i="161"/>
  <c r="P1302" i="161" s="1"/>
  <c r="N1301" i="161"/>
  <c r="N1302" i="161" s="1"/>
  <c r="L1301" i="161"/>
  <c r="L1302" i="161" s="1"/>
  <c r="M1301" i="161"/>
  <c r="M1302" i="161" s="1"/>
  <c r="K1301" i="161"/>
  <c r="K1302" i="161" s="1"/>
  <c r="H436" i="161"/>
  <c r="I436" i="161" s="1"/>
  <c r="H881" i="161"/>
  <c r="I881" i="161" s="1"/>
  <c r="J880" i="161"/>
  <c r="F1357" i="107"/>
  <c r="E1666" i="119" s="1"/>
  <c r="G946" i="161"/>
  <c r="G951" i="161" s="1"/>
  <c r="G883" i="161"/>
  <c r="L1076" i="161"/>
  <c r="M1076" i="161"/>
  <c r="Q1076" i="161"/>
  <c r="P1076" i="161"/>
  <c r="O1076" i="161"/>
  <c r="N1076" i="161"/>
  <c r="J1077" i="161"/>
  <c r="K1076" i="161"/>
  <c r="J436" i="107"/>
  <c r="D555" i="120" s="1"/>
  <c r="P367" i="107"/>
  <c r="P436" i="107" s="1"/>
  <c r="J555" i="120" s="1"/>
  <c r="F946" i="161"/>
  <c r="F883" i="161"/>
  <c r="G443" i="161"/>
  <c r="G374" i="161"/>
  <c r="L367" i="107"/>
  <c r="L436" i="107" s="1"/>
  <c r="F555" i="120" s="1"/>
  <c r="J441" i="120"/>
  <c r="H372" i="161"/>
  <c r="H437" i="161" s="1"/>
  <c r="J370" i="161"/>
  <c r="K441" i="120"/>
  <c r="I365" i="161"/>
  <c r="E441" i="120"/>
  <c r="F437" i="161"/>
  <c r="J365" i="161"/>
  <c r="M363" i="161"/>
  <c r="Q363" i="161"/>
  <c r="O363" i="161"/>
  <c r="L363" i="161"/>
  <c r="K363" i="161"/>
  <c r="P363" i="161"/>
  <c r="N363" i="161"/>
  <c r="J434" i="161"/>
  <c r="I434" i="161"/>
  <c r="E393" i="119"/>
  <c r="O367" i="107"/>
  <c r="I445" i="120" s="1"/>
  <c r="M367" i="107"/>
  <c r="M436" i="107" s="1"/>
  <c r="G555" i="120" s="1"/>
  <c r="F374" i="161"/>
  <c r="H38" i="96"/>
  <c r="F74" i="100" s="1"/>
  <c r="F289" i="107" s="1"/>
  <c r="E259" i="119" s="1"/>
  <c r="P124" i="107"/>
  <c r="J141" i="120" s="1"/>
  <c r="O124" i="107"/>
  <c r="I141" i="120" s="1"/>
  <c r="L124" i="107"/>
  <c r="F141" i="120" s="1"/>
  <c r="G131" i="107"/>
  <c r="K124" i="107"/>
  <c r="E141" i="120" s="1"/>
  <c r="M124" i="107"/>
  <c r="G141" i="120" s="1"/>
  <c r="F150" i="107"/>
  <c r="E108" i="119" s="1"/>
  <c r="F14" i="107"/>
  <c r="E13" i="119" s="1"/>
  <c r="L120" i="161"/>
  <c r="O120" i="161"/>
  <c r="Q120" i="161"/>
  <c r="M120" i="161"/>
  <c r="K120" i="161"/>
  <c r="N120" i="161"/>
  <c r="P120" i="161"/>
  <c r="G121" i="161"/>
  <c r="G125" i="161" s="1"/>
  <c r="H121" i="161"/>
  <c r="I121" i="161" s="1"/>
  <c r="F125" i="161"/>
  <c r="J131" i="161"/>
  <c r="H14" i="161"/>
  <c r="I14" i="161" s="1"/>
  <c r="H150" i="161"/>
  <c r="H625" i="161" s="1"/>
  <c r="H712" i="161" s="1"/>
  <c r="H761" i="161" s="1"/>
  <c r="H147" i="161"/>
  <c r="I147" i="161" s="1"/>
  <c r="M143" i="161"/>
  <c r="M146" i="161" s="1"/>
  <c r="L143" i="161"/>
  <c r="L146" i="161" s="1"/>
  <c r="Q143" i="161"/>
  <c r="Q146" i="161" s="1"/>
  <c r="P143" i="161"/>
  <c r="P146" i="161" s="1"/>
  <c r="O143" i="161"/>
  <c r="O146" i="161" s="1"/>
  <c r="J146" i="161"/>
  <c r="N143" i="161"/>
  <c r="N146" i="161" s="1"/>
  <c r="K143" i="161"/>
  <c r="K146" i="161" s="1"/>
  <c r="G150" i="161"/>
  <c r="G625" i="161" s="1"/>
  <c r="G712" i="161" s="1"/>
  <c r="G761" i="161" s="1"/>
  <c r="G14" i="161"/>
  <c r="I123" i="161"/>
  <c r="L123" i="107"/>
  <c r="F140" i="120" s="1"/>
  <c r="O123" i="161"/>
  <c r="M123" i="161"/>
  <c r="L123" i="161"/>
  <c r="K123" i="161"/>
  <c r="N123" i="161"/>
  <c r="Q123" i="161"/>
  <c r="P123" i="161"/>
  <c r="K140" i="161"/>
  <c r="K142" i="161" s="1"/>
  <c r="J142" i="161"/>
  <c r="Q140" i="161"/>
  <c r="Q142" i="161" s="1"/>
  <c r="P140" i="161"/>
  <c r="P142" i="161" s="1"/>
  <c r="O140" i="161"/>
  <c r="O142" i="161" s="1"/>
  <c r="M140" i="161"/>
  <c r="M142" i="161" s="1"/>
  <c r="N140" i="161"/>
  <c r="N142" i="161" s="1"/>
  <c r="L140" i="161"/>
  <c r="L142" i="161" s="1"/>
  <c r="F625" i="161"/>
  <c r="F77" i="100"/>
  <c r="F295" i="107" s="1"/>
  <c r="E265" i="119" s="1"/>
  <c r="F77" i="151"/>
  <c r="F295" i="161" s="1"/>
  <c r="I239" i="152"/>
  <c r="I239" i="92"/>
  <c r="K242" i="152"/>
  <c r="K262" i="152"/>
  <c r="N262" i="152" s="1"/>
  <c r="K243" i="152"/>
  <c r="J243" i="152" s="1"/>
  <c r="M243" i="152" s="1"/>
  <c r="K244" i="152"/>
  <c r="N244" i="152" s="1"/>
  <c r="K248" i="152"/>
  <c r="N248" i="152" s="1"/>
  <c r="K257" i="152"/>
  <c r="N257" i="152" s="1"/>
  <c r="L251" i="152"/>
  <c r="O251" i="152" s="1"/>
  <c r="H261" i="152"/>
  <c r="L259" i="152"/>
  <c r="O259" i="152" s="1"/>
  <c r="H248" i="92"/>
  <c r="K248" i="92" s="1"/>
  <c r="J248" i="92" s="1"/>
  <c r="M248" i="92" s="1"/>
  <c r="H256" i="152"/>
  <c r="K241" i="152"/>
  <c r="N241" i="152" s="1"/>
  <c r="L263" i="152"/>
  <c r="O263" i="152" s="1"/>
  <c r="L261" i="152"/>
  <c r="O261" i="152" s="1"/>
  <c r="L256" i="152"/>
  <c r="O256" i="152" s="1"/>
  <c r="L241" i="152"/>
  <c r="O241" i="152" s="1"/>
  <c r="K258" i="152"/>
  <c r="N258" i="152" s="1"/>
  <c r="H263" i="92"/>
  <c r="L247" i="152"/>
  <c r="O247" i="152" s="1"/>
  <c r="H242" i="92"/>
  <c r="K242" i="92" s="1"/>
  <c r="N242" i="92" s="1"/>
  <c r="K259" i="152"/>
  <c r="N259" i="152" s="1"/>
  <c r="H263" i="152"/>
  <c r="L258" i="152"/>
  <c r="O258" i="152" s="1"/>
  <c r="I271" i="92"/>
  <c r="I271" i="152"/>
  <c r="L240" i="152"/>
  <c r="O240" i="152" s="1"/>
  <c r="H257" i="92"/>
  <c r="H262" i="92"/>
  <c r="K255" i="152"/>
  <c r="N255" i="152" s="1"/>
  <c r="K250" i="152"/>
  <c r="N250" i="152" s="1"/>
  <c r="H260" i="152"/>
  <c r="H244" i="92"/>
  <c r="K244" i="92" s="1"/>
  <c r="J244" i="92" s="1"/>
  <c r="M244" i="92" s="1"/>
  <c r="K249" i="152"/>
  <c r="I251" i="92"/>
  <c r="L251" i="92" s="1"/>
  <c r="O251" i="92" s="1"/>
  <c r="L250" i="92"/>
  <c r="O250" i="92" s="1"/>
  <c r="H243" i="92"/>
  <c r="K243" i="92" s="1"/>
  <c r="N243" i="92" s="1"/>
  <c r="I262" i="152"/>
  <c r="L262" i="152" s="1"/>
  <c r="O262" i="152" s="1"/>
  <c r="I250" i="152"/>
  <c r="I260" i="92"/>
  <c r="K251" i="152"/>
  <c r="K240" i="92"/>
  <c r="J240" i="92" s="1"/>
  <c r="M240" i="92" s="1"/>
  <c r="K256" i="92"/>
  <c r="N256" i="92" s="1"/>
  <c r="K261" i="92"/>
  <c r="N261" i="92" s="1"/>
  <c r="H240" i="152"/>
  <c r="L257" i="152"/>
  <c r="O257" i="152" s="1"/>
  <c r="I262" i="92"/>
  <c r="L262" i="92" s="1"/>
  <c r="O262" i="92" s="1"/>
  <c r="L255" i="152"/>
  <c r="O255" i="152" s="1"/>
  <c r="I260" i="152"/>
  <c r="L244" i="152"/>
  <c r="O244" i="152" s="1"/>
  <c r="G499" i="119"/>
  <c r="H372" i="107"/>
  <c r="G1401" i="119"/>
  <c r="J370" i="107"/>
  <c r="D448" i="120" s="1"/>
  <c r="P1144" i="107"/>
  <c r="J1451" i="120" s="1"/>
  <c r="N124" i="107"/>
  <c r="H141" i="120" s="1"/>
  <c r="I441" i="120"/>
  <c r="H441" i="120"/>
  <c r="G441" i="120"/>
  <c r="F441" i="120"/>
  <c r="G497" i="119"/>
  <c r="F142" i="107"/>
  <c r="E100" i="119" s="1"/>
  <c r="G1294" i="119"/>
  <c r="L939" i="107"/>
  <c r="F1127" i="120" s="1"/>
  <c r="F474" i="119"/>
  <c r="M1144" i="107"/>
  <c r="G1451" i="120" s="1"/>
  <c r="R57" i="95"/>
  <c r="S170" i="92" s="1"/>
  <c r="S57" i="95"/>
  <c r="T170" i="92" s="1"/>
  <c r="I1399" i="120"/>
  <c r="N399" i="107"/>
  <c r="H500" i="120" s="1"/>
  <c r="K1107" i="107"/>
  <c r="E1397" i="120" s="1"/>
  <c r="J1143" i="107"/>
  <c r="D1450" i="120" s="1"/>
  <c r="F1359" i="107"/>
  <c r="E1668" i="119" s="1"/>
  <c r="N1107" i="107"/>
  <c r="H1397" i="120" s="1"/>
  <c r="Q1144" i="107"/>
  <c r="K1451" i="120" s="1"/>
  <c r="G1357" i="107"/>
  <c r="F1666" i="119" s="1"/>
  <c r="J1346" i="107"/>
  <c r="D1706" i="120" s="1"/>
  <c r="E282" i="119"/>
  <c r="I312" i="107"/>
  <c r="H282" i="119" s="1"/>
  <c r="Q70" i="153"/>
  <c r="F89" i="151"/>
  <c r="F310" i="161" s="1"/>
  <c r="T57" i="95"/>
  <c r="U170" i="92" s="1"/>
  <c r="F91" i="151"/>
  <c r="F312" i="161" s="1"/>
  <c r="S71" i="153"/>
  <c r="F90" i="151"/>
  <c r="F311" i="161" s="1"/>
  <c r="I370" i="107"/>
  <c r="H391" i="119" s="1"/>
  <c r="G386" i="119"/>
  <c r="K880" i="107"/>
  <c r="E1045" i="120" s="1"/>
  <c r="P880" i="107"/>
  <c r="J1045" i="120" s="1"/>
  <c r="O880" i="107"/>
  <c r="I1045" i="120" s="1"/>
  <c r="M880" i="107"/>
  <c r="G1045" i="120" s="1"/>
  <c r="N880" i="107"/>
  <c r="H1045" i="120" s="1"/>
  <c r="L880" i="107"/>
  <c r="F1045" i="120" s="1"/>
  <c r="Q880" i="107"/>
  <c r="K1045" i="120" s="1"/>
  <c r="I1075" i="107"/>
  <c r="H1294" i="119" s="1"/>
  <c r="I879" i="107"/>
  <c r="H993" i="119" s="1"/>
  <c r="H881" i="107"/>
  <c r="I881" i="107" s="1"/>
  <c r="H995" i="119" s="1"/>
  <c r="J879" i="107"/>
  <c r="D1044" i="120" s="1"/>
  <c r="F391" i="119"/>
  <c r="H1077" i="107"/>
  <c r="G1296" i="119" s="1"/>
  <c r="F393" i="119"/>
  <c r="F500" i="119"/>
  <c r="F1142" i="107"/>
  <c r="E1402" i="119" s="1"/>
  <c r="E1296" i="119"/>
  <c r="F374" i="107"/>
  <c r="E395" i="119" s="1"/>
  <c r="H1357" i="107"/>
  <c r="G1347" i="107"/>
  <c r="G1358" i="107" s="1"/>
  <c r="F1667" i="119" s="1"/>
  <c r="G374" i="107"/>
  <c r="F395" i="119" s="1"/>
  <c r="Q939" i="107"/>
  <c r="K1127" i="120" s="1"/>
  <c r="G140" i="107"/>
  <c r="G142" i="107" s="1"/>
  <c r="F100" i="119" s="1"/>
  <c r="H200" i="57"/>
  <c r="I200" i="57" s="1"/>
  <c r="H140" i="107"/>
  <c r="G98" i="119" s="1"/>
  <c r="H120" i="107"/>
  <c r="G78" i="119" s="1"/>
  <c r="G120" i="107"/>
  <c r="F78" i="119" s="1"/>
  <c r="F125" i="107"/>
  <c r="G121" i="107"/>
  <c r="F79" i="119" s="1"/>
  <c r="H121" i="107"/>
  <c r="F1349" i="107"/>
  <c r="E1658" i="119" s="1"/>
  <c r="H1077" i="119"/>
  <c r="G103" i="119"/>
  <c r="F75" i="119"/>
  <c r="G89" i="119"/>
  <c r="E89" i="119"/>
  <c r="U57" i="95"/>
  <c r="V170" i="92" s="1"/>
  <c r="I440" i="107"/>
  <c r="H503" i="119" s="1"/>
  <c r="F1358" i="107"/>
  <c r="E1667" i="119" s="1"/>
  <c r="H1347" i="107"/>
  <c r="I1347" i="107" s="1"/>
  <c r="H1656" i="119" s="1"/>
  <c r="G1353" i="107"/>
  <c r="F1662" i="119" s="1"/>
  <c r="F310" i="107"/>
  <c r="E280" i="119" s="1"/>
  <c r="P401" i="107"/>
  <c r="J502" i="120" s="1"/>
  <c r="I66" i="96"/>
  <c r="V57" i="95"/>
  <c r="W170" i="92" s="1"/>
  <c r="L1125" i="107"/>
  <c r="F1415" i="120" s="1"/>
  <c r="P1125" i="107"/>
  <c r="J1415" i="120" s="1"/>
  <c r="L2055" i="107"/>
  <c r="F2508" i="120" s="1"/>
  <c r="F2507" i="120"/>
  <c r="Q2055" i="107"/>
  <c r="K2508" i="120" s="1"/>
  <c r="K2507" i="120"/>
  <c r="P2055" i="107"/>
  <c r="J2508" i="120" s="1"/>
  <c r="J2507" i="120"/>
  <c r="N2055" i="107"/>
  <c r="H2508" i="120" s="1"/>
  <c r="H2507" i="120"/>
  <c r="M1125" i="107"/>
  <c r="G1415" i="120" s="1"/>
  <c r="K1125" i="107"/>
  <c r="E1415" i="120" s="1"/>
  <c r="G2055" i="107"/>
  <c r="E2010" i="119"/>
  <c r="H2055" i="107"/>
  <c r="M2055" i="107"/>
  <c r="G2508" i="120" s="1"/>
  <c r="G2507" i="120"/>
  <c r="N939" i="107"/>
  <c r="H1127" i="120" s="1"/>
  <c r="H1124" i="120"/>
  <c r="O939" i="107"/>
  <c r="I1127" i="120" s="1"/>
  <c r="I1124" i="120"/>
  <c r="P939" i="107"/>
  <c r="J1127" i="120" s="1"/>
  <c r="J1124" i="120"/>
  <c r="K2055" i="107"/>
  <c r="E2508" i="120" s="1"/>
  <c r="E2507" i="120"/>
  <c r="O2055" i="107"/>
  <c r="I2508" i="120" s="1"/>
  <c r="I2507" i="120"/>
  <c r="H431" i="107"/>
  <c r="G476" i="119" s="1"/>
  <c r="G473" i="119"/>
  <c r="P413" i="107"/>
  <c r="J514" i="120" s="1"/>
  <c r="J509" i="120"/>
  <c r="K413" i="107"/>
  <c r="E514" i="120" s="1"/>
  <c r="E509" i="120"/>
  <c r="N413" i="107"/>
  <c r="H514" i="120" s="1"/>
  <c r="H509" i="120"/>
  <c r="P1104" i="107"/>
  <c r="J1394" i="120" s="1"/>
  <c r="J1390" i="120"/>
  <c r="M1118" i="107"/>
  <c r="G1408" i="120" s="1"/>
  <c r="G1403" i="120"/>
  <c r="J429" i="107"/>
  <c r="P420" i="107"/>
  <c r="J521" i="120" s="1"/>
  <c r="J516" i="120"/>
  <c r="L420" i="107"/>
  <c r="F521" i="120" s="1"/>
  <c r="F516" i="120"/>
  <c r="O420" i="107"/>
  <c r="I521" i="120" s="1"/>
  <c r="I516" i="120"/>
  <c r="K420" i="107"/>
  <c r="E521" i="120" s="1"/>
  <c r="E516" i="120"/>
  <c r="I1111" i="107"/>
  <c r="H1354" i="119" s="1"/>
  <c r="G1354" i="119"/>
  <c r="G1335" i="107"/>
  <c r="F1644" i="119" s="1"/>
  <c r="I438" i="107"/>
  <c r="H501" i="119" s="1"/>
  <c r="G501" i="119"/>
  <c r="G1145" i="107"/>
  <c r="F1376" i="119"/>
  <c r="F501" i="119"/>
  <c r="M413" i="107"/>
  <c r="G514" i="120" s="1"/>
  <c r="G509" i="120"/>
  <c r="L413" i="107"/>
  <c r="F514" i="120" s="1"/>
  <c r="F509" i="120"/>
  <c r="Q413" i="107"/>
  <c r="K514" i="120" s="1"/>
  <c r="K509" i="120"/>
  <c r="O413" i="107"/>
  <c r="I514" i="120" s="1"/>
  <c r="I509" i="120"/>
  <c r="F443" i="107"/>
  <c r="E506" i="119" s="1"/>
  <c r="L1104" i="107"/>
  <c r="F1394" i="120" s="1"/>
  <c r="F1390" i="120"/>
  <c r="G1390" i="120"/>
  <c r="L1107" i="107"/>
  <c r="F1397" i="120" s="1"/>
  <c r="P1107" i="107"/>
  <c r="J1397" i="120" s="1"/>
  <c r="J1132" i="107"/>
  <c r="D1422" i="120" s="1"/>
  <c r="O1107" i="107"/>
  <c r="I1397" i="120" s="1"/>
  <c r="M399" i="107"/>
  <c r="G500" i="120" s="1"/>
  <c r="G496" i="120"/>
  <c r="Q399" i="107"/>
  <c r="K500" i="120" s="1"/>
  <c r="K496" i="120"/>
  <c r="N439" i="107"/>
  <c r="H558" i="120" s="1"/>
  <c r="H505" i="120"/>
  <c r="K439" i="107"/>
  <c r="E558" i="120" s="1"/>
  <c r="E505" i="120"/>
  <c r="P399" i="107"/>
  <c r="J500" i="120" s="1"/>
  <c r="J496" i="120"/>
  <c r="Q1118" i="107"/>
  <c r="K1408" i="120" s="1"/>
  <c r="K1403" i="120"/>
  <c r="L1118" i="107"/>
  <c r="F1408" i="120" s="1"/>
  <c r="F1403" i="120"/>
  <c r="N420" i="107"/>
  <c r="H521" i="120" s="1"/>
  <c r="H516" i="120"/>
  <c r="Q420" i="107"/>
  <c r="K521" i="120" s="1"/>
  <c r="K516" i="120"/>
  <c r="M420" i="107"/>
  <c r="G521" i="120" s="1"/>
  <c r="G516" i="120"/>
  <c r="G431" i="107"/>
  <c r="F476" i="119" s="1"/>
  <c r="F473" i="119"/>
  <c r="I1132" i="107"/>
  <c r="H1375" i="119" s="1"/>
  <c r="G1375" i="119"/>
  <c r="L439" i="107"/>
  <c r="F558" i="120" s="1"/>
  <c r="F505" i="120"/>
  <c r="P439" i="107"/>
  <c r="J558" i="120" s="1"/>
  <c r="J505" i="120"/>
  <c r="K399" i="107"/>
  <c r="E500" i="120" s="1"/>
  <c r="E496" i="120"/>
  <c r="N1104" i="107"/>
  <c r="H1394" i="120" s="1"/>
  <c r="H1390" i="120"/>
  <c r="O399" i="107"/>
  <c r="I500" i="120" s="1"/>
  <c r="I496" i="120"/>
  <c r="Q1104" i="107"/>
  <c r="K1394" i="120" s="1"/>
  <c r="K1390" i="120"/>
  <c r="L399" i="107"/>
  <c r="F500" i="120" s="1"/>
  <c r="F496" i="120"/>
  <c r="Q439" i="107"/>
  <c r="K558" i="120" s="1"/>
  <c r="K505" i="120"/>
  <c r="I406" i="107"/>
  <c r="H451" i="119" s="1"/>
  <c r="G451" i="119"/>
  <c r="Q401" i="107"/>
  <c r="K502" i="120" s="1"/>
  <c r="D502" i="120"/>
  <c r="I1143" i="107"/>
  <c r="H1403" i="119" s="1"/>
  <c r="G1403" i="119"/>
  <c r="K1118" i="107"/>
  <c r="E1408" i="120" s="1"/>
  <c r="E1403" i="120"/>
  <c r="N1118" i="107"/>
  <c r="H1408" i="120" s="1"/>
  <c r="H1403" i="120"/>
  <c r="M439" i="107"/>
  <c r="G558" i="120" s="1"/>
  <c r="G505" i="120"/>
  <c r="P1118" i="107"/>
  <c r="J1408" i="120" s="1"/>
  <c r="J1403" i="120"/>
  <c r="Q1125" i="107"/>
  <c r="K1415" i="120" s="1"/>
  <c r="M1107" i="107"/>
  <c r="G1397" i="120" s="1"/>
  <c r="D1397" i="120"/>
  <c r="K1144" i="107"/>
  <c r="E1451" i="120" s="1"/>
  <c r="N1125" i="107"/>
  <c r="H1415" i="120" s="1"/>
  <c r="O1125" i="107"/>
  <c r="I1415" i="120" s="1"/>
  <c r="G108" i="92"/>
  <c r="H7" i="13"/>
  <c r="H8" i="12"/>
  <c r="G47" i="94"/>
  <c r="I5" i="12" s="1"/>
  <c r="J5" i="12" s="1"/>
  <c r="J288" i="107"/>
  <c r="D315" i="120" s="1"/>
  <c r="G258" i="119"/>
  <c r="I286" i="107"/>
  <c r="H256" i="119" s="1"/>
  <c r="I1332" i="107"/>
  <c r="H1641" i="119" s="1"/>
  <c r="G1641" i="119"/>
  <c r="J117" i="107"/>
  <c r="D134" i="120" s="1"/>
  <c r="G75" i="119"/>
  <c r="G146" i="107"/>
  <c r="F104" i="119" s="1"/>
  <c r="F103" i="119"/>
  <c r="Q1143" i="107"/>
  <c r="K1450" i="120" s="1"/>
  <c r="L401" i="107"/>
  <c r="F502" i="120" s="1"/>
  <c r="N401" i="107"/>
  <c r="H502" i="120" s="1"/>
  <c r="Q70" i="96"/>
  <c r="P70" i="96" s="1"/>
  <c r="O401" i="107"/>
  <c r="M401" i="107"/>
  <c r="M1104" i="107"/>
  <c r="G1394" i="120" s="1"/>
  <c r="F90" i="100"/>
  <c r="Q1132" i="107"/>
  <c r="K1422" i="120" s="1"/>
  <c r="K1104" i="107"/>
  <c r="E1394" i="120" s="1"/>
  <c r="O1104" i="107"/>
  <c r="I1394" i="120" s="1"/>
  <c r="F44" i="95"/>
  <c r="I6" i="12" s="1"/>
  <c r="J6" i="12" s="1"/>
  <c r="H1335" i="107"/>
  <c r="H1353" i="107"/>
  <c r="J1332" i="107"/>
  <c r="X63" i="95"/>
  <c r="Y176" i="92" s="1"/>
  <c r="W47" i="95"/>
  <c r="Y60" i="95"/>
  <c r="Z173" i="92" s="1"/>
  <c r="K429" i="107"/>
  <c r="I428" i="107"/>
  <c r="H473" i="119" s="1"/>
  <c r="H1145" i="107"/>
  <c r="H1135" i="107"/>
  <c r="P402" i="107"/>
  <c r="J503" i="120" s="1"/>
  <c r="M402" i="107"/>
  <c r="G503" i="120" s="1"/>
  <c r="N402" i="107"/>
  <c r="H503" i="120" s="1"/>
  <c r="O402" i="107"/>
  <c r="I503" i="120" s="1"/>
  <c r="K402" i="107"/>
  <c r="E503" i="120" s="1"/>
  <c r="Q402" i="107"/>
  <c r="L402" i="107"/>
  <c r="F503" i="120" s="1"/>
  <c r="J428" i="107"/>
  <c r="J438" i="107"/>
  <c r="D557" i="120" s="1"/>
  <c r="L1075" i="107"/>
  <c r="P1075" i="107"/>
  <c r="M1075" i="107"/>
  <c r="J1077" i="107"/>
  <c r="N1075" i="107"/>
  <c r="K1075" i="107"/>
  <c r="O1075" i="107"/>
  <c r="Q1075" i="107"/>
  <c r="K1106" i="107"/>
  <c r="E1396" i="120" s="1"/>
  <c r="N1106" i="107"/>
  <c r="H1396" i="120" s="1"/>
  <c r="Q1106" i="107"/>
  <c r="K1396" i="120" s="1"/>
  <c r="O1106" i="107"/>
  <c r="I1396" i="120" s="1"/>
  <c r="L1106" i="107"/>
  <c r="F1396" i="120" s="1"/>
  <c r="J1111" i="107"/>
  <c r="D1401" i="120" s="1"/>
  <c r="M1106" i="107"/>
  <c r="G1396" i="120" s="1"/>
  <c r="P1106" i="107"/>
  <c r="J1396" i="120" s="1"/>
  <c r="J1133" i="107"/>
  <c r="I1133" i="107"/>
  <c r="H1376" i="119" s="1"/>
  <c r="M1139" i="107"/>
  <c r="G1446" i="120" s="1"/>
  <c r="G1135" i="107"/>
  <c r="F1378" i="119" s="1"/>
  <c r="J406" i="107"/>
  <c r="D507" i="120" s="1"/>
  <c r="H84" i="92"/>
  <c r="L259" i="92"/>
  <c r="O259" i="92" s="1"/>
  <c r="K68" i="93"/>
  <c r="N68" i="93" s="1"/>
  <c r="K66" i="93"/>
  <c r="N66" i="93" s="1"/>
  <c r="H45" i="93"/>
  <c r="H239" i="92" s="1"/>
  <c r="G58" i="93"/>
  <c r="G72" i="93" s="1"/>
  <c r="I4" i="12" s="1"/>
  <c r="K241" i="92"/>
  <c r="N241" i="92" s="1"/>
  <c r="G71" i="96"/>
  <c r="I69" i="96"/>
  <c r="G157" i="92"/>
  <c r="G66" i="96"/>
  <c r="L241" i="92"/>
  <c r="O241" i="92" s="1"/>
  <c r="L98" i="92"/>
  <c r="L100" i="92" s="1"/>
  <c r="N100" i="92"/>
  <c r="K50" i="93"/>
  <c r="J50" i="93" s="1"/>
  <c r="L261" i="92"/>
  <c r="N38" i="94"/>
  <c r="L38" i="94" s="1"/>
  <c r="L36" i="94"/>
  <c r="G266" i="92"/>
  <c r="L47" i="93"/>
  <c r="O47" i="93" s="1"/>
  <c r="L57" i="93"/>
  <c r="J57" i="93" s="1"/>
  <c r="K67" i="93"/>
  <c r="J67" i="93" s="1"/>
  <c r="L56" i="93"/>
  <c r="J56" i="93" s="1"/>
  <c r="L258" i="92"/>
  <c r="J258" i="92" s="1"/>
  <c r="M258" i="92" s="1"/>
  <c r="L68" i="93"/>
  <c r="O68" i="93" s="1"/>
  <c r="H65" i="93"/>
  <c r="L65" i="93"/>
  <c r="O65" i="93" s="1"/>
  <c r="I70" i="93"/>
  <c r="K61" i="93"/>
  <c r="K62" i="93"/>
  <c r="J62" i="93" s="1"/>
  <c r="K64" i="93"/>
  <c r="J64" i="93" s="1"/>
  <c r="I288" i="107"/>
  <c r="H258" i="119" s="1"/>
  <c r="K46" i="93"/>
  <c r="J46" i="93" s="1"/>
  <c r="G76" i="93"/>
  <c r="G271" i="152" s="1"/>
  <c r="K49" i="93"/>
  <c r="J49" i="93" s="1"/>
  <c r="L255" i="92"/>
  <c r="H23" i="96"/>
  <c r="F29" i="96"/>
  <c r="N69" i="93"/>
  <c r="M69" i="93" s="1"/>
  <c r="J69" i="93"/>
  <c r="G208" i="92"/>
  <c r="K48" i="93"/>
  <c r="J48" i="93" s="1"/>
  <c r="L55" i="93"/>
  <c r="J55" i="93" s="1"/>
  <c r="L242" i="92"/>
  <c r="N249" i="92"/>
  <c r="L263" i="92"/>
  <c r="O263" i="92" s="1"/>
  <c r="K63" i="93"/>
  <c r="J63" i="93" s="1"/>
  <c r="K251" i="92"/>
  <c r="N251" i="92" s="1"/>
  <c r="K54" i="93"/>
  <c r="J54" i="93" s="1"/>
  <c r="L66" i="93"/>
  <c r="O66" i="93" s="1"/>
  <c r="I117" i="107"/>
  <c r="H75" i="119" s="1"/>
  <c r="J131" i="107"/>
  <c r="H150" i="107"/>
  <c r="G108" i="119" s="1"/>
  <c r="H14" i="107"/>
  <c r="J145" i="107"/>
  <c r="D162" i="120" s="1"/>
  <c r="H146" i="107"/>
  <c r="I131" i="107"/>
  <c r="O87" i="107"/>
  <c r="I80" i="120" s="1"/>
  <c r="F87" i="107"/>
  <c r="H87" i="107"/>
  <c r="N87" i="107"/>
  <c r="H80" i="120" s="1"/>
  <c r="M87" i="107"/>
  <c r="G80" i="120" s="1"/>
  <c r="L87" i="107"/>
  <c r="F80" i="120" s="1"/>
  <c r="P87" i="107"/>
  <c r="J80" i="120" s="1"/>
  <c r="K87" i="107"/>
  <c r="E80" i="120" s="1"/>
  <c r="G87" i="107"/>
  <c r="J87" i="107"/>
  <c r="D80" i="120" s="1"/>
  <c r="Q87" i="107"/>
  <c r="K80" i="120" s="1"/>
  <c r="M26" i="94"/>
  <c r="E75" i="88"/>
  <c r="G160" i="92" s="1"/>
  <c r="W37" i="95"/>
  <c r="W24" i="95"/>
  <c r="K44" i="94"/>
  <c r="K21" i="94"/>
  <c r="K60" i="94" s="1"/>
  <c r="I53" i="94"/>
  <c r="J53" i="94"/>
  <c r="N164" i="92"/>
  <c r="Q164" i="92"/>
  <c r="P164" i="92"/>
  <c r="R164" i="92"/>
  <c r="O164" i="92"/>
  <c r="O51" i="95"/>
  <c r="M51" i="95"/>
  <c r="P51" i="95"/>
  <c r="Q51" i="95"/>
  <c r="N51" i="95"/>
  <c r="N57" i="94"/>
  <c r="N26" i="94" s="1"/>
  <c r="N60" i="94" s="1"/>
  <c r="X164" i="92"/>
  <c r="I1346" i="107" l="1"/>
  <c r="H1655" i="119" s="1"/>
  <c r="H374" i="107"/>
  <c r="H437" i="107"/>
  <c r="N250" i="92"/>
  <c r="F49" i="96"/>
  <c r="P123" i="107"/>
  <c r="J140" i="120" s="1"/>
  <c r="M123" i="107"/>
  <c r="G140" i="120" s="1"/>
  <c r="Y173" i="152"/>
  <c r="X63" i="150"/>
  <c r="Y176" i="152" s="1"/>
  <c r="Z173" i="152"/>
  <c r="Y63" i="150"/>
  <c r="Z176" i="152" s="1"/>
  <c r="M1070" i="107"/>
  <c r="G1336" i="120" s="1"/>
  <c r="Q1139" i="107"/>
  <c r="K1446" i="120" s="1"/>
  <c r="Q1070" i="107"/>
  <c r="K1336" i="120" s="1"/>
  <c r="N1070" i="107"/>
  <c r="H1336" i="120" s="1"/>
  <c r="L1141" i="107"/>
  <c r="F1448" i="120" s="1"/>
  <c r="P1335" i="161"/>
  <c r="E445" i="120"/>
  <c r="O1070" i="107"/>
  <c r="I1336" i="120" s="1"/>
  <c r="N1139" i="107"/>
  <c r="H1446" i="120" s="1"/>
  <c r="N1353" i="161"/>
  <c r="P1139" i="107"/>
  <c r="J1446" i="120" s="1"/>
  <c r="L1139" i="107"/>
  <c r="F1446" i="120" s="1"/>
  <c r="L1070" i="107"/>
  <c r="F1336" i="120" s="1"/>
  <c r="Q365" i="107"/>
  <c r="K443" i="120" s="1"/>
  <c r="D36" i="108"/>
  <c r="E35" i="108" s="1"/>
  <c r="G35" i="108" s="1"/>
  <c r="D55" i="105"/>
  <c r="D60" i="105" s="1"/>
  <c r="E55" i="105" s="1"/>
  <c r="F55" i="105" s="1"/>
  <c r="G883" i="107"/>
  <c r="F997" i="119" s="1"/>
  <c r="Q434" i="107"/>
  <c r="K553" i="120" s="1"/>
  <c r="K1141" i="107"/>
  <c r="E1448" i="120" s="1"/>
  <c r="G290" i="107"/>
  <c r="F260" i="119" s="1"/>
  <c r="H445" i="120"/>
  <c r="P1070" i="107"/>
  <c r="J1336" i="120" s="1"/>
  <c r="D38" i="110"/>
  <c r="E38" i="110" s="1"/>
  <c r="F38" i="110" s="1"/>
  <c r="O70" i="153" s="1"/>
  <c r="J1338" i="120"/>
  <c r="J286" i="107"/>
  <c r="D313" i="120" s="1"/>
  <c r="O123" i="107"/>
  <c r="I140" i="120" s="1"/>
  <c r="O1139" i="107"/>
  <c r="I1446" i="120" s="1"/>
  <c r="Q123" i="107"/>
  <c r="K140" i="120" s="1"/>
  <c r="O1141" i="107"/>
  <c r="I1448" i="120" s="1"/>
  <c r="N123" i="107"/>
  <c r="H140" i="120" s="1"/>
  <c r="K123" i="107"/>
  <c r="E140" i="120" s="1"/>
  <c r="K1070" i="107"/>
  <c r="E1336" i="120" s="1"/>
  <c r="I1357" i="107"/>
  <c r="H1666" i="119" s="1"/>
  <c r="K1139" i="107"/>
  <c r="E1446" i="120" s="1"/>
  <c r="G150" i="107"/>
  <c r="G625" i="107" s="1"/>
  <c r="Q367" i="161"/>
  <c r="Q436" i="161" s="1"/>
  <c r="L367" i="161"/>
  <c r="L436" i="161" s="1"/>
  <c r="N367" i="161"/>
  <c r="N436" i="161" s="1"/>
  <c r="G946" i="107"/>
  <c r="F1084" i="119" s="1"/>
  <c r="G1338" i="120"/>
  <c r="M367" i="161"/>
  <c r="M436" i="161" s="1"/>
  <c r="O367" i="161"/>
  <c r="O436" i="161" s="1"/>
  <c r="K367" i="161"/>
  <c r="K436" i="161" s="1"/>
  <c r="J436" i="161"/>
  <c r="H1338" i="120"/>
  <c r="M434" i="107"/>
  <c r="G553" i="120" s="1"/>
  <c r="H106" i="92"/>
  <c r="L1353" i="161"/>
  <c r="K434" i="107"/>
  <c r="E553" i="120" s="1"/>
  <c r="K365" i="107"/>
  <c r="E443" i="120" s="1"/>
  <c r="H1079" i="161"/>
  <c r="I1079" i="161" s="1"/>
  <c r="G1079" i="107"/>
  <c r="F1298" i="119" s="1"/>
  <c r="G1142" i="107"/>
  <c r="F1402" i="119" s="1"/>
  <c r="K1335" i="161"/>
  <c r="P434" i="107"/>
  <c r="J553" i="120" s="1"/>
  <c r="Q1335" i="161"/>
  <c r="M1353" i="161"/>
  <c r="K1338" i="120"/>
  <c r="H290" i="107"/>
  <c r="J290" i="107" s="1"/>
  <c r="D317" i="120" s="1"/>
  <c r="F625" i="107"/>
  <c r="E738" i="119" s="1"/>
  <c r="K1302" i="107"/>
  <c r="E1632" i="120" s="1"/>
  <c r="E1631" i="120"/>
  <c r="O1302" i="107"/>
  <c r="I1632" i="120" s="1"/>
  <c r="I1631" i="120"/>
  <c r="M1302" i="107"/>
  <c r="G1632" i="120" s="1"/>
  <c r="G1631" i="120"/>
  <c r="L1302" i="107"/>
  <c r="F1632" i="120" s="1"/>
  <c r="F1631" i="120"/>
  <c r="H1631" i="120"/>
  <c r="N1302" i="107"/>
  <c r="H1632" i="120" s="1"/>
  <c r="AG33" i="115"/>
  <c r="H1584" i="119"/>
  <c r="J1631" i="120"/>
  <c r="P1302" i="107"/>
  <c r="J1632" i="120" s="1"/>
  <c r="Q1302" i="107"/>
  <c r="K1632" i="120" s="1"/>
  <c r="K1631" i="120"/>
  <c r="Q436" i="107"/>
  <c r="K555" i="120" s="1"/>
  <c r="N1077" i="161"/>
  <c r="N1142" i="161" s="1"/>
  <c r="P365" i="107"/>
  <c r="J443" i="120" s="1"/>
  <c r="O1353" i="161"/>
  <c r="M1077" i="161"/>
  <c r="M1142" i="161" s="1"/>
  <c r="F951" i="107"/>
  <c r="E1100" i="119" s="1"/>
  <c r="D37" i="102"/>
  <c r="E37" i="102" s="1"/>
  <c r="F37" i="102" s="1"/>
  <c r="H1142" i="161"/>
  <c r="I1142" i="161" s="1"/>
  <c r="O436" i="107"/>
  <c r="I555" i="120" s="1"/>
  <c r="F1148" i="107"/>
  <c r="E1408" i="119" s="1"/>
  <c r="L1077" i="161"/>
  <c r="L1142" i="161" s="1"/>
  <c r="F445" i="120"/>
  <c r="P1077" i="161"/>
  <c r="P1142" i="161" s="1"/>
  <c r="J445" i="120"/>
  <c r="O370" i="107"/>
  <c r="O372" i="107" s="1"/>
  <c r="I450" i="120" s="1"/>
  <c r="J372" i="107"/>
  <c r="D450" i="120" s="1"/>
  <c r="Q1077" i="161"/>
  <c r="Q1142" i="161" s="1"/>
  <c r="P370" i="107"/>
  <c r="P372" i="107" s="1"/>
  <c r="J450" i="120" s="1"/>
  <c r="K370" i="107"/>
  <c r="E448" i="120" s="1"/>
  <c r="Q370" i="107"/>
  <c r="Q372" i="107" s="1"/>
  <c r="K450" i="120" s="1"/>
  <c r="M879" i="107"/>
  <c r="G1044" i="120" s="1"/>
  <c r="P879" i="107"/>
  <c r="P881" i="107" s="1"/>
  <c r="J1046" i="120" s="1"/>
  <c r="K879" i="107"/>
  <c r="K881" i="107" s="1"/>
  <c r="E1046" i="120" s="1"/>
  <c r="N370" i="107"/>
  <c r="N372" i="107" s="1"/>
  <c r="H450" i="120" s="1"/>
  <c r="O1077" i="161"/>
  <c r="O1142" i="161" s="1"/>
  <c r="M370" i="107"/>
  <c r="M372" i="107" s="1"/>
  <c r="G450" i="120" s="1"/>
  <c r="O434" i="107"/>
  <c r="I553" i="120" s="1"/>
  <c r="O365" i="107"/>
  <c r="I443" i="120" s="1"/>
  <c r="N434" i="107"/>
  <c r="H553" i="120" s="1"/>
  <c r="N365" i="107"/>
  <c r="H443" i="120" s="1"/>
  <c r="J431" i="161"/>
  <c r="O879" i="107"/>
  <c r="O881" i="107" s="1"/>
  <c r="I1046" i="120" s="1"/>
  <c r="K1077" i="161"/>
  <c r="K1142" i="161" s="1"/>
  <c r="L879" i="107"/>
  <c r="F1044" i="120" s="1"/>
  <c r="N1132" i="107"/>
  <c r="H1422" i="120" s="1"/>
  <c r="Q879" i="107"/>
  <c r="Q881" i="107" s="1"/>
  <c r="K1046" i="120" s="1"/>
  <c r="N879" i="107"/>
  <c r="N881" i="107" s="1"/>
  <c r="H1046" i="120" s="1"/>
  <c r="J881" i="107"/>
  <c r="D1046" i="120" s="1"/>
  <c r="I372" i="161"/>
  <c r="H271" i="152"/>
  <c r="Y63" i="95"/>
  <c r="Z176" i="92" s="1"/>
  <c r="I72" i="153"/>
  <c r="I87" i="153" s="1"/>
  <c r="I249" i="92"/>
  <c r="L249" i="92" s="1"/>
  <c r="J249" i="92" s="1"/>
  <c r="M249" i="92" s="1"/>
  <c r="J249" i="152"/>
  <c r="M249" i="152" s="1"/>
  <c r="F49" i="153"/>
  <c r="G72" i="153"/>
  <c r="G87" i="153" s="1"/>
  <c r="K288" i="161"/>
  <c r="Q288" i="161"/>
  <c r="O288" i="161"/>
  <c r="L288" i="161"/>
  <c r="P288" i="161"/>
  <c r="M288" i="161"/>
  <c r="N288" i="161"/>
  <c r="G289" i="107"/>
  <c r="F259" i="119" s="1"/>
  <c r="H49" i="153"/>
  <c r="G290" i="161"/>
  <c r="H290" i="161"/>
  <c r="J290" i="161" s="1"/>
  <c r="H289" i="107"/>
  <c r="J289" i="107" s="1"/>
  <c r="D316" i="120" s="1"/>
  <c r="F291" i="161"/>
  <c r="H287" i="161"/>
  <c r="J287" i="161" s="1"/>
  <c r="G287" i="161"/>
  <c r="D9" i="168"/>
  <c r="G289" i="161"/>
  <c r="H289" i="161"/>
  <c r="J289" i="161" s="1"/>
  <c r="G286" i="161"/>
  <c r="H286" i="161"/>
  <c r="I286" i="161" s="1"/>
  <c r="I288" i="161"/>
  <c r="N1143" i="107"/>
  <c r="H1450" i="120" s="1"/>
  <c r="H443" i="161"/>
  <c r="N1347" i="161"/>
  <c r="N1358" i="161" s="1"/>
  <c r="M1347" i="161"/>
  <c r="M1358" i="161" s="1"/>
  <c r="L1347" i="161"/>
  <c r="L1358" i="161" s="1"/>
  <c r="K1347" i="161"/>
  <c r="K1358" i="161" s="1"/>
  <c r="Q1347" i="161"/>
  <c r="Q1358" i="161" s="1"/>
  <c r="J1358" i="161"/>
  <c r="P1347" i="161"/>
  <c r="P1358" i="161" s="1"/>
  <c r="O1347" i="161"/>
  <c r="O1358" i="161" s="1"/>
  <c r="L1632" i="161"/>
  <c r="L1634" i="161" s="1"/>
  <c r="L832" i="161"/>
  <c r="Q413" i="161"/>
  <c r="Q428" i="161"/>
  <c r="Q431" i="161" s="1"/>
  <c r="Q438" i="161"/>
  <c r="K1070" i="161"/>
  <c r="K1139" i="161"/>
  <c r="J1135" i="161"/>
  <c r="G163" i="152"/>
  <c r="X164" i="152" s="1"/>
  <c r="N832" i="161"/>
  <c r="N1632" i="161"/>
  <c r="N1634" i="161" s="1"/>
  <c r="M1070" i="161"/>
  <c r="M1139" i="161"/>
  <c r="P1118" i="161"/>
  <c r="P1143" i="161"/>
  <c r="P1132" i="161"/>
  <c r="P1135" i="161" s="1"/>
  <c r="F50" i="150"/>
  <c r="M413" i="161"/>
  <c r="M428" i="161"/>
  <c r="M431" i="161" s="1"/>
  <c r="M438" i="161"/>
  <c r="L1070" i="161"/>
  <c r="L1139" i="161"/>
  <c r="O1118" i="161"/>
  <c r="O1143" i="161"/>
  <c r="O1132" i="161"/>
  <c r="O1135" i="161" s="1"/>
  <c r="K413" i="161"/>
  <c r="K428" i="161"/>
  <c r="K431" i="161" s="1"/>
  <c r="K438" i="161"/>
  <c r="K1118" i="161"/>
  <c r="K1132" i="161"/>
  <c r="K1135" i="161" s="1"/>
  <c r="K1143" i="161"/>
  <c r="K1632" i="161"/>
  <c r="K1634" i="161" s="1"/>
  <c r="K832" i="161"/>
  <c r="P413" i="161"/>
  <c r="P438" i="161"/>
  <c r="P428" i="161"/>
  <c r="P431" i="161" s="1"/>
  <c r="P1070" i="161"/>
  <c r="P1139" i="161"/>
  <c r="Q1118" i="161"/>
  <c r="Q1132" i="161"/>
  <c r="Q1135" i="161" s="1"/>
  <c r="Q1143" i="161"/>
  <c r="W47" i="150"/>
  <c r="X160" i="152"/>
  <c r="E75" i="149"/>
  <c r="K76" i="149" s="1"/>
  <c r="Q1632" i="161"/>
  <c r="Q1634" i="161" s="1"/>
  <c r="Q832" i="161"/>
  <c r="N413" i="161"/>
  <c r="N428" i="161"/>
  <c r="N431" i="161" s="1"/>
  <c r="N438" i="161"/>
  <c r="N1070" i="161"/>
  <c r="N1139" i="161"/>
  <c r="L1118" i="161"/>
  <c r="L1132" i="161"/>
  <c r="L1135" i="161" s="1"/>
  <c r="L1143" i="161"/>
  <c r="M1632" i="161"/>
  <c r="M1634" i="161" s="1"/>
  <c r="M832" i="161"/>
  <c r="O413" i="161"/>
  <c r="O428" i="161"/>
  <c r="O431" i="161" s="1"/>
  <c r="O438" i="161"/>
  <c r="Q1070" i="161"/>
  <c r="Q1139" i="161"/>
  <c r="O1346" i="161"/>
  <c r="N1346" i="161"/>
  <c r="P1346" i="161"/>
  <c r="Q1346" i="161"/>
  <c r="M1346" i="161"/>
  <c r="L1346" i="161"/>
  <c r="K1346" i="161"/>
  <c r="J1357" i="161"/>
  <c r="J1349" i="161"/>
  <c r="M1118" i="161"/>
  <c r="M1132" i="161"/>
  <c r="M1135" i="161" s="1"/>
  <c r="M1143" i="161"/>
  <c r="P1632" i="161"/>
  <c r="P1634" i="161" s="1"/>
  <c r="P832" i="161"/>
  <c r="O832" i="161"/>
  <c r="O1632" i="161"/>
  <c r="O1634" i="161" s="1"/>
  <c r="L413" i="161"/>
  <c r="L428" i="161"/>
  <c r="L431" i="161" s="1"/>
  <c r="L438" i="161"/>
  <c r="O1070" i="161"/>
  <c r="O1139" i="161"/>
  <c r="N1118" i="161"/>
  <c r="N1132" i="161"/>
  <c r="N1135" i="161" s="1"/>
  <c r="N1143" i="161"/>
  <c r="G295" i="107"/>
  <c r="F265" i="119" s="1"/>
  <c r="P147" i="161"/>
  <c r="J5" i="105"/>
  <c r="J6" i="105" s="1"/>
  <c r="G19" i="105"/>
  <c r="J1142" i="161"/>
  <c r="J1148" i="161" s="1"/>
  <c r="J1079" i="161"/>
  <c r="D55" i="166"/>
  <c r="D37" i="158"/>
  <c r="D36" i="159"/>
  <c r="F951" i="161"/>
  <c r="Q880" i="161"/>
  <c r="Q881" i="161" s="1"/>
  <c r="J881" i="161"/>
  <c r="O880" i="161"/>
  <c r="O881" i="161" s="1"/>
  <c r="P880" i="161"/>
  <c r="P881" i="161" s="1"/>
  <c r="N880" i="161"/>
  <c r="N881" i="161" s="1"/>
  <c r="L880" i="161"/>
  <c r="L881" i="161" s="1"/>
  <c r="K880" i="161"/>
  <c r="K881" i="161" s="1"/>
  <c r="M880" i="161"/>
  <c r="M881" i="161" s="1"/>
  <c r="H883" i="161"/>
  <c r="I883" i="161" s="1"/>
  <c r="H946" i="161"/>
  <c r="H374" i="161"/>
  <c r="I374" i="161" s="1"/>
  <c r="S63" i="95"/>
  <c r="T176" i="92" s="1"/>
  <c r="M365" i="107"/>
  <c r="G443" i="120" s="1"/>
  <c r="L370" i="107"/>
  <c r="L372" i="107" s="1"/>
  <c r="F450" i="120" s="1"/>
  <c r="G445" i="120"/>
  <c r="G500" i="119"/>
  <c r="K365" i="161"/>
  <c r="K434" i="161"/>
  <c r="L365" i="161"/>
  <c r="L434" i="161"/>
  <c r="O365" i="161"/>
  <c r="O434" i="161"/>
  <c r="G393" i="119"/>
  <c r="Q365" i="161"/>
  <c r="Q434" i="161"/>
  <c r="L434" i="107"/>
  <c r="F553" i="120" s="1"/>
  <c r="L365" i="107"/>
  <c r="F443" i="120" s="1"/>
  <c r="I372" i="107"/>
  <c r="H393" i="119" s="1"/>
  <c r="M365" i="161"/>
  <c r="M434" i="161"/>
  <c r="J372" i="161"/>
  <c r="J437" i="161" s="1"/>
  <c r="Q370" i="161"/>
  <c r="Q372" i="161" s="1"/>
  <c r="Q437" i="161" s="1"/>
  <c r="N370" i="161"/>
  <c r="N372" i="161" s="1"/>
  <c r="N437" i="161" s="1"/>
  <c r="P370" i="161"/>
  <c r="P372" i="161" s="1"/>
  <c r="P437" i="161" s="1"/>
  <c r="K370" i="161"/>
  <c r="K372" i="161" s="1"/>
  <c r="K437" i="161" s="1"/>
  <c r="L370" i="161"/>
  <c r="L372" i="161" s="1"/>
  <c r="L437" i="161" s="1"/>
  <c r="M370" i="161"/>
  <c r="M372" i="161" s="1"/>
  <c r="M437" i="161" s="1"/>
  <c r="O370" i="161"/>
  <c r="O372" i="161" s="1"/>
  <c r="O437" i="161" s="1"/>
  <c r="N365" i="161"/>
  <c r="N434" i="161"/>
  <c r="P365" i="161"/>
  <c r="P434" i="161"/>
  <c r="I437" i="161"/>
  <c r="F443" i="161"/>
  <c r="F89" i="119"/>
  <c r="J140" i="107"/>
  <c r="D157" i="120" s="1"/>
  <c r="G14" i="107"/>
  <c r="F13" i="119" s="1"/>
  <c r="H142" i="107"/>
  <c r="G100" i="119" s="1"/>
  <c r="H295" i="107"/>
  <c r="G265" i="119" s="1"/>
  <c r="G72" i="96"/>
  <c r="G87" i="96" s="1"/>
  <c r="L147" i="161"/>
  <c r="N147" i="161"/>
  <c r="O147" i="161"/>
  <c r="M147" i="161"/>
  <c r="J120" i="107"/>
  <c r="Q147" i="161"/>
  <c r="I150" i="161"/>
  <c r="H773" i="161"/>
  <c r="H800" i="161" s="1"/>
  <c r="H812" i="161" s="1"/>
  <c r="J147" i="161"/>
  <c r="F712" i="161"/>
  <c r="I625" i="161"/>
  <c r="J121" i="161"/>
  <c r="H125" i="161"/>
  <c r="I125" i="161" s="1"/>
  <c r="P131" i="161"/>
  <c r="P150" i="161" s="1"/>
  <c r="P625" i="161" s="1"/>
  <c r="P712" i="161" s="1"/>
  <c r="P761" i="161" s="1"/>
  <c r="Q131" i="161"/>
  <c r="Q150" i="161" s="1"/>
  <c r="Q625" i="161" s="1"/>
  <c r="Q712" i="161" s="1"/>
  <c r="Q761" i="161" s="1"/>
  <c r="N131" i="161"/>
  <c r="N150" i="161" s="1"/>
  <c r="N625" i="161" s="1"/>
  <c r="N712" i="161" s="1"/>
  <c r="N761" i="161" s="1"/>
  <c r="O131" i="161"/>
  <c r="O150" i="161" s="1"/>
  <c r="O625" i="161" s="1"/>
  <c r="O712" i="161" s="1"/>
  <c r="O761" i="161" s="1"/>
  <c r="O773" i="161" s="1"/>
  <c r="K131" i="161"/>
  <c r="K150" i="161" s="1"/>
  <c r="K625" i="161" s="1"/>
  <c r="K712" i="161" s="1"/>
  <c r="K761" i="161" s="1"/>
  <c r="K773" i="161" s="1"/>
  <c r="K800" i="161" s="1"/>
  <c r="K812" i="161" s="1"/>
  <c r="K835" i="161" s="1"/>
  <c r="L131" i="161"/>
  <c r="L150" i="161" s="1"/>
  <c r="L625" i="161" s="1"/>
  <c r="L712" i="161" s="1"/>
  <c r="L761" i="161" s="1"/>
  <c r="L773" i="161" s="1"/>
  <c r="L800" i="161" s="1"/>
  <c r="L812" i="161" s="1"/>
  <c r="L835" i="161" s="1"/>
  <c r="M131" i="161"/>
  <c r="M150" i="161" s="1"/>
  <c r="M625" i="161" s="1"/>
  <c r="M712" i="161" s="1"/>
  <c r="M761" i="161" s="1"/>
  <c r="M773" i="161" s="1"/>
  <c r="M800" i="161" s="1"/>
  <c r="M812" i="161" s="1"/>
  <c r="M835" i="161" s="1"/>
  <c r="J150" i="161"/>
  <c r="J625" i="161" s="1"/>
  <c r="J712" i="161" s="1"/>
  <c r="J761" i="161" s="1"/>
  <c r="G773" i="161"/>
  <c r="G800" i="161" s="1"/>
  <c r="G812" i="161" s="1"/>
  <c r="K147" i="161"/>
  <c r="G295" i="161"/>
  <c r="H295" i="161"/>
  <c r="J295" i="161" s="1"/>
  <c r="K119" i="92"/>
  <c r="K119" i="152"/>
  <c r="N119" i="92"/>
  <c r="N119" i="152"/>
  <c r="H239" i="152"/>
  <c r="L239" i="152"/>
  <c r="O239" i="152" s="1"/>
  <c r="J4" i="12"/>
  <c r="J261" i="92"/>
  <c r="M261" i="92" s="1"/>
  <c r="J250" i="92"/>
  <c r="M250" i="92" s="1"/>
  <c r="N240" i="92"/>
  <c r="N249" i="152"/>
  <c r="J243" i="92"/>
  <c r="M243" i="92" s="1"/>
  <c r="J251" i="152"/>
  <c r="M251" i="152" s="1"/>
  <c r="I264" i="92"/>
  <c r="J256" i="92"/>
  <c r="M256" i="92" s="1"/>
  <c r="J247" i="152"/>
  <c r="M247" i="152" s="1"/>
  <c r="J242" i="152"/>
  <c r="M242" i="152" s="1"/>
  <c r="K261" i="152"/>
  <c r="J261" i="152" s="1"/>
  <c r="M261" i="152" s="1"/>
  <c r="J244" i="152"/>
  <c r="M244" i="152" s="1"/>
  <c r="L250" i="152"/>
  <c r="J250" i="152" s="1"/>
  <c r="M250" i="152" s="1"/>
  <c r="N243" i="152"/>
  <c r="L260" i="152"/>
  <c r="L264" i="152" s="1"/>
  <c r="K240" i="152"/>
  <c r="L260" i="92"/>
  <c r="O260" i="92" s="1"/>
  <c r="I264" i="152"/>
  <c r="I252" i="152"/>
  <c r="J258" i="152"/>
  <c r="M258" i="152" s="1"/>
  <c r="K256" i="152"/>
  <c r="J256" i="152" s="1"/>
  <c r="M256" i="152" s="1"/>
  <c r="J257" i="152"/>
  <c r="M257" i="152" s="1"/>
  <c r="K260" i="152"/>
  <c r="H264" i="152"/>
  <c r="K263" i="152"/>
  <c r="J263" i="152" s="1"/>
  <c r="M263" i="152" s="1"/>
  <c r="J262" i="152"/>
  <c r="M262" i="152" s="1"/>
  <c r="F46" i="100"/>
  <c r="F46" i="151"/>
  <c r="J241" i="152"/>
  <c r="M241" i="152" s="1"/>
  <c r="J242" i="92"/>
  <c r="M242" i="92" s="1"/>
  <c r="N251" i="152"/>
  <c r="J255" i="152"/>
  <c r="N247" i="152"/>
  <c r="J259" i="152"/>
  <c r="M259" i="152" s="1"/>
  <c r="J248" i="152"/>
  <c r="M248" i="152" s="1"/>
  <c r="N242" i="152"/>
  <c r="H1079" i="107"/>
  <c r="G1298" i="119" s="1"/>
  <c r="H1142" i="107"/>
  <c r="G1402" i="119" s="1"/>
  <c r="K1132" i="107"/>
  <c r="E1422" i="120" s="1"/>
  <c r="I140" i="107"/>
  <c r="H98" i="119" s="1"/>
  <c r="P429" i="107"/>
  <c r="P440" i="107" s="1"/>
  <c r="J559" i="120" s="1"/>
  <c r="F147" i="107"/>
  <c r="E105" i="119" s="1"/>
  <c r="E83" i="119"/>
  <c r="I1077" i="107"/>
  <c r="H1296" i="119" s="1"/>
  <c r="F98" i="119"/>
  <c r="Q117" i="107"/>
  <c r="K134" i="120" s="1"/>
  <c r="M117" i="107"/>
  <c r="G134" i="120" s="1"/>
  <c r="O117" i="107"/>
  <c r="I134" i="120" s="1"/>
  <c r="P1346" i="107"/>
  <c r="J1706" i="120" s="1"/>
  <c r="O1346" i="107"/>
  <c r="I1706" i="120" s="1"/>
  <c r="M1346" i="107"/>
  <c r="G1706" i="120" s="1"/>
  <c r="K1346" i="107"/>
  <c r="E1706" i="120" s="1"/>
  <c r="Q1346" i="107"/>
  <c r="K1706" i="120" s="1"/>
  <c r="V63" i="95"/>
  <c r="W176" i="92" s="1"/>
  <c r="R63" i="95"/>
  <c r="S176" i="92" s="1"/>
  <c r="T63" i="95"/>
  <c r="U176" i="92" s="1"/>
  <c r="K1143" i="107"/>
  <c r="E1450" i="120" s="1"/>
  <c r="N429" i="107"/>
  <c r="H530" i="120" s="1"/>
  <c r="U63" i="95"/>
  <c r="V176" i="92" s="1"/>
  <c r="H310" i="107"/>
  <c r="G280" i="119" s="1"/>
  <c r="I310" i="107"/>
  <c r="H280" i="119" s="1"/>
  <c r="G310" i="107"/>
  <c r="F280" i="119" s="1"/>
  <c r="N1346" i="107"/>
  <c r="H1706" i="120" s="1"/>
  <c r="L1346" i="107"/>
  <c r="F1706" i="120" s="1"/>
  <c r="J1357" i="107"/>
  <c r="D1717" i="120" s="1"/>
  <c r="L1143" i="107"/>
  <c r="F1450" i="120" s="1"/>
  <c r="L1132" i="107"/>
  <c r="F1422" i="120" s="1"/>
  <c r="G1666" i="119"/>
  <c r="F1656" i="119"/>
  <c r="I431" i="107"/>
  <c r="H476" i="119" s="1"/>
  <c r="J1347" i="107"/>
  <c r="D1707" i="120" s="1"/>
  <c r="I311" i="161"/>
  <c r="G311" i="161"/>
  <c r="H311" i="161"/>
  <c r="J311" i="161" s="1"/>
  <c r="I310" i="161"/>
  <c r="G310" i="161"/>
  <c r="H310" i="161"/>
  <c r="P70" i="153"/>
  <c r="I312" i="161"/>
  <c r="H1358" i="107"/>
  <c r="G1667" i="119" s="1"/>
  <c r="H946" i="107"/>
  <c r="G1084" i="119" s="1"/>
  <c r="G995" i="119"/>
  <c r="H883" i="107"/>
  <c r="G997" i="119" s="1"/>
  <c r="G443" i="107"/>
  <c r="F506" i="119" s="1"/>
  <c r="H125" i="107"/>
  <c r="I120" i="107"/>
  <c r="H78" i="119" s="1"/>
  <c r="M288" i="107"/>
  <c r="G315" i="120" s="1"/>
  <c r="O288" i="107"/>
  <c r="I315" i="120" s="1"/>
  <c r="L288" i="107"/>
  <c r="F315" i="120" s="1"/>
  <c r="G1656" i="119"/>
  <c r="P288" i="107"/>
  <c r="J315" i="120" s="1"/>
  <c r="N117" i="107"/>
  <c r="H134" i="120" s="1"/>
  <c r="Q288" i="107"/>
  <c r="K315" i="120" s="1"/>
  <c r="K288" i="107"/>
  <c r="E315" i="120" s="1"/>
  <c r="N288" i="107"/>
  <c r="H315" i="120" s="1"/>
  <c r="J2055" i="107"/>
  <c r="D2508" i="120" s="1"/>
  <c r="G125" i="107"/>
  <c r="F83" i="119" s="1"/>
  <c r="I121" i="107"/>
  <c r="H79" i="119" s="1"/>
  <c r="G79" i="119"/>
  <c r="J121" i="107"/>
  <c r="D138" i="120" s="1"/>
  <c r="P117" i="107"/>
  <c r="J134" i="120" s="1"/>
  <c r="G147" i="107"/>
  <c r="F105" i="119" s="1"/>
  <c r="L117" i="107"/>
  <c r="F134" i="120" s="1"/>
  <c r="D148" i="120"/>
  <c r="L429" i="107"/>
  <c r="F530" i="120" s="1"/>
  <c r="F311" i="107"/>
  <c r="I311" i="107" s="1"/>
  <c r="H281" i="119" s="1"/>
  <c r="F712" i="107"/>
  <c r="E829" i="119" s="1"/>
  <c r="K117" i="107"/>
  <c r="P1143" i="107"/>
  <c r="J1450" i="120" s="1"/>
  <c r="P1132" i="107"/>
  <c r="J1422" i="120" s="1"/>
  <c r="O1143" i="107"/>
  <c r="I1450" i="120" s="1"/>
  <c r="Q429" i="107"/>
  <c r="Q440" i="107" s="1"/>
  <c r="K559" i="120" s="1"/>
  <c r="O1132" i="107"/>
  <c r="I1422" i="120" s="1"/>
  <c r="M1132" i="107"/>
  <c r="G1422" i="120" s="1"/>
  <c r="H479" i="107"/>
  <c r="G2011" i="119"/>
  <c r="H1040" i="107"/>
  <c r="H1348" i="107"/>
  <c r="F2011" i="119"/>
  <c r="G479" i="107"/>
  <c r="G1040" i="107"/>
  <c r="G1348" i="107"/>
  <c r="F2055" i="107"/>
  <c r="E2011" i="119" s="1"/>
  <c r="N1077" i="107"/>
  <c r="H1343" i="120" s="1"/>
  <c r="H1341" i="120"/>
  <c r="M1077" i="107"/>
  <c r="G1343" i="120" s="1"/>
  <c r="G1341" i="120"/>
  <c r="J1135" i="107"/>
  <c r="D1425" i="120" s="1"/>
  <c r="D1423" i="120"/>
  <c r="Q1077" i="107"/>
  <c r="K1343" i="120" s="1"/>
  <c r="K1341" i="120"/>
  <c r="K1077" i="107"/>
  <c r="E1343" i="120" s="1"/>
  <c r="E1341" i="120"/>
  <c r="P1077" i="107"/>
  <c r="J1343" i="120" s="1"/>
  <c r="J1341" i="120"/>
  <c r="I1135" i="107"/>
  <c r="G1378" i="119"/>
  <c r="O429" i="107"/>
  <c r="I502" i="120"/>
  <c r="O1077" i="107"/>
  <c r="I1343" i="120" s="1"/>
  <c r="I1341" i="120"/>
  <c r="L1077" i="107"/>
  <c r="F1343" i="120" s="1"/>
  <c r="F1341" i="120"/>
  <c r="J431" i="107"/>
  <c r="D532" i="120" s="1"/>
  <c r="D529" i="120"/>
  <c r="Q406" i="107"/>
  <c r="K507" i="120" s="1"/>
  <c r="K503" i="120"/>
  <c r="J1145" i="107"/>
  <c r="D1452" i="120" s="1"/>
  <c r="G1405" i="119"/>
  <c r="K440" i="107"/>
  <c r="E559" i="120" s="1"/>
  <c r="E530" i="120"/>
  <c r="M429" i="107"/>
  <c r="G502" i="120"/>
  <c r="M1143" i="107"/>
  <c r="G1450" i="120" s="1"/>
  <c r="F1405" i="119"/>
  <c r="J440" i="107"/>
  <c r="D559" i="120" s="1"/>
  <c r="D530" i="120"/>
  <c r="N63" i="93"/>
  <c r="M63" i="93" s="1"/>
  <c r="O55" i="93"/>
  <c r="M55" i="93" s="1"/>
  <c r="N48" i="93"/>
  <c r="M48" i="93" s="1"/>
  <c r="N46" i="93"/>
  <c r="M46" i="93" s="1"/>
  <c r="N50" i="93"/>
  <c r="M50" i="93" s="1"/>
  <c r="I374" i="107"/>
  <c r="H395" i="119" s="1"/>
  <c r="G395" i="119"/>
  <c r="I1353" i="107"/>
  <c r="H1662" i="119" s="1"/>
  <c r="G1662" i="119"/>
  <c r="J1142" i="107"/>
  <c r="D1449" i="120" s="1"/>
  <c r="D1343" i="120"/>
  <c r="G1692" i="120"/>
  <c r="D1692" i="120"/>
  <c r="I1335" i="107"/>
  <c r="G1644" i="119"/>
  <c r="I14" i="107"/>
  <c r="H13" i="119" s="1"/>
  <c r="G13" i="119"/>
  <c r="AG18" i="115"/>
  <c r="AK18" i="115" s="1"/>
  <c r="H89" i="119"/>
  <c r="I146" i="107"/>
  <c r="H104" i="119" s="1"/>
  <c r="G104" i="119"/>
  <c r="O406" i="107"/>
  <c r="I507" i="120" s="1"/>
  <c r="M406" i="107"/>
  <c r="G507" i="120" s="1"/>
  <c r="K257" i="92"/>
  <c r="J257" i="92" s="1"/>
  <c r="M257" i="92" s="1"/>
  <c r="N248" i="92"/>
  <c r="H70" i="93"/>
  <c r="N64" i="93"/>
  <c r="M64" i="93" s="1"/>
  <c r="M66" i="93"/>
  <c r="I77" i="93"/>
  <c r="G271" i="92"/>
  <c r="N67" i="93"/>
  <c r="M67" i="93" s="1"/>
  <c r="J1353" i="107"/>
  <c r="D1713" i="120" s="1"/>
  <c r="J1335" i="107"/>
  <c r="D1695" i="120" s="1"/>
  <c r="I1145" i="107"/>
  <c r="H1405" i="119" s="1"/>
  <c r="N244" i="92"/>
  <c r="J1079" i="107"/>
  <c r="D1345" i="120" s="1"/>
  <c r="K1111" i="107"/>
  <c r="E1401" i="120" s="1"/>
  <c r="K1133" i="107"/>
  <c r="E1423" i="120" s="1"/>
  <c r="Q428" i="107"/>
  <c r="Q438" i="107"/>
  <c r="Q1111" i="107"/>
  <c r="K1401" i="120" s="1"/>
  <c r="Q1133" i="107"/>
  <c r="K1423" i="120" s="1"/>
  <c r="P1111" i="107"/>
  <c r="J1401" i="120" s="1"/>
  <c r="P1133" i="107"/>
  <c r="J1423" i="120" s="1"/>
  <c r="K406" i="107"/>
  <c r="E507" i="120" s="1"/>
  <c r="K438" i="107"/>
  <c r="K428" i="107"/>
  <c r="M1111" i="107"/>
  <c r="G1401" i="120" s="1"/>
  <c r="M1133" i="107"/>
  <c r="G1423" i="120" s="1"/>
  <c r="O438" i="107"/>
  <c r="O428" i="107"/>
  <c r="N1111" i="107"/>
  <c r="H1401" i="120" s="1"/>
  <c r="N1133" i="107"/>
  <c r="H1423" i="120" s="1"/>
  <c r="L438" i="107"/>
  <c r="L428" i="107"/>
  <c r="L406" i="107"/>
  <c r="F507" i="120" s="1"/>
  <c r="N406" i="107"/>
  <c r="H507" i="120" s="1"/>
  <c r="N428" i="107"/>
  <c r="N438" i="107"/>
  <c r="L1111" i="107"/>
  <c r="F1401" i="120" s="1"/>
  <c r="L1133" i="107"/>
  <c r="F1423" i="120" s="1"/>
  <c r="M428" i="107"/>
  <c r="M438" i="107"/>
  <c r="O1111" i="107"/>
  <c r="I1401" i="120" s="1"/>
  <c r="O1133" i="107"/>
  <c r="I1423" i="120" s="1"/>
  <c r="P438" i="107"/>
  <c r="P428" i="107"/>
  <c r="P406" i="107"/>
  <c r="J507" i="120" s="1"/>
  <c r="O258" i="92"/>
  <c r="K239" i="92"/>
  <c r="J68" i="93"/>
  <c r="M68" i="93"/>
  <c r="O255" i="92"/>
  <c r="J251" i="92"/>
  <c r="M251" i="92" s="1"/>
  <c r="N61" i="93"/>
  <c r="J61" i="93"/>
  <c r="K260" i="92"/>
  <c r="F72" i="100"/>
  <c r="H29" i="96"/>
  <c r="H49" i="96" s="1"/>
  <c r="O242" i="92"/>
  <c r="N49" i="93"/>
  <c r="M49" i="93" s="1"/>
  <c r="O56" i="93"/>
  <c r="M56" i="93" s="1"/>
  <c r="O57" i="93"/>
  <c r="M57" i="93" s="1"/>
  <c r="O261" i="92"/>
  <c r="J241" i="92"/>
  <c r="M241" i="92" s="1"/>
  <c r="H77" i="93"/>
  <c r="K263" i="92"/>
  <c r="J263" i="92" s="1"/>
  <c r="M263" i="92" s="1"/>
  <c r="M47" i="93"/>
  <c r="J66" i="93"/>
  <c r="L70" i="93"/>
  <c r="J47" i="93"/>
  <c r="K45" i="93"/>
  <c r="N45" i="93" s="1"/>
  <c r="F21" i="110"/>
  <c r="F49" i="110" s="1"/>
  <c r="I71" i="96"/>
  <c r="I72" i="96" s="1"/>
  <c r="I87" i="96" s="1"/>
  <c r="K255" i="92"/>
  <c r="N255" i="92" s="1"/>
  <c r="K65" i="93"/>
  <c r="J65" i="93" s="1"/>
  <c r="H264" i="92"/>
  <c r="L239" i="92"/>
  <c r="O70" i="93"/>
  <c r="N54" i="93"/>
  <c r="M54" i="93" s="1"/>
  <c r="N62" i="93"/>
  <c r="M62" i="93" s="1"/>
  <c r="K262" i="92"/>
  <c r="J262" i="92" s="1"/>
  <c r="M262" i="92" s="1"/>
  <c r="I150" i="107"/>
  <c r="H108" i="119" s="1"/>
  <c r="H625" i="107"/>
  <c r="G738" i="119" s="1"/>
  <c r="O131" i="107"/>
  <c r="M131" i="107"/>
  <c r="Q131" i="107"/>
  <c r="L131" i="107"/>
  <c r="P131" i="107"/>
  <c r="N131" i="107"/>
  <c r="K131" i="107"/>
  <c r="J150" i="107"/>
  <c r="M145" i="107"/>
  <c r="N145" i="107"/>
  <c r="K145" i="107"/>
  <c r="L145" i="107"/>
  <c r="O145" i="107"/>
  <c r="P145" i="107"/>
  <c r="Q145" i="107"/>
  <c r="J146" i="107"/>
  <c r="D163" i="120" s="1"/>
  <c r="J142" i="107"/>
  <c r="D159" i="120" s="1"/>
  <c r="I142" i="107"/>
  <c r="H100" i="119" s="1"/>
  <c r="P37" i="95"/>
  <c r="P57" i="95" s="1"/>
  <c r="Q170" i="92" s="1"/>
  <c r="P24" i="95"/>
  <c r="P60" i="95" s="1"/>
  <c r="Q173" i="92" s="1"/>
  <c r="R150" i="92"/>
  <c r="R137" i="92"/>
  <c r="J21" i="94"/>
  <c r="J60" i="94" s="1"/>
  <c r="J119" i="152" s="1"/>
  <c r="J44" i="94"/>
  <c r="F47" i="95"/>
  <c r="W48" i="95" s="1"/>
  <c r="X137" i="92"/>
  <c r="X150" i="92"/>
  <c r="P137" i="92"/>
  <c r="P150" i="92"/>
  <c r="I21" i="94"/>
  <c r="I44" i="94"/>
  <c r="H53" i="94"/>
  <c r="N37" i="95"/>
  <c r="N57" i="95" s="1"/>
  <c r="O170" i="92" s="1"/>
  <c r="N24" i="95"/>
  <c r="N60" i="95" s="1"/>
  <c r="O173" i="92" s="1"/>
  <c r="O37" i="95"/>
  <c r="O57" i="95" s="1"/>
  <c r="P170" i="92" s="1"/>
  <c r="O24" i="95"/>
  <c r="O60" i="95" s="1"/>
  <c r="P173" i="92" s="1"/>
  <c r="Q150" i="92"/>
  <c r="Q137" i="92"/>
  <c r="L76" i="88"/>
  <c r="X161" i="92"/>
  <c r="F76" i="88"/>
  <c r="J76" i="88"/>
  <c r="H76" i="88"/>
  <c r="I76" i="88"/>
  <c r="G76" i="88"/>
  <c r="L26" i="94"/>
  <c r="M60" i="94"/>
  <c r="M24" i="95"/>
  <c r="M60" i="95" s="1"/>
  <c r="N173" i="92" s="1"/>
  <c r="M37" i="95"/>
  <c r="M57" i="95" s="1"/>
  <c r="N170" i="92" s="1"/>
  <c r="F51" i="95"/>
  <c r="Q37" i="95"/>
  <c r="Q57" i="95" s="1"/>
  <c r="R170" i="92" s="1"/>
  <c r="Q24" i="95"/>
  <c r="Q60" i="95" s="1"/>
  <c r="R173" i="92" s="1"/>
  <c r="O137" i="92"/>
  <c r="O150" i="92"/>
  <c r="N137" i="92"/>
  <c r="N150" i="92"/>
  <c r="K76" i="88"/>
  <c r="L57" i="94"/>
  <c r="D137" i="120" l="1"/>
  <c r="Q120" i="107"/>
  <c r="P120" i="107"/>
  <c r="O120" i="107"/>
  <c r="N120" i="107"/>
  <c r="M120" i="107"/>
  <c r="L120" i="107"/>
  <c r="K120" i="107"/>
  <c r="O249" i="92"/>
  <c r="I290" i="107"/>
  <c r="H260" i="119" s="1"/>
  <c r="G260" i="119"/>
  <c r="H147" i="107"/>
  <c r="D39" i="102"/>
  <c r="E36" i="102"/>
  <c r="F36" i="102" s="1"/>
  <c r="G951" i="107"/>
  <c r="F1100" i="119" s="1"/>
  <c r="J443" i="161"/>
  <c r="H1148" i="161"/>
  <c r="I1148" i="161" s="1"/>
  <c r="E37" i="110"/>
  <c r="F37" i="110" s="1"/>
  <c r="N70" i="153" s="1"/>
  <c r="M70" i="153" s="1"/>
  <c r="L286" i="107"/>
  <c r="F313" i="120" s="1"/>
  <c r="Q286" i="107"/>
  <c r="K313" i="120" s="1"/>
  <c r="M140" i="107"/>
  <c r="L140" i="107"/>
  <c r="L142" i="107" s="1"/>
  <c r="F159" i="120" s="1"/>
  <c r="P286" i="107"/>
  <c r="J313" i="120" s="1"/>
  <c r="P140" i="107"/>
  <c r="P142" i="107" s="1"/>
  <c r="J159" i="120" s="1"/>
  <c r="K286" i="107"/>
  <c r="E313" i="120" s="1"/>
  <c r="K140" i="107"/>
  <c r="K142" i="107" s="1"/>
  <c r="E159" i="120" s="1"/>
  <c r="P1357" i="107"/>
  <c r="J1717" i="120" s="1"/>
  <c r="N140" i="107"/>
  <c r="N286" i="107"/>
  <c r="H313" i="120" s="1"/>
  <c r="O140" i="107"/>
  <c r="O142" i="107" s="1"/>
  <c r="O286" i="107"/>
  <c r="I313" i="120" s="1"/>
  <c r="Q140" i="107"/>
  <c r="K157" i="120" s="1"/>
  <c r="M286" i="107"/>
  <c r="G313" i="120" s="1"/>
  <c r="D43" i="110"/>
  <c r="D40" i="108"/>
  <c r="E36" i="108"/>
  <c r="G36" i="108" s="1"/>
  <c r="F484" i="100" s="1"/>
  <c r="F1341" i="107" s="1"/>
  <c r="E1650" i="119" s="1"/>
  <c r="E1044" i="120"/>
  <c r="G1148" i="107"/>
  <c r="F1408" i="119" s="1"/>
  <c r="J437" i="107"/>
  <c r="D556" i="120" s="1"/>
  <c r="I295" i="107"/>
  <c r="H265" i="119" s="1"/>
  <c r="H448" i="120"/>
  <c r="I289" i="107"/>
  <c r="H259" i="119" s="1"/>
  <c r="G259" i="119"/>
  <c r="M1357" i="107"/>
  <c r="G1717" i="120" s="1"/>
  <c r="N1079" i="161"/>
  <c r="J448" i="120"/>
  <c r="L881" i="107"/>
  <c r="F1046" i="120" s="1"/>
  <c r="I448" i="120"/>
  <c r="J883" i="107"/>
  <c r="D1048" i="120" s="1"/>
  <c r="J946" i="107"/>
  <c r="D1134" i="120" s="1"/>
  <c r="I1044" i="120"/>
  <c r="G448" i="120"/>
  <c r="K448" i="120"/>
  <c r="I287" i="161"/>
  <c r="AK33" i="115"/>
  <c r="AI33" i="115"/>
  <c r="I443" i="161"/>
  <c r="M881" i="107"/>
  <c r="G1046" i="120" s="1"/>
  <c r="H1044" i="120"/>
  <c r="P1079" i="161"/>
  <c r="J1044" i="120"/>
  <c r="M1079" i="161"/>
  <c r="K372" i="107"/>
  <c r="E450" i="120" s="1"/>
  <c r="L1079" i="161"/>
  <c r="F448" i="120"/>
  <c r="J374" i="107"/>
  <c r="D452" i="120" s="1"/>
  <c r="H443" i="107"/>
  <c r="G506" i="119" s="1"/>
  <c r="I1079" i="107"/>
  <c r="K1044" i="120"/>
  <c r="H1148" i="107"/>
  <c r="G1408" i="119" s="1"/>
  <c r="K1079" i="161"/>
  <c r="O1079" i="161"/>
  <c r="Q1079" i="161"/>
  <c r="I1142" i="107"/>
  <c r="H1402" i="119" s="1"/>
  <c r="I437" i="107"/>
  <c r="H500" i="119" s="1"/>
  <c r="K1148" i="161"/>
  <c r="M1148" i="161"/>
  <c r="J295" i="107"/>
  <c r="D322" i="120" s="1"/>
  <c r="I289" i="161"/>
  <c r="O290" i="107"/>
  <c r="I317" i="120" s="1"/>
  <c r="J286" i="161"/>
  <c r="H291" i="161"/>
  <c r="I291" i="161" s="1"/>
  <c r="O287" i="161"/>
  <c r="M287" i="161"/>
  <c r="N287" i="161"/>
  <c r="K287" i="161"/>
  <c r="P287" i="161"/>
  <c r="L287" i="161"/>
  <c r="Q287" i="161"/>
  <c r="G291" i="161"/>
  <c r="O289" i="161"/>
  <c r="N289" i="161"/>
  <c r="Q289" i="161"/>
  <c r="P289" i="161"/>
  <c r="L289" i="161"/>
  <c r="M289" i="161"/>
  <c r="K289" i="161"/>
  <c r="I290" i="161"/>
  <c r="K290" i="161"/>
  <c r="Q290" i="161"/>
  <c r="L290" i="161"/>
  <c r="P290" i="161"/>
  <c r="N290" i="161"/>
  <c r="O290" i="161"/>
  <c r="M290" i="161"/>
  <c r="J530" i="120"/>
  <c r="P443" i="161"/>
  <c r="Q1148" i="161"/>
  <c r="L1148" i="161"/>
  <c r="K1357" i="161"/>
  <c r="K1349" i="161"/>
  <c r="G160" i="152"/>
  <c r="X161" i="152" s="1"/>
  <c r="F76" i="149"/>
  <c r="L76" i="149"/>
  <c r="I76" i="149"/>
  <c r="H76" i="149"/>
  <c r="G76" i="149"/>
  <c r="J76" i="149"/>
  <c r="L1357" i="161"/>
  <c r="L1349" i="161"/>
  <c r="M1357" i="161"/>
  <c r="M1349" i="161"/>
  <c r="Q1357" i="161"/>
  <c r="Q1349" i="161"/>
  <c r="F47" i="150"/>
  <c r="P1148" i="161"/>
  <c r="N1148" i="161"/>
  <c r="P1357" i="161"/>
  <c r="P1349" i="161"/>
  <c r="N51" i="150"/>
  <c r="M51" i="150"/>
  <c r="O51" i="150"/>
  <c r="Q51" i="150"/>
  <c r="P51" i="150"/>
  <c r="N1357" i="161"/>
  <c r="N1349" i="161"/>
  <c r="W51" i="150"/>
  <c r="N164" i="152"/>
  <c r="P164" i="152"/>
  <c r="R164" i="152"/>
  <c r="O164" i="152"/>
  <c r="Q164" i="152"/>
  <c r="O1148" i="161"/>
  <c r="O1357" i="161"/>
  <c r="O1349" i="161"/>
  <c r="X150" i="152"/>
  <c r="X137" i="152"/>
  <c r="I883" i="107"/>
  <c r="F287" i="107"/>
  <c r="E257" i="119" s="1"/>
  <c r="C9" i="168"/>
  <c r="E9" i="168" s="1"/>
  <c r="H951" i="107"/>
  <c r="G1100" i="119" s="1"/>
  <c r="M946" i="161"/>
  <c r="M951" i="161" s="1"/>
  <c r="M883" i="161"/>
  <c r="Q946" i="161"/>
  <c r="Q951" i="161" s="1"/>
  <c r="Q883" i="161"/>
  <c r="K946" i="161"/>
  <c r="K951" i="161" s="1"/>
  <c r="K883" i="161"/>
  <c r="L946" i="161"/>
  <c r="L951" i="161" s="1"/>
  <c r="L883" i="161"/>
  <c r="N946" i="161"/>
  <c r="N951" i="161" s="1"/>
  <c r="N883" i="161"/>
  <c r="E36" i="159"/>
  <c r="G36" i="159" s="1"/>
  <c r="F484" i="151" s="1"/>
  <c r="F1341" i="161" s="1"/>
  <c r="E35" i="159"/>
  <c r="G35" i="159" s="1"/>
  <c r="D40" i="159"/>
  <c r="J946" i="161"/>
  <c r="J951" i="161" s="1"/>
  <c r="J883" i="161"/>
  <c r="I946" i="161"/>
  <c r="H951" i="161"/>
  <c r="I951" i="161" s="1"/>
  <c r="P946" i="161"/>
  <c r="P951" i="161" s="1"/>
  <c r="P883" i="161"/>
  <c r="E37" i="158"/>
  <c r="F37" i="158" s="1"/>
  <c r="E36" i="158"/>
  <c r="F36" i="158" s="1"/>
  <c r="D39" i="158"/>
  <c r="O946" i="161"/>
  <c r="O951" i="161" s="1"/>
  <c r="O883" i="161"/>
  <c r="D60" i="166"/>
  <c r="E55" i="166" s="1"/>
  <c r="F55" i="166" s="1"/>
  <c r="F447" i="151" s="1"/>
  <c r="F1230" i="161" s="1"/>
  <c r="F108" i="119"/>
  <c r="O443" i="161"/>
  <c r="O374" i="161"/>
  <c r="P374" i="161"/>
  <c r="M443" i="161"/>
  <c r="M374" i="161"/>
  <c r="L443" i="161"/>
  <c r="N443" i="161"/>
  <c r="L374" i="161"/>
  <c r="N374" i="161"/>
  <c r="Q443" i="161"/>
  <c r="K443" i="161"/>
  <c r="J374" i="161"/>
  <c r="Q374" i="161"/>
  <c r="K374" i="161"/>
  <c r="I295" i="161"/>
  <c r="J137" i="120"/>
  <c r="F137" i="120"/>
  <c r="I137" i="120"/>
  <c r="G137" i="120"/>
  <c r="E137" i="120"/>
  <c r="H137" i="120"/>
  <c r="J260" i="92"/>
  <c r="M260" i="92" s="1"/>
  <c r="L264" i="92"/>
  <c r="O800" i="161"/>
  <c r="O812" i="161" s="1"/>
  <c r="O835" i="161" s="1"/>
  <c r="N773" i="161"/>
  <c r="N800" i="161" s="1"/>
  <c r="N812" i="161" s="1"/>
  <c r="F812" i="161"/>
  <c r="I812" i="161" s="1"/>
  <c r="Q773" i="161"/>
  <c r="Q800" i="161" s="1"/>
  <c r="Q812" i="161" s="1"/>
  <c r="F761" i="161"/>
  <c r="I712" i="161"/>
  <c r="G835" i="161"/>
  <c r="P773" i="161"/>
  <c r="P800" i="161" s="1"/>
  <c r="P812" i="161" s="1"/>
  <c r="J773" i="161"/>
  <c r="J800" i="161" s="1"/>
  <c r="J812" i="161" s="1"/>
  <c r="M121" i="161"/>
  <c r="M125" i="161" s="1"/>
  <c r="L121" i="161"/>
  <c r="L125" i="161" s="1"/>
  <c r="N121" i="161"/>
  <c r="N125" i="161" s="1"/>
  <c r="K121" i="161"/>
  <c r="K125" i="161" s="1"/>
  <c r="Q121" i="161"/>
  <c r="Q125" i="161" s="1"/>
  <c r="P121" i="161"/>
  <c r="P125" i="161" s="1"/>
  <c r="O121" i="161"/>
  <c r="O125" i="161" s="1"/>
  <c r="J125" i="161"/>
  <c r="H835" i="161"/>
  <c r="Q295" i="161"/>
  <c r="K295" i="161"/>
  <c r="N295" i="161"/>
  <c r="M295" i="161"/>
  <c r="O295" i="161"/>
  <c r="L295" i="161"/>
  <c r="P295" i="161"/>
  <c r="K239" i="152"/>
  <c r="J239" i="152" s="1"/>
  <c r="M239" i="152" s="1"/>
  <c r="H252" i="152"/>
  <c r="H266" i="152" s="1"/>
  <c r="M119" i="92"/>
  <c r="M119" i="152"/>
  <c r="L252" i="152"/>
  <c r="L266" i="152" s="1"/>
  <c r="N256" i="152"/>
  <c r="N261" i="152"/>
  <c r="O260" i="152"/>
  <c r="O264" i="152" s="1"/>
  <c r="J260" i="152"/>
  <c r="M260" i="152" s="1"/>
  <c r="O250" i="152"/>
  <c r="O252" i="152" s="1"/>
  <c r="F44" i="100"/>
  <c r="F44" i="151"/>
  <c r="N240" i="152"/>
  <c r="K264" i="152"/>
  <c r="H272" i="92"/>
  <c r="H272" i="152"/>
  <c r="M255" i="152"/>
  <c r="N263" i="152"/>
  <c r="J240" i="152"/>
  <c r="I272" i="92"/>
  <c r="I272" i="152"/>
  <c r="N260" i="152"/>
  <c r="I266" i="152"/>
  <c r="M121" i="107"/>
  <c r="G138" i="120" s="1"/>
  <c r="N1079" i="107"/>
  <c r="H1345" i="120" s="1"/>
  <c r="I946" i="107"/>
  <c r="H1084" i="119" s="1"/>
  <c r="L374" i="107"/>
  <c r="F452" i="120" s="1"/>
  <c r="K1357" i="107"/>
  <c r="E1717" i="120" s="1"/>
  <c r="F88" i="151"/>
  <c r="F309" i="161" s="1"/>
  <c r="P374" i="107"/>
  <c r="J452" i="120" s="1"/>
  <c r="Q1357" i="107"/>
  <c r="K1717" i="120" s="1"/>
  <c r="I125" i="107"/>
  <c r="H83" i="119" s="1"/>
  <c r="G83" i="119"/>
  <c r="P883" i="107"/>
  <c r="J1048" i="120" s="1"/>
  <c r="L290" i="107"/>
  <c r="F317" i="120" s="1"/>
  <c r="N440" i="107"/>
  <c r="H559" i="120" s="1"/>
  <c r="P290" i="107"/>
  <c r="J317" i="120" s="1"/>
  <c r="O1357" i="107"/>
  <c r="I1717" i="120" s="1"/>
  <c r="L1357" i="107"/>
  <c r="F1717" i="120" s="1"/>
  <c r="J310" i="107"/>
  <c r="D337" i="120" s="1"/>
  <c r="N1347" i="107"/>
  <c r="N1358" i="107" s="1"/>
  <c r="H1718" i="120" s="1"/>
  <c r="M1347" i="107"/>
  <c r="M1358" i="107" s="1"/>
  <c r="G1718" i="120" s="1"/>
  <c r="L1347" i="107"/>
  <c r="L1358" i="107" s="1"/>
  <c r="F1718" i="120" s="1"/>
  <c r="I1358" i="107"/>
  <c r="H1667" i="119" s="1"/>
  <c r="L440" i="107"/>
  <c r="F559" i="120" s="1"/>
  <c r="Q1347" i="107"/>
  <c r="K1707" i="120" s="1"/>
  <c r="P1347" i="107"/>
  <c r="P1358" i="107" s="1"/>
  <c r="J1718" i="120" s="1"/>
  <c r="O1347" i="107"/>
  <c r="O1358" i="107" s="1"/>
  <c r="I1718" i="120" s="1"/>
  <c r="J1358" i="107"/>
  <c r="D1718" i="120" s="1"/>
  <c r="N1357" i="107"/>
  <c r="H1717" i="120" s="1"/>
  <c r="K1347" i="107"/>
  <c r="K1358" i="107" s="1"/>
  <c r="E1718" i="120" s="1"/>
  <c r="J310" i="161"/>
  <c r="P311" i="161"/>
  <c r="M311" i="161"/>
  <c r="L311" i="161"/>
  <c r="K311" i="161"/>
  <c r="O311" i="161"/>
  <c r="N311" i="161"/>
  <c r="Q311" i="161"/>
  <c r="F447" i="100"/>
  <c r="F1230" i="107" s="1"/>
  <c r="E1524" i="119" s="1"/>
  <c r="P437" i="107"/>
  <c r="J556" i="120" s="1"/>
  <c r="Q1079" i="107"/>
  <c r="K1345" i="120" s="1"/>
  <c r="Q883" i="107"/>
  <c r="K1048" i="120" s="1"/>
  <c r="Q374" i="107"/>
  <c r="K452" i="120" s="1"/>
  <c r="P289" i="107"/>
  <c r="J316" i="120" s="1"/>
  <c r="N946" i="107"/>
  <c r="H1134" i="120" s="1"/>
  <c r="K946" i="107"/>
  <c r="E1134" i="120" s="1"/>
  <c r="P946" i="107"/>
  <c r="P951" i="107" s="1"/>
  <c r="J1150" i="120" s="1"/>
  <c r="Q121" i="107"/>
  <c r="K138" i="120" s="1"/>
  <c r="L289" i="107"/>
  <c r="F316" i="120" s="1"/>
  <c r="M289" i="107"/>
  <c r="G316" i="120" s="1"/>
  <c r="L121" i="107"/>
  <c r="F138" i="120" s="1"/>
  <c r="J125" i="107"/>
  <c r="D142" i="120" s="1"/>
  <c r="N289" i="107"/>
  <c r="H316" i="120" s="1"/>
  <c r="P121" i="107"/>
  <c r="J138" i="120" s="1"/>
  <c r="O121" i="107"/>
  <c r="I138" i="120" s="1"/>
  <c r="N121" i="107"/>
  <c r="H138" i="120" s="1"/>
  <c r="F761" i="107"/>
  <c r="E880" i="119" s="1"/>
  <c r="Q290" i="107"/>
  <c r="K317" i="120" s="1"/>
  <c r="N290" i="107"/>
  <c r="H317" i="120" s="1"/>
  <c r="M290" i="107"/>
  <c r="G317" i="120" s="1"/>
  <c r="Q289" i="107"/>
  <c r="K316" i="120" s="1"/>
  <c r="O289" i="107"/>
  <c r="I316" i="120" s="1"/>
  <c r="N883" i="107"/>
  <c r="H1048" i="120" s="1"/>
  <c r="O374" i="107"/>
  <c r="I452" i="120" s="1"/>
  <c r="E281" i="119"/>
  <c r="G311" i="107"/>
  <c r="F281" i="119" s="1"/>
  <c r="K290" i="107"/>
  <c r="E317" i="120" s="1"/>
  <c r="K289" i="107"/>
  <c r="E316" i="120" s="1"/>
  <c r="K530" i="120"/>
  <c r="K121" i="107"/>
  <c r="E138" i="120" s="1"/>
  <c r="H1378" i="119"/>
  <c r="E134" i="120"/>
  <c r="H1644" i="119"/>
  <c r="K883" i="107"/>
  <c r="E1048" i="120" s="1"/>
  <c r="Q946" i="107"/>
  <c r="Q951" i="107" s="1"/>
  <c r="K1150" i="120" s="1"/>
  <c r="M1335" i="107"/>
  <c r="G1695" i="120" s="1"/>
  <c r="H311" i="107"/>
  <c r="J311" i="107" s="1"/>
  <c r="M374" i="107"/>
  <c r="G452" i="120" s="1"/>
  <c r="Q437" i="107"/>
  <c r="K556" i="120" s="1"/>
  <c r="O883" i="107"/>
  <c r="I1048" i="120" s="1"/>
  <c r="O437" i="107"/>
  <c r="I556" i="120" s="1"/>
  <c r="L437" i="107"/>
  <c r="F556" i="120" s="1"/>
  <c r="AI18" i="115"/>
  <c r="K1142" i="107"/>
  <c r="E1449" i="120" s="1"/>
  <c r="P1079" i="107"/>
  <c r="J1345" i="120" s="1"/>
  <c r="M1142" i="107"/>
  <c r="G1449" i="120" s="1"/>
  <c r="L1079" i="107"/>
  <c r="F1345" i="120" s="1"/>
  <c r="O1079" i="107"/>
  <c r="I1345" i="120" s="1"/>
  <c r="K1079" i="107"/>
  <c r="E1345" i="120" s="1"/>
  <c r="M1079" i="107"/>
  <c r="G1345" i="120" s="1"/>
  <c r="P1142" i="107"/>
  <c r="J1449" i="120" s="1"/>
  <c r="Q1142" i="107"/>
  <c r="K1449" i="120" s="1"/>
  <c r="N1142" i="107"/>
  <c r="H1449" i="120" s="1"/>
  <c r="P146" i="107"/>
  <c r="J163" i="120" s="1"/>
  <c r="J162" i="120"/>
  <c r="L146" i="107"/>
  <c r="F163" i="120" s="1"/>
  <c r="F162" i="120"/>
  <c r="N146" i="107"/>
  <c r="H163" i="120" s="1"/>
  <c r="H162" i="120"/>
  <c r="Q146" i="107"/>
  <c r="K163" i="120" s="1"/>
  <c r="K162" i="120"/>
  <c r="O146" i="107"/>
  <c r="I163" i="120" s="1"/>
  <c r="I162" i="120"/>
  <c r="K146" i="107"/>
  <c r="E162" i="120"/>
  <c r="M146" i="107"/>
  <c r="G163" i="120" s="1"/>
  <c r="G162" i="120"/>
  <c r="O1142" i="107"/>
  <c r="I1449" i="120" s="1"/>
  <c r="L1142" i="107"/>
  <c r="F1449" i="120" s="1"/>
  <c r="M437" i="107"/>
  <c r="G556" i="120" s="1"/>
  <c r="N437" i="107"/>
  <c r="H556" i="120" s="1"/>
  <c r="G1359" i="107"/>
  <c r="F1668" i="119" s="1"/>
  <c r="F1657" i="119"/>
  <c r="G1349" i="107"/>
  <c r="F1658" i="119" s="1"/>
  <c r="G482" i="107"/>
  <c r="F579" i="119" s="1"/>
  <c r="F576" i="119"/>
  <c r="I1348" i="107"/>
  <c r="H1657" i="119" s="1"/>
  <c r="H1359" i="107"/>
  <c r="G1657" i="119"/>
  <c r="H1349" i="107"/>
  <c r="J1348" i="107"/>
  <c r="M1353" i="107"/>
  <c r="G1713" i="120" s="1"/>
  <c r="O946" i="107"/>
  <c r="I1134" i="120" s="1"/>
  <c r="N374" i="107"/>
  <c r="H452" i="120" s="1"/>
  <c r="G1434" i="107"/>
  <c r="F1778" i="119" s="1"/>
  <c r="F1227" i="119"/>
  <c r="H1434" i="107"/>
  <c r="G1778" i="119" s="1"/>
  <c r="G1227" i="119"/>
  <c r="J1040" i="107"/>
  <c r="G576" i="119"/>
  <c r="H482" i="107"/>
  <c r="J479" i="107"/>
  <c r="G557" i="120"/>
  <c r="J557" i="120"/>
  <c r="M431" i="107"/>
  <c r="G532" i="120" s="1"/>
  <c r="G529" i="120"/>
  <c r="H557" i="120"/>
  <c r="F557" i="120"/>
  <c r="I557" i="120"/>
  <c r="E557" i="120"/>
  <c r="Q431" i="107"/>
  <c r="K532" i="120" s="1"/>
  <c r="K529" i="120"/>
  <c r="J1148" i="107"/>
  <c r="D1455" i="120" s="1"/>
  <c r="P431" i="107"/>
  <c r="J532" i="120" s="1"/>
  <c r="J529" i="120"/>
  <c r="N431" i="107"/>
  <c r="H532" i="120" s="1"/>
  <c r="H529" i="120"/>
  <c r="L431" i="107"/>
  <c r="F532" i="120" s="1"/>
  <c r="F529" i="120"/>
  <c r="O431" i="107"/>
  <c r="I532" i="120" s="1"/>
  <c r="I529" i="120"/>
  <c r="K431" i="107"/>
  <c r="E532" i="120" s="1"/>
  <c r="E529" i="120"/>
  <c r="K557" i="120"/>
  <c r="M440" i="107"/>
  <c r="G559" i="120" s="1"/>
  <c r="G530" i="120"/>
  <c r="O440" i="107"/>
  <c r="I559" i="120" s="1"/>
  <c r="I530" i="120"/>
  <c r="M142" i="107"/>
  <c r="G157" i="120"/>
  <c r="N142" i="107"/>
  <c r="H159" i="120" s="1"/>
  <c r="H157" i="120"/>
  <c r="Q142" i="107"/>
  <c r="K159" i="120" s="1"/>
  <c r="K150" i="107"/>
  <c r="E148" i="120"/>
  <c r="P150" i="107"/>
  <c r="J148" i="120"/>
  <c r="Q150" i="107"/>
  <c r="K148" i="120"/>
  <c r="O150" i="107"/>
  <c r="I148" i="120"/>
  <c r="I157" i="120"/>
  <c r="J625" i="107"/>
  <c r="D167" i="120"/>
  <c r="N150" i="107"/>
  <c r="H148" i="120"/>
  <c r="L150" i="107"/>
  <c r="F148" i="120"/>
  <c r="M150" i="107"/>
  <c r="G148" i="120"/>
  <c r="K137" i="120"/>
  <c r="G712" i="107"/>
  <c r="F738" i="119"/>
  <c r="Q1335" i="107"/>
  <c r="K1695" i="120" s="1"/>
  <c r="K1692" i="120"/>
  <c r="P1353" i="107"/>
  <c r="J1713" i="120" s="1"/>
  <c r="J1692" i="120"/>
  <c r="K1335" i="107"/>
  <c r="E1695" i="120" s="1"/>
  <c r="E1692" i="120"/>
  <c r="N1353" i="107"/>
  <c r="H1713" i="120" s="1"/>
  <c r="H1692" i="120"/>
  <c r="L1353" i="107"/>
  <c r="F1713" i="120" s="1"/>
  <c r="F1692" i="120"/>
  <c r="O1335" i="107"/>
  <c r="I1695" i="120" s="1"/>
  <c r="I1692" i="120"/>
  <c r="I147" i="107"/>
  <c r="H105" i="119" s="1"/>
  <c r="G105" i="119"/>
  <c r="N1335" i="107"/>
  <c r="H1695" i="120" s="1"/>
  <c r="I53" i="93"/>
  <c r="I58" i="93" s="1"/>
  <c r="N257" i="92"/>
  <c r="K1353" i="107"/>
  <c r="E1713" i="120" s="1"/>
  <c r="P1335" i="107"/>
  <c r="J1695" i="120" s="1"/>
  <c r="O1353" i="107"/>
  <c r="I1713" i="120" s="1"/>
  <c r="Q1353" i="107"/>
  <c r="K1713" i="120" s="1"/>
  <c r="L1335" i="107"/>
  <c r="F1695" i="120" s="1"/>
  <c r="J147" i="107"/>
  <c r="D164" i="120" s="1"/>
  <c r="H44" i="94"/>
  <c r="F39" i="102"/>
  <c r="F65" i="110"/>
  <c r="O70" i="96"/>
  <c r="F88" i="100" s="1"/>
  <c r="L1145" i="107"/>
  <c r="L1135" i="107"/>
  <c r="F1425" i="120" s="1"/>
  <c r="P1145" i="107"/>
  <c r="P1135" i="107"/>
  <c r="J1425" i="120" s="1"/>
  <c r="N1145" i="107"/>
  <c r="N1135" i="107"/>
  <c r="H1425" i="120" s="1"/>
  <c r="K1145" i="107"/>
  <c r="K1135" i="107"/>
  <c r="E1425" i="120" s="1"/>
  <c r="E52" i="105"/>
  <c r="E59" i="105"/>
  <c r="F59" i="105" s="1"/>
  <c r="E53" i="105"/>
  <c r="F53" i="105" s="1"/>
  <c r="E54" i="105"/>
  <c r="F54" i="105" s="1"/>
  <c r="E56" i="105"/>
  <c r="F56" i="105" s="1"/>
  <c r="E57" i="105"/>
  <c r="F57" i="105" s="1"/>
  <c r="E58" i="105"/>
  <c r="F58" i="105" s="1"/>
  <c r="O1145" i="107"/>
  <c r="O1135" i="107"/>
  <c r="I1425" i="120" s="1"/>
  <c r="M1145" i="107"/>
  <c r="M1135" i="107"/>
  <c r="G1425" i="120" s="1"/>
  <c r="Q1145" i="107"/>
  <c r="Q1135" i="107"/>
  <c r="K1425" i="120" s="1"/>
  <c r="N70" i="96"/>
  <c r="F483" i="100"/>
  <c r="N263" i="92"/>
  <c r="J70" i="93"/>
  <c r="N65" i="93"/>
  <c r="M65" i="93" s="1"/>
  <c r="M45" i="93"/>
  <c r="K70" i="93"/>
  <c r="O239" i="92"/>
  <c r="M61" i="93"/>
  <c r="J255" i="92"/>
  <c r="N239" i="92"/>
  <c r="J239" i="92"/>
  <c r="H53" i="93"/>
  <c r="G77" i="93"/>
  <c r="F52" i="110"/>
  <c r="O69" i="153" s="1"/>
  <c r="M69" i="153" s="1"/>
  <c r="F51" i="110"/>
  <c r="K69" i="153" s="1"/>
  <c r="F54" i="110"/>
  <c r="T69" i="153" s="1"/>
  <c r="T71" i="153" s="1"/>
  <c r="F53" i="110"/>
  <c r="R69" i="153" s="1"/>
  <c r="O264" i="92"/>
  <c r="N262" i="92"/>
  <c r="K259" i="92"/>
  <c r="J259" i="92" s="1"/>
  <c r="M259" i="92" s="1"/>
  <c r="J45" i="93"/>
  <c r="N260" i="92"/>
  <c r="H712" i="107"/>
  <c r="G829" i="119" s="1"/>
  <c r="I625" i="107"/>
  <c r="H738" i="119" s="1"/>
  <c r="X136" i="92"/>
  <c r="X149" i="92"/>
  <c r="E76" i="88"/>
  <c r="H48" i="95"/>
  <c r="Z48" i="95"/>
  <c r="L48" i="95"/>
  <c r="J48" i="95"/>
  <c r="K48" i="95"/>
  <c r="I48" i="95"/>
  <c r="Q63" i="95"/>
  <c r="R176" i="92" s="1"/>
  <c r="W23" i="95"/>
  <c r="W60" i="95" s="1"/>
  <c r="X173" i="92" s="1"/>
  <c r="W36" i="95"/>
  <c r="W57" i="95" s="1"/>
  <c r="X170" i="92" s="1"/>
  <c r="O63" i="95"/>
  <c r="P176" i="92" s="1"/>
  <c r="M63" i="95"/>
  <c r="N176" i="92" s="1"/>
  <c r="AA161" i="92"/>
  <c r="I161" i="92"/>
  <c r="M161" i="92"/>
  <c r="K161" i="92"/>
  <c r="L161" i="92"/>
  <c r="J161" i="92"/>
  <c r="N63" i="95"/>
  <c r="O176" i="92" s="1"/>
  <c r="I60" i="94"/>
  <c r="I119" i="152" s="1"/>
  <c r="H21" i="94"/>
  <c r="J119" i="92"/>
  <c r="P63" i="95"/>
  <c r="Q176" i="92" s="1"/>
  <c r="F157" i="120" l="1"/>
  <c r="J157" i="120"/>
  <c r="H997" i="119"/>
  <c r="H1298" i="119"/>
  <c r="E157" i="120"/>
  <c r="E163" i="120"/>
  <c r="F291" i="107"/>
  <c r="E261" i="119" s="1"/>
  <c r="G287" i="107"/>
  <c r="H287" i="107"/>
  <c r="G257" i="119" s="1"/>
  <c r="F43" i="110"/>
  <c r="F87" i="151"/>
  <c r="F308" i="161" s="1"/>
  <c r="I308" i="161" s="1"/>
  <c r="G40" i="108"/>
  <c r="N71" i="153"/>
  <c r="I443" i="107"/>
  <c r="H506" i="119" s="1"/>
  <c r="J443" i="107"/>
  <c r="D562" i="120" s="1"/>
  <c r="L946" i="107"/>
  <c r="F1134" i="120" s="1"/>
  <c r="J951" i="107"/>
  <c r="D1150" i="120" s="1"/>
  <c r="L883" i="107"/>
  <c r="F1048" i="120" s="1"/>
  <c r="K437" i="107"/>
  <c r="E556" i="120" s="1"/>
  <c r="K374" i="107"/>
  <c r="E452" i="120" s="1"/>
  <c r="M946" i="107"/>
  <c r="M951" i="107" s="1"/>
  <c r="G1150" i="120" s="1"/>
  <c r="M883" i="107"/>
  <c r="G1048" i="120" s="1"/>
  <c r="F773" i="107"/>
  <c r="P295" i="107"/>
  <c r="J322" i="120" s="1"/>
  <c r="N295" i="107"/>
  <c r="H322" i="120" s="1"/>
  <c r="K295" i="107"/>
  <c r="E322" i="120" s="1"/>
  <c r="O295" i="107"/>
  <c r="I322" i="120" s="1"/>
  <c r="L295" i="107"/>
  <c r="F322" i="120" s="1"/>
  <c r="M295" i="107"/>
  <c r="G322" i="120" s="1"/>
  <c r="Q295" i="107"/>
  <c r="K322" i="120" s="1"/>
  <c r="I1148" i="107"/>
  <c r="H1408" i="119" s="1"/>
  <c r="I951" i="107"/>
  <c r="H1100" i="119" s="1"/>
  <c r="G119" i="152"/>
  <c r="J120" i="152" s="1"/>
  <c r="J95" i="152" s="1"/>
  <c r="J108" i="152" s="1"/>
  <c r="N286" i="161"/>
  <c r="N291" i="161" s="1"/>
  <c r="K286" i="161"/>
  <c r="K291" i="161" s="1"/>
  <c r="O286" i="161"/>
  <c r="O291" i="161" s="1"/>
  <c r="M286" i="161"/>
  <c r="M291" i="161" s="1"/>
  <c r="P286" i="161"/>
  <c r="P291" i="161" s="1"/>
  <c r="L286" i="161"/>
  <c r="L291" i="161" s="1"/>
  <c r="Q286" i="161"/>
  <c r="Q291" i="161" s="1"/>
  <c r="J291" i="161"/>
  <c r="W24" i="150"/>
  <c r="W37" i="150"/>
  <c r="X149" i="152"/>
  <c r="X136" i="152"/>
  <c r="E76" i="149"/>
  <c r="Q137" i="152"/>
  <c r="Q150" i="152"/>
  <c r="P24" i="150"/>
  <c r="P60" i="150" s="1"/>
  <c r="P37" i="150"/>
  <c r="P57" i="150" s="1"/>
  <c r="M161" i="152"/>
  <c r="AA161" i="152"/>
  <c r="I161" i="152"/>
  <c r="K161" i="152"/>
  <c r="J161" i="152"/>
  <c r="L161" i="152"/>
  <c r="O137" i="152"/>
  <c r="O150" i="152"/>
  <c r="Q24" i="150"/>
  <c r="Q60" i="150" s="1"/>
  <c r="R173" i="152" s="1"/>
  <c r="Q37" i="150"/>
  <c r="Q57" i="150" s="1"/>
  <c r="H48" i="150"/>
  <c r="Z48" i="150"/>
  <c r="J48" i="150"/>
  <c r="K48" i="150"/>
  <c r="I48" i="150"/>
  <c r="L48" i="150"/>
  <c r="R150" i="152"/>
  <c r="R137" i="152"/>
  <c r="O24" i="150"/>
  <c r="O60" i="150" s="1"/>
  <c r="O37" i="150"/>
  <c r="O57" i="150" s="1"/>
  <c r="W48" i="150"/>
  <c r="P150" i="152"/>
  <c r="P137" i="152"/>
  <c r="F51" i="150"/>
  <c r="M24" i="150"/>
  <c r="M60" i="150" s="1"/>
  <c r="M37" i="150"/>
  <c r="M57" i="150" s="1"/>
  <c r="N150" i="152"/>
  <c r="N137" i="152"/>
  <c r="N37" i="150"/>
  <c r="N57" i="150" s="1"/>
  <c r="N24" i="150"/>
  <c r="N60" i="150" s="1"/>
  <c r="F39" i="158"/>
  <c r="F483" i="151"/>
  <c r="G40" i="159"/>
  <c r="F1356" i="161"/>
  <c r="G1341" i="161"/>
  <c r="G1356" i="161" s="1"/>
  <c r="H1341" i="161"/>
  <c r="I1341" i="161" s="1"/>
  <c r="E53" i="166"/>
  <c r="F53" i="166" s="1"/>
  <c r="F445" i="151" s="1"/>
  <c r="F1228" i="161" s="1"/>
  <c r="E52" i="166"/>
  <c r="E56" i="166"/>
  <c r="F56" i="166" s="1"/>
  <c r="F448" i="151" s="1"/>
  <c r="F1231" i="161" s="1"/>
  <c r="E58" i="166"/>
  <c r="F58" i="166" s="1"/>
  <c r="F450" i="151" s="1"/>
  <c r="F1233" i="161" s="1"/>
  <c r="E54" i="166"/>
  <c r="F54" i="166" s="1"/>
  <c r="F446" i="151" s="1"/>
  <c r="F1229" i="161" s="1"/>
  <c r="E59" i="166"/>
  <c r="F59" i="166" s="1"/>
  <c r="F451" i="151" s="1"/>
  <c r="F1234" i="161" s="1"/>
  <c r="E57" i="166"/>
  <c r="F57" i="166" s="1"/>
  <c r="F449" i="151" s="1"/>
  <c r="F1232" i="161" s="1"/>
  <c r="G1707" i="120"/>
  <c r="P443" i="107"/>
  <c r="J562" i="120" s="1"/>
  <c r="O71" i="153"/>
  <c r="Q69" i="153"/>
  <c r="R71" i="153"/>
  <c r="M71" i="153"/>
  <c r="K71" i="153"/>
  <c r="J69" i="153"/>
  <c r="J71" i="153" s="1"/>
  <c r="M125" i="107"/>
  <c r="G142" i="120" s="1"/>
  <c r="P125" i="107"/>
  <c r="O266" i="152"/>
  <c r="J835" i="161"/>
  <c r="Q835" i="161"/>
  <c r="L125" i="107"/>
  <c r="P835" i="161"/>
  <c r="N835" i="161"/>
  <c r="F773" i="161"/>
  <c r="I761" i="161"/>
  <c r="N125" i="107"/>
  <c r="H142" i="120" s="1"/>
  <c r="K252" i="152"/>
  <c r="K266" i="152" s="1"/>
  <c r="N239" i="152"/>
  <c r="N252" i="152" s="1"/>
  <c r="J264" i="152"/>
  <c r="L53" i="93"/>
  <c r="L58" i="93" s="1"/>
  <c r="L72" i="93" s="1"/>
  <c r="N264" i="152"/>
  <c r="G272" i="92"/>
  <c r="M264" i="152"/>
  <c r="M240" i="152"/>
  <c r="M252" i="152" s="1"/>
  <c r="J252" i="152"/>
  <c r="L100" i="153"/>
  <c r="D23" i="152"/>
  <c r="L219" i="152"/>
  <c r="G272" i="152"/>
  <c r="M70" i="93"/>
  <c r="F43" i="100"/>
  <c r="F193" i="107" s="1"/>
  <c r="E150" i="119" s="1"/>
  <c r="F43" i="151"/>
  <c r="F193" i="161" s="1"/>
  <c r="F1707" i="120"/>
  <c r="N951" i="107"/>
  <c r="H1150" i="120" s="1"/>
  <c r="K951" i="107"/>
  <c r="E1150" i="120" s="1"/>
  <c r="K310" i="107"/>
  <c r="E337" i="120" s="1"/>
  <c r="K125" i="107"/>
  <c r="O125" i="107"/>
  <c r="H1707" i="120"/>
  <c r="Q310" i="107"/>
  <c r="K337" i="120" s="1"/>
  <c r="I309" i="161"/>
  <c r="G309" i="161"/>
  <c r="H309" i="161"/>
  <c r="J309" i="161" s="1"/>
  <c r="Q125" i="107"/>
  <c r="K142" i="120" s="1"/>
  <c r="M310" i="107"/>
  <c r="G337" i="120" s="1"/>
  <c r="L310" i="107"/>
  <c r="F337" i="120" s="1"/>
  <c r="N310" i="107"/>
  <c r="H337" i="120" s="1"/>
  <c r="P310" i="107"/>
  <c r="J337" i="120" s="1"/>
  <c r="O310" i="107"/>
  <c r="I337" i="120" s="1"/>
  <c r="Q1358" i="107"/>
  <c r="K1718" i="120" s="1"/>
  <c r="I1707" i="120"/>
  <c r="J1707" i="120"/>
  <c r="E1707" i="120"/>
  <c r="G281" i="119"/>
  <c r="K310" i="161"/>
  <c r="L310" i="161"/>
  <c r="P310" i="161"/>
  <c r="Q310" i="161"/>
  <c r="O310" i="161"/>
  <c r="N310" i="161"/>
  <c r="M310" i="161"/>
  <c r="F448" i="100"/>
  <c r="F1231" i="107" s="1"/>
  <c r="E1525" i="119" s="1"/>
  <c r="F446" i="100"/>
  <c r="F1229" i="107" s="1"/>
  <c r="E1523" i="119" s="1"/>
  <c r="F449" i="100"/>
  <c r="F1232" i="107" s="1"/>
  <c r="E1526" i="119" s="1"/>
  <c r="F451" i="100"/>
  <c r="F1234" i="107" s="1"/>
  <c r="E1528" i="119" s="1"/>
  <c r="H1230" i="161"/>
  <c r="J1230" i="161" s="1"/>
  <c r="G1230" i="161"/>
  <c r="F445" i="100"/>
  <c r="F1228" i="107" s="1"/>
  <c r="E1522" i="119" s="1"/>
  <c r="F450" i="100"/>
  <c r="F1233" i="107" s="1"/>
  <c r="E1527" i="119" s="1"/>
  <c r="J1134" i="120"/>
  <c r="G1230" i="107"/>
  <c r="F1524" i="119" s="1"/>
  <c r="H1230" i="107"/>
  <c r="J1230" i="107" s="1"/>
  <c r="D1571" i="120" s="1"/>
  <c r="K1134" i="120"/>
  <c r="Q443" i="107"/>
  <c r="K562" i="120" s="1"/>
  <c r="F1356" i="107"/>
  <c r="E1665" i="119" s="1"/>
  <c r="G1341" i="107"/>
  <c r="G1356" i="107" s="1"/>
  <c r="F1665" i="119" s="1"/>
  <c r="H1341" i="107"/>
  <c r="G1650" i="119" s="1"/>
  <c r="P147" i="107"/>
  <c r="J164" i="120" s="1"/>
  <c r="K147" i="107"/>
  <c r="Q147" i="107"/>
  <c r="N147" i="107"/>
  <c r="L147" i="107"/>
  <c r="F164" i="120" s="1"/>
  <c r="O951" i="107"/>
  <c r="I1150" i="120" s="1"/>
  <c r="L443" i="107"/>
  <c r="F562" i="120" s="1"/>
  <c r="F309" i="107"/>
  <c r="E279" i="119" s="1"/>
  <c r="F1340" i="107"/>
  <c r="E1649" i="119" s="1"/>
  <c r="N443" i="107"/>
  <c r="H562" i="120" s="1"/>
  <c r="D631" i="120"/>
  <c r="N479" i="107"/>
  <c r="P479" i="107"/>
  <c r="O479" i="107"/>
  <c r="J482" i="107"/>
  <c r="D634" i="120" s="1"/>
  <c r="Q479" i="107"/>
  <c r="K479" i="107"/>
  <c r="L479" i="107"/>
  <c r="M479" i="107"/>
  <c r="G1658" i="119"/>
  <c r="I1349" i="107"/>
  <c r="G1668" i="119"/>
  <c r="I1359" i="107"/>
  <c r="H1668" i="119" s="1"/>
  <c r="I482" i="107"/>
  <c r="H579" i="119" s="1"/>
  <c r="G579" i="119"/>
  <c r="D1274" i="120"/>
  <c r="Q1040" i="107"/>
  <c r="M1040" i="107"/>
  <c r="K1040" i="107"/>
  <c r="P1040" i="107"/>
  <c r="O1040" i="107"/>
  <c r="N1040" i="107"/>
  <c r="J1434" i="107"/>
  <c r="D1833" i="120" s="1"/>
  <c r="L1040" i="107"/>
  <c r="D338" i="120"/>
  <c r="L311" i="107"/>
  <c r="F338" i="120" s="1"/>
  <c r="O311" i="107"/>
  <c r="I338" i="120" s="1"/>
  <c r="M311" i="107"/>
  <c r="G338" i="120" s="1"/>
  <c r="K311" i="107"/>
  <c r="E338" i="120" s="1"/>
  <c r="N311" i="107"/>
  <c r="H338" i="120" s="1"/>
  <c r="Q311" i="107"/>
  <c r="K338" i="120" s="1"/>
  <c r="P311" i="107"/>
  <c r="J338" i="120" s="1"/>
  <c r="D1708" i="120"/>
  <c r="M1348" i="107"/>
  <c r="N1348" i="107"/>
  <c r="L1348" i="107"/>
  <c r="K1348" i="107"/>
  <c r="O1348" i="107"/>
  <c r="Q1348" i="107"/>
  <c r="J1359" i="107"/>
  <c r="D1719" i="120" s="1"/>
  <c r="J1349" i="107"/>
  <c r="D1709" i="120" s="1"/>
  <c r="P1348" i="107"/>
  <c r="O1148" i="107"/>
  <c r="I1455" i="120" s="1"/>
  <c r="I1452" i="120"/>
  <c r="P1148" i="107"/>
  <c r="J1455" i="120" s="1"/>
  <c r="J1452" i="120"/>
  <c r="L1148" i="107"/>
  <c r="F1455" i="120" s="1"/>
  <c r="F1452" i="120"/>
  <c r="Q1148" i="107"/>
  <c r="K1455" i="120" s="1"/>
  <c r="K1452" i="120"/>
  <c r="M1148" i="107"/>
  <c r="G1455" i="120" s="1"/>
  <c r="G1452" i="120"/>
  <c r="K1148" i="107"/>
  <c r="E1455" i="120" s="1"/>
  <c r="E1452" i="120"/>
  <c r="N1148" i="107"/>
  <c r="H1455" i="120" s="1"/>
  <c r="H1452" i="120"/>
  <c r="O443" i="107"/>
  <c r="I562" i="120" s="1"/>
  <c r="M443" i="107"/>
  <c r="G562" i="120" s="1"/>
  <c r="N259" i="92"/>
  <c r="N264" i="92" s="1"/>
  <c r="G291" i="107"/>
  <c r="F261" i="119" s="1"/>
  <c r="F257" i="119"/>
  <c r="G761" i="107"/>
  <c r="F829" i="119"/>
  <c r="M625" i="107"/>
  <c r="G167" i="120"/>
  <c r="L625" i="107"/>
  <c r="F167" i="120"/>
  <c r="N625" i="107"/>
  <c r="H167" i="120"/>
  <c r="J712" i="107"/>
  <c r="D792" i="120"/>
  <c r="O147" i="107"/>
  <c r="I159" i="120"/>
  <c r="O625" i="107"/>
  <c r="I167" i="120"/>
  <c r="Q625" i="107"/>
  <c r="K167" i="120"/>
  <c r="P625" i="107"/>
  <c r="J167" i="120"/>
  <c r="K625" i="107"/>
  <c r="E167" i="120"/>
  <c r="M147" i="107"/>
  <c r="G159" i="120"/>
  <c r="F87" i="100"/>
  <c r="M70" i="96"/>
  <c r="N71" i="96"/>
  <c r="E60" i="105"/>
  <c r="F52" i="105"/>
  <c r="K264" i="92"/>
  <c r="O69" i="96"/>
  <c r="F64" i="110"/>
  <c r="J264" i="92"/>
  <c r="M255" i="92"/>
  <c r="M264" i="92" s="1"/>
  <c r="N70" i="93"/>
  <c r="F56" i="110"/>
  <c r="F62" i="110"/>
  <c r="K69" i="96"/>
  <c r="I287" i="107"/>
  <c r="H257" i="119" s="1"/>
  <c r="J287" i="107"/>
  <c r="D314" i="120" s="1"/>
  <c r="H291" i="107"/>
  <c r="K53" i="93"/>
  <c r="N53" i="93" s="1"/>
  <c r="H58" i="93"/>
  <c r="I72" i="93"/>
  <c r="R69" i="96"/>
  <c r="F66" i="110"/>
  <c r="M239" i="92"/>
  <c r="L247" i="92"/>
  <c r="I252" i="92"/>
  <c r="I266" i="92" s="1"/>
  <c r="T69" i="96"/>
  <c r="T71" i="96" s="1"/>
  <c r="F68" i="110"/>
  <c r="H761" i="107"/>
  <c r="G880" i="119" s="1"/>
  <c r="I712" i="107"/>
  <c r="H829" i="119" s="1"/>
  <c r="L149" i="92"/>
  <c r="L136" i="92"/>
  <c r="K23" i="95"/>
  <c r="K60" i="95" s="1"/>
  <c r="L173" i="92" s="1"/>
  <c r="K36" i="95"/>
  <c r="K57" i="95" s="1"/>
  <c r="L170" i="92" s="1"/>
  <c r="H36" i="95"/>
  <c r="H57" i="95" s="1"/>
  <c r="I170" i="92" s="1"/>
  <c r="H23" i="95"/>
  <c r="H60" i="95" s="1"/>
  <c r="I173" i="92" s="1"/>
  <c r="F48" i="95"/>
  <c r="K136" i="92"/>
  <c r="K149" i="92"/>
  <c r="W63" i="95"/>
  <c r="X176" i="92" s="1"/>
  <c r="J36" i="95"/>
  <c r="J57" i="95" s="1"/>
  <c r="K170" i="92" s="1"/>
  <c r="J23" i="95"/>
  <c r="J60" i="95" s="1"/>
  <c r="K173" i="92" s="1"/>
  <c r="M149" i="92"/>
  <c r="M136" i="92"/>
  <c r="L23" i="95"/>
  <c r="L60" i="95" s="1"/>
  <c r="M173" i="92" s="1"/>
  <c r="L36" i="95"/>
  <c r="L57" i="95" s="1"/>
  <c r="M170" i="92" s="1"/>
  <c r="I119" i="92"/>
  <c r="H60" i="94"/>
  <c r="J149" i="92"/>
  <c r="J136" i="92"/>
  <c r="I149" i="92"/>
  <c r="I136" i="92"/>
  <c r="G161" i="92"/>
  <c r="I23" i="95"/>
  <c r="I60" i="95" s="1"/>
  <c r="J173" i="92" s="1"/>
  <c r="I36" i="95"/>
  <c r="I57" i="95" s="1"/>
  <c r="J170" i="92" s="1"/>
  <c r="Z23" i="95"/>
  <c r="Z60" i="95" s="1"/>
  <c r="AA173" i="92" s="1"/>
  <c r="Z36" i="95"/>
  <c r="Z35" i="95"/>
  <c r="E164" i="120" l="1"/>
  <c r="F314" i="161"/>
  <c r="I314" i="161" s="1"/>
  <c r="H308" i="161"/>
  <c r="J308" i="161" s="1"/>
  <c r="G308" i="161"/>
  <c r="K443" i="107"/>
  <c r="E562" i="120" s="1"/>
  <c r="L951" i="107"/>
  <c r="F1150" i="120" s="1"/>
  <c r="E892" i="119"/>
  <c r="F800" i="107"/>
  <c r="E918" i="119" s="1"/>
  <c r="G1134" i="120"/>
  <c r="K120" i="152"/>
  <c r="K95" i="152" s="1"/>
  <c r="K108" i="152" s="1"/>
  <c r="N120" i="152"/>
  <c r="N95" i="152" s="1"/>
  <c r="N108" i="152" s="1"/>
  <c r="M120" i="152"/>
  <c r="M95" i="152" s="1"/>
  <c r="I120" i="152"/>
  <c r="I95" i="152" s="1"/>
  <c r="O170" i="152"/>
  <c r="N63" i="150"/>
  <c r="I23" i="150"/>
  <c r="I60" i="150" s="1"/>
  <c r="I36" i="150"/>
  <c r="I57" i="150" s="1"/>
  <c r="Q173" i="152"/>
  <c r="K23" i="150"/>
  <c r="K60" i="150" s="1"/>
  <c r="K36" i="150"/>
  <c r="K57" i="150" s="1"/>
  <c r="L136" i="152"/>
  <c r="L149" i="152"/>
  <c r="W23" i="150"/>
  <c r="W60" i="150" s="1"/>
  <c r="W36" i="150"/>
  <c r="W57" i="150" s="1"/>
  <c r="J23" i="150"/>
  <c r="J60" i="150" s="1"/>
  <c r="J36" i="150"/>
  <c r="J57" i="150" s="1"/>
  <c r="J136" i="152"/>
  <c r="J149" i="152"/>
  <c r="P170" i="152"/>
  <c r="O63" i="150"/>
  <c r="Z36" i="150"/>
  <c r="Z35" i="150"/>
  <c r="Z23" i="150"/>
  <c r="Z60" i="150" s="1"/>
  <c r="K136" i="152"/>
  <c r="K149" i="152"/>
  <c r="N170" i="152"/>
  <c r="M63" i="150"/>
  <c r="N176" i="152" s="1"/>
  <c r="P173" i="152"/>
  <c r="H23" i="150"/>
  <c r="H60" i="150" s="1"/>
  <c r="H36" i="150"/>
  <c r="H57" i="150" s="1"/>
  <c r="F48" i="150"/>
  <c r="I149" i="152"/>
  <c r="G161" i="152"/>
  <c r="I136" i="152"/>
  <c r="N173" i="152"/>
  <c r="R170" i="152"/>
  <c r="Q63" i="150"/>
  <c r="M136" i="152"/>
  <c r="M149" i="152"/>
  <c r="O173" i="152"/>
  <c r="L36" i="150"/>
  <c r="L57" i="150" s="1"/>
  <c r="L23" i="150"/>
  <c r="L60" i="150" s="1"/>
  <c r="Q170" i="152"/>
  <c r="P63" i="150"/>
  <c r="J142" i="120"/>
  <c r="E60" i="166"/>
  <c r="F52" i="166"/>
  <c r="J1341" i="161"/>
  <c r="H1356" i="161"/>
  <c r="I1356" i="161" s="1"/>
  <c r="F1340" i="161"/>
  <c r="P69" i="153"/>
  <c r="P71" i="153" s="1"/>
  <c r="Q71" i="153"/>
  <c r="F142" i="120"/>
  <c r="F800" i="161"/>
  <c r="I800" i="161" s="1"/>
  <c r="I773" i="161"/>
  <c r="F835" i="161"/>
  <c r="I835" i="161" s="1"/>
  <c r="N266" i="152"/>
  <c r="J266" i="152"/>
  <c r="O53" i="93"/>
  <c r="O58" i="93" s="1"/>
  <c r="O72" i="93" s="1"/>
  <c r="M266" i="152"/>
  <c r="F42" i="100"/>
  <c r="F42" i="151"/>
  <c r="D28" i="158"/>
  <c r="D47" i="159"/>
  <c r="D28" i="155"/>
  <c r="L100" i="96"/>
  <c r="D23" i="92"/>
  <c r="F261" i="161"/>
  <c r="H193" i="161"/>
  <c r="G193" i="161"/>
  <c r="G261" i="161" s="1"/>
  <c r="I142" i="120"/>
  <c r="E142" i="120"/>
  <c r="K164" i="120"/>
  <c r="O309" i="161"/>
  <c r="K309" i="161"/>
  <c r="N309" i="161"/>
  <c r="Q309" i="161"/>
  <c r="P309" i="161"/>
  <c r="M309" i="161"/>
  <c r="L309" i="161"/>
  <c r="I1230" i="161"/>
  <c r="G1232" i="161"/>
  <c r="H1232" i="161"/>
  <c r="J1232" i="161" s="1"/>
  <c r="H1233" i="161"/>
  <c r="J1233" i="161" s="1"/>
  <c r="G1233" i="161"/>
  <c r="N1230" i="161"/>
  <c r="M1230" i="161"/>
  <c r="L1230" i="161"/>
  <c r="Q1230" i="161"/>
  <c r="P1230" i="161"/>
  <c r="K1230" i="161"/>
  <c r="O1230" i="161"/>
  <c r="H1229" i="161"/>
  <c r="J1229" i="161" s="1"/>
  <c r="G1229" i="161"/>
  <c r="H1228" i="161"/>
  <c r="J1228" i="161" s="1"/>
  <c r="G1228" i="161"/>
  <c r="I1234" i="161"/>
  <c r="G1234" i="161"/>
  <c r="H1234" i="161"/>
  <c r="J1234" i="161" s="1"/>
  <c r="G1524" i="119"/>
  <c r="G1231" i="161"/>
  <c r="H1231" i="161"/>
  <c r="J1231" i="161" s="1"/>
  <c r="I1230" i="107"/>
  <c r="H1524" i="119" s="1"/>
  <c r="H1340" i="107"/>
  <c r="G1649" i="119" s="1"/>
  <c r="J1341" i="107"/>
  <c r="D1701" i="120" s="1"/>
  <c r="F1355" i="107"/>
  <c r="E1664" i="119" s="1"/>
  <c r="F1342" i="107"/>
  <c r="E1651" i="119" s="1"/>
  <c r="F1650" i="119"/>
  <c r="G1340" i="107"/>
  <c r="F1649" i="119" s="1"/>
  <c r="I1341" i="107"/>
  <c r="H1650" i="119" s="1"/>
  <c r="H1356" i="107"/>
  <c r="G1665" i="119" s="1"/>
  <c r="H164" i="120"/>
  <c r="H309" i="107"/>
  <c r="G279" i="119" s="1"/>
  <c r="I309" i="107"/>
  <c r="H279" i="119" s="1"/>
  <c r="G309" i="107"/>
  <c r="F279" i="119" s="1"/>
  <c r="H1231" i="107"/>
  <c r="G1525" i="119" s="1"/>
  <c r="G1233" i="107"/>
  <c r="F1527" i="119" s="1"/>
  <c r="H1233" i="107"/>
  <c r="J1233" i="107" s="1"/>
  <c r="D1574" i="120" s="1"/>
  <c r="H1232" i="107"/>
  <c r="G1526" i="119" s="1"/>
  <c r="H1228" i="107"/>
  <c r="J1228" i="107" s="1"/>
  <c r="D1569" i="120" s="1"/>
  <c r="G1231" i="107"/>
  <c r="F1525" i="119" s="1"/>
  <c r="H1229" i="107"/>
  <c r="J1229" i="107" s="1"/>
  <c r="G1229" i="107"/>
  <c r="F1523" i="119" s="1"/>
  <c r="I1234" i="107"/>
  <c r="H1528" i="119" s="1"/>
  <c r="H1234" i="107"/>
  <c r="G1528" i="119" s="1"/>
  <c r="G1232" i="107"/>
  <c r="F1526" i="119" s="1"/>
  <c r="G1228" i="107"/>
  <c r="F1522" i="119" s="1"/>
  <c r="G1234" i="107"/>
  <c r="F1528" i="119" s="1"/>
  <c r="G164" i="120"/>
  <c r="I164" i="120"/>
  <c r="H1658" i="119"/>
  <c r="P1230" i="107"/>
  <c r="J1571" i="120" s="1"/>
  <c r="F308" i="107"/>
  <c r="E278" i="119" s="1"/>
  <c r="O1230" i="107"/>
  <c r="I1571" i="120" s="1"/>
  <c r="L1230" i="107"/>
  <c r="F1571" i="120" s="1"/>
  <c r="Q1230" i="107"/>
  <c r="K1571" i="120" s="1"/>
  <c r="M1230" i="107"/>
  <c r="G1571" i="120" s="1"/>
  <c r="K1230" i="107"/>
  <c r="E1571" i="120" s="1"/>
  <c r="N1230" i="107"/>
  <c r="H1571" i="120" s="1"/>
  <c r="J1708" i="120"/>
  <c r="P1349" i="107"/>
  <c r="J1709" i="120" s="1"/>
  <c r="P1359" i="107"/>
  <c r="J1719" i="120" s="1"/>
  <c r="I1708" i="120"/>
  <c r="O1359" i="107"/>
  <c r="I1719" i="120" s="1"/>
  <c r="O1349" i="107"/>
  <c r="I1709" i="120" s="1"/>
  <c r="F1708" i="120"/>
  <c r="L1349" i="107"/>
  <c r="F1709" i="120" s="1"/>
  <c r="L1359" i="107"/>
  <c r="F1719" i="120" s="1"/>
  <c r="G1708" i="120"/>
  <c r="M1349" i="107"/>
  <c r="G1709" i="120" s="1"/>
  <c r="M1359" i="107"/>
  <c r="G1719" i="120" s="1"/>
  <c r="L1434" i="107"/>
  <c r="F1833" i="120" s="1"/>
  <c r="F1274" i="120"/>
  <c r="N1434" i="107"/>
  <c r="H1833" i="120" s="1"/>
  <c r="H1274" i="120"/>
  <c r="P1434" i="107"/>
  <c r="J1833" i="120" s="1"/>
  <c r="J1274" i="120"/>
  <c r="M1434" i="107"/>
  <c r="G1833" i="120" s="1"/>
  <c r="G1274" i="120"/>
  <c r="L482" i="107"/>
  <c r="F634" i="120" s="1"/>
  <c r="F631" i="120"/>
  <c r="Q482" i="107"/>
  <c r="K634" i="120" s="1"/>
  <c r="K631" i="120"/>
  <c r="O482" i="107"/>
  <c r="I634" i="120" s="1"/>
  <c r="I631" i="120"/>
  <c r="N482" i="107"/>
  <c r="H634" i="120" s="1"/>
  <c r="H631" i="120"/>
  <c r="K1708" i="120"/>
  <c r="Q1359" i="107"/>
  <c r="K1719" i="120" s="1"/>
  <c r="Q1349" i="107"/>
  <c r="K1709" i="120" s="1"/>
  <c r="K1359" i="107"/>
  <c r="E1719" i="120" s="1"/>
  <c r="E1708" i="120"/>
  <c r="K1349" i="107"/>
  <c r="E1709" i="120" s="1"/>
  <c r="H1708" i="120"/>
  <c r="N1359" i="107"/>
  <c r="H1719" i="120" s="1"/>
  <c r="N1349" i="107"/>
  <c r="H1709" i="120" s="1"/>
  <c r="O1434" i="107"/>
  <c r="I1833" i="120" s="1"/>
  <c r="I1274" i="120"/>
  <c r="K1434" i="107"/>
  <c r="E1833" i="120" s="1"/>
  <c r="E1274" i="120"/>
  <c r="Q1434" i="107"/>
  <c r="K1833" i="120" s="1"/>
  <c r="K1274" i="120"/>
  <c r="M482" i="107"/>
  <c r="G634" i="120" s="1"/>
  <c r="G631" i="120"/>
  <c r="K482" i="107"/>
  <c r="E634" i="120" s="1"/>
  <c r="E631" i="120"/>
  <c r="P482" i="107"/>
  <c r="J634" i="120" s="1"/>
  <c r="J631" i="120"/>
  <c r="I291" i="107"/>
  <c r="H261" i="119" s="1"/>
  <c r="G261" i="119"/>
  <c r="K712" i="107"/>
  <c r="E792" i="120"/>
  <c r="P712" i="107"/>
  <c r="J792" i="120"/>
  <c r="Q712" i="107"/>
  <c r="K792" i="120"/>
  <c r="O712" i="107"/>
  <c r="I792" i="120"/>
  <c r="J761" i="107"/>
  <c r="D882" i="120"/>
  <c r="N712" i="107"/>
  <c r="H792" i="120"/>
  <c r="L712" i="107"/>
  <c r="F792" i="120"/>
  <c r="M712" i="107"/>
  <c r="G792" i="120"/>
  <c r="F880" i="119"/>
  <c r="G773" i="107"/>
  <c r="F444" i="100"/>
  <c r="F60" i="105"/>
  <c r="N58" i="93"/>
  <c r="N72" i="93" s="1"/>
  <c r="J53" i="93"/>
  <c r="J58" i="93" s="1"/>
  <c r="J72" i="93" s="1"/>
  <c r="K58" i="93"/>
  <c r="K72" i="93" s="1"/>
  <c r="Q69" i="96"/>
  <c r="R71" i="96"/>
  <c r="F261" i="107"/>
  <c r="E232" i="119" s="1"/>
  <c r="G193" i="107"/>
  <c r="H193" i="107"/>
  <c r="N287" i="107"/>
  <c r="L287" i="107"/>
  <c r="P287" i="107"/>
  <c r="K287" i="107"/>
  <c r="Q287" i="107"/>
  <c r="M287" i="107"/>
  <c r="O287" i="107"/>
  <c r="J291" i="107"/>
  <c r="D318" i="120" s="1"/>
  <c r="L219" i="92"/>
  <c r="H72" i="93"/>
  <c r="K71" i="96"/>
  <c r="J69" i="96"/>
  <c r="J71" i="96" s="1"/>
  <c r="M69" i="96"/>
  <c r="M71" i="96" s="1"/>
  <c r="O71" i="96"/>
  <c r="O247" i="92"/>
  <c r="O252" i="92" s="1"/>
  <c r="O266" i="92" s="1"/>
  <c r="L252" i="92"/>
  <c r="L266" i="92" s="1"/>
  <c r="K247" i="92"/>
  <c r="N247" i="92" s="1"/>
  <c r="N252" i="92" s="1"/>
  <c r="N266" i="92" s="1"/>
  <c r="H252" i="92"/>
  <c r="H266" i="92" s="1"/>
  <c r="F70" i="110"/>
  <c r="H773" i="107"/>
  <c r="I761" i="107"/>
  <c r="H880" i="119" s="1"/>
  <c r="N61" i="94"/>
  <c r="N33" i="94" s="1"/>
  <c r="N47" i="94" s="1"/>
  <c r="M61" i="94"/>
  <c r="M33" i="94" s="1"/>
  <c r="K61" i="94"/>
  <c r="K33" i="94" s="1"/>
  <c r="K47" i="94" s="1"/>
  <c r="J61" i="94"/>
  <c r="J33" i="94" s="1"/>
  <c r="J47" i="94" s="1"/>
  <c r="K63" i="95"/>
  <c r="L176" i="92" s="1"/>
  <c r="G119" i="92"/>
  <c r="J63" i="95"/>
  <c r="K176" i="92" s="1"/>
  <c r="F60" i="95"/>
  <c r="Z57" i="95"/>
  <c r="AA170" i="92" s="1"/>
  <c r="G35" i="95"/>
  <c r="G57" i="95" s="1"/>
  <c r="H170" i="92" s="1"/>
  <c r="I63" i="95"/>
  <c r="J176" i="92" s="1"/>
  <c r="H63" i="95"/>
  <c r="I176" i="92" s="1"/>
  <c r="L63" i="95"/>
  <c r="M176" i="92" s="1"/>
  <c r="I61" i="94"/>
  <c r="I33" i="94" s="1"/>
  <c r="H95" i="152" l="1"/>
  <c r="H108" i="152" s="1"/>
  <c r="O100" i="153"/>
  <c r="L95" i="152"/>
  <c r="L108" i="152" s="1"/>
  <c r="I108" i="152"/>
  <c r="K100" i="153" s="1"/>
  <c r="M108" i="152"/>
  <c r="N219" i="152" s="1"/>
  <c r="L1341" i="107"/>
  <c r="L1356" i="107" s="1"/>
  <c r="F1716" i="120" s="1"/>
  <c r="F191" i="107"/>
  <c r="E148" i="119" s="1"/>
  <c r="C6" i="168"/>
  <c r="F191" i="161"/>
  <c r="F194" i="161" s="1"/>
  <c r="D6" i="168"/>
  <c r="P176" i="152"/>
  <c r="F60" i="150"/>
  <c r="K61" i="150" s="1"/>
  <c r="X173" i="152"/>
  <c r="L63" i="150"/>
  <c r="M173" i="152"/>
  <c r="J170" i="152"/>
  <c r="I63" i="150"/>
  <c r="R176" i="152"/>
  <c r="I170" i="152"/>
  <c r="H63" i="150"/>
  <c r="J173" i="152"/>
  <c r="I173" i="152"/>
  <c r="AA173" i="152"/>
  <c r="Z57" i="150"/>
  <c r="G35" i="150"/>
  <c r="G57" i="150" s="1"/>
  <c r="J63" i="150"/>
  <c r="K170" i="152"/>
  <c r="K63" i="150"/>
  <c r="L170" i="152"/>
  <c r="M170" i="152"/>
  <c r="K173" i="152"/>
  <c r="L173" i="152"/>
  <c r="O176" i="152"/>
  <c r="Q176" i="152"/>
  <c r="X170" i="152"/>
  <c r="W63" i="150"/>
  <c r="F1355" i="161"/>
  <c r="F1342" i="161"/>
  <c r="G1340" i="161"/>
  <c r="H1340" i="161"/>
  <c r="I1340" i="161" s="1"/>
  <c r="F1361" i="107"/>
  <c r="E1670" i="119" s="1"/>
  <c r="L1341" i="161"/>
  <c r="L1356" i="161" s="1"/>
  <c r="M1341" i="161"/>
  <c r="M1356" i="161" s="1"/>
  <c r="K1341" i="161"/>
  <c r="K1356" i="161" s="1"/>
  <c r="Q1341" i="161"/>
  <c r="Q1356" i="161" s="1"/>
  <c r="J1356" i="161"/>
  <c r="P1341" i="161"/>
  <c r="P1356" i="161" s="1"/>
  <c r="N1341" i="161"/>
  <c r="N1356" i="161" s="1"/>
  <c r="O1341" i="161"/>
  <c r="O1356" i="161" s="1"/>
  <c r="F444" i="151"/>
  <c r="F60" i="166"/>
  <c r="M53" i="93"/>
  <c r="M58" i="93" s="1"/>
  <c r="M72" i="93" s="1"/>
  <c r="F49" i="100"/>
  <c r="F203" i="107" s="1"/>
  <c r="E160" i="119" s="1"/>
  <c r="F49" i="151"/>
  <c r="F203" i="161" s="1"/>
  <c r="F50" i="100"/>
  <c r="F204" i="107" s="1"/>
  <c r="E161" i="119" s="1"/>
  <c r="F50" i="151"/>
  <c r="F204" i="161" s="1"/>
  <c r="H261" i="161"/>
  <c r="I261" i="161" s="1"/>
  <c r="J193" i="161"/>
  <c r="I193" i="161"/>
  <c r="I1340" i="107"/>
  <c r="H1649" i="119" s="1"/>
  <c r="H1355" i="107"/>
  <c r="I1355" i="107" s="1"/>
  <c r="H1664" i="119" s="1"/>
  <c r="G1342" i="107"/>
  <c r="F1651" i="119" s="1"/>
  <c r="H1342" i="107"/>
  <c r="I1342" i="107" s="1"/>
  <c r="J1340" i="107"/>
  <c r="D1700" i="120" s="1"/>
  <c r="J1356" i="107"/>
  <c r="D1716" i="120" s="1"/>
  <c r="M1341" i="107"/>
  <c r="M1356" i="107" s="1"/>
  <c r="G1716" i="120" s="1"/>
  <c r="P1341" i="107"/>
  <c r="P1356" i="107" s="1"/>
  <c r="J1716" i="120" s="1"/>
  <c r="L308" i="161"/>
  <c r="Q308" i="161"/>
  <c r="P308" i="161"/>
  <c r="K308" i="161"/>
  <c r="O308" i="161"/>
  <c r="M308" i="161"/>
  <c r="N308" i="161"/>
  <c r="Q1341" i="107"/>
  <c r="Q1356" i="107" s="1"/>
  <c r="K1716" i="120" s="1"/>
  <c r="N1341" i="107"/>
  <c r="H1701" i="120" s="1"/>
  <c r="K1341" i="107"/>
  <c r="K1356" i="107" s="1"/>
  <c r="E1716" i="120" s="1"/>
  <c r="O1341" i="107"/>
  <c r="I1701" i="120" s="1"/>
  <c r="I1232" i="161"/>
  <c r="I1229" i="161"/>
  <c r="I1228" i="161"/>
  <c r="I1231" i="161"/>
  <c r="M1233" i="161"/>
  <c r="L1233" i="161"/>
  <c r="K1233" i="161"/>
  <c r="Q1233" i="161"/>
  <c r="O1233" i="161"/>
  <c r="P1233" i="161"/>
  <c r="N1233" i="161"/>
  <c r="O1231" i="161"/>
  <c r="M1231" i="161"/>
  <c r="L1231" i="161"/>
  <c r="Q1231" i="161"/>
  <c r="P1231" i="161"/>
  <c r="K1231" i="161"/>
  <c r="N1231" i="161"/>
  <c r="N1228" i="161"/>
  <c r="P1228" i="161"/>
  <c r="M1228" i="161"/>
  <c r="Q1228" i="161"/>
  <c r="O1228" i="161"/>
  <c r="K1228" i="161"/>
  <c r="L1228" i="161"/>
  <c r="K1234" i="161"/>
  <c r="N1234" i="161"/>
  <c r="M1234" i="161"/>
  <c r="L1234" i="161"/>
  <c r="Q1234" i="161"/>
  <c r="O1234" i="161"/>
  <c r="P1234" i="161"/>
  <c r="K1229" i="161"/>
  <c r="L1229" i="161"/>
  <c r="N1229" i="161"/>
  <c r="O1229" i="161"/>
  <c r="M1229" i="161"/>
  <c r="Q1229" i="161"/>
  <c r="P1229" i="161"/>
  <c r="I1233" i="161"/>
  <c r="P1232" i="161"/>
  <c r="O1232" i="161"/>
  <c r="K1232" i="161"/>
  <c r="N1232" i="161"/>
  <c r="L1232" i="161"/>
  <c r="M1232" i="161"/>
  <c r="Q1232" i="161"/>
  <c r="D47" i="108"/>
  <c r="D28" i="102"/>
  <c r="D28" i="112"/>
  <c r="G1355" i="107"/>
  <c r="F1664" i="119" s="1"/>
  <c r="I1356" i="107"/>
  <c r="H1665" i="119" s="1"/>
  <c r="H308" i="107"/>
  <c r="J308" i="107" s="1"/>
  <c r="D335" i="120" s="1"/>
  <c r="J1231" i="107"/>
  <c r="D1572" i="120" s="1"/>
  <c r="I1231" i="107"/>
  <c r="H1525" i="119" s="1"/>
  <c r="I308" i="107"/>
  <c r="H278" i="119" s="1"/>
  <c r="J1232" i="107"/>
  <c r="D1573" i="120" s="1"/>
  <c r="I1232" i="107"/>
  <c r="H1526" i="119" s="1"/>
  <c r="J309" i="107"/>
  <c r="D336" i="120" s="1"/>
  <c r="G308" i="107"/>
  <c r="F278" i="119" s="1"/>
  <c r="F314" i="107"/>
  <c r="I314" i="107" s="1"/>
  <c r="H284" i="119" s="1"/>
  <c r="I1233" i="107"/>
  <c r="H1527" i="119" s="1"/>
  <c r="G1527" i="119"/>
  <c r="I1228" i="107"/>
  <c r="H1522" i="119" s="1"/>
  <c r="G1522" i="119"/>
  <c r="D1570" i="120"/>
  <c r="P1229" i="107"/>
  <c r="J1570" i="120" s="1"/>
  <c r="I1229" i="107"/>
  <c r="H1523" i="119" s="1"/>
  <c r="G1523" i="119"/>
  <c r="J1234" i="107"/>
  <c r="L1234" i="107" s="1"/>
  <c r="F1575" i="120" s="1"/>
  <c r="N1229" i="107"/>
  <c r="H1570" i="120" s="1"/>
  <c r="M1229" i="107"/>
  <c r="G1570" i="120" s="1"/>
  <c r="M1228" i="107"/>
  <c r="G1569" i="120" s="1"/>
  <c r="Q1233" i="107"/>
  <c r="K1574" i="120" s="1"/>
  <c r="F1227" i="107"/>
  <c r="E1521" i="119" s="1"/>
  <c r="P1233" i="107"/>
  <c r="J1574" i="120" s="1"/>
  <c r="Q1229" i="107"/>
  <c r="K1570" i="120" s="1"/>
  <c r="N1228" i="107"/>
  <c r="H1569" i="120" s="1"/>
  <c r="K1228" i="107"/>
  <c r="E1569" i="120" s="1"/>
  <c r="N1233" i="107"/>
  <c r="H1574" i="120" s="1"/>
  <c r="L1233" i="107"/>
  <c r="F1574" i="120" s="1"/>
  <c r="K1229" i="107"/>
  <c r="E1570" i="120" s="1"/>
  <c r="O1229" i="107"/>
  <c r="I1570" i="120" s="1"/>
  <c r="L1229" i="107"/>
  <c r="F1570" i="120" s="1"/>
  <c r="Q1228" i="107"/>
  <c r="K1569" i="120" s="1"/>
  <c r="L1228" i="107"/>
  <c r="F1569" i="120" s="1"/>
  <c r="O1228" i="107"/>
  <c r="I1569" i="120" s="1"/>
  <c r="P1228" i="107"/>
  <c r="J1569" i="120" s="1"/>
  <c r="M1233" i="107"/>
  <c r="G1574" i="120" s="1"/>
  <c r="O1233" i="107"/>
  <c r="I1574" i="120" s="1"/>
  <c r="K1233" i="107"/>
  <c r="E1574" i="120" s="1"/>
  <c r="H800" i="107"/>
  <c r="I800" i="107" s="1"/>
  <c r="H918" i="119" s="1"/>
  <c r="G892" i="119"/>
  <c r="O291" i="107"/>
  <c r="I318" i="120" s="1"/>
  <c r="I314" i="120"/>
  <c r="Q291" i="107"/>
  <c r="K318" i="120" s="1"/>
  <c r="K314" i="120"/>
  <c r="P291" i="107"/>
  <c r="J318" i="120" s="1"/>
  <c r="J314" i="120"/>
  <c r="N291" i="107"/>
  <c r="H318" i="120" s="1"/>
  <c r="H314" i="120"/>
  <c r="G800" i="107"/>
  <c r="F892" i="119"/>
  <c r="M291" i="107"/>
  <c r="G318" i="120" s="1"/>
  <c r="G314" i="120"/>
  <c r="K291" i="107"/>
  <c r="E318" i="120" s="1"/>
  <c r="E314" i="120"/>
  <c r="L291" i="107"/>
  <c r="F318" i="120" s="1"/>
  <c r="F314" i="120"/>
  <c r="M761" i="107"/>
  <c r="G882" i="120"/>
  <c r="L761" i="107"/>
  <c r="F882" i="120"/>
  <c r="N761" i="107"/>
  <c r="H882" i="120"/>
  <c r="D933" i="120"/>
  <c r="J773" i="107"/>
  <c r="O761" i="107"/>
  <c r="I882" i="120"/>
  <c r="Q761" i="107"/>
  <c r="K882" i="120"/>
  <c r="P761" i="107"/>
  <c r="J882" i="120"/>
  <c r="K761" i="107"/>
  <c r="E882" i="120"/>
  <c r="I193" i="107"/>
  <c r="H150" i="119" s="1"/>
  <c r="G150" i="119"/>
  <c r="G261" i="107"/>
  <c r="F232" i="119" s="1"/>
  <c r="F150" i="119"/>
  <c r="J247" i="92"/>
  <c r="K252" i="92"/>
  <c r="K266" i="92" s="1"/>
  <c r="P69" i="96"/>
  <c r="P71" i="96" s="1"/>
  <c r="Q71" i="96"/>
  <c r="J193" i="107"/>
  <c r="D208" i="120" s="1"/>
  <c r="H261" i="107"/>
  <c r="G232" i="119" s="1"/>
  <c r="I773" i="107"/>
  <c r="H892" i="119" s="1"/>
  <c r="W61" i="95"/>
  <c r="G61" i="95"/>
  <c r="S61" i="95"/>
  <c r="X61" i="95"/>
  <c r="R61" i="95"/>
  <c r="V61" i="95"/>
  <c r="Y61" i="95"/>
  <c r="U61" i="95"/>
  <c r="T61" i="95"/>
  <c r="O61" i="95"/>
  <c r="Q61" i="95"/>
  <c r="P61" i="95"/>
  <c r="N61" i="95"/>
  <c r="M61" i="95"/>
  <c r="J120" i="92"/>
  <c r="J95" i="92" s="1"/>
  <c r="J108" i="92" s="1"/>
  <c r="M120" i="92"/>
  <c r="M95" i="92" s="1"/>
  <c r="K120" i="92"/>
  <c r="K95" i="92" s="1"/>
  <c r="K108" i="92" s="1"/>
  <c r="N120" i="92"/>
  <c r="N95" i="92" s="1"/>
  <c r="N108" i="92" s="1"/>
  <c r="M47" i="94"/>
  <c r="F48" i="100" s="1"/>
  <c r="L33" i="94"/>
  <c r="L47" i="94" s="1"/>
  <c r="I47" i="94"/>
  <c r="H33" i="94"/>
  <c r="H47" i="94" s="1"/>
  <c r="G173" i="92"/>
  <c r="K174" i="92" s="1"/>
  <c r="I61" i="95"/>
  <c r="Z63" i="95"/>
  <c r="AA176" i="92" s="1"/>
  <c r="J61" i="95"/>
  <c r="K61" i="95"/>
  <c r="Z61" i="95"/>
  <c r="G63" i="95"/>
  <c r="H176" i="92" s="1"/>
  <c r="F57" i="95"/>
  <c r="G58" i="95" s="1"/>
  <c r="L61" i="95"/>
  <c r="H61" i="95"/>
  <c r="I120" i="92"/>
  <c r="I95" i="92" s="1"/>
  <c r="D25" i="152" l="1"/>
  <c r="D30" i="158" s="1"/>
  <c r="D24" i="152"/>
  <c r="D29" i="155" s="1"/>
  <c r="N100" i="153"/>
  <c r="M100" i="153" s="1"/>
  <c r="N102" i="153" s="1"/>
  <c r="K219" i="152"/>
  <c r="J219" i="152" s="1"/>
  <c r="L221" i="152" s="1"/>
  <c r="L207" i="152" s="1"/>
  <c r="D22" i="152"/>
  <c r="D46" i="159" s="1"/>
  <c r="O219" i="152"/>
  <c r="M219" i="152" s="1"/>
  <c r="F194" i="107"/>
  <c r="E151" i="119" s="1"/>
  <c r="F1701" i="120"/>
  <c r="H1361" i="107"/>
  <c r="G1670" i="119" s="1"/>
  <c r="N1356" i="107"/>
  <c r="H1716" i="120" s="1"/>
  <c r="J1342" i="107"/>
  <c r="D1702" i="120" s="1"/>
  <c r="G1664" i="119"/>
  <c r="E1701" i="120"/>
  <c r="G1651" i="119"/>
  <c r="W61" i="150"/>
  <c r="J61" i="150"/>
  <c r="Z61" i="150"/>
  <c r="H61" i="150"/>
  <c r="L61" i="150"/>
  <c r="I61" i="150"/>
  <c r="G191" i="107"/>
  <c r="F148" i="119" s="1"/>
  <c r="H191" i="107"/>
  <c r="G148" i="119" s="1"/>
  <c r="H191" i="161"/>
  <c r="I191" i="161" s="1"/>
  <c r="G191" i="161"/>
  <c r="G194" i="161" s="1"/>
  <c r="E6" i="168"/>
  <c r="G63" i="150"/>
  <c r="H170" i="152"/>
  <c r="F57" i="150"/>
  <c r="G58" i="150" s="1"/>
  <c r="J176" i="152"/>
  <c r="K176" i="152"/>
  <c r="Z63" i="150"/>
  <c r="AA170" i="152"/>
  <c r="Q61" i="150"/>
  <c r="X61" i="150"/>
  <c r="G61" i="150"/>
  <c r="S61" i="150"/>
  <c r="R61" i="150"/>
  <c r="U61" i="150"/>
  <c r="T61" i="150"/>
  <c r="V61" i="150"/>
  <c r="Y61" i="150"/>
  <c r="P61" i="150"/>
  <c r="O61" i="150"/>
  <c r="M61" i="150"/>
  <c r="N61" i="150"/>
  <c r="I176" i="152"/>
  <c r="X176" i="152"/>
  <c r="L176" i="152"/>
  <c r="G173" i="152"/>
  <c r="L174" i="152" s="1"/>
  <c r="M176" i="152"/>
  <c r="O100" i="96"/>
  <c r="F1227" i="161"/>
  <c r="O1340" i="107"/>
  <c r="I1700" i="120" s="1"/>
  <c r="H1355" i="161"/>
  <c r="H1361" i="161" s="1"/>
  <c r="H1342" i="161"/>
  <c r="I1342" i="161" s="1"/>
  <c r="J1340" i="161"/>
  <c r="G1355" i="161"/>
  <c r="G1361" i="161" s="1"/>
  <c r="G1342" i="161"/>
  <c r="F1361" i="161"/>
  <c r="F48" i="151"/>
  <c r="F200" i="161" s="1"/>
  <c r="F205" i="161"/>
  <c r="G203" i="161"/>
  <c r="H203" i="161"/>
  <c r="G204" i="161"/>
  <c r="H204" i="161"/>
  <c r="J204" i="161" s="1"/>
  <c r="F47" i="100"/>
  <c r="F47" i="151"/>
  <c r="J100" i="153"/>
  <c r="D49" i="159"/>
  <c r="K23" i="152"/>
  <c r="K193" i="161"/>
  <c r="K261" i="161" s="1"/>
  <c r="Q193" i="161"/>
  <c r="Q261" i="161" s="1"/>
  <c r="P193" i="161"/>
  <c r="P261" i="161" s="1"/>
  <c r="J261" i="161"/>
  <c r="L193" i="161"/>
  <c r="L261" i="161" s="1"/>
  <c r="N193" i="161"/>
  <c r="N261" i="161" s="1"/>
  <c r="O193" i="161"/>
  <c r="O261" i="161" s="1"/>
  <c r="M193" i="161"/>
  <c r="M261" i="161" s="1"/>
  <c r="G1701" i="120"/>
  <c r="L1340" i="107"/>
  <c r="F1700" i="120" s="1"/>
  <c r="J1355" i="107"/>
  <c r="J1361" i="107" s="1"/>
  <c r="D1721" i="120" s="1"/>
  <c r="N1340" i="107"/>
  <c r="H1700" i="120" s="1"/>
  <c r="P1340" i="107"/>
  <c r="J1700" i="120" s="1"/>
  <c r="K1340" i="107"/>
  <c r="E1700" i="120" s="1"/>
  <c r="Q1340" i="107"/>
  <c r="K1700" i="120" s="1"/>
  <c r="M1340" i="107"/>
  <c r="G1700" i="120" s="1"/>
  <c r="J1701" i="120"/>
  <c r="G1361" i="107"/>
  <c r="F1670" i="119" s="1"/>
  <c r="K1701" i="120"/>
  <c r="O1356" i="107"/>
  <c r="I1716" i="120" s="1"/>
  <c r="L309" i="107"/>
  <c r="F336" i="120" s="1"/>
  <c r="G278" i="119"/>
  <c r="Q1232" i="107"/>
  <c r="K1573" i="120" s="1"/>
  <c r="M1232" i="107"/>
  <c r="G1573" i="120" s="1"/>
  <c r="L1232" i="107"/>
  <c r="F1573" i="120" s="1"/>
  <c r="O1231" i="107"/>
  <c r="I1572" i="120" s="1"/>
  <c r="E284" i="119"/>
  <c r="L1231" i="107"/>
  <c r="F1572" i="120" s="1"/>
  <c r="M1231" i="107"/>
  <c r="G1572" i="120" s="1"/>
  <c r="K1231" i="107"/>
  <c r="E1572" i="120" s="1"/>
  <c r="N1231" i="107"/>
  <c r="H1572" i="120" s="1"/>
  <c r="P1231" i="107"/>
  <c r="J1572" i="120" s="1"/>
  <c r="F1235" i="107"/>
  <c r="E1529" i="119" s="1"/>
  <c r="Q1231" i="107"/>
  <c r="K1572" i="120" s="1"/>
  <c r="G204" i="107"/>
  <c r="F161" i="119" s="1"/>
  <c r="M309" i="107"/>
  <c r="G336" i="120" s="1"/>
  <c r="K309" i="107"/>
  <c r="E336" i="120" s="1"/>
  <c r="P1232" i="107"/>
  <c r="J1573" i="120" s="1"/>
  <c r="N1232" i="107"/>
  <c r="H1573" i="120" s="1"/>
  <c r="P309" i="107"/>
  <c r="J336" i="120" s="1"/>
  <c r="K1232" i="107"/>
  <c r="E1573" i="120" s="1"/>
  <c r="O309" i="107"/>
  <c r="I336" i="120" s="1"/>
  <c r="O1232" i="107"/>
  <c r="I1573" i="120" s="1"/>
  <c r="N309" i="107"/>
  <c r="H336" i="120" s="1"/>
  <c r="Q309" i="107"/>
  <c r="K336" i="120" s="1"/>
  <c r="H204" i="107"/>
  <c r="G161" i="119" s="1"/>
  <c r="O308" i="107"/>
  <c r="I335" i="120" s="1"/>
  <c r="H1227" i="107"/>
  <c r="G1521" i="119" s="1"/>
  <c r="G1227" i="107"/>
  <c r="G1235" i="107" s="1"/>
  <c r="F1529" i="119" s="1"/>
  <c r="Q1234" i="107"/>
  <c r="K1575" i="120" s="1"/>
  <c r="O1234" i="107"/>
  <c r="I1575" i="120" s="1"/>
  <c r="K1234" i="107"/>
  <c r="E1575" i="120" s="1"/>
  <c r="P1234" i="107"/>
  <c r="J1575" i="120" s="1"/>
  <c r="H203" i="107"/>
  <c r="I203" i="107" s="1"/>
  <c r="H160" i="119" s="1"/>
  <c r="G203" i="107"/>
  <c r="F160" i="119" s="1"/>
  <c r="F205" i="107"/>
  <c r="E162" i="119" s="1"/>
  <c r="N1234" i="107"/>
  <c r="H1575" i="120" s="1"/>
  <c r="D1575" i="120"/>
  <c r="M1234" i="107"/>
  <c r="G1575" i="120" s="1"/>
  <c r="H1651" i="119"/>
  <c r="F200" i="107"/>
  <c r="E157" i="119" s="1"/>
  <c r="L308" i="107"/>
  <c r="F335" i="120" s="1"/>
  <c r="I1361" i="107"/>
  <c r="H1670" i="119" s="1"/>
  <c r="K308" i="107"/>
  <c r="E335" i="120" s="1"/>
  <c r="Q308" i="107"/>
  <c r="K335" i="120" s="1"/>
  <c r="P308" i="107"/>
  <c r="J335" i="120" s="1"/>
  <c r="N308" i="107"/>
  <c r="H335" i="120" s="1"/>
  <c r="M308" i="107"/>
  <c r="G335" i="120" s="1"/>
  <c r="E933" i="120"/>
  <c r="K773" i="107"/>
  <c r="J933" i="120"/>
  <c r="P773" i="107"/>
  <c r="K933" i="120"/>
  <c r="Q773" i="107"/>
  <c r="I933" i="120"/>
  <c r="O773" i="107"/>
  <c r="H933" i="120"/>
  <c r="N773" i="107"/>
  <c r="F933" i="120"/>
  <c r="L773" i="107"/>
  <c r="G933" i="120"/>
  <c r="M773" i="107"/>
  <c r="J800" i="107"/>
  <c r="D945" i="120"/>
  <c r="G812" i="107"/>
  <c r="F918" i="119"/>
  <c r="H812" i="107"/>
  <c r="G918" i="119"/>
  <c r="I261" i="107"/>
  <c r="H232" i="119" s="1"/>
  <c r="L174" i="92"/>
  <c r="J174" i="92"/>
  <c r="J261" i="107"/>
  <c r="D289" i="120" s="1"/>
  <c r="O193" i="107"/>
  <c r="K193" i="107"/>
  <c r="Q193" i="107"/>
  <c r="L193" i="107"/>
  <c r="M193" i="107"/>
  <c r="P193" i="107"/>
  <c r="N193" i="107"/>
  <c r="M247" i="92"/>
  <c r="M252" i="92" s="1"/>
  <c r="M266" i="92" s="1"/>
  <c r="J252" i="92"/>
  <c r="J266" i="92" s="1"/>
  <c r="G41" i="95"/>
  <c r="G33" i="95"/>
  <c r="U58" i="95"/>
  <c r="T58" i="95"/>
  <c r="V58" i="95"/>
  <c r="P58" i="95"/>
  <c r="X58" i="95"/>
  <c r="N58" i="95"/>
  <c r="Y58" i="95"/>
  <c r="O58" i="95"/>
  <c r="O33" i="95" s="1"/>
  <c r="O42" i="95" s="1"/>
  <c r="S58" i="95"/>
  <c r="Q58" i="95"/>
  <c r="Q33" i="95" s="1"/>
  <c r="Q42" i="95" s="1"/>
  <c r="R58" i="95"/>
  <c r="M58" i="95"/>
  <c r="W58" i="95"/>
  <c r="J58" i="95"/>
  <c r="K58" i="95"/>
  <c r="I58" i="95"/>
  <c r="L58" i="95"/>
  <c r="H58" i="95"/>
  <c r="Z58" i="95"/>
  <c r="M108" i="92"/>
  <c r="D24" i="92" s="1"/>
  <c r="L95" i="92"/>
  <c r="L108" i="92" s="1"/>
  <c r="F63" i="95"/>
  <c r="G64" i="95" s="1"/>
  <c r="AA174" i="92"/>
  <c r="Z174" i="92"/>
  <c r="H174" i="92"/>
  <c r="U174" i="92"/>
  <c r="T174" i="92"/>
  <c r="V174" i="92"/>
  <c r="Y174" i="92"/>
  <c r="S174" i="92"/>
  <c r="W174" i="92"/>
  <c r="X174" i="92"/>
  <c r="O174" i="92"/>
  <c r="R174" i="92"/>
  <c r="P174" i="92"/>
  <c r="N174" i="92"/>
  <c r="Q174" i="92"/>
  <c r="M174" i="92"/>
  <c r="H95" i="92"/>
  <c r="H108" i="92" s="1"/>
  <c r="I108" i="92"/>
  <c r="K100" i="96" s="1"/>
  <c r="F61" i="95"/>
  <c r="G170" i="92"/>
  <c r="AA171" i="92" s="1"/>
  <c r="I174" i="92"/>
  <c r="D30" i="155" l="1"/>
  <c r="D27" i="158"/>
  <c r="D27" i="155"/>
  <c r="K22" i="152"/>
  <c r="D30" i="157" s="1"/>
  <c r="K221" i="152"/>
  <c r="D48" i="159"/>
  <c r="D29" i="158"/>
  <c r="G945" i="120"/>
  <c r="F945" i="120"/>
  <c r="H945" i="120"/>
  <c r="G194" i="107"/>
  <c r="F151" i="119" s="1"/>
  <c r="N1355" i="107"/>
  <c r="N1361" i="107" s="1"/>
  <c r="H1721" i="120" s="1"/>
  <c r="P1342" i="107"/>
  <c r="J1702" i="120" s="1"/>
  <c r="P1355" i="107"/>
  <c r="P1361" i="107" s="1"/>
  <c r="J1721" i="120" s="1"/>
  <c r="N1342" i="107"/>
  <c r="H1702" i="120" s="1"/>
  <c r="Q1355" i="107"/>
  <c r="Q1361" i="107" s="1"/>
  <c r="K1721" i="120" s="1"/>
  <c r="D1715" i="120"/>
  <c r="O1355" i="107"/>
  <c r="O1361" i="107" s="1"/>
  <c r="I1721" i="120" s="1"/>
  <c r="O1342" i="107"/>
  <c r="I1702" i="120" s="1"/>
  <c r="H194" i="107"/>
  <c r="H194" i="161"/>
  <c r="I194" i="161" s="1"/>
  <c r="I191" i="107"/>
  <c r="H148" i="119" s="1"/>
  <c r="Z58" i="150"/>
  <c r="Z33" i="150" s="1"/>
  <c r="J191" i="107"/>
  <c r="D206" i="120" s="1"/>
  <c r="J191" i="161"/>
  <c r="N191" i="161" s="1"/>
  <c r="G33" i="150"/>
  <c r="G41" i="150"/>
  <c r="K174" i="152"/>
  <c r="F61" i="150"/>
  <c r="J174" i="152"/>
  <c r="I1361" i="161"/>
  <c r="I174" i="152"/>
  <c r="AA176" i="152"/>
  <c r="AA174" i="152"/>
  <c r="V58" i="150"/>
  <c r="X58" i="150"/>
  <c r="Y58" i="150"/>
  <c r="S58" i="150"/>
  <c r="T58" i="150"/>
  <c r="U58" i="150"/>
  <c r="R58" i="150"/>
  <c r="O58" i="150"/>
  <c r="O33" i="150" s="1"/>
  <c r="O42" i="150" s="1"/>
  <c r="M58" i="150"/>
  <c r="Q58" i="150"/>
  <c r="Q33" i="150" s="1"/>
  <c r="Q42" i="150" s="1"/>
  <c r="P58" i="150"/>
  <c r="N58" i="150"/>
  <c r="J58" i="150"/>
  <c r="W58" i="150"/>
  <c r="H58" i="150"/>
  <c r="K58" i="150"/>
  <c r="L58" i="150"/>
  <c r="I58" i="150"/>
  <c r="W174" i="152"/>
  <c r="Z174" i="152"/>
  <c r="T174" i="152"/>
  <c r="U174" i="152"/>
  <c r="H174" i="152"/>
  <c r="V174" i="152"/>
  <c r="S174" i="152"/>
  <c r="Y174" i="152"/>
  <c r="R174" i="152"/>
  <c r="P174" i="152"/>
  <c r="N174" i="152"/>
  <c r="O174" i="152"/>
  <c r="Q174" i="152"/>
  <c r="G170" i="152"/>
  <c r="AA171" i="152" s="1"/>
  <c r="M174" i="152"/>
  <c r="X174" i="152"/>
  <c r="H176" i="152"/>
  <c r="F63" i="150"/>
  <c r="G64" i="150" s="1"/>
  <c r="L1355" i="107"/>
  <c r="L1361" i="107" s="1"/>
  <c r="F1721" i="120" s="1"/>
  <c r="I1355" i="161"/>
  <c r="F198" i="107"/>
  <c r="E155" i="119" s="1"/>
  <c r="C7" i="168"/>
  <c r="G205" i="161"/>
  <c r="G263" i="161" s="1"/>
  <c r="L1342" i="107"/>
  <c r="F1702" i="120" s="1"/>
  <c r="M1340" i="161"/>
  <c r="L1340" i="161"/>
  <c r="J1342" i="161"/>
  <c r="K1340" i="161"/>
  <c r="N1340" i="161"/>
  <c r="O1340" i="161"/>
  <c r="J1355" i="161"/>
  <c r="J1361" i="161" s="1"/>
  <c r="Q1340" i="161"/>
  <c r="P1340" i="161"/>
  <c r="J204" i="107"/>
  <c r="D219" i="120" s="1"/>
  <c r="F1235" i="161"/>
  <c r="G1227" i="161"/>
  <c r="G1235" i="161" s="1"/>
  <c r="H1227" i="161"/>
  <c r="F198" i="161"/>
  <c r="F207" i="161" s="1"/>
  <c r="D7" i="168"/>
  <c r="N85" i="153"/>
  <c r="J203" i="161"/>
  <c r="H205" i="161"/>
  <c r="I205" i="161" s="1"/>
  <c r="N100" i="96"/>
  <c r="M100" i="96" s="1"/>
  <c r="L102" i="153"/>
  <c r="L85" i="153" s="1"/>
  <c r="F263" i="161"/>
  <c r="K102" i="153"/>
  <c r="I204" i="161"/>
  <c r="P204" i="161"/>
  <c r="K204" i="161"/>
  <c r="N204" i="161"/>
  <c r="M204" i="161"/>
  <c r="L204" i="161"/>
  <c r="Q204" i="161"/>
  <c r="O204" i="161"/>
  <c r="K207" i="152"/>
  <c r="J221" i="152"/>
  <c r="D31" i="157"/>
  <c r="F262" i="161"/>
  <c r="G200" i="161"/>
  <c r="G262" i="161" s="1"/>
  <c r="H200" i="161"/>
  <c r="I200" i="161" s="1"/>
  <c r="D29" i="112"/>
  <c r="D29" i="102"/>
  <c r="D48" i="108"/>
  <c r="O221" i="152"/>
  <c r="O207" i="152" s="1"/>
  <c r="O102" i="153"/>
  <c r="O85" i="153" s="1"/>
  <c r="I203" i="161"/>
  <c r="N221" i="152"/>
  <c r="K1355" i="107"/>
  <c r="K1361" i="107" s="1"/>
  <c r="E1721" i="120" s="1"/>
  <c r="K1342" i="107"/>
  <c r="E1702" i="120" s="1"/>
  <c r="M1355" i="107"/>
  <c r="G1715" i="120" s="1"/>
  <c r="M1342" i="107"/>
  <c r="G1702" i="120" s="1"/>
  <c r="Q1342" i="107"/>
  <c r="K1702" i="120" s="1"/>
  <c r="G205" i="107"/>
  <c r="F162" i="119" s="1"/>
  <c r="I204" i="107"/>
  <c r="H161" i="119" s="1"/>
  <c r="F1521" i="119"/>
  <c r="I1227" i="107"/>
  <c r="H1521" i="119" s="1"/>
  <c r="J1227" i="107"/>
  <c r="D1568" i="120" s="1"/>
  <c r="F263" i="107"/>
  <c r="E234" i="119" s="1"/>
  <c r="H1235" i="107"/>
  <c r="I1235" i="107" s="1"/>
  <c r="H1529" i="119" s="1"/>
  <c r="H200" i="107"/>
  <c r="G157" i="119" s="1"/>
  <c r="J203" i="107"/>
  <c r="D218" i="120" s="1"/>
  <c r="H205" i="107"/>
  <c r="H263" i="107" s="1"/>
  <c r="G160" i="119"/>
  <c r="G200" i="107"/>
  <c r="F157" i="119" s="1"/>
  <c r="F262" i="107"/>
  <c r="E233" i="119" s="1"/>
  <c r="N261" i="107"/>
  <c r="H289" i="120" s="1"/>
  <c r="H208" i="120"/>
  <c r="M261" i="107"/>
  <c r="G289" i="120" s="1"/>
  <c r="G208" i="120"/>
  <c r="Q261" i="107"/>
  <c r="K289" i="120" s="1"/>
  <c r="K208" i="120"/>
  <c r="O261" i="107"/>
  <c r="I289" i="120" s="1"/>
  <c r="I208" i="120"/>
  <c r="P261" i="107"/>
  <c r="J289" i="120" s="1"/>
  <c r="J208" i="120"/>
  <c r="L261" i="107"/>
  <c r="F289" i="120" s="1"/>
  <c r="F208" i="120"/>
  <c r="K261" i="107"/>
  <c r="E289" i="120" s="1"/>
  <c r="E208" i="120"/>
  <c r="L800" i="107"/>
  <c r="L812" i="107" s="1"/>
  <c r="J812" i="107"/>
  <c r="D970" i="120"/>
  <c r="O800" i="107"/>
  <c r="I945" i="120"/>
  <c r="Q800" i="107"/>
  <c r="K945" i="120"/>
  <c r="P800" i="107"/>
  <c r="J945" i="120"/>
  <c r="K800" i="107"/>
  <c r="E945" i="120"/>
  <c r="F812" i="107"/>
  <c r="G930" i="119"/>
  <c r="H835" i="107"/>
  <c r="F930" i="119"/>
  <c r="G835" i="107"/>
  <c r="F953" i="119" s="1"/>
  <c r="M800" i="107"/>
  <c r="N800" i="107"/>
  <c r="I194" i="107"/>
  <c r="H151" i="119" s="1"/>
  <c r="G151" i="119"/>
  <c r="Z64" i="95"/>
  <c r="Z21" i="95" s="1"/>
  <c r="J100" i="96"/>
  <c r="K22" i="92"/>
  <c r="D30" i="101" s="1"/>
  <c r="K219" i="92"/>
  <c r="J219" i="92" s="1"/>
  <c r="O219" i="92"/>
  <c r="D22" i="92"/>
  <c r="D25" i="92"/>
  <c r="N219" i="92"/>
  <c r="H171" i="92"/>
  <c r="H146" i="92" s="1"/>
  <c r="G174" i="92"/>
  <c r="G176" i="92"/>
  <c r="AA177" i="92" s="1"/>
  <c r="H41" i="95"/>
  <c r="T41" i="95" s="1"/>
  <c r="H33" i="95"/>
  <c r="J33" i="95"/>
  <c r="J41" i="95"/>
  <c r="V41" i="95" s="1"/>
  <c r="N33" i="95"/>
  <c r="N41" i="95"/>
  <c r="AA146" i="92"/>
  <c r="AA154" i="92"/>
  <c r="W41" i="95"/>
  <c r="W33" i="95"/>
  <c r="G20" i="95"/>
  <c r="G28" i="95"/>
  <c r="G21" i="95"/>
  <c r="I33" i="95"/>
  <c r="I41" i="95"/>
  <c r="U41" i="95" s="1"/>
  <c r="M41" i="95"/>
  <c r="M33" i="95"/>
  <c r="P41" i="95"/>
  <c r="P33" i="95"/>
  <c r="S33" i="95"/>
  <c r="G42" i="95"/>
  <c r="L33" i="95"/>
  <c r="L41" i="95"/>
  <c r="X41" i="95"/>
  <c r="X33" i="95"/>
  <c r="F58" i="95"/>
  <c r="W171" i="92"/>
  <c r="Y171" i="92"/>
  <c r="Z171" i="92"/>
  <c r="V171" i="92"/>
  <c r="S171" i="92"/>
  <c r="T171" i="92"/>
  <c r="U171" i="92"/>
  <c r="N171" i="92"/>
  <c r="O171" i="92"/>
  <c r="P171" i="92"/>
  <c r="R171" i="92"/>
  <c r="Q171" i="92"/>
  <c r="X171" i="92"/>
  <c r="L171" i="92"/>
  <c r="M171" i="92"/>
  <c r="K171" i="92"/>
  <c r="I171" i="92"/>
  <c r="J171" i="92"/>
  <c r="H64" i="95"/>
  <c r="U64" i="95"/>
  <c r="R64" i="95"/>
  <c r="V64" i="95"/>
  <c r="Y64" i="95"/>
  <c r="T64" i="95"/>
  <c r="X64" i="95"/>
  <c r="S64" i="95"/>
  <c r="P64" i="95"/>
  <c r="N64" i="95"/>
  <c r="O64" i="95"/>
  <c r="Q64" i="95"/>
  <c r="M64" i="95"/>
  <c r="W64" i="95"/>
  <c r="I64" i="95"/>
  <c r="J64" i="95"/>
  <c r="L64" i="95"/>
  <c r="K64" i="95"/>
  <c r="Z41" i="95"/>
  <c r="Z33" i="95"/>
  <c r="K33" i="95"/>
  <c r="K41" i="95"/>
  <c r="R41" i="95"/>
  <c r="R33" i="95"/>
  <c r="Y41" i="95"/>
  <c r="Y33" i="95"/>
  <c r="S41" i="95"/>
  <c r="G953" i="119" l="1"/>
  <c r="G234" i="119"/>
  <c r="Z41" i="150"/>
  <c r="H1715" i="120"/>
  <c r="J1715" i="120"/>
  <c r="F835" i="107"/>
  <c r="I835" i="107" s="1"/>
  <c r="K1715" i="120"/>
  <c r="F1715" i="120"/>
  <c r="H198" i="161"/>
  <c r="H260" i="161" s="1"/>
  <c r="E1715" i="120"/>
  <c r="I1715" i="120"/>
  <c r="M1361" i="107"/>
  <c r="G1721" i="120" s="1"/>
  <c r="K204" i="107"/>
  <c r="E219" i="120" s="1"/>
  <c r="L204" i="107"/>
  <c r="F219" i="120" s="1"/>
  <c r="P204" i="107"/>
  <c r="J219" i="120" s="1"/>
  <c r="N204" i="107"/>
  <c r="H219" i="120" s="1"/>
  <c r="F260" i="161"/>
  <c r="M191" i="161"/>
  <c r="M194" i="161" s="1"/>
  <c r="P191" i="161"/>
  <c r="P194" i="161" s="1"/>
  <c r="Q191" i="161"/>
  <c r="L191" i="161"/>
  <c r="K191" i="161"/>
  <c r="K194" i="161" s="1"/>
  <c r="G176" i="152"/>
  <c r="Y177" i="152" s="1"/>
  <c r="O191" i="161"/>
  <c r="O194" i="161" s="1"/>
  <c r="J194" i="161"/>
  <c r="J206" i="120"/>
  <c r="Q204" i="107"/>
  <c r="K219" i="120" s="1"/>
  <c r="H206" i="120"/>
  <c r="K206" i="120"/>
  <c r="F206" i="120"/>
  <c r="I206" i="120"/>
  <c r="J194" i="107"/>
  <c r="D209" i="120" s="1"/>
  <c r="E7" i="168"/>
  <c r="G206" i="120"/>
  <c r="E206" i="120"/>
  <c r="M204" i="107"/>
  <c r="G219" i="120" s="1"/>
  <c r="O204" i="107"/>
  <c r="I219" i="120" s="1"/>
  <c r="G198" i="107"/>
  <c r="F155" i="119" s="1"/>
  <c r="H198" i="107"/>
  <c r="J198" i="107" s="1"/>
  <c r="D213" i="120" s="1"/>
  <c r="G198" i="161"/>
  <c r="G260" i="161" s="1"/>
  <c r="F260" i="107"/>
  <c r="E231" i="119" s="1"/>
  <c r="G263" i="107"/>
  <c r="F234" i="119" s="1"/>
  <c r="F207" i="107"/>
  <c r="E164" i="119" s="1"/>
  <c r="H171" i="152"/>
  <c r="H146" i="152" s="1"/>
  <c r="G21" i="150"/>
  <c r="G20" i="150"/>
  <c r="G28" i="150"/>
  <c r="AA154" i="152"/>
  <c r="AA146" i="152"/>
  <c r="R177" i="152"/>
  <c r="G174" i="152"/>
  <c r="H41" i="150"/>
  <c r="T41" i="150" s="1"/>
  <c r="H33" i="150"/>
  <c r="R41" i="150"/>
  <c r="R33" i="150"/>
  <c r="Z64" i="150"/>
  <c r="W33" i="150"/>
  <c r="W41" i="150"/>
  <c r="J33" i="150"/>
  <c r="J41" i="150"/>
  <c r="V41" i="150" s="1"/>
  <c r="N33" i="150"/>
  <c r="N41" i="150"/>
  <c r="P33" i="150"/>
  <c r="P41" i="150"/>
  <c r="Y33" i="150"/>
  <c r="Y41" i="150"/>
  <c r="Z171" i="152"/>
  <c r="Y171" i="152"/>
  <c r="W171" i="152"/>
  <c r="V171" i="152"/>
  <c r="T171" i="152"/>
  <c r="U171" i="152"/>
  <c r="S171" i="152"/>
  <c r="Q171" i="152"/>
  <c r="R171" i="152"/>
  <c r="N171" i="152"/>
  <c r="P171" i="152"/>
  <c r="O171" i="152"/>
  <c r="M171" i="152"/>
  <c r="L171" i="152"/>
  <c r="I171" i="152"/>
  <c r="K171" i="152"/>
  <c r="X171" i="152"/>
  <c r="J171" i="152"/>
  <c r="I33" i="150"/>
  <c r="I41" i="150"/>
  <c r="U41" i="150" s="1"/>
  <c r="X33" i="150"/>
  <c r="X41" i="150"/>
  <c r="F58" i="150"/>
  <c r="Z42" i="150"/>
  <c r="L41" i="150"/>
  <c r="L33" i="150"/>
  <c r="M41" i="150"/>
  <c r="M33" i="150"/>
  <c r="S41" i="150"/>
  <c r="M64" i="150"/>
  <c r="X64" i="150"/>
  <c r="Y64" i="150"/>
  <c r="U64" i="150"/>
  <c r="V64" i="150"/>
  <c r="S64" i="150"/>
  <c r="T64" i="150"/>
  <c r="R64" i="150"/>
  <c r="P64" i="150"/>
  <c r="Q64" i="150"/>
  <c r="O64" i="150"/>
  <c r="N64" i="150"/>
  <c r="J64" i="150"/>
  <c r="L64" i="150"/>
  <c r="K64" i="150"/>
  <c r="H64" i="150"/>
  <c r="I64" i="150"/>
  <c r="W64" i="150"/>
  <c r="K33" i="150"/>
  <c r="K41" i="150"/>
  <c r="S33" i="150"/>
  <c r="G42" i="150"/>
  <c r="L1342" i="161"/>
  <c r="L1355" i="161"/>
  <c r="L1361" i="161" s="1"/>
  <c r="K1355" i="161"/>
  <c r="K1361" i="161" s="1"/>
  <c r="K1342" i="161"/>
  <c r="P1355" i="161"/>
  <c r="P1361" i="161" s="1"/>
  <c r="P1342" i="161"/>
  <c r="M1342" i="161"/>
  <c r="M1355" i="161"/>
  <c r="M1361" i="161" s="1"/>
  <c r="Q1355" i="161"/>
  <c r="Q1361" i="161" s="1"/>
  <c r="Q1342" i="161"/>
  <c r="O1355" i="161"/>
  <c r="O1361" i="161" s="1"/>
  <c r="O1342" i="161"/>
  <c r="I1227" i="161"/>
  <c r="J1227" i="161"/>
  <c r="H1235" i="161"/>
  <c r="I1235" i="161" s="1"/>
  <c r="N1355" i="161"/>
  <c r="N1361" i="161" s="1"/>
  <c r="N1342" i="161"/>
  <c r="J200" i="161"/>
  <c r="H262" i="161"/>
  <c r="I262" i="161" s="1"/>
  <c r="M221" i="152"/>
  <c r="N207" i="152"/>
  <c r="J102" i="153"/>
  <c r="K85" i="153"/>
  <c r="D30" i="102"/>
  <c r="D49" i="108"/>
  <c r="D30" i="112"/>
  <c r="H263" i="161"/>
  <c r="I263" i="161" s="1"/>
  <c r="N203" i="161"/>
  <c r="N205" i="161" s="1"/>
  <c r="N263" i="161" s="1"/>
  <c r="M203" i="161"/>
  <c r="M205" i="161" s="1"/>
  <c r="M263" i="161" s="1"/>
  <c r="K203" i="161"/>
  <c r="K205" i="161" s="1"/>
  <c r="K263" i="161" s="1"/>
  <c r="Q203" i="161"/>
  <c r="Q205" i="161" s="1"/>
  <c r="Q263" i="161" s="1"/>
  <c r="P203" i="161"/>
  <c r="P205" i="161" s="1"/>
  <c r="P263" i="161" s="1"/>
  <c r="J205" i="161"/>
  <c r="J263" i="161" s="1"/>
  <c r="L203" i="161"/>
  <c r="L205" i="161" s="1"/>
  <c r="L263" i="161" s="1"/>
  <c r="O203" i="161"/>
  <c r="O205" i="161" s="1"/>
  <c r="O263" i="161" s="1"/>
  <c r="M102" i="153"/>
  <c r="Q194" i="161"/>
  <c r="N194" i="161"/>
  <c r="L194" i="161"/>
  <c r="H262" i="107"/>
  <c r="G233" i="119" s="1"/>
  <c r="J200" i="107"/>
  <c r="D215" i="120" s="1"/>
  <c r="I200" i="107"/>
  <c r="H157" i="119" s="1"/>
  <c r="Z20" i="95"/>
  <c r="D27" i="112"/>
  <c r="D46" i="108"/>
  <c r="D27" i="102"/>
  <c r="K102" i="96"/>
  <c r="K85" i="96" s="1"/>
  <c r="N1235" i="107"/>
  <c r="H1576" i="120" s="1"/>
  <c r="K1235" i="107"/>
  <c r="E1576" i="120" s="1"/>
  <c r="I205" i="107"/>
  <c r="H162" i="119" s="1"/>
  <c r="O1235" i="107"/>
  <c r="I1576" i="120" s="1"/>
  <c r="J1568" i="120"/>
  <c r="N203" i="107"/>
  <c r="H218" i="120" s="1"/>
  <c r="G162" i="119"/>
  <c r="L1235" i="107"/>
  <c r="F1576" i="120" s="1"/>
  <c r="Q1235" i="107"/>
  <c r="K1576" i="120" s="1"/>
  <c r="M1235" i="107"/>
  <c r="G1576" i="120" s="1"/>
  <c r="J1235" i="107"/>
  <c r="D1576" i="120" s="1"/>
  <c r="P203" i="107"/>
  <c r="G262" i="107"/>
  <c r="F233" i="119" s="1"/>
  <c r="G1529" i="119"/>
  <c r="J205" i="107"/>
  <c r="D220" i="120" s="1"/>
  <c r="M203" i="107"/>
  <c r="Q203" i="107"/>
  <c r="K218" i="120" s="1"/>
  <c r="K203" i="107"/>
  <c r="E218" i="120" s="1"/>
  <c r="O203" i="107"/>
  <c r="I218" i="120" s="1"/>
  <c r="L203" i="107"/>
  <c r="F218" i="120" s="1"/>
  <c r="Z28" i="95"/>
  <c r="F970" i="120"/>
  <c r="I263" i="107"/>
  <c r="H234" i="119" s="1"/>
  <c r="M812" i="107"/>
  <c r="G970" i="120"/>
  <c r="K812" i="107"/>
  <c r="E970" i="120"/>
  <c r="Q812" i="107"/>
  <c r="K970" i="120"/>
  <c r="N812" i="107"/>
  <c r="H970" i="120"/>
  <c r="E930" i="119"/>
  <c r="I812" i="107"/>
  <c r="H930" i="119" s="1"/>
  <c r="P812" i="107"/>
  <c r="J970" i="120"/>
  <c r="O812" i="107"/>
  <c r="I970" i="120"/>
  <c r="L835" i="107"/>
  <c r="F1005" i="120" s="1"/>
  <c r="F982" i="120"/>
  <c r="D982" i="120"/>
  <c r="J835" i="107"/>
  <c r="D1005" i="120" s="1"/>
  <c r="W42" i="95"/>
  <c r="H154" i="92"/>
  <c r="H155" i="92" s="1"/>
  <c r="L42" i="95"/>
  <c r="K42" i="95"/>
  <c r="M42" i="95"/>
  <c r="F64" i="95"/>
  <c r="L102" i="96"/>
  <c r="N102" i="96"/>
  <c r="O102" i="96"/>
  <c r="K23" i="92"/>
  <c r="D31" i="101" s="1"/>
  <c r="M219" i="92"/>
  <c r="N221" i="92" s="1"/>
  <c r="N207" i="92" s="1"/>
  <c r="K221" i="92"/>
  <c r="K207" i="92" s="1"/>
  <c r="AA155" i="92"/>
  <c r="Y42" i="95"/>
  <c r="K28" i="95"/>
  <c r="K21" i="95"/>
  <c r="K20" i="95"/>
  <c r="W28" i="95"/>
  <c r="W20" i="95"/>
  <c r="W21" i="95"/>
  <c r="N28" i="95"/>
  <c r="N21" i="95"/>
  <c r="N20" i="95"/>
  <c r="T21" i="95"/>
  <c r="T28" i="95"/>
  <c r="T20" i="95"/>
  <c r="U28" i="95"/>
  <c r="U20" i="95"/>
  <c r="U21" i="95"/>
  <c r="K154" i="92"/>
  <c r="K146" i="92"/>
  <c r="Q154" i="92"/>
  <c r="Q146" i="92"/>
  <c r="N146" i="92"/>
  <c r="N154" i="92"/>
  <c r="V146" i="92"/>
  <c r="V154" i="92"/>
  <c r="G171" i="92"/>
  <c r="X42" i="95"/>
  <c r="AA134" i="92"/>
  <c r="AA133" i="92"/>
  <c r="AA141" i="92"/>
  <c r="I42" i="95"/>
  <c r="U33" i="95"/>
  <c r="U42" i="95" s="1"/>
  <c r="J42" i="95"/>
  <c r="V33" i="95"/>
  <c r="V42" i="95" s="1"/>
  <c r="X177" i="92"/>
  <c r="Z177" i="92"/>
  <c r="Y177" i="92"/>
  <c r="V177" i="92"/>
  <c r="S177" i="92"/>
  <c r="T177" i="92"/>
  <c r="U177" i="92"/>
  <c r="W177" i="92"/>
  <c r="Q177" i="92"/>
  <c r="P177" i="92"/>
  <c r="R177" i="92"/>
  <c r="N177" i="92"/>
  <c r="O177" i="92"/>
  <c r="I177" i="92"/>
  <c r="K177" i="92"/>
  <c r="J177" i="92"/>
  <c r="M177" i="92"/>
  <c r="L177" i="92"/>
  <c r="M28" i="95"/>
  <c r="M21" i="95"/>
  <c r="M20" i="95"/>
  <c r="P20" i="95"/>
  <c r="P28" i="95"/>
  <c r="P21" i="95"/>
  <c r="H28" i="95"/>
  <c r="H21" i="95"/>
  <c r="H20" i="95"/>
  <c r="M154" i="92"/>
  <c r="M146" i="92"/>
  <c r="R146" i="92"/>
  <c r="R154" i="92"/>
  <c r="U154" i="92"/>
  <c r="U146" i="92"/>
  <c r="Z146" i="92"/>
  <c r="Z154" i="92"/>
  <c r="T33" i="95"/>
  <c r="T42" i="95" s="1"/>
  <c r="H42" i="95"/>
  <c r="R42" i="95"/>
  <c r="Z42" i="95"/>
  <c r="J20" i="95"/>
  <c r="J21" i="95"/>
  <c r="J28" i="95"/>
  <c r="Q28" i="95"/>
  <c r="Q20" i="95"/>
  <c r="Q21" i="95"/>
  <c r="S20" i="95"/>
  <c r="S28" i="95"/>
  <c r="S21" i="95"/>
  <c r="V28" i="95"/>
  <c r="V20" i="95"/>
  <c r="V21" i="95"/>
  <c r="J154" i="92"/>
  <c r="J146" i="92"/>
  <c r="L154" i="92"/>
  <c r="L146" i="92"/>
  <c r="P154" i="92"/>
  <c r="P146" i="92"/>
  <c r="T154" i="92"/>
  <c r="T146" i="92"/>
  <c r="Y154" i="92"/>
  <c r="Y146" i="92"/>
  <c r="S42" i="95"/>
  <c r="N42" i="95"/>
  <c r="L20" i="95"/>
  <c r="L21" i="95"/>
  <c r="L28" i="95"/>
  <c r="Y21" i="95"/>
  <c r="Y20" i="95"/>
  <c r="Y28" i="95"/>
  <c r="I21" i="95"/>
  <c r="I28" i="95"/>
  <c r="I20" i="95"/>
  <c r="O20" i="95"/>
  <c r="O21" i="95"/>
  <c r="O28" i="95"/>
  <c r="X20" i="95"/>
  <c r="X28" i="95"/>
  <c r="X21" i="95"/>
  <c r="R21" i="95"/>
  <c r="R20" i="95"/>
  <c r="R28" i="95"/>
  <c r="I146" i="92"/>
  <c r="I154" i="92"/>
  <c r="X154" i="92"/>
  <c r="X146" i="92"/>
  <c r="O146" i="92"/>
  <c r="O154" i="92"/>
  <c r="S154" i="92"/>
  <c r="S146" i="92"/>
  <c r="W154" i="92"/>
  <c r="W146" i="92"/>
  <c r="P42" i="95"/>
  <c r="G30" i="95"/>
  <c r="G44" i="95" s="1"/>
  <c r="F51" i="100" s="1"/>
  <c r="H177" i="92"/>
  <c r="Q194" i="107" l="1"/>
  <c r="K209" i="120" s="1"/>
  <c r="Z177" i="152"/>
  <c r="M177" i="152"/>
  <c r="M141" i="152" s="1"/>
  <c r="L177" i="152"/>
  <c r="L134" i="152" s="1"/>
  <c r="S177" i="152"/>
  <c r="V177" i="152"/>
  <c r="M194" i="107"/>
  <c r="G209" i="120" s="1"/>
  <c r="P194" i="107"/>
  <c r="J209" i="120" s="1"/>
  <c r="X177" i="152"/>
  <c r="X141" i="152" s="1"/>
  <c r="P177" i="152"/>
  <c r="H177" i="152"/>
  <c r="H133" i="152" s="1"/>
  <c r="Q177" i="152"/>
  <c r="Q134" i="152" s="1"/>
  <c r="K177" i="152"/>
  <c r="N177" i="152"/>
  <c r="U177" i="152"/>
  <c r="U134" i="152" s="1"/>
  <c r="W177" i="152"/>
  <c r="W141" i="152" s="1"/>
  <c r="K194" i="107"/>
  <c r="E209" i="120" s="1"/>
  <c r="AA177" i="152"/>
  <c r="T177" i="152"/>
  <c r="T133" i="152" s="1"/>
  <c r="I177" i="152"/>
  <c r="I141" i="152" s="1"/>
  <c r="J177" i="152"/>
  <c r="O177" i="152"/>
  <c r="H207" i="161"/>
  <c r="I207" i="161" s="1"/>
  <c r="J198" i="161"/>
  <c r="O198" i="161" s="1"/>
  <c r="N194" i="107"/>
  <c r="H209" i="120" s="1"/>
  <c r="L194" i="107"/>
  <c r="F209" i="120" s="1"/>
  <c r="O194" i="107"/>
  <c r="I209" i="120" s="1"/>
  <c r="I198" i="161"/>
  <c r="P205" i="107"/>
  <c r="J220" i="120" s="1"/>
  <c r="M205" i="107"/>
  <c r="G220" i="120" s="1"/>
  <c r="I213" i="120"/>
  <c r="H213" i="120"/>
  <c r="Q260" i="107"/>
  <c r="K288" i="120" s="1"/>
  <c r="N200" i="107"/>
  <c r="N262" i="107" s="1"/>
  <c r="H290" i="120" s="1"/>
  <c r="G207" i="107"/>
  <c r="F164" i="119" s="1"/>
  <c r="H207" i="107"/>
  <c r="I207" i="107" s="1"/>
  <c r="H164" i="119" s="1"/>
  <c r="G260" i="107"/>
  <c r="H260" i="107"/>
  <c r="H154" i="152"/>
  <c r="H155" i="152" s="1"/>
  <c r="N42" i="150"/>
  <c r="W42" i="150"/>
  <c r="G207" i="161"/>
  <c r="P42" i="150"/>
  <c r="L260" i="107"/>
  <c r="F288" i="120" s="1"/>
  <c r="M200" i="107"/>
  <c r="G215" i="120" s="1"/>
  <c r="J260" i="107"/>
  <c r="D288" i="120" s="1"/>
  <c r="P260" i="107"/>
  <c r="J288" i="120" s="1"/>
  <c r="J262" i="107"/>
  <c r="D290" i="120" s="1"/>
  <c r="I198" i="107"/>
  <c r="H155" i="119" s="1"/>
  <c r="E213" i="120"/>
  <c r="Q200" i="107"/>
  <c r="K215" i="120" s="1"/>
  <c r="K42" i="150"/>
  <c r="G30" i="150"/>
  <c r="G44" i="150" s="1"/>
  <c r="F51" i="151" s="1"/>
  <c r="G171" i="152"/>
  <c r="G155" i="119"/>
  <c r="L200" i="107"/>
  <c r="F215" i="120" s="1"/>
  <c r="M260" i="107"/>
  <c r="G288" i="120" s="1"/>
  <c r="O200" i="107"/>
  <c r="O262" i="107" s="1"/>
  <c r="I290" i="120" s="1"/>
  <c r="F64" i="150"/>
  <c r="L21" i="150"/>
  <c r="L20" i="150"/>
  <c r="L28" i="150"/>
  <c r="S21" i="150"/>
  <c r="S20" i="150"/>
  <c r="S28" i="150"/>
  <c r="U33" i="150"/>
  <c r="U42" i="150" s="1"/>
  <c r="I42" i="150"/>
  <c r="P146" i="152"/>
  <c r="P154" i="152"/>
  <c r="W146" i="152"/>
  <c r="W154" i="152"/>
  <c r="Z141" i="152"/>
  <c r="Z134" i="152"/>
  <c r="Z133" i="152"/>
  <c r="S42" i="150"/>
  <c r="J20" i="150"/>
  <c r="J21" i="150"/>
  <c r="J28" i="150"/>
  <c r="V21" i="150"/>
  <c r="V20" i="150"/>
  <c r="V28" i="150"/>
  <c r="L42" i="150"/>
  <c r="J154" i="152"/>
  <c r="J146" i="152"/>
  <c r="N154" i="152"/>
  <c r="N146" i="152"/>
  <c r="Y146" i="152"/>
  <c r="Y154" i="152"/>
  <c r="V33" i="150"/>
  <c r="V42" i="150" s="1"/>
  <c r="J42" i="150"/>
  <c r="R42" i="150"/>
  <c r="N134" i="152"/>
  <c r="N133" i="152"/>
  <c r="N141" i="152"/>
  <c r="H141" i="152"/>
  <c r="N20" i="150"/>
  <c r="N21" i="150"/>
  <c r="N28" i="150"/>
  <c r="U20" i="150"/>
  <c r="U21" i="150"/>
  <c r="U28" i="150"/>
  <c r="X146" i="152"/>
  <c r="X154" i="152"/>
  <c r="R154" i="152"/>
  <c r="R146" i="152"/>
  <c r="Z154" i="152"/>
  <c r="Z146" i="152"/>
  <c r="H42" i="150"/>
  <c r="T33" i="150"/>
  <c r="T42" i="150" s="1"/>
  <c r="S134" i="152"/>
  <c r="S133" i="152"/>
  <c r="S141" i="152"/>
  <c r="AA155" i="152"/>
  <c r="O21" i="150"/>
  <c r="O20" i="150"/>
  <c r="O28" i="150"/>
  <c r="Y20" i="150"/>
  <c r="Y21" i="150"/>
  <c r="Y28" i="150"/>
  <c r="K146" i="152"/>
  <c r="K154" i="152"/>
  <c r="Q146" i="152"/>
  <c r="Q154" i="152"/>
  <c r="M133" i="152"/>
  <c r="M134" i="152"/>
  <c r="AA133" i="152"/>
  <c r="AA134" i="152"/>
  <c r="AA141" i="152"/>
  <c r="T134" i="152"/>
  <c r="W21" i="150"/>
  <c r="W20" i="150"/>
  <c r="W28" i="150"/>
  <c r="Q20" i="150"/>
  <c r="Q21" i="150"/>
  <c r="Q28" i="150"/>
  <c r="X20" i="150"/>
  <c r="X21" i="150"/>
  <c r="X28" i="150"/>
  <c r="I146" i="152"/>
  <c r="I154" i="152"/>
  <c r="S154" i="152"/>
  <c r="S146" i="152"/>
  <c r="V134" i="152"/>
  <c r="V133" i="152"/>
  <c r="V141" i="152"/>
  <c r="I20" i="150"/>
  <c r="I21" i="150"/>
  <c r="I28" i="150"/>
  <c r="P21" i="150"/>
  <c r="P20" i="150"/>
  <c r="P28" i="150"/>
  <c r="M20" i="150"/>
  <c r="M21" i="150"/>
  <c r="M28" i="150"/>
  <c r="L146" i="152"/>
  <c r="L154" i="152"/>
  <c r="U146" i="152"/>
  <c r="U154" i="152"/>
  <c r="R141" i="152"/>
  <c r="R134" i="152"/>
  <c r="R133" i="152"/>
  <c r="H20" i="150"/>
  <c r="H21" i="150"/>
  <c r="H28" i="150"/>
  <c r="R20" i="150"/>
  <c r="R21" i="150"/>
  <c r="R28" i="150"/>
  <c r="X42" i="150"/>
  <c r="M154" i="152"/>
  <c r="M146" i="152"/>
  <c r="T146" i="152"/>
  <c r="T154" i="152"/>
  <c r="Y42" i="150"/>
  <c r="K141" i="152"/>
  <c r="K134" i="152"/>
  <c r="K133" i="152"/>
  <c r="X134" i="152"/>
  <c r="X133" i="152"/>
  <c r="P133" i="152"/>
  <c r="P141" i="152"/>
  <c r="P134" i="152"/>
  <c r="W133" i="152"/>
  <c r="I262" i="107"/>
  <c r="H233" i="119" s="1"/>
  <c r="K20" i="150"/>
  <c r="K21" i="150"/>
  <c r="K28" i="150"/>
  <c r="T21" i="150"/>
  <c r="T20" i="150"/>
  <c r="T28" i="150"/>
  <c r="M42" i="150"/>
  <c r="O154" i="152"/>
  <c r="O146" i="152"/>
  <c r="V154" i="152"/>
  <c r="V146" i="152"/>
  <c r="J141" i="152"/>
  <c r="J134" i="152"/>
  <c r="J133" i="152"/>
  <c r="Z20" i="150"/>
  <c r="Z21" i="150"/>
  <c r="Z28" i="150"/>
  <c r="O141" i="152"/>
  <c r="O134" i="152"/>
  <c r="O133" i="152"/>
  <c r="Y134" i="152"/>
  <c r="Y141" i="152"/>
  <c r="Y133" i="152"/>
  <c r="K200" i="107"/>
  <c r="E215" i="120" s="1"/>
  <c r="P200" i="107"/>
  <c r="P262" i="107" s="1"/>
  <c r="J290" i="120" s="1"/>
  <c r="O1227" i="161"/>
  <c r="O1235" i="161" s="1"/>
  <c r="N1227" i="161"/>
  <c r="N1235" i="161" s="1"/>
  <c r="P1227" i="161"/>
  <c r="P1235" i="161" s="1"/>
  <c r="M1227" i="161"/>
  <c r="M1235" i="161" s="1"/>
  <c r="L1227" i="161"/>
  <c r="L1235" i="161" s="1"/>
  <c r="K1227" i="161"/>
  <c r="K1235" i="161" s="1"/>
  <c r="J1235" i="161"/>
  <c r="Q1227" i="161"/>
  <c r="Q1235" i="161" s="1"/>
  <c r="N200" i="161"/>
  <c r="N262" i="161" s="1"/>
  <c r="M200" i="161"/>
  <c r="M262" i="161" s="1"/>
  <c r="P200" i="161"/>
  <c r="P262" i="161" s="1"/>
  <c r="L200" i="161"/>
  <c r="L262" i="161" s="1"/>
  <c r="Q200" i="161"/>
  <c r="Q262" i="161" s="1"/>
  <c r="K200" i="161"/>
  <c r="K262" i="161" s="1"/>
  <c r="O200" i="161"/>
  <c r="O262" i="161" s="1"/>
  <c r="J262" i="161"/>
  <c r="I260" i="161"/>
  <c r="J218" i="120"/>
  <c r="N205" i="107"/>
  <c r="H220" i="120" s="1"/>
  <c r="O205" i="107"/>
  <c r="I220" i="120" s="1"/>
  <c r="Q205" i="107"/>
  <c r="K220" i="120" s="1"/>
  <c r="P1235" i="107"/>
  <c r="J1576" i="120" s="1"/>
  <c r="E1568" i="120"/>
  <c r="H1568" i="120"/>
  <c r="O85" i="96"/>
  <c r="L85" i="96"/>
  <c r="G1568" i="120"/>
  <c r="I1568" i="120"/>
  <c r="F1568" i="120"/>
  <c r="K1568" i="120"/>
  <c r="J207" i="107"/>
  <c r="D222" i="120" s="1"/>
  <c r="J263" i="107"/>
  <c r="D291" i="120" s="1"/>
  <c r="K205" i="107"/>
  <c r="E220" i="120" s="1"/>
  <c r="G218" i="120"/>
  <c r="L205" i="107"/>
  <c r="F220" i="120" s="1"/>
  <c r="I982" i="120"/>
  <c r="O835" i="107"/>
  <c r="I1005" i="120" s="1"/>
  <c r="J982" i="120"/>
  <c r="P835" i="107"/>
  <c r="J1005" i="120" s="1"/>
  <c r="E953" i="119"/>
  <c r="H953" i="119"/>
  <c r="N835" i="107"/>
  <c r="H1005" i="120" s="1"/>
  <c r="H982" i="120"/>
  <c r="K982" i="120"/>
  <c r="Q835" i="107"/>
  <c r="K1005" i="120" s="1"/>
  <c r="E982" i="120"/>
  <c r="K835" i="107"/>
  <c r="E1005" i="120" s="1"/>
  <c r="M835" i="107"/>
  <c r="G1005" i="120" s="1"/>
  <c r="G982" i="120"/>
  <c r="S30" i="95"/>
  <c r="S44" i="95" s="1"/>
  <c r="F63" i="100" s="1"/>
  <c r="F225" i="107"/>
  <c r="E196" i="119" s="1"/>
  <c r="Q30" i="95"/>
  <c r="Q44" i="95" s="1"/>
  <c r="F61" i="100" s="1"/>
  <c r="R30" i="95"/>
  <c r="R44" i="95" s="1"/>
  <c r="F62" i="100" s="1"/>
  <c r="T30" i="95"/>
  <c r="T44" i="95" s="1"/>
  <c r="F64" i="100" s="1"/>
  <c r="P30" i="95"/>
  <c r="P44" i="95" s="1"/>
  <c r="F60" i="100" s="1"/>
  <c r="R155" i="92"/>
  <c r="I155" i="92"/>
  <c r="N85" i="96"/>
  <c r="M102" i="96"/>
  <c r="O155" i="92"/>
  <c r="Z155" i="92"/>
  <c r="J102" i="96"/>
  <c r="L221" i="92"/>
  <c r="O221" i="92"/>
  <c r="N155" i="92"/>
  <c r="I133" i="92"/>
  <c r="I134" i="92"/>
  <c r="I141" i="92"/>
  <c r="P134" i="92"/>
  <c r="P141" i="92"/>
  <c r="P133" i="92"/>
  <c r="H141" i="92"/>
  <c r="H134" i="92"/>
  <c r="H133" i="92"/>
  <c r="G177" i="92"/>
  <c r="W155" i="92"/>
  <c r="T155" i="92"/>
  <c r="L155" i="92"/>
  <c r="H30" i="95"/>
  <c r="H44" i="95" s="1"/>
  <c r="F52" i="100" s="1"/>
  <c r="K134" i="92"/>
  <c r="K141" i="92"/>
  <c r="K133" i="92"/>
  <c r="R134" i="92"/>
  <c r="R133" i="92"/>
  <c r="R141" i="92"/>
  <c r="U134" i="92"/>
  <c r="U133" i="92"/>
  <c r="U141" i="92"/>
  <c r="Y134" i="92"/>
  <c r="Y133" i="92"/>
  <c r="Y141" i="92"/>
  <c r="AA143" i="92"/>
  <c r="AA157" i="92" s="1"/>
  <c r="V155" i="92"/>
  <c r="Q155" i="92"/>
  <c r="K30" i="95"/>
  <c r="K44" i="95" s="1"/>
  <c r="F55" i="100" s="1"/>
  <c r="L141" i="92"/>
  <c r="L133" i="92"/>
  <c r="L134" i="92"/>
  <c r="T133" i="92"/>
  <c r="T141" i="92"/>
  <c r="T134" i="92"/>
  <c r="S155" i="92"/>
  <c r="X155" i="92"/>
  <c r="O30" i="95"/>
  <c r="O44" i="95" s="1"/>
  <c r="F59" i="100" s="1"/>
  <c r="Y155" i="92"/>
  <c r="P155" i="92"/>
  <c r="J155" i="92"/>
  <c r="U155" i="92"/>
  <c r="M155" i="92"/>
  <c r="M30" i="95"/>
  <c r="M44" i="95" s="1"/>
  <c r="F57" i="100" s="1"/>
  <c r="M141" i="92"/>
  <c r="M134" i="92"/>
  <c r="M133" i="92"/>
  <c r="O141" i="92"/>
  <c r="O133" i="92"/>
  <c r="O134" i="92"/>
  <c r="Q134" i="92"/>
  <c r="Q133" i="92"/>
  <c r="Q141" i="92"/>
  <c r="S133" i="92"/>
  <c r="S134" i="92"/>
  <c r="S141" i="92"/>
  <c r="X141" i="92"/>
  <c r="X133" i="92"/>
  <c r="X134" i="92"/>
  <c r="K155" i="92"/>
  <c r="N30" i="95"/>
  <c r="N44" i="95" s="1"/>
  <c r="F58" i="100" s="1"/>
  <c r="Z133" i="92"/>
  <c r="Z134" i="92"/>
  <c r="Z141" i="92"/>
  <c r="I30" i="95"/>
  <c r="I44" i="95" s="1"/>
  <c r="F53" i="100" s="1"/>
  <c r="L30" i="95"/>
  <c r="L44" i="95" s="1"/>
  <c r="F56" i="100" s="1"/>
  <c r="J30" i="95"/>
  <c r="J44" i="95" s="1"/>
  <c r="F54" i="100" s="1"/>
  <c r="J141" i="92"/>
  <c r="J133" i="92"/>
  <c r="J134" i="92"/>
  <c r="N133" i="92"/>
  <c r="N134" i="92"/>
  <c r="N141" i="92"/>
  <c r="W134" i="92"/>
  <c r="W141" i="92"/>
  <c r="W133" i="92"/>
  <c r="V134" i="92"/>
  <c r="V141" i="92"/>
  <c r="V133" i="92"/>
  <c r="U30" i="95"/>
  <c r="U44" i="95" s="1"/>
  <c r="F65" i="100" s="1"/>
  <c r="V30" i="95"/>
  <c r="V44" i="95" s="1"/>
  <c r="F66" i="100" s="1"/>
  <c r="F231" i="119" l="1"/>
  <c r="G231" i="119"/>
  <c r="L133" i="152"/>
  <c r="H134" i="152"/>
  <c r="H143" i="152" s="1"/>
  <c r="H157" i="152" s="1"/>
  <c r="T141" i="152"/>
  <c r="T143" i="152" s="1"/>
  <c r="I133" i="152"/>
  <c r="L141" i="152"/>
  <c r="U133" i="152"/>
  <c r="U141" i="152"/>
  <c r="I134" i="152"/>
  <c r="I143" i="152" s="1"/>
  <c r="Q141" i="152"/>
  <c r="Q133" i="152"/>
  <c r="P198" i="161"/>
  <c r="P207" i="161" s="1"/>
  <c r="G177" i="152"/>
  <c r="W134" i="152"/>
  <c r="W143" i="152" s="1"/>
  <c r="K198" i="161"/>
  <c r="K260" i="161" s="1"/>
  <c r="J207" i="161"/>
  <c r="N198" i="161"/>
  <c r="N207" i="161" s="1"/>
  <c r="L198" i="161"/>
  <c r="L260" i="161" s="1"/>
  <c r="M198" i="161"/>
  <c r="M207" i="161" s="1"/>
  <c r="Q198" i="161"/>
  <c r="Q207" i="161" s="1"/>
  <c r="J260" i="161"/>
  <c r="O260" i="107"/>
  <c r="I288" i="120" s="1"/>
  <c r="P263" i="107"/>
  <c r="J291" i="120" s="1"/>
  <c r="J213" i="120"/>
  <c r="N260" i="107"/>
  <c r="H288" i="120" s="1"/>
  <c r="M263" i="107"/>
  <c r="G291" i="120" s="1"/>
  <c r="J215" i="120"/>
  <c r="G213" i="120"/>
  <c r="K213" i="120"/>
  <c r="F213" i="120"/>
  <c r="K260" i="107"/>
  <c r="E288" i="120" s="1"/>
  <c r="H215" i="120"/>
  <c r="L262" i="107"/>
  <c r="F290" i="120" s="1"/>
  <c r="Q262" i="107"/>
  <c r="K290" i="120" s="1"/>
  <c r="I215" i="120"/>
  <c r="G164" i="119"/>
  <c r="M207" i="107"/>
  <c r="G222" i="120" s="1"/>
  <c r="M262" i="107"/>
  <c r="G290" i="120" s="1"/>
  <c r="L30" i="150"/>
  <c r="L44" i="150" s="1"/>
  <c r="F56" i="151" s="1"/>
  <c r="F231" i="161" s="1"/>
  <c r="H231" i="161" s="1"/>
  <c r="J231" i="161" s="1"/>
  <c r="I260" i="107"/>
  <c r="H231" i="119" s="1"/>
  <c r="U155" i="152"/>
  <c r="O30" i="150"/>
  <c r="O44" i="150" s="1"/>
  <c r="F59" i="151" s="1"/>
  <c r="F236" i="161" s="1"/>
  <c r="I236" i="161" s="1"/>
  <c r="P207" i="107"/>
  <c r="J222" i="120" s="1"/>
  <c r="Y30" i="150"/>
  <c r="Y44" i="150" s="1"/>
  <c r="F68" i="151" s="1"/>
  <c r="F249" i="161" s="1"/>
  <c r="N30" i="150"/>
  <c r="N44" i="150" s="1"/>
  <c r="F58" i="151" s="1"/>
  <c r="F235" i="161" s="1"/>
  <c r="H235" i="161" s="1"/>
  <c r="J30" i="150"/>
  <c r="J44" i="150" s="1"/>
  <c r="F54" i="151" s="1"/>
  <c r="F229" i="161" s="1"/>
  <c r="R155" i="152"/>
  <c r="R30" i="150"/>
  <c r="R44" i="150" s="1"/>
  <c r="F62" i="151" s="1"/>
  <c r="F241" i="161" s="1"/>
  <c r="G241" i="161" s="1"/>
  <c r="M30" i="150"/>
  <c r="M44" i="150" s="1"/>
  <c r="F57" i="151" s="1"/>
  <c r="F234" i="161" s="1"/>
  <c r="V155" i="152"/>
  <c r="K30" i="150"/>
  <c r="K44" i="150" s="1"/>
  <c r="F55" i="151" s="1"/>
  <c r="F230" i="161" s="1"/>
  <c r="H230" i="161" s="1"/>
  <c r="I230" i="161" s="1"/>
  <c r="S30" i="150"/>
  <c r="S44" i="150" s="1"/>
  <c r="F63" i="151" s="1"/>
  <c r="F242" i="161" s="1"/>
  <c r="K262" i="107"/>
  <c r="E290" i="120" s="1"/>
  <c r="T155" i="152"/>
  <c r="I30" i="150"/>
  <c r="I44" i="150" s="1"/>
  <c r="F53" i="151" s="1"/>
  <c r="F228" i="161" s="1"/>
  <c r="G228" i="161" s="1"/>
  <c r="Q30" i="150"/>
  <c r="Q44" i="150" s="1"/>
  <c r="F61" i="151" s="1"/>
  <c r="F238" i="161" s="1"/>
  <c r="I238" i="161" s="1"/>
  <c r="U30" i="150"/>
  <c r="U44" i="150" s="1"/>
  <c r="F65" i="151" s="1"/>
  <c r="F244" i="161" s="1"/>
  <c r="H244" i="161" s="1"/>
  <c r="J244" i="161" s="1"/>
  <c r="Z155" i="152"/>
  <c r="N155" i="152"/>
  <c r="W155" i="152"/>
  <c r="M143" i="152"/>
  <c r="Q155" i="152"/>
  <c r="K155" i="152"/>
  <c r="Y143" i="152"/>
  <c r="L155" i="152"/>
  <c r="Z143" i="152"/>
  <c r="F225" i="161"/>
  <c r="P143" i="152"/>
  <c r="H30" i="150"/>
  <c r="H44" i="150" s="1"/>
  <c r="F52" i="151" s="1"/>
  <c r="F227" i="161" s="1"/>
  <c r="P30" i="150"/>
  <c r="P44" i="150" s="1"/>
  <c r="F60" i="151" s="1"/>
  <c r="F237" i="161" s="1"/>
  <c r="W30" i="150"/>
  <c r="W44" i="150" s="1"/>
  <c r="F67" i="151" s="1"/>
  <c r="F248" i="161" s="1"/>
  <c r="AA143" i="152"/>
  <c r="AA157" i="152" s="1"/>
  <c r="S143" i="152"/>
  <c r="N143" i="152"/>
  <c r="Q143" i="152"/>
  <c r="Z30" i="150"/>
  <c r="Z44" i="150" s="1"/>
  <c r="F69" i="151" s="1"/>
  <c r="F250" i="161" s="1"/>
  <c r="O155" i="152"/>
  <c r="X143" i="152"/>
  <c r="V143" i="152"/>
  <c r="I155" i="152"/>
  <c r="M155" i="152"/>
  <c r="X30" i="150"/>
  <c r="X44" i="150" s="1"/>
  <c r="F70" i="151" s="1"/>
  <c r="F251" i="161" s="1"/>
  <c r="J155" i="152"/>
  <c r="J143" i="152"/>
  <c r="T30" i="150"/>
  <c r="T44" i="150" s="1"/>
  <c r="F64" i="151" s="1"/>
  <c r="F243" i="161" s="1"/>
  <c r="K143" i="152"/>
  <c r="L143" i="152"/>
  <c r="X155" i="152"/>
  <c r="V30" i="150"/>
  <c r="V44" i="150" s="1"/>
  <c r="F66" i="151" s="1"/>
  <c r="F245" i="161" s="1"/>
  <c r="P155" i="152"/>
  <c r="U143" i="152"/>
  <c r="O143" i="152"/>
  <c r="R143" i="152"/>
  <c r="S155" i="152"/>
  <c r="Y155" i="152"/>
  <c r="Q207" i="107"/>
  <c r="K222" i="120" s="1"/>
  <c r="L207" i="161"/>
  <c r="N263" i="107"/>
  <c r="H291" i="120" s="1"/>
  <c r="K207" i="161"/>
  <c r="O207" i="107"/>
  <c r="I222" i="120" s="1"/>
  <c r="N207" i="107"/>
  <c r="H222" i="120" s="1"/>
  <c r="O263" i="107"/>
  <c r="I291" i="120" s="1"/>
  <c r="O207" i="161"/>
  <c r="O260" i="161"/>
  <c r="Q263" i="107"/>
  <c r="K291" i="120" s="1"/>
  <c r="K207" i="107"/>
  <c r="E222" i="120" s="1"/>
  <c r="L207" i="107"/>
  <c r="F222" i="120" s="1"/>
  <c r="K263" i="107"/>
  <c r="E291" i="120" s="1"/>
  <c r="L263" i="107"/>
  <c r="F291" i="120" s="1"/>
  <c r="G225" i="107"/>
  <c r="F196" i="119" s="1"/>
  <c r="H225" i="107"/>
  <c r="G196" i="119" s="1"/>
  <c r="F231" i="107"/>
  <c r="E202" i="119" s="1"/>
  <c r="F241" i="107"/>
  <c r="E212" i="119" s="1"/>
  <c r="F237" i="107"/>
  <c r="E208" i="119" s="1"/>
  <c r="F245" i="107"/>
  <c r="E216" i="119" s="1"/>
  <c r="F228" i="107"/>
  <c r="E199" i="119" s="1"/>
  <c r="F236" i="107"/>
  <c r="E207" i="119" s="1"/>
  <c r="F238" i="107"/>
  <c r="E209" i="119" s="1"/>
  <c r="F244" i="107"/>
  <c r="E215" i="119" s="1"/>
  <c r="F235" i="107"/>
  <c r="E206" i="119" s="1"/>
  <c r="F230" i="107"/>
  <c r="E201" i="119" s="1"/>
  <c r="F227" i="107"/>
  <c r="E198" i="119" s="1"/>
  <c r="F234" i="107"/>
  <c r="E205" i="119" s="1"/>
  <c r="F229" i="107"/>
  <c r="E200" i="119" s="1"/>
  <c r="F243" i="107"/>
  <c r="E214" i="119" s="1"/>
  <c r="F242" i="107"/>
  <c r="E213" i="119" s="1"/>
  <c r="V143" i="92"/>
  <c r="V157" i="92" s="1"/>
  <c r="M143" i="92"/>
  <c r="M157" i="92" s="1"/>
  <c r="K143" i="92"/>
  <c r="K157" i="92" s="1"/>
  <c r="P143" i="92"/>
  <c r="P157" i="92" s="1"/>
  <c r="M221" i="92"/>
  <c r="O207" i="92"/>
  <c r="T143" i="92"/>
  <c r="T157" i="92" s="1"/>
  <c r="J221" i="92"/>
  <c r="L207" i="92"/>
  <c r="Y143" i="92"/>
  <c r="Y157" i="92" s="1"/>
  <c r="N143" i="92"/>
  <c r="N157" i="92" s="1"/>
  <c r="W143" i="92"/>
  <c r="W157" i="92" s="1"/>
  <c r="Q143" i="92"/>
  <c r="Q157" i="92" s="1"/>
  <c r="U143" i="92"/>
  <c r="U157" i="92" s="1"/>
  <c r="Z143" i="92"/>
  <c r="Z157" i="92" s="1"/>
  <c r="X143" i="92"/>
  <c r="X157" i="92" s="1"/>
  <c r="S143" i="92"/>
  <c r="S157" i="92" s="1"/>
  <c r="L143" i="92"/>
  <c r="L157" i="92" s="1"/>
  <c r="H143" i="92"/>
  <c r="H157" i="92" s="1"/>
  <c r="I143" i="92"/>
  <c r="I157" i="92" s="1"/>
  <c r="J143" i="92"/>
  <c r="J157" i="92" s="1"/>
  <c r="O143" i="92"/>
  <c r="O157" i="92" s="1"/>
  <c r="R143" i="92"/>
  <c r="R157" i="92" s="1"/>
  <c r="Z30" i="95"/>
  <c r="Z44" i="95" s="1"/>
  <c r="F69" i="100" s="1"/>
  <c r="X30" i="95"/>
  <c r="X44" i="95" s="1"/>
  <c r="F70" i="100" s="1"/>
  <c r="W30" i="95"/>
  <c r="W44" i="95" s="1"/>
  <c r="F67" i="100" s="1"/>
  <c r="Y30" i="95"/>
  <c r="Y44" i="95" s="1"/>
  <c r="F68" i="100" s="1"/>
  <c r="P260" i="161" l="1"/>
  <c r="I241" i="161"/>
  <c r="G244" i="161"/>
  <c r="Z157" i="152"/>
  <c r="G230" i="161"/>
  <c r="U157" i="152"/>
  <c r="H238" i="161"/>
  <c r="J238" i="161" s="1"/>
  <c r="Q238" i="161" s="1"/>
  <c r="H236" i="161"/>
  <c r="J236" i="161" s="1"/>
  <c r="M236" i="161" s="1"/>
  <c r="H241" i="161"/>
  <c r="J241" i="161" s="1"/>
  <c r="G238" i="161"/>
  <c r="G236" i="161"/>
  <c r="N260" i="161"/>
  <c r="M260" i="161"/>
  <c r="Q260" i="161"/>
  <c r="G235" i="161"/>
  <c r="G231" i="161"/>
  <c r="I231" i="161"/>
  <c r="J235" i="161"/>
  <c r="O235" i="161" s="1"/>
  <c r="I235" i="161"/>
  <c r="L157" i="152"/>
  <c r="N157" i="152"/>
  <c r="V157" i="152"/>
  <c r="H228" i="161"/>
  <c r="J228" i="161" s="1"/>
  <c r="Q228" i="161" s="1"/>
  <c r="R157" i="152"/>
  <c r="I244" i="161"/>
  <c r="I157" i="152"/>
  <c r="K157" i="152"/>
  <c r="T157" i="152"/>
  <c r="M157" i="152"/>
  <c r="W157" i="152"/>
  <c r="Y157" i="152"/>
  <c r="Q157" i="152"/>
  <c r="O157" i="152"/>
  <c r="J157" i="152"/>
  <c r="G227" i="161"/>
  <c r="H227" i="161"/>
  <c r="I227" i="161" s="1"/>
  <c r="F232" i="161"/>
  <c r="F254" i="161"/>
  <c r="I245" i="161"/>
  <c r="H245" i="161"/>
  <c r="J245" i="161" s="1"/>
  <c r="G245" i="161"/>
  <c r="X157" i="152"/>
  <c r="P157" i="152"/>
  <c r="F239" i="161"/>
  <c r="G234" i="161"/>
  <c r="H234" i="161"/>
  <c r="I234" i="161" s="1"/>
  <c r="D8" i="168"/>
  <c r="I250" i="161"/>
  <c r="G250" i="161"/>
  <c r="H250" i="161"/>
  <c r="J250" i="161" s="1"/>
  <c r="S157" i="152"/>
  <c r="F264" i="161"/>
  <c r="F253" i="161"/>
  <c r="G225" i="161"/>
  <c r="H225" i="161"/>
  <c r="I225" i="161" s="1"/>
  <c r="F246" i="161"/>
  <c r="K244" i="161"/>
  <c r="O244" i="161"/>
  <c r="N244" i="161"/>
  <c r="L244" i="161"/>
  <c r="P244" i="161"/>
  <c r="M244" i="161"/>
  <c r="Q244" i="161"/>
  <c r="P231" i="161"/>
  <c r="Q231" i="161"/>
  <c r="K231" i="161"/>
  <c r="O231" i="161"/>
  <c r="L231" i="161"/>
  <c r="N231" i="161"/>
  <c r="M231" i="161"/>
  <c r="G251" i="161"/>
  <c r="H251" i="161"/>
  <c r="J251" i="161" s="1"/>
  <c r="G242" i="161"/>
  <c r="H242" i="161"/>
  <c r="J242" i="161" s="1"/>
  <c r="H249" i="161"/>
  <c r="J249" i="161" s="1"/>
  <c r="G249" i="161"/>
  <c r="J230" i="161"/>
  <c r="K228" i="161"/>
  <c r="I243" i="161"/>
  <c r="G243" i="161"/>
  <c r="H243" i="161"/>
  <c r="J243" i="161" s="1"/>
  <c r="I229" i="161"/>
  <c r="G229" i="161"/>
  <c r="H229" i="161"/>
  <c r="J229" i="161" s="1"/>
  <c r="H248" i="161"/>
  <c r="J248" i="161" s="1"/>
  <c r="G248" i="161"/>
  <c r="N238" i="161"/>
  <c r="K238" i="161"/>
  <c r="G237" i="161"/>
  <c r="H237" i="161"/>
  <c r="J237" i="161" s="1"/>
  <c r="F265" i="161"/>
  <c r="C8" i="168"/>
  <c r="J225" i="107"/>
  <c r="D253" i="120" s="1"/>
  <c r="G227" i="107"/>
  <c r="F198" i="119" s="1"/>
  <c r="H237" i="107"/>
  <c r="G208" i="119" s="1"/>
  <c r="I225" i="107"/>
  <c r="H196" i="119" s="1"/>
  <c r="G237" i="107"/>
  <c r="F208" i="119" s="1"/>
  <c r="H227" i="107"/>
  <c r="G198" i="119" s="1"/>
  <c r="F265" i="107"/>
  <c r="E236" i="119" s="1"/>
  <c r="H230" i="107"/>
  <c r="G201" i="119" s="1"/>
  <c r="G230" i="107"/>
  <c r="F201" i="119" s="1"/>
  <c r="I241" i="107"/>
  <c r="H212" i="119" s="1"/>
  <c r="H241" i="107"/>
  <c r="G212" i="119" s="1"/>
  <c r="G241" i="107"/>
  <c r="F212" i="119" s="1"/>
  <c r="F246" i="107"/>
  <c r="E217" i="119" s="1"/>
  <c r="H245" i="107"/>
  <c r="G216" i="119" s="1"/>
  <c r="G245" i="107"/>
  <c r="F216" i="119" s="1"/>
  <c r="H231" i="107"/>
  <c r="G202" i="119" s="1"/>
  <c r="G231" i="107"/>
  <c r="F202" i="119" s="1"/>
  <c r="H229" i="107"/>
  <c r="G200" i="119" s="1"/>
  <c r="G229" i="107"/>
  <c r="F200" i="119" s="1"/>
  <c r="F253" i="107"/>
  <c r="E224" i="119" s="1"/>
  <c r="H228" i="107"/>
  <c r="G199" i="119" s="1"/>
  <c r="G228" i="107"/>
  <c r="F199" i="119" s="1"/>
  <c r="F264" i="107"/>
  <c r="E235" i="119" s="1"/>
  <c r="F232" i="107"/>
  <c r="E203" i="119" s="1"/>
  <c r="H235" i="107"/>
  <c r="G206" i="119" s="1"/>
  <c r="G235" i="107"/>
  <c r="F206" i="119" s="1"/>
  <c r="H244" i="107"/>
  <c r="G215" i="119" s="1"/>
  <c r="G244" i="107"/>
  <c r="F215" i="119" s="1"/>
  <c r="G243" i="107"/>
  <c r="F214" i="119" s="1"/>
  <c r="H243" i="107"/>
  <c r="G214" i="119" s="1"/>
  <c r="H234" i="107"/>
  <c r="G205" i="119" s="1"/>
  <c r="G234" i="107"/>
  <c r="F205" i="119" s="1"/>
  <c r="F239" i="107"/>
  <c r="E210" i="119" s="1"/>
  <c r="H236" i="107"/>
  <c r="G207" i="119" s="1"/>
  <c r="G236" i="107"/>
  <c r="F207" i="119" s="1"/>
  <c r="H242" i="107"/>
  <c r="G213" i="119" s="1"/>
  <c r="G242" i="107"/>
  <c r="F213" i="119" s="1"/>
  <c r="G238" i="107"/>
  <c r="F209" i="119" s="1"/>
  <c r="H238" i="107"/>
  <c r="G209" i="119" s="1"/>
  <c r="F249" i="107"/>
  <c r="E220" i="119" s="1"/>
  <c r="F251" i="107"/>
  <c r="E222" i="119" s="1"/>
  <c r="F250" i="107"/>
  <c r="E221" i="119" s="1"/>
  <c r="F248" i="107"/>
  <c r="E219" i="119" s="1"/>
  <c r="T219" i="92"/>
  <c r="T100" i="96" s="1"/>
  <c r="D28" i="92"/>
  <c r="D26" i="92"/>
  <c r="R219" i="92"/>
  <c r="R100" i="96" s="1"/>
  <c r="S219" i="92"/>
  <c r="S100" i="96" s="1"/>
  <c r="D27" i="92"/>
  <c r="G265" i="161" l="1"/>
  <c r="L228" i="161"/>
  <c r="I228" i="161"/>
  <c r="M228" i="161"/>
  <c r="P238" i="161"/>
  <c r="N228" i="161"/>
  <c r="O238" i="161"/>
  <c r="M238" i="161"/>
  <c r="L238" i="161"/>
  <c r="K236" i="161"/>
  <c r="O236" i="161"/>
  <c r="L236" i="161"/>
  <c r="N236" i="161"/>
  <c r="P236" i="161"/>
  <c r="Q236" i="161"/>
  <c r="P228" i="161"/>
  <c r="K235" i="161"/>
  <c r="O228" i="161"/>
  <c r="M235" i="161"/>
  <c r="D27" i="152"/>
  <c r="D32" i="155" s="1"/>
  <c r="N235" i="161"/>
  <c r="L235" i="161"/>
  <c r="P235" i="161"/>
  <c r="Q235" i="161"/>
  <c r="S219" i="152"/>
  <c r="S100" i="153" s="1"/>
  <c r="G239" i="161"/>
  <c r="R219" i="152"/>
  <c r="R100" i="153" s="1"/>
  <c r="E8" i="168"/>
  <c r="I249" i="161"/>
  <c r="I237" i="161"/>
  <c r="I248" i="161"/>
  <c r="D26" i="152"/>
  <c r="D50" i="159" s="1"/>
  <c r="D28" i="152"/>
  <c r="K26" i="152" s="1"/>
  <c r="P241" i="161"/>
  <c r="L241" i="161"/>
  <c r="O241" i="161"/>
  <c r="Q241" i="161"/>
  <c r="N241" i="161"/>
  <c r="K241" i="161"/>
  <c r="M241" i="161"/>
  <c r="J246" i="161"/>
  <c r="K251" i="161"/>
  <c r="M251" i="161"/>
  <c r="Q251" i="161"/>
  <c r="P251" i="161"/>
  <c r="O251" i="161"/>
  <c r="N251" i="161"/>
  <c r="L251" i="161"/>
  <c r="G253" i="161"/>
  <c r="G264" i="161"/>
  <c r="G254" i="161"/>
  <c r="G266" i="161" s="1"/>
  <c r="G2048" i="161" s="1"/>
  <c r="M237" i="161"/>
  <c r="K237" i="161"/>
  <c r="Q237" i="161"/>
  <c r="P237" i="161"/>
  <c r="N237" i="161"/>
  <c r="O237" i="161"/>
  <c r="L237" i="161"/>
  <c r="F256" i="161"/>
  <c r="L245" i="161"/>
  <c r="P245" i="161"/>
  <c r="K245" i="161"/>
  <c r="Q245" i="161"/>
  <c r="M245" i="161"/>
  <c r="O245" i="161"/>
  <c r="N245" i="161"/>
  <c r="M243" i="161"/>
  <c r="N243" i="161"/>
  <c r="Q243" i="161"/>
  <c r="K243" i="161"/>
  <c r="P243" i="161"/>
  <c r="O243" i="161"/>
  <c r="L243" i="161"/>
  <c r="J234" i="161"/>
  <c r="H239" i="161"/>
  <c r="I239" i="161" s="1"/>
  <c r="M249" i="161"/>
  <c r="K249" i="161"/>
  <c r="N249" i="161"/>
  <c r="Q249" i="161"/>
  <c r="L249" i="161"/>
  <c r="P249" i="161"/>
  <c r="O249" i="161"/>
  <c r="I242" i="161"/>
  <c r="L250" i="161"/>
  <c r="N250" i="161"/>
  <c r="K250" i="161"/>
  <c r="M250" i="161"/>
  <c r="O250" i="161"/>
  <c r="Q250" i="161"/>
  <c r="P250" i="161"/>
  <c r="H265" i="161"/>
  <c r="I265" i="161" s="1"/>
  <c r="N242" i="161"/>
  <c r="L242" i="161"/>
  <c r="M242" i="161"/>
  <c r="K242" i="161"/>
  <c r="Q242" i="161"/>
  <c r="P242" i="161"/>
  <c r="O242" i="161"/>
  <c r="F266" i="161"/>
  <c r="F268" i="161" s="1"/>
  <c r="L248" i="161"/>
  <c r="Q248" i="161"/>
  <c r="K248" i="161"/>
  <c r="O248" i="161"/>
  <c r="P248" i="161"/>
  <c r="M248" i="161"/>
  <c r="N248" i="161"/>
  <c r="N230" i="161"/>
  <c r="L230" i="161"/>
  <c r="M230" i="161"/>
  <c r="K230" i="161"/>
  <c r="Q230" i="161"/>
  <c r="P230" i="161"/>
  <c r="O230" i="161"/>
  <c r="J265" i="161"/>
  <c r="G246" i="161"/>
  <c r="T219" i="152"/>
  <c r="M229" i="161"/>
  <c r="P229" i="161"/>
  <c r="N229" i="161"/>
  <c r="K229" i="161"/>
  <c r="Q229" i="161"/>
  <c r="L229" i="161"/>
  <c r="O229" i="161"/>
  <c r="H246" i="161"/>
  <c r="I246" i="161" s="1"/>
  <c r="I251" i="161"/>
  <c r="J225" i="161"/>
  <c r="H264" i="161"/>
  <c r="H253" i="161"/>
  <c r="G232" i="161"/>
  <c r="J227" i="161"/>
  <c r="H254" i="161"/>
  <c r="H266" i="161" s="1"/>
  <c r="H2048" i="161" s="1"/>
  <c r="H232" i="161"/>
  <c r="I232" i="161" s="1"/>
  <c r="J227" i="107"/>
  <c r="D255" i="120" s="1"/>
  <c r="M225" i="107"/>
  <c r="G253" i="120" s="1"/>
  <c r="P225" i="107"/>
  <c r="J253" i="120" s="1"/>
  <c r="Q225" i="107"/>
  <c r="K253" i="120" s="1"/>
  <c r="K225" i="107"/>
  <c r="E253" i="120" s="1"/>
  <c r="N225" i="107"/>
  <c r="H253" i="120" s="1"/>
  <c r="O225" i="107"/>
  <c r="I253" i="120" s="1"/>
  <c r="L225" i="107"/>
  <c r="F253" i="120" s="1"/>
  <c r="I237" i="107"/>
  <c r="H208" i="119" s="1"/>
  <c r="I236" i="107"/>
  <c r="H207" i="119" s="1"/>
  <c r="J237" i="107"/>
  <c r="D31" i="102"/>
  <c r="D31" i="112"/>
  <c r="D50" i="108"/>
  <c r="D33" i="112"/>
  <c r="D52" i="108"/>
  <c r="D32" i="112"/>
  <c r="D51" i="108"/>
  <c r="I245" i="107"/>
  <c r="H216" i="119" s="1"/>
  <c r="I250" i="107"/>
  <c r="H221" i="119" s="1"/>
  <c r="J242" i="107"/>
  <c r="D270" i="120" s="1"/>
  <c r="J236" i="107"/>
  <c r="Q236" i="107" s="1"/>
  <c r="K264" i="120" s="1"/>
  <c r="J243" i="107"/>
  <c r="D271" i="120" s="1"/>
  <c r="J229" i="107"/>
  <c r="P229" i="107" s="1"/>
  <c r="J257" i="120" s="1"/>
  <c r="J231" i="107"/>
  <c r="N231" i="107" s="1"/>
  <c r="H259" i="120" s="1"/>
  <c r="J245" i="107"/>
  <c r="D273" i="120" s="1"/>
  <c r="I230" i="107"/>
  <c r="H201" i="119" s="1"/>
  <c r="I227" i="107"/>
  <c r="H198" i="119" s="1"/>
  <c r="I243" i="107"/>
  <c r="H214" i="119" s="1"/>
  <c r="I234" i="107"/>
  <c r="H205" i="119" s="1"/>
  <c r="H265" i="107"/>
  <c r="G236" i="119" s="1"/>
  <c r="J235" i="107"/>
  <c r="D263" i="120" s="1"/>
  <c r="J228" i="107"/>
  <c r="Q228" i="107" s="1"/>
  <c r="K256" i="120" s="1"/>
  <c r="J241" i="107"/>
  <c r="D269" i="120" s="1"/>
  <c r="G264" i="107"/>
  <c r="G265" i="107"/>
  <c r="F236" i="119" s="1"/>
  <c r="G232" i="107"/>
  <c r="F203" i="119" s="1"/>
  <c r="I231" i="107"/>
  <c r="H202" i="119" s="1"/>
  <c r="J230" i="107"/>
  <c r="J234" i="107"/>
  <c r="G250" i="107"/>
  <c r="F221" i="119" s="1"/>
  <c r="H239" i="107"/>
  <c r="G210" i="119" s="1"/>
  <c r="I235" i="107"/>
  <c r="H206" i="119" s="1"/>
  <c r="J244" i="107"/>
  <c r="I244" i="107"/>
  <c r="H215" i="119" s="1"/>
  <c r="I229" i="107"/>
  <c r="H200" i="119" s="1"/>
  <c r="G239" i="107"/>
  <c r="F210" i="119" s="1"/>
  <c r="H264" i="107"/>
  <c r="H232" i="107"/>
  <c r="G203" i="119" s="1"/>
  <c r="G246" i="107"/>
  <c r="F217" i="119" s="1"/>
  <c r="I228" i="107"/>
  <c r="H199" i="119" s="1"/>
  <c r="G253" i="107"/>
  <c r="F224" i="119" s="1"/>
  <c r="G248" i="107"/>
  <c r="F219" i="119" s="1"/>
  <c r="F254" i="107"/>
  <c r="E225" i="119" s="1"/>
  <c r="H248" i="107"/>
  <c r="G219" i="119" s="1"/>
  <c r="G249" i="107"/>
  <c r="F220" i="119" s="1"/>
  <c r="H249" i="107"/>
  <c r="G220" i="119" s="1"/>
  <c r="G251" i="107"/>
  <c r="F222" i="119" s="1"/>
  <c r="H251" i="107"/>
  <c r="G222" i="119" s="1"/>
  <c r="H253" i="107"/>
  <c r="G224" i="119" s="1"/>
  <c r="H250" i="107"/>
  <c r="G221" i="119" s="1"/>
  <c r="I242" i="107"/>
  <c r="H213" i="119" s="1"/>
  <c r="H246" i="107"/>
  <c r="G217" i="119" s="1"/>
  <c r="J238" i="107"/>
  <c r="D266" i="120" s="1"/>
  <c r="I238" i="107"/>
  <c r="H209" i="119" s="1"/>
  <c r="Q219" i="92"/>
  <c r="R221" i="92" s="1"/>
  <c r="R207" i="92" s="1"/>
  <c r="P219" i="92"/>
  <c r="K24" i="92"/>
  <c r="D30" i="92"/>
  <c r="E26" i="92" s="1"/>
  <c r="K25" i="92"/>
  <c r="K26" i="92"/>
  <c r="Q265" i="161" l="1"/>
  <c r="F235" i="119"/>
  <c r="K265" i="161"/>
  <c r="G235" i="119"/>
  <c r="K25" i="152"/>
  <c r="D51" i="159"/>
  <c r="L265" i="161"/>
  <c r="Q100" i="153"/>
  <c r="R102" i="153" s="1"/>
  <c r="R85" i="153" s="1"/>
  <c r="F2048" i="161"/>
  <c r="G2049" i="161" s="1"/>
  <c r="Q219" i="152"/>
  <c r="S221" i="152" s="1"/>
  <c r="S207" i="152" s="1"/>
  <c r="O265" i="161"/>
  <c r="D31" i="155"/>
  <c r="K227" i="107"/>
  <c r="E255" i="120" s="1"/>
  <c r="D31" i="158"/>
  <c r="D32" i="158" s="1"/>
  <c r="E31" i="158" s="1"/>
  <c r="F31" i="158" s="1"/>
  <c r="F45" i="158" s="1"/>
  <c r="F361" i="151" s="1"/>
  <c r="F1038" i="161" s="1"/>
  <c r="K24" i="152"/>
  <c r="D32" i="157" s="1"/>
  <c r="P246" i="161"/>
  <c r="D30" i="152"/>
  <c r="E26" i="152" s="1"/>
  <c r="E31" i="155" s="1"/>
  <c r="F31" i="155" s="1"/>
  <c r="F191" i="151" s="1"/>
  <c r="F530" i="161" s="1"/>
  <c r="P265" i="161"/>
  <c r="D52" i="159"/>
  <c r="D33" i="155"/>
  <c r="D35" i="155" s="1"/>
  <c r="N246" i="161"/>
  <c r="N265" i="161"/>
  <c r="H256" i="161"/>
  <c r="I256" i="161" s="1"/>
  <c r="M227" i="107"/>
  <c r="G255" i="120" s="1"/>
  <c r="N227" i="107"/>
  <c r="H255" i="120" s="1"/>
  <c r="K246" i="161"/>
  <c r="K227" i="161"/>
  <c r="K232" i="161" s="1"/>
  <c r="M227" i="161"/>
  <c r="M232" i="161" s="1"/>
  <c r="N227" i="161"/>
  <c r="N232" i="161" s="1"/>
  <c r="L227" i="161"/>
  <c r="L232" i="161" s="1"/>
  <c r="Q227" i="161"/>
  <c r="Q232" i="161" s="1"/>
  <c r="P227" i="161"/>
  <c r="P232" i="161" s="1"/>
  <c r="O227" i="161"/>
  <c r="O232" i="161" s="1"/>
  <c r="J254" i="161"/>
  <c r="J232" i="161"/>
  <c r="S102" i="153"/>
  <c r="S85" i="153" s="1"/>
  <c r="M246" i="161"/>
  <c r="L234" i="161"/>
  <c r="L239" i="161" s="1"/>
  <c r="O234" i="161"/>
  <c r="O239" i="161" s="1"/>
  <c r="P234" i="161"/>
  <c r="P239" i="161" s="1"/>
  <c r="M234" i="161"/>
  <c r="M239" i="161" s="1"/>
  <c r="N234" i="161"/>
  <c r="N239" i="161" s="1"/>
  <c r="Q234" i="161"/>
  <c r="Q239" i="161" s="1"/>
  <c r="K234" i="161"/>
  <c r="K239" i="161" s="1"/>
  <c r="J239" i="161"/>
  <c r="I254" i="161"/>
  <c r="L246" i="161"/>
  <c r="I266" i="161"/>
  <c r="G268" i="161"/>
  <c r="I264" i="161"/>
  <c r="H268" i="161"/>
  <c r="I268" i="161" s="1"/>
  <c r="D33" i="157"/>
  <c r="G256" i="161"/>
  <c r="P225" i="161"/>
  <c r="M225" i="161"/>
  <c r="J253" i="161"/>
  <c r="L225" i="161"/>
  <c r="N225" i="161"/>
  <c r="K225" i="161"/>
  <c r="J264" i="161"/>
  <c r="Q225" i="161"/>
  <c r="O225" i="161"/>
  <c r="O246" i="161"/>
  <c r="D34" i="157"/>
  <c r="M265" i="161"/>
  <c r="I253" i="161"/>
  <c r="T100" i="153"/>
  <c r="P100" i="153" s="1"/>
  <c r="Q246" i="161"/>
  <c r="P219" i="152"/>
  <c r="Q227" i="107"/>
  <c r="K255" i="120" s="1"/>
  <c r="P227" i="107"/>
  <c r="J255" i="120" s="1"/>
  <c r="L227" i="107"/>
  <c r="F255" i="120" s="1"/>
  <c r="L242" i="107"/>
  <c r="F270" i="120" s="1"/>
  <c r="M242" i="107"/>
  <c r="G270" i="120" s="1"/>
  <c r="O227" i="107"/>
  <c r="I255" i="120" s="1"/>
  <c r="K242" i="107"/>
  <c r="E270" i="120" s="1"/>
  <c r="Q242" i="107"/>
  <c r="K270" i="120" s="1"/>
  <c r="O242" i="107"/>
  <c r="I270" i="120" s="1"/>
  <c r="L228" i="107"/>
  <c r="F256" i="120" s="1"/>
  <c r="K228" i="107"/>
  <c r="E256" i="120" s="1"/>
  <c r="O228" i="107"/>
  <c r="I256" i="120" s="1"/>
  <c r="N228" i="107"/>
  <c r="H256" i="120" s="1"/>
  <c r="P242" i="107"/>
  <c r="J270" i="120" s="1"/>
  <c r="N242" i="107"/>
  <c r="H270" i="120" s="1"/>
  <c r="O235" i="107"/>
  <c r="I263" i="120" s="1"/>
  <c r="M235" i="107"/>
  <c r="G263" i="120" s="1"/>
  <c r="K229" i="107"/>
  <c r="E257" i="120" s="1"/>
  <c r="P241" i="107"/>
  <c r="J269" i="120" s="1"/>
  <c r="Q241" i="107"/>
  <c r="K269" i="120" s="1"/>
  <c r="L229" i="107"/>
  <c r="F257" i="120" s="1"/>
  <c r="L241" i="107"/>
  <c r="F269" i="120" s="1"/>
  <c r="Q235" i="107"/>
  <c r="K263" i="120" s="1"/>
  <c r="D265" i="120"/>
  <c r="Q237" i="107"/>
  <c r="K265" i="120" s="1"/>
  <c r="K237" i="107"/>
  <c r="E265" i="120" s="1"/>
  <c r="P237" i="107"/>
  <c r="J265" i="120" s="1"/>
  <c r="O237" i="107"/>
  <c r="I265" i="120" s="1"/>
  <c r="M237" i="107"/>
  <c r="G265" i="120" s="1"/>
  <c r="N237" i="107"/>
  <c r="H265" i="120" s="1"/>
  <c r="L237" i="107"/>
  <c r="F265" i="120" s="1"/>
  <c r="P236" i="107"/>
  <c r="J264" i="120" s="1"/>
  <c r="D32" i="101"/>
  <c r="D34" i="101"/>
  <c r="D33" i="101"/>
  <c r="E50" i="108"/>
  <c r="G50" i="108" s="1"/>
  <c r="F45" i="99"/>
  <c r="E31" i="112"/>
  <c r="F31" i="112" s="1"/>
  <c r="E32" i="90"/>
  <c r="Q231" i="107"/>
  <c r="K259" i="120" s="1"/>
  <c r="M231" i="107"/>
  <c r="G259" i="120" s="1"/>
  <c r="J246" i="107"/>
  <c r="D274" i="120" s="1"/>
  <c r="O229" i="107"/>
  <c r="I257" i="120" s="1"/>
  <c r="O236" i="107"/>
  <c r="I264" i="120" s="1"/>
  <c r="M236" i="107"/>
  <c r="G264" i="120" s="1"/>
  <c r="P228" i="107"/>
  <c r="J256" i="120" s="1"/>
  <c r="O231" i="107"/>
  <c r="I259" i="120" s="1"/>
  <c r="K235" i="107"/>
  <c r="E263" i="120" s="1"/>
  <c r="L235" i="107"/>
  <c r="F263" i="120" s="1"/>
  <c r="P235" i="107"/>
  <c r="J263" i="120" s="1"/>
  <c r="N235" i="107"/>
  <c r="H263" i="120" s="1"/>
  <c r="K241" i="107"/>
  <c r="E269" i="120" s="1"/>
  <c r="M241" i="107"/>
  <c r="G269" i="120" s="1"/>
  <c r="N241" i="107"/>
  <c r="H269" i="120" s="1"/>
  <c r="O241" i="107"/>
  <c r="I269" i="120" s="1"/>
  <c r="J264" i="107"/>
  <c r="D292" i="120" s="1"/>
  <c r="N229" i="107"/>
  <c r="H257" i="120" s="1"/>
  <c r="M229" i="107"/>
  <c r="G257" i="120" s="1"/>
  <c r="K236" i="107"/>
  <c r="E264" i="120" s="1"/>
  <c r="N236" i="107"/>
  <c r="H264" i="120" s="1"/>
  <c r="P231" i="107"/>
  <c r="J259" i="120" s="1"/>
  <c r="L231" i="107"/>
  <c r="F259" i="120" s="1"/>
  <c r="P230" i="107"/>
  <c r="J258" i="120" s="1"/>
  <c r="D258" i="120"/>
  <c r="M228" i="107"/>
  <c r="G256" i="120" s="1"/>
  <c r="D256" i="120"/>
  <c r="K231" i="107"/>
  <c r="E259" i="120" s="1"/>
  <c r="D259" i="120"/>
  <c r="M244" i="107"/>
  <c r="G272" i="120" s="1"/>
  <c r="D272" i="120"/>
  <c r="K234" i="107"/>
  <c r="E262" i="120" s="1"/>
  <c r="D262" i="120"/>
  <c r="Q229" i="107"/>
  <c r="K257" i="120" s="1"/>
  <c r="D257" i="120"/>
  <c r="L236" i="107"/>
  <c r="F264" i="120" s="1"/>
  <c r="D264" i="120"/>
  <c r="J250" i="107"/>
  <c r="K250" i="107" s="1"/>
  <c r="E278" i="120" s="1"/>
  <c r="F256" i="107"/>
  <c r="E227" i="119" s="1"/>
  <c r="I232" i="107"/>
  <c r="H203" i="119" s="1"/>
  <c r="I239" i="107"/>
  <c r="H210" i="119" s="1"/>
  <c r="I265" i="107"/>
  <c r="H236" i="119" s="1"/>
  <c r="I246" i="107"/>
  <c r="H217" i="119" s="1"/>
  <c r="I253" i="107"/>
  <c r="H224" i="119" s="1"/>
  <c r="J251" i="107"/>
  <c r="D279" i="120" s="1"/>
  <c r="I249" i="107"/>
  <c r="H220" i="119" s="1"/>
  <c r="J248" i="107"/>
  <c r="N248" i="107" s="1"/>
  <c r="H276" i="120" s="1"/>
  <c r="I264" i="107"/>
  <c r="H235" i="119" s="1"/>
  <c r="N245" i="107"/>
  <c r="H273" i="120" s="1"/>
  <c r="Q245" i="107"/>
  <c r="K273" i="120" s="1"/>
  <c r="P245" i="107"/>
  <c r="J273" i="120" s="1"/>
  <c r="L245" i="107"/>
  <c r="F273" i="120" s="1"/>
  <c r="K245" i="107"/>
  <c r="E273" i="120" s="1"/>
  <c r="O245" i="107"/>
  <c r="I273" i="120" s="1"/>
  <c r="M245" i="107"/>
  <c r="G273" i="120" s="1"/>
  <c r="O243" i="107"/>
  <c r="I271" i="120" s="1"/>
  <c r="K243" i="107"/>
  <c r="E271" i="120" s="1"/>
  <c r="Q243" i="107"/>
  <c r="K271" i="120" s="1"/>
  <c r="M243" i="107"/>
  <c r="G271" i="120" s="1"/>
  <c r="P243" i="107"/>
  <c r="J271" i="120" s="1"/>
  <c r="L243" i="107"/>
  <c r="F271" i="120" s="1"/>
  <c r="N243" i="107"/>
  <c r="Q244" i="107"/>
  <c r="K272" i="120" s="1"/>
  <c r="N244" i="107"/>
  <c r="H272" i="120" s="1"/>
  <c r="O234" i="107"/>
  <c r="I262" i="120" s="1"/>
  <c r="N230" i="107"/>
  <c r="H258" i="120" s="1"/>
  <c r="M230" i="107"/>
  <c r="G258" i="120" s="1"/>
  <c r="J253" i="107"/>
  <c r="D281" i="120" s="1"/>
  <c r="J232" i="107"/>
  <c r="D260" i="120" s="1"/>
  <c r="P234" i="107"/>
  <c r="J262" i="120" s="1"/>
  <c r="O230" i="107"/>
  <c r="K230" i="107"/>
  <c r="E258" i="120" s="1"/>
  <c r="L234" i="107"/>
  <c r="F262" i="120" s="1"/>
  <c r="N234" i="107"/>
  <c r="H262" i="120" s="1"/>
  <c r="Q230" i="107"/>
  <c r="Q234" i="107"/>
  <c r="K262" i="120" s="1"/>
  <c r="J265" i="107"/>
  <c r="D293" i="120" s="1"/>
  <c r="M234" i="107"/>
  <c r="G262" i="120" s="1"/>
  <c r="L230" i="107"/>
  <c r="J239" i="107"/>
  <c r="D267" i="120" s="1"/>
  <c r="I251" i="107"/>
  <c r="H222" i="119" s="1"/>
  <c r="J249" i="107"/>
  <c r="I248" i="107"/>
  <c r="H219" i="119" s="1"/>
  <c r="O244" i="107"/>
  <c r="I272" i="120" s="1"/>
  <c r="L244" i="107"/>
  <c r="F272" i="120" s="1"/>
  <c r="K244" i="107"/>
  <c r="E272" i="120" s="1"/>
  <c r="P244" i="107"/>
  <c r="F266" i="107"/>
  <c r="E237" i="119" s="1"/>
  <c r="H254" i="107"/>
  <c r="G225" i="119" s="1"/>
  <c r="P238" i="107"/>
  <c r="J266" i="120" s="1"/>
  <c r="L238" i="107"/>
  <c r="F266" i="120" s="1"/>
  <c r="Q238" i="107"/>
  <c r="N238" i="107"/>
  <c r="H266" i="120" s="1"/>
  <c r="M238" i="107"/>
  <c r="O238" i="107"/>
  <c r="K238" i="107"/>
  <c r="E266" i="120" s="1"/>
  <c r="G254" i="107"/>
  <c r="F225" i="119" s="1"/>
  <c r="S221" i="92"/>
  <c r="S207" i="92" s="1"/>
  <c r="E27" i="92"/>
  <c r="E28" i="92"/>
  <c r="K28" i="92"/>
  <c r="L25" i="92" s="1"/>
  <c r="I219" i="92"/>
  <c r="D32" i="102"/>
  <c r="E31" i="102" s="1"/>
  <c r="F31" i="102" s="1"/>
  <c r="F45" i="102" s="1"/>
  <c r="T221" i="92"/>
  <c r="T207" i="92" s="1"/>
  <c r="P100" i="96"/>
  <c r="Q100" i="96"/>
  <c r="E25" i="92"/>
  <c r="E29" i="92"/>
  <c r="E24" i="92"/>
  <c r="E22" i="92"/>
  <c r="E23" i="92"/>
  <c r="D35" i="112"/>
  <c r="Q221" i="92"/>
  <c r="H2049" i="161" l="1"/>
  <c r="H312" i="161" s="1"/>
  <c r="Q221" i="152"/>
  <c r="R221" i="152"/>
  <c r="R207" i="152" s="1"/>
  <c r="T221" i="152"/>
  <c r="T207" i="152" s="1"/>
  <c r="K28" i="152"/>
  <c r="L24" i="152" s="1"/>
  <c r="K254" i="161"/>
  <c r="K266" i="161" s="1"/>
  <c r="E32" i="160"/>
  <c r="H32" i="160" s="1"/>
  <c r="H51" i="160" s="1"/>
  <c r="F420" i="151" s="1"/>
  <c r="F1193" i="161" s="1"/>
  <c r="F45" i="156"/>
  <c r="H45" i="156" s="1"/>
  <c r="H57" i="156" s="1"/>
  <c r="F149" i="151" s="1"/>
  <c r="F465" i="161" s="1"/>
  <c r="E25" i="152"/>
  <c r="F43" i="156" s="1"/>
  <c r="E27" i="152"/>
  <c r="F46" i="156" s="1"/>
  <c r="E29" i="152"/>
  <c r="F48" i="156" s="1"/>
  <c r="E23" i="152"/>
  <c r="E28" i="155" s="1"/>
  <c r="F28" i="155" s="1"/>
  <c r="F188" i="151" s="1"/>
  <c r="F527" i="161" s="1"/>
  <c r="E28" i="152"/>
  <c r="E33" i="155" s="1"/>
  <c r="F33" i="155" s="1"/>
  <c r="F193" i="151" s="1"/>
  <c r="F532" i="161" s="1"/>
  <c r="E24" i="152"/>
  <c r="E30" i="160" s="1"/>
  <c r="E22" i="152"/>
  <c r="E28" i="160" s="1"/>
  <c r="E50" i="159"/>
  <c r="G50" i="159" s="1"/>
  <c r="G63" i="159" s="1"/>
  <c r="M254" i="161"/>
  <c r="M266" i="161" s="1"/>
  <c r="P254" i="161"/>
  <c r="P2048" i="161" s="1"/>
  <c r="N254" i="161"/>
  <c r="N266" i="161" s="1"/>
  <c r="J256" i="161"/>
  <c r="Q207" i="152"/>
  <c r="P221" i="152"/>
  <c r="T102" i="153"/>
  <c r="T85" i="153" s="1"/>
  <c r="I100" i="153"/>
  <c r="P101" i="153" s="1"/>
  <c r="P85" i="153" s="1"/>
  <c r="P84" i="153" s="1"/>
  <c r="Q102" i="153"/>
  <c r="H1038" i="161"/>
  <c r="G1038" i="161"/>
  <c r="G1432" i="161" s="1"/>
  <c r="F1432" i="161"/>
  <c r="J266" i="161"/>
  <c r="J268" i="161" s="1"/>
  <c r="J2048" i="161"/>
  <c r="F2049" i="161"/>
  <c r="G312" i="161"/>
  <c r="G314" i="161" s="1"/>
  <c r="E29" i="158"/>
  <c r="F29" i="158" s="1"/>
  <c r="F43" i="158" s="1"/>
  <c r="F359" i="151" s="1"/>
  <c r="F1036" i="161" s="1"/>
  <c r="E27" i="158"/>
  <c r="E30" i="158"/>
  <c r="F30" i="158" s="1"/>
  <c r="F44" i="158" s="1"/>
  <c r="F360" i="151" s="1"/>
  <c r="F1037" i="161" s="1"/>
  <c r="E28" i="158"/>
  <c r="F28" i="158" s="1"/>
  <c r="K264" i="161"/>
  <c r="K253" i="161"/>
  <c r="L25" i="152"/>
  <c r="L254" i="161"/>
  <c r="J312" i="161"/>
  <c r="H314" i="161"/>
  <c r="N264" i="161"/>
  <c r="N253" i="161"/>
  <c r="L253" i="161"/>
  <c r="L264" i="161"/>
  <c r="L22" i="152"/>
  <c r="L27" i="152"/>
  <c r="L23" i="152"/>
  <c r="H530" i="161"/>
  <c r="J530" i="161" s="1"/>
  <c r="G530" i="161"/>
  <c r="I219" i="152"/>
  <c r="P220" i="152" s="1"/>
  <c r="P207" i="152" s="1"/>
  <c r="P206" i="152" s="1"/>
  <c r="M264" i="161"/>
  <c r="M253" i="161"/>
  <c r="L26" i="152"/>
  <c r="O264" i="161"/>
  <c r="O253" i="161"/>
  <c r="P264" i="161"/>
  <c r="P253" i="161"/>
  <c r="P256" i="161" s="1"/>
  <c r="O254" i="161"/>
  <c r="Q253" i="161"/>
  <c r="Q264" i="161"/>
  <c r="Q254" i="161"/>
  <c r="K264" i="107"/>
  <c r="E292" i="120" s="1"/>
  <c r="O264" i="107"/>
  <c r="I292" i="120" s="1"/>
  <c r="L251" i="107"/>
  <c r="F279" i="120" s="1"/>
  <c r="L250" i="107"/>
  <c r="F278" i="120" s="1"/>
  <c r="Q251" i="107"/>
  <c r="K279" i="120" s="1"/>
  <c r="Q264" i="107"/>
  <c r="K292" i="120" s="1"/>
  <c r="P248" i="107"/>
  <c r="J276" i="120" s="1"/>
  <c r="P264" i="107"/>
  <c r="J292" i="120" s="1"/>
  <c r="L248" i="107"/>
  <c r="F276" i="120" s="1"/>
  <c r="O248" i="107"/>
  <c r="I276" i="120" s="1"/>
  <c r="M248" i="107"/>
  <c r="G276" i="120" s="1"/>
  <c r="Q248" i="107"/>
  <c r="K276" i="120" s="1"/>
  <c r="P251" i="107"/>
  <c r="J279" i="120" s="1"/>
  <c r="L264" i="107"/>
  <c r="F292" i="120" s="1"/>
  <c r="Q253" i="107"/>
  <c r="K281" i="120" s="1"/>
  <c r="N253" i="107"/>
  <c r="H281" i="120" s="1"/>
  <c r="K251" i="107"/>
  <c r="E279" i="120" s="1"/>
  <c r="N251" i="107"/>
  <c r="H279" i="120" s="1"/>
  <c r="E33" i="112"/>
  <c r="F33" i="112" s="1"/>
  <c r="E34" i="90"/>
  <c r="F34" i="90" s="1"/>
  <c r="F53" i="90" s="1"/>
  <c r="E52" i="108"/>
  <c r="G52" i="108" s="1"/>
  <c r="F47" i="99"/>
  <c r="H47" i="99" s="1"/>
  <c r="H59" i="99" s="1"/>
  <c r="E34" i="112"/>
  <c r="F34" i="112" s="1"/>
  <c r="E35" i="90"/>
  <c r="F48" i="99"/>
  <c r="E53" i="108"/>
  <c r="G53" i="108" s="1"/>
  <c r="E32" i="112"/>
  <c r="F32" i="112" s="1"/>
  <c r="F46" i="99"/>
  <c r="H46" i="99" s="1"/>
  <c r="H58" i="99" s="1"/>
  <c r="E51" i="108"/>
  <c r="G51" i="108" s="1"/>
  <c r="E33" i="90"/>
  <c r="H33" i="90" s="1"/>
  <c r="H52" i="90" s="1"/>
  <c r="E29" i="90"/>
  <c r="E47" i="108"/>
  <c r="G47" i="108" s="1"/>
  <c r="F40" i="99"/>
  <c r="E28" i="112"/>
  <c r="F28" i="112" s="1"/>
  <c r="E27" i="112"/>
  <c r="E28" i="90"/>
  <c r="E46" i="108"/>
  <c r="G46" i="108" s="1"/>
  <c r="F39" i="99"/>
  <c r="E30" i="90"/>
  <c r="F42" i="99"/>
  <c r="E48" i="108"/>
  <c r="G48" i="108" s="1"/>
  <c r="E29" i="112"/>
  <c r="F29" i="112" s="1"/>
  <c r="F43" i="99"/>
  <c r="E49" i="108"/>
  <c r="G49" i="108" s="1"/>
  <c r="E31" i="90"/>
  <c r="E30" i="112"/>
  <c r="F30" i="112" s="1"/>
  <c r="D36" i="157"/>
  <c r="E33" i="157" s="1"/>
  <c r="R102" i="96"/>
  <c r="T102" i="96"/>
  <c r="F191" i="100"/>
  <c r="F530" i="107" s="1"/>
  <c r="E623" i="119" s="1"/>
  <c r="F361" i="100"/>
  <c r="F1038" i="107" s="1"/>
  <c r="M232" i="107"/>
  <c r="G260" i="120" s="1"/>
  <c r="Q246" i="107"/>
  <c r="K274" i="120" s="1"/>
  <c r="P232" i="107"/>
  <c r="J260" i="120" s="1"/>
  <c r="M253" i="107"/>
  <c r="G281" i="120" s="1"/>
  <c r="N232" i="107"/>
  <c r="H260" i="120" s="1"/>
  <c r="M265" i="107"/>
  <c r="G293" i="120" s="1"/>
  <c r="M246" i="107"/>
  <c r="G274" i="120" s="1"/>
  <c r="M264" i="107"/>
  <c r="G292" i="120" s="1"/>
  <c r="N264" i="107"/>
  <c r="H292" i="120" s="1"/>
  <c r="O239" i="107"/>
  <c r="I267" i="120" s="1"/>
  <c r="I266" i="120"/>
  <c r="L232" i="107"/>
  <c r="F260" i="120" s="1"/>
  <c r="F258" i="120"/>
  <c r="Q265" i="107"/>
  <c r="K293" i="120" s="1"/>
  <c r="K258" i="120"/>
  <c r="O232" i="107"/>
  <c r="I260" i="120" s="1"/>
  <c r="I258" i="120"/>
  <c r="K248" i="107"/>
  <c r="E276" i="120" s="1"/>
  <c r="D276" i="120"/>
  <c r="M239" i="107"/>
  <c r="G267" i="120" s="1"/>
  <c r="G266" i="120"/>
  <c r="Q239" i="107"/>
  <c r="K267" i="120" s="1"/>
  <c r="K266" i="120"/>
  <c r="P253" i="107"/>
  <c r="J281" i="120" s="1"/>
  <c r="J272" i="120"/>
  <c r="M249" i="107"/>
  <c r="G277" i="120" s="1"/>
  <c r="D277" i="120"/>
  <c r="N246" i="107"/>
  <c r="H274" i="120" s="1"/>
  <c r="H271" i="120"/>
  <c r="M250" i="107"/>
  <c r="G278" i="120" s="1"/>
  <c r="D278" i="120"/>
  <c r="P250" i="107"/>
  <c r="J278" i="120" s="1"/>
  <c r="N250" i="107"/>
  <c r="H278" i="120" s="1"/>
  <c r="Q250" i="107"/>
  <c r="K278" i="120" s="1"/>
  <c r="O250" i="107"/>
  <c r="I278" i="120" s="1"/>
  <c r="O246" i="107"/>
  <c r="I274" i="120" s="1"/>
  <c r="F268" i="107"/>
  <c r="E239" i="119" s="1"/>
  <c r="H266" i="107"/>
  <c r="O251" i="107"/>
  <c r="I279" i="120" s="1"/>
  <c r="M251" i="107"/>
  <c r="G279" i="120" s="1"/>
  <c r="N265" i="107"/>
  <c r="H293" i="120" s="1"/>
  <c r="Q232" i="107"/>
  <c r="K260" i="120" s="1"/>
  <c r="L249" i="107"/>
  <c r="F277" i="120" s="1"/>
  <c r="K265" i="107"/>
  <c r="E293" i="120" s="1"/>
  <c r="K232" i="107"/>
  <c r="E260" i="120" s="1"/>
  <c r="L265" i="107"/>
  <c r="F293" i="120" s="1"/>
  <c r="P239" i="107"/>
  <c r="J267" i="120" s="1"/>
  <c r="L253" i="107"/>
  <c r="F281" i="120" s="1"/>
  <c r="K253" i="107"/>
  <c r="E281" i="120" s="1"/>
  <c r="N239" i="107"/>
  <c r="H267" i="120" s="1"/>
  <c r="L239" i="107"/>
  <c r="F267" i="120" s="1"/>
  <c r="P265" i="107"/>
  <c r="J293" i="120" s="1"/>
  <c r="O265" i="107"/>
  <c r="I293" i="120" s="1"/>
  <c r="Q249" i="107"/>
  <c r="K277" i="120" s="1"/>
  <c r="P249" i="107"/>
  <c r="K249" i="107"/>
  <c r="E277" i="120" s="1"/>
  <c r="N249" i="107"/>
  <c r="O249" i="107"/>
  <c r="O253" i="107"/>
  <c r="I281" i="120" s="1"/>
  <c r="J254" i="107"/>
  <c r="P246" i="107"/>
  <c r="J274" i="120" s="1"/>
  <c r="L246" i="107"/>
  <c r="F274" i="120" s="1"/>
  <c r="K246" i="107"/>
  <c r="E274" i="120" s="1"/>
  <c r="I254" i="107"/>
  <c r="H225" i="119" s="1"/>
  <c r="K239" i="107"/>
  <c r="E267" i="120" s="1"/>
  <c r="H256" i="107"/>
  <c r="G227" i="119" s="1"/>
  <c r="G266" i="107"/>
  <c r="G256" i="107"/>
  <c r="F227" i="119" s="1"/>
  <c r="J220" i="92"/>
  <c r="U220" i="92"/>
  <c r="U207" i="92" s="1"/>
  <c r="U206" i="92" s="1"/>
  <c r="M220" i="92"/>
  <c r="M207" i="92" s="1"/>
  <c r="M206" i="92" s="1"/>
  <c r="I45" i="99"/>
  <c r="I57" i="99" s="1"/>
  <c r="H45" i="99"/>
  <c r="H57" i="99" s="1"/>
  <c r="G45" i="99"/>
  <c r="E27" i="102"/>
  <c r="E30" i="102"/>
  <c r="F30" i="102" s="1"/>
  <c r="F44" i="102" s="1"/>
  <c r="E28" i="102"/>
  <c r="F28" i="102" s="1"/>
  <c r="E29" i="102"/>
  <c r="F29" i="102" s="1"/>
  <c r="F43" i="102" s="1"/>
  <c r="L22" i="92"/>
  <c r="L27" i="92"/>
  <c r="L23" i="92"/>
  <c r="F492" i="100"/>
  <c r="G63" i="108"/>
  <c r="Q102" i="96"/>
  <c r="I100" i="96"/>
  <c r="S102" i="96"/>
  <c r="L24" i="92"/>
  <c r="E30" i="92"/>
  <c r="Q207" i="92"/>
  <c r="P221" i="92"/>
  <c r="L26" i="92"/>
  <c r="P220" i="92"/>
  <c r="P207" i="92" s="1"/>
  <c r="P206" i="92" s="1"/>
  <c r="D36" i="101"/>
  <c r="H32" i="90"/>
  <c r="H51" i="90" s="1"/>
  <c r="G32" i="90"/>
  <c r="G51" i="90" s="1"/>
  <c r="F32" i="90"/>
  <c r="F51" i="90" s="1"/>
  <c r="K256" i="161" l="1"/>
  <c r="G32" i="160"/>
  <c r="G51" i="160" s="1"/>
  <c r="F166" i="151" s="1"/>
  <c r="F490" i="161" s="1"/>
  <c r="F32" i="160"/>
  <c r="F51" i="160" s="1"/>
  <c r="F337" i="151" s="1"/>
  <c r="F996" i="161" s="1"/>
  <c r="F237" i="119"/>
  <c r="G268" i="107"/>
  <c r="G237" i="119"/>
  <c r="H268" i="107"/>
  <c r="K2048" i="161"/>
  <c r="P266" i="161"/>
  <c r="P268" i="161" s="1"/>
  <c r="N2048" i="161"/>
  <c r="L256" i="161"/>
  <c r="E51" i="159"/>
  <c r="G51" i="159" s="1"/>
  <c r="F493" i="151" s="1"/>
  <c r="F1384" i="161" s="1"/>
  <c r="E32" i="155"/>
  <c r="F32" i="155" s="1"/>
  <c r="F192" i="151" s="1"/>
  <c r="F531" i="161" s="1"/>
  <c r="H531" i="161" s="1"/>
  <c r="J531" i="161" s="1"/>
  <c r="E30" i="155"/>
  <c r="F30" i="155" s="1"/>
  <c r="F190" i="151" s="1"/>
  <c r="F529" i="161" s="1"/>
  <c r="H529" i="161" s="1"/>
  <c r="J529" i="161" s="1"/>
  <c r="I45" i="156"/>
  <c r="I57" i="156" s="1"/>
  <c r="F404" i="151" s="1"/>
  <c r="F1170" i="161" s="1"/>
  <c r="H1170" i="161" s="1"/>
  <c r="J1170" i="161" s="1"/>
  <c r="G45" i="156"/>
  <c r="G57" i="156" s="1"/>
  <c r="F321" i="151" s="1"/>
  <c r="F973" i="161" s="1"/>
  <c r="G973" i="161" s="1"/>
  <c r="E35" i="160"/>
  <c r="F35" i="160" s="1"/>
  <c r="F54" i="160" s="1"/>
  <c r="F340" i="151" s="1"/>
  <c r="F999" i="161" s="1"/>
  <c r="E33" i="160"/>
  <c r="H33" i="160" s="1"/>
  <c r="H52" i="160" s="1"/>
  <c r="F421" i="151" s="1"/>
  <c r="F1194" i="161" s="1"/>
  <c r="E49" i="159"/>
  <c r="G49" i="159" s="1"/>
  <c r="G62" i="159" s="1"/>
  <c r="E31" i="160"/>
  <c r="H31" i="160" s="1"/>
  <c r="H50" i="160" s="1"/>
  <c r="F419" i="151" s="1"/>
  <c r="F1192" i="161" s="1"/>
  <c r="E53" i="159"/>
  <c r="G53" i="159" s="1"/>
  <c r="F495" i="151" s="1"/>
  <c r="F1386" i="161" s="1"/>
  <c r="E34" i="155"/>
  <c r="F34" i="155" s="1"/>
  <c r="F194" i="151" s="1"/>
  <c r="F533" i="161" s="1"/>
  <c r="G533" i="161" s="1"/>
  <c r="F492" i="151"/>
  <c r="F1383" i="161" s="1"/>
  <c r="H1383" i="161" s="1"/>
  <c r="F42" i="156"/>
  <c r="H42" i="156" s="1"/>
  <c r="H55" i="156" s="1"/>
  <c r="F147" i="151" s="1"/>
  <c r="F463" i="161" s="1"/>
  <c r="F40" i="156"/>
  <c r="G40" i="156" s="1"/>
  <c r="G54" i="156" s="1"/>
  <c r="F318" i="151" s="1"/>
  <c r="F970" i="161" s="1"/>
  <c r="E29" i="160"/>
  <c r="F29" i="160" s="1"/>
  <c r="F48" i="160" s="1"/>
  <c r="F334" i="151" s="1"/>
  <c r="F993" i="161" s="1"/>
  <c r="E47" i="159"/>
  <c r="G47" i="159" s="1"/>
  <c r="F489" i="151" s="1"/>
  <c r="F1380" i="161" s="1"/>
  <c r="F47" i="156"/>
  <c r="I47" i="156" s="1"/>
  <c r="I59" i="156" s="1"/>
  <c r="F406" i="151" s="1"/>
  <c r="F1172" i="161" s="1"/>
  <c r="E52" i="159"/>
  <c r="G52" i="159" s="1"/>
  <c r="F494" i="151" s="1"/>
  <c r="F1385" i="161" s="1"/>
  <c r="E34" i="160"/>
  <c r="F34" i="160" s="1"/>
  <c r="F53" i="160" s="1"/>
  <c r="F339" i="151" s="1"/>
  <c r="F998" i="161" s="1"/>
  <c r="E29" i="155"/>
  <c r="F29" i="155" s="1"/>
  <c r="F189" i="151" s="1"/>
  <c r="F528" i="161" s="1"/>
  <c r="G528" i="161" s="1"/>
  <c r="E48" i="159"/>
  <c r="G48" i="159" s="1"/>
  <c r="G61" i="159" s="1"/>
  <c r="E46" i="159"/>
  <c r="G46" i="159" s="1"/>
  <c r="G58" i="159" s="1"/>
  <c r="E27" i="155"/>
  <c r="F27" i="155" s="1"/>
  <c r="E30" i="152"/>
  <c r="F39" i="156"/>
  <c r="H39" i="156" s="1"/>
  <c r="M2048" i="161"/>
  <c r="M2049" i="161" s="1"/>
  <c r="M312" i="161" s="1"/>
  <c r="M314" i="161" s="1"/>
  <c r="M256" i="161"/>
  <c r="N256" i="161"/>
  <c r="N268" i="161"/>
  <c r="Q256" i="161"/>
  <c r="O256" i="161"/>
  <c r="I530" i="161"/>
  <c r="G28" i="160"/>
  <c r="F28" i="160"/>
  <c r="H28" i="160"/>
  <c r="I48" i="156"/>
  <c r="I60" i="156" s="1"/>
  <c r="F407" i="151" s="1"/>
  <c r="F1173" i="161" s="1"/>
  <c r="G48" i="156"/>
  <c r="G60" i="156" s="1"/>
  <c r="F324" i="151" s="1"/>
  <c r="F976" i="161" s="1"/>
  <c r="H48" i="156"/>
  <c r="H60" i="156" s="1"/>
  <c r="F152" i="151" s="1"/>
  <c r="F468" i="161" s="1"/>
  <c r="F27" i="158"/>
  <c r="E32" i="158"/>
  <c r="F30" i="160"/>
  <c r="F49" i="160" s="1"/>
  <c r="F335" i="151" s="1"/>
  <c r="F994" i="161" s="1"/>
  <c r="H30" i="160"/>
  <c r="H49" i="160" s="1"/>
  <c r="F418" i="151" s="1"/>
  <c r="F1191" i="161" s="1"/>
  <c r="G30" i="160"/>
  <c r="G49" i="160" s="1"/>
  <c r="F164" i="151" s="1"/>
  <c r="F488" i="161" s="1"/>
  <c r="H1036" i="161"/>
  <c r="F1430" i="161"/>
  <c r="G1036" i="161"/>
  <c r="G1430" i="161" s="1"/>
  <c r="H1432" i="161"/>
  <c r="I1432" i="161" s="1"/>
  <c r="J1038" i="161"/>
  <c r="Q85" i="153"/>
  <c r="Q84" i="153" s="1"/>
  <c r="P102" i="153"/>
  <c r="Q206" i="152"/>
  <c r="T206" i="152"/>
  <c r="H527" i="161"/>
  <c r="J527" i="161" s="1"/>
  <c r="G527" i="161"/>
  <c r="J314" i="161"/>
  <c r="T84" i="153"/>
  <c r="Q2048" i="161"/>
  <c r="Q2049" i="161" s="1"/>
  <c r="Q312" i="161" s="1"/>
  <c r="Q314" i="161" s="1"/>
  <c r="Q266" i="161"/>
  <c r="Q268" i="161" s="1"/>
  <c r="G532" i="161"/>
  <c r="H532" i="161"/>
  <c r="J532" i="161" s="1"/>
  <c r="M220" i="152"/>
  <c r="M207" i="152" s="1"/>
  <c r="M206" i="152" s="1"/>
  <c r="J220" i="152"/>
  <c r="U220" i="152"/>
  <c r="U207" i="152" s="1"/>
  <c r="U206" i="152" s="1"/>
  <c r="L2048" i="161"/>
  <c r="L2049" i="161" s="1"/>
  <c r="L312" i="161" s="1"/>
  <c r="L314" i="161" s="1"/>
  <c r="L266" i="161"/>
  <c r="L268" i="161" s="1"/>
  <c r="N2049" i="161"/>
  <c r="N312" i="161" s="1"/>
  <c r="N314" i="161" s="1"/>
  <c r="K2049" i="161"/>
  <c r="K312" i="161" s="1"/>
  <c r="K314" i="161" s="1"/>
  <c r="P2049" i="161"/>
  <c r="P312" i="161" s="1"/>
  <c r="P314" i="161" s="1"/>
  <c r="M101" i="153"/>
  <c r="M85" i="153" s="1"/>
  <c r="M84" i="153" s="1"/>
  <c r="J101" i="153"/>
  <c r="U101" i="153"/>
  <c r="U85" i="153" s="1"/>
  <c r="U84" i="153" s="1"/>
  <c r="H996" i="161"/>
  <c r="J996" i="161" s="1"/>
  <c r="G996" i="161"/>
  <c r="L28" i="152"/>
  <c r="K268" i="161"/>
  <c r="H46" i="156"/>
  <c r="H58" i="156" s="1"/>
  <c r="F150" i="151" s="1"/>
  <c r="F466" i="161" s="1"/>
  <c r="I46" i="156"/>
  <c r="I58" i="156" s="1"/>
  <c r="F405" i="151" s="1"/>
  <c r="F1171" i="161" s="1"/>
  <c r="G46" i="156"/>
  <c r="G58" i="156" s="1"/>
  <c r="F322" i="151" s="1"/>
  <c r="F974" i="161" s="1"/>
  <c r="M268" i="161"/>
  <c r="G1193" i="161"/>
  <c r="H1193" i="161"/>
  <c r="J1193" i="161" s="1"/>
  <c r="L530" i="161"/>
  <c r="N530" i="161"/>
  <c r="Q530" i="161"/>
  <c r="P530" i="161"/>
  <c r="M530" i="161"/>
  <c r="O530" i="161"/>
  <c r="K530" i="161"/>
  <c r="G43" i="156"/>
  <c r="G56" i="156" s="1"/>
  <c r="F320" i="151" s="1"/>
  <c r="F972" i="161" s="1"/>
  <c r="H43" i="156"/>
  <c r="H56" i="156" s="1"/>
  <c r="F148" i="151" s="1"/>
  <c r="F464" i="161" s="1"/>
  <c r="I43" i="156"/>
  <c r="I56" i="156" s="1"/>
  <c r="F403" i="151" s="1"/>
  <c r="F1169" i="161" s="1"/>
  <c r="O2048" i="161"/>
  <c r="O2049" i="161" s="1"/>
  <c r="O312" i="161" s="1"/>
  <c r="O314" i="161" s="1"/>
  <c r="O266" i="161"/>
  <c r="O268" i="161" s="1"/>
  <c r="G465" i="161"/>
  <c r="H465" i="161"/>
  <c r="I465" i="161" s="1"/>
  <c r="F502" i="161"/>
  <c r="G490" i="161"/>
  <c r="H490" i="161"/>
  <c r="J490" i="161" s="1"/>
  <c r="G529" i="161"/>
  <c r="H1037" i="161"/>
  <c r="G1037" i="161"/>
  <c r="G1431" i="161" s="1"/>
  <c r="F1431" i="161"/>
  <c r="E32" i="157"/>
  <c r="G32" i="157" s="1"/>
  <c r="G43" i="157" s="1"/>
  <c r="F411" i="151" s="1"/>
  <c r="F1181" i="161" s="1"/>
  <c r="F33" i="90"/>
  <c r="F52" i="90" s="1"/>
  <c r="F338" i="100" s="1"/>
  <c r="F997" i="107" s="1"/>
  <c r="E1188" i="119" s="1"/>
  <c r="G33" i="90"/>
  <c r="G52" i="90" s="1"/>
  <c r="F167" i="100" s="1"/>
  <c r="F491" i="107" s="1"/>
  <c r="E588" i="119" s="1"/>
  <c r="M254" i="107"/>
  <c r="M266" i="107" s="1"/>
  <c r="E34" i="157"/>
  <c r="F34" i="157" s="1"/>
  <c r="F45" i="157" s="1"/>
  <c r="F330" i="151" s="1"/>
  <c r="F986" i="161" s="1"/>
  <c r="F494" i="100"/>
  <c r="F1385" i="107" s="1"/>
  <c r="E1707" i="119" s="1"/>
  <c r="G65" i="108"/>
  <c r="G33" i="157"/>
  <c r="G44" i="157" s="1"/>
  <c r="F412" i="151" s="1"/>
  <c r="F1182" i="161" s="1"/>
  <c r="F33" i="157"/>
  <c r="F44" i="157" s="1"/>
  <c r="F329" i="151" s="1"/>
  <c r="F985" i="161" s="1"/>
  <c r="E31" i="157"/>
  <c r="E30" i="157"/>
  <c r="E35" i="157"/>
  <c r="E1225" i="119"/>
  <c r="H1038" i="107"/>
  <c r="G1225" i="119" s="1"/>
  <c r="F1432" i="107"/>
  <c r="E1776" i="119" s="1"/>
  <c r="G1038" i="107"/>
  <c r="G1432" i="107" s="1"/>
  <c r="F1776" i="119" s="1"/>
  <c r="P101" i="96"/>
  <c r="S85" i="96"/>
  <c r="T85" i="96"/>
  <c r="R85" i="96"/>
  <c r="F166" i="100"/>
  <c r="F490" i="107" s="1"/>
  <c r="E587" i="119" s="1"/>
  <c r="F404" i="100"/>
  <c r="F1170" i="107" s="1"/>
  <c r="E1465" i="119" s="1"/>
  <c r="F193" i="100"/>
  <c r="F532" i="107" s="1"/>
  <c r="H532" i="107" s="1"/>
  <c r="I532" i="107" s="1"/>
  <c r="H625" i="119" s="1"/>
  <c r="F339" i="100"/>
  <c r="F998" i="107" s="1"/>
  <c r="E1189" i="119" s="1"/>
  <c r="F189" i="100"/>
  <c r="F528" i="107" s="1"/>
  <c r="E621" i="119" s="1"/>
  <c r="F188" i="100"/>
  <c r="F527" i="107" s="1"/>
  <c r="E620" i="119" s="1"/>
  <c r="F359" i="100"/>
  <c r="F1036" i="107" s="1"/>
  <c r="E1223" i="119" s="1"/>
  <c r="F151" i="100"/>
  <c r="F467" i="107" s="1"/>
  <c r="E564" i="119" s="1"/>
  <c r="F360" i="100"/>
  <c r="F1037" i="107" s="1"/>
  <c r="E1224" i="119" s="1"/>
  <c r="F192" i="100"/>
  <c r="F531" i="107" s="1"/>
  <c r="E624" i="119" s="1"/>
  <c r="F420" i="100"/>
  <c r="F1193" i="107" s="1"/>
  <c r="E1488" i="119" s="1"/>
  <c r="F194" i="100"/>
  <c r="F533" i="107" s="1"/>
  <c r="E626" i="119" s="1"/>
  <c r="G64" i="108"/>
  <c r="F190" i="100"/>
  <c r="F529" i="107" s="1"/>
  <c r="E622" i="119" s="1"/>
  <c r="F150" i="100"/>
  <c r="F466" i="107" s="1"/>
  <c r="E563" i="119" s="1"/>
  <c r="F337" i="100"/>
  <c r="F996" i="107" s="1"/>
  <c r="E1187" i="119" s="1"/>
  <c r="F421" i="100"/>
  <c r="F1194" i="107" s="1"/>
  <c r="F149" i="100"/>
  <c r="F465" i="107" s="1"/>
  <c r="E562" i="119" s="1"/>
  <c r="H530" i="107"/>
  <c r="J530" i="107" s="1"/>
  <c r="D677" i="120" s="1"/>
  <c r="L254" i="107"/>
  <c r="F282" i="120" s="1"/>
  <c r="H2051" i="107"/>
  <c r="G2007" i="119" s="1"/>
  <c r="K254" i="107"/>
  <c r="E282" i="120" s="1"/>
  <c r="Q254" i="107"/>
  <c r="K282" i="120" s="1"/>
  <c r="G530" i="107"/>
  <c r="F623" i="119" s="1"/>
  <c r="G239" i="119"/>
  <c r="I266" i="107"/>
  <c r="H237" i="119" s="1"/>
  <c r="F1383" i="107"/>
  <c r="E1705" i="119" s="1"/>
  <c r="N254" i="107"/>
  <c r="N266" i="107" s="1"/>
  <c r="H277" i="120"/>
  <c r="P254" i="107"/>
  <c r="P266" i="107" s="1"/>
  <c r="J277" i="120"/>
  <c r="J2051" i="107"/>
  <c r="D2504" i="120" s="1"/>
  <c r="D282" i="120"/>
  <c r="O254" i="107"/>
  <c r="O2051" i="107" s="1"/>
  <c r="I277" i="120"/>
  <c r="I256" i="107"/>
  <c r="H227" i="119" s="1"/>
  <c r="G57" i="99"/>
  <c r="J266" i="107"/>
  <c r="J256" i="107"/>
  <c r="D284" i="120" s="1"/>
  <c r="G47" i="99"/>
  <c r="G59" i="99" s="1"/>
  <c r="I47" i="99"/>
  <c r="I59" i="99" s="1"/>
  <c r="G46" i="99"/>
  <c r="G58" i="99" s="1"/>
  <c r="I46" i="99"/>
  <c r="I58" i="99" s="1"/>
  <c r="H34" i="90"/>
  <c r="H53" i="90" s="1"/>
  <c r="G34" i="90"/>
  <c r="G53" i="90" s="1"/>
  <c r="F493" i="100"/>
  <c r="G2051" i="107"/>
  <c r="F239" i="119"/>
  <c r="E31" i="101"/>
  <c r="E30" i="101"/>
  <c r="E35" i="101"/>
  <c r="E34" i="101"/>
  <c r="H31" i="90"/>
  <c r="H50" i="90" s="1"/>
  <c r="G31" i="90"/>
  <c r="G50" i="90" s="1"/>
  <c r="F31" i="90"/>
  <c r="F50" i="90" s="1"/>
  <c r="F29" i="90"/>
  <c r="F48" i="90" s="1"/>
  <c r="H29" i="90"/>
  <c r="H48" i="90" s="1"/>
  <c r="G29" i="90"/>
  <c r="G48" i="90" s="1"/>
  <c r="H39" i="99"/>
  <c r="G39" i="99"/>
  <c r="F49" i="99"/>
  <c r="I39" i="99"/>
  <c r="F490" i="100"/>
  <c r="G61" i="108"/>
  <c r="Q206" i="92"/>
  <c r="T206" i="92"/>
  <c r="H43" i="99"/>
  <c r="H56" i="99" s="1"/>
  <c r="I43" i="99"/>
  <c r="I56" i="99" s="1"/>
  <c r="G43" i="99"/>
  <c r="G56" i="99" s="1"/>
  <c r="H40" i="99"/>
  <c r="H54" i="99" s="1"/>
  <c r="G40" i="99"/>
  <c r="G54" i="99" s="1"/>
  <c r="I40" i="99"/>
  <c r="I54" i="99" s="1"/>
  <c r="F488" i="100"/>
  <c r="G58" i="108"/>
  <c r="G54" i="108"/>
  <c r="Q85" i="96"/>
  <c r="P102" i="96"/>
  <c r="H35" i="90"/>
  <c r="H54" i="90" s="1"/>
  <c r="G35" i="90"/>
  <c r="G54" i="90" s="1"/>
  <c r="F35" i="90"/>
  <c r="F54" i="90" s="1"/>
  <c r="L28" i="92"/>
  <c r="F27" i="102"/>
  <c r="E32" i="102"/>
  <c r="N206" i="92"/>
  <c r="O206" i="92"/>
  <c r="F491" i="100"/>
  <c r="G62" i="108"/>
  <c r="F489" i="100"/>
  <c r="G59" i="108"/>
  <c r="F27" i="112"/>
  <c r="E35" i="112"/>
  <c r="I48" i="99"/>
  <c r="I60" i="99" s="1"/>
  <c r="H48" i="99"/>
  <c r="H60" i="99" s="1"/>
  <c r="G48" i="99"/>
  <c r="G60" i="99" s="1"/>
  <c r="E33" i="101"/>
  <c r="G30" i="90"/>
  <c r="G49" i="90" s="1"/>
  <c r="H30" i="90"/>
  <c r="H49" i="90" s="1"/>
  <c r="F30" i="90"/>
  <c r="F49" i="90" s="1"/>
  <c r="E32" i="101"/>
  <c r="H28" i="90"/>
  <c r="E36" i="90"/>
  <c r="F28" i="90"/>
  <c r="G28" i="90"/>
  <c r="U101" i="96"/>
  <c r="J101" i="96"/>
  <c r="M101" i="96"/>
  <c r="F495" i="100"/>
  <c r="G66" i="108"/>
  <c r="K20" i="108" s="1"/>
  <c r="L20" i="108" s="1"/>
  <c r="G42" i="99"/>
  <c r="G55" i="99" s="1"/>
  <c r="H42" i="99"/>
  <c r="H55" i="99" s="1"/>
  <c r="I42" i="99"/>
  <c r="I55" i="99" s="1"/>
  <c r="J207" i="92"/>
  <c r="I220" i="92"/>
  <c r="G64" i="159" l="1"/>
  <c r="G1170" i="161"/>
  <c r="G31" i="160"/>
  <c r="G50" i="160" s="1"/>
  <c r="F165" i="151" s="1"/>
  <c r="F489" i="161" s="1"/>
  <c r="G35" i="160"/>
  <c r="G54" i="160" s="1"/>
  <c r="F169" i="151" s="1"/>
  <c r="F493" i="161" s="1"/>
  <c r="G531" i="161"/>
  <c r="G66" i="159"/>
  <c r="K20" i="159" s="1"/>
  <c r="L20" i="159" s="1"/>
  <c r="H35" i="160"/>
  <c r="H54" i="160" s="1"/>
  <c r="F423" i="151" s="1"/>
  <c r="F1196" i="161" s="1"/>
  <c r="G1196" i="161" s="1"/>
  <c r="H973" i="161"/>
  <c r="J973" i="161" s="1"/>
  <c r="N973" i="161" s="1"/>
  <c r="F491" i="151"/>
  <c r="F1382" i="161" s="1"/>
  <c r="G1382" i="161" s="1"/>
  <c r="G1393" i="161" s="1"/>
  <c r="G1501" i="161" s="1"/>
  <c r="G59" i="159"/>
  <c r="K16" i="159" s="1"/>
  <c r="G42" i="156"/>
  <c r="G55" i="156" s="1"/>
  <c r="F319" i="151" s="1"/>
  <c r="F971" i="161" s="1"/>
  <c r="H971" i="161" s="1"/>
  <c r="J971" i="161" s="1"/>
  <c r="I42" i="156"/>
  <c r="I55" i="156" s="1"/>
  <c r="F402" i="151" s="1"/>
  <c r="F1168" i="161" s="1"/>
  <c r="G1168" i="161" s="1"/>
  <c r="H533" i="161"/>
  <c r="J533" i="161" s="1"/>
  <c r="M533" i="161" s="1"/>
  <c r="I39" i="156"/>
  <c r="I53" i="156" s="1"/>
  <c r="G1383" i="161"/>
  <c r="G1394" i="161" s="1"/>
  <c r="G1502" i="161" s="1"/>
  <c r="F1394" i="161"/>
  <c r="F1502" i="161" s="1"/>
  <c r="I40" i="156"/>
  <c r="I54" i="156" s="1"/>
  <c r="F401" i="151" s="1"/>
  <c r="F1167" i="161" s="1"/>
  <c r="G1167" i="161" s="1"/>
  <c r="H29" i="160"/>
  <c r="H48" i="160" s="1"/>
  <c r="F417" i="151" s="1"/>
  <c r="F1190" i="161" s="1"/>
  <c r="G1190" i="161" s="1"/>
  <c r="G29" i="160"/>
  <c r="G48" i="160" s="1"/>
  <c r="F163" i="151" s="1"/>
  <c r="F487" i="161" s="1"/>
  <c r="H487" i="161" s="1"/>
  <c r="J487" i="161" s="1"/>
  <c r="F31" i="160"/>
  <c r="F50" i="160" s="1"/>
  <c r="F336" i="151" s="1"/>
  <c r="F995" i="161" s="1"/>
  <c r="G995" i="161" s="1"/>
  <c r="F33" i="160"/>
  <c r="F52" i="160" s="1"/>
  <c r="F338" i="151" s="1"/>
  <c r="F997" i="161" s="1"/>
  <c r="G997" i="161" s="1"/>
  <c r="G33" i="160"/>
  <c r="G52" i="160" s="1"/>
  <c r="F167" i="151" s="1"/>
  <c r="F491" i="161" s="1"/>
  <c r="F503" i="161" s="1"/>
  <c r="H40" i="156"/>
  <c r="H54" i="156" s="1"/>
  <c r="F146" i="151" s="1"/>
  <c r="F462" i="161" s="1"/>
  <c r="H462" i="161" s="1"/>
  <c r="G65" i="159"/>
  <c r="K19" i="159" s="1"/>
  <c r="L19" i="159" s="1"/>
  <c r="F488" i="151"/>
  <c r="F1379" i="161" s="1"/>
  <c r="G54" i="159"/>
  <c r="G39" i="156"/>
  <c r="G53" i="156" s="1"/>
  <c r="E36" i="160"/>
  <c r="F49" i="156"/>
  <c r="E35" i="155"/>
  <c r="H528" i="161"/>
  <c r="J528" i="161" s="1"/>
  <c r="K528" i="161" s="1"/>
  <c r="G47" i="156"/>
  <c r="G59" i="156" s="1"/>
  <c r="F323" i="151" s="1"/>
  <c r="F975" i="161" s="1"/>
  <c r="G975" i="161" s="1"/>
  <c r="H47" i="156"/>
  <c r="H59" i="156" s="1"/>
  <c r="F151" i="151" s="1"/>
  <c r="F467" i="161" s="1"/>
  <c r="H34" i="160"/>
  <c r="H53" i="160" s="1"/>
  <c r="F422" i="151" s="1"/>
  <c r="F1195" i="161" s="1"/>
  <c r="G1195" i="161" s="1"/>
  <c r="G34" i="160"/>
  <c r="G53" i="160" s="1"/>
  <c r="F168" i="151" s="1"/>
  <c r="F492" i="161" s="1"/>
  <c r="H492" i="161" s="1"/>
  <c r="J492" i="161" s="1"/>
  <c r="F490" i="151"/>
  <c r="F1381" i="161" s="1"/>
  <c r="F1392" i="161" s="1"/>
  <c r="I532" i="161"/>
  <c r="I490" i="161"/>
  <c r="I1193" i="161"/>
  <c r="I531" i="161"/>
  <c r="I527" i="161"/>
  <c r="K18" i="159"/>
  <c r="L18" i="159" s="1"/>
  <c r="I1170" i="161"/>
  <c r="G502" i="161"/>
  <c r="G657" i="161" s="1"/>
  <c r="G998" i="161"/>
  <c r="H998" i="161"/>
  <c r="J998" i="161" s="1"/>
  <c r="N1038" i="161"/>
  <c r="N1432" i="161" s="1"/>
  <c r="K1038" i="161"/>
  <c r="K1432" i="161" s="1"/>
  <c r="M1038" i="161"/>
  <c r="M1432" i="161" s="1"/>
  <c r="L1038" i="161"/>
  <c r="L1432" i="161" s="1"/>
  <c r="J1432" i="161"/>
  <c r="Q1038" i="161"/>
  <c r="Q1432" i="161" s="1"/>
  <c r="P1038" i="161"/>
  <c r="P1432" i="161" s="1"/>
  <c r="O1038" i="161"/>
  <c r="O1432" i="161" s="1"/>
  <c r="H1386" i="161"/>
  <c r="I1386" i="161" s="1"/>
  <c r="F1397" i="161"/>
  <c r="G1386" i="161"/>
  <c r="G1397" i="161" s="1"/>
  <c r="G1505" i="161" s="1"/>
  <c r="O206" i="152"/>
  <c r="N206" i="152"/>
  <c r="J85" i="153"/>
  <c r="J84" i="153" s="1"/>
  <c r="I101" i="153"/>
  <c r="S206" i="152"/>
  <c r="R206" i="152"/>
  <c r="H993" i="161"/>
  <c r="J993" i="161" s="1"/>
  <c r="G993" i="161"/>
  <c r="N529" i="161"/>
  <c r="L529" i="161"/>
  <c r="M529" i="161"/>
  <c r="Q529" i="161"/>
  <c r="K529" i="161"/>
  <c r="P529" i="161"/>
  <c r="O529" i="161"/>
  <c r="Q996" i="161"/>
  <c r="O996" i="161"/>
  <c r="N996" i="161"/>
  <c r="P996" i="161"/>
  <c r="M996" i="161"/>
  <c r="L996" i="161"/>
  <c r="K996" i="161"/>
  <c r="F1798" i="161"/>
  <c r="F657" i="161"/>
  <c r="J465" i="161"/>
  <c r="H502" i="161"/>
  <c r="L1170" i="161"/>
  <c r="O1170" i="161"/>
  <c r="Q1170" i="161"/>
  <c r="K1170" i="161"/>
  <c r="P1170" i="161"/>
  <c r="N1170" i="161"/>
  <c r="M1170" i="161"/>
  <c r="N84" i="153"/>
  <c r="O84" i="153"/>
  <c r="S84" i="153"/>
  <c r="R84" i="153"/>
  <c r="H1394" i="161"/>
  <c r="H1502" i="161" s="1"/>
  <c r="J1383" i="161"/>
  <c r="F42" i="158"/>
  <c r="F32" i="158"/>
  <c r="G468" i="161"/>
  <c r="H468" i="161"/>
  <c r="I468" i="161" s="1"/>
  <c r="F505" i="161"/>
  <c r="G970" i="161"/>
  <c r="H970" i="161"/>
  <c r="I970" i="161" s="1"/>
  <c r="F1007" i="161"/>
  <c r="D62" i="165" s="1"/>
  <c r="J1037" i="161"/>
  <c r="H1431" i="161"/>
  <c r="I1431" i="161" s="1"/>
  <c r="G999" i="161"/>
  <c r="H999" i="161"/>
  <c r="J999" i="161" s="1"/>
  <c r="F500" i="161"/>
  <c r="G463" i="161"/>
  <c r="H463" i="161"/>
  <c r="I463" i="161" s="1"/>
  <c r="F501" i="161"/>
  <c r="G464" i="161"/>
  <c r="H464" i="161"/>
  <c r="G974" i="161"/>
  <c r="H974" i="161"/>
  <c r="J974" i="161" s="1"/>
  <c r="H1192" i="161"/>
  <c r="J1192" i="161" s="1"/>
  <c r="G1192" i="161"/>
  <c r="G1385" i="161"/>
  <c r="G1396" i="161" s="1"/>
  <c r="G1504" i="161" s="1"/>
  <c r="H1385" i="161"/>
  <c r="F1396" i="161"/>
  <c r="Q531" i="161"/>
  <c r="P531" i="161"/>
  <c r="M531" i="161"/>
  <c r="K531" i="161"/>
  <c r="O531" i="161"/>
  <c r="N531" i="161"/>
  <c r="L531" i="161"/>
  <c r="H1430" i="161"/>
  <c r="I1430" i="161" s="1"/>
  <c r="J1036" i="161"/>
  <c r="H976" i="161"/>
  <c r="J976" i="161" s="1"/>
  <c r="G976" i="161"/>
  <c r="H47" i="160"/>
  <c r="G1169" i="161"/>
  <c r="H1169" i="161"/>
  <c r="J1169" i="161" s="1"/>
  <c r="G493" i="161"/>
  <c r="H493" i="161"/>
  <c r="J493" i="161" s="1"/>
  <c r="H972" i="161"/>
  <c r="J972" i="161" s="1"/>
  <c r="G972" i="161"/>
  <c r="G1171" i="161"/>
  <c r="H1171" i="161"/>
  <c r="J1171" i="161" s="1"/>
  <c r="J2049" i="161"/>
  <c r="H488" i="161"/>
  <c r="J488" i="161" s="1"/>
  <c r="G488" i="161"/>
  <c r="G1173" i="161"/>
  <c r="H1173" i="161"/>
  <c r="J1173" i="161" s="1"/>
  <c r="F47" i="160"/>
  <c r="H53" i="156"/>
  <c r="H1196" i="161"/>
  <c r="J1196" i="161" s="1"/>
  <c r="L490" i="161"/>
  <c r="K490" i="161"/>
  <c r="P490" i="161"/>
  <c r="O490" i="161"/>
  <c r="N490" i="161"/>
  <c r="Q490" i="161"/>
  <c r="M490" i="161"/>
  <c r="N1193" i="161"/>
  <c r="M1193" i="161"/>
  <c r="Q1193" i="161"/>
  <c r="O1193" i="161"/>
  <c r="L1193" i="161"/>
  <c r="K1193" i="161"/>
  <c r="P1193" i="161"/>
  <c r="G466" i="161"/>
  <c r="H466" i="161"/>
  <c r="I466" i="161" s="1"/>
  <c r="I996" i="161"/>
  <c r="O532" i="161"/>
  <c r="Q532" i="161"/>
  <c r="M532" i="161"/>
  <c r="P532" i="161"/>
  <c r="K532" i="161"/>
  <c r="L532" i="161"/>
  <c r="N532" i="161"/>
  <c r="F35" i="155"/>
  <c r="F186" i="151"/>
  <c r="F525" i="161" s="1"/>
  <c r="H1191" i="161"/>
  <c r="J1191" i="161" s="1"/>
  <c r="G1191" i="161"/>
  <c r="G47" i="160"/>
  <c r="G489" i="161"/>
  <c r="H489" i="161"/>
  <c r="J489" i="161" s="1"/>
  <c r="I529" i="161"/>
  <c r="H1384" i="161"/>
  <c r="I1384" i="161" s="1"/>
  <c r="G1384" i="161"/>
  <c r="G1395" i="161" s="1"/>
  <c r="G1503" i="161" s="1"/>
  <c r="F1395" i="161"/>
  <c r="H1194" i="161"/>
  <c r="J1194" i="161" s="1"/>
  <c r="G1194" i="161"/>
  <c r="J207" i="152"/>
  <c r="I220" i="152"/>
  <c r="Q527" i="161"/>
  <c r="P527" i="161"/>
  <c r="K527" i="161"/>
  <c r="O527" i="161"/>
  <c r="L527" i="161"/>
  <c r="N527" i="161"/>
  <c r="M527" i="161"/>
  <c r="I1383" i="161"/>
  <c r="G1380" i="161"/>
  <c r="G1391" i="161" s="1"/>
  <c r="G1499" i="161" s="1"/>
  <c r="H1380" i="161"/>
  <c r="I1380" i="161" s="1"/>
  <c r="F1391" i="161"/>
  <c r="H994" i="161"/>
  <c r="J994" i="161" s="1"/>
  <c r="G994" i="161"/>
  <c r="H1172" i="161"/>
  <c r="J1172" i="161" s="1"/>
  <c r="G1172" i="161"/>
  <c r="C18" i="168"/>
  <c r="F32" i="157"/>
  <c r="F43" i="157" s="1"/>
  <c r="F328" i="151" s="1"/>
  <c r="F984" i="161" s="1"/>
  <c r="M2051" i="107"/>
  <c r="M2052" i="107" s="1"/>
  <c r="G2505" i="120" s="1"/>
  <c r="G282" i="120"/>
  <c r="M256" i="107"/>
  <c r="G284" i="120" s="1"/>
  <c r="K19" i="108"/>
  <c r="L19" i="108" s="1"/>
  <c r="H533" i="107"/>
  <c r="J533" i="107" s="1"/>
  <c r="D680" i="120" s="1"/>
  <c r="K266" i="107"/>
  <c r="K268" i="107" s="1"/>
  <c r="E296" i="120" s="1"/>
  <c r="K2051" i="107"/>
  <c r="K2052" i="107" s="1"/>
  <c r="E2505" i="120" s="1"/>
  <c r="Q2051" i="107"/>
  <c r="Q2052" i="107" s="1"/>
  <c r="K2505" i="120" s="1"/>
  <c r="Q256" i="107"/>
  <c r="K284" i="120" s="1"/>
  <c r="Q266" i="107"/>
  <c r="K294" i="120" s="1"/>
  <c r="L2051" i="107"/>
  <c r="F2504" i="120" s="1"/>
  <c r="G623" i="119"/>
  <c r="L266" i="107"/>
  <c r="F294" i="120" s="1"/>
  <c r="L256" i="107"/>
  <c r="F284" i="120" s="1"/>
  <c r="H1432" i="107"/>
  <c r="I1432" i="107" s="1"/>
  <c r="H1776" i="119" s="1"/>
  <c r="K256" i="107"/>
  <c r="E284" i="120" s="1"/>
  <c r="J1038" i="107"/>
  <c r="D1272" i="120" s="1"/>
  <c r="G34" i="157"/>
  <c r="G45" i="157" s="1"/>
  <c r="F413" i="151" s="1"/>
  <c r="F1183" i="161" s="1"/>
  <c r="I530" i="107"/>
  <c r="H623" i="119" s="1"/>
  <c r="G35" i="157"/>
  <c r="G46" i="157" s="1"/>
  <c r="F414" i="151" s="1"/>
  <c r="F1184" i="161" s="1"/>
  <c r="F35" i="157"/>
  <c r="F46" i="157" s="1"/>
  <c r="F331" i="151" s="1"/>
  <c r="F987" i="161" s="1"/>
  <c r="F30" i="157"/>
  <c r="G30" i="157"/>
  <c r="E36" i="157"/>
  <c r="F1225" i="119"/>
  <c r="G31" i="157"/>
  <c r="G42" i="157" s="1"/>
  <c r="F410" i="151" s="1"/>
  <c r="F1180" i="161" s="1"/>
  <c r="F31" i="157"/>
  <c r="F42" i="157" s="1"/>
  <c r="F327" i="151" s="1"/>
  <c r="F983" i="161" s="1"/>
  <c r="E1489" i="119"/>
  <c r="G1194" i="107"/>
  <c r="F1489" i="119" s="1"/>
  <c r="U85" i="96"/>
  <c r="P85" i="96"/>
  <c r="M85" i="96"/>
  <c r="G528" i="107"/>
  <c r="F621" i="119" s="1"/>
  <c r="F164" i="100"/>
  <c r="F488" i="107" s="1"/>
  <c r="E585" i="119" s="1"/>
  <c r="F423" i="100"/>
  <c r="F1196" i="107" s="1"/>
  <c r="E1491" i="119" s="1"/>
  <c r="F146" i="100"/>
  <c r="F462" i="107" s="1"/>
  <c r="E559" i="119" s="1"/>
  <c r="F319" i="100"/>
  <c r="F971" i="107" s="1"/>
  <c r="E1162" i="119" s="1"/>
  <c r="F407" i="100"/>
  <c r="F1173" i="107" s="1"/>
  <c r="E1468" i="119" s="1"/>
  <c r="F403" i="100"/>
  <c r="F1169" i="107" s="1"/>
  <c r="E1464" i="119" s="1"/>
  <c r="F419" i="100"/>
  <c r="F1192" i="107" s="1"/>
  <c r="E1487" i="119" s="1"/>
  <c r="F322" i="100"/>
  <c r="F974" i="107" s="1"/>
  <c r="H974" i="107" s="1"/>
  <c r="J974" i="107" s="1"/>
  <c r="D1213" i="120" s="1"/>
  <c r="F401" i="100"/>
  <c r="F1167" i="107" s="1"/>
  <c r="E1462" i="119" s="1"/>
  <c r="F148" i="100"/>
  <c r="F464" i="107" s="1"/>
  <c r="E561" i="119" s="1"/>
  <c r="F406" i="100"/>
  <c r="F1172" i="107" s="1"/>
  <c r="E1467" i="119" s="1"/>
  <c r="F321" i="100"/>
  <c r="F973" i="107" s="1"/>
  <c r="E1164" i="119" s="1"/>
  <c r="F340" i="100"/>
  <c r="F999" i="107" s="1"/>
  <c r="E1190" i="119" s="1"/>
  <c r="F335" i="100"/>
  <c r="F994" i="107" s="1"/>
  <c r="E1185" i="119" s="1"/>
  <c r="F186" i="100"/>
  <c r="F323" i="100"/>
  <c r="F975" i="107" s="1"/>
  <c r="E1166" i="119" s="1"/>
  <c r="F168" i="100"/>
  <c r="F492" i="107" s="1"/>
  <c r="F504" i="107" s="1"/>
  <c r="F324" i="100"/>
  <c r="F976" i="107" s="1"/>
  <c r="E1167" i="119" s="1"/>
  <c r="F418" i="100"/>
  <c r="F1191" i="107" s="1"/>
  <c r="E1486" i="119" s="1"/>
  <c r="F163" i="100"/>
  <c r="F487" i="107" s="1"/>
  <c r="E584" i="119" s="1"/>
  <c r="H490" i="107"/>
  <c r="J490" i="107" s="1"/>
  <c r="D642" i="120" s="1"/>
  <c r="F417" i="100"/>
  <c r="F1190" i="107" s="1"/>
  <c r="E1485" i="119" s="1"/>
  <c r="F169" i="100"/>
  <c r="F493" i="107" s="1"/>
  <c r="E590" i="119" s="1"/>
  <c r="F318" i="100"/>
  <c r="F970" i="107" s="1"/>
  <c r="E1161" i="119" s="1"/>
  <c r="F334" i="100"/>
  <c r="F993" i="107" s="1"/>
  <c r="E1184" i="119" s="1"/>
  <c r="F422" i="100"/>
  <c r="F1195" i="107" s="1"/>
  <c r="E1490" i="119" s="1"/>
  <c r="F336" i="100"/>
  <c r="F995" i="107" s="1"/>
  <c r="E1186" i="119" s="1"/>
  <c r="F405" i="100"/>
  <c r="F1171" i="107" s="1"/>
  <c r="G1171" i="107" s="1"/>
  <c r="F1466" i="119" s="1"/>
  <c r="F152" i="100"/>
  <c r="F468" i="107" s="1"/>
  <c r="E565" i="119" s="1"/>
  <c r="F320" i="100"/>
  <c r="F972" i="107" s="1"/>
  <c r="E1163" i="119" s="1"/>
  <c r="F165" i="100"/>
  <c r="F489" i="107" s="1"/>
  <c r="E586" i="119" s="1"/>
  <c r="G1170" i="107"/>
  <c r="F1465" i="119" s="1"/>
  <c r="I268" i="107"/>
  <c r="H239" i="119" s="1"/>
  <c r="H465" i="107"/>
  <c r="I465" i="107" s="1"/>
  <c r="H562" i="119" s="1"/>
  <c r="H1036" i="107"/>
  <c r="G1223" i="119" s="1"/>
  <c r="G998" i="107"/>
  <c r="F1189" i="119" s="1"/>
  <c r="H491" i="107"/>
  <c r="G588" i="119" s="1"/>
  <c r="G1037" i="107"/>
  <c r="G1431" i="107" s="1"/>
  <c r="F1775" i="119" s="1"/>
  <c r="P2051" i="107"/>
  <c r="P2052" i="107" s="1"/>
  <c r="J2505" i="120" s="1"/>
  <c r="H467" i="107"/>
  <c r="I467" i="107" s="1"/>
  <c r="H564" i="119" s="1"/>
  <c r="G531" i="107"/>
  <c r="F624" i="119" s="1"/>
  <c r="G1193" i="107"/>
  <c r="F1488" i="119" s="1"/>
  <c r="H1193" i="107"/>
  <c r="G1488" i="119" s="1"/>
  <c r="H531" i="107"/>
  <c r="I531" i="107" s="1"/>
  <c r="H624" i="119" s="1"/>
  <c r="G997" i="107"/>
  <c r="F1188" i="119" s="1"/>
  <c r="H466" i="107"/>
  <c r="I466" i="107" s="1"/>
  <c r="H563" i="119" s="1"/>
  <c r="F503" i="107"/>
  <c r="E600" i="119" s="1"/>
  <c r="G996" i="107"/>
  <c r="F1187" i="119" s="1"/>
  <c r="F1396" i="107"/>
  <c r="E1718" i="119" s="1"/>
  <c r="G1036" i="107"/>
  <c r="G1430" i="107" s="1"/>
  <c r="F1774" i="119" s="1"/>
  <c r="F1430" i="107"/>
  <c r="E1774" i="119" s="1"/>
  <c r="H1037" i="107"/>
  <c r="G1224" i="119" s="1"/>
  <c r="H1170" i="107"/>
  <c r="G1465" i="119" s="1"/>
  <c r="H997" i="107"/>
  <c r="I997" i="107" s="1"/>
  <c r="H1188" i="119" s="1"/>
  <c r="H527" i="107"/>
  <c r="J527" i="107" s="1"/>
  <c r="H529" i="107"/>
  <c r="I529" i="107" s="1"/>
  <c r="H622" i="119" s="1"/>
  <c r="G1383" i="107"/>
  <c r="G1394" i="107" s="1"/>
  <c r="G1385" i="107"/>
  <c r="F1707" i="119" s="1"/>
  <c r="N256" i="107"/>
  <c r="H284" i="120" s="1"/>
  <c r="H996" i="107"/>
  <c r="I996" i="107" s="1"/>
  <c r="H1187" i="119" s="1"/>
  <c r="H1194" i="107"/>
  <c r="G1489" i="119" s="1"/>
  <c r="G466" i="107"/>
  <c r="F563" i="119" s="1"/>
  <c r="G465" i="107"/>
  <c r="F562" i="119" s="1"/>
  <c r="F502" i="107"/>
  <c r="E599" i="119" s="1"/>
  <c r="G467" i="107"/>
  <c r="F564" i="119" s="1"/>
  <c r="H528" i="107"/>
  <c r="J528" i="107" s="1"/>
  <c r="G533" i="107"/>
  <c r="F626" i="119" s="1"/>
  <c r="G532" i="107"/>
  <c r="F625" i="119" s="1"/>
  <c r="E625" i="119"/>
  <c r="N530" i="107"/>
  <c r="H677" i="120" s="1"/>
  <c r="H998" i="107"/>
  <c r="G1189" i="119" s="1"/>
  <c r="G527" i="107"/>
  <c r="F620" i="119" s="1"/>
  <c r="L530" i="107"/>
  <c r="F677" i="120" s="1"/>
  <c r="G529" i="107"/>
  <c r="F622" i="119" s="1"/>
  <c r="G490" i="107"/>
  <c r="F587" i="119" s="1"/>
  <c r="F1394" i="107"/>
  <c r="E1716" i="119" s="1"/>
  <c r="H1383" i="107"/>
  <c r="I1383" i="107" s="1"/>
  <c r="H1705" i="119" s="1"/>
  <c r="G491" i="107"/>
  <c r="F588" i="119" s="1"/>
  <c r="H1385" i="107"/>
  <c r="G1707" i="119" s="1"/>
  <c r="O256" i="107"/>
  <c r="I284" i="120" s="1"/>
  <c r="F1431" i="107"/>
  <c r="E1775" i="119" s="1"/>
  <c r="K530" i="107"/>
  <c r="E677" i="120" s="1"/>
  <c r="P530" i="107"/>
  <c r="J677" i="120" s="1"/>
  <c r="F1380" i="107"/>
  <c r="E1702" i="119" s="1"/>
  <c r="F1382" i="107"/>
  <c r="E1704" i="119" s="1"/>
  <c r="F1384" i="107"/>
  <c r="E1706" i="119" s="1"/>
  <c r="F1386" i="107"/>
  <c r="E1708" i="119" s="1"/>
  <c r="F1379" i="107"/>
  <c r="E1701" i="119" s="1"/>
  <c r="F1381" i="107"/>
  <c r="E1703" i="119" s="1"/>
  <c r="O530" i="107"/>
  <c r="I677" i="120" s="1"/>
  <c r="M530" i="107"/>
  <c r="G677" i="120" s="1"/>
  <c r="Q530" i="107"/>
  <c r="K677" i="120" s="1"/>
  <c r="P268" i="107"/>
  <c r="J296" i="120" s="1"/>
  <c r="J294" i="120"/>
  <c r="M268" i="107"/>
  <c r="G296" i="120" s="1"/>
  <c r="G294" i="120"/>
  <c r="F2051" i="107"/>
  <c r="E2007" i="119" s="1"/>
  <c r="F2007" i="119"/>
  <c r="O2052" i="107"/>
  <c r="I2505" i="120" s="1"/>
  <c r="I2504" i="120"/>
  <c r="N268" i="107"/>
  <c r="H296" i="120" s="1"/>
  <c r="H294" i="120"/>
  <c r="J268" i="107"/>
  <c r="D296" i="120" s="1"/>
  <c r="D294" i="120"/>
  <c r="O266" i="107"/>
  <c r="I282" i="120"/>
  <c r="P256" i="107"/>
  <c r="J284" i="120" s="1"/>
  <c r="J282" i="120"/>
  <c r="N2051" i="107"/>
  <c r="H282" i="120"/>
  <c r="J532" i="107"/>
  <c r="G625" i="119"/>
  <c r="K16" i="108"/>
  <c r="L16" i="108" s="1"/>
  <c r="K18" i="108"/>
  <c r="L18" i="108" s="1"/>
  <c r="F35" i="112"/>
  <c r="G33" i="101"/>
  <c r="G44" i="101" s="1"/>
  <c r="F33" i="101"/>
  <c r="F44" i="101" s="1"/>
  <c r="R206" i="92"/>
  <c r="S206" i="92"/>
  <c r="G49" i="99"/>
  <c r="G53" i="99"/>
  <c r="G34" i="101"/>
  <c r="G45" i="101" s="1"/>
  <c r="F34" i="101"/>
  <c r="F45" i="101" s="1"/>
  <c r="F147" i="100"/>
  <c r="F32" i="101"/>
  <c r="F43" i="101" s="1"/>
  <c r="G32" i="101"/>
  <c r="G43" i="101" s="1"/>
  <c r="H49" i="99"/>
  <c r="H53" i="99"/>
  <c r="F145" i="100" s="1"/>
  <c r="G35" i="101"/>
  <c r="G46" i="101" s="1"/>
  <c r="F35" i="101"/>
  <c r="F46" i="101" s="1"/>
  <c r="F36" i="90"/>
  <c r="F47" i="90"/>
  <c r="J85" i="96"/>
  <c r="I101" i="96"/>
  <c r="I207" i="92"/>
  <c r="J206" i="92"/>
  <c r="H36" i="90"/>
  <c r="H47" i="90"/>
  <c r="F42" i="102"/>
  <c r="F32" i="102"/>
  <c r="G67" i="108"/>
  <c r="I53" i="99"/>
  <c r="I49" i="99"/>
  <c r="F30" i="101"/>
  <c r="E36" i="101"/>
  <c r="G30" i="101"/>
  <c r="F402" i="100"/>
  <c r="G47" i="90"/>
  <c r="G36" i="90"/>
  <c r="F31" i="101"/>
  <c r="F42" i="101" s="1"/>
  <c r="G31" i="101"/>
  <c r="G42" i="101" s="1"/>
  <c r="O973" i="161" l="1"/>
  <c r="K973" i="161"/>
  <c r="P533" i="161"/>
  <c r="F1393" i="161"/>
  <c r="H1382" i="161"/>
  <c r="I1382" i="161" s="1"/>
  <c r="P973" i="161"/>
  <c r="Q973" i="161"/>
  <c r="L973" i="161"/>
  <c r="I973" i="161"/>
  <c r="M973" i="161"/>
  <c r="K533" i="161"/>
  <c r="O533" i="161"/>
  <c r="L533" i="161"/>
  <c r="Q533" i="161"/>
  <c r="N533" i="161"/>
  <c r="G971" i="161"/>
  <c r="I533" i="161"/>
  <c r="G67" i="159"/>
  <c r="H1168" i="161"/>
  <c r="J1168" i="161" s="1"/>
  <c r="N1168" i="161" s="1"/>
  <c r="D18" i="168"/>
  <c r="E18" i="168" s="1"/>
  <c r="I49" i="156"/>
  <c r="G487" i="161"/>
  <c r="H1190" i="161"/>
  <c r="J1190" i="161" s="1"/>
  <c r="P1190" i="161" s="1"/>
  <c r="H995" i="161"/>
  <c r="J995" i="161" s="1"/>
  <c r="L995" i="161" s="1"/>
  <c r="H997" i="161"/>
  <c r="J997" i="161" s="1"/>
  <c r="K997" i="161" s="1"/>
  <c r="H1167" i="161"/>
  <c r="I1167" i="161" s="1"/>
  <c r="G49" i="156"/>
  <c r="F36" i="160"/>
  <c r="G491" i="161"/>
  <c r="G503" i="161" s="1"/>
  <c r="G1381" i="161"/>
  <c r="G1392" i="161" s="1"/>
  <c r="G1500" i="161" s="1"/>
  <c r="H1381" i="161"/>
  <c r="I1381" i="161" s="1"/>
  <c r="H36" i="160"/>
  <c r="H491" i="161"/>
  <c r="J491" i="161" s="1"/>
  <c r="O491" i="161" s="1"/>
  <c r="G36" i="160"/>
  <c r="G462" i="161"/>
  <c r="H1195" i="161"/>
  <c r="J1195" i="161" s="1"/>
  <c r="P1195" i="161" s="1"/>
  <c r="F1201" i="161"/>
  <c r="F1451" i="161" s="1"/>
  <c r="F499" i="161"/>
  <c r="F1795" i="161" s="1"/>
  <c r="Q528" i="161"/>
  <c r="P528" i="161"/>
  <c r="L528" i="161"/>
  <c r="O528" i="161"/>
  <c r="N528" i="161"/>
  <c r="M528" i="161"/>
  <c r="I528" i="161"/>
  <c r="F504" i="161"/>
  <c r="F659" i="161" s="1"/>
  <c r="G492" i="161"/>
  <c r="H49" i="156"/>
  <c r="H975" i="161"/>
  <c r="J975" i="161" s="1"/>
  <c r="L975" i="161" s="1"/>
  <c r="G467" i="161"/>
  <c r="H467" i="161"/>
  <c r="I467" i="161" s="1"/>
  <c r="I1194" i="161"/>
  <c r="I488" i="161"/>
  <c r="E2504" i="120"/>
  <c r="I487" i="161"/>
  <c r="I971" i="161"/>
  <c r="G626" i="119"/>
  <c r="G1201" i="161"/>
  <c r="G1451" i="161" s="1"/>
  <c r="G1007" i="161"/>
  <c r="G1418" i="161" s="1"/>
  <c r="G1440" i="161" s="1"/>
  <c r="G1798" i="161"/>
  <c r="I993" i="161"/>
  <c r="G505" i="161"/>
  <c r="G660" i="161" s="1"/>
  <c r="I994" i="161"/>
  <c r="I972" i="161"/>
  <c r="I976" i="161"/>
  <c r="I1192" i="161"/>
  <c r="I493" i="161"/>
  <c r="I998" i="161"/>
  <c r="I1191" i="161"/>
  <c r="I492" i="161"/>
  <c r="I489" i="161"/>
  <c r="I207" i="152"/>
  <c r="J206" i="152"/>
  <c r="H61" i="156"/>
  <c r="F145" i="151"/>
  <c r="Q972" i="161"/>
  <c r="P972" i="161"/>
  <c r="M972" i="161"/>
  <c r="O972" i="161"/>
  <c r="N972" i="161"/>
  <c r="K972" i="161"/>
  <c r="L972" i="161"/>
  <c r="H55" i="160"/>
  <c r="F415" i="151"/>
  <c r="F1188" i="161" s="1"/>
  <c r="J464" i="161"/>
  <c r="H501" i="161"/>
  <c r="N999" i="161"/>
  <c r="M999" i="161"/>
  <c r="L999" i="161"/>
  <c r="K999" i="161"/>
  <c r="P999" i="161"/>
  <c r="Q999" i="161"/>
  <c r="O999" i="161"/>
  <c r="H1007" i="161"/>
  <c r="H1418" i="161" s="1"/>
  <c r="H1440" i="161" s="1"/>
  <c r="J970" i="161"/>
  <c r="K84" i="153"/>
  <c r="L84" i="153"/>
  <c r="F1499" i="161"/>
  <c r="G501" i="161"/>
  <c r="P971" i="161"/>
  <c r="N971" i="161"/>
  <c r="K971" i="161"/>
  <c r="L971" i="161"/>
  <c r="M971" i="161"/>
  <c r="O971" i="161"/>
  <c r="Q971" i="161"/>
  <c r="H1798" i="161"/>
  <c r="H657" i="161"/>
  <c r="I657" i="161" s="1"/>
  <c r="I1172" i="161"/>
  <c r="J1380" i="161"/>
  <c r="H1391" i="161"/>
  <c r="H1499" i="161" s="1"/>
  <c r="Q489" i="161"/>
  <c r="L489" i="161"/>
  <c r="K489" i="161"/>
  <c r="P489" i="161"/>
  <c r="N489" i="161"/>
  <c r="M489" i="161"/>
  <c r="O489" i="161"/>
  <c r="F332" i="151"/>
  <c r="F991" i="161" s="1"/>
  <c r="F55" i="160"/>
  <c r="P488" i="161"/>
  <c r="Q488" i="161"/>
  <c r="K488" i="161"/>
  <c r="O488" i="161"/>
  <c r="N488" i="161"/>
  <c r="M488" i="161"/>
  <c r="L488" i="161"/>
  <c r="L493" i="161"/>
  <c r="K493" i="161"/>
  <c r="Q493" i="161"/>
  <c r="M493" i="161"/>
  <c r="O493" i="161"/>
  <c r="N493" i="161"/>
  <c r="P493" i="161"/>
  <c r="F656" i="161"/>
  <c r="F1797" i="161"/>
  <c r="P487" i="161"/>
  <c r="N487" i="161"/>
  <c r="M487" i="161"/>
  <c r="L487" i="161"/>
  <c r="O487" i="161"/>
  <c r="K487" i="161"/>
  <c r="Q487" i="161"/>
  <c r="N465" i="161"/>
  <c r="N502" i="161" s="1"/>
  <c r="O465" i="161"/>
  <c r="O502" i="161" s="1"/>
  <c r="J502" i="161"/>
  <c r="L465" i="161"/>
  <c r="L502" i="161" s="1"/>
  <c r="K465" i="161"/>
  <c r="K502" i="161" s="1"/>
  <c r="Q465" i="161"/>
  <c r="Q502" i="161" s="1"/>
  <c r="M465" i="161"/>
  <c r="M502" i="161" s="1"/>
  <c r="P465" i="161"/>
  <c r="P502" i="161" s="1"/>
  <c r="P492" i="161"/>
  <c r="N492" i="161"/>
  <c r="K492" i="161"/>
  <c r="L492" i="161"/>
  <c r="Q492" i="161"/>
  <c r="O492" i="161"/>
  <c r="M492" i="161"/>
  <c r="L1194" i="161"/>
  <c r="N1194" i="161"/>
  <c r="M1194" i="161"/>
  <c r="Q1194" i="161"/>
  <c r="K1194" i="161"/>
  <c r="P1194" i="161"/>
  <c r="O1194" i="161"/>
  <c r="J466" i="161"/>
  <c r="I1173" i="161"/>
  <c r="I1171" i="161"/>
  <c r="O976" i="161"/>
  <c r="N976" i="161"/>
  <c r="M976" i="161"/>
  <c r="L976" i="161"/>
  <c r="K976" i="161"/>
  <c r="Q976" i="161"/>
  <c r="P976" i="161"/>
  <c r="O1192" i="161"/>
  <c r="N1192" i="161"/>
  <c r="Q1192" i="161"/>
  <c r="K1192" i="161"/>
  <c r="L1192" i="161"/>
  <c r="P1192" i="161"/>
  <c r="M1192" i="161"/>
  <c r="F660" i="161"/>
  <c r="F1801" i="161"/>
  <c r="P1383" i="161"/>
  <c r="P1394" i="161" s="1"/>
  <c r="P1502" i="161" s="1"/>
  <c r="O1383" i="161"/>
  <c r="O1394" i="161" s="1"/>
  <c r="O1502" i="161" s="1"/>
  <c r="J1394" i="161"/>
  <c r="J1502" i="161" s="1"/>
  <c r="N1383" i="161"/>
  <c r="N1394" i="161" s="1"/>
  <c r="N1502" i="161" s="1"/>
  <c r="Q1383" i="161"/>
  <c r="Q1394" i="161" s="1"/>
  <c r="Q1502" i="161" s="1"/>
  <c r="M1383" i="161"/>
  <c r="M1394" i="161" s="1"/>
  <c r="M1502" i="161" s="1"/>
  <c r="L1383" i="161"/>
  <c r="L1394" i="161" s="1"/>
  <c r="L1502" i="161" s="1"/>
  <c r="K1383" i="161"/>
  <c r="K1394" i="161" s="1"/>
  <c r="K1502" i="161" s="1"/>
  <c r="O1172" i="161"/>
  <c r="K1172" i="161"/>
  <c r="N1172" i="161"/>
  <c r="L1172" i="161"/>
  <c r="M1172" i="161"/>
  <c r="Q1172" i="161"/>
  <c r="P1172" i="161"/>
  <c r="K1191" i="161"/>
  <c r="P1191" i="161"/>
  <c r="N1191" i="161"/>
  <c r="O1191" i="161"/>
  <c r="Q1191" i="161"/>
  <c r="M1191" i="161"/>
  <c r="L1191" i="161"/>
  <c r="I1196" i="161"/>
  <c r="M1173" i="161"/>
  <c r="O1173" i="161"/>
  <c r="Q1173" i="161"/>
  <c r="L1173" i="161"/>
  <c r="K1173" i="161"/>
  <c r="P1173" i="161"/>
  <c r="N1173" i="161"/>
  <c r="Q1171" i="161"/>
  <c r="N1171" i="161"/>
  <c r="P1171" i="161"/>
  <c r="M1171" i="161"/>
  <c r="O1171" i="161"/>
  <c r="L1171" i="161"/>
  <c r="K1171" i="161"/>
  <c r="I1169" i="161"/>
  <c r="N1036" i="161"/>
  <c r="N1430" i="161" s="1"/>
  <c r="O1036" i="161"/>
  <c r="O1430" i="161" s="1"/>
  <c r="L1036" i="161"/>
  <c r="L1430" i="161" s="1"/>
  <c r="K1036" i="161"/>
  <c r="K1430" i="161" s="1"/>
  <c r="M1036" i="161"/>
  <c r="M1430" i="161" s="1"/>
  <c r="Q1036" i="161"/>
  <c r="Q1430" i="161" s="1"/>
  <c r="J1430" i="161"/>
  <c r="P1036" i="161"/>
  <c r="P1430" i="161" s="1"/>
  <c r="F1504" i="161"/>
  <c r="I974" i="161"/>
  <c r="J463" i="161"/>
  <c r="H500" i="161"/>
  <c r="I500" i="161" s="1"/>
  <c r="H505" i="161"/>
  <c r="J468" i="161"/>
  <c r="F1503" i="161"/>
  <c r="G55" i="160"/>
  <c r="F161" i="151"/>
  <c r="F485" i="161" s="1"/>
  <c r="G525" i="161"/>
  <c r="G534" i="161" s="1"/>
  <c r="H525" i="161"/>
  <c r="I525" i="161" s="1"/>
  <c r="F534" i="161"/>
  <c r="F658" i="161"/>
  <c r="F1799" i="161"/>
  <c r="F1501" i="161"/>
  <c r="K1169" i="161"/>
  <c r="P1169" i="161"/>
  <c r="L1169" i="161"/>
  <c r="Q1169" i="161"/>
  <c r="N1169" i="161"/>
  <c r="O1169" i="161"/>
  <c r="M1169" i="161"/>
  <c r="I1385" i="161"/>
  <c r="J1385" i="161"/>
  <c r="H1396" i="161"/>
  <c r="H1504" i="161" s="1"/>
  <c r="Q974" i="161"/>
  <c r="M974" i="161"/>
  <c r="L974" i="161"/>
  <c r="K974" i="161"/>
  <c r="P974" i="161"/>
  <c r="O974" i="161"/>
  <c r="N974" i="161"/>
  <c r="G500" i="161"/>
  <c r="N1037" i="161"/>
  <c r="N1431" i="161" s="1"/>
  <c r="J1431" i="161"/>
  <c r="M1037" i="161"/>
  <c r="M1431" i="161" s="1"/>
  <c r="Q1037" i="161"/>
  <c r="Q1431" i="161" s="1"/>
  <c r="K1037" i="161"/>
  <c r="K1431" i="161" s="1"/>
  <c r="L1037" i="161"/>
  <c r="L1431" i="161" s="1"/>
  <c r="O1037" i="161"/>
  <c r="O1431" i="161" s="1"/>
  <c r="P1037" i="161"/>
  <c r="P1431" i="161" s="1"/>
  <c r="I462" i="161"/>
  <c r="H499" i="161"/>
  <c r="J462" i="161"/>
  <c r="K993" i="161"/>
  <c r="Q993" i="161"/>
  <c r="M993" i="161"/>
  <c r="O993" i="161"/>
  <c r="P993" i="161"/>
  <c r="N993" i="161"/>
  <c r="L993" i="161"/>
  <c r="F1505" i="161"/>
  <c r="N1196" i="161"/>
  <c r="M1196" i="161"/>
  <c r="Q1196" i="161"/>
  <c r="K1196" i="161"/>
  <c r="P1196" i="161"/>
  <c r="L1196" i="161"/>
  <c r="O1196" i="161"/>
  <c r="K21" i="159"/>
  <c r="L16" i="159"/>
  <c r="L21" i="159" s="1"/>
  <c r="J1382" i="161"/>
  <c r="H1393" i="161"/>
  <c r="H1501" i="161" s="1"/>
  <c r="F655" i="161"/>
  <c r="F1796" i="161"/>
  <c r="I502" i="161"/>
  <c r="I1394" i="161"/>
  <c r="G61" i="156"/>
  <c r="F317" i="151"/>
  <c r="F969" i="161" s="1"/>
  <c r="H1397" i="161"/>
  <c r="H1505" i="161" s="1"/>
  <c r="J1386" i="161"/>
  <c r="K998" i="161"/>
  <c r="M998" i="161"/>
  <c r="N998" i="161"/>
  <c r="Q998" i="161"/>
  <c r="P998" i="161"/>
  <c r="O998" i="161"/>
  <c r="L998" i="161"/>
  <c r="F1500" i="161"/>
  <c r="N994" i="161"/>
  <c r="L994" i="161"/>
  <c r="Q994" i="161"/>
  <c r="P994" i="161"/>
  <c r="O994" i="161"/>
  <c r="M994" i="161"/>
  <c r="K994" i="161"/>
  <c r="H1395" i="161"/>
  <c r="H1503" i="161" s="1"/>
  <c r="J1384" i="161"/>
  <c r="I61" i="156"/>
  <c r="F400" i="151"/>
  <c r="F1166" i="161" s="1"/>
  <c r="I464" i="161"/>
  <c r="I999" i="161"/>
  <c r="L94" i="153"/>
  <c r="F1418" i="161"/>
  <c r="E142" i="164"/>
  <c r="L214" i="152"/>
  <c r="H1379" i="161"/>
  <c r="I1379" i="161" s="1"/>
  <c r="F1387" i="161"/>
  <c r="F1390" i="161"/>
  <c r="G1379" i="161"/>
  <c r="F46" i="158"/>
  <c r="F357" i="151"/>
  <c r="I1502" i="161"/>
  <c r="F525" i="107"/>
  <c r="E618" i="119" s="1"/>
  <c r="G2504" i="120"/>
  <c r="G1776" i="119"/>
  <c r="I533" i="107"/>
  <c r="H626" i="119" s="1"/>
  <c r="E294" i="120"/>
  <c r="L268" i="107"/>
  <c r="F296" i="120" s="1"/>
  <c r="G587" i="119"/>
  <c r="Q268" i="107"/>
  <c r="K296" i="120" s="1"/>
  <c r="L2052" i="107"/>
  <c r="F2505" i="120" s="1"/>
  <c r="K2504" i="120"/>
  <c r="P1038" i="107"/>
  <c r="P1432" i="107" s="1"/>
  <c r="J1831" i="120" s="1"/>
  <c r="N1038" i="107"/>
  <c r="N1432" i="107" s="1"/>
  <c r="H1831" i="120" s="1"/>
  <c r="J1432" i="107"/>
  <c r="D1831" i="120" s="1"/>
  <c r="Q1038" i="107"/>
  <c r="K1272" i="120" s="1"/>
  <c r="K1038" i="107"/>
  <c r="K1432" i="107" s="1"/>
  <c r="E1831" i="120" s="1"/>
  <c r="M1038" i="107"/>
  <c r="G1272" i="120" s="1"/>
  <c r="L1038" i="107"/>
  <c r="L1432" i="107" s="1"/>
  <c r="F1831" i="120" s="1"/>
  <c r="O1038" i="107"/>
  <c r="O1432" i="107" s="1"/>
  <c r="I1831" i="120" s="1"/>
  <c r="I490" i="107"/>
  <c r="H587" i="119" s="1"/>
  <c r="J2504" i="120"/>
  <c r="H1430" i="107"/>
  <c r="G1774" i="119" s="1"/>
  <c r="J1037" i="107"/>
  <c r="M1037" i="107" s="1"/>
  <c r="J1036" i="107"/>
  <c r="D1270" i="120" s="1"/>
  <c r="G562" i="119"/>
  <c r="J465" i="107"/>
  <c r="D617" i="120" s="1"/>
  <c r="H502" i="107"/>
  <c r="G599" i="119" s="1"/>
  <c r="H2052" i="107"/>
  <c r="G2008" i="119" s="1"/>
  <c r="F411" i="100"/>
  <c r="F327" i="100"/>
  <c r="F983" i="107" s="1"/>
  <c r="E1174" i="119" s="1"/>
  <c r="F328" i="100"/>
  <c r="F984" i="107" s="1"/>
  <c r="E1175" i="119" s="1"/>
  <c r="F329" i="100"/>
  <c r="F985" i="107" s="1"/>
  <c r="E1176" i="119" s="1"/>
  <c r="F412" i="100"/>
  <c r="F330" i="100"/>
  <c r="F986" i="107" s="1"/>
  <c r="E1177" i="119" s="1"/>
  <c r="F413" i="100"/>
  <c r="F331" i="100"/>
  <c r="F987" i="107" s="1"/>
  <c r="E1178" i="119" s="1"/>
  <c r="F414" i="100"/>
  <c r="F1184" i="107" s="1"/>
  <c r="E1479" i="119" s="1"/>
  <c r="F410" i="100"/>
  <c r="F1180" i="107" s="1"/>
  <c r="E1475" i="119" s="1"/>
  <c r="F41" i="157"/>
  <c r="F36" i="157"/>
  <c r="G41" i="157"/>
  <c r="G36" i="157"/>
  <c r="P84" i="96"/>
  <c r="J84" i="96"/>
  <c r="U84" i="96"/>
  <c r="M84" i="96"/>
  <c r="F400" i="100"/>
  <c r="J996" i="107"/>
  <c r="D1235" i="120" s="1"/>
  <c r="H1431" i="107"/>
  <c r="G1775" i="119" s="1"/>
  <c r="J531" i="107"/>
  <c r="Q531" i="107" s="1"/>
  <c r="K678" i="120" s="1"/>
  <c r="G1187" i="119"/>
  <c r="F658" i="107"/>
  <c r="E771" i="119" s="1"/>
  <c r="G1188" i="119"/>
  <c r="I1170" i="107"/>
  <c r="H1465" i="119" s="1"/>
  <c r="J1194" i="107"/>
  <c r="D1534" i="120" s="1"/>
  <c r="H999" i="107"/>
  <c r="I999" i="107" s="1"/>
  <c r="H1190" i="119" s="1"/>
  <c r="J1193" i="107"/>
  <c r="D1533" i="120" s="1"/>
  <c r="I1193" i="107"/>
  <c r="H1488" i="119" s="1"/>
  <c r="G999" i="107"/>
  <c r="F1190" i="119" s="1"/>
  <c r="J1170" i="107"/>
  <c r="D1510" i="120" s="1"/>
  <c r="J997" i="107"/>
  <c r="D1236" i="120" s="1"/>
  <c r="J491" i="107"/>
  <c r="D643" i="120" s="1"/>
  <c r="I491" i="107"/>
  <c r="H588" i="119" s="1"/>
  <c r="G503" i="107"/>
  <c r="F600" i="119" s="1"/>
  <c r="H503" i="107"/>
  <c r="H658" i="107" s="1"/>
  <c r="H976" i="107"/>
  <c r="G1167" i="119" s="1"/>
  <c r="J466" i="107"/>
  <c r="D618" i="120" s="1"/>
  <c r="F1224" i="119"/>
  <c r="G563" i="119"/>
  <c r="G1196" i="107"/>
  <c r="F1491" i="119" s="1"/>
  <c r="G976" i="107"/>
  <c r="F1167" i="119" s="1"/>
  <c r="G994" i="107"/>
  <c r="F1185" i="119" s="1"/>
  <c r="G624" i="119"/>
  <c r="H994" i="107"/>
  <c r="G1185" i="119" s="1"/>
  <c r="F1390" i="107"/>
  <c r="E1712" i="119" s="1"/>
  <c r="H1379" i="107"/>
  <c r="G1701" i="119" s="1"/>
  <c r="G1379" i="107"/>
  <c r="G1390" i="107" s="1"/>
  <c r="F1712" i="119" s="1"/>
  <c r="G487" i="107"/>
  <c r="F584" i="119" s="1"/>
  <c r="G1190" i="107"/>
  <c r="F1485" i="119" s="1"/>
  <c r="H1190" i="107"/>
  <c r="G1485" i="119" s="1"/>
  <c r="H1196" i="107"/>
  <c r="G1491" i="119" s="1"/>
  <c r="F1798" i="107"/>
  <c r="J998" i="107"/>
  <c r="D1237" i="120" s="1"/>
  <c r="G622" i="119"/>
  <c r="F657" i="107"/>
  <c r="E770" i="119" s="1"/>
  <c r="J529" i="107"/>
  <c r="D676" i="120" s="1"/>
  <c r="G493" i="107"/>
  <c r="F590" i="119" s="1"/>
  <c r="G564" i="119"/>
  <c r="J467" i="107"/>
  <c r="D619" i="120" s="1"/>
  <c r="H525" i="107"/>
  <c r="G618" i="119" s="1"/>
  <c r="H1384" i="107"/>
  <c r="H1395" i="107" s="1"/>
  <c r="G1384" i="107"/>
  <c r="G1395" i="107" s="1"/>
  <c r="F1395" i="107"/>
  <c r="F1503" i="107" s="1"/>
  <c r="E1848" i="119" s="1"/>
  <c r="F1504" i="107"/>
  <c r="E1849" i="119" s="1"/>
  <c r="F1705" i="119"/>
  <c r="H489" i="107"/>
  <c r="J489" i="107" s="1"/>
  <c r="D641" i="120" s="1"/>
  <c r="F1391" i="107"/>
  <c r="E1713" i="119" s="1"/>
  <c r="H972" i="107"/>
  <c r="I972" i="107" s="1"/>
  <c r="H1163" i="119" s="1"/>
  <c r="H995" i="107"/>
  <c r="G1186" i="119" s="1"/>
  <c r="I1194" i="107"/>
  <c r="H1489" i="119" s="1"/>
  <c r="G488" i="107"/>
  <c r="F585" i="119" s="1"/>
  <c r="H493" i="107"/>
  <c r="G590" i="119" s="1"/>
  <c r="G970" i="107"/>
  <c r="F1161" i="119" s="1"/>
  <c r="F1201" i="107"/>
  <c r="F1451" i="107" s="1"/>
  <c r="E1795" i="119" s="1"/>
  <c r="H1380" i="107"/>
  <c r="I1380" i="107" s="1"/>
  <c r="H1702" i="119" s="1"/>
  <c r="G1167" i="107"/>
  <c r="F1462" i="119" s="1"/>
  <c r="H1394" i="107"/>
  <c r="H1502" i="107" s="1"/>
  <c r="G1847" i="119" s="1"/>
  <c r="H462" i="107"/>
  <c r="G559" i="119" s="1"/>
  <c r="G462" i="107"/>
  <c r="F559" i="119" s="1"/>
  <c r="G972" i="107"/>
  <c r="F1163" i="119" s="1"/>
  <c r="F499" i="107"/>
  <c r="E596" i="119" s="1"/>
  <c r="G1705" i="119"/>
  <c r="F1502" i="107"/>
  <c r="E1847" i="119" s="1"/>
  <c r="H970" i="107"/>
  <c r="J970" i="107" s="1"/>
  <c r="D1209" i="120" s="1"/>
  <c r="H1173" i="107"/>
  <c r="I1173" i="107" s="1"/>
  <c r="H1468" i="119" s="1"/>
  <c r="H975" i="107"/>
  <c r="G1166" i="119" s="1"/>
  <c r="N533" i="107"/>
  <c r="H680" i="120" s="1"/>
  <c r="J1383" i="107"/>
  <c r="D1758" i="120" s="1"/>
  <c r="H1172" i="107"/>
  <c r="G1467" i="119" s="1"/>
  <c r="G1172" i="107"/>
  <c r="F1467" i="119" s="1"/>
  <c r="H971" i="107"/>
  <c r="I971" i="107" s="1"/>
  <c r="H1162" i="119" s="1"/>
  <c r="H1167" i="107"/>
  <c r="I1167" i="107" s="1"/>
  <c r="H1462" i="119" s="1"/>
  <c r="F1799" i="107"/>
  <c r="G489" i="107"/>
  <c r="F586" i="119" s="1"/>
  <c r="H488" i="107"/>
  <c r="I488" i="107" s="1"/>
  <c r="H585" i="119" s="1"/>
  <c r="G621" i="119"/>
  <c r="G1195" i="107"/>
  <c r="F1490" i="119" s="1"/>
  <c r="E589" i="119"/>
  <c r="H492" i="107"/>
  <c r="H504" i="107" s="1"/>
  <c r="H1800" i="107" s="1"/>
  <c r="G492" i="107"/>
  <c r="G504" i="107" s="1"/>
  <c r="G659" i="107" s="1"/>
  <c r="F772" i="119" s="1"/>
  <c r="H1195" i="107"/>
  <c r="I1195" i="107" s="1"/>
  <c r="H1490" i="119" s="1"/>
  <c r="D675" i="120"/>
  <c r="K528" i="107"/>
  <c r="E675" i="120" s="1"/>
  <c r="P528" i="107"/>
  <c r="J675" i="120" s="1"/>
  <c r="G1396" i="107"/>
  <c r="G1504" i="107" s="1"/>
  <c r="F1849" i="119" s="1"/>
  <c r="I528" i="107"/>
  <c r="H621" i="119" s="1"/>
  <c r="H487" i="107"/>
  <c r="G584" i="119" s="1"/>
  <c r="G1380" i="107"/>
  <c r="G1391" i="107" s="1"/>
  <c r="G468" i="107"/>
  <c r="F565" i="119" s="1"/>
  <c r="G1192" i="107"/>
  <c r="F1487" i="119" s="1"/>
  <c r="F1007" i="107"/>
  <c r="H1192" i="107"/>
  <c r="J1192" i="107" s="1"/>
  <c r="F1393" i="107"/>
  <c r="E1715" i="119" s="1"/>
  <c r="G1191" i="107"/>
  <c r="F1486" i="119" s="1"/>
  <c r="G993" i="107"/>
  <c r="F1184" i="119" s="1"/>
  <c r="H468" i="107"/>
  <c r="G565" i="119" s="1"/>
  <c r="M533" i="107"/>
  <c r="G680" i="120" s="1"/>
  <c r="H1382" i="107"/>
  <c r="I1382" i="107" s="1"/>
  <c r="H1704" i="119" s="1"/>
  <c r="F1223" i="119"/>
  <c r="H1191" i="107"/>
  <c r="G1486" i="119" s="1"/>
  <c r="H993" i="107"/>
  <c r="J993" i="107" s="1"/>
  <c r="F505" i="107"/>
  <c r="F1801" i="107" s="1"/>
  <c r="G1382" i="107"/>
  <c r="F1704" i="119" s="1"/>
  <c r="G995" i="107"/>
  <c r="F1186" i="119" s="1"/>
  <c r="D674" i="120"/>
  <c r="N527" i="107"/>
  <c r="H674" i="120" s="1"/>
  <c r="O527" i="107"/>
  <c r="I674" i="120" s="1"/>
  <c r="G1169" i="107"/>
  <c r="F1464" i="119" s="1"/>
  <c r="G975" i="107"/>
  <c r="F1166" i="119" s="1"/>
  <c r="G974" i="107"/>
  <c r="F1165" i="119" s="1"/>
  <c r="G973" i="107"/>
  <c r="F1164" i="119" s="1"/>
  <c r="E1165" i="119"/>
  <c r="G620" i="119"/>
  <c r="I527" i="107"/>
  <c r="H620" i="119" s="1"/>
  <c r="H1169" i="107"/>
  <c r="I1169" i="107" s="1"/>
  <c r="H1464" i="119" s="1"/>
  <c r="G464" i="107"/>
  <c r="F561" i="119" s="1"/>
  <c r="O490" i="107"/>
  <c r="I642" i="120" s="1"/>
  <c r="H973" i="107"/>
  <c r="G1164" i="119" s="1"/>
  <c r="H464" i="107"/>
  <c r="G561" i="119" s="1"/>
  <c r="H1396" i="107"/>
  <c r="H1504" i="107" s="1"/>
  <c r="G1849" i="119" s="1"/>
  <c r="E1466" i="119"/>
  <c r="G971" i="107"/>
  <c r="F1162" i="119" s="1"/>
  <c r="G1173" i="107"/>
  <c r="F1468" i="119" s="1"/>
  <c r="F501" i="107"/>
  <c r="E598" i="119" s="1"/>
  <c r="G502" i="107"/>
  <c r="G1798" i="107" s="1"/>
  <c r="H1171" i="107"/>
  <c r="J1171" i="107" s="1"/>
  <c r="I998" i="107"/>
  <c r="H1189" i="119" s="1"/>
  <c r="H1386" i="107"/>
  <c r="I1386" i="107" s="1"/>
  <c r="H1708" i="119" s="1"/>
  <c r="J1385" i="107"/>
  <c r="D1760" i="120" s="1"/>
  <c r="G1381" i="107"/>
  <c r="G1392" i="107" s="1"/>
  <c r="G1386" i="107"/>
  <c r="G1397" i="107" s="1"/>
  <c r="F1397" i="107"/>
  <c r="E1719" i="119" s="1"/>
  <c r="H1381" i="107"/>
  <c r="I1381" i="107" s="1"/>
  <c r="H1703" i="119" s="1"/>
  <c r="F1392" i="107"/>
  <c r="E1714" i="119" s="1"/>
  <c r="I1385" i="107"/>
  <c r="H1707" i="119" s="1"/>
  <c r="F1387" i="107"/>
  <c r="E1709" i="119" s="1"/>
  <c r="P490" i="107"/>
  <c r="J642" i="120" s="1"/>
  <c r="L533" i="107"/>
  <c r="F680" i="120" s="1"/>
  <c r="O533" i="107"/>
  <c r="I680" i="120" s="1"/>
  <c r="O528" i="107"/>
  <c r="I675" i="120" s="1"/>
  <c r="Q527" i="107"/>
  <c r="K674" i="120" s="1"/>
  <c r="K527" i="107"/>
  <c r="E674" i="120" s="1"/>
  <c r="K490" i="107"/>
  <c r="E642" i="120" s="1"/>
  <c r="N490" i="107"/>
  <c r="H642" i="120" s="1"/>
  <c r="K533" i="107"/>
  <c r="E680" i="120" s="1"/>
  <c r="P533" i="107"/>
  <c r="J680" i="120" s="1"/>
  <c r="Q533" i="107"/>
  <c r="K680" i="120" s="1"/>
  <c r="L528" i="107"/>
  <c r="F675" i="120" s="1"/>
  <c r="N528" i="107"/>
  <c r="H675" i="120" s="1"/>
  <c r="M528" i="107"/>
  <c r="G675" i="120" s="1"/>
  <c r="Q528" i="107"/>
  <c r="K675" i="120" s="1"/>
  <c r="P527" i="107"/>
  <c r="J674" i="120" s="1"/>
  <c r="M527" i="107"/>
  <c r="G674" i="120" s="1"/>
  <c r="L527" i="107"/>
  <c r="F674" i="120" s="1"/>
  <c r="Q490" i="107"/>
  <c r="K642" i="120" s="1"/>
  <c r="L490" i="107"/>
  <c r="F642" i="120" s="1"/>
  <c r="M490" i="107"/>
  <c r="G642" i="120" s="1"/>
  <c r="G2052" i="107"/>
  <c r="F2008" i="119" s="1"/>
  <c r="F1168" i="107"/>
  <c r="E1463" i="119" s="1"/>
  <c r="F461" i="107"/>
  <c r="E558" i="119" s="1"/>
  <c r="F463" i="107"/>
  <c r="E560" i="119" s="1"/>
  <c r="H2504" i="120"/>
  <c r="N2052" i="107"/>
  <c r="I294" i="120"/>
  <c r="O268" i="107"/>
  <c r="I296" i="120" s="1"/>
  <c r="F1800" i="107"/>
  <c r="E601" i="119"/>
  <c r="D679" i="120"/>
  <c r="Q532" i="107"/>
  <c r="K679" i="120" s="1"/>
  <c r="P532" i="107"/>
  <c r="J679" i="120" s="1"/>
  <c r="O532" i="107"/>
  <c r="I679" i="120" s="1"/>
  <c r="M532" i="107"/>
  <c r="G679" i="120" s="1"/>
  <c r="N532" i="107"/>
  <c r="H679" i="120" s="1"/>
  <c r="L532" i="107"/>
  <c r="F679" i="120" s="1"/>
  <c r="K532" i="107"/>
  <c r="E679" i="120" s="1"/>
  <c r="I974" i="107"/>
  <c r="H1165" i="119" s="1"/>
  <c r="G1165" i="119"/>
  <c r="G1502" i="107"/>
  <c r="F1847" i="119" s="1"/>
  <c r="F1716" i="119"/>
  <c r="K21" i="108"/>
  <c r="L21" i="108"/>
  <c r="F659" i="107"/>
  <c r="E772" i="119" s="1"/>
  <c r="L974" i="107"/>
  <c r="F1213" i="120" s="1"/>
  <c r="O974" i="107"/>
  <c r="I1213" i="120" s="1"/>
  <c r="Q974" i="107"/>
  <c r="K1213" i="120" s="1"/>
  <c r="K974" i="107"/>
  <c r="E1213" i="120" s="1"/>
  <c r="P974" i="107"/>
  <c r="J1213" i="120" s="1"/>
  <c r="M974" i="107"/>
  <c r="G1213" i="120" s="1"/>
  <c r="N974" i="107"/>
  <c r="H1213" i="120" s="1"/>
  <c r="I61" i="99"/>
  <c r="G41" i="101"/>
  <c r="G36" i="101"/>
  <c r="H55" i="90"/>
  <c r="F415" i="100"/>
  <c r="F317" i="100"/>
  <c r="G61" i="99"/>
  <c r="H61" i="99"/>
  <c r="F357" i="100"/>
  <c r="C15" i="168" s="1"/>
  <c r="F46" i="102"/>
  <c r="G55" i="90"/>
  <c r="F161" i="100"/>
  <c r="F36" i="101"/>
  <c r="F41" i="101"/>
  <c r="L206" i="92"/>
  <c r="K206" i="92"/>
  <c r="F55" i="90"/>
  <c r="F332" i="100"/>
  <c r="M995" i="161" l="1"/>
  <c r="K1168" i="161"/>
  <c r="O1168" i="161"/>
  <c r="P1168" i="161"/>
  <c r="M1168" i="161"/>
  <c r="Q1168" i="161"/>
  <c r="I1168" i="161"/>
  <c r="L1168" i="161"/>
  <c r="N995" i="161"/>
  <c r="O995" i="161"/>
  <c r="P995" i="161"/>
  <c r="Q995" i="161"/>
  <c r="K995" i="161"/>
  <c r="M1190" i="161"/>
  <c r="G499" i="161"/>
  <c r="G654" i="161" s="1"/>
  <c r="J1167" i="161"/>
  <c r="N1167" i="161" s="1"/>
  <c r="Q997" i="161"/>
  <c r="P997" i="161"/>
  <c r="Q1195" i="161"/>
  <c r="H503" i="161"/>
  <c r="H658" i="161" s="1"/>
  <c r="I658" i="161" s="1"/>
  <c r="N997" i="161"/>
  <c r="I997" i="161"/>
  <c r="O997" i="161"/>
  <c r="I975" i="161"/>
  <c r="L997" i="161"/>
  <c r="Q975" i="161"/>
  <c r="I491" i="161"/>
  <c r="M997" i="161"/>
  <c r="N975" i="161"/>
  <c r="M975" i="161"/>
  <c r="I995" i="161"/>
  <c r="H1201" i="161"/>
  <c r="H1451" i="161" s="1"/>
  <c r="H1477" i="161" s="1"/>
  <c r="K1190" i="161"/>
  <c r="N1190" i="161"/>
  <c r="P491" i="161"/>
  <c r="I1195" i="161"/>
  <c r="I1007" i="161"/>
  <c r="L1195" i="161"/>
  <c r="L1190" i="161"/>
  <c r="H1392" i="161"/>
  <c r="H1500" i="161" s="1"/>
  <c r="I1500" i="161" s="1"/>
  <c r="I1190" i="161"/>
  <c r="O1190" i="161"/>
  <c r="J1381" i="161"/>
  <c r="P1381" i="161" s="1"/>
  <c r="P1392" i="161" s="1"/>
  <c r="P1500" i="161" s="1"/>
  <c r="Q1190" i="161"/>
  <c r="N491" i="161"/>
  <c r="M491" i="161"/>
  <c r="K975" i="161"/>
  <c r="Q491" i="161"/>
  <c r="K491" i="161"/>
  <c r="L491" i="161"/>
  <c r="O1195" i="161"/>
  <c r="O975" i="161"/>
  <c r="M1195" i="161"/>
  <c r="K1195" i="161"/>
  <c r="F654" i="161"/>
  <c r="N1195" i="161"/>
  <c r="P975" i="161"/>
  <c r="G504" i="161"/>
  <c r="G1800" i="161" s="1"/>
  <c r="J502" i="107"/>
  <c r="J1798" i="107" s="1"/>
  <c r="D2203" i="120" s="1"/>
  <c r="F1800" i="161"/>
  <c r="J467" i="161"/>
  <c r="L467" i="161" s="1"/>
  <c r="L504" i="161" s="1"/>
  <c r="H504" i="161"/>
  <c r="I504" i="161" s="1"/>
  <c r="G1801" i="161"/>
  <c r="G1477" i="161"/>
  <c r="G525" i="107"/>
  <c r="G534" i="107" s="1"/>
  <c r="F627" i="119" s="1"/>
  <c r="I1505" i="161"/>
  <c r="I1499" i="161"/>
  <c r="F534" i="107"/>
  <c r="E627" i="119" s="1"/>
  <c r="I1391" i="161"/>
  <c r="I1504" i="161"/>
  <c r="I1397" i="161"/>
  <c r="I1501" i="161"/>
  <c r="I1395" i="161"/>
  <c r="I1503" i="161"/>
  <c r="I1393" i="161"/>
  <c r="I1396" i="161"/>
  <c r="F1174" i="161"/>
  <c r="G1166" i="161"/>
  <c r="H1166" i="161"/>
  <c r="I1166" i="161" s="1"/>
  <c r="F1200" i="161"/>
  <c r="F1006" i="161"/>
  <c r="D61" i="165" s="1"/>
  <c r="G969" i="161"/>
  <c r="H969" i="161"/>
  <c r="F977" i="161"/>
  <c r="Q1382" i="161"/>
  <c r="Q1393" i="161" s="1"/>
  <c r="Q1501" i="161" s="1"/>
  <c r="P1382" i="161"/>
  <c r="P1393" i="161" s="1"/>
  <c r="P1501" i="161" s="1"/>
  <c r="N1382" i="161"/>
  <c r="N1393" i="161" s="1"/>
  <c r="N1501" i="161" s="1"/>
  <c r="J1393" i="161"/>
  <c r="J1501" i="161" s="1"/>
  <c r="K1382" i="161"/>
  <c r="K1393" i="161" s="1"/>
  <c r="K1501" i="161" s="1"/>
  <c r="O1382" i="161"/>
  <c r="O1393" i="161" s="1"/>
  <c r="O1501" i="161" s="1"/>
  <c r="M1382" i="161"/>
  <c r="M1393" i="161" s="1"/>
  <c r="M1501" i="161" s="1"/>
  <c r="L1382" i="161"/>
  <c r="L1393" i="161" s="1"/>
  <c r="L1501" i="161" s="1"/>
  <c r="P1385" i="161"/>
  <c r="P1396" i="161" s="1"/>
  <c r="P1504" i="161" s="1"/>
  <c r="N1385" i="161"/>
  <c r="N1396" i="161" s="1"/>
  <c r="N1504" i="161" s="1"/>
  <c r="J1396" i="161"/>
  <c r="J1504" i="161" s="1"/>
  <c r="K1385" i="161"/>
  <c r="K1396" i="161" s="1"/>
  <c r="K1504" i="161" s="1"/>
  <c r="Q1385" i="161"/>
  <c r="Q1396" i="161" s="1"/>
  <c r="Q1504" i="161" s="1"/>
  <c r="O1385" i="161"/>
  <c r="O1396" i="161" s="1"/>
  <c r="O1504" i="161" s="1"/>
  <c r="L1385" i="161"/>
  <c r="L1396" i="161" s="1"/>
  <c r="L1504" i="161" s="1"/>
  <c r="M1385" i="161"/>
  <c r="M1396" i="161" s="1"/>
  <c r="M1504" i="161" s="1"/>
  <c r="Q463" i="161"/>
  <c r="Q500" i="161" s="1"/>
  <c r="K463" i="161"/>
  <c r="K500" i="161" s="1"/>
  <c r="P463" i="161"/>
  <c r="P500" i="161" s="1"/>
  <c r="N463" i="161"/>
  <c r="N500" i="161" s="1"/>
  <c r="M463" i="161"/>
  <c r="M500" i="161" s="1"/>
  <c r="O463" i="161"/>
  <c r="O500" i="161" s="1"/>
  <c r="L463" i="161"/>
  <c r="L500" i="161" s="1"/>
  <c r="J500" i="161"/>
  <c r="P1798" i="161"/>
  <c r="P657" i="161"/>
  <c r="O1380" i="161"/>
  <c r="O1391" i="161" s="1"/>
  <c r="O1499" i="161" s="1"/>
  <c r="N1380" i="161"/>
  <c r="N1391" i="161" s="1"/>
  <c r="N1499" i="161" s="1"/>
  <c r="K1380" i="161"/>
  <c r="K1391" i="161" s="1"/>
  <c r="K1499" i="161" s="1"/>
  <c r="Q1380" i="161"/>
  <c r="Q1391" i="161" s="1"/>
  <c r="Q1499" i="161" s="1"/>
  <c r="M1380" i="161"/>
  <c r="M1391" i="161" s="1"/>
  <c r="M1499" i="161" s="1"/>
  <c r="L1380" i="161"/>
  <c r="L1391" i="161" s="1"/>
  <c r="L1499" i="161" s="1"/>
  <c r="J1391" i="161"/>
  <c r="J1499" i="161" s="1"/>
  <c r="P1380" i="161"/>
  <c r="P1391" i="161" s="1"/>
  <c r="P1499" i="161" s="1"/>
  <c r="I501" i="161"/>
  <c r="H656" i="161"/>
  <c r="I656" i="161" s="1"/>
  <c r="H1797" i="161"/>
  <c r="F1033" i="161"/>
  <c r="D15" i="168"/>
  <c r="E15" i="168" s="1"/>
  <c r="H485" i="161"/>
  <c r="I485" i="161" s="1"/>
  <c r="F495" i="161"/>
  <c r="G485" i="161"/>
  <c r="G495" i="161" s="1"/>
  <c r="N466" i="161"/>
  <c r="P466" i="161"/>
  <c r="K466" i="161"/>
  <c r="O466" i="161"/>
  <c r="O503" i="161" s="1"/>
  <c r="M466" i="161"/>
  <c r="L466" i="161"/>
  <c r="J503" i="161"/>
  <c r="Q466" i="161"/>
  <c r="M1798" i="161"/>
  <c r="M657" i="161"/>
  <c r="P464" i="161"/>
  <c r="P501" i="161" s="1"/>
  <c r="N464" i="161"/>
  <c r="N501" i="161" s="1"/>
  <c r="Q464" i="161"/>
  <c r="Q501" i="161" s="1"/>
  <c r="K464" i="161"/>
  <c r="K501" i="161" s="1"/>
  <c r="O464" i="161"/>
  <c r="O501" i="161" s="1"/>
  <c r="M464" i="161"/>
  <c r="M501" i="161" s="1"/>
  <c r="J501" i="161"/>
  <c r="L464" i="161"/>
  <c r="L501" i="161" s="1"/>
  <c r="J499" i="161"/>
  <c r="M462" i="161"/>
  <c r="M499" i="161" s="1"/>
  <c r="N462" i="161"/>
  <c r="N499" i="161" s="1"/>
  <c r="Q462" i="161"/>
  <c r="Q499" i="161" s="1"/>
  <c r="L462" i="161"/>
  <c r="L499" i="161" s="1"/>
  <c r="K462" i="161"/>
  <c r="K499" i="161" s="1"/>
  <c r="P462" i="161"/>
  <c r="P499" i="161" s="1"/>
  <c r="O462" i="161"/>
  <c r="O499" i="161" s="1"/>
  <c r="Q657" i="161"/>
  <c r="Q1798" i="161"/>
  <c r="F1197" i="161"/>
  <c r="G1188" i="161"/>
  <c r="G1197" i="161" s="1"/>
  <c r="H1188" i="161"/>
  <c r="I1188" i="161" s="1"/>
  <c r="I499" i="161"/>
  <c r="H1795" i="161"/>
  <c r="H654" i="161"/>
  <c r="K657" i="161"/>
  <c r="K1798" i="161"/>
  <c r="D11" i="168"/>
  <c r="F461" i="161"/>
  <c r="G1390" i="161"/>
  <c r="G1387" i="161"/>
  <c r="F1440" i="161"/>
  <c r="I1418" i="161"/>
  <c r="N1384" i="161"/>
  <c r="N1395" i="161" s="1"/>
  <c r="N1503" i="161" s="1"/>
  <c r="K1384" i="161"/>
  <c r="K1395" i="161" s="1"/>
  <c r="K1503" i="161" s="1"/>
  <c r="J1395" i="161"/>
  <c r="J1503" i="161" s="1"/>
  <c r="O1384" i="161"/>
  <c r="O1395" i="161" s="1"/>
  <c r="O1503" i="161" s="1"/>
  <c r="M1384" i="161"/>
  <c r="M1395" i="161" s="1"/>
  <c r="M1503" i="161" s="1"/>
  <c r="Q1384" i="161"/>
  <c r="Q1395" i="161" s="1"/>
  <c r="Q1503" i="161" s="1"/>
  <c r="P1384" i="161"/>
  <c r="P1395" i="161" s="1"/>
  <c r="P1503" i="161" s="1"/>
  <c r="L1384" i="161"/>
  <c r="L1395" i="161" s="1"/>
  <c r="L1503" i="161" s="1"/>
  <c r="G658" i="161"/>
  <c r="G1799" i="161"/>
  <c r="L657" i="161"/>
  <c r="L1798" i="161"/>
  <c r="F1498" i="161"/>
  <c r="F1399" i="161"/>
  <c r="Q468" i="161"/>
  <c r="Q505" i="161" s="1"/>
  <c r="K468" i="161"/>
  <c r="K505" i="161" s="1"/>
  <c r="N468" i="161"/>
  <c r="N505" i="161" s="1"/>
  <c r="M468" i="161"/>
  <c r="M505" i="161" s="1"/>
  <c r="L468" i="161"/>
  <c r="L505" i="161" s="1"/>
  <c r="P468" i="161"/>
  <c r="P505" i="161" s="1"/>
  <c r="O468" i="161"/>
  <c r="O505" i="161" s="1"/>
  <c r="J505" i="161"/>
  <c r="J1798" i="161"/>
  <c r="J657" i="161"/>
  <c r="G656" i="161"/>
  <c r="G1797" i="161"/>
  <c r="J1397" i="161"/>
  <c r="J1505" i="161" s="1"/>
  <c r="L1386" i="161"/>
  <c r="L1397" i="161" s="1"/>
  <c r="L1505" i="161" s="1"/>
  <c r="K1386" i="161"/>
  <c r="K1397" i="161" s="1"/>
  <c r="K1505" i="161" s="1"/>
  <c r="Q1386" i="161"/>
  <c r="Q1397" i="161" s="1"/>
  <c r="Q1505" i="161" s="1"/>
  <c r="P1386" i="161"/>
  <c r="P1397" i="161" s="1"/>
  <c r="P1505" i="161" s="1"/>
  <c r="O1386" i="161"/>
  <c r="O1397" i="161" s="1"/>
  <c r="O1505" i="161" s="1"/>
  <c r="N1386" i="161"/>
  <c r="N1397" i="161" s="1"/>
  <c r="N1505" i="161" s="1"/>
  <c r="M1386" i="161"/>
  <c r="M1397" i="161" s="1"/>
  <c r="M1505" i="161" s="1"/>
  <c r="I505" i="161"/>
  <c r="H1801" i="161"/>
  <c r="H660" i="161"/>
  <c r="I660" i="161" s="1"/>
  <c r="O1798" i="161"/>
  <c r="O657" i="161"/>
  <c r="K206" i="152"/>
  <c r="L206" i="152"/>
  <c r="H1387" i="161"/>
  <c r="I1387" i="161" s="1"/>
  <c r="J1379" i="161"/>
  <c r="H1390" i="161"/>
  <c r="G1796" i="161"/>
  <c r="G655" i="161"/>
  <c r="J525" i="161"/>
  <c r="H534" i="161"/>
  <c r="I534" i="161" s="1"/>
  <c r="H1796" i="161"/>
  <c r="H655" i="161"/>
  <c r="I655" i="161" s="1"/>
  <c r="N657" i="161"/>
  <c r="N1798" i="161"/>
  <c r="H991" i="161"/>
  <c r="I991" i="161" s="1"/>
  <c r="F1000" i="161"/>
  <c r="G991" i="161"/>
  <c r="G1000" i="161" s="1"/>
  <c r="N970" i="161"/>
  <c r="N1007" i="161" s="1"/>
  <c r="N1418" i="161" s="1"/>
  <c r="N1440" i="161" s="1"/>
  <c r="J1007" i="161"/>
  <c r="J1418" i="161" s="1"/>
  <c r="J1440" i="161" s="1"/>
  <c r="M970" i="161"/>
  <c r="M1007" i="161" s="1"/>
  <c r="M1418" i="161" s="1"/>
  <c r="M1440" i="161" s="1"/>
  <c r="K970" i="161"/>
  <c r="K1007" i="161" s="1"/>
  <c r="K1418" i="161" s="1"/>
  <c r="K1440" i="161" s="1"/>
  <c r="Q970" i="161"/>
  <c r="Q1007" i="161" s="1"/>
  <c r="Q1418" i="161" s="1"/>
  <c r="Q1440" i="161" s="1"/>
  <c r="O970" i="161"/>
  <c r="O1007" i="161" s="1"/>
  <c r="O1418" i="161" s="1"/>
  <c r="O1440" i="161" s="1"/>
  <c r="P970" i="161"/>
  <c r="P1007" i="161" s="1"/>
  <c r="P1418" i="161" s="1"/>
  <c r="P1440" i="161" s="1"/>
  <c r="L970" i="161"/>
  <c r="L1007" i="161" s="1"/>
  <c r="L1418" i="161" s="1"/>
  <c r="L1440" i="161" s="1"/>
  <c r="F1166" i="107"/>
  <c r="E1461" i="119" s="1"/>
  <c r="G47" i="157"/>
  <c r="F409" i="151"/>
  <c r="F47" i="157"/>
  <c r="F326" i="151"/>
  <c r="Q465" i="107"/>
  <c r="K617" i="120" s="1"/>
  <c r="P465" i="107"/>
  <c r="J617" i="120" s="1"/>
  <c r="N465" i="107"/>
  <c r="N502" i="107" s="1"/>
  <c r="H654" i="120" s="1"/>
  <c r="O465" i="107"/>
  <c r="I617" i="120" s="1"/>
  <c r="F1272" i="120"/>
  <c r="K465" i="107"/>
  <c r="K502" i="107" s="1"/>
  <c r="E654" i="120" s="1"/>
  <c r="H657" i="107"/>
  <c r="G770" i="119" s="1"/>
  <c r="H1798" i="107"/>
  <c r="J1272" i="120"/>
  <c r="H1272" i="120"/>
  <c r="I1430" i="107"/>
  <c r="H1774" i="119" s="1"/>
  <c r="O1037" i="107"/>
  <c r="O1431" i="107" s="1"/>
  <c r="I1830" i="120" s="1"/>
  <c r="L1037" i="107"/>
  <c r="F1271" i="120" s="1"/>
  <c r="Q1432" i="107"/>
  <c r="K1831" i="120" s="1"/>
  <c r="P1037" i="107"/>
  <c r="J1271" i="120" s="1"/>
  <c r="D1271" i="120"/>
  <c r="K1037" i="107"/>
  <c r="K1431" i="107" s="1"/>
  <c r="E1830" i="120" s="1"/>
  <c r="J1431" i="107"/>
  <c r="D1830" i="120" s="1"/>
  <c r="N1037" i="107"/>
  <c r="H1271" i="120" s="1"/>
  <c r="Q1037" i="107"/>
  <c r="K1271" i="120" s="1"/>
  <c r="O1036" i="107"/>
  <c r="O1430" i="107" s="1"/>
  <c r="I1829" i="120" s="1"/>
  <c r="I976" i="107"/>
  <c r="H1167" i="119" s="1"/>
  <c r="J1430" i="107"/>
  <c r="D1829" i="120" s="1"/>
  <c r="K1036" i="107"/>
  <c r="E1270" i="120" s="1"/>
  <c r="M1193" i="107"/>
  <c r="G1533" i="120" s="1"/>
  <c r="P996" i="107"/>
  <c r="J1235" i="120" s="1"/>
  <c r="O996" i="107"/>
  <c r="I1235" i="120" s="1"/>
  <c r="M1036" i="107"/>
  <c r="M1430" i="107" s="1"/>
  <c r="G1829" i="120" s="1"/>
  <c r="P1036" i="107"/>
  <c r="P1430" i="107" s="1"/>
  <c r="J1829" i="120" s="1"/>
  <c r="Q1036" i="107"/>
  <c r="Q1430" i="107" s="1"/>
  <c r="K1829" i="120" s="1"/>
  <c r="E1272" i="120"/>
  <c r="I1272" i="120"/>
  <c r="M465" i="107"/>
  <c r="G617" i="120" s="1"/>
  <c r="L465" i="107"/>
  <c r="F617" i="120" s="1"/>
  <c r="P531" i="107"/>
  <c r="J678" i="120" s="1"/>
  <c r="J525" i="107"/>
  <c r="D672" i="120" s="1"/>
  <c r="K531" i="107"/>
  <c r="E678" i="120" s="1"/>
  <c r="O1193" i="107"/>
  <c r="I1533" i="120" s="1"/>
  <c r="I1431" i="107"/>
  <c r="H1775" i="119" s="1"/>
  <c r="N996" i="107"/>
  <c r="H1235" i="120" s="1"/>
  <c r="P1193" i="107"/>
  <c r="J1533" i="120" s="1"/>
  <c r="Q1193" i="107"/>
  <c r="K1533" i="120" s="1"/>
  <c r="N1036" i="107"/>
  <c r="H1270" i="120" s="1"/>
  <c r="L1036" i="107"/>
  <c r="L1430" i="107" s="1"/>
  <c r="F1829" i="120" s="1"/>
  <c r="M1432" i="107"/>
  <c r="G1831" i="120" s="1"/>
  <c r="M996" i="107"/>
  <c r="G1235" i="120" s="1"/>
  <c r="H312" i="107"/>
  <c r="G282" i="119" s="1"/>
  <c r="G1190" i="119"/>
  <c r="J999" i="107"/>
  <c r="D1238" i="120" s="1"/>
  <c r="N1383" i="107"/>
  <c r="N1394" i="107" s="1"/>
  <c r="I502" i="107"/>
  <c r="H599" i="119" s="1"/>
  <c r="I489" i="107"/>
  <c r="H586" i="119" s="1"/>
  <c r="M1170" i="107"/>
  <c r="G1510" i="120" s="1"/>
  <c r="E602" i="119"/>
  <c r="F2052" i="107"/>
  <c r="E2008" i="119" s="1"/>
  <c r="K996" i="107"/>
  <c r="E1235" i="120" s="1"/>
  <c r="Q996" i="107"/>
  <c r="K1235" i="120" s="1"/>
  <c r="I1190" i="107"/>
  <c r="H1485" i="119" s="1"/>
  <c r="J1190" i="107"/>
  <c r="D1530" i="120" s="1"/>
  <c r="L996" i="107"/>
  <c r="F1235" i="120" s="1"/>
  <c r="F409" i="100"/>
  <c r="F326" i="100"/>
  <c r="F1183" i="107"/>
  <c r="E1478" i="119" s="1"/>
  <c r="G1799" i="107"/>
  <c r="F1204" i="161"/>
  <c r="G1181" i="161"/>
  <c r="G1204" i="161" s="1"/>
  <c r="G1454" i="161" s="1"/>
  <c r="H1181" i="161"/>
  <c r="I1181" i="161" s="1"/>
  <c r="F1205" i="161"/>
  <c r="G1182" i="161"/>
  <c r="G1205" i="161" s="1"/>
  <c r="G1455" i="161" s="1"/>
  <c r="H1182" i="161"/>
  <c r="I1182" i="161" s="1"/>
  <c r="G658" i="107"/>
  <c r="F771" i="119" s="1"/>
  <c r="F1181" i="107"/>
  <c r="E1476" i="119" s="1"/>
  <c r="F1207" i="161"/>
  <c r="G1184" i="161"/>
  <c r="G1207" i="161" s="1"/>
  <c r="G1457" i="161" s="1"/>
  <c r="H1184" i="161"/>
  <c r="F1011" i="161"/>
  <c r="D66" i="165" s="1"/>
  <c r="G985" i="161"/>
  <c r="G1011" i="161" s="1"/>
  <c r="G1422" i="161" s="1"/>
  <c r="G1444" i="161" s="1"/>
  <c r="H985" i="161"/>
  <c r="I985" i="161" s="1"/>
  <c r="F1010" i="161"/>
  <c r="D65" i="165" s="1"/>
  <c r="G984" i="161"/>
  <c r="G1010" i="161" s="1"/>
  <c r="G1421" i="161" s="1"/>
  <c r="G1443" i="161" s="1"/>
  <c r="H984" i="161"/>
  <c r="H983" i="161"/>
  <c r="I983" i="161" s="1"/>
  <c r="G983" i="161"/>
  <c r="G1009" i="161" s="1"/>
  <c r="G1420" i="161" s="1"/>
  <c r="G1442" i="161" s="1"/>
  <c r="F1009" i="161"/>
  <c r="D64" i="165" s="1"/>
  <c r="F1206" i="161"/>
  <c r="G1183" i="161"/>
  <c r="H1183" i="161"/>
  <c r="G1180" i="161"/>
  <c r="G1203" i="161" s="1"/>
  <c r="G1453" i="161" s="1"/>
  <c r="H1180" i="161"/>
  <c r="I1180" i="161" s="1"/>
  <c r="F1203" i="161"/>
  <c r="F1013" i="161"/>
  <c r="D68" i="165" s="1"/>
  <c r="G987" i="161"/>
  <c r="G1013" i="161" s="1"/>
  <c r="G1424" i="161" s="1"/>
  <c r="G1446" i="161" s="1"/>
  <c r="H987" i="161"/>
  <c r="I987" i="161" s="1"/>
  <c r="F1012" i="161"/>
  <c r="D67" i="165" s="1"/>
  <c r="H986" i="161"/>
  <c r="I986" i="161" s="1"/>
  <c r="G986" i="161"/>
  <c r="K84" i="96"/>
  <c r="P1170" i="107"/>
  <c r="J1510" i="120" s="1"/>
  <c r="J976" i="107"/>
  <c r="D1215" i="120" s="1"/>
  <c r="I994" i="107"/>
  <c r="H1185" i="119" s="1"/>
  <c r="H534" i="107"/>
  <c r="G627" i="119" s="1"/>
  <c r="L531" i="107"/>
  <c r="F678" i="120" s="1"/>
  <c r="J994" i="107"/>
  <c r="D1233" i="120" s="1"/>
  <c r="N1170" i="107"/>
  <c r="H1510" i="120" s="1"/>
  <c r="H1390" i="107"/>
  <c r="G1712" i="119" s="1"/>
  <c r="O531" i="107"/>
  <c r="I678" i="120" s="1"/>
  <c r="L84" i="96"/>
  <c r="O1170" i="107"/>
  <c r="I1510" i="120" s="1"/>
  <c r="I1379" i="107"/>
  <c r="H1701" i="119" s="1"/>
  <c r="M531" i="107"/>
  <c r="G678" i="120" s="1"/>
  <c r="Q1170" i="107"/>
  <c r="K1510" i="120" s="1"/>
  <c r="G586" i="119"/>
  <c r="K1170" i="107"/>
  <c r="E1510" i="120" s="1"/>
  <c r="L1170" i="107"/>
  <c r="F1510" i="120" s="1"/>
  <c r="F660" i="107"/>
  <c r="E773" i="119" s="1"/>
  <c r="K1193" i="107"/>
  <c r="E1533" i="120" s="1"/>
  <c r="O84" i="96"/>
  <c r="N84" i="96"/>
  <c r="D62" i="113"/>
  <c r="L1193" i="107"/>
  <c r="F1533" i="120" s="1"/>
  <c r="M467" i="107"/>
  <c r="G619" i="120" s="1"/>
  <c r="T84" i="96"/>
  <c r="Q84" i="96"/>
  <c r="K997" i="107"/>
  <c r="E1236" i="120" s="1"/>
  <c r="Q1194" i="107"/>
  <c r="K1534" i="120" s="1"/>
  <c r="P529" i="107"/>
  <c r="J676" i="120" s="1"/>
  <c r="P1194" i="107"/>
  <c r="J1534" i="120" s="1"/>
  <c r="M1194" i="107"/>
  <c r="G1534" i="120" s="1"/>
  <c r="O1194" i="107"/>
  <c r="I1534" i="120" s="1"/>
  <c r="L1194" i="107"/>
  <c r="F1534" i="120" s="1"/>
  <c r="N1194" i="107"/>
  <c r="H1534" i="120" s="1"/>
  <c r="K1194" i="107"/>
  <c r="E1534" i="120" s="1"/>
  <c r="J1382" i="107"/>
  <c r="D1757" i="120" s="1"/>
  <c r="N531" i="107"/>
  <c r="H678" i="120" s="1"/>
  <c r="I525" i="107"/>
  <c r="H618" i="119" s="1"/>
  <c r="D678" i="120"/>
  <c r="K466" i="107"/>
  <c r="E618" i="120" s="1"/>
  <c r="Q467" i="107"/>
  <c r="K619" i="120" s="1"/>
  <c r="I503" i="107"/>
  <c r="H600" i="119" s="1"/>
  <c r="N467" i="107"/>
  <c r="H619" i="120" s="1"/>
  <c r="G600" i="119"/>
  <c r="P998" i="107"/>
  <c r="J1237" i="120" s="1"/>
  <c r="M466" i="107"/>
  <c r="G618" i="120" s="1"/>
  <c r="P466" i="107"/>
  <c r="J618" i="120" s="1"/>
  <c r="O466" i="107"/>
  <c r="I618" i="120" s="1"/>
  <c r="Q998" i="107"/>
  <c r="K1237" i="120" s="1"/>
  <c r="J1380" i="107"/>
  <c r="D1755" i="120" s="1"/>
  <c r="N466" i="107"/>
  <c r="H618" i="120" s="1"/>
  <c r="E1496" i="119"/>
  <c r="F1498" i="107"/>
  <c r="E1843" i="119" s="1"/>
  <c r="I970" i="107"/>
  <c r="H1161" i="119" s="1"/>
  <c r="J1196" i="107"/>
  <c r="D1536" i="120" s="1"/>
  <c r="J1379" i="107"/>
  <c r="D1754" i="120" s="1"/>
  <c r="N1193" i="107"/>
  <c r="H1533" i="120" s="1"/>
  <c r="L467" i="107"/>
  <c r="F619" i="120" s="1"/>
  <c r="I993" i="107"/>
  <c r="H1184" i="119" s="1"/>
  <c r="G1184" i="107"/>
  <c r="G1207" i="107" s="1"/>
  <c r="G585" i="119"/>
  <c r="P491" i="107"/>
  <c r="J643" i="120" s="1"/>
  <c r="L491" i="107"/>
  <c r="F643" i="120" s="1"/>
  <c r="J462" i="107"/>
  <c r="D614" i="120" s="1"/>
  <c r="N491" i="107"/>
  <c r="H643" i="120" s="1"/>
  <c r="I462" i="107"/>
  <c r="H559" i="119" s="1"/>
  <c r="Q491" i="107"/>
  <c r="K643" i="120" s="1"/>
  <c r="O491" i="107"/>
  <c r="I643" i="120" s="1"/>
  <c r="J468" i="107"/>
  <c r="D620" i="120" s="1"/>
  <c r="H1393" i="107"/>
  <c r="H1501" i="107" s="1"/>
  <c r="G1846" i="119" s="1"/>
  <c r="K491" i="107"/>
  <c r="E643" i="120" s="1"/>
  <c r="H1184" i="107"/>
  <c r="G1479" i="119" s="1"/>
  <c r="M491" i="107"/>
  <c r="G643" i="120" s="1"/>
  <c r="F1207" i="107"/>
  <c r="F1457" i="107" s="1"/>
  <c r="E1801" i="119" s="1"/>
  <c r="N997" i="107"/>
  <c r="H1236" i="120" s="1"/>
  <c r="P997" i="107"/>
  <c r="J1236" i="120" s="1"/>
  <c r="M997" i="107"/>
  <c r="G1236" i="120" s="1"/>
  <c r="Q997" i="107"/>
  <c r="K1236" i="120" s="1"/>
  <c r="L997" i="107"/>
  <c r="F1236" i="120" s="1"/>
  <c r="O997" i="107"/>
  <c r="I1236" i="120" s="1"/>
  <c r="F1701" i="119"/>
  <c r="J488" i="107"/>
  <c r="D640" i="120" s="1"/>
  <c r="J1169" i="107"/>
  <c r="D1509" i="120" s="1"/>
  <c r="E142" i="57"/>
  <c r="E1717" i="119"/>
  <c r="L214" i="92"/>
  <c r="F1418" i="107"/>
  <c r="E1762" i="119" s="1"/>
  <c r="L94" i="96"/>
  <c r="G499" i="107"/>
  <c r="G654" i="107" s="1"/>
  <c r="F767" i="119" s="1"/>
  <c r="G461" i="107"/>
  <c r="F558" i="119" s="1"/>
  <c r="I1196" i="107"/>
  <c r="H1491" i="119" s="1"/>
  <c r="L466" i="107"/>
  <c r="F618" i="120" s="1"/>
  <c r="H1391" i="107"/>
  <c r="H1499" i="107" s="1"/>
  <c r="G1844" i="119" s="1"/>
  <c r="H1799" i="107"/>
  <c r="M998" i="107"/>
  <c r="G1237" i="120" s="1"/>
  <c r="O467" i="107"/>
  <c r="I619" i="120" s="1"/>
  <c r="H501" i="107"/>
  <c r="G598" i="119" s="1"/>
  <c r="O998" i="107"/>
  <c r="I1237" i="120" s="1"/>
  <c r="Q466" i="107"/>
  <c r="K618" i="120" s="1"/>
  <c r="P467" i="107"/>
  <c r="J619" i="120" s="1"/>
  <c r="F1797" i="107"/>
  <c r="N998" i="107"/>
  <c r="H1237" i="120" s="1"/>
  <c r="L998" i="107"/>
  <c r="F1237" i="120" s="1"/>
  <c r="J503" i="107"/>
  <c r="D655" i="120" s="1"/>
  <c r="K467" i="107"/>
  <c r="E619" i="120" s="1"/>
  <c r="K998" i="107"/>
  <c r="E1237" i="120" s="1"/>
  <c r="H986" i="107"/>
  <c r="I986" i="107" s="1"/>
  <c r="H1177" i="119" s="1"/>
  <c r="H983" i="107"/>
  <c r="H1009" i="107" s="1"/>
  <c r="G1704" i="119"/>
  <c r="H984" i="107"/>
  <c r="I984" i="107" s="1"/>
  <c r="H1175" i="119" s="1"/>
  <c r="G984" i="107"/>
  <c r="G1010" i="107" s="1"/>
  <c r="F1010" i="107"/>
  <c r="I487" i="107"/>
  <c r="H584" i="119" s="1"/>
  <c r="O1385" i="107"/>
  <c r="I1760" i="120" s="1"/>
  <c r="F1012" i="107"/>
  <c r="F656" i="107"/>
  <c r="E769" i="119" s="1"/>
  <c r="G1706" i="119"/>
  <c r="I1384" i="107"/>
  <c r="H1706" i="119" s="1"/>
  <c r="J1167" i="107"/>
  <c r="D1507" i="120" s="1"/>
  <c r="J1384" i="107"/>
  <c r="M1384" i="107" s="1"/>
  <c r="G1161" i="119"/>
  <c r="G1462" i="119"/>
  <c r="J1394" i="107"/>
  <c r="J1502" i="107" s="1"/>
  <c r="D1904" i="120" s="1"/>
  <c r="M1383" i="107"/>
  <c r="M1394" i="107" s="1"/>
  <c r="L1383" i="107"/>
  <c r="L1394" i="107" s="1"/>
  <c r="K1383" i="107"/>
  <c r="K1394" i="107" s="1"/>
  <c r="G1393" i="107"/>
  <c r="G1399" i="107" s="1"/>
  <c r="G38" i="107" s="1"/>
  <c r="F37" i="119" s="1"/>
  <c r="K1385" i="107"/>
  <c r="E1760" i="120" s="1"/>
  <c r="O1383" i="107"/>
  <c r="O1394" i="107" s="1"/>
  <c r="G463" i="107"/>
  <c r="J493" i="107"/>
  <c r="D645" i="120" s="1"/>
  <c r="P1383" i="107"/>
  <c r="P1394" i="107" s="1"/>
  <c r="I493" i="107"/>
  <c r="H590" i="119" s="1"/>
  <c r="Q1383" i="107"/>
  <c r="Q1394" i="107" s="1"/>
  <c r="F1009" i="107"/>
  <c r="E144" i="57" s="1"/>
  <c r="H1392" i="107"/>
  <c r="I1392" i="107" s="1"/>
  <c r="H1714" i="119" s="1"/>
  <c r="F1706" i="119"/>
  <c r="O529" i="107"/>
  <c r="I676" i="120" s="1"/>
  <c r="L529" i="107"/>
  <c r="F676" i="120" s="1"/>
  <c r="G505" i="107"/>
  <c r="G660" i="107" s="1"/>
  <c r="F773" i="119" s="1"/>
  <c r="G986" i="107"/>
  <c r="F1177" i="119" s="1"/>
  <c r="J1195" i="107"/>
  <c r="O1195" i="107" s="1"/>
  <c r="I1535" i="120" s="1"/>
  <c r="K529" i="107"/>
  <c r="E676" i="120" s="1"/>
  <c r="J975" i="107"/>
  <c r="P975" i="107" s="1"/>
  <c r="J1214" i="120" s="1"/>
  <c r="N529" i="107"/>
  <c r="H676" i="120" s="1"/>
  <c r="Q529" i="107"/>
  <c r="K676" i="120" s="1"/>
  <c r="M529" i="107"/>
  <c r="G676" i="120" s="1"/>
  <c r="G1464" i="119"/>
  <c r="H985" i="107"/>
  <c r="I985" i="107" s="1"/>
  <c r="H1176" i="119" s="1"/>
  <c r="H499" i="107"/>
  <c r="H1795" i="107" s="1"/>
  <c r="H659" i="107"/>
  <c r="I659" i="107" s="1"/>
  <c r="H772" i="119" s="1"/>
  <c r="F1011" i="107"/>
  <c r="I504" i="107"/>
  <c r="H601" i="119" s="1"/>
  <c r="G1007" i="107"/>
  <c r="F1198" i="119" s="1"/>
  <c r="I1192" i="107"/>
  <c r="H1487" i="119" s="1"/>
  <c r="I1191" i="107"/>
  <c r="H1486" i="119" s="1"/>
  <c r="F1795" i="107"/>
  <c r="I464" i="107"/>
  <c r="H561" i="119" s="1"/>
  <c r="F654" i="107"/>
  <c r="E767" i="119" s="1"/>
  <c r="G589" i="119"/>
  <c r="F599" i="119"/>
  <c r="G1163" i="119"/>
  <c r="I492" i="107"/>
  <c r="H589" i="119" s="1"/>
  <c r="J972" i="107"/>
  <c r="D1211" i="120" s="1"/>
  <c r="H1201" i="107"/>
  <c r="G1496" i="119" s="1"/>
  <c r="J487" i="107"/>
  <c r="D639" i="120" s="1"/>
  <c r="J492" i="107"/>
  <c r="J504" i="107" s="1"/>
  <c r="D656" i="120" s="1"/>
  <c r="G657" i="107"/>
  <c r="F770" i="119" s="1"/>
  <c r="G1487" i="119"/>
  <c r="G1201" i="107"/>
  <c r="F1496" i="119" s="1"/>
  <c r="G985" i="107"/>
  <c r="G1011" i="107" s="1"/>
  <c r="J464" i="107"/>
  <c r="D616" i="120" s="1"/>
  <c r="F1708" i="119"/>
  <c r="F1703" i="119"/>
  <c r="G1702" i="119"/>
  <c r="F1499" i="107"/>
  <c r="E1844" i="119" s="1"/>
  <c r="G1387" i="107"/>
  <c r="F1709" i="119" s="1"/>
  <c r="G1168" i="107"/>
  <c r="F1463" i="119" s="1"/>
  <c r="I468" i="107"/>
  <c r="H565" i="119" s="1"/>
  <c r="J995" i="107"/>
  <c r="D1234" i="120" s="1"/>
  <c r="J1173" i="107"/>
  <c r="D1513" i="120" s="1"/>
  <c r="I995" i="107"/>
  <c r="H1186" i="119" s="1"/>
  <c r="G983" i="107"/>
  <c r="G1009" i="107" s="1"/>
  <c r="G1466" i="119"/>
  <c r="F1702" i="119"/>
  <c r="H505" i="107"/>
  <c r="I505" i="107" s="1"/>
  <c r="H602" i="119" s="1"/>
  <c r="F589" i="119"/>
  <c r="G1468" i="119"/>
  <c r="I1394" i="107"/>
  <c r="H1716" i="119" s="1"/>
  <c r="G1716" i="119"/>
  <c r="H1168" i="107"/>
  <c r="I1168" i="107" s="1"/>
  <c r="H1463" i="119" s="1"/>
  <c r="F470" i="107"/>
  <c r="E567" i="119" s="1"/>
  <c r="H463" i="107"/>
  <c r="G560" i="119" s="1"/>
  <c r="I975" i="107"/>
  <c r="H1166" i="119" s="1"/>
  <c r="D1532" i="120"/>
  <c r="P1192" i="107"/>
  <c r="J1532" i="120" s="1"/>
  <c r="Q1192" i="107"/>
  <c r="K1532" i="120" s="1"/>
  <c r="L1192" i="107"/>
  <c r="F1532" i="120" s="1"/>
  <c r="F1500" i="107"/>
  <c r="E1845" i="119" s="1"/>
  <c r="J1191" i="107"/>
  <c r="D1531" i="120" s="1"/>
  <c r="M489" i="107"/>
  <c r="G641" i="120" s="1"/>
  <c r="H461" i="107"/>
  <c r="G558" i="119" s="1"/>
  <c r="Q1385" i="107"/>
  <c r="K1760" i="120" s="1"/>
  <c r="I1396" i="107"/>
  <c r="H1718" i="119" s="1"/>
  <c r="G601" i="119"/>
  <c r="G1490" i="119"/>
  <c r="I1172" i="107"/>
  <c r="H1467" i="119" s="1"/>
  <c r="E1198" i="119"/>
  <c r="J1396" i="107"/>
  <c r="J1504" i="107" s="1"/>
  <c r="D1906" i="120" s="1"/>
  <c r="N1385" i="107"/>
  <c r="H1760" i="120" s="1"/>
  <c r="P1385" i="107"/>
  <c r="J1760" i="120" s="1"/>
  <c r="L1385" i="107"/>
  <c r="F1760" i="120" s="1"/>
  <c r="G312" i="107"/>
  <c r="F282" i="119" s="1"/>
  <c r="J1172" i="107"/>
  <c r="O1172" i="107" s="1"/>
  <c r="I1512" i="120" s="1"/>
  <c r="M1385" i="107"/>
  <c r="G1760" i="120" s="1"/>
  <c r="D1232" i="120"/>
  <c r="O993" i="107"/>
  <c r="I1232" i="120" s="1"/>
  <c r="P993" i="107"/>
  <c r="J1232" i="120" s="1"/>
  <c r="N993" i="107"/>
  <c r="H1232" i="120" s="1"/>
  <c r="K993" i="107"/>
  <c r="E1232" i="120" s="1"/>
  <c r="F1501" i="107"/>
  <c r="E1846" i="119" s="1"/>
  <c r="J971" i="107"/>
  <c r="D1210" i="120" s="1"/>
  <c r="G1162" i="119"/>
  <c r="F1718" i="119"/>
  <c r="H1007" i="107"/>
  <c r="G1198" i="119" s="1"/>
  <c r="O1192" i="107"/>
  <c r="I1532" i="120" s="1"/>
  <c r="H1387" i="107"/>
  <c r="I1387" i="107" s="1"/>
  <c r="H1709" i="119" s="1"/>
  <c r="H1397" i="107"/>
  <c r="H1505" i="107" s="1"/>
  <c r="G1850" i="119" s="1"/>
  <c r="G501" i="107"/>
  <c r="G1797" i="107" s="1"/>
  <c r="G1708" i="119"/>
  <c r="G1184" i="119"/>
  <c r="J1386" i="107"/>
  <c r="D1761" i="120" s="1"/>
  <c r="D1511" i="120"/>
  <c r="O1171" i="107"/>
  <c r="I1511" i="120" s="1"/>
  <c r="L1171" i="107"/>
  <c r="F1511" i="120" s="1"/>
  <c r="I1171" i="107"/>
  <c r="H1466" i="119" s="1"/>
  <c r="K489" i="107"/>
  <c r="E641" i="120" s="1"/>
  <c r="G1718" i="119"/>
  <c r="F1399" i="107"/>
  <c r="E1721" i="119" s="1"/>
  <c r="F1505" i="107"/>
  <c r="E1850" i="119" s="1"/>
  <c r="J973" i="107"/>
  <c r="I973" i="107"/>
  <c r="H1164" i="119" s="1"/>
  <c r="L993" i="107"/>
  <c r="F1232" i="120" s="1"/>
  <c r="N1192" i="107"/>
  <c r="H1532" i="120" s="1"/>
  <c r="G987" i="107"/>
  <c r="G1013" i="107" s="1"/>
  <c r="N489" i="107"/>
  <c r="H641" i="120" s="1"/>
  <c r="Q993" i="107"/>
  <c r="K1232" i="120" s="1"/>
  <c r="M1192" i="107"/>
  <c r="G1532" i="120" s="1"/>
  <c r="F1013" i="107"/>
  <c r="H987" i="107"/>
  <c r="H1013" i="107" s="1"/>
  <c r="M993" i="107"/>
  <c r="G1232" i="120" s="1"/>
  <c r="G1180" i="107"/>
  <c r="G1203" i="107" s="1"/>
  <c r="K1192" i="107"/>
  <c r="E1532" i="120" s="1"/>
  <c r="H1180" i="107"/>
  <c r="G1475" i="119" s="1"/>
  <c r="F1203" i="107"/>
  <c r="F1453" i="107" s="1"/>
  <c r="E1797" i="119" s="1"/>
  <c r="F500" i="107"/>
  <c r="E597" i="119" s="1"/>
  <c r="Q489" i="107"/>
  <c r="K641" i="120" s="1"/>
  <c r="I1504" i="107"/>
  <c r="H1849" i="119" s="1"/>
  <c r="J1381" i="107"/>
  <c r="D1756" i="120" s="1"/>
  <c r="G1703" i="119"/>
  <c r="I1502" i="107"/>
  <c r="H1847" i="119" s="1"/>
  <c r="L489" i="107"/>
  <c r="F641" i="120" s="1"/>
  <c r="P489" i="107"/>
  <c r="J641" i="120" s="1"/>
  <c r="O489" i="107"/>
  <c r="I641" i="120" s="1"/>
  <c r="N1171" i="107"/>
  <c r="H1511" i="120" s="1"/>
  <c r="K1171" i="107"/>
  <c r="E1511" i="120" s="1"/>
  <c r="Q1171" i="107"/>
  <c r="K1511" i="120" s="1"/>
  <c r="P1171" i="107"/>
  <c r="J1511" i="120" s="1"/>
  <c r="M1171" i="107"/>
  <c r="G1511" i="120" s="1"/>
  <c r="F1182" i="107"/>
  <c r="E1477" i="119" s="1"/>
  <c r="F1188" i="107"/>
  <c r="E1483" i="119" s="1"/>
  <c r="F1033" i="107"/>
  <c r="E1220" i="119" s="1"/>
  <c r="F485" i="107"/>
  <c r="E582" i="119" s="1"/>
  <c r="G1498" i="107"/>
  <c r="F1843" i="119" s="1"/>
  <c r="H2505" i="120"/>
  <c r="J2052" i="107"/>
  <c r="D2505" i="120" s="1"/>
  <c r="M1431" i="107"/>
  <c r="G1830" i="120" s="1"/>
  <c r="G1271" i="120"/>
  <c r="I658" i="107"/>
  <c r="H771" i="119" s="1"/>
  <c r="G771" i="119"/>
  <c r="H1503" i="107"/>
  <c r="G1717" i="119"/>
  <c r="G1503" i="107"/>
  <c r="F1848" i="119" s="1"/>
  <c r="F1717" i="119"/>
  <c r="G1800" i="107"/>
  <c r="F601" i="119"/>
  <c r="G1500" i="107"/>
  <c r="F1845" i="119" s="1"/>
  <c r="F1714" i="119"/>
  <c r="G1505" i="107"/>
  <c r="F1850" i="119" s="1"/>
  <c r="F1719" i="119"/>
  <c r="G1499" i="107"/>
  <c r="F1844" i="119" s="1"/>
  <c r="F1713" i="119"/>
  <c r="F991" i="107"/>
  <c r="E1182" i="119" s="1"/>
  <c r="F969" i="107"/>
  <c r="E1160" i="119" s="1"/>
  <c r="I1395" i="107"/>
  <c r="H1717" i="119" s="1"/>
  <c r="G47" i="101"/>
  <c r="J657" i="107"/>
  <c r="D824" i="120" s="1"/>
  <c r="J1007" i="107"/>
  <c r="M970" i="107"/>
  <c r="N970" i="107"/>
  <c r="K970" i="107"/>
  <c r="P970" i="107"/>
  <c r="L970" i="107"/>
  <c r="O970" i="107"/>
  <c r="Q970" i="107"/>
  <c r="F47" i="101"/>
  <c r="I1392" i="161" l="1"/>
  <c r="G1795" i="161"/>
  <c r="L1167" i="161"/>
  <c r="L1201" i="161" s="1"/>
  <c r="L1451" i="161" s="1"/>
  <c r="L1477" i="161" s="1"/>
  <c r="O1167" i="161"/>
  <c r="O1201" i="161" s="1"/>
  <c r="O1451" i="161" s="1"/>
  <c r="O1477" i="161" s="1"/>
  <c r="I1201" i="161"/>
  <c r="M1167" i="161"/>
  <c r="M1201" i="161" s="1"/>
  <c r="M1451" i="161" s="1"/>
  <c r="M1477" i="161" s="1"/>
  <c r="Q1167" i="161"/>
  <c r="Q1201" i="161" s="1"/>
  <c r="Q1451" i="161" s="1"/>
  <c r="Q1477" i="161" s="1"/>
  <c r="I1451" i="161"/>
  <c r="K1167" i="161"/>
  <c r="K1201" i="161" s="1"/>
  <c r="K1451" i="161" s="1"/>
  <c r="K1477" i="161" s="1"/>
  <c r="P1167" i="161"/>
  <c r="P1201" i="161" s="1"/>
  <c r="P1451" i="161" s="1"/>
  <c r="P1477" i="161" s="1"/>
  <c r="J1201" i="161"/>
  <c r="J1451" i="161" s="1"/>
  <c r="J1477" i="161" s="1"/>
  <c r="Q503" i="161"/>
  <c r="Q658" i="161" s="1"/>
  <c r="I503" i="161"/>
  <c r="H1799" i="161"/>
  <c r="I654" i="161"/>
  <c r="N467" i="161"/>
  <c r="N504" i="161" s="1"/>
  <c r="N659" i="161" s="1"/>
  <c r="M503" i="161"/>
  <c r="M658" i="161" s="1"/>
  <c r="H659" i="161"/>
  <c r="I659" i="161" s="1"/>
  <c r="H1800" i="161"/>
  <c r="N1381" i="161"/>
  <c r="N1392" i="161" s="1"/>
  <c r="N1500" i="161" s="1"/>
  <c r="N1201" i="161"/>
  <c r="N1451" i="161" s="1"/>
  <c r="N1477" i="161" s="1"/>
  <c r="M1381" i="161"/>
  <c r="M1392" i="161" s="1"/>
  <c r="M1500" i="161" s="1"/>
  <c r="O1381" i="161"/>
  <c r="O1392" i="161" s="1"/>
  <c r="O1500" i="161" s="1"/>
  <c r="Q1381" i="161"/>
  <c r="Q1392" i="161" s="1"/>
  <c r="Q1500" i="161" s="1"/>
  <c r="D654" i="120"/>
  <c r="J1392" i="161"/>
  <c r="J1500" i="161" s="1"/>
  <c r="K1381" i="161"/>
  <c r="K1392" i="161" s="1"/>
  <c r="K1500" i="161" s="1"/>
  <c r="L1381" i="161"/>
  <c r="L1392" i="161" s="1"/>
  <c r="L1500" i="161" s="1"/>
  <c r="P503" i="161"/>
  <c r="P658" i="161" s="1"/>
  <c r="N503" i="161"/>
  <c r="N1799" i="161" s="1"/>
  <c r="K503" i="161"/>
  <c r="K1799" i="161" s="1"/>
  <c r="L503" i="161"/>
  <c r="L1799" i="161" s="1"/>
  <c r="Q467" i="161"/>
  <c r="Q504" i="161" s="1"/>
  <c r="Q1800" i="161" s="1"/>
  <c r="M467" i="161"/>
  <c r="M504" i="161" s="1"/>
  <c r="M1800" i="161" s="1"/>
  <c r="H1183" i="107"/>
  <c r="I1183" i="107" s="1"/>
  <c r="H1478" i="119" s="1"/>
  <c r="O467" i="161"/>
  <c r="O504" i="161" s="1"/>
  <c r="O659" i="161" s="1"/>
  <c r="K467" i="161"/>
  <c r="K504" i="161" s="1"/>
  <c r="K659" i="161" s="1"/>
  <c r="J504" i="161"/>
  <c r="J1800" i="161" s="1"/>
  <c r="G659" i="161"/>
  <c r="P467" i="161"/>
  <c r="P504" i="161" s="1"/>
  <c r="P659" i="161" s="1"/>
  <c r="F618" i="119"/>
  <c r="H1166" i="107"/>
  <c r="G1461" i="119" s="1"/>
  <c r="G1166" i="107"/>
  <c r="F1461" i="119" s="1"/>
  <c r="I657" i="107"/>
  <c r="H770" i="119" s="1"/>
  <c r="F1174" i="107"/>
  <c r="E1469" i="119" s="1"/>
  <c r="H1000" i="161"/>
  <c r="I1000" i="161" s="1"/>
  <c r="J991" i="161"/>
  <c r="N660" i="161"/>
  <c r="N1801" i="161"/>
  <c r="L1800" i="161"/>
  <c r="L659" i="161"/>
  <c r="F470" i="161"/>
  <c r="F498" i="161"/>
  <c r="G461" i="161"/>
  <c r="H461" i="161"/>
  <c r="I461" i="161" s="1"/>
  <c r="K1795" i="161"/>
  <c r="K654" i="161"/>
  <c r="M1797" i="161"/>
  <c r="M656" i="161"/>
  <c r="O1796" i="161"/>
  <c r="O655" i="161"/>
  <c r="H977" i="161"/>
  <c r="I977" i="161" s="1"/>
  <c r="H1006" i="161"/>
  <c r="H1417" i="161" s="1"/>
  <c r="J969" i="161"/>
  <c r="H1498" i="161"/>
  <c r="H1506" i="161" s="1"/>
  <c r="H1399" i="161"/>
  <c r="H38" i="161" s="1"/>
  <c r="K660" i="161"/>
  <c r="K1801" i="161"/>
  <c r="H1197" i="161"/>
  <c r="I1197" i="161" s="1"/>
  <c r="J1188" i="161"/>
  <c r="L1795" i="161"/>
  <c r="L654" i="161"/>
  <c r="O1797" i="161"/>
  <c r="O656" i="161"/>
  <c r="J658" i="161"/>
  <c r="J1799" i="161"/>
  <c r="M655" i="161"/>
  <c r="M1796" i="161"/>
  <c r="G977" i="161"/>
  <c r="G1006" i="161"/>
  <c r="G1417" i="161" s="1"/>
  <c r="O1379" i="161"/>
  <c r="Q1379" i="161"/>
  <c r="L1379" i="161"/>
  <c r="P1379" i="161"/>
  <c r="M1379" i="161"/>
  <c r="N1379" i="161"/>
  <c r="J1390" i="161"/>
  <c r="J1387" i="161"/>
  <c r="K1379" i="161"/>
  <c r="Q1801" i="161"/>
  <c r="Q660" i="161"/>
  <c r="Q1795" i="161"/>
  <c r="Q654" i="161"/>
  <c r="K656" i="161"/>
  <c r="K1797" i="161"/>
  <c r="N1796" i="161"/>
  <c r="N655" i="161"/>
  <c r="F1417" i="161"/>
  <c r="E141" i="164"/>
  <c r="K214" i="152"/>
  <c r="K94" i="153"/>
  <c r="J1801" i="161"/>
  <c r="J660" i="161"/>
  <c r="I1390" i="161"/>
  <c r="N1795" i="161"/>
  <c r="N654" i="161"/>
  <c r="Q656" i="161"/>
  <c r="Q1797" i="161"/>
  <c r="J485" i="161"/>
  <c r="H495" i="161"/>
  <c r="I495" i="161" s="1"/>
  <c r="P655" i="161"/>
  <c r="P1796" i="161"/>
  <c r="O660" i="161"/>
  <c r="O1801" i="161"/>
  <c r="F38" i="161"/>
  <c r="M1795" i="161"/>
  <c r="M654" i="161"/>
  <c r="N656" i="161"/>
  <c r="N1797" i="161"/>
  <c r="O658" i="161"/>
  <c r="O1799" i="161"/>
  <c r="K1796" i="161"/>
  <c r="K655" i="161"/>
  <c r="F1450" i="161"/>
  <c r="P660" i="161"/>
  <c r="P1801" i="161"/>
  <c r="F1506" i="161"/>
  <c r="D33" i="166"/>
  <c r="D42" i="155"/>
  <c r="F1477" i="161"/>
  <c r="I1477" i="161" s="1"/>
  <c r="D82" i="166"/>
  <c r="I1440" i="161"/>
  <c r="D68" i="166"/>
  <c r="J1795" i="161"/>
  <c r="J654" i="161"/>
  <c r="P656" i="161"/>
  <c r="P1797" i="161"/>
  <c r="F1043" i="161"/>
  <c r="F36" i="161" s="1"/>
  <c r="G1033" i="161"/>
  <c r="F1428" i="161"/>
  <c r="H1033" i="161"/>
  <c r="Q1796" i="161"/>
  <c r="Q655" i="161"/>
  <c r="H1200" i="161"/>
  <c r="H1450" i="161" s="1"/>
  <c r="J1166" i="161"/>
  <c r="H1174" i="161"/>
  <c r="I1174" i="161" s="1"/>
  <c r="N525" i="161"/>
  <c r="N534" i="161" s="1"/>
  <c r="M525" i="161"/>
  <c r="M534" i="161" s="1"/>
  <c r="J534" i="161"/>
  <c r="O525" i="161"/>
  <c r="O534" i="161" s="1"/>
  <c r="K525" i="161"/>
  <c r="K534" i="161" s="1"/>
  <c r="P525" i="161"/>
  <c r="P534" i="161" s="1"/>
  <c r="L525" i="161"/>
  <c r="L534" i="161" s="1"/>
  <c r="Q525" i="161"/>
  <c r="Q534" i="161" s="1"/>
  <c r="L1801" i="161"/>
  <c r="L660" i="161"/>
  <c r="O1795" i="161"/>
  <c r="O654" i="161"/>
  <c r="L1797" i="161"/>
  <c r="L656" i="161"/>
  <c r="J655" i="161"/>
  <c r="J1796" i="161"/>
  <c r="I969" i="161"/>
  <c r="G1174" i="161"/>
  <c r="G1200" i="161"/>
  <c r="G1450" i="161" s="1"/>
  <c r="M1801" i="161"/>
  <c r="M660" i="161"/>
  <c r="G1399" i="161"/>
  <c r="G38" i="161" s="1"/>
  <c r="G1498" i="161"/>
  <c r="G1506" i="161" s="1"/>
  <c r="P1795" i="161"/>
  <c r="P654" i="161"/>
  <c r="J1797" i="161"/>
  <c r="J656" i="161"/>
  <c r="L1796" i="161"/>
  <c r="L655" i="161"/>
  <c r="F982" i="161"/>
  <c r="F988" i="161" s="1"/>
  <c r="D14" i="168"/>
  <c r="F1179" i="161"/>
  <c r="G1179" i="161" s="1"/>
  <c r="G1202" i="161" s="1"/>
  <c r="D16" i="168"/>
  <c r="Q502" i="107"/>
  <c r="K654" i="120" s="1"/>
  <c r="I1270" i="120"/>
  <c r="J1270" i="120"/>
  <c r="M1382" i="107"/>
  <c r="M1393" i="107" s="1"/>
  <c r="P502" i="107"/>
  <c r="J654" i="120" s="1"/>
  <c r="H617" i="120"/>
  <c r="O502" i="107"/>
  <c r="I654" i="120" s="1"/>
  <c r="L502" i="107"/>
  <c r="F654" i="120" s="1"/>
  <c r="O534" i="107"/>
  <c r="I681" i="120" s="1"/>
  <c r="N1431" i="107"/>
  <c r="H1830" i="120" s="1"/>
  <c r="E617" i="120"/>
  <c r="K1190" i="107"/>
  <c r="E1530" i="120" s="1"/>
  <c r="P976" i="107"/>
  <c r="J1215" i="120" s="1"/>
  <c r="E147" i="164"/>
  <c r="E145" i="164"/>
  <c r="E144" i="164"/>
  <c r="E146" i="164"/>
  <c r="E148" i="164"/>
  <c r="L1431" i="107"/>
  <c r="F1830" i="120" s="1"/>
  <c r="K1430" i="107"/>
  <c r="E1829" i="120" s="1"/>
  <c r="P1431" i="107"/>
  <c r="J1830" i="120" s="1"/>
  <c r="F1270" i="120"/>
  <c r="J534" i="107"/>
  <c r="D681" i="120" s="1"/>
  <c r="I1271" i="120"/>
  <c r="K534" i="107"/>
  <c r="E681" i="120" s="1"/>
  <c r="G1270" i="120"/>
  <c r="P534" i="107"/>
  <c r="J681" i="120" s="1"/>
  <c r="Q1431" i="107"/>
  <c r="K1830" i="120" s="1"/>
  <c r="N534" i="107"/>
  <c r="H681" i="120" s="1"/>
  <c r="G1480" i="161"/>
  <c r="L534" i="107"/>
  <c r="F681" i="120" s="1"/>
  <c r="M534" i="107"/>
  <c r="G681" i="120" s="1"/>
  <c r="E1271" i="120"/>
  <c r="H1758" i="120"/>
  <c r="L1382" i="107"/>
  <c r="F1757" i="120" s="1"/>
  <c r="O1190" i="107"/>
  <c r="I1530" i="120" s="1"/>
  <c r="Q1190" i="107"/>
  <c r="K1530" i="120" s="1"/>
  <c r="N1430" i="107"/>
  <c r="H1829" i="120" s="1"/>
  <c r="O999" i="107"/>
  <c r="I1238" i="120" s="1"/>
  <c r="Q999" i="107"/>
  <c r="K1238" i="120" s="1"/>
  <c r="L999" i="107"/>
  <c r="F1238" i="120" s="1"/>
  <c r="K994" i="107"/>
  <c r="E1233" i="120" s="1"/>
  <c r="M502" i="107"/>
  <c r="G654" i="120" s="1"/>
  <c r="P999" i="107"/>
  <c r="J1238" i="120" s="1"/>
  <c r="N999" i="107"/>
  <c r="H1238" i="120" s="1"/>
  <c r="M999" i="107"/>
  <c r="G1238" i="120" s="1"/>
  <c r="K999" i="107"/>
  <c r="E1238" i="120" s="1"/>
  <c r="P1190" i="107"/>
  <c r="J1530" i="120" s="1"/>
  <c r="L1390" i="107"/>
  <c r="F1765" i="120" s="1"/>
  <c r="K672" i="120"/>
  <c r="K1270" i="120"/>
  <c r="J312" i="107"/>
  <c r="D339" i="120" s="1"/>
  <c r="F1206" i="107"/>
  <c r="F1456" i="107" s="1"/>
  <c r="E1800" i="119" s="1"/>
  <c r="H314" i="107"/>
  <c r="G284" i="119" s="1"/>
  <c r="G1183" i="107"/>
  <c r="G1206" i="107" s="1"/>
  <c r="F1501" i="119" s="1"/>
  <c r="I534" i="107"/>
  <c r="H627" i="119" s="1"/>
  <c r="L1380" i="107"/>
  <c r="L1391" i="107" s="1"/>
  <c r="H1498" i="107"/>
  <c r="G1843" i="119" s="1"/>
  <c r="L1190" i="107"/>
  <c r="F1530" i="120" s="1"/>
  <c r="M1190" i="107"/>
  <c r="G1530" i="120" s="1"/>
  <c r="I1390" i="107"/>
  <c r="H1712" i="119" s="1"/>
  <c r="N1190" i="107"/>
  <c r="H1530" i="120" s="1"/>
  <c r="Q488" i="107"/>
  <c r="K640" i="120" s="1"/>
  <c r="O1384" i="107"/>
  <c r="I1759" i="120" s="1"/>
  <c r="P1382" i="107"/>
  <c r="P1393" i="107" s="1"/>
  <c r="L972" i="107"/>
  <c r="F1211" i="120" s="1"/>
  <c r="P972" i="107"/>
  <c r="J1211" i="120" s="1"/>
  <c r="L976" i="107"/>
  <c r="F1215" i="120" s="1"/>
  <c r="J1391" i="107"/>
  <c r="D1766" i="120" s="1"/>
  <c r="M976" i="107"/>
  <c r="G1215" i="120" s="1"/>
  <c r="Q1380" i="107"/>
  <c r="Q1391" i="107" s="1"/>
  <c r="E1754" i="120"/>
  <c r="O976" i="107"/>
  <c r="I1215" i="120" s="1"/>
  <c r="N1380" i="107"/>
  <c r="N1391" i="107" s="1"/>
  <c r="N976" i="107"/>
  <c r="H1215" i="120" s="1"/>
  <c r="O1380" i="107"/>
  <c r="I1755" i="120" s="1"/>
  <c r="M1380" i="107"/>
  <c r="M1391" i="107" s="1"/>
  <c r="Q976" i="107"/>
  <c r="K1215" i="120" s="1"/>
  <c r="K1380" i="107"/>
  <c r="K1391" i="107" s="1"/>
  <c r="K976" i="107"/>
  <c r="E1215" i="120" s="1"/>
  <c r="P1380" i="107"/>
  <c r="P1391" i="107" s="1"/>
  <c r="N503" i="107"/>
  <c r="N658" i="107" s="1"/>
  <c r="H825" i="120" s="1"/>
  <c r="G314" i="107"/>
  <c r="F284" i="119" s="1"/>
  <c r="I983" i="107"/>
  <c r="H1174" i="119" s="1"/>
  <c r="O462" i="107"/>
  <c r="I614" i="120" s="1"/>
  <c r="N488" i="107"/>
  <c r="H640" i="120" s="1"/>
  <c r="E1502" i="119"/>
  <c r="P488" i="107"/>
  <c r="J640" i="120" s="1"/>
  <c r="L488" i="107"/>
  <c r="F640" i="120" s="1"/>
  <c r="H1797" i="107"/>
  <c r="H1207" i="107"/>
  <c r="G1502" i="119" s="1"/>
  <c r="M488" i="107"/>
  <c r="G640" i="120" s="1"/>
  <c r="O488" i="107"/>
  <c r="I640" i="120" s="1"/>
  <c r="K1167" i="107"/>
  <c r="E1507" i="120" s="1"/>
  <c r="F1204" i="107"/>
  <c r="N994" i="107"/>
  <c r="H1233" i="120" s="1"/>
  <c r="G1181" i="107"/>
  <c r="G1204" i="107" s="1"/>
  <c r="G1454" i="107" s="1"/>
  <c r="F1798" i="119" s="1"/>
  <c r="Q994" i="107"/>
  <c r="K1233" i="120" s="1"/>
  <c r="H1181" i="107"/>
  <c r="I1181" i="107" s="1"/>
  <c r="H1476" i="119" s="1"/>
  <c r="R214" i="152"/>
  <c r="R94" i="153"/>
  <c r="T214" i="152"/>
  <c r="T94" i="153"/>
  <c r="O214" i="152"/>
  <c r="O94" i="153"/>
  <c r="U214" i="152"/>
  <c r="U94" i="153"/>
  <c r="S94" i="153"/>
  <c r="S214" i="152"/>
  <c r="G1481" i="161"/>
  <c r="F1424" i="161"/>
  <c r="J1183" i="161"/>
  <c r="H1206" i="161"/>
  <c r="H1456" i="161" s="1"/>
  <c r="J984" i="161"/>
  <c r="H1010" i="161"/>
  <c r="H1421" i="161" s="1"/>
  <c r="H1443" i="161" s="1"/>
  <c r="H1207" i="161"/>
  <c r="H1457" i="161" s="1"/>
  <c r="J1184" i="161"/>
  <c r="F1455" i="161"/>
  <c r="F1179" i="107"/>
  <c r="E1474" i="119" s="1"/>
  <c r="F1453" i="161"/>
  <c r="G1206" i="161"/>
  <c r="G1456" i="161" s="1"/>
  <c r="G1012" i="161"/>
  <c r="G1423" i="161" s="1"/>
  <c r="G1445" i="161" s="1"/>
  <c r="F1456" i="161"/>
  <c r="F1421" i="161"/>
  <c r="F1457" i="161"/>
  <c r="J1181" i="161"/>
  <c r="H1204" i="161"/>
  <c r="H1454" i="161" s="1"/>
  <c r="J986" i="161"/>
  <c r="H1012" i="161"/>
  <c r="H1423" i="161" s="1"/>
  <c r="H1445" i="161" s="1"/>
  <c r="J1180" i="161"/>
  <c r="H1203" i="161"/>
  <c r="H1453" i="161" s="1"/>
  <c r="F1420" i="161"/>
  <c r="F1423" i="161"/>
  <c r="G1479" i="161"/>
  <c r="J985" i="161"/>
  <c r="H1011" i="161"/>
  <c r="H1422" i="161" s="1"/>
  <c r="H1444" i="161" s="1"/>
  <c r="F1454" i="161"/>
  <c r="H1013" i="161"/>
  <c r="H1424" i="161" s="1"/>
  <c r="H1446" i="161" s="1"/>
  <c r="J987" i="161"/>
  <c r="J983" i="161"/>
  <c r="H1009" i="161"/>
  <c r="H1420" i="161" s="1"/>
  <c r="H1442" i="161" s="1"/>
  <c r="F1422" i="161"/>
  <c r="J1182" i="161"/>
  <c r="H1205" i="161"/>
  <c r="H1455" i="161" s="1"/>
  <c r="G1483" i="161"/>
  <c r="I1183" i="161"/>
  <c r="I984" i="161"/>
  <c r="I1184" i="161"/>
  <c r="Q462" i="107"/>
  <c r="K614" i="120" s="1"/>
  <c r="I1184" i="107"/>
  <c r="H1479" i="119" s="1"/>
  <c r="I1754" i="120"/>
  <c r="J1184" i="107"/>
  <c r="P1184" i="107" s="1"/>
  <c r="N1390" i="107"/>
  <c r="H1765" i="120" s="1"/>
  <c r="P994" i="107"/>
  <c r="J1233" i="120" s="1"/>
  <c r="O995" i="107"/>
  <c r="I1234" i="120" s="1"/>
  <c r="K1754" i="120"/>
  <c r="M1390" i="107"/>
  <c r="G1765" i="120" s="1"/>
  <c r="K503" i="107"/>
  <c r="K1799" i="107" s="1"/>
  <c r="E2204" i="120" s="1"/>
  <c r="K462" i="107"/>
  <c r="E614" i="120" s="1"/>
  <c r="J1754" i="120"/>
  <c r="M462" i="107"/>
  <c r="G614" i="120" s="1"/>
  <c r="J1390" i="107"/>
  <c r="D1765" i="120" s="1"/>
  <c r="L994" i="107"/>
  <c r="F1233" i="120" s="1"/>
  <c r="M994" i="107"/>
  <c r="G1233" i="120" s="1"/>
  <c r="O994" i="107"/>
  <c r="I1233" i="120" s="1"/>
  <c r="K1396" i="107"/>
  <c r="K1504" i="107" s="1"/>
  <c r="E1906" i="120" s="1"/>
  <c r="N1384" i="107"/>
  <c r="N1395" i="107" s="1"/>
  <c r="F1440" i="107"/>
  <c r="D42" i="112" s="1"/>
  <c r="D67" i="113"/>
  <c r="F1422" i="107"/>
  <c r="E1766" i="119" s="1"/>
  <c r="R84" i="96"/>
  <c r="S84" i="96"/>
  <c r="F1424" i="107"/>
  <c r="F1446" i="107" s="1"/>
  <c r="D64" i="113"/>
  <c r="D65" i="113"/>
  <c r="G470" i="107"/>
  <c r="F567" i="119" s="1"/>
  <c r="T94" i="96"/>
  <c r="K488" i="107"/>
  <c r="E640" i="120" s="1"/>
  <c r="H1010" i="107"/>
  <c r="G1201" i="119" s="1"/>
  <c r="G1175" i="119"/>
  <c r="P462" i="107"/>
  <c r="J614" i="120" s="1"/>
  <c r="N462" i="107"/>
  <c r="H614" i="120" s="1"/>
  <c r="L462" i="107"/>
  <c r="F614" i="120" s="1"/>
  <c r="L1169" i="107"/>
  <c r="F1509" i="120" s="1"/>
  <c r="J1393" i="107"/>
  <c r="J1501" i="107" s="1"/>
  <c r="D1903" i="120" s="1"/>
  <c r="Q1169" i="107"/>
  <c r="K1509" i="120" s="1"/>
  <c r="M1169" i="107"/>
  <c r="G1509" i="120" s="1"/>
  <c r="Q1382" i="107"/>
  <c r="K1757" i="120" s="1"/>
  <c r="N1382" i="107"/>
  <c r="N1393" i="107" s="1"/>
  <c r="O1382" i="107"/>
  <c r="I1757" i="120" s="1"/>
  <c r="K1382" i="107"/>
  <c r="E1757" i="120" s="1"/>
  <c r="L503" i="107"/>
  <c r="L658" i="107" s="1"/>
  <c r="F825" i="120" s="1"/>
  <c r="F1421" i="107"/>
  <c r="F1443" i="107" s="1"/>
  <c r="F1175" i="119"/>
  <c r="L468" i="107"/>
  <c r="F620" i="120" s="1"/>
  <c r="F1479" i="119"/>
  <c r="N468" i="107"/>
  <c r="H620" i="120" s="1"/>
  <c r="K1169" i="107"/>
  <c r="E1509" i="120" s="1"/>
  <c r="M503" i="107"/>
  <c r="M1799" i="107" s="1"/>
  <c r="G2204" i="120" s="1"/>
  <c r="G1714" i="119"/>
  <c r="P1384" i="107"/>
  <c r="P1395" i="107" s="1"/>
  <c r="L1384" i="107"/>
  <c r="L1395" i="107" s="1"/>
  <c r="D1759" i="120"/>
  <c r="L975" i="107"/>
  <c r="F1214" i="120" s="1"/>
  <c r="M1196" i="107"/>
  <c r="G1536" i="120" s="1"/>
  <c r="J499" i="107"/>
  <c r="D651" i="120" s="1"/>
  <c r="M487" i="107"/>
  <c r="G639" i="120" s="1"/>
  <c r="I1393" i="107"/>
  <c r="H1715" i="119" s="1"/>
  <c r="Q995" i="107"/>
  <c r="K1234" i="120" s="1"/>
  <c r="G1715" i="119"/>
  <c r="F1715" i="119"/>
  <c r="N1196" i="107"/>
  <c r="H1536" i="120" s="1"/>
  <c r="K1196" i="107"/>
  <c r="E1536" i="120" s="1"/>
  <c r="G1174" i="119"/>
  <c r="F1420" i="107"/>
  <c r="E1764" i="119" s="1"/>
  <c r="N1167" i="107"/>
  <c r="Q1196" i="107"/>
  <c r="K1536" i="120" s="1"/>
  <c r="N995" i="107"/>
  <c r="H1234" i="120" s="1"/>
  <c r="P487" i="107"/>
  <c r="J639" i="120" s="1"/>
  <c r="J983" i="107"/>
  <c r="D1222" i="120" s="1"/>
  <c r="E1200" i="119"/>
  <c r="M1191" i="107"/>
  <c r="G1531" i="120" s="1"/>
  <c r="L1191" i="107"/>
  <c r="F1531" i="120" s="1"/>
  <c r="P503" i="107"/>
  <c r="P658" i="107" s="1"/>
  <c r="J825" i="120" s="1"/>
  <c r="P1167" i="107"/>
  <c r="K487" i="107"/>
  <c r="E639" i="120" s="1"/>
  <c r="O1196" i="107"/>
  <c r="I1536" i="120" s="1"/>
  <c r="L487" i="107"/>
  <c r="F639" i="120" s="1"/>
  <c r="O214" i="92"/>
  <c r="M1167" i="107"/>
  <c r="Q487" i="107"/>
  <c r="K639" i="120" s="1"/>
  <c r="G1501" i="107"/>
  <c r="F1846" i="119" s="1"/>
  <c r="L995" i="107"/>
  <c r="F1234" i="120" s="1"/>
  <c r="L1167" i="107"/>
  <c r="M995" i="107"/>
  <c r="G1234" i="120" s="1"/>
  <c r="J1201" i="107"/>
  <c r="D1541" i="120" s="1"/>
  <c r="L1196" i="107"/>
  <c r="F1536" i="120" s="1"/>
  <c r="P995" i="107"/>
  <c r="J1234" i="120" s="1"/>
  <c r="N487" i="107"/>
  <c r="H639" i="120" s="1"/>
  <c r="O1167" i="107"/>
  <c r="K995" i="107"/>
  <c r="E1234" i="120" s="1"/>
  <c r="Q1167" i="107"/>
  <c r="P1196" i="107"/>
  <c r="J1536" i="120" s="1"/>
  <c r="O94" i="96"/>
  <c r="O487" i="107"/>
  <c r="I639" i="120" s="1"/>
  <c r="K492" i="107"/>
  <c r="E644" i="120" s="1"/>
  <c r="Q492" i="107"/>
  <c r="K644" i="120" s="1"/>
  <c r="G772" i="119"/>
  <c r="L492" i="107"/>
  <c r="F644" i="120" s="1"/>
  <c r="N492" i="107"/>
  <c r="H644" i="120" s="1"/>
  <c r="J659" i="107"/>
  <c r="D826" i="120" s="1"/>
  <c r="P1169" i="107"/>
  <c r="J1509" i="120" s="1"/>
  <c r="J1800" i="107"/>
  <c r="D2205" i="120" s="1"/>
  <c r="K1384" i="107"/>
  <c r="E1759" i="120" s="1"/>
  <c r="D644" i="120"/>
  <c r="H1500" i="107"/>
  <c r="G1845" i="119" s="1"/>
  <c r="O975" i="107"/>
  <c r="I1214" i="120" s="1"/>
  <c r="N975" i="107"/>
  <c r="H1214" i="120" s="1"/>
  <c r="J984" i="107"/>
  <c r="D1223" i="120" s="1"/>
  <c r="J1395" i="107"/>
  <c r="D1770" i="120" s="1"/>
  <c r="P492" i="107"/>
  <c r="J644" i="120" s="1"/>
  <c r="N1169" i="107"/>
  <c r="H1509" i="120" s="1"/>
  <c r="Q1384" i="107"/>
  <c r="Q1395" i="107" s="1"/>
  <c r="M492" i="107"/>
  <c r="G644" i="120" s="1"/>
  <c r="Q975" i="107"/>
  <c r="K1214" i="120" s="1"/>
  <c r="O1169" i="107"/>
  <c r="I1509" i="120" s="1"/>
  <c r="O492" i="107"/>
  <c r="I644" i="120" s="1"/>
  <c r="H654" i="107"/>
  <c r="G767" i="119" s="1"/>
  <c r="I499" i="107"/>
  <c r="H596" i="119" s="1"/>
  <c r="G596" i="119"/>
  <c r="G1795" i="107"/>
  <c r="K975" i="107"/>
  <c r="E1214" i="120" s="1"/>
  <c r="O972" i="107"/>
  <c r="I1211" i="120" s="1"/>
  <c r="G1012" i="107"/>
  <c r="G1423" i="107" s="1"/>
  <c r="K972" i="107"/>
  <c r="E1211" i="120" s="1"/>
  <c r="M972" i="107"/>
  <c r="G1211" i="120" s="1"/>
  <c r="M468" i="107"/>
  <c r="G620" i="120" s="1"/>
  <c r="R94" i="96"/>
  <c r="N972" i="107"/>
  <c r="H1211" i="120" s="1"/>
  <c r="P468" i="107"/>
  <c r="J620" i="120" s="1"/>
  <c r="O503" i="107"/>
  <c r="O658" i="107" s="1"/>
  <c r="I825" i="120" s="1"/>
  <c r="F1758" i="120"/>
  <c r="F1176" i="119"/>
  <c r="O468" i="107"/>
  <c r="I620" i="120" s="1"/>
  <c r="R214" i="92"/>
  <c r="K468" i="107"/>
  <c r="E620" i="120" s="1"/>
  <c r="Q972" i="107"/>
  <c r="K1211" i="120" s="1"/>
  <c r="J986" i="107"/>
  <c r="D1225" i="120" s="1"/>
  <c r="Q468" i="107"/>
  <c r="K620" i="120" s="1"/>
  <c r="Q464" i="107"/>
  <c r="K616" i="120" s="1"/>
  <c r="K1758" i="120"/>
  <c r="G1713" i="119"/>
  <c r="H1011" i="107"/>
  <c r="G1202" i="119" s="1"/>
  <c r="E145" i="57"/>
  <c r="I1391" i="107"/>
  <c r="H1713" i="119" s="1"/>
  <c r="I1201" i="107"/>
  <c r="H1496" i="119" s="1"/>
  <c r="P1173" i="107"/>
  <c r="J1513" i="120" s="1"/>
  <c r="Q503" i="107"/>
  <c r="Q658" i="107" s="1"/>
  <c r="K825" i="120" s="1"/>
  <c r="E1758" i="120"/>
  <c r="E1201" i="119"/>
  <c r="G1177" i="119"/>
  <c r="O1173" i="107"/>
  <c r="I1513" i="120" s="1"/>
  <c r="H1012" i="107"/>
  <c r="G1203" i="119" s="1"/>
  <c r="P464" i="107"/>
  <c r="J616" i="120" s="1"/>
  <c r="L1195" i="107"/>
  <c r="F1535" i="120" s="1"/>
  <c r="F596" i="119"/>
  <c r="F498" i="107"/>
  <c r="E595" i="119" s="1"/>
  <c r="I463" i="107"/>
  <c r="H560" i="119" s="1"/>
  <c r="E1204" i="119"/>
  <c r="F598" i="119"/>
  <c r="P493" i="107"/>
  <c r="J645" i="120" s="1"/>
  <c r="S94" i="96"/>
  <c r="E147" i="57"/>
  <c r="E1203" i="119"/>
  <c r="D66" i="113"/>
  <c r="J461" i="107"/>
  <c r="D613" i="120" s="1"/>
  <c r="E146" i="57"/>
  <c r="G1418" i="107"/>
  <c r="G1440" i="107" s="1"/>
  <c r="F1784" i="119" s="1"/>
  <c r="Q493" i="107"/>
  <c r="K645" i="120" s="1"/>
  <c r="Q1173" i="107"/>
  <c r="K1513" i="120" s="1"/>
  <c r="J505" i="107"/>
  <c r="D657" i="120" s="1"/>
  <c r="J658" i="107"/>
  <c r="D825" i="120" s="1"/>
  <c r="M1173" i="107"/>
  <c r="G1513" i="120" s="1"/>
  <c r="K1173" i="107"/>
  <c r="E1513" i="120" s="1"/>
  <c r="G1188" i="107"/>
  <c r="G1197" i="107" s="1"/>
  <c r="F1492" i="119" s="1"/>
  <c r="N1173" i="107"/>
  <c r="H1513" i="120" s="1"/>
  <c r="H656" i="107"/>
  <c r="I656" i="107" s="1"/>
  <c r="H769" i="119" s="1"/>
  <c r="O1396" i="107"/>
  <c r="I1771" i="120" s="1"/>
  <c r="T214" i="92"/>
  <c r="I1758" i="120"/>
  <c r="J1799" i="107"/>
  <c r="D2204" i="120" s="1"/>
  <c r="F1423" i="107"/>
  <c r="F1445" i="107" s="1"/>
  <c r="L1173" i="107"/>
  <c r="F1513" i="120" s="1"/>
  <c r="I501" i="107"/>
  <c r="H598" i="119" s="1"/>
  <c r="S214" i="92"/>
  <c r="F655" i="107"/>
  <c r="E768" i="119" s="1"/>
  <c r="E148" i="57"/>
  <c r="H1203" i="107"/>
  <c r="I1203" i="107" s="1"/>
  <c r="H1498" i="119" s="1"/>
  <c r="G656" i="107"/>
  <c r="F769" i="119" s="1"/>
  <c r="F1043" i="107"/>
  <c r="E1230" i="119" s="1"/>
  <c r="H1033" i="107"/>
  <c r="H1428" i="107" s="1"/>
  <c r="H1188" i="107"/>
  <c r="I1188" i="107" s="1"/>
  <c r="H1483" i="119" s="1"/>
  <c r="M493" i="107"/>
  <c r="G645" i="120" s="1"/>
  <c r="G1801" i="107"/>
  <c r="G1451" i="107"/>
  <c r="F1795" i="119" s="1"/>
  <c r="N493" i="107"/>
  <c r="H645" i="120" s="1"/>
  <c r="F1200" i="107"/>
  <c r="E1495" i="119" s="1"/>
  <c r="K493" i="107"/>
  <c r="E645" i="120" s="1"/>
  <c r="D1769" i="120"/>
  <c r="J1168" i="107"/>
  <c r="D1508" i="120" s="1"/>
  <c r="I461" i="107"/>
  <c r="H558" i="119" s="1"/>
  <c r="L493" i="107"/>
  <c r="F645" i="120" s="1"/>
  <c r="G1758" i="120"/>
  <c r="O493" i="107"/>
  <c r="I645" i="120" s="1"/>
  <c r="G1463" i="119"/>
  <c r="J1758" i="120"/>
  <c r="F602" i="119"/>
  <c r="Q1396" i="107"/>
  <c r="Q1504" i="107" s="1"/>
  <c r="K1906" i="120" s="1"/>
  <c r="G1182" i="107"/>
  <c r="F1477" i="119" s="1"/>
  <c r="F560" i="119"/>
  <c r="Q971" i="107"/>
  <c r="K1210" i="120" s="1"/>
  <c r="H1182" i="107"/>
  <c r="G1477" i="119" s="1"/>
  <c r="G500" i="107"/>
  <c r="F597" i="119" s="1"/>
  <c r="F1205" i="107"/>
  <c r="F1455" i="107" s="1"/>
  <c r="E1799" i="119" s="1"/>
  <c r="D1771" i="120"/>
  <c r="G1033" i="107"/>
  <c r="F1220" i="119" s="1"/>
  <c r="F1428" i="107"/>
  <c r="E1772" i="119" s="1"/>
  <c r="M464" i="107"/>
  <c r="M501" i="107" s="1"/>
  <c r="G653" i="120" s="1"/>
  <c r="H470" i="107"/>
  <c r="I470" i="107" s="1"/>
  <c r="H567" i="119" s="1"/>
  <c r="H1801" i="107"/>
  <c r="L1396" i="107"/>
  <c r="L1504" i="107" s="1"/>
  <c r="F1906" i="120" s="1"/>
  <c r="P1195" i="107"/>
  <c r="J1535" i="120" s="1"/>
  <c r="H969" i="107"/>
  <c r="I969" i="107" s="1"/>
  <c r="H1160" i="119" s="1"/>
  <c r="J501" i="107"/>
  <c r="D653" i="120" s="1"/>
  <c r="H660" i="107"/>
  <c r="I660" i="107" s="1"/>
  <c r="H773" i="119" s="1"/>
  <c r="K1195" i="107"/>
  <c r="E1535" i="120" s="1"/>
  <c r="N464" i="107"/>
  <c r="N501" i="107" s="1"/>
  <c r="H653" i="120" s="1"/>
  <c r="J463" i="107"/>
  <c r="D615" i="120" s="1"/>
  <c r="F495" i="107"/>
  <c r="E592" i="119" s="1"/>
  <c r="D1535" i="120"/>
  <c r="J985" i="107"/>
  <c r="D1224" i="120" s="1"/>
  <c r="K464" i="107"/>
  <c r="K501" i="107" s="1"/>
  <c r="E653" i="120" s="1"/>
  <c r="H500" i="107"/>
  <c r="G597" i="119" s="1"/>
  <c r="G485" i="107"/>
  <c r="G495" i="107" s="1"/>
  <c r="F592" i="119" s="1"/>
  <c r="Q1195" i="107"/>
  <c r="K1535" i="120" s="1"/>
  <c r="G602" i="119"/>
  <c r="E1202" i="119"/>
  <c r="M1195" i="107"/>
  <c r="G1535" i="120" s="1"/>
  <c r="G1176" i="119"/>
  <c r="O464" i="107"/>
  <c r="O501" i="107" s="1"/>
  <c r="N1195" i="107"/>
  <c r="H1535" i="120" s="1"/>
  <c r="D1214" i="120"/>
  <c r="M975" i="107"/>
  <c r="G1214" i="120" s="1"/>
  <c r="H1451" i="107"/>
  <c r="I1451" i="107" s="1"/>
  <c r="H1795" i="119" s="1"/>
  <c r="L464" i="107"/>
  <c r="L501" i="107" s="1"/>
  <c r="F653" i="120" s="1"/>
  <c r="M1396" i="107"/>
  <c r="M1504" i="107" s="1"/>
  <c r="G1906" i="120" s="1"/>
  <c r="O1191" i="107"/>
  <c r="I1531" i="120" s="1"/>
  <c r="Q1191" i="107"/>
  <c r="K1531" i="120" s="1"/>
  <c r="F1197" i="107"/>
  <c r="E1492" i="119" s="1"/>
  <c r="F38" i="107"/>
  <c r="E37" i="119" s="1"/>
  <c r="I1501" i="107"/>
  <c r="H1846" i="119" s="1"/>
  <c r="P1396" i="107"/>
  <c r="P1504" i="107" s="1"/>
  <c r="J1906" i="120" s="1"/>
  <c r="I1397" i="107"/>
  <c r="H1719" i="119" s="1"/>
  <c r="M1381" i="107"/>
  <c r="G1756" i="120" s="1"/>
  <c r="G1719" i="119"/>
  <c r="N971" i="107"/>
  <c r="H1210" i="120" s="1"/>
  <c r="D68" i="113"/>
  <c r="M971" i="107"/>
  <c r="G1210" i="120" s="1"/>
  <c r="U94" i="96"/>
  <c r="O971" i="107"/>
  <c r="I1210" i="120" s="1"/>
  <c r="F1796" i="107"/>
  <c r="H1399" i="107"/>
  <c r="G1721" i="119" s="1"/>
  <c r="U214" i="92"/>
  <c r="F1174" i="119"/>
  <c r="N1386" i="107"/>
  <c r="N1397" i="107" s="1"/>
  <c r="F1475" i="119"/>
  <c r="N1191" i="107"/>
  <c r="H1531" i="120" s="1"/>
  <c r="P1191" i="107"/>
  <c r="J1531" i="120" s="1"/>
  <c r="K1191" i="107"/>
  <c r="E1531" i="120" s="1"/>
  <c r="H485" i="107"/>
  <c r="I485" i="107" s="1"/>
  <c r="H582" i="119" s="1"/>
  <c r="E1498" i="119"/>
  <c r="J1180" i="107"/>
  <c r="I1180" i="107"/>
  <c r="H1475" i="119" s="1"/>
  <c r="N1396" i="107"/>
  <c r="N1504" i="107" s="1"/>
  <c r="H1906" i="120" s="1"/>
  <c r="F1721" i="119"/>
  <c r="G1709" i="119"/>
  <c r="H1418" i="107"/>
  <c r="G1762" i="119" s="1"/>
  <c r="I1007" i="107"/>
  <c r="H1198" i="119" s="1"/>
  <c r="D1512" i="120"/>
  <c r="M1172" i="107"/>
  <c r="G1512" i="120" s="1"/>
  <c r="Q1172" i="107"/>
  <c r="K1512" i="120" s="1"/>
  <c r="P1172" i="107"/>
  <c r="J1512" i="120" s="1"/>
  <c r="N1172" i="107"/>
  <c r="H1512" i="120" s="1"/>
  <c r="L1172" i="107"/>
  <c r="F1512" i="120" s="1"/>
  <c r="K1172" i="107"/>
  <c r="E1512" i="120" s="1"/>
  <c r="F1178" i="119"/>
  <c r="J987" i="107"/>
  <c r="J1013" i="107" s="1"/>
  <c r="I987" i="107"/>
  <c r="H1178" i="119" s="1"/>
  <c r="G1204" i="119"/>
  <c r="H1424" i="107"/>
  <c r="G1768" i="119" s="1"/>
  <c r="O1386" i="107"/>
  <c r="O1397" i="107" s="1"/>
  <c r="J1397" i="107"/>
  <c r="J1505" i="107" s="1"/>
  <c r="D1907" i="120" s="1"/>
  <c r="P1386" i="107"/>
  <c r="J1761" i="120" s="1"/>
  <c r="G1178" i="119"/>
  <c r="L1386" i="107"/>
  <c r="F1761" i="120" s="1"/>
  <c r="M1386" i="107"/>
  <c r="M1397" i="107" s="1"/>
  <c r="Q1386" i="107"/>
  <c r="K1761" i="120" s="1"/>
  <c r="K1386" i="107"/>
  <c r="E1761" i="120" s="1"/>
  <c r="K971" i="107"/>
  <c r="E1210" i="120" s="1"/>
  <c r="L971" i="107"/>
  <c r="F1210" i="120" s="1"/>
  <c r="P971" i="107"/>
  <c r="J1210" i="120" s="1"/>
  <c r="N657" i="107"/>
  <c r="H824" i="120" s="1"/>
  <c r="N1381" i="107"/>
  <c r="N1392" i="107" s="1"/>
  <c r="L1381" i="107"/>
  <c r="L1392" i="107" s="1"/>
  <c r="J1387" i="107"/>
  <c r="D1762" i="120" s="1"/>
  <c r="O1381" i="107"/>
  <c r="I1756" i="120" s="1"/>
  <c r="I1505" i="107"/>
  <c r="H1850" i="119" s="1"/>
  <c r="K1381" i="107"/>
  <c r="Q1381" i="107"/>
  <c r="Q1392" i="107" s="1"/>
  <c r="F977" i="107"/>
  <c r="E1168" i="119" s="1"/>
  <c r="P1381" i="107"/>
  <c r="P1392" i="107" s="1"/>
  <c r="J1392" i="107"/>
  <c r="D1767" i="120" s="1"/>
  <c r="F1506" i="107"/>
  <c r="E1851" i="119" s="1"/>
  <c r="D1212" i="120"/>
  <c r="L973" i="107"/>
  <c r="F1212" i="120" s="1"/>
  <c r="K973" i="107"/>
  <c r="E1212" i="120" s="1"/>
  <c r="O973" i="107"/>
  <c r="I1212" i="120" s="1"/>
  <c r="P973" i="107"/>
  <c r="J1212" i="120" s="1"/>
  <c r="Q973" i="107"/>
  <c r="K1212" i="120" s="1"/>
  <c r="N973" i="107"/>
  <c r="H1212" i="120" s="1"/>
  <c r="M973" i="107"/>
  <c r="G1212" i="120" s="1"/>
  <c r="K1798" i="107"/>
  <c r="E2203" i="120" s="1"/>
  <c r="I1499" i="107"/>
  <c r="H1844" i="119" s="1"/>
  <c r="F1000" i="107"/>
  <c r="E1191" i="119" s="1"/>
  <c r="K657" i="107"/>
  <c r="E824" i="120" s="1"/>
  <c r="N1798" i="107"/>
  <c r="H2203" i="120" s="1"/>
  <c r="G969" i="107"/>
  <c r="F1160" i="119" s="1"/>
  <c r="F1006" i="107"/>
  <c r="I1013" i="107"/>
  <c r="H1204" i="119" s="1"/>
  <c r="H991" i="107"/>
  <c r="G1182" i="119" s="1"/>
  <c r="G991" i="107"/>
  <c r="G1000" i="107" s="1"/>
  <c r="F1191" i="119" s="1"/>
  <c r="O1007" i="107"/>
  <c r="I1209" i="120"/>
  <c r="P1007" i="107"/>
  <c r="J1209" i="120"/>
  <c r="N1007" i="107"/>
  <c r="H1209" i="120"/>
  <c r="J1418" i="107"/>
  <c r="D1246" i="120"/>
  <c r="I1009" i="107"/>
  <c r="H1200" i="119" s="1"/>
  <c r="G1200" i="119"/>
  <c r="Q1007" i="107"/>
  <c r="K1209" i="120"/>
  <c r="L1007" i="107"/>
  <c r="F1209" i="120"/>
  <c r="K1007" i="107"/>
  <c r="E1209" i="120"/>
  <c r="M1007" i="107"/>
  <c r="G1209" i="120"/>
  <c r="I1503" i="107"/>
  <c r="H1848" i="119" s="1"/>
  <c r="G1848" i="119"/>
  <c r="Q1502" i="107"/>
  <c r="K1904" i="120" s="1"/>
  <c r="K1769" i="120"/>
  <c r="N1502" i="107"/>
  <c r="H1904" i="120" s="1"/>
  <c r="H1769" i="120"/>
  <c r="K1502" i="107"/>
  <c r="E1904" i="120" s="1"/>
  <c r="E1769" i="120"/>
  <c r="M1502" i="107"/>
  <c r="G1904" i="120" s="1"/>
  <c r="G1769" i="120"/>
  <c r="G1457" i="107"/>
  <c r="F1801" i="119" s="1"/>
  <c r="F1502" i="119"/>
  <c r="G1453" i="107"/>
  <c r="F1797" i="119" s="1"/>
  <c r="F1498" i="119"/>
  <c r="M1395" i="107"/>
  <c r="G1759" i="120"/>
  <c r="P1502" i="107"/>
  <c r="J1904" i="120" s="1"/>
  <c r="J1769" i="120"/>
  <c r="O1502" i="107"/>
  <c r="I1904" i="120" s="1"/>
  <c r="I1769" i="120"/>
  <c r="L1502" i="107"/>
  <c r="F1904" i="120" s="1"/>
  <c r="F1769" i="120"/>
  <c r="G1424" i="107"/>
  <c r="F1204" i="119"/>
  <c r="G1421" i="107"/>
  <c r="F1201" i="119"/>
  <c r="G1422" i="107"/>
  <c r="F1202" i="119"/>
  <c r="G1420" i="107"/>
  <c r="F1200" i="119"/>
  <c r="F982" i="107"/>
  <c r="E1173" i="119" s="1"/>
  <c r="H1420" i="107"/>
  <c r="F1202" i="161" l="1"/>
  <c r="H1482" i="161"/>
  <c r="M659" i="161"/>
  <c r="Q1799" i="161"/>
  <c r="M1799" i="161"/>
  <c r="L658" i="161"/>
  <c r="N1800" i="161"/>
  <c r="P1799" i="161"/>
  <c r="N658" i="161"/>
  <c r="Q657" i="107"/>
  <c r="K824" i="120" s="1"/>
  <c r="Q1798" i="107"/>
  <c r="K2203" i="120" s="1"/>
  <c r="I672" i="120"/>
  <c r="K658" i="161"/>
  <c r="Q659" i="161"/>
  <c r="G1478" i="119"/>
  <c r="H1206" i="107"/>
  <c r="G1501" i="119" s="1"/>
  <c r="J1183" i="107"/>
  <c r="D1523" i="120" s="1"/>
  <c r="F1185" i="161"/>
  <c r="G1757" i="120"/>
  <c r="K1800" i="161"/>
  <c r="O1800" i="161"/>
  <c r="P1800" i="161"/>
  <c r="I1166" i="107"/>
  <c r="H1461" i="119" s="1"/>
  <c r="H1174" i="107"/>
  <c r="G1469" i="119" s="1"/>
  <c r="J1166" i="107"/>
  <c r="D1506" i="120" s="1"/>
  <c r="J659" i="161"/>
  <c r="G1174" i="107"/>
  <c r="F1469" i="119" s="1"/>
  <c r="H1179" i="161"/>
  <c r="I1179" i="161" s="1"/>
  <c r="H982" i="161"/>
  <c r="I982" i="161" s="1"/>
  <c r="P657" i="107"/>
  <c r="J824" i="120" s="1"/>
  <c r="G982" i="161"/>
  <c r="G1008" i="161" s="1"/>
  <c r="G1419" i="161" s="1"/>
  <c r="F1008" i="161"/>
  <c r="D63" i="165" s="1"/>
  <c r="P1798" i="107"/>
  <c r="J2203" i="120" s="1"/>
  <c r="I1498" i="161"/>
  <c r="I1200" i="161"/>
  <c r="L657" i="107"/>
  <c r="F824" i="120" s="1"/>
  <c r="L1798" i="107"/>
  <c r="F2203" i="120" s="1"/>
  <c r="I1450" i="161"/>
  <c r="H1428" i="161"/>
  <c r="H1436" i="161" s="1"/>
  <c r="J1033" i="161"/>
  <c r="H1043" i="161"/>
  <c r="H36" i="161" s="1"/>
  <c r="I36" i="161" s="1"/>
  <c r="F1436" i="161"/>
  <c r="M485" i="161"/>
  <c r="M495" i="161" s="1"/>
  <c r="J495" i="161"/>
  <c r="K485" i="161"/>
  <c r="K495" i="161" s="1"/>
  <c r="L485" i="161"/>
  <c r="L495" i="161" s="1"/>
  <c r="O485" i="161"/>
  <c r="O495" i="161" s="1"/>
  <c r="P485" i="161"/>
  <c r="P495" i="161" s="1"/>
  <c r="Q485" i="161"/>
  <c r="Q495" i="161" s="1"/>
  <c r="N485" i="161"/>
  <c r="N495" i="161" s="1"/>
  <c r="J1498" i="161"/>
  <c r="J1506" i="161" s="1"/>
  <c r="J1399" i="161"/>
  <c r="J38" i="161" s="1"/>
  <c r="I1506" i="161"/>
  <c r="G1428" i="161"/>
  <c r="G1436" i="161" s="1"/>
  <c r="G1043" i="161"/>
  <c r="G36" i="161" s="1"/>
  <c r="I1399" i="161"/>
  <c r="F1439" i="161"/>
  <c r="I1417" i="161"/>
  <c r="N1390" i="161"/>
  <c r="N1387" i="161"/>
  <c r="J1197" i="161"/>
  <c r="M1188" i="161"/>
  <c r="M1197" i="161" s="1"/>
  <c r="Q1188" i="161"/>
  <c r="Q1197" i="161" s="1"/>
  <c r="K1188" i="161"/>
  <c r="K1197" i="161" s="1"/>
  <c r="O1188" i="161"/>
  <c r="O1197" i="161" s="1"/>
  <c r="L1188" i="161"/>
  <c r="L1197" i="161" s="1"/>
  <c r="N1188" i="161"/>
  <c r="N1197" i="161" s="1"/>
  <c r="P1188" i="161"/>
  <c r="P1197" i="161" s="1"/>
  <c r="Q969" i="161"/>
  <c r="J1006" i="161"/>
  <c r="J1417" i="161" s="1"/>
  <c r="O969" i="161"/>
  <c r="M969" i="161"/>
  <c r="N969" i="161"/>
  <c r="K969" i="161"/>
  <c r="P969" i="161"/>
  <c r="L969" i="161"/>
  <c r="J977" i="161"/>
  <c r="I38" i="161"/>
  <c r="M1390" i="161"/>
  <c r="M1387" i="161"/>
  <c r="J1174" i="161"/>
  <c r="K1166" i="161"/>
  <c r="N1166" i="161"/>
  <c r="M1166" i="161"/>
  <c r="J1200" i="161"/>
  <c r="J1450" i="161" s="1"/>
  <c r="O1166" i="161"/>
  <c r="L1166" i="161"/>
  <c r="Q1166" i="161"/>
  <c r="P1166" i="161"/>
  <c r="P1387" i="161"/>
  <c r="P1390" i="161"/>
  <c r="I1006" i="161"/>
  <c r="L1387" i="161"/>
  <c r="L1390" i="161"/>
  <c r="H470" i="161"/>
  <c r="I470" i="161" s="1"/>
  <c r="H498" i="161"/>
  <c r="I498" i="161" s="1"/>
  <c r="J461" i="161"/>
  <c r="Q1390" i="161"/>
  <c r="Q1387" i="161"/>
  <c r="G470" i="161"/>
  <c r="G498" i="161"/>
  <c r="P991" i="161"/>
  <c r="P1000" i="161" s="1"/>
  <c r="J1000" i="161"/>
  <c r="Q991" i="161"/>
  <c r="Q1000" i="161" s="1"/>
  <c r="N991" i="161"/>
  <c r="N1000" i="161" s="1"/>
  <c r="O991" i="161"/>
  <c r="O1000" i="161" s="1"/>
  <c r="L991" i="161"/>
  <c r="L1000" i="161" s="1"/>
  <c r="M991" i="161"/>
  <c r="M1000" i="161" s="1"/>
  <c r="K991" i="161"/>
  <c r="K1000" i="161" s="1"/>
  <c r="K1387" i="161"/>
  <c r="K1390" i="161"/>
  <c r="O1387" i="161"/>
  <c r="O1390" i="161"/>
  <c r="F653" i="161"/>
  <c r="F507" i="161"/>
  <c r="F1794" i="161"/>
  <c r="F1802" i="161" s="1"/>
  <c r="H1179" i="107"/>
  <c r="I1179" i="107" s="1"/>
  <c r="H1474" i="119" s="1"/>
  <c r="F672" i="120"/>
  <c r="O657" i="107"/>
  <c r="I824" i="120" s="1"/>
  <c r="O1798" i="107"/>
  <c r="I2203" i="120" s="1"/>
  <c r="Q534" i="107"/>
  <c r="K681" i="120" s="1"/>
  <c r="G672" i="120"/>
  <c r="E672" i="120"/>
  <c r="F1754" i="120"/>
  <c r="E1755" i="120"/>
  <c r="N1799" i="107"/>
  <c r="H2204" i="120" s="1"/>
  <c r="I1455" i="161"/>
  <c r="E143" i="164"/>
  <c r="Q1393" i="107"/>
  <c r="K1768" i="120" s="1"/>
  <c r="J1499" i="107"/>
  <c r="D1901" i="120" s="1"/>
  <c r="E1501" i="119"/>
  <c r="H672" i="120"/>
  <c r="G1755" i="120"/>
  <c r="L1393" i="107"/>
  <c r="L1501" i="107" s="1"/>
  <c r="F1903" i="120" s="1"/>
  <c r="J672" i="120"/>
  <c r="Q1201" i="107"/>
  <c r="Q1451" i="107" s="1"/>
  <c r="K1850" i="120" s="1"/>
  <c r="J314" i="107"/>
  <c r="D341" i="120" s="1"/>
  <c r="O1201" i="107"/>
  <c r="O1451" i="107" s="1"/>
  <c r="I1850" i="120" s="1"/>
  <c r="I1011" i="161"/>
  <c r="E1771" i="120"/>
  <c r="G1456" i="107"/>
  <c r="F1800" i="119" s="1"/>
  <c r="O1395" i="107"/>
  <c r="O1503" i="107" s="1"/>
  <c r="I1905" i="120" s="1"/>
  <c r="F1478" i="119"/>
  <c r="J1757" i="120"/>
  <c r="H1757" i="120"/>
  <c r="O1391" i="107"/>
  <c r="I1766" i="120" s="1"/>
  <c r="M1201" i="107"/>
  <c r="M1451" i="107" s="1"/>
  <c r="G1850" i="120" s="1"/>
  <c r="D1768" i="120"/>
  <c r="I1498" i="107"/>
  <c r="H1843" i="119" s="1"/>
  <c r="H1755" i="120"/>
  <c r="P1201" i="107"/>
  <c r="J1541" i="120" s="1"/>
  <c r="M1798" i="107"/>
  <c r="G2203" i="120" s="1"/>
  <c r="Q504" i="107"/>
  <c r="K656" i="120" s="1"/>
  <c r="I1507" i="120"/>
  <c r="G1506" i="107"/>
  <c r="F1851" i="119" s="1"/>
  <c r="P1799" i="107"/>
  <c r="J2204" i="120" s="1"/>
  <c r="J1759" i="120"/>
  <c r="M657" i="107"/>
  <c r="G824" i="120" s="1"/>
  <c r="G1754" i="120"/>
  <c r="N1201" i="107"/>
  <c r="N1451" i="107" s="1"/>
  <c r="H1850" i="120" s="1"/>
  <c r="Q499" i="107"/>
  <c r="K651" i="120" s="1"/>
  <c r="K1201" i="107"/>
  <c r="E1541" i="120" s="1"/>
  <c r="F613" i="120"/>
  <c r="F1477" i="107"/>
  <c r="E1822" i="119" s="1"/>
  <c r="J1755" i="120"/>
  <c r="N505" i="107"/>
  <c r="H657" i="120" s="1"/>
  <c r="F1755" i="120"/>
  <c r="J1795" i="107"/>
  <c r="D2200" i="120" s="1"/>
  <c r="D68" i="105"/>
  <c r="N1184" i="107"/>
  <c r="N1207" i="107" s="1"/>
  <c r="J654" i="107"/>
  <c r="D821" i="120" s="1"/>
  <c r="F1499" i="119"/>
  <c r="K312" i="107"/>
  <c r="E339" i="120" s="1"/>
  <c r="N312" i="107"/>
  <c r="F1476" i="119"/>
  <c r="Q1184" i="107"/>
  <c r="K1524" i="120" s="1"/>
  <c r="P1390" i="107"/>
  <c r="J1765" i="120" s="1"/>
  <c r="J1207" i="107"/>
  <c r="J1457" i="107" s="1"/>
  <c r="D1856" i="120" s="1"/>
  <c r="D33" i="105"/>
  <c r="Q312" i="107"/>
  <c r="Q314" i="107" s="1"/>
  <c r="K341" i="120" s="1"/>
  <c r="D1524" i="120"/>
  <c r="O1184" i="107"/>
  <c r="I1524" i="120" s="1"/>
  <c r="E1784" i="119"/>
  <c r="P312" i="107"/>
  <c r="P314" i="107" s="1"/>
  <c r="J341" i="120" s="1"/>
  <c r="M658" i="107"/>
  <c r="G825" i="120" s="1"/>
  <c r="M312" i="107"/>
  <c r="M314" i="107" s="1"/>
  <c r="G341" i="120" s="1"/>
  <c r="O312" i="107"/>
  <c r="I339" i="120" s="1"/>
  <c r="L312" i="107"/>
  <c r="M1184" i="107"/>
  <c r="G1524" i="120" s="1"/>
  <c r="K1184" i="107"/>
  <c r="K1207" i="107" s="1"/>
  <c r="L1184" i="107"/>
  <c r="F1524" i="120" s="1"/>
  <c r="L1799" i="107"/>
  <c r="F2204" i="120" s="1"/>
  <c r="O1390" i="107"/>
  <c r="I1765" i="120" s="1"/>
  <c r="K986" i="107"/>
  <c r="E1225" i="120" s="1"/>
  <c r="L1201" i="107"/>
  <c r="L1451" i="107" s="1"/>
  <c r="F1850" i="120" s="1"/>
  <c r="J655" i="120"/>
  <c r="N504" i="107"/>
  <c r="H656" i="120" s="1"/>
  <c r="Q1390" i="107"/>
  <c r="K1765" i="120" s="1"/>
  <c r="F1759" i="120"/>
  <c r="H1507" i="120"/>
  <c r="F1444" i="107"/>
  <c r="D46" i="112" s="1"/>
  <c r="H1506" i="107"/>
  <c r="I1506" i="107" s="1"/>
  <c r="H1851" i="119" s="1"/>
  <c r="G613" i="120"/>
  <c r="M504" i="107"/>
  <c r="G656" i="120" s="1"/>
  <c r="I1500" i="107"/>
  <c r="H1845" i="119" s="1"/>
  <c r="K1755" i="120"/>
  <c r="J1451" i="107"/>
  <c r="D1850" i="120" s="1"/>
  <c r="I1207" i="107"/>
  <c r="H1502" i="119" s="1"/>
  <c r="H1457" i="107"/>
  <c r="I1457" i="107" s="1"/>
  <c r="H1801" i="119" s="1"/>
  <c r="G1476" i="119"/>
  <c r="G1179" i="107"/>
  <c r="F1474" i="119" s="1"/>
  <c r="J1181" i="107"/>
  <c r="K1390" i="107"/>
  <c r="E1765" i="120" s="1"/>
  <c r="J613" i="120"/>
  <c r="K1759" i="120"/>
  <c r="L504" i="107"/>
  <c r="F656" i="120" s="1"/>
  <c r="J1507" i="120"/>
  <c r="H655" i="120"/>
  <c r="F1202" i="107"/>
  <c r="E1497" i="119" s="1"/>
  <c r="F1185" i="107"/>
  <c r="E1480" i="119" s="1"/>
  <c r="H1204" i="107"/>
  <c r="H1454" i="107" s="1"/>
  <c r="G1507" i="120"/>
  <c r="L505" i="107"/>
  <c r="L660" i="107" s="1"/>
  <c r="F827" i="120" s="1"/>
  <c r="O1393" i="107"/>
  <c r="O1501" i="107" s="1"/>
  <c r="I1903" i="120" s="1"/>
  <c r="K504" i="107"/>
  <c r="E656" i="120" s="1"/>
  <c r="Q501" i="107"/>
  <c r="K653" i="120" s="1"/>
  <c r="F1507" i="120"/>
  <c r="K499" i="107"/>
  <c r="K654" i="107" s="1"/>
  <c r="E821" i="120" s="1"/>
  <c r="H1759" i="120"/>
  <c r="H1754" i="120"/>
  <c r="M499" i="107"/>
  <c r="M1795" i="107" s="1"/>
  <c r="G2200" i="120" s="1"/>
  <c r="F1454" i="107"/>
  <c r="E1798" i="119" s="1"/>
  <c r="E1499" i="119"/>
  <c r="N986" i="107"/>
  <c r="N1012" i="107" s="1"/>
  <c r="F655" i="120"/>
  <c r="M986" i="107"/>
  <c r="M1012" i="107" s="1"/>
  <c r="I1204" i="161"/>
  <c r="J1009" i="107"/>
  <c r="D1248" i="120" s="1"/>
  <c r="F1442" i="107"/>
  <c r="D44" i="112" s="1"/>
  <c r="H1480" i="161"/>
  <c r="O985" i="107"/>
  <c r="O1011" i="107" s="1"/>
  <c r="E1765" i="119"/>
  <c r="N985" i="107"/>
  <c r="N1011" i="107" s="1"/>
  <c r="J660" i="107"/>
  <c r="D827" i="120" s="1"/>
  <c r="I1009" i="161"/>
  <c r="I1207" i="161"/>
  <c r="G1185" i="161"/>
  <c r="H1483" i="161"/>
  <c r="I1206" i="161"/>
  <c r="G1452" i="161"/>
  <c r="G1458" i="161" s="1"/>
  <c r="G1209" i="161"/>
  <c r="G39" i="161" s="1"/>
  <c r="F1445" i="161"/>
  <c r="I1423" i="161"/>
  <c r="K1181" i="161"/>
  <c r="K1204" i="161" s="1"/>
  <c r="K1454" i="161" s="1"/>
  <c r="Q1181" i="161"/>
  <c r="Q1204" i="161" s="1"/>
  <c r="Q1454" i="161" s="1"/>
  <c r="O1181" i="161"/>
  <c r="O1204" i="161" s="1"/>
  <c r="O1454" i="161" s="1"/>
  <c r="N1181" i="161"/>
  <c r="N1204" i="161" s="1"/>
  <c r="N1454" i="161" s="1"/>
  <c r="L1181" i="161"/>
  <c r="L1204" i="161" s="1"/>
  <c r="L1454" i="161" s="1"/>
  <c r="P1181" i="161"/>
  <c r="P1204" i="161" s="1"/>
  <c r="P1454" i="161" s="1"/>
  <c r="M1181" i="161"/>
  <c r="M1204" i="161" s="1"/>
  <c r="M1454" i="161" s="1"/>
  <c r="J1204" i="161"/>
  <c r="J1454" i="161" s="1"/>
  <c r="O1184" i="161"/>
  <c r="O1207" i="161" s="1"/>
  <c r="O1457" i="161" s="1"/>
  <c r="K1184" i="161"/>
  <c r="K1207" i="161" s="1"/>
  <c r="K1457" i="161" s="1"/>
  <c r="J1207" i="161"/>
  <c r="J1457" i="161" s="1"/>
  <c r="Q1184" i="161"/>
  <c r="Q1207" i="161" s="1"/>
  <c r="Q1457" i="161" s="1"/>
  <c r="M1184" i="161"/>
  <c r="M1207" i="161" s="1"/>
  <c r="M1457" i="161" s="1"/>
  <c r="N1184" i="161"/>
  <c r="N1207" i="161" s="1"/>
  <c r="N1457" i="161" s="1"/>
  <c r="L1184" i="161"/>
  <c r="L1207" i="161" s="1"/>
  <c r="L1457" i="161" s="1"/>
  <c r="P1184" i="161"/>
  <c r="P1207" i="161" s="1"/>
  <c r="P1457" i="161" s="1"/>
  <c r="Q1182" i="161"/>
  <c r="Q1205" i="161" s="1"/>
  <c r="Q1455" i="161" s="1"/>
  <c r="P1182" i="161"/>
  <c r="P1205" i="161" s="1"/>
  <c r="P1455" i="161" s="1"/>
  <c r="O1182" i="161"/>
  <c r="O1205" i="161" s="1"/>
  <c r="O1455" i="161" s="1"/>
  <c r="N1182" i="161"/>
  <c r="N1205" i="161" s="1"/>
  <c r="N1455" i="161" s="1"/>
  <c r="M1182" i="161"/>
  <c r="M1205" i="161" s="1"/>
  <c r="M1455" i="161" s="1"/>
  <c r="K1182" i="161"/>
  <c r="K1205" i="161" s="1"/>
  <c r="K1455" i="161" s="1"/>
  <c r="L1182" i="161"/>
  <c r="L1205" i="161" s="1"/>
  <c r="L1455" i="161" s="1"/>
  <c r="J1205" i="161"/>
  <c r="J1455" i="161" s="1"/>
  <c r="F1452" i="161"/>
  <c r="F1458" i="161" s="1"/>
  <c r="F1209" i="161"/>
  <c r="I1457" i="161"/>
  <c r="F1444" i="161"/>
  <c r="I1422" i="161"/>
  <c r="I1010" i="161"/>
  <c r="I1203" i="161"/>
  <c r="M984" i="161"/>
  <c r="M1010" i="161" s="1"/>
  <c r="M1421" i="161" s="1"/>
  <c r="M1443" i="161" s="1"/>
  <c r="L984" i="161"/>
  <c r="L1010" i="161" s="1"/>
  <c r="L1421" i="161" s="1"/>
  <c r="L1443" i="161" s="1"/>
  <c r="K984" i="161"/>
  <c r="K1010" i="161" s="1"/>
  <c r="K1421" i="161" s="1"/>
  <c r="K1443" i="161" s="1"/>
  <c r="Q984" i="161"/>
  <c r="Q1010" i="161" s="1"/>
  <c r="Q1421" i="161" s="1"/>
  <c r="Q1443" i="161" s="1"/>
  <c r="P984" i="161"/>
  <c r="P1010" i="161" s="1"/>
  <c r="P1421" i="161" s="1"/>
  <c r="P1443" i="161" s="1"/>
  <c r="O984" i="161"/>
  <c r="O1010" i="161" s="1"/>
  <c r="O1421" i="161" s="1"/>
  <c r="O1443" i="161" s="1"/>
  <c r="N984" i="161"/>
  <c r="N1010" i="161" s="1"/>
  <c r="N1421" i="161" s="1"/>
  <c r="N1443" i="161" s="1"/>
  <c r="J1010" i="161"/>
  <c r="J1421" i="161" s="1"/>
  <c r="J1443" i="161" s="1"/>
  <c r="F1442" i="161"/>
  <c r="I1420" i="161"/>
  <c r="E655" i="120"/>
  <c r="H1421" i="107"/>
  <c r="G1765" i="119" s="1"/>
  <c r="K658" i="107"/>
  <c r="E825" i="120" s="1"/>
  <c r="G1205" i="107"/>
  <c r="G1455" i="107" s="1"/>
  <c r="H1479" i="161"/>
  <c r="H1481" i="161"/>
  <c r="M1180" i="161"/>
  <c r="M1203" i="161" s="1"/>
  <c r="M1453" i="161" s="1"/>
  <c r="K1180" i="161"/>
  <c r="K1203" i="161" s="1"/>
  <c r="K1453" i="161" s="1"/>
  <c r="N1180" i="161"/>
  <c r="N1203" i="161" s="1"/>
  <c r="N1453" i="161" s="1"/>
  <c r="O1180" i="161"/>
  <c r="O1203" i="161" s="1"/>
  <c r="O1453" i="161" s="1"/>
  <c r="L1180" i="161"/>
  <c r="L1203" i="161" s="1"/>
  <c r="L1453" i="161" s="1"/>
  <c r="Q1180" i="161"/>
  <c r="Q1203" i="161" s="1"/>
  <c r="Q1453" i="161" s="1"/>
  <c r="P1180" i="161"/>
  <c r="P1203" i="161" s="1"/>
  <c r="P1453" i="161" s="1"/>
  <c r="J1203" i="161"/>
  <c r="J1453" i="161" s="1"/>
  <c r="F1443" i="161"/>
  <c r="I1421" i="161"/>
  <c r="I1453" i="161"/>
  <c r="M983" i="161"/>
  <c r="M1009" i="161" s="1"/>
  <c r="M1420" i="161" s="1"/>
  <c r="M1442" i="161" s="1"/>
  <c r="L983" i="161"/>
  <c r="L1009" i="161" s="1"/>
  <c r="L1420" i="161" s="1"/>
  <c r="L1442" i="161" s="1"/>
  <c r="O983" i="161"/>
  <c r="O1009" i="161" s="1"/>
  <c r="O1420" i="161" s="1"/>
  <c r="O1442" i="161" s="1"/>
  <c r="K983" i="161"/>
  <c r="K1009" i="161" s="1"/>
  <c r="K1420" i="161" s="1"/>
  <c r="K1442" i="161" s="1"/>
  <c r="Q983" i="161"/>
  <c r="Q1009" i="161" s="1"/>
  <c r="Q1420" i="161" s="1"/>
  <c r="Q1442" i="161" s="1"/>
  <c r="P983" i="161"/>
  <c r="P1009" i="161" s="1"/>
  <c r="P1420" i="161" s="1"/>
  <c r="P1442" i="161" s="1"/>
  <c r="N983" i="161"/>
  <c r="N1009" i="161" s="1"/>
  <c r="N1420" i="161" s="1"/>
  <c r="N1442" i="161" s="1"/>
  <c r="J1009" i="161"/>
  <c r="J1420" i="161" s="1"/>
  <c r="J1442" i="161" s="1"/>
  <c r="K985" i="161"/>
  <c r="K1011" i="161" s="1"/>
  <c r="K1422" i="161" s="1"/>
  <c r="K1444" i="161" s="1"/>
  <c r="Q985" i="161"/>
  <c r="Q1011" i="161" s="1"/>
  <c r="Q1422" i="161" s="1"/>
  <c r="Q1444" i="161" s="1"/>
  <c r="P985" i="161"/>
  <c r="P1011" i="161" s="1"/>
  <c r="P1422" i="161" s="1"/>
  <c r="P1444" i="161" s="1"/>
  <c r="O985" i="161"/>
  <c r="O1011" i="161" s="1"/>
  <c r="O1422" i="161" s="1"/>
  <c r="O1444" i="161" s="1"/>
  <c r="M985" i="161"/>
  <c r="M1011" i="161" s="1"/>
  <c r="M1422" i="161" s="1"/>
  <c r="M1444" i="161" s="1"/>
  <c r="L985" i="161"/>
  <c r="L1011" i="161" s="1"/>
  <c r="L1422" i="161" s="1"/>
  <c r="L1444" i="161" s="1"/>
  <c r="N985" i="161"/>
  <c r="N1011" i="161" s="1"/>
  <c r="N1422" i="161" s="1"/>
  <c r="N1444" i="161" s="1"/>
  <c r="J1011" i="161"/>
  <c r="J1422" i="161" s="1"/>
  <c r="J1444" i="161" s="1"/>
  <c r="M1183" i="161"/>
  <c r="L1183" i="161"/>
  <c r="Q1183" i="161"/>
  <c r="K1183" i="161"/>
  <c r="O1183" i="161"/>
  <c r="J1206" i="161"/>
  <c r="J1456" i="161" s="1"/>
  <c r="N1183" i="161"/>
  <c r="P1183" i="161"/>
  <c r="O987" i="161"/>
  <c r="O1013" i="161" s="1"/>
  <c r="O1424" i="161" s="1"/>
  <c r="O1446" i="161" s="1"/>
  <c r="N987" i="161"/>
  <c r="N1013" i="161" s="1"/>
  <c r="N1424" i="161" s="1"/>
  <c r="N1446" i="161" s="1"/>
  <c r="M987" i="161"/>
  <c r="M1013" i="161" s="1"/>
  <c r="M1424" i="161" s="1"/>
  <c r="M1446" i="161" s="1"/>
  <c r="Q987" i="161"/>
  <c r="Q1013" i="161" s="1"/>
  <c r="Q1424" i="161" s="1"/>
  <c r="Q1446" i="161" s="1"/>
  <c r="J1013" i="161"/>
  <c r="J1424" i="161" s="1"/>
  <c r="J1446" i="161" s="1"/>
  <c r="L987" i="161"/>
  <c r="L1013" i="161" s="1"/>
  <c r="L1424" i="161" s="1"/>
  <c r="L1446" i="161" s="1"/>
  <c r="K987" i="161"/>
  <c r="K1013" i="161" s="1"/>
  <c r="K1424" i="161" s="1"/>
  <c r="K1446" i="161" s="1"/>
  <c r="P987" i="161"/>
  <c r="P1013" i="161" s="1"/>
  <c r="P1424" i="161" s="1"/>
  <c r="P1446" i="161" s="1"/>
  <c r="O986" i="161"/>
  <c r="J1012" i="161"/>
  <c r="J1423" i="161" s="1"/>
  <c r="J1445" i="161" s="1"/>
  <c r="N986" i="161"/>
  <c r="L986" i="161"/>
  <c r="M986" i="161"/>
  <c r="K986" i="161"/>
  <c r="Q986" i="161"/>
  <c r="P986" i="161"/>
  <c r="I1456" i="161"/>
  <c r="I1205" i="161"/>
  <c r="I1013" i="161"/>
  <c r="I1010" i="107"/>
  <c r="H1201" i="119" s="1"/>
  <c r="I1012" i="161"/>
  <c r="I1454" i="161"/>
  <c r="G1482" i="161"/>
  <c r="F1446" i="161"/>
  <c r="I1424" i="161"/>
  <c r="F507" i="107"/>
  <c r="F23" i="107" s="1"/>
  <c r="J1498" i="107"/>
  <c r="D1900" i="120" s="1"/>
  <c r="L499" i="107"/>
  <c r="L654" i="107" s="1"/>
  <c r="F821" i="120" s="1"/>
  <c r="F653" i="107"/>
  <c r="F661" i="107" s="1"/>
  <c r="E774" i="119" s="1"/>
  <c r="F1794" i="107"/>
  <c r="F1802" i="107" s="1"/>
  <c r="D26" i="116" s="1"/>
  <c r="K1393" i="107"/>
  <c r="K1501" i="107" s="1"/>
  <c r="E1903" i="120" s="1"/>
  <c r="K1507" i="120"/>
  <c r="F1203" i="119"/>
  <c r="M984" i="107"/>
  <c r="M1010" i="107" s="1"/>
  <c r="E1768" i="119"/>
  <c r="N499" i="107"/>
  <c r="H651" i="120" s="1"/>
  <c r="P94" i="153"/>
  <c r="F1483" i="107"/>
  <c r="E1828" i="119" s="1"/>
  <c r="Q214" i="152"/>
  <c r="R216" i="152" s="1"/>
  <c r="R195" i="152" s="1"/>
  <c r="P214" i="152"/>
  <c r="Q94" i="153"/>
  <c r="D82" i="105"/>
  <c r="E1197" i="119"/>
  <c r="D36" i="105"/>
  <c r="K1395" i="107"/>
  <c r="K1503" i="107" s="1"/>
  <c r="E1905" i="120" s="1"/>
  <c r="G655" i="120"/>
  <c r="G1498" i="119"/>
  <c r="Q94" i="96"/>
  <c r="R96" i="96" s="1"/>
  <c r="K984" i="107"/>
  <c r="E1223" i="120" s="1"/>
  <c r="I1011" i="107"/>
  <c r="H1202" i="119" s="1"/>
  <c r="O984" i="107"/>
  <c r="O1010" i="107" s="1"/>
  <c r="H1422" i="107"/>
  <c r="G1766" i="119" s="1"/>
  <c r="J1010" i="107"/>
  <c r="J1421" i="107" s="1"/>
  <c r="P499" i="107"/>
  <c r="P1795" i="107" s="1"/>
  <c r="J2200" i="120" s="1"/>
  <c r="Q214" i="92"/>
  <c r="S216" i="92" s="1"/>
  <c r="S195" i="92" s="1"/>
  <c r="O499" i="107"/>
  <c r="O1795" i="107" s="1"/>
  <c r="I2200" i="120" s="1"/>
  <c r="P504" i="107"/>
  <c r="P1800" i="107" s="1"/>
  <c r="J2205" i="120" s="1"/>
  <c r="I654" i="107"/>
  <c r="H767" i="119" s="1"/>
  <c r="J1503" i="107"/>
  <c r="D1905" i="120" s="1"/>
  <c r="G1771" i="120"/>
  <c r="P501" i="107"/>
  <c r="J653" i="120" s="1"/>
  <c r="N983" i="107"/>
  <c r="H1222" i="120" s="1"/>
  <c r="H1200" i="107"/>
  <c r="G1495" i="119" s="1"/>
  <c r="L1397" i="107"/>
  <c r="O983" i="107"/>
  <c r="I1222" i="120" s="1"/>
  <c r="M983" i="107"/>
  <c r="G1222" i="120" s="1"/>
  <c r="P983" i="107"/>
  <c r="J1222" i="120" s="1"/>
  <c r="L986" i="107"/>
  <c r="L1012" i="107" s="1"/>
  <c r="Q983" i="107"/>
  <c r="K1222" i="120" s="1"/>
  <c r="O504" i="107"/>
  <c r="I656" i="120" s="1"/>
  <c r="P986" i="107"/>
  <c r="P1012" i="107" s="1"/>
  <c r="K983" i="107"/>
  <c r="E1222" i="120" s="1"/>
  <c r="L983" i="107"/>
  <c r="F1222" i="120" s="1"/>
  <c r="O1168" i="107"/>
  <c r="I1508" i="120" s="1"/>
  <c r="L984" i="107"/>
  <c r="F1223" i="120" s="1"/>
  <c r="H1796" i="107"/>
  <c r="J1182" i="107"/>
  <c r="D1522" i="120" s="1"/>
  <c r="Q984" i="107"/>
  <c r="Q1010" i="107" s="1"/>
  <c r="I655" i="120"/>
  <c r="H495" i="107"/>
  <c r="I495" i="107" s="1"/>
  <c r="H592" i="119" s="1"/>
  <c r="N984" i="107"/>
  <c r="H1223" i="120" s="1"/>
  <c r="P984" i="107"/>
  <c r="J1223" i="120" s="1"/>
  <c r="J485" i="107"/>
  <c r="I1428" i="107"/>
  <c r="H1772" i="119" s="1"/>
  <c r="O1799" i="107"/>
  <c r="I2204" i="120" s="1"/>
  <c r="I1012" i="107"/>
  <c r="H1203" i="119" s="1"/>
  <c r="Q505" i="107"/>
  <c r="Q1801" i="107" s="1"/>
  <c r="K2206" i="120" s="1"/>
  <c r="G1220" i="119"/>
  <c r="H616" i="120"/>
  <c r="J1033" i="107"/>
  <c r="G1267" i="120" s="1"/>
  <c r="H1043" i="107"/>
  <c r="G1230" i="119" s="1"/>
  <c r="P214" i="92"/>
  <c r="T216" i="92" s="1"/>
  <c r="T195" i="92" s="1"/>
  <c r="J1012" i="107"/>
  <c r="J1423" i="107" s="1"/>
  <c r="H1197" i="107"/>
  <c r="I1197" i="107" s="1"/>
  <c r="O986" i="107"/>
  <c r="O1012" i="107" s="1"/>
  <c r="Q986" i="107"/>
  <c r="K1225" i="120" s="1"/>
  <c r="L463" i="107"/>
  <c r="F615" i="120" s="1"/>
  <c r="G1483" i="119"/>
  <c r="O505" i="107"/>
  <c r="O660" i="107" s="1"/>
  <c r="I827" i="120" s="1"/>
  <c r="P505" i="107"/>
  <c r="P660" i="107" s="1"/>
  <c r="J827" i="120" s="1"/>
  <c r="H1423" i="107"/>
  <c r="G1767" i="119" s="1"/>
  <c r="Q1799" i="107"/>
  <c r="K2204" i="120" s="1"/>
  <c r="K655" i="120"/>
  <c r="E1500" i="119"/>
  <c r="J1801" i="107"/>
  <c r="D2206" i="120" s="1"/>
  <c r="Q1168" i="107"/>
  <c r="K1508" i="120" s="1"/>
  <c r="P94" i="96"/>
  <c r="O1504" i="107"/>
  <c r="I1906" i="120" s="1"/>
  <c r="L1168" i="107"/>
  <c r="F1508" i="120" s="1"/>
  <c r="F616" i="120"/>
  <c r="N1168" i="107"/>
  <c r="H1508" i="120" s="1"/>
  <c r="F1771" i="120"/>
  <c r="P1168" i="107"/>
  <c r="J1508" i="120" s="1"/>
  <c r="M505" i="107"/>
  <c r="M1801" i="107" s="1"/>
  <c r="G2206" i="120" s="1"/>
  <c r="M1168" i="107"/>
  <c r="G1508" i="120" s="1"/>
  <c r="G769" i="119"/>
  <c r="K1168" i="107"/>
  <c r="E1508" i="120" s="1"/>
  <c r="J1188" i="107"/>
  <c r="M463" i="107"/>
  <c r="M500" i="107" s="1"/>
  <c r="G652" i="120" s="1"/>
  <c r="M1392" i="107"/>
  <c r="M1500" i="107" s="1"/>
  <c r="G1902" i="120" s="1"/>
  <c r="J1771" i="120"/>
  <c r="I1424" i="107"/>
  <c r="H1768" i="119" s="1"/>
  <c r="H1453" i="107"/>
  <c r="I1453" i="107" s="1"/>
  <c r="H1797" i="119" s="1"/>
  <c r="F582" i="119"/>
  <c r="K1397" i="107"/>
  <c r="K1505" i="107" s="1"/>
  <c r="E1907" i="120" s="1"/>
  <c r="H1446" i="107"/>
  <c r="G1790" i="119" s="1"/>
  <c r="F36" i="107"/>
  <c r="H655" i="107"/>
  <c r="G768" i="119" s="1"/>
  <c r="J656" i="107"/>
  <c r="D823" i="120" s="1"/>
  <c r="G498" i="107"/>
  <c r="G507" i="107" s="1"/>
  <c r="I616" i="120"/>
  <c r="F1436" i="107"/>
  <c r="E1780" i="119" s="1"/>
  <c r="G1200" i="107"/>
  <c r="F1495" i="119" s="1"/>
  <c r="E613" i="120"/>
  <c r="I500" i="107"/>
  <c r="H597" i="119" s="1"/>
  <c r="E1767" i="119"/>
  <c r="F1762" i="119"/>
  <c r="G582" i="119"/>
  <c r="K1771" i="120"/>
  <c r="G773" i="119"/>
  <c r="E616" i="120"/>
  <c r="I613" i="120"/>
  <c r="F1450" i="107"/>
  <c r="E1794" i="119" s="1"/>
  <c r="H613" i="120"/>
  <c r="H498" i="107"/>
  <c r="G595" i="119" s="1"/>
  <c r="G616" i="120"/>
  <c r="F1483" i="119"/>
  <c r="K613" i="120"/>
  <c r="J1756" i="120"/>
  <c r="H38" i="107"/>
  <c r="G37" i="119" s="1"/>
  <c r="G1796" i="107"/>
  <c r="O987" i="107"/>
  <c r="O1013" i="107" s="1"/>
  <c r="G655" i="107"/>
  <c r="F768" i="119" s="1"/>
  <c r="K1387" i="107"/>
  <c r="E1762" i="120" s="1"/>
  <c r="M656" i="107"/>
  <c r="G823" i="120" s="1"/>
  <c r="O463" i="107"/>
  <c r="I615" i="120" s="1"/>
  <c r="K505" i="107"/>
  <c r="K1801" i="107" s="1"/>
  <c r="E2206" i="120" s="1"/>
  <c r="G567" i="119"/>
  <c r="J470" i="107"/>
  <c r="D622" i="120" s="1"/>
  <c r="Q463" i="107"/>
  <c r="Q500" i="107" s="1"/>
  <c r="K652" i="120" s="1"/>
  <c r="P463" i="107"/>
  <c r="I1182" i="107"/>
  <c r="H1477" i="119" s="1"/>
  <c r="J500" i="107"/>
  <c r="D652" i="120" s="1"/>
  <c r="K463" i="107"/>
  <c r="K500" i="107" s="1"/>
  <c r="E652" i="120" s="1"/>
  <c r="H1205" i="107"/>
  <c r="G1500" i="119" s="1"/>
  <c r="N463" i="107"/>
  <c r="N500" i="107" s="1"/>
  <c r="H652" i="120" s="1"/>
  <c r="I653" i="120"/>
  <c r="O656" i="107"/>
  <c r="I823" i="120" s="1"/>
  <c r="O1797" i="107"/>
  <c r="I2202" i="120" s="1"/>
  <c r="L1387" i="107"/>
  <c r="F1762" i="120" s="1"/>
  <c r="G1795" i="119"/>
  <c r="G1428" i="107"/>
  <c r="G1436" i="107" s="1"/>
  <c r="F1780" i="119" s="1"/>
  <c r="G1043" i="107"/>
  <c r="G36" i="107" s="1"/>
  <c r="F35" i="119" s="1"/>
  <c r="J1797" i="107"/>
  <c r="D2202" i="120" s="1"/>
  <c r="K1756" i="120"/>
  <c r="L985" i="107"/>
  <c r="L1011" i="107" s="1"/>
  <c r="J969" i="107"/>
  <c r="D1208" i="120" s="1"/>
  <c r="Q985" i="107"/>
  <c r="Q1011" i="107" s="1"/>
  <c r="G1160" i="119"/>
  <c r="H977" i="107"/>
  <c r="I977" i="107" s="1"/>
  <c r="H1168" i="119" s="1"/>
  <c r="H1440" i="107"/>
  <c r="G1784" i="119" s="1"/>
  <c r="P985" i="107"/>
  <c r="P1011" i="107" s="1"/>
  <c r="J1011" i="107"/>
  <c r="J1422" i="107" s="1"/>
  <c r="M985" i="107"/>
  <c r="M1011" i="107" s="1"/>
  <c r="I1418" i="107"/>
  <c r="H1762" i="119" s="1"/>
  <c r="K985" i="107"/>
  <c r="E1224" i="120" s="1"/>
  <c r="E1756" i="120"/>
  <c r="G977" i="107"/>
  <c r="F1168" i="119" s="1"/>
  <c r="K1392" i="107"/>
  <c r="K1797" i="107"/>
  <c r="E2202" i="120" s="1"/>
  <c r="O1387" i="107"/>
  <c r="I1762" i="120" s="1"/>
  <c r="F988" i="107"/>
  <c r="E1179" i="119" s="1"/>
  <c r="H1756" i="120"/>
  <c r="I1761" i="120"/>
  <c r="N1387" i="107"/>
  <c r="H1762" i="120" s="1"/>
  <c r="H1761" i="120"/>
  <c r="P1387" i="107"/>
  <c r="J1762" i="120" s="1"/>
  <c r="K656" i="107"/>
  <c r="E823" i="120" s="1"/>
  <c r="N987" i="107"/>
  <c r="H1226" i="120" s="1"/>
  <c r="P1397" i="107"/>
  <c r="J1772" i="120" s="1"/>
  <c r="F1756" i="120"/>
  <c r="D1772" i="120"/>
  <c r="K987" i="107"/>
  <c r="K1013" i="107" s="1"/>
  <c r="H1771" i="120"/>
  <c r="O1392" i="107"/>
  <c r="O1500" i="107" s="1"/>
  <c r="I1902" i="120" s="1"/>
  <c r="Q987" i="107"/>
  <c r="Q1013" i="107" s="1"/>
  <c r="M987" i="107"/>
  <c r="M1013" i="107" s="1"/>
  <c r="P987" i="107"/>
  <c r="P1013" i="107" s="1"/>
  <c r="D1226" i="120"/>
  <c r="L987" i="107"/>
  <c r="L1013" i="107" s="1"/>
  <c r="I1399" i="107"/>
  <c r="H1721" i="119" s="1"/>
  <c r="M1387" i="107"/>
  <c r="G1762" i="120" s="1"/>
  <c r="J1500" i="107"/>
  <c r="D1902" i="120" s="1"/>
  <c r="L656" i="107"/>
  <c r="F823" i="120" s="1"/>
  <c r="Q1397" i="107"/>
  <c r="I991" i="107"/>
  <c r="H1182" i="119" s="1"/>
  <c r="F1008" i="107"/>
  <c r="H1006" i="107"/>
  <c r="G1197" i="119" s="1"/>
  <c r="H1000" i="107"/>
  <c r="I1000" i="107" s="1"/>
  <c r="D1520" i="120"/>
  <c r="O1180" i="107"/>
  <c r="P1180" i="107"/>
  <c r="J1203" i="107"/>
  <c r="Q1180" i="107"/>
  <c r="M1180" i="107"/>
  <c r="K1180" i="107"/>
  <c r="L1180" i="107"/>
  <c r="N1180" i="107"/>
  <c r="J991" i="107"/>
  <c r="D1230" i="120" s="1"/>
  <c r="Q1387" i="107"/>
  <c r="K1762" i="120" s="1"/>
  <c r="G1761" i="120"/>
  <c r="J1399" i="107"/>
  <c r="J38" i="107" s="1"/>
  <c r="D71" i="105"/>
  <c r="H982" i="107"/>
  <c r="J982" i="107" s="1"/>
  <c r="D1221" i="120" s="1"/>
  <c r="N656" i="107"/>
  <c r="H823" i="120" s="1"/>
  <c r="D61" i="113"/>
  <c r="K94" i="96"/>
  <c r="K214" i="92"/>
  <c r="J214" i="92" s="1"/>
  <c r="N1797" i="107"/>
  <c r="H2202" i="120" s="1"/>
  <c r="E141" i="57"/>
  <c r="F1417" i="107"/>
  <c r="E1761" i="119" s="1"/>
  <c r="G1006" i="107"/>
  <c r="F1197" i="119" s="1"/>
  <c r="M1498" i="107"/>
  <c r="G1900" i="120" s="1"/>
  <c r="N1498" i="107"/>
  <c r="H1900" i="120" s="1"/>
  <c r="D85" i="105"/>
  <c r="F1182" i="119"/>
  <c r="D88" i="105"/>
  <c r="D39" i="105"/>
  <c r="L1797" i="107"/>
  <c r="F2202" i="120" s="1"/>
  <c r="M1797" i="107"/>
  <c r="G2202" i="120" s="1"/>
  <c r="L1498" i="107"/>
  <c r="F1900" i="120" s="1"/>
  <c r="D74" i="105"/>
  <c r="N1399" i="107"/>
  <c r="H1774" i="120" s="1"/>
  <c r="G982" i="107"/>
  <c r="F1173" i="119" s="1"/>
  <c r="P1207" i="107"/>
  <c r="J1524" i="120"/>
  <c r="H1442" i="107"/>
  <c r="G1764" i="119"/>
  <c r="E1789" i="119"/>
  <c r="D47" i="112"/>
  <c r="F1482" i="107"/>
  <c r="E1827" i="119" s="1"/>
  <c r="D73" i="105"/>
  <c r="D38" i="105"/>
  <c r="D87" i="105"/>
  <c r="G1442" i="107"/>
  <c r="F1764" i="119"/>
  <c r="G1444" i="107"/>
  <c r="F1788" i="119" s="1"/>
  <c r="F1766" i="119"/>
  <c r="G1443" i="107"/>
  <c r="F1765" i="119"/>
  <c r="G1446" i="107"/>
  <c r="F1768" i="119"/>
  <c r="M1503" i="107"/>
  <c r="G1905" i="120" s="1"/>
  <c r="G1770" i="120"/>
  <c r="Q1503" i="107"/>
  <c r="K1905" i="120" s="1"/>
  <c r="K1770" i="120"/>
  <c r="N1503" i="107"/>
  <c r="H1905" i="120" s="1"/>
  <c r="H1770" i="120"/>
  <c r="L1503" i="107"/>
  <c r="F1905" i="120" s="1"/>
  <c r="F1770" i="120"/>
  <c r="P1500" i="107"/>
  <c r="J1902" i="120" s="1"/>
  <c r="J1767" i="120"/>
  <c r="L1500" i="107"/>
  <c r="F1902" i="120" s="1"/>
  <c r="F1767" i="120"/>
  <c r="P1499" i="107"/>
  <c r="J1901" i="120" s="1"/>
  <c r="J1766" i="120"/>
  <c r="M1499" i="107"/>
  <c r="G1901" i="120" s="1"/>
  <c r="G1766" i="120"/>
  <c r="Q1499" i="107"/>
  <c r="K1901" i="120" s="1"/>
  <c r="K1766" i="120"/>
  <c r="N1505" i="107"/>
  <c r="H1907" i="120" s="1"/>
  <c r="H1772" i="120"/>
  <c r="P1501" i="107"/>
  <c r="J1903" i="120" s="1"/>
  <c r="J1768" i="120"/>
  <c r="M1501" i="107"/>
  <c r="G1903" i="120" s="1"/>
  <c r="G1768" i="120"/>
  <c r="N1501" i="107"/>
  <c r="H1903" i="120" s="1"/>
  <c r="H1768" i="120"/>
  <c r="G1445" i="107"/>
  <c r="F1767" i="119"/>
  <c r="J1424" i="107"/>
  <c r="D1252" i="120"/>
  <c r="M1418" i="107"/>
  <c r="G1246" i="120"/>
  <c r="K1418" i="107"/>
  <c r="E1246" i="120"/>
  <c r="L1418" i="107"/>
  <c r="F1246" i="120"/>
  <c r="Q1418" i="107"/>
  <c r="K1246" i="120"/>
  <c r="H1436" i="107"/>
  <c r="G1780" i="119" s="1"/>
  <c r="G1772" i="119"/>
  <c r="P1503" i="107"/>
  <c r="J1905" i="120" s="1"/>
  <c r="J1770" i="120"/>
  <c r="D48" i="112"/>
  <c r="E1790" i="119"/>
  <c r="Q1500" i="107"/>
  <c r="K1902" i="120" s="1"/>
  <c r="K1767" i="120"/>
  <c r="N1500" i="107"/>
  <c r="H1902" i="120" s="1"/>
  <c r="H1767" i="120"/>
  <c r="L1499" i="107"/>
  <c r="F1901" i="120" s="1"/>
  <c r="F1766" i="120"/>
  <c r="K1499" i="107"/>
  <c r="E1901" i="120" s="1"/>
  <c r="E1766" i="120"/>
  <c r="N1499" i="107"/>
  <c r="H1901" i="120" s="1"/>
  <c r="H1766" i="120"/>
  <c r="M1505" i="107"/>
  <c r="G1907" i="120" s="1"/>
  <c r="G1772" i="120"/>
  <c r="O1505" i="107"/>
  <c r="I1907" i="120" s="1"/>
  <c r="I1772" i="120"/>
  <c r="D45" i="112"/>
  <c r="E1787" i="119"/>
  <c r="G1477" i="107"/>
  <c r="F1822" i="119" s="1"/>
  <c r="J1440" i="107"/>
  <c r="D1817" i="120"/>
  <c r="N1418" i="107"/>
  <c r="H1246" i="120"/>
  <c r="P1418" i="107"/>
  <c r="J1246" i="120"/>
  <c r="O1418" i="107"/>
  <c r="I1246" i="120"/>
  <c r="I1420" i="107"/>
  <c r="H1764" i="119" s="1"/>
  <c r="D69" i="165" l="1"/>
  <c r="F1419" i="161"/>
  <c r="H988" i="161"/>
  <c r="I988" i="161" s="1"/>
  <c r="J1179" i="107"/>
  <c r="J1202" i="107" s="1"/>
  <c r="J1452" i="107" s="1"/>
  <c r="D1851" i="120" s="1"/>
  <c r="G1015" i="161"/>
  <c r="G35" i="161" s="1"/>
  <c r="G988" i="161"/>
  <c r="H1456" i="107"/>
  <c r="G1800" i="119" s="1"/>
  <c r="I1206" i="107"/>
  <c r="H1501" i="119" s="1"/>
  <c r="I1174" i="107"/>
  <c r="H1469" i="119" s="1"/>
  <c r="F1015" i="161"/>
  <c r="F35" i="161" s="1"/>
  <c r="N214" i="152"/>
  <c r="K1183" i="107"/>
  <c r="K1206" i="107" s="1"/>
  <c r="E1546" i="120" s="1"/>
  <c r="J1206" i="107"/>
  <c r="J1456" i="107" s="1"/>
  <c r="D1855" i="120" s="1"/>
  <c r="L1183" i="107"/>
  <c r="F1523" i="120" s="1"/>
  <c r="M1183" i="107"/>
  <c r="M1206" i="107" s="1"/>
  <c r="G1546" i="120" s="1"/>
  <c r="E1506" i="120"/>
  <c r="N1183" i="107"/>
  <c r="N1206" i="107" s="1"/>
  <c r="N1456" i="107" s="1"/>
  <c r="H1855" i="120" s="1"/>
  <c r="Q1183" i="107"/>
  <c r="Q1206" i="107" s="1"/>
  <c r="K1546" i="120" s="1"/>
  <c r="O1183" i="107"/>
  <c r="O1206" i="107" s="1"/>
  <c r="I1546" i="120" s="1"/>
  <c r="K1506" i="120"/>
  <c r="P1183" i="107"/>
  <c r="P1206" i="107" s="1"/>
  <c r="J1546" i="120" s="1"/>
  <c r="Q1501" i="107"/>
  <c r="K1903" i="120" s="1"/>
  <c r="L1399" i="107"/>
  <c r="L38" i="107" s="1"/>
  <c r="F37" i="120" s="1"/>
  <c r="H1202" i="161"/>
  <c r="H1209" i="161" s="1"/>
  <c r="H39" i="161" s="1"/>
  <c r="I1506" i="120"/>
  <c r="F1506" i="120"/>
  <c r="J1174" i="107"/>
  <c r="D1514" i="120" s="1"/>
  <c r="H1506" i="120"/>
  <c r="J1506" i="120"/>
  <c r="G1506" i="120"/>
  <c r="I1541" i="120"/>
  <c r="N94" i="153"/>
  <c r="J1179" i="161"/>
  <c r="Q1179" i="161" s="1"/>
  <c r="Q1202" i="161" s="1"/>
  <c r="H1185" i="161"/>
  <c r="I1185" i="161" s="1"/>
  <c r="L1481" i="161"/>
  <c r="H1008" i="161"/>
  <c r="I1008" i="161" s="1"/>
  <c r="J982" i="161"/>
  <c r="L982" i="161" s="1"/>
  <c r="L1008" i="161" s="1"/>
  <c r="H1185" i="107"/>
  <c r="G1480" i="119" s="1"/>
  <c r="M1207" i="107"/>
  <c r="M1457" i="107" s="1"/>
  <c r="G1856" i="120" s="1"/>
  <c r="D1547" i="120"/>
  <c r="O1499" i="107"/>
  <c r="I1901" i="120" s="1"/>
  <c r="G1474" i="119"/>
  <c r="H1202" i="107"/>
  <c r="G1497" i="119" s="1"/>
  <c r="F1768" i="120"/>
  <c r="I1770" i="120"/>
  <c r="K339" i="120"/>
  <c r="L1483" i="161"/>
  <c r="I1428" i="161"/>
  <c r="H1439" i="161"/>
  <c r="H1476" i="161" s="1"/>
  <c r="I1436" i="161"/>
  <c r="F23" i="161"/>
  <c r="P1498" i="161"/>
  <c r="P1506" i="161" s="1"/>
  <c r="P1399" i="161"/>
  <c r="P38" i="161" s="1"/>
  <c r="N1200" i="161"/>
  <c r="N1450" i="161" s="1"/>
  <c r="N1174" i="161"/>
  <c r="L977" i="161"/>
  <c r="L1006" i="161"/>
  <c r="L1417" i="161" s="1"/>
  <c r="F661" i="161"/>
  <c r="Q1498" i="161"/>
  <c r="Q1506" i="161" s="1"/>
  <c r="Q1399" i="161"/>
  <c r="Q38" i="161" s="1"/>
  <c r="K1200" i="161"/>
  <c r="K1450" i="161" s="1"/>
  <c r="K1174" i="161"/>
  <c r="P1006" i="161"/>
  <c r="P1417" i="161" s="1"/>
  <c r="P977" i="161"/>
  <c r="N1498" i="161"/>
  <c r="N1506" i="161" s="1"/>
  <c r="N1399" i="161"/>
  <c r="N38" i="161" s="1"/>
  <c r="O1498" i="161"/>
  <c r="O1506" i="161" s="1"/>
  <c r="O1399" i="161"/>
  <c r="O38" i="161" s="1"/>
  <c r="O461" i="161"/>
  <c r="K461" i="161"/>
  <c r="L461" i="161"/>
  <c r="M461" i="161"/>
  <c r="P461" i="161"/>
  <c r="Q461" i="161"/>
  <c r="N461" i="161"/>
  <c r="J498" i="161"/>
  <c r="J470" i="161"/>
  <c r="P1200" i="161"/>
  <c r="P1450" i="161" s="1"/>
  <c r="P1174" i="161"/>
  <c r="K1006" i="161"/>
  <c r="K1417" i="161" s="1"/>
  <c r="K977" i="161"/>
  <c r="H1794" i="161"/>
  <c r="H1802" i="161" s="1"/>
  <c r="H653" i="161"/>
  <c r="H661" i="161" s="1"/>
  <c r="H507" i="161"/>
  <c r="H23" i="161" s="1"/>
  <c r="Q1200" i="161"/>
  <c r="Q1450" i="161" s="1"/>
  <c r="Q1174" i="161"/>
  <c r="N1006" i="161"/>
  <c r="N1417" i="161" s="1"/>
  <c r="N977" i="161"/>
  <c r="D41" i="155"/>
  <c r="D32" i="166"/>
  <c r="D67" i="166"/>
  <c r="D81" i="166"/>
  <c r="F1476" i="161"/>
  <c r="K1498" i="161"/>
  <c r="K1506" i="161" s="1"/>
  <c r="K1399" i="161"/>
  <c r="K38" i="161" s="1"/>
  <c r="L1200" i="161"/>
  <c r="L1450" i="161" s="1"/>
  <c r="L1174" i="161"/>
  <c r="M1006" i="161"/>
  <c r="M1417" i="161" s="1"/>
  <c r="M977" i="161"/>
  <c r="G1439" i="161"/>
  <c r="G1476" i="161" s="1"/>
  <c r="L1498" i="161"/>
  <c r="L1506" i="161" s="1"/>
  <c r="L1399" i="161"/>
  <c r="L38" i="161" s="1"/>
  <c r="O1200" i="161"/>
  <c r="O1450" i="161" s="1"/>
  <c r="O1174" i="161"/>
  <c r="M1399" i="161"/>
  <c r="M38" i="161" s="1"/>
  <c r="M1498" i="161"/>
  <c r="M1506" i="161" s="1"/>
  <c r="O1006" i="161"/>
  <c r="O1417" i="161" s="1"/>
  <c r="O977" i="161"/>
  <c r="G507" i="161"/>
  <c r="G23" i="161" s="1"/>
  <c r="G653" i="161"/>
  <c r="G661" i="161" s="1"/>
  <c r="G1794" i="161"/>
  <c r="G1802" i="161" s="1"/>
  <c r="J1043" i="161"/>
  <c r="J36" i="161" s="1"/>
  <c r="J1428" i="161"/>
  <c r="J1436" i="161" s="1"/>
  <c r="N1033" i="161"/>
  <c r="P1033" i="161"/>
  <c r="O1033" i="161"/>
  <c r="M1033" i="161"/>
  <c r="Q1033" i="161"/>
  <c r="L1033" i="161"/>
  <c r="K1033" i="161"/>
  <c r="M1174" i="161"/>
  <c r="M1200" i="161"/>
  <c r="M1450" i="161" s="1"/>
  <c r="Q1006" i="161"/>
  <c r="Q1417" i="161" s="1"/>
  <c r="Q977" i="161"/>
  <c r="K1451" i="107"/>
  <c r="E1850" i="120" s="1"/>
  <c r="K1012" i="107"/>
  <c r="E1251" i="120" s="1"/>
  <c r="J339" i="120"/>
  <c r="P1451" i="107"/>
  <c r="J1850" i="120" s="1"/>
  <c r="F1481" i="107"/>
  <c r="E1826" i="119" s="1"/>
  <c r="G1541" i="120"/>
  <c r="M1800" i="107"/>
  <c r="G2205" i="120" s="1"/>
  <c r="E22" i="119"/>
  <c r="N1480" i="161"/>
  <c r="E149" i="164"/>
  <c r="G143" i="164" s="1"/>
  <c r="H143" i="164" s="1"/>
  <c r="H164" i="164" s="1"/>
  <c r="F23" i="151" s="1"/>
  <c r="D46" i="155"/>
  <c r="D72" i="166"/>
  <c r="D86" i="166"/>
  <c r="D37" i="166"/>
  <c r="D47" i="155"/>
  <c r="D87" i="166"/>
  <c r="D38" i="166"/>
  <c r="D73" i="166"/>
  <c r="D45" i="155"/>
  <c r="D85" i="166"/>
  <c r="D71" i="166"/>
  <c r="D36" i="166"/>
  <c r="D48" i="155"/>
  <c r="D88" i="166"/>
  <c r="D74" i="166"/>
  <c r="D39" i="166"/>
  <c r="D44" i="155"/>
  <c r="D35" i="166"/>
  <c r="D70" i="166"/>
  <c r="D84" i="166"/>
  <c r="J1481" i="161"/>
  <c r="M659" i="107"/>
  <c r="G826" i="120" s="1"/>
  <c r="N1800" i="107"/>
  <c r="H2205" i="120" s="1"/>
  <c r="Q659" i="107"/>
  <c r="K826" i="120" s="1"/>
  <c r="L1207" i="107"/>
  <c r="L1457" i="107" s="1"/>
  <c r="F1856" i="120" s="1"/>
  <c r="K1541" i="120"/>
  <c r="P1479" i="161"/>
  <c r="O1480" i="161"/>
  <c r="O1483" i="161"/>
  <c r="P1483" i="161"/>
  <c r="Q1800" i="107"/>
  <c r="K2205" i="120" s="1"/>
  <c r="K1483" i="161"/>
  <c r="N659" i="107"/>
  <c r="H826" i="120" s="1"/>
  <c r="G1185" i="107"/>
  <c r="F1480" i="119" s="1"/>
  <c r="K314" i="107"/>
  <c r="E341" i="120" s="1"/>
  <c r="D72" i="105"/>
  <c r="K1800" i="107"/>
  <c r="E2205" i="120" s="1"/>
  <c r="H1541" i="120"/>
  <c r="Q1207" i="107"/>
  <c r="Q1457" i="107" s="1"/>
  <c r="L1801" i="107"/>
  <c r="F2206" i="120" s="1"/>
  <c r="Q654" i="107"/>
  <c r="K821" i="120" s="1"/>
  <c r="E1524" i="120"/>
  <c r="R216" i="92"/>
  <c r="R195" i="92" s="1"/>
  <c r="P470" i="107"/>
  <c r="J622" i="120" s="1"/>
  <c r="G651" i="120"/>
  <c r="E1770" i="120"/>
  <c r="N1197" i="107"/>
  <c r="H1537" i="120" s="1"/>
  <c r="E651" i="120"/>
  <c r="K1795" i="107"/>
  <c r="E2200" i="120" s="1"/>
  <c r="F657" i="120"/>
  <c r="Q1795" i="107"/>
  <c r="K2200" i="120" s="1"/>
  <c r="I1768" i="120"/>
  <c r="P1498" i="107"/>
  <c r="J1900" i="120" s="1"/>
  <c r="O1498" i="107"/>
  <c r="I1900" i="120" s="1"/>
  <c r="H1443" i="107"/>
  <c r="G1787" i="119" s="1"/>
  <c r="O1207" i="107"/>
  <c r="I1547" i="120" s="1"/>
  <c r="N1801" i="107"/>
  <c r="H2206" i="120" s="1"/>
  <c r="N660" i="107"/>
  <c r="H827" i="120" s="1"/>
  <c r="Q1399" i="107"/>
  <c r="Q38" i="107" s="1"/>
  <c r="K37" i="120" s="1"/>
  <c r="Q1498" i="107"/>
  <c r="K1900" i="120" s="1"/>
  <c r="G1851" i="119"/>
  <c r="M654" i="107"/>
  <c r="G821" i="120" s="1"/>
  <c r="J1267" i="120"/>
  <c r="I1267" i="120"/>
  <c r="K498" i="107"/>
  <c r="H1224" i="120"/>
  <c r="E766" i="119"/>
  <c r="K1267" i="120"/>
  <c r="J1197" i="107"/>
  <c r="D1537" i="120" s="1"/>
  <c r="E1788" i="119"/>
  <c r="H1524" i="120"/>
  <c r="K615" i="120"/>
  <c r="D37" i="105"/>
  <c r="G339" i="120"/>
  <c r="D86" i="105"/>
  <c r="E1267" i="120"/>
  <c r="F1772" i="120"/>
  <c r="F1267" i="120"/>
  <c r="F1541" i="120"/>
  <c r="G1801" i="119"/>
  <c r="O314" i="107"/>
  <c r="I341" i="120" s="1"/>
  <c r="N314" i="107"/>
  <c r="H341" i="120" s="1"/>
  <c r="H339" i="120"/>
  <c r="L314" i="107"/>
  <c r="F341" i="120" s="1"/>
  <c r="F339" i="120"/>
  <c r="I1421" i="107"/>
  <c r="H1765" i="119" s="1"/>
  <c r="N1795" i="107"/>
  <c r="H2200" i="120" s="1"/>
  <c r="K1498" i="107"/>
  <c r="E1900" i="120" s="1"/>
  <c r="L1795" i="107"/>
  <c r="F2200" i="120" s="1"/>
  <c r="H1477" i="107"/>
  <c r="G1822" i="119" s="1"/>
  <c r="K659" i="107"/>
  <c r="E826" i="120" s="1"/>
  <c r="L1197" i="107"/>
  <c r="F1537" i="120" s="1"/>
  <c r="N654" i="107"/>
  <c r="H821" i="120" s="1"/>
  <c r="L500" i="107"/>
  <c r="F652" i="120" s="1"/>
  <c r="Q656" i="107"/>
  <c r="K823" i="120" s="1"/>
  <c r="Q1797" i="107"/>
  <c r="K2202" i="120" s="1"/>
  <c r="L470" i="107"/>
  <c r="F622" i="120" s="1"/>
  <c r="G1202" i="107"/>
  <c r="F1497" i="119" s="1"/>
  <c r="F637" i="120"/>
  <c r="P656" i="107"/>
  <c r="J823" i="120" s="1"/>
  <c r="N1010" i="107"/>
  <c r="H1249" i="120" s="1"/>
  <c r="F651" i="120"/>
  <c r="G1225" i="120"/>
  <c r="F1452" i="107"/>
  <c r="E1796" i="119" s="1"/>
  <c r="F1209" i="107"/>
  <c r="F39" i="107" s="1"/>
  <c r="P1797" i="107"/>
  <c r="J2202" i="120" s="1"/>
  <c r="O1009" i="107"/>
  <c r="O1420" i="107" s="1"/>
  <c r="I1819" i="120" s="1"/>
  <c r="D1521" i="120"/>
  <c r="N1181" i="107"/>
  <c r="K1181" i="107"/>
  <c r="J1204" i="107"/>
  <c r="P1181" i="107"/>
  <c r="L1181" i="107"/>
  <c r="O1181" i="107"/>
  <c r="Q1181" i="107"/>
  <c r="M1181" i="107"/>
  <c r="G1798" i="119"/>
  <c r="I1454" i="107"/>
  <c r="H1798" i="119" s="1"/>
  <c r="F1479" i="107"/>
  <c r="E1824" i="119" s="1"/>
  <c r="L1800" i="107"/>
  <c r="F2205" i="120" s="1"/>
  <c r="L659" i="107"/>
  <c r="F826" i="120" s="1"/>
  <c r="E1768" i="120"/>
  <c r="F1225" i="120"/>
  <c r="D35" i="105"/>
  <c r="J495" i="107"/>
  <c r="D647" i="120" s="1"/>
  <c r="D637" i="120"/>
  <c r="L1010" i="107"/>
  <c r="L1421" i="107" s="1"/>
  <c r="D1267" i="120"/>
  <c r="F1480" i="107"/>
  <c r="E1825" i="119" s="1"/>
  <c r="J498" i="107"/>
  <c r="J653" i="107" s="1"/>
  <c r="D820" i="120" s="1"/>
  <c r="K660" i="107"/>
  <c r="E827" i="120" s="1"/>
  <c r="J1428" i="107"/>
  <c r="J1436" i="107" s="1"/>
  <c r="D1835" i="120" s="1"/>
  <c r="J1043" i="107"/>
  <c r="D1277" i="120" s="1"/>
  <c r="G1499" i="119"/>
  <c r="I1204" i="107"/>
  <c r="H1499" i="119" s="1"/>
  <c r="L1505" i="107"/>
  <c r="F1907" i="120" s="1"/>
  <c r="G592" i="119"/>
  <c r="I651" i="120"/>
  <c r="K1009" i="107"/>
  <c r="K1420" i="107" s="1"/>
  <c r="E1819" i="120" s="1"/>
  <c r="O654" i="107"/>
  <c r="I821" i="120" s="1"/>
  <c r="E1786" i="119"/>
  <c r="G1223" i="120"/>
  <c r="E604" i="119"/>
  <c r="H1225" i="120"/>
  <c r="I1224" i="120"/>
  <c r="E1772" i="120"/>
  <c r="H615" i="120"/>
  <c r="N1483" i="161"/>
  <c r="K1481" i="161"/>
  <c r="P1480" i="161"/>
  <c r="M1481" i="161"/>
  <c r="Q1479" i="161"/>
  <c r="I1446" i="107"/>
  <c r="H1790" i="119" s="1"/>
  <c r="F1500" i="119"/>
  <c r="J656" i="120"/>
  <c r="I1442" i="107"/>
  <c r="H1786" i="119" s="1"/>
  <c r="L1009" i="107"/>
  <c r="L1420" i="107" s="1"/>
  <c r="F1819" i="120" s="1"/>
  <c r="J1420" i="107"/>
  <c r="D1819" i="120" s="1"/>
  <c r="Q1480" i="161"/>
  <c r="D70" i="105"/>
  <c r="J1483" i="161"/>
  <c r="D84" i="105"/>
  <c r="H1483" i="107"/>
  <c r="G1828" i="119" s="1"/>
  <c r="P659" i="107"/>
  <c r="J826" i="120" s="1"/>
  <c r="O1481" i="161"/>
  <c r="L1480" i="161"/>
  <c r="I1223" i="120"/>
  <c r="Q1012" i="107"/>
  <c r="Q1423" i="107" s="1"/>
  <c r="M1483" i="161"/>
  <c r="M1480" i="161"/>
  <c r="I1422" i="107"/>
  <c r="H1766" i="119" s="1"/>
  <c r="N1481" i="161"/>
  <c r="N1479" i="161"/>
  <c r="M1479" i="161"/>
  <c r="K1480" i="161"/>
  <c r="H1444" i="107"/>
  <c r="G1788" i="119" s="1"/>
  <c r="Q1483" i="161"/>
  <c r="K1479" i="161"/>
  <c r="P1010" i="107"/>
  <c r="P1421" i="107" s="1"/>
  <c r="O1479" i="161"/>
  <c r="Q1012" i="161"/>
  <c r="Q1423" i="161" s="1"/>
  <c r="Q1445" i="161" s="1"/>
  <c r="N1206" i="161"/>
  <c r="N1456" i="161" s="1"/>
  <c r="K1012" i="161"/>
  <c r="K1423" i="161" s="1"/>
  <c r="K1445" i="161" s="1"/>
  <c r="G1441" i="161"/>
  <c r="G1425" i="161"/>
  <c r="F39" i="161"/>
  <c r="M1012" i="161"/>
  <c r="M1423" i="161" s="1"/>
  <c r="M1445" i="161" s="1"/>
  <c r="O1206" i="161"/>
  <c r="O1456" i="161" s="1"/>
  <c r="F1480" i="161"/>
  <c r="I1480" i="161" s="1"/>
  <c r="I1443" i="161"/>
  <c r="L1012" i="161"/>
  <c r="L1423" i="161" s="1"/>
  <c r="L1445" i="161" s="1"/>
  <c r="K1206" i="161"/>
  <c r="K1456" i="161" s="1"/>
  <c r="F1481" i="161"/>
  <c r="I1481" i="161" s="1"/>
  <c r="I1444" i="161"/>
  <c r="F1483" i="161"/>
  <c r="I1483" i="161" s="1"/>
  <c r="I1446" i="161"/>
  <c r="N1012" i="161"/>
  <c r="N1423" i="161" s="1"/>
  <c r="N1445" i="161" s="1"/>
  <c r="Q1206" i="161"/>
  <c r="Q1456" i="161" s="1"/>
  <c r="P1481" i="161"/>
  <c r="J1480" i="161"/>
  <c r="J1482" i="161"/>
  <c r="L1206" i="161"/>
  <c r="L1456" i="161" s="1"/>
  <c r="Q1481" i="161"/>
  <c r="L1479" i="161"/>
  <c r="F1479" i="161"/>
  <c r="I1479" i="161" s="1"/>
  <c r="I1442" i="161"/>
  <c r="F1482" i="161"/>
  <c r="I1482" i="161" s="1"/>
  <c r="I1445" i="161"/>
  <c r="O1012" i="161"/>
  <c r="O1423" i="161" s="1"/>
  <c r="O1445" i="161" s="1"/>
  <c r="M1206" i="161"/>
  <c r="M1456" i="161" s="1"/>
  <c r="F1441" i="161"/>
  <c r="F1425" i="161"/>
  <c r="P1012" i="161"/>
  <c r="P1423" i="161" s="1"/>
  <c r="P1445" i="161" s="1"/>
  <c r="P1206" i="161"/>
  <c r="P1456" i="161" s="1"/>
  <c r="J1479" i="161"/>
  <c r="I1225" i="120"/>
  <c r="N1182" i="107"/>
  <c r="N1205" i="107" s="1"/>
  <c r="J1226" i="120"/>
  <c r="Q96" i="153"/>
  <c r="Q67" i="153" s="1"/>
  <c r="R96" i="153"/>
  <c r="R67" i="153" s="1"/>
  <c r="J1205" i="107"/>
  <c r="D1545" i="120" s="1"/>
  <c r="P1801" i="107"/>
  <c r="J2206" i="120" s="1"/>
  <c r="L1182" i="107"/>
  <c r="L1205" i="107" s="1"/>
  <c r="Q495" i="107"/>
  <c r="K647" i="120" s="1"/>
  <c r="I498" i="107"/>
  <c r="H595" i="119" s="1"/>
  <c r="J637" i="120"/>
  <c r="G1208" i="120"/>
  <c r="G653" i="107"/>
  <c r="G661" i="107" s="1"/>
  <c r="F774" i="119" s="1"/>
  <c r="F1208" i="120"/>
  <c r="N498" i="107"/>
  <c r="D1249" i="120"/>
  <c r="I637" i="120"/>
  <c r="S96" i="96"/>
  <c r="J94" i="153"/>
  <c r="K96" i="153" s="1"/>
  <c r="S216" i="152"/>
  <c r="S195" i="152" s="1"/>
  <c r="Q216" i="152"/>
  <c r="K1010" i="107"/>
  <c r="E1249" i="120" s="1"/>
  <c r="J1225" i="120"/>
  <c r="T96" i="96"/>
  <c r="J214" i="152"/>
  <c r="K216" i="152" s="1"/>
  <c r="R67" i="96"/>
  <c r="J94" i="96"/>
  <c r="L96" i="96" s="1"/>
  <c r="Q660" i="107"/>
  <c r="K827" i="120" s="1"/>
  <c r="E1199" i="119"/>
  <c r="T216" i="152"/>
  <c r="T195" i="152" s="1"/>
  <c r="S96" i="153"/>
  <c r="S67" i="153" s="1"/>
  <c r="T96" i="153"/>
  <c r="T67" i="153" s="1"/>
  <c r="F1419" i="107"/>
  <c r="E1763" i="119" s="1"/>
  <c r="K657" i="120"/>
  <c r="E657" i="120"/>
  <c r="H1450" i="107"/>
  <c r="G1794" i="119" s="1"/>
  <c r="I1200" i="107"/>
  <c r="H1495" i="119" s="1"/>
  <c r="G1492" i="119"/>
  <c r="H1445" i="107"/>
  <c r="G1789" i="119" s="1"/>
  <c r="Q96" i="96"/>
  <c r="Q67" i="96" s="1"/>
  <c r="N1009" i="107"/>
  <c r="N1420" i="107" s="1"/>
  <c r="H1819" i="120" s="1"/>
  <c r="J651" i="120"/>
  <c r="J977" i="107"/>
  <c r="D1216" i="120" s="1"/>
  <c r="H1267" i="120"/>
  <c r="O1182" i="107"/>
  <c r="O470" i="107"/>
  <c r="I622" i="120" s="1"/>
  <c r="P654" i="107"/>
  <c r="J821" i="120" s="1"/>
  <c r="J657" i="120"/>
  <c r="G615" i="120"/>
  <c r="K1223" i="120"/>
  <c r="O659" i="107"/>
  <c r="I826" i="120" s="1"/>
  <c r="I1423" i="107"/>
  <c r="H1767" i="119" s="1"/>
  <c r="E1208" i="120"/>
  <c r="Q1182" i="107"/>
  <c r="Q1205" i="107" s="1"/>
  <c r="M470" i="107"/>
  <c r="G622" i="120" s="1"/>
  <c r="O1800" i="107"/>
  <c r="I2205" i="120" s="1"/>
  <c r="M1009" i="107"/>
  <c r="M1420" i="107" s="1"/>
  <c r="G1819" i="120" s="1"/>
  <c r="P1182" i="107"/>
  <c r="P1205" i="107" s="1"/>
  <c r="F595" i="119"/>
  <c r="O500" i="107"/>
  <c r="I652" i="120" s="1"/>
  <c r="D1251" i="120"/>
  <c r="H507" i="107"/>
  <c r="I507" i="107" s="1"/>
  <c r="H604" i="119" s="1"/>
  <c r="P1009" i="107"/>
  <c r="M1182" i="107"/>
  <c r="G1522" i="120" s="1"/>
  <c r="K1182" i="107"/>
  <c r="E1522" i="120" s="1"/>
  <c r="Q1009" i="107"/>
  <c r="Q1420" i="107" s="1"/>
  <c r="Q1442" i="107" s="1"/>
  <c r="Q216" i="92"/>
  <c r="Q195" i="92" s="1"/>
  <c r="G1450" i="107"/>
  <c r="K1528" i="120"/>
  <c r="I1006" i="107"/>
  <c r="H1197" i="119" s="1"/>
  <c r="G1528" i="120"/>
  <c r="D1528" i="120"/>
  <c r="P1197" i="107"/>
  <c r="J1537" i="120" s="1"/>
  <c r="J1200" i="107"/>
  <c r="D1540" i="120" s="1"/>
  <c r="K1399" i="107"/>
  <c r="E1774" i="120" s="1"/>
  <c r="H36" i="107"/>
  <c r="I36" i="107" s="1"/>
  <c r="AG29" i="115" s="1"/>
  <c r="F1230" i="119"/>
  <c r="M1399" i="107"/>
  <c r="M38" i="107" s="1"/>
  <c r="G37" i="120" s="1"/>
  <c r="G1794" i="107"/>
  <c r="G1802" i="107" s="1"/>
  <c r="E26" i="116" s="1"/>
  <c r="G1224" i="120"/>
  <c r="N470" i="107"/>
  <c r="H622" i="120" s="1"/>
  <c r="O1801" i="107"/>
  <c r="I2206" i="120" s="1"/>
  <c r="I657" i="120"/>
  <c r="K1226" i="120"/>
  <c r="K1224" i="120"/>
  <c r="M660" i="107"/>
  <c r="G827" i="120" s="1"/>
  <c r="F1224" i="120"/>
  <c r="G657" i="120"/>
  <c r="K1208" i="120"/>
  <c r="I1205" i="107"/>
  <c r="H1500" i="119" s="1"/>
  <c r="K470" i="107"/>
  <c r="E622" i="120" s="1"/>
  <c r="F1772" i="119"/>
  <c r="I38" i="107"/>
  <c r="H37" i="119" s="1"/>
  <c r="H1455" i="107"/>
  <c r="I1455" i="107" s="1"/>
  <c r="H1799" i="119" s="1"/>
  <c r="J1796" i="107"/>
  <c r="D2201" i="120" s="1"/>
  <c r="G1797" i="119"/>
  <c r="E143" i="57"/>
  <c r="E149" i="57" s="1"/>
  <c r="I1208" i="120"/>
  <c r="J655" i="107"/>
  <c r="D822" i="120" s="1"/>
  <c r="H653" i="107"/>
  <c r="I653" i="107" s="1"/>
  <c r="H766" i="119" s="1"/>
  <c r="E615" i="120"/>
  <c r="Q470" i="107"/>
  <c r="K622" i="120" s="1"/>
  <c r="F1015" i="107"/>
  <c r="F35" i="107" s="1"/>
  <c r="I1226" i="120"/>
  <c r="J1208" i="120"/>
  <c r="N94" i="96"/>
  <c r="H1208" i="120"/>
  <c r="N1013" i="107"/>
  <c r="N1424" i="107" s="1"/>
  <c r="J1224" i="120"/>
  <c r="G1767" i="120"/>
  <c r="I655" i="107"/>
  <c r="H768" i="119" s="1"/>
  <c r="H1794" i="107"/>
  <c r="H1802" i="107" s="1"/>
  <c r="F26" i="116" s="1"/>
  <c r="K1230" i="120"/>
  <c r="I1440" i="107"/>
  <c r="H1784" i="119" s="1"/>
  <c r="E1226" i="120"/>
  <c r="E35" i="119"/>
  <c r="J615" i="120"/>
  <c r="N214" i="92"/>
  <c r="M214" i="92" s="1"/>
  <c r="P500" i="107"/>
  <c r="J652" i="120" s="1"/>
  <c r="G1226" i="120"/>
  <c r="D63" i="113"/>
  <c r="D69" i="113" s="1"/>
  <c r="G1417" i="107"/>
  <c r="F1761" i="119" s="1"/>
  <c r="E1767" i="120"/>
  <c r="K1500" i="107"/>
  <c r="E1902" i="120" s="1"/>
  <c r="M1796" i="107"/>
  <c r="G2201" i="120" s="1"/>
  <c r="H1417" i="107"/>
  <c r="G1761" i="119" s="1"/>
  <c r="M655" i="107"/>
  <c r="G822" i="120" s="1"/>
  <c r="I1767" i="120"/>
  <c r="O1399" i="107"/>
  <c r="I1774" i="120" s="1"/>
  <c r="G1173" i="119"/>
  <c r="I982" i="107"/>
  <c r="H1173" i="119" s="1"/>
  <c r="F1226" i="120"/>
  <c r="H1008" i="107"/>
  <c r="H1419" i="107" s="1"/>
  <c r="H988" i="107"/>
  <c r="I988" i="107" s="1"/>
  <c r="H1179" i="119" s="1"/>
  <c r="G1191" i="119"/>
  <c r="D1250" i="120"/>
  <c r="K1011" i="107"/>
  <c r="K1422" i="107" s="1"/>
  <c r="P1505" i="107"/>
  <c r="J1907" i="120" s="1"/>
  <c r="P1399" i="107"/>
  <c r="J1774" i="120" s="1"/>
  <c r="J1506" i="107"/>
  <c r="D1908" i="120" s="1"/>
  <c r="G1168" i="119"/>
  <c r="J1000" i="107"/>
  <c r="D1239" i="120" s="1"/>
  <c r="G988" i="107"/>
  <c r="F1179" i="119" s="1"/>
  <c r="F1439" i="107"/>
  <c r="K1000" i="107"/>
  <c r="E1239" i="120" s="1"/>
  <c r="K1772" i="120"/>
  <c r="J1006" i="107"/>
  <c r="D1245" i="120" s="1"/>
  <c r="H1230" i="120"/>
  <c r="Q1505" i="107"/>
  <c r="K1907" i="120" s="1"/>
  <c r="M1000" i="107"/>
  <c r="G1239" i="120" s="1"/>
  <c r="G1008" i="107"/>
  <c r="F1199" i="119" s="1"/>
  <c r="F1230" i="120"/>
  <c r="D1774" i="120"/>
  <c r="N38" i="107"/>
  <c r="H37" i="120" s="1"/>
  <c r="J1520" i="120"/>
  <c r="P1203" i="107"/>
  <c r="I1520" i="120"/>
  <c r="O1203" i="107"/>
  <c r="H1520" i="120"/>
  <c r="N1203" i="107"/>
  <c r="F1520" i="120"/>
  <c r="L1203" i="107"/>
  <c r="E1520" i="120"/>
  <c r="K1203" i="107"/>
  <c r="G1520" i="120"/>
  <c r="M1203" i="107"/>
  <c r="K1520" i="120"/>
  <c r="Q1203" i="107"/>
  <c r="D1543" i="120"/>
  <c r="J1453" i="107"/>
  <c r="D1852" i="120" s="1"/>
  <c r="H1191" i="119"/>
  <c r="H1492" i="119"/>
  <c r="Q655" i="107"/>
  <c r="K822" i="120" s="1"/>
  <c r="K655" i="107"/>
  <c r="E822" i="120" s="1"/>
  <c r="N655" i="107"/>
  <c r="H822" i="120" s="1"/>
  <c r="K1796" i="107"/>
  <c r="E2201" i="120" s="1"/>
  <c r="Q1796" i="107"/>
  <c r="K2201" i="120" s="1"/>
  <c r="N1796" i="107"/>
  <c r="H2201" i="120" s="1"/>
  <c r="M1506" i="107"/>
  <c r="G1908" i="120" s="1"/>
  <c r="K1197" i="107"/>
  <c r="E1537" i="120" s="1"/>
  <c r="E1528" i="120"/>
  <c r="G23" i="107"/>
  <c r="F22" i="119" s="1"/>
  <c r="F604" i="119"/>
  <c r="G1481" i="107"/>
  <c r="F1826" i="119" s="1"/>
  <c r="F1799" i="119"/>
  <c r="M495" i="107"/>
  <c r="G647" i="120" s="1"/>
  <c r="G637" i="120"/>
  <c r="O1440" i="107"/>
  <c r="I1817" i="120"/>
  <c r="P1440" i="107"/>
  <c r="J1817" i="120"/>
  <c r="N1440" i="107"/>
  <c r="H1817" i="120"/>
  <c r="D1839" i="120"/>
  <c r="J1477" i="107"/>
  <c r="D1879" i="120" s="1"/>
  <c r="D37" i="120"/>
  <c r="P1424" i="107"/>
  <c r="J1252" i="120"/>
  <c r="K1424" i="107"/>
  <c r="E1252" i="120"/>
  <c r="M1424" i="107"/>
  <c r="G1252" i="120"/>
  <c r="L1424" i="107"/>
  <c r="F1252" i="120"/>
  <c r="M1421" i="107"/>
  <c r="G1249" i="120"/>
  <c r="J1443" i="107"/>
  <c r="D1820" i="120"/>
  <c r="K1457" i="107"/>
  <c r="E1856" i="120" s="1"/>
  <c r="E1547" i="120"/>
  <c r="P1423" i="107"/>
  <c r="J1251" i="120"/>
  <c r="N1423" i="107"/>
  <c r="H1251" i="120"/>
  <c r="N1422" i="107"/>
  <c r="H1250" i="120"/>
  <c r="P1422" i="107"/>
  <c r="J1250" i="120"/>
  <c r="Q1440" i="107"/>
  <c r="K1817" i="120"/>
  <c r="L1440" i="107"/>
  <c r="F1817" i="120"/>
  <c r="K1440" i="107"/>
  <c r="E1817" i="120"/>
  <c r="M1440" i="107"/>
  <c r="G1817" i="120"/>
  <c r="J1446" i="107"/>
  <c r="D1823" i="120"/>
  <c r="G1482" i="107"/>
  <c r="F1827" i="119" s="1"/>
  <c r="F1789" i="119"/>
  <c r="F1790" i="119"/>
  <c r="G1483" i="107"/>
  <c r="F1828" i="119" s="1"/>
  <c r="F1787" i="119"/>
  <c r="G1480" i="107"/>
  <c r="F1825" i="119" s="1"/>
  <c r="F1786" i="119"/>
  <c r="G1479" i="107"/>
  <c r="F1824" i="119" s="1"/>
  <c r="H1479" i="107"/>
  <c r="G1786" i="119"/>
  <c r="N1506" i="107"/>
  <c r="H1908" i="120" s="1"/>
  <c r="Q1424" i="107"/>
  <c r="K1252" i="120"/>
  <c r="O1424" i="107"/>
  <c r="I1252" i="120"/>
  <c r="O1421" i="107"/>
  <c r="I1249" i="120"/>
  <c r="Q1421" i="107"/>
  <c r="K1249" i="120"/>
  <c r="N1457" i="107"/>
  <c r="H1856" i="120" s="1"/>
  <c r="H1547" i="120"/>
  <c r="M1423" i="107"/>
  <c r="G1251" i="120"/>
  <c r="L1423" i="107"/>
  <c r="F1251" i="120"/>
  <c r="O1422" i="107"/>
  <c r="I1250" i="120"/>
  <c r="M1422" i="107"/>
  <c r="G1250" i="120"/>
  <c r="J1444" i="107"/>
  <c r="D1843" i="120" s="1"/>
  <c r="D1821" i="120"/>
  <c r="P1457" i="107"/>
  <c r="J1856" i="120" s="1"/>
  <c r="J1547" i="120"/>
  <c r="O1423" i="107"/>
  <c r="I1251" i="120"/>
  <c r="J1445" i="107"/>
  <c r="D1822" i="120"/>
  <c r="Q1422" i="107"/>
  <c r="K1250" i="120"/>
  <c r="L1422" i="107"/>
  <c r="F1250" i="120"/>
  <c r="I1436" i="107"/>
  <c r="M498" i="107"/>
  <c r="Q982" i="107"/>
  <c r="K1221" i="120" s="1"/>
  <c r="M982" i="107"/>
  <c r="G1221" i="120" s="1"/>
  <c r="P982" i="107"/>
  <c r="J1221" i="120" s="1"/>
  <c r="L982" i="107"/>
  <c r="F1221" i="120" s="1"/>
  <c r="O982" i="107"/>
  <c r="I1221" i="120" s="1"/>
  <c r="K982" i="107"/>
  <c r="E1221" i="120" s="1"/>
  <c r="N982" i="107"/>
  <c r="H1221" i="120" s="1"/>
  <c r="J988" i="107"/>
  <c r="D1227" i="120" s="1"/>
  <c r="J1008" i="107"/>
  <c r="M1043" i="107"/>
  <c r="M1428" i="107"/>
  <c r="L216" i="92"/>
  <c r="L195" i="92" s="1"/>
  <c r="K216" i="92"/>
  <c r="D1542" i="120" l="1"/>
  <c r="N1179" i="107"/>
  <c r="H1519" i="120" s="1"/>
  <c r="D1519" i="120"/>
  <c r="P1179" i="107"/>
  <c r="P1202" i="107" s="1"/>
  <c r="J1185" i="107"/>
  <c r="D1525" i="120" s="1"/>
  <c r="K1179" i="107"/>
  <c r="E1519" i="120" s="1"/>
  <c r="Q1179" i="107"/>
  <c r="Q1202" i="107" s="1"/>
  <c r="K1542" i="120" s="1"/>
  <c r="O1179" i="107"/>
  <c r="I1519" i="120" s="1"/>
  <c r="L1179" i="107"/>
  <c r="F1519" i="120" s="1"/>
  <c r="M1179" i="107"/>
  <c r="G1519" i="120" s="1"/>
  <c r="E65" i="165"/>
  <c r="F65" i="165" s="1"/>
  <c r="E62" i="165"/>
  <c r="F62" i="165" s="1"/>
  <c r="E64" i="165"/>
  <c r="F64" i="165" s="1"/>
  <c r="E68" i="165"/>
  <c r="F68" i="165" s="1"/>
  <c r="F242" i="151" s="1"/>
  <c r="E66" i="165"/>
  <c r="F66" i="165" s="1"/>
  <c r="F240" i="151" s="1"/>
  <c r="E67" i="165"/>
  <c r="F67" i="165" s="1"/>
  <c r="E61" i="165"/>
  <c r="O1456" i="107"/>
  <c r="I1855" i="120" s="1"/>
  <c r="E63" i="165"/>
  <c r="F63" i="165" s="1"/>
  <c r="F237" i="151" s="1"/>
  <c r="H1452" i="107"/>
  <c r="I1202" i="107"/>
  <c r="H1497" i="119" s="1"/>
  <c r="H1209" i="107"/>
  <c r="H39" i="107" s="1"/>
  <c r="G38" i="119" s="1"/>
  <c r="K1200" i="107"/>
  <c r="K1450" i="107" s="1"/>
  <c r="P1456" i="107"/>
  <c r="J1855" i="120" s="1"/>
  <c r="O1174" i="107"/>
  <c r="I1514" i="120" s="1"/>
  <c r="K1179" i="161"/>
  <c r="K1202" i="161" s="1"/>
  <c r="K1452" i="161" s="1"/>
  <c r="K1458" i="161" s="1"/>
  <c r="L1206" i="107"/>
  <c r="L1456" i="107" s="1"/>
  <c r="F1855" i="120" s="1"/>
  <c r="J988" i="161"/>
  <c r="O982" i="161"/>
  <c r="O1008" i="161" s="1"/>
  <c r="O1419" i="161" s="1"/>
  <c r="D1546" i="120"/>
  <c r="H1452" i="161"/>
  <c r="I1452" i="161" s="1"/>
  <c r="K1174" i="107"/>
  <c r="E1514" i="120" s="1"/>
  <c r="I1202" i="161"/>
  <c r="M1456" i="107"/>
  <c r="G1855" i="120" s="1"/>
  <c r="I1456" i="107"/>
  <c r="H1800" i="119" s="1"/>
  <c r="K1523" i="120"/>
  <c r="K1456" i="107"/>
  <c r="E1855" i="120" s="1"/>
  <c r="J1523" i="120"/>
  <c r="L1174" i="107"/>
  <c r="F1514" i="120" s="1"/>
  <c r="Q1456" i="107"/>
  <c r="K1855" i="120" s="1"/>
  <c r="G1547" i="120"/>
  <c r="F1774" i="120"/>
  <c r="E1523" i="120"/>
  <c r="H1546" i="120"/>
  <c r="L1179" i="161"/>
  <c r="L1202" i="161" s="1"/>
  <c r="L1452" i="161" s="1"/>
  <c r="L1458" i="161" s="1"/>
  <c r="P1179" i="161"/>
  <c r="P1202" i="161" s="1"/>
  <c r="P1452" i="161" s="1"/>
  <c r="P1458" i="161" s="1"/>
  <c r="N1179" i="161"/>
  <c r="N1202" i="161" s="1"/>
  <c r="N1209" i="161" s="1"/>
  <c r="N39" i="161" s="1"/>
  <c r="H1523" i="120"/>
  <c r="J1185" i="161"/>
  <c r="M1179" i="161"/>
  <c r="M1202" i="161" s="1"/>
  <c r="M1452" i="161" s="1"/>
  <c r="M1458" i="161" s="1"/>
  <c r="J1202" i="161"/>
  <c r="J1452" i="161" s="1"/>
  <c r="J1458" i="161" s="1"/>
  <c r="O1179" i="161"/>
  <c r="O1202" i="161" s="1"/>
  <c r="O1452" i="161" s="1"/>
  <c r="O1458" i="161" s="1"/>
  <c r="O1200" i="107"/>
  <c r="I1540" i="120" s="1"/>
  <c r="I1523" i="120"/>
  <c r="Q1174" i="107"/>
  <c r="K1514" i="120" s="1"/>
  <c r="G1523" i="120"/>
  <c r="K982" i="161"/>
  <c r="K1008" i="161" s="1"/>
  <c r="K1015" i="161" s="1"/>
  <c r="K35" i="161" s="1"/>
  <c r="J1008" i="161"/>
  <c r="J1015" i="161" s="1"/>
  <c r="J35" i="161" s="1"/>
  <c r="Q982" i="161"/>
  <c r="Q1008" i="161" s="1"/>
  <c r="Q1419" i="161" s="1"/>
  <c r="P982" i="161"/>
  <c r="P1008" i="161" s="1"/>
  <c r="P1419" i="161" s="1"/>
  <c r="M982" i="161"/>
  <c r="M1008" i="161" s="1"/>
  <c r="M1419" i="161" s="1"/>
  <c r="N982" i="161"/>
  <c r="N1008" i="161" s="1"/>
  <c r="N1419" i="161" s="1"/>
  <c r="H1015" i="161"/>
  <c r="H35" i="161" s="1"/>
  <c r="I35" i="161" s="1"/>
  <c r="N1174" i="107"/>
  <c r="H1514" i="120" s="1"/>
  <c r="P1174" i="107"/>
  <c r="J1514" i="120" s="1"/>
  <c r="M1174" i="107"/>
  <c r="G1514" i="120" s="1"/>
  <c r="H1419" i="161"/>
  <c r="I1419" i="161" s="1"/>
  <c r="I1185" i="107"/>
  <c r="H1480" i="119" s="1"/>
  <c r="K1423" i="107"/>
  <c r="E1822" i="120" s="1"/>
  <c r="I1439" i="161"/>
  <c r="I1476" i="161"/>
  <c r="G1248" i="120"/>
  <c r="Q1043" i="161"/>
  <c r="Q36" i="161" s="1"/>
  <c r="Q1428" i="161"/>
  <c r="Q1436" i="161" s="1"/>
  <c r="M498" i="161"/>
  <c r="M470" i="161"/>
  <c r="M1428" i="161"/>
  <c r="M1436" i="161" s="1"/>
  <c r="M1043" i="161"/>
  <c r="M36" i="161" s="1"/>
  <c r="L470" i="161"/>
  <c r="L498" i="161"/>
  <c r="O1043" i="161"/>
  <c r="O36" i="161" s="1"/>
  <c r="O1428" i="161"/>
  <c r="O1436" i="161" s="1"/>
  <c r="K498" i="161"/>
  <c r="K470" i="161"/>
  <c r="P1043" i="161"/>
  <c r="P36" i="161" s="1"/>
  <c r="P1428" i="161"/>
  <c r="P1436" i="161" s="1"/>
  <c r="O470" i="161"/>
  <c r="O498" i="161"/>
  <c r="N1043" i="161"/>
  <c r="N36" i="161" s="1"/>
  <c r="N1428" i="161"/>
  <c r="N1436" i="161" s="1"/>
  <c r="J507" i="161"/>
  <c r="J23" i="161" s="1"/>
  <c r="J1794" i="161"/>
  <c r="J1802" i="161" s="1"/>
  <c r="J653" i="161"/>
  <c r="J661" i="161" s="1"/>
  <c r="N470" i="161"/>
  <c r="N498" i="161"/>
  <c r="K1043" i="161"/>
  <c r="K36" i="161" s="1"/>
  <c r="K1428" i="161"/>
  <c r="K1436" i="161" s="1"/>
  <c r="Q470" i="161"/>
  <c r="Q498" i="161"/>
  <c r="I653" i="161"/>
  <c r="I507" i="161"/>
  <c r="L1428" i="161"/>
  <c r="L1436" i="161" s="1"/>
  <c r="L1043" i="161"/>
  <c r="L36" i="161" s="1"/>
  <c r="J1439" i="161"/>
  <c r="J1476" i="161" s="1"/>
  <c r="P470" i="161"/>
  <c r="P498" i="161"/>
  <c r="I661" i="161"/>
  <c r="I23" i="161"/>
  <c r="O1197" i="107"/>
  <c r="I1537" i="120" s="1"/>
  <c r="P1428" i="107"/>
  <c r="P1436" i="107" s="1"/>
  <c r="J1835" i="120" s="1"/>
  <c r="P1043" i="107"/>
  <c r="P36" i="107" s="1"/>
  <c r="J35" i="120" s="1"/>
  <c r="O1457" i="107"/>
  <c r="I1856" i="120" s="1"/>
  <c r="I1528" i="120"/>
  <c r="H1480" i="107"/>
  <c r="I1480" i="107" s="1"/>
  <c r="H1825" i="119" s="1"/>
  <c r="F1547" i="120"/>
  <c r="G141" i="164"/>
  <c r="G142" i="164"/>
  <c r="H142" i="164" s="1"/>
  <c r="H163" i="164" s="1"/>
  <c r="F22" i="151" s="1"/>
  <c r="G145" i="164"/>
  <c r="H145" i="164" s="1"/>
  <c r="H167" i="164" s="1"/>
  <c r="F26" i="151" s="1"/>
  <c r="G146" i="164"/>
  <c r="H146" i="164" s="1"/>
  <c r="H168" i="164" s="1"/>
  <c r="F27" i="151" s="1"/>
  <c r="G147" i="164"/>
  <c r="H147" i="164" s="1"/>
  <c r="H169" i="164" s="1"/>
  <c r="F28" i="151" s="1"/>
  <c r="G148" i="164"/>
  <c r="H148" i="164" s="1"/>
  <c r="H170" i="164" s="1"/>
  <c r="F29" i="151" s="1"/>
  <c r="G144" i="164"/>
  <c r="H144" i="164" s="1"/>
  <c r="H166" i="164" s="1"/>
  <c r="F25" i="151" s="1"/>
  <c r="D43" i="155"/>
  <c r="D34" i="166"/>
  <c r="D69" i="166"/>
  <c r="D83" i="166"/>
  <c r="F236" i="151"/>
  <c r="F241" i="151"/>
  <c r="F238" i="151"/>
  <c r="F239" i="151"/>
  <c r="K1547" i="120"/>
  <c r="I1443" i="107"/>
  <c r="H1787" i="119" s="1"/>
  <c r="O1506" i="107"/>
  <c r="I1908" i="120" s="1"/>
  <c r="Q1428" i="107"/>
  <c r="Q1436" i="107" s="1"/>
  <c r="K1835" i="120" s="1"/>
  <c r="Q1043" i="107"/>
  <c r="K1277" i="120" s="1"/>
  <c r="H1528" i="120"/>
  <c r="K1043" i="107"/>
  <c r="E1277" i="120" s="1"/>
  <c r="N1200" i="107"/>
  <c r="H1540" i="120" s="1"/>
  <c r="K1428" i="107"/>
  <c r="K1436" i="107" s="1"/>
  <c r="E1835" i="120" s="1"/>
  <c r="J36" i="107"/>
  <c r="D35" i="120" s="1"/>
  <c r="L1428" i="107"/>
  <c r="F1827" i="120" s="1"/>
  <c r="L1043" i="107"/>
  <c r="F1277" i="120" s="1"/>
  <c r="O1428" i="107"/>
  <c r="O1436" i="107" s="1"/>
  <c r="I1835" i="120" s="1"/>
  <c r="O1043" i="107"/>
  <c r="O36" i="107" s="1"/>
  <c r="I35" i="120" s="1"/>
  <c r="L498" i="107"/>
  <c r="L653" i="107" s="1"/>
  <c r="O495" i="107"/>
  <c r="I647" i="120" s="1"/>
  <c r="O498" i="107"/>
  <c r="O653" i="107" s="1"/>
  <c r="K1774" i="120"/>
  <c r="E637" i="120"/>
  <c r="K495" i="107"/>
  <c r="E647" i="120" s="1"/>
  <c r="F1249" i="120"/>
  <c r="L1796" i="107"/>
  <c r="F2201" i="120" s="1"/>
  <c r="L655" i="107"/>
  <c r="F822" i="120" s="1"/>
  <c r="L495" i="107"/>
  <c r="F647" i="120" s="1"/>
  <c r="G1209" i="107"/>
  <c r="G39" i="107" s="1"/>
  <c r="F38" i="119" s="1"/>
  <c r="G1452" i="107"/>
  <c r="F1796" i="119" s="1"/>
  <c r="N1202" i="107"/>
  <c r="N1452" i="107" s="1"/>
  <c r="H1851" i="120" s="1"/>
  <c r="L1200" i="107"/>
  <c r="L1450" i="107" s="1"/>
  <c r="F1849" i="120" s="1"/>
  <c r="E38" i="119"/>
  <c r="I1477" i="107"/>
  <c r="H1822" i="119" s="1"/>
  <c r="F1528" i="120"/>
  <c r="E1504" i="119"/>
  <c r="F1441" i="107"/>
  <c r="D83" i="105" s="1"/>
  <c r="N1421" i="107"/>
  <c r="N1443" i="107" s="1"/>
  <c r="L1442" i="107"/>
  <c r="F1841" i="120" s="1"/>
  <c r="M1200" i="107"/>
  <c r="G1540" i="120" s="1"/>
  <c r="J1794" i="107"/>
  <c r="D2199" i="120" s="1"/>
  <c r="O1442" i="107"/>
  <c r="I1841" i="120" s="1"/>
  <c r="I1248" i="120"/>
  <c r="P495" i="107"/>
  <c r="J647" i="120" s="1"/>
  <c r="J507" i="107"/>
  <c r="J23" i="107" s="1"/>
  <c r="D22" i="120" s="1"/>
  <c r="F1458" i="107"/>
  <c r="E1802" i="119" s="1"/>
  <c r="I1452" i="107"/>
  <c r="H1796" i="119" s="1"/>
  <c r="J1249" i="120"/>
  <c r="P498" i="107"/>
  <c r="J650" i="120" s="1"/>
  <c r="H1522" i="120"/>
  <c r="L1506" i="107"/>
  <c r="F1908" i="120" s="1"/>
  <c r="N1428" i="107"/>
  <c r="N1436" i="107" s="1"/>
  <c r="H1835" i="120" s="1"/>
  <c r="K1442" i="107"/>
  <c r="E1841" i="120" s="1"/>
  <c r="Q498" i="107"/>
  <c r="Q1794" i="107" s="1"/>
  <c r="F1248" i="120"/>
  <c r="K1521" i="120"/>
  <c r="Q1204" i="107"/>
  <c r="I1521" i="120"/>
  <c r="O1204" i="107"/>
  <c r="F1521" i="120"/>
  <c r="L1204" i="107"/>
  <c r="P1204" i="107"/>
  <c r="J1521" i="120"/>
  <c r="J1454" i="107"/>
  <c r="D1853" i="120" s="1"/>
  <c r="D1544" i="120"/>
  <c r="K1204" i="107"/>
  <c r="E1521" i="120"/>
  <c r="H1521" i="120"/>
  <c r="N1204" i="107"/>
  <c r="M1204" i="107"/>
  <c r="G1521" i="120"/>
  <c r="Q977" i="107"/>
  <c r="K1216" i="120" s="1"/>
  <c r="E1248" i="120"/>
  <c r="F1425" i="107"/>
  <c r="E1769" i="119" s="1"/>
  <c r="M977" i="107"/>
  <c r="G1216" i="120" s="1"/>
  <c r="P216" i="92"/>
  <c r="K1251" i="120"/>
  <c r="D650" i="120"/>
  <c r="J1455" i="107"/>
  <c r="J1481" i="107" s="1"/>
  <c r="D1883" i="120" s="1"/>
  <c r="D1827" i="120"/>
  <c r="J1442" i="107"/>
  <c r="D1841" i="120" s="1"/>
  <c r="K637" i="120"/>
  <c r="M1197" i="107"/>
  <c r="G1537" i="120" s="1"/>
  <c r="K1205" i="107"/>
  <c r="E1545" i="120" s="1"/>
  <c r="J1519" i="120"/>
  <c r="F1794" i="119"/>
  <c r="N1442" i="107"/>
  <c r="H1841" i="120" s="1"/>
  <c r="J1522" i="120"/>
  <c r="K1522" i="120"/>
  <c r="K38" i="107"/>
  <c r="E37" i="120" s="1"/>
  <c r="K1482" i="161"/>
  <c r="Q1185" i="161"/>
  <c r="F766" i="119"/>
  <c r="H1481" i="107"/>
  <c r="I1481" i="107" s="1"/>
  <c r="H1826" i="119" s="1"/>
  <c r="I1483" i="107"/>
  <c r="H1828" i="119" s="1"/>
  <c r="I1444" i="107"/>
  <c r="H1788" i="119" s="1"/>
  <c r="M1482" i="161"/>
  <c r="O1482" i="161"/>
  <c r="N1482" i="161"/>
  <c r="L988" i="161"/>
  <c r="N1185" i="107"/>
  <c r="H1525" i="120" s="1"/>
  <c r="H1248" i="120"/>
  <c r="O1202" i="107"/>
  <c r="I1542" i="120" s="1"/>
  <c r="M1205" i="107"/>
  <c r="M1455" i="107" s="1"/>
  <c r="O1185" i="107"/>
  <c r="I1525" i="120" s="1"/>
  <c r="G1799" i="119"/>
  <c r="L1482" i="161"/>
  <c r="F1478" i="161"/>
  <c r="F1447" i="161"/>
  <c r="I1209" i="161"/>
  <c r="I39" i="161"/>
  <c r="P1185" i="107"/>
  <c r="J1525" i="120" s="1"/>
  <c r="Q1452" i="161"/>
  <c r="Q1458" i="161" s="1"/>
  <c r="Q1209" i="161"/>
  <c r="Q39" i="161" s="1"/>
  <c r="M1442" i="107"/>
  <c r="G1841" i="120" s="1"/>
  <c r="K1421" i="107"/>
  <c r="E1820" i="120" s="1"/>
  <c r="P1482" i="161"/>
  <c r="G1478" i="161"/>
  <c r="G1484" i="161" s="1"/>
  <c r="G1447" i="161"/>
  <c r="Q1482" i="161"/>
  <c r="L1419" i="161"/>
  <c r="L1015" i="161"/>
  <c r="L35" i="161" s="1"/>
  <c r="G604" i="119"/>
  <c r="H23" i="107"/>
  <c r="G22" i="119" s="1"/>
  <c r="Q1197" i="107"/>
  <c r="K1537" i="120" s="1"/>
  <c r="N495" i="107"/>
  <c r="H647" i="120" s="1"/>
  <c r="H1015" i="107"/>
  <c r="H35" i="107" s="1"/>
  <c r="G34" i="119" s="1"/>
  <c r="O977" i="107"/>
  <c r="I1216" i="120" s="1"/>
  <c r="H637" i="120"/>
  <c r="F1522" i="120"/>
  <c r="I1450" i="107"/>
  <c r="H1794" i="119" s="1"/>
  <c r="Q1200" i="107"/>
  <c r="K1540" i="120" s="1"/>
  <c r="L977" i="107"/>
  <c r="F1216" i="120" s="1"/>
  <c r="H1482" i="107"/>
  <c r="G1827" i="119" s="1"/>
  <c r="I1522" i="120"/>
  <c r="D41" i="112"/>
  <c r="P96" i="153"/>
  <c r="M94" i="153"/>
  <c r="N96" i="153" s="1"/>
  <c r="O1205" i="107"/>
  <c r="I1545" i="120" s="1"/>
  <c r="Q195" i="152"/>
  <c r="P216" i="152"/>
  <c r="K1819" i="120"/>
  <c r="I1445" i="107"/>
  <c r="H1789" i="119" s="1"/>
  <c r="M94" i="96"/>
  <c r="N96" i="96" s="1"/>
  <c r="K195" i="152"/>
  <c r="K67" i="153"/>
  <c r="K96" i="96"/>
  <c r="J96" i="96" s="1"/>
  <c r="L216" i="152"/>
  <c r="L195" i="152" s="1"/>
  <c r="L96" i="153"/>
  <c r="L67" i="153" s="1"/>
  <c r="M214" i="152"/>
  <c r="N216" i="152" s="1"/>
  <c r="L67" i="96"/>
  <c r="K977" i="107"/>
  <c r="E1216" i="120" s="1"/>
  <c r="P96" i="96"/>
  <c r="T67" i="96"/>
  <c r="S67" i="96"/>
  <c r="P1200" i="107"/>
  <c r="P1450" i="107" s="1"/>
  <c r="J1528" i="120"/>
  <c r="I1008" i="107"/>
  <c r="H1199" i="119" s="1"/>
  <c r="K1248" i="120"/>
  <c r="O655" i="107"/>
  <c r="I822" i="120" s="1"/>
  <c r="H1458" i="107"/>
  <c r="N1043" i="107"/>
  <c r="N36" i="107" s="1"/>
  <c r="H35" i="120" s="1"/>
  <c r="O1006" i="107"/>
  <c r="I1245" i="120" s="1"/>
  <c r="AG31" i="115"/>
  <c r="O1796" i="107"/>
  <c r="I2201" i="120" s="1"/>
  <c r="G1796" i="119"/>
  <c r="P1420" i="107"/>
  <c r="J1248" i="120"/>
  <c r="G1774" i="120"/>
  <c r="J1417" i="107"/>
  <c r="D1816" i="120" s="1"/>
  <c r="T26" i="116"/>
  <c r="G1439" i="107"/>
  <c r="F1783" i="119" s="1"/>
  <c r="J1209" i="107"/>
  <c r="J39" i="107" s="1"/>
  <c r="J1450" i="107"/>
  <c r="D1849" i="120" s="1"/>
  <c r="H35" i="119"/>
  <c r="Q1000" i="107"/>
  <c r="K1239" i="120" s="1"/>
  <c r="G35" i="119"/>
  <c r="Q1006" i="107"/>
  <c r="K1245" i="120" s="1"/>
  <c r="H661" i="107"/>
  <c r="G774" i="119" s="1"/>
  <c r="G766" i="119"/>
  <c r="H1425" i="107"/>
  <c r="G1769" i="119" s="1"/>
  <c r="L1000" i="107"/>
  <c r="F1239" i="120" s="1"/>
  <c r="E1206" i="119"/>
  <c r="H1252" i="120"/>
  <c r="O38" i="107"/>
  <c r="I37" i="120" s="1"/>
  <c r="N977" i="107"/>
  <c r="H1216" i="120" s="1"/>
  <c r="G1015" i="107"/>
  <c r="G35" i="107" s="1"/>
  <c r="F34" i="119" s="1"/>
  <c r="P655" i="107"/>
  <c r="J822" i="120" s="1"/>
  <c r="P977" i="107"/>
  <c r="J1216" i="120" s="1"/>
  <c r="G1179" i="119"/>
  <c r="M1006" i="107"/>
  <c r="G1245" i="120" s="1"/>
  <c r="G1199" i="119"/>
  <c r="L1185" i="107"/>
  <c r="F1525" i="120" s="1"/>
  <c r="P1006" i="107"/>
  <c r="J1245" i="120" s="1"/>
  <c r="L1202" i="107"/>
  <c r="L1452" i="107" s="1"/>
  <c r="F1851" i="120" s="1"/>
  <c r="J661" i="107"/>
  <c r="D828" i="120" s="1"/>
  <c r="K1506" i="107"/>
  <c r="E1908" i="120" s="1"/>
  <c r="P1506" i="107"/>
  <c r="J1908" i="120" s="1"/>
  <c r="L1006" i="107"/>
  <c r="F1245" i="120" s="1"/>
  <c r="J1230" i="120"/>
  <c r="P1000" i="107"/>
  <c r="J1239" i="120" s="1"/>
  <c r="E1250" i="120"/>
  <c r="E1230" i="120"/>
  <c r="I1417" i="107"/>
  <c r="H1761" i="119" s="1"/>
  <c r="K1006" i="107"/>
  <c r="E1245" i="120" s="1"/>
  <c r="H1439" i="107"/>
  <c r="G1783" i="119" s="1"/>
  <c r="P1796" i="107"/>
  <c r="J2201" i="120" s="1"/>
  <c r="N1000" i="107"/>
  <c r="H1239" i="120" s="1"/>
  <c r="G1230" i="120"/>
  <c r="Q1506" i="107"/>
  <c r="K1908" i="120" s="1"/>
  <c r="G1419" i="107"/>
  <c r="G1425" i="107" s="1"/>
  <c r="F1769" i="119" s="1"/>
  <c r="E1783" i="119"/>
  <c r="P38" i="107"/>
  <c r="J37" i="120" s="1"/>
  <c r="D81" i="105"/>
  <c r="F1476" i="107"/>
  <c r="E1821" i="119" s="1"/>
  <c r="D67" i="105"/>
  <c r="D32" i="105"/>
  <c r="I1230" i="120"/>
  <c r="O1000" i="107"/>
  <c r="I1239" i="120" s="1"/>
  <c r="N1006" i="107"/>
  <c r="H1245" i="120" s="1"/>
  <c r="L1453" i="107"/>
  <c r="F1852" i="120" s="1"/>
  <c r="F1543" i="120"/>
  <c r="K1543" i="120"/>
  <c r="Q1453" i="107"/>
  <c r="K1852" i="120" s="1"/>
  <c r="N1453" i="107"/>
  <c r="H1852" i="120" s="1"/>
  <c r="H1543" i="120"/>
  <c r="M1453" i="107"/>
  <c r="G1852" i="120" s="1"/>
  <c r="G1543" i="120"/>
  <c r="O1453" i="107"/>
  <c r="I1852" i="120" s="1"/>
  <c r="I1543" i="120"/>
  <c r="K1453" i="107"/>
  <c r="E1852" i="120" s="1"/>
  <c r="E1543" i="120"/>
  <c r="P1453" i="107"/>
  <c r="J1852" i="120" s="1"/>
  <c r="J1543" i="120"/>
  <c r="E34" i="119"/>
  <c r="I1419" i="107"/>
  <c r="H1763" i="119" s="1"/>
  <c r="H1780" i="119"/>
  <c r="M36" i="107"/>
  <c r="G35" i="120" s="1"/>
  <c r="G1277" i="120"/>
  <c r="J1419" i="107"/>
  <c r="D1247" i="120"/>
  <c r="N1794" i="107"/>
  <c r="H650" i="120"/>
  <c r="L1444" i="107"/>
  <c r="F1843" i="120" s="1"/>
  <c r="F1821" i="120"/>
  <c r="Q1444" i="107"/>
  <c r="K1843" i="120" s="1"/>
  <c r="K1821" i="120"/>
  <c r="D1844" i="120"/>
  <c r="J1482" i="107"/>
  <c r="D1884" i="120" s="1"/>
  <c r="O1445" i="107"/>
  <c r="I1822" i="120"/>
  <c r="M1444" i="107"/>
  <c r="G1843" i="120" s="1"/>
  <c r="G1821" i="120"/>
  <c r="K1444" i="107"/>
  <c r="E1843" i="120" s="1"/>
  <c r="E1821" i="120"/>
  <c r="O1444" i="107"/>
  <c r="I1843" i="120" s="1"/>
  <c r="I1821" i="120"/>
  <c r="L1445" i="107"/>
  <c r="F1822" i="120"/>
  <c r="Q1445" i="107"/>
  <c r="K1822" i="120"/>
  <c r="M1445" i="107"/>
  <c r="G1822" i="120"/>
  <c r="L1443" i="107"/>
  <c r="F1820" i="120"/>
  <c r="Q1443" i="107"/>
  <c r="K1820" i="120"/>
  <c r="P1443" i="107"/>
  <c r="J1820" i="120"/>
  <c r="O1443" i="107"/>
  <c r="I1820" i="120"/>
  <c r="O1446" i="107"/>
  <c r="I1823" i="120"/>
  <c r="N1446" i="107"/>
  <c r="H1823" i="120"/>
  <c r="Q1446" i="107"/>
  <c r="K1845" i="120" s="1"/>
  <c r="K1823" i="120"/>
  <c r="M1436" i="107"/>
  <c r="G1835" i="120" s="1"/>
  <c r="G1827" i="120"/>
  <c r="M1794" i="107"/>
  <c r="G650" i="120"/>
  <c r="K1794" i="107"/>
  <c r="E650" i="120"/>
  <c r="K1841" i="120"/>
  <c r="G1824" i="119"/>
  <c r="I1479" i="107"/>
  <c r="H1824" i="119" s="1"/>
  <c r="D1845" i="120"/>
  <c r="J1483" i="107"/>
  <c r="D1885" i="120" s="1"/>
  <c r="G1839" i="120"/>
  <c r="M1477" i="107"/>
  <c r="G1879" i="120" s="1"/>
  <c r="E1839" i="120"/>
  <c r="K1477" i="107"/>
  <c r="E1879" i="120" s="1"/>
  <c r="F1839" i="120"/>
  <c r="L1477" i="107"/>
  <c r="F1879" i="120" s="1"/>
  <c r="K1839" i="120"/>
  <c r="Q1477" i="107"/>
  <c r="K1879" i="120" s="1"/>
  <c r="P1444" i="107"/>
  <c r="J1843" i="120" s="1"/>
  <c r="J1821" i="120"/>
  <c r="N1444" i="107"/>
  <c r="H1843" i="120" s="1"/>
  <c r="H1821" i="120"/>
  <c r="N1445" i="107"/>
  <c r="H1822" i="120"/>
  <c r="P1445" i="107"/>
  <c r="J1822" i="120"/>
  <c r="D1842" i="120"/>
  <c r="M1443" i="107"/>
  <c r="G1820" i="120"/>
  <c r="L1446" i="107"/>
  <c r="F1823" i="120"/>
  <c r="M1446" i="107"/>
  <c r="G1823" i="120"/>
  <c r="K1446" i="107"/>
  <c r="E1823" i="120"/>
  <c r="P1446" i="107"/>
  <c r="J1823" i="120"/>
  <c r="H1839" i="120"/>
  <c r="N1477" i="107"/>
  <c r="H1879" i="120" s="1"/>
  <c r="J1839" i="120"/>
  <c r="P1477" i="107"/>
  <c r="J1879" i="120" s="1"/>
  <c r="I1839" i="120"/>
  <c r="O1477" i="107"/>
  <c r="I1879" i="120" s="1"/>
  <c r="P1455" i="107"/>
  <c r="J1545" i="120"/>
  <c r="K1856" i="120"/>
  <c r="L1455" i="107"/>
  <c r="F1545" i="120"/>
  <c r="Q1455" i="107"/>
  <c r="K1545" i="120"/>
  <c r="N1455" i="107"/>
  <c r="H1545" i="120"/>
  <c r="P1452" i="107"/>
  <c r="J1851" i="120" s="1"/>
  <c r="J1542" i="120"/>
  <c r="H1441" i="107"/>
  <c r="G1763" i="119"/>
  <c r="AK29" i="115"/>
  <c r="AI29" i="115"/>
  <c r="N653" i="107"/>
  <c r="N507" i="107"/>
  <c r="K507" i="107"/>
  <c r="K653" i="107"/>
  <c r="M507" i="107"/>
  <c r="M653" i="107"/>
  <c r="J1015" i="107"/>
  <c r="L988" i="107"/>
  <c r="F1227" i="120" s="1"/>
  <c r="L1008" i="107"/>
  <c r="N988" i="107"/>
  <c r="H1227" i="120" s="1"/>
  <c r="N1008" i="107"/>
  <c r="P988" i="107"/>
  <c r="J1227" i="120" s="1"/>
  <c r="P1008" i="107"/>
  <c r="K988" i="107"/>
  <c r="E1227" i="120" s="1"/>
  <c r="K1008" i="107"/>
  <c r="M988" i="107"/>
  <c r="G1227" i="120" s="1"/>
  <c r="M1008" i="107"/>
  <c r="O988" i="107"/>
  <c r="I1227" i="120" s="1"/>
  <c r="O1008" i="107"/>
  <c r="Q988" i="107"/>
  <c r="K1227" i="120" s="1"/>
  <c r="Q1008" i="107"/>
  <c r="E62" i="113"/>
  <c r="F62" i="113" s="1"/>
  <c r="E65" i="113"/>
  <c r="F65" i="113" s="1"/>
  <c r="E68" i="113"/>
  <c r="F68" i="113" s="1"/>
  <c r="E66" i="113"/>
  <c r="F66" i="113" s="1"/>
  <c r="E64" i="113"/>
  <c r="F64" i="113" s="1"/>
  <c r="E67" i="113"/>
  <c r="F67" i="113" s="1"/>
  <c r="E61" i="113"/>
  <c r="E63" i="113"/>
  <c r="F63" i="113" s="1"/>
  <c r="O216" i="92"/>
  <c r="O195" i="92" s="1"/>
  <c r="G142" i="57"/>
  <c r="H142" i="57" s="1"/>
  <c r="H163" i="57" s="1"/>
  <c r="G145" i="57"/>
  <c r="H145" i="57" s="1"/>
  <c r="H167" i="57" s="1"/>
  <c r="G144" i="57"/>
  <c r="H144" i="57" s="1"/>
  <c r="H166" i="57" s="1"/>
  <c r="G147" i="57"/>
  <c r="H147" i="57" s="1"/>
  <c r="H169" i="57" s="1"/>
  <c r="G146" i="57"/>
  <c r="H146" i="57" s="1"/>
  <c r="H168" i="57" s="1"/>
  <c r="G148" i="57"/>
  <c r="H148" i="57" s="1"/>
  <c r="H170" i="57" s="1"/>
  <c r="G141" i="57"/>
  <c r="N216" i="92"/>
  <c r="I214" i="92"/>
  <c r="M215" i="92" s="1"/>
  <c r="M195" i="92" s="1"/>
  <c r="M194" i="92" s="1"/>
  <c r="J216" i="92"/>
  <c r="K195" i="92"/>
  <c r="G143" i="57"/>
  <c r="H143" i="57" s="1"/>
  <c r="H164" i="57" s="1"/>
  <c r="O1450" i="107" l="1"/>
  <c r="I1849" i="120" s="1"/>
  <c r="K1519" i="120"/>
  <c r="Q1185" i="107"/>
  <c r="K1525" i="120" s="1"/>
  <c r="Q1452" i="107"/>
  <c r="K1851" i="120" s="1"/>
  <c r="K1202" i="107"/>
  <c r="E1542" i="120" s="1"/>
  <c r="K1185" i="107"/>
  <c r="E1525" i="120" s="1"/>
  <c r="M1202" i="107"/>
  <c r="M1452" i="107" s="1"/>
  <c r="G1851" i="120" s="1"/>
  <c r="M1185" i="107"/>
  <c r="G1525" i="120" s="1"/>
  <c r="AK31" i="115"/>
  <c r="F61" i="165"/>
  <c r="F69" i="165" s="1"/>
  <c r="E69" i="165"/>
  <c r="E1540" i="120"/>
  <c r="I39" i="107"/>
  <c r="H38" i="119" s="1"/>
  <c r="G1504" i="119"/>
  <c r="I1209" i="107"/>
  <c r="H1504" i="119" s="1"/>
  <c r="J1419" i="161"/>
  <c r="J1441" i="161" s="1"/>
  <c r="O988" i="161"/>
  <c r="K1445" i="107"/>
  <c r="E1844" i="120" s="1"/>
  <c r="L1209" i="161"/>
  <c r="L39" i="161" s="1"/>
  <c r="K1209" i="161"/>
  <c r="K39" i="161" s="1"/>
  <c r="O1015" i="161"/>
  <c r="O35" i="161" s="1"/>
  <c r="L1185" i="161"/>
  <c r="P1185" i="161"/>
  <c r="K1185" i="161"/>
  <c r="F1546" i="120"/>
  <c r="I1015" i="161"/>
  <c r="N1452" i="161"/>
  <c r="N1458" i="161" s="1"/>
  <c r="H1458" i="161"/>
  <c r="I1458" i="161" s="1"/>
  <c r="K1419" i="161"/>
  <c r="K1425" i="161" s="1"/>
  <c r="P1209" i="161"/>
  <c r="P39" i="161" s="1"/>
  <c r="N988" i="161"/>
  <c r="N1015" i="161"/>
  <c r="N35" i="161" s="1"/>
  <c r="M1185" i="161"/>
  <c r="O1209" i="161"/>
  <c r="O39" i="161" s="1"/>
  <c r="O1185" i="161"/>
  <c r="K988" i="161"/>
  <c r="M1209" i="161"/>
  <c r="M39" i="161" s="1"/>
  <c r="N1185" i="161"/>
  <c r="J1209" i="161"/>
  <c r="J39" i="161" s="1"/>
  <c r="H1425" i="161"/>
  <c r="I1425" i="161" s="1"/>
  <c r="Q988" i="161"/>
  <c r="H1441" i="161"/>
  <c r="H1478" i="161" s="1"/>
  <c r="H1484" i="161" s="1"/>
  <c r="M988" i="161"/>
  <c r="M1015" i="161"/>
  <c r="M35" i="161" s="1"/>
  <c r="Q1015" i="161"/>
  <c r="Q35" i="161" s="1"/>
  <c r="P1015" i="161"/>
  <c r="P35" i="161" s="1"/>
  <c r="P988" i="161"/>
  <c r="J1277" i="120"/>
  <c r="E1827" i="120"/>
  <c r="Q1439" i="161"/>
  <c r="Q1476" i="161" s="1"/>
  <c r="O1439" i="161"/>
  <c r="O1476" i="161" s="1"/>
  <c r="J1827" i="120"/>
  <c r="K653" i="161"/>
  <c r="K661" i="161" s="1"/>
  <c r="K507" i="161"/>
  <c r="K23" i="161" s="1"/>
  <c r="K1794" i="161"/>
  <c r="K1802" i="161" s="1"/>
  <c r="N507" i="161"/>
  <c r="N23" i="161" s="1"/>
  <c r="N1794" i="161"/>
  <c r="N1802" i="161" s="1"/>
  <c r="N653" i="161"/>
  <c r="N661" i="161" s="1"/>
  <c r="L1439" i="161"/>
  <c r="L1476" i="161" s="1"/>
  <c r="O653" i="161"/>
  <c r="O661" i="161" s="1"/>
  <c r="O507" i="161"/>
  <c r="O23" i="161" s="1"/>
  <c r="O1794" i="161"/>
  <c r="O1802" i="161" s="1"/>
  <c r="M1439" i="161"/>
  <c r="M1476" i="161" s="1"/>
  <c r="P1439" i="161"/>
  <c r="P1476" i="161" s="1"/>
  <c r="M653" i="161"/>
  <c r="M661" i="161" s="1"/>
  <c r="M507" i="161"/>
  <c r="M23" i="161" s="1"/>
  <c r="M1794" i="161"/>
  <c r="M1802" i="161" s="1"/>
  <c r="L507" i="161"/>
  <c r="L23" i="161" s="1"/>
  <c r="L1794" i="161"/>
  <c r="L1802" i="161" s="1"/>
  <c r="L653" i="161"/>
  <c r="L661" i="161" s="1"/>
  <c r="K1439" i="161"/>
  <c r="K1476" i="161" s="1"/>
  <c r="Q1794" i="161"/>
  <c r="Q1802" i="161" s="1"/>
  <c r="Q507" i="161"/>
  <c r="Q23" i="161" s="1"/>
  <c r="Q653" i="161"/>
  <c r="Q661" i="161" s="1"/>
  <c r="P1794" i="161"/>
  <c r="P1802" i="161" s="1"/>
  <c r="P653" i="161"/>
  <c r="P661" i="161" s="1"/>
  <c r="P507" i="161"/>
  <c r="P23" i="161" s="1"/>
  <c r="N1439" i="161"/>
  <c r="N1476" i="161" s="1"/>
  <c r="L1436" i="107"/>
  <c r="F1835" i="120" s="1"/>
  <c r="G1825" i="119"/>
  <c r="L507" i="107"/>
  <c r="L23" i="107" s="1"/>
  <c r="F22" i="120" s="1"/>
  <c r="F650" i="120"/>
  <c r="L1794" i="107"/>
  <c r="L1802" i="107" s="1"/>
  <c r="L36" i="107"/>
  <c r="F35" i="120" s="1"/>
  <c r="K36" i="107"/>
  <c r="E35" i="120" s="1"/>
  <c r="K1827" i="120"/>
  <c r="H1820" i="120"/>
  <c r="H1542" i="120"/>
  <c r="Q36" i="107"/>
  <c r="K35" i="120" s="1"/>
  <c r="I1827" i="120"/>
  <c r="D40" i="166"/>
  <c r="E34" i="166" s="1"/>
  <c r="H141" i="164"/>
  <c r="G149" i="164"/>
  <c r="D89" i="166"/>
  <c r="E83" i="166" s="1"/>
  <c r="F83" i="166" s="1"/>
  <c r="F470" i="151" s="1"/>
  <c r="D75" i="166"/>
  <c r="E69" i="166" s="1"/>
  <c r="F69" i="166" s="1"/>
  <c r="F462" i="151" s="1"/>
  <c r="K1455" i="107"/>
  <c r="K1481" i="107" s="1"/>
  <c r="E1883" i="120" s="1"/>
  <c r="N1450" i="107"/>
  <c r="H1849" i="120" s="1"/>
  <c r="N1209" i="107"/>
  <c r="N39" i="107" s="1"/>
  <c r="H38" i="120" s="1"/>
  <c r="I1277" i="120"/>
  <c r="I650" i="120"/>
  <c r="O1794" i="107"/>
  <c r="I2199" i="120" s="1"/>
  <c r="O507" i="107"/>
  <c r="O23" i="107" s="1"/>
  <c r="I22" i="120" s="1"/>
  <c r="F1540" i="120"/>
  <c r="P653" i="107"/>
  <c r="J820" i="120" s="1"/>
  <c r="J1802" i="107"/>
  <c r="H26" i="116" s="1"/>
  <c r="J1480" i="107"/>
  <c r="D1882" i="120" s="1"/>
  <c r="P507" i="107"/>
  <c r="P23" i="107" s="1"/>
  <c r="J22" i="120" s="1"/>
  <c r="P1794" i="107"/>
  <c r="P1802" i="107" s="1"/>
  <c r="I1458" i="107"/>
  <c r="H1802" i="119" s="1"/>
  <c r="D659" i="120"/>
  <c r="G1458" i="107"/>
  <c r="F1802" i="119" s="1"/>
  <c r="D43" i="112"/>
  <c r="D49" i="112" s="1"/>
  <c r="E46" i="112" s="1"/>
  <c r="F46" i="112" s="1"/>
  <c r="F200" i="100" s="1"/>
  <c r="F1478" i="107"/>
  <c r="E1823" i="119" s="1"/>
  <c r="M1450" i="107"/>
  <c r="G1849" i="120" s="1"/>
  <c r="Q507" i="107"/>
  <c r="K659" i="120" s="1"/>
  <c r="Q653" i="107"/>
  <c r="Q661" i="107" s="1"/>
  <c r="K828" i="120" s="1"/>
  <c r="K650" i="120"/>
  <c r="I1482" i="107"/>
  <c r="H1827" i="119" s="1"/>
  <c r="F1504" i="119"/>
  <c r="K1209" i="107"/>
  <c r="E1549" i="120" s="1"/>
  <c r="M1209" i="107"/>
  <c r="G1549" i="120" s="1"/>
  <c r="E1785" i="119"/>
  <c r="K1452" i="107"/>
  <c r="E1851" i="120" s="1"/>
  <c r="F1447" i="107"/>
  <c r="E1791" i="119" s="1"/>
  <c r="H1827" i="120"/>
  <c r="D69" i="105"/>
  <c r="D75" i="105" s="1"/>
  <c r="E68" i="105" s="1"/>
  <c r="F68" i="105" s="1"/>
  <c r="D34" i="105"/>
  <c r="D40" i="105" s="1"/>
  <c r="E36" i="105" s="1"/>
  <c r="I1015" i="107"/>
  <c r="H1206" i="119" s="1"/>
  <c r="G1542" i="120"/>
  <c r="J1479" i="107"/>
  <c r="D1881" i="120" s="1"/>
  <c r="G1545" i="120"/>
  <c r="D1854" i="120"/>
  <c r="I23" i="107"/>
  <c r="AG22" i="115" s="1"/>
  <c r="AI22" i="115" s="1"/>
  <c r="M1454" i="107"/>
  <c r="G1853" i="120" s="1"/>
  <c r="G1544" i="120"/>
  <c r="J1544" i="120"/>
  <c r="P1454" i="107"/>
  <c r="J1853" i="120" s="1"/>
  <c r="N1454" i="107"/>
  <c r="H1853" i="120" s="1"/>
  <c r="H1544" i="120"/>
  <c r="F1544" i="120"/>
  <c r="L1454" i="107"/>
  <c r="F1853" i="120" s="1"/>
  <c r="O1454" i="107"/>
  <c r="I1853" i="120" s="1"/>
  <c r="I1544" i="120"/>
  <c r="K1454" i="107"/>
  <c r="E1853" i="120" s="1"/>
  <c r="E1544" i="120"/>
  <c r="Q1454" i="107"/>
  <c r="K1853" i="120" s="1"/>
  <c r="K1544" i="120"/>
  <c r="O1452" i="107"/>
  <c r="I1851" i="120" s="1"/>
  <c r="O96" i="96"/>
  <c r="O67" i="96" s="1"/>
  <c r="K1443" i="107"/>
  <c r="F1763" i="119"/>
  <c r="G1826" i="119"/>
  <c r="O1455" i="107"/>
  <c r="O1481" i="107" s="1"/>
  <c r="I1883" i="120" s="1"/>
  <c r="I1425" i="107"/>
  <c r="H1769" i="119" s="1"/>
  <c r="O1417" i="107"/>
  <c r="I1816" i="120" s="1"/>
  <c r="G1206" i="119"/>
  <c r="J216" i="152"/>
  <c r="J1458" i="107"/>
  <c r="D1857" i="120" s="1"/>
  <c r="F1484" i="161"/>
  <c r="L1441" i="161"/>
  <c r="L1425" i="161"/>
  <c r="N1441" i="161"/>
  <c r="N1425" i="161"/>
  <c r="Q1441" i="161"/>
  <c r="Q1425" i="161"/>
  <c r="M1441" i="161"/>
  <c r="M1425" i="161"/>
  <c r="P1441" i="161"/>
  <c r="P1425" i="161"/>
  <c r="O1441" i="161"/>
  <c r="O1425" i="161"/>
  <c r="I661" i="107"/>
  <c r="H774" i="119" s="1"/>
  <c r="Q1209" i="107"/>
  <c r="Q39" i="107" s="1"/>
  <c r="K38" i="120" s="1"/>
  <c r="G1802" i="119"/>
  <c r="O1209" i="107"/>
  <c r="I1549" i="120" s="1"/>
  <c r="L1209" i="107"/>
  <c r="F1549" i="120" s="1"/>
  <c r="I214" i="152"/>
  <c r="P215" i="152" s="1"/>
  <c r="P195" i="152" s="1"/>
  <c r="P194" i="152" s="1"/>
  <c r="J1425" i="107"/>
  <c r="D1824" i="120" s="1"/>
  <c r="Q1450" i="107"/>
  <c r="H1277" i="120"/>
  <c r="J1439" i="107"/>
  <c r="D1838" i="120" s="1"/>
  <c r="Q1417" i="107"/>
  <c r="K1816" i="120" s="1"/>
  <c r="N67" i="153"/>
  <c r="N195" i="152"/>
  <c r="I94" i="153"/>
  <c r="M95" i="153" s="1"/>
  <c r="M67" i="153" s="1"/>
  <c r="M66" i="153" s="1"/>
  <c r="N67" i="96"/>
  <c r="P1209" i="107"/>
  <c r="J1549" i="120" s="1"/>
  <c r="I94" i="96"/>
  <c r="O96" i="153"/>
  <c r="O67" i="153" s="1"/>
  <c r="AI31" i="115"/>
  <c r="K67" i="96"/>
  <c r="D49" i="155"/>
  <c r="E41" i="155" s="1"/>
  <c r="J1540" i="120"/>
  <c r="O216" i="152"/>
  <c r="O195" i="152" s="1"/>
  <c r="J96" i="153"/>
  <c r="G1476" i="107"/>
  <c r="F1821" i="119" s="1"/>
  <c r="F1542" i="120"/>
  <c r="F22" i="100"/>
  <c r="F129" i="161"/>
  <c r="F239" i="100"/>
  <c r="F705" i="161"/>
  <c r="F29" i="100"/>
  <c r="F136" i="161"/>
  <c r="F236" i="100"/>
  <c r="F702" i="161"/>
  <c r="F237" i="100"/>
  <c r="F703" i="161"/>
  <c r="F27" i="100"/>
  <c r="F134" i="161"/>
  <c r="F28" i="100"/>
  <c r="F135" i="161"/>
  <c r="F26" i="100"/>
  <c r="F133" i="107" s="1"/>
  <c r="E91" i="119" s="1"/>
  <c r="F133" i="161"/>
  <c r="F25" i="100"/>
  <c r="F132" i="161"/>
  <c r="F241" i="100"/>
  <c r="F707" i="161"/>
  <c r="F238" i="100"/>
  <c r="F704" i="161"/>
  <c r="F23" i="100"/>
  <c r="F130" i="161"/>
  <c r="F240" i="100"/>
  <c r="F706" i="107" s="1"/>
  <c r="F1810" i="107" s="1"/>
  <c r="F706" i="161"/>
  <c r="F242" i="100"/>
  <c r="F708" i="161"/>
  <c r="D1549" i="120"/>
  <c r="M1417" i="107"/>
  <c r="G1816" i="120" s="1"/>
  <c r="P1442" i="107"/>
  <c r="J1841" i="120" s="1"/>
  <c r="J1819" i="120"/>
  <c r="F1206" i="119"/>
  <c r="G1441" i="107"/>
  <c r="G1447" i="107" s="1"/>
  <c r="F1791" i="119" s="1"/>
  <c r="L1417" i="107"/>
  <c r="F1816" i="120" s="1"/>
  <c r="N1479" i="107"/>
  <c r="H1881" i="120" s="1"/>
  <c r="P1417" i="107"/>
  <c r="J1816" i="120" s="1"/>
  <c r="Q1479" i="107"/>
  <c r="K1881" i="120" s="1"/>
  <c r="I1439" i="107"/>
  <c r="H1783" i="119" s="1"/>
  <c r="H1476" i="107"/>
  <c r="K1417" i="107"/>
  <c r="E1816" i="120" s="1"/>
  <c r="N1417" i="107"/>
  <c r="H1816" i="120" s="1"/>
  <c r="D89" i="105"/>
  <c r="E88" i="105" s="1"/>
  <c r="F88" i="105" s="1"/>
  <c r="M1479" i="107"/>
  <c r="G1881" i="120" s="1"/>
  <c r="O1479" i="107"/>
  <c r="I1881" i="120" s="1"/>
  <c r="L1479" i="107"/>
  <c r="F1881" i="120" s="1"/>
  <c r="K1479" i="107"/>
  <c r="E1881" i="120" s="1"/>
  <c r="I35" i="107"/>
  <c r="H34" i="119" s="1"/>
  <c r="Q1483" i="107"/>
  <c r="K1885" i="120" s="1"/>
  <c r="M23" i="107"/>
  <c r="G22" i="120" s="1"/>
  <c r="G659" i="120"/>
  <c r="K661" i="107"/>
  <c r="E828" i="120" s="1"/>
  <c r="E820" i="120"/>
  <c r="N661" i="107"/>
  <c r="H828" i="120" s="1"/>
  <c r="H820" i="120"/>
  <c r="O661" i="107"/>
  <c r="I828" i="120" s="1"/>
  <c r="I820" i="120"/>
  <c r="G1785" i="119"/>
  <c r="H1447" i="107"/>
  <c r="G1791" i="119" s="1"/>
  <c r="H1478" i="107"/>
  <c r="N1481" i="107"/>
  <c r="H1883" i="120" s="1"/>
  <c r="H1854" i="120"/>
  <c r="M1481" i="107"/>
  <c r="G1883" i="120" s="1"/>
  <c r="G1854" i="120"/>
  <c r="Q1481" i="107"/>
  <c r="K1883" i="120" s="1"/>
  <c r="K1854" i="120"/>
  <c r="L1481" i="107"/>
  <c r="F1883" i="120" s="1"/>
  <c r="F1854" i="120"/>
  <c r="Q1419" i="107"/>
  <c r="K1247" i="120"/>
  <c r="O1419" i="107"/>
  <c r="I1247" i="120"/>
  <c r="M1419" i="107"/>
  <c r="G1247" i="120"/>
  <c r="K1419" i="107"/>
  <c r="E1247" i="120"/>
  <c r="P1419" i="107"/>
  <c r="J1247" i="120"/>
  <c r="N1419" i="107"/>
  <c r="H1247" i="120"/>
  <c r="L1419" i="107"/>
  <c r="F1247" i="120"/>
  <c r="J35" i="107"/>
  <c r="D34" i="120" s="1"/>
  <c r="D1254" i="120"/>
  <c r="L661" i="107"/>
  <c r="F828" i="120" s="1"/>
  <c r="F820" i="120"/>
  <c r="M661" i="107"/>
  <c r="G828" i="120" s="1"/>
  <c r="G820" i="120"/>
  <c r="K23" i="107"/>
  <c r="E22" i="120" s="1"/>
  <c r="E659" i="120"/>
  <c r="N23" i="107"/>
  <c r="H22" i="120" s="1"/>
  <c r="H659" i="120"/>
  <c r="P1481" i="107"/>
  <c r="J1883" i="120" s="1"/>
  <c r="J1854" i="120"/>
  <c r="J1845" i="120"/>
  <c r="P1483" i="107"/>
  <c r="J1885" i="120" s="1"/>
  <c r="E1845" i="120"/>
  <c r="K1483" i="107"/>
  <c r="E1885" i="120" s="1"/>
  <c r="G1845" i="120"/>
  <c r="M1483" i="107"/>
  <c r="G1885" i="120" s="1"/>
  <c r="F1845" i="120"/>
  <c r="L1483" i="107"/>
  <c r="F1885" i="120" s="1"/>
  <c r="H1842" i="120"/>
  <c r="G1842" i="120"/>
  <c r="J1844" i="120"/>
  <c r="P1482" i="107"/>
  <c r="J1884" i="120" s="1"/>
  <c r="H1844" i="120"/>
  <c r="N1482" i="107"/>
  <c r="H1884" i="120" s="1"/>
  <c r="Q1802" i="107"/>
  <c r="K2199" i="120"/>
  <c r="K1802" i="107"/>
  <c r="E2199" i="120"/>
  <c r="J1849" i="120"/>
  <c r="M1802" i="107"/>
  <c r="G2199" i="120"/>
  <c r="H1845" i="120"/>
  <c r="N1483" i="107"/>
  <c r="H1885" i="120" s="1"/>
  <c r="I1845" i="120"/>
  <c r="O1483" i="107"/>
  <c r="I1885" i="120" s="1"/>
  <c r="I1842" i="120"/>
  <c r="J1842" i="120"/>
  <c r="K1842" i="120"/>
  <c r="F1842" i="120"/>
  <c r="G1844" i="120"/>
  <c r="M1482" i="107"/>
  <c r="G1884" i="120" s="1"/>
  <c r="Q1482" i="107"/>
  <c r="K1884" i="120" s="1"/>
  <c r="K1844" i="120"/>
  <c r="F1844" i="120"/>
  <c r="L1482" i="107"/>
  <c r="F1884" i="120" s="1"/>
  <c r="K1482" i="107"/>
  <c r="E1884" i="120" s="1"/>
  <c r="I1844" i="120"/>
  <c r="O1482" i="107"/>
  <c r="I1884" i="120" s="1"/>
  <c r="N1802" i="107"/>
  <c r="H2199" i="120"/>
  <c r="D38" i="120"/>
  <c r="E1849" i="120"/>
  <c r="J1441" i="107"/>
  <c r="D1818" i="120"/>
  <c r="I1441" i="107"/>
  <c r="H1785" i="119" s="1"/>
  <c r="Q1015" i="107"/>
  <c r="L1015" i="107"/>
  <c r="M1015" i="107"/>
  <c r="O1015" i="107"/>
  <c r="N1015" i="107"/>
  <c r="K1015" i="107"/>
  <c r="P1015" i="107"/>
  <c r="F61" i="113"/>
  <c r="E69" i="113"/>
  <c r="O194" i="92"/>
  <c r="O208" i="92" s="1"/>
  <c r="M208" i="92"/>
  <c r="G149" i="57"/>
  <c r="H141" i="57"/>
  <c r="N195" i="92"/>
  <c r="N194" i="92" s="1"/>
  <c r="N208" i="92" s="1"/>
  <c r="M216" i="92"/>
  <c r="U215" i="92"/>
  <c r="U195" i="92" s="1"/>
  <c r="U194" i="92" s="1"/>
  <c r="U208" i="92" s="1"/>
  <c r="P215" i="92"/>
  <c r="P195" i="92" s="1"/>
  <c r="J215" i="92"/>
  <c r="AG32" i="115" l="1"/>
  <c r="AI32" i="115" s="1"/>
  <c r="J1425" i="161"/>
  <c r="K1441" i="161"/>
  <c r="K1447" i="161" s="1"/>
  <c r="F659" i="120"/>
  <c r="I1441" i="161"/>
  <c r="H1447" i="161"/>
  <c r="I1447" i="161" s="1"/>
  <c r="F2199" i="120"/>
  <c r="F1484" i="107"/>
  <c r="E1829" i="119" s="1"/>
  <c r="H1549" i="120"/>
  <c r="P661" i="107"/>
  <c r="J828" i="120" s="1"/>
  <c r="J2199" i="120"/>
  <c r="D2207" i="120"/>
  <c r="E1854" i="120"/>
  <c r="O1802" i="107"/>
  <c r="M26" i="116" s="1"/>
  <c r="E82" i="166"/>
  <c r="F82" i="166" s="1"/>
  <c r="F469" i="151" s="1"/>
  <c r="E81" i="166"/>
  <c r="E84" i="166"/>
  <c r="F84" i="166" s="1"/>
  <c r="F471" i="151" s="1"/>
  <c r="E88" i="166"/>
  <c r="F88" i="166" s="1"/>
  <c r="F475" i="151" s="1"/>
  <c r="F1267" i="161" s="1"/>
  <c r="E86" i="166"/>
  <c r="F86" i="166" s="1"/>
  <c r="F473" i="151" s="1"/>
  <c r="E87" i="166"/>
  <c r="F87" i="166" s="1"/>
  <c r="F474" i="151" s="1"/>
  <c r="E85" i="166"/>
  <c r="F85" i="166" s="1"/>
  <c r="F472" i="151" s="1"/>
  <c r="F235" i="151"/>
  <c r="H149" i="164"/>
  <c r="H162" i="164"/>
  <c r="E67" i="166"/>
  <c r="E68" i="166"/>
  <c r="F68" i="166" s="1"/>
  <c r="F461" i="151" s="1"/>
  <c r="F1250" i="161" s="1"/>
  <c r="E72" i="166"/>
  <c r="F72" i="166" s="1"/>
  <c r="F465" i="151" s="1"/>
  <c r="E73" i="166"/>
  <c r="F73" i="166" s="1"/>
  <c r="F466" i="151" s="1"/>
  <c r="E70" i="166"/>
  <c r="F70" i="166" s="1"/>
  <c r="F463" i="151" s="1"/>
  <c r="E74" i="166"/>
  <c r="F74" i="166" s="1"/>
  <c r="F467" i="151" s="1"/>
  <c r="E71" i="166"/>
  <c r="F71" i="166" s="1"/>
  <c r="F464" i="151" s="1"/>
  <c r="E32" i="166"/>
  <c r="E33" i="166"/>
  <c r="E37" i="166"/>
  <c r="E38" i="166"/>
  <c r="E39" i="166"/>
  <c r="E36" i="166"/>
  <c r="E35" i="166"/>
  <c r="N1480" i="107"/>
  <c r="H1882" i="120" s="1"/>
  <c r="I659" i="120"/>
  <c r="K39" i="107"/>
  <c r="E38" i="120" s="1"/>
  <c r="Q23" i="107"/>
  <c r="K22" i="120" s="1"/>
  <c r="J659" i="120"/>
  <c r="O1480" i="107"/>
  <c r="I1882" i="120" s="1"/>
  <c r="M1480" i="107"/>
  <c r="G1882" i="120" s="1"/>
  <c r="K820" i="120"/>
  <c r="M1458" i="107"/>
  <c r="G1857" i="120" s="1"/>
  <c r="Q1480" i="107"/>
  <c r="K1882" i="120" s="1"/>
  <c r="I1854" i="120"/>
  <c r="M39" i="107"/>
  <c r="G38" i="120" s="1"/>
  <c r="P1458" i="107"/>
  <c r="J1857" i="120" s="1"/>
  <c r="P1480" i="107"/>
  <c r="J1882" i="120" s="1"/>
  <c r="K1458" i="107"/>
  <c r="E1857" i="120" s="1"/>
  <c r="L1480" i="107"/>
  <c r="F1882" i="120" s="1"/>
  <c r="AK22" i="115"/>
  <c r="N1458" i="107"/>
  <c r="H1857" i="120" s="1"/>
  <c r="M96" i="96"/>
  <c r="J1447" i="107"/>
  <c r="D1846" i="120" s="1"/>
  <c r="J1476" i="107"/>
  <c r="D1878" i="120" s="1"/>
  <c r="H22" i="119"/>
  <c r="L1458" i="107"/>
  <c r="F1857" i="120" s="1"/>
  <c r="K1480" i="107"/>
  <c r="E1882" i="120" s="1"/>
  <c r="E44" i="112"/>
  <c r="F44" i="112" s="1"/>
  <c r="F198" i="100" s="1"/>
  <c r="O1458" i="107"/>
  <c r="I1857" i="120" s="1"/>
  <c r="Q1458" i="107"/>
  <c r="K1857" i="120" s="1"/>
  <c r="E1842" i="120"/>
  <c r="O39" i="107"/>
  <c r="I38" i="120" s="1"/>
  <c r="E43" i="112"/>
  <c r="F43" i="112" s="1"/>
  <c r="F197" i="100" s="1"/>
  <c r="E45" i="112"/>
  <c r="F45" i="112" s="1"/>
  <c r="F199" i="100" s="1"/>
  <c r="Q1439" i="107"/>
  <c r="K1838" i="120" s="1"/>
  <c r="E42" i="112"/>
  <c r="F42" i="112" s="1"/>
  <c r="F196" i="100" s="1"/>
  <c r="E41" i="112"/>
  <c r="F41" i="112" s="1"/>
  <c r="F195" i="100" s="1"/>
  <c r="Q1425" i="107"/>
  <c r="K1824" i="120" s="1"/>
  <c r="E47" i="112"/>
  <c r="F47" i="112" s="1"/>
  <c r="F201" i="100" s="1"/>
  <c r="E48" i="112"/>
  <c r="F48" i="112" s="1"/>
  <c r="F202" i="100" s="1"/>
  <c r="L39" i="107"/>
  <c r="F38" i="120" s="1"/>
  <c r="E32" i="105"/>
  <c r="E34" i="105"/>
  <c r="E37" i="105"/>
  <c r="P1425" i="107"/>
  <c r="J1824" i="120" s="1"/>
  <c r="P1439" i="107"/>
  <c r="J1838" i="120" s="1"/>
  <c r="E86" i="105"/>
  <c r="F86" i="105" s="1"/>
  <c r="F473" i="100" s="1"/>
  <c r="F1265" i="107" s="1"/>
  <c r="E1559" i="119" s="1"/>
  <c r="O1425" i="107"/>
  <c r="I1824" i="120" s="1"/>
  <c r="O1439" i="107"/>
  <c r="I1838" i="120" s="1"/>
  <c r="P39" i="107"/>
  <c r="J38" i="120" s="1"/>
  <c r="E38" i="105"/>
  <c r="E33" i="105"/>
  <c r="E84" i="105"/>
  <c r="F84" i="105" s="1"/>
  <c r="AG28" i="115"/>
  <c r="AK28" i="115" s="1"/>
  <c r="I1484" i="161"/>
  <c r="M1439" i="107"/>
  <c r="G1838" i="120" s="1"/>
  <c r="M1425" i="107"/>
  <c r="G1824" i="120" s="1"/>
  <c r="K1549" i="120"/>
  <c r="F135" i="107"/>
  <c r="E93" i="119" s="1"/>
  <c r="F704" i="107"/>
  <c r="H704" i="107" s="1"/>
  <c r="G821" i="119" s="1"/>
  <c r="N1478" i="161"/>
  <c r="N1484" i="161" s="1"/>
  <c r="N1447" i="161"/>
  <c r="F705" i="107"/>
  <c r="F1809" i="107" s="1"/>
  <c r="P1478" i="161"/>
  <c r="P1484" i="161" s="1"/>
  <c r="P1447" i="161"/>
  <c r="J1478" i="161"/>
  <c r="J1484" i="161" s="1"/>
  <c r="J1447" i="161"/>
  <c r="M1478" i="161"/>
  <c r="M1484" i="161" s="1"/>
  <c r="M1447" i="161"/>
  <c r="L1478" i="161"/>
  <c r="L1484" i="161" s="1"/>
  <c r="L1447" i="161"/>
  <c r="O1478" i="161"/>
  <c r="O1484" i="161" s="1"/>
  <c r="O1447" i="161"/>
  <c r="Q1478" i="161"/>
  <c r="Q1484" i="161" s="1"/>
  <c r="Q1447" i="161"/>
  <c r="I1478" i="161"/>
  <c r="M215" i="152"/>
  <c r="M195" i="152" s="1"/>
  <c r="M194" i="152" s="1"/>
  <c r="N194" i="152" s="1"/>
  <c r="N208" i="152" s="1"/>
  <c r="U215" i="152"/>
  <c r="U195" i="152" s="1"/>
  <c r="U194" i="152" s="1"/>
  <c r="U208" i="152" s="1"/>
  <c r="F708" i="107"/>
  <c r="F1812" i="107" s="1"/>
  <c r="F707" i="107"/>
  <c r="G707" i="107" s="1"/>
  <c r="F134" i="107"/>
  <c r="E92" i="119" s="1"/>
  <c r="F1809" i="161"/>
  <c r="G705" i="161"/>
  <c r="G1809" i="161" s="1"/>
  <c r="H705" i="161"/>
  <c r="I705" i="161" s="1"/>
  <c r="J215" i="152"/>
  <c r="J195" i="152" s="1"/>
  <c r="F1810" i="161"/>
  <c r="G706" i="161"/>
  <c r="G1810" i="161" s="1"/>
  <c r="H706" i="161"/>
  <c r="I706" i="161" s="1"/>
  <c r="F132" i="107"/>
  <c r="E90" i="119" s="1"/>
  <c r="F703" i="107"/>
  <c r="F1807" i="107" s="1"/>
  <c r="F129" i="107"/>
  <c r="E87" i="119" s="1"/>
  <c r="F130" i="107"/>
  <c r="E88" i="119" s="1"/>
  <c r="F155" i="161"/>
  <c r="G133" i="161"/>
  <c r="G155" i="161" s="1"/>
  <c r="H133" i="161"/>
  <c r="F702" i="107"/>
  <c r="F1806" i="107" s="1"/>
  <c r="F1808" i="161"/>
  <c r="G704" i="161"/>
  <c r="G1808" i="161" s="1"/>
  <c r="H704" i="161"/>
  <c r="I704" i="161" s="1"/>
  <c r="F157" i="161"/>
  <c r="G135" i="161"/>
  <c r="G157" i="161" s="1"/>
  <c r="H135" i="161"/>
  <c r="I135" i="161" s="1"/>
  <c r="F136" i="107"/>
  <c r="E94" i="119" s="1"/>
  <c r="E81" i="105"/>
  <c r="F81" i="105" s="1"/>
  <c r="E87" i="105"/>
  <c r="F87" i="105" s="1"/>
  <c r="K1849" i="120"/>
  <c r="E82" i="105"/>
  <c r="F82" i="105" s="1"/>
  <c r="F469" i="100" s="1"/>
  <c r="E83" i="105"/>
  <c r="F83" i="105" s="1"/>
  <c r="F470" i="100" s="1"/>
  <c r="F41" i="155"/>
  <c r="F195" i="151" s="1"/>
  <c r="O66" i="153"/>
  <c r="O72" i="153" s="1"/>
  <c r="O87" i="153" s="1"/>
  <c r="F80" i="151" s="1"/>
  <c r="F298" i="161" s="1"/>
  <c r="M72" i="153"/>
  <c r="M87" i="153" s="1"/>
  <c r="Q194" i="152"/>
  <c r="Q208" i="152" s="1"/>
  <c r="R194" i="152"/>
  <c r="R208" i="152" s="1"/>
  <c r="T194" i="152"/>
  <c r="T208" i="152" s="1"/>
  <c r="S194" i="152"/>
  <c r="S208" i="152" s="1"/>
  <c r="P208" i="152"/>
  <c r="U95" i="153"/>
  <c r="U67" i="153" s="1"/>
  <c r="U66" i="153" s="1"/>
  <c r="U72" i="153" s="1"/>
  <c r="U87" i="153" s="1"/>
  <c r="F84" i="151" s="1"/>
  <c r="F302" i="161" s="1"/>
  <c r="P95" i="153"/>
  <c r="P67" i="153" s="1"/>
  <c r="P66" i="153" s="1"/>
  <c r="J95" i="153"/>
  <c r="E45" i="155"/>
  <c r="F45" i="155" s="1"/>
  <c r="F199" i="151" s="1"/>
  <c r="F541" i="161" s="1"/>
  <c r="E46" i="155"/>
  <c r="F46" i="155" s="1"/>
  <c r="F200" i="151" s="1"/>
  <c r="F542" i="161" s="1"/>
  <c r="G542" i="161" s="1"/>
  <c r="E47" i="155"/>
  <c r="F47" i="155" s="1"/>
  <c r="F201" i="151" s="1"/>
  <c r="F543" i="161" s="1"/>
  <c r="E42" i="155"/>
  <c r="F42" i="155" s="1"/>
  <c r="F196" i="151" s="1"/>
  <c r="F538" i="161" s="1"/>
  <c r="E44" i="155"/>
  <c r="F44" i="155" s="1"/>
  <c r="F198" i="151" s="1"/>
  <c r="F540" i="161" s="1"/>
  <c r="E48" i="155"/>
  <c r="F48" i="155" s="1"/>
  <c r="F202" i="151" s="1"/>
  <c r="F544" i="161" s="1"/>
  <c r="E43" i="155"/>
  <c r="F43" i="155" s="1"/>
  <c r="F197" i="151" s="1"/>
  <c r="F539" i="161" s="1"/>
  <c r="M216" i="152"/>
  <c r="U95" i="96"/>
  <c r="P95" i="96"/>
  <c r="M95" i="96"/>
  <c r="J95" i="96"/>
  <c r="N66" i="153"/>
  <c r="N72" i="153" s="1"/>
  <c r="N87" i="153" s="1"/>
  <c r="F79" i="151" s="1"/>
  <c r="F297" i="161" s="1"/>
  <c r="P1479" i="107"/>
  <c r="J1881" i="120" s="1"/>
  <c r="M96" i="153"/>
  <c r="F1785" i="119"/>
  <c r="G1478" i="107"/>
  <c r="F1823" i="119" s="1"/>
  <c r="F475" i="100"/>
  <c r="F461" i="100"/>
  <c r="L1439" i="107"/>
  <c r="F1838" i="120" s="1"/>
  <c r="E85" i="105"/>
  <c r="F85" i="105" s="1"/>
  <c r="L1425" i="107"/>
  <c r="F1824" i="120" s="1"/>
  <c r="E35" i="105"/>
  <c r="N1425" i="107"/>
  <c r="H1824" i="120" s="1"/>
  <c r="K1439" i="107"/>
  <c r="E1838" i="120" s="1"/>
  <c r="K1425" i="107"/>
  <c r="E1824" i="120" s="1"/>
  <c r="E39" i="105"/>
  <c r="N1439" i="107"/>
  <c r="H1838" i="120" s="1"/>
  <c r="AK32" i="115"/>
  <c r="E69" i="105"/>
  <c r="F69" i="105" s="1"/>
  <c r="E71" i="105"/>
  <c r="F71" i="105" s="1"/>
  <c r="E72" i="105"/>
  <c r="F72" i="105" s="1"/>
  <c r="E74" i="105"/>
  <c r="F74" i="105" s="1"/>
  <c r="E70" i="105"/>
  <c r="F70" i="105" s="1"/>
  <c r="G1821" i="119"/>
  <c r="I1476" i="107"/>
  <c r="H1821" i="119" s="1"/>
  <c r="E67" i="105"/>
  <c r="F67" i="105" s="1"/>
  <c r="E73" i="105"/>
  <c r="F73" i="105" s="1"/>
  <c r="G133" i="107"/>
  <c r="F91" i="119" s="1"/>
  <c r="F155" i="107"/>
  <c r="E113" i="119" s="1"/>
  <c r="G706" i="107"/>
  <c r="G1810" i="107" s="1"/>
  <c r="E823" i="119"/>
  <c r="H706" i="107"/>
  <c r="G823" i="119" s="1"/>
  <c r="I1447" i="107"/>
  <c r="H1791" i="119" s="1"/>
  <c r="F542" i="107"/>
  <c r="E635" i="119" s="1"/>
  <c r="H133" i="107"/>
  <c r="G91" i="119" s="1"/>
  <c r="K35" i="107"/>
  <c r="E34" i="120" s="1"/>
  <c r="E1254" i="120"/>
  <c r="L35" i="107"/>
  <c r="F34" i="120" s="1"/>
  <c r="F1254" i="120"/>
  <c r="J1478" i="107"/>
  <c r="D1880" i="120" s="1"/>
  <c r="D1840" i="120"/>
  <c r="N26" i="116"/>
  <c r="J2207" i="120"/>
  <c r="L26" i="116"/>
  <c r="H2207" i="120"/>
  <c r="K26" i="116"/>
  <c r="G2207" i="120"/>
  <c r="J26" i="116"/>
  <c r="F2207" i="120"/>
  <c r="I26" i="116"/>
  <c r="E2207" i="120"/>
  <c r="O26" i="116"/>
  <c r="K2207" i="120"/>
  <c r="R26" i="116"/>
  <c r="L1441" i="107"/>
  <c r="F1818" i="120"/>
  <c r="N1441" i="107"/>
  <c r="H1818" i="120"/>
  <c r="P1441" i="107"/>
  <c r="J1818" i="120"/>
  <c r="K1441" i="107"/>
  <c r="E1818" i="120"/>
  <c r="M1441" i="107"/>
  <c r="G1818" i="120"/>
  <c r="O1441" i="107"/>
  <c r="I1818" i="120"/>
  <c r="Q1441" i="107"/>
  <c r="K1818" i="120"/>
  <c r="P35" i="107"/>
  <c r="J34" i="120" s="1"/>
  <c r="J1254" i="120"/>
  <c r="N35" i="107"/>
  <c r="H34" i="120" s="1"/>
  <c r="H1254" i="120"/>
  <c r="O35" i="107"/>
  <c r="I34" i="120" s="1"/>
  <c r="I1254" i="120"/>
  <c r="M35" i="107"/>
  <c r="G34" i="120" s="1"/>
  <c r="G1254" i="120"/>
  <c r="Q35" i="107"/>
  <c r="K34" i="120" s="1"/>
  <c r="K1254" i="120"/>
  <c r="G1823" i="119"/>
  <c r="H1484" i="107"/>
  <c r="G1829" i="119" s="1"/>
  <c r="I1478" i="107"/>
  <c r="H1823" i="119" s="1"/>
  <c r="F235" i="100"/>
  <c r="F69" i="113"/>
  <c r="I215" i="92"/>
  <c r="J195" i="92"/>
  <c r="J194" i="92" s="1"/>
  <c r="H162" i="57"/>
  <c r="H149" i="57"/>
  <c r="P194" i="92"/>
  <c r="K1478" i="161" l="1"/>
  <c r="K1484" i="161" s="1"/>
  <c r="I2207" i="120"/>
  <c r="F1263" i="161"/>
  <c r="H1263" i="161" s="1"/>
  <c r="J1263" i="161" s="1"/>
  <c r="F537" i="161"/>
  <c r="H537" i="161" s="1"/>
  <c r="H171" i="164"/>
  <c r="H180" i="164" s="1"/>
  <c r="F21" i="151"/>
  <c r="D3" i="168" s="1"/>
  <c r="C11" i="168"/>
  <c r="E11" i="168" s="1"/>
  <c r="C16" i="168"/>
  <c r="E16" i="168" s="1"/>
  <c r="C14" i="168"/>
  <c r="E14" i="168" s="1"/>
  <c r="F701" i="161"/>
  <c r="H701" i="161" s="1"/>
  <c r="M208" i="152"/>
  <c r="F1266" i="161"/>
  <c r="G1266" i="161" s="1"/>
  <c r="O194" i="152"/>
  <c r="O208" i="152" s="1"/>
  <c r="F67" i="166"/>
  <c r="E75" i="166"/>
  <c r="F81" i="166"/>
  <c r="E89" i="166"/>
  <c r="E40" i="166"/>
  <c r="P1476" i="107"/>
  <c r="J1878" i="120" s="1"/>
  <c r="Q1476" i="107"/>
  <c r="K1878" i="120" s="1"/>
  <c r="Q1447" i="107"/>
  <c r="K1846" i="120" s="1"/>
  <c r="O1447" i="107"/>
  <c r="I1846" i="120" s="1"/>
  <c r="F471" i="100"/>
  <c r="F1263" i="107" s="1"/>
  <c r="E1557" i="119" s="1"/>
  <c r="F49" i="112"/>
  <c r="O1476" i="107"/>
  <c r="I1878" i="120" s="1"/>
  <c r="F1265" i="161"/>
  <c r="G1265" i="161" s="1"/>
  <c r="E49" i="112"/>
  <c r="H707" i="107"/>
  <c r="I707" i="107" s="1"/>
  <c r="H824" i="119" s="1"/>
  <c r="I704" i="107"/>
  <c r="H821" i="119" s="1"/>
  <c r="F157" i="107"/>
  <c r="E115" i="119" s="1"/>
  <c r="G135" i="107"/>
  <c r="G157" i="107" s="1"/>
  <c r="F115" i="119" s="1"/>
  <c r="H135" i="107"/>
  <c r="G93" i="119" s="1"/>
  <c r="P1447" i="107"/>
  <c r="J1846" i="120" s="1"/>
  <c r="G129" i="107"/>
  <c r="G152" i="107" s="1"/>
  <c r="F110" i="119" s="1"/>
  <c r="M1476" i="107"/>
  <c r="G1878" i="120" s="1"/>
  <c r="H130" i="107"/>
  <c r="I130" i="107" s="1"/>
  <c r="H88" i="119" s="1"/>
  <c r="F153" i="107"/>
  <c r="E111" i="119" s="1"/>
  <c r="M1447" i="107"/>
  <c r="G1846" i="120" s="1"/>
  <c r="G705" i="107"/>
  <c r="G1809" i="107" s="1"/>
  <c r="H705" i="107"/>
  <c r="G822" i="119" s="1"/>
  <c r="E822" i="119"/>
  <c r="F474" i="100"/>
  <c r="F1266" i="107" s="1"/>
  <c r="G1266" i="107" s="1"/>
  <c r="F1560" i="119" s="1"/>
  <c r="H1808" i="107"/>
  <c r="J704" i="107"/>
  <c r="N704" i="107" s="1"/>
  <c r="G134" i="107"/>
  <c r="G156" i="107" s="1"/>
  <c r="F114" i="119" s="1"/>
  <c r="F156" i="107"/>
  <c r="E114" i="119" s="1"/>
  <c r="H134" i="107"/>
  <c r="G92" i="119" s="1"/>
  <c r="H703" i="107"/>
  <c r="G820" i="119" s="1"/>
  <c r="G130" i="107"/>
  <c r="G153" i="107" s="1"/>
  <c r="F111" i="119" s="1"/>
  <c r="AI28" i="115"/>
  <c r="G703" i="107"/>
  <c r="F820" i="119" s="1"/>
  <c r="F158" i="107"/>
  <c r="E116" i="119" s="1"/>
  <c r="E824" i="119"/>
  <c r="F1811" i="107"/>
  <c r="G704" i="107"/>
  <c r="G1808" i="107" s="1"/>
  <c r="F1808" i="107"/>
  <c r="F154" i="107"/>
  <c r="E112" i="119" s="1"/>
  <c r="E821" i="119"/>
  <c r="H129" i="107"/>
  <c r="I129" i="107" s="1"/>
  <c r="H87" i="119" s="1"/>
  <c r="H136" i="107"/>
  <c r="G94" i="119" s="1"/>
  <c r="F152" i="107"/>
  <c r="E110" i="119" s="1"/>
  <c r="H542" i="161"/>
  <c r="J542" i="161" s="1"/>
  <c r="L1476" i="107"/>
  <c r="F1878" i="120" s="1"/>
  <c r="L1447" i="107"/>
  <c r="F1846" i="120" s="1"/>
  <c r="I215" i="152"/>
  <c r="H702" i="107"/>
  <c r="G819" i="119" s="1"/>
  <c r="G702" i="107"/>
  <c r="G1806" i="107" s="1"/>
  <c r="G708" i="107"/>
  <c r="G1812" i="107" s="1"/>
  <c r="E825" i="119"/>
  <c r="E40" i="105"/>
  <c r="H708" i="107"/>
  <c r="G825" i="119" s="1"/>
  <c r="E819" i="119"/>
  <c r="G136" i="107"/>
  <c r="G158" i="107" s="1"/>
  <c r="F116" i="119" s="1"/>
  <c r="G1811" i="107"/>
  <c r="F824" i="119"/>
  <c r="F537" i="107"/>
  <c r="E630" i="119" s="1"/>
  <c r="H132" i="107"/>
  <c r="G90" i="119" s="1"/>
  <c r="G132" i="107"/>
  <c r="G154" i="107" s="1"/>
  <c r="F112" i="119" s="1"/>
  <c r="E820" i="119"/>
  <c r="F1261" i="161"/>
  <c r="F468" i="100"/>
  <c r="F709" i="161"/>
  <c r="F632" i="161"/>
  <c r="F1901" i="161"/>
  <c r="H155" i="161"/>
  <c r="J133" i="161"/>
  <c r="F156" i="161"/>
  <c r="G134" i="161"/>
  <c r="G156" i="161" s="1"/>
  <c r="H134" i="161"/>
  <c r="I134" i="161" s="1"/>
  <c r="G1899" i="161"/>
  <c r="G630" i="161"/>
  <c r="F154" i="161"/>
  <c r="H132" i="161"/>
  <c r="I132" i="161" s="1"/>
  <c r="G132" i="161"/>
  <c r="G154" i="161" s="1"/>
  <c r="H1808" i="161"/>
  <c r="J704" i="161"/>
  <c r="F630" i="161"/>
  <c r="F1899" i="161"/>
  <c r="F1811" i="161"/>
  <c r="H707" i="161"/>
  <c r="I707" i="161" s="1"/>
  <c r="G707" i="161"/>
  <c r="G1811" i="161" s="1"/>
  <c r="G538" i="161"/>
  <c r="H538" i="161"/>
  <c r="I538" i="161" s="1"/>
  <c r="H543" i="161"/>
  <c r="I543" i="161" s="1"/>
  <c r="G543" i="161"/>
  <c r="F1261" i="107"/>
  <c r="H1261" i="107" s="1"/>
  <c r="I1261" i="107" s="1"/>
  <c r="H1555" i="119" s="1"/>
  <c r="F543" i="107"/>
  <c r="E636" i="119" s="1"/>
  <c r="H1810" i="161"/>
  <c r="J706" i="161"/>
  <c r="F1812" i="161"/>
  <c r="G708" i="161"/>
  <c r="G1812" i="161" s="1"/>
  <c r="H708" i="161"/>
  <c r="F1262" i="107"/>
  <c r="E1556" i="119" s="1"/>
  <c r="F158" i="161"/>
  <c r="G136" i="161"/>
  <c r="G158" i="161" s="1"/>
  <c r="H136" i="161"/>
  <c r="I136" i="161" s="1"/>
  <c r="F153" i="161"/>
  <c r="G130" i="161"/>
  <c r="G153" i="161" s="1"/>
  <c r="H130" i="161"/>
  <c r="I130" i="161" s="1"/>
  <c r="K1476" i="107"/>
  <c r="E1878" i="120" s="1"/>
  <c r="F538" i="107"/>
  <c r="E631" i="119" s="1"/>
  <c r="F1250" i="107"/>
  <c r="E1544" i="119" s="1"/>
  <c r="F544" i="107"/>
  <c r="E637" i="119" s="1"/>
  <c r="F540" i="107"/>
  <c r="F1806" i="161"/>
  <c r="H702" i="161"/>
  <c r="I702" i="161" s="1"/>
  <c r="G702" i="161"/>
  <c r="G1806" i="161" s="1"/>
  <c r="F152" i="161"/>
  <c r="G129" i="161"/>
  <c r="G152" i="161" s="1"/>
  <c r="H129" i="161"/>
  <c r="I129" i="161" s="1"/>
  <c r="H1809" i="161"/>
  <c r="J705" i="161"/>
  <c r="F1267" i="107"/>
  <c r="G1267" i="107" s="1"/>
  <c r="F1561" i="119" s="1"/>
  <c r="H157" i="161"/>
  <c r="I157" i="161" s="1"/>
  <c r="J135" i="161"/>
  <c r="F539" i="107"/>
  <c r="F541" i="107"/>
  <c r="E634" i="119" s="1"/>
  <c r="G1901" i="161"/>
  <c r="G632" i="161"/>
  <c r="I133" i="161"/>
  <c r="F1807" i="161"/>
  <c r="G703" i="161"/>
  <c r="G1807" i="161" s="1"/>
  <c r="H703" i="161"/>
  <c r="I703" i="161" s="1"/>
  <c r="E89" i="105"/>
  <c r="F89" i="105"/>
  <c r="F1262" i="161"/>
  <c r="U67" i="96"/>
  <c r="P72" i="153"/>
  <c r="P87" i="153" s="1"/>
  <c r="Q66" i="153"/>
  <c r="T66" i="153"/>
  <c r="T72" i="153" s="1"/>
  <c r="T87" i="153" s="1"/>
  <c r="F83" i="151" s="1"/>
  <c r="F301" i="161" s="1"/>
  <c r="J67" i="96"/>
  <c r="J66" i="96" s="1"/>
  <c r="I95" i="96"/>
  <c r="I95" i="153"/>
  <c r="J67" i="153"/>
  <c r="J66" i="153" s="1"/>
  <c r="G1484" i="107"/>
  <c r="F1829" i="119" s="1"/>
  <c r="M67" i="96"/>
  <c r="I195" i="152"/>
  <c r="J194" i="152"/>
  <c r="F49" i="155"/>
  <c r="P67" i="96"/>
  <c r="E49" i="155"/>
  <c r="F462" i="100"/>
  <c r="F1251" i="161"/>
  <c r="F463" i="100"/>
  <c r="F1252" i="161"/>
  <c r="F472" i="100"/>
  <c r="F1264" i="161"/>
  <c r="F467" i="100"/>
  <c r="F1256" i="161"/>
  <c r="F465" i="100"/>
  <c r="F1254" i="161"/>
  <c r="F466" i="100"/>
  <c r="F1255" i="161"/>
  <c r="F464" i="100"/>
  <c r="F1253" i="161"/>
  <c r="K1447" i="107"/>
  <c r="E1846" i="120" s="1"/>
  <c r="N1447" i="107"/>
  <c r="H1846" i="120" s="1"/>
  <c r="N1476" i="107"/>
  <c r="H1878" i="120" s="1"/>
  <c r="G155" i="107"/>
  <c r="F113" i="119" s="1"/>
  <c r="E75" i="105"/>
  <c r="F1899" i="107"/>
  <c r="F630" i="107"/>
  <c r="E743" i="119" s="1"/>
  <c r="J1484" i="107"/>
  <c r="D1886" i="120" s="1"/>
  <c r="I133" i="107"/>
  <c r="H91" i="119" s="1"/>
  <c r="H155" i="107"/>
  <c r="H1899" i="107" s="1"/>
  <c r="F823" i="119"/>
  <c r="J133" i="107"/>
  <c r="D150" i="120" s="1"/>
  <c r="J706" i="107"/>
  <c r="J1810" i="107" s="1"/>
  <c r="D2215" i="120" s="1"/>
  <c r="H1810" i="107"/>
  <c r="I706" i="107"/>
  <c r="H823" i="119" s="1"/>
  <c r="G542" i="107"/>
  <c r="F635" i="119" s="1"/>
  <c r="H542" i="107"/>
  <c r="G635" i="119" s="1"/>
  <c r="H1265" i="107"/>
  <c r="G1265" i="107"/>
  <c r="F1559" i="119" s="1"/>
  <c r="P26" i="116"/>
  <c r="F701" i="107"/>
  <c r="E818" i="119" s="1"/>
  <c r="I1484" i="107"/>
  <c r="H1829" i="119" s="1"/>
  <c r="Q1478" i="107"/>
  <c r="K1880" i="120" s="1"/>
  <c r="K1840" i="120"/>
  <c r="O1478" i="107"/>
  <c r="I1880" i="120" s="1"/>
  <c r="I1840" i="120"/>
  <c r="M1478" i="107"/>
  <c r="G1880" i="120" s="1"/>
  <c r="G1840" i="120"/>
  <c r="K1478" i="107"/>
  <c r="E1880" i="120" s="1"/>
  <c r="E1840" i="120"/>
  <c r="P1478" i="107"/>
  <c r="J1880" i="120" s="1"/>
  <c r="J1840" i="120"/>
  <c r="N1478" i="107"/>
  <c r="H1880" i="120" s="1"/>
  <c r="H1840" i="120"/>
  <c r="L1478" i="107"/>
  <c r="F1880" i="120" s="1"/>
  <c r="F1840" i="120"/>
  <c r="F75" i="105"/>
  <c r="F460" i="100"/>
  <c r="I195" i="92"/>
  <c r="F21" i="100"/>
  <c r="C3" i="168" s="1"/>
  <c r="H171" i="57"/>
  <c r="H180" i="57" s="1"/>
  <c r="L194" i="92"/>
  <c r="L208" i="92" s="1"/>
  <c r="J208" i="92"/>
  <c r="K194" i="92"/>
  <c r="K208" i="92" s="1"/>
  <c r="P208" i="92"/>
  <c r="T194" i="92"/>
  <c r="T208" i="92" s="1"/>
  <c r="S194" i="92"/>
  <c r="S208" i="92" s="1"/>
  <c r="R194" i="92"/>
  <c r="R208" i="92" s="1"/>
  <c r="Q194" i="92"/>
  <c r="Q208" i="92" s="1"/>
  <c r="E633" i="119" l="1"/>
  <c r="H540" i="107"/>
  <c r="G540" i="107"/>
  <c r="E632" i="119"/>
  <c r="G539" i="107"/>
  <c r="F632" i="119" s="1"/>
  <c r="H539" i="107"/>
  <c r="H1266" i="161"/>
  <c r="J1266" i="161" s="1"/>
  <c r="G537" i="161"/>
  <c r="G1263" i="161"/>
  <c r="G701" i="161"/>
  <c r="G1805" i="161" s="1"/>
  <c r="G1813" i="161" s="1"/>
  <c r="F128" i="161"/>
  <c r="G128" i="161" s="1"/>
  <c r="E3" i="168"/>
  <c r="F1901" i="107"/>
  <c r="F1900" i="107"/>
  <c r="F632" i="107"/>
  <c r="E745" i="119" s="1"/>
  <c r="I542" i="161"/>
  <c r="H1265" i="161"/>
  <c r="J1265" i="161" s="1"/>
  <c r="Q1265" i="161" s="1"/>
  <c r="F460" i="151"/>
  <c r="F1249" i="161" s="1"/>
  <c r="H1249" i="161" s="1"/>
  <c r="F75" i="166"/>
  <c r="F468" i="151"/>
  <c r="F1260" i="161" s="1"/>
  <c r="H1260" i="161" s="1"/>
  <c r="I1260" i="161" s="1"/>
  <c r="F89" i="166"/>
  <c r="L704" i="107"/>
  <c r="L1808" i="107" s="1"/>
  <c r="F2213" i="120" s="1"/>
  <c r="H1809" i="107"/>
  <c r="I135" i="107"/>
  <c r="H93" i="119" s="1"/>
  <c r="J135" i="107"/>
  <c r="D152" i="120" s="1"/>
  <c r="H157" i="107"/>
  <c r="H1901" i="107" s="1"/>
  <c r="J708" i="107"/>
  <c r="L708" i="107" s="1"/>
  <c r="F878" i="120" s="1"/>
  <c r="F93" i="119"/>
  <c r="G632" i="107"/>
  <c r="F745" i="119" s="1"/>
  <c r="H1811" i="107"/>
  <c r="G824" i="119"/>
  <c r="J707" i="107"/>
  <c r="J1811" i="107" s="1"/>
  <c r="D2216" i="120" s="1"/>
  <c r="G538" i="107"/>
  <c r="F631" i="119" s="1"/>
  <c r="G629" i="107"/>
  <c r="F742" i="119" s="1"/>
  <c r="F822" i="119"/>
  <c r="F631" i="107"/>
  <c r="E744" i="119" s="1"/>
  <c r="G627" i="107"/>
  <c r="F740" i="119" s="1"/>
  <c r="H1806" i="107"/>
  <c r="G1896" i="107"/>
  <c r="I702" i="107"/>
  <c r="H819" i="119" s="1"/>
  <c r="J702" i="107"/>
  <c r="L702" i="107" s="1"/>
  <c r="F872" i="120" s="1"/>
  <c r="F87" i="119"/>
  <c r="H153" i="107"/>
  <c r="H1897" i="107" s="1"/>
  <c r="Q704" i="107"/>
  <c r="Q1808" i="107" s="1"/>
  <c r="K2213" i="120" s="1"/>
  <c r="F88" i="119"/>
  <c r="J1261" i="107"/>
  <c r="D1602" i="120" s="1"/>
  <c r="G1898" i="107"/>
  <c r="J136" i="107"/>
  <c r="D153" i="120" s="1"/>
  <c r="D874" i="120"/>
  <c r="M704" i="107"/>
  <c r="M1808" i="107" s="1"/>
  <c r="G2213" i="120" s="1"/>
  <c r="J1808" i="107"/>
  <c r="D2213" i="120" s="1"/>
  <c r="K704" i="107"/>
  <c r="K1808" i="107" s="1"/>
  <c r="E2213" i="120" s="1"/>
  <c r="J130" i="107"/>
  <c r="D147" i="120" s="1"/>
  <c r="O704" i="107"/>
  <c r="I874" i="120" s="1"/>
  <c r="P704" i="107"/>
  <c r="J874" i="120" s="1"/>
  <c r="G88" i="119"/>
  <c r="G1555" i="119"/>
  <c r="G1261" i="107"/>
  <c r="F1555" i="119" s="1"/>
  <c r="G1900" i="107"/>
  <c r="H152" i="107"/>
  <c r="H1896" i="107" s="1"/>
  <c r="F628" i="107"/>
  <c r="E741" i="119" s="1"/>
  <c r="J129" i="107"/>
  <c r="D146" i="120" s="1"/>
  <c r="G87" i="119"/>
  <c r="F1897" i="107"/>
  <c r="G631" i="107"/>
  <c r="F744" i="119" s="1"/>
  <c r="G1807" i="107"/>
  <c r="H158" i="107"/>
  <c r="I158" i="107" s="1"/>
  <c r="H116" i="119" s="1"/>
  <c r="F633" i="107"/>
  <c r="E746" i="119" s="1"/>
  <c r="G1901" i="107"/>
  <c r="H154" i="107"/>
  <c r="H629" i="107" s="1"/>
  <c r="G742" i="119" s="1"/>
  <c r="G1250" i="107"/>
  <c r="F1544" i="119" s="1"/>
  <c r="E1560" i="119"/>
  <c r="J132" i="107"/>
  <c r="D149" i="120" s="1"/>
  <c r="F1902" i="107"/>
  <c r="G537" i="107"/>
  <c r="F630" i="119" s="1"/>
  <c r="F825" i="119"/>
  <c r="I136" i="107"/>
  <c r="H94" i="119" s="1"/>
  <c r="G544" i="107"/>
  <c r="F637" i="119" s="1"/>
  <c r="J703" i="107"/>
  <c r="J1807" i="107" s="1"/>
  <c r="D2212" i="120" s="1"/>
  <c r="H1807" i="107"/>
  <c r="J705" i="107"/>
  <c r="O705" i="107" s="1"/>
  <c r="O1809" i="107" s="1"/>
  <c r="I2214" i="120" s="1"/>
  <c r="I703" i="107"/>
  <c r="H820" i="119" s="1"/>
  <c r="H544" i="107"/>
  <c r="G637" i="119" s="1"/>
  <c r="I705" i="107"/>
  <c r="H822" i="119" s="1"/>
  <c r="F1896" i="107"/>
  <c r="F1898" i="107"/>
  <c r="I132" i="107"/>
  <c r="H90" i="119" s="1"/>
  <c r="G628" i="107"/>
  <c r="F741" i="119" s="1"/>
  <c r="F92" i="119"/>
  <c r="H1266" i="107"/>
  <c r="I1266" i="107" s="1"/>
  <c r="H1560" i="119" s="1"/>
  <c r="H537" i="107"/>
  <c r="I537" i="107" s="1"/>
  <c r="H630" i="119" s="1"/>
  <c r="F627" i="107"/>
  <c r="E740" i="119" s="1"/>
  <c r="H543" i="107"/>
  <c r="G636" i="119" s="1"/>
  <c r="H1812" i="107"/>
  <c r="G543" i="107"/>
  <c r="F636" i="119" s="1"/>
  <c r="I134" i="107"/>
  <c r="H92" i="119" s="1"/>
  <c r="J134" i="107"/>
  <c r="D151" i="120" s="1"/>
  <c r="H1250" i="107"/>
  <c r="G1544" i="119" s="1"/>
  <c r="I708" i="107"/>
  <c r="H825" i="119" s="1"/>
  <c r="F821" i="119"/>
  <c r="H156" i="107"/>
  <c r="G114" i="119" s="1"/>
  <c r="G1897" i="107"/>
  <c r="F629" i="107"/>
  <c r="E742" i="119" s="1"/>
  <c r="G633" i="107"/>
  <c r="F746" i="119" s="1"/>
  <c r="F1260" i="107"/>
  <c r="E1554" i="119" s="1"/>
  <c r="F94" i="119"/>
  <c r="G1902" i="107"/>
  <c r="G632" i="119"/>
  <c r="H538" i="107"/>
  <c r="G631" i="119" s="1"/>
  <c r="F819" i="119"/>
  <c r="H1263" i="107"/>
  <c r="I1263" i="107" s="1"/>
  <c r="H1557" i="119" s="1"/>
  <c r="F90" i="119"/>
  <c r="G1263" i="107"/>
  <c r="F1557" i="119" s="1"/>
  <c r="F633" i="119"/>
  <c r="H1262" i="107"/>
  <c r="I1262" i="107" s="1"/>
  <c r="H1556" i="119" s="1"/>
  <c r="H541" i="107"/>
  <c r="G634" i="119" s="1"/>
  <c r="F545" i="107"/>
  <c r="E638" i="119" s="1"/>
  <c r="E1555" i="119"/>
  <c r="G633" i="119"/>
  <c r="G541" i="107"/>
  <c r="F634" i="119" s="1"/>
  <c r="G1262" i="107"/>
  <c r="F1556" i="119" s="1"/>
  <c r="F1897" i="161"/>
  <c r="F628" i="161"/>
  <c r="H1812" i="161"/>
  <c r="J708" i="161"/>
  <c r="H1899" i="161"/>
  <c r="H630" i="161"/>
  <c r="I630" i="161" s="1"/>
  <c r="F1256" i="107"/>
  <c r="H1256" i="107" s="1"/>
  <c r="G1550" i="119" s="1"/>
  <c r="L1263" i="161"/>
  <c r="P1263" i="161"/>
  <c r="K1263" i="161"/>
  <c r="M1263" i="161"/>
  <c r="Q1263" i="161"/>
  <c r="N1263" i="161"/>
  <c r="O1263" i="161"/>
  <c r="G540" i="161"/>
  <c r="H540" i="161"/>
  <c r="I540" i="161" s="1"/>
  <c r="L1266" i="161"/>
  <c r="M1266" i="161"/>
  <c r="O1266" i="161"/>
  <c r="K1266" i="161"/>
  <c r="Q1266" i="161"/>
  <c r="P1266" i="161"/>
  <c r="N1266" i="161"/>
  <c r="J537" i="161"/>
  <c r="H1807" i="161"/>
  <c r="J703" i="161"/>
  <c r="O135" i="161"/>
  <c r="O157" i="161" s="1"/>
  <c r="J157" i="161"/>
  <c r="N135" i="161"/>
  <c r="N157" i="161" s="1"/>
  <c r="L135" i="161"/>
  <c r="L157" i="161" s="1"/>
  <c r="K135" i="161"/>
  <c r="K157" i="161" s="1"/>
  <c r="P135" i="161"/>
  <c r="P157" i="161" s="1"/>
  <c r="M135" i="161"/>
  <c r="M157" i="161" s="1"/>
  <c r="Q135" i="161"/>
  <c r="Q157" i="161" s="1"/>
  <c r="K705" i="161"/>
  <c r="K1809" i="161" s="1"/>
  <c r="Q705" i="161"/>
  <c r="Q1809" i="161" s="1"/>
  <c r="P705" i="161"/>
  <c r="P1809" i="161" s="1"/>
  <c r="O705" i="161"/>
  <c r="O1809" i="161" s="1"/>
  <c r="J1809" i="161"/>
  <c r="M705" i="161"/>
  <c r="M1809" i="161" s="1"/>
  <c r="L705" i="161"/>
  <c r="L1809" i="161" s="1"/>
  <c r="N705" i="161"/>
  <c r="N1809" i="161" s="1"/>
  <c r="H1806" i="161"/>
  <c r="J702" i="161"/>
  <c r="H158" i="161"/>
  <c r="J136" i="161"/>
  <c r="J543" i="161"/>
  <c r="H1811" i="161"/>
  <c r="J707" i="161"/>
  <c r="J134" i="161"/>
  <c r="H156" i="161"/>
  <c r="I156" i="161" s="1"/>
  <c r="F1253" i="107"/>
  <c r="E1547" i="119" s="1"/>
  <c r="F1264" i="107"/>
  <c r="G541" i="161"/>
  <c r="H541" i="161"/>
  <c r="I541" i="161" s="1"/>
  <c r="H632" i="161"/>
  <c r="H1901" i="161"/>
  <c r="G544" i="161"/>
  <c r="H544" i="161"/>
  <c r="I544" i="161" s="1"/>
  <c r="G633" i="161"/>
  <c r="G1902" i="161"/>
  <c r="P706" i="161"/>
  <c r="P1810" i="161" s="1"/>
  <c r="J1810" i="161"/>
  <c r="O706" i="161"/>
  <c r="O1810" i="161" s="1"/>
  <c r="N706" i="161"/>
  <c r="N1810" i="161" s="1"/>
  <c r="M706" i="161"/>
  <c r="M1810" i="161" s="1"/>
  <c r="L706" i="161"/>
  <c r="L1810" i="161" s="1"/>
  <c r="Q706" i="161"/>
  <c r="Q1810" i="161" s="1"/>
  <c r="K706" i="161"/>
  <c r="K1810" i="161" s="1"/>
  <c r="G631" i="161"/>
  <c r="G1900" i="161"/>
  <c r="H128" i="161"/>
  <c r="I537" i="161"/>
  <c r="F1902" i="161"/>
  <c r="F633" i="161"/>
  <c r="I155" i="161"/>
  <c r="G629" i="161"/>
  <c r="G1898" i="161"/>
  <c r="F1900" i="161"/>
  <c r="F631" i="161"/>
  <c r="F26" i="161"/>
  <c r="F1255" i="107"/>
  <c r="H1255" i="107" s="1"/>
  <c r="G1549" i="119" s="1"/>
  <c r="F1252" i="107"/>
  <c r="G539" i="161"/>
  <c r="H539" i="161"/>
  <c r="G1267" i="161"/>
  <c r="H1267" i="161"/>
  <c r="J1267" i="161" s="1"/>
  <c r="J129" i="161"/>
  <c r="H152" i="161"/>
  <c r="I152" i="161" s="1"/>
  <c r="H1250" i="161"/>
  <c r="J1250" i="161" s="1"/>
  <c r="G1250" i="161"/>
  <c r="G1262" i="161"/>
  <c r="H1262" i="161"/>
  <c r="J1262" i="161" s="1"/>
  <c r="J538" i="161"/>
  <c r="H154" i="161"/>
  <c r="J132" i="161"/>
  <c r="O542" i="161"/>
  <c r="N542" i="161"/>
  <c r="P542" i="161"/>
  <c r="L542" i="161"/>
  <c r="K542" i="161"/>
  <c r="Q542" i="161"/>
  <c r="M542" i="161"/>
  <c r="E1561" i="119"/>
  <c r="H1267" i="107"/>
  <c r="G627" i="161"/>
  <c r="G1896" i="161"/>
  <c r="J130" i="161"/>
  <c r="H153" i="161"/>
  <c r="I153" i="161" s="1"/>
  <c r="G1261" i="161"/>
  <c r="H1261" i="161"/>
  <c r="J1261" i="161" s="1"/>
  <c r="F629" i="161"/>
  <c r="F1898" i="161"/>
  <c r="J701" i="161"/>
  <c r="H1805" i="161"/>
  <c r="H709" i="161"/>
  <c r="H26" i="161" s="1"/>
  <c r="F1254" i="107"/>
  <c r="F1251" i="107"/>
  <c r="I1263" i="161"/>
  <c r="I1266" i="161"/>
  <c r="F627" i="161"/>
  <c r="F1896" i="161"/>
  <c r="F545" i="161"/>
  <c r="G1897" i="161"/>
  <c r="G628" i="161"/>
  <c r="I708" i="161"/>
  <c r="N704" i="161"/>
  <c r="N1808" i="161" s="1"/>
  <c r="M704" i="161"/>
  <c r="M1808" i="161" s="1"/>
  <c r="L704" i="161"/>
  <c r="L1808" i="161" s="1"/>
  <c r="O704" i="161"/>
  <c r="O1808" i="161" s="1"/>
  <c r="K704" i="161"/>
  <c r="K1808" i="161" s="1"/>
  <c r="J1808" i="161"/>
  <c r="Q704" i="161"/>
  <c r="Q1808" i="161" s="1"/>
  <c r="P704" i="161"/>
  <c r="P1808" i="161" s="1"/>
  <c r="K133" i="161"/>
  <c r="K155" i="161" s="1"/>
  <c r="J155" i="161"/>
  <c r="Q133" i="161"/>
  <c r="Q155" i="161" s="1"/>
  <c r="P133" i="161"/>
  <c r="P155" i="161" s="1"/>
  <c r="O133" i="161"/>
  <c r="O155" i="161" s="1"/>
  <c r="M133" i="161"/>
  <c r="M155" i="161" s="1"/>
  <c r="N133" i="161"/>
  <c r="N155" i="161" s="1"/>
  <c r="L133" i="161"/>
  <c r="L155" i="161" s="1"/>
  <c r="I701" i="161"/>
  <c r="P66" i="96"/>
  <c r="L66" i="153"/>
  <c r="L72" i="153" s="1"/>
  <c r="L87" i="153" s="1"/>
  <c r="F78" i="151" s="1"/>
  <c r="F296" i="161" s="1"/>
  <c r="K66" i="153"/>
  <c r="K72" i="153" s="1"/>
  <c r="K87" i="153" s="1"/>
  <c r="F76" i="151" s="1"/>
  <c r="J72" i="153"/>
  <c r="J87" i="153" s="1"/>
  <c r="S66" i="153"/>
  <c r="S72" i="153" s="1"/>
  <c r="S87" i="153" s="1"/>
  <c r="F82" i="151" s="1"/>
  <c r="F300" i="161" s="1"/>
  <c r="R66" i="153"/>
  <c r="R72" i="153" s="1"/>
  <c r="R87" i="153" s="1"/>
  <c r="F81" i="151" s="1"/>
  <c r="F299" i="161" s="1"/>
  <c r="Q72" i="153"/>
  <c r="Q87" i="153" s="1"/>
  <c r="L194" i="152"/>
  <c r="L208" i="152" s="1"/>
  <c r="K194" i="152"/>
  <c r="K208" i="152" s="1"/>
  <c r="J208" i="152"/>
  <c r="M66" i="96"/>
  <c r="U66" i="96"/>
  <c r="G1899" i="107"/>
  <c r="G630" i="107"/>
  <c r="F743" i="119" s="1"/>
  <c r="H630" i="107"/>
  <c r="G743" i="119" s="1"/>
  <c r="I155" i="107"/>
  <c r="H113" i="119" s="1"/>
  <c r="G113" i="119"/>
  <c r="L706" i="107"/>
  <c r="F876" i="120" s="1"/>
  <c r="K706" i="107"/>
  <c r="K1810" i="107" s="1"/>
  <c r="E2215" i="120" s="1"/>
  <c r="O706" i="107"/>
  <c r="O1810" i="107" s="1"/>
  <c r="I2215" i="120" s="1"/>
  <c r="N706" i="107"/>
  <c r="H876" i="120" s="1"/>
  <c r="P706" i="107"/>
  <c r="J876" i="120" s="1"/>
  <c r="M706" i="107"/>
  <c r="G876" i="120" s="1"/>
  <c r="Q706" i="107"/>
  <c r="K876" i="120" s="1"/>
  <c r="L133" i="107"/>
  <c r="L155" i="107" s="1"/>
  <c r="F172" i="120" s="1"/>
  <c r="J155" i="107"/>
  <c r="D172" i="120" s="1"/>
  <c r="P133" i="107"/>
  <c r="P155" i="107" s="1"/>
  <c r="J172" i="120" s="1"/>
  <c r="O133" i="107"/>
  <c r="O155" i="107" s="1"/>
  <c r="I172" i="120" s="1"/>
  <c r="N133" i="107"/>
  <c r="N155" i="107" s="1"/>
  <c r="H172" i="120" s="1"/>
  <c r="M133" i="107"/>
  <c r="M155" i="107" s="1"/>
  <c r="G172" i="120" s="1"/>
  <c r="K133" i="107"/>
  <c r="E150" i="120" s="1"/>
  <c r="D876" i="120"/>
  <c r="Q133" i="107"/>
  <c r="Q155" i="107" s="1"/>
  <c r="K172" i="120" s="1"/>
  <c r="N1484" i="107"/>
  <c r="H1886" i="120" s="1"/>
  <c r="P1484" i="107"/>
  <c r="J1886" i="120" s="1"/>
  <c r="I542" i="107"/>
  <c r="H635" i="119" s="1"/>
  <c r="Q1484" i="107"/>
  <c r="K1886" i="120" s="1"/>
  <c r="O1484" i="107"/>
  <c r="I1886" i="120" s="1"/>
  <c r="K1484" i="107"/>
  <c r="E1886" i="120" s="1"/>
  <c r="H701" i="107"/>
  <c r="H709" i="107" s="1"/>
  <c r="G826" i="119" s="1"/>
  <c r="L1484" i="107"/>
  <c r="F1886" i="120" s="1"/>
  <c r="M1484" i="107"/>
  <c r="G1886" i="120" s="1"/>
  <c r="J542" i="107"/>
  <c r="D689" i="120" s="1"/>
  <c r="F709" i="107"/>
  <c r="F26" i="107" s="1"/>
  <c r="G701" i="107"/>
  <c r="F818" i="119" s="1"/>
  <c r="G1559" i="119"/>
  <c r="J1265" i="107"/>
  <c r="I1265" i="107"/>
  <c r="H1559" i="119" s="1"/>
  <c r="F1249" i="107"/>
  <c r="E1543" i="119" s="1"/>
  <c r="F128" i="107"/>
  <c r="E86" i="119" s="1"/>
  <c r="N1808" i="107"/>
  <c r="H2213" i="120" s="1"/>
  <c r="H874" i="120"/>
  <c r="F137" i="161" l="1"/>
  <c r="G709" i="161"/>
  <c r="G26" i="161" s="1"/>
  <c r="F151" i="161"/>
  <c r="G115" i="119"/>
  <c r="I157" i="107"/>
  <c r="H115" i="119" s="1"/>
  <c r="H632" i="107"/>
  <c r="G745" i="119" s="1"/>
  <c r="N1261" i="107"/>
  <c r="H1602" i="120" s="1"/>
  <c r="K1261" i="107"/>
  <c r="E1602" i="120" s="1"/>
  <c r="M1265" i="161"/>
  <c r="F294" i="161"/>
  <c r="D10" i="168"/>
  <c r="D4" i="168"/>
  <c r="K136" i="107"/>
  <c r="K158" i="107" s="1"/>
  <c r="E175" i="120" s="1"/>
  <c r="M136" i="107"/>
  <c r="M158" i="107" s="1"/>
  <c r="G175" i="120" s="1"/>
  <c r="L707" i="107"/>
  <c r="L1811" i="107" s="1"/>
  <c r="F2216" i="120" s="1"/>
  <c r="M1261" i="107"/>
  <c r="G1602" i="120" s="1"/>
  <c r="N1265" i="161"/>
  <c r="F874" i="120"/>
  <c r="L130" i="107"/>
  <c r="F147" i="120" s="1"/>
  <c r="L1265" i="161"/>
  <c r="N707" i="107"/>
  <c r="N1811" i="107" s="1"/>
  <c r="H2216" i="120" s="1"/>
  <c r="O1808" i="107"/>
  <c r="I2213" i="120" s="1"/>
  <c r="D877" i="120"/>
  <c r="O707" i="107"/>
  <c r="O1811" i="107" s="1"/>
  <c r="I2216" i="120" s="1"/>
  <c r="M135" i="107"/>
  <c r="M157" i="107" s="1"/>
  <c r="G174" i="120" s="1"/>
  <c r="K707" i="107"/>
  <c r="K1811" i="107" s="1"/>
  <c r="E2216" i="120" s="1"/>
  <c r="G1249" i="161"/>
  <c r="Q135" i="107"/>
  <c r="Q157" i="107" s="1"/>
  <c r="K174" i="120" s="1"/>
  <c r="L129" i="107"/>
  <c r="L152" i="107" s="1"/>
  <c r="F169" i="120" s="1"/>
  <c r="N135" i="107"/>
  <c r="N157" i="107" s="1"/>
  <c r="H174" i="120" s="1"/>
  <c r="O135" i="107"/>
  <c r="I152" i="120" s="1"/>
  <c r="P135" i="107"/>
  <c r="J152" i="120" s="1"/>
  <c r="K135" i="107"/>
  <c r="E152" i="120" s="1"/>
  <c r="J157" i="107"/>
  <c r="D174" i="120" s="1"/>
  <c r="L135" i="107"/>
  <c r="F152" i="120" s="1"/>
  <c r="O1265" i="161"/>
  <c r="P1265" i="161"/>
  <c r="K1265" i="161"/>
  <c r="I1265" i="161"/>
  <c r="M707" i="107"/>
  <c r="M1811" i="107" s="1"/>
  <c r="G2216" i="120" s="1"/>
  <c r="Q707" i="107"/>
  <c r="K877" i="120" s="1"/>
  <c r="P707" i="107"/>
  <c r="P1811" i="107" s="1"/>
  <c r="J2216" i="120" s="1"/>
  <c r="E25" i="119"/>
  <c r="J1260" i="161"/>
  <c r="P1260" i="161" s="1"/>
  <c r="G1260" i="161"/>
  <c r="K702" i="107"/>
  <c r="E872" i="120" s="1"/>
  <c r="D872" i="120"/>
  <c r="M702" i="107"/>
  <c r="G872" i="120" s="1"/>
  <c r="O702" i="107"/>
  <c r="I872" i="120" s="1"/>
  <c r="I156" i="107"/>
  <c r="H114" i="119" s="1"/>
  <c r="G874" i="120"/>
  <c r="N708" i="107"/>
  <c r="H878" i="120" s="1"/>
  <c r="P708" i="107"/>
  <c r="P1812" i="107" s="1"/>
  <c r="J2217" i="120" s="1"/>
  <c r="I153" i="107"/>
  <c r="H111" i="119" s="1"/>
  <c r="L1812" i="107"/>
  <c r="F2217" i="120" s="1"/>
  <c r="D878" i="120"/>
  <c r="G111" i="119"/>
  <c r="M708" i="107"/>
  <c r="M1812" i="107" s="1"/>
  <c r="G2217" i="120" s="1"/>
  <c r="Q708" i="107"/>
  <c r="Q1812" i="107" s="1"/>
  <c r="K2217" i="120" s="1"/>
  <c r="O708" i="107"/>
  <c r="O1812" i="107" s="1"/>
  <c r="I2217" i="120" s="1"/>
  <c r="J1812" i="107"/>
  <c r="D2217" i="120" s="1"/>
  <c r="K708" i="107"/>
  <c r="E878" i="120" s="1"/>
  <c r="H628" i="107"/>
  <c r="G741" i="119" s="1"/>
  <c r="M129" i="107"/>
  <c r="M152" i="107" s="1"/>
  <c r="G169" i="120" s="1"/>
  <c r="N129" i="107"/>
  <c r="H146" i="120" s="1"/>
  <c r="E874" i="120"/>
  <c r="J152" i="107"/>
  <c r="D169" i="120" s="1"/>
  <c r="J543" i="107"/>
  <c r="D690" i="120" s="1"/>
  <c r="I154" i="107"/>
  <c r="H112" i="119" s="1"/>
  <c r="I152" i="107"/>
  <c r="H110" i="119" s="1"/>
  <c r="H627" i="107"/>
  <c r="G740" i="119" s="1"/>
  <c r="L1261" i="107"/>
  <c r="F1602" i="120" s="1"/>
  <c r="Q130" i="107"/>
  <c r="K147" i="120" s="1"/>
  <c r="N130" i="107"/>
  <c r="H147" i="120" s="1"/>
  <c r="O1261" i="107"/>
  <c r="I1602" i="120" s="1"/>
  <c r="P1261" i="107"/>
  <c r="J1602" i="120" s="1"/>
  <c r="K130" i="107"/>
  <c r="E147" i="120" s="1"/>
  <c r="P130" i="107"/>
  <c r="P153" i="107" s="1"/>
  <c r="J170" i="120" s="1"/>
  <c r="Q1261" i="107"/>
  <c r="K1602" i="120" s="1"/>
  <c r="M130" i="107"/>
  <c r="M153" i="107" s="1"/>
  <c r="G170" i="120" s="1"/>
  <c r="O130" i="107"/>
  <c r="O153" i="107" s="1"/>
  <c r="I170" i="120" s="1"/>
  <c r="J153" i="107"/>
  <c r="D170" i="120" s="1"/>
  <c r="K874" i="120"/>
  <c r="P1808" i="107"/>
  <c r="J2213" i="120" s="1"/>
  <c r="I539" i="107"/>
  <c r="H632" i="119" s="1"/>
  <c r="K703" i="107"/>
  <c r="E873" i="120" s="1"/>
  <c r="I875" i="120"/>
  <c r="L136" i="107"/>
  <c r="L158" i="107" s="1"/>
  <c r="F175" i="120" s="1"/>
  <c r="N136" i="107"/>
  <c r="N158" i="107" s="1"/>
  <c r="H175" i="120" s="1"/>
  <c r="L1806" i="107"/>
  <c r="F2211" i="120" s="1"/>
  <c r="Q136" i="107"/>
  <c r="K153" i="120" s="1"/>
  <c r="J158" i="107"/>
  <c r="D175" i="120" s="1"/>
  <c r="P136" i="107"/>
  <c r="P158" i="107" s="1"/>
  <c r="J175" i="120" s="1"/>
  <c r="J1806" i="107"/>
  <c r="D2211" i="120" s="1"/>
  <c r="N702" i="107"/>
  <c r="H872" i="120" s="1"/>
  <c r="O136" i="107"/>
  <c r="I153" i="120" s="1"/>
  <c r="Q702" i="107"/>
  <c r="Q1806" i="107" s="1"/>
  <c r="K2211" i="120" s="1"/>
  <c r="P702" i="107"/>
  <c r="P1806" i="107" s="1"/>
  <c r="J2211" i="120" s="1"/>
  <c r="K129" i="107"/>
  <c r="P134" i="107"/>
  <c r="P156" i="107" s="1"/>
  <c r="J173" i="120" s="1"/>
  <c r="G1557" i="119"/>
  <c r="P705" i="107"/>
  <c r="P1809" i="107" s="1"/>
  <c r="J2214" i="120" s="1"/>
  <c r="I629" i="107"/>
  <c r="H742" i="119" s="1"/>
  <c r="G110" i="119"/>
  <c r="G112" i="119"/>
  <c r="H1898" i="107"/>
  <c r="I1250" i="107"/>
  <c r="H1544" i="119" s="1"/>
  <c r="M705" i="107"/>
  <c r="O703" i="107"/>
  <c r="O1807" i="107" s="1"/>
  <c r="I2212" i="120" s="1"/>
  <c r="D873" i="120"/>
  <c r="N703" i="107"/>
  <c r="N1807" i="107" s="1"/>
  <c r="H2212" i="120" s="1"/>
  <c r="L703" i="107"/>
  <c r="F873" i="120" s="1"/>
  <c r="Q703" i="107"/>
  <c r="K873" i="120" s="1"/>
  <c r="P129" i="107"/>
  <c r="P703" i="107"/>
  <c r="J873" i="120" s="1"/>
  <c r="Q129" i="107"/>
  <c r="O129" i="107"/>
  <c r="M703" i="107"/>
  <c r="G873" i="120" s="1"/>
  <c r="O132" i="107"/>
  <c r="I149" i="120" s="1"/>
  <c r="J154" i="107"/>
  <c r="D171" i="120" s="1"/>
  <c r="H1902" i="107"/>
  <c r="I543" i="107"/>
  <c r="H636" i="119" s="1"/>
  <c r="G116" i="119"/>
  <c r="H633" i="107"/>
  <c r="I633" i="107" s="1"/>
  <c r="H746" i="119" s="1"/>
  <c r="H631" i="107"/>
  <c r="G744" i="119" s="1"/>
  <c r="H1900" i="107"/>
  <c r="N132" i="107"/>
  <c r="N154" i="107" s="1"/>
  <c r="H171" i="120" s="1"/>
  <c r="P132" i="107"/>
  <c r="J149" i="120" s="1"/>
  <c r="M132" i="107"/>
  <c r="M154" i="107" s="1"/>
  <c r="G171" i="120" s="1"/>
  <c r="Q132" i="107"/>
  <c r="Q154" i="107" s="1"/>
  <c r="K171" i="120" s="1"/>
  <c r="K132" i="107"/>
  <c r="K154" i="107" s="1"/>
  <c r="E171" i="120" s="1"/>
  <c r="L132" i="107"/>
  <c r="L154" i="107" s="1"/>
  <c r="F171" i="120" s="1"/>
  <c r="J1250" i="107"/>
  <c r="D1591" i="120" s="1"/>
  <c r="I541" i="107"/>
  <c r="H634" i="119" s="1"/>
  <c r="J539" i="107"/>
  <c r="D686" i="120" s="1"/>
  <c r="J1809" i="107"/>
  <c r="D2214" i="120" s="1"/>
  <c r="D875" i="120"/>
  <c r="Q705" i="107"/>
  <c r="L705" i="107"/>
  <c r="L1809" i="107" s="1"/>
  <c r="F2214" i="120" s="1"/>
  <c r="K705" i="107"/>
  <c r="K1809" i="107" s="1"/>
  <c r="E2214" i="120" s="1"/>
  <c r="N705" i="107"/>
  <c r="J538" i="107"/>
  <c r="D685" i="120" s="1"/>
  <c r="J156" i="107"/>
  <c r="D173" i="120" s="1"/>
  <c r="Q134" i="107"/>
  <c r="K151" i="120" s="1"/>
  <c r="I544" i="107"/>
  <c r="H637" i="119" s="1"/>
  <c r="K134" i="107"/>
  <c r="K156" i="107" s="1"/>
  <c r="E173" i="120" s="1"/>
  <c r="N134" i="107"/>
  <c r="H151" i="120" s="1"/>
  <c r="O134" i="107"/>
  <c r="O156" i="107" s="1"/>
  <c r="I173" i="120" s="1"/>
  <c r="J544" i="107"/>
  <c r="D691" i="120" s="1"/>
  <c r="M134" i="107"/>
  <c r="G151" i="120" s="1"/>
  <c r="L134" i="107"/>
  <c r="G545" i="107"/>
  <c r="F638" i="119" s="1"/>
  <c r="H1260" i="107"/>
  <c r="G1554" i="119" s="1"/>
  <c r="F1268" i="107"/>
  <c r="E1562" i="119" s="1"/>
  <c r="J1266" i="107"/>
  <c r="M1266" i="107" s="1"/>
  <c r="G1607" i="120" s="1"/>
  <c r="G1260" i="107"/>
  <c r="F1554" i="119" s="1"/>
  <c r="G1560" i="119"/>
  <c r="J541" i="107"/>
  <c r="D688" i="120" s="1"/>
  <c r="J537" i="107"/>
  <c r="D684" i="120" s="1"/>
  <c r="G630" i="119"/>
  <c r="P1810" i="107"/>
  <c r="J2215" i="120" s="1"/>
  <c r="H1253" i="107"/>
  <c r="I538" i="107"/>
  <c r="H631" i="119" s="1"/>
  <c r="G1253" i="107"/>
  <c r="F1547" i="119" s="1"/>
  <c r="J1263" i="107"/>
  <c r="J1262" i="107"/>
  <c r="K1262" i="107" s="1"/>
  <c r="E1603" i="120" s="1"/>
  <c r="G1556" i="119"/>
  <c r="I1256" i="107"/>
  <c r="H1550" i="119" s="1"/>
  <c r="J1256" i="107"/>
  <c r="M1256" i="107" s="1"/>
  <c r="G1597" i="120" s="1"/>
  <c r="J540" i="107"/>
  <c r="K540" i="107" s="1"/>
  <c r="E687" i="120" s="1"/>
  <c r="H545" i="107"/>
  <c r="I545" i="107" s="1"/>
  <c r="H638" i="119" s="1"/>
  <c r="E876" i="120"/>
  <c r="I540" i="107"/>
  <c r="H633" i="119" s="1"/>
  <c r="I26" i="161"/>
  <c r="I1262" i="161"/>
  <c r="F1257" i="161"/>
  <c r="I1267" i="161"/>
  <c r="I1261" i="161"/>
  <c r="P1899" i="161"/>
  <c r="P630" i="161"/>
  <c r="G1251" i="161"/>
  <c r="H1251" i="161"/>
  <c r="J1251" i="161" s="1"/>
  <c r="J154" i="161"/>
  <c r="M132" i="161"/>
  <c r="M154" i="161" s="1"/>
  <c r="L132" i="161"/>
  <c r="L154" i="161" s="1"/>
  <c r="K132" i="161"/>
  <c r="K154" i="161" s="1"/>
  <c r="N132" i="161"/>
  <c r="N154" i="161" s="1"/>
  <c r="Q132" i="161"/>
  <c r="Q154" i="161" s="1"/>
  <c r="P132" i="161"/>
  <c r="P154" i="161" s="1"/>
  <c r="O132" i="161"/>
  <c r="O154" i="161" s="1"/>
  <c r="J539" i="161"/>
  <c r="F160" i="161"/>
  <c r="F1895" i="161"/>
  <c r="F1904" i="161" s="1"/>
  <c r="F626" i="161"/>
  <c r="G1253" i="161"/>
  <c r="H1253" i="161"/>
  <c r="J1253" i="161" s="1"/>
  <c r="J158" i="161"/>
  <c r="Q136" i="161"/>
  <c r="Q158" i="161" s="1"/>
  <c r="P136" i="161"/>
  <c r="P158" i="161" s="1"/>
  <c r="O136" i="161"/>
  <c r="O158" i="161" s="1"/>
  <c r="N136" i="161"/>
  <c r="N158" i="161" s="1"/>
  <c r="M136" i="161"/>
  <c r="M158" i="161" s="1"/>
  <c r="L136" i="161"/>
  <c r="L158" i="161" s="1"/>
  <c r="K136" i="161"/>
  <c r="K158" i="161" s="1"/>
  <c r="L1901" i="161"/>
  <c r="L632" i="161"/>
  <c r="Q630" i="161"/>
  <c r="Q1899" i="161"/>
  <c r="H1251" i="107"/>
  <c r="E1545" i="119"/>
  <c r="G1251" i="107"/>
  <c r="F1545" i="119" s="1"/>
  <c r="H1898" i="161"/>
  <c r="H629" i="161"/>
  <c r="Q1250" i="161"/>
  <c r="K1250" i="161"/>
  <c r="N1250" i="161"/>
  <c r="M1250" i="161"/>
  <c r="L1250" i="161"/>
  <c r="P1250" i="161"/>
  <c r="O1250" i="161"/>
  <c r="G151" i="161"/>
  <c r="G137" i="161"/>
  <c r="G15" i="161" s="1"/>
  <c r="H1902" i="161"/>
  <c r="H633" i="161"/>
  <c r="I633" i="161" s="1"/>
  <c r="N1901" i="161"/>
  <c r="N632" i="161"/>
  <c r="J1899" i="161"/>
  <c r="J630" i="161"/>
  <c r="G1254" i="161"/>
  <c r="H1254" i="161"/>
  <c r="J1254" i="161" s="1"/>
  <c r="N538" i="161"/>
  <c r="M538" i="161"/>
  <c r="Q538" i="161"/>
  <c r="P538" i="161"/>
  <c r="O538" i="161"/>
  <c r="L538" i="161"/>
  <c r="K538" i="161"/>
  <c r="H1896" i="161"/>
  <c r="H627" i="161"/>
  <c r="J1249" i="161"/>
  <c r="J128" i="161"/>
  <c r="H151" i="161"/>
  <c r="H137" i="161"/>
  <c r="H15" i="161" s="1"/>
  <c r="H1900" i="161"/>
  <c r="H631" i="161"/>
  <c r="I631" i="161" s="1"/>
  <c r="L702" i="161"/>
  <c r="L1806" i="161" s="1"/>
  <c r="K702" i="161"/>
  <c r="K1806" i="161" s="1"/>
  <c r="Q702" i="161"/>
  <c r="Q1806" i="161" s="1"/>
  <c r="P702" i="161"/>
  <c r="P1806" i="161" s="1"/>
  <c r="M702" i="161"/>
  <c r="M1806" i="161" s="1"/>
  <c r="J1806" i="161"/>
  <c r="N702" i="161"/>
  <c r="N1806" i="161" s="1"/>
  <c r="O702" i="161"/>
  <c r="O1806" i="161" s="1"/>
  <c r="J632" i="161"/>
  <c r="J1901" i="161"/>
  <c r="G545" i="161"/>
  <c r="J1812" i="161"/>
  <c r="P708" i="161"/>
  <c r="P1812" i="161" s="1"/>
  <c r="O708" i="161"/>
  <c r="O1812" i="161" s="1"/>
  <c r="N708" i="161"/>
  <c r="N1812" i="161" s="1"/>
  <c r="M708" i="161"/>
  <c r="M1812" i="161" s="1"/>
  <c r="L708" i="161"/>
  <c r="L1812" i="161" s="1"/>
  <c r="K708" i="161"/>
  <c r="K1812" i="161" s="1"/>
  <c r="Q708" i="161"/>
  <c r="Q1812" i="161" s="1"/>
  <c r="K630" i="161"/>
  <c r="K1899" i="161"/>
  <c r="E1548" i="119"/>
  <c r="G1254" i="107"/>
  <c r="F1548" i="119" s="1"/>
  <c r="H1254" i="107"/>
  <c r="K1261" i="161"/>
  <c r="N1261" i="161"/>
  <c r="M1261" i="161"/>
  <c r="P1261" i="161"/>
  <c r="L1261" i="161"/>
  <c r="Q1261" i="161"/>
  <c r="O1261" i="161"/>
  <c r="I1267" i="107"/>
  <c r="H1561" i="119" s="1"/>
  <c r="J1267" i="107"/>
  <c r="G1561" i="119"/>
  <c r="N129" i="161"/>
  <c r="N152" i="161" s="1"/>
  <c r="M129" i="161"/>
  <c r="M152" i="161" s="1"/>
  <c r="L129" i="161"/>
  <c r="L152" i="161" s="1"/>
  <c r="O129" i="161"/>
  <c r="O152" i="161" s="1"/>
  <c r="K129" i="161"/>
  <c r="K152" i="161" s="1"/>
  <c r="J152" i="161"/>
  <c r="Q129" i="161"/>
  <c r="Q152" i="161" s="1"/>
  <c r="P129" i="161"/>
  <c r="P152" i="161" s="1"/>
  <c r="H1252" i="161"/>
  <c r="J1252" i="161" s="1"/>
  <c r="G1252" i="161"/>
  <c r="I709" i="161"/>
  <c r="I158" i="161"/>
  <c r="F15" i="161"/>
  <c r="J541" i="161"/>
  <c r="J156" i="161"/>
  <c r="P134" i="161"/>
  <c r="P156" i="161" s="1"/>
  <c r="O134" i="161"/>
  <c r="O156" i="161" s="1"/>
  <c r="N134" i="161"/>
  <c r="N156" i="161" s="1"/>
  <c r="M134" i="161"/>
  <c r="M156" i="161" s="1"/>
  <c r="L134" i="161"/>
  <c r="L156" i="161" s="1"/>
  <c r="K134" i="161"/>
  <c r="K156" i="161" s="1"/>
  <c r="Q134" i="161"/>
  <c r="Q156" i="161" s="1"/>
  <c r="O1901" i="161"/>
  <c r="O632" i="161"/>
  <c r="L1899" i="161"/>
  <c r="L630" i="161"/>
  <c r="E1546" i="119"/>
  <c r="G1252" i="107"/>
  <c r="F1546" i="119" s="1"/>
  <c r="H1252" i="107"/>
  <c r="I632" i="161"/>
  <c r="J1811" i="161"/>
  <c r="K707" i="161"/>
  <c r="K1811" i="161" s="1"/>
  <c r="Q707" i="161"/>
  <c r="Q1811" i="161" s="1"/>
  <c r="P707" i="161"/>
  <c r="P1811" i="161" s="1"/>
  <c r="O707" i="161"/>
  <c r="O1811" i="161" s="1"/>
  <c r="M707" i="161"/>
  <c r="M1811" i="161" s="1"/>
  <c r="L707" i="161"/>
  <c r="L1811" i="161" s="1"/>
  <c r="N707" i="161"/>
  <c r="N1811" i="161" s="1"/>
  <c r="Q1901" i="161"/>
  <c r="Q632" i="161"/>
  <c r="M703" i="161"/>
  <c r="M1807" i="161" s="1"/>
  <c r="L703" i="161"/>
  <c r="L1807" i="161" s="1"/>
  <c r="N703" i="161"/>
  <c r="N1807" i="161" s="1"/>
  <c r="K703" i="161"/>
  <c r="K1807" i="161" s="1"/>
  <c r="P703" i="161"/>
  <c r="P1807" i="161" s="1"/>
  <c r="J1807" i="161"/>
  <c r="Q703" i="161"/>
  <c r="Q1807" i="161" s="1"/>
  <c r="O703" i="161"/>
  <c r="O1807" i="161" s="1"/>
  <c r="J540" i="161"/>
  <c r="N630" i="161"/>
  <c r="N1899" i="161"/>
  <c r="K1262" i="161"/>
  <c r="Q1262" i="161"/>
  <c r="P1262" i="161"/>
  <c r="O1262" i="161"/>
  <c r="N1262" i="161"/>
  <c r="M1262" i="161"/>
  <c r="L1262" i="161"/>
  <c r="O1267" i="161"/>
  <c r="N1267" i="161"/>
  <c r="M1267" i="161"/>
  <c r="P1267" i="161"/>
  <c r="L1267" i="161"/>
  <c r="Q1267" i="161"/>
  <c r="K1267" i="161"/>
  <c r="G1255" i="161"/>
  <c r="H1255" i="161"/>
  <c r="J1255" i="161" s="1"/>
  <c r="J544" i="161"/>
  <c r="H1813" i="161"/>
  <c r="M1901" i="161"/>
  <c r="M632" i="161"/>
  <c r="M1899" i="161"/>
  <c r="M630" i="161"/>
  <c r="Q701" i="161"/>
  <c r="P701" i="161"/>
  <c r="O701" i="161"/>
  <c r="K701" i="161"/>
  <c r="M701" i="161"/>
  <c r="J1805" i="161"/>
  <c r="L701" i="161"/>
  <c r="N701" i="161"/>
  <c r="J709" i="161"/>
  <c r="J26" i="161" s="1"/>
  <c r="H1897" i="161"/>
  <c r="H628" i="161"/>
  <c r="I628" i="161" s="1"/>
  <c r="E1549" i="119"/>
  <c r="G1255" i="107"/>
  <c r="F1549" i="119" s="1"/>
  <c r="G1264" i="161"/>
  <c r="H1264" i="161"/>
  <c r="J1264" i="161" s="1"/>
  <c r="P1901" i="161"/>
  <c r="P632" i="161"/>
  <c r="H545" i="161"/>
  <c r="I545" i="161" s="1"/>
  <c r="G1256" i="161"/>
  <c r="H1256" i="161"/>
  <c r="J1256" i="161" s="1"/>
  <c r="O1899" i="161"/>
  <c r="O630" i="161"/>
  <c r="I154" i="161"/>
  <c r="Q130" i="161"/>
  <c r="Q153" i="161" s="1"/>
  <c r="P130" i="161"/>
  <c r="P153" i="161" s="1"/>
  <c r="O130" i="161"/>
  <c r="O153" i="161" s="1"/>
  <c r="J153" i="161"/>
  <c r="N130" i="161"/>
  <c r="N153" i="161" s="1"/>
  <c r="M130" i="161"/>
  <c r="M153" i="161" s="1"/>
  <c r="K130" i="161"/>
  <c r="K153" i="161" s="1"/>
  <c r="L130" i="161"/>
  <c r="L153" i="161" s="1"/>
  <c r="F1805" i="161"/>
  <c r="F1813" i="161" s="1"/>
  <c r="I1250" i="161"/>
  <c r="I539" i="161"/>
  <c r="I1249" i="161"/>
  <c r="I128" i="161"/>
  <c r="E1558" i="119"/>
  <c r="G1264" i="107"/>
  <c r="F1558" i="119" s="1"/>
  <c r="H1264" i="107"/>
  <c r="K543" i="161"/>
  <c r="P543" i="161"/>
  <c r="O543" i="161"/>
  <c r="M543" i="161"/>
  <c r="L543" i="161"/>
  <c r="Q543" i="161"/>
  <c r="N543" i="161"/>
  <c r="K1901" i="161"/>
  <c r="K632" i="161"/>
  <c r="M537" i="161"/>
  <c r="L537" i="161"/>
  <c r="Q537" i="161"/>
  <c r="K537" i="161"/>
  <c r="O537" i="161"/>
  <c r="N537" i="161"/>
  <c r="P537" i="161"/>
  <c r="E1550" i="119"/>
  <c r="G1256" i="107"/>
  <c r="F1550" i="119" s="1"/>
  <c r="F1268" i="161"/>
  <c r="N1810" i="107"/>
  <c r="H2215" i="120" s="1"/>
  <c r="L66" i="96"/>
  <c r="J72" i="96"/>
  <c r="K66" i="96"/>
  <c r="I1255" i="107"/>
  <c r="H1549" i="119" s="1"/>
  <c r="U72" i="96"/>
  <c r="N66" i="96"/>
  <c r="M72" i="96"/>
  <c r="O66" i="96"/>
  <c r="J1255" i="107"/>
  <c r="P72" i="96"/>
  <c r="T66" i="96"/>
  <c r="Q66" i="96"/>
  <c r="M1810" i="107"/>
  <c r="G2215" i="120" s="1"/>
  <c r="J630" i="107"/>
  <c r="D797" i="120" s="1"/>
  <c r="J1899" i="107"/>
  <c r="D2316" i="120" s="1"/>
  <c r="G150" i="120"/>
  <c r="I630" i="107"/>
  <c r="H743" i="119" s="1"/>
  <c r="H150" i="120"/>
  <c r="Q1810" i="107"/>
  <c r="K2215" i="120" s="1"/>
  <c r="L1810" i="107"/>
  <c r="F2215" i="120" s="1"/>
  <c r="K155" i="107"/>
  <c r="E172" i="120" s="1"/>
  <c r="I150" i="120"/>
  <c r="I701" i="107"/>
  <c r="H818" i="119" s="1"/>
  <c r="J150" i="120"/>
  <c r="J701" i="107"/>
  <c r="J709" i="107" s="1"/>
  <c r="F150" i="120"/>
  <c r="I876" i="120"/>
  <c r="P542" i="107"/>
  <c r="J689" i="120" s="1"/>
  <c r="L542" i="107"/>
  <c r="F689" i="120" s="1"/>
  <c r="G818" i="119"/>
  <c r="K150" i="120"/>
  <c r="H1805" i="107"/>
  <c r="H1813" i="107" s="1"/>
  <c r="F27" i="116" s="1"/>
  <c r="M542" i="107"/>
  <c r="G689" i="120" s="1"/>
  <c r="O542" i="107"/>
  <c r="I689" i="120" s="1"/>
  <c r="K542" i="107"/>
  <c r="E689" i="120" s="1"/>
  <c r="H128" i="107"/>
  <c r="G86" i="119" s="1"/>
  <c r="F137" i="107"/>
  <c r="F1257" i="107"/>
  <c r="E1551" i="119" s="1"/>
  <c r="N542" i="107"/>
  <c r="H689" i="120" s="1"/>
  <c r="Q542" i="107"/>
  <c r="K689" i="120" s="1"/>
  <c r="E826" i="119"/>
  <c r="G1805" i="107"/>
  <c r="G1813" i="107" s="1"/>
  <c r="E27" i="116" s="1"/>
  <c r="G709" i="107"/>
  <c r="G26" i="107" s="1"/>
  <c r="F25" i="119" s="1"/>
  <c r="F151" i="107"/>
  <c r="E109" i="119" s="1"/>
  <c r="G128" i="107"/>
  <c r="F86" i="119" s="1"/>
  <c r="D1606" i="120"/>
  <c r="N1265" i="107"/>
  <c r="H1606" i="120" s="1"/>
  <c r="K1265" i="107"/>
  <c r="E1606" i="120" s="1"/>
  <c r="L1265" i="107"/>
  <c r="F1606" i="120" s="1"/>
  <c r="O1265" i="107"/>
  <c r="I1606" i="120" s="1"/>
  <c r="M1265" i="107"/>
  <c r="G1606" i="120" s="1"/>
  <c r="P1265" i="107"/>
  <c r="J1606" i="120" s="1"/>
  <c r="Q1265" i="107"/>
  <c r="K1606" i="120" s="1"/>
  <c r="G1249" i="107"/>
  <c r="H1249" i="107"/>
  <c r="G1543" i="119" s="1"/>
  <c r="O1899" i="107"/>
  <c r="I2316" i="120" s="1"/>
  <c r="M1899" i="107"/>
  <c r="G2316" i="120" s="1"/>
  <c r="Q1899" i="107"/>
  <c r="K2316" i="120" s="1"/>
  <c r="P630" i="107"/>
  <c r="J797" i="120" s="1"/>
  <c r="O630" i="107"/>
  <c r="I797" i="120" s="1"/>
  <c r="Q630" i="107"/>
  <c r="K797" i="120" s="1"/>
  <c r="M630" i="107"/>
  <c r="G797" i="120" s="1"/>
  <c r="P1899" i="107"/>
  <c r="J2316" i="120" s="1"/>
  <c r="L1899" i="107"/>
  <c r="F2316" i="120" s="1"/>
  <c r="L630" i="107"/>
  <c r="F797" i="120" s="1"/>
  <c r="N630" i="107"/>
  <c r="H797" i="120" s="1"/>
  <c r="N1899" i="107"/>
  <c r="H2316" i="120" s="1"/>
  <c r="I709" i="107"/>
  <c r="H826" i="119" s="1"/>
  <c r="H26" i="107"/>
  <c r="I632" i="107" l="1"/>
  <c r="H745" i="119" s="1"/>
  <c r="L153" i="107"/>
  <c r="F170" i="120" s="1"/>
  <c r="E877" i="120"/>
  <c r="K1902" i="107"/>
  <c r="E2319" i="120" s="1"/>
  <c r="K633" i="107"/>
  <c r="E800" i="120" s="1"/>
  <c r="L627" i="107"/>
  <c r="F794" i="120" s="1"/>
  <c r="I877" i="120"/>
  <c r="N1812" i="107"/>
  <c r="H2217" i="120" s="1"/>
  <c r="G1268" i="161"/>
  <c r="M633" i="107"/>
  <c r="G800" i="120" s="1"/>
  <c r="M1902" i="107"/>
  <c r="G2319" i="120" s="1"/>
  <c r="N632" i="107"/>
  <c r="H799" i="120" s="1"/>
  <c r="E153" i="120"/>
  <c r="F877" i="120"/>
  <c r="M1806" i="107"/>
  <c r="G2211" i="120" s="1"/>
  <c r="G152" i="120"/>
  <c r="G877" i="120"/>
  <c r="P157" i="107"/>
  <c r="J174" i="120" s="1"/>
  <c r="I628" i="107"/>
  <c r="H741" i="119" s="1"/>
  <c r="Q1811" i="107"/>
  <c r="K2216" i="120" s="1"/>
  <c r="J632" i="107"/>
  <c r="D799" i="120" s="1"/>
  <c r="J1901" i="107"/>
  <c r="D2318" i="120" s="1"/>
  <c r="G153" i="120"/>
  <c r="N1901" i="107"/>
  <c r="H2318" i="120" s="1"/>
  <c r="H152" i="120"/>
  <c r="K157" i="107"/>
  <c r="E174" i="120" s="1"/>
  <c r="M1901" i="107"/>
  <c r="G2318" i="120" s="1"/>
  <c r="M632" i="107"/>
  <c r="G799" i="120" s="1"/>
  <c r="O157" i="107"/>
  <c r="I174" i="120" s="1"/>
  <c r="J877" i="120"/>
  <c r="K1806" i="107"/>
  <c r="E2211" i="120" s="1"/>
  <c r="H877" i="120"/>
  <c r="L1896" i="107"/>
  <c r="F2313" i="120" s="1"/>
  <c r="F146" i="120"/>
  <c r="Q632" i="107"/>
  <c r="K799" i="120" s="1"/>
  <c r="L157" i="107"/>
  <c r="F174" i="120" s="1"/>
  <c r="K152" i="120"/>
  <c r="Q1901" i="107"/>
  <c r="K2318" i="120" s="1"/>
  <c r="I878" i="120"/>
  <c r="Q1260" i="161"/>
  <c r="K878" i="120"/>
  <c r="J1268" i="161"/>
  <c r="P1902" i="107"/>
  <c r="J2319" i="120" s="1"/>
  <c r="L1260" i="161"/>
  <c r="O1260" i="161"/>
  <c r="M1260" i="161"/>
  <c r="K1260" i="161"/>
  <c r="N1260" i="161"/>
  <c r="P633" i="107"/>
  <c r="J800" i="120" s="1"/>
  <c r="P631" i="107"/>
  <c r="J798" i="120" s="1"/>
  <c r="J878" i="120"/>
  <c r="J627" i="107"/>
  <c r="D794" i="120" s="1"/>
  <c r="K1812" i="107"/>
  <c r="E2217" i="120" s="1"/>
  <c r="O1806" i="107"/>
  <c r="I2211" i="120" s="1"/>
  <c r="J1896" i="107"/>
  <c r="D2313" i="120" s="1"/>
  <c r="M628" i="107"/>
  <c r="G795" i="120" s="1"/>
  <c r="M1896" i="107"/>
  <c r="G2313" i="120" s="1"/>
  <c r="F153" i="120"/>
  <c r="M627" i="107"/>
  <c r="G794" i="120" s="1"/>
  <c r="N152" i="107"/>
  <c r="H169" i="120" s="1"/>
  <c r="L1807" i="107"/>
  <c r="F2212" i="120" s="1"/>
  <c r="K1807" i="107"/>
  <c r="E2212" i="120" s="1"/>
  <c r="P1897" i="107"/>
  <c r="J2314" i="120" s="1"/>
  <c r="P543" i="107"/>
  <c r="J690" i="120" s="1"/>
  <c r="O543" i="107"/>
  <c r="I690" i="120" s="1"/>
  <c r="M543" i="107"/>
  <c r="G690" i="120" s="1"/>
  <c r="K543" i="107"/>
  <c r="E690" i="120" s="1"/>
  <c r="L543" i="107"/>
  <c r="F690" i="120" s="1"/>
  <c r="Q543" i="107"/>
  <c r="K690" i="120" s="1"/>
  <c r="N543" i="107"/>
  <c r="H690" i="120" s="1"/>
  <c r="N1898" i="107"/>
  <c r="H2315" i="120" s="1"/>
  <c r="G878" i="120"/>
  <c r="J1897" i="107"/>
  <c r="D2314" i="120" s="1"/>
  <c r="J628" i="107"/>
  <c r="D795" i="120" s="1"/>
  <c r="K153" i="107"/>
  <c r="E170" i="120" s="1"/>
  <c r="N153" i="107"/>
  <c r="H170" i="120" s="1"/>
  <c r="M1897" i="107"/>
  <c r="G2314" i="120" s="1"/>
  <c r="L633" i="107"/>
  <c r="F800" i="120" s="1"/>
  <c r="G146" i="120"/>
  <c r="L1902" i="107"/>
  <c r="F2319" i="120" s="1"/>
  <c r="O631" i="107"/>
  <c r="I798" i="120" s="1"/>
  <c r="G147" i="120"/>
  <c r="J1902" i="107"/>
  <c r="D2319" i="120" s="1"/>
  <c r="I627" i="107"/>
  <c r="H740" i="119" s="1"/>
  <c r="N1806" i="107"/>
  <c r="H2211" i="120" s="1"/>
  <c r="P628" i="107"/>
  <c r="J795" i="120" s="1"/>
  <c r="P154" i="107"/>
  <c r="J171" i="120" s="1"/>
  <c r="J147" i="120"/>
  <c r="Q153" i="107"/>
  <c r="K170" i="120" s="1"/>
  <c r="I147" i="120"/>
  <c r="O628" i="107"/>
  <c r="I795" i="120" s="1"/>
  <c r="N633" i="107"/>
  <c r="H800" i="120" s="1"/>
  <c r="O1897" i="107"/>
  <c r="I2314" i="120" s="1"/>
  <c r="H153" i="120"/>
  <c r="N1902" i="107"/>
  <c r="H2319" i="120" s="1"/>
  <c r="K544" i="107"/>
  <c r="E691" i="120" s="1"/>
  <c r="Q158" i="107"/>
  <c r="K175" i="120" s="1"/>
  <c r="J872" i="120"/>
  <c r="L1898" i="107"/>
  <c r="F2315" i="120" s="1"/>
  <c r="N539" i="107"/>
  <c r="H686" i="120" s="1"/>
  <c r="K539" i="107"/>
  <c r="E686" i="120" s="1"/>
  <c r="J153" i="120"/>
  <c r="Q539" i="107"/>
  <c r="K686" i="120" s="1"/>
  <c r="M1807" i="107"/>
  <c r="G2212" i="120" s="1"/>
  <c r="J633" i="107"/>
  <c r="D800" i="120" s="1"/>
  <c r="N629" i="107"/>
  <c r="H796" i="120" s="1"/>
  <c r="M1250" i="107"/>
  <c r="G1591" i="120" s="1"/>
  <c r="O1900" i="107"/>
  <c r="I2317" i="120" s="1"/>
  <c r="O158" i="107"/>
  <c r="I175" i="120" s="1"/>
  <c r="K872" i="120"/>
  <c r="K149" i="120"/>
  <c r="G149" i="120"/>
  <c r="H149" i="120"/>
  <c r="Q1807" i="107"/>
  <c r="K2212" i="120" s="1"/>
  <c r="P544" i="107"/>
  <c r="J691" i="120" s="1"/>
  <c r="J875" i="120"/>
  <c r="O544" i="107"/>
  <c r="I691" i="120" s="1"/>
  <c r="L539" i="107"/>
  <c r="F686" i="120" s="1"/>
  <c r="L544" i="107"/>
  <c r="F691" i="120" s="1"/>
  <c r="P1900" i="107"/>
  <c r="J2317" i="120" s="1"/>
  <c r="M629" i="107"/>
  <c r="G796" i="120" s="1"/>
  <c r="M1898" i="107"/>
  <c r="G2315" i="120" s="1"/>
  <c r="Q629" i="107"/>
  <c r="K796" i="120" s="1"/>
  <c r="M539" i="107"/>
  <c r="G686" i="120" s="1"/>
  <c r="Q544" i="107"/>
  <c r="K691" i="120" s="1"/>
  <c r="N544" i="107"/>
  <c r="H691" i="120" s="1"/>
  <c r="M544" i="107"/>
  <c r="G691" i="120" s="1"/>
  <c r="P1807" i="107"/>
  <c r="J2212" i="120" s="1"/>
  <c r="L538" i="107"/>
  <c r="F685" i="120" s="1"/>
  <c r="Q1898" i="107"/>
  <c r="K2315" i="120" s="1"/>
  <c r="J151" i="120"/>
  <c r="P1266" i="107"/>
  <c r="J1607" i="120" s="1"/>
  <c r="K629" i="107"/>
  <c r="E796" i="120" s="1"/>
  <c r="I873" i="120"/>
  <c r="P541" i="107"/>
  <c r="J688" i="120" s="1"/>
  <c r="K538" i="107"/>
  <c r="E685" i="120" s="1"/>
  <c r="J631" i="107"/>
  <c r="D798" i="120" s="1"/>
  <c r="L1266" i="107"/>
  <c r="F1607" i="120" s="1"/>
  <c r="D1607" i="120"/>
  <c r="J629" i="107"/>
  <c r="D796" i="120" s="1"/>
  <c r="N538" i="107"/>
  <c r="H685" i="120" s="1"/>
  <c r="J1898" i="107"/>
  <c r="D2315" i="120" s="1"/>
  <c r="Q538" i="107"/>
  <c r="K685" i="120" s="1"/>
  <c r="P539" i="107"/>
  <c r="J686" i="120" s="1"/>
  <c r="E149" i="120"/>
  <c r="K1898" i="107"/>
  <c r="E2315" i="120" s="1"/>
  <c r="O539" i="107"/>
  <c r="I686" i="120" s="1"/>
  <c r="K152" i="107"/>
  <c r="E146" i="120"/>
  <c r="J1900" i="107"/>
  <c r="D2317" i="120" s="1"/>
  <c r="N541" i="107"/>
  <c r="H688" i="120" s="1"/>
  <c r="K1250" i="107"/>
  <c r="E1591" i="120" s="1"/>
  <c r="Q1250" i="107"/>
  <c r="K1591" i="120" s="1"/>
  <c r="L1250" i="107"/>
  <c r="F1591" i="120" s="1"/>
  <c r="I631" i="107"/>
  <c r="H744" i="119" s="1"/>
  <c r="O1250" i="107"/>
  <c r="I1591" i="120" s="1"/>
  <c r="N1250" i="107"/>
  <c r="H1591" i="120" s="1"/>
  <c r="H873" i="120"/>
  <c r="P1250" i="107"/>
  <c r="J1591" i="120" s="1"/>
  <c r="O154" i="107"/>
  <c r="I171" i="120" s="1"/>
  <c r="F149" i="120"/>
  <c r="L629" i="107"/>
  <c r="F796" i="120" s="1"/>
  <c r="G746" i="119"/>
  <c r="G875" i="120"/>
  <c r="M1809" i="107"/>
  <c r="G2214" i="120" s="1"/>
  <c r="K146" i="120"/>
  <c r="Q152" i="107"/>
  <c r="M1262" i="107"/>
  <c r="G1603" i="120" s="1"/>
  <c r="P152" i="107"/>
  <c r="J146" i="120"/>
  <c r="O1262" i="107"/>
  <c r="I1603" i="120" s="1"/>
  <c r="O152" i="107"/>
  <c r="I146" i="120"/>
  <c r="E151" i="120"/>
  <c r="K1900" i="107"/>
  <c r="E2317" i="120" s="1"/>
  <c r="K631" i="107"/>
  <c r="E798" i="120" s="1"/>
  <c r="O1266" i="107"/>
  <c r="I1607" i="120" s="1"/>
  <c r="O538" i="107"/>
  <c r="I685" i="120" s="1"/>
  <c r="I151" i="120"/>
  <c r="P538" i="107"/>
  <c r="J685" i="120" s="1"/>
  <c r="M538" i="107"/>
  <c r="G685" i="120" s="1"/>
  <c r="G684" i="120"/>
  <c r="H684" i="120"/>
  <c r="J545" i="107"/>
  <c r="D692" i="120" s="1"/>
  <c r="F684" i="120"/>
  <c r="Q156" i="107"/>
  <c r="K173" i="120" s="1"/>
  <c r="J684" i="120"/>
  <c r="F875" i="120"/>
  <c r="E684" i="120"/>
  <c r="I1260" i="107"/>
  <c r="H1554" i="119" s="1"/>
  <c r="N156" i="107"/>
  <c r="H173" i="120" s="1"/>
  <c r="K875" i="120"/>
  <c r="Q1809" i="107"/>
  <c r="K2214" i="120" s="1"/>
  <c r="J1260" i="107"/>
  <c r="D1601" i="120" s="1"/>
  <c r="I684" i="120"/>
  <c r="Q1266" i="107"/>
  <c r="K1607" i="120" s="1"/>
  <c r="E875" i="120"/>
  <c r="N1809" i="107"/>
  <c r="H2214" i="120" s="1"/>
  <c r="H875" i="120"/>
  <c r="N1266" i="107"/>
  <c r="H1607" i="120" s="1"/>
  <c r="K1266" i="107"/>
  <c r="E1607" i="120" s="1"/>
  <c r="Q540" i="107"/>
  <c r="K687" i="120" s="1"/>
  <c r="M540" i="107"/>
  <c r="G687" i="120" s="1"/>
  <c r="L540" i="107"/>
  <c r="F687" i="120" s="1"/>
  <c r="M156" i="107"/>
  <c r="G173" i="120" s="1"/>
  <c r="L156" i="107"/>
  <c r="F151" i="120"/>
  <c r="N540" i="107"/>
  <c r="H687" i="120" s="1"/>
  <c r="H1268" i="107"/>
  <c r="I1268" i="107" s="1"/>
  <c r="H1562" i="119" s="1"/>
  <c r="O541" i="107"/>
  <c r="I688" i="120" s="1"/>
  <c r="N1256" i="107"/>
  <c r="H1597" i="120" s="1"/>
  <c r="L541" i="107"/>
  <c r="F688" i="120" s="1"/>
  <c r="O1256" i="107"/>
  <c r="I1597" i="120" s="1"/>
  <c r="Q541" i="107"/>
  <c r="K688" i="120" s="1"/>
  <c r="L1256" i="107"/>
  <c r="F1597" i="120" s="1"/>
  <c r="K684" i="120"/>
  <c r="K541" i="107"/>
  <c r="E688" i="120" s="1"/>
  <c r="M541" i="107"/>
  <c r="G688" i="120" s="1"/>
  <c r="I1253" i="107"/>
  <c r="H1547" i="119" s="1"/>
  <c r="J1253" i="107"/>
  <c r="G1547" i="119"/>
  <c r="G1268" i="107"/>
  <c r="F1562" i="119" s="1"/>
  <c r="G638" i="119"/>
  <c r="N1262" i="107"/>
  <c r="H1603" i="120" s="1"/>
  <c r="P1262" i="107"/>
  <c r="J1603" i="120" s="1"/>
  <c r="Q1262" i="107"/>
  <c r="K1603" i="120" s="1"/>
  <c r="L1262" i="107"/>
  <c r="F1603" i="120" s="1"/>
  <c r="P1263" i="107"/>
  <c r="J1604" i="120" s="1"/>
  <c r="K1263" i="107"/>
  <c r="E1604" i="120" s="1"/>
  <c r="N1263" i="107"/>
  <c r="H1604" i="120" s="1"/>
  <c r="D1604" i="120"/>
  <c r="L1263" i="107"/>
  <c r="F1604" i="120" s="1"/>
  <c r="O1263" i="107"/>
  <c r="I1604" i="120" s="1"/>
  <c r="M1263" i="107"/>
  <c r="G1604" i="120" s="1"/>
  <c r="Q1263" i="107"/>
  <c r="K1604" i="120" s="1"/>
  <c r="D1603" i="120"/>
  <c r="I137" i="161"/>
  <c r="D1597" i="120"/>
  <c r="K1256" i="107"/>
  <c r="E1597" i="120" s="1"/>
  <c r="P1256" i="107"/>
  <c r="J1597" i="120" s="1"/>
  <c r="Q1256" i="107"/>
  <c r="K1597" i="120" s="1"/>
  <c r="I871" i="120"/>
  <c r="F871" i="120"/>
  <c r="G871" i="120"/>
  <c r="G1257" i="107"/>
  <c r="F1551" i="119" s="1"/>
  <c r="I1252" i="161"/>
  <c r="D687" i="120"/>
  <c r="O540" i="107"/>
  <c r="I687" i="120" s="1"/>
  <c r="P540" i="107"/>
  <c r="J687" i="120" s="1"/>
  <c r="K630" i="107"/>
  <c r="E797" i="120" s="1"/>
  <c r="I1254" i="161"/>
  <c r="I1251" i="161"/>
  <c r="J545" i="161"/>
  <c r="J1898" i="161"/>
  <c r="J629" i="161"/>
  <c r="L1897" i="161"/>
  <c r="L628" i="161"/>
  <c r="N1805" i="161"/>
  <c r="N1813" i="161" s="1"/>
  <c r="N709" i="161"/>
  <c r="N26" i="161" s="1"/>
  <c r="P631" i="161"/>
  <c r="P1900" i="161"/>
  <c r="L1896" i="161"/>
  <c r="L627" i="161"/>
  <c r="G1545" i="119"/>
  <c r="J1251" i="107"/>
  <c r="M1902" i="161"/>
  <c r="M633" i="161"/>
  <c r="O1898" i="161"/>
  <c r="O629" i="161"/>
  <c r="Q1897" i="161"/>
  <c r="Q628" i="161"/>
  <c r="O1896" i="161"/>
  <c r="O627" i="161"/>
  <c r="G1895" i="161"/>
  <c r="G1904" i="161" s="1"/>
  <c r="G626" i="161"/>
  <c r="G160" i="161"/>
  <c r="L1902" i="161"/>
  <c r="L633" i="161"/>
  <c r="K1897" i="161"/>
  <c r="K628" i="161"/>
  <c r="L1805" i="161"/>
  <c r="L1813" i="161" s="1"/>
  <c r="L709" i="161"/>
  <c r="L26" i="161" s="1"/>
  <c r="J1900" i="161"/>
  <c r="J631" i="161"/>
  <c r="M627" i="161"/>
  <c r="M1896" i="161"/>
  <c r="H1268" i="161"/>
  <c r="I1268" i="161" s="1"/>
  <c r="N633" i="161"/>
  <c r="N1902" i="161"/>
  <c r="P1898" i="161"/>
  <c r="P629" i="161"/>
  <c r="I1264" i="107"/>
  <c r="H1558" i="119" s="1"/>
  <c r="G1558" i="119"/>
  <c r="J1264" i="107"/>
  <c r="O1900" i="161"/>
  <c r="O631" i="161"/>
  <c r="M1897" i="161"/>
  <c r="M628" i="161"/>
  <c r="L544" i="161"/>
  <c r="K544" i="161"/>
  <c r="O544" i="161"/>
  <c r="P544" i="161"/>
  <c r="Q544" i="161"/>
  <c r="M544" i="161"/>
  <c r="N544" i="161"/>
  <c r="J1813" i="161"/>
  <c r="I627" i="161"/>
  <c r="Q631" i="161"/>
  <c r="Q1900" i="161"/>
  <c r="M541" i="161"/>
  <c r="K541" i="161"/>
  <c r="P541" i="161"/>
  <c r="O541" i="161"/>
  <c r="Q541" i="161"/>
  <c r="L541" i="161"/>
  <c r="N541" i="161"/>
  <c r="K1252" i="161"/>
  <c r="M1252" i="161"/>
  <c r="Q1252" i="161"/>
  <c r="N1252" i="161"/>
  <c r="L1252" i="161"/>
  <c r="P1252" i="161"/>
  <c r="O1252" i="161"/>
  <c r="N1896" i="161"/>
  <c r="N627" i="161"/>
  <c r="H94" i="161"/>
  <c r="H17" i="161"/>
  <c r="H91" i="161" s="1"/>
  <c r="O1902" i="161"/>
  <c r="O633" i="161"/>
  <c r="F634" i="161"/>
  <c r="Q1898" i="161"/>
  <c r="Q629" i="161"/>
  <c r="N1251" i="161"/>
  <c r="M1251" i="161"/>
  <c r="P1251" i="161"/>
  <c r="K1251" i="161"/>
  <c r="O1251" i="161"/>
  <c r="L1251" i="161"/>
  <c r="Q1251" i="161"/>
  <c r="N1897" i="161"/>
  <c r="N628" i="161"/>
  <c r="M1805" i="161"/>
  <c r="M1813" i="161" s="1"/>
  <c r="M709" i="161"/>
  <c r="M26" i="161" s="1"/>
  <c r="I1255" i="161"/>
  <c r="K631" i="161"/>
  <c r="K1900" i="161"/>
  <c r="P1896" i="161"/>
  <c r="P627" i="161"/>
  <c r="H1895" i="161"/>
  <c r="H1904" i="161" s="1"/>
  <c r="H626" i="161"/>
  <c r="I626" i="161" s="1"/>
  <c r="H160" i="161"/>
  <c r="I160" i="161" s="1"/>
  <c r="Q1254" i="161"/>
  <c r="K1254" i="161"/>
  <c r="P1254" i="161"/>
  <c r="N1254" i="161"/>
  <c r="L1254" i="161"/>
  <c r="O1254" i="161"/>
  <c r="M1254" i="161"/>
  <c r="P633" i="161"/>
  <c r="P1902" i="161"/>
  <c r="N1898" i="161"/>
  <c r="N629" i="161"/>
  <c r="J628" i="161"/>
  <c r="J1897" i="161"/>
  <c r="I1264" i="161"/>
  <c r="K1805" i="161"/>
  <c r="K1813" i="161" s="1"/>
  <c r="K709" i="161"/>
  <c r="K26" i="161" s="1"/>
  <c r="Q1255" i="161"/>
  <c r="P1255" i="161"/>
  <c r="K1255" i="161"/>
  <c r="O1255" i="161"/>
  <c r="N1255" i="161"/>
  <c r="M1255" i="161"/>
  <c r="L1255" i="161"/>
  <c r="L1900" i="161"/>
  <c r="L631" i="161"/>
  <c r="Q1896" i="161"/>
  <c r="Q627" i="161"/>
  <c r="P128" i="161"/>
  <c r="O128" i="161"/>
  <c r="N128" i="161"/>
  <c r="M128" i="161"/>
  <c r="L128" i="161"/>
  <c r="Q128" i="161"/>
  <c r="K128" i="161"/>
  <c r="J151" i="161"/>
  <c r="J137" i="161"/>
  <c r="J15" i="161" s="1"/>
  <c r="I629" i="161"/>
  <c r="Q1902" i="161"/>
  <c r="Q633" i="161"/>
  <c r="I151" i="161"/>
  <c r="K1898" i="161"/>
  <c r="K629" i="161"/>
  <c r="O628" i="161"/>
  <c r="O1897" i="161"/>
  <c r="I1256" i="161"/>
  <c r="O1264" i="161"/>
  <c r="M1264" i="161"/>
  <c r="L1264" i="161"/>
  <c r="K1264" i="161"/>
  <c r="P1264" i="161"/>
  <c r="P1268" i="161" s="1"/>
  <c r="Q1264" i="161"/>
  <c r="N1264" i="161"/>
  <c r="O1805" i="161"/>
  <c r="O1813" i="161" s="1"/>
  <c r="O709" i="161"/>
  <c r="O26" i="161" s="1"/>
  <c r="G1257" i="161"/>
  <c r="M1900" i="161"/>
  <c r="M631" i="161"/>
  <c r="F17" i="161"/>
  <c r="F94" i="161"/>
  <c r="I15" i="161"/>
  <c r="J1896" i="161"/>
  <c r="J627" i="161"/>
  <c r="D1608" i="120"/>
  <c r="K1267" i="107"/>
  <c r="E1608" i="120" s="1"/>
  <c r="Q1267" i="107"/>
  <c r="K1608" i="120" s="1"/>
  <c r="P1267" i="107"/>
  <c r="J1608" i="120" s="1"/>
  <c r="N1267" i="107"/>
  <c r="H1608" i="120" s="1"/>
  <c r="O1267" i="107"/>
  <c r="I1608" i="120" s="1"/>
  <c r="M1267" i="107"/>
  <c r="G1608" i="120" s="1"/>
  <c r="L1267" i="107"/>
  <c r="F1608" i="120" s="1"/>
  <c r="H1257" i="161"/>
  <c r="I1257" i="161" s="1"/>
  <c r="I1251" i="107"/>
  <c r="H1545" i="119" s="1"/>
  <c r="J633" i="161"/>
  <c r="J1902" i="161"/>
  <c r="L629" i="161"/>
  <c r="L1898" i="161"/>
  <c r="Q1805" i="161"/>
  <c r="Q1813" i="161" s="1"/>
  <c r="Q709" i="161"/>
  <c r="Q26" i="161" s="1"/>
  <c r="M1253" i="161"/>
  <c r="Q1253" i="161"/>
  <c r="L1253" i="161"/>
  <c r="K1253" i="161"/>
  <c r="N1253" i="161"/>
  <c r="P1253" i="161"/>
  <c r="O1253" i="161"/>
  <c r="D871" i="120"/>
  <c r="E871" i="120"/>
  <c r="J1805" i="107"/>
  <c r="D2210" i="120" s="1"/>
  <c r="K871" i="120"/>
  <c r="P1897" i="161"/>
  <c r="P628" i="161"/>
  <c r="L1256" i="161"/>
  <c r="M1256" i="161"/>
  <c r="K1256" i="161"/>
  <c r="O1256" i="161"/>
  <c r="Q1256" i="161"/>
  <c r="P1256" i="161"/>
  <c r="N1256" i="161"/>
  <c r="P1805" i="161"/>
  <c r="P1813" i="161" s="1"/>
  <c r="P709" i="161"/>
  <c r="P26" i="161" s="1"/>
  <c r="K540" i="161"/>
  <c r="Q540" i="161"/>
  <c r="P540" i="161"/>
  <c r="M540" i="161"/>
  <c r="N540" i="161"/>
  <c r="O540" i="161"/>
  <c r="L540" i="161"/>
  <c r="I1252" i="107"/>
  <c r="H1546" i="119" s="1"/>
  <c r="J1252" i="107"/>
  <c r="G1546" i="119"/>
  <c r="N1900" i="161"/>
  <c r="N631" i="161"/>
  <c r="K627" i="161"/>
  <c r="K1896" i="161"/>
  <c r="G1548" i="119"/>
  <c r="J1254" i="107"/>
  <c r="I1254" i="107"/>
  <c r="H1548" i="119" s="1"/>
  <c r="O1249" i="161"/>
  <c r="K1249" i="161"/>
  <c r="Q1249" i="161"/>
  <c r="P1249" i="161"/>
  <c r="N1249" i="161"/>
  <c r="M1249" i="161"/>
  <c r="L1249" i="161"/>
  <c r="J1257" i="161"/>
  <c r="G94" i="161"/>
  <c r="G17" i="161"/>
  <c r="G91" i="161" s="1"/>
  <c r="K1902" i="161"/>
  <c r="K633" i="161"/>
  <c r="I1253" i="161"/>
  <c r="M539" i="161"/>
  <c r="L539" i="161"/>
  <c r="Q539" i="161"/>
  <c r="K539" i="161"/>
  <c r="P539" i="161"/>
  <c r="O539" i="161"/>
  <c r="N539" i="161"/>
  <c r="M1898" i="161"/>
  <c r="M629" i="161"/>
  <c r="L1897" i="107"/>
  <c r="F2314" i="120" s="1"/>
  <c r="M87" i="96"/>
  <c r="J87" i="96"/>
  <c r="N72" i="96"/>
  <c r="L72" i="96"/>
  <c r="Q72" i="96"/>
  <c r="R66" i="96"/>
  <c r="S66" i="96"/>
  <c r="T72" i="96"/>
  <c r="P87" i="96"/>
  <c r="U87" i="96"/>
  <c r="D1596" i="120"/>
  <c r="L1255" i="107"/>
  <c r="F1596" i="120" s="1"/>
  <c r="N1255" i="107"/>
  <c r="H1596" i="120" s="1"/>
  <c r="M1255" i="107"/>
  <c r="G1596" i="120" s="1"/>
  <c r="K1255" i="107"/>
  <c r="E1596" i="120" s="1"/>
  <c r="O1255" i="107"/>
  <c r="I1596" i="120" s="1"/>
  <c r="Q1255" i="107"/>
  <c r="K1596" i="120" s="1"/>
  <c r="P1255" i="107"/>
  <c r="J1596" i="120" s="1"/>
  <c r="O72" i="96"/>
  <c r="K72" i="96"/>
  <c r="K87" i="96" s="1"/>
  <c r="J871" i="120"/>
  <c r="H871" i="120"/>
  <c r="H137" i="107"/>
  <c r="I137" i="107" s="1"/>
  <c r="H95" i="119" s="1"/>
  <c r="K1899" i="107"/>
  <c r="E2316" i="120" s="1"/>
  <c r="J128" i="107"/>
  <c r="E95" i="119"/>
  <c r="F15" i="107"/>
  <c r="F17" i="107" s="1"/>
  <c r="E16" i="119" s="1"/>
  <c r="I128" i="107"/>
  <c r="H86" i="119" s="1"/>
  <c r="H151" i="107"/>
  <c r="I151" i="107" s="1"/>
  <c r="H109" i="119" s="1"/>
  <c r="F1805" i="107"/>
  <c r="F1813" i="107" s="1"/>
  <c r="D27" i="116" s="1"/>
  <c r="T27" i="116" s="1"/>
  <c r="F626" i="107"/>
  <c r="E739" i="119" s="1"/>
  <c r="F1543" i="119"/>
  <c r="F826" i="119"/>
  <c r="G151" i="107"/>
  <c r="G626" i="107" s="1"/>
  <c r="F160" i="107"/>
  <c r="E118" i="119" s="1"/>
  <c r="F1895" i="107"/>
  <c r="F1904" i="107" s="1"/>
  <c r="D32" i="116" s="1"/>
  <c r="G137" i="107"/>
  <c r="H1257" i="107"/>
  <c r="I1257" i="107" s="1"/>
  <c r="H1551" i="119" s="1"/>
  <c r="J1249" i="107"/>
  <c r="D1590" i="120" s="1"/>
  <c r="I1249" i="107"/>
  <c r="H1543" i="119" s="1"/>
  <c r="J26" i="107"/>
  <c r="D25" i="120" s="1"/>
  <c r="D879" i="120"/>
  <c r="I26" i="107"/>
  <c r="G25" i="119"/>
  <c r="D145" i="120" l="1"/>
  <c r="Q128" i="107"/>
  <c r="P128" i="107"/>
  <c r="O128" i="107"/>
  <c r="N128" i="107"/>
  <c r="M128" i="107"/>
  <c r="L128" i="107"/>
  <c r="K128" i="107"/>
  <c r="L628" i="107"/>
  <c r="F795" i="120" s="1"/>
  <c r="O632" i="107"/>
  <c r="I799" i="120" s="1"/>
  <c r="M1268" i="161"/>
  <c r="Q1268" i="161"/>
  <c r="P1901" i="107"/>
  <c r="J2318" i="120" s="1"/>
  <c r="P632" i="107"/>
  <c r="J799" i="120" s="1"/>
  <c r="K632" i="107"/>
  <c r="E799" i="120" s="1"/>
  <c r="K1901" i="107"/>
  <c r="E2318" i="120" s="1"/>
  <c r="N1897" i="107"/>
  <c r="H2314" i="120" s="1"/>
  <c r="N628" i="107"/>
  <c r="H795" i="120" s="1"/>
  <c r="O1901" i="107"/>
  <c r="I2318" i="120" s="1"/>
  <c r="L632" i="107"/>
  <c r="F799" i="120" s="1"/>
  <c r="L1268" i="161"/>
  <c r="L1901" i="107"/>
  <c r="F2318" i="120" s="1"/>
  <c r="O1268" i="161"/>
  <c r="N1268" i="161"/>
  <c r="K1268" i="161"/>
  <c r="P1898" i="107"/>
  <c r="J2315" i="120" s="1"/>
  <c r="P629" i="107"/>
  <c r="J796" i="120" s="1"/>
  <c r="N627" i="107"/>
  <c r="H794" i="120" s="1"/>
  <c r="N1896" i="107"/>
  <c r="H2313" i="120" s="1"/>
  <c r="Q1902" i="107"/>
  <c r="K2319" i="120" s="1"/>
  <c r="K1897" i="107"/>
  <c r="E2314" i="120" s="1"/>
  <c r="L545" i="161"/>
  <c r="K628" i="107"/>
  <c r="E795" i="120" s="1"/>
  <c r="Q1897" i="107"/>
  <c r="K2314" i="120" s="1"/>
  <c r="Q628" i="107"/>
  <c r="K795" i="120" s="1"/>
  <c r="Q633" i="107"/>
  <c r="K800" i="120" s="1"/>
  <c r="I1601" i="120"/>
  <c r="M1900" i="107"/>
  <c r="G2317" i="120" s="1"/>
  <c r="J1268" i="107"/>
  <c r="D1609" i="120" s="1"/>
  <c r="O1902" i="107"/>
  <c r="I2319" i="120" s="1"/>
  <c r="O633" i="107"/>
  <c r="I800" i="120" s="1"/>
  <c r="G1562" i="119"/>
  <c r="N1900" i="107"/>
  <c r="H2317" i="120" s="1"/>
  <c r="O1898" i="107"/>
  <c r="I2315" i="120" s="1"/>
  <c r="O629" i="107"/>
  <c r="I796" i="120" s="1"/>
  <c r="E169" i="120"/>
  <c r="K627" i="107"/>
  <c r="K1896" i="107"/>
  <c r="N545" i="107"/>
  <c r="H692" i="120" s="1"/>
  <c r="K1601" i="120"/>
  <c r="I169" i="120"/>
  <c r="O627" i="107"/>
  <c r="I794" i="120" s="1"/>
  <c r="O1896" i="107"/>
  <c r="I2313" i="120" s="1"/>
  <c r="J169" i="120"/>
  <c r="P1896" i="107"/>
  <c r="J2313" i="120" s="1"/>
  <c r="P627" i="107"/>
  <c r="J794" i="120" s="1"/>
  <c r="G1601" i="120"/>
  <c r="E1601" i="120"/>
  <c r="H1601" i="120"/>
  <c r="K169" i="120"/>
  <c r="Q627" i="107"/>
  <c r="K794" i="120" s="1"/>
  <c r="Q1896" i="107"/>
  <c r="K2313" i="120" s="1"/>
  <c r="N631" i="107"/>
  <c r="H798" i="120" s="1"/>
  <c r="M631" i="107"/>
  <c r="G798" i="120" s="1"/>
  <c r="O1805" i="107"/>
  <c r="O1813" i="107" s="1"/>
  <c r="Q631" i="107"/>
  <c r="K798" i="120" s="1"/>
  <c r="Q1900" i="107"/>
  <c r="K2317" i="120" s="1"/>
  <c r="L545" i="107"/>
  <c r="F692" i="120" s="1"/>
  <c r="L1805" i="107"/>
  <c r="L1813" i="107" s="1"/>
  <c r="L709" i="107"/>
  <c r="L26" i="107" s="1"/>
  <c r="F25" i="120" s="1"/>
  <c r="F1601" i="120"/>
  <c r="J1601" i="120"/>
  <c r="K545" i="107"/>
  <c r="E692" i="120" s="1"/>
  <c r="Q545" i="107"/>
  <c r="K692" i="120" s="1"/>
  <c r="O709" i="107"/>
  <c r="O26" i="107" s="1"/>
  <c r="I25" i="120" s="1"/>
  <c r="F173" i="120"/>
  <c r="L1900" i="107"/>
  <c r="F2317" i="120" s="1"/>
  <c r="L631" i="107"/>
  <c r="F798" i="120" s="1"/>
  <c r="P545" i="107"/>
  <c r="J692" i="120" s="1"/>
  <c r="M545" i="107"/>
  <c r="G692" i="120" s="1"/>
  <c r="K1805" i="107"/>
  <c r="E2210" i="120" s="1"/>
  <c r="M1253" i="107"/>
  <c r="G1594" i="120" s="1"/>
  <c r="D1594" i="120"/>
  <c r="N1253" i="107"/>
  <c r="H1594" i="120" s="1"/>
  <c r="L1253" i="107"/>
  <c r="F1594" i="120" s="1"/>
  <c r="O1253" i="107"/>
  <c r="I1594" i="120" s="1"/>
  <c r="P1253" i="107"/>
  <c r="J1594" i="120" s="1"/>
  <c r="K1253" i="107"/>
  <c r="E1594" i="120" s="1"/>
  <c r="Q1253" i="107"/>
  <c r="K1594" i="120" s="1"/>
  <c r="K709" i="107"/>
  <c r="K26" i="107" s="1"/>
  <c r="E25" i="120" s="1"/>
  <c r="M1805" i="107"/>
  <c r="G2210" i="120" s="1"/>
  <c r="M709" i="107"/>
  <c r="M26" i="107" s="1"/>
  <c r="G25" i="120" s="1"/>
  <c r="Q709" i="107"/>
  <c r="Q26" i="107" s="1"/>
  <c r="K25" i="120" s="1"/>
  <c r="J145" i="120"/>
  <c r="Q1805" i="107"/>
  <c r="Q1813" i="107" s="1"/>
  <c r="K145" i="120"/>
  <c r="G145" i="120"/>
  <c r="Q545" i="161"/>
  <c r="O545" i="107"/>
  <c r="I692" i="120" s="1"/>
  <c r="J1813" i="107"/>
  <c r="H27" i="116" s="1"/>
  <c r="R27" i="116" s="1"/>
  <c r="K545" i="161"/>
  <c r="F94" i="107"/>
  <c r="P1257" i="161"/>
  <c r="P709" i="107"/>
  <c r="P26" i="107" s="1"/>
  <c r="J25" i="120" s="1"/>
  <c r="P1805" i="107"/>
  <c r="J2210" i="120" s="1"/>
  <c r="P545" i="161"/>
  <c r="K1257" i="161"/>
  <c r="D1595" i="120"/>
  <c r="O1254" i="107"/>
  <c r="I1595" i="120" s="1"/>
  <c r="N1254" i="107"/>
  <c r="H1595" i="120" s="1"/>
  <c r="L1254" i="107"/>
  <c r="F1595" i="120" s="1"/>
  <c r="M1254" i="107"/>
  <c r="G1595" i="120" s="1"/>
  <c r="Q1254" i="107"/>
  <c r="K1595" i="120" s="1"/>
  <c r="P1254" i="107"/>
  <c r="J1595" i="120" s="1"/>
  <c r="K1254" i="107"/>
  <c r="E1595" i="120" s="1"/>
  <c r="L151" i="161"/>
  <c r="L137" i="161"/>
  <c r="L15" i="161" s="1"/>
  <c r="M151" i="161"/>
  <c r="M137" i="161"/>
  <c r="M15" i="161" s="1"/>
  <c r="Q1257" i="161"/>
  <c r="N151" i="161"/>
  <c r="N137" i="161"/>
  <c r="N15" i="161" s="1"/>
  <c r="O151" i="161"/>
  <c r="O137" i="161"/>
  <c r="O15" i="161" s="1"/>
  <c r="L1257" i="161"/>
  <c r="D1605" i="120"/>
  <c r="P1264" i="107"/>
  <c r="L1264" i="107"/>
  <c r="F1605" i="120" s="1"/>
  <c r="N1264" i="107"/>
  <c r="H1605" i="120" s="1"/>
  <c r="Q1264" i="107"/>
  <c r="K1605" i="120" s="1"/>
  <c r="M1264" i="107"/>
  <c r="G1605" i="120" s="1"/>
  <c r="K1264" i="107"/>
  <c r="E1605" i="120" s="1"/>
  <c r="O1264" i="107"/>
  <c r="I1605" i="120" s="1"/>
  <c r="K1251" i="107"/>
  <c r="E1592" i="120" s="1"/>
  <c r="N1251" i="107"/>
  <c r="H1592" i="120" s="1"/>
  <c r="Q1251" i="107"/>
  <c r="K1592" i="120" s="1"/>
  <c r="P1251" i="107"/>
  <c r="J1592" i="120" s="1"/>
  <c r="O1251" i="107"/>
  <c r="I1592" i="120" s="1"/>
  <c r="M1251" i="107"/>
  <c r="G1592" i="120" s="1"/>
  <c r="L1251" i="107"/>
  <c r="F1592" i="120" s="1"/>
  <c r="D1592" i="120"/>
  <c r="F91" i="161"/>
  <c r="J94" i="161"/>
  <c r="J17" i="161"/>
  <c r="J91" i="161" s="1"/>
  <c r="P151" i="161"/>
  <c r="P137" i="161"/>
  <c r="P15" i="161" s="1"/>
  <c r="M1257" i="161"/>
  <c r="M545" i="161"/>
  <c r="D1593" i="120"/>
  <c r="P1252" i="107"/>
  <c r="J1593" i="120" s="1"/>
  <c r="M1252" i="107"/>
  <c r="G1593" i="120" s="1"/>
  <c r="K1252" i="107"/>
  <c r="E1593" i="120" s="1"/>
  <c r="O1252" i="107"/>
  <c r="I1593" i="120" s="1"/>
  <c r="Q1252" i="107"/>
  <c r="K1593" i="120" s="1"/>
  <c r="N1252" i="107"/>
  <c r="H1593" i="120" s="1"/>
  <c r="L1252" i="107"/>
  <c r="F1593" i="120" s="1"/>
  <c r="J1895" i="161"/>
  <c r="J1904" i="161" s="1"/>
  <c r="J626" i="161"/>
  <c r="J160" i="161"/>
  <c r="N1257" i="161"/>
  <c r="O545" i="161"/>
  <c r="G634" i="161"/>
  <c r="N545" i="161"/>
  <c r="Q151" i="161"/>
  <c r="Q137" i="161"/>
  <c r="Q15" i="161" s="1"/>
  <c r="H634" i="161"/>
  <c r="I634" i="161" s="1"/>
  <c r="H145" i="120"/>
  <c r="K151" i="161"/>
  <c r="K137" i="161"/>
  <c r="K15" i="161" s="1"/>
  <c r="O1257" i="161"/>
  <c r="N1805" i="107"/>
  <c r="N1813" i="107" s="1"/>
  <c r="N709" i="107"/>
  <c r="N26" i="107" s="1"/>
  <c r="H25" i="120" s="1"/>
  <c r="F91" i="107"/>
  <c r="F95" i="119"/>
  <c r="L87" i="96"/>
  <c r="T87" i="96"/>
  <c r="N87" i="96"/>
  <c r="S72" i="96"/>
  <c r="O87" i="96"/>
  <c r="R72" i="96"/>
  <c r="Q87" i="96"/>
  <c r="F84" i="100"/>
  <c r="H160" i="107"/>
  <c r="G118" i="119" s="1"/>
  <c r="G109" i="119"/>
  <c r="G1895" i="107"/>
  <c r="G1904" i="107" s="1"/>
  <c r="E32" i="116" s="1"/>
  <c r="G160" i="107"/>
  <c r="F118" i="119" s="1"/>
  <c r="H626" i="107"/>
  <c r="G739" i="119" s="1"/>
  <c r="G95" i="119"/>
  <c r="H15" i="107"/>
  <c r="G14" i="119" s="1"/>
  <c r="F634" i="107"/>
  <c r="G15" i="107"/>
  <c r="F14" i="119" s="1"/>
  <c r="E145" i="120"/>
  <c r="I145" i="120"/>
  <c r="F145" i="120"/>
  <c r="J151" i="107"/>
  <c r="J1895" i="107" s="1"/>
  <c r="J137" i="107"/>
  <c r="J15" i="107" s="1"/>
  <c r="D14" i="120" s="1"/>
  <c r="H1895" i="107"/>
  <c r="H1904" i="107" s="1"/>
  <c r="F32" i="116" s="1"/>
  <c r="E14" i="119"/>
  <c r="F109" i="119"/>
  <c r="J1257" i="107"/>
  <c r="D1598" i="120" s="1"/>
  <c r="G1551" i="119"/>
  <c r="G634" i="107"/>
  <c r="F747" i="119" s="1"/>
  <c r="F739" i="119"/>
  <c r="AG25" i="115"/>
  <c r="H25" i="119"/>
  <c r="E2313" i="120" l="1"/>
  <c r="E794" i="120"/>
  <c r="E747" i="119"/>
  <c r="F879" i="120"/>
  <c r="P137" i="107"/>
  <c r="F2210" i="120"/>
  <c r="I879" i="120"/>
  <c r="I2210" i="120"/>
  <c r="K1813" i="107"/>
  <c r="E2218" i="120" s="1"/>
  <c r="E879" i="120"/>
  <c r="M1813" i="107"/>
  <c r="K27" i="116" s="1"/>
  <c r="G879" i="120"/>
  <c r="D2218" i="120"/>
  <c r="K2210" i="120"/>
  <c r="P151" i="107"/>
  <c r="P160" i="107" s="1"/>
  <c r="J177" i="120" s="1"/>
  <c r="Q137" i="107"/>
  <c r="K879" i="120"/>
  <c r="Q151" i="107"/>
  <c r="K168" i="120" s="1"/>
  <c r="M151" i="107"/>
  <c r="G168" i="120" s="1"/>
  <c r="M137" i="107"/>
  <c r="P1813" i="107"/>
  <c r="N27" i="116" s="1"/>
  <c r="N1268" i="107"/>
  <c r="H1609" i="120" s="1"/>
  <c r="J879" i="120"/>
  <c r="N137" i="107"/>
  <c r="N151" i="107"/>
  <c r="H168" i="120" s="1"/>
  <c r="H634" i="107"/>
  <c r="G747" i="119" s="1"/>
  <c r="J160" i="107"/>
  <c r="D177" i="120" s="1"/>
  <c r="Q1268" i="107"/>
  <c r="K1609" i="120" s="1"/>
  <c r="Q1257" i="107"/>
  <c r="K1598" i="120" s="1"/>
  <c r="M1257" i="107"/>
  <c r="G1598" i="120" s="1"/>
  <c r="K1257" i="107"/>
  <c r="E1598" i="120" s="1"/>
  <c r="N1257" i="107"/>
  <c r="H1598" i="120" s="1"/>
  <c r="G94" i="107"/>
  <c r="O1257" i="107"/>
  <c r="I1598" i="120" s="1"/>
  <c r="O1268" i="107"/>
  <c r="I1609" i="120" s="1"/>
  <c r="F302" i="107"/>
  <c r="H302" i="107" s="1"/>
  <c r="I302" i="107" s="1"/>
  <c r="H272" i="119" s="1"/>
  <c r="K94" i="161"/>
  <c r="K17" i="161"/>
  <c r="K91" i="161" s="1"/>
  <c r="N626" i="161"/>
  <c r="N1895" i="161"/>
  <c r="N1904" i="161" s="1"/>
  <c r="N160" i="161"/>
  <c r="K151" i="107"/>
  <c r="K160" i="107" s="1"/>
  <c r="K1895" i="161"/>
  <c r="K1904" i="161" s="1"/>
  <c r="K626" i="161"/>
  <c r="K160" i="161"/>
  <c r="Q17" i="161"/>
  <c r="Q91" i="161" s="1"/>
  <c r="Q94" i="161"/>
  <c r="O17" i="161"/>
  <c r="O91" i="161" s="1"/>
  <c r="O94" i="161"/>
  <c r="L1257" i="107"/>
  <c r="F1598" i="120" s="1"/>
  <c r="Q1895" i="161"/>
  <c r="Q1904" i="161" s="1"/>
  <c r="Q626" i="161"/>
  <c r="Q160" i="161"/>
  <c r="J634" i="161"/>
  <c r="O1895" i="161"/>
  <c r="O1904" i="161" s="1"/>
  <c r="O626" i="161"/>
  <c r="O160" i="161"/>
  <c r="L17" i="161"/>
  <c r="L91" i="161" s="1"/>
  <c r="L94" i="161"/>
  <c r="N17" i="161"/>
  <c r="N91" i="161" s="1"/>
  <c r="N94" i="161"/>
  <c r="M1895" i="161"/>
  <c r="M1904" i="161" s="1"/>
  <c r="M626" i="161"/>
  <c r="M160" i="161"/>
  <c r="J1605" i="120"/>
  <c r="P1268" i="107"/>
  <c r="J1609" i="120" s="1"/>
  <c r="L1895" i="161"/>
  <c r="L1904" i="161" s="1"/>
  <c r="L626" i="161"/>
  <c r="L160" i="161"/>
  <c r="L137" i="107"/>
  <c r="H2210" i="120"/>
  <c r="H879" i="120"/>
  <c r="M1268" i="107"/>
  <c r="G1609" i="120" s="1"/>
  <c r="P17" i="161"/>
  <c r="P91" i="161" s="1"/>
  <c r="P94" i="161"/>
  <c r="L1268" i="107"/>
  <c r="F1609" i="120" s="1"/>
  <c r="I626" i="107"/>
  <c r="H739" i="119" s="1"/>
  <c r="P1257" i="107"/>
  <c r="J1598" i="120" s="1"/>
  <c r="P1895" i="161"/>
  <c r="P1904" i="161" s="1"/>
  <c r="P626" i="161"/>
  <c r="P160" i="161"/>
  <c r="K1268" i="107"/>
  <c r="E1609" i="120" s="1"/>
  <c r="M17" i="161"/>
  <c r="M91" i="161" s="1"/>
  <c r="M94" i="161"/>
  <c r="I160" i="107"/>
  <c r="H118" i="119" s="1"/>
  <c r="L151" i="107"/>
  <c r="F168" i="120" s="1"/>
  <c r="F79" i="100"/>
  <c r="R87" i="96"/>
  <c r="F83" i="100"/>
  <c r="K137" i="107"/>
  <c r="G17" i="107"/>
  <c r="F16" i="119" s="1"/>
  <c r="F80" i="100"/>
  <c r="F76" i="100"/>
  <c r="G1590" i="120"/>
  <c r="S87" i="96"/>
  <c r="F78" i="100"/>
  <c r="H17" i="107"/>
  <c r="H94" i="107"/>
  <c r="I15" i="107"/>
  <c r="H14" i="119" s="1"/>
  <c r="E1590" i="120"/>
  <c r="T32" i="116"/>
  <c r="O151" i="107"/>
  <c r="O160" i="107" s="1"/>
  <c r="I177" i="120" s="1"/>
  <c r="D154" i="120"/>
  <c r="O137" i="107"/>
  <c r="J626" i="107"/>
  <c r="D793" i="120" s="1"/>
  <c r="D168" i="120"/>
  <c r="H1590" i="120"/>
  <c r="K1590" i="120"/>
  <c r="I1590" i="120"/>
  <c r="F1590" i="120"/>
  <c r="J1590" i="120"/>
  <c r="J94" i="107"/>
  <c r="D87" i="120" s="1"/>
  <c r="J17" i="107"/>
  <c r="M27" i="116"/>
  <c r="I2218" i="120"/>
  <c r="L27" i="116"/>
  <c r="H2218" i="120"/>
  <c r="J27" i="116"/>
  <c r="F2218" i="120"/>
  <c r="O27" i="116"/>
  <c r="K2218" i="120"/>
  <c r="J1904" i="107"/>
  <c r="D2312" i="120"/>
  <c r="AK25" i="115"/>
  <c r="AI25" i="115"/>
  <c r="D16" i="120" l="1"/>
  <c r="E177" i="120"/>
  <c r="G16" i="119"/>
  <c r="J154" i="120"/>
  <c r="P15" i="107"/>
  <c r="P94" i="107" s="1"/>
  <c r="J87" i="120" s="1"/>
  <c r="I27" i="116"/>
  <c r="P27" i="116" s="1"/>
  <c r="K154" i="120"/>
  <c r="H154" i="120"/>
  <c r="N15" i="107"/>
  <c r="H14" i="120" s="1"/>
  <c r="M1895" i="107"/>
  <c r="M1904" i="107" s="1"/>
  <c r="G2218" i="120"/>
  <c r="M626" i="107"/>
  <c r="G793" i="120" s="1"/>
  <c r="Q15" i="107"/>
  <c r="K14" i="120" s="1"/>
  <c r="P626" i="107"/>
  <c r="J793" i="120" s="1"/>
  <c r="J168" i="120"/>
  <c r="P1895" i="107"/>
  <c r="J2312" i="120" s="1"/>
  <c r="M160" i="107"/>
  <c r="G177" i="120" s="1"/>
  <c r="Q626" i="107"/>
  <c r="K793" i="120" s="1"/>
  <c r="Q160" i="107"/>
  <c r="K177" i="120" s="1"/>
  <c r="Q1895" i="107"/>
  <c r="Q1904" i="107" s="1"/>
  <c r="G154" i="120"/>
  <c r="M15" i="107"/>
  <c r="M94" i="107" s="1"/>
  <c r="G87" i="120" s="1"/>
  <c r="J2218" i="120"/>
  <c r="N160" i="107"/>
  <c r="H177" i="120" s="1"/>
  <c r="N1895" i="107"/>
  <c r="N1904" i="107" s="1"/>
  <c r="I634" i="107"/>
  <c r="H747" i="119" s="1"/>
  <c r="L626" i="107"/>
  <c r="F793" i="120" s="1"/>
  <c r="K1895" i="107"/>
  <c r="E2312" i="120" s="1"/>
  <c r="K626" i="107"/>
  <c r="E793" i="120" s="1"/>
  <c r="E168" i="120"/>
  <c r="N626" i="107"/>
  <c r="H793" i="120" s="1"/>
  <c r="G302" i="107"/>
  <c r="F272" i="119" s="1"/>
  <c r="E272" i="119"/>
  <c r="F325" i="107"/>
  <c r="F337" i="107" s="1"/>
  <c r="L1895" i="107"/>
  <c r="L1904" i="107" s="1"/>
  <c r="F154" i="120"/>
  <c r="L160" i="107"/>
  <c r="F177" i="120" s="1"/>
  <c r="L15" i="107"/>
  <c r="P634" i="161"/>
  <c r="O634" i="161"/>
  <c r="F301" i="107"/>
  <c r="F324" i="107" s="1"/>
  <c r="M634" i="161"/>
  <c r="F294" i="107"/>
  <c r="E264" i="119" s="1"/>
  <c r="N634" i="161"/>
  <c r="O1895" i="107"/>
  <c r="I2312" i="120" s="1"/>
  <c r="E154" i="120"/>
  <c r="L634" i="161"/>
  <c r="F296" i="107"/>
  <c r="H296" i="107" s="1"/>
  <c r="I296" i="107" s="1"/>
  <c r="H266" i="119" s="1"/>
  <c r="K15" i="107"/>
  <c r="G91" i="107"/>
  <c r="F298" i="107"/>
  <c r="Q634" i="161"/>
  <c r="K634" i="161"/>
  <c r="F325" i="161"/>
  <c r="G302" i="161"/>
  <c r="G325" i="161" s="1"/>
  <c r="H302" i="161"/>
  <c r="I302" i="161" s="1"/>
  <c r="F297" i="107"/>
  <c r="I168" i="120"/>
  <c r="J302" i="107"/>
  <c r="H325" i="107"/>
  <c r="G272" i="119"/>
  <c r="F81" i="100"/>
  <c r="H91" i="107"/>
  <c r="J634" i="107"/>
  <c r="D801" i="120" s="1"/>
  <c r="O626" i="107"/>
  <c r="I793" i="120" s="1"/>
  <c r="F82" i="100"/>
  <c r="I154" i="120"/>
  <c r="O15" i="107"/>
  <c r="O17" i="107" s="1"/>
  <c r="I16" i="120" s="1"/>
  <c r="J91" i="107"/>
  <c r="D84" i="120" s="1"/>
  <c r="H32" i="116"/>
  <c r="D2321" i="120"/>
  <c r="E268" i="119" l="1"/>
  <c r="G298" i="107"/>
  <c r="G321" i="107" s="1"/>
  <c r="H298" i="107"/>
  <c r="H321" i="107" s="1"/>
  <c r="H297" i="107"/>
  <c r="H320" i="107" s="1"/>
  <c r="G297" i="107"/>
  <c r="G320" i="107" s="1"/>
  <c r="E14" i="120"/>
  <c r="J14" i="120"/>
  <c r="P17" i="107"/>
  <c r="J16" i="120" s="1"/>
  <c r="C10" i="168"/>
  <c r="E10" i="168" s="1"/>
  <c r="C4" i="168"/>
  <c r="E4" i="168" s="1"/>
  <c r="P1904" i="107"/>
  <c r="N32" i="116" s="1"/>
  <c r="G2312" i="120"/>
  <c r="N94" i="107"/>
  <c r="H87" i="120" s="1"/>
  <c r="N17" i="107"/>
  <c r="H16" i="120" s="1"/>
  <c r="M634" i="107"/>
  <c r="G801" i="120" s="1"/>
  <c r="Q94" i="107"/>
  <c r="K87" i="120" s="1"/>
  <c r="Q17" i="107"/>
  <c r="K16" i="120" s="1"/>
  <c r="K634" i="107"/>
  <c r="N634" i="107"/>
  <c r="H801" i="120" s="1"/>
  <c r="P634" i="107"/>
  <c r="J801" i="120" s="1"/>
  <c r="K1904" i="107"/>
  <c r="F1823" i="107"/>
  <c r="K2312" i="120"/>
  <c r="E295" i="119"/>
  <c r="Q634" i="107"/>
  <c r="K801" i="120" s="1"/>
  <c r="G14" i="120"/>
  <c r="M17" i="107"/>
  <c r="G16" i="120" s="1"/>
  <c r="H2312" i="120"/>
  <c r="L634" i="107"/>
  <c r="F801" i="120" s="1"/>
  <c r="L94" i="107"/>
  <c r="F87" i="120" s="1"/>
  <c r="F644" i="107"/>
  <c r="E757" i="119" s="1"/>
  <c r="I325" i="107"/>
  <c r="H295" i="119" s="1"/>
  <c r="F14" i="120"/>
  <c r="G325" i="107"/>
  <c r="G337" i="107" s="1"/>
  <c r="F317" i="119" s="1"/>
  <c r="G301" i="107"/>
  <c r="F271" i="119" s="1"/>
  <c r="O634" i="107"/>
  <c r="I801" i="120" s="1"/>
  <c r="E271" i="119"/>
  <c r="H301" i="107"/>
  <c r="H324" i="107" s="1"/>
  <c r="I324" i="107" s="1"/>
  <c r="H294" i="119" s="1"/>
  <c r="F2312" i="120"/>
  <c r="L17" i="107"/>
  <c r="F16" i="120" s="1"/>
  <c r="G296" i="107"/>
  <c r="G319" i="107" s="1"/>
  <c r="E266" i="119"/>
  <c r="F320" i="107"/>
  <c r="F1818" i="107" s="1"/>
  <c r="F321" i="107"/>
  <c r="F1819" i="107" s="1"/>
  <c r="F267" i="119"/>
  <c r="E267" i="119"/>
  <c r="F319" i="107"/>
  <c r="F331" i="107" s="1"/>
  <c r="F318" i="107"/>
  <c r="E288" i="119" s="1"/>
  <c r="G294" i="107"/>
  <c r="G318" i="107" s="1"/>
  <c r="H294" i="107"/>
  <c r="I294" i="107" s="1"/>
  <c r="H264" i="119" s="1"/>
  <c r="K17" i="107"/>
  <c r="O91" i="107"/>
  <c r="I84" i="120" s="1"/>
  <c r="K94" i="107"/>
  <c r="O1904" i="107"/>
  <c r="M32" i="116" s="1"/>
  <c r="I14" i="120"/>
  <c r="F299" i="107"/>
  <c r="G299" i="107" s="1"/>
  <c r="H298" i="161"/>
  <c r="I298" i="161" s="1"/>
  <c r="G298" i="161"/>
  <c r="G321" i="161" s="1"/>
  <c r="F321" i="161"/>
  <c r="F324" i="161"/>
  <c r="G301" i="161"/>
  <c r="G324" i="161" s="1"/>
  <c r="H301" i="161"/>
  <c r="I301" i="161" s="1"/>
  <c r="H325" i="161"/>
  <c r="I325" i="161" s="1"/>
  <c r="J302" i="161"/>
  <c r="F320" i="161"/>
  <c r="G297" i="161"/>
  <c r="G320" i="161" s="1"/>
  <c r="H297" i="161"/>
  <c r="I297" i="161" s="1"/>
  <c r="G1823" i="161"/>
  <c r="G644" i="161"/>
  <c r="G337" i="161"/>
  <c r="F300" i="107"/>
  <c r="E270" i="119" s="1"/>
  <c r="F303" i="161"/>
  <c r="F315" i="161" s="1"/>
  <c r="F337" i="161"/>
  <c r="F1823" i="161"/>
  <c r="F644" i="161"/>
  <c r="G296" i="161"/>
  <c r="G319" i="161" s="1"/>
  <c r="H296" i="161"/>
  <c r="I296" i="161" s="1"/>
  <c r="F319" i="161"/>
  <c r="H294" i="161"/>
  <c r="I294" i="161" s="1"/>
  <c r="G294" i="161"/>
  <c r="F318" i="161"/>
  <c r="D329" i="120"/>
  <c r="P302" i="107"/>
  <c r="J325" i="107"/>
  <c r="O302" i="107"/>
  <c r="N302" i="107"/>
  <c r="K302" i="107"/>
  <c r="Q302" i="107"/>
  <c r="M302" i="107"/>
  <c r="L302" i="107"/>
  <c r="O94" i="107"/>
  <c r="I87" i="120" s="1"/>
  <c r="F1822" i="107"/>
  <c r="F643" i="107"/>
  <c r="E294" i="119"/>
  <c r="F336" i="107"/>
  <c r="G266" i="119"/>
  <c r="H319" i="107"/>
  <c r="J296" i="107"/>
  <c r="E317" i="119"/>
  <c r="G295" i="119"/>
  <c r="H337" i="107"/>
  <c r="G317" i="119" s="1"/>
  <c r="H644" i="107"/>
  <c r="G757" i="119" s="1"/>
  <c r="H1823" i="107"/>
  <c r="K32" i="116"/>
  <c r="G2321" i="120"/>
  <c r="L32" i="116"/>
  <c r="H2321" i="120"/>
  <c r="J32" i="116"/>
  <c r="F2321" i="120"/>
  <c r="O32" i="116"/>
  <c r="K2321" i="120"/>
  <c r="R32" i="116"/>
  <c r="J297" i="107" l="1"/>
  <c r="G267" i="119"/>
  <c r="I297" i="107"/>
  <c r="H267" i="119" s="1"/>
  <c r="I32" i="116"/>
  <c r="E16" i="120"/>
  <c r="E87" i="120"/>
  <c r="E801" i="120"/>
  <c r="P91" i="107"/>
  <c r="J84" i="120" s="1"/>
  <c r="J2321" i="120"/>
  <c r="Q91" i="107"/>
  <c r="K84" i="120" s="1"/>
  <c r="N91" i="107"/>
  <c r="H84" i="120" s="1"/>
  <c r="E2321" i="120"/>
  <c r="I321" i="107"/>
  <c r="H291" i="119" s="1"/>
  <c r="H318" i="107"/>
  <c r="G288" i="119" s="1"/>
  <c r="M91" i="107"/>
  <c r="G84" i="120" s="1"/>
  <c r="E290" i="119"/>
  <c r="F639" i="107"/>
  <c r="E752" i="119" s="1"/>
  <c r="G324" i="107"/>
  <c r="G643" i="107" s="1"/>
  <c r="F756" i="119" s="1"/>
  <c r="I301" i="107"/>
  <c r="H271" i="119" s="1"/>
  <c r="J301" i="107"/>
  <c r="M301" i="107" s="1"/>
  <c r="I319" i="107"/>
  <c r="H289" i="119" s="1"/>
  <c r="F637" i="107"/>
  <c r="E750" i="119" s="1"/>
  <c r="K91" i="107"/>
  <c r="G1823" i="107"/>
  <c r="G332" i="107"/>
  <c r="F302" i="119" s="1"/>
  <c r="F332" i="107"/>
  <c r="E302" i="119" s="1"/>
  <c r="F295" i="119"/>
  <c r="G644" i="107"/>
  <c r="F757" i="119" s="1"/>
  <c r="G271" i="119"/>
  <c r="L91" i="107"/>
  <c r="F84" i="120" s="1"/>
  <c r="F1816" i="107"/>
  <c r="F638" i="107"/>
  <c r="E751" i="119" s="1"/>
  <c r="E291" i="119"/>
  <c r="J294" i="107"/>
  <c r="J318" i="107" s="1"/>
  <c r="G264" i="119"/>
  <c r="F333" i="107"/>
  <c r="E303" i="119" s="1"/>
  <c r="F640" i="107"/>
  <c r="E753" i="119" s="1"/>
  <c r="I2321" i="120"/>
  <c r="F266" i="119"/>
  <c r="G268" i="119"/>
  <c r="I298" i="107"/>
  <c r="H268" i="119" s="1"/>
  <c r="F1817" i="107"/>
  <c r="E289" i="119"/>
  <c r="F330" i="107"/>
  <c r="E300" i="119" s="1"/>
  <c r="F268" i="119"/>
  <c r="E269" i="119"/>
  <c r="F323" i="107"/>
  <c r="F335" i="107" s="1"/>
  <c r="E315" i="119" s="1"/>
  <c r="F264" i="119"/>
  <c r="H300" i="107"/>
  <c r="I300" i="107" s="1"/>
  <c r="H270" i="119" s="1"/>
  <c r="G300" i="107"/>
  <c r="G303" i="107" s="1"/>
  <c r="F303" i="107"/>
  <c r="F315" i="107" s="1"/>
  <c r="E285" i="119" s="1"/>
  <c r="H299" i="107"/>
  <c r="G269" i="119" s="1"/>
  <c r="F322" i="107"/>
  <c r="F1820" i="107" s="1"/>
  <c r="J298" i="107"/>
  <c r="N298" i="107" s="1"/>
  <c r="J297" i="161"/>
  <c r="H320" i="161"/>
  <c r="I320" i="161" s="1"/>
  <c r="F1822" i="161"/>
  <c r="F643" i="161"/>
  <c r="F336" i="161"/>
  <c r="G318" i="161"/>
  <c r="G336" i="161"/>
  <c r="G1822" i="161"/>
  <c r="G643" i="161"/>
  <c r="J294" i="161"/>
  <c r="H318" i="161"/>
  <c r="I318" i="161" s="1"/>
  <c r="G332" i="161"/>
  <c r="G1818" i="161"/>
  <c r="G639" i="161"/>
  <c r="F1819" i="161"/>
  <c r="F640" i="161"/>
  <c r="F333" i="161"/>
  <c r="F323" i="161"/>
  <c r="G300" i="161"/>
  <c r="G323" i="161" s="1"/>
  <c r="H300" i="161"/>
  <c r="I300" i="161" s="1"/>
  <c r="F639" i="161"/>
  <c r="F332" i="161"/>
  <c r="F1818" i="161"/>
  <c r="F638" i="161"/>
  <c r="F331" i="161"/>
  <c r="F1817" i="161"/>
  <c r="M302" i="161"/>
  <c r="M325" i="161" s="1"/>
  <c r="K302" i="161"/>
  <c r="K325" i="161" s="1"/>
  <c r="L302" i="161"/>
  <c r="L325" i="161" s="1"/>
  <c r="N302" i="161"/>
  <c r="N325" i="161" s="1"/>
  <c r="J325" i="161"/>
  <c r="Q302" i="161"/>
  <c r="Q325" i="161" s="1"/>
  <c r="O302" i="161"/>
  <c r="O325" i="161" s="1"/>
  <c r="P302" i="161"/>
  <c r="P325" i="161" s="1"/>
  <c r="G1819" i="161"/>
  <c r="G640" i="161"/>
  <c r="G333" i="161"/>
  <c r="J296" i="161"/>
  <c r="H319" i="161"/>
  <c r="H1823" i="161"/>
  <c r="H644" i="161"/>
  <c r="H337" i="161"/>
  <c r="I337" i="161" s="1"/>
  <c r="J298" i="161"/>
  <c r="H321" i="161"/>
  <c r="I321" i="161" s="1"/>
  <c r="F330" i="161"/>
  <c r="F637" i="161"/>
  <c r="F1816" i="161"/>
  <c r="G1817" i="161"/>
  <c r="G638" i="161"/>
  <c r="G331" i="161"/>
  <c r="F322" i="161"/>
  <c r="G299" i="161"/>
  <c r="G322" i="161" s="1"/>
  <c r="H299" i="161"/>
  <c r="I299" i="161" s="1"/>
  <c r="J301" i="161"/>
  <c r="H324" i="161"/>
  <c r="I324" i="161" s="1"/>
  <c r="I337" i="107"/>
  <c r="H317" i="119" s="1"/>
  <c r="I644" i="107"/>
  <c r="H757" i="119" s="1"/>
  <c r="G331" i="107"/>
  <c r="F301" i="119" s="1"/>
  <c r="F289" i="119"/>
  <c r="G1817" i="107"/>
  <c r="G638" i="107"/>
  <c r="F751" i="119" s="1"/>
  <c r="G640" i="107"/>
  <c r="F753" i="119" s="1"/>
  <c r="G1819" i="107"/>
  <c r="G333" i="107"/>
  <c r="F303" i="119" s="1"/>
  <c r="F291" i="119"/>
  <c r="Q325" i="107"/>
  <c r="K329" i="120"/>
  <c r="D323" i="120"/>
  <c r="Q296" i="107"/>
  <c r="L296" i="107"/>
  <c r="P296" i="107"/>
  <c r="K296" i="107"/>
  <c r="J319" i="107"/>
  <c r="O296" i="107"/>
  <c r="N296" i="107"/>
  <c r="M296" i="107"/>
  <c r="G637" i="107"/>
  <c r="G330" i="107"/>
  <c r="G1816" i="107"/>
  <c r="F288" i="119"/>
  <c r="E329" i="120"/>
  <c r="K325" i="107"/>
  <c r="E316" i="119"/>
  <c r="E301" i="119"/>
  <c r="F269" i="119"/>
  <c r="G322" i="107"/>
  <c r="O325" i="107"/>
  <c r="I329" i="120"/>
  <c r="H331" i="107"/>
  <c r="G301" i="119" s="1"/>
  <c r="H638" i="107"/>
  <c r="G751" i="119" s="1"/>
  <c r="H1817" i="107"/>
  <c r="G289" i="119"/>
  <c r="N325" i="107"/>
  <c r="H329" i="120"/>
  <c r="I320" i="107"/>
  <c r="H290" i="119" s="1"/>
  <c r="H1818" i="107"/>
  <c r="H332" i="107"/>
  <c r="G290" i="119"/>
  <c r="H639" i="107"/>
  <c r="E756" i="119"/>
  <c r="H336" i="107"/>
  <c r="G316" i="119" s="1"/>
  <c r="H1822" i="107"/>
  <c r="H643" i="107"/>
  <c r="G756" i="119" s="1"/>
  <c r="G294" i="119"/>
  <c r="D352" i="120"/>
  <c r="J644" i="107"/>
  <c r="D811" i="120" s="1"/>
  <c r="J1823" i="107"/>
  <c r="D2228" i="120" s="1"/>
  <c r="J337" i="107"/>
  <c r="D375" i="120" s="1"/>
  <c r="P325" i="107"/>
  <c r="J329" i="120"/>
  <c r="D324" i="120"/>
  <c r="Q297" i="107"/>
  <c r="K297" i="107"/>
  <c r="P297" i="107"/>
  <c r="N297" i="107"/>
  <c r="J320" i="107"/>
  <c r="M297" i="107"/>
  <c r="O297" i="107"/>
  <c r="L297" i="107"/>
  <c r="H640" i="107"/>
  <c r="G753" i="119" s="1"/>
  <c r="G291" i="119"/>
  <c r="H333" i="107"/>
  <c r="G303" i="119" s="1"/>
  <c r="H1819" i="107"/>
  <c r="L325" i="107"/>
  <c r="F329" i="120"/>
  <c r="M325" i="107"/>
  <c r="G329" i="120"/>
  <c r="P32" i="116"/>
  <c r="E84" i="120" l="1"/>
  <c r="H637" i="107"/>
  <c r="I637" i="107" s="1"/>
  <c r="H750" i="119" s="1"/>
  <c r="G1818" i="107"/>
  <c r="F290" i="119"/>
  <c r="G639" i="107"/>
  <c r="F752" i="119" s="1"/>
  <c r="I318" i="107"/>
  <c r="H288" i="119" s="1"/>
  <c r="H1816" i="107"/>
  <c r="H330" i="107"/>
  <c r="I330" i="107" s="1"/>
  <c r="H300" i="119" s="1"/>
  <c r="G336" i="107"/>
  <c r="F316" i="119" s="1"/>
  <c r="G1822" i="107"/>
  <c r="F294" i="119"/>
  <c r="P301" i="107"/>
  <c r="P324" i="107" s="1"/>
  <c r="K301" i="107"/>
  <c r="K324" i="107" s="1"/>
  <c r="O301" i="107"/>
  <c r="O324" i="107" s="1"/>
  <c r="J324" i="107"/>
  <c r="J643" i="107" s="1"/>
  <c r="D810" i="120" s="1"/>
  <c r="Q301" i="107"/>
  <c r="K328" i="120" s="1"/>
  <c r="D328" i="120"/>
  <c r="N301" i="107"/>
  <c r="N324" i="107" s="1"/>
  <c r="L301" i="107"/>
  <c r="F328" i="120" s="1"/>
  <c r="K318" i="107"/>
  <c r="F1821" i="107"/>
  <c r="F1824" i="107" s="1"/>
  <c r="D28" i="116" s="1"/>
  <c r="G321" i="120"/>
  <c r="E293" i="119"/>
  <c r="Q318" i="107"/>
  <c r="J300" i="107"/>
  <c r="O300" i="107" s="1"/>
  <c r="H323" i="107"/>
  <c r="I323" i="107" s="1"/>
  <c r="H293" i="119" s="1"/>
  <c r="G270" i="119"/>
  <c r="L318" i="107"/>
  <c r="I321" i="120"/>
  <c r="J321" i="120"/>
  <c r="D321" i="120"/>
  <c r="N318" i="107"/>
  <c r="E273" i="119"/>
  <c r="F642" i="107"/>
  <c r="E755" i="119" s="1"/>
  <c r="I299" i="107"/>
  <c r="H269" i="119" s="1"/>
  <c r="G323" i="107"/>
  <c r="F293" i="119" s="1"/>
  <c r="H303" i="107"/>
  <c r="I303" i="107" s="1"/>
  <c r="H273" i="119" s="1"/>
  <c r="J299" i="107"/>
  <c r="Q299" i="107" s="1"/>
  <c r="H322" i="107"/>
  <c r="I322" i="107" s="1"/>
  <c r="H292" i="119" s="1"/>
  <c r="M298" i="107"/>
  <c r="G325" i="120" s="1"/>
  <c r="K298" i="107"/>
  <c r="K321" i="107" s="1"/>
  <c r="D325" i="120"/>
  <c r="Q298" i="107"/>
  <c r="K325" i="120" s="1"/>
  <c r="J321" i="107"/>
  <c r="J333" i="107" s="1"/>
  <c r="D360" i="120" s="1"/>
  <c r="L298" i="107"/>
  <c r="L321" i="107" s="1"/>
  <c r="O298" i="107"/>
  <c r="I325" i="120" s="1"/>
  <c r="P298" i="107"/>
  <c r="P321" i="107" s="1"/>
  <c r="F270" i="119"/>
  <c r="G315" i="107"/>
  <c r="F285" i="119" s="1"/>
  <c r="F273" i="119"/>
  <c r="H303" i="161"/>
  <c r="I303" i="161" s="1"/>
  <c r="F334" i="107"/>
  <c r="F338" i="107" s="1"/>
  <c r="E318" i="119" s="1"/>
  <c r="F327" i="107"/>
  <c r="F22" i="107" s="1"/>
  <c r="E292" i="119"/>
  <c r="F641" i="107"/>
  <c r="E754" i="119" s="1"/>
  <c r="I643" i="107"/>
  <c r="H756" i="119" s="1"/>
  <c r="G303" i="161"/>
  <c r="G315" i="161" s="1"/>
  <c r="F1820" i="161"/>
  <c r="F641" i="161"/>
  <c r="F334" i="161"/>
  <c r="H638" i="161"/>
  <c r="H331" i="161"/>
  <c r="I331" i="161" s="1"/>
  <c r="H1817" i="161"/>
  <c r="J337" i="161"/>
  <c r="J1823" i="161"/>
  <c r="J644" i="161"/>
  <c r="F1821" i="161"/>
  <c r="F642" i="161"/>
  <c r="F335" i="161"/>
  <c r="G330" i="161"/>
  <c r="G1816" i="161"/>
  <c r="G637" i="161"/>
  <c r="G327" i="161"/>
  <c r="G22" i="161" s="1"/>
  <c r="Q296" i="161"/>
  <c r="Q319" i="161" s="1"/>
  <c r="P296" i="161"/>
  <c r="P319" i="161" s="1"/>
  <c r="O296" i="161"/>
  <c r="O319" i="161" s="1"/>
  <c r="N296" i="161"/>
  <c r="N319" i="161" s="1"/>
  <c r="M296" i="161"/>
  <c r="M319" i="161" s="1"/>
  <c r="K296" i="161"/>
  <c r="K319" i="161" s="1"/>
  <c r="L296" i="161"/>
  <c r="L319" i="161" s="1"/>
  <c r="J319" i="161"/>
  <c r="N644" i="161"/>
  <c r="N337" i="161"/>
  <c r="N1823" i="161"/>
  <c r="H1816" i="161"/>
  <c r="H637" i="161"/>
  <c r="I637" i="161" s="1"/>
  <c r="H330" i="161"/>
  <c r="L1823" i="161"/>
  <c r="L644" i="161"/>
  <c r="L337" i="161"/>
  <c r="P294" i="161"/>
  <c r="O294" i="161"/>
  <c r="N294" i="161"/>
  <c r="M294" i="161"/>
  <c r="K294" i="161"/>
  <c r="J318" i="161"/>
  <c r="L294" i="161"/>
  <c r="Q294" i="161"/>
  <c r="Q1823" i="161"/>
  <c r="Q644" i="161"/>
  <c r="Q337" i="161"/>
  <c r="G642" i="161"/>
  <c r="G1821" i="161"/>
  <c r="G335" i="161"/>
  <c r="K337" i="161"/>
  <c r="K1823" i="161"/>
  <c r="K644" i="161"/>
  <c r="I331" i="107"/>
  <c r="H301" i="119" s="1"/>
  <c r="M301" i="161"/>
  <c r="M324" i="161" s="1"/>
  <c r="J324" i="161"/>
  <c r="L301" i="161"/>
  <c r="L324" i="161" s="1"/>
  <c r="K301" i="161"/>
  <c r="K324" i="161" s="1"/>
  <c r="Q301" i="161"/>
  <c r="Q324" i="161" s="1"/>
  <c r="O301" i="161"/>
  <c r="O324" i="161" s="1"/>
  <c r="N301" i="161"/>
  <c r="N324" i="161" s="1"/>
  <c r="P301" i="161"/>
  <c r="P324" i="161" s="1"/>
  <c r="Q298" i="161"/>
  <c r="Q321" i="161" s="1"/>
  <c r="P298" i="161"/>
  <c r="P321" i="161" s="1"/>
  <c r="O298" i="161"/>
  <c r="O321" i="161" s="1"/>
  <c r="L298" i="161"/>
  <c r="L321" i="161" s="1"/>
  <c r="N298" i="161"/>
  <c r="N321" i="161" s="1"/>
  <c r="M298" i="161"/>
  <c r="M321" i="161" s="1"/>
  <c r="K298" i="161"/>
  <c r="K321" i="161" s="1"/>
  <c r="J321" i="161"/>
  <c r="M1823" i="161"/>
  <c r="M644" i="161"/>
  <c r="M337" i="161"/>
  <c r="G1820" i="161"/>
  <c r="G641" i="161"/>
  <c r="G334" i="161"/>
  <c r="H1822" i="161"/>
  <c r="H643" i="161"/>
  <c r="I643" i="161" s="1"/>
  <c r="H336" i="161"/>
  <c r="I336" i="161" s="1"/>
  <c r="H1819" i="161"/>
  <c r="H640" i="161"/>
  <c r="I640" i="161" s="1"/>
  <c r="H333" i="161"/>
  <c r="I333" i="161" s="1"/>
  <c r="F327" i="161"/>
  <c r="P337" i="161"/>
  <c r="P1823" i="161"/>
  <c r="P644" i="161"/>
  <c r="I319" i="161"/>
  <c r="H1818" i="161"/>
  <c r="H332" i="161"/>
  <c r="I332" i="161" s="1"/>
  <c r="H639" i="161"/>
  <c r="J299" i="161"/>
  <c r="H322" i="161"/>
  <c r="I322" i="161" s="1"/>
  <c r="I644" i="161"/>
  <c r="O1823" i="161"/>
  <c r="O644" i="161"/>
  <c r="O337" i="161"/>
  <c r="J300" i="161"/>
  <c r="H323" i="161"/>
  <c r="K297" i="161"/>
  <c r="K320" i="161" s="1"/>
  <c r="Q297" i="161"/>
  <c r="Q320" i="161" s="1"/>
  <c r="L297" i="161"/>
  <c r="L320" i="161" s="1"/>
  <c r="O297" i="161"/>
  <c r="O320" i="161" s="1"/>
  <c r="N297" i="161"/>
  <c r="N320" i="161" s="1"/>
  <c r="M297" i="161"/>
  <c r="M320" i="161" s="1"/>
  <c r="P297" i="161"/>
  <c r="P320" i="161" s="1"/>
  <c r="J320" i="161"/>
  <c r="M337" i="107"/>
  <c r="G375" i="120" s="1"/>
  <c r="M644" i="107"/>
  <c r="G811" i="120" s="1"/>
  <c r="G352" i="120"/>
  <c r="M1823" i="107"/>
  <c r="G2228" i="120" s="1"/>
  <c r="L644" i="107"/>
  <c r="F811" i="120" s="1"/>
  <c r="L337" i="107"/>
  <c r="F375" i="120" s="1"/>
  <c r="F352" i="120"/>
  <c r="L1823" i="107"/>
  <c r="F2228" i="120" s="1"/>
  <c r="I333" i="107"/>
  <c r="H303" i="119" s="1"/>
  <c r="J1818" i="107"/>
  <c r="D2223" i="120" s="1"/>
  <c r="J332" i="107"/>
  <c r="D359" i="120" s="1"/>
  <c r="D347" i="120"/>
  <c r="J639" i="107"/>
  <c r="D806" i="120" s="1"/>
  <c r="H325" i="120"/>
  <c r="N321" i="107"/>
  <c r="I332" i="107"/>
  <c r="H302" i="119" s="1"/>
  <c r="G302" i="119"/>
  <c r="N337" i="107"/>
  <c r="H375" i="120" s="1"/>
  <c r="N1823" i="107"/>
  <c r="H2228" i="120" s="1"/>
  <c r="H352" i="120"/>
  <c r="N644" i="107"/>
  <c r="H811" i="120" s="1"/>
  <c r="J331" i="107"/>
  <c r="D358" i="120" s="1"/>
  <c r="J638" i="107"/>
  <c r="D805" i="120" s="1"/>
  <c r="J1817" i="107"/>
  <c r="D2222" i="120" s="1"/>
  <c r="D346" i="120"/>
  <c r="M324" i="107"/>
  <c r="G328" i="120"/>
  <c r="N320" i="107"/>
  <c r="H324" i="120"/>
  <c r="I638" i="107"/>
  <c r="H751" i="119" s="1"/>
  <c r="F300" i="119"/>
  <c r="K319" i="107"/>
  <c r="E323" i="120"/>
  <c r="G334" i="107"/>
  <c r="F314" i="119" s="1"/>
  <c r="G1820" i="107"/>
  <c r="F292" i="119"/>
  <c r="G641" i="107"/>
  <c r="F754" i="119" s="1"/>
  <c r="L319" i="107"/>
  <c r="F323" i="120"/>
  <c r="F750" i="119"/>
  <c r="Q337" i="107"/>
  <c r="K375" i="120" s="1"/>
  <c r="Q644" i="107"/>
  <c r="K811" i="120" s="1"/>
  <c r="Q1823" i="107"/>
  <c r="K2228" i="120" s="1"/>
  <c r="K352" i="120"/>
  <c r="K320" i="107"/>
  <c r="E324" i="120"/>
  <c r="Q320" i="107"/>
  <c r="K324" i="120"/>
  <c r="I336" i="107"/>
  <c r="H316" i="119" s="1"/>
  <c r="K644" i="107"/>
  <c r="E811" i="120" s="1"/>
  <c r="K337" i="107"/>
  <c r="E375" i="120" s="1"/>
  <c r="K1823" i="107"/>
  <c r="E2228" i="120" s="1"/>
  <c r="E352" i="120"/>
  <c r="Q319" i="107"/>
  <c r="K323" i="120"/>
  <c r="I640" i="107"/>
  <c r="H753" i="119" s="1"/>
  <c r="P320" i="107"/>
  <c r="J324" i="120"/>
  <c r="P319" i="107"/>
  <c r="J323" i="120"/>
  <c r="G323" i="120"/>
  <c r="M319" i="107"/>
  <c r="F324" i="120"/>
  <c r="L320" i="107"/>
  <c r="I324" i="120"/>
  <c r="O320" i="107"/>
  <c r="I639" i="107"/>
  <c r="H752" i="119" s="1"/>
  <c r="G752" i="119"/>
  <c r="O337" i="107"/>
  <c r="I375" i="120" s="1"/>
  <c r="O644" i="107"/>
  <c r="I811" i="120" s="1"/>
  <c r="O1823" i="107"/>
  <c r="I2228" i="120" s="1"/>
  <c r="I352" i="120"/>
  <c r="H323" i="120"/>
  <c r="N319" i="107"/>
  <c r="M320" i="107"/>
  <c r="G324" i="120"/>
  <c r="P337" i="107"/>
  <c r="J375" i="120" s="1"/>
  <c r="P1823" i="107"/>
  <c r="J2228" i="120" s="1"/>
  <c r="J352" i="120"/>
  <c r="P644" i="107"/>
  <c r="J811" i="120" s="1"/>
  <c r="O319" i="107"/>
  <c r="I323" i="120"/>
  <c r="D345" i="120"/>
  <c r="J1816" i="107"/>
  <c r="J330" i="107"/>
  <c r="J637" i="107"/>
  <c r="G750" i="119" l="1"/>
  <c r="M318" i="107"/>
  <c r="G345" i="120" s="1"/>
  <c r="E328" i="120"/>
  <c r="O318" i="107"/>
  <c r="O637" i="107" s="1"/>
  <c r="E21" i="119"/>
  <c r="Q321" i="107"/>
  <c r="Q333" i="107" s="1"/>
  <c r="K360" i="120" s="1"/>
  <c r="D326" i="120"/>
  <c r="F325" i="120"/>
  <c r="G300" i="119"/>
  <c r="J1822" i="107"/>
  <c r="D2227" i="120" s="1"/>
  <c r="K299" i="107"/>
  <c r="K322" i="107" s="1"/>
  <c r="D351" i="120"/>
  <c r="O299" i="107"/>
  <c r="O303" i="107" s="1"/>
  <c r="I330" i="120" s="1"/>
  <c r="J336" i="107"/>
  <c r="D374" i="120" s="1"/>
  <c r="M299" i="107"/>
  <c r="M322" i="107" s="1"/>
  <c r="J322" i="107"/>
  <c r="J1820" i="107" s="1"/>
  <c r="D2225" i="120" s="1"/>
  <c r="L299" i="107"/>
  <c r="F326" i="120" s="1"/>
  <c r="N299" i="107"/>
  <c r="N322" i="107" s="1"/>
  <c r="K321" i="120"/>
  <c r="G335" i="107"/>
  <c r="F315" i="119" s="1"/>
  <c r="Q324" i="107"/>
  <c r="Q1822" i="107" s="1"/>
  <c r="K2227" i="120" s="1"/>
  <c r="I328" i="120"/>
  <c r="P318" i="107"/>
  <c r="P1816" i="107" s="1"/>
  <c r="F321" i="120"/>
  <c r="L324" i="107"/>
  <c r="L336" i="107" s="1"/>
  <c r="F374" i="120" s="1"/>
  <c r="G327" i="107"/>
  <c r="F297" i="119" s="1"/>
  <c r="G642" i="107"/>
  <c r="F755" i="119" s="1"/>
  <c r="G1821" i="107"/>
  <c r="G1824" i="107" s="1"/>
  <c r="E28" i="116" s="1"/>
  <c r="K300" i="107"/>
  <c r="H328" i="120"/>
  <c r="E321" i="120"/>
  <c r="J328" i="120"/>
  <c r="J323" i="107"/>
  <c r="J335" i="107" s="1"/>
  <c r="D373" i="120" s="1"/>
  <c r="P299" i="107"/>
  <c r="J326" i="120" s="1"/>
  <c r="H321" i="120"/>
  <c r="E325" i="120"/>
  <c r="H641" i="107"/>
  <c r="G754" i="119" s="1"/>
  <c r="H1820" i="107"/>
  <c r="G292" i="119"/>
  <c r="H334" i="107"/>
  <c r="G314" i="119" s="1"/>
  <c r="H335" i="107"/>
  <c r="G315" i="119" s="1"/>
  <c r="P300" i="107"/>
  <c r="P323" i="107" s="1"/>
  <c r="G293" i="119"/>
  <c r="M300" i="107"/>
  <c r="G327" i="120" s="1"/>
  <c r="O321" i="107"/>
  <c r="O640" i="107" s="1"/>
  <c r="I807" i="120" s="1"/>
  <c r="Q300" i="107"/>
  <c r="Q323" i="107" s="1"/>
  <c r="D327" i="120"/>
  <c r="H327" i="107"/>
  <c r="G297" i="119" s="1"/>
  <c r="L300" i="107"/>
  <c r="L323" i="107" s="1"/>
  <c r="N300" i="107"/>
  <c r="H327" i="120" s="1"/>
  <c r="H1821" i="107"/>
  <c r="J303" i="107"/>
  <c r="J315" i="107" s="1"/>
  <c r="D342" i="120" s="1"/>
  <c r="H642" i="107"/>
  <c r="G755" i="119" s="1"/>
  <c r="J1819" i="107"/>
  <c r="D2224" i="120" s="1"/>
  <c r="G273" i="119"/>
  <c r="H315" i="107"/>
  <c r="G285" i="119" s="1"/>
  <c r="M321" i="107"/>
  <c r="M333" i="107" s="1"/>
  <c r="G360" i="120" s="1"/>
  <c r="E314" i="119"/>
  <c r="D348" i="120"/>
  <c r="J640" i="107"/>
  <c r="D807" i="120" s="1"/>
  <c r="J325" i="120"/>
  <c r="F645" i="107"/>
  <c r="E758" i="119" s="1"/>
  <c r="G1824" i="161"/>
  <c r="F1824" i="161"/>
  <c r="H315" i="161"/>
  <c r="E297" i="119"/>
  <c r="J303" i="161"/>
  <c r="J315" i="161" s="1"/>
  <c r="G338" i="161"/>
  <c r="F338" i="161"/>
  <c r="H327" i="161"/>
  <c r="H22" i="161" s="1"/>
  <c r="M1818" i="161"/>
  <c r="M639" i="161"/>
  <c r="M332" i="161"/>
  <c r="L1817" i="161"/>
  <c r="L638" i="161"/>
  <c r="L331" i="161"/>
  <c r="N1818" i="161"/>
  <c r="N639" i="161"/>
  <c r="N332" i="161"/>
  <c r="O1819" i="161"/>
  <c r="O640" i="161"/>
  <c r="O333" i="161"/>
  <c r="M318" i="161"/>
  <c r="O639" i="161"/>
  <c r="O332" i="161"/>
  <c r="O1818" i="161"/>
  <c r="P1819" i="161"/>
  <c r="P640" i="161"/>
  <c r="P333" i="161"/>
  <c r="J1822" i="161"/>
  <c r="J643" i="161"/>
  <c r="J336" i="161"/>
  <c r="N318" i="161"/>
  <c r="M1817" i="161"/>
  <c r="M638" i="161"/>
  <c r="M331" i="161"/>
  <c r="I639" i="161"/>
  <c r="K318" i="161"/>
  <c r="F22" i="161"/>
  <c r="L1822" i="161"/>
  <c r="L643" i="161"/>
  <c r="L336" i="161"/>
  <c r="K331" i="161"/>
  <c r="K638" i="161"/>
  <c r="K1817" i="161"/>
  <c r="I330" i="161"/>
  <c r="L332" i="161"/>
  <c r="L1818" i="161"/>
  <c r="L639" i="161"/>
  <c r="F645" i="161"/>
  <c r="Q640" i="161"/>
  <c r="Q1819" i="161"/>
  <c r="Q333" i="161"/>
  <c r="M1822" i="161"/>
  <c r="M643" i="161"/>
  <c r="M336" i="161"/>
  <c r="O318" i="161"/>
  <c r="N1817" i="161"/>
  <c r="N638" i="161"/>
  <c r="N331" i="161"/>
  <c r="Q639" i="161"/>
  <c r="Q332" i="161"/>
  <c r="Q1818" i="161"/>
  <c r="J1819" i="161"/>
  <c r="J640" i="161"/>
  <c r="J333" i="161"/>
  <c r="P1822" i="161"/>
  <c r="P643" i="161"/>
  <c r="P336" i="161"/>
  <c r="P318" i="161"/>
  <c r="O1817" i="161"/>
  <c r="O638" i="161"/>
  <c r="O331" i="161"/>
  <c r="K1822" i="161"/>
  <c r="K643" i="161"/>
  <c r="K336" i="161"/>
  <c r="I638" i="161"/>
  <c r="K1818" i="161"/>
  <c r="K332" i="161"/>
  <c r="K639" i="161"/>
  <c r="K1819" i="161"/>
  <c r="K640" i="161"/>
  <c r="K333" i="161"/>
  <c r="N1822" i="161"/>
  <c r="N643" i="161"/>
  <c r="N336" i="161"/>
  <c r="Q318" i="161"/>
  <c r="P638" i="161"/>
  <c r="P331" i="161"/>
  <c r="P1817" i="161"/>
  <c r="L333" i="161"/>
  <c r="L640" i="161"/>
  <c r="L1819" i="161"/>
  <c r="J639" i="161"/>
  <c r="J332" i="161"/>
  <c r="J1818" i="161"/>
  <c r="H1821" i="161"/>
  <c r="H642" i="161"/>
  <c r="H335" i="161"/>
  <c r="I335" i="161" s="1"/>
  <c r="H334" i="161"/>
  <c r="I334" i="161" s="1"/>
  <c r="H641" i="161"/>
  <c r="H1820" i="161"/>
  <c r="M1819" i="161"/>
  <c r="M640" i="161"/>
  <c r="M333" i="161"/>
  <c r="O1822" i="161"/>
  <c r="O643" i="161"/>
  <c r="O336" i="161"/>
  <c r="L318" i="161"/>
  <c r="Q331" i="161"/>
  <c r="Q1817" i="161"/>
  <c r="Q638" i="161"/>
  <c r="I323" i="161"/>
  <c r="P1818" i="161"/>
  <c r="P639" i="161"/>
  <c r="P332" i="161"/>
  <c r="L300" i="161"/>
  <c r="L323" i="161" s="1"/>
  <c r="K300" i="161"/>
  <c r="K323" i="161" s="1"/>
  <c r="Q300" i="161"/>
  <c r="Q323" i="161" s="1"/>
  <c r="P300" i="161"/>
  <c r="P323" i="161" s="1"/>
  <c r="O300" i="161"/>
  <c r="O323" i="161" s="1"/>
  <c r="N300" i="161"/>
  <c r="N323" i="161" s="1"/>
  <c r="M300" i="161"/>
  <c r="M323" i="161" s="1"/>
  <c r="J323" i="161"/>
  <c r="M299" i="161"/>
  <c r="M322" i="161" s="1"/>
  <c r="L299" i="161"/>
  <c r="L322" i="161" s="1"/>
  <c r="P299" i="161"/>
  <c r="P322" i="161" s="1"/>
  <c r="K299" i="161"/>
  <c r="K322" i="161" s="1"/>
  <c r="Q299" i="161"/>
  <c r="Q322" i="161" s="1"/>
  <c r="O299" i="161"/>
  <c r="O322" i="161" s="1"/>
  <c r="N299" i="161"/>
  <c r="N322" i="161" s="1"/>
  <c r="J322" i="161"/>
  <c r="N1819" i="161"/>
  <c r="N640" i="161"/>
  <c r="N333" i="161"/>
  <c r="Q1822" i="161"/>
  <c r="Q643" i="161"/>
  <c r="Q336" i="161"/>
  <c r="G645" i="161"/>
  <c r="J330" i="161"/>
  <c r="J1816" i="161"/>
  <c r="J637" i="161"/>
  <c r="J638" i="161"/>
  <c r="J331" i="161"/>
  <c r="J1817" i="161"/>
  <c r="D357" i="120"/>
  <c r="L333" i="107"/>
  <c r="F360" i="120" s="1"/>
  <c r="L1819" i="107"/>
  <c r="F2224" i="120" s="1"/>
  <c r="F348" i="120"/>
  <c r="L640" i="107"/>
  <c r="F807" i="120" s="1"/>
  <c r="Q322" i="107"/>
  <c r="K326" i="120"/>
  <c r="N331" i="107"/>
  <c r="H358" i="120" s="1"/>
  <c r="N638" i="107"/>
  <c r="H805" i="120" s="1"/>
  <c r="N1817" i="107"/>
  <c r="H2222" i="120" s="1"/>
  <c r="H346" i="120"/>
  <c r="M638" i="107"/>
  <c r="G805" i="120" s="1"/>
  <c r="M331" i="107"/>
  <c r="G358" i="120" s="1"/>
  <c r="G346" i="120"/>
  <c r="M1817" i="107"/>
  <c r="G2222" i="120" s="1"/>
  <c r="K332" i="107"/>
  <c r="E359" i="120" s="1"/>
  <c r="K1818" i="107"/>
  <c r="E2223" i="120" s="1"/>
  <c r="E347" i="120"/>
  <c r="K639" i="107"/>
  <c r="E806" i="120" s="1"/>
  <c r="O336" i="107"/>
  <c r="I374" i="120" s="1"/>
  <c r="O643" i="107"/>
  <c r="I810" i="120" s="1"/>
  <c r="O1822" i="107"/>
  <c r="I2227" i="120" s="1"/>
  <c r="I351" i="120"/>
  <c r="D804" i="120"/>
  <c r="M639" i="107"/>
  <c r="G806" i="120" s="1"/>
  <c r="M1818" i="107"/>
  <c r="G2223" i="120" s="1"/>
  <c r="G347" i="120"/>
  <c r="M332" i="107"/>
  <c r="G359" i="120" s="1"/>
  <c r="O323" i="107"/>
  <c r="I327" i="120"/>
  <c r="K336" i="107"/>
  <c r="E374" i="120" s="1"/>
  <c r="K1822" i="107"/>
  <c r="E2227" i="120" s="1"/>
  <c r="K643" i="107"/>
  <c r="E810" i="120" s="1"/>
  <c r="E351" i="120"/>
  <c r="M643" i="107"/>
  <c r="G810" i="120" s="1"/>
  <c r="M336" i="107"/>
  <c r="G374" i="120" s="1"/>
  <c r="G351" i="120"/>
  <c r="M1822" i="107"/>
  <c r="G2227" i="120" s="1"/>
  <c r="D2221" i="120"/>
  <c r="O638" i="107"/>
  <c r="I805" i="120" s="1"/>
  <c r="O1817" i="107"/>
  <c r="I2222" i="120" s="1"/>
  <c r="O331" i="107"/>
  <c r="I358" i="120" s="1"/>
  <c r="I346" i="120"/>
  <c r="P638" i="107"/>
  <c r="J805" i="120" s="1"/>
  <c r="J346" i="120"/>
  <c r="P331" i="107"/>
  <c r="J358" i="120" s="1"/>
  <c r="P1817" i="107"/>
  <c r="J2222" i="120" s="1"/>
  <c r="N639" i="107"/>
  <c r="H806" i="120" s="1"/>
  <c r="H347" i="120"/>
  <c r="N332" i="107"/>
  <c r="H359" i="120" s="1"/>
  <c r="N1818" i="107"/>
  <c r="H2223" i="120" s="1"/>
  <c r="E345" i="120"/>
  <c r="K637" i="107"/>
  <c r="K1816" i="107"/>
  <c r="K330" i="107"/>
  <c r="O332" i="107"/>
  <c r="I359" i="120" s="1"/>
  <c r="O639" i="107"/>
  <c r="I806" i="120" s="1"/>
  <c r="O1818" i="107"/>
  <c r="I2223" i="120" s="1"/>
  <c r="I347" i="120"/>
  <c r="Q639" i="107"/>
  <c r="K806" i="120" s="1"/>
  <c r="Q1818" i="107"/>
  <c r="K2223" i="120" s="1"/>
  <c r="K347" i="120"/>
  <c r="Q332" i="107"/>
  <c r="K359" i="120" s="1"/>
  <c r="K331" i="107"/>
  <c r="E358" i="120" s="1"/>
  <c r="K638" i="107"/>
  <c r="E805" i="120" s="1"/>
  <c r="E346" i="120"/>
  <c r="K1817" i="107"/>
  <c r="E2222" i="120" s="1"/>
  <c r="N643" i="107"/>
  <c r="H810" i="120" s="1"/>
  <c r="N336" i="107"/>
  <c r="H374" i="120" s="1"/>
  <c r="N1822" i="107"/>
  <c r="H2227" i="120" s="1"/>
  <c r="H351" i="120"/>
  <c r="P639" i="107"/>
  <c r="J806" i="120" s="1"/>
  <c r="P332" i="107"/>
  <c r="J359" i="120" s="1"/>
  <c r="P1818" i="107"/>
  <c r="J2223" i="120" s="1"/>
  <c r="J347" i="120"/>
  <c r="Q638" i="107"/>
  <c r="K805" i="120" s="1"/>
  <c r="Q331" i="107"/>
  <c r="K358" i="120" s="1"/>
  <c r="Q1817" i="107"/>
  <c r="K2222" i="120" s="1"/>
  <c r="K346" i="120"/>
  <c r="K333" i="107"/>
  <c r="E360" i="120" s="1"/>
  <c r="K640" i="107"/>
  <c r="E807" i="120" s="1"/>
  <c r="K1819" i="107"/>
  <c r="E2224" i="120" s="1"/>
  <c r="E348" i="120"/>
  <c r="P336" i="107"/>
  <c r="J374" i="120" s="1"/>
  <c r="P1822" i="107"/>
  <c r="J2227" i="120" s="1"/>
  <c r="P643" i="107"/>
  <c r="J810" i="120" s="1"/>
  <c r="J351" i="120"/>
  <c r="P333" i="107"/>
  <c r="J360" i="120" s="1"/>
  <c r="P640" i="107"/>
  <c r="J807" i="120" s="1"/>
  <c r="P1819" i="107"/>
  <c r="J2224" i="120" s="1"/>
  <c r="J348" i="120"/>
  <c r="N333" i="107"/>
  <c r="H360" i="120" s="1"/>
  <c r="N1819" i="107"/>
  <c r="H2224" i="120" s="1"/>
  <c r="H348" i="120"/>
  <c r="N640" i="107"/>
  <c r="H807" i="120" s="1"/>
  <c r="N1816" i="107"/>
  <c r="H345" i="120"/>
  <c r="N637" i="107"/>
  <c r="N330" i="107"/>
  <c r="L332" i="107"/>
  <c r="F359" i="120" s="1"/>
  <c r="F347" i="120"/>
  <c r="L639" i="107"/>
  <c r="F806" i="120" s="1"/>
  <c r="L1818" i="107"/>
  <c r="F2223" i="120" s="1"/>
  <c r="L637" i="107"/>
  <c r="F345" i="120"/>
  <c r="L330" i="107"/>
  <c r="L1816" i="107"/>
  <c r="L638" i="107"/>
  <c r="F805" i="120" s="1"/>
  <c r="F346" i="120"/>
  <c r="L331" i="107"/>
  <c r="F358" i="120" s="1"/>
  <c r="L1817" i="107"/>
  <c r="F2222" i="120" s="1"/>
  <c r="Q1816" i="107"/>
  <c r="K345" i="120"/>
  <c r="Q637" i="107"/>
  <c r="Q330" i="107"/>
  <c r="E326" i="120" l="1"/>
  <c r="O1816" i="107"/>
  <c r="I2221" i="120" s="1"/>
  <c r="O330" i="107"/>
  <c r="I357" i="120" s="1"/>
  <c r="I345" i="120"/>
  <c r="M330" i="107"/>
  <c r="G357" i="120" s="1"/>
  <c r="M637" i="107"/>
  <c r="G804" i="120" s="1"/>
  <c r="Q640" i="107"/>
  <c r="K807" i="120" s="1"/>
  <c r="K348" i="120"/>
  <c r="Q1819" i="107"/>
  <c r="K2224" i="120" s="1"/>
  <c r="O322" i="107"/>
  <c r="O1820" i="107" s="1"/>
  <c r="I2225" i="120" s="1"/>
  <c r="M1816" i="107"/>
  <c r="G2221" i="120" s="1"/>
  <c r="Q643" i="107"/>
  <c r="K810" i="120" s="1"/>
  <c r="I326" i="120"/>
  <c r="L322" i="107"/>
  <c r="F349" i="120" s="1"/>
  <c r="J1821" i="107"/>
  <c r="D2226" i="120" s="1"/>
  <c r="J642" i="107"/>
  <c r="D809" i="120" s="1"/>
  <c r="F351" i="120"/>
  <c r="D350" i="120"/>
  <c r="L1822" i="107"/>
  <c r="F2227" i="120" s="1"/>
  <c r="L643" i="107"/>
  <c r="F810" i="120" s="1"/>
  <c r="H326" i="120"/>
  <c r="Q336" i="107"/>
  <c r="K374" i="120" s="1"/>
  <c r="G22" i="107"/>
  <c r="F21" i="119" s="1"/>
  <c r="J327" i="120"/>
  <c r="P303" i="107"/>
  <c r="P315" i="107" s="1"/>
  <c r="J342" i="120" s="1"/>
  <c r="K303" i="107"/>
  <c r="K315" i="107" s="1"/>
  <c r="E342" i="120" s="1"/>
  <c r="P322" i="107"/>
  <c r="P641" i="107" s="1"/>
  <c r="J808" i="120" s="1"/>
  <c r="J334" i="107"/>
  <c r="D361" i="120" s="1"/>
  <c r="D349" i="120"/>
  <c r="J641" i="107"/>
  <c r="D808" i="120" s="1"/>
  <c r="P637" i="107"/>
  <c r="J804" i="120" s="1"/>
  <c r="G326" i="120"/>
  <c r="N323" i="107"/>
  <c r="N327" i="107" s="1"/>
  <c r="N22" i="107" s="1"/>
  <c r="H21" i="120" s="1"/>
  <c r="M303" i="107"/>
  <c r="M315" i="107" s="1"/>
  <c r="G342" i="120" s="1"/>
  <c r="G645" i="107"/>
  <c r="F758" i="119" s="1"/>
  <c r="K351" i="120"/>
  <c r="K327" i="120"/>
  <c r="J327" i="107"/>
  <c r="J22" i="107" s="1"/>
  <c r="J345" i="120"/>
  <c r="M323" i="107"/>
  <c r="M327" i="107" s="1"/>
  <c r="M22" i="107" s="1"/>
  <c r="G21" i="120" s="1"/>
  <c r="P330" i="107"/>
  <c r="J357" i="120" s="1"/>
  <c r="G338" i="107"/>
  <c r="F318" i="119" s="1"/>
  <c r="N303" i="107"/>
  <c r="H330" i="120" s="1"/>
  <c r="D330" i="120"/>
  <c r="E327" i="120"/>
  <c r="K323" i="107"/>
  <c r="K642" i="107" s="1"/>
  <c r="E809" i="120" s="1"/>
  <c r="I641" i="107"/>
  <c r="H754" i="119" s="1"/>
  <c r="Q303" i="107"/>
  <c r="Q315" i="107" s="1"/>
  <c r="K342" i="120" s="1"/>
  <c r="H645" i="107"/>
  <c r="I645" i="107" s="1"/>
  <c r="H758" i="119" s="1"/>
  <c r="I348" i="120"/>
  <c r="I334" i="107"/>
  <c r="H314" i="119" s="1"/>
  <c r="I327" i="107"/>
  <c r="H297" i="119" s="1"/>
  <c r="H22" i="107"/>
  <c r="I335" i="107"/>
  <c r="H315" i="119" s="1"/>
  <c r="H338" i="107"/>
  <c r="I338" i="107" s="1"/>
  <c r="H318" i="119" s="1"/>
  <c r="M640" i="107"/>
  <c r="G807" i="120" s="1"/>
  <c r="H1824" i="107"/>
  <c r="F28" i="116" s="1"/>
  <c r="T28" i="116" s="1"/>
  <c r="I642" i="107"/>
  <c r="H755" i="119" s="1"/>
  <c r="O1819" i="107"/>
  <c r="I2224" i="120" s="1"/>
  <c r="O333" i="107"/>
  <c r="I360" i="120" s="1"/>
  <c r="L303" i="107"/>
  <c r="L315" i="107" s="1"/>
  <c r="F342" i="120" s="1"/>
  <c r="G348" i="120"/>
  <c r="F327" i="120"/>
  <c r="M1819" i="107"/>
  <c r="G2224" i="120" s="1"/>
  <c r="O315" i="107"/>
  <c r="I342" i="120" s="1"/>
  <c r="H1824" i="161"/>
  <c r="I327" i="161"/>
  <c r="H645" i="161"/>
  <c r="I645" i="161" s="1"/>
  <c r="P303" i="161"/>
  <c r="P315" i="161" s="1"/>
  <c r="H338" i="161"/>
  <c r="I338" i="161" s="1"/>
  <c r="K303" i="161"/>
  <c r="K315" i="161" s="1"/>
  <c r="L303" i="161"/>
  <c r="L315" i="161" s="1"/>
  <c r="O303" i="161"/>
  <c r="O315" i="161" s="1"/>
  <c r="J334" i="161"/>
  <c r="J1820" i="161"/>
  <c r="J641" i="161"/>
  <c r="M642" i="161"/>
  <c r="M335" i="161"/>
  <c r="M1821" i="161"/>
  <c r="O1820" i="161"/>
  <c r="O641" i="161"/>
  <c r="O334" i="161"/>
  <c r="N335" i="161"/>
  <c r="N1821" i="161"/>
  <c r="N642" i="161"/>
  <c r="L330" i="161"/>
  <c r="L1816" i="161"/>
  <c r="L637" i="161"/>
  <c r="L327" i="161"/>
  <c r="L22" i="161" s="1"/>
  <c r="P1816" i="161"/>
  <c r="P637" i="161"/>
  <c r="P330" i="161"/>
  <c r="P327" i="161"/>
  <c r="P22" i="161" s="1"/>
  <c r="O1816" i="161"/>
  <c r="O637" i="161"/>
  <c r="O330" i="161"/>
  <c r="O327" i="161"/>
  <c r="O22" i="161" s="1"/>
  <c r="N1816" i="161"/>
  <c r="N637" i="161"/>
  <c r="N330" i="161"/>
  <c r="N327" i="161"/>
  <c r="N22" i="161" s="1"/>
  <c r="M1816" i="161"/>
  <c r="M637" i="161"/>
  <c r="M330" i="161"/>
  <c r="M327" i="161"/>
  <c r="M22" i="161" s="1"/>
  <c r="J335" i="161"/>
  <c r="J1821" i="161"/>
  <c r="J642" i="161"/>
  <c r="N334" i="161"/>
  <c r="N641" i="161"/>
  <c r="N1820" i="161"/>
  <c r="K1816" i="161"/>
  <c r="K330" i="161"/>
  <c r="K637" i="161"/>
  <c r="K327" i="161"/>
  <c r="K22" i="161" s="1"/>
  <c r="N303" i="161"/>
  <c r="N315" i="161" s="1"/>
  <c r="Q327" i="107"/>
  <c r="K354" i="120" s="1"/>
  <c r="Q1820" i="161"/>
  <c r="Q641" i="161"/>
  <c r="Q334" i="161"/>
  <c r="O642" i="161"/>
  <c r="O335" i="161"/>
  <c r="O1821" i="161"/>
  <c r="I641" i="161"/>
  <c r="Q303" i="161"/>
  <c r="Q315" i="161" s="1"/>
  <c r="M303" i="161"/>
  <c r="M315" i="161" s="1"/>
  <c r="K641" i="161"/>
  <c r="K334" i="161"/>
  <c r="K1820" i="161"/>
  <c r="P1821" i="161"/>
  <c r="P642" i="161"/>
  <c r="P335" i="161"/>
  <c r="Q1816" i="161"/>
  <c r="Q637" i="161"/>
  <c r="Q330" i="161"/>
  <c r="Q327" i="161"/>
  <c r="Q22" i="161" s="1"/>
  <c r="J327" i="161"/>
  <c r="J22" i="161" s="1"/>
  <c r="P1820" i="161"/>
  <c r="P641" i="161"/>
  <c r="P334" i="161"/>
  <c r="Q1821" i="161"/>
  <c r="Q642" i="161"/>
  <c r="Q335" i="161"/>
  <c r="L1820" i="161"/>
  <c r="L641" i="161"/>
  <c r="L334" i="161"/>
  <c r="K1821" i="161"/>
  <c r="K642" i="161"/>
  <c r="K335" i="161"/>
  <c r="I642" i="161"/>
  <c r="I22" i="161"/>
  <c r="M334" i="161"/>
  <c r="M1820" i="161"/>
  <c r="M641" i="161"/>
  <c r="L335" i="161"/>
  <c r="L1821" i="161"/>
  <c r="L642" i="161"/>
  <c r="E2221" i="120"/>
  <c r="O642" i="107"/>
  <c r="I809" i="120" s="1"/>
  <c r="O335" i="107"/>
  <c r="I373" i="120" s="1"/>
  <c r="O1821" i="107"/>
  <c r="I2226" i="120" s="1"/>
  <c r="I350" i="120"/>
  <c r="J2221" i="120"/>
  <c r="K804" i="120"/>
  <c r="H804" i="120"/>
  <c r="E804" i="120"/>
  <c r="K2221" i="120"/>
  <c r="H2221" i="120"/>
  <c r="I804" i="120"/>
  <c r="Q641" i="107"/>
  <c r="K808" i="120" s="1"/>
  <c r="Q334" i="107"/>
  <c r="K361" i="120" s="1"/>
  <c r="Q1820" i="107"/>
  <c r="K2225" i="120" s="1"/>
  <c r="K349" i="120"/>
  <c r="H357" i="120"/>
  <c r="Q642" i="107"/>
  <c r="K809" i="120" s="1"/>
  <c r="K350" i="120"/>
  <c r="Q335" i="107"/>
  <c r="K373" i="120" s="1"/>
  <c r="Q1821" i="107"/>
  <c r="K2226" i="120" s="1"/>
  <c r="F357" i="120"/>
  <c r="M641" i="107"/>
  <c r="G808" i="120" s="1"/>
  <c r="M334" i="107"/>
  <c r="M1820" i="107"/>
  <c r="G2225" i="120" s="1"/>
  <c r="G349" i="120"/>
  <c r="F804" i="120"/>
  <c r="P642" i="107"/>
  <c r="J809" i="120" s="1"/>
  <c r="J350" i="120"/>
  <c r="P335" i="107"/>
  <c r="J373" i="120" s="1"/>
  <c r="P1821" i="107"/>
  <c r="J2226" i="120" s="1"/>
  <c r="K357" i="120"/>
  <c r="F2221" i="120"/>
  <c r="L642" i="107"/>
  <c r="F809" i="120" s="1"/>
  <c r="F350" i="120"/>
  <c r="L335" i="107"/>
  <c r="F373" i="120" s="1"/>
  <c r="L1821" i="107"/>
  <c r="F2226" i="120" s="1"/>
  <c r="K641" i="107"/>
  <c r="E808" i="120" s="1"/>
  <c r="K334" i="107"/>
  <c r="E361" i="120" s="1"/>
  <c r="K1820" i="107"/>
  <c r="E2225" i="120" s="1"/>
  <c r="E349" i="120"/>
  <c r="E357" i="120"/>
  <c r="N641" i="107"/>
  <c r="H808" i="120" s="1"/>
  <c r="N1820" i="107"/>
  <c r="H2225" i="120" s="1"/>
  <c r="H349" i="120"/>
  <c r="N334" i="107"/>
  <c r="G21" i="119" l="1"/>
  <c r="D21" i="120"/>
  <c r="O334" i="107"/>
  <c r="I361" i="120" s="1"/>
  <c r="J1824" i="107"/>
  <c r="D2229" i="120" s="1"/>
  <c r="I349" i="120"/>
  <c r="O641" i="107"/>
  <c r="I808" i="120" s="1"/>
  <c r="L334" i="107"/>
  <c r="F361" i="120" s="1"/>
  <c r="L641" i="107"/>
  <c r="F808" i="120" s="1"/>
  <c r="L327" i="107"/>
  <c r="F354" i="120" s="1"/>
  <c r="M335" i="107"/>
  <c r="G373" i="120" s="1"/>
  <c r="O327" i="107"/>
  <c r="O22" i="107" s="1"/>
  <c r="I21" i="120" s="1"/>
  <c r="L1820" i="107"/>
  <c r="F2225" i="120" s="1"/>
  <c r="N1821" i="107"/>
  <c r="H2226" i="120" s="1"/>
  <c r="J645" i="107"/>
  <c r="D812" i="120" s="1"/>
  <c r="P327" i="107"/>
  <c r="J354" i="120" s="1"/>
  <c r="P1820" i="107"/>
  <c r="J2225" i="120" s="1"/>
  <c r="P334" i="107"/>
  <c r="J361" i="120" s="1"/>
  <c r="J349" i="120"/>
  <c r="E330" i="120"/>
  <c r="G330" i="120"/>
  <c r="J338" i="107"/>
  <c r="D376" i="120" s="1"/>
  <c r="J330" i="120"/>
  <c r="D354" i="120"/>
  <c r="K327" i="107"/>
  <c r="E354" i="120" s="1"/>
  <c r="J1824" i="161"/>
  <c r="G758" i="119"/>
  <c r="N335" i="107"/>
  <c r="H373" i="120" s="1"/>
  <c r="H350" i="120"/>
  <c r="N642" i="107"/>
  <c r="H809" i="120" s="1"/>
  <c r="K330" i="120"/>
  <c r="M1821" i="107"/>
  <c r="G2226" i="120" s="1"/>
  <c r="G350" i="120"/>
  <c r="M642" i="107"/>
  <c r="G809" i="120" s="1"/>
  <c r="N315" i="107"/>
  <c r="H342" i="120" s="1"/>
  <c r="E350" i="120"/>
  <c r="I22" i="107"/>
  <c r="AG21" i="115" s="1"/>
  <c r="K335" i="107"/>
  <c r="E373" i="120" s="1"/>
  <c r="K1821" i="107"/>
  <c r="E2226" i="120" s="1"/>
  <c r="G318" i="119"/>
  <c r="F330" i="120"/>
  <c r="H354" i="120"/>
  <c r="Q22" i="107"/>
  <c r="K21" i="120" s="1"/>
  <c r="O1824" i="161"/>
  <c r="O1824" i="107"/>
  <c r="I2229" i="120" s="1"/>
  <c r="O645" i="161"/>
  <c r="Q645" i="161"/>
  <c r="Q338" i="161"/>
  <c r="Q1824" i="161"/>
  <c r="P338" i="161"/>
  <c r="M338" i="161"/>
  <c r="J645" i="161"/>
  <c r="N1824" i="161"/>
  <c r="O338" i="161"/>
  <c r="J338" i="161"/>
  <c r="L338" i="161"/>
  <c r="K338" i="161"/>
  <c r="P1824" i="161"/>
  <c r="L1824" i="161"/>
  <c r="K1824" i="161"/>
  <c r="N645" i="161"/>
  <c r="M1824" i="161"/>
  <c r="K645" i="161"/>
  <c r="N338" i="161"/>
  <c r="L645" i="161"/>
  <c r="M645" i="161"/>
  <c r="P645" i="161"/>
  <c r="G354" i="120"/>
  <c r="P645" i="107"/>
  <c r="J812" i="120" s="1"/>
  <c r="G361" i="120"/>
  <c r="Q1824" i="107"/>
  <c r="H361" i="120"/>
  <c r="K645" i="107"/>
  <c r="E812" i="120" s="1"/>
  <c r="Q645" i="107"/>
  <c r="K812" i="120" s="1"/>
  <c r="Q338" i="107"/>
  <c r="K376" i="120" s="1"/>
  <c r="O338" i="107" l="1"/>
  <c r="I376" i="120" s="1"/>
  <c r="H28" i="116"/>
  <c r="R28" i="116" s="1"/>
  <c r="L645" i="107"/>
  <c r="F812" i="120" s="1"/>
  <c r="O645" i="107"/>
  <c r="I812" i="120" s="1"/>
  <c r="L338" i="107"/>
  <c r="F376" i="120" s="1"/>
  <c r="L22" i="107"/>
  <c r="F21" i="120" s="1"/>
  <c r="M338" i="107"/>
  <c r="G376" i="120" s="1"/>
  <c r="L1824" i="107"/>
  <c r="J28" i="116" s="1"/>
  <c r="I354" i="120"/>
  <c r="N1824" i="107"/>
  <c r="H2229" i="120" s="1"/>
  <c r="P22" i="107"/>
  <c r="J21" i="120" s="1"/>
  <c r="P1824" i="107"/>
  <c r="N28" i="116" s="1"/>
  <c r="P338" i="107"/>
  <c r="J376" i="120" s="1"/>
  <c r="N645" i="107"/>
  <c r="H812" i="120" s="1"/>
  <c r="M1824" i="107"/>
  <c r="G2229" i="120" s="1"/>
  <c r="K22" i="107"/>
  <c r="H21" i="119"/>
  <c r="M645" i="107"/>
  <c r="G812" i="120" s="1"/>
  <c r="N338" i="107"/>
  <c r="H376" i="120" s="1"/>
  <c r="K1824" i="107"/>
  <c r="I28" i="116" s="1"/>
  <c r="K338" i="107"/>
  <c r="E376" i="120" s="1"/>
  <c r="M28" i="116"/>
  <c r="K2229" i="120"/>
  <c r="O28" i="116"/>
  <c r="AK21" i="115"/>
  <c r="AI21" i="115"/>
  <c r="M42" i="106"/>
  <c r="M49" i="106" s="1"/>
  <c r="M52" i="106" s="1"/>
  <c r="M98" i="106" s="1"/>
  <c r="M102" i="106" s="1"/>
  <c r="M41" i="104"/>
  <c r="M74" i="104" s="1"/>
  <c r="M77" i="104" s="1"/>
  <c r="E21" i="120" l="1"/>
  <c r="F2229" i="120"/>
  <c r="L28" i="116"/>
  <c r="J2229" i="120"/>
  <c r="K28" i="116"/>
  <c r="E2229" i="120"/>
  <c r="E42" i="106"/>
  <c r="F41" i="104"/>
  <c r="F74" i="104" s="1"/>
  <c r="P28" i="116" l="1"/>
  <c r="L42" i="106"/>
  <c r="L49" i="106" s="1"/>
  <c r="L52" i="106" s="1"/>
  <c r="L98" i="106" s="1"/>
  <c r="L102" i="106" s="1"/>
  <c r="E49" i="106"/>
  <c r="E52" i="106" s="1"/>
  <c r="E98" i="106" s="1"/>
  <c r="E102" i="106" s="1"/>
  <c r="E20" i="105" l="1"/>
  <c r="E27" i="105" s="1"/>
  <c r="F39" i="105" s="1"/>
  <c r="E20" i="166"/>
  <c r="E27" i="166" s="1"/>
  <c r="F35" i="105" l="1"/>
  <c r="F96" i="105" s="1"/>
  <c r="E28" i="105"/>
  <c r="F38" i="105"/>
  <c r="F99" i="105" s="1"/>
  <c r="F36" i="105"/>
  <c r="F456" i="100" s="1"/>
  <c r="F33" i="105"/>
  <c r="F94" i="105" s="1"/>
  <c r="F37" i="105"/>
  <c r="F457" i="100" s="1"/>
  <c r="F32" i="105"/>
  <c r="F452" i="100" s="1"/>
  <c r="G27" i="105"/>
  <c r="G28" i="105" s="1"/>
  <c r="F34" i="105"/>
  <c r="F95" i="105" s="1"/>
  <c r="J7" i="105"/>
  <c r="J9" i="105" s="1"/>
  <c r="J7" i="166"/>
  <c r="J9" i="166" s="1"/>
  <c r="G27" i="166"/>
  <c r="G28" i="166" s="1"/>
  <c r="E28" i="166"/>
  <c r="F34" i="166"/>
  <c r="F36" i="166"/>
  <c r="F38" i="166"/>
  <c r="F32" i="166"/>
  <c r="F37" i="166"/>
  <c r="F33" i="166"/>
  <c r="F39" i="166"/>
  <c r="F35" i="166"/>
  <c r="F100" i="105"/>
  <c r="F459" i="100"/>
  <c r="F454" i="100" l="1"/>
  <c r="F1240" i="107" s="1"/>
  <c r="G1240" i="107" s="1"/>
  <c r="F455" i="100"/>
  <c r="F1241" i="107" s="1"/>
  <c r="G1241" i="107" s="1"/>
  <c r="F97" i="105"/>
  <c r="F458" i="100"/>
  <c r="F453" i="100"/>
  <c r="F1239" i="107" s="1"/>
  <c r="H1239" i="107" s="1"/>
  <c r="I1239" i="107" s="1"/>
  <c r="H1533" i="119" s="1"/>
  <c r="F93" i="105"/>
  <c r="F98" i="105"/>
  <c r="F40" i="105"/>
  <c r="F456" i="151"/>
  <c r="F1242" i="161" s="1"/>
  <c r="F97" i="166"/>
  <c r="F454" i="151"/>
  <c r="F1240" i="161" s="1"/>
  <c r="F95" i="166"/>
  <c r="F455" i="151"/>
  <c r="F1241" i="161" s="1"/>
  <c r="F96" i="166"/>
  <c r="F459" i="151"/>
  <c r="F1245" i="161" s="1"/>
  <c r="F100" i="166"/>
  <c r="F94" i="166"/>
  <c r="F453" i="151"/>
  <c r="F1239" i="161" s="1"/>
  <c r="F457" i="151"/>
  <c r="F1243" i="161" s="1"/>
  <c r="F98" i="166"/>
  <c r="F452" i="151"/>
  <c r="D17" i="168" s="1"/>
  <c r="F40" i="166"/>
  <c r="F93" i="166"/>
  <c r="F99" i="166"/>
  <c r="F458" i="151"/>
  <c r="F1244" i="161" s="1"/>
  <c r="F1242" i="107"/>
  <c r="E1536" i="119" s="1"/>
  <c r="F1243" i="107"/>
  <c r="E1537" i="119" s="1"/>
  <c r="F1244" i="107"/>
  <c r="G1244" i="107" s="1"/>
  <c r="F1238" i="107"/>
  <c r="E1532" i="119" s="1"/>
  <c r="F1245" i="107"/>
  <c r="G1245" i="107" s="1"/>
  <c r="C17" i="168" l="1"/>
  <c r="F101" i="105"/>
  <c r="F101" i="166"/>
  <c r="F1238" i="161"/>
  <c r="H1238" i="161" s="1"/>
  <c r="F1307" i="107"/>
  <c r="E1589" i="119" s="1"/>
  <c r="H1240" i="107"/>
  <c r="I1240" i="107" s="1"/>
  <c r="H1534" i="119" s="1"/>
  <c r="E1534" i="119"/>
  <c r="F1310" i="107"/>
  <c r="E1592" i="119" s="1"/>
  <c r="F1308" i="107"/>
  <c r="E1590" i="119" s="1"/>
  <c r="F1312" i="107"/>
  <c r="E1594" i="119" s="1"/>
  <c r="G1243" i="107"/>
  <c r="G1310" i="107" s="1"/>
  <c r="H1243" i="107"/>
  <c r="I1243" i="107" s="1"/>
  <c r="H1537" i="119" s="1"/>
  <c r="E1535" i="119"/>
  <c r="F1311" i="107"/>
  <c r="E1593" i="119" s="1"/>
  <c r="E1538" i="119"/>
  <c r="H1244" i="107"/>
  <c r="I1244" i="107" s="1"/>
  <c r="H1538" i="119" s="1"/>
  <c r="G1238" i="107"/>
  <c r="F1532" i="119" s="1"/>
  <c r="H1245" i="107"/>
  <c r="G1539" i="119" s="1"/>
  <c r="H1238" i="107"/>
  <c r="I1238" i="107" s="1"/>
  <c r="H1532" i="119" s="1"/>
  <c r="F1305" i="107"/>
  <c r="F1487" i="107" s="1"/>
  <c r="H1241" i="107"/>
  <c r="I1241" i="107" s="1"/>
  <c r="H1535" i="119" s="1"/>
  <c r="E1533" i="119"/>
  <c r="G1239" i="161"/>
  <c r="G1306" i="161" s="1"/>
  <c r="G1488" i="161" s="1"/>
  <c r="G1510" i="161" s="1"/>
  <c r="G1603" i="161" s="1"/>
  <c r="H1239" i="161"/>
  <c r="I1239" i="161" s="1"/>
  <c r="F1306" i="161"/>
  <c r="F1246" i="107"/>
  <c r="E1540" i="119" s="1"/>
  <c r="F1308" i="161"/>
  <c r="G1241" i="161"/>
  <c r="G1308" i="161" s="1"/>
  <c r="G1490" i="161" s="1"/>
  <c r="G1512" i="161" s="1"/>
  <c r="G1605" i="161" s="1"/>
  <c r="H1241" i="161"/>
  <c r="G1242" i="107"/>
  <c r="G1309" i="107" s="1"/>
  <c r="F1306" i="107"/>
  <c r="F1312" i="161"/>
  <c r="G1245" i="161"/>
  <c r="G1312" i="161" s="1"/>
  <c r="G1494" i="161" s="1"/>
  <c r="G1516" i="161" s="1"/>
  <c r="G1609" i="161" s="1"/>
  <c r="H1245" i="161"/>
  <c r="I1245" i="161" s="1"/>
  <c r="F1309" i="107"/>
  <c r="F1491" i="107" s="1"/>
  <c r="F1311" i="161"/>
  <c r="G1244" i="161"/>
  <c r="H1244" i="161"/>
  <c r="I1244" i="161" s="1"/>
  <c r="E1539" i="119"/>
  <c r="H1242" i="107"/>
  <c r="I1242" i="107" s="1"/>
  <c r="H1536" i="119" s="1"/>
  <c r="G1239" i="107"/>
  <c r="G1306" i="107" s="1"/>
  <c r="F1310" i="161"/>
  <c r="G1243" i="161"/>
  <c r="G1310" i="161" s="1"/>
  <c r="G1492" i="161" s="1"/>
  <c r="G1514" i="161" s="1"/>
  <c r="G1607" i="161" s="1"/>
  <c r="H1243" i="161"/>
  <c r="I1243" i="161" s="1"/>
  <c r="F1307" i="161"/>
  <c r="G1240" i="161"/>
  <c r="G1307" i="161" s="1"/>
  <c r="G1489" i="161" s="1"/>
  <c r="G1511" i="161" s="1"/>
  <c r="G1604" i="161" s="1"/>
  <c r="H1240" i="161"/>
  <c r="I1240" i="161" s="1"/>
  <c r="F1309" i="161"/>
  <c r="G1242" i="161"/>
  <c r="G1309" i="161" s="1"/>
  <c r="G1491" i="161" s="1"/>
  <c r="G1513" i="161" s="1"/>
  <c r="G1606" i="161" s="1"/>
  <c r="H1242" i="161"/>
  <c r="I1242" i="161" s="1"/>
  <c r="G1308" i="107"/>
  <c r="F1535" i="119"/>
  <c r="G1307" i="107"/>
  <c r="F1534" i="119"/>
  <c r="G1311" i="107"/>
  <c r="F1538" i="119"/>
  <c r="F1539" i="119"/>
  <c r="G1312" i="107"/>
  <c r="G1533" i="119"/>
  <c r="H1306" i="107"/>
  <c r="J1239" i="107"/>
  <c r="E17" i="168" l="1"/>
  <c r="F1246" i="161"/>
  <c r="G1238" i="161"/>
  <c r="G1305" i="161" s="1"/>
  <c r="G1487" i="161" s="1"/>
  <c r="G1509" i="161" s="1"/>
  <c r="F1305" i="161"/>
  <c r="F1492" i="107"/>
  <c r="E1837" i="119" s="1"/>
  <c r="G1305" i="107"/>
  <c r="F1587" i="119" s="1"/>
  <c r="F1490" i="107"/>
  <c r="F1512" i="107" s="1"/>
  <c r="H1307" i="107"/>
  <c r="G1589" i="119" s="1"/>
  <c r="G1534" i="119"/>
  <c r="J1245" i="107"/>
  <c r="N1245" i="107" s="1"/>
  <c r="H1310" i="107"/>
  <c r="G1592" i="119" s="1"/>
  <c r="H1308" i="107"/>
  <c r="H1490" i="107" s="1"/>
  <c r="H1312" i="107"/>
  <c r="I1312" i="107" s="1"/>
  <c r="H1594" i="119" s="1"/>
  <c r="F1494" i="107"/>
  <c r="E1839" i="119" s="1"/>
  <c r="I1245" i="107"/>
  <c r="H1539" i="119" s="1"/>
  <c r="G1537" i="119"/>
  <c r="J1243" i="107"/>
  <c r="O1243" i="107" s="1"/>
  <c r="F1493" i="107"/>
  <c r="F1515" i="107" s="1"/>
  <c r="F1489" i="107"/>
  <c r="F1511" i="107" s="1"/>
  <c r="G1535" i="119"/>
  <c r="J1240" i="107"/>
  <c r="J1307" i="107" s="1"/>
  <c r="E1587" i="119"/>
  <c r="J1241" i="107"/>
  <c r="O1241" i="107" s="1"/>
  <c r="G1532" i="119"/>
  <c r="J1238" i="107"/>
  <c r="D1579" i="120" s="1"/>
  <c r="H1305" i="107"/>
  <c r="H1487" i="107" s="1"/>
  <c r="I1487" i="107" s="1"/>
  <c r="H1832" i="119" s="1"/>
  <c r="F1537" i="119"/>
  <c r="F1533" i="119"/>
  <c r="H1311" i="107"/>
  <c r="G1593" i="119" s="1"/>
  <c r="G1538" i="119"/>
  <c r="J1244" i="107"/>
  <c r="J1311" i="107" s="1"/>
  <c r="G1536" i="119"/>
  <c r="E1591" i="119"/>
  <c r="F1314" i="107"/>
  <c r="F37" i="107" s="1"/>
  <c r="I1306" i="107"/>
  <c r="H1588" i="119" s="1"/>
  <c r="F1488" i="107"/>
  <c r="E1833" i="119" s="1"/>
  <c r="E1588" i="119"/>
  <c r="G1246" i="107"/>
  <c r="F1540" i="119" s="1"/>
  <c r="H1309" i="107"/>
  <c r="G1591" i="119" s="1"/>
  <c r="J1242" i="107"/>
  <c r="N1242" i="107" s="1"/>
  <c r="F1536" i="119"/>
  <c r="H1246" i="107"/>
  <c r="G1540" i="119" s="1"/>
  <c r="I1238" i="161"/>
  <c r="J1238" i="161"/>
  <c r="H1305" i="161"/>
  <c r="I1305" i="161" s="1"/>
  <c r="H1246" i="161"/>
  <c r="H1308" i="161"/>
  <c r="H1490" i="161" s="1"/>
  <c r="J1241" i="161"/>
  <c r="H1311" i="161"/>
  <c r="H1493" i="161" s="1"/>
  <c r="H1515" i="161" s="1"/>
  <c r="H1608" i="161" s="1"/>
  <c r="J1244" i="161"/>
  <c r="J1242" i="161"/>
  <c r="H1309" i="161"/>
  <c r="H1491" i="161" s="1"/>
  <c r="H1310" i="161"/>
  <c r="H1492" i="161" s="1"/>
  <c r="J1243" i="161"/>
  <c r="G1246" i="161"/>
  <c r="G1311" i="161"/>
  <c r="G1493" i="161" s="1"/>
  <c r="H1312" i="161"/>
  <c r="H1494" i="161" s="1"/>
  <c r="J1245" i="161"/>
  <c r="F1490" i="161"/>
  <c r="F1512" i="161" s="1"/>
  <c r="F1489" i="161"/>
  <c r="F1511" i="161" s="1"/>
  <c r="F1493" i="161"/>
  <c r="F1491" i="161"/>
  <c r="F1513" i="161" s="1"/>
  <c r="F1492" i="161"/>
  <c r="F1514" i="161" s="1"/>
  <c r="F1494" i="161"/>
  <c r="F1516" i="161" s="1"/>
  <c r="F1488" i="161"/>
  <c r="F1510" i="161" s="1"/>
  <c r="H1307" i="161"/>
  <c r="H1489" i="161" s="1"/>
  <c r="J1240" i="161"/>
  <c r="J1239" i="161"/>
  <c r="H1306" i="161"/>
  <c r="H1488" i="161" s="1"/>
  <c r="F1487" i="161"/>
  <c r="F1314" i="161"/>
  <c r="I1241" i="161"/>
  <c r="F1592" i="119"/>
  <c r="G1492" i="107"/>
  <c r="F1590" i="119"/>
  <c r="G1490" i="107"/>
  <c r="F1593" i="119"/>
  <c r="G1493" i="107"/>
  <c r="G1489" i="107"/>
  <c r="F1589" i="119"/>
  <c r="L1239" i="107"/>
  <c r="D1580" i="120"/>
  <c r="N1239" i="107"/>
  <c r="K1239" i="107"/>
  <c r="P1239" i="107"/>
  <c r="O1239" i="107"/>
  <c r="Q1239" i="107"/>
  <c r="J1306" i="107"/>
  <c r="M1239" i="107"/>
  <c r="G1494" i="107"/>
  <c r="F1594" i="119"/>
  <c r="G1491" i="107"/>
  <c r="F1591" i="119"/>
  <c r="F1513" i="107"/>
  <c r="E1836" i="119"/>
  <c r="G1588" i="119"/>
  <c r="H1488" i="107"/>
  <c r="G1488" i="107"/>
  <c r="F1588" i="119"/>
  <c r="F1509" i="107"/>
  <c r="E1832" i="119"/>
  <c r="D98" i="165" l="1"/>
  <c r="D113" i="165"/>
  <c r="D83" i="165"/>
  <c r="D78" i="165"/>
  <c r="D93" i="165"/>
  <c r="D108" i="165"/>
  <c r="D96" i="165"/>
  <c r="D81" i="165"/>
  <c r="D111" i="165"/>
  <c r="D94" i="165"/>
  <c r="D109" i="165"/>
  <c r="D79" i="165"/>
  <c r="D110" i="165"/>
  <c r="D80" i="165"/>
  <c r="D95" i="165"/>
  <c r="D107" i="165"/>
  <c r="D92" i="165"/>
  <c r="D77" i="165"/>
  <c r="I1246" i="161"/>
  <c r="J1310" i="107"/>
  <c r="J1492" i="107" s="1"/>
  <c r="D1584" i="120"/>
  <c r="G1579" i="120"/>
  <c r="L1243" i="107"/>
  <c r="F1584" i="120" s="1"/>
  <c r="K1243" i="107"/>
  <c r="K1310" i="107" s="1"/>
  <c r="Q1243" i="107"/>
  <c r="K1584" i="120" s="1"/>
  <c r="F1514" i="107"/>
  <c r="D81" i="113" s="1"/>
  <c r="Q1245" i="107"/>
  <c r="K1586" i="120" s="1"/>
  <c r="L1245" i="107"/>
  <c r="F1586" i="120" s="1"/>
  <c r="E1838" i="119"/>
  <c r="E1835" i="119"/>
  <c r="G1487" i="107"/>
  <c r="G1509" i="107" s="1"/>
  <c r="G1314" i="107"/>
  <c r="F1596" i="119" s="1"/>
  <c r="J1305" i="107"/>
  <c r="D1635" i="120" s="1"/>
  <c r="P1243" i="107"/>
  <c r="P1310" i="107" s="1"/>
  <c r="K1305" i="107"/>
  <c r="M1243" i="107"/>
  <c r="G1584" i="120" s="1"/>
  <c r="N1305" i="107"/>
  <c r="N1243" i="107"/>
  <c r="N1310" i="107" s="1"/>
  <c r="J1312" i="107"/>
  <c r="J1494" i="107" s="1"/>
  <c r="K1245" i="107"/>
  <c r="K1312" i="107" s="1"/>
  <c r="D1586" i="120"/>
  <c r="P1245" i="107"/>
  <c r="P1312" i="107" s="1"/>
  <c r="O1245" i="107"/>
  <c r="O1312" i="107" s="1"/>
  <c r="M1245" i="107"/>
  <c r="G1586" i="120" s="1"/>
  <c r="G1590" i="119"/>
  <c r="I1308" i="107"/>
  <c r="H1590" i="119" s="1"/>
  <c r="H1492" i="107"/>
  <c r="I1492" i="107" s="1"/>
  <c r="H1837" i="119" s="1"/>
  <c r="H1494" i="107"/>
  <c r="I1494" i="107" s="1"/>
  <c r="H1839" i="119" s="1"/>
  <c r="I1310" i="107"/>
  <c r="H1592" i="119" s="1"/>
  <c r="G1594" i="119"/>
  <c r="P1240" i="107"/>
  <c r="P1307" i="107" s="1"/>
  <c r="L1240" i="107"/>
  <c r="L1307" i="107" s="1"/>
  <c r="M1240" i="107"/>
  <c r="G1581" i="120" s="1"/>
  <c r="H1489" i="107"/>
  <c r="H1511" i="107" s="1"/>
  <c r="I1307" i="107"/>
  <c r="H1589" i="119" s="1"/>
  <c r="K1240" i="107"/>
  <c r="E1581" i="120" s="1"/>
  <c r="D1581" i="120"/>
  <c r="Q1240" i="107"/>
  <c r="Q1307" i="107" s="1"/>
  <c r="K1241" i="107"/>
  <c r="E1582" i="120" s="1"/>
  <c r="N1240" i="107"/>
  <c r="H1581" i="120" s="1"/>
  <c r="O1240" i="107"/>
  <c r="O1307" i="107" s="1"/>
  <c r="Q1244" i="107"/>
  <c r="K1585" i="120" s="1"/>
  <c r="N1244" i="107"/>
  <c r="N1311" i="107" s="1"/>
  <c r="F1516" i="107"/>
  <c r="D113" i="113" s="1"/>
  <c r="D1585" i="120"/>
  <c r="E1596" i="119"/>
  <c r="I1579" i="120"/>
  <c r="E1834" i="119"/>
  <c r="J1308" i="107"/>
  <c r="D1638" i="120" s="1"/>
  <c r="K1244" i="107"/>
  <c r="E1585" i="120" s="1"/>
  <c r="Q1241" i="107"/>
  <c r="K1582" i="120" s="1"/>
  <c r="D1582" i="120"/>
  <c r="P1241" i="107"/>
  <c r="J1582" i="120" s="1"/>
  <c r="O1244" i="107"/>
  <c r="O1311" i="107" s="1"/>
  <c r="M1241" i="107"/>
  <c r="M1308" i="107" s="1"/>
  <c r="M1244" i="107"/>
  <c r="M1311" i="107" s="1"/>
  <c r="L1241" i="107"/>
  <c r="L1308" i="107" s="1"/>
  <c r="P1244" i="107"/>
  <c r="J1585" i="120" s="1"/>
  <c r="I1309" i="107"/>
  <c r="H1591" i="119" s="1"/>
  <c r="N1241" i="107"/>
  <c r="N1308" i="107" s="1"/>
  <c r="H1491" i="107"/>
  <c r="I1491" i="107" s="1"/>
  <c r="H1836" i="119" s="1"/>
  <c r="L1244" i="107"/>
  <c r="L1311" i="107" s="1"/>
  <c r="F1579" i="120"/>
  <c r="P1305" i="107"/>
  <c r="K1579" i="120"/>
  <c r="G1587" i="119"/>
  <c r="I1305" i="107"/>
  <c r="H1587" i="119" s="1"/>
  <c r="H1493" i="107"/>
  <c r="G1838" i="119" s="1"/>
  <c r="I1311" i="107"/>
  <c r="H1593" i="119" s="1"/>
  <c r="H1314" i="107"/>
  <c r="I1314" i="107" s="1"/>
  <c r="F1510" i="107"/>
  <c r="D107" i="113" s="1"/>
  <c r="F1495" i="107"/>
  <c r="E1840" i="119" s="1"/>
  <c r="I1488" i="107"/>
  <c r="H1833" i="119" s="1"/>
  <c r="O1242" i="107"/>
  <c r="D1583" i="120"/>
  <c r="Q1242" i="107"/>
  <c r="Q1309" i="107" s="1"/>
  <c r="L1242" i="107"/>
  <c r="L1309" i="107" s="1"/>
  <c r="P1242" i="107"/>
  <c r="J1583" i="120" s="1"/>
  <c r="K1242" i="107"/>
  <c r="K1309" i="107" s="1"/>
  <c r="J1309" i="107"/>
  <c r="M1242" i="107"/>
  <c r="M1309" i="107" s="1"/>
  <c r="J1246" i="107"/>
  <c r="D1587" i="120" s="1"/>
  <c r="D76" i="155"/>
  <c r="D62" i="155"/>
  <c r="D74" i="155"/>
  <c r="D60" i="155"/>
  <c r="D73" i="155"/>
  <c r="D59" i="155"/>
  <c r="D56" i="155"/>
  <c r="D70" i="155"/>
  <c r="D71" i="155"/>
  <c r="D57" i="155"/>
  <c r="D72" i="155"/>
  <c r="D58" i="155"/>
  <c r="I1310" i="161"/>
  <c r="I1246" i="107"/>
  <c r="H1540" i="119" s="1"/>
  <c r="I1309" i="161"/>
  <c r="I1494" i="161"/>
  <c r="H1516" i="161"/>
  <c r="H1609" i="161" s="1"/>
  <c r="F1609" i="161"/>
  <c r="F1622" i="161" s="1"/>
  <c r="O1240" i="161"/>
  <c r="O1307" i="161" s="1"/>
  <c r="O1489" i="161" s="1"/>
  <c r="O1511" i="161" s="1"/>
  <c r="O1604" i="161" s="1"/>
  <c r="M1240" i="161"/>
  <c r="M1307" i="161" s="1"/>
  <c r="M1489" i="161" s="1"/>
  <c r="M1511" i="161" s="1"/>
  <c r="M1604" i="161" s="1"/>
  <c r="L1240" i="161"/>
  <c r="L1307" i="161" s="1"/>
  <c r="L1489" i="161" s="1"/>
  <c r="L1511" i="161" s="1"/>
  <c r="L1604" i="161" s="1"/>
  <c r="N1240" i="161"/>
  <c r="N1307" i="161" s="1"/>
  <c r="N1489" i="161" s="1"/>
  <c r="N1511" i="161" s="1"/>
  <c r="N1604" i="161" s="1"/>
  <c r="K1240" i="161"/>
  <c r="K1307" i="161" s="1"/>
  <c r="K1489" i="161" s="1"/>
  <c r="K1511" i="161" s="1"/>
  <c r="K1604" i="161" s="1"/>
  <c r="J1307" i="161"/>
  <c r="J1489" i="161" s="1"/>
  <c r="J1511" i="161" s="1"/>
  <c r="J1604" i="161" s="1"/>
  <c r="Q1240" i="161"/>
  <c r="Q1307" i="161" s="1"/>
  <c r="Q1489" i="161" s="1"/>
  <c r="Q1511" i="161" s="1"/>
  <c r="Q1604" i="161" s="1"/>
  <c r="P1240" i="161"/>
  <c r="P1307" i="161" s="1"/>
  <c r="P1489" i="161" s="1"/>
  <c r="P1511" i="161" s="1"/>
  <c r="P1604" i="161" s="1"/>
  <c r="O1241" i="161"/>
  <c r="O1308" i="161" s="1"/>
  <c r="O1490" i="161" s="1"/>
  <c r="O1512" i="161" s="1"/>
  <c r="O1605" i="161" s="1"/>
  <c r="Q1241" i="161"/>
  <c r="Q1308" i="161" s="1"/>
  <c r="Q1490" i="161" s="1"/>
  <c r="Q1512" i="161" s="1"/>
  <c r="Q1605" i="161" s="1"/>
  <c r="L1241" i="161"/>
  <c r="L1308" i="161" s="1"/>
  <c r="L1490" i="161" s="1"/>
  <c r="L1512" i="161" s="1"/>
  <c r="L1605" i="161" s="1"/>
  <c r="P1241" i="161"/>
  <c r="P1308" i="161" s="1"/>
  <c r="P1490" i="161" s="1"/>
  <c r="P1512" i="161" s="1"/>
  <c r="P1605" i="161" s="1"/>
  <c r="N1241" i="161"/>
  <c r="N1308" i="161" s="1"/>
  <c r="N1490" i="161" s="1"/>
  <c r="N1512" i="161" s="1"/>
  <c r="N1605" i="161" s="1"/>
  <c r="M1241" i="161"/>
  <c r="M1308" i="161" s="1"/>
  <c r="M1490" i="161" s="1"/>
  <c r="M1512" i="161" s="1"/>
  <c r="M1605" i="161" s="1"/>
  <c r="J1308" i="161"/>
  <c r="J1490" i="161" s="1"/>
  <c r="J1512" i="161" s="1"/>
  <c r="J1605" i="161" s="1"/>
  <c r="K1241" i="161"/>
  <c r="K1308" i="161" s="1"/>
  <c r="K1490" i="161" s="1"/>
  <c r="K1512" i="161" s="1"/>
  <c r="K1605" i="161" s="1"/>
  <c r="G1495" i="161"/>
  <c r="G1515" i="161"/>
  <c r="G1608" i="161" s="1"/>
  <c r="I1489" i="161"/>
  <c r="H1511" i="161"/>
  <c r="H1604" i="161" s="1"/>
  <c r="F1607" i="161"/>
  <c r="F1620" i="161" s="1"/>
  <c r="I1307" i="161"/>
  <c r="O1243" i="161"/>
  <c r="O1310" i="161" s="1"/>
  <c r="O1492" i="161" s="1"/>
  <c r="O1514" i="161" s="1"/>
  <c r="O1607" i="161" s="1"/>
  <c r="J1310" i="161"/>
  <c r="J1492" i="161" s="1"/>
  <c r="J1514" i="161" s="1"/>
  <c r="J1607" i="161" s="1"/>
  <c r="L1243" i="161"/>
  <c r="L1310" i="161" s="1"/>
  <c r="L1492" i="161" s="1"/>
  <c r="L1514" i="161" s="1"/>
  <c r="L1607" i="161" s="1"/>
  <c r="K1243" i="161"/>
  <c r="K1310" i="161" s="1"/>
  <c r="K1492" i="161" s="1"/>
  <c r="K1514" i="161" s="1"/>
  <c r="K1607" i="161" s="1"/>
  <c r="P1243" i="161"/>
  <c r="P1310" i="161" s="1"/>
  <c r="P1492" i="161" s="1"/>
  <c r="P1514" i="161" s="1"/>
  <c r="P1607" i="161" s="1"/>
  <c r="Q1243" i="161"/>
  <c r="Q1310" i="161" s="1"/>
  <c r="Q1492" i="161" s="1"/>
  <c r="Q1514" i="161" s="1"/>
  <c r="Q1607" i="161" s="1"/>
  <c r="N1243" i="161"/>
  <c r="N1310" i="161" s="1"/>
  <c r="N1492" i="161" s="1"/>
  <c r="N1514" i="161" s="1"/>
  <c r="N1607" i="161" s="1"/>
  <c r="M1243" i="161"/>
  <c r="M1310" i="161" s="1"/>
  <c r="M1492" i="161" s="1"/>
  <c r="M1514" i="161" s="1"/>
  <c r="M1607" i="161" s="1"/>
  <c r="I1490" i="161"/>
  <c r="H1512" i="161"/>
  <c r="H1605" i="161" s="1"/>
  <c r="F1515" i="161"/>
  <c r="I1493" i="161"/>
  <c r="G1314" i="161"/>
  <c r="G37" i="161" s="1"/>
  <c r="G41" i="161" s="1"/>
  <c r="F1604" i="161"/>
  <c r="F1617" i="161" s="1"/>
  <c r="I1492" i="161"/>
  <c r="H1514" i="161"/>
  <c r="H1607" i="161" s="1"/>
  <c r="F37" i="161"/>
  <c r="F41" i="161" s="1"/>
  <c r="G1602" i="161"/>
  <c r="F1606" i="161"/>
  <c r="F1619" i="161" s="1"/>
  <c r="I1308" i="161"/>
  <c r="I1491" i="161"/>
  <c r="H1513" i="161"/>
  <c r="H1606" i="161" s="1"/>
  <c r="H1487" i="161"/>
  <c r="H1314" i="161"/>
  <c r="H37" i="161" s="1"/>
  <c r="I1312" i="161"/>
  <c r="F1495" i="161"/>
  <c r="F1509" i="161"/>
  <c r="I1306" i="161"/>
  <c r="F1605" i="161"/>
  <c r="F1618" i="161" s="1"/>
  <c r="Q1242" i="161"/>
  <c r="Q1309" i="161" s="1"/>
  <c r="Q1491" i="161" s="1"/>
  <c r="Q1513" i="161" s="1"/>
  <c r="Q1606" i="161" s="1"/>
  <c r="K1242" i="161"/>
  <c r="K1309" i="161" s="1"/>
  <c r="K1491" i="161" s="1"/>
  <c r="K1513" i="161" s="1"/>
  <c r="K1606" i="161" s="1"/>
  <c r="N1242" i="161"/>
  <c r="N1309" i="161" s="1"/>
  <c r="N1491" i="161" s="1"/>
  <c r="N1513" i="161" s="1"/>
  <c r="N1606" i="161" s="1"/>
  <c r="J1309" i="161"/>
  <c r="J1491" i="161" s="1"/>
  <c r="J1513" i="161" s="1"/>
  <c r="J1606" i="161" s="1"/>
  <c r="O1242" i="161"/>
  <c r="O1309" i="161" s="1"/>
  <c r="O1491" i="161" s="1"/>
  <c r="O1513" i="161" s="1"/>
  <c r="O1606" i="161" s="1"/>
  <c r="M1242" i="161"/>
  <c r="M1309" i="161" s="1"/>
  <c r="M1491" i="161" s="1"/>
  <c r="M1513" i="161" s="1"/>
  <c r="M1606" i="161" s="1"/>
  <c r="L1242" i="161"/>
  <c r="L1309" i="161" s="1"/>
  <c r="L1491" i="161" s="1"/>
  <c r="L1513" i="161" s="1"/>
  <c r="L1606" i="161" s="1"/>
  <c r="P1242" i="161"/>
  <c r="P1309" i="161" s="1"/>
  <c r="P1491" i="161" s="1"/>
  <c r="P1513" i="161" s="1"/>
  <c r="P1606" i="161" s="1"/>
  <c r="M1238" i="161"/>
  <c r="M1305" i="161" s="1"/>
  <c r="L1238" i="161"/>
  <c r="L1305" i="161" s="1"/>
  <c r="Q1238" i="161"/>
  <c r="Q1305" i="161" s="1"/>
  <c r="O1238" i="161"/>
  <c r="O1305" i="161" s="1"/>
  <c r="K1238" i="161"/>
  <c r="K1305" i="161" s="1"/>
  <c r="P1238" i="161"/>
  <c r="P1305" i="161" s="1"/>
  <c r="N1238" i="161"/>
  <c r="N1305" i="161" s="1"/>
  <c r="J1305" i="161"/>
  <c r="J1246" i="161"/>
  <c r="I1488" i="161"/>
  <c r="H1510" i="161"/>
  <c r="H1603" i="161" s="1"/>
  <c r="M1244" i="161"/>
  <c r="K1244" i="161"/>
  <c r="N1244" i="161"/>
  <c r="Q1244" i="161"/>
  <c r="P1244" i="161"/>
  <c r="J1311" i="161"/>
  <c r="J1493" i="161" s="1"/>
  <c r="O1244" i="161"/>
  <c r="L1244" i="161"/>
  <c r="N1239" i="161"/>
  <c r="N1306" i="161" s="1"/>
  <c r="N1488" i="161" s="1"/>
  <c r="N1510" i="161" s="1"/>
  <c r="N1603" i="161" s="1"/>
  <c r="M1239" i="161"/>
  <c r="M1306" i="161" s="1"/>
  <c r="M1488" i="161" s="1"/>
  <c r="M1510" i="161" s="1"/>
  <c r="M1603" i="161" s="1"/>
  <c r="P1239" i="161"/>
  <c r="P1306" i="161" s="1"/>
  <c r="P1488" i="161" s="1"/>
  <c r="P1510" i="161" s="1"/>
  <c r="P1603" i="161" s="1"/>
  <c r="Q1239" i="161"/>
  <c r="Q1306" i="161" s="1"/>
  <c r="Q1488" i="161" s="1"/>
  <c r="Q1510" i="161" s="1"/>
  <c r="Q1603" i="161" s="1"/>
  <c r="O1239" i="161"/>
  <c r="O1306" i="161" s="1"/>
  <c r="O1488" i="161" s="1"/>
  <c r="O1510" i="161" s="1"/>
  <c r="O1603" i="161" s="1"/>
  <c r="L1239" i="161"/>
  <c r="L1306" i="161" s="1"/>
  <c r="L1488" i="161" s="1"/>
  <c r="L1510" i="161" s="1"/>
  <c r="L1603" i="161" s="1"/>
  <c r="K1239" i="161"/>
  <c r="K1306" i="161" s="1"/>
  <c r="K1488" i="161" s="1"/>
  <c r="K1510" i="161" s="1"/>
  <c r="K1603" i="161" s="1"/>
  <c r="J1306" i="161"/>
  <c r="J1488" i="161" s="1"/>
  <c r="J1510" i="161" s="1"/>
  <c r="J1603" i="161" s="1"/>
  <c r="F1603" i="161"/>
  <c r="F1616" i="161" s="1"/>
  <c r="I1311" i="161"/>
  <c r="J1312" i="161"/>
  <c r="J1494" i="161" s="1"/>
  <c r="J1516" i="161" s="1"/>
  <c r="J1609" i="161" s="1"/>
  <c r="O1245" i="161"/>
  <c r="O1312" i="161" s="1"/>
  <c r="O1494" i="161" s="1"/>
  <c r="O1516" i="161" s="1"/>
  <c r="O1609" i="161" s="1"/>
  <c r="Q1245" i="161"/>
  <c r="Q1312" i="161" s="1"/>
  <c r="Q1494" i="161" s="1"/>
  <c r="Q1516" i="161" s="1"/>
  <c r="Q1609" i="161" s="1"/>
  <c r="L1245" i="161"/>
  <c r="L1312" i="161" s="1"/>
  <c r="L1494" i="161" s="1"/>
  <c r="L1516" i="161" s="1"/>
  <c r="L1609" i="161" s="1"/>
  <c r="P1245" i="161"/>
  <c r="P1312" i="161" s="1"/>
  <c r="P1494" i="161" s="1"/>
  <c r="P1516" i="161" s="1"/>
  <c r="P1609" i="161" s="1"/>
  <c r="N1245" i="161"/>
  <c r="N1312" i="161" s="1"/>
  <c r="N1494" i="161" s="1"/>
  <c r="N1516" i="161" s="1"/>
  <c r="N1609" i="161" s="1"/>
  <c r="M1245" i="161"/>
  <c r="M1312" i="161" s="1"/>
  <c r="M1494" i="161" s="1"/>
  <c r="M1516" i="161" s="1"/>
  <c r="M1609" i="161" s="1"/>
  <c r="K1245" i="161"/>
  <c r="K1312" i="161" s="1"/>
  <c r="K1494" i="161" s="1"/>
  <c r="K1516" i="161" s="1"/>
  <c r="K1609" i="161" s="1"/>
  <c r="G1580" i="120"/>
  <c r="M1306" i="107"/>
  <c r="F1580" i="120"/>
  <c r="L1306" i="107"/>
  <c r="F1604" i="107"/>
  <c r="F1617" i="107" s="1"/>
  <c r="D71" i="112"/>
  <c r="D93" i="113"/>
  <c r="D57" i="112"/>
  <c r="D78" i="113"/>
  <c r="E1856" i="119"/>
  <c r="D108" i="113"/>
  <c r="D1641" i="120"/>
  <c r="J1493" i="107"/>
  <c r="H1510" i="107"/>
  <c r="G1833" i="119"/>
  <c r="J1488" i="107"/>
  <c r="D1636" i="120"/>
  <c r="O1310" i="107"/>
  <c r="I1584" i="120"/>
  <c r="N1312" i="107"/>
  <c r="H1586" i="120"/>
  <c r="F1839" i="119"/>
  <c r="G1516" i="107"/>
  <c r="E1584" i="120"/>
  <c r="N1309" i="107"/>
  <c r="H1583" i="120"/>
  <c r="F1606" i="107"/>
  <c r="F1619" i="107" s="1"/>
  <c r="D59" i="112"/>
  <c r="D95" i="113"/>
  <c r="D73" i="112"/>
  <c r="E1858" i="119"/>
  <c r="D80" i="113"/>
  <c r="D110" i="113"/>
  <c r="Q1306" i="107"/>
  <c r="K1580" i="120"/>
  <c r="G1511" i="107"/>
  <c r="F1834" i="119"/>
  <c r="G1832" i="119"/>
  <c r="H1509" i="107"/>
  <c r="I1509" i="107" s="1"/>
  <c r="H1854" i="119" s="1"/>
  <c r="F1608" i="107"/>
  <c r="F1621" i="107" s="1"/>
  <c r="D82" i="113"/>
  <c r="D112" i="113"/>
  <c r="D75" i="112"/>
  <c r="D97" i="113"/>
  <c r="D61" i="112"/>
  <c r="E1860" i="119"/>
  <c r="G1514" i="107"/>
  <c r="F1837" i="119"/>
  <c r="G1510" i="107"/>
  <c r="F1833" i="119"/>
  <c r="O1308" i="107"/>
  <c r="I1582" i="120"/>
  <c r="F1605" i="107"/>
  <c r="F1618" i="107" s="1"/>
  <c r="D109" i="113"/>
  <c r="D94" i="113"/>
  <c r="D58" i="112"/>
  <c r="D72" i="112"/>
  <c r="D79" i="113"/>
  <c r="E1857" i="119"/>
  <c r="F1836" i="119"/>
  <c r="G1513" i="107"/>
  <c r="P1306" i="107"/>
  <c r="J1580" i="120"/>
  <c r="D91" i="113"/>
  <c r="D69" i="112"/>
  <c r="D106" i="113"/>
  <c r="D76" i="113"/>
  <c r="E1854" i="119"/>
  <c r="F1602" i="107"/>
  <c r="D55" i="112"/>
  <c r="M1305" i="107"/>
  <c r="D1637" i="120"/>
  <c r="J1489" i="107"/>
  <c r="O1306" i="107"/>
  <c r="I1580" i="120"/>
  <c r="F41" i="107"/>
  <c r="E36" i="119"/>
  <c r="H1512" i="107"/>
  <c r="I1512" i="107" s="1"/>
  <c r="H1857" i="119" s="1"/>
  <c r="G1835" i="119"/>
  <c r="I1490" i="107"/>
  <c r="H1835" i="119" s="1"/>
  <c r="K1306" i="107"/>
  <c r="E1580" i="120"/>
  <c r="G1515" i="107"/>
  <c r="F1838" i="119"/>
  <c r="N1306" i="107"/>
  <c r="H1580" i="120"/>
  <c r="F1835" i="119"/>
  <c r="G1512" i="107"/>
  <c r="L1310" i="107" l="1"/>
  <c r="G1495" i="107"/>
  <c r="F1840" i="119" s="1"/>
  <c r="D76" i="165"/>
  <c r="D84" i="165" s="1"/>
  <c r="E77" i="165" s="1"/>
  <c r="F77" i="165" s="1"/>
  <c r="D106" i="165"/>
  <c r="D114" i="165" s="1"/>
  <c r="E107" i="165" s="1"/>
  <c r="D91" i="165"/>
  <c r="D99" i="165" s="1"/>
  <c r="D82" i="165"/>
  <c r="D112" i="165"/>
  <c r="D97" i="165"/>
  <c r="D1640" i="120"/>
  <c r="Q1310" i="107"/>
  <c r="Q1492" i="107" s="1"/>
  <c r="D96" i="113"/>
  <c r="E1859" i="119"/>
  <c r="D60" i="112"/>
  <c r="D111" i="113"/>
  <c r="D114" i="113" s="1"/>
  <c r="E112" i="113" s="1"/>
  <c r="F265" i="100" s="1"/>
  <c r="F830" i="107" s="1"/>
  <c r="F1607" i="107"/>
  <c r="F1620" i="107" s="1"/>
  <c r="D74" i="112"/>
  <c r="I1586" i="120"/>
  <c r="Q1312" i="107"/>
  <c r="Q1494" i="107" s="1"/>
  <c r="E1579" i="120"/>
  <c r="F1832" i="119"/>
  <c r="D1642" i="120"/>
  <c r="H1579" i="120"/>
  <c r="H1514" i="107"/>
  <c r="I1514" i="107" s="1"/>
  <c r="H1859" i="119" s="1"/>
  <c r="G37" i="107"/>
  <c r="G41" i="107" s="1"/>
  <c r="L1312" i="107"/>
  <c r="L1494" i="107" s="1"/>
  <c r="J1487" i="107"/>
  <c r="J1509" i="107" s="1"/>
  <c r="J1584" i="120"/>
  <c r="J1586" i="120"/>
  <c r="H1584" i="120"/>
  <c r="M1310" i="107"/>
  <c r="M1492" i="107" s="1"/>
  <c r="M1312" i="107"/>
  <c r="M1494" i="107" s="1"/>
  <c r="G1839" i="119"/>
  <c r="E1586" i="120"/>
  <c r="H1516" i="107"/>
  <c r="H1609" i="107" s="1"/>
  <c r="G1837" i="119"/>
  <c r="I1581" i="120"/>
  <c r="Q1308" i="107"/>
  <c r="Q1490" i="107" s="1"/>
  <c r="M1307" i="107"/>
  <c r="J1581" i="120"/>
  <c r="K1308" i="107"/>
  <c r="E1638" i="120" s="1"/>
  <c r="N1307" i="107"/>
  <c r="H1637" i="120" s="1"/>
  <c r="K1581" i="120"/>
  <c r="F1581" i="120"/>
  <c r="K1307" i="107"/>
  <c r="E1637" i="120" s="1"/>
  <c r="I1489" i="107"/>
  <c r="H1834" i="119" s="1"/>
  <c r="G1834" i="119"/>
  <c r="O1305" i="107"/>
  <c r="O1487" i="107" s="1"/>
  <c r="Q1305" i="107"/>
  <c r="K1635" i="120" s="1"/>
  <c r="F1582" i="120"/>
  <c r="J1490" i="107"/>
  <c r="J1512" i="107" s="1"/>
  <c r="P1309" i="107"/>
  <c r="J1639" i="120" s="1"/>
  <c r="H1515" i="107"/>
  <c r="I1515" i="107" s="1"/>
  <c r="H1860" i="119" s="1"/>
  <c r="N1246" i="107"/>
  <c r="H1587" i="120" s="1"/>
  <c r="G1585" i="120"/>
  <c r="D76" i="112"/>
  <c r="H1585" i="120"/>
  <c r="L1305" i="107"/>
  <c r="M1246" i="107"/>
  <c r="G1587" i="120" s="1"/>
  <c r="H37" i="107"/>
  <c r="I37" i="107" s="1"/>
  <c r="H36" i="119" s="1"/>
  <c r="D83" i="113"/>
  <c r="I1585" i="120"/>
  <c r="F1609" i="107"/>
  <c r="F1622" i="107" s="1"/>
  <c r="J1579" i="120"/>
  <c r="D62" i="112"/>
  <c r="Q1311" i="107"/>
  <c r="F1585" i="120"/>
  <c r="G1596" i="119"/>
  <c r="G1836" i="119"/>
  <c r="D98" i="113"/>
  <c r="E1861" i="119"/>
  <c r="P1308" i="107"/>
  <c r="P1490" i="107" s="1"/>
  <c r="K1311" i="107"/>
  <c r="K1493" i="107" s="1"/>
  <c r="P1311" i="107"/>
  <c r="J1641" i="120" s="1"/>
  <c r="J1314" i="107"/>
  <c r="J37" i="107" s="1"/>
  <c r="I1493" i="107"/>
  <c r="H1838" i="119" s="1"/>
  <c r="H1582" i="120"/>
  <c r="J1491" i="107"/>
  <c r="J1513" i="107" s="1"/>
  <c r="D1639" i="120"/>
  <c r="G1582" i="120"/>
  <c r="H1495" i="107"/>
  <c r="G1840" i="119" s="1"/>
  <c r="P1246" i="107"/>
  <c r="J1587" i="120" s="1"/>
  <c r="H1513" i="107"/>
  <c r="H1606" i="107" s="1"/>
  <c r="O1246" i="107"/>
  <c r="I1587" i="120" s="1"/>
  <c r="K1246" i="107"/>
  <c r="E1587" i="120" s="1"/>
  <c r="E1583" i="120"/>
  <c r="G1583" i="120"/>
  <c r="Q1246" i="107"/>
  <c r="K1587" i="120" s="1"/>
  <c r="H1596" i="119"/>
  <c r="AG30" i="115"/>
  <c r="AI30" i="115" s="1"/>
  <c r="D77" i="113"/>
  <c r="D92" i="113"/>
  <c r="D70" i="112"/>
  <c r="F1603" i="107"/>
  <c r="F1616" i="107" s="1"/>
  <c r="F1517" i="107"/>
  <c r="E1862" i="119" s="1"/>
  <c r="E1855" i="119"/>
  <c r="D56" i="112"/>
  <c r="I1583" i="120"/>
  <c r="O1309" i="107"/>
  <c r="F1583" i="120"/>
  <c r="L1246" i="107"/>
  <c r="F1587" i="120" s="1"/>
  <c r="K1583" i="120"/>
  <c r="I1516" i="161"/>
  <c r="G1517" i="161"/>
  <c r="D69" i="155"/>
  <c r="D55" i="155"/>
  <c r="D75" i="155"/>
  <c r="D61" i="155"/>
  <c r="I1510" i="161"/>
  <c r="I1512" i="161"/>
  <c r="P1246" i="161"/>
  <c r="P1311" i="161"/>
  <c r="P1493" i="161" s="1"/>
  <c r="J1487" i="161"/>
  <c r="J1509" i="161" s="1"/>
  <c r="J1314" i="161"/>
  <c r="J37" i="161" s="1"/>
  <c r="J41" i="161" s="1"/>
  <c r="I37" i="161"/>
  <c r="H41" i="161"/>
  <c r="I41" i="161" s="1"/>
  <c r="G1610" i="161"/>
  <c r="Q1246" i="161"/>
  <c r="Q1311" i="161"/>
  <c r="Q1493" i="161" s="1"/>
  <c r="N1487" i="161"/>
  <c r="N1509" i="161" s="1"/>
  <c r="H1509" i="161"/>
  <c r="H1495" i="161"/>
  <c r="I1495" i="161" s="1"/>
  <c r="I1314" i="161"/>
  <c r="F1608" i="161"/>
  <c r="F1621" i="161" s="1"/>
  <c r="I1515" i="161"/>
  <c r="N1246" i="161"/>
  <c r="N1311" i="161"/>
  <c r="N1493" i="161" s="1"/>
  <c r="P1487" i="161"/>
  <c r="P1509" i="161" s="1"/>
  <c r="F79" i="161"/>
  <c r="F82" i="161" s="1"/>
  <c r="K1246" i="161"/>
  <c r="K1311" i="161"/>
  <c r="K1493" i="161" s="1"/>
  <c r="K1487" i="161"/>
  <c r="K1509" i="161" s="1"/>
  <c r="F1602" i="161"/>
  <c r="F1517" i="161"/>
  <c r="J1515" i="161"/>
  <c r="J1608" i="161" s="1"/>
  <c r="M1487" i="161"/>
  <c r="M1509" i="161" s="1"/>
  <c r="M1246" i="161"/>
  <c r="M1311" i="161"/>
  <c r="M1493" i="161" s="1"/>
  <c r="O1487" i="161"/>
  <c r="O1509" i="161" s="1"/>
  <c r="L1246" i="161"/>
  <c r="L1311" i="161"/>
  <c r="L1493" i="161" s="1"/>
  <c r="Q1487" i="161"/>
  <c r="Q1509" i="161" s="1"/>
  <c r="I1487" i="161"/>
  <c r="I1513" i="161"/>
  <c r="I1511" i="161"/>
  <c r="I1514" i="161"/>
  <c r="G79" i="161"/>
  <c r="O1246" i="161"/>
  <c r="O1311" i="161"/>
  <c r="O1493" i="161" s="1"/>
  <c r="L1487" i="161"/>
  <c r="L1509" i="161" s="1"/>
  <c r="N1493" i="107"/>
  <c r="H1641" i="120"/>
  <c r="Q1488" i="107"/>
  <c r="K1636" i="120"/>
  <c r="Q1489" i="107"/>
  <c r="K1637" i="120"/>
  <c r="P1494" i="107"/>
  <c r="J1642" i="120"/>
  <c r="M1491" i="107"/>
  <c r="G1639" i="120"/>
  <c r="H1604" i="107"/>
  <c r="G1856" i="119"/>
  <c r="L1493" i="107"/>
  <c r="F1641" i="120"/>
  <c r="J1510" i="107"/>
  <c r="D1890" i="120"/>
  <c r="K1488" i="107"/>
  <c r="E1636" i="120"/>
  <c r="H1640" i="120"/>
  <c r="N1492" i="107"/>
  <c r="F1615" i="107"/>
  <c r="J1636" i="120"/>
  <c r="P1488" i="107"/>
  <c r="Q1491" i="107"/>
  <c r="K1639" i="120"/>
  <c r="K1491" i="107"/>
  <c r="E1639" i="120"/>
  <c r="L1491" i="107"/>
  <c r="F1639" i="120"/>
  <c r="F1638" i="120"/>
  <c r="L1490" i="107"/>
  <c r="K1494" i="107"/>
  <c r="E1642" i="120"/>
  <c r="H1642" i="120"/>
  <c r="N1494" i="107"/>
  <c r="H1603" i="107"/>
  <c r="G1855" i="119"/>
  <c r="J1515" i="107"/>
  <c r="D1895" i="120"/>
  <c r="L1488" i="107"/>
  <c r="F1636" i="120"/>
  <c r="E1635" i="120"/>
  <c r="K1487" i="107"/>
  <c r="I1638" i="120"/>
  <c r="O1490" i="107"/>
  <c r="H1635" i="120"/>
  <c r="N1487" i="107"/>
  <c r="G1635" i="120"/>
  <c r="M1487" i="107"/>
  <c r="H1602" i="107"/>
  <c r="G1854" i="119"/>
  <c r="O1489" i="107"/>
  <c r="I1637" i="120"/>
  <c r="J1516" i="107"/>
  <c r="D1896" i="120"/>
  <c r="I1511" i="107"/>
  <c r="H1856" i="119" s="1"/>
  <c r="O1494" i="107"/>
  <c r="I1642" i="120"/>
  <c r="H1636" i="120"/>
  <c r="N1488" i="107"/>
  <c r="H1605" i="107"/>
  <c r="G1857" i="119"/>
  <c r="F79" i="107"/>
  <c r="F82" i="107" s="1"/>
  <c r="E40" i="119"/>
  <c r="F1637" i="120"/>
  <c r="L1489" i="107"/>
  <c r="G1603" i="107"/>
  <c r="F1855" i="119"/>
  <c r="G1607" i="107"/>
  <c r="F1859" i="119"/>
  <c r="E1640" i="120"/>
  <c r="K1492" i="107"/>
  <c r="I1640" i="120"/>
  <c r="O1492" i="107"/>
  <c r="M1488" i="107"/>
  <c r="G1636" i="120"/>
  <c r="O1488" i="107"/>
  <c r="I1636" i="120"/>
  <c r="P1487" i="107"/>
  <c r="J1635" i="120"/>
  <c r="G1606" i="107"/>
  <c r="F1858" i="119"/>
  <c r="H1638" i="120"/>
  <c r="N1490" i="107"/>
  <c r="J1640" i="120"/>
  <c r="P1492" i="107"/>
  <c r="M1490" i="107"/>
  <c r="G1638" i="120"/>
  <c r="G1609" i="107"/>
  <c r="F1861" i="119"/>
  <c r="P1489" i="107"/>
  <c r="J1637" i="120"/>
  <c r="I1510" i="107"/>
  <c r="H1855" i="119" s="1"/>
  <c r="G1517" i="107"/>
  <c r="F1862" i="119" s="1"/>
  <c r="F1854" i="119"/>
  <c r="G1602" i="107"/>
  <c r="G1641" i="120"/>
  <c r="M1493" i="107"/>
  <c r="L1492" i="107"/>
  <c r="F1640" i="120"/>
  <c r="O1493" i="107"/>
  <c r="I1641" i="120"/>
  <c r="J1511" i="107"/>
  <c r="D1891" i="120"/>
  <c r="J1514" i="107"/>
  <c r="D1894" i="120"/>
  <c r="G1605" i="107"/>
  <c r="F1857" i="119"/>
  <c r="G1608" i="107"/>
  <c r="F1860" i="119"/>
  <c r="G1604" i="107"/>
  <c r="F1856" i="119"/>
  <c r="N1491" i="107"/>
  <c r="H1639" i="120"/>
  <c r="E110" i="165" l="1"/>
  <c r="E113" i="165"/>
  <c r="E112" i="165"/>
  <c r="E109" i="165"/>
  <c r="E106" i="165"/>
  <c r="E111" i="165"/>
  <c r="E108" i="165"/>
  <c r="E94" i="165"/>
  <c r="F94" i="165" s="1"/>
  <c r="E93" i="165"/>
  <c r="F93" i="165" s="1"/>
  <c r="E91" i="165"/>
  <c r="E95" i="165"/>
  <c r="F95" i="165" s="1"/>
  <c r="E98" i="165"/>
  <c r="F98" i="165" s="1"/>
  <c r="E96" i="165"/>
  <c r="F96" i="165" s="1"/>
  <c r="E97" i="165"/>
  <c r="F97" i="165" s="1"/>
  <c r="F257" i="151" s="1"/>
  <c r="E92" i="165"/>
  <c r="F92" i="165" s="1"/>
  <c r="E83" i="165"/>
  <c r="F83" i="165" s="1"/>
  <c r="E82" i="165"/>
  <c r="F82" i="165" s="1"/>
  <c r="E80" i="165"/>
  <c r="F80" i="165" s="1"/>
  <c r="E76" i="165"/>
  <c r="E79" i="165"/>
  <c r="F79" i="165" s="1"/>
  <c r="E78" i="165"/>
  <c r="F78" i="165" s="1"/>
  <c r="E81" i="165"/>
  <c r="F81" i="165" s="1"/>
  <c r="K1640" i="120"/>
  <c r="G1640" i="120"/>
  <c r="K1642" i="120"/>
  <c r="L1314" i="107"/>
  <c r="F1644" i="120" s="1"/>
  <c r="G1859" i="119"/>
  <c r="F36" i="119"/>
  <c r="H1607" i="107"/>
  <c r="F1642" i="120"/>
  <c r="N1489" i="107"/>
  <c r="N1495" i="107" s="1"/>
  <c r="H1897" i="120" s="1"/>
  <c r="D1889" i="120"/>
  <c r="G1642" i="120"/>
  <c r="G1861" i="119"/>
  <c r="I1516" i="107"/>
  <c r="H1861" i="119" s="1"/>
  <c r="M1314" i="107"/>
  <c r="M37" i="107" s="1"/>
  <c r="K1638" i="120"/>
  <c r="M1489" i="107"/>
  <c r="G1891" i="120" s="1"/>
  <c r="G1637" i="120"/>
  <c r="P1491" i="107"/>
  <c r="P1513" i="107" s="1"/>
  <c r="K1490" i="107"/>
  <c r="E1892" i="120" s="1"/>
  <c r="H1608" i="107"/>
  <c r="N1314" i="107"/>
  <c r="H1644" i="120" s="1"/>
  <c r="K1489" i="107"/>
  <c r="G1860" i="119"/>
  <c r="Q1487" i="107"/>
  <c r="K1889" i="120" s="1"/>
  <c r="F1635" i="120"/>
  <c r="I1635" i="120"/>
  <c r="O1314" i="107"/>
  <c r="O37" i="107" s="1"/>
  <c r="D77" i="112"/>
  <c r="E73" i="112" s="1"/>
  <c r="F73" i="112" s="1"/>
  <c r="F207" i="100" s="1"/>
  <c r="E1641" i="120"/>
  <c r="Q1314" i="107"/>
  <c r="K1644" i="120" s="1"/>
  <c r="D1892" i="120"/>
  <c r="P1493" i="107"/>
  <c r="P1515" i="107" s="1"/>
  <c r="K1641" i="120"/>
  <c r="L1487" i="107"/>
  <c r="L1509" i="107" s="1"/>
  <c r="Q1493" i="107"/>
  <c r="K1895" i="120" s="1"/>
  <c r="K1314" i="107"/>
  <c r="E1644" i="120" s="1"/>
  <c r="D63" i="112"/>
  <c r="E60" i="112" s="1"/>
  <c r="F60" i="112" s="1"/>
  <c r="F216" i="100" s="1"/>
  <c r="D1893" i="120"/>
  <c r="J1495" i="107"/>
  <c r="D1897" i="120" s="1"/>
  <c r="J1638" i="120"/>
  <c r="D99" i="113"/>
  <c r="E95" i="113" s="1"/>
  <c r="F95" i="113" s="1"/>
  <c r="F255" i="100" s="1"/>
  <c r="D84" i="113"/>
  <c r="E76" i="113" s="1"/>
  <c r="F76" i="113" s="1"/>
  <c r="G36" i="119"/>
  <c r="H41" i="107"/>
  <c r="I41" i="107" s="1"/>
  <c r="H40" i="119" s="1"/>
  <c r="P1314" i="107"/>
  <c r="P37" i="107" s="1"/>
  <c r="AK30" i="115"/>
  <c r="I1513" i="107"/>
  <c r="H1858" i="119" s="1"/>
  <c r="H1517" i="107"/>
  <c r="G1862" i="119" s="1"/>
  <c r="D1644" i="120"/>
  <c r="G1858" i="119"/>
  <c r="F1610" i="107"/>
  <c r="D13" i="116" s="1"/>
  <c r="I1639" i="120"/>
  <c r="I1495" i="107"/>
  <c r="O1491" i="107"/>
  <c r="O1513" i="107" s="1"/>
  <c r="D77" i="155"/>
  <c r="E71" i="155" s="1"/>
  <c r="F71" i="155" s="1"/>
  <c r="F205" i="151" s="1"/>
  <c r="F551" i="161" s="1"/>
  <c r="D63" i="155"/>
  <c r="E59" i="155" s="1"/>
  <c r="F59" i="155" s="1"/>
  <c r="F215" i="151" s="1"/>
  <c r="F590" i="161" s="1"/>
  <c r="P1314" i="161"/>
  <c r="P37" i="161" s="1"/>
  <c r="P41" i="161" s="1"/>
  <c r="P79" i="161" s="1"/>
  <c r="J1495" i="161"/>
  <c r="Q1314" i="161"/>
  <c r="Q37" i="161" s="1"/>
  <c r="Q41" i="161" s="1"/>
  <c r="Q79" i="161" s="1"/>
  <c r="O1314" i="161"/>
  <c r="O37" i="161" s="1"/>
  <c r="O41" i="161" s="1"/>
  <c r="O79" i="161" s="1"/>
  <c r="H1602" i="161"/>
  <c r="H1517" i="161"/>
  <c r="I1517" i="161" s="1"/>
  <c r="L1495" i="161"/>
  <c r="L1515" i="161"/>
  <c r="L1608" i="161" s="1"/>
  <c r="K1495" i="161"/>
  <c r="K1515" i="161"/>
  <c r="K1608" i="161" s="1"/>
  <c r="J79" i="161"/>
  <c r="P1602" i="161"/>
  <c r="J1602" i="161"/>
  <c r="J1517" i="161"/>
  <c r="M1314" i="161"/>
  <c r="M37" i="161" s="1"/>
  <c r="M41" i="161" s="1"/>
  <c r="N1495" i="161"/>
  <c r="N1515" i="161"/>
  <c r="N1608" i="161" s="1"/>
  <c r="N1314" i="161"/>
  <c r="N37" i="161" s="1"/>
  <c r="N41" i="161" s="1"/>
  <c r="P1495" i="161"/>
  <c r="P1515" i="161"/>
  <c r="P1608" i="161" s="1"/>
  <c r="O1602" i="161"/>
  <c r="M1602" i="161"/>
  <c r="I1509" i="161"/>
  <c r="N1602" i="161"/>
  <c r="L1314" i="161"/>
  <c r="L37" i="161" s="1"/>
  <c r="L41" i="161" s="1"/>
  <c r="M1495" i="161"/>
  <c r="M1515" i="161"/>
  <c r="M1608" i="161" s="1"/>
  <c r="F1615" i="161"/>
  <c r="F1610" i="161"/>
  <c r="Q1495" i="161"/>
  <c r="Q1515" i="161"/>
  <c r="Q1608" i="161" s="1"/>
  <c r="L1602" i="161"/>
  <c r="H79" i="161"/>
  <c r="K1602" i="161"/>
  <c r="O1495" i="161"/>
  <c r="O1515" i="161"/>
  <c r="O1608" i="161" s="1"/>
  <c r="Q1602" i="161"/>
  <c r="K1314" i="161"/>
  <c r="K37" i="161" s="1"/>
  <c r="K41" i="161" s="1"/>
  <c r="E109" i="113"/>
  <c r="F262" i="100" s="1"/>
  <c r="F827" i="107" s="1"/>
  <c r="E106" i="113"/>
  <c r="E108" i="113"/>
  <c r="F261" i="100" s="1"/>
  <c r="F826" i="107" s="1"/>
  <c r="F1632" i="107"/>
  <c r="E948" i="119"/>
  <c r="H830" i="107"/>
  <c r="I830" i="107" s="1"/>
  <c r="H948" i="119" s="1"/>
  <c r="G830" i="107"/>
  <c r="H1893" i="120"/>
  <c r="N1513" i="107"/>
  <c r="K1510" i="107"/>
  <c r="E1890" i="120"/>
  <c r="M1509" i="107"/>
  <c r="G1889" i="120"/>
  <c r="M1510" i="107"/>
  <c r="G1890" i="120"/>
  <c r="E110" i="113"/>
  <c r="F263" i="100" s="1"/>
  <c r="F828" i="107" s="1"/>
  <c r="J1608" i="107"/>
  <c r="D1917" i="120"/>
  <c r="F1892" i="120"/>
  <c r="L1512" i="107"/>
  <c r="F1623" i="107"/>
  <c r="D15" i="116" s="1"/>
  <c r="Q1516" i="107"/>
  <c r="K1896" i="120"/>
  <c r="M1516" i="107"/>
  <c r="G1896" i="120"/>
  <c r="N1509" i="107"/>
  <c r="H1889" i="120"/>
  <c r="E1889" i="120"/>
  <c r="K1509" i="107"/>
  <c r="J1605" i="107"/>
  <c r="D1914" i="120"/>
  <c r="K1514" i="107"/>
  <c r="E1894" i="120"/>
  <c r="F1895" i="120"/>
  <c r="L1515" i="107"/>
  <c r="N1510" i="107"/>
  <c r="H1890" i="120"/>
  <c r="I1891" i="120"/>
  <c r="O1511" i="107"/>
  <c r="I1895" i="120"/>
  <c r="O1515" i="107"/>
  <c r="F1891" i="120"/>
  <c r="L1511" i="107"/>
  <c r="E1893" i="120"/>
  <c r="K1513" i="107"/>
  <c r="E107" i="113"/>
  <c r="F260" i="100" s="1"/>
  <c r="F825" i="107" s="1"/>
  <c r="Q1511" i="107"/>
  <c r="K1891" i="120"/>
  <c r="O1509" i="107"/>
  <c r="I1889" i="120"/>
  <c r="M1512" i="107"/>
  <c r="G1892" i="120"/>
  <c r="M1515" i="107"/>
  <c r="G1895" i="120"/>
  <c r="P1514" i="107"/>
  <c r="J1894" i="120"/>
  <c r="G1894" i="120"/>
  <c r="M1514" i="107"/>
  <c r="N1514" i="107"/>
  <c r="H1894" i="120"/>
  <c r="J41" i="107"/>
  <c r="D36" i="120"/>
  <c r="O1514" i="107"/>
  <c r="I1894" i="120"/>
  <c r="E113" i="113"/>
  <c r="F266" i="100" s="1"/>
  <c r="F831" i="107" s="1"/>
  <c r="E111" i="113"/>
  <c r="F264" i="100" s="1"/>
  <c r="F829" i="107" s="1"/>
  <c r="I1896" i="120"/>
  <c r="O1516" i="107"/>
  <c r="J1609" i="107"/>
  <c r="D1918" i="120"/>
  <c r="O1512" i="107"/>
  <c r="I1892" i="120"/>
  <c r="H1896" i="120"/>
  <c r="N1516" i="107"/>
  <c r="P1512" i="107"/>
  <c r="J1892" i="120"/>
  <c r="Q1513" i="107"/>
  <c r="K1893" i="120"/>
  <c r="J1603" i="107"/>
  <c r="D1912" i="120"/>
  <c r="Q1514" i="107"/>
  <c r="K1894" i="120"/>
  <c r="E1896" i="120"/>
  <c r="K1516" i="107"/>
  <c r="L1513" i="107"/>
  <c r="F1893" i="120"/>
  <c r="J1896" i="120"/>
  <c r="P1516" i="107"/>
  <c r="J1891" i="120"/>
  <c r="P1511" i="107"/>
  <c r="J1607" i="107"/>
  <c r="D1916" i="120"/>
  <c r="L1514" i="107"/>
  <c r="F1894" i="120"/>
  <c r="L1516" i="107"/>
  <c r="F1896" i="120"/>
  <c r="P1509" i="107"/>
  <c r="J1889" i="120"/>
  <c r="O1510" i="107"/>
  <c r="I1890" i="120"/>
  <c r="K1515" i="107"/>
  <c r="E1895" i="120"/>
  <c r="J1606" i="107"/>
  <c r="D1915" i="120"/>
  <c r="G1610" i="107"/>
  <c r="E13" i="116" s="1"/>
  <c r="J1602" i="107"/>
  <c r="D1911" i="120"/>
  <c r="J1517" i="107"/>
  <c r="D1919" i="120" s="1"/>
  <c r="N1512" i="107"/>
  <c r="H1892" i="120"/>
  <c r="Q1512" i="107"/>
  <c r="K1892" i="120"/>
  <c r="F1890" i="120"/>
  <c r="L1510" i="107"/>
  <c r="P1510" i="107"/>
  <c r="J1890" i="120"/>
  <c r="G79" i="107"/>
  <c r="F40" i="119"/>
  <c r="G1893" i="120"/>
  <c r="M1513" i="107"/>
  <c r="H1895" i="120"/>
  <c r="N1515" i="107"/>
  <c r="J1604" i="107"/>
  <c r="D1913" i="120"/>
  <c r="Q1510" i="107"/>
  <c r="K1890" i="120"/>
  <c r="H827" i="107" l="1"/>
  <c r="G827" i="107"/>
  <c r="E114" i="165"/>
  <c r="E84" i="165"/>
  <c r="F76" i="165"/>
  <c r="F84" i="165" s="1"/>
  <c r="F91" i="165"/>
  <c r="F99" i="165" s="1"/>
  <c r="E99" i="165"/>
  <c r="F1628" i="107"/>
  <c r="H826" i="107"/>
  <c r="I826" i="107" s="1"/>
  <c r="H944" i="119" s="1"/>
  <c r="G826" i="107"/>
  <c r="G1628" i="107" s="1"/>
  <c r="F1629" i="107"/>
  <c r="H1629" i="107"/>
  <c r="F945" i="119"/>
  <c r="H1840" i="119"/>
  <c r="L37" i="107"/>
  <c r="L41" i="107" s="1"/>
  <c r="H1610" i="107"/>
  <c r="F13" i="116" s="1"/>
  <c r="T13" i="116" s="1"/>
  <c r="N1511" i="107"/>
  <c r="H1913" i="120" s="1"/>
  <c r="H1891" i="120"/>
  <c r="G1644" i="120"/>
  <c r="E76" i="112"/>
  <c r="F76" i="112" s="1"/>
  <c r="F210" i="100" s="1"/>
  <c r="E69" i="112"/>
  <c r="F69" i="112" s="1"/>
  <c r="J1893" i="120"/>
  <c r="K1512" i="107"/>
  <c r="K1605" i="107" s="1"/>
  <c r="M1511" i="107"/>
  <c r="M1604" i="107" s="1"/>
  <c r="M1495" i="107"/>
  <c r="G1897" i="120" s="1"/>
  <c r="K1495" i="107"/>
  <c r="E1897" i="120" s="1"/>
  <c r="E1891" i="120"/>
  <c r="E59" i="112"/>
  <c r="F59" i="112" s="1"/>
  <c r="F86" i="112" s="1"/>
  <c r="E82" i="113"/>
  <c r="F82" i="113" s="1"/>
  <c r="F249" i="100" s="1"/>
  <c r="Q1509" i="107"/>
  <c r="Q1602" i="107" s="1"/>
  <c r="Q1495" i="107"/>
  <c r="K1897" i="120" s="1"/>
  <c r="K1511" i="107"/>
  <c r="K1604" i="107" s="1"/>
  <c r="N37" i="107"/>
  <c r="N41" i="107" s="1"/>
  <c r="Q1515" i="107"/>
  <c r="Q1608" i="107" s="1"/>
  <c r="E56" i="155"/>
  <c r="F56" i="155" s="1"/>
  <c r="F212" i="151" s="1"/>
  <c r="F587" i="161" s="1"/>
  <c r="E74" i="112"/>
  <c r="F74" i="112" s="1"/>
  <c r="F87" i="112" s="1"/>
  <c r="E72" i="112"/>
  <c r="F72" i="112" s="1"/>
  <c r="F206" i="100" s="1"/>
  <c r="E70" i="112"/>
  <c r="F70" i="112" s="1"/>
  <c r="F204" i="100" s="1"/>
  <c r="E71" i="112"/>
  <c r="F71" i="112" s="1"/>
  <c r="F205" i="100" s="1"/>
  <c r="E75" i="112"/>
  <c r="F75" i="112" s="1"/>
  <c r="F209" i="100" s="1"/>
  <c r="E55" i="112"/>
  <c r="F55" i="112" s="1"/>
  <c r="I1644" i="120"/>
  <c r="Q37" i="107"/>
  <c r="K36" i="120" s="1"/>
  <c r="E62" i="112"/>
  <c r="F62" i="112" s="1"/>
  <c r="E61" i="112"/>
  <c r="F61" i="112" s="1"/>
  <c r="F1889" i="120"/>
  <c r="P1495" i="107"/>
  <c r="J1897" i="120" s="1"/>
  <c r="J1895" i="120"/>
  <c r="L1495" i="107"/>
  <c r="F1897" i="120" s="1"/>
  <c r="E79" i="113"/>
  <c r="F79" i="113" s="1"/>
  <c r="F246" i="100" s="1"/>
  <c r="E80" i="113"/>
  <c r="F80" i="113" s="1"/>
  <c r="F247" i="100" s="1"/>
  <c r="E96" i="113"/>
  <c r="F96" i="113" s="1"/>
  <c r="F256" i="100" s="1"/>
  <c r="E92" i="113"/>
  <c r="F92" i="113" s="1"/>
  <c r="F252" i="100" s="1"/>
  <c r="E91" i="113"/>
  <c r="F91" i="113" s="1"/>
  <c r="F251" i="100" s="1"/>
  <c r="E97" i="113"/>
  <c r="F97" i="113" s="1"/>
  <c r="F257" i="100" s="1"/>
  <c r="E77" i="113"/>
  <c r="F77" i="113" s="1"/>
  <c r="F244" i="100" s="1"/>
  <c r="E81" i="113"/>
  <c r="F81" i="113" s="1"/>
  <c r="F248" i="100" s="1"/>
  <c r="E83" i="113"/>
  <c r="F83" i="113" s="1"/>
  <c r="F250" i="100" s="1"/>
  <c r="E60" i="155"/>
  <c r="F60" i="155" s="1"/>
  <c r="F216" i="151" s="1"/>
  <c r="F591" i="161" s="1"/>
  <c r="E62" i="155"/>
  <c r="F62" i="155" s="1"/>
  <c r="F218" i="151" s="1"/>
  <c r="F593" i="161" s="1"/>
  <c r="E56" i="112"/>
  <c r="F56" i="112" s="1"/>
  <c r="E57" i="112"/>
  <c r="F57" i="112" s="1"/>
  <c r="F213" i="100" s="1"/>
  <c r="F588" i="107" s="1"/>
  <c r="E58" i="112"/>
  <c r="F58" i="112" s="1"/>
  <c r="F214" i="100" s="1"/>
  <c r="K37" i="107"/>
  <c r="K41" i="107" s="1"/>
  <c r="G40" i="119"/>
  <c r="H79" i="107"/>
  <c r="J1644" i="120"/>
  <c r="E94" i="113"/>
  <c r="F94" i="113" s="1"/>
  <c r="F254" i="100" s="1"/>
  <c r="E78" i="113"/>
  <c r="F78" i="113" s="1"/>
  <c r="F245" i="100" s="1"/>
  <c r="E98" i="113"/>
  <c r="F98" i="113" s="1"/>
  <c r="F258" i="100" s="1"/>
  <c r="E93" i="113"/>
  <c r="F93" i="113" s="1"/>
  <c r="I1517" i="107"/>
  <c r="H1862" i="119" s="1"/>
  <c r="O1495" i="107"/>
  <c r="I1897" i="120" s="1"/>
  <c r="I1893" i="120"/>
  <c r="F250" i="151"/>
  <c r="F746" i="161" s="1"/>
  <c r="F248" i="151"/>
  <c r="F744" i="161" s="1"/>
  <c r="F245" i="151"/>
  <c r="F741" i="161" s="1"/>
  <c r="F244" i="151"/>
  <c r="F740" i="161" s="1"/>
  <c r="F246" i="151"/>
  <c r="F742" i="161" s="1"/>
  <c r="F247" i="151"/>
  <c r="F743" i="161" s="1"/>
  <c r="F249" i="151"/>
  <c r="F745" i="161" s="1"/>
  <c r="F254" i="151"/>
  <c r="F753" i="161" s="1"/>
  <c r="F252" i="151"/>
  <c r="F751" i="161" s="1"/>
  <c r="F256" i="151"/>
  <c r="F755" i="161" s="1"/>
  <c r="F258" i="151"/>
  <c r="F757" i="161" s="1"/>
  <c r="F253" i="151"/>
  <c r="F752" i="161" s="1"/>
  <c r="F255" i="151"/>
  <c r="F754" i="161" s="1"/>
  <c r="E74" i="155"/>
  <c r="F74" i="155" s="1"/>
  <c r="F208" i="151" s="1"/>
  <c r="F554" i="161" s="1"/>
  <c r="E70" i="155"/>
  <c r="F70" i="155" s="1"/>
  <c r="F204" i="151" s="1"/>
  <c r="F550" i="161" s="1"/>
  <c r="E73" i="155"/>
  <c r="F73" i="155" s="1"/>
  <c r="F86" i="155" s="1"/>
  <c r="E55" i="155"/>
  <c r="F55" i="155" s="1"/>
  <c r="F211" i="151" s="1"/>
  <c r="F586" i="161" s="1"/>
  <c r="E58" i="155"/>
  <c r="F58" i="155" s="1"/>
  <c r="F214" i="151" s="1"/>
  <c r="F589" i="161" s="1"/>
  <c r="E61" i="155"/>
  <c r="F61" i="155" s="1"/>
  <c r="F217" i="151" s="1"/>
  <c r="F592" i="161" s="1"/>
  <c r="E72" i="155"/>
  <c r="F72" i="155" s="1"/>
  <c r="F206" i="151" s="1"/>
  <c r="F552" i="161" s="1"/>
  <c r="E57" i="155"/>
  <c r="F57" i="155" s="1"/>
  <c r="E69" i="155"/>
  <c r="F69" i="155" s="1"/>
  <c r="F203" i="151" s="1"/>
  <c r="E75" i="155"/>
  <c r="F75" i="155" s="1"/>
  <c r="F209" i="151" s="1"/>
  <c r="F555" i="161" s="1"/>
  <c r="E76" i="155"/>
  <c r="F76" i="155" s="1"/>
  <c r="F210" i="151" s="1"/>
  <c r="F556" i="161" s="1"/>
  <c r="N1517" i="161"/>
  <c r="K1517" i="161"/>
  <c r="L1517" i="161"/>
  <c r="N1610" i="161"/>
  <c r="J1610" i="161"/>
  <c r="K79" i="161"/>
  <c r="N79" i="161"/>
  <c r="P1517" i="161"/>
  <c r="F553" i="107"/>
  <c r="G553" i="107" s="1"/>
  <c r="Q1517" i="161"/>
  <c r="F1623" i="161"/>
  <c r="M1517" i="161"/>
  <c r="P1610" i="161"/>
  <c r="K1610" i="161"/>
  <c r="F591" i="107"/>
  <c r="H591" i="107" s="1"/>
  <c r="Q1610" i="161"/>
  <c r="M1610" i="161"/>
  <c r="F754" i="107"/>
  <c r="H754" i="107" s="1"/>
  <c r="I754" i="107" s="1"/>
  <c r="H873" i="119" s="1"/>
  <c r="O1517" i="161"/>
  <c r="M79" i="161"/>
  <c r="L79" i="161"/>
  <c r="L1610" i="161"/>
  <c r="O1610" i="161"/>
  <c r="H1610" i="161"/>
  <c r="F756" i="161"/>
  <c r="E945" i="119"/>
  <c r="E944" i="119"/>
  <c r="E114" i="113"/>
  <c r="N1608" i="107"/>
  <c r="H1917" i="120"/>
  <c r="P1603" i="107"/>
  <c r="J1912" i="120"/>
  <c r="O1606" i="107"/>
  <c r="I1915" i="120"/>
  <c r="Q1606" i="107"/>
  <c r="K1915" i="120"/>
  <c r="O1607" i="107"/>
  <c r="I1916" i="120"/>
  <c r="H825" i="107"/>
  <c r="I825" i="107" s="1"/>
  <c r="H943" i="119" s="1"/>
  <c r="G825" i="107"/>
  <c r="E943" i="119"/>
  <c r="F1627" i="107"/>
  <c r="L1605" i="107"/>
  <c r="F1914" i="120"/>
  <c r="L1603" i="107"/>
  <c r="F1912" i="120"/>
  <c r="P1604" i="107"/>
  <c r="J1913" i="120"/>
  <c r="D2009" i="120"/>
  <c r="F114" i="113"/>
  <c r="F259" i="100"/>
  <c r="F824" i="107" s="1"/>
  <c r="M41" i="107"/>
  <c r="G36" i="120"/>
  <c r="K1602" i="107"/>
  <c r="E1911" i="120"/>
  <c r="L1606" i="107"/>
  <c r="F1915" i="120"/>
  <c r="K1606" i="107"/>
  <c r="E1915" i="120"/>
  <c r="N1603" i="107"/>
  <c r="H1912" i="120"/>
  <c r="M1609" i="107"/>
  <c r="G1918" i="120"/>
  <c r="G1911" i="120"/>
  <c r="M1602" i="107"/>
  <c r="N1606" i="107"/>
  <c r="H1915" i="120"/>
  <c r="K1609" i="107"/>
  <c r="E1918" i="120"/>
  <c r="N1609" i="107"/>
  <c r="H1918" i="120"/>
  <c r="M1607" i="107"/>
  <c r="G1916" i="120"/>
  <c r="O1602" i="107"/>
  <c r="I1911" i="120"/>
  <c r="O1517" i="107"/>
  <c r="I1919" i="120" s="1"/>
  <c r="L1604" i="107"/>
  <c r="F1913" i="120"/>
  <c r="D2008" i="120"/>
  <c r="O41" i="107"/>
  <c r="I36" i="120"/>
  <c r="Q1609" i="107"/>
  <c r="K1918" i="120"/>
  <c r="E947" i="119"/>
  <c r="H829" i="107"/>
  <c r="F1631" i="107"/>
  <c r="G829" i="107"/>
  <c r="M1608" i="107"/>
  <c r="G1917" i="120"/>
  <c r="K1607" i="107"/>
  <c r="E1916" i="120"/>
  <c r="G828" i="107"/>
  <c r="E946" i="119"/>
  <c r="F1630" i="107"/>
  <c r="H828" i="107"/>
  <c r="N1605" i="107"/>
  <c r="H1914" i="120"/>
  <c r="D2006" i="120"/>
  <c r="P1602" i="107"/>
  <c r="P1517" i="107"/>
  <c r="J1919" i="120" s="1"/>
  <c r="J1911" i="120"/>
  <c r="Q1607" i="107"/>
  <c r="K1916" i="120"/>
  <c r="D2003" i="120"/>
  <c r="O1605" i="107"/>
  <c r="I1914" i="120"/>
  <c r="H831" i="107"/>
  <c r="I831" i="107" s="1"/>
  <c r="H949" i="119" s="1"/>
  <c r="G831" i="107"/>
  <c r="E949" i="119"/>
  <c r="F1633" i="107"/>
  <c r="P1607" i="107"/>
  <c r="J1916" i="120"/>
  <c r="Q1604" i="107"/>
  <c r="K1913" i="120"/>
  <c r="L1608" i="107"/>
  <c r="F1917" i="120"/>
  <c r="N1602" i="107"/>
  <c r="H1911" i="120"/>
  <c r="F948" i="119"/>
  <c r="G1632" i="107"/>
  <c r="D2004" i="120"/>
  <c r="M1606" i="107"/>
  <c r="G1915" i="120"/>
  <c r="P1605" i="107"/>
  <c r="J1914" i="120"/>
  <c r="O1609" i="107"/>
  <c r="I1918" i="120"/>
  <c r="P1608" i="107"/>
  <c r="J1917" i="120"/>
  <c r="P41" i="107"/>
  <c r="J36" i="120"/>
  <c r="J79" i="107"/>
  <c r="D72" i="120" s="1"/>
  <c r="D40" i="120"/>
  <c r="O1608" i="107"/>
  <c r="I1917" i="120"/>
  <c r="K1603" i="107"/>
  <c r="E1912" i="120"/>
  <c r="Q1603" i="107"/>
  <c r="K1912" i="120"/>
  <c r="L1517" i="107"/>
  <c r="F1919" i="120" s="1"/>
  <c r="L1602" i="107"/>
  <c r="F1911" i="120"/>
  <c r="J1610" i="107"/>
  <c r="D2002" i="120"/>
  <c r="K1608" i="107"/>
  <c r="E1917" i="120"/>
  <c r="L1609" i="107"/>
  <c r="F1918" i="120"/>
  <c r="P1609" i="107"/>
  <c r="J1918" i="120"/>
  <c r="Q1605" i="107"/>
  <c r="K1914" i="120"/>
  <c r="O1603" i="107"/>
  <c r="I1912" i="120"/>
  <c r="L1607" i="107"/>
  <c r="F1916" i="120"/>
  <c r="D2007" i="120"/>
  <c r="N1607" i="107"/>
  <c r="H1916" i="120"/>
  <c r="M1605" i="107"/>
  <c r="G1914" i="120"/>
  <c r="O1604" i="107"/>
  <c r="I1913" i="120"/>
  <c r="D2005" i="120"/>
  <c r="P1606" i="107"/>
  <c r="J1915" i="120"/>
  <c r="M1603" i="107"/>
  <c r="G1912" i="120"/>
  <c r="F243" i="100"/>
  <c r="J830" i="107"/>
  <c r="H1632" i="107"/>
  <c r="G948" i="119"/>
  <c r="F36" i="120" l="1"/>
  <c r="F89" i="112"/>
  <c r="N1604" i="107"/>
  <c r="H2004" i="120" s="1"/>
  <c r="N1517" i="107"/>
  <c r="H1919" i="120" s="1"/>
  <c r="F215" i="100"/>
  <c r="F590" i="107" s="1"/>
  <c r="E682" i="119" s="1"/>
  <c r="F218" i="100"/>
  <c r="F593" i="107" s="1"/>
  <c r="E685" i="119" s="1"/>
  <c r="E1914" i="120"/>
  <c r="M1517" i="107"/>
  <c r="G1919" i="120" s="1"/>
  <c r="G1913" i="120"/>
  <c r="F83" i="112"/>
  <c r="F549" i="161"/>
  <c r="K1911" i="120"/>
  <c r="Q41" i="107"/>
  <c r="F85" i="112"/>
  <c r="Q1517" i="107"/>
  <c r="K1919" i="120" s="1"/>
  <c r="K1517" i="107"/>
  <c r="E1919" i="120" s="1"/>
  <c r="E1913" i="120"/>
  <c r="K1917" i="120"/>
  <c r="H36" i="120"/>
  <c r="F212" i="100"/>
  <c r="F587" i="107" s="1"/>
  <c r="E77" i="112"/>
  <c r="F208" i="100"/>
  <c r="F554" i="107" s="1"/>
  <c r="E647" i="119" s="1"/>
  <c r="F88" i="112"/>
  <c r="F207" i="151"/>
  <c r="F553" i="161" s="1"/>
  <c r="G553" i="161" s="1"/>
  <c r="G564" i="161" s="1"/>
  <c r="F217" i="100"/>
  <c r="F592" i="107" s="1"/>
  <c r="E63" i="112"/>
  <c r="E36" i="120"/>
  <c r="F99" i="113"/>
  <c r="F253" i="100"/>
  <c r="F752" i="107" s="1"/>
  <c r="E871" i="119" s="1"/>
  <c r="E84" i="113"/>
  <c r="F84" i="113"/>
  <c r="F84" i="112"/>
  <c r="E99" i="113"/>
  <c r="G588" i="107"/>
  <c r="F680" i="119" s="1"/>
  <c r="H588" i="107"/>
  <c r="I588" i="107" s="1"/>
  <c r="H680" i="119" s="1"/>
  <c r="F944" i="119"/>
  <c r="F87" i="155"/>
  <c r="F63" i="155"/>
  <c r="F83" i="155"/>
  <c r="F213" i="151"/>
  <c r="F588" i="161" s="1"/>
  <c r="H588" i="161" s="1"/>
  <c r="J588" i="161" s="1"/>
  <c r="E63" i="155"/>
  <c r="F84" i="155"/>
  <c r="E680" i="119"/>
  <c r="F85" i="155"/>
  <c r="F82" i="155"/>
  <c r="F77" i="155"/>
  <c r="E77" i="155"/>
  <c r="F88" i="155"/>
  <c r="F89" i="155"/>
  <c r="G591" i="107"/>
  <c r="F683" i="119" s="1"/>
  <c r="E683" i="119"/>
  <c r="J754" i="107"/>
  <c r="J1667" i="107" s="1"/>
  <c r="D2068" i="120" s="1"/>
  <c r="G873" i="119"/>
  <c r="H1667" i="107"/>
  <c r="F564" i="107"/>
  <c r="E657" i="119" s="1"/>
  <c r="H1739" i="107"/>
  <c r="E873" i="119"/>
  <c r="F1667" i="107"/>
  <c r="G754" i="107"/>
  <c r="F646" i="119"/>
  <c r="G564" i="107"/>
  <c r="F657" i="119" s="1"/>
  <c r="F550" i="107"/>
  <c r="G550" i="107" s="1"/>
  <c r="G561" i="107" s="1"/>
  <c r="F654" i="119" s="1"/>
  <c r="F757" i="107"/>
  <c r="G591" i="161"/>
  <c r="H591" i="161"/>
  <c r="J591" i="161" s="1"/>
  <c r="F750" i="107"/>
  <c r="F1735" i="107" s="1"/>
  <c r="F589" i="107"/>
  <c r="G589" i="107" s="1"/>
  <c r="F681" i="119" s="1"/>
  <c r="E646" i="119"/>
  <c r="H553" i="107"/>
  <c r="F742" i="107"/>
  <c r="E861" i="119" s="1"/>
  <c r="F751" i="107"/>
  <c r="E870" i="119" s="1"/>
  <c r="F744" i="107"/>
  <c r="F739" i="107"/>
  <c r="F1637" i="107" s="1"/>
  <c r="F743" i="107"/>
  <c r="G743" i="107" s="1"/>
  <c r="F556" i="107"/>
  <c r="G556" i="107" s="1"/>
  <c r="F745" i="107"/>
  <c r="F746" i="107"/>
  <c r="F753" i="107"/>
  <c r="F1738" i="107" s="1"/>
  <c r="F552" i="107"/>
  <c r="F555" i="107"/>
  <c r="E648" i="119" s="1"/>
  <c r="F551" i="107"/>
  <c r="F1667" i="161"/>
  <c r="F1739" i="161"/>
  <c r="G754" i="161"/>
  <c r="H754" i="161"/>
  <c r="F1739" i="107"/>
  <c r="F755" i="107"/>
  <c r="H755" i="107" s="1"/>
  <c r="G874" i="119" s="1"/>
  <c r="F740" i="107"/>
  <c r="H740" i="107" s="1"/>
  <c r="I740" i="107" s="1"/>
  <c r="H859" i="119" s="1"/>
  <c r="F756" i="107"/>
  <c r="F741" i="107"/>
  <c r="E860" i="119" s="1"/>
  <c r="J827" i="107"/>
  <c r="M827" i="107" s="1"/>
  <c r="I827" i="107"/>
  <c r="H945" i="119" s="1"/>
  <c r="G945" i="119"/>
  <c r="G1629" i="107"/>
  <c r="J826" i="107"/>
  <c r="K826" i="107" s="1"/>
  <c r="G944" i="119"/>
  <c r="H1628" i="107"/>
  <c r="I2005" i="120"/>
  <c r="H2005" i="120"/>
  <c r="J828" i="107"/>
  <c r="G946" i="119"/>
  <c r="H1630" i="107"/>
  <c r="E2007" i="120"/>
  <c r="G2008" i="120"/>
  <c r="N79" i="107"/>
  <c r="H72" i="120" s="1"/>
  <c r="H40" i="120"/>
  <c r="H2006" i="120"/>
  <c r="I2006" i="120"/>
  <c r="G2005" i="120"/>
  <c r="E2004" i="120"/>
  <c r="K2005" i="120"/>
  <c r="L1610" i="107"/>
  <c r="F2002" i="120"/>
  <c r="E2003" i="120"/>
  <c r="I2004" i="120"/>
  <c r="F2009" i="120"/>
  <c r="J2008" i="120"/>
  <c r="F2008" i="120"/>
  <c r="J2007" i="120"/>
  <c r="I828" i="107"/>
  <c r="H946" i="119" s="1"/>
  <c r="K2009" i="120"/>
  <c r="O1610" i="107"/>
  <c r="I2002" i="120"/>
  <c r="H2003" i="120"/>
  <c r="F2006" i="120"/>
  <c r="E2002" i="120"/>
  <c r="K1610" i="107"/>
  <c r="I2007" i="120"/>
  <c r="F63" i="112"/>
  <c r="F82" i="112"/>
  <c r="F211" i="100"/>
  <c r="I2008" i="120"/>
  <c r="H2009" i="120"/>
  <c r="J2003" i="120"/>
  <c r="E2005" i="120"/>
  <c r="J2009" i="120"/>
  <c r="E2008" i="120"/>
  <c r="I2009" i="120"/>
  <c r="F947" i="119"/>
  <c r="G1631" i="107"/>
  <c r="G2004" i="120"/>
  <c r="G2002" i="120"/>
  <c r="M1610" i="107"/>
  <c r="M79" i="107"/>
  <c r="G72" i="120" s="1"/>
  <c r="G40" i="120"/>
  <c r="K2006" i="120"/>
  <c r="N830" i="107"/>
  <c r="L830" i="107"/>
  <c r="M830" i="107"/>
  <c r="K830" i="107"/>
  <c r="O830" i="107"/>
  <c r="P830" i="107"/>
  <c r="D1000" i="120"/>
  <c r="Q830" i="107"/>
  <c r="J1632" i="107"/>
  <c r="D2032" i="120" s="1"/>
  <c r="G2006" i="120"/>
  <c r="J591" i="107"/>
  <c r="G683" i="119"/>
  <c r="F832" i="107"/>
  <c r="F1626" i="107"/>
  <c r="H824" i="107"/>
  <c r="I824" i="107" s="1"/>
  <c r="H942" i="119" s="1"/>
  <c r="G824" i="107"/>
  <c r="E942" i="119"/>
  <c r="G2003" i="120"/>
  <c r="F2007" i="120"/>
  <c r="P1610" i="107"/>
  <c r="J2002" i="120"/>
  <c r="I591" i="107"/>
  <c r="H683" i="119" s="1"/>
  <c r="F946" i="119"/>
  <c r="G1630" i="107"/>
  <c r="F77" i="112"/>
  <c r="F203" i="100"/>
  <c r="H2008" i="120"/>
  <c r="J2005" i="120"/>
  <c r="F949" i="119"/>
  <c r="G1633" i="107"/>
  <c r="K79" i="107"/>
  <c r="E72" i="120" s="1"/>
  <c r="E40" i="120"/>
  <c r="J829" i="107"/>
  <c r="H1631" i="107"/>
  <c r="G947" i="119"/>
  <c r="L79" i="107"/>
  <c r="F72" i="120" s="1"/>
  <c r="F40" i="120"/>
  <c r="K2008" i="120"/>
  <c r="J2004" i="120"/>
  <c r="F2005" i="120"/>
  <c r="J2006" i="120"/>
  <c r="H13" i="116"/>
  <c r="D2010" i="120"/>
  <c r="H2007" i="120"/>
  <c r="I2003" i="120"/>
  <c r="K2003" i="120"/>
  <c r="J831" i="107"/>
  <c r="H1633" i="107"/>
  <c r="G949" i="119"/>
  <c r="F2004" i="120"/>
  <c r="G2007" i="120"/>
  <c r="E2009" i="120"/>
  <c r="F943" i="119"/>
  <c r="G1627" i="107"/>
  <c r="P79" i="107"/>
  <c r="J72" i="120" s="1"/>
  <c r="J40" i="120"/>
  <c r="H2002" i="120"/>
  <c r="K2004" i="120"/>
  <c r="K2007" i="120"/>
  <c r="I829" i="107"/>
  <c r="H947" i="119" s="1"/>
  <c r="O79" i="107"/>
  <c r="I72" i="120" s="1"/>
  <c r="I40" i="120"/>
  <c r="G2009" i="120"/>
  <c r="E2006" i="120"/>
  <c r="F2003" i="120"/>
  <c r="G943" i="119"/>
  <c r="H1627" i="107"/>
  <c r="J825" i="107"/>
  <c r="Q1610" i="107"/>
  <c r="K2002" i="120"/>
  <c r="N1610" i="107" l="1"/>
  <c r="Q79" i="107"/>
  <c r="K72" i="120" s="1"/>
  <c r="K40" i="120"/>
  <c r="C12" i="168"/>
  <c r="C13" i="168"/>
  <c r="D12" i="168"/>
  <c r="G588" i="161"/>
  <c r="F564" i="161"/>
  <c r="F602" i="161" s="1"/>
  <c r="H553" i="161"/>
  <c r="I553" i="161" s="1"/>
  <c r="Q827" i="107"/>
  <c r="Q1629" i="107" s="1"/>
  <c r="K2029" i="120" s="1"/>
  <c r="J1629" i="107"/>
  <c r="D2029" i="120" s="1"/>
  <c r="N827" i="107"/>
  <c r="H997" i="120" s="1"/>
  <c r="K827" i="107"/>
  <c r="K1629" i="107" s="1"/>
  <c r="E2029" i="120" s="1"/>
  <c r="F90" i="112"/>
  <c r="J588" i="107"/>
  <c r="N588" i="107" s="1"/>
  <c r="H734" i="120" s="1"/>
  <c r="G680" i="119"/>
  <c r="L754" i="107"/>
  <c r="F926" i="120" s="1"/>
  <c r="D997" i="120"/>
  <c r="O827" i="107"/>
  <c r="O1629" i="107" s="1"/>
  <c r="I2029" i="120" s="1"/>
  <c r="P827" i="107"/>
  <c r="P1629" i="107" s="1"/>
  <c r="J2029" i="120" s="1"/>
  <c r="F90" i="155"/>
  <c r="F251" i="151"/>
  <c r="F243" i="151"/>
  <c r="F739" i="161" s="1"/>
  <c r="F1637" i="161" s="1"/>
  <c r="I755" i="107"/>
  <c r="H874" i="119" s="1"/>
  <c r="N754" i="107"/>
  <c r="N1667" i="107" s="1"/>
  <c r="H2068" i="120" s="1"/>
  <c r="M754" i="107"/>
  <c r="G926" i="120" s="1"/>
  <c r="Q754" i="107"/>
  <c r="Q1667" i="107" s="1"/>
  <c r="K2068" i="120" s="1"/>
  <c r="P754" i="107"/>
  <c r="P1667" i="107" s="1"/>
  <c r="J2068" i="120" s="1"/>
  <c r="J1739" i="107"/>
  <c r="D2142" i="120" s="1"/>
  <c r="K754" i="107"/>
  <c r="E926" i="120" s="1"/>
  <c r="D926" i="120"/>
  <c r="O754" i="107"/>
  <c r="O1739" i="107" s="1"/>
  <c r="I2142" i="120" s="1"/>
  <c r="G739" i="107"/>
  <c r="G1637" i="107" s="1"/>
  <c r="H590" i="107"/>
  <c r="G682" i="119" s="1"/>
  <c r="G590" i="107"/>
  <c r="F682" i="119" s="1"/>
  <c r="F1666" i="107"/>
  <c r="E858" i="119"/>
  <c r="E872" i="119"/>
  <c r="H739" i="107"/>
  <c r="I739" i="107" s="1"/>
  <c r="H858" i="119" s="1"/>
  <c r="J755" i="107"/>
  <c r="P755" i="107" s="1"/>
  <c r="F643" i="119"/>
  <c r="H1668" i="107"/>
  <c r="E643" i="119"/>
  <c r="H550" i="107"/>
  <c r="I550" i="107" s="1"/>
  <c r="H643" i="119" s="1"/>
  <c r="F561" i="107"/>
  <c r="F599" i="107" s="1"/>
  <c r="H753" i="107"/>
  <c r="I753" i="107" s="1"/>
  <c r="H872" i="119" s="1"/>
  <c r="H1740" i="107"/>
  <c r="H593" i="107"/>
  <c r="I593" i="107" s="1"/>
  <c r="H685" i="119" s="1"/>
  <c r="G593" i="107"/>
  <c r="F685" i="119" s="1"/>
  <c r="J740" i="107"/>
  <c r="L740" i="107" s="1"/>
  <c r="G859" i="119"/>
  <c r="G753" i="107"/>
  <c r="F872" i="119" s="1"/>
  <c r="H752" i="107"/>
  <c r="H1665" i="107" s="1"/>
  <c r="F1740" i="107"/>
  <c r="F1668" i="107"/>
  <c r="G554" i="107"/>
  <c r="F647" i="119" s="1"/>
  <c r="H1638" i="107"/>
  <c r="H1747" i="107" s="1"/>
  <c r="G750" i="107"/>
  <c r="F869" i="119" s="1"/>
  <c r="G740" i="107"/>
  <c r="F859" i="119" s="1"/>
  <c r="F602" i="107"/>
  <c r="G755" i="107"/>
  <c r="G1740" i="107" s="1"/>
  <c r="F1638" i="107"/>
  <c r="F1747" i="107" s="1"/>
  <c r="E869" i="119"/>
  <c r="H750" i="107"/>
  <c r="I750" i="107" s="1"/>
  <c r="H869" i="119" s="1"/>
  <c r="H555" i="107"/>
  <c r="I555" i="107" s="1"/>
  <c r="H648" i="119" s="1"/>
  <c r="I591" i="161"/>
  <c r="H751" i="107"/>
  <c r="I751" i="107" s="1"/>
  <c r="H870" i="119" s="1"/>
  <c r="E862" i="119"/>
  <c r="G751" i="107"/>
  <c r="G1664" i="107" s="1"/>
  <c r="H743" i="107"/>
  <c r="H1641" i="107" s="1"/>
  <c r="H1750" i="107" s="1"/>
  <c r="F1641" i="107"/>
  <c r="G1667" i="107"/>
  <c r="F873" i="119"/>
  <c r="G1739" i="107"/>
  <c r="F758" i="107"/>
  <c r="E859" i="119"/>
  <c r="G567" i="107"/>
  <c r="F660" i="119" s="1"/>
  <c r="F649" i="119"/>
  <c r="F1669" i="161"/>
  <c r="F1741" i="161"/>
  <c r="G756" i="161"/>
  <c r="H756" i="161"/>
  <c r="I756" i="161" s="1"/>
  <c r="G551" i="161"/>
  <c r="G562" i="161" s="1"/>
  <c r="H551" i="161"/>
  <c r="I551" i="161" s="1"/>
  <c r="F562" i="161"/>
  <c r="G592" i="161"/>
  <c r="H592" i="161"/>
  <c r="J592" i="161" s="1"/>
  <c r="Q588" i="161"/>
  <c r="M588" i="161"/>
  <c r="O588" i="161"/>
  <c r="N588" i="161"/>
  <c r="L588" i="161"/>
  <c r="K588" i="161"/>
  <c r="P588" i="161"/>
  <c r="F586" i="107"/>
  <c r="G586" i="107" s="1"/>
  <c r="H756" i="107"/>
  <c r="G756" i="107"/>
  <c r="F1669" i="107"/>
  <c r="E875" i="119"/>
  <c r="G551" i="107"/>
  <c r="H551" i="107"/>
  <c r="F562" i="107"/>
  <c r="F600" i="107" s="1"/>
  <c r="G740" i="161"/>
  <c r="G1638" i="161" s="1"/>
  <c r="G1747" i="161" s="1"/>
  <c r="F1638" i="161"/>
  <c r="H740" i="161"/>
  <c r="I740" i="161" s="1"/>
  <c r="G555" i="161"/>
  <c r="H555" i="161"/>
  <c r="I555" i="161" s="1"/>
  <c r="F566" i="161"/>
  <c r="G587" i="161"/>
  <c r="H587" i="161"/>
  <c r="J587" i="161" s="1"/>
  <c r="F1641" i="161"/>
  <c r="G743" i="161"/>
  <c r="G1641" i="161" s="1"/>
  <c r="G1750" i="161" s="1"/>
  <c r="H743" i="161"/>
  <c r="I743" i="161" s="1"/>
  <c r="H751" i="161"/>
  <c r="I751" i="161" s="1"/>
  <c r="F1736" i="161"/>
  <c r="F1664" i="161"/>
  <c r="G751" i="161"/>
  <c r="F1670" i="161"/>
  <c r="F1742" i="161"/>
  <c r="G757" i="161"/>
  <c r="H757" i="161"/>
  <c r="I757" i="161" s="1"/>
  <c r="G556" i="161"/>
  <c r="G567" i="161" s="1"/>
  <c r="H556" i="161"/>
  <c r="I556" i="161" s="1"/>
  <c r="F567" i="161"/>
  <c r="G555" i="107"/>
  <c r="F566" i="107"/>
  <c r="E679" i="119"/>
  <c r="G587" i="107"/>
  <c r="F679" i="119" s="1"/>
  <c r="H587" i="107"/>
  <c r="F862" i="119"/>
  <c r="G1641" i="107"/>
  <c r="G1750" i="107" s="1"/>
  <c r="F1736" i="107"/>
  <c r="F1664" i="107"/>
  <c r="E876" i="119"/>
  <c r="G757" i="107"/>
  <c r="F1670" i="107"/>
  <c r="H757" i="107"/>
  <c r="F1742" i="107"/>
  <c r="G589" i="161"/>
  <c r="H589" i="161"/>
  <c r="J589" i="161" s="1"/>
  <c r="F1642" i="107"/>
  <c r="H744" i="107"/>
  <c r="E863" i="119"/>
  <c r="G744" i="107"/>
  <c r="F1639" i="161"/>
  <c r="G741" i="161"/>
  <c r="G1639" i="161" s="1"/>
  <c r="G1748" i="161" s="1"/>
  <c r="H741" i="161"/>
  <c r="I741" i="161" s="1"/>
  <c r="G550" i="161"/>
  <c r="G561" i="161" s="1"/>
  <c r="H550" i="161"/>
  <c r="F561" i="161"/>
  <c r="H589" i="107"/>
  <c r="I589" i="107" s="1"/>
  <c r="H681" i="119" s="1"/>
  <c r="F549" i="107"/>
  <c r="F557" i="107" s="1"/>
  <c r="F1741" i="107"/>
  <c r="H741" i="107"/>
  <c r="F1639" i="107"/>
  <c r="G741" i="107"/>
  <c r="H552" i="107"/>
  <c r="F563" i="107"/>
  <c r="G552" i="107"/>
  <c r="E645" i="119"/>
  <c r="H746" i="107"/>
  <c r="F1644" i="107"/>
  <c r="G746" i="107"/>
  <c r="E865" i="119"/>
  <c r="G742" i="107"/>
  <c r="F1640" i="107"/>
  <c r="F1749" i="107" s="1"/>
  <c r="H742" i="107"/>
  <c r="N591" i="161"/>
  <c r="K591" i="161"/>
  <c r="Q591" i="161"/>
  <c r="P591" i="161"/>
  <c r="L591" i="161"/>
  <c r="O591" i="161"/>
  <c r="M591" i="161"/>
  <c r="J754" i="161"/>
  <c r="H1667" i="161"/>
  <c r="H1739" i="161"/>
  <c r="F1642" i="161"/>
  <c r="G744" i="161"/>
  <c r="G1642" i="161" s="1"/>
  <c r="G1751" i="161" s="1"/>
  <c r="H744" i="161"/>
  <c r="I744" i="161" s="1"/>
  <c r="G1739" i="161"/>
  <c r="G1667" i="161"/>
  <c r="E684" i="119"/>
  <c r="H592" i="107"/>
  <c r="G592" i="107"/>
  <c r="F684" i="119" s="1"/>
  <c r="E681" i="119"/>
  <c r="F1668" i="161"/>
  <c r="F1740" i="161"/>
  <c r="G755" i="161"/>
  <c r="H755" i="161"/>
  <c r="G590" i="161"/>
  <c r="G602" i="161" s="1"/>
  <c r="H590" i="161"/>
  <c r="J590" i="161" s="1"/>
  <c r="H552" i="161"/>
  <c r="I552" i="161" s="1"/>
  <c r="G552" i="161"/>
  <c r="G563" i="161" s="1"/>
  <c r="F563" i="161"/>
  <c r="F1644" i="161"/>
  <c r="G746" i="161"/>
  <c r="G1644" i="161" s="1"/>
  <c r="G1753" i="161" s="1"/>
  <c r="H746" i="161"/>
  <c r="I746" i="161" s="1"/>
  <c r="G593" i="161"/>
  <c r="H593" i="161"/>
  <c r="I593" i="161" s="1"/>
  <c r="F1640" i="161"/>
  <c r="H742" i="161"/>
  <c r="I742" i="161" s="1"/>
  <c r="G742" i="161"/>
  <c r="G1640" i="161" s="1"/>
  <c r="G1749" i="161" s="1"/>
  <c r="F747" i="107"/>
  <c r="E874" i="119"/>
  <c r="F1737" i="161"/>
  <c r="F1665" i="161"/>
  <c r="H752" i="161"/>
  <c r="I752" i="161" s="1"/>
  <c r="G752" i="161"/>
  <c r="G554" i="161"/>
  <c r="G565" i="161" s="1"/>
  <c r="G603" i="161" s="1"/>
  <c r="H554" i="161"/>
  <c r="I554" i="161" s="1"/>
  <c r="F565" i="161"/>
  <c r="F1738" i="161"/>
  <c r="F1666" i="161"/>
  <c r="G753" i="161"/>
  <c r="H753" i="161"/>
  <c r="I753" i="161" s="1"/>
  <c r="F1643" i="161"/>
  <c r="G745" i="161"/>
  <c r="G1643" i="161" s="1"/>
  <c r="G1752" i="161" s="1"/>
  <c r="H745" i="161"/>
  <c r="I745" i="161" s="1"/>
  <c r="I553" i="107"/>
  <c r="H646" i="119" s="1"/>
  <c r="H564" i="107"/>
  <c r="G646" i="119"/>
  <c r="J553" i="107"/>
  <c r="H556" i="107"/>
  <c r="F567" i="107"/>
  <c r="E649" i="119"/>
  <c r="E644" i="119"/>
  <c r="G752" i="107"/>
  <c r="F1737" i="107"/>
  <c r="F1665" i="107"/>
  <c r="I754" i="161"/>
  <c r="F565" i="107"/>
  <c r="H554" i="107"/>
  <c r="H745" i="107"/>
  <c r="F1643" i="107"/>
  <c r="G745" i="107"/>
  <c r="E864" i="119"/>
  <c r="I588" i="161"/>
  <c r="L827" i="107"/>
  <c r="F997" i="120" s="1"/>
  <c r="M826" i="107"/>
  <c r="G996" i="120" s="1"/>
  <c r="N826" i="107"/>
  <c r="N1628" i="107" s="1"/>
  <c r="H2028" i="120" s="1"/>
  <c r="J1628" i="107"/>
  <c r="D2028" i="120" s="1"/>
  <c r="O826" i="107"/>
  <c r="O1628" i="107" s="1"/>
  <c r="I2028" i="120" s="1"/>
  <c r="L826" i="107"/>
  <c r="L1628" i="107" s="1"/>
  <c r="F2028" i="120" s="1"/>
  <c r="Q826" i="107"/>
  <c r="Q1628" i="107" s="1"/>
  <c r="K2028" i="120" s="1"/>
  <c r="D996" i="120"/>
  <c r="P826" i="107"/>
  <c r="P1628" i="107" s="1"/>
  <c r="J2028" i="120" s="1"/>
  <c r="P1632" i="107"/>
  <c r="J2032" i="120" s="1"/>
  <c r="J1000" i="120"/>
  <c r="J2010" i="120"/>
  <c r="N13" i="116"/>
  <c r="Q591" i="107"/>
  <c r="K737" i="120" s="1"/>
  <c r="K591" i="107"/>
  <c r="E737" i="120" s="1"/>
  <c r="L591" i="107"/>
  <c r="F737" i="120" s="1"/>
  <c r="N591" i="107"/>
  <c r="H737" i="120" s="1"/>
  <c r="D737" i="120"/>
  <c r="P591" i="107"/>
  <c r="J737" i="120" s="1"/>
  <c r="O591" i="107"/>
  <c r="I737" i="120" s="1"/>
  <c r="M591" i="107"/>
  <c r="G737" i="120" s="1"/>
  <c r="O1632" i="107"/>
  <c r="I2032" i="120" s="1"/>
  <c r="I1000" i="120"/>
  <c r="N831" i="107"/>
  <c r="M831" i="107"/>
  <c r="O831" i="107"/>
  <c r="J1633" i="107"/>
  <c r="D2033" i="120" s="1"/>
  <c r="P831" i="107"/>
  <c r="L831" i="107"/>
  <c r="Q831" i="107"/>
  <c r="K831" i="107"/>
  <c r="D1001" i="120"/>
  <c r="G1626" i="107"/>
  <c r="G1634" i="107" s="1"/>
  <c r="E16" i="116" s="1"/>
  <c r="F942" i="119"/>
  <c r="G832" i="107"/>
  <c r="E1000" i="120"/>
  <c r="K1632" i="107"/>
  <c r="E2032" i="120" s="1"/>
  <c r="K13" i="116"/>
  <c r="G2010" i="120"/>
  <c r="H1626" i="107"/>
  <c r="H1634" i="107" s="1"/>
  <c r="F16" i="116" s="1"/>
  <c r="J824" i="107"/>
  <c r="H832" i="107"/>
  <c r="I832" i="107" s="1"/>
  <c r="G942" i="119"/>
  <c r="M1632" i="107"/>
  <c r="G2032" i="120" s="1"/>
  <c r="G1000" i="120"/>
  <c r="E2010" i="120"/>
  <c r="I13" i="116"/>
  <c r="K2010" i="120"/>
  <c r="O13" i="116"/>
  <c r="M829" i="107"/>
  <c r="P829" i="107"/>
  <c r="O829" i="107"/>
  <c r="L829" i="107"/>
  <c r="K829" i="107"/>
  <c r="J1631" i="107"/>
  <c r="D2031" i="120" s="1"/>
  <c r="Q829" i="107"/>
  <c r="N829" i="107"/>
  <c r="D999" i="120"/>
  <c r="F1634" i="107"/>
  <c r="D16" i="116" s="1"/>
  <c r="L1632" i="107"/>
  <c r="F2032" i="120" s="1"/>
  <c r="F1000" i="120"/>
  <c r="O828" i="107"/>
  <c r="P828" i="107"/>
  <c r="L828" i="107"/>
  <c r="K828" i="107"/>
  <c r="N828" i="107"/>
  <c r="J1630" i="107"/>
  <c r="D2030" i="120" s="1"/>
  <c r="Q828" i="107"/>
  <c r="M828" i="107"/>
  <c r="D998" i="120"/>
  <c r="R13" i="116"/>
  <c r="G997" i="120"/>
  <c r="M1629" i="107"/>
  <c r="G2029" i="120" s="1"/>
  <c r="E950" i="119"/>
  <c r="H1000" i="120"/>
  <c r="N1632" i="107"/>
  <c r="H2032" i="120" s="1"/>
  <c r="K1628" i="107"/>
  <c r="E2028" i="120" s="1"/>
  <c r="E996" i="120"/>
  <c r="F1746" i="107"/>
  <c r="Q825" i="107"/>
  <c r="P825" i="107"/>
  <c r="L825" i="107"/>
  <c r="M825" i="107"/>
  <c r="O825" i="107"/>
  <c r="D995" i="120"/>
  <c r="N825" i="107"/>
  <c r="K825" i="107"/>
  <c r="J1627" i="107"/>
  <c r="D2027" i="120" s="1"/>
  <c r="L13" i="116"/>
  <c r="H2010" i="120"/>
  <c r="K997" i="120"/>
  <c r="K1000" i="120"/>
  <c r="Q1632" i="107"/>
  <c r="K2032" i="120" s="1"/>
  <c r="I2010" i="120"/>
  <c r="M13" i="116"/>
  <c r="J13" i="116"/>
  <c r="F2010" i="120"/>
  <c r="Q824" i="107" l="1"/>
  <c r="P824" i="107"/>
  <c r="O824" i="107"/>
  <c r="N824" i="107"/>
  <c r="M824" i="107"/>
  <c r="L824" i="107"/>
  <c r="K824" i="107"/>
  <c r="F950" i="119"/>
  <c r="G950" i="119"/>
  <c r="J553" i="161"/>
  <c r="K553" i="161" s="1"/>
  <c r="K564" i="161" s="1"/>
  <c r="K1667" i="107"/>
  <c r="E2068" i="120" s="1"/>
  <c r="E12" i="168"/>
  <c r="E997" i="120"/>
  <c r="L1667" i="107"/>
  <c r="F2068" i="120" s="1"/>
  <c r="F750" i="161"/>
  <c r="H750" i="161" s="1"/>
  <c r="I750" i="161" s="1"/>
  <c r="D13" i="168"/>
  <c r="E13" i="168" s="1"/>
  <c r="I997" i="120"/>
  <c r="N1629" i="107"/>
  <c r="H2029" i="120" s="1"/>
  <c r="I926" i="120"/>
  <c r="O1667" i="107"/>
  <c r="I2068" i="120" s="1"/>
  <c r="K1739" i="107"/>
  <c r="E2142" i="120" s="1"/>
  <c r="O588" i="107"/>
  <c r="I734" i="120" s="1"/>
  <c r="L1739" i="107"/>
  <c r="F2142" i="120" s="1"/>
  <c r="H564" i="161"/>
  <c r="I564" i="161" s="1"/>
  <c r="G600" i="161"/>
  <c r="G1785" i="161" s="1"/>
  <c r="D734" i="120"/>
  <c r="L588" i="107"/>
  <c r="F734" i="120" s="1"/>
  <c r="Q588" i="107"/>
  <c r="K734" i="120" s="1"/>
  <c r="M588" i="107"/>
  <c r="G734" i="120" s="1"/>
  <c r="P588" i="107"/>
  <c r="J734" i="120" s="1"/>
  <c r="K588" i="107"/>
  <c r="E734" i="120" s="1"/>
  <c r="J926" i="120"/>
  <c r="P1739" i="107"/>
  <c r="J2142" i="120" s="1"/>
  <c r="J590" i="107"/>
  <c r="N590" i="107" s="1"/>
  <c r="H736" i="120" s="1"/>
  <c r="F747" i="161"/>
  <c r="G739" i="161"/>
  <c r="G1637" i="161" s="1"/>
  <c r="H739" i="161"/>
  <c r="I739" i="161" s="1"/>
  <c r="G1663" i="107"/>
  <c r="J997" i="120"/>
  <c r="I590" i="107"/>
  <c r="H682" i="119" s="1"/>
  <c r="L1629" i="107"/>
  <c r="F2029" i="120" s="1"/>
  <c r="N1739" i="107"/>
  <c r="H2142" i="120" s="1"/>
  <c r="H926" i="120"/>
  <c r="J550" i="107"/>
  <c r="K550" i="107" s="1"/>
  <c r="K740" i="107"/>
  <c r="K1638" i="107" s="1"/>
  <c r="H996" i="120"/>
  <c r="J1668" i="107"/>
  <c r="D2069" i="120" s="1"/>
  <c r="O755" i="107"/>
  <c r="I927" i="120" s="1"/>
  <c r="L755" i="107"/>
  <c r="L1668" i="107" s="1"/>
  <c r="F2069" i="120" s="1"/>
  <c r="G685" i="119"/>
  <c r="G643" i="119"/>
  <c r="H561" i="107"/>
  <c r="G654" i="119" s="1"/>
  <c r="J1740" i="107"/>
  <c r="D2143" i="120" s="1"/>
  <c r="N755" i="107"/>
  <c r="N1668" i="107" s="1"/>
  <c r="H2069" i="120" s="1"/>
  <c r="M755" i="107"/>
  <c r="M1668" i="107" s="1"/>
  <c r="G2069" i="120" s="1"/>
  <c r="M1667" i="107"/>
  <c r="G2068" i="120" s="1"/>
  <c r="F858" i="119"/>
  <c r="M1739" i="107"/>
  <c r="G2142" i="120" s="1"/>
  <c r="H1637" i="107"/>
  <c r="H1746" i="107" s="1"/>
  <c r="D927" i="120"/>
  <c r="Q755" i="107"/>
  <c r="K927" i="120" s="1"/>
  <c r="J593" i="107"/>
  <c r="K593" i="107" s="1"/>
  <c r="J739" i="107"/>
  <c r="K755" i="107"/>
  <c r="E927" i="120" s="1"/>
  <c r="M740" i="107"/>
  <c r="G912" i="120" s="1"/>
  <c r="G602" i="107"/>
  <c r="G694" i="107" s="1"/>
  <c r="F811" i="119" s="1"/>
  <c r="G858" i="119"/>
  <c r="Q1739" i="107"/>
  <c r="K2142" i="120" s="1"/>
  <c r="J555" i="107"/>
  <c r="Q555" i="107" s="1"/>
  <c r="H566" i="107"/>
  <c r="G659" i="119" s="1"/>
  <c r="J750" i="107"/>
  <c r="G869" i="119"/>
  <c r="K926" i="120"/>
  <c r="H1663" i="107"/>
  <c r="H1735" i="107"/>
  <c r="G1735" i="107"/>
  <c r="O740" i="107"/>
  <c r="I912" i="120" s="1"/>
  <c r="D912" i="120"/>
  <c r="N740" i="107"/>
  <c r="N1638" i="107" s="1"/>
  <c r="Q740" i="107"/>
  <c r="Q1638" i="107" s="1"/>
  <c r="P740" i="107"/>
  <c r="P1638" i="107" s="1"/>
  <c r="J1638" i="107"/>
  <c r="J1747" i="107" s="1"/>
  <c r="D2150" i="120" s="1"/>
  <c r="E654" i="119"/>
  <c r="I743" i="107"/>
  <c r="H862" i="119" s="1"/>
  <c r="G862" i="119"/>
  <c r="I752" i="107"/>
  <c r="H871" i="119" s="1"/>
  <c r="G871" i="119"/>
  <c r="H1666" i="107"/>
  <c r="J752" i="107"/>
  <c r="O752" i="107" s="1"/>
  <c r="H1737" i="107"/>
  <c r="H1738" i="107"/>
  <c r="J753" i="107"/>
  <c r="M753" i="107" s="1"/>
  <c r="G872" i="119"/>
  <c r="G648" i="119"/>
  <c r="G1666" i="107"/>
  <c r="E877" i="119"/>
  <c r="H1736" i="107"/>
  <c r="H1664" i="107"/>
  <c r="J751" i="107"/>
  <c r="N751" i="107" s="1"/>
  <c r="H923" i="120" s="1"/>
  <c r="G870" i="119"/>
  <c r="G605" i="107"/>
  <c r="G1790" i="107" s="1"/>
  <c r="F1675" i="107"/>
  <c r="G1738" i="107"/>
  <c r="H549" i="107"/>
  <c r="I549" i="107" s="1"/>
  <c r="H642" i="119" s="1"/>
  <c r="J589" i="107"/>
  <c r="M589" i="107" s="1"/>
  <c r="G735" i="120" s="1"/>
  <c r="E866" i="119"/>
  <c r="H758" i="107"/>
  <c r="G877" i="119" s="1"/>
  <c r="G549" i="107"/>
  <c r="G557" i="107" s="1"/>
  <c r="F650" i="119" s="1"/>
  <c r="F560" i="107"/>
  <c r="F598" i="107" s="1"/>
  <c r="G565" i="107"/>
  <c r="E642" i="119"/>
  <c r="F694" i="107"/>
  <c r="F1787" i="107"/>
  <c r="E694" i="119"/>
  <c r="G1638" i="107"/>
  <c r="G1747" i="107" s="1"/>
  <c r="I592" i="161"/>
  <c r="G681" i="119"/>
  <c r="F874" i="119"/>
  <c r="G1668" i="107"/>
  <c r="H586" i="107"/>
  <c r="I586" i="107" s="1"/>
  <c r="H678" i="119" s="1"/>
  <c r="I587" i="161"/>
  <c r="F594" i="107"/>
  <c r="E686" i="119" s="1"/>
  <c r="J743" i="107"/>
  <c r="K743" i="107" s="1"/>
  <c r="I590" i="161"/>
  <c r="F1743" i="107"/>
  <c r="D22" i="116" s="1"/>
  <c r="G747" i="107"/>
  <c r="F866" i="119" s="1"/>
  <c r="E678" i="119"/>
  <c r="G605" i="161"/>
  <c r="G1790" i="161" s="1"/>
  <c r="F1750" i="107"/>
  <c r="F1678" i="107"/>
  <c r="F1677" i="107"/>
  <c r="E655" i="119"/>
  <c r="G601" i="161"/>
  <c r="G1786" i="161" s="1"/>
  <c r="G1736" i="107"/>
  <c r="F870" i="119"/>
  <c r="G694" i="161"/>
  <c r="G717" i="161" s="1"/>
  <c r="G766" i="161" s="1"/>
  <c r="G1787" i="161"/>
  <c r="H1740" i="161"/>
  <c r="H1668" i="161"/>
  <c r="J755" i="161"/>
  <c r="G1644" i="107"/>
  <c r="G1753" i="107" s="1"/>
  <c r="F865" i="119"/>
  <c r="F1748" i="107"/>
  <c r="F1676" i="107"/>
  <c r="J550" i="161"/>
  <c r="H561" i="161"/>
  <c r="H599" i="161" s="1"/>
  <c r="G1742" i="107"/>
  <c r="F876" i="119"/>
  <c r="G1670" i="107"/>
  <c r="F1645" i="107"/>
  <c r="D17" i="116" s="1"/>
  <c r="I564" i="107"/>
  <c r="H657" i="119" s="1"/>
  <c r="G657" i="119"/>
  <c r="H1643" i="161"/>
  <c r="H1752" i="161" s="1"/>
  <c r="J745" i="161"/>
  <c r="F603" i="161"/>
  <c r="G1740" i="161"/>
  <c r="G1668" i="161"/>
  <c r="K754" i="161"/>
  <c r="Q754" i="161"/>
  <c r="M754" i="161"/>
  <c r="O754" i="161"/>
  <c r="J1667" i="161"/>
  <c r="N754" i="161"/>
  <c r="P754" i="161"/>
  <c r="L754" i="161"/>
  <c r="J1739" i="161"/>
  <c r="F1753" i="107"/>
  <c r="F1681" i="107"/>
  <c r="I741" i="107"/>
  <c r="H860" i="119" s="1"/>
  <c r="G860" i="119"/>
  <c r="J741" i="107"/>
  <c r="H1639" i="107"/>
  <c r="H1748" i="107" s="1"/>
  <c r="F1751" i="107"/>
  <c r="F1679" i="107"/>
  <c r="E659" i="119"/>
  <c r="F604" i="107"/>
  <c r="H1641" i="161"/>
  <c r="H1750" i="161" s="1"/>
  <c r="J743" i="161"/>
  <c r="J555" i="161"/>
  <c r="H566" i="161"/>
  <c r="H604" i="161" s="1"/>
  <c r="F692" i="107"/>
  <c r="E692" i="119"/>
  <c r="F1785" i="107"/>
  <c r="H1669" i="161"/>
  <c r="H1741" i="161"/>
  <c r="J756" i="161"/>
  <c r="I744" i="107"/>
  <c r="H863" i="119" s="1"/>
  <c r="G863" i="119"/>
  <c r="J744" i="107"/>
  <c r="H1642" i="107"/>
  <c r="H1751" i="107" s="1"/>
  <c r="F594" i="161"/>
  <c r="G586" i="161"/>
  <c r="G594" i="161" s="1"/>
  <c r="H586" i="161"/>
  <c r="I586" i="161" s="1"/>
  <c r="F864" i="119"/>
  <c r="G1643" i="107"/>
  <c r="G1752" i="107" s="1"/>
  <c r="G1737" i="107"/>
  <c r="G1665" i="107"/>
  <c r="F871" i="119"/>
  <c r="J593" i="161"/>
  <c r="I746" i="107"/>
  <c r="H865" i="119" s="1"/>
  <c r="H1644" i="107"/>
  <c r="H1753" i="107" s="1"/>
  <c r="J746" i="107"/>
  <c r="G865" i="119"/>
  <c r="I589" i="161"/>
  <c r="F648" i="119"/>
  <c r="G566" i="107"/>
  <c r="H1742" i="161"/>
  <c r="H1670" i="161"/>
  <c r="J757" i="161"/>
  <c r="G566" i="161"/>
  <c r="G604" i="161" s="1"/>
  <c r="I551" i="107"/>
  <c r="H644" i="119" s="1"/>
  <c r="H562" i="107"/>
  <c r="G644" i="119"/>
  <c r="J551" i="107"/>
  <c r="K592" i="161"/>
  <c r="M592" i="161"/>
  <c r="P592" i="161"/>
  <c r="L592" i="161"/>
  <c r="N592" i="161"/>
  <c r="Q592" i="161"/>
  <c r="O592" i="161"/>
  <c r="G1669" i="161"/>
  <c r="G1741" i="161"/>
  <c r="F601" i="161"/>
  <c r="F1752" i="107"/>
  <c r="F1680" i="107"/>
  <c r="F1752" i="161"/>
  <c r="F1680" i="161"/>
  <c r="J554" i="161"/>
  <c r="H565" i="161"/>
  <c r="H603" i="161" s="1"/>
  <c r="J552" i="161"/>
  <c r="H563" i="161"/>
  <c r="H601" i="161" s="1"/>
  <c r="F694" i="161"/>
  <c r="F717" i="161" s="1"/>
  <c r="F1787" i="161"/>
  <c r="G549" i="161"/>
  <c r="G560" i="161" s="1"/>
  <c r="H549" i="161"/>
  <c r="I549" i="161" s="1"/>
  <c r="F557" i="161"/>
  <c r="F560" i="161"/>
  <c r="H1639" i="161"/>
  <c r="H1748" i="161" s="1"/>
  <c r="J741" i="161"/>
  <c r="Q589" i="161"/>
  <c r="P589" i="161"/>
  <c r="O589" i="161"/>
  <c r="N589" i="161"/>
  <c r="M589" i="161"/>
  <c r="L589" i="161"/>
  <c r="K589" i="161"/>
  <c r="G1670" i="161"/>
  <c r="G1742" i="161"/>
  <c r="F1750" i="161"/>
  <c r="F1678" i="161"/>
  <c r="F644" i="119"/>
  <c r="G562" i="107"/>
  <c r="I745" i="107"/>
  <c r="H864" i="119" s="1"/>
  <c r="J745" i="107"/>
  <c r="H1643" i="107"/>
  <c r="H1752" i="107" s="1"/>
  <c r="G864" i="119"/>
  <c r="G1788" i="161"/>
  <c r="G695" i="161"/>
  <c r="G718" i="161" s="1"/>
  <c r="G767" i="161" s="1"/>
  <c r="H1642" i="161"/>
  <c r="H1751" i="161" s="1"/>
  <c r="J744" i="161"/>
  <c r="I742" i="107"/>
  <c r="H861" i="119" s="1"/>
  <c r="G861" i="119"/>
  <c r="J742" i="107"/>
  <c r="H1640" i="107"/>
  <c r="H1749" i="107" s="1"/>
  <c r="G563" i="107"/>
  <c r="F645" i="119"/>
  <c r="H602" i="107"/>
  <c r="G1664" i="161"/>
  <c r="G1736" i="161"/>
  <c r="H1638" i="161"/>
  <c r="H1747" i="161" s="1"/>
  <c r="J740" i="161"/>
  <c r="F600" i="161"/>
  <c r="I554" i="107"/>
  <c r="H647" i="119" s="1"/>
  <c r="G647" i="119"/>
  <c r="H565" i="107"/>
  <c r="J554" i="107"/>
  <c r="E660" i="119"/>
  <c r="F605" i="107"/>
  <c r="H1738" i="161"/>
  <c r="H1666" i="161"/>
  <c r="J753" i="161"/>
  <c r="H1644" i="161"/>
  <c r="H1753" i="161" s="1"/>
  <c r="J746" i="161"/>
  <c r="Q590" i="161"/>
  <c r="P590" i="161"/>
  <c r="O590" i="161"/>
  <c r="L590" i="161"/>
  <c r="K590" i="161"/>
  <c r="N590" i="161"/>
  <c r="M590" i="161"/>
  <c r="F601" i="107"/>
  <c r="E656" i="119"/>
  <c r="F1748" i="161"/>
  <c r="F1676" i="161"/>
  <c r="F605" i="161"/>
  <c r="M587" i="161"/>
  <c r="L587" i="161"/>
  <c r="K587" i="161"/>
  <c r="N587" i="161"/>
  <c r="O587" i="161"/>
  <c r="Q587" i="161"/>
  <c r="P587" i="161"/>
  <c r="F1747" i="161"/>
  <c r="F1675" i="161"/>
  <c r="G758" i="107"/>
  <c r="F877" i="119" s="1"/>
  <c r="F603" i="107"/>
  <c r="E658" i="119"/>
  <c r="I556" i="107"/>
  <c r="H649" i="119" s="1"/>
  <c r="J556" i="107"/>
  <c r="H567" i="107"/>
  <c r="G649" i="119"/>
  <c r="G1738" i="161"/>
  <c r="G1666" i="161"/>
  <c r="G1737" i="161"/>
  <c r="G1665" i="161"/>
  <c r="J742" i="161"/>
  <c r="H1640" i="161"/>
  <c r="H1749" i="161" s="1"/>
  <c r="J592" i="107"/>
  <c r="I592" i="107"/>
  <c r="H684" i="119" s="1"/>
  <c r="G684" i="119"/>
  <c r="F1751" i="161"/>
  <c r="F1679" i="161"/>
  <c r="F861" i="119"/>
  <c r="G1640" i="107"/>
  <c r="G1749" i="107" s="1"/>
  <c r="I552" i="107"/>
  <c r="H645" i="119" s="1"/>
  <c r="J552" i="107"/>
  <c r="H563" i="107"/>
  <c r="G645" i="119"/>
  <c r="F599" i="161"/>
  <c r="G1642" i="107"/>
  <c r="G1751" i="107" s="1"/>
  <c r="F863" i="119"/>
  <c r="I757" i="107"/>
  <c r="H876" i="119" s="1"/>
  <c r="G876" i="119"/>
  <c r="J757" i="107"/>
  <c r="H1670" i="107"/>
  <c r="H1742" i="107"/>
  <c r="G679" i="119"/>
  <c r="J587" i="107"/>
  <c r="I587" i="107"/>
  <c r="H679" i="119" s="1"/>
  <c r="G599" i="161"/>
  <c r="G1741" i="107"/>
  <c r="G1669" i="107"/>
  <c r="F875" i="119"/>
  <c r="J551" i="161"/>
  <c r="H562" i="161"/>
  <c r="H600" i="161" s="1"/>
  <c r="H747" i="107"/>
  <c r="G866" i="119" s="1"/>
  <c r="K553" i="107"/>
  <c r="L553" i="107"/>
  <c r="M553" i="107"/>
  <c r="J564" i="107"/>
  <c r="D711" i="120" s="1"/>
  <c r="O553" i="107"/>
  <c r="P553" i="107"/>
  <c r="N553" i="107"/>
  <c r="Q553" i="107"/>
  <c r="D700" i="120"/>
  <c r="F1746" i="161"/>
  <c r="F1645" i="161"/>
  <c r="H1737" i="161"/>
  <c r="H1665" i="161"/>
  <c r="J752" i="161"/>
  <c r="F1749" i="161"/>
  <c r="F1677" i="161"/>
  <c r="F1753" i="161"/>
  <c r="F1681" i="161"/>
  <c r="I755" i="161"/>
  <c r="G1639" i="107"/>
  <c r="G1748" i="107" s="1"/>
  <c r="F860" i="119"/>
  <c r="I550" i="161"/>
  <c r="J556" i="161"/>
  <c r="H567" i="161"/>
  <c r="H605" i="161" s="1"/>
  <c r="J751" i="161"/>
  <c r="H1736" i="161"/>
  <c r="H1664" i="161"/>
  <c r="F604" i="161"/>
  <c r="I756" i="107"/>
  <c r="H875" i="119" s="1"/>
  <c r="H1741" i="107"/>
  <c r="G875" i="119"/>
  <c r="H1669" i="107"/>
  <c r="J756" i="107"/>
  <c r="G599" i="107"/>
  <c r="F691" i="107"/>
  <c r="E691" i="119"/>
  <c r="F1784" i="107"/>
  <c r="F996" i="120"/>
  <c r="M1628" i="107"/>
  <c r="G2028" i="120" s="1"/>
  <c r="J996" i="120"/>
  <c r="I996" i="120"/>
  <c r="K996" i="120"/>
  <c r="H950" i="119"/>
  <c r="T16" i="116"/>
  <c r="P13" i="116"/>
  <c r="K1631" i="107"/>
  <c r="E2031" i="120" s="1"/>
  <c r="E999" i="120"/>
  <c r="P1633" i="107"/>
  <c r="J2033" i="120" s="1"/>
  <c r="J1001" i="120"/>
  <c r="F995" i="120"/>
  <c r="L1627" i="107"/>
  <c r="F2027" i="120" s="1"/>
  <c r="J998" i="120"/>
  <c r="P1630" i="107"/>
  <c r="J2030" i="120" s="1"/>
  <c r="L1631" i="107"/>
  <c r="F2031" i="120" s="1"/>
  <c r="F999" i="120"/>
  <c r="P1627" i="107"/>
  <c r="J2027" i="120" s="1"/>
  <c r="J995" i="120"/>
  <c r="O1630" i="107"/>
  <c r="I2030" i="120" s="1"/>
  <c r="I998" i="120"/>
  <c r="G1746" i="107"/>
  <c r="O1631" i="107"/>
  <c r="I2031" i="120" s="1"/>
  <c r="I999" i="120"/>
  <c r="I1001" i="120"/>
  <c r="O1633" i="107"/>
  <c r="I2033" i="120" s="1"/>
  <c r="P1740" i="107"/>
  <c r="J2143" i="120" s="1"/>
  <c r="P1668" i="107"/>
  <c r="J2069" i="120" s="1"/>
  <c r="J927" i="120"/>
  <c r="G998" i="120"/>
  <c r="M1630" i="107"/>
  <c r="G2030" i="120" s="1"/>
  <c r="P1631" i="107"/>
  <c r="J2031" i="120" s="1"/>
  <c r="J999" i="120"/>
  <c r="G1001" i="120"/>
  <c r="M1633" i="107"/>
  <c r="G2033" i="120" s="1"/>
  <c r="F678" i="119"/>
  <c r="G594" i="107"/>
  <c r="F686" i="119" s="1"/>
  <c r="E995" i="120"/>
  <c r="K1627" i="107"/>
  <c r="E2027" i="120" s="1"/>
  <c r="Q1630" i="107"/>
  <c r="K2030" i="120" s="1"/>
  <c r="K998" i="120"/>
  <c r="G999" i="120"/>
  <c r="M1631" i="107"/>
  <c r="G2031" i="120" s="1"/>
  <c r="H1001" i="120"/>
  <c r="N1633" i="107"/>
  <c r="H2033" i="120" s="1"/>
  <c r="O1627" i="107"/>
  <c r="I2027" i="120" s="1"/>
  <c r="I995" i="120"/>
  <c r="K1630" i="107"/>
  <c r="E2030" i="120" s="1"/>
  <c r="E998" i="120"/>
  <c r="G995" i="120"/>
  <c r="M1627" i="107"/>
  <c r="G2027" i="120" s="1"/>
  <c r="F998" i="120"/>
  <c r="L1630" i="107"/>
  <c r="F2030" i="120" s="1"/>
  <c r="E650" i="119"/>
  <c r="K995" i="120"/>
  <c r="Q1627" i="107"/>
  <c r="K2027" i="120" s="1"/>
  <c r="H995" i="120"/>
  <c r="N1627" i="107"/>
  <c r="H2027" i="120" s="1"/>
  <c r="N1631" i="107"/>
  <c r="H2031" i="120" s="1"/>
  <c r="H999" i="120"/>
  <c r="J1626" i="107"/>
  <c r="J832" i="107"/>
  <c r="D1002" i="120" s="1"/>
  <c r="D994" i="120"/>
  <c r="K1633" i="107"/>
  <c r="E2033" i="120" s="1"/>
  <c r="E1001" i="120"/>
  <c r="N1630" i="107"/>
  <c r="H2030" i="120" s="1"/>
  <c r="H998" i="120"/>
  <c r="Q1631" i="107"/>
  <c r="K2031" i="120" s="1"/>
  <c r="K999" i="120"/>
  <c r="L1638" i="107"/>
  <c r="F912" i="120"/>
  <c r="Q1633" i="107"/>
  <c r="K2033" i="120" s="1"/>
  <c r="K1001" i="120"/>
  <c r="F1001" i="120"/>
  <c r="L1633" i="107"/>
  <c r="F2033" i="120" s="1"/>
  <c r="J1663" i="107" l="1"/>
  <c r="O750" i="107"/>
  <c r="L750" i="107"/>
  <c r="N750" i="107"/>
  <c r="K750" i="107"/>
  <c r="P750" i="107"/>
  <c r="Q750" i="107"/>
  <c r="M750" i="107"/>
  <c r="G922" i="120" s="1"/>
  <c r="O553" i="161"/>
  <c r="O564" i="161" s="1"/>
  <c r="N553" i="161"/>
  <c r="N564" i="161" s="1"/>
  <c r="N602" i="161" s="1"/>
  <c r="P553" i="161"/>
  <c r="P564" i="161" s="1"/>
  <c r="L553" i="161"/>
  <c r="L564" i="161" s="1"/>
  <c r="L602" i="161" s="1"/>
  <c r="M553" i="161"/>
  <c r="M564" i="161" s="1"/>
  <c r="J564" i="161"/>
  <c r="J602" i="161" s="1"/>
  <c r="J694" i="161" s="1"/>
  <c r="J717" i="161" s="1"/>
  <c r="J766" i="161" s="1"/>
  <c r="Q553" i="161"/>
  <c r="Q564" i="161" s="1"/>
  <c r="Q602" i="161" s="1"/>
  <c r="Q694" i="161" s="1"/>
  <c r="Q717" i="161" s="1"/>
  <c r="H1663" i="161"/>
  <c r="H1671" i="161" s="1"/>
  <c r="H1735" i="161"/>
  <c r="H602" i="161"/>
  <c r="I602" i="161" s="1"/>
  <c r="J750" i="161"/>
  <c r="J1735" i="161" s="1"/>
  <c r="H758" i="161"/>
  <c r="G692" i="161"/>
  <c r="G715" i="161" s="1"/>
  <c r="G764" i="161" s="1"/>
  <c r="G776" i="161" s="1"/>
  <c r="H599" i="107"/>
  <c r="I599" i="107" s="1"/>
  <c r="H691" i="119" s="1"/>
  <c r="F1735" i="161"/>
  <c r="F1743" i="161" s="1"/>
  <c r="G750" i="161"/>
  <c r="G1735" i="161" s="1"/>
  <c r="G1743" i="161" s="1"/>
  <c r="F1663" i="107"/>
  <c r="F1671" i="107" s="1"/>
  <c r="F758" i="161"/>
  <c r="O590" i="107"/>
  <c r="I736" i="120" s="1"/>
  <c r="L590" i="107"/>
  <c r="F736" i="120" s="1"/>
  <c r="M590" i="107"/>
  <c r="G736" i="120" s="1"/>
  <c r="P590" i="107"/>
  <c r="J736" i="120" s="1"/>
  <c r="Q590" i="107"/>
  <c r="K736" i="120" s="1"/>
  <c r="D736" i="120"/>
  <c r="K590" i="107"/>
  <c r="E736" i="120" s="1"/>
  <c r="O1740" i="107"/>
  <c r="I2143" i="120" s="1"/>
  <c r="L1740" i="107"/>
  <c r="F2143" i="120" s="1"/>
  <c r="J739" i="161"/>
  <c r="N739" i="161" s="1"/>
  <c r="G911" i="120"/>
  <c r="G927" i="120"/>
  <c r="M1740" i="107"/>
  <c r="G2143" i="120" s="1"/>
  <c r="M593" i="107"/>
  <c r="G739" i="120" s="1"/>
  <c r="P550" i="107"/>
  <c r="P561" i="107" s="1"/>
  <c r="D697" i="120"/>
  <c r="N550" i="107"/>
  <c r="N561" i="107" s="1"/>
  <c r="K1668" i="107"/>
  <c r="E2069" i="120" s="1"/>
  <c r="I561" i="107"/>
  <c r="H654" i="119" s="1"/>
  <c r="E912" i="120"/>
  <c r="K1740" i="107"/>
  <c r="E2143" i="120" s="1"/>
  <c r="K912" i="120"/>
  <c r="Q550" i="107"/>
  <c r="K697" i="120" s="1"/>
  <c r="L550" i="107"/>
  <c r="L561" i="107" s="1"/>
  <c r="M550" i="107"/>
  <c r="M561" i="107" s="1"/>
  <c r="O550" i="107"/>
  <c r="O561" i="107" s="1"/>
  <c r="J561" i="107"/>
  <c r="J599" i="107" s="1"/>
  <c r="N593" i="107"/>
  <c r="H739" i="120" s="1"/>
  <c r="M1638" i="107"/>
  <c r="M1747" i="107" s="1"/>
  <c r="G2150" i="120" s="1"/>
  <c r="P1637" i="107"/>
  <c r="D922" i="120"/>
  <c r="O1668" i="107"/>
  <c r="I2069" i="120" s="1"/>
  <c r="O1735" i="107"/>
  <c r="H747" i="161"/>
  <c r="I747" i="161" s="1"/>
  <c r="H1637" i="161"/>
  <c r="H1645" i="161" s="1"/>
  <c r="G747" i="161"/>
  <c r="Q1668" i="107"/>
  <c r="K2069" i="120" s="1"/>
  <c r="F927" i="120"/>
  <c r="K555" i="107"/>
  <c r="E702" i="120" s="1"/>
  <c r="Q1740" i="107"/>
  <c r="K2143" i="120" s="1"/>
  <c r="L555" i="107"/>
  <c r="L566" i="107" s="1"/>
  <c r="P555" i="107"/>
  <c r="P566" i="107" s="1"/>
  <c r="N555" i="107"/>
  <c r="N566" i="107" s="1"/>
  <c r="H927" i="120"/>
  <c r="P593" i="107"/>
  <c r="J739" i="120" s="1"/>
  <c r="N1740" i="107"/>
  <c r="H2143" i="120" s="1"/>
  <c r="H604" i="107"/>
  <c r="H1789" i="107" s="1"/>
  <c r="D2038" i="120"/>
  <c r="H557" i="107"/>
  <c r="G650" i="119" s="1"/>
  <c r="F697" i="119"/>
  <c r="H912" i="120"/>
  <c r="E653" i="119"/>
  <c r="N1637" i="107"/>
  <c r="J1735" i="107"/>
  <c r="D2138" i="120" s="1"/>
  <c r="D702" i="120"/>
  <c r="E911" i="120"/>
  <c r="J566" i="107"/>
  <c r="D713" i="120" s="1"/>
  <c r="L593" i="107"/>
  <c r="F739" i="120" s="1"/>
  <c r="O1637" i="107"/>
  <c r="G697" i="107"/>
  <c r="G720" i="107" s="1"/>
  <c r="P1735" i="107"/>
  <c r="M555" i="107"/>
  <c r="M566" i="107" s="1"/>
  <c r="O555" i="107"/>
  <c r="O566" i="107" s="1"/>
  <c r="I566" i="107"/>
  <c r="H659" i="119" s="1"/>
  <c r="L1735" i="107"/>
  <c r="D911" i="120"/>
  <c r="J1637" i="107"/>
  <c r="J1746" i="107" s="1"/>
  <c r="N1735" i="107"/>
  <c r="F568" i="107"/>
  <c r="E661" i="119" s="1"/>
  <c r="K1735" i="107"/>
  <c r="L1637" i="107"/>
  <c r="O1638" i="107"/>
  <c r="I2038" i="120" s="1"/>
  <c r="K922" i="120"/>
  <c r="Q593" i="107"/>
  <c r="K739" i="120" s="1"/>
  <c r="G717" i="107"/>
  <c r="G766" i="107" s="1"/>
  <c r="O593" i="107"/>
  <c r="I739" i="120" s="1"/>
  <c r="G1787" i="107"/>
  <c r="D739" i="120"/>
  <c r="Q752" i="107"/>
  <c r="Q1665" i="107" s="1"/>
  <c r="K2066" i="120" s="1"/>
  <c r="F694" i="119"/>
  <c r="D735" i="120"/>
  <c r="J912" i="120"/>
  <c r="N1736" i="107"/>
  <c r="H2139" i="120" s="1"/>
  <c r="L751" i="107"/>
  <c r="L1664" i="107" s="1"/>
  <c r="F2065" i="120" s="1"/>
  <c r="J1664" i="107"/>
  <c r="D2065" i="120" s="1"/>
  <c r="Q753" i="107"/>
  <c r="K925" i="120" s="1"/>
  <c r="D925" i="120"/>
  <c r="F642" i="119"/>
  <c r="J1738" i="107"/>
  <c r="D2141" i="120" s="1"/>
  <c r="L753" i="107"/>
  <c r="F925" i="120" s="1"/>
  <c r="K753" i="107"/>
  <c r="E925" i="120" s="1"/>
  <c r="O753" i="107"/>
  <c r="O1666" i="107" s="1"/>
  <c r="I2067" i="120" s="1"/>
  <c r="N753" i="107"/>
  <c r="N1738" i="107" s="1"/>
  <c r="H2141" i="120" s="1"/>
  <c r="P753" i="107"/>
  <c r="J925" i="120" s="1"/>
  <c r="J1666" i="107"/>
  <c r="D2067" i="120" s="1"/>
  <c r="Q589" i="107"/>
  <c r="K735" i="120" s="1"/>
  <c r="P589" i="107"/>
  <c r="J735" i="120" s="1"/>
  <c r="O589" i="107"/>
  <c r="I735" i="120" s="1"/>
  <c r="K589" i="107"/>
  <c r="E735" i="120" s="1"/>
  <c r="H594" i="107"/>
  <c r="G686" i="119" s="1"/>
  <c r="L589" i="107"/>
  <c r="F735" i="120" s="1"/>
  <c r="J586" i="107"/>
  <c r="N589" i="107"/>
  <c r="H735" i="120" s="1"/>
  <c r="I758" i="107"/>
  <c r="H877" i="119" s="1"/>
  <c r="J549" i="107"/>
  <c r="J560" i="107" s="1"/>
  <c r="H560" i="107"/>
  <c r="I560" i="107" s="1"/>
  <c r="H653" i="119" s="1"/>
  <c r="L752" i="107"/>
  <c r="L1737" i="107" s="1"/>
  <c r="F2140" i="120" s="1"/>
  <c r="J1737" i="107"/>
  <c r="D2140" i="120" s="1"/>
  <c r="N752" i="107"/>
  <c r="H924" i="120" s="1"/>
  <c r="M752" i="107"/>
  <c r="G924" i="120" s="1"/>
  <c r="K752" i="107"/>
  <c r="K1665" i="107" s="1"/>
  <c r="E2066" i="120" s="1"/>
  <c r="J1665" i="107"/>
  <c r="D2066" i="120" s="1"/>
  <c r="D924" i="120"/>
  <c r="G642" i="119"/>
  <c r="P752" i="107"/>
  <c r="J924" i="120" s="1"/>
  <c r="D915" i="120"/>
  <c r="O743" i="107"/>
  <c r="O1641" i="107" s="1"/>
  <c r="K751" i="107"/>
  <c r="K1664" i="107" s="1"/>
  <c r="E2065" i="120" s="1"/>
  <c r="Q743" i="107"/>
  <c r="K915" i="120" s="1"/>
  <c r="P743" i="107"/>
  <c r="P1641" i="107" s="1"/>
  <c r="O751" i="107"/>
  <c r="O1664" i="107" s="1"/>
  <c r="I2065" i="120" s="1"/>
  <c r="N743" i="107"/>
  <c r="N1641" i="107" s="1"/>
  <c r="D923" i="120"/>
  <c r="M743" i="107"/>
  <c r="G915" i="120" s="1"/>
  <c r="L743" i="107"/>
  <c r="F915" i="120" s="1"/>
  <c r="J1736" i="107"/>
  <c r="D2139" i="120" s="1"/>
  <c r="N1664" i="107"/>
  <c r="H2065" i="120" s="1"/>
  <c r="J1641" i="107"/>
  <c r="D2041" i="120" s="1"/>
  <c r="Q751" i="107"/>
  <c r="K923" i="120" s="1"/>
  <c r="M751" i="107"/>
  <c r="P751" i="107"/>
  <c r="G560" i="107"/>
  <c r="G568" i="107" s="1"/>
  <c r="F661" i="119" s="1"/>
  <c r="G678" i="119"/>
  <c r="F658" i="119"/>
  <c r="G603" i="107"/>
  <c r="F717" i="107"/>
  <c r="E811" i="119"/>
  <c r="K602" i="161"/>
  <c r="K1787" i="161" s="1"/>
  <c r="I747" i="107"/>
  <c r="H866" i="119" s="1"/>
  <c r="H1671" i="107"/>
  <c r="I566" i="161"/>
  <c r="G697" i="161"/>
  <c r="G720" i="161" s="1"/>
  <c r="G769" i="161" s="1"/>
  <c r="G781" i="161" s="1"/>
  <c r="G808" i="161" s="1"/>
  <c r="G820" i="161" s="1"/>
  <c r="J758" i="107"/>
  <c r="D930" i="120" s="1"/>
  <c r="G1743" i="107"/>
  <c r="E22" i="116" s="1"/>
  <c r="H1743" i="107"/>
  <c r="F22" i="116" s="1"/>
  <c r="G1671" i="107"/>
  <c r="H1754" i="107"/>
  <c r="F23" i="116" s="1"/>
  <c r="M602" i="161"/>
  <c r="M694" i="161" s="1"/>
  <c r="M717" i="161" s="1"/>
  <c r="F1754" i="107"/>
  <c r="D23" i="116" s="1"/>
  <c r="G693" i="161"/>
  <c r="G716" i="161" s="1"/>
  <c r="G765" i="161" s="1"/>
  <c r="G777" i="161" s="1"/>
  <c r="G557" i="161"/>
  <c r="P741" i="161"/>
  <c r="P1639" i="161" s="1"/>
  <c r="P1748" i="161" s="1"/>
  <c r="O741" i="161"/>
  <c r="O1639" i="161" s="1"/>
  <c r="O1748" i="161" s="1"/>
  <c r="N741" i="161"/>
  <c r="N1639" i="161" s="1"/>
  <c r="N1748" i="161" s="1"/>
  <c r="M741" i="161"/>
  <c r="M1639" i="161" s="1"/>
  <c r="M1748" i="161" s="1"/>
  <c r="L741" i="161"/>
  <c r="L1639" i="161" s="1"/>
  <c r="L1748" i="161" s="1"/>
  <c r="J1639" i="161"/>
  <c r="J1748" i="161" s="1"/>
  <c r="K741" i="161"/>
  <c r="K1639" i="161" s="1"/>
  <c r="K1748" i="161" s="1"/>
  <c r="Q741" i="161"/>
  <c r="Q1639" i="161" s="1"/>
  <c r="Q1748" i="161" s="1"/>
  <c r="E696" i="119"/>
  <c r="F696" i="107"/>
  <c r="F1789" i="107"/>
  <c r="F1789" i="161"/>
  <c r="F696" i="161"/>
  <c r="I604" i="161"/>
  <c r="O564" i="107"/>
  <c r="I711" i="120" s="1"/>
  <c r="I700" i="120"/>
  <c r="G694" i="119"/>
  <c r="H694" i="107"/>
  <c r="H1787" i="107"/>
  <c r="I602" i="107"/>
  <c r="H694" i="119" s="1"/>
  <c r="K756" i="107"/>
  <c r="N756" i="107"/>
  <c r="P756" i="107"/>
  <c r="J1741" i="107"/>
  <c r="D2144" i="120" s="1"/>
  <c r="O756" i="107"/>
  <c r="L756" i="107"/>
  <c r="D928" i="120"/>
  <c r="M756" i="107"/>
  <c r="J1669" i="107"/>
  <c r="D2070" i="120" s="1"/>
  <c r="Q756" i="107"/>
  <c r="M587" i="107"/>
  <c r="G733" i="120" s="1"/>
  <c r="K587" i="107"/>
  <c r="E733" i="120" s="1"/>
  <c r="O587" i="107"/>
  <c r="I733" i="120" s="1"/>
  <c r="P587" i="107"/>
  <c r="J733" i="120" s="1"/>
  <c r="Q587" i="107"/>
  <c r="K733" i="120" s="1"/>
  <c r="L587" i="107"/>
  <c r="F733" i="120" s="1"/>
  <c r="D733" i="120"/>
  <c r="N587" i="107"/>
  <c r="H733" i="120" s="1"/>
  <c r="O742" i="161"/>
  <c r="O1640" i="161" s="1"/>
  <c r="O1749" i="161" s="1"/>
  <c r="Q742" i="161"/>
  <c r="Q1640" i="161" s="1"/>
  <c r="Q1749" i="161" s="1"/>
  <c r="J1640" i="161"/>
  <c r="J1749" i="161" s="1"/>
  <c r="M742" i="161"/>
  <c r="M1640" i="161" s="1"/>
  <c r="M1749" i="161" s="1"/>
  <c r="N742" i="161"/>
  <c r="N1640" i="161" s="1"/>
  <c r="N1749" i="161" s="1"/>
  <c r="L742" i="161"/>
  <c r="L1640" i="161" s="1"/>
  <c r="L1749" i="161" s="1"/>
  <c r="K742" i="161"/>
  <c r="K1640" i="161" s="1"/>
  <c r="K1749" i="161" s="1"/>
  <c r="P742" i="161"/>
  <c r="P1640" i="161" s="1"/>
  <c r="P1749" i="161" s="1"/>
  <c r="J602" i="107"/>
  <c r="I562" i="161"/>
  <c r="G779" i="161"/>
  <c r="G806" i="161" s="1"/>
  <c r="G818" i="161" s="1"/>
  <c r="F598" i="161"/>
  <c r="F568" i="161"/>
  <c r="F766" i="161"/>
  <c r="M750" i="161"/>
  <c r="N744" i="107"/>
  <c r="P744" i="107"/>
  <c r="O744" i="107"/>
  <c r="L744" i="107"/>
  <c r="D916" i="120"/>
  <c r="M744" i="107"/>
  <c r="Q744" i="107"/>
  <c r="J1642" i="107"/>
  <c r="K744" i="107"/>
  <c r="F715" i="107"/>
  <c r="E809" i="119"/>
  <c r="Q1739" i="161"/>
  <c r="Q1667" i="161"/>
  <c r="L744" i="161"/>
  <c r="L1642" i="161" s="1"/>
  <c r="L1751" i="161" s="1"/>
  <c r="K744" i="161"/>
  <c r="K1642" i="161" s="1"/>
  <c r="K1751" i="161" s="1"/>
  <c r="Q744" i="161"/>
  <c r="Q1642" i="161" s="1"/>
  <c r="Q1751" i="161" s="1"/>
  <c r="J1642" i="161"/>
  <c r="J1751" i="161" s="1"/>
  <c r="M744" i="161"/>
  <c r="M1642" i="161" s="1"/>
  <c r="M1751" i="161" s="1"/>
  <c r="O744" i="161"/>
  <c r="O1642" i="161" s="1"/>
  <c r="O1751" i="161" s="1"/>
  <c r="P744" i="161"/>
  <c r="P1642" i="161" s="1"/>
  <c r="P1751" i="161" s="1"/>
  <c r="N744" i="161"/>
  <c r="N1642" i="161" s="1"/>
  <c r="N1751" i="161" s="1"/>
  <c r="O1739" i="161"/>
  <c r="O1667" i="161"/>
  <c r="M745" i="161"/>
  <c r="M1643" i="161" s="1"/>
  <c r="M1752" i="161" s="1"/>
  <c r="L745" i="161"/>
  <c r="L1643" i="161" s="1"/>
  <c r="L1752" i="161" s="1"/>
  <c r="K745" i="161"/>
  <c r="K1643" i="161" s="1"/>
  <c r="K1752" i="161" s="1"/>
  <c r="P745" i="161"/>
  <c r="P1643" i="161" s="1"/>
  <c r="P1752" i="161" s="1"/>
  <c r="O745" i="161"/>
  <c r="O1643" i="161" s="1"/>
  <c r="O1752" i="161" s="1"/>
  <c r="N745" i="161"/>
  <c r="N1643" i="161" s="1"/>
  <c r="N1752" i="161" s="1"/>
  <c r="J1643" i="161"/>
  <c r="J1752" i="161" s="1"/>
  <c r="Q745" i="161"/>
  <c r="Q1643" i="161" s="1"/>
  <c r="Q1752" i="161" s="1"/>
  <c r="M1739" i="161"/>
  <c r="M1667" i="161"/>
  <c r="H1645" i="107"/>
  <c r="F17" i="116" s="1"/>
  <c r="G700" i="120"/>
  <c r="M564" i="107"/>
  <c r="G711" i="120" s="1"/>
  <c r="I561" i="161"/>
  <c r="I567" i="107"/>
  <c r="H660" i="119" s="1"/>
  <c r="H605" i="107"/>
  <c r="G660" i="119"/>
  <c r="P602" i="161"/>
  <c r="G1746" i="161"/>
  <c r="G1754" i="161" s="1"/>
  <c r="G1645" i="161"/>
  <c r="F692" i="161"/>
  <c r="F1785" i="161"/>
  <c r="I600" i="161"/>
  <c r="F656" i="119"/>
  <c r="G601" i="107"/>
  <c r="F655" i="119"/>
  <c r="G600" i="107"/>
  <c r="H1786" i="161"/>
  <c r="H693" i="161"/>
  <c r="P551" i="107"/>
  <c r="J562" i="107"/>
  <c r="M551" i="107"/>
  <c r="D698" i="120"/>
  <c r="K551" i="107"/>
  <c r="N551" i="107"/>
  <c r="Q551" i="107"/>
  <c r="O551" i="107"/>
  <c r="L551" i="107"/>
  <c r="M593" i="161"/>
  <c r="N593" i="161"/>
  <c r="K593" i="161"/>
  <c r="L593" i="161"/>
  <c r="Q593" i="161"/>
  <c r="P593" i="161"/>
  <c r="O593" i="161"/>
  <c r="H1789" i="161"/>
  <c r="H696" i="161"/>
  <c r="H719" i="161" s="1"/>
  <c r="H768" i="161" s="1"/>
  <c r="K1667" i="161"/>
  <c r="K1739" i="161"/>
  <c r="K755" i="161"/>
  <c r="Q755" i="161"/>
  <c r="L755" i="161"/>
  <c r="J1740" i="161"/>
  <c r="P755" i="161"/>
  <c r="J1668" i="161"/>
  <c r="O755" i="161"/>
  <c r="N755" i="161"/>
  <c r="M755" i="161"/>
  <c r="K551" i="161"/>
  <c r="K562" i="161" s="1"/>
  <c r="K600" i="161" s="1"/>
  <c r="L551" i="161"/>
  <c r="L562" i="161" s="1"/>
  <c r="L600" i="161" s="1"/>
  <c r="P551" i="161"/>
  <c r="P562" i="161" s="1"/>
  <c r="P600" i="161" s="1"/>
  <c r="M551" i="161"/>
  <c r="M562" i="161" s="1"/>
  <c r="M600" i="161" s="1"/>
  <c r="N551" i="161"/>
  <c r="N562" i="161" s="1"/>
  <c r="N600" i="161" s="1"/>
  <c r="Q551" i="161"/>
  <c r="Q562" i="161" s="1"/>
  <c r="Q600" i="161" s="1"/>
  <c r="O551" i="161"/>
  <c r="O562" i="161" s="1"/>
  <c r="O600" i="161" s="1"/>
  <c r="J562" i="161"/>
  <c r="J600" i="161" s="1"/>
  <c r="F1790" i="161"/>
  <c r="F697" i="161"/>
  <c r="I605" i="161"/>
  <c r="Q552" i="161"/>
  <c r="Q563" i="161" s="1"/>
  <c r="Q601" i="161" s="1"/>
  <c r="K552" i="161"/>
  <c r="K563" i="161" s="1"/>
  <c r="K601" i="161" s="1"/>
  <c r="P552" i="161"/>
  <c r="P563" i="161" s="1"/>
  <c r="P601" i="161" s="1"/>
  <c r="M552" i="161"/>
  <c r="M563" i="161" s="1"/>
  <c r="M601" i="161" s="1"/>
  <c r="O552" i="161"/>
  <c r="O563" i="161" s="1"/>
  <c r="O601" i="161" s="1"/>
  <c r="L552" i="161"/>
  <c r="L563" i="161" s="1"/>
  <c r="L601" i="161" s="1"/>
  <c r="N552" i="161"/>
  <c r="N563" i="161" s="1"/>
  <c r="N601" i="161" s="1"/>
  <c r="J563" i="161"/>
  <c r="J601" i="161" s="1"/>
  <c r="Q746" i="107"/>
  <c r="M746" i="107"/>
  <c r="D918" i="120"/>
  <c r="P746" i="107"/>
  <c r="J1644" i="107"/>
  <c r="N746" i="107"/>
  <c r="K746" i="107"/>
  <c r="O746" i="107"/>
  <c r="L746" i="107"/>
  <c r="L1739" i="161"/>
  <c r="L1667" i="161"/>
  <c r="H691" i="161"/>
  <c r="H714" i="161" s="1"/>
  <c r="H763" i="161" s="1"/>
  <c r="H1784" i="161"/>
  <c r="G1645" i="107"/>
  <c r="E17" i="116" s="1"/>
  <c r="H1790" i="161"/>
  <c r="H697" i="161"/>
  <c r="H720" i="161" s="1"/>
  <c r="H769" i="161" s="1"/>
  <c r="H781" i="161" s="1"/>
  <c r="K564" i="107"/>
  <c r="E711" i="120" s="1"/>
  <c r="E700" i="120"/>
  <c r="G1784" i="161"/>
  <c r="G691" i="161"/>
  <c r="G714" i="161" s="1"/>
  <c r="G763" i="161" s="1"/>
  <c r="M746" i="161"/>
  <c r="M1644" i="161" s="1"/>
  <c r="M1753" i="161" s="1"/>
  <c r="L746" i="161"/>
  <c r="L1644" i="161" s="1"/>
  <c r="L1753" i="161" s="1"/>
  <c r="J1644" i="161"/>
  <c r="J1753" i="161" s="1"/>
  <c r="Q746" i="161"/>
  <c r="Q1644" i="161" s="1"/>
  <c r="Q1753" i="161" s="1"/>
  <c r="K746" i="161"/>
  <c r="K1644" i="161" s="1"/>
  <c r="K1753" i="161" s="1"/>
  <c r="O746" i="161"/>
  <c r="O1644" i="161" s="1"/>
  <c r="O1753" i="161" s="1"/>
  <c r="N746" i="161"/>
  <c r="N1644" i="161" s="1"/>
  <c r="N1753" i="161" s="1"/>
  <c r="P746" i="161"/>
  <c r="P1644" i="161" s="1"/>
  <c r="P1753" i="161" s="1"/>
  <c r="M740" i="161"/>
  <c r="M1638" i="161" s="1"/>
  <c r="M1747" i="161" s="1"/>
  <c r="L740" i="161"/>
  <c r="L1638" i="161" s="1"/>
  <c r="L1747" i="161" s="1"/>
  <c r="N740" i="161"/>
  <c r="N1638" i="161" s="1"/>
  <c r="N1747" i="161" s="1"/>
  <c r="J1638" i="161"/>
  <c r="J1747" i="161" s="1"/>
  <c r="K740" i="161"/>
  <c r="K1638" i="161" s="1"/>
  <c r="K1747" i="161" s="1"/>
  <c r="P740" i="161"/>
  <c r="P1638" i="161" s="1"/>
  <c r="P1747" i="161" s="1"/>
  <c r="O740" i="161"/>
  <c r="O1638" i="161" s="1"/>
  <c r="O1747" i="161" s="1"/>
  <c r="Q740" i="161"/>
  <c r="Q1638" i="161" s="1"/>
  <c r="Q1747" i="161" s="1"/>
  <c r="K742" i="107"/>
  <c r="D914" i="120"/>
  <c r="P742" i="107"/>
  <c r="L742" i="107"/>
  <c r="Q742" i="107"/>
  <c r="O742" i="107"/>
  <c r="M742" i="107"/>
  <c r="N742" i="107"/>
  <c r="J1640" i="107"/>
  <c r="J549" i="161"/>
  <c r="H557" i="161"/>
  <c r="I557" i="161" s="1"/>
  <c r="H560" i="161"/>
  <c r="I560" i="161" s="1"/>
  <c r="H600" i="107"/>
  <c r="G655" i="119"/>
  <c r="I562" i="107"/>
  <c r="H655" i="119" s="1"/>
  <c r="J1742" i="161"/>
  <c r="P757" i="161"/>
  <c r="J1670" i="161"/>
  <c r="O757" i="161"/>
  <c r="L757" i="161"/>
  <c r="N757" i="161"/>
  <c r="M757" i="161"/>
  <c r="Q757" i="161"/>
  <c r="K757" i="161"/>
  <c r="O602" i="161"/>
  <c r="N756" i="161"/>
  <c r="M756" i="161"/>
  <c r="P756" i="161"/>
  <c r="J1741" i="161"/>
  <c r="L756" i="161"/>
  <c r="J1669" i="161"/>
  <c r="K756" i="161"/>
  <c r="Q756" i="161"/>
  <c r="O756" i="161"/>
  <c r="J1641" i="161"/>
  <c r="J1750" i="161" s="1"/>
  <c r="Q743" i="161"/>
  <c r="Q1641" i="161" s="1"/>
  <c r="Q1750" i="161" s="1"/>
  <c r="K743" i="161"/>
  <c r="K1641" i="161" s="1"/>
  <c r="K1750" i="161" s="1"/>
  <c r="P743" i="161"/>
  <c r="P1641" i="161" s="1"/>
  <c r="P1750" i="161" s="1"/>
  <c r="O743" i="161"/>
  <c r="O1641" i="161" s="1"/>
  <c r="O1750" i="161" s="1"/>
  <c r="M743" i="161"/>
  <c r="M1641" i="161" s="1"/>
  <c r="M1750" i="161" s="1"/>
  <c r="L743" i="161"/>
  <c r="L1641" i="161" s="1"/>
  <c r="L1750" i="161" s="1"/>
  <c r="N743" i="161"/>
  <c r="N1641" i="161" s="1"/>
  <c r="N1750" i="161" s="1"/>
  <c r="N741" i="107"/>
  <c r="Q741" i="107"/>
  <c r="M741" i="107"/>
  <c r="J1639" i="107"/>
  <c r="O741" i="107"/>
  <c r="L741" i="107"/>
  <c r="P741" i="107"/>
  <c r="D913" i="120"/>
  <c r="K741" i="107"/>
  <c r="P1667" i="161"/>
  <c r="P1739" i="161"/>
  <c r="K550" i="161"/>
  <c r="K561" i="161" s="1"/>
  <c r="K599" i="161" s="1"/>
  <c r="P550" i="161"/>
  <c r="P561" i="161" s="1"/>
  <c r="P599" i="161" s="1"/>
  <c r="O550" i="161"/>
  <c r="O561" i="161" s="1"/>
  <c r="O599" i="161" s="1"/>
  <c r="Q550" i="161"/>
  <c r="Q561" i="161" s="1"/>
  <c r="Q599" i="161" s="1"/>
  <c r="M550" i="161"/>
  <c r="M561" i="161" s="1"/>
  <c r="M599" i="161" s="1"/>
  <c r="L550" i="161"/>
  <c r="L561" i="161" s="1"/>
  <c r="L599" i="161" s="1"/>
  <c r="N550" i="161"/>
  <c r="N561" i="161" s="1"/>
  <c r="N599" i="161" s="1"/>
  <c r="J561" i="161"/>
  <c r="J599" i="161" s="1"/>
  <c r="P564" i="107"/>
  <c r="J711" i="120" s="1"/>
  <c r="J700" i="120"/>
  <c r="O592" i="107"/>
  <c r="I738" i="120" s="1"/>
  <c r="L592" i="107"/>
  <c r="F738" i="120" s="1"/>
  <c r="D738" i="120"/>
  <c r="P592" i="107"/>
  <c r="J738" i="120" s="1"/>
  <c r="K592" i="107"/>
  <c r="E738" i="120" s="1"/>
  <c r="M592" i="107"/>
  <c r="G738" i="120" s="1"/>
  <c r="N592" i="107"/>
  <c r="H738" i="120" s="1"/>
  <c r="Q592" i="107"/>
  <c r="K738" i="120" s="1"/>
  <c r="G604" i="107"/>
  <c r="F659" i="119"/>
  <c r="P751" i="161"/>
  <c r="Q751" i="161"/>
  <c r="J1664" i="161"/>
  <c r="J1736" i="161"/>
  <c r="K751" i="161"/>
  <c r="N751" i="161"/>
  <c r="M751" i="161"/>
  <c r="L751" i="161"/>
  <c r="O751" i="161"/>
  <c r="F1754" i="161"/>
  <c r="L564" i="107"/>
  <c r="F711" i="120" s="1"/>
  <c r="F700" i="120"/>
  <c r="F1784" i="161"/>
  <c r="F691" i="161"/>
  <c r="I599" i="161"/>
  <c r="P556" i="107"/>
  <c r="O556" i="107"/>
  <c r="N556" i="107"/>
  <c r="J567" i="107"/>
  <c r="Q556" i="107"/>
  <c r="L556" i="107"/>
  <c r="M556" i="107"/>
  <c r="K556" i="107"/>
  <c r="D703" i="120"/>
  <c r="E693" i="119"/>
  <c r="F1786" i="107"/>
  <c r="F693" i="107"/>
  <c r="F1790" i="107"/>
  <c r="E697" i="119"/>
  <c r="F697" i="107"/>
  <c r="O555" i="161"/>
  <c r="N555" i="161"/>
  <c r="Q555" i="161"/>
  <c r="L555" i="161"/>
  <c r="P555" i="161"/>
  <c r="K555" i="161"/>
  <c r="M555" i="161"/>
  <c r="J566" i="161"/>
  <c r="J604" i="161" s="1"/>
  <c r="G1754" i="107"/>
  <c r="E23" i="116" s="1"/>
  <c r="G1784" i="107"/>
  <c r="G691" i="107"/>
  <c r="F691" i="119"/>
  <c r="L556" i="161"/>
  <c r="L567" i="161" s="1"/>
  <c r="N556" i="161"/>
  <c r="N567" i="161" s="1"/>
  <c r="M556" i="161"/>
  <c r="M567" i="161" s="1"/>
  <c r="Q556" i="161"/>
  <c r="Q567" i="161" s="1"/>
  <c r="P556" i="161"/>
  <c r="P567" i="161" s="1"/>
  <c r="O556" i="161"/>
  <c r="O567" i="161" s="1"/>
  <c r="K556" i="161"/>
  <c r="K567" i="161" s="1"/>
  <c r="J567" i="161"/>
  <c r="J605" i="161" s="1"/>
  <c r="Q564" i="107"/>
  <c r="K711" i="120" s="1"/>
  <c r="K700" i="120"/>
  <c r="M757" i="107"/>
  <c r="N757" i="107"/>
  <c r="P757" i="107"/>
  <c r="D929" i="120"/>
  <c r="Q757" i="107"/>
  <c r="O757" i="107"/>
  <c r="L757" i="107"/>
  <c r="J1742" i="107"/>
  <c r="D2145" i="120" s="1"/>
  <c r="K757" i="107"/>
  <c r="J1670" i="107"/>
  <c r="D2071" i="120" s="1"/>
  <c r="I563" i="107"/>
  <c r="H656" i="119" s="1"/>
  <c r="H601" i="107"/>
  <c r="G656" i="119"/>
  <c r="O554" i="107"/>
  <c r="P554" i="107"/>
  <c r="J565" i="107"/>
  <c r="K554" i="107"/>
  <c r="M554" i="107"/>
  <c r="D701" i="120"/>
  <c r="L554" i="107"/>
  <c r="Q554" i="107"/>
  <c r="N554" i="107"/>
  <c r="M745" i="107"/>
  <c r="J1643" i="107"/>
  <c r="L745" i="107"/>
  <c r="K745" i="107"/>
  <c r="N745" i="107"/>
  <c r="P745" i="107"/>
  <c r="O745" i="107"/>
  <c r="D917" i="120"/>
  <c r="Q745" i="107"/>
  <c r="G598" i="161"/>
  <c r="G568" i="161"/>
  <c r="H1788" i="161"/>
  <c r="H695" i="161"/>
  <c r="I563" i="161"/>
  <c r="H594" i="161"/>
  <c r="I594" i="161" s="1"/>
  <c r="J586" i="161"/>
  <c r="H1743" i="161"/>
  <c r="N1667" i="161"/>
  <c r="N1739" i="161"/>
  <c r="I565" i="161"/>
  <c r="J747" i="107"/>
  <c r="D919" i="120" s="1"/>
  <c r="H1787" i="161"/>
  <c r="H694" i="161"/>
  <c r="J1737" i="161"/>
  <c r="L752" i="161"/>
  <c r="J1665" i="161"/>
  <c r="K752" i="161"/>
  <c r="M752" i="161"/>
  <c r="Q752" i="161"/>
  <c r="O752" i="161"/>
  <c r="N752" i="161"/>
  <c r="P752" i="161"/>
  <c r="H700" i="120"/>
  <c r="N564" i="107"/>
  <c r="H711" i="120" s="1"/>
  <c r="H692" i="161"/>
  <c r="H715" i="161" s="1"/>
  <c r="H764" i="161" s="1"/>
  <c r="H1785" i="161"/>
  <c r="J563" i="107"/>
  <c r="P552" i="107"/>
  <c r="N552" i="107"/>
  <c r="M552" i="107"/>
  <c r="D699" i="120"/>
  <c r="Q552" i="107"/>
  <c r="L552" i="107"/>
  <c r="O552" i="107"/>
  <c r="K552" i="107"/>
  <c r="E695" i="119"/>
  <c r="F695" i="107"/>
  <c r="F1788" i="107"/>
  <c r="I567" i="161"/>
  <c r="J1738" i="161"/>
  <c r="J1666" i="161"/>
  <c r="O753" i="161"/>
  <c r="N753" i="161"/>
  <c r="P753" i="161"/>
  <c r="M753" i="161"/>
  <c r="L753" i="161"/>
  <c r="K753" i="161"/>
  <c r="Q753" i="161"/>
  <c r="I565" i="107"/>
  <c r="H658" i="119" s="1"/>
  <c r="H603" i="107"/>
  <c r="G658" i="119"/>
  <c r="P554" i="161"/>
  <c r="P565" i="161" s="1"/>
  <c r="P603" i="161" s="1"/>
  <c r="O554" i="161"/>
  <c r="O565" i="161" s="1"/>
  <c r="O603" i="161" s="1"/>
  <c r="M554" i="161"/>
  <c r="M565" i="161" s="1"/>
  <c r="M603" i="161" s="1"/>
  <c r="Q554" i="161"/>
  <c r="Q565" i="161" s="1"/>
  <c r="Q603" i="161" s="1"/>
  <c r="N554" i="161"/>
  <c r="N565" i="161" s="1"/>
  <c r="N603" i="161" s="1"/>
  <c r="L554" i="161"/>
  <c r="L565" i="161" s="1"/>
  <c r="L603" i="161" s="1"/>
  <c r="K554" i="161"/>
  <c r="K565" i="161" s="1"/>
  <c r="K603" i="161" s="1"/>
  <c r="J565" i="161"/>
  <c r="J603" i="161" s="1"/>
  <c r="F1786" i="161"/>
  <c r="F693" i="161"/>
  <c r="F716" i="161" s="1"/>
  <c r="I601" i="161"/>
  <c r="G696" i="161"/>
  <c r="G1789" i="161"/>
  <c r="F1788" i="161"/>
  <c r="F695" i="161"/>
  <c r="F718" i="161" s="1"/>
  <c r="I603" i="161"/>
  <c r="G778" i="161"/>
  <c r="G805" i="161" s="1"/>
  <c r="G817" i="161" s="1"/>
  <c r="Q566" i="107"/>
  <c r="K702" i="120"/>
  <c r="K1641" i="107"/>
  <c r="E915" i="120"/>
  <c r="I924" i="120"/>
  <c r="O1737" i="107"/>
  <c r="I2140" i="120" s="1"/>
  <c r="O1665" i="107"/>
  <c r="I2066" i="120" s="1"/>
  <c r="K561" i="107"/>
  <c r="E697" i="120"/>
  <c r="M1666" i="107"/>
  <c r="G2067" i="120" s="1"/>
  <c r="G925" i="120"/>
  <c r="M1738" i="107"/>
  <c r="G2141" i="120" s="1"/>
  <c r="F714" i="107"/>
  <c r="E808" i="119"/>
  <c r="P1747" i="107"/>
  <c r="J2150" i="120" s="1"/>
  <c r="J2038" i="120"/>
  <c r="K2038" i="120"/>
  <c r="Q1747" i="107"/>
  <c r="K2150" i="120" s="1"/>
  <c r="E2038" i="120"/>
  <c r="K1747" i="107"/>
  <c r="E2150" i="120" s="1"/>
  <c r="P1626" i="107"/>
  <c r="P832" i="107"/>
  <c r="J1002" i="120" s="1"/>
  <c r="J994" i="120"/>
  <c r="N832" i="107"/>
  <c r="H1002" i="120" s="1"/>
  <c r="H994" i="120"/>
  <c r="N1626" i="107"/>
  <c r="Q1637" i="107"/>
  <c r="K911" i="120"/>
  <c r="M832" i="107"/>
  <c r="G1002" i="120" s="1"/>
  <c r="M1626" i="107"/>
  <c r="G994" i="120"/>
  <c r="J1634" i="107"/>
  <c r="D2026" i="120"/>
  <c r="D2064" i="120"/>
  <c r="E739" i="120"/>
  <c r="O1626" i="107"/>
  <c r="O832" i="107"/>
  <c r="I1002" i="120" s="1"/>
  <c r="I994" i="120"/>
  <c r="Q1626" i="107"/>
  <c r="K994" i="120"/>
  <c r="Q832" i="107"/>
  <c r="K1002" i="120" s="1"/>
  <c r="F2038" i="120"/>
  <c r="L1747" i="107"/>
  <c r="F2150" i="120" s="1"/>
  <c r="N1747" i="107"/>
  <c r="H2150" i="120" s="1"/>
  <c r="H2038" i="120"/>
  <c r="L832" i="107"/>
  <c r="F1002" i="120" s="1"/>
  <c r="L1626" i="107"/>
  <c r="F994" i="120"/>
  <c r="F1783" i="107"/>
  <c r="F690" i="107"/>
  <c r="F607" i="107"/>
  <c r="E690" i="119"/>
  <c r="K1626" i="107"/>
  <c r="K832" i="107"/>
  <c r="E1002" i="120" s="1"/>
  <c r="E994" i="120"/>
  <c r="Q586" i="107" l="1"/>
  <c r="P586" i="107"/>
  <c r="O586" i="107"/>
  <c r="N586" i="107"/>
  <c r="M586" i="107"/>
  <c r="L586" i="107"/>
  <c r="K586" i="107"/>
  <c r="J758" i="161"/>
  <c r="J1787" i="161"/>
  <c r="P750" i="161"/>
  <c r="P758" i="161" s="1"/>
  <c r="N750" i="161"/>
  <c r="O750" i="161"/>
  <c r="Q750" i="161"/>
  <c r="Q1663" i="161" s="1"/>
  <c r="K750" i="161"/>
  <c r="K1735" i="161" s="1"/>
  <c r="J1663" i="161"/>
  <c r="J1671" i="161" s="1"/>
  <c r="L750" i="161"/>
  <c r="L1735" i="161" s="1"/>
  <c r="H691" i="107"/>
  <c r="G691" i="119"/>
  <c r="H1784" i="107"/>
  <c r="G1663" i="161"/>
  <c r="F1663" i="161" s="1"/>
  <c r="F1671" i="161" s="1"/>
  <c r="G758" i="161"/>
  <c r="I758" i="161"/>
  <c r="M739" i="161"/>
  <c r="M1637" i="161" s="1"/>
  <c r="Q739" i="161"/>
  <c r="Q747" i="161" s="1"/>
  <c r="F1674" i="107"/>
  <c r="F1682" i="107" s="1"/>
  <c r="D18" i="116" s="1"/>
  <c r="P739" i="161"/>
  <c r="P1637" i="161" s="1"/>
  <c r="H697" i="120"/>
  <c r="O739" i="161"/>
  <c r="O1637" i="161" s="1"/>
  <c r="K739" i="161"/>
  <c r="K1637" i="161" s="1"/>
  <c r="G697" i="120"/>
  <c r="J747" i="161"/>
  <c r="J1637" i="161"/>
  <c r="J1746" i="161" s="1"/>
  <c r="J1754" i="161" s="1"/>
  <c r="M1637" i="107"/>
  <c r="G2037" i="120" s="1"/>
  <c r="L739" i="161"/>
  <c r="L1637" i="161" s="1"/>
  <c r="M1735" i="107"/>
  <c r="G2138" i="120" s="1"/>
  <c r="I922" i="120"/>
  <c r="M1663" i="107"/>
  <c r="G2064" i="120" s="1"/>
  <c r="K566" i="107"/>
  <c r="K604" i="107" s="1"/>
  <c r="F697" i="120"/>
  <c r="J911" i="120"/>
  <c r="H1746" i="161"/>
  <c r="H1754" i="161" s="1"/>
  <c r="G2038" i="120"/>
  <c r="J697" i="120"/>
  <c r="Q561" i="107"/>
  <c r="Q599" i="107" s="1"/>
  <c r="J604" i="107"/>
  <c r="J696" i="107" s="1"/>
  <c r="D708" i="120"/>
  <c r="O1747" i="107"/>
  <c r="I2150" i="120" s="1"/>
  <c r="K1637" i="107"/>
  <c r="K1746" i="107" s="1"/>
  <c r="H568" i="107"/>
  <c r="G661" i="119" s="1"/>
  <c r="I604" i="107"/>
  <c r="H696" i="119" s="1"/>
  <c r="I697" i="120"/>
  <c r="H702" i="120"/>
  <c r="O1663" i="107"/>
  <c r="I2064" i="120" s="1"/>
  <c r="H696" i="107"/>
  <c r="G813" i="119" s="1"/>
  <c r="G696" i="119"/>
  <c r="I557" i="107"/>
  <c r="H650" i="119" s="1"/>
  <c r="L1666" i="107"/>
  <c r="F2067" i="120" s="1"/>
  <c r="E922" i="120"/>
  <c r="F702" i="120"/>
  <c r="K1663" i="107"/>
  <c r="E2064" i="120" s="1"/>
  <c r="L1738" i="107"/>
  <c r="F2141" i="120" s="1"/>
  <c r="H598" i="107"/>
  <c r="I598" i="107" s="1"/>
  <c r="H690" i="119" s="1"/>
  <c r="K1738" i="107"/>
  <c r="E2141" i="120" s="1"/>
  <c r="J702" i="120"/>
  <c r="M1641" i="107"/>
  <c r="G2041" i="120" s="1"/>
  <c r="D2037" i="120"/>
  <c r="I911" i="120"/>
  <c r="G653" i="119"/>
  <c r="G702" i="120"/>
  <c r="F814" i="119"/>
  <c r="H922" i="120"/>
  <c r="F653" i="119"/>
  <c r="J594" i="107"/>
  <c r="D740" i="120" s="1"/>
  <c r="K732" i="120"/>
  <c r="N594" i="107"/>
  <c r="H740" i="120" s="1"/>
  <c r="P1738" i="107"/>
  <c r="J2141" i="120" s="1"/>
  <c r="O560" i="107"/>
  <c r="N1663" i="107"/>
  <c r="H2064" i="120" s="1"/>
  <c r="L560" i="107"/>
  <c r="M557" i="107"/>
  <c r="G704" i="120" s="1"/>
  <c r="F834" i="119"/>
  <c r="H911" i="120"/>
  <c r="J557" i="107"/>
  <c r="D704" i="120" s="1"/>
  <c r="J922" i="120"/>
  <c r="Q557" i="107"/>
  <c r="K704" i="120" s="1"/>
  <c r="P1663" i="107"/>
  <c r="J2064" i="120" s="1"/>
  <c r="K560" i="107"/>
  <c r="N560" i="107"/>
  <c r="P560" i="107"/>
  <c r="D696" i="120"/>
  <c r="H915" i="120"/>
  <c r="Q1663" i="107"/>
  <c r="K2064" i="120" s="1"/>
  <c r="Q1737" i="107"/>
  <c r="K2140" i="120" s="1"/>
  <c r="Q1735" i="107"/>
  <c r="K2138" i="120" s="1"/>
  <c r="F922" i="120"/>
  <c r="O1738" i="107"/>
  <c r="I2141" i="120" s="1"/>
  <c r="K924" i="120"/>
  <c r="I702" i="120"/>
  <c r="L1663" i="107"/>
  <c r="F2064" i="120" s="1"/>
  <c r="I925" i="120"/>
  <c r="P1737" i="107"/>
  <c r="J2140" i="120" s="1"/>
  <c r="L1736" i="107"/>
  <c r="F2139" i="120" s="1"/>
  <c r="F924" i="120"/>
  <c r="P1665" i="107"/>
  <c r="J2066" i="120" s="1"/>
  <c r="F923" i="120"/>
  <c r="L1665" i="107"/>
  <c r="F2066" i="120" s="1"/>
  <c r="K1666" i="107"/>
  <c r="E2067" i="120" s="1"/>
  <c r="F911" i="120"/>
  <c r="I594" i="107"/>
  <c r="H686" i="119" s="1"/>
  <c r="P1666" i="107"/>
  <c r="J2067" i="120" s="1"/>
  <c r="K1736" i="107"/>
  <c r="E2139" i="120" s="1"/>
  <c r="G732" i="120"/>
  <c r="O594" i="107"/>
  <c r="I740" i="120" s="1"/>
  <c r="Q1738" i="107"/>
  <c r="K2141" i="120" s="1"/>
  <c r="D732" i="120"/>
  <c r="M1665" i="107"/>
  <c r="G2066" i="120" s="1"/>
  <c r="Q1666" i="107"/>
  <c r="K2067" i="120" s="1"/>
  <c r="F732" i="120"/>
  <c r="E732" i="120"/>
  <c r="M1737" i="107"/>
  <c r="G2140" i="120" s="1"/>
  <c r="E924" i="120"/>
  <c r="E923" i="120"/>
  <c r="I915" i="120"/>
  <c r="N1737" i="107"/>
  <c r="H2140" i="120" s="1"/>
  <c r="H925" i="120"/>
  <c r="N1666" i="107"/>
  <c r="H2067" i="120" s="1"/>
  <c r="N1665" i="107"/>
  <c r="H2066" i="120" s="1"/>
  <c r="L1641" i="107"/>
  <c r="L1750" i="107" s="1"/>
  <c r="F2153" i="120" s="1"/>
  <c r="K1737" i="107"/>
  <c r="E2140" i="120" s="1"/>
  <c r="G598" i="107"/>
  <c r="F690" i="119" s="1"/>
  <c r="Q1641" i="107"/>
  <c r="K2041" i="120" s="1"/>
  <c r="O1736" i="107"/>
  <c r="I2139" i="120" s="1"/>
  <c r="J915" i="120"/>
  <c r="J1750" i="107"/>
  <c r="D2153" i="120" s="1"/>
  <c r="I923" i="120"/>
  <c r="Q1664" i="107"/>
  <c r="K2065" i="120" s="1"/>
  <c r="Q1736" i="107"/>
  <c r="K2139" i="120" s="1"/>
  <c r="M758" i="107"/>
  <c r="G930" i="120" s="1"/>
  <c r="L605" i="161"/>
  <c r="L697" i="161" s="1"/>
  <c r="L720" i="161" s="1"/>
  <c r="L769" i="161" s="1"/>
  <c r="Q1787" i="161"/>
  <c r="J923" i="120"/>
  <c r="P1736" i="107"/>
  <c r="J2139" i="120" s="1"/>
  <c r="P1664" i="107"/>
  <c r="J2065" i="120" s="1"/>
  <c r="G923" i="120"/>
  <c r="M1736" i="107"/>
  <c r="G2139" i="120" s="1"/>
  <c r="M1664" i="107"/>
  <c r="G2065" i="120" s="1"/>
  <c r="O758" i="107"/>
  <c r="I930" i="120" s="1"/>
  <c r="T23" i="116"/>
  <c r="T17" i="116"/>
  <c r="K694" i="161"/>
  <c r="K717" i="161" s="1"/>
  <c r="K766" i="161" s="1"/>
  <c r="K778" i="161" s="1"/>
  <c r="G1788" i="107"/>
  <c r="G695" i="107"/>
  <c r="F695" i="119"/>
  <c r="E834" i="119"/>
  <c r="F766" i="107"/>
  <c r="K605" i="161"/>
  <c r="K1790" i="161" s="1"/>
  <c r="T22" i="116"/>
  <c r="L758" i="107"/>
  <c r="F930" i="120" s="1"/>
  <c r="Q747" i="107"/>
  <c r="K919" i="120" s="1"/>
  <c r="M1787" i="161"/>
  <c r="M602" i="107"/>
  <c r="M694" i="107" s="1"/>
  <c r="O605" i="161"/>
  <c r="O697" i="161" s="1"/>
  <c r="O720" i="161" s="1"/>
  <c r="O769" i="161" s="1"/>
  <c r="J1743" i="161"/>
  <c r="L747" i="107"/>
  <c r="F919" i="120" s="1"/>
  <c r="O747" i="107"/>
  <c r="I919" i="120" s="1"/>
  <c r="J1671" i="107"/>
  <c r="D2072" i="120" s="1"/>
  <c r="N602" i="107"/>
  <c r="N1787" i="107" s="1"/>
  <c r="H2192" i="120" s="1"/>
  <c r="N747" i="107"/>
  <c r="H919" i="120" s="1"/>
  <c r="M605" i="161"/>
  <c r="M697" i="161" s="1"/>
  <c r="M720" i="161" s="1"/>
  <c r="M769" i="161" s="1"/>
  <c r="Q602" i="107"/>
  <c r="Q1787" i="107" s="1"/>
  <c r="K2192" i="120" s="1"/>
  <c r="N605" i="161"/>
  <c r="N697" i="161" s="1"/>
  <c r="N720" i="161" s="1"/>
  <c r="N769" i="161" s="1"/>
  <c r="O602" i="107"/>
  <c r="O1787" i="107" s="1"/>
  <c r="I2192" i="120" s="1"/>
  <c r="M766" i="161"/>
  <c r="M778" i="161" s="1"/>
  <c r="M805" i="161" s="1"/>
  <c r="M817" i="161" s="1"/>
  <c r="K602" i="107"/>
  <c r="K694" i="107" s="1"/>
  <c r="P691" i="161"/>
  <c r="P714" i="161" s="1"/>
  <c r="P763" i="161" s="1"/>
  <c r="P1784" i="161"/>
  <c r="K691" i="161"/>
  <c r="K714" i="161" s="1"/>
  <c r="K763" i="161" s="1"/>
  <c r="K1784" i="161"/>
  <c r="L1786" i="161"/>
  <c r="L693" i="161"/>
  <c r="L716" i="161" s="1"/>
  <c r="L765" i="161" s="1"/>
  <c r="O1784" i="161"/>
  <c r="O691" i="161"/>
  <c r="O714" i="161" s="1"/>
  <c r="O763" i="161" s="1"/>
  <c r="O1786" i="161"/>
  <c r="O693" i="161"/>
  <c r="O716" i="161" s="1"/>
  <c r="O765" i="161" s="1"/>
  <c r="Q1786" i="161"/>
  <c r="Q693" i="161"/>
  <c r="Q716" i="161" s="1"/>
  <c r="Q765" i="161" s="1"/>
  <c r="K1786" i="161"/>
  <c r="K693" i="161"/>
  <c r="K716" i="161" s="1"/>
  <c r="K765" i="161" s="1"/>
  <c r="L691" i="161"/>
  <c r="L714" i="161" s="1"/>
  <c r="L763" i="161" s="1"/>
  <c r="L1784" i="161"/>
  <c r="M1784" i="161"/>
  <c r="M691" i="161"/>
  <c r="M714" i="161" s="1"/>
  <c r="M763" i="161" s="1"/>
  <c r="I699" i="120"/>
  <c r="O563" i="107"/>
  <c r="K1670" i="107"/>
  <c r="E2071" i="120" s="1"/>
  <c r="K1742" i="107"/>
  <c r="E2145" i="120" s="1"/>
  <c r="E929" i="120"/>
  <c r="J1789" i="161"/>
  <c r="J696" i="161"/>
  <c r="P747" i="161"/>
  <c r="M1640" i="107"/>
  <c r="G914" i="120"/>
  <c r="K1668" i="161"/>
  <c r="K1740" i="161"/>
  <c r="Q562" i="107"/>
  <c r="K698" i="120"/>
  <c r="I692" i="161"/>
  <c r="F715" i="161"/>
  <c r="Q1784" i="161"/>
  <c r="Q691" i="161"/>
  <c r="Q714" i="161" s="1"/>
  <c r="Q763" i="161" s="1"/>
  <c r="M566" i="161"/>
  <c r="M604" i="161" s="1"/>
  <c r="N693" i="161"/>
  <c r="N716" i="161" s="1"/>
  <c r="N765" i="161" s="1"/>
  <c r="N1786" i="161"/>
  <c r="Q1664" i="161"/>
  <c r="Q1736" i="161"/>
  <c r="G913" i="120"/>
  <c r="M1639" i="107"/>
  <c r="O1640" i="107"/>
  <c r="I914" i="120"/>
  <c r="O1785" i="161"/>
  <c r="O692" i="161"/>
  <c r="O715" i="161" s="1"/>
  <c r="O764" i="161" s="1"/>
  <c r="N1668" i="161"/>
  <c r="N1740" i="161"/>
  <c r="K1642" i="107"/>
  <c r="E916" i="120"/>
  <c r="H916" i="120"/>
  <c r="N1642" i="107"/>
  <c r="K928" i="120"/>
  <c r="Q1669" i="107"/>
  <c r="K2070" i="120" s="1"/>
  <c r="Q1741" i="107"/>
  <c r="K2144" i="120" s="1"/>
  <c r="N1669" i="107"/>
  <c r="H2070" i="120" s="1"/>
  <c r="H928" i="120"/>
  <c r="N1741" i="107"/>
  <c r="H2144" i="120" s="1"/>
  <c r="I694" i="107"/>
  <c r="H811" i="119" s="1"/>
  <c r="H717" i="107"/>
  <c r="G811" i="119"/>
  <c r="J1743" i="107"/>
  <c r="H22" i="116" s="1"/>
  <c r="G840" i="161"/>
  <c r="G719" i="161"/>
  <c r="G768" i="161" s="1"/>
  <c r="Q1788" i="161"/>
  <c r="Q695" i="161"/>
  <c r="Q718" i="161" s="1"/>
  <c r="Q767" i="161" s="1"/>
  <c r="Q1666" i="161"/>
  <c r="Q1738" i="161"/>
  <c r="Q563" i="107"/>
  <c r="K699" i="120"/>
  <c r="I695" i="161"/>
  <c r="H718" i="161"/>
  <c r="H767" i="161" s="1"/>
  <c r="P1643" i="107"/>
  <c r="J917" i="120"/>
  <c r="L565" i="107"/>
  <c r="F701" i="120"/>
  <c r="L1742" i="107"/>
  <c r="F2145" i="120" s="1"/>
  <c r="L1670" i="107"/>
  <c r="F2071" i="120" s="1"/>
  <c r="F929" i="120"/>
  <c r="K566" i="161"/>
  <c r="K604" i="161" s="1"/>
  <c r="E814" i="119"/>
  <c r="F720" i="107"/>
  <c r="O567" i="107"/>
  <c r="I703" i="120"/>
  <c r="O1736" i="161"/>
  <c r="O1664" i="161"/>
  <c r="P1664" i="161"/>
  <c r="P1736" i="161"/>
  <c r="Q1639" i="107"/>
  <c r="K913" i="120"/>
  <c r="P1741" i="161"/>
  <c r="P1669" i="161"/>
  <c r="L1742" i="161"/>
  <c r="L1670" i="161"/>
  <c r="H598" i="161"/>
  <c r="I598" i="161" s="1"/>
  <c r="H568" i="161"/>
  <c r="I568" i="161" s="1"/>
  <c r="Q1640" i="107"/>
  <c r="K914" i="120"/>
  <c r="M1644" i="107"/>
  <c r="G918" i="120"/>
  <c r="Q692" i="161"/>
  <c r="Q715" i="161" s="1"/>
  <c r="Q764" i="161" s="1"/>
  <c r="Q1785" i="161"/>
  <c r="O1668" i="161"/>
  <c r="O1740" i="161"/>
  <c r="K562" i="107"/>
  <c r="E698" i="120"/>
  <c r="G1785" i="107"/>
  <c r="F692" i="119"/>
  <c r="G692" i="107"/>
  <c r="J1751" i="107"/>
  <c r="D2154" i="120" s="1"/>
  <c r="D2042" i="120"/>
  <c r="M1663" i="161"/>
  <c r="M1735" i="161"/>
  <c r="M758" i="161"/>
  <c r="K1669" i="107"/>
  <c r="E2070" i="120" s="1"/>
  <c r="K1741" i="107"/>
  <c r="E2144" i="120" s="1"/>
  <c r="E928" i="120"/>
  <c r="F719" i="107"/>
  <c r="E813" i="119"/>
  <c r="I603" i="107"/>
  <c r="H695" i="119" s="1"/>
  <c r="G695" i="119"/>
  <c r="H1788" i="107"/>
  <c r="H695" i="107"/>
  <c r="N565" i="107"/>
  <c r="H701" i="120"/>
  <c r="P1644" i="107"/>
  <c r="J918" i="120"/>
  <c r="J1785" i="161"/>
  <c r="J692" i="161"/>
  <c r="J715" i="161" s="1"/>
  <c r="J764" i="161" s="1"/>
  <c r="F764" i="107"/>
  <c r="E832" i="119"/>
  <c r="J928" i="120"/>
  <c r="P1669" i="107"/>
  <c r="J2070" i="120" s="1"/>
  <c r="P1741" i="107"/>
  <c r="J2144" i="120" s="1"/>
  <c r="P758" i="107"/>
  <c r="J930" i="120" s="1"/>
  <c r="N695" i="161"/>
  <c r="N718" i="161" s="1"/>
  <c r="N767" i="161" s="1"/>
  <c r="N1788" i="161"/>
  <c r="F699" i="120"/>
  <c r="L563" i="107"/>
  <c r="I917" i="120"/>
  <c r="O1643" i="107"/>
  <c r="J1784" i="161"/>
  <c r="J691" i="161"/>
  <c r="J714" i="161" s="1"/>
  <c r="J763" i="161" s="1"/>
  <c r="M1788" i="161"/>
  <c r="M695" i="161"/>
  <c r="M718" i="161" s="1"/>
  <c r="M767" i="161" s="1"/>
  <c r="K1738" i="161"/>
  <c r="K1666" i="161"/>
  <c r="L1665" i="161"/>
  <c r="L1737" i="161"/>
  <c r="H917" i="120"/>
  <c r="N1643" i="107"/>
  <c r="I929" i="120"/>
  <c r="O1670" i="107"/>
  <c r="I2071" i="120" s="1"/>
  <c r="O1742" i="107"/>
  <c r="I2145" i="120" s="1"/>
  <c r="J1790" i="161"/>
  <c r="J697" i="161"/>
  <c r="J720" i="161" s="1"/>
  <c r="J769" i="161" s="1"/>
  <c r="P566" i="161"/>
  <c r="P604" i="161" s="1"/>
  <c r="J703" i="120"/>
  <c r="P567" i="107"/>
  <c r="L1736" i="161"/>
  <c r="L1664" i="161"/>
  <c r="E913" i="120"/>
  <c r="K1639" i="107"/>
  <c r="H913" i="120"/>
  <c r="N1639" i="107"/>
  <c r="M1741" i="161"/>
  <c r="M1669" i="161"/>
  <c r="O1742" i="161"/>
  <c r="O1670" i="161"/>
  <c r="F914" i="120"/>
  <c r="L1640" i="107"/>
  <c r="L1644" i="107"/>
  <c r="F918" i="120"/>
  <c r="K918" i="120"/>
  <c r="Q1644" i="107"/>
  <c r="N1785" i="161"/>
  <c r="N692" i="161"/>
  <c r="N715" i="161" s="1"/>
  <c r="N764" i="161" s="1"/>
  <c r="H780" i="161"/>
  <c r="H807" i="161" s="1"/>
  <c r="H819" i="161" s="1"/>
  <c r="P694" i="161"/>
  <c r="P717" i="161" s="1"/>
  <c r="P766" i="161" s="1"/>
  <c r="P1787" i="161"/>
  <c r="K916" i="120"/>
  <c r="Q1642" i="107"/>
  <c r="P1735" i="161"/>
  <c r="P1663" i="161"/>
  <c r="N1735" i="161"/>
  <c r="N1663" i="161"/>
  <c r="N758" i="161"/>
  <c r="M1741" i="107"/>
  <c r="G2144" i="120" s="1"/>
  <c r="G928" i="120"/>
  <c r="M1669" i="107"/>
  <c r="G2070" i="120" s="1"/>
  <c r="M1670" i="107"/>
  <c r="G2071" i="120" s="1"/>
  <c r="M1742" i="107"/>
  <c r="G2145" i="120" s="1"/>
  <c r="G929" i="120"/>
  <c r="H775" i="161"/>
  <c r="H802" i="161" s="1"/>
  <c r="H814" i="161" s="1"/>
  <c r="M1740" i="161"/>
  <c r="M1668" i="161"/>
  <c r="H776" i="161"/>
  <c r="K701" i="120"/>
  <c r="Q565" i="107"/>
  <c r="N1742" i="161"/>
  <c r="N1670" i="161"/>
  <c r="H698" i="120"/>
  <c r="N562" i="107"/>
  <c r="G843" i="161"/>
  <c r="F765" i="161"/>
  <c r="L1666" i="161"/>
  <c r="L1738" i="161"/>
  <c r="M563" i="107"/>
  <c r="G699" i="120"/>
  <c r="P1665" i="161"/>
  <c r="P1737" i="161"/>
  <c r="E917" i="120"/>
  <c r="K1643" i="107"/>
  <c r="M565" i="107"/>
  <c r="G701" i="120"/>
  <c r="K929" i="120"/>
  <c r="Q1670" i="107"/>
  <c r="K2071" i="120" s="1"/>
  <c r="Q1742" i="107"/>
  <c r="K2145" i="120" s="1"/>
  <c r="F808" i="119"/>
  <c r="G714" i="107"/>
  <c r="L566" i="161"/>
  <c r="L604" i="161" s="1"/>
  <c r="K567" i="107"/>
  <c r="E703" i="120"/>
  <c r="M1664" i="161"/>
  <c r="M1736" i="161"/>
  <c r="P1640" i="107"/>
  <c r="J914" i="120"/>
  <c r="H808" i="161"/>
  <c r="H820" i="161" s="1"/>
  <c r="F820" i="161" s="1"/>
  <c r="I820" i="161" s="1"/>
  <c r="I918" i="120"/>
  <c r="O1644" i="107"/>
  <c r="M1785" i="161"/>
  <c r="M692" i="161"/>
  <c r="M715" i="161" s="1"/>
  <c r="M764" i="161" s="1"/>
  <c r="P1740" i="161"/>
  <c r="P1668" i="161"/>
  <c r="M562" i="107"/>
  <c r="G698" i="120"/>
  <c r="Q758" i="107"/>
  <c r="K930" i="120" s="1"/>
  <c r="N758" i="107"/>
  <c r="H930" i="120" s="1"/>
  <c r="M747" i="107"/>
  <c r="G919" i="120" s="1"/>
  <c r="P602" i="107"/>
  <c r="P1788" i="161"/>
  <c r="P695" i="161"/>
  <c r="P718" i="161" s="1"/>
  <c r="P767" i="161" s="1"/>
  <c r="M1666" i="161"/>
  <c r="M1738" i="161"/>
  <c r="F718" i="107"/>
  <c r="E812" i="119"/>
  <c r="H699" i="120"/>
  <c r="N563" i="107"/>
  <c r="N1737" i="161"/>
  <c r="N1665" i="161"/>
  <c r="I694" i="161"/>
  <c r="H717" i="161"/>
  <c r="G1783" i="161"/>
  <c r="G1791" i="161" s="1"/>
  <c r="G690" i="161"/>
  <c r="G713" i="161" s="1"/>
  <c r="G607" i="161"/>
  <c r="G24" i="161" s="1"/>
  <c r="L1643" i="107"/>
  <c r="F917" i="120"/>
  <c r="K565" i="107"/>
  <c r="E701" i="120"/>
  <c r="I601" i="107"/>
  <c r="H693" i="119" s="1"/>
  <c r="G693" i="119"/>
  <c r="H693" i="107"/>
  <c r="H1786" i="107"/>
  <c r="Q566" i="161"/>
  <c r="Q604" i="161" s="1"/>
  <c r="Q766" i="161"/>
  <c r="G703" i="120"/>
  <c r="M567" i="107"/>
  <c r="I691" i="161"/>
  <c r="F714" i="161"/>
  <c r="N1664" i="161"/>
  <c r="N1736" i="161"/>
  <c r="N1637" i="161"/>
  <c r="N747" i="161"/>
  <c r="P1639" i="107"/>
  <c r="J913" i="120"/>
  <c r="Q1741" i="161"/>
  <c r="Q1669" i="161"/>
  <c r="O694" i="161"/>
  <c r="O717" i="161" s="1"/>
  <c r="O766" i="161" s="1"/>
  <c r="O1787" i="161"/>
  <c r="P1742" i="161"/>
  <c r="P1670" i="161"/>
  <c r="K1644" i="107"/>
  <c r="E918" i="120"/>
  <c r="J693" i="161"/>
  <c r="J716" i="161" s="1"/>
  <c r="J765" i="161" s="1"/>
  <c r="J1786" i="161"/>
  <c r="P1785" i="161"/>
  <c r="P692" i="161"/>
  <c r="P715" i="161" s="1"/>
  <c r="P764" i="161" s="1"/>
  <c r="L1787" i="161"/>
  <c r="L694" i="161"/>
  <c r="L717" i="161" s="1"/>
  <c r="L766" i="161" s="1"/>
  <c r="J600" i="107"/>
  <c r="D709" i="120"/>
  <c r="Q1735" i="161"/>
  <c r="F928" i="120"/>
  <c r="L1669" i="107"/>
  <c r="F2070" i="120" s="1"/>
  <c r="L1741" i="107"/>
  <c r="F2144" i="120" s="1"/>
  <c r="G804" i="161"/>
  <c r="G816" i="161" s="1"/>
  <c r="G839" i="161" s="1"/>
  <c r="O565" i="107"/>
  <c r="I701" i="120"/>
  <c r="M1742" i="161"/>
  <c r="M1670" i="161"/>
  <c r="P1642" i="107"/>
  <c r="J916" i="120"/>
  <c r="F1783" i="161"/>
  <c r="F1791" i="161" s="1"/>
  <c r="F690" i="161"/>
  <c r="F607" i="161"/>
  <c r="F1791" i="107"/>
  <c r="D25" i="116" s="1"/>
  <c r="K1665" i="161"/>
  <c r="K1737" i="161"/>
  <c r="N567" i="107"/>
  <c r="H703" i="120"/>
  <c r="I600" i="107"/>
  <c r="H692" i="119" s="1"/>
  <c r="H1785" i="107"/>
  <c r="G692" i="119"/>
  <c r="H692" i="107"/>
  <c r="M1786" i="161"/>
  <c r="M693" i="161"/>
  <c r="M716" i="161" s="1"/>
  <c r="M765" i="161" s="1"/>
  <c r="O1788" i="161"/>
  <c r="O695" i="161"/>
  <c r="O718" i="161" s="1"/>
  <c r="O767" i="161" s="1"/>
  <c r="F696" i="119"/>
  <c r="G696" i="107"/>
  <c r="G1789" i="107"/>
  <c r="O1741" i="161"/>
  <c r="O1669" i="161"/>
  <c r="N1741" i="161"/>
  <c r="N1669" i="161"/>
  <c r="M549" i="161"/>
  <c r="M560" i="161" s="1"/>
  <c r="O549" i="161"/>
  <c r="O560" i="161" s="1"/>
  <c r="N549" i="161"/>
  <c r="N560" i="161" s="1"/>
  <c r="L549" i="161"/>
  <c r="L560" i="161" s="1"/>
  <c r="K549" i="161"/>
  <c r="K560" i="161" s="1"/>
  <c r="Q549" i="161"/>
  <c r="Q560" i="161" s="1"/>
  <c r="P549" i="161"/>
  <c r="P560" i="161" s="1"/>
  <c r="J557" i="161"/>
  <c r="J560" i="161"/>
  <c r="G1786" i="107"/>
  <c r="F693" i="119"/>
  <c r="G693" i="107"/>
  <c r="N1784" i="161"/>
  <c r="N691" i="161"/>
  <c r="N714" i="161" s="1"/>
  <c r="N763" i="161" s="1"/>
  <c r="M1642" i="107"/>
  <c r="G916" i="120"/>
  <c r="O1735" i="161"/>
  <c r="O1663" i="161"/>
  <c r="O758" i="161"/>
  <c r="G841" i="161"/>
  <c r="J778" i="161"/>
  <c r="J805" i="161" s="1"/>
  <c r="J817" i="161" s="1"/>
  <c r="K758" i="107"/>
  <c r="E930" i="120" s="1"/>
  <c r="F767" i="161"/>
  <c r="J1788" i="161"/>
  <c r="J695" i="161"/>
  <c r="J718" i="161" s="1"/>
  <c r="J767" i="161" s="1"/>
  <c r="P1738" i="161"/>
  <c r="P1666" i="161"/>
  <c r="P563" i="107"/>
  <c r="J699" i="120"/>
  <c r="O1737" i="161"/>
  <c r="O1665" i="161"/>
  <c r="N694" i="161"/>
  <c r="N717" i="161" s="1"/>
  <c r="N766" i="161" s="1"/>
  <c r="N1787" i="161"/>
  <c r="P693" i="161"/>
  <c r="P716" i="161" s="1"/>
  <c r="P765" i="161" s="1"/>
  <c r="P1786" i="161"/>
  <c r="D2043" i="120"/>
  <c r="J1752" i="107"/>
  <c r="D2155" i="120" s="1"/>
  <c r="D712" i="120"/>
  <c r="J603" i="107"/>
  <c r="P1670" i="107"/>
  <c r="J2071" i="120" s="1"/>
  <c r="J929" i="120"/>
  <c r="P1742" i="107"/>
  <c r="J2145" i="120" s="1"/>
  <c r="P605" i="161"/>
  <c r="N566" i="161"/>
  <c r="N604" i="161" s="1"/>
  <c r="L567" i="107"/>
  <c r="F703" i="120"/>
  <c r="K1736" i="161"/>
  <c r="K1664" i="161"/>
  <c r="F913" i="120"/>
  <c r="L1639" i="107"/>
  <c r="K1669" i="161"/>
  <c r="K1741" i="161"/>
  <c r="K1742" i="161"/>
  <c r="K1670" i="161"/>
  <c r="D2040" i="120"/>
  <c r="J1749" i="107"/>
  <c r="D2152" i="120" s="1"/>
  <c r="E914" i="120"/>
  <c r="K1640" i="107"/>
  <c r="N1644" i="107"/>
  <c r="H918" i="120"/>
  <c r="I697" i="161"/>
  <c r="F720" i="161"/>
  <c r="L1785" i="161"/>
  <c r="L692" i="161"/>
  <c r="L715" i="161" s="1"/>
  <c r="L764" i="161" s="1"/>
  <c r="L776" i="161" s="1"/>
  <c r="L1668" i="161"/>
  <c r="L1740" i="161"/>
  <c r="L562" i="107"/>
  <c r="F698" i="120"/>
  <c r="J698" i="120"/>
  <c r="P562" i="107"/>
  <c r="I605" i="107"/>
  <c r="H697" i="119" s="1"/>
  <c r="H697" i="107"/>
  <c r="H1790" i="107"/>
  <c r="G697" i="119"/>
  <c r="F916" i="120"/>
  <c r="L1642" i="107"/>
  <c r="K1663" i="161"/>
  <c r="F778" i="161"/>
  <c r="F805" i="161" s="1"/>
  <c r="I928" i="120"/>
  <c r="O1669" i="107"/>
  <c r="I2070" i="120" s="1"/>
  <c r="O1741" i="107"/>
  <c r="I2144" i="120" s="1"/>
  <c r="I696" i="161"/>
  <c r="F719" i="161"/>
  <c r="L1788" i="161"/>
  <c r="L695" i="161"/>
  <c r="L718" i="161" s="1"/>
  <c r="L767" i="161" s="1"/>
  <c r="O1738" i="161"/>
  <c r="O1666" i="161"/>
  <c r="M1665" i="161"/>
  <c r="M1737" i="161"/>
  <c r="J605" i="107"/>
  <c r="D714" i="120"/>
  <c r="D2039" i="120"/>
  <c r="J1748" i="107"/>
  <c r="D2151" i="120" s="1"/>
  <c r="L1741" i="161"/>
  <c r="L1669" i="161"/>
  <c r="G775" i="161"/>
  <c r="G802" i="161" s="1"/>
  <c r="G814" i="161" s="1"/>
  <c r="J1645" i="107"/>
  <c r="H17" i="116" s="1"/>
  <c r="L602" i="107"/>
  <c r="L694" i="107" s="1"/>
  <c r="P747" i="107"/>
  <c r="J919" i="120" s="1"/>
  <c r="K747" i="107"/>
  <c r="E919" i="120" s="1"/>
  <c r="K1788" i="161"/>
  <c r="K695" i="161"/>
  <c r="K718" i="161" s="1"/>
  <c r="K767" i="161" s="1"/>
  <c r="N1738" i="161"/>
  <c r="N1666" i="161"/>
  <c r="K563" i="107"/>
  <c r="E699" i="120"/>
  <c r="D710" i="120"/>
  <c r="J601" i="107"/>
  <c r="Q1737" i="161"/>
  <c r="Q1665" i="161"/>
  <c r="G803" i="161"/>
  <c r="G815" i="161" s="1"/>
  <c r="G838" i="161" s="1"/>
  <c r="M586" i="161"/>
  <c r="M594" i="161" s="1"/>
  <c r="J594" i="161"/>
  <c r="O586" i="161"/>
  <c r="O594" i="161" s="1"/>
  <c r="N586" i="161"/>
  <c r="N594" i="161" s="1"/>
  <c r="L586" i="161"/>
  <c r="L594" i="161" s="1"/>
  <c r="Q586" i="161"/>
  <c r="Q594" i="161" s="1"/>
  <c r="K586" i="161"/>
  <c r="K594" i="161" s="1"/>
  <c r="P586" i="161"/>
  <c r="P594" i="161" s="1"/>
  <c r="K917" i="120"/>
  <c r="Q1643" i="107"/>
  <c r="M1643" i="107"/>
  <c r="G917" i="120"/>
  <c r="P565" i="107"/>
  <c r="J701" i="120"/>
  <c r="N1670" i="107"/>
  <c r="H2071" i="120" s="1"/>
  <c r="N1742" i="107"/>
  <c r="H2145" i="120" s="1"/>
  <c r="H929" i="120"/>
  <c r="Q605" i="161"/>
  <c r="O566" i="161"/>
  <c r="O604" i="161" s="1"/>
  <c r="E810" i="119"/>
  <c r="F716" i="107"/>
  <c r="Q567" i="107"/>
  <c r="K703" i="120"/>
  <c r="O1639" i="107"/>
  <c r="I913" i="120"/>
  <c r="Q1742" i="161"/>
  <c r="Q1670" i="161"/>
  <c r="N1640" i="107"/>
  <c r="H914" i="120"/>
  <c r="J1753" i="107"/>
  <c r="D2156" i="120" s="1"/>
  <c r="D2044" i="120"/>
  <c r="K1785" i="161"/>
  <c r="K692" i="161"/>
  <c r="K715" i="161" s="1"/>
  <c r="K764" i="161" s="1"/>
  <c r="Q1740" i="161"/>
  <c r="Q1668" i="161"/>
  <c r="O562" i="107"/>
  <c r="I698" i="120"/>
  <c r="I693" i="161"/>
  <c r="H716" i="161"/>
  <c r="H765" i="161" s="1"/>
  <c r="I916" i="120"/>
  <c r="O1642" i="107"/>
  <c r="J694" i="107"/>
  <c r="J1787" i="107"/>
  <c r="D2192" i="120" s="1"/>
  <c r="D748" i="120"/>
  <c r="P604" i="107"/>
  <c r="J713" i="120"/>
  <c r="Q604" i="107"/>
  <c r="K713" i="120"/>
  <c r="F713" i="120"/>
  <c r="L604" i="107"/>
  <c r="O604" i="107"/>
  <c r="I713" i="120"/>
  <c r="M604" i="107"/>
  <c r="G713" i="120"/>
  <c r="H713" i="120"/>
  <c r="N604" i="107"/>
  <c r="P1750" i="107"/>
  <c r="J2153" i="120" s="1"/>
  <c r="J2041" i="120"/>
  <c r="O1750" i="107"/>
  <c r="I2153" i="120" s="1"/>
  <c r="I2041" i="120"/>
  <c r="H2041" i="120"/>
  <c r="N1750" i="107"/>
  <c r="H2153" i="120" s="1"/>
  <c r="E2041" i="120"/>
  <c r="K1750" i="107"/>
  <c r="E2153" i="120" s="1"/>
  <c r="F763" i="107"/>
  <c r="E831" i="119"/>
  <c r="I708" i="120"/>
  <c r="O599" i="107"/>
  <c r="J708" i="120"/>
  <c r="P599" i="107"/>
  <c r="L599" i="107"/>
  <c r="F708" i="120"/>
  <c r="H708" i="120"/>
  <c r="N599" i="107"/>
  <c r="G708" i="120"/>
  <c r="M599" i="107"/>
  <c r="I691" i="107"/>
  <c r="H808" i="119" s="1"/>
  <c r="G808" i="119"/>
  <c r="H714" i="107"/>
  <c r="E708" i="120"/>
  <c r="K599" i="107"/>
  <c r="J691" i="107"/>
  <c r="J1784" i="107"/>
  <c r="D2189" i="120" s="1"/>
  <c r="D745" i="120"/>
  <c r="P594" i="107"/>
  <c r="J740" i="120" s="1"/>
  <c r="J732" i="120"/>
  <c r="G769" i="107"/>
  <c r="F837" i="119"/>
  <c r="M1634" i="107"/>
  <c r="G2026" i="120"/>
  <c r="F885" i="119"/>
  <c r="G778" i="107"/>
  <c r="D2149" i="120"/>
  <c r="H2138" i="120"/>
  <c r="F24" i="107"/>
  <c r="E699" i="119"/>
  <c r="F713" i="107"/>
  <c r="F698" i="107"/>
  <c r="E807" i="119"/>
  <c r="O1634" i="107"/>
  <c r="I2026" i="120"/>
  <c r="H16" i="116"/>
  <c r="D2034" i="120"/>
  <c r="Q1746" i="107"/>
  <c r="K2037" i="120"/>
  <c r="F2138" i="120"/>
  <c r="K1634" i="107"/>
  <c r="E2026" i="120"/>
  <c r="L1634" i="107"/>
  <c r="F2026" i="120"/>
  <c r="F2037" i="120"/>
  <c r="L1746" i="107"/>
  <c r="O1746" i="107"/>
  <c r="I2037" i="120"/>
  <c r="P1634" i="107"/>
  <c r="J2026" i="120"/>
  <c r="E2138" i="120"/>
  <c r="H2037" i="120"/>
  <c r="N1746" i="107"/>
  <c r="P1746" i="107"/>
  <c r="J2037" i="120"/>
  <c r="H2026" i="120"/>
  <c r="N1634" i="107"/>
  <c r="I2138" i="120"/>
  <c r="J598" i="107"/>
  <c r="J568" i="107"/>
  <c r="D715" i="120" s="1"/>
  <c r="D707" i="120"/>
  <c r="K2026" i="120"/>
  <c r="Q1634" i="107"/>
  <c r="J2138" i="120"/>
  <c r="Q758" i="161" l="1"/>
  <c r="K758" i="161"/>
  <c r="L758" i="161"/>
  <c r="L1663" i="161"/>
  <c r="F1674" i="161"/>
  <c r="F1682" i="161" s="1"/>
  <c r="G805" i="107"/>
  <c r="F923" i="119" s="1"/>
  <c r="J1645" i="161"/>
  <c r="Q1637" i="161"/>
  <c r="Q1746" i="161" s="1"/>
  <c r="Q1754" i="161" s="1"/>
  <c r="G1671" i="161"/>
  <c r="M747" i="161"/>
  <c r="M1746" i="107"/>
  <c r="G2149" i="120" s="1"/>
  <c r="L747" i="161"/>
  <c r="O747" i="161"/>
  <c r="I568" i="107"/>
  <c r="H661" i="119" s="1"/>
  <c r="K747" i="161"/>
  <c r="E713" i="120"/>
  <c r="K708" i="120"/>
  <c r="M1750" i="107"/>
  <c r="G2153" i="120" s="1"/>
  <c r="J1789" i="107"/>
  <c r="D2194" i="120" s="1"/>
  <c r="H690" i="107"/>
  <c r="H698" i="107" s="1"/>
  <c r="G815" i="119" s="1"/>
  <c r="D750" i="120"/>
  <c r="Q594" i="107"/>
  <c r="K740" i="120" s="1"/>
  <c r="L594" i="107"/>
  <c r="F740" i="120" s="1"/>
  <c r="L557" i="107"/>
  <c r="F704" i="120" s="1"/>
  <c r="E2037" i="120"/>
  <c r="N557" i="107"/>
  <c r="H704" i="120" s="1"/>
  <c r="I696" i="107"/>
  <c r="H813" i="119" s="1"/>
  <c r="H696" i="120"/>
  <c r="G696" i="120"/>
  <c r="M560" i="107"/>
  <c r="M568" i="107" s="1"/>
  <c r="G715" i="120" s="1"/>
  <c r="M594" i="107"/>
  <c r="G740" i="120" s="1"/>
  <c r="H719" i="107"/>
  <c r="G836" i="119" s="1"/>
  <c r="H607" i="107"/>
  <c r="I607" i="107" s="1"/>
  <c r="H699" i="119" s="1"/>
  <c r="H1783" i="107"/>
  <c r="H1791" i="107" s="1"/>
  <c r="F25" i="116" s="1"/>
  <c r="G690" i="119"/>
  <c r="F696" i="120"/>
  <c r="Q1750" i="107"/>
  <c r="K2153" i="120" s="1"/>
  <c r="E696" i="120"/>
  <c r="K557" i="107"/>
  <c r="E704" i="120" s="1"/>
  <c r="P557" i="107"/>
  <c r="J704" i="120" s="1"/>
  <c r="J696" i="120"/>
  <c r="H732" i="120"/>
  <c r="K696" i="120"/>
  <c r="K594" i="107"/>
  <c r="E740" i="120" s="1"/>
  <c r="O694" i="107"/>
  <c r="O717" i="107" s="1"/>
  <c r="I696" i="120"/>
  <c r="O557" i="107"/>
  <c r="I704" i="120" s="1"/>
  <c r="Q560" i="107"/>
  <c r="Q568" i="107" s="1"/>
  <c r="K715" i="120" s="1"/>
  <c r="H748" i="120"/>
  <c r="F2041" i="120"/>
  <c r="I732" i="120"/>
  <c r="Q694" i="107"/>
  <c r="K864" i="120" s="1"/>
  <c r="E748" i="120"/>
  <c r="D2045" i="120"/>
  <c r="G1783" i="107"/>
  <c r="G1791" i="107" s="1"/>
  <c r="E25" i="116" s="1"/>
  <c r="G690" i="107"/>
  <c r="F807" i="119" s="1"/>
  <c r="G607" i="107"/>
  <c r="F699" i="119" s="1"/>
  <c r="N694" i="107"/>
  <c r="H864" i="120" s="1"/>
  <c r="M1787" i="107"/>
  <c r="G2192" i="120" s="1"/>
  <c r="G748" i="120"/>
  <c r="D2146" i="120"/>
  <c r="K748" i="120"/>
  <c r="L1790" i="161"/>
  <c r="N1743" i="107"/>
  <c r="H2146" i="120" s="1"/>
  <c r="K1671" i="107"/>
  <c r="E2072" i="120" s="1"/>
  <c r="F814" i="161"/>
  <c r="I814" i="161" s="1"/>
  <c r="M1790" i="161"/>
  <c r="K697" i="161"/>
  <c r="K720" i="161" s="1"/>
  <c r="K769" i="161" s="1"/>
  <c r="K781" i="161" s="1"/>
  <c r="K808" i="161" s="1"/>
  <c r="K820" i="161" s="1"/>
  <c r="K843" i="161" s="1"/>
  <c r="I748" i="120"/>
  <c r="K1743" i="107"/>
  <c r="I22" i="116" s="1"/>
  <c r="K1787" i="107"/>
  <c r="E2192" i="120" s="1"/>
  <c r="Q1671" i="107"/>
  <c r="K2072" i="120" s="1"/>
  <c r="G718" i="107"/>
  <c r="F812" i="119"/>
  <c r="P1671" i="107"/>
  <c r="J2072" i="120" s="1"/>
  <c r="F778" i="107"/>
  <c r="E885" i="119"/>
  <c r="N1671" i="107"/>
  <c r="H2072" i="120" s="1"/>
  <c r="N1790" i="161"/>
  <c r="O1743" i="107"/>
  <c r="I2146" i="120" s="1"/>
  <c r="O1790" i="161"/>
  <c r="I718" i="161"/>
  <c r="L1743" i="161"/>
  <c r="O1645" i="107"/>
  <c r="I2045" i="120" s="1"/>
  <c r="M1645" i="107"/>
  <c r="G2045" i="120" s="1"/>
  <c r="Q1645" i="107"/>
  <c r="K2045" i="120" s="1"/>
  <c r="K1671" i="161"/>
  <c r="P1671" i="161"/>
  <c r="L1743" i="107"/>
  <c r="F2146" i="120" s="1"/>
  <c r="P1645" i="107"/>
  <c r="N17" i="116" s="1"/>
  <c r="G698" i="161"/>
  <c r="M1671" i="107"/>
  <c r="G2072" i="120" s="1"/>
  <c r="O1671" i="107"/>
  <c r="I2072" i="120" s="1"/>
  <c r="K1743" i="161"/>
  <c r="J775" i="161"/>
  <c r="N1751" i="107"/>
  <c r="H2154" i="120" s="1"/>
  <c r="H2042" i="120"/>
  <c r="O775" i="161"/>
  <c r="O802" i="161" s="1"/>
  <c r="O814" i="161" s="1"/>
  <c r="M1743" i="107"/>
  <c r="G2146" i="120" s="1"/>
  <c r="N1645" i="107"/>
  <c r="H2045" i="120" s="1"/>
  <c r="H2044" i="120"/>
  <c r="N1753" i="107"/>
  <c r="H2156" i="120" s="1"/>
  <c r="J598" i="161"/>
  <c r="J568" i="161"/>
  <c r="F813" i="119"/>
  <c r="G719" i="107"/>
  <c r="P1751" i="107"/>
  <c r="J2154" i="120" s="1"/>
  <c r="J2042" i="120"/>
  <c r="L778" i="161"/>
  <c r="L805" i="161" s="1"/>
  <c r="L817" i="161" s="1"/>
  <c r="L840" i="161" s="1"/>
  <c r="Q778" i="161"/>
  <c r="Q805" i="161" s="1"/>
  <c r="Q817" i="161" s="1"/>
  <c r="H766" i="161"/>
  <c r="I717" i="161"/>
  <c r="M776" i="161"/>
  <c r="M803" i="161" s="1"/>
  <c r="M815" i="161" s="1"/>
  <c r="M838" i="161" s="1"/>
  <c r="N600" i="107"/>
  <c r="H709" i="120"/>
  <c r="F2040" i="120"/>
  <c r="L1749" i="107"/>
  <c r="F2152" i="120" s="1"/>
  <c r="K1748" i="107"/>
  <c r="E2151" i="120" s="1"/>
  <c r="E2039" i="120"/>
  <c r="P1789" i="161"/>
  <c r="P696" i="161"/>
  <c r="G2044" i="120"/>
  <c r="M1753" i="107"/>
  <c r="G2156" i="120" s="1"/>
  <c r="P1743" i="161"/>
  <c r="L781" i="161"/>
  <c r="L808" i="161" s="1"/>
  <c r="L820" i="161" s="1"/>
  <c r="Q779" i="161"/>
  <c r="K1645" i="107"/>
  <c r="E2045" i="120" s="1"/>
  <c r="J1754" i="107"/>
  <c r="D2157" i="120" s="1"/>
  <c r="Q1790" i="161"/>
  <c r="Q697" i="161"/>
  <c r="Q720" i="161" s="1"/>
  <c r="Q769" i="161" s="1"/>
  <c r="K2043" i="120"/>
  <c r="Q1752" i="107"/>
  <c r="K2155" i="120" s="1"/>
  <c r="E710" i="120"/>
  <c r="K601" i="107"/>
  <c r="K1749" i="107"/>
  <c r="E2152" i="120" s="1"/>
  <c r="E2040" i="120"/>
  <c r="F2039" i="120"/>
  <c r="L1748" i="107"/>
  <c r="F2151" i="120" s="1"/>
  <c r="N696" i="161"/>
  <c r="N1789" i="161"/>
  <c r="M1751" i="107"/>
  <c r="G2154" i="120" s="1"/>
  <c r="G2042" i="120"/>
  <c r="N1671" i="161"/>
  <c r="N1746" i="161"/>
  <c r="N1754" i="161" s="1"/>
  <c r="N1645" i="161"/>
  <c r="Q1789" i="161"/>
  <c r="Q696" i="161"/>
  <c r="H842" i="161"/>
  <c r="P557" i="161"/>
  <c r="I2043" i="120"/>
  <c r="O1752" i="107"/>
  <c r="I2155" i="120" s="1"/>
  <c r="J2044" i="120"/>
  <c r="P1753" i="107"/>
  <c r="J2156" i="120" s="1"/>
  <c r="K600" i="107"/>
  <c r="E709" i="120"/>
  <c r="P1752" i="107"/>
  <c r="J2155" i="120" s="1"/>
  <c r="J2043" i="120"/>
  <c r="M1789" i="161"/>
  <c r="M696" i="161"/>
  <c r="Q775" i="161"/>
  <c r="Q802" i="161" s="1"/>
  <c r="Q814" i="161" s="1"/>
  <c r="Q837" i="161" s="1"/>
  <c r="L777" i="161"/>
  <c r="L804" i="161" s="1"/>
  <c r="L816" i="161" s="1"/>
  <c r="H777" i="161"/>
  <c r="H804" i="161" s="1"/>
  <c r="H816" i="161" s="1"/>
  <c r="F816" i="161" s="1"/>
  <c r="I816" i="161" s="1"/>
  <c r="O1789" i="161"/>
  <c r="O696" i="161"/>
  <c r="N605" i="107"/>
  <c r="H714" i="120"/>
  <c r="I717" i="107"/>
  <c r="H834" i="119" s="1"/>
  <c r="H766" i="107"/>
  <c r="G834" i="119"/>
  <c r="I2039" i="120"/>
  <c r="O1748" i="107"/>
  <c r="I2151" i="120" s="1"/>
  <c r="O557" i="161"/>
  <c r="M1752" i="107"/>
  <c r="G2155" i="120" s="1"/>
  <c r="G2043" i="120"/>
  <c r="L779" i="161"/>
  <c r="L806" i="161" s="1"/>
  <c r="L818" i="161" s="1"/>
  <c r="L841" i="161" s="1"/>
  <c r="F709" i="120"/>
  <c r="L600" i="107"/>
  <c r="L605" i="107"/>
  <c r="F714" i="120"/>
  <c r="F779" i="161"/>
  <c r="I767" i="161"/>
  <c r="M598" i="161"/>
  <c r="M568" i="161"/>
  <c r="G809" i="119"/>
  <c r="H715" i="107"/>
  <c r="I692" i="107"/>
  <c r="H809" i="119" s="1"/>
  <c r="F767" i="107"/>
  <c r="E835" i="119"/>
  <c r="N777" i="161"/>
  <c r="K777" i="161"/>
  <c r="K804" i="161" s="1"/>
  <c r="K816" i="161" s="1"/>
  <c r="L1671" i="107"/>
  <c r="F2072" i="120" s="1"/>
  <c r="P1743" i="107"/>
  <c r="N22" i="116" s="1"/>
  <c r="O600" i="107"/>
  <c r="I709" i="120"/>
  <c r="K805" i="161"/>
  <c r="K817" i="161" s="1"/>
  <c r="K840" i="161" s="1"/>
  <c r="N557" i="161"/>
  <c r="P601" i="107"/>
  <c r="J710" i="120"/>
  <c r="P598" i="161"/>
  <c r="P568" i="161"/>
  <c r="N1743" i="161"/>
  <c r="P776" i="161"/>
  <c r="Q557" i="161"/>
  <c r="E712" i="120"/>
  <c r="K603" i="107"/>
  <c r="O1753" i="107"/>
  <c r="I2156" i="120" s="1"/>
  <c r="I2044" i="120"/>
  <c r="G710" i="120"/>
  <c r="M601" i="107"/>
  <c r="K2042" i="120"/>
  <c r="Q1751" i="107"/>
  <c r="K2154" i="120" s="1"/>
  <c r="N776" i="161"/>
  <c r="N803" i="161" s="1"/>
  <c r="N815" i="161" s="1"/>
  <c r="J781" i="161"/>
  <c r="J808" i="161" s="1"/>
  <c r="J820" i="161" s="1"/>
  <c r="K2040" i="120"/>
  <c r="Q1749" i="107"/>
  <c r="K2152" i="120" s="1"/>
  <c r="Q1748" i="107"/>
  <c r="K2151" i="120" s="1"/>
  <c r="K2039" i="120"/>
  <c r="I714" i="120"/>
  <c r="O605" i="107"/>
  <c r="H779" i="161"/>
  <c r="H806" i="161" s="1"/>
  <c r="H818" i="161" s="1"/>
  <c r="F818" i="161" s="1"/>
  <c r="I818" i="161" s="1"/>
  <c r="G780" i="161"/>
  <c r="G807" i="161" s="1"/>
  <c r="G819" i="161" s="1"/>
  <c r="F819" i="161" s="1"/>
  <c r="I819" i="161" s="1"/>
  <c r="K1751" i="107"/>
  <c r="E2154" i="120" s="1"/>
  <c r="E2042" i="120"/>
  <c r="O1749" i="107"/>
  <c r="I2152" i="120" s="1"/>
  <c r="I2040" i="120"/>
  <c r="M557" i="161"/>
  <c r="G2040" i="120"/>
  <c r="M1749" i="107"/>
  <c r="G2152" i="120" s="1"/>
  <c r="O601" i="107"/>
  <c r="I710" i="120"/>
  <c r="J1788" i="107"/>
  <c r="D2193" i="120" s="1"/>
  <c r="J695" i="107"/>
  <c r="D749" i="120"/>
  <c r="E2044" i="120"/>
  <c r="K1753" i="107"/>
  <c r="E2156" i="120" s="1"/>
  <c r="P1748" i="107"/>
  <c r="J2151" i="120" s="1"/>
  <c r="J2039" i="120"/>
  <c r="J717" i="107"/>
  <c r="D864" i="120"/>
  <c r="H2040" i="120"/>
  <c r="N1749" i="107"/>
  <c r="H2152" i="120" s="1"/>
  <c r="P697" i="161"/>
  <c r="P720" i="161" s="1"/>
  <c r="P769" i="161" s="1"/>
  <c r="P1790" i="161"/>
  <c r="J840" i="161"/>
  <c r="N775" i="161"/>
  <c r="N802" i="161" s="1"/>
  <c r="N814" i="161" s="1"/>
  <c r="N837" i="161" s="1"/>
  <c r="Q598" i="161"/>
  <c r="Q568" i="161"/>
  <c r="P779" i="161"/>
  <c r="M600" i="107"/>
  <c r="G709" i="120"/>
  <c r="H837" i="161"/>
  <c r="K1746" i="161"/>
  <c r="K1754" i="161" s="1"/>
  <c r="K1645" i="161"/>
  <c r="L601" i="107"/>
  <c r="F710" i="120"/>
  <c r="N603" i="107"/>
  <c r="H712" i="120"/>
  <c r="F768" i="107"/>
  <c r="E836" i="119"/>
  <c r="E837" i="119"/>
  <c r="F769" i="107"/>
  <c r="M1748" i="107"/>
  <c r="G2151" i="120" s="1"/>
  <c r="G2039" i="120"/>
  <c r="N781" i="161"/>
  <c r="F764" i="161"/>
  <c r="I715" i="161"/>
  <c r="Q777" i="161"/>
  <c r="Q804" i="161" s="1"/>
  <c r="Q816" i="161" s="1"/>
  <c r="Q839" i="161" s="1"/>
  <c r="F748" i="120"/>
  <c r="O1751" i="107"/>
  <c r="I2154" i="120" s="1"/>
  <c r="I2042" i="120"/>
  <c r="Q605" i="107"/>
  <c r="K714" i="120"/>
  <c r="K779" i="161"/>
  <c r="K806" i="161" s="1"/>
  <c r="K818" i="161" s="1"/>
  <c r="M1746" i="161"/>
  <c r="M1754" i="161" s="1"/>
  <c r="M1645" i="161"/>
  <c r="P777" i="161"/>
  <c r="P804" i="161" s="1"/>
  <c r="P816" i="161" s="1"/>
  <c r="K598" i="161"/>
  <c r="K568" i="161"/>
  <c r="O1743" i="161"/>
  <c r="O779" i="161"/>
  <c r="O806" i="161" s="1"/>
  <c r="O818" i="161" s="1"/>
  <c r="F24" i="161"/>
  <c r="O603" i="107"/>
  <c r="I712" i="120"/>
  <c r="Q1671" i="161"/>
  <c r="F763" i="161"/>
  <c r="I714" i="161"/>
  <c r="O781" i="161"/>
  <c r="O808" i="161" s="1"/>
  <c r="O820" i="161" s="1"/>
  <c r="O843" i="161" s="1"/>
  <c r="F2043" i="120"/>
  <c r="L1752" i="107"/>
  <c r="F2155" i="120" s="1"/>
  <c r="H710" i="120"/>
  <c r="N601" i="107"/>
  <c r="H843" i="161"/>
  <c r="L1789" i="161"/>
  <c r="L696" i="161"/>
  <c r="M603" i="107"/>
  <c r="G712" i="120"/>
  <c r="Q603" i="107"/>
  <c r="K712" i="120"/>
  <c r="K2044" i="120"/>
  <c r="Q1753" i="107"/>
  <c r="K2156" i="120" s="1"/>
  <c r="M1671" i="161"/>
  <c r="E883" i="119"/>
  <c r="F776" i="107"/>
  <c r="H1783" i="161"/>
  <c r="H1791" i="161" s="1"/>
  <c r="H690" i="161"/>
  <c r="H607" i="161"/>
  <c r="H24" i="161" s="1"/>
  <c r="P1746" i="161"/>
  <c r="P1754" i="161" s="1"/>
  <c r="P1645" i="161"/>
  <c r="M775" i="161"/>
  <c r="M802" i="161" s="1"/>
  <c r="M814" i="161" s="1"/>
  <c r="M837" i="161" s="1"/>
  <c r="K775" i="161"/>
  <c r="J2040" i="120"/>
  <c r="P1749" i="107"/>
  <c r="J2152" i="120" s="1"/>
  <c r="F712" i="120"/>
  <c r="L603" i="107"/>
  <c r="O776" i="161"/>
  <c r="D751" i="120"/>
  <c r="J1790" i="107"/>
  <c r="D2195" i="120" s="1"/>
  <c r="J697" i="107"/>
  <c r="F768" i="161"/>
  <c r="I719" i="161"/>
  <c r="L803" i="161"/>
  <c r="L815" i="161" s="1"/>
  <c r="L838" i="161" s="1"/>
  <c r="O1671" i="161"/>
  <c r="L1645" i="107"/>
  <c r="F2045" i="120" s="1"/>
  <c r="L1787" i="107"/>
  <c r="F2192" i="120" s="1"/>
  <c r="F765" i="107"/>
  <c r="E833" i="119"/>
  <c r="G837" i="161"/>
  <c r="P600" i="107"/>
  <c r="J709" i="120"/>
  <c r="F769" i="161"/>
  <c r="I720" i="161"/>
  <c r="J779" i="161"/>
  <c r="J806" i="161" s="1"/>
  <c r="J818" i="161" s="1"/>
  <c r="F810" i="119"/>
  <c r="G716" i="107"/>
  <c r="L598" i="161"/>
  <c r="L568" i="161"/>
  <c r="O1746" i="161"/>
  <c r="O1754" i="161" s="1"/>
  <c r="O1645" i="161"/>
  <c r="F713" i="161"/>
  <c r="F698" i="161"/>
  <c r="J777" i="161"/>
  <c r="J804" i="161" s="1"/>
  <c r="J816" i="161" s="1"/>
  <c r="J839" i="161" s="1"/>
  <c r="Q1743" i="161"/>
  <c r="P1787" i="107"/>
  <c r="J2192" i="120" s="1"/>
  <c r="P694" i="107"/>
  <c r="J748" i="120"/>
  <c r="L557" i="161"/>
  <c r="E2043" i="120"/>
  <c r="K1752" i="107"/>
  <c r="E2155" i="120" s="1"/>
  <c r="I716" i="161"/>
  <c r="M781" i="161"/>
  <c r="M808" i="161" s="1"/>
  <c r="M820" i="161" s="1"/>
  <c r="M1743" i="161"/>
  <c r="M779" i="161"/>
  <c r="M806" i="161" s="1"/>
  <c r="M818" i="161" s="1"/>
  <c r="H718" i="107"/>
  <c r="G812" i="119"/>
  <c r="F809" i="119"/>
  <c r="G715" i="107"/>
  <c r="K696" i="161"/>
  <c r="K1789" i="161"/>
  <c r="M840" i="161"/>
  <c r="K710" i="120"/>
  <c r="Q601" i="107"/>
  <c r="J719" i="161"/>
  <c r="J768" i="161" s="1"/>
  <c r="O777" i="161"/>
  <c r="O598" i="161"/>
  <c r="O568" i="161"/>
  <c r="F2044" i="120"/>
  <c r="L1753" i="107"/>
  <c r="F2156" i="120" s="1"/>
  <c r="N1752" i="107"/>
  <c r="H2155" i="120" s="1"/>
  <c r="H2043" i="120"/>
  <c r="L775" i="161"/>
  <c r="I697" i="107"/>
  <c r="H814" i="119" s="1"/>
  <c r="H720" i="107"/>
  <c r="G814" i="119"/>
  <c r="O778" i="161"/>
  <c r="O805" i="161" s="1"/>
  <c r="O817" i="161" s="1"/>
  <c r="E714" i="120"/>
  <c r="K605" i="107"/>
  <c r="Q1743" i="107"/>
  <c r="K2146" i="120" s="1"/>
  <c r="K776" i="161"/>
  <c r="K803" i="161" s="1"/>
  <c r="K815" i="161" s="1"/>
  <c r="P603" i="107"/>
  <c r="J712" i="120"/>
  <c r="J693" i="107"/>
  <c r="D747" i="120"/>
  <c r="J1786" i="107"/>
  <c r="D2191" i="120" s="1"/>
  <c r="L1671" i="161"/>
  <c r="L1751" i="107"/>
  <c r="F2154" i="120" s="1"/>
  <c r="F2042" i="120"/>
  <c r="N778" i="161"/>
  <c r="N598" i="161"/>
  <c r="N568" i="161"/>
  <c r="L1746" i="161"/>
  <c r="L1754" i="161" s="1"/>
  <c r="L1645" i="161"/>
  <c r="M777" i="161"/>
  <c r="M804" i="161" s="1"/>
  <c r="M816" i="161" s="1"/>
  <c r="M839" i="161" s="1"/>
  <c r="J1785" i="107"/>
  <c r="D2190" i="120" s="1"/>
  <c r="D746" i="120"/>
  <c r="J692" i="107"/>
  <c r="M605" i="107"/>
  <c r="G714" i="120"/>
  <c r="I693" i="107"/>
  <c r="H810" i="119" s="1"/>
  <c r="G810" i="119"/>
  <c r="H716" i="107"/>
  <c r="G762" i="161"/>
  <c r="G721" i="161"/>
  <c r="I695" i="107"/>
  <c r="H812" i="119" s="1"/>
  <c r="F831" i="119"/>
  <c r="G763" i="107"/>
  <c r="F777" i="161"/>
  <c r="F804" i="161" s="1"/>
  <c r="I765" i="161"/>
  <c r="H803" i="161"/>
  <c r="H815" i="161" s="1"/>
  <c r="H838" i="161" s="1"/>
  <c r="P778" i="161"/>
  <c r="P805" i="161" s="1"/>
  <c r="P817" i="161" s="1"/>
  <c r="N1748" i="107"/>
  <c r="H2151" i="120" s="1"/>
  <c r="H2039" i="120"/>
  <c r="P605" i="107"/>
  <c r="J714" i="120"/>
  <c r="N779" i="161"/>
  <c r="J776" i="161"/>
  <c r="J803" i="161" s="1"/>
  <c r="J815" i="161" s="1"/>
  <c r="Q776" i="161"/>
  <c r="Q803" i="161" s="1"/>
  <c r="Q815" i="161" s="1"/>
  <c r="K557" i="161"/>
  <c r="K709" i="120"/>
  <c r="Q600" i="107"/>
  <c r="P775" i="161"/>
  <c r="P802" i="161" s="1"/>
  <c r="P814" i="161" s="1"/>
  <c r="P837" i="161" s="1"/>
  <c r="G750" i="120"/>
  <c r="M1789" i="107"/>
  <c r="G2194" i="120" s="1"/>
  <c r="M696" i="107"/>
  <c r="J719" i="107"/>
  <c r="D866" i="120"/>
  <c r="O1789" i="107"/>
  <c r="I2194" i="120" s="1"/>
  <c r="O696" i="107"/>
  <c r="I750" i="120"/>
  <c r="Q696" i="107"/>
  <c r="Q1789" i="107"/>
  <c r="K2194" i="120" s="1"/>
  <c r="K750" i="120"/>
  <c r="K696" i="107"/>
  <c r="E750" i="120"/>
  <c r="K1789" i="107"/>
  <c r="E2194" i="120" s="1"/>
  <c r="H750" i="120"/>
  <c r="N696" i="107"/>
  <c r="N1789" i="107"/>
  <c r="H2194" i="120" s="1"/>
  <c r="F750" i="120"/>
  <c r="L1789" i="107"/>
  <c r="F2194" i="120" s="1"/>
  <c r="L696" i="107"/>
  <c r="P696" i="107"/>
  <c r="J750" i="120"/>
  <c r="P1789" i="107"/>
  <c r="J2194" i="120" s="1"/>
  <c r="P691" i="107"/>
  <c r="P1784" i="107"/>
  <c r="J2189" i="120" s="1"/>
  <c r="J745" i="120"/>
  <c r="M1784" i="107"/>
  <c r="G2189" i="120" s="1"/>
  <c r="G745" i="120"/>
  <c r="M691" i="107"/>
  <c r="Q691" i="107"/>
  <c r="K745" i="120"/>
  <c r="Q1784" i="107"/>
  <c r="K2189" i="120" s="1"/>
  <c r="D861" i="120"/>
  <c r="J714" i="107"/>
  <c r="N1784" i="107"/>
  <c r="H2189" i="120" s="1"/>
  <c r="H745" i="120"/>
  <c r="N691" i="107"/>
  <c r="O1784" i="107"/>
  <c r="I2189" i="120" s="1"/>
  <c r="O691" i="107"/>
  <c r="I745" i="120"/>
  <c r="K1784" i="107"/>
  <c r="E2189" i="120" s="1"/>
  <c r="E745" i="120"/>
  <c r="K691" i="107"/>
  <c r="H763" i="107"/>
  <c r="I714" i="107"/>
  <c r="H831" i="119" s="1"/>
  <c r="G831" i="119"/>
  <c r="F745" i="120"/>
  <c r="L691" i="107"/>
  <c r="L1784" i="107"/>
  <c r="F2189" i="120" s="1"/>
  <c r="E882" i="119"/>
  <c r="F775" i="107"/>
  <c r="E2149" i="120"/>
  <c r="J2149" i="120"/>
  <c r="O598" i="107"/>
  <c r="O568" i="107"/>
  <c r="I715" i="120" s="1"/>
  <c r="I707" i="120"/>
  <c r="P598" i="107"/>
  <c r="P568" i="107"/>
  <c r="J715" i="120" s="1"/>
  <c r="J707" i="120"/>
  <c r="R16" i="116"/>
  <c r="F897" i="119"/>
  <c r="G2034" i="120"/>
  <c r="K16" i="116"/>
  <c r="F721" i="107"/>
  <c r="F762" i="107"/>
  <c r="E830" i="119"/>
  <c r="H2149" i="120"/>
  <c r="I16" i="116"/>
  <c r="E2034" i="120"/>
  <c r="F864" i="120"/>
  <c r="L717" i="107"/>
  <c r="N598" i="107"/>
  <c r="N568" i="107"/>
  <c r="H715" i="120" s="1"/>
  <c r="H707" i="120"/>
  <c r="J1783" i="107"/>
  <c r="J690" i="107"/>
  <c r="J607" i="107"/>
  <c r="D744" i="120"/>
  <c r="G864" i="120"/>
  <c r="M717" i="107"/>
  <c r="R22" i="116"/>
  <c r="G817" i="107"/>
  <c r="G840" i="107" s="1"/>
  <c r="K598" i="107"/>
  <c r="K568" i="107"/>
  <c r="E715" i="120" s="1"/>
  <c r="E707" i="120"/>
  <c r="I2149" i="120"/>
  <c r="J16" i="116"/>
  <c r="F2034" i="120"/>
  <c r="L568" i="107"/>
  <c r="F715" i="120" s="1"/>
  <c r="F707" i="120"/>
  <c r="L598" i="107"/>
  <c r="L16" i="116"/>
  <c r="H2034" i="120"/>
  <c r="F2149" i="120"/>
  <c r="I2034" i="120"/>
  <c r="M16" i="116"/>
  <c r="E23" i="119"/>
  <c r="G781" i="107"/>
  <c r="F888" i="119"/>
  <c r="K2149" i="120"/>
  <c r="E864" i="120"/>
  <c r="K717" i="107"/>
  <c r="K2034" i="120"/>
  <c r="O16" i="116"/>
  <c r="J2034" i="120"/>
  <c r="N16" i="116"/>
  <c r="R17" i="116"/>
  <c r="E815" i="119"/>
  <c r="Q1645" i="161" l="1"/>
  <c r="I690" i="107"/>
  <c r="H807" i="119" s="1"/>
  <c r="G808" i="107"/>
  <c r="G820" i="107" s="1"/>
  <c r="G843" i="107" s="1"/>
  <c r="F958" i="119"/>
  <c r="H713" i="107"/>
  <c r="I713" i="107" s="1"/>
  <c r="H830" i="119" s="1"/>
  <c r="G807" i="119"/>
  <c r="G707" i="120"/>
  <c r="M598" i="107"/>
  <c r="M690" i="107" s="1"/>
  <c r="G699" i="119"/>
  <c r="H24" i="107"/>
  <c r="I719" i="107"/>
  <c r="H836" i="119" s="1"/>
  <c r="H768" i="107"/>
  <c r="H780" i="107" s="1"/>
  <c r="Q598" i="107"/>
  <c r="K744" i="120" s="1"/>
  <c r="K707" i="120"/>
  <c r="I864" i="120"/>
  <c r="N717" i="107"/>
  <c r="H887" i="120" s="1"/>
  <c r="M22" i="116"/>
  <c r="Q717" i="107"/>
  <c r="Q766" i="107" s="1"/>
  <c r="E2146" i="120"/>
  <c r="M17" i="116"/>
  <c r="O17" i="116"/>
  <c r="G698" i="107"/>
  <c r="F815" i="119" s="1"/>
  <c r="G713" i="107"/>
  <c r="F830" i="119" s="1"/>
  <c r="G24" i="107"/>
  <c r="F23" i="119" s="1"/>
  <c r="J22" i="116"/>
  <c r="K17" i="116"/>
  <c r="I17" i="116"/>
  <c r="L22" i="116"/>
  <c r="J2146" i="120"/>
  <c r="H23" i="116"/>
  <c r="R23" i="116" s="1"/>
  <c r="L17" i="116"/>
  <c r="G767" i="107"/>
  <c r="F835" i="119"/>
  <c r="J2045" i="120"/>
  <c r="F805" i="107"/>
  <c r="E923" i="119" s="1"/>
  <c r="E897" i="119"/>
  <c r="I24" i="161"/>
  <c r="T25" i="116"/>
  <c r="K1754" i="107"/>
  <c r="I23" i="116" s="1"/>
  <c r="N1754" i="107"/>
  <c r="H2157" i="120" s="1"/>
  <c r="Q1754" i="107"/>
  <c r="K2157" i="120" s="1"/>
  <c r="F815" i="161"/>
  <c r="I815" i="161" s="1"/>
  <c r="O22" i="116"/>
  <c r="H698" i="161"/>
  <c r="I698" i="161" s="1"/>
  <c r="H713" i="161"/>
  <c r="I713" i="161" s="1"/>
  <c r="I749" i="120"/>
  <c r="O695" i="107"/>
  <c r="O1788" i="107"/>
  <c r="I2193" i="120" s="1"/>
  <c r="F776" i="161"/>
  <c r="F803" i="161" s="1"/>
  <c r="I803" i="161" s="1"/>
  <c r="I764" i="161"/>
  <c r="K1786" i="107"/>
  <c r="E2191" i="120" s="1"/>
  <c r="K693" i="107"/>
  <c r="E747" i="120"/>
  <c r="E751" i="120"/>
  <c r="K1790" i="107"/>
  <c r="E2195" i="120" s="1"/>
  <c r="K697" i="107"/>
  <c r="K719" i="161"/>
  <c r="K768" i="161" s="1"/>
  <c r="K780" i="161" s="1"/>
  <c r="I607" i="161"/>
  <c r="P839" i="161"/>
  <c r="F780" i="107"/>
  <c r="E887" i="119"/>
  <c r="G842" i="161"/>
  <c r="H839" i="161"/>
  <c r="Q806" i="161"/>
  <c r="Q818" i="161" s="1"/>
  <c r="Q841" i="161" s="1"/>
  <c r="F836" i="119"/>
  <c r="G768" i="107"/>
  <c r="O837" i="161"/>
  <c r="O1786" i="107"/>
  <c r="I2191" i="120" s="1"/>
  <c r="I747" i="120"/>
  <c r="O693" i="107"/>
  <c r="M693" i="107"/>
  <c r="M1786" i="107"/>
  <c r="G2191" i="120" s="1"/>
  <c r="G747" i="120"/>
  <c r="L692" i="107"/>
  <c r="L1785" i="107"/>
  <c r="F2190" i="120" s="1"/>
  <c r="F746" i="120"/>
  <c r="G775" i="107"/>
  <c r="F882" i="119"/>
  <c r="F781" i="161"/>
  <c r="F808" i="161" s="1"/>
  <c r="I808" i="161" s="1"/>
  <c r="I769" i="161"/>
  <c r="P1754" i="107"/>
  <c r="J2157" i="120" s="1"/>
  <c r="G751" i="120"/>
  <c r="M1790" i="107"/>
  <c r="G2195" i="120" s="1"/>
  <c r="M697" i="107"/>
  <c r="L802" i="161"/>
  <c r="L814" i="161" s="1"/>
  <c r="L837" i="161" s="1"/>
  <c r="O804" i="161"/>
  <c r="O816" i="161" s="1"/>
  <c r="O839" i="161" s="1"/>
  <c r="G764" i="107"/>
  <c r="F832" i="119"/>
  <c r="M843" i="161"/>
  <c r="O803" i="161"/>
  <c r="O815" i="161" s="1"/>
  <c r="O838" i="161" s="1"/>
  <c r="E895" i="119"/>
  <c r="F803" i="107"/>
  <c r="M1788" i="107"/>
  <c r="G2193" i="120" s="1"/>
  <c r="G749" i="120"/>
  <c r="M695" i="107"/>
  <c r="N808" i="161"/>
  <c r="N820" i="161" s="1"/>
  <c r="N843" i="161" s="1"/>
  <c r="M692" i="107"/>
  <c r="G746" i="120"/>
  <c r="M1785" i="107"/>
  <c r="G2190" i="120" s="1"/>
  <c r="K839" i="161"/>
  <c r="H778" i="107"/>
  <c r="G885" i="119"/>
  <c r="I766" i="107"/>
  <c r="H885" i="119" s="1"/>
  <c r="L839" i="161"/>
  <c r="Q719" i="161"/>
  <c r="Q768" i="161" s="1"/>
  <c r="N719" i="161"/>
  <c r="N768" i="161" s="1"/>
  <c r="L843" i="161"/>
  <c r="H778" i="161"/>
  <c r="I766" i="161"/>
  <c r="M1783" i="161"/>
  <c r="M1791" i="161" s="1"/>
  <c r="M690" i="161"/>
  <c r="M713" i="161" s="1"/>
  <c r="M607" i="161"/>
  <c r="M24" i="161" s="1"/>
  <c r="I715" i="107"/>
  <c r="H832" i="119" s="1"/>
  <c r="G832" i="119"/>
  <c r="H764" i="107"/>
  <c r="K22" i="116"/>
  <c r="J838" i="161"/>
  <c r="P840" i="161"/>
  <c r="N1783" i="161"/>
  <c r="N1791" i="161" s="1"/>
  <c r="N690" i="161"/>
  <c r="N713" i="161" s="1"/>
  <c r="N607" i="161"/>
  <c r="N24" i="161" s="1"/>
  <c r="L690" i="161"/>
  <c r="L713" i="161" s="1"/>
  <c r="L1783" i="161"/>
  <c r="L1791" i="161" s="1"/>
  <c r="L607" i="161"/>
  <c r="L24" i="161" s="1"/>
  <c r="H749" i="120"/>
  <c r="N1788" i="107"/>
  <c r="H2193" i="120" s="1"/>
  <c r="N695" i="107"/>
  <c r="H841" i="161"/>
  <c r="J843" i="161"/>
  <c r="K692" i="107"/>
  <c r="K1785" i="107"/>
  <c r="E2190" i="120" s="1"/>
  <c r="E746" i="120"/>
  <c r="G765" i="107"/>
  <c r="F833" i="119"/>
  <c r="P806" i="161"/>
  <c r="P818" i="161" s="1"/>
  <c r="P841" i="161" s="1"/>
  <c r="O1790" i="107"/>
  <c r="I2195" i="120" s="1"/>
  <c r="O697" i="107"/>
  <c r="I751" i="120"/>
  <c r="N838" i="161"/>
  <c r="E749" i="120"/>
  <c r="K695" i="107"/>
  <c r="K1788" i="107"/>
  <c r="E2193" i="120" s="1"/>
  <c r="N804" i="161"/>
  <c r="N816" i="161" s="1"/>
  <c r="N839" i="161" s="1"/>
  <c r="Q781" i="161"/>
  <c r="Q808" i="161" s="1"/>
  <c r="Q820" i="161" s="1"/>
  <c r="Q843" i="161" s="1"/>
  <c r="J1783" i="161"/>
  <c r="J1791" i="161" s="1"/>
  <c r="J690" i="161"/>
  <c r="J607" i="161"/>
  <c r="J24" i="161" s="1"/>
  <c r="J715" i="107"/>
  <c r="D862" i="120"/>
  <c r="D863" i="120"/>
  <c r="J716" i="107"/>
  <c r="J780" i="161"/>
  <c r="J807" i="161" s="1"/>
  <c r="J819" i="161" s="1"/>
  <c r="P1785" i="107"/>
  <c r="J2190" i="120" s="1"/>
  <c r="J746" i="120"/>
  <c r="P692" i="107"/>
  <c r="P781" i="161"/>
  <c r="P808" i="161" s="1"/>
  <c r="P820" i="161" s="1"/>
  <c r="M1754" i="107"/>
  <c r="K23" i="116" s="1"/>
  <c r="L1754" i="107"/>
  <c r="J23" i="116" s="1"/>
  <c r="J17" i="116"/>
  <c r="Q692" i="107"/>
  <c r="Q1785" i="107"/>
  <c r="K2190" i="120" s="1"/>
  <c r="K746" i="120"/>
  <c r="N806" i="161"/>
  <c r="N818" i="161" s="1"/>
  <c r="N841" i="161" s="1"/>
  <c r="G774" i="161"/>
  <c r="G770" i="161"/>
  <c r="N805" i="161"/>
  <c r="N817" i="161" s="1"/>
  <c r="N840" i="161" s="1"/>
  <c r="P695" i="107"/>
  <c r="J749" i="120"/>
  <c r="P1788" i="107"/>
  <c r="J2193" i="120" s="1"/>
  <c r="Q1786" i="107"/>
  <c r="K2191" i="120" s="1"/>
  <c r="Q693" i="107"/>
  <c r="K747" i="120"/>
  <c r="I718" i="107"/>
  <c r="H835" i="119" s="1"/>
  <c r="G835" i="119"/>
  <c r="H767" i="107"/>
  <c r="I690" i="161"/>
  <c r="F780" i="161"/>
  <c r="F807" i="161" s="1"/>
  <c r="I807" i="161" s="1"/>
  <c r="I768" i="161"/>
  <c r="F775" i="161"/>
  <c r="F802" i="161" s="1"/>
  <c r="I802" i="161" s="1"/>
  <c r="I763" i="161"/>
  <c r="K841" i="161"/>
  <c r="F781" i="107"/>
  <c r="E888" i="119"/>
  <c r="L693" i="107"/>
  <c r="L1786" i="107"/>
  <c r="F2191" i="120" s="1"/>
  <c r="F747" i="120"/>
  <c r="D865" i="120"/>
  <c r="J718" i="107"/>
  <c r="P1783" i="161"/>
  <c r="P1791" i="161" s="1"/>
  <c r="P690" i="161"/>
  <c r="P713" i="161" s="1"/>
  <c r="P607" i="161"/>
  <c r="P24" i="161" s="1"/>
  <c r="F806" i="161"/>
  <c r="I806" i="161" s="1"/>
  <c r="I779" i="161"/>
  <c r="F841" i="161"/>
  <c r="N1790" i="107"/>
  <c r="H2195" i="120" s="1"/>
  <c r="N697" i="107"/>
  <c r="H751" i="120"/>
  <c r="Q838" i="161"/>
  <c r="O1783" i="161"/>
  <c r="O1791" i="161" s="1"/>
  <c r="O690" i="161"/>
  <c r="O713" i="161" s="1"/>
  <c r="O607" i="161"/>
  <c r="O24" i="161" s="1"/>
  <c r="P717" i="107"/>
  <c r="J864" i="120"/>
  <c r="Q1788" i="107"/>
  <c r="K2193" i="120" s="1"/>
  <c r="K749" i="120"/>
  <c r="Q695" i="107"/>
  <c r="O840" i="161"/>
  <c r="L695" i="107"/>
  <c r="F749" i="120"/>
  <c r="L1788" i="107"/>
  <c r="F2193" i="120" s="1"/>
  <c r="L719" i="161"/>
  <c r="L768" i="161" s="1"/>
  <c r="L780" i="161" s="1"/>
  <c r="O841" i="161"/>
  <c r="Q840" i="161"/>
  <c r="O1754" i="107"/>
  <c r="M23" i="116" s="1"/>
  <c r="I777" i="161"/>
  <c r="F839" i="161"/>
  <c r="I716" i="107"/>
  <c r="H833" i="119" s="1"/>
  <c r="H765" i="107"/>
  <c r="G833" i="119"/>
  <c r="I720" i="107"/>
  <c r="H837" i="119" s="1"/>
  <c r="G837" i="119"/>
  <c r="H769" i="107"/>
  <c r="M841" i="161"/>
  <c r="F777" i="107"/>
  <c r="E884" i="119"/>
  <c r="J720" i="107"/>
  <c r="D867" i="120"/>
  <c r="N693" i="107"/>
  <c r="H747" i="120"/>
  <c r="N1786" i="107"/>
  <c r="H2191" i="120" s="1"/>
  <c r="Q1783" i="161"/>
  <c r="Q1791" i="161" s="1"/>
  <c r="Q690" i="161"/>
  <c r="Q713" i="161" s="1"/>
  <c r="Q607" i="161"/>
  <c r="Q24" i="161" s="1"/>
  <c r="O1785" i="107"/>
  <c r="I2190" i="120" s="1"/>
  <c r="I746" i="120"/>
  <c r="O692" i="107"/>
  <c r="F779" i="107"/>
  <c r="E886" i="119"/>
  <c r="O719" i="161"/>
  <c r="O768" i="161" s="1"/>
  <c r="M719" i="161"/>
  <c r="M768" i="161" s="1"/>
  <c r="M780" i="161" s="1"/>
  <c r="H746" i="120"/>
  <c r="N1785" i="107"/>
  <c r="H2190" i="120" s="1"/>
  <c r="N692" i="107"/>
  <c r="J802" i="161"/>
  <c r="J814" i="161" s="1"/>
  <c r="J837" i="161" s="1"/>
  <c r="P1790" i="107"/>
  <c r="J2195" i="120" s="1"/>
  <c r="P697" i="107"/>
  <c r="J751" i="120"/>
  <c r="I804" i="161"/>
  <c r="K838" i="161"/>
  <c r="F762" i="161"/>
  <c r="F721" i="161"/>
  <c r="J841" i="161"/>
  <c r="K802" i="161"/>
  <c r="K814" i="161" s="1"/>
  <c r="K837" i="161" s="1"/>
  <c r="K1783" i="161"/>
  <c r="K1791" i="161" s="1"/>
  <c r="K690" i="161"/>
  <c r="K713" i="161" s="1"/>
  <c r="K607" i="161"/>
  <c r="K24" i="161" s="1"/>
  <c r="Q1790" i="107"/>
  <c r="K2195" i="120" s="1"/>
  <c r="K751" i="120"/>
  <c r="Q697" i="107"/>
  <c r="D887" i="120"/>
  <c r="J766" i="107"/>
  <c r="P803" i="161"/>
  <c r="P815" i="161" s="1"/>
  <c r="P838" i="161" s="1"/>
  <c r="P693" i="107"/>
  <c r="J747" i="120"/>
  <c r="P1786" i="107"/>
  <c r="J2191" i="120" s="1"/>
  <c r="L1790" i="107"/>
  <c r="F2195" i="120" s="1"/>
  <c r="F751" i="120"/>
  <c r="L697" i="107"/>
  <c r="P719" i="161"/>
  <c r="P768" i="161" s="1"/>
  <c r="O719" i="107"/>
  <c r="I866" i="120"/>
  <c r="P719" i="107"/>
  <c r="J866" i="120"/>
  <c r="N719" i="107"/>
  <c r="H866" i="120"/>
  <c r="L719" i="107"/>
  <c r="F866" i="120"/>
  <c r="K719" i="107"/>
  <c r="E866" i="120"/>
  <c r="J768" i="107"/>
  <c r="D889" i="120"/>
  <c r="M719" i="107"/>
  <c r="G866" i="120"/>
  <c r="Q719" i="107"/>
  <c r="K866" i="120"/>
  <c r="O714" i="107"/>
  <c r="I861" i="120"/>
  <c r="Q714" i="107"/>
  <c r="K861" i="120"/>
  <c r="N714" i="107"/>
  <c r="H861" i="120"/>
  <c r="G861" i="120"/>
  <c r="M714" i="107"/>
  <c r="I763" i="107"/>
  <c r="H882" i="119" s="1"/>
  <c r="H775" i="107"/>
  <c r="G882" i="119"/>
  <c r="F802" i="107"/>
  <c r="E920" i="119" s="1"/>
  <c r="E894" i="119"/>
  <c r="K714" i="107"/>
  <c r="E861" i="120"/>
  <c r="J763" i="107"/>
  <c r="D884" i="120"/>
  <c r="L714" i="107"/>
  <c r="F861" i="120"/>
  <c r="P714" i="107"/>
  <c r="J861" i="120"/>
  <c r="I698" i="107"/>
  <c r="H815" i="119" s="1"/>
  <c r="P16" i="116"/>
  <c r="F774" i="107"/>
  <c r="E881" i="119"/>
  <c r="F770" i="107"/>
  <c r="J1791" i="107"/>
  <c r="D2188" i="120"/>
  <c r="F900" i="119"/>
  <c r="E838" i="119"/>
  <c r="P1783" i="107"/>
  <c r="P690" i="107"/>
  <c r="P607" i="107"/>
  <c r="J744" i="120"/>
  <c r="I744" i="120"/>
  <c r="O1783" i="107"/>
  <c r="O607" i="107"/>
  <c r="O690" i="107"/>
  <c r="L1783" i="107"/>
  <c r="L607" i="107"/>
  <c r="L690" i="107"/>
  <c r="F744" i="120"/>
  <c r="M766" i="107"/>
  <c r="G887" i="120"/>
  <c r="L766" i="107"/>
  <c r="F887" i="120"/>
  <c r="J713" i="107"/>
  <c r="J698" i="107"/>
  <c r="D868" i="120" s="1"/>
  <c r="D860" i="120"/>
  <c r="N1783" i="107"/>
  <c r="N690" i="107"/>
  <c r="N607" i="107"/>
  <c r="H744" i="120"/>
  <c r="H762" i="107"/>
  <c r="I762" i="107" s="1"/>
  <c r="H881" i="119" s="1"/>
  <c r="K607" i="107"/>
  <c r="K1783" i="107"/>
  <c r="K690" i="107"/>
  <c r="E744" i="120"/>
  <c r="E887" i="120"/>
  <c r="K766" i="107"/>
  <c r="F935" i="119"/>
  <c r="J24" i="107"/>
  <c r="D753" i="120"/>
  <c r="O766" i="107"/>
  <c r="I887" i="120"/>
  <c r="I24" i="107" l="1"/>
  <c r="H23" i="119" s="1"/>
  <c r="G830" i="119"/>
  <c r="H721" i="107"/>
  <c r="G838" i="119" s="1"/>
  <c r="F926" i="119"/>
  <c r="M1783" i="107"/>
  <c r="G744" i="120"/>
  <c r="M607" i="107"/>
  <c r="G753" i="120" s="1"/>
  <c r="E898" i="119"/>
  <c r="F801" i="107"/>
  <c r="E919" i="119" s="1"/>
  <c r="G23" i="119"/>
  <c r="AG23" i="115"/>
  <c r="AI23" i="115" s="1"/>
  <c r="Q1783" i="107"/>
  <c r="K2188" i="120" s="1"/>
  <c r="Q607" i="107"/>
  <c r="Q24" i="107" s="1"/>
  <c r="Q690" i="107"/>
  <c r="Q713" i="107" s="1"/>
  <c r="G762" i="107"/>
  <c r="G774" i="107" s="1"/>
  <c r="G887" i="119"/>
  <c r="G721" i="107"/>
  <c r="F838" i="119" s="1"/>
  <c r="N766" i="107"/>
  <c r="N778" i="107" s="1"/>
  <c r="I768" i="107"/>
  <c r="H887" i="119" s="1"/>
  <c r="K887" i="120"/>
  <c r="L23" i="116"/>
  <c r="N23" i="116"/>
  <c r="O23" i="116"/>
  <c r="P17" i="116"/>
  <c r="P22" i="116"/>
  <c r="G899" i="119"/>
  <c r="H807" i="107"/>
  <c r="F2157" i="120"/>
  <c r="E2157" i="120"/>
  <c r="G2157" i="120"/>
  <c r="G779" i="107"/>
  <c r="F886" i="119"/>
  <c r="O698" i="161"/>
  <c r="L698" i="161"/>
  <c r="I839" i="161"/>
  <c r="P698" i="161"/>
  <c r="I841" i="161"/>
  <c r="N698" i="161"/>
  <c r="I767" i="107"/>
  <c r="H886" i="119" s="1"/>
  <c r="H779" i="107"/>
  <c r="G886" i="119"/>
  <c r="L720" i="107"/>
  <c r="F867" i="120"/>
  <c r="Q762" i="161"/>
  <c r="Q721" i="161"/>
  <c r="F804" i="107"/>
  <c r="E922" i="119" s="1"/>
  <c r="E896" i="119"/>
  <c r="H865" i="120"/>
  <c r="N718" i="107"/>
  <c r="M762" i="161"/>
  <c r="M721" i="161"/>
  <c r="E921" i="119"/>
  <c r="M720" i="107"/>
  <c r="G867" i="120"/>
  <c r="G863" i="120"/>
  <c r="M716" i="107"/>
  <c r="E899" i="119"/>
  <c r="I780" i="107"/>
  <c r="H899" i="119" s="1"/>
  <c r="E867" i="120"/>
  <c r="K720" i="107"/>
  <c r="J778" i="107"/>
  <c r="D938" i="120"/>
  <c r="P720" i="107"/>
  <c r="J867" i="120"/>
  <c r="O780" i="161"/>
  <c r="O807" i="161" s="1"/>
  <c r="O819" i="161" s="1"/>
  <c r="H867" i="120"/>
  <c r="N720" i="107"/>
  <c r="J767" i="107"/>
  <c r="D888" i="120"/>
  <c r="Q720" i="107"/>
  <c r="K867" i="120"/>
  <c r="F806" i="107"/>
  <c r="P766" i="107"/>
  <c r="J887" i="120"/>
  <c r="J765" i="107"/>
  <c r="D886" i="120"/>
  <c r="I867" i="120"/>
  <c r="O720" i="107"/>
  <c r="Q780" i="161"/>
  <c r="Q807" i="161" s="1"/>
  <c r="Q819" i="161" s="1"/>
  <c r="G802" i="107"/>
  <c r="F894" i="119"/>
  <c r="O716" i="107"/>
  <c r="I863" i="120"/>
  <c r="I776" i="161"/>
  <c r="F838" i="161"/>
  <c r="I838" i="161" s="1"/>
  <c r="I769" i="107"/>
  <c r="H888" i="119" s="1"/>
  <c r="H781" i="107"/>
  <c r="G888" i="119"/>
  <c r="L718" i="107"/>
  <c r="F865" i="120"/>
  <c r="I775" i="161"/>
  <c r="F837" i="161"/>
  <c r="I837" i="161" s="1"/>
  <c r="Q698" i="161"/>
  <c r="G862" i="120"/>
  <c r="M715" i="107"/>
  <c r="I2157" i="120"/>
  <c r="F774" i="161"/>
  <c r="F801" i="161" s="1"/>
  <c r="F770" i="161"/>
  <c r="O762" i="161"/>
  <c r="O721" i="161"/>
  <c r="Q716" i="107"/>
  <c r="K863" i="120"/>
  <c r="P843" i="161"/>
  <c r="I865" i="120"/>
  <c r="O718" i="107"/>
  <c r="H862" i="120"/>
  <c r="N715" i="107"/>
  <c r="G801" i="161"/>
  <c r="G782" i="161"/>
  <c r="P780" i="161"/>
  <c r="I862" i="120"/>
  <c r="O715" i="107"/>
  <c r="N716" i="107"/>
  <c r="H863" i="120"/>
  <c r="Q718" i="107"/>
  <c r="K865" i="120"/>
  <c r="L716" i="107"/>
  <c r="F863" i="120"/>
  <c r="I780" i="161"/>
  <c r="F842" i="161"/>
  <c r="I842" i="161" s="1"/>
  <c r="J862" i="120"/>
  <c r="P715" i="107"/>
  <c r="D885" i="120"/>
  <c r="J764" i="107"/>
  <c r="K715" i="107"/>
  <c r="E862" i="120"/>
  <c r="G883" i="119"/>
  <c r="H776" i="107"/>
  <c r="I764" i="107"/>
  <c r="H883" i="119" s="1"/>
  <c r="I778" i="161"/>
  <c r="K807" i="161"/>
  <c r="K819" i="161" s="1"/>
  <c r="K842" i="161" s="1"/>
  <c r="L762" i="161"/>
  <c r="L721" i="161"/>
  <c r="H805" i="161"/>
  <c r="G865" i="120"/>
  <c r="M718" i="107"/>
  <c r="G776" i="107"/>
  <c r="F883" i="119"/>
  <c r="L715" i="107"/>
  <c r="F862" i="120"/>
  <c r="K698" i="161"/>
  <c r="E863" i="120"/>
  <c r="K716" i="107"/>
  <c r="H762" i="161"/>
  <c r="I762" i="161" s="1"/>
  <c r="H721" i="161"/>
  <c r="I721" i="161" s="1"/>
  <c r="P716" i="107"/>
  <c r="J863" i="120"/>
  <c r="K762" i="161"/>
  <c r="K721" i="161"/>
  <c r="M807" i="161"/>
  <c r="M819" i="161" s="1"/>
  <c r="M842" i="161" s="1"/>
  <c r="E865" i="120"/>
  <c r="K718" i="107"/>
  <c r="M698" i="161"/>
  <c r="J769" i="107"/>
  <c r="D890" i="120"/>
  <c r="I765" i="107"/>
  <c r="H884" i="119" s="1"/>
  <c r="G884" i="119"/>
  <c r="H777" i="107"/>
  <c r="L807" i="161"/>
  <c r="L819" i="161" s="1"/>
  <c r="P762" i="161"/>
  <c r="P721" i="161"/>
  <c r="F808" i="107"/>
  <c r="E900" i="119"/>
  <c r="K862" i="120"/>
  <c r="Q715" i="107"/>
  <c r="G777" i="107"/>
  <c r="F884" i="119"/>
  <c r="H805" i="107"/>
  <c r="I778" i="107"/>
  <c r="H897" i="119" s="1"/>
  <c r="G897" i="119"/>
  <c r="F887" i="119"/>
  <c r="G780" i="107"/>
  <c r="F807" i="107"/>
  <c r="J865" i="120"/>
  <c r="P718" i="107"/>
  <c r="J842" i="161"/>
  <c r="J713" i="161"/>
  <c r="J698" i="161"/>
  <c r="N762" i="161"/>
  <c r="N721" i="161"/>
  <c r="N780" i="161"/>
  <c r="N807" i="161" s="1"/>
  <c r="N819" i="161" s="1"/>
  <c r="I781" i="161"/>
  <c r="F843" i="161"/>
  <c r="I843" i="161" s="1"/>
  <c r="K889" i="120"/>
  <c r="Q768" i="107"/>
  <c r="G889" i="120"/>
  <c r="M768" i="107"/>
  <c r="H889" i="120"/>
  <c r="N768" i="107"/>
  <c r="F889" i="120"/>
  <c r="L768" i="107"/>
  <c r="J780" i="107"/>
  <c r="D940" i="120"/>
  <c r="P768" i="107"/>
  <c r="J889" i="120"/>
  <c r="E889" i="120"/>
  <c r="K768" i="107"/>
  <c r="O768" i="107"/>
  <c r="I889" i="120"/>
  <c r="K763" i="107"/>
  <c r="E884" i="120"/>
  <c r="P763" i="107"/>
  <c r="J884" i="120"/>
  <c r="H884" i="120"/>
  <c r="N763" i="107"/>
  <c r="L763" i="107"/>
  <c r="F884" i="120"/>
  <c r="I775" i="107"/>
  <c r="H894" i="119" s="1"/>
  <c r="H802" i="107"/>
  <c r="G894" i="119"/>
  <c r="K884" i="120"/>
  <c r="Q763" i="107"/>
  <c r="J775" i="107"/>
  <c r="D935" i="120"/>
  <c r="M763" i="107"/>
  <c r="G884" i="120"/>
  <c r="I884" i="120"/>
  <c r="O763" i="107"/>
  <c r="K698" i="107"/>
  <c r="E868" i="120" s="1"/>
  <c r="E860" i="120"/>
  <c r="K713" i="107"/>
  <c r="H2188" i="120"/>
  <c r="N1791" i="107"/>
  <c r="L778" i="107"/>
  <c r="F938" i="120"/>
  <c r="P24" i="107"/>
  <c r="J753" i="120"/>
  <c r="Q778" i="107"/>
  <c r="K938" i="120"/>
  <c r="G2188" i="120"/>
  <c r="M1791" i="107"/>
  <c r="P698" i="107"/>
  <c r="J868" i="120" s="1"/>
  <c r="P713" i="107"/>
  <c r="J860" i="120"/>
  <c r="E889" i="119"/>
  <c r="M698" i="107"/>
  <c r="G868" i="120" s="1"/>
  <c r="G860" i="120"/>
  <c r="M713" i="107"/>
  <c r="P1791" i="107"/>
  <c r="J2188" i="120"/>
  <c r="N698" i="107"/>
  <c r="H868" i="120" s="1"/>
  <c r="H860" i="120"/>
  <c r="N713" i="107"/>
  <c r="H774" i="107"/>
  <c r="H770" i="107"/>
  <c r="G889" i="119" s="1"/>
  <c r="G881" i="119"/>
  <c r="O778" i="107"/>
  <c r="I938" i="120"/>
  <c r="O713" i="107"/>
  <c r="I860" i="120"/>
  <c r="O698" i="107"/>
  <c r="I868" i="120" s="1"/>
  <c r="L24" i="107"/>
  <c r="F753" i="120"/>
  <c r="O24" i="107"/>
  <c r="I753" i="120"/>
  <c r="I721" i="107"/>
  <c r="H838" i="119" s="1"/>
  <c r="K778" i="107"/>
  <c r="E938" i="120"/>
  <c r="K1791" i="107"/>
  <c r="E2188" i="120"/>
  <c r="K24" i="107"/>
  <c r="E753" i="120"/>
  <c r="J762" i="107"/>
  <c r="J721" i="107"/>
  <c r="D891" i="120" s="1"/>
  <c r="D883" i="120"/>
  <c r="L698" i="107"/>
  <c r="F868" i="120" s="1"/>
  <c r="L713" i="107"/>
  <c r="F860" i="120"/>
  <c r="G938" i="120"/>
  <c r="M778" i="107"/>
  <c r="F2188" i="120"/>
  <c r="L1791" i="107"/>
  <c r="O1791" i="107"/>
  <c r="I2188" i="120"/>
  <c r="H25" i="116"/>
  <c r="D2196" i="120"/>
  <c r="F782" i="107"/>
  <c r="E893" i="119"/>
  <c r="D23" i="120"/>
  <c r="N24" i="107"/>
  <c r="H753" i="120"/>
  <c r="F938" i="119"/>
  <c r="F961" i="119"/>
  <c r="AK23" i="115" l="1"/>
  <c r="M24" i="107"/>
  <c r="M805" i="107"/>
  <c r="M817" i="107" s="1"/>
  <c r="G987" i="120" s="1"/>
  <c r="N805" i="107"/>
  <c r="H975" i="120" s="1"/>
  <c r="O805" i="107"/>
  <c r="O817" i="107" s="1"/>
  <c r="I987" i="120" s="1"/>
  <c r="L805" i="107"/>
  <c r="L817" i="107" s="1"/>
  <c r="F987" i="120" s="1"/>
  <c r="H806" i="107"/>
  <c r="I806" i="107" s="1"/>
  <c r="H924" i="119" s="1"/>
  <c r="G801" i="107"/>
  <c r="F919" i="119" s="1"/>
  <c r="K805" i="107"/>
  <c r="K817" i="107" s="1"/>
  <c r="E987" i="120" s="1"/>
  <c r="H801" i="107"/>
  <c r="I801" i="107" s="1"/>
  <c r="H919" i="119" s="1"/>
  <c r="Q805" i="107"/>
  <c r="K975" i="120" s="1"/>
  <c r="Q1791" i="107"/>
  <c r="K2196" i="120" s="1"/>
  <c r="Q698" i="107"/>
  <c r="K868" i="120" s="1"/>
  <c r="K860" i="120"/>
  <c r="K753" i="120"/>
  <c r="F881" i="119"/>
  <c r="G770" i="107"/>
  <c r="F889" i="119" s="1"/>
  <c r="H938" i="120"/>
  <c r="P23" i="116"/>
  <c r="H819" i="107"/>
  <c r="H842" i="107" s="1"/>
  <c r="G925" i="119"/>
  <c r="G806" i="107"/>
  <c r="F898" i="119"/>
  <c r="N842" i="161"/>
  <c r="E925" i="119"/>
  <c r="I807" i="107"/>
  <c r="H925" i="119" s="1"/>
  <c r="G896" i="119"/>
  <c r="H804" i="107"/>
  <c r="J885" i="120"/>
  <c r="P764" i="107"/>
  <c r="G807" i="107"/>
  <c r="F899" i="119"/>
  <c r="H817" i="161"/>
  <c r="I805" i="161"/>
  <c r="H886" i="120"/>
  <c r="N765" i="107"/>
  <c r="H885" i="120"/>
  <c r="N764" i="107"/>
  <c r="O774" i="161"/>
  <c r="O782" i="161" s="1"/>
  <c r="O770" i="161"/>
  <c r="O769" i="107"/>
  <c r="I890" i="120"/>
  <c r="K890" i="120"/>
  <c r="Q769" i="107"/>
  <c r="O842" i="161"/>
  <c r="M774" i="161"/>
  <c r="M782" i="161" s="1"/>
  <c r="M770" i="161"/>
  <c r="Q774" i="161"/>
  <c r="Q770" i="161"/>
  <c r="N774" i="161"/>
  <c r="N770" i="161"/>
  <c r="H803" i="107"/>
  <c r="I776" i="107"/>
  <c r="H895" i="119" s="1"/>
  <c r="G895" i="119"/>
  <c r="I885" i="120"/>
  <c r="O764" i="107"/>
  <c r="G886" i="120"/>
  <c r="M765" i="107"/>
  <c r="N767" i="107"/>
  <c r="H888" i="120"/>
  <c r="L769" i="107"/>
  <c r="F890" i="120"/>
  <c r="Q765" i="107"/>
  <c r="K886" i="120"/>
  <c r="M764" i="107"/>
  <c r="G885" i="120"/>
  <c r="E924" i="119"/>
  <c r="K885" i="120"/>
  <c r="Q764" i="107"/>
  <c r="E886" i="120"/>
  <c r="K765" i="107"/>
  <c r="G813" i="161"/>
  <c r="G809" i="161"/>
  <c r="Q842" i="161"/>
  <c r="F809" i="107"/>
  <c r="E927" i="119" s="1"/>
  <c r="E926" i="119"/>
  <c r="K774" i="161"/>
  <c r="K770" i="161"/>
  <c r="L774" i="161"/>
  <c r="L782" i="161" s="1"/>
  <c r="L770" i="161"/>
  <c r="I888" i="120"/>
  <c r="O767" i="107"/>
  <c r="I777" i="107"/>
  <c r="H896" i="119" s="1"/>
  <c r="J890" i="120"/>
  <c r="P769" i="107"/>
  <c r="H774" i="161"/>
  <c r="I774" i="161" s="1"/>
  <c r="H770" i="161"/>
  <c r="I770" i="161" s="1"/>
  <c r="M767" i="107"/>
  <c r="G888" i="120"/>
  <c r="Q767" i="107"/>
  <c r="K888" i="120"/>
  <c r="H808" i="107"/>
  <c r="I808" i="107" s="1"/>
  <c r="H926" i="119" s="1"/>
  <c r="G900" i="119"/>
  <c r="I781" i="107"/>
  <c r="H900" i="119" s="1"/>
  <c r="J762" i="161"/>
  <c r="J721" i="161"/>
  <c r="D941" i="120"/>
  <c r="J781" i="107"/>
  <c r="L764" i="107"/>
  <c r="F885" i="120"/>
  <c r="F809" i="161"/>
  <c r="O765" i="107"/>
  <c r="I886" i="120"/>
  <c r="D937" i="120"/>
  <c r="J777" i="107"/>
  <c r="H817" i="107"/>
  <c r="H840" i="107" s="1"/>
  <c r="G923" i="119"/>
  <c r="I805" i="107"/>
  <c r="H923" i="119" s="1"/>
  <c r="P774" i="161"/>
  <c r="P782" i="161" s="1"/>
  <c r="P770" i="161"/>
  <c r="J886" i="120"/>
  <c r="P765" i="107"/>
  <c r="K764" i="107"/>
  <c r="E885" i="120"/>
  <c r="F886" i="120"/>
  <c r="L765" i="107"/>
  <c r="P807" i="161"/>
  <c r="P819" i="161" s="1"/>
  <c r="P842" i="161" s="1"/>
  <c r="F782" i="161"/>
  <c r="F888" i="120"/>
  <c r="L767" i="107"/>
  <c r="D939" i="120"/>
  <c r="J779" i="107"/>
  <c r="J805" i="107"/>
  <c r="D950" i="120"/>
  <c r="M769" i="107"/>
  <c r="G890" i="120"/>
  <c r="I779" i="107"/>
  <c r="H898" i="119" s="1"/>
  <c r="G898" i="119"/>
  <c r="G804" i="107"/>
  <c r="F896" i="119"/>
  <c r="J888" i="120"/>
  <c r="P767" i="107"/>
  <c r="L842" i="161"/>
  <c r="K767" i="107"/>
  <c r="E888" i="120"/>
  <c r="G803" i="107"/>
  <c r="F895" i="119"/>
  <c r="J776" i="107"/>
  <c r="D936" i="120"/>
  <c r="G814" i="107"/>
  <c r="G837" i="107" s="1"/>
  <c r="F920" i="119"/>
  <c r="P778" i="107"/>
  <c r="J938" i="120"/>
  <c r="N769" i="107"/>
  <c r="H890" i="120"/>
  <c r="E890" i="120"/>
  <c r="K769" i="107"/>
  <c r="L780" i="107"/>
  <c r="F940" i="120"/>
  <c r="O780" i="107"/>
  <c r="I940" i="120"/>
  <c r="E940" i="120"/>
  <c r="K780" i="107"/>
  <c r="N780" i="107"/>
  <c r="H940" i="120"/>
  <c r="G940" i="120"/>
  <c r="M780" i="107"/>
  <c r="J940" i="120"/>
  <c r="P780" i="107"/>
  <c r="Q780" i="107"/>
  <c r="K940" i="120"/>
  <c r="J807" i="107"/>
  <c r="D952" i="120"/>
  <c r="M775" i="107"/>
  <c r="G935" i="120"/>
  <c r="L775" i="107"/>
  <c r="F935" i="120"/>
  <c r="J802" i="107"/>
  <c r="D947" i="120"/>
  <c r="H935" i="120"/>
  <c r="N775" i="107"/>
  <c r="Q775" i="107"/>
  <c r="K935" i="120"/>
  <c r="O775" i="107"/>
  <c r="I935" i="120"/>
  <c r="P775" i="107"/>
  <c r="J935" i="120"/>
  <c r="I802" i="107"/>
  <c r="H920" i="119" s="1"/>
  <c r="H814" i="107"/>
  <c r="H837" i="107" s="1"/>
  <c r="G920" i="119"/>
  <c r="E935" i="120"/>
  <c r="K775" i="107"/>
  <c r="I774" i="107"/>
  <c r="H893" i="119" s="1"/>
  <c r="H782" i="107"/>
  <c r="G901" i="119" s="1"/>
  <c r="G893" i="119"/>
  <c r="K23" i="120"/>
  <c r="M762" i="107"/>
  <c r="M721" i="107"/>
  <c r="G891" i="120" s="1"/>
  <c r="G883" i="120"/>
  <c r="E950" i="120"/>
  <c r="G23" i="120"/>
  <c r="R25" i="116"/>
  <c r="G782" i="107"/>
  <c r="F901" i="119" s="1"/>
  <c r="F893" i="119"/>
  <c r="I950" i="120"/>
  <c r="I770" i="107"/>
  <c r="H889" i="119" s="1"/>
  <c r="K762" i="107"/>
  <c r="K721" i="107"/>
  <c r="E883" i="120"/>
  <c r="J25" i="116"/>
  <c r="F2196" i="120"/>
  <c r="E23" i="120"/>
  <c r="N762" i="107"/>
  <c r="N721" i="107"/>
  <c r="H891" i="120" s="1"/>
  <c r="H883" i="120"/>
  <c r="K25" i="116"/>
  <c r="G2196" i="120"/>
  <c r="J23" i="120"/>
  <c r="F950" i="120"/>
  <c r="P762" i="107"/>
  <c r="P721" i="107"/>
  <c r="J891" i="120" s="1"/>
  <c r="J883" i="120"/>
  <c r="J774" i="107"/>
  <c r="D934" i="120"/>
  <c r="J770" i="107"/>
  <c r="D942" i="120" s="1"/>
  <c r="I23" i="120"/>
  <c r="F23" i="120"/>
  <c r="N25" i="116"/>
  <c r="J2196" i="120"/>
  <c r="H950" i="120"/>
  <c r="K950" i="120"/>
  <c r="Q721" i="107"/>
  <c r="K891" i="120" s="1"/>
  <c r="Q762" i="107"/>
  <c r="K883" i="120"/>
  <c r="H23" i="120"/>
  <c r="M25" i="116"/>
  <c r="I2196" i="120"/>
  <c r="G950" i="120"/>
  <c r="E901" i="119"/>
  <c r="L762" i="107"/>
  <c r="L721" i="107"/>
  <c r="F891" i="120" s="1"/>
  <c r="F883" i="120"/>
  <c r="E2196" i="120"/>
  <c r="I25" i="116"/>
  <c r="O762" i="107"/>
  <c r="O721" i="107"/>
  <c r="I891" i="120" s="1"/>
  <c r="I883" i="120"/>
  <c r="L25" i="116"/>
  <c r="H2196" i="120"/>
  <c r="N817" i="107" l="1"/>
  <c r="H987" i="120" s="1"/>
  <c r="E975" i="120"/>
  <c r="E891" i="120"/>
  <c r="Q817" i="107"/>
  <c r="K987" i="120" s="1"/>
  <c r="F975" i="120"/>
  <c r="I975" i="120"/>
  <c r="O25" i="116"/>
  <c r="P25" i="116" s="1"/>
  <c r="G975" i="120"/>
  <c r="H818" i="107"/>
  <c r="H841" i="107" s="1"/>
  <c r="G959" i="119" s="1"/>
  <c r="N840" i="107"/>
  <c r="H1010" i="120" s="1"/>
  <c r="M840" i="107"/>
  <c r="G1010" i="120" s="1"/>
  <c r="L840" i="107"/>
  <c r="F1010" i="120" s="1"/>
  <c r="O840" i="107"/>
  <c r="I1010" i="120" s="1"/>
  <c r="K840" i="107"/>
  <c r="E1010" i="120" s="1"/>
  <c r="G924" i="119"/>
  <c r="G813" i="107"/>
  <c r="G919" i="119"/>
  <c r="H813" i="107"/>
  <c r="G931" i="119" s="1"/>
  <c r="G960" i="119"/>
  <c r="G955" i="119"/>
  <c r="E952" i="120"/>
  <c r="F955" i="119"/>
  <c r="D951" i="120"/>
  <c r="G958" i="119"/>
  <c r="G937" i="119"/>
  <c r="G818" i="107"/>
  <c r="G841" i="107" s="1"/>
  <c r="F924" i="119"/>
  <c r="H809" i="107"/>
  <c r="G927" i="119" s="1"/>
  <c r="K807" i="107"/>
  <c r="K819" i="107" s="1"/>
  <c r="K842" i="107" s="1"/>
  <c r="L801" i="161"/>
  <c r="L809" i="161" s="1"/>
  <c r="J806" i="107"/>
  <c r="D976" i="120" s="1"/>
  <c r="M801" i="161"/>
  <c r="M813" i="161" s="1"/>
  <c r="O801" i="161"/>
  <c r="O813" i="161" s="1"/>
  <c r="K937" i="120"/>
  <c r="Q777" i="107"/>
  <c r="Q801" i="161"/>
  <c r="Q782" i="161"/>
  <c r="O781" i="107"/>
  <c r="I941" i="120"/>
  <c r="H816" i="107"/>
  <c r="H839" i="107" s="1"/>
  <c r="G922" i="119"/>
  <c r="I804" i="107"/>
  <c r="H922" i="119" s="1"/>
  <c r="N781" i="107"/>
  <c r="H941" i="120"/>
  <c r="G815" i="107"/>
  <c r="G838" i="107" s="1"/>
  <c r="F921" i="119"/>
  <c r="O777" i="107"/>
  <c r="I937" i="120"/>
  <c r="G809" i="107"/>
  <c r="F927" i="119" s="1"/>
  <c r="L779" i="107"/>
  <c r="F939" i="120"/>
  <c r="M779" i="107"/>
  <c r="G939" i="120"/>
  <c r="O779" i="107"/>
  <c r="I939" i="120"/>
  <c r="K936" i="120"/>
  <c r="Q776" i="107"/>
  <c r="F817" i="161"/>
  <c r="H840" i="161"/>
  <c r="J950" i="120"/>
  <c r="P805" i="107"/>
  <c r="K779" i="107"/>
  <c r="E939" i="120"/>
  <c r="E936" i="120"/>
  <c r="K776" i="107"/>
  <c r="J774" i="161"/>
  <c r="J782" i="161" s="1"/>
  <c r="J770" i="161"/>
  <c r="F941" i="120"/>
  <c r="L781" i="107"/>
  <c r="M781" i="107"/>
  <c r="G941" i="120"/>
  <c r="G935" i="119"/>
  <c r="F817" i="107"/>
  <c r="F840" i="107" s="1"/>
  <c r="H801" i="161"/>
  <c r="H782" i="161"/>
  <c r="I782" i="161" s="1"/>
  <c r="F932" i="119"/>
  <c r="P779" i="107"/>
  <c r="J939" i="120"/>
  <c r="J937" i="120"/>
  <c r="P777" i="107"/>
  <c r="N779" i="107"/>
  <c r="H939" i="120"/>
  <c r="H815" i="107"/>
  <c r="H838" i="107" s="1"/>
  <c r="G921" i="119"/>
  <c r="I803" i="107"/>
  <c r="H921" i="119" s="1"/>
  <c r="H936" i="120"/>
  <c r="N776" i="107"/>
  <c r="E941" i="120"/>
  <c r="K781" i="107"/>
  <c r="J817" i="107"/>
  <c r="J840" i="107" s="1"/>
  <c r="D975" i="120"/>
  <c r="J804" i="107"/>
  <c r="D949" i="120"/>
  <c r="H820" i="107"/>
  <c r="H843" i="107" s="1"/>
  <c r="G926" i="119"/>
  <c r="G821" i="161"/>
  <c r="G836" i="161"/>
  <c r="G845" i="161" s="1"/>
  <c r="G25" i="161" s="1"/>
  <c r="G28" i="161" s="1"/>
  <c r="G31" i="161" s="1"/>
  <c r="G937" i="120"/>
  <c r="M777" i="107"/>
  <c r="Q781" i="107"/>
  <c r="K941" i="120"/>
  <c r="G819" i="107"/>
  <c r="G842" i="107" s="1"/>
  <c r="F925" i="119"/>
  <c r="J803" i="107"/>
  <c r="D948" i="120"/>
  <c r="L776" i="107"/>
  <c r="F936" i="120"/>
  <c r="P781" i="107"/>
  <c r="J941" i="120"/>
  <c r="K777" i="107"/>
  <c r="E937" i="120"/>
  <c r="M776" i="107"/>
  <c r="G936" i="120"/>
  <c r="N801" i="161"/>
  <c r="N782" i="161"/>
  <c r="N777" i="107"/>
  <c r="H937" i="120"/>
  <c r="P776" i="107"/>
  <c r="J936" i="120"/>
  <c r="G816" i="107"/>
  <c r="G839" i="107" s="1"/>
  <c r="F922" i="119"/>
  <c r="L777" i="107"/>
  <c r="F937" i="120"/>
  <c r="P801" i="161"/>
  <c r="J808" i="107"/>
  <c r="D953" i="120"/>
  <c r="Q779" i="107"/>
  <c r="K939" i="120"/>
  <c r="K801" i="161"/>
  <c r="K782" i="161"/>
  <c r="O776" i="107"/>
  <c r="I936" i="120"/>
  <c r="N807" i="107"/>
  <c r="H952" i="120"/>
  <c r="K952" i="120"/>
  <c r="Q807" i="107"/>
  <c r="J819" i="107"/>
  <c r="J842" i="107" s="1"/>
  <c r="D977" i="120"/>
  <c r="J952" i="120"/>
  <c r="P807" i="107"/>
  <c r="O807" i="107"/>
  <c r="I952" i="120"/>
  <c r="M807" i="107"/>
  <c r="G952" i="120"/>
  <c r="F952" i="120"/>
  <c r="L807" i="107"/>
  <c r="G932" i="119"/>
  <c r="F814" i="107"/>
  <c r="F837" i="107" s="1"/>
  <c r="N802" i="107"/>
  <c r="H947" i="120"/>
  <c r="P802" i="107"/>
  <c r="J947" i="120"/>
  <c r="D972" i="120"/>
  <c r="J814" i="107"/>
  <c r="J837" i="107" s="1"/>
  <c r="K802" i="107"/>
  <c r="E947" i="120"/>
  <c r="O802" i="107"/>
  <c r="I947" i="120"/>
  <c r="L802" i="107"/>
  <c r="F947" i="120"/>
  <c r="Q802" i="107"/>
  <c r="K947" i="120"/>
  <c r="M802" i="107"/>
  <c r="G947" i="120"/>
  <c r="J801" i="107"/>
  <c r="D971" i="120" s="1"/>
  <c r="I782" i="107"/>
  <c r="H901" i="119" s="1"/>
  <c r="L774" i="107"/>
  <c r="L770" i="107"/>
  <c r="F942" i="120" s="1"/>
  <c r="F934" i="120"/>
  <c r="K774" i="107"/>
  <c r="K770" i="107"/>
  <c r="E934" i="120"/>
  <c r="K934" i="120"/>
  <c r="Q774" i="107"/>
  <c r="Q770" i="107"/>
  <c r="K942" i="120" s="1"/>
  <c r="O774" i="107"/>
  <c r="I934" i="120"/>
  <c r="O770" i="107"/>
  <c r="I942" i="120" s="1"/>
  <c r="P770" i="107"/>
  <c r="J942" i="120" s="1"/>
  <c r="J934" i="120"/>
  <c r="P774" i="107"/>
  <c r="H934" i="120"/>
  <c r="N770" i="107"/>
  <c r="H942" i="120" s="1"/>
  <c r="N774" i="107"/>
  <c r="M770" i="107"/>
  <c r="G942" i="120" s="1"/>
  <c r="M774" i="107"/>
  <c r="G934" i="120"/>
  <c r="J782" i="107"/>
  <c r="D954" i="120" s="1"/>
  <c r="D946" i="120"/>
  <c r="Q840" i="107" l="1"/>
  <c r="K1010" i="120" s="1"/>
  <c r="E942" i="120"/>
  <c r="G936" i="119"/>
  <c r="F813" i="107"/>
  <c r="F836" i="107" s="1"/>
  <c r="F931" i="119"/>
  <c r="H836" i="107"/>
  <c r="G836" i="107"/>
  <c r="F954" i="119" s="1"/>
  <c r="G961" i="119"/>
  <c r="F960" i="119"/>
  <c r="G957" i="119"/>
  <c r="D1007" i="120"/>
  <c r="I948" i="120"/>
  <c r="J951" i="120"/>
  <c r="I837" i="107"/>
  <c r="F948" i="120"/>
  <c r="D1010" i="120"/>
  <c r="I951" i="120"/>
  <c r="D1012" i="120"/>
  <c r="F957" i="119"/>
  <c r="G948" i="120"/>
  <c r="K951" i="120"/>
  <c r="H948" i="120"/>
  <c r="I840" i="107"/>
  <c r="F818" i="107"/>
  <c r="F959" i="119"/>
  <c r="E1012" i="120"/>
  <c r="E989" i="120"/>
  <c r="J818" i="107"/>
  <c r="J841" i="107" s="1"/>
  <c r="L813" i="161"/>
  <c r="L836" i="161" s="1"/>
  <c r="L845" i="161" s="1"/>
  <c r="L25" i="161" s="1"/>
  <c r="L28" i="161" s="1"/>
  <c r="L31" i="161" s="1"/>
  <c r="E977" i="120"/>
  <c r="I809" i="107"/>
  <c r="H927" i="119" s="1"/>
  <c r="F936" i="119"/>
  <c r="H821" i="107"/>
  <c r="G939" i="119" s="1"/>
  <c r="O809" i="161"/>
  <c r="M809" i="161"/>
  <c r="L808" i="107"/>
  <c r="F953" i="120"/>
  <c r="K806" i="107"/>
  <c r="E951" i="120"/>
  <c r="O804" i="107"/>
  <c r="I949" i="120"/>
  <c r="D987" i="120"/>
  <c r="J975" i="120"/>
  <c r="P817" i="107"/>
  <c r="P840" i="107" s="1"/>
  <c r="I953" i="120"/>
  <c r="O808" i="107"/>
  <c r="P813" i="161"/>
  <c r="P809" i="161"/>
  <c r="N804" i="107"/>
  <c r="H949" i="120"/>
  <c r="K804" i="107"/>
  <c r="E949" i="120"/>
  <c r="G949" i="120"/>
  <c r="M804" i="107"/>
  <c r="K813" i="161"/>
  <c r="K809" i="161"/>
  <c r="L804" i="107"/>
  <c r="F949" i="120"/>
  <c r="P808" i="107"/>
  <c r="J953" i="120"/>
  <c r="G84" i="161"/>
  <c r="G45" i="161"/>
  <c r="Q806" i="107"/>
  <c r="N813" i="161"/>
  <c r="N809" i="161"/>
  <c r="L803" i="107"/>
  <c r="J815" i="107"/>
  <c r="J838" i="107" s="1"/>
  <c r="D973" i="120"/>
  <c r="G933" i="119"/>
  <c r="P804" i="107"/>
  <c r="J949" i="120"/>
  <c r="J801" i="161"/>
  <c r="M806" i="107"/>
  <c r="G951" i="120"/>
  <c r="F815" i="107"/>
  <c r="F838" i="107" s="1"/>
  <c r="F933" i="119"/>
  <c r="G821" i="107"/>
  <c r="F939" i="119" s="1"/>
  <c r="F934" i="119"/>
  <c r="M803" i="107"/>
  <c r="I817" i="161"/>
  <c r="F840" i="161"/>
  <c r="I840" i="161" s="1"/>
  <c r="N808" i="107"/>
  <c r="H953" i="120"/>
  <c r="Q813" i="161"/>
  <c r="Q809" i="161"/>
  <c r="K808" i="107"/>
  <c r="E953" i="120"/>
  <c r="M808" i="107"/>
  <c r="G953" i="120"/>
  <c r="O803" i="107"/>
  <c r="F937" i="119"/>
  <c r="F819" i="107"/>
  <c r="F842" i="107" s="1"/>
  <c r="G938" i="119"/>
  <c r="F820" i="107"/>
  <c r="F843" i="107" s="1"/>
  <c r="N803" i="107"/>
  <c r="N806" i="107"/>
  <c r="H951" i="120"/>
  <c r="P806" i="107"/>
  <c r="H813" i="161"/>
  <c r="H809" i="161"/>
  <c r="I809" i="161" s="1"/>
  <c r="I801" i="161"/>
  <c r="O836" i="161"/>
  <c r="O845" i="161" s="1"/>
  <c r="O25" i="161" s="1"/>
  <c r="O28" i="161" s="1"/>
  <c r="O31" i="161" s="1"/>
  <c r="O821" i="161"/>
  <c r="K803" i="107"/>
  <c r="E948" i="120"/>
  <c r="Q803" i="107"/>
  <c r="K948" i="120"/>
  <c r="L806" i="107"/>
  <c r="F951" i="120"/>
  <c r="Q804" i="107"/>
  <c r="K949" i="120"/>
  <c r="P803" i="107"/>
  <c r="J948" i="120"/>
  <c r="I817" i="107"/>
  <c r="H935" i="119" s="1"/>
  <c r="E935" i="119"/>
  <c r="J820" i="107"/>
  <c r="J843" i="107" s="1"/>
  <c r="D978" i="120"/>
  <c r="Q808" i="107"/>
  <c r="K953" i="120"/>
  <c r="J816" i="107"/>
  <c r="J839" i="107" s="1"/>
  <c r="D974" i="120"/>
  <c r="M836" i="161"/>
  <c r="M845" i="161" s="1"/>
  <c r="M25" i="161" s="1"/>
  <c r="M28" i="161" s="1"/>
  <c r="M31" i="161" s="1"/>
  <c r="M821" i="161"/>
  <c r="O806" i="107"/>
  <c r="F816" i="107"/>
  <c r="F839" i="107" s="1"/>
  <c r="G934" i="119"/>
  <c r="P819" i="107"/>
  <c r="P842" i="107" s="1"/>
  <c r="J977" i="120"/>
  <c r="D989" i="120"/>
  <c r="G977" i="120"/>
  <c r="M819" i="107"/>
  <c r="M842" i="107" s="1"/>
  <c r="Q819" i="107"/>
  <c r="Q842" i="107" s="1"/>
  <c r="K977" i="120"/>
  <c r="L819" i="107"/>
  <c r="L842" i="107" s="1"/>
  <c r="F977" i="120"/>
  <c r="O819" i="107"/>
  <c r="O842" i="107" s="1"/>
  <c r="I977" i="120"/>
  <c r="N819" i="107"/>
  <c r="N842" i="107" s="1"/>
  <c r="H977" i="120"/>
  <c r="L814" i="107"/>
  <c r="L837" i="107" s="1"/>
  <c r="F972" i="120"/>
  <c r="J972" i="120"/>
  <c r="P814" i="107"/>
  <c r="P837" i="107" s="1"/>
  <c r="I972" i="120"/>
  <c r="O814" i="107"/>
  <c r="O837" i="107" s="1"/>
  <c r="H972" i="120"/>
  <c r="N814" i="107"/>
  <c r="N837" i="107" s="1"/>
  <c r="M814" i="107"/>
  <c r="M837" i="107" s="1"/>
  <c r="G972" i="120"/>
  <c r="I814" i="107"/>
  <c r="H932" i="119" s="1"/>
  <c r="E932" i="119"/>
  <c r="E972" i="120"/>
  <c r="K814" i="107"/>
  <c r="K972" i="120"/>
  <c r="Q814" i="107"/>
  <c r="Q837" i="107" s="1"/>
  <c r="D984" i="120"/>
  <c r="J809" i="107"/>
  <c r="D979" i="120" s="1"/>
  <c r="J813" i="107"/>
  <c r="J836" i="107" s="1"/>
  <c r="K801" i="107"/>
  <c r="K813" i="107" s="1"/>
  <c r="Q801" i="107"/>
  <c r="K971" i="120" s="1"/>
  <c r="N801" i="107"/>
  <c r="H971" i="120" s="1"/>
  <c r="O801" i="107"/>
  <c r="I971" i="120" s="1"/>
  <c r="M801" i="107"/>
  <c r="G971" i="120" s="1"/>
  <c r="P801" i="107"/>
  <c r="P813" i="107" s="1"/>
  <c r="M782" i="107"/>
  <c r="G954" i="120" s="1"/>
  <c r="G946" i="120"/>
  <c r="N782" i="107"/>
  <c r="H954" i="120" s="1"/>
  <c r="H946" i="120"/>
  <c r="K946" i="120"/>
  <c r="Q782" i="107"/>
  <c r="K954" i="120" s="1"/>
  <c r="L782" i="107"/>
  <c r="F954" i="120" s="1"/>
  <c r="F946" i="120"/>
  <c r="L801" i="107"/>
  <c r="K782" i="107"/>
  <c r="E946" i="120"/>
  <c r="O782" i="107"/>
  <c r="I954" i="120" s="1"/>
  <c r="I946" i="120"/>
  <c r="P782" i="107"/>
  <c r="J954" i="120" s="1"/>
  <c r="J946" i="120"/>
  <c r="G954" i="119" l="1"/>
  <c r="H845" i="107"/>
  <c r="E954" i="120"/>
  <c r="K837" i="107"/>
  <c r="E931" i="119"/>
  <c r="I813" i="107"/>
  <c r="H931" i="119" s="1"/>
  <c r="K836" i="107"/>
  <c r="I818" i="107"/>
  <c r="H936" i="119" s="1"/>
  <c r="F841" i="107"/>
  <c r="I841" i="107" s="1"/>
  <c r="H959" i="119" s="1"/>
  <c r="I836" i="107"/>
  <c r="H954" i="119" s="1"/>
  <c r="P836" i="107"/>
  <c r="J1006" i="120" s="1"/>
  <c r="E936" i="119"/>
  <c r="D1011" i="120"/>
  <c r="D1013" i="120"/>
  <c r="G1012" i="120"/>
  <c r="I839" i="107"/>
  <c r="I843" i="107"/>
  <c r="I842" i="107"/>
  <c r="D1006" i="120"/>
  <c r="K1007" i="120"/>
  <c r="J1012" i="120"/>
  <c r="D1009" i="120"/>
  <c r="I838" i="107"/>
  <c r="D1008" i="120"/>
  <c r="H1007" i="120"/>
  <c r="G1007" i="120"/>
  <c r="L821" i="161"/>
  <c r="D988" i="120"/>
  <c r="M813" i="107"/>
  <c r="M836" i="107" s="1"/>
  <c r="K809" i="107"/>
  <c r="M809" i="107"/>
  <c r="G979" i="120" s="1"/>
  <c r="E971" i="120"/>
  <c r="F821" i="107"/>
  <c r="I821" i="107" s="1"/>
  <c r="H939" i="119" s="1"/>
  <c r="L818" i="107"/>
  <c r="L841" i="107" s="1"/>
  <c r="F976" i="120"/>
  <c r="I820" i="107"/>
  <c r="H938" i="119" s="1"/>
  <c r="E938" i="119"/>
  <c r="O818" i="107"/>
  <c r="O841" i="107" s="1"/>
  <c r="I976" i="120"/>
  <c r="K978" i="120"/>
  <c r="Q820" i="107"/>
  <c r="Q843" i="107" s="1"/>
  <c r="J973" i="120"/>
  <c r="P815" i="107"/>
  <c r="P838" i="107" s="1"/>
  <c r="Q815" i="107"/>
  <c r="Q838" i="107" s="1"/>
  <c r="K973" i="120"/>
  <c r="F813" i="161"/>
  <c r="H821" i="161"/>
  <c r="H836" i="161"/>
  <c r="H845" i="161" s="1"/>
  <c r="H25" i="161" s="1"/>
  <c r="H28" i="161" s="1"/>
  <c r="H31" i="161" s="1"/>
  <c r="K820" i="107"/>
  <c r="K843" i="107" s="1"/>
  <c r="E978" i="120"/>
  <c r="O84" i="161"/>
  <c r="O45" i="161"/>
  <c r="J821" i="107"/>
  <c r="D991" i="120" s="1"/>
  <c r="M815" i="107"/>
  <c r="M838" i="107" s="1"/>
  <c r="G973" i="120"/>
  <c r="G956" i="119"/>
  <c r="P818" i="107"/>
  <c r="P841" i="107" s="1"/>
  <c r="J976" i="120"/>
  <c r="J987" i="120"/>
  <c r="J1010" i="120"/>
  <c r="O816" i="107"/>
  <c r="O839" i="107" s="1"/>
  <c r="I974" i="120"/>
  <c r="E937" i="119"/>
  <c r="I819" i="107"/>
  <c r="H937" i="119" s="1"/>
  <c r="Q821" i="161"/>
  <c r="Q836" i="161"/>
  <c r="Q845" i="161" s="1"/>
  <c r="Q25" i="161" s="1"/>
  <c r="Q28" i="161" s="1"/>
  <c r="Q31" i="161" s="1"/>
  <c r="D985" i="120"/>
  <c r="P820" i="107"/>
  <c r="P843" i="107" s="1"/>
  <c r="J978" i="120"/>
  <c r="E974" i="120"/>
  <c r="K816" i="107"/>
  <c r="K839" i="107" s="1"/>
  <c r="H958" i="119"/>
  <c r="E958" i="119"/>
  <c r="E973" i="120"/>
  <c r="K815" i="107"/>
  <c r="K838" i="107" s="1"/>
  <c r="M818" i="107"/>
  <c r="M841" i="107" s="1"/>
  <c r="G976" i="120"/>
  <c r="L815" i="107"/>
  <c r="L838" i="107" s="1"/>
  <c r="F973" i="120"/>
  <c r="K974" i="120"/>
  <c r="Q816" i="107"/>
  <c r="Q839" i="107" s="1"/>
  <c r="L84" i="161"/>
  <c r="L45" i="161"/>
  <c r="H976" i="120"/>
  <c r="N818" i="107"/>
  <c r="N841" i="107" s="1"/>
  <c r="O815" i="107"/>
  <c r="O838" i="107" s="1"/>
  <c r="I973" i="120"/>
  <c r="H978" i="120"/>
  <c r="N820" i="107"/>
  <c r="N843" i="107" s="1"/>
  <c r="J813" i="161"/>
  <c r="J809" i="161"/>
  <c r="F974" i="120"/>
  <c r="L816" i="107"/>
  <c r="L839" i="107" s="1"/>
  <c r="N816" i="107"/>
  <c r="N839" i="107" s="1"/>
  <c r="H974" i="120"/>
  <c r="E976" i="120"/>
  <c r="K818" i="107"/>
  <c r="K841" i="107" s="1"/>
  <c r="I815" i="107"/>
  <c r="H933" i="119" s="1"/>
  <c r="E933" i="119"/>
  <c r="N821" i="161"/>
  <c r="N836" i="161"/>
  <c r="N845" i="161" s="1"/>
  <c r="N25" i="161" s="1"/>
  <c r="N28" i="161" s="1"/>
  <c r="N31" i="161" s="1"/>
  <c r="D990" i="120"/>
  <c r="D986" i="120"/>
  <c r="M820" i="107"/>
  <c r="M843" i="107" s="1"/>
  <c r="G978" i="120"/>
  <c r="F956" i="119"/>
  <c r="G845" i="107"/>
  <c r="G849" i="107" s="1"/>
  <c r="F966" i="119" s="1"/>
  <c r="J974" i="120"/>
  <c r="P816" i="107"/>
  <c r="P839" i="107" s="1"/>
  <c r="K976" i="120"/>
  <c r="Q818" i="107"/>
  <c r="Q841" i="107" s="1"/>
  <c r="K821" i="161"/>
  <c r="K836" i="161"/>
  <c r="K845" i="161" s="1"/>
  <c r="K25" i="161" s="1"/>
  <c r="K28" i="161" s="1"/>
  <c r="K31" i="161" s="1"/>
  <c r="P836" i="161"/>
  <c r="P845" i="161" s="1"/>
  <c r="P25" i="161" s="1"/>
  <c r="P28" i="161" s="1"/>
  <c r="P31" i="161" s="1"/>
  <c r="P821" i="161"/>
  <c r="L820" i="107"/>
  <c r="L843" i="107" s="1"/>
  <c r="F978" i="120"/>
  <c r="M84" i="161"/>
  <c r="M45" i="161"/>
  <c r="H973" i="120"/>
  <c r="N815" i="107"/>
  <c r="N838" i="107" s="1"/>
  <c r="I816" i="107"/>
  <c r="H934" i="119" s="1"/>
  <c r="E934" i="119"/>
  <c r="G80" i="161"/>
  <c r="G72" i="161"/>
  <c r="G76" i="161" s="1"/>
  <c r="G974" i="120"/>
  <c r="M816" i="107"/>
  <c r="M839" i="107" s="1"/>
  <c r="O820" i="107"/>
  <c r="O843" i="107" s="1"/>
  <c r="I978" i="120"/>
  <c r="D983" i="120"/>
  <c r="K989" i="120"/>
  <c r="K1012" i="120"/>
  <c r="G989" i="120"/>
  <c r="H989" i="120"/>
  <c r="H1012" i="120"/>
  <c r="I989" i="120"/>
  <c r="I1012" i="120"/>
  <c r="F989" i="120"/>
  <c r="F1012" i="120"/>
  <c r="J989" i="120"/>
  <c r="H984" i="120"/>
  <c r="E984" i="120"/>
  <c r="I984" i="120"/>
  <c r="I1007" i="120"/>
  <c r="E955" i="119"/>
  <c r="H955" i="119"/>
  <c r="J984" i="120"/>
  <c r="J1007" i="120"/>
  <c r="K984" i="120"/>
  <c r="G984" i="120"/>
  <c r="F984" i="120"/>
  <c r="F1007" i="120"/>
  <c r="N809" i="107"/>
  <c r="H979" i="120" s="1"/>
  <c r="N813" i="107"/>
  <c r="N836" i="107" s="1"/>
  <c r="Q813" i="107"/>
  <c r="Q836" i="107" s="1"/>
  <c r="Q809" i="107"/>
  <c r="K979" i="120" s="1"/>
  <c r="J971" i="120"/>
  <c r="O809" i="107"/>
  <c r="I979" i="120" s="1"/>
  <c r="O813" i="107"/>
  <c r="O836" i="107" s="1"/>
  <c r="P809" i="107"/>
  <c r="J979" i="120" s="1"/>
  <c r="E954" i="119"/>
  <c r="E983" i="120"/>
  <c r="L809" i="107"/>
  <c r="F979" i="120" s="1"/>
  <c r="L813" i="107"/>
  <c r="L836" i="107" s="1"/>
  <c r="F971" i="120"/>
  <c r="J983" i="120"/>
  <c r="E1007" i="120" l="1"/>
  <c r="E979" i="120"/>
  <c r="E959" i="119"/>
  <c r="F1009" i="120"/>
  <c r="H1011" i="120"/>
  <c r="E1013" i="120"/>
  <c r="K1013" i="120"/>
  <c r="F1013" i="120"/>
  <c r="F1008" i="120"/>
  <c r="H1006" i="120"/>
  <c r="H1009" i="120"/>
  <c r="G1011" i="120"/>
  <c r="J1013" i="120"/>
  <c r="G1008" i="120"/>
  <c r="I1011" i="120"/>
  <c r="I1013" i="120"/>
  <c r="K1011" i="120"/>
  <c r="E1008" i="120"/>
  <c r="G1006" i="120"/>
  <c r="K1006" i="120"/>
  <c r="E1011" i="120"/>
  <c r="K1009" i="120"/>
  <c r="K1008" i="120"/>
  <c r="I983" i="120"/>
  <c r="G1009" i="120"/>
  <c r="J1008" i="120"/>
  <c r="E939" i="119"/>
  <c r="K821" i="107"/>
  <c r="F845" i="107"/>
  <c r="M821" i="107"/>
  <c r="G991" i="120" s="1"/>
  <c r="G983" i="120"/>
  <c r="P821" i="107"/>
  <c r="J991" i="120" s="1"/>
  <c r="J845" i="107"/>
  <c r="J25" i="107" s="1"/>
  <c r="J28" i="107" s="1"/>
  <c r="J31" i="107" s="1"/>
  <c r="M72" i="161"/>
  <c r="M76" i="161" s="1"/>
  <c r="M80" i="161"/>
  <c r="K988" i="120"/>
  <c r="J836" i="161"/>
  <c r="J845" i="161" s="1"/>
  <c r="J25" i="161" s="1"/>
  <c r="J28" i="161" s="1"/>
  <c r="J31" i="161" s="1"/>
  <c r="J821" i="161"/>
  <c r="H84" i="161"/>
  <c r="H45" i="161"/>
  <c r="E988" i="120"/>
  <c r="H990" i="120"/>
  <c r="H1013" i="120"/>
  <c r="G988" i="120"/>
  <c r="J990" i="120"/>
  <c r="G82" i="161"/>
  <c r="G86" i="161" s="1"/>
  <c r="G89" i="161" s="1"/>
  <c r="G93" i="161" s="1"/>
  <c r="G96" i="161" s="1"/>
  <c r="G1612" i="161"/>
  <c r="J986" i="120"/>
  <c r="J1009" i="120"/>
  <c r="K986" i="120"/>
  <c r="E985" i="120"/>
  <c r="I986" i="120"/>
  <c r="I1009" i="120"/>
  <c r="G985" i="120"/>
  <c r="I813" i="161"/>
  <c r="F821" i="161"/>
  <c r="I821" i="161" s="1"/>
  <c r="F836" i="161"/>
  <c r="I988" i="120"/>
  <c r="E957" i="119"/>
  <c r="H957" i="119"/>
  <c r="F990" i="120"/>
  <c r="N84" i="161"/>
  <c r="N45" i="161"/>
  <c r="H986" i="120"/>
  <c r="I1008" i="120"/>
  <c r="I985" i="120"/>
  <c r="Q84" i="161"/>
  <c r="Q45" i="161"/>
  <c r="O72" i="161"/>
  <c r="O76" i="161" s="1"/>
  <c r="O80" i="161"/>
  <c r="K985" i="120"/>
  <c r="F962" i="119"/>
  <c r="G25" i="107"/>
  <c r="G28" i="107" s="1"/>
  <c r="P84" i="161"/>
  <c r="P45" i="161"/>
  <c r="F986" i="120"/>
  <c r="H988" i="120"/>
  <c r="J985" i="120"/>
  <c r="E961" i="119"/>
  <c r="H961" i="119"/>
  <c r="I990" i="120"/>
  <c r="H985" i="120"/>
  <c r="H1008" i="120"/>
  <c r="K84" i="161"/>
  <c r="K45" i="161"/>
  <c r="E956" i="119"/>
  <c r="H956" i="119"/>
  <c r="E986" i="120"/>
  <c r="E1009" i="120"/>
  <c r="J988" i="120"/>
  <c r="J1011" i="120"/>
  <c r="G986" i="120"/>
  <c r="G990" i="120"/>
  <c r="G1013" i="120"/>
  <c r="L80" i="161"/>
  <c r="L72" i="161"/>
  <c r="L76" i="161" s="1"/>
  <c r="F985" i="120"/>
  <c r="E960" i="119"/>
  <c r="H960" i="119"/>
  <c r="H25" i="107"/>
  <c r="H28" i="107" s="1"/>
  <c r="H31" i="107" s="1"/>
  <c r="G962" i="119"/>
  <c r="E990" i="120"/>
  <c r="K990" i="120"/>
  <c r="F988" i="120"/>
  <c r="F1011" i="120"/>
  <c r="H983" i="120"/>
  <c r="Q821" i="107"/>
  <c r="K991" i="120" s="1"/>
  <c r="K983" i="120"/>
  <c r="N821" i="107"/>
  <c r="H991" i="120" s="1"/>
  <c r="E1006" i="120"/>
  <c r="O821" i="107"/>
  <c r="I991" i="120" s="1"/>
  <c r="L821" i="107"/>
  <c r="F991" i="120" s="1"/>
  <c r="F983" i="120"/>
  <c r="D24" i="120" l="1"/>
  <c r="E991" i="120"/>
  <c r="F847" i="107"/>
  <c r="E962" i="119"/>
  <c r="I845" i="107"/>
  <c r="H962" i="119" s="1"/>
  <c r="F25" i="107"/>
  <c r="F28" i="107" s="1"/>
  <c r="D1015" i="120"/>
  <c r="P845" i="107"/>
  <c r="J1015" i="120" s="1"/>
  <c r="Q845" i="107"/>
  <c r="Q25" i="107" s="1"/>
  <c r="K24" i="120" s="1"/>
  <c r="K845" i="107"/>
  <c r="K72" i="161"/>
  <c r="K76" i="161" s="1"/>
  <c r="K80" i="161"/>
  <c r="F24" i="119"/>
  <c r="Q80" i="161"/>
  <c r="Q72" i="161"/>
  <c r="Q76" i="161" s="1"/>
  <c r="J84" i="161"/>
  <c r="J45" i="161"/>
  <c r="K47" i="161" s="1"/>
  <c r="G24" i="119"/>
  <c r="N80" i="161"/>
  <c r="N72" i="161"/>
  <c r="N76" i="161" s="1"/>
  <c r="P80" i="161"/>
  <c r="P72" i="161"/>
  <c r="P76" i="161" s="1"/>
  <c r="I836" i="161"/>
  <c r="F845" i="161"/>
  <c r="N845" i="107"/>
  <c r="O1612" i="161"/>
  <c r="O82" i="161"/>
  <c r="O86" i="161" s="1"/>
  <c r="O89" i="161" s="1"/>
  <c r="O93" i="161" s="1"/>
  <c r="O96" i="161" s="1"/>
  <c r="O98" i="161" s="1"/>
  <c r="M845" i="107"/>
  <c r="M25" i="107" s="1"/>
  <c r="G1618" i="161"/>
  <c r="G1677" i="161" s="1"/>
  <c r="G1617" i="161"/>
  <c r="G1676" i="161" s="1"/>
  <c r="G1688" i="161" s="1"/>
  <c r="G1622" i="161"/>
  <c r="G1681" i="161" s="1"/>
  <c r="G1620" i="161"/>
  <c r="G1679" i="161" s="1"/>
  <c r="G1619" i="161"/>
  <c r="G1678" i="161" s="1"/>
  <c r="G1616" i="161"/>
  <c r="G1675" i="161" s="1"/>
  <c r="G1687" i="161" s="1"/>
  <c r="G1615" i="161"/>
  <c r="G1621" i="161"/>
  <c r="G1680" i="161" s="1"/>
  <c r="M1612" i="161"/>
  <c r="M82" i="161"/>
  <c r="M86" i="161" s="1"/>
  <c r="M89" i="161" s="1"/>
  <c r="M93" i="161" s="1"/>
  <c r="M96" i="161" s="1"/>
  <c r="M98" i="161" s="1"/>
  <c r="L82" i="161"/>
  <c r="L86" i="161" s="1"/>
  <c r="L89" i="161" s="1"/>
  <c r="L93" i="161" s="1"/>
  <c r="L96" i="161" s="1"/>
  <c r="L98" i="161" s="1"/>
  <c r="L1612" i="161"/>
  <c r="H80" i="161"/>
  <c r="H72" i="161"/>
  <c r="H76" i="161" s="1"/>
  <c r="O845" i="107"/>
  <c r="I1006" i="120"/>
  <c r="F1006" i="120"/>
  <c r="L845" i="107"/>
  <c r="H847" i="107" l="1"/>
  <c r="E964" i="119"/>
  <c r="F849" i="107"/>
  <c r="D8" i="113"/>
  <c r="D9" i="113" s="1"/>
  <c r="J84" i="107"/>
  <c r="D77" i="120" s="1"/>
  <c r="D27" i="120"/>
  <c r="I25" i="107"/>
  <c r="H24" i="119" s="1"/>
  <c r="E24" i="119"/>
  <c r="Q28" i="107"/>
  <c r="K1015" i="120"/>
  <c r="P25" i="107"/>
  <c r="J24" i="120" s="1"/>
  <c r="N47" i="161"/>
  <c r="G1015" i="120"/>
  <c r="K25" i="107"/>
  <c r="K28" i="107" s="1"/>
  <c r="K31" i="107" s="1"/>
  <c r="E1015" i="120"/>
  <c r="G1692" i="161"/>
  <c r="G1703" i="161" s="1"/>
  <c r="P82" i="161"/>
  <c r="P86" i="161" s="1"/>
  <c r="P89" i="161" s="1"/>
  <c r="P93" i="161" s="1"/>
  <c r="P96" i="161" s="1"/>
  <c r="P98" i="161" s="1"/>
  <c r="P1612" i="161"/>
  <c r="G1674" i="161"/>
  <c r="G1623" i="161"/>
  <c r="Q47" i="161"/>
  <c r="G1698" i="161"/>
  <c r="O1617" i="161"/>
  <c r="O1676" i="161" s="1"/>
  <c r="O1688" i="161" s="1"/>
  <c r="O1699" i="161" s="1"/>
  <c r="O1725" i="161" s="1"/>
  <c r="O1759" i="161" s="1"/>
  <c r="O1849" i="161" s="1"/>
  <c r="O1622" i="161"/>
  <c r="O1681" i="161" s="1"/>
  <c r="O1693" i="161" s="1"/>
  <c r="O1704" i="161" s="1"/>
  <c r="O1730" i="161" s="1"/>
  <c r="O1764" i="161" s="1"/>
  <c r="O1854" i="161" s="1"/>
  <c r="O1619" i="161"/>
  <c r="O1678" i="161" s="1"/>
  <c r="O1690" i="161" s="1"/>
  <c r="O1701" i="161" s="1"/>
  <c r="O1727" i="161" s="1"/>
  <c r="O1761" i="161" s="1"/>
  <c r="O1851" i="161" s="1"/>
  <c r="O1616" i="161"/>
  <c r="O1675" i="161" s="1"/>
  <c r="O1618" i="161"/>
  <c r="O1677" i="161" s="1"/>
  <c r="O1689" i="161" s="1"/>
  <c r="O1700" i="161" s="1"/>
  <c r="O1726" i="161" s="1"/>
  <c r="O1760" i="161" s="1"/>
  <c r="O1850" i="161" s="1"/>
  <c r="O1620" i="161"/>
  <c r="O1679" i="161" s="1"/>
  <c r="O1691" i="161" s="1"/>
  <c r="O1702" i="161" s="1"/>
  <c r="O1728" i="161" s="1"/>
  <c r="O1762" i="161" s="1"/>
  <c r="O1852" i="161" s="1"/>
  <c r="O1621" i="161"/>
  <c r="O1680" i="161" s="1"/>
  <c r="O1692" i="161" s="1"/>
  <c r="O1703" i="161" s="1"/>
  <c r="O1729" i="161" s="1"/>
  <c r="O1763" i="161" s="1"/>
  <c r="O1853" i="161" s="1"/>
  <c r="O1615" i="161"/>
  <c r="Q1612" i="161"/>
  <c r="Q82" i="161"/>
  <c r="Q86" i="161" s="1"/>
  <c r="Q89" i="161" s="1"/>
  <c r="Q93" i="161" s="1"/>
  <c r="Q96" i="161" s="1"/>
  <c r="Q98" i="161" s="1"/>
  <c r="H1612" i="161"/>
  <c r="H82" i="161"/>
  <c r="H86" i="161" s="1"/>
  <c r="H89" i="161" s="1"/>
  <c r="H93" i="161" s="1"/>
  <c r="H96" i="161" s="1"/>
  <c r="G1690" i="161"/>
  <c r="G1701" i="161" s="1"/>
  <c r="H1015" i="120"/>
  <c r="N25" i="107"/>
  <c r="N82" i="161"/>
  <c r="N86" i="161" s="1"/>
  <c r="N89" i="161" s="1"/>
  <c r="N93" i="161" s="1"/>
  <c r="N96" i="161" s="1"/>
  <c r="N98" i="161" s="1"/>
  <c r="N1612" i="161"/>
  <c r="L1616" i="161"/>
  <c r="L1675" i="161" s="1"/>
  <c r="L1620" i="161"/>
  <c r="L1679" i="161" s="1"/>
  <c r="L1691" i="161" s="1"/>
  <c r="L1702" i="161" s="1"/>
  <c r="L1728" i="161" s="1"/>
  <c r="L1762" i="161" s="1"/>
  <c r="L1852" i="161" s="1"/>
  <c r="L1618" i="161"/>
  <c r="L1677" i="161" s="1"/>
  <c r="L1689" i="161" s="1"/>
  <c r="L1700" i="161" s="1"/>
  <c r="L1726" i="161" s="1"/>
  <c r="L1760" i="161" s="1"/>
  <c r="L1850" i="161" s="1"/>
  <c r="L1619" i="161"/>
  <c r="L1678" i="161" s="1"/>
  <c r="L1622" i="161"/>
  <c r="L1681" i="161" s="1"/>
  <c r="L1693" i="161" s="1"/>
  <c r="L1704" i="161" s="1"/>
  <c r="L1730" i="161" s="1"/>
  <c r="L1764" i="161" s="1"/>
  <c r="L1854" i="161" s="1"/>
  <c r="L1617" i="161"/>
  <c r="L1676" i="161" s="1"/>
  <c r="L1688" i="161" s="1"/>
  <c r="L1699" i="161" s="1"/>
  <c r="L1725" i="161" s="1"/>
  <c r="L1759" i="161" s="1"/>
  <c r="L1849" i="161" s="1"/>
  <c r="L1621" i="161"/>
  <c r="L1680" i="161" s="1"/>
  <c r="L1692" i="161" s="1"/>
  <c r="L1703" i="161" s="1"/>
  <c r="L1729" i="161" s="1"/>
  <c r="L1763" i="161" s="1"/>
  <c r="L1853" i="161" s="1"/>
  <c r="L1615" i="161"/>
  <c r="G1691" i="161"/>
  <c r="G1702" i="161" s="1"/>
  <c r="I845" i="161"/>
  <c r="F25" i="161"/>
  <c r="D8" i="165" s="1"/>
  <c r="D9" i="165" s="1"/>
  <c r="G27" i="119"/>
  <c r="G31" i="107"/>
  <c r="F27" i="119"/>
  <c r="G1693" i="161"/>
  <c r="G1704" i="161" s="1"/>
  <c r="G1699" i="161"/>
  <c r="J80" i="161"/>
  <c r="J72" i="161"/>
  <c r="J76" i="161" s="1"/>
  <c r="J47" i="161"/>
  <c r="O47" i="161"/>
  <c r="M47" i="161"/>
  <c r="L47" i="161"/>
  <c r="K1612" i="161"/>
  <c r="K82" i="161"/>
  <c r="K86" i="161" s="1"/>
  <c r="K89" i="161" s="1"/>
  <c r="K93" i="161" s="1"/>
  <c r="K96" i="161" s="1"/>
  <c r="K98" i="161" s="1"/>
  <c r="M1618" i="161"/>
  <c r="M1677" i="161" s="1"/>
  <c r="M1689" i="161" s="1"/>
  <c r="M1700" i="161" s="1"/>
  <c r="M1726" i="161" s="1"/>
  <c r="M1760" i="161" s="1"/>
  <c r="M1850" i="161" s="1"/>
  <c r="M1617" i="161"/>
  <c r="M1676" i="161" s="1"/>
  <c r="M1688" i="161" s="1"/>
  <c r="M1699" i="161" s="1"/>
  <c r="M1725" i="161" s="1"/>
  <c r="M1759" i="161" s="1"/>
  <c r="M1849" i="161" s="1"/>
  <c r="M1622" i="161"/>
  <c r="M1681" i="161" s="1"/>
  <c r="M1693" i="161" s="1"/>
  <c r="M1704" i="161" s="1"/>
  <c r="M1730" i="161" s="1"/>
  <c r="M1764" i="161" s="1"/>
  <c r="M1854" i="161" s="1"/>
  <c r="M1620" i="161"/>
  <c r="M1679" i="161" s="1"/>
  <c r="M1691" i="161" s="1"/>
  <c r="M1702" i="161" s="1"/>
  <c r="M1728" i="161" s="1"/>
  <c r="M1762" i="161" s="1"/>
  <c r="M1852" i="161" s="1"/>
  <c r="M1616" i="161"/>
  <c r="M1675" i="161" s="1"/>
  <c r="M1687" i="161" s="1"/>
  <c r="M1698" i="161" s="1"/>
  <c r="M1724" i="161" s="1"/>
  <c r="M1758" i="161" s="1"/>
  <c r="M1848" i="161" s="1"/>
  <c r="M1619" i="161"/>
  <c r="M1678" i="161" s="1"/>
  <c r="M1690" i="161" s="1"/>
  <c r="M1701" i="161" s="1"/>
  <c r="M1727" i="161" s="1"/>
  <c r="M1761" i="161" s="1"/>
  <c r="M1851" i="161" s="1"/>
  <c r="M1615" i="161"/>
  <c r="M1621" i="161"/>
  <c r="M1680" i="161" s="1"/>
  <c r="M1692" i="161" s="1"/>
  <c r="M1703" i="161" s="1"/>
  <c r="M1729" i="161" s="1"/>
  <c r="M1763" i="161" s="1"/>
  <c r="M1853" i="161" s="1"/>
  <c r="G1689" i="161"/>
  <c r="P47" i="161"/>
  <c r="I1015" i="120"/>
  <c r="O25" i="107"/>
  <c r="E27" i="119"/>
  <c r="I28" i="107"/>
  <c r="H27" i="119" s="1"/>
  <c r="F31" i="107"/>
  <c r="F1015" i="120"/>
  <c r="L25" i="107"/>
  <c r="G24" i="120"/>
  <c r="M28" i="107"/>
  <c r="E966" i="119" l="1"/>
  <c r="H849" i="107"/>
  <c r="G966" i="119" s="1"/>
  <c r="G964" i="119"/>
  <c r="D30" i="120"/>
  <c r="J45" i="107"/>
  <c r="D44" i="120" s="1"/>
  <c r="K27" i="120"/>
  <c r="Q31" i="107"/>
  <c r="Q84" i="107" s="1"/>
  <c r="K77" i="120" s="1"/>
  <c r="P28" i="107"/>
  <c r="E24" i="120"/>
  <c r="G1727" i="161"/>
  <c r="G1761" i="161" s="1"/>
  <c r="G1851" i="161" s="1"/>
  <c r="G1729" i="161"/>
  <c r="G1763" i="161" s="1"/>
  <c r="G1853" i="161" s="1"/>
  <c r="J1612" i="161"/>
  <c r="J82" i="161"/>
  <c r="J86" i="161" s="1"/>
  <c r="J89" i="161" s="1"/>
  <c r="J93" i="161" s="1"/>
  <c r="J96" i="161" s="1"/>
  <c r="J98" i="161" s="1"/>
  <c r="G30" i="119"/>
  <c r="H84" i="107"/>
  <c r="H45" i="107"/>
  <c r="G1724" i="161"/>
  <c r="G1758" i="161" s="1"/>
  <c r="G1848" i="161" s="1"/>
  <c r="I25" i="161"/>
  <c r="F28" i="161"/>
  <c r="L1690" i="161"/>
  <c r="L1701" i="161" s="1"/>
  <c r="L1727" i="161" s="1"/>
  <c r="L1761" i="161" s="1"/>
  <c r="L1851" i="161" s="1"/>
  <c r="M1623" i="161"/>
  <c r="M1674" i="161"/>
  <c r="K1622" i="161"/>
  <c r="K1681" i="161" s="1"/>
  <c r="K1617" i="161"/>
  <c r="K1676" i="161" s="1"/>
  <c r="K1688" i="161" s="1"/>
  <c r="K1699" i="161" s="1"/>
  <c r="K1725" i="161" s="1"/>
  <c r="K1759" i="161" s="1"/>
  <c r="K1849" i="161" s="1"/>
  <c r="K1619" i="161"/>
  <c r="K1678" i="161" s="1"/>
  <c r="K1620" i="161"/>
  <c r="K1679" i="161" s="1"/>
  <c r="K1691" i="161" s="1"/>
  <c r="K1702" i="161" s="1"/>
  <c r="K1728" i="161" s="1"/>
  <c r="K1762" i="161" s="1"/>
  <c r="K1852" i="161" s="1"/>
  <c r="K1618" i="161"/>
  <c r="K1677" i="161" s="1"/>
  <c r="K1689" i="161" s="1"/>
  <c r="K1700" i="161" s="1"/>
  <c r="K1616" i="161"/>
  <c r="K1675" i="161" s="1"/>
  <c r="K1687" i="161" s="1"/>
  <c r="K1698" i="161" s="1"/>
  <c r="K1724" i="161" s="1"/>
  <c r="K1758" i="161" s="1"/>
  <c r="K1848" i="161" s="1"/>
  <c r="K1615" i="161"/>
  <c r="K1621" i="161"/>
  <c r="K1680" i="161" s="1"/>
  <c r="K1692" i="161" s="1"/>
  <c r="K1703" i="161" s="1"/>
  <c r="K1729" i="161" s="1"/>
  <c r="K1763" i="161" s="1"/>
  <c r="K1853" i="161" s="1"/>
  <c r="G1725" i="161"/>
  <c r="G1759" i="161" s="1"/>
  <c r="G1849" i="161" s="1"/>
  <c r="G1730" i="161"/>
  <c r="G1728" i="161"/>
  <c r="O1687" i="161"/>
  <c r="O1698" i="161" s="1"/>
  <c r="O1724" i="161" s="1"/>
  <c r="O1758" i="161" s="1"/>
  <c r="O1848" i="161" s="1"/>
  <c r="G1686" i="161"/>
  <c r="G1682" i="161"/>
  <c r="L1687" i="161"/>
  <c r="L1698" i="161" s="1"/>
  <c r="L1724" i="161" s="1"/>
  <c r="L1758" i="161" s="1"/>
  <c r="L1848" i="161" s="1"/>
  <c r="H1621" i="161"/>
  <c r="H1680" i="161" s="1"/>
  <c r="H1692" i="161" s="1"/>
  <c r="H1703" i="161" s="1"/>
  <c r="H1619" i="161"/>
  <c r="H1678" i="161" s="1"/>
  <c r="H1690" i="161" s="1"/>
  <c r="H1701" i="161" s="1"/>
  <c r="H1727" i="161" s="1"/>
  <c r="H1761" i="161" s="1"/>
  <c r="H1851" i="161" s="1"/>
  <c r="H1617" i="161"/>
  <c r="H1676" i="161" s="1"/>
  <c r="H1688" i="161" s="1"/>
  <c r="H1622" i="161"/>
  <c r="H1681" i="161" s="1"/>
  <c r="H1693" i="161" s="1"/>
  <c r="H1704" i="161" s="1"/>
  <c r="H1730" i="161" s="1"/>
  <c r="H1764" i="161" s="1"/>
  <c r="H1854" i="161" s="1"/>
  <c r="H1616" i="161"/>
  <c r="H1675" i="161" s="1"/>
  <c r="H1687" i="161" s="1"/>
  <c r="H1618" i="161"/>
  <c r="H1677" i="161" s="1"/>
  <c r="H1689" i="161" s="1"/>
  <c r="H1700" i="161" s="1"/>
  <c r="H1726" i="161" s="1"/>
  <c r="H1760" i="161" s="1"/>
  <c r="H1850" i="161" s="1"/>
  <c r="H1620" i="161"/>
  <c r="H1679" i="161" s="1"/>
  <c r="H1691" i="161" s="1"/>
  <c r="H1702" i="161" s="1"/>
  <c r="H1728" i="161" s="1"/>
  <c r="H1762" i="161" s="1"/>
  <c r="H1852" i="161" s="1"/>
  <c r="H1615" i="161"/>
  <c r="P1620" i="161"/>
  <c r="P1679" i="161" s="1"/>
  <c r="P1691" i="161" s="1"/>
  <c r="P1702" i="161" s="1"/>
  <c r="P1728" i="161" s="1"/>
  <c r="P1762" i="161" s="1"/>
  <c r="P1852" i="161" s="1"/>
  <c r="P1617" i="161"/>
  <c r="P1676" i="161" s="1"/>
  <c r="P1688" i="161" s="1"/>
  <c r="P1699" i="161" s="1"/>
  <c r="P1725" i="161" s="1"/>
  <c r="P1759" i="161" s="1"/>
  <c r="P1849" i="161" s="1"/>
  <c r="P1616" i="161"/>
  <c r="P1675" i="161" s="1"/>
  <c r="P1687" i="161" s="1"/>
  <c r="P1698" i="161" s="1"/>
  <c r="P1724" i="161" s="1"/>
  <c r="P1758" i="161" s="1"/>
  <c r="P1848" i="161" s="1"/>
  <c r="P1622" i="161"/>
  <c r="P1681" i="161" s="1"/>
  <c r="P1693" i="161" s="1"/>
  <c r="P1704" i="161" s="1"/>
  <c r="P1730" i="161" s="1"/>
  <c r="P1764" i="161" s="1"/>
  <c r="P1854" i="161" s="1"/>
  <c r="P1619" i="161"/>
  <c r="P1678" i="161" s="1"/>
  <c r="P1690" i="161" s="1"/>
  <c r="P1701" i="161" s="1"/>
  <c r="P1727" i="161" s="1"/>
  <c r="P1761" i="161" s="1"/>
  <c r="P1851" i="161" s="1"/>
  <c r="P1618" i="161"/>
  <c r="P1677" i="161" s="1"/>
  <c r="P1689" i="161" s="1"/>
  <c r="P1700" i="161" s="1"/>
  <c r="P1726" i="161" s="1"/>
  <c r="P1760" i="161" s="1"/>
  <c r="P1850" i="161" s="1"/>
  <c r="P1615" i="161"/>
  <c r="P1621" i="161"/>
  <c r="P1680" i="161" s="1"/>
  <c r="P1692" i="161" s="1"/>
  <c r="P1703" i="161" s="1"/>
  <c r="P1729" i="161" s="1"/>
  <c r="P1763" i="161" s="1"/>
  <c r="P1853" i="161" s="1"/>
  <c r="L1623" i="161"/>
  <c r="L1674" i="161"/>
  <c r="N1616" i="161"/>
  <c r="N1675" i="161" s="1"/>
  <c r="N1687" i="161" s="1"/>
  <c r="N1698" i="161" s="1"/>
  <c r="N1724" i="161" s="1"/>
  <c r="N1758" i="161" s="1"/>
  <c r="N1848" i="161" s="1"/>
  <c r="N1618" i="161"/>
  <c r="N1677" i="161" s="1"/>
  <c r="N1689" i="161" s="1"/>
  <c r="N1700" i="161" s="1"/>
  <c r="N1726" i="161" s="1"/>
  <c r="N1760" i="161" s="1"/>
  <c r="N1850" i="161" s="1"/>
  <c r="N1617" i="161"/>
  <c r="N1676" i="161" s="1"/>
  <c r="N1688" i="161" s="1"/>
  <c r="N1699" i="161" s="1"/>
  <c r="N1725" i="161" s="1"/>
  <c r="N1759" i="161" s="1"/>
  <c r="N1849" i="161" s="1"/>
  <c r="N1619" i="161"/>
  <c r="N1678" i="161" s="1"/>
  <c r="N1690" i="161" s="1"/>
  <c r="N1701" i="161" s="1"/>
  <c r="N1727" i="161" s="1"/>
  <c r="N1761" i="161" s="1"/>
  <c r="N1851" i="161" s="1"/>
  <c r="N1622" i="161"/>
  <c r="N1681" i="161" s="1"/>
  <c r="N1620" i="161"/>
  <c r="N1679" i="161" s="1"/>
  <c r="N1691" i="161" s="1"/>
  <c r="N1702" i="161" s="1"/>
  <c r="N1728" i="161" s="1"/>
  <c r="N1762" i="161" s="1"/>
  <c r="N1852" i="161" s="1"/>
  <c r="N1615" i="161"/>
  <c r="N1621" i="161"/>
  <c r="N1680" i="161" s="1"/>
  <c r="N1692" i="161" s="1"/>
  <c r="N1703" i="161" s="1"/>
  <c r="N1729" i="161" s="1"/>
  <c r="N1763" i="161" s="1"/>
  <c r="N1853" i="161" s="1"/>
  <c r="G84" i="107"/>
  <c r="F30" i="119"/>
  <c r="G45" i="107"/>
  <c r="Q1616" i="161"/>
  <c r="Q1675" i="161" s="1"/>
  <c r="Q1687" i="161" s="1"/>
  <c r="Q1698" i="161" s="1"/>
  <c r="Q1724" i="161" s="1"/>
  <c r="Q1758" i="161" s="1"/>
  <c r="Q1848" i="161" s="1"/>
  <c r="Q1622" i="161"/>
  <c r="Q1681" i="161" s="1"/>
  <c r="Q1693" i="161" s="1"/>
  <c r="Q1704" i="161" s="1"/>
  <c r="Q1730" i="161" s="1"/>
  <c r="Q1764" i="161" s="1"/>
  <c r="Q1854" i="161" s="1"/>
  <c r="Q1617" i="161"/>
  <c r="Q1676" i="161" s="1"/>
  <c r="Q1688" i="161" s="1"/>
  <c r="Q1699" i="161" s="1"/>
  <c r="Q1725" i="161" s="1"/>
  <c r="Q1759" i="161" s="1"/>
  <c r="Q1849" i="161" s="1"/>
  <c r="Q1619" i="161"/>
  <c r="Q1678" i="161" s="1"/>
  <c r="Q1690" i="161" s="1"/>
  <c r="Q1701" i="161" s="1"/>
  <c r="Q1727" i="161" s="1"/>
  <c r="Q1761" i="161" s="1"/>
  <c r="Q1851" i="161" s="1"/>
  <c r="Q1618" i="161"/>
  <c r="Q1677" i="161" s="1"/>
  <c r="Q1689" i="161" s="1"/>
  <c r="Q1700" i="161" s="1"/>
  <c r="Q1726" i="161" s="1"/>
  <c r="Q1760" i="161" s="1"/>
  <c r="Q1850" i="161" s="1"/>
  <c r="Q1620" i="161"/>
  <c r="Q1679" i="161" s="1"/>
  <c r="Q1691" i="161" s="1"/>
  <c r="Q1702" i="161" s="1"/>
  <c r="Q1728" i="161" s="1"/>
  <c r="Q1762" i="161" s="1"/>
  <c r="Q1852" i="161" s="1"/>
  <c r="Q1621" i="161"/>
  <c r="Q1680" i="161" s="1"/>
  <c r="Q1692" i="161" s="1"/>
  <c r="Q1703" i="161" s="1"/>
  <c r="Q1729" i="161" s="1"/>
  <c r="Q1763" i="161" s="1"/>
  <c r="Q1853" i="161" s="1"/>
  <c r="Q1615" i="161"/>
  <c r="G1700" i="161"/>
  <c r="H24" i="120"/>
  <c r="N28" i="107"/>
  <c r="O1674" i="161"/>
  <c r="O1623" i="161"/>
  <c r="O28" i="107"/>
  <c r="I24" i="120"/>
  <c r="E30" i="119"/>
  <c r="I31" i="107"/>
  <c r="H30" i="119" s="1"/>
  <c r="F84" i="107"/>
  <c r="F86" i="107" s="1"/>
  <c r="F89" i="107" s="1"/>
  <c r="F45" i="107"/>
  <c r="F72" i="107" s="1"/>
  <c r="F76" i="107" s="1"/>
  <c r="F24" i="120"/>
  <c r="L28" i="107"/>
  <c r="M31" i="107"/>
  <c r="G27" i="120"/>
  <c r="I849" i="107" l="1"/>
  <c r="AG24" i="115" s="1"/>
  <c r="F93" i="107"/>
  <c r="F96" i="107" s="1"/>
  <c r="F98" i="107" s="1"/>
  <c r="J72" i="107"/>
  <c r="J76" i="107" s="1"/>
  <c r="K30" i="120"/>
  <c r="J80" i="107"/>
  <c r="D73" i="120" s="1"/>
  <c r="J47" i="107"/>
  <c r="D46" i="120" s="1"/>
  <c r="Q45" i="107"/>
  <c r="Q72" i="107" s="1"/>
  <c r="Q76" i="107" s="1"/>
  <c r="J27" i="120"/>
  <c r="P31" i="107"/>
  <c r="F1692" i="161"/>
  <c r="F1703" i="161" s="1"/>
  <c r="F1728" i="161"/>
  <c r="F1730" i="161"/>
  <c r="E27" i="120"/>
  <c r="Q1623" i="161"/>
  <c r="Q1674" i="161"/>
  <c r="H1699" i="161"/>
  <c r="H1725" i="161" s="1"/>
  <c r="H1759" i="161" s="1"/>
  <c r="H1849" i="161" s="1"/>
  <c r="F1688" i="161"/>
  <c r="F1699" i="161" s="1"/>
  <c r="G1764" i="161"/>
  <c r="G1854" i="161" s="1"/>
  <c r="M1686" i="161"/>
  <c r="M1694" i="161" s="1"/>
  <c r="M1682" i="161"/>
  <c r="G80" i="107"/>
  <c r="G72" i="107"/>
  <c r="G76" i="107" s="1"/>
  <c r="N1693" i="161"/>
  <c r="N1704" i="161" s="1"/>
  <c r="N1730" i="161" s="1"/>
  <c r="N1764" i="161" s="1"/>
  <c r="N1854" i="161" s="1"/>
  <c r="G1697" i="161"/>
  <c r="G1694" i="161"/>
  <c r="K1623" i="161"/>
  <c r="K1674" i="161"/>
  <c r="H1729" i="161"/>
  <c r="H1763" i="161" s="1"/>
  <c r="H1853" i="161" s="1"/>
  <c r="F1689" i="161"/>
  <c r="F1700" i="161" s="1"/>
  <c r="P1623" i="161"/>
  <c r="P1674" i="161"/>
  <c r="H1674" i="161"/>
  <c r="H1623" i="161"/>
  <c r="K1726" i="161"/>
  <c r="K1760" i="161" s="1"/>
  <c r="K1850" i="161" s="1"/>
  <c r="J1622" i="161"/>
  <c r="J1681" i="161" s="1"/>
  <c r="J1693" i="161" s="1"/>
  <c r="J1704" i="161" s="1"/>
  <c r="J1730" i="161" s="1"/>
  <c r="J1764" i="161" s="1"/>
  <c r="J1854" i="161" s="1"/>
  <c r="J1617" i="161"/>
  <c r="J1676" i="161" s="1"/>
  <c r="J1688" i="161" s="1"/>
  <c r="J1699" i="161" s="1"/>
  <c r="J1725" i="161" s="1"/>
  <c r="J1759" i="161" s="1"/>
  <c r="J1849" i="161" s="1"/>
  <c r="J1616" i="161"/>
  <c r="J1675" i="161" s="1"/>
  <c r="J1687" i="161" s="1"/>
  <c r="J1698" i="161" s="1"/>
  <c r="J1724" i="161" s="1"/>
  <c r="J1758" i="161" s="1"/>
  <c r="J1848" i="161" s="1"/>
  <c r="J1618" i="161"/>
  <c r="J1677" i="161" s="1"/>
  <c r="J1620" i="161"/>
  <c r="J1679" i="161" s="1"/>
  <c r="J1691" i="161" s="1"/>
  <c r="J1702" i="161" s="1"/>
  <c r="J1728" i="161" s="1"/>
  <c r="J1762" i="161" s="1"/>
  <c r="J1852" i="161" s="1"/>
  <c r="J1619" i="161"/>
  <c r="J1678" i="161" s="1"/>
  <c r="J1690" i="161" s="1"/>
  <c r="J1701" i="161" s="1"/>
  <c r="J1727" i="161" s="1"/>
  <c r="J1761" i="161" s="1"/>
  <c r="J1851" i="161" s="1"/>
  <c r="J1621" i="161"/>
  <c r="J1680" i="161" s="1"/>
  <c r="J1692" i="161" s="1"/>
  <c r="J1703" i="161" s="1"/>
  <c r="J1729" i="161" s="1"/>
  <c r="J1763" i="161" s="1"/>
  <c r="J1853" i="161" s="1"/>
  <c r="J1615" i="161"/>
  <c r="N31" i="107"/>
  <c r="H27" i="120"/>
  <c r="F1690" i="161"/>
  <c r="F1701" i="161" s="1"/>
  <c r="O1686" i="161"/>
  <c r="O1694" i="161" s="1"/>
  <c r="O1682" i="161"/>
  <c r="F1691" i="161"/>
  <c r="F1702" i="161" s="1"/>
  <c r="K1690" i="161"/>
  <c r="K1701" i="161" s="1"/>
  <c r="K1727" i="161" s="1"/>
  <c r="K1761" i="161" s="1"/>
  <c r="K1851" i="161" s="1"/>
  <c r="G1726" i="161"/>
  <c r="F1726" i="161" s="1"/>
  <c r="L1686" i="161"/>
  <c r="L1694" i="161" s="1"/>
  <c r="L1682" i="161"/>
  <c r="H1698" i="161"/>
  <c r="H1724" i="161" s="1"/>
  <c r="H1758" i="161" s="1"/>
  <c r="H1848" i="161" s="1"/>
  <c r="F1687" i="161"/>
  <c r="F1698" i="161" s="1"/>
  <c r="F1693" i="161"/>
  <c r="F1704" i="161" s="1"/>
  <c r="G1762" i="161"/>
  <c r="G1852" i="161" s="1"/>
  <c r="N1623" i="161"/>
  <c r="N1674" i="161"/>
  <c r="K1693" i="161"/>
  <c r="K1704" i="161" s="1"/>
  <c r="K1730" i="161" s="1"/>
  <c r="K1764" i="161" s="1"/>
  <c r="K1854" i="161" s="1"/>
  <c r="I28" i="161"/>
  <c r="F31" i="161"/>
  <c r="H72" i="107"/>
  <c r="H76" i="107" s="1"/>
  <c r="H80" i="107"/>
  <c r="F1727" i="161"/>
  <c r="I27" i="120"/>
  <c r="O31" i="107"/>
  <c r="L31" i="107"/>
  <c r="F27" i="120"/>
  <c r="M84" i="107"/>
  <c r="G77" i="120" s="1"/>
  <c r="G30" i="120"/>
  <c r="M45" i="107"/>
  <c r="H966" i="119" l="1"/>
  <c r="AK24" i="115"/>
  <c r="AI24" i="115"/>
  <c r="J1612" i="107"/>
  <c r="J1620" i="107" s="1"/>
  <c r="J82" i="107"/>
  <c r="J86" i="107" s="1"/>
  <c r="J89" i="107" s="1"/>
  <c r="Q47" i="107"/>
  <c r="K46" i="120" s="1"/>
  <c r="Q80" i="107"/>
  <c r="Q1612" i="107" s="1"/>
  <c r="K44" i="120"/>
  <c r="F1729" i="161"/>
  <c r="F1763" i="161" s="1"/>
  <c r="F1853" i="161" s="1"/>
  <c r="J30" i="120"/>
  <c r="P45" i="107"/>
  <c r="P84" i="107"/>
  <c r="J77" i="120" s="1"/>
  <c r="F1764" i="161"/>
  <c r="F1854" i="161" s="1"/>
  <c r="F1762" i="161"/>
  <c r="F1852" i="161" s="1"/>
  <c r="F1760" i="161"/>
  <c r="F1850" i="161" s="1"/>
  <c r="F1725" i="161"/>
  <c r="F1759" i="161" s="1"/>
  <c r="F1849" i="161" s="1"/>
  <c r="G1760" i="161"/>
  <c r="G1850" i="161" s="1"/>
  <c r="K45" i="107"/>
  <c r="E30" i="120"/>
  <c r="K84" i="107"/>
  <c r="F1761" i="161"/>
  <c r="F1851" i="161" s="1"/>
  <c r="L1697" i="161"/>
  <c r="F1724" i="161"/>
  <c r="F1758" i="161" s="1"/>
  <c r="F1848" i="161" s="1"/>
  <c r="J1689" i="161"/>
  <c r="J1700" i="161" s="1"/>
  <c r="J1726" i="161" s="1"/>
  <c r="J1760" i="161" s="1"/>
  <c r="J1850" i="161" s="1"/>
  <c r="K1686" i="161"/>
  <c r="K1694" i="161" s="1"/>
  <c r="K1682" i="161"/>
  <c r="Q1682" i="161"/>
  <c r="Q1686" i="161"/>
  <c r="Q1694" i="161" s="1"/>
  <c r="H1612" i="107"/>
  <c r="H82" i="107"/>
  <c r="H86" i="107" s="1"/>
  <c r="H89" i="107" s="1"/>
  <c r="N45" i="107"/>
  <c r="H30" i="120"/>
  <c r="N84" i="107"/>
  <c r="H77" i="120" s="1"/>
  <c r="H1686" i="161"/>
  <c r="H1697" i="161" s="1"/>
  <c r="H1682" i="161"/>
  <c r="N1682" i="161"/>
  <c r="N1686" i="161"/>
  <c r="N1694" i="161" s="1"/>
  <c r="P1682" i="161"/>
  <c r="P1686" i="161"/>
  <c r="P1694" i="161" s="1"/>
  <c r="I31" i="161"/>
  <c r="F84" i="161"/>
  <c r="F86" i="161" s="1"/>
  <c r="F89" i="161" s="1"/>
  <c r="F93" i="161" s="1"/>
  <c r="F96" i="161" s="1"/>
  <c r="F98" i="161" s="1"/>
  <c r="F45" i="161"/>
  <c r="F72" i="161" s="1"/>
  <c r="F76" i="161" s="1"/>
  <c r="J1674" i="161"/>
  <c r="J1623" i="161"/>
  <c r="G1612" i="107"/>
  <c r="G82" i="107"/>
  <c r="G86" i="107" s="1"/>
  <c r="G89" i="107" s="1"/>
  <c r="G93" i="107" s="1"/>
  <c r="G96" i="107" s="1"/>
  <c r="O1697" i="161"/>
  <c r="G1723" i="161"/>
  <c r="G1705" i="161"/>
  <c r="M1697" i="161"/>
  <c r="I30" i="120"/>
  <c r="O84" i="107"/>
  <c r="I77" i="120" s="1"/>
  <c r="O45" i="107"/>
  <c r="L84" i="107"/>
  <c r="F77" i="120" s="1"/>
  <c r="F30" i="120"/>
  <c r="L45" i="107"/>
  <c r="M80" i="107"/>
  <c r="M72" i="107"/>
  <c r="M76" i="107" s="1"/>
  <c r="M47" i="107"/>
  <c r="G46" i="120" s="1"/>
  <c r="G44" i="120"/>
  <c r="E77" i="120" l="1"/>
  <c r="H93" i="107"/>
  <c r="H96" i="107" s="1"/>
  <c r="J1616" i="107"/>
  <c r="J1675" i="107" s="1"/>
  <c r="H14" i="116"/>
  <c r="J1615" i="107"/>
  <c r="J1674" i="107" s="1"/>
  <c r="J1617" i="107"/>
  <c r="J1676" i="107" s="1"/>
  <c r="D75" i="120"/>
  <c r="J1621" i="107"/>
  <c r="D2021" i="120" s="1"/>
  <c r="J1619" i="107"/>
  <c r="J1678" i="107" s="1"/>
  <c r="J1618" i="107"/>
  <c r="D2018" i="120" s="1"/>
  <c r="D2012" i="120"/>
  <c r="J1622" i="107"/>
  <c r="D2022" i="120" s="1"/>
  <c r="K73" i="120"/>
  <c r="Q82" i="107"/>
  <c r="Q86" i="107" s="1"/>
  <c r="Q89" i="107" s="1"/>
  <c r="P80" i="107"/>
  <c r="P72" i="107"/>
  <c r="P76" i="107" s="1"/>
  <c r="P47" i="107"/>
  <c r="J46" i="120" s="1"/>
  <c r="J44" i="120"/>
  <c r="N1697" i="161"/>
  <c r="N1723" i="161" s="1"/>
  <c r="N1731" i="161" s="1"/>
  <c r="K47" i="107"/>
  <c r="K72" i="107"/>
  <c r="K80" i="107"/>
  <c r="E44" i="120"/>
  <c r="G1731" i="161"/>
  <c r="J1686" i="161"/>
  <c r="J1694" i="161" s="1"/>
  <c r="J1682" i="161"/>
  <c r="L1723" i="161"/>
  <c r="L1731" i="161" s="1"/>
  <c r="L1705" i="161"/>
  <c r="K1697" i="161"/>
  <c r="O1723" i="161"/>
  <c r="O1731" i="161" s="1"/>
  <c r="O1705" i="161"/>
  <c r="N72" i="107"/>
  <c r="N76" i="107" s="1"/>
  <c r="H44" i="120"/>
  <c r="N80" i="107"/>
  <c r="N47" i="107"/>
  <c r="H46" i="120" s="1"/>
  <c r="M1705" i="161"/>
  <c r="M1723" i="161"/>
  <c r="M1731" i="161" s="1"/>
  <c r="H1723" i="161"/>
  <c r="H1731" i="161" s="1"/>
  <c r="H1705" i="161"/>
  <c r="H1618" i="107"/>
  <c r="H1677" i="107" s="1"/>
  <c r="H1689" i="107" s="1"/>
  <c r="H1700" i="107" s="1"/>
  <c r="H1726" i="107" s="1"/>
  <c r="H1760" i="107" s="1"/>
  <c r="H1850" i="107" s="1"/>
  <c r="H1620" i="107"/>
  <c r="H1679" i="107" s="1"/>
  <c r="H1691" i="107" s="1"/>
  <c r="H1702" i="107" s="1"/>
  <c r="H1728" i="107" s="1"/>
  <c r="H1762" i="107" s="1"/>
  <c r="H1852" i="107" s="1"/>
  <c r="H1619" i="107"/>
  <c r="H1678" i="107" s="1"/>
  <c r="H1690" i="107" s="1"/>
  <c r="H1701" i="107" s="1"/>
  <c r="H1727" i="107" s="1"/>
  <c r="H1761" i="107" s="1"/>
  <c r="H1851" i="107" s="1"/>
  <c r="H1615" i="107"/>
  <c r="F14" i="116"/>
  <c r="H1621" i="107"/>
  <c r="H1680" i="107" s="1"/>
  <c r="H1692" i="107" s="1"/>
  <c r="H1703" i="107" s="1"/>
  <c r="H1729" i="107" s="1"/>
  <c r="H1763" i="107" s="1"/>
  <c r="H1853" i="107" s="1"/>
  <c r="H1616" i="107"/>
  <c r="H1675" i="107" s="1"/>
  <c r="H1687" i="107" s="1"/>
  <c r="H1698" i="107" s="1"/>
  <c r="H1724" i="107" s="1"/>
  <c r="H1758" i="107" s="1"/>
  <c r="H1848" i="107" s="1"/>
  <c r="H1622" i="107"/>
  <c r="H1681" i="107" s="1"/>
  <c r="H1693" i="107" s="1"/>
  <c r="H1704" i="107" s="1"/>
  <c r="H1730" i="107" s="1"/>
  <c r="H1764" i="107" s="1"/>
  <c r="H1854" i="107" s="1"/>
  <c r="H1617" i="107"/>
  <c r="H1676" i="107" s="1"/>
  <c r="H1688" i="107" s="1"/>
  <c r="H1699" i="107" s="1"/>
  <c r="H1725" i="107" s="1"/>
  <c r="H1759" i="107" s="1"/>
  <c r="H1849" i="107" s="1"/>
  <c r="G1622" i="107"/>
  <c r="G1681" i="107" s="1"/>
  <c r="G1693" i="107" s="1"/>
  <c r="G1621" i="107"/>
  <c r="G1680" i="107" s="1"/>
  <c r="G1692" i="107" s="1"/>
  <c r="G1619" i="107"/>
  <c r="G1678" i="107" s="1"/>
  <c r="G1690" i="107" s="1"/>
  <c r="G1616" i="107"/>
  <c r="G1675" i="107" s="1"/>
  <c r="G1687" i="107" s="1"/>
  <c r="E14" i="116"/>
  <c r="G1618" i="107"/>
  <c r="G1677" i="107" s="1"/>
  <c r="G1689" i="107" s="1"/>
  <c r="G1620" i="107"/>
  <c r="G1679" i="107" s="1"/>
  <c r="G1691" i="107" s="1"/>
  <c r="G1615" i="107"/>
  <c r="G1617" i="107"/>
  <c r="G1676" i="107" s="1"/>
  <c r="G1688" i="107" s="1"/>
  <c r="G1757" i="161"/>
  <c r="P1697" i="161"/>
  <c r="H1694" i="161"/>
  <c r="F1686" i="161"/>
  <c r="Q1697" i="161"/>
  <c r="O47" i="107"/>
  <c r="I46" i="120" s="1"/>
  <c r="O72" i="107"/>
  <c r="O76" i="107" s="1"/>
  <c r="I44" i="120"/>
  <c r="O80" i="107"/>
  <c r="K2012" i="120"/>
  <c r="O14" i="116"/>
  <c r="Q1622" i="107"/>
  <c r="Q1617" i="107"/>
  <c r="Q1615" i="107"/>
  <c r="Q1621" i="107"/>
  <c r="Q1616" i="107"/>
  <c r="Q1620" i="107"/>
  <c r="Q1619" i="107"/>
  <c r="Q1618" i="107"/>
  <c r="D79" i="120"/>
  <c r="G73" i="120"/>
  <c r="M1612" i="107"/>
  <c r="M82" i="107"/>
  <c r="L80" i="107"/>
  <c r="L47" i="107"/>
  <c r="F46" i="120" s="1"/>
  <c r="F44" i="120"/>
  <c r="L72" i="107"/>
  <c r="L76" i="107" s="1"/>
  <c r="J1679" i="107"/>
  <c r="D2020" i="120"/>
  <c r="K76" i="107" l="1"/>
  <c r="E46" i="120"/>
  <c r="R14" i="116"/>
  <c r="D2016" i="120"/>
  <c r="D2015" i="120"/>
  <c r="J1680" i="107"/>
  <c r="J1692" i="107" s="1"/>
  <c r="D2093" i="120" s="1"/>
  <c r="D2017" i="120"/>
  <c r="J1681" i="107"/>
  <c r="J1693" i="107" s="1"/>
  <c r="D2094" i="120" s="1"/>
  <c r="J1677" i="107"/>
  <c r="D2078" i="120" s="1"/>
  <c r="J1623" i="107"/>
  <c r="D2023" i="120" s="1"/>
  <c r="D2019" i="120"/>
  <c r="K75" i="120"/>
  <c r="N1705" i="161"/>
  <c r="G1699" i="107"/>
  <c r="G1725" i="107" s="1"/>
  <c r="F1725" i="107" s="1"/>
  <c r="F1689" i="107"/>
  <c r="F1700" i="107" s="1"/>
  <c r="F1688" i="107"/>
  <c r="F1699" i="107" s="1"/>
  <c r="P1612" i="107"/>
  <c r="J73" i="120"/>
  <c r="P82" i="107"/>
  <c r="G1700" i="107"/>
  <c r="G1726" i="107" s="1"/>
  <c r="F1726" i="107" s="1"/>
  <c r="J1697" i="161"/>
  <c r="J1705" i="161" s="1"/>
  <c r="G1703" i="107"/>
  <c r="G1729" i="107" s="1"/>
  <c r="F1729" i="107" s="1"/>
  <c r="G1701" i="107"/>
  <c r="G1727" i="107" s="1"/>
  <c r="F1727" i="107" s="1"/>
  <c r="G1704" i="107"/>
  <c r="G1730" i="107" s="1"/>
  <c r="F1730" i="107" s="1"/>
  <c r="N1757" i="161"/>
  <c r="N1847" i="161" s="1"/>
  <c r="F1687" i="107"/>
  <c r="F1698" i="107" s="1"/>
  <c r="O1757" i="161"/>
  <c r="O1765" i="161" s="1"/>
  <c r="T14" i="116"/>
  <c r="M1757" i="161"/>
  <c r="M1765" i="161" s="1"/>
  <c r="G1698" i="107"/>
  <c r="G1724" i="107" s="1"/>
  <c r="G1758" i="107" s="1"/>
  <c r="G1848" i="107" s="1"/>
  <c r="K1612" i="107"/>
  <c r="K82" i="107"/>
  <c r="E73" i="120"/>
  <c r="F1693" i="107"/>
  <c r="F1704" i="107" s="1"/>
  <c r="G1702" i="107"/>
  <c r="G1728" i="107" s="1"/>
  <c r="F1728" i="107" s="1"/>
  <c r="L1757" i="161"/>
  <c r="L1847" i="161" s="1"/>
  <c r="G1623" i="107"/>
  <c r="E15" i="116" s="1"/>
  <c r="G1674" i="107"/>
  <c r="N82" i="107"/>
  <c r="N1612" i="107"/>
  <c r="H73" i="120"/>
  <c r="F1692" i="107"/>
  <c r="F1703" i="107" s="1"/>
  <c r="F1690" i="107"/>
  <c r="F1701" i="107" s="1"/>
  <c r="P1723" i="161"/>
  <c r="P1731" i="161" s="1"/>
  <c r="P1705" i="161"/>
  <c r="H1757" i="161"/>
  <c r="G1847" i="161"/>
  <c r="G1765" i="161"/>
  <c r="F1691" i="107"/>
  <c r="F1702" i="107" s="1"/>
  <c r="H1623" i="107"/>
  <c r="F15" i="116" s="1"/>
  <c r="H1674" i="107"/>
  <c r="F1723" i="161"/>
  <c r="F1731" i="161" s="1"/>
  <c r="Q1723" i="161"/>
  <c r="Q1731" i="161" s="1"/>
  <c r="Q1705" i="161"/>
  <c r="K1705" i="161"/>
  <c r="K1723" i="161"/>
  <c r="K1731" i="161" s="1"/>
  <c r="F1694" i="161"/>
  <c r="F1697" i="161"/>
  <c r="O1612" i="107"/>
  <c r="I73" i="120"/>
  <c r="O82" i="107"/>
  <c r="Q1623" i="107"/>
  <c r="Q1674" i="107"/>
  <c r="K2015" i="120"/>
  <c r="M86" i="107"/>
  <c r="G75" i="120"/>
  <c r="D2077" i="120"/>
  <c r="J1688" i="107"/>
  <c r="D2089" i="120" s="1"/>
  <c r="G2012" i="120"/>
  <c r="K14" i="116"/>
  <c r="M1621" i="107"/>
  <c r="M1618" i="107"/>
  <c r="M1616" i="107"/>
  <c r="M1615" i="107"/>
  <c r="M1622" i="107"/>
  <c r="M1619" i="107"/>
  <c r="M1620" i="107"/>
  <c r="M1617" i="107"/>
  <c r="J93" i="107"/>
  <c r="D82" i="120"/>
  <c r="K2017" i="120"/>
  <c r="Q1676" i="107"/>
  <c r="J1686" i="107"/>
  <c r="J1697" i="107" s="1"/>
  <c r="D2075" i="120"/>
  <c r="J1687" i="107"/>
  <c r="D2088" i="120" s="1"/>
  <c r="D2076" i="120"/>
  <c r="K79" i="120"/>
  <c r="Q1680" i="107"/>
  <c r="K2021" i="120"/>
  <c r="Q1681" i="107"/>
  <c r="K2022" i="120"/>
  <c r="L1612" i="107"/>
  <c r="F73" i="120"/>
  <c r="L82" i="107"/>
  <c r="J1691" i="107"/>
  <c r="D2092" i="120" s="1"/>
  <c r="D2080" i="120"/>
  <c r="K2018" i="120"/>
  <c r="Q1677" i="107"/>
  <c r="Q1678" i="107"/>
  <c r="K2019" i="120"/>
  <c r="Q1679" i="107"/>
  <c r="K2020" i="120"/>
  <c r="J1690" i="107"/>
  <c r="D2091" i="120" s="1"/>
  <c r="D2079" i="120"/>
  <c r="K2016" i="120"/>
  <c r="Q1675" i="107"/>
  <c r="D2082" i="120" l="1"/>
  <c r="J1689" i="107"/>
  <c r="D2090" i="120" s="1"/>
  <c r="D2081" i="120"/>
  <c r="J1682" i="107"/>
  <c r="H18" i="116" s="1"/>
  <c r="H15" i="116"/>
  <c r="R15" i="116" s="1"/>
  <c r="F1760" i="107"/>
  <c r="F1850" i="107" s="1"/>
  <c r="F1759" i="107"/>
  <c r="F1849" i="107" s="1"/>
  <c r="J1723" i="161"/>
  <c r="J1731" i="161" s="1"/>
  <c r="O1847" i="161"/>
  <c r="O1855" i="161" s="1"/>
  <c r="O1858" i="161" s="1"/>
  <c r="O1869" i="161" s="1"/>
  <c r="G1759" i="107"/>
  <c r="G1849" i="107" s="1"/>
  <c r="P1620" i="107"/>
  <c r="P1622" i="107"/>
  <c r="P1616" i="107"/>
  <c r="P1617" i="107"/>
  <c r="N14" i="116"/>
  <c r="P1615" i="107"/>
  <c r="J2012" i="120"/>
  <c r="P1618" i="107"/>
  <c r="P1621" i="107"/>
  <c r="P1619" i="107"/>
  <c r="F1761" i="107"/>
  <c r="F1851" i="107" s="1"/>
  <c r="F1724" i="107"/>
  <c r="F1758" i="107" s="1"/>
  <c r="F1848" i="107" s="1"/>
  <c r="J75" i="120"/>
  <c r="P86" i="107"/>
  <c r="F1764" i="107"/>
  <c r="F1854" i="107" s="1"/>
  <c r="F1763" i="107"/>
  <c r="F1853" i="107" s="1"/>
  <c r="T15" i="116"/>
  <c r="N1765" i="161"/>
  <c r="L1765" i="161"/>
  <c r="M1847" i="161"/>
  <c r="M1855" i="161" s="1"/>
  <c r="M1858" i="161" s="1"/>
  <c r="M1869" i="161" s="1"/>
  <c r="K86" i="107"/>
  <c r="E75" i="120"/>
  <c r="K1617" i="107"/>
  <c r="K1615" i="107"/>
  <c r="K1616" i="107"/>
  <c r="E2012" i="120"/>
  <c r="K1620" i="107"/>
  <c r="K1621" i="107"/>
  <c r="K1619" i="107"/>
  <c r="K1618" i="107"/>
  <c r="K1622" i="107"/>
  <c r="I14" i="116"/>
  <c r="F1762" i="107"/>
  <c r="F1852" i="107" s="1"/>
  <c r="Q1757" i="161"/>
  <c r="N1855" i="161"/>
  <c r="N1858" i="161" s="1"/>
  <c r="G1855" i="161"/>
  <c r="G1858" i="161" s="1"/>
  <c r="F1705" i="161"/>
  <c r="F1757" i="161"/>
  <c r="L1855" i="161"/>
  <c r="L1858" i="161" s="1"/>
  <c r="L14" i="116"/>
  <c r="N1620" i="107"/>
  <c r="N1618" i="107"/>
  <c r="N1617" i="107"/>
  <c r="N1621" i="107"/>
  <c r="N1622" i="107"/>
  <c r="H2012" i="120"/>
  <c r="N1619" i="107"/>
  <c r="N1615" i="107"/>
  <c r="N1616" i="107"/>
  <c r="H1686" i="107"/>
  <c r="H1682" i="107"/>
  <c r="F18" i="116" s="1"/>
  <c r="H1765" i="161"/>
  <c r="H1847" i="161"/>
  <c r="N86" i="107"/>
  <c r="H75" i="120"/>
  <c r="K1757" i="161"/>
  <c r="P1757" i="161"/>
  <c r="G1686" i="107"/>
  <c r="G1682" i="107"/>
  <c r="E18" i="116" s="1"/>
  <c r="I75" i="120"/>
  <c r="O86" i="107"/>
  <c r="O1615" i="107"/>
  <c r="O1618" i="107"/>
  <c r="M14" i="116"/>
  <c r="O1619" i="107"/>
  <c r="O1621" i="107"/>
  <c r="I2012" i="120"/>
  <c r="O1617" i="107"/>
  <c r="O1616" i="107"/>
  <c r="O1620" i="107"/>
  <c r="O1622" i="107"/>
  <c r="J1703" i="107"/>
  <c r="J1729" i="107" s="1"/>
  <c r="D2132" i="120" s="1"/>
  <c r="J1704" i="107"/>
  <c r="D2105" i="120" s="1"/>
  <c r="G1764" i="107"/>
  <c r="G1854" i="107" s="1"/>
  <c r="G1763" i="107"/>
  <c r="G1853" i="107" s="1"/>
  <c r="J1702" i="107"/>
  <c r="Q1693" i="107"/>
  <c r="K2094" i="120" s="1"/>
  <c r="K2082" i="120"/>
  <c r="K2081" i="120"/>
  <c r="Q1692" i="107"/>
  <c r="K2093" i="120" s="1"/>
  <c r="Q1688" i="107"/>
  <c r="K2089" i="120" s="1"/>
  <c r="K2077" i="120"/>
  <c r="M1678" i="107"/>
  <c r="G2019" i="120"/>
  <c r="G2022" i="120"/>
  <c r="M1681" i="107"/>
  <c r="Q1689" i="107"/>
  <c r="K2090" i="120" s="1"/>
  <c r="K2078" i="120"/>
  <c r="Q93" i="107"/>
  <c r="K82" i="120"/>
  <c r="D2098" i="120"/>
  <c r="J1723" i="107"/>
  <c r="M1623" i="107"/>
  <c r="M1674" i="107"/>
  <c r="G2015" i="120"/>
  <c r="J1701" i="107"/>
  <c r="K2080" i="120"/>
  <c r="Q1691" i="107"/>
  <c r="K2092" i="120" s="1"/>
  <c r="G1762" i="107"/>
  <c r="G1852" i="107" s="1"/>
  <c r="M1675" i="107"/>
  <c r="G2016" i="120"/>
  <c r="Q1686" i="107"/>
  <c r="Q1697" i="107" s="1"/>
  <c r="Q1682" i="107"/>
  <c r="K2075" i="120"/>
  <c r="K2079" i="120"/>
  <c r="Q1690" i="107"/>
  <c r="K2091" i="120" s="1"/>
  <c r="F75" i="120"/>
  <c r="L86" i="107"/>
  <c r="D2087" i="120"/>
  <c r="M1677" i="107"/>
  <c r="G2018" i="120"/>
  <c r="O15" i="116"/>
  <c r="K2023" i="120"/>
  <c r="Q1687" i="107"/>
  <c r="K2088" i="120" s="1"/>
  <c r="K2076" i="120"/>
  <c r="J1698" i="107"/>
  <c r="J96" i="107"/>
  <c r="D86" i="120"/>
  <c r="M1680" i="107"/>
  <c r="G2021" i="120"/>
  <c r="G1761" i="107"/>
  <c r="G1851" i="107" s="1"/>
  <c r="J14" i="116"/>
  <c r="F2012" i="120"/>
  <c r="L1619" i="107"/>
  <c r="L1616" i="107"/>
  <c r="L1618" i="107"/>
  <c r="L1622" i="107"/>
  <c r="L1621" i="107"/>
  <c r="L1617" i="107"/>
  <c r="L1620" i="107"/>
  <c r="L1615" i="107"/>
  <c r="M1676" i="107"/>
  <c r="G2017" i="120"/>
  <c r="J1699" i="107"/>
  <c r="G1760" i="107"/>
  <c r="G1850" i="107" s="1"/>
  <c r="M1679" i="107"/>
  <c r="G2020" i="120"/>
  <c r="M89" i="107"/>
  <c r="G79" i="120"/>
  <c r="J1700" i="107" l="1"/>
  <c r="D2101" i="120" s="1"/>
  <c r="J1694" i="107"/>
  <c r="D2095" i="120" s="1"/>
  <c r="D2083" i="120"/>
  <c r="J1757" i="161"/>
  <c r="J1847" i="161" s="1"/>
  <c r="P89" i="107"/>
  <c r="J79" i="120"/>
  <c r="J2015" i="120"/>
  <c r="P1674" i="107"/>
  <c r="P1623" i="107"/>
  <c r="P1677" i="107"/>
  <c r="J2018" i="120"/>
  <c r="J2017" i="120"/>
  <c r="P1676" i="107"/>
  <c r="J2016" i="120"/>
  <c r="P1675" i="107"/>
  <c r="J2019" i="120"/>
  <c r="P1678" i="107"/>
  <c r="J2022" i="120"/>
  <c r="P1681" i="107"/>
  <c r="P1680" i="107"/>
  <c r="J2021" i="120"/>
  <c r="J2020" i="120"/>
  <c r="P1679" i="107"/>
  <c r="T18" i="116"/>
  <c r="K1679" i="107"/>
  <c r="E2020" i="120"/>
  <c r="K1675" i="107"/>
  <c r="E2016" i="120"/>
  <c r="K1674" i="107"/>
  <c r="K1623" i="107"/>
  <c r="E2015" i="120"/>
  <c r="K1681" i="107"/>
  <c r="E2022" i="120"/>
  <c r="K1676" i="107"/>
  <c r="E2017" i="120"/>
  <c r="K1677" i="107"/>
  <c r="E2018" i="120"/>
  <c r="K1678" i="107"/>
  <c r="E2019" i="120"/>
  <c r="K89" i="107"/>
  <c r="E79" i="120"/>
  <c r="K1680" i="107"/>
  <c r="E2021" i="120"/>
  <c r="O1907" i="161"/>
  <c r="N1869" i="161"/>
  <c r="L1869" i="161"/>
  <c r="M1907" i="161"/>
  <c r="H1855" i="161"/>
  <c r="N1678" i="107"/>
  <c r="H2019" i="120"/>
  <c r="N89" i="107"/>
  <c r="H79" i="120"/>
  <c r="H2020" i="120"/>
  <c r="N1679" i="107"/>
  <c r="G1697" i="107"/>
  <c r="G1694" i="107"/>
  <c r="E19" i="116" s="1"/>
  <c r="F1686" i="107"/>
  <c r="L1865" i="161"/>
  <c r="L1876" i="161" s="1"/>
  <c r="L1914" i="161" s="1"/>
  <c r="L1861" i="161"/>
  <c r="L1872" i="161" s="1"/>
  <c r="L1910" i="161" s="1"/>
  <c r="L1543" i="161" s="1"/>
  <c r="L1863" i="161"/>
  <c r="L1860" i="161"/>
  <c r="L1871" i="161" s="1"/>
  <c r="L1909" i="161" s="1"/>
  <c r="L1542" i="161" s="1"/>
  <c r="L1864" i="161"/>
  <c r="L1875" i="161" s="1"/>
  <c r="L1913" i="161" s="1"/>
  <c r="L1546" i="161" s="1"/>
  <c r="L1862" i="161"/>
  <c r="L1873" i="161" s="1"/>
  <c r="L1911" i="161" s="1"/>
  <c r="L1544" i="161" s="1"/>
  <c r="L1859" i="161"/>
  <c r="L1870" i="161" s="1"/>
  <c r="L1908" i="161" s="1"/>
  <c r="L1541" i="161" s="1"/>
  <c r="O1860" i="161"/>
  <c r="O1871" i="161" s="1"/>
  <c r="O1909" i="161" s="1"/>
  <c r="O1542" i="161" s="1"/>
  <c r="O1864" i="161"/>
  <c r="O1875" i="161" s="1"/>
  <c r="O1913" i="161" s="1"/>
  <c r="O1546" i="161" s="1"/>
  <c r="O1865" i="161"/>
  <c r="O1876" i="161" s="1"/>
  <c r="O1914" i="161" s="1"/>
  <c r="O1863" i="161"/>
  <c r="O1861" i="161"/>
  <c r="O1872" i="161" s="1"/>
  <c r="O1910" i="161" s="1"/>
  <c r="O1543" i="161" s="1"/>
  <c r="O1862" i="161"/>
  <c r="O1873" i="161" s="1"/>
  <c r="O1911" i="161" s="1"/>
  <c r="O1544" i="161" s="1"/>
  <c r="O1859" i="161"/>
  <c r="O1870" i="161" s="1"/>
  <c r="O1908" i="161" s="1"/>
  <c r="O1541" i="161" s="1"/>
  <c r="N1680" i="107"/>
  <c r="H2021" i="120"/>
  <c r="F1765" i="161"/>
  <c r="F1847" i="161"/>
  <c r="Q1765" i="161"/>
  <c r="Q1847" i="161"/>
  <c r="P1847" i="161"/>
  <c r="P1765" i="161"/>
  <c r="H2022" i="120"/>
  <c r="N1681" i="107"/>
  <c r="N1860" i="161"/>
  <c r="N1871" i="161" s="1"/>
  <c r="N1909" i="161" s="1"/>
  <c r="N1542" i="161" s="1"/>
  <c r="N1861" i="161"/>
  <c r="N1872" i="161" s="1"/>
  <c r="N1910" i="161" s="1"/>
  <c r="N1543" i="161" s="1"/>
  <c r="N1859" i="161"/>
  <c r="N1870" i="161" s="1"/>
  <c r="N1908" i="161" s="1"/>
  <c r="N1541" i="161" s="1"/>
  <c r="N1864" i="161"/>
  <c r="N1875" i="161" s="1"/>
  <c r="N1913" i="161" s="1"/>
  <c r="N1546" i="161" s="1"/>
  <c r="N1863" i="161"/>
  <c r="N1862" i="161"/>
  <c r="N1873" i="161" s="1"/>
  <c r="N1911" i="161" s="1"/>
  <c r="N1544" i="161" s="1"/>
  <c r="N1865" i="161"/>
  <c r="N1876" i="161" s="1"/>
  <c r="N1914" i="161" s="1"/>
  <c r="K1847" i="161"/>
  <c r="K1765" i="161"/>
  <c r="N1676" i="107"/>
  <c r="H2017" i="120"/>
  <c r="H1694" i="107"/>
  <c r="F19" i="116" s="1"/>
  <c r="H1697" i="107"/>
  <c r="N1677" i="107"/>
  <c r="H2018" i="120"/>
  <c r="G1869" i="161"/>
  <c r="M1859" i="161"/>
  <c r="M1870" i="161" s="1"/>
  <c r="M1908" i="161" s="1"/>
  <c r="M1541" i="161" s="1"/>
  <c r="M1860" i="161"/>
  <c r="M1871" i="161" s="1"/>
  <c r="M1909" i="161" s="1"/>
  <c r="M1542" i="161" s="1"/>
  <c r="M1865" i="161"/>
  <c r="M1876" i="161" s="1"/>
  <c r="M1914" i="161" s="1"/>
  <c r="M1861" i="161"/>
  <c r="M1872" i="161" s="1"/>
  <c r="M1910" i="161" s="1"/>
  <c r="M1543" i="161" s="1"/>
  <c r="M1862" i="161"/>
  <c r="M1873" i="161" s="1"/>
  <c r="M1911" i="161" s="1"/>
  <c r="M1544" i="161" s="1"/>
  <c r="M1864" i="161"/>
  <c r="M1875" i="161" s="1"/>
  <c r="M1913" i="161" s="1"/>
  <c r="M1546" i="161" s="1"/>
  <c r="M1863" i="161"/>
  <c r="N1675" i="107"/>
  <c r="H2016" i="120"/>
  <c r="N1674" i="107"/>
  <c r="N1623" i="107"/>
  <c r="H2015" i="120"/>
  <c r="G1860" i="161"/>
  <c r="G1862" i="161"/>
  <c r="G1859" i="161"/>
  <c r="G1864" i="161"/>
  <c r="G1863" i="161"/>
  <c r="G1865" i="161"/>
  <c r="G1861" i="161"/>
  <c r="D2104" i="120"/>
  <c r="O1680" i="107"/>
  <c r="I2021" i="120"/>
  <c r="O1678" i="107"/>
  <c r="I2019" i="120"/>
  <c r="I2022" i="120"/>
  <c r="O1681" i="107"/>
  <c r="I2018" i="120"/>
  <c r="O1677" i="107"/>
  <c r="O1679" i="107"/>
  <c r="I2020" i="120"/>
  <c r="O1623" i="107"/>
  <c r="O1674" i="107"/>
  <c r="I2015" i="120"/>
  <c r="O1675" i="107"/>
  <c r="I2016" i="120"/>
  <c r="I79" i="120"/>
  <c r="O89" i="107"/>
  <c r="I2017" i="120"/>
  <c r="O1676" i="107"/>
  <c r="Q1704" i="107"/>
  <c r="Q1730" i="107" s="1"/>
  <c r="K2133" i="120" s="1"/>
  <c r="J1730" i="107"/>
  <c r="D2133" i="120" s="1"/>
  <c r="Q1701" i="107"/>
  <c r="K2102" i="120" s="1"/>
  <c r="Q1699" i="107"/>
  <c r="Q1725" i="107" s="1"/>
  <c r="K2128" i="120" s="1"/>
  <c r="Q1702" i="107"/>
  <c r="Q1728" i="107" s="1"/>
  <c r="K2131" i="120" s="1"/>
  <c r="Q1698" i="107"/>
  <c r="Q1724" i="107" s="1"/>
  <c r="K2127" i="120" s="1"/>
  <c r="Q1700" i="107"/>
  <c r="Q1726" i="107" s="1"/>
  <c r="K2129" i="120" s="1"/>
  <c r="Q1703" i="107"/>
  <c r="Q1729" i="107" s="1"/>
  <c r="K2132" i="120" s="1"/>
  <c r="G2023" i="120"/>
  <c r="K15" i="116"/>
  <c r="D2103" i="120"/>
  <c r="J1728" i="107"/>
  <c r="D2131" i="120" s="1"/>
  <c r="J1725" i="107"/>
  <c r="D2128" i="120" s="1"/>
  <c r="D2100" i="120"/>
  <c r="D2126" i="120"/>
  <c r="M1693" i="107"/>
  <c r="G2094" i="120" s="1"/>
  <c r="G2082" i="120"/>
  <c r="G2077" i="120"/>
  <c r="M1688" i="107"/>
  <c r="G2089" i="120" s="1"/>
  <c r="F2022" i="120"/>
  <c r="L1681" i="107"/>
  <c r="Q1694" i="107"/>
  <c r="K2087" i="120"/>
  <c r="F2020" i="120"/>
  <c r="L1679" i="107"/>
  <c r="F2017" i="120"/>
  <c r="L1676" i="107"/>
  <c r="L1680" i="107"/>
  <c r="F2021" i="120"/>
  <c r="K2083" i="120"/>
  <c r="O18" i="116"/>
  <c r="M1692" i="107"/>
  <c r="G2093" i="120" s="1"/>
  <c r="G2081" i="120"/>
  <c r="K2098" i="120"/>
  <c r="Q1723" i="107"/>
  <c r="Q1757" i="107" s="1"/>
  <c r="D2102" i="120"/>
  <c r="J1727" i="107"/>
  <c r="D2130" i="120" s="1"/>
  <c r="R18" i="116"/>
  <c r="M1689" i="107"/>
  <c r="G2090" i="120" s="1"/>
  <c r="G2078" i="120"/>
  <c r="M1687" i="107"/>
  <c r="G2088" i="120" s="1"/>
  <c r="G2076" i="120"/>
  <c r="J1757" i="107"/>
  <c r="F2018" i="120"/>
  <c r="L1677" i="107"/>
  <c r="G82" i="120"/>
  <c r="M93" i="107"/>
  <c r="L1675" i="107"/>
  <c r="F2016" i="120"/>
  <c r="L1678" i="107"/>
  <c r="F2019" i="120"/>
  <c r="L89" i="107"/>
  <c r="F79" i="120"/>
  <c r="J1763" i="107"/>
  <c r="J98" i="107"/>
  <c r="D91" i="120" s="1"/>
  <c r="D89" i="120"/>
  <c r="G2080" i="120"/>
  <c r="M1691" i="107"/>
  <c r="G2092" i="120" s="1"/>
  <c r="L1674" i="107"/>
  <c r="F2015" i="120"/>
  <c r="L1623" i="107"/>
  <c r="D2099" i="120"/>
  <c r="J1724" i="107"/>
  <c r="D2127" i="120" s="1"/>
  <c r="M1686" i="107"/>
  <c r="M1697" i="107" s="1"/>
  <c r="G2075" i="120"/>
  <c r="M1682" i="107"/>
  <c r="K86" i="120"/>
  <c r="Q96" i="107"/>
  <c r="M1690" i="107"/>
  <c r="G2091" i="120" s="1"/>
  <c r="G2079" i="120"/>
  <c r="H19" i="116" l="1"/>
  <c r="J1705" i="107"/>
  <c r="H20" i="116" s="1"/>
  <c r="J1726" i="107"/>
  <c r="D2129" i="120" s="1"/>
  <c r="J1765" i="161"/>
  <c r="J2082" i="120"/>
  <c r="P1693" i="107"/>
  <c r="P1692" i="107"/>
  <c r="J2093" i="120" s="1"/>
  <c r="J2081" i="120"/>
  <c r="J2078" i="120"/>
  <c r="P1689" i="107"/>
  <c r="P1690" i="107"/>
  <c r="J2079" i="120"/>
  <c r="N15" i="116"/>
  <c r="J2023" i="120"/>
  <c r="P1682" i="107"/>
  <c r="P1686" i="107"/>
  <c r="J2075" i="120"/>
  <c r="J2080" i="120"/>
  <c r="P1691" i="107"/>
  <c r="P1687" i="107"/>
  <c r="J2076" i="120"/>
  <c r="P1688" i="107"/>
  <c r="J2077" i="120"/>
  <c r="J82" i="120"/>
  <c r="P93" i="107"/>
  <c r="N1547" i="161"/>
  <c r="E82" i="120"/>
  <c r="K93" i="107"/>
  <c r="E2082" i="120"/>
  <c r="K1693" i="107"/>
  <c r="K1690" i="107"/>
  <c r="E2079" i="120"/>
  <c r="I15" i="116"/>
  <c r="E2023" i="120"/>
  <c r="O1547" i="161"/>
  <c r="K1682" i="107"/>
  <c r="K1686" i="107"/>
  <c r="E2075" i="120"/>
  <c r="E2078" i="120"/>
  <c r="K1689" i="107"/>
  <c r="E2076" i="120"/>
  <c r="K1687" i="107"/>
  <c r="L1547" i="161"/>
  <c r="E2081" i="120"/>
  <c r="K1692" i="107"/>
  <c r="K1688" i="107"/>
  <c r="E2077" i="120"/>
  <c r="E2080" i="120"/>
  <c r="K1691" i="107"/>
  <c r="F1855" i="161"/>
  <c r="G1870" i="161"/>
  <c r="G1908" i="161" s="1"/>
  <c r="G1541" i="161" s="1"/>
  <c r="M1866" i="161"/>
  <c r="G1907" i="161"/>
  <c r="K1855" i="161"/>
  <c r="K1858" i="161" s="1"/>
  <c r="N1693" i="107"/>
  <c r="H2082" i="120"/>
  <c r="G1873" i="161"/>
  <c r="G1911" i="161" s="1"/>
  <c r="G1544" i="161" s="1"/>
  <c r="M1548" i="161"/>
  <c r="M1874" i="161"/>
  <c r="M1912" i="161" s="1"/>
  <c r="M1545" i="161" s="1"/>
  <c r="H2081" i="120"/>
  <c r="N1692" i="107"/>
  <c r="J1855" i="161"/>
  <c r="J1858" i="161" s="1"/>
  <c r="H82" i="120"/>
  <c r="N93" i="107"/>
  <c r="M1540" i="161"/>
  <c r="G1871" i="161"/>
  <c r="G1909" i="161" s="1"/>
  <c r="G1542" i="161" s="1"/>
  <c r="N1689" i="107"/>
  <c r="H2078" i="120"/>
  <c r="O1866" i="161"/>
  <c r="L1907" i="161"/>
  <c r="H1723" i="107"/>
  <c r="H1731" i="107" s="1"/>
  <c r="F21" i="116" s="1"/>
  <c r="H1705" i="107"/>
  <c r="F20" i="116" s="1"/>
  <c r="N1548" i="161"/>
  <c r="N1874" i="161"/>
  <c r="N1912" i="161" s="1"/>
  <c r="N1545" i="161" s="1"/>
  <c r="P1855" i="161"/>
  <c r="F1694" i="107"/>
  <c r="D19" i="116" s="1"/>
  <c r="T19" i="116" s="1"/>
  <c r="F1697" i="107"/>
  <c r="F1705" i="107" s="1"/>
  <c r="D20" i="116" s="1"/>
  <c r="N1690" i="107"/>
  <c r="H2079" i="120"/>
  <c r="L1866" i="161"/>
  <c r="G1872" i="161"/>
  <c r="G1910" i="161" s="1"/>
  <c r="G1543" i="161" s="1"/>
  <c r="L15" i="116"/>
  <c r="H2023" i="120"/>
  <c r="Q1855" i="161"/>
  <c r="Q1858" i="161" s="1"/>
  <c r="N1907" i="161"/>
  <c r="G1876" i="161"/>
  <c r="G1914" i="161" s="1"/>
  <c r="G1547" i="161" s="1"/>
  <c r="H2075" i="120"/>
  <c r="N1686" i="107"/>
  <c r="N1682" i="107"/>
  <c r="M1547" i="161"/>
  <c r="O1548" i="161"/>
  <c r="O1874" i="161"/>
  <c r="O1912" i="161" s="1"/>
  <c r="O1545" i="161" s="1"/>
  <c r="G1705" i="107"/>
  <c r="E20" i="116" s="1"/>
  <c r="G1723" i="107"/>
  <c r="H1858" i="161"/>
  <c r="H1862" i="161"/>
  <c r="H1873" i="161" s="1"/>
  <c r="H1911" i="161" s="1"/>
  <c r="H1544" i="161" s="1"/>
  <c r="H1863" i="161"/>
  <c r="F1863" i="161" s="1"/>
  <c r="H1861" i="161"/>
  <c r="H1872" i="161" s="1"/>
  <c r="H1910" i="161" s="1"/>
  <c r="H1543" i="161" s="1"/>
  <c r="H1865" i="161"/>
  <c r="H1876" i="161" s="1"/>
  <c r="H1914" i="161" s="1"/>
  <c r="H1864" i="161"/>
  <c r="H1875" i="161" s="1"/>
  <c r="H1913" i="161" s="1"/>
  <c r="H1546" i="161" s="1"/>
  <c r="H1859" i="161"/>
  <c r="H1870" i="161" s="1"/>
  <c r="H1908" i="161" s="1"/>
  <c r="H1541" i="161" s="1"/>
  <c r="H1860" i="161"/>
  <c r="H1871" i="161" s="1"/>
  <c r="H1909" i="161" s="1"/>
  <c r="H1542" i="161" s="1"/>
  <c r="N1866" i="161"/>
  <c r="H2080" i="120"/>
  <c r="N1691" i="107"/>
  <c r="H2092" i="120" s="1"/>
  <c r="O1540" i="161"/>
  <c r="G1548" i="161"/>
  <c r="G1874" i="161"/>
  <c r="G1912" i="161" s="1"/>
  <c r="G1545" i="161" s="1"/>
  <c r="N1688" i="107"/>
  <c r="H2089" i="120" s="1"/>
  <c r="H2077" i="120"/>
  <c r="G1875" i="161"/>
  <c r="G1913" i="161" s="1"/>
  <c r="G1546" i="161" s="1"/>
  <c r="N1687" i="107"/>
  <c r="H2076" i="120"/>
  <c r="L1548" i="161"/>
  <c r="L1874" i="161"/>
  <c r="L1912" i="161" s="1"/>
  <c r="L1545" i="161" s="1"/>
  <c r="G1866" i="161"/>
  <c r="J1764" i="107"/>
  <c r="D2167" i="120" s="1"/>
  <c r="K2105" i="120"/>
  <c r="K2104" i="120"/>
  <c r="I2078" i="120"/>
  <c r="O1689" i="107"/>
  <c r="I2090" i="120" s="1"/>
  <c r="O1687" i="107"/>
  <c r="I2076" i="120"/>
  <c r="I2082" i="120"/>
  <c r="O1693" i="107"/>
  <c r="O1688" i="107"/>
  <c r="I2077" i="120"/>
  <c r="I2023" i="120"/>
  <c r="M15" i="116"/>
  <c r="O1690" i="107"/>
  <c r="I2079" i="120"/>
  <c r="O1686" i="107"/>
  <c r="O1682" i="107"/>
  <c r="I2075" i="120"/>
  <c r="Q1727" i="107"/>
  <c r="K2130" i="120" s="1"/>
  <c r="I82" i="120"/>
  <c r="O93" i="107"/>
  <c r="O1691" i="107"/>
  <c r="I2080" i="120"/>
  <c r="O1692" i="107"/>
  <c r="I2081" i="120"/>
  <c r="K2101" i="120"/>
  <c r="Q1705" i="107"/>
  <c r="K2106" i="120" s="1"/>
  <c r="K2100" i="120"/>
  <c r="K2103" i="120"/>
  <c r="K2099" i="120"/>
  <c r="M1703" i="107"/>
  <c r="M1729" i="107" s="1"/>
  <c r="G2132" i="120" s="1"/>
  <c r="J1759" i="107"/>
  <c r="D2162" i="120" s="1"/>
  <c r="M1699" i="107"/>
  <c r="M1725" i="107" s="1"/>
  <c r="G2128" i="120" s="1"/>
  <c r="Q1764" i="107"/>
  <c r="K2167" i="120" s="1"/>
  <c r="J1762" i="107"/>
  <c r="J1852" i="107" s="1"/>
  <c r="M1704" i="107"/>
  <c r="G2105" i="120" s="1"/>
  <c r="J1758" i="107"/>
  <c r="J1848" i="107" s="1"/>
  <c r="Q1762" i="107"/>
  <c r="K2165" i="120" s="1"/>
  <c r="G2098" i="120"/>
  <c r="M1723" i="107"/>
  <c r="M1757" i="107" s="1"/>
  <c r="K2160" i="120"/>
  <c r="Q1847" i="107"/>
  <c r="Q1759" i="107"/>
  <c r="G2083" i="120"/>
  <c r="K18" i="116"/>
  <c r="M1700" i="107"/>
  <c r="L1691" i="107"/>
  <c r="F2092" i="120" s="1"/>
  <c r="F2080" i="120"/>
  <c r="K2095" i="120"/>
  <c r="O19" i="116"/>
  <c r="R19" i="116"/>
  <c r="K2126" i="120"/>
  <c r="L1687" i="107"/>
  <c r="F2088" i="120" s="1"/>
  <c r="F2076" i="120"/>
  <c r="M96" i="107"/>
  <c r="G86" i="120"/>
  <c r="M1698" i="107"/>
  <c r="J1761" i="107"/>
  <c r="Q1758" i="107"/>
  <c r="F2081" i="120"/>
  <c r="L1692" i="107"/>
  <c r="F2093" i="120" s="1"/>
  <c r="F2082" i="120"/>
  <c r="L1693" i="107"/>
  <c r="F2094" i="120" s="1"/>
  <c r="F2077" i="120"/>
  <c r="L1688" i="107"/>
  <c r="F2089" i="120" s="1"/>
  <c r="Q98" i="107"/>
  <c r="K91" i="120" s="1"/>
  <c r="K89" i="120"/>
  <c r="L1690" i="107"/>
  <c r="F2091" i="120" s="1"/>
  <c r="F2079" i="120"/>
  <c r="Q1763" i="107"/>
  <c r="M1694" i="107"/>
  <c r="G2087" i="120"/>
  <c r="L1686" i="107"/>
  <c r="F2075" i="120"/>
  <c r="L1682" i="107"/>
  <c r="J1847" i="107"/>
  <c r="D2160" i="120"/>
  <c r="M1701" i="107"/>
  <c r="M1702" i="107"/>
  <c r="L93" i="107"/>
  <c r="F82" i="120"/>
  <c r="L1689" i="107"/>
  <c r="F2090" i="120" s="1"/>
  <c r="F2078" i="120"/>
  <c r="Q1760" i="107"/>
  <c r="J15" i="116"/>
  <c r="F2023" i="120"/>
  <c r="J1853" i="107"/>
  <c r="D2166" i="120"/>
  <c r="J1760" i="107" l="1"/>
  <c r="J1731" i="107"/>
  <c r="D2134" i="120" s="1"/>
  <c r="R20" i="116"/>
  <c r="D2106" i="120"/>
  <c r="P1703" i="107"/>
  <c r="P1729" i="107" s="1"/>
  <c r="J2132" i="120" s="1"/>
  <c r="J2092" i="120"/>
  <c r="P1702" i="107"/>
  <c r="J2091" i="120"/>
  <c r="P1701" i="107"/>
  <c r="J2088" i="120"/>
  <c r="P1698" i="107"/>
  <c r="P96" i="107"/>
  <c r="J86" i="120"/>
  <c r="J2090" i="120"/>
  <c r="P1700" i="107"/>
  <c r="P1697" i="107"/>
  <c r="P1694" i="107"/>
  <c r="J2087" i="120"/>
  <c r="J2089" i="120"/>
  <c r="P1699" i="107"/>
  <c r="J2083" i="120"/>
  <c r="N18" i="116"/>
  <c r="J2094" i="120"/>
  <c r="P1704" i="107"/>
  <c r="J1854" i="107"/>
  <c r="D2262" i="120" s="1"/>
  <c r="F1864" i="161"/>
  <c r="F1875" i="161" s="1"/>
  <c r="F1913" i="161" s="1"/>
  <c r="F1546" i="161" s="1"/>
  <c r="I1546" i="161" s="1"/>
  <c r="N1699" i="107"/>
  <c r="H2100" i="120" s="1"/>
  <c r="E2088" i="120"/>
  <c r="K1698" i="107"/>
  <c r="E2092" i="120"/>
  <c r="K1702" i="107"/>
  <c r="N1877" i="161"/>
  <c r="E2090" i="120"/>
  <c r="K1700" i="107"/>
  <c r="E2091" i="120"/>
  <c r="K1701" i="107"/>
  <c r="H1547" i="161"/>
  <c r="E2089" i="120"/>
  <c r="K1699" i="107"/>
  <c r="E2094" i="120"/>
  <c r="K1704" i="107"/>
  <c r="O1916" i="161"/>
  <c r="O1919" i="161" s="1"/>
  <c r="E2093" i="120"/>
  <c r="K1703" i="107"/>
  <c r="K1697" i="107"/>
  <c r="E2087" i="120"/>
  <c r="K1694" i="107"/>
  <c r="I18" i="116"/>
  <c r="E2083" i="120"/>
  <c r="E86" i="120"/>
  <c r="K96" i="107"/>
  <c r="O1877" i="161"/>
  <c r="N1702" i="107"/>
  <c r="K1869" i="161"/>
  <c r="Q1869" i="161"/>
  <c r="J1869" i="161"/>
  <c r="F1548" i="161"/>
  <c r="F1874" i="161"/>
  <c r="F1912" i="161" s="1"/>
  <c r="F1545" i="161" s="1"/>
  <c r="T20" i="116"/>
  <c r="H1757" i="107"/>
  <c r="M1916" i="161"/>
  <c r="M1919" i="161" s="1"/>
  <c r="O1549" i="161"/>
  <c r="F1865" i="161"/>
  <c r="F1876" i="161" s="1"/>
  <c r="F1914" i="161" s="1"/>
  <c r="F1547" i="161" s="1"/>
  <c r="H86" i="120"/>
  <c r="N96" i="107"/>
  <c r="F1859" i="161"/>
  <c r="F1870" i="161" s="1"/>
  <c r="F1908" i="161" s="1"/>
  <c r="F1541" i="161" s="1"/>
  <c r="I1541" i="161" s="1"/>
  <c r="H1548" i="161"/>
  <c r="H1874" i="161"/>
  <c r="H1912" i="161" s="1"/>
  <c r="H1545" i="161" s="1"/>
  <c r="N1916" i="161"/>
  <c r="N1919" i="161" s="1"/>
  <c r="N1540" i="161"/>
  <c r="H2090" i="120"/>
  <c r="N1700" i="107"/>
  <c r="H2088" i="120"/>
  <c r="N1698" i="107"/>
  <c r="H2094" i="120"/>
  <c r="N1704" i="107"/>
  <c r="F1861" i="161"/>
  <c r="F1872" i="161" s="1"/>
  <c r="F1910" i="161" s="1"/>
  <c r="F1543" i="161" s="1"/>
  <c r="I1543" i="161" s="1"/>
  <c r="P1858" i="161"/>
  <c r="P1864" i="161"/>
  <c r="P1875" i="161" s="1"/>
  <c r="P1913" i="161" s="1"/>
  <c r="P1546" i="161" s="1"/>
  <c r="P1861" i="161"/>
  <c r="P1872" i="161" s="1"/>
  <c r="P1910" i="161" s="1"/>
  <c r="P1543" i="161" s="1"/>
  <c r="P1863" i="161"/>
  <c r="P1860" i="161"/>
  <c r="P1871" i="161" s="1"/>
  <c r="P1909" i="161" s="1"/>
  <c r="P1542" i="161" s="1"/>
  <c r="P1865" i="161"/>
  <c r="P1876" i="161" s="1"/>
  <c r="P1914" i="161" s="1"/>
  <c r="P1862" i="161"/>
  <c r="P1873" i="161" s="1"/>
  <c r="P1911" i="161" s="1"/>
  <c r="P1544" i="161" s="1"/>
  <c r="P1859" i="161"/>
  <c r="P1870" i="161" s="1"/>
  <c r="P1908" i="161" s="1"/>
  <c r="P1541" i="161" s="1"/>
  <c r="L1877" i="161"/>
  <c r="K1859" i="161"/>
  <c r="K1870" i="161" s="1"/>
  <c r="K1908" i="161" s="1"/>
  <c r="K1541" i="161" s="1"/>
  <c r="K1863" i="161"/>
  <c r="K1864" i="161"/>
  <c r="K1875" i="161" s="1"/>
  <c r="K1913" i="161" s="1"/>
  <c r="K1546" i="161" s="1"/>
  <c r="K1860" i="161"/>
  <c r="K1871" i="161" s="1"/>
  <c r="K1909" i="161" s="1"/>
  <c r="K1542" i="161" s="1"/>
  <c r="K1862" i="161"/>
  <c r="K1873" i="161" s="1"/>
  <c r="K1911" i="161" s="1"/>
  <c r="K1544" i="161" s="1"/>
  <c r="K1861" i="161"/>
  <c r="K1872" i="161" s="1"/>
  <c r="K1910" i="161" s="1"/>
  <c r="K1543" i="161" s="1"/>
  <c r="K1865" i="161"/>
  <c r="K1876" i="161" s="1"/>
  <c r="K1914" i="161" s="1"/>
  <c r="H1866" i="161"/>
  <c r="F1858" i="161"/>
  <c r="H1869" i="161"/>
  <c r="H2083" i="120"/>
  <c r="L18" i="116"/>
  <c r="L1540" i="161"/>
  <c r="L1916" i="161"/>
  <c r="L1919" i="161" s="1"/>
  <c r="F1862" i="161"/>
  <c r="F1873" i="161" s="1"/>
  <c r="F1911" i="161" s="1"/>
  <c r="F1544" i="161" s="1"/>
  <c r="I1544" i="161" s="1"/>
  <c r="G1877" i="161"/>
  <c r="G1757" i="107"/>
  <c r="F1723" i="107"/>
  <c r="G1731" i="107"/>
  <c r="E21" i="116" s="1"/>
  <c r="N1697" i="107"/>
  <c r="N1694" i="107"/>
  <c r="H2087" i="120"/>
  <c r="F1860" i="161"/>
  <c r="F1871" i="161" s="1"/>
  <c r="F1909" i="161" s="1"/>
  <c r="F1542" i="161" s="1"/>
  <c r="I1542" i="161" s="1"/>
  <c r="J1859" i="161"/>
  <c r="J1870" i="161" s="1"/>
  <c r="J1908" i="161" s="1"/>
  <c r="J1541" i="161" s="1"/>
  <c r="J1862" i="161"/>
  <c r="J1873" i="161" s="1"/>
  <c r="J1911" i="161" s="1"/>
  <c r="J1544" i="161" s="1"/>
  <c r="J1864" i="161"/>
  <c r="J1875" i="161" s="1"/>
  <c r="J1913" i="161" s="1"/>
  <c r="J1546" i="161" s="1"/>
  <c r="J1860" i="161"/>
  <c r="J1871" i="161" s="1"/>
  <c r="J1909" i="161" s="1"/>
  <c r="J1542" i="161" s="1"/>
  <c r="J1863" i="161"/>
  <c r="J1865" i="161"/>
  <c r="J1876" i="161" s="1"/>
  <c r="J1914" i="161" s="1"/>
  <c r="J1861" i="161"/>
  <c r="J1872" i="161" s="1"/>
  <c r="J1910" i="161" s="1"/>
  <c r="J1543" i="161" s="1"/>
  <c r="M1877" i="161"/>
  <c r="G1916" i="161"/>
  <c r="G1919" i="161" s="1"/>
  <c r="G1540" i="161"/>
  <c r="G1549" i="161" s="1"/>
  <c r="Q1861" i="161"/>
  <c r="Q1872" i="161" s="1"/>
  <c r="Q1910" i="161" s="1"/>
  <c r="Q1543" i="161" s="1"/>
  <c r="Q1864" i="161"/>
  <c r="Q1875" i="161" s="1"/>
  <c r="Q1913" i="161" s="1"/>
  <c r="Q1546" i="161" s="1"/>
  <c r="Q1859" i="161"/>
  <c r="Q1870" i="161" s="1"/>
  <c r="Q1908" i="161" s="1"/>
  <c r="Q1541" i="161" s="1"/>
  <c r="Q1860" i="161"/>
  <c r="Q1871" i="161" s="1"/>
  <c r="Q1909" i="161" s="1"/>
  <c r="Q1542" i="161" s="1"/>
  <c r="Q1865" i="161"/>
  <c r="Q1876" i="161" s="1"/>
  <c r="Q1914" i="161" s="1"/>
  <c r="Q1863" i="161"/>
  <c r="Q1862" i="161"/>
  <c r="Q1873" i="161" s="1"/>
  <c r="Q1911" i="161" s="1"/>
  <c r="Q1544" i="161" s="1"/>
  <c r="H2091" i="120"/>
  <c r="N1701" i="107"/>
  <c r="M1549" i="161"/>
  <c r="H2093" i="120"/>
  <c r="N1703" i="107"/>
  <c r="O1700" i="107"/>
  <c r="I2101" i="120" s="1"/>
  <c r="G2100" i="120"/>
  <c r="Q1731" i="107"/>
  <c r="K2134" i="120" s="1"/>
  <c r="Q1852" i="107"/>
  <c r="K2260" i="120" s="1"/>
  <c r="P15" i="116"/>
  <c r="O20" i="116"/>
  <c r="Q1761" i="107"/>
  <c r="Q1765" i="107" s="1"/>
  <c r="I2093" i="120"/>
  <c r="O1703" i="107"/>
  <c r="O1697" i="107"/>
  <c r="O1694" i="107"/>
  <c r="I2087" i="120"/>
  <c r="I2094" i="120"/>
  <c r="O1704" i="107"/>
  <c r="D2161" i="120"/>
  <c r="I2089" i="120"/>
  <c r="O1699" i="107"/>
  <c r="M18" i="116"/>
  <c r="I2083" i="120"/>
  <c r="I2092" i="120"/>
  <c r="O1702" i="107"/>
  <c r="I2091" i="120"/>
  <c r="O1701" i="107"/>
  <c r="I2088" i="120"/>
  <c r="O1698" i="107"/>
  <c r="I86" i="120"/>
  <c r="O96" i="107"/>
  <c r="M1730" i="107"/>
  <c r="G2133" i="120" s="1"/>
  <c r="J1849" i="107"/>
  <c r="D2257" i="120" s="1"/>
  <c r="G2104" i="120"/>
  <c r="M1759" i="107"/>
  <c r="G2162" i="120" s="1"/>
  <c r="L1700" i="107"/>
  <c r="L1726" i="107" s="1"/>
  <c r="F2129" i="120" s="1"/>
  <c r="Q1854" i="107"/>
  <c r="K2262" i="120" s="1"/>
  <c r="L1703" i="107"/>
  <c r="L1729" i="107" s="1"/>
  <c r="F2132" i="120" s="1"/>
  <c r="L1702" i="107"/>
  <c r="F2103" i="120" s="1"/>
  <c r="M1763" i="107"/>
  <c r="G2166" i="120" s="1"/>
  <c r="D2165" i="120"/>
  <c r="L1698" i="107"/>
  <c r="L1724" i="107" s="1"/>
  <c r="F2127" i="120" s="1"/>
  <c r="L1704" i="107"/>
  <c r="L1730" i="107" s="1"/>
  <c r="F2133" i="120" s="1"/>
  <c r="H21" i="116"/>
  <c r="D2255" i="120"/>
  <c r="M98" i="107"/>
  <c r="G91" i="120" s="1"/>
  <c r="G89" i="120"/>
  <c r="D2260" i="120"/>
  <c r="Q1849" i="107"/>
  <c r="K2162" i="120"/>
  <c r="M1728" i="107"/>
  <c r="G2131" i="120" s="1"/>
  <c r="G2103" i="120"/>
  <c r="K2166" i="120"/>
  <c r="Q1853" i="107"/>
  <c r="L1701" i="107"/>
  <c r="J1851" i="107"/>
  <c r="D2164" i="120"/>
  <c r="G2101" i="120"/>
  <c r="M1726" i="107"/>
  <c r="G2129" i="120" s="1"/>
  <c r="D2256" i="120"/>
  <c r="G2126" i="120"/>
  <c r="K19" i="116"/>
  <c r="G2095" i="120"/>
  <c r="K2161" i="120"/>
  <c r="Q1848" i="107"/>
  <c r="Q1850" i="107"/>
  <c r="K2163" i="120"/>
  <c r="G2102" i="120"/>
  <c r="M1727" i="107"/>
  <c r="G2130" i="120" s="1"/>
  <c r="F2083" i="120"/>
  <c r="J18" i="116"/>
  <c r="L1699" i="107"/>
  <c r="K2255" i="120"/>
  <c r="G2160" i="120"/>
  <c r="M1847" i="107"/>
  <c r="L1694" i="107"/>
  <c r="F2087" i="120"/>
  <c r="J1850" i="107"/>
  <c r="D2163" i="120"/>
  <c r="G2099" i="120"/>
  <c r="M1724" i="107"/>
  <c r="G2127" i="120" s="1"/>
  <c r="M1705" i="107"/>
  <c r="D2261" i="120"/>
  <c r="F86" i="120"/>
  <c r="L96" i="107"/>
  <c r="J1765" i="107"/>
  <c r="L1697" i="107"/>
  <c r="P1763" i="107" l="1"/>
  <c r="P1853" i="107" s="1"/>
  <c r="J2261" i="120" s="1"/>
  <c r="J2104" i="120"/>
  <c r="N1725" i="107"/>
  <c r="H2128" i="120" s="1"/>
  <c r="O21" i="116"/>
  <c r="J89" i="120"/>
  <c r="P98" i="107"/>
  <c r="J91" i="120" s="1"/>
  <c r="P1730" i="107"/>
  <c r="J2105" i="120"/>
  <c r="N19" i="116"/>
  <c r="J2095" i="120"/>
  <c r="P1723" i="107"/>
  <c r="J2098" i="120"/>
  <c r="P1705" i="107"/>
  <c r="J2102" i="120"/>
  <c r="P1727" i="107"/>
  <c r="P1724" i="107"/>
  <c r="J2127" i="120" s="1"/>
  <c r="J2099" i="120"/>
  <c r="P1726" i="107"/>
  <c r="J2101" i="120"/>
  <c r="P1728" i="107"/>
  <c r="J2103" i="120"/>
  <c r="J2100" i="120"/>
  <c r="P1725" i="107"/>
  <c r="I1547" i="161"/>
  <c r="E2101" i="120"/>
  <c r="K1726" i="107"/>
  <c r="I1548" i="161"/>
  <c r="K1730" i="107"/>
  <c r="E2105" i="120"/>
  <c r="I19" i="116"/>
  <c r="E2095" i="120"/>
  <c r="E2100" i="120"/>
  <c r="K1725" i="107"/>
  <c r="E2103" i="120"/>
  <c r="K1728" i="107"/>
  <c r="K1547" i="161"/>
  <c r="H2103" i="120"/>
  <c r="N1728" i="107"/>
  <c r="K1723" i="107"/>
  <c r="E2098" i="120"/>
  <c r="K1705" i="107"/>
  <c r="E2099" i="120"/>
  <c r="K1724" i="107"/>
  <c r="J1547" i="161"/>
  <c r="P1547" i="161"/>
  <c r="K1729" i="107"/>
  <c r="E2104" i="120"/>
  <c r="K1727" i="107"/>
  <c r="E2102" i="120"/>
  <c r="K98" i="107"/>
  <c r="E89" i="120"/>
  <c r="J1548" i="161"/>
  <c r="J1874" i="161"/>
  <c r="J1912" i="161" s="1"/>
  <c r="J1545" i="161" s="1"/>
  <c r="H2098" i="120"/>
  <c r="N1705" i="107"/>
  <c r="N1723" i="107"/>
  <c r="H2105" i="120"/>
  <c r="N1730" i="107"/>
  <c r="P1548" i="161"/>
  <c r="P1874" i="161"/>
  <c r="P1912" i="161" s="1"/>
  <c r="P1545" i="161" s="1"/>
  <c r="J1907" i="161"/>
  <c r="L1549" i="161"/>
  <c r="N1727" i="107"/>
  <c r="H2130" i="120" s="1"/>
  <c r="H2102" i="120"/>
  <c r="F1731" i="107"/>
  <c r="D21" i="116" s="1"/>
  <c r="T21" i="116" s="1"/>
  <c r="F1757" i="107"/>
  <c r="H1907" i="161"/>
  <c r="H1877" i="161"/>
  <c r="K1548" i="161"/>
  <c r="K1874" i="161"/>
  <c r="K1912" i="161" s="1"/>
  <c r="K1545" i="161" s="1"/>
  <c r="N1724" i="107"/>
  <c r="H2099" i="120"/>
  <c r="J1866" i="161"/>
  <c r="L19" i="116"/>
  <c r="H2095" i="120"/>
  <c r="G1847" i="107"/>
  <c r="G1765" i="107"/>
  <c r="E24" i="116" s="1"/>
  <c r="F1866" i="161"/>
  <c r="F1869" i="161"/>
  <c r="Q1907" i="161"/>
  <c r="P1866" i="161"/>
  <c r="P1869" i="161"/>
  <c r="N1726" i="107"/>
  <c r="H2101" i="120"/>
  <c r="H1765" i="107"/>
  <c r="F24" i="116" s="1"/>
  <c r="H1847" i="107"/>
  <c r="H1855" i="107" s="1"/>
  <c r="Q1866" i="161"/>
  <c r="H2104" i="120"/>
  <c r="N1729" i="107"/>
  <c r="Q1548" i="161"/>
  <c r="Q1874" i="161"/>
  <c r="Q1912" i="161" s="1"/>
  <c r="Q1545" i="161" s="1"/>
  <c r="N98" i="107"/>
  <c r="H91" i="120" s="1"/>
  <c r="H89" i="120"/>
  <c r="K1866" i="161"/>
  <c r="Q1547" i="161"/>
  <c r="N1549" i="161"/>
  <c r="I1545" i="161"/>
  <c r="K1907" i="161"/>
  <c r="O1726" i="107"/>
  <c r="F2101" i="120"/>
  <c r="P18" i="116"/>
  <c r="M1764" i="107"/>
  <c r="G2167" i="120" s="1"/>
  <c r="Q1851" i="107"/>
  <c r="K2259" i="120" s="1"/>
  <c r="K2164" i="120"/>
  <c r="F2105" i="120"/>
  <c r="I2105" i="120"/>
  <c r="O1730" i="107"/>
  <c r="O1728" i="107"/>
  <c r="I2131" i="120" s="1"/>
  <c r="I2103" i="120"/>
  <c r="O1727" i="107"/>
  <c r="I2102" i="120"/>
  <c r="I89" i="120"/>
  <c r="O98" i="107"/>
  <c r="I91" i="120" s="1"/>
  <c r="M19" i="116"/>
  <c r="I2095" i="120"/>
  <c r="F2099" i="120"/>
  <c r="O1724" i="107"/>
  <c r="I2127" i="120" s="1"/>
  <c r="I2099" i="120"/>
  <c r="O1723" i="107"/>
  <c r="I2098" i="120"/>
  <c r="O1705" i="107"/>
  <c r="M1853" i="107"/>
  <c r="G2261" i="120" s="1"/>
  <c r="O1725" i="107"/>
  <c r="I2100" i="120"/>
  <c r="I2104" i="120"/>
  <c r="O1729" i="107"/>
  <c r="I2132" i="120" s="1"/>
  <c r="L1728" i="107"/>
  <c r="F2131" i="120" s="1"/>
  <c r="M1849" i="107"/>
  <c r="G2257" i="120" s="1"/>
  <c r="F2104" i="120"/>
  <c r="M1760" i="107"/>
  <c r="M1850" i="107" s="1"/>
  <c r="L1764" i="107"/>
  <c r="L1854" i="107" s="1"/>
  <c r="L1763" i="107"/>
  <c r="L1853" i="107" s="1"/>
  <c r="M1761" i="107"/>
  <c r="M1851" i="107" s="1"/>
  <c r="J1855" i="107"/>
  <c r="J1865" i="107" s="1"/>
  <c r="D2259" i="120"/>
  <c r="H24" i="116"/>
  <c r="D2168" i="120"/>
  <c r="L1758" i="107"/>
  <c r="K2256" i="120"/>
  <c r="L1727" i="107"/>
  <c r="F2130" i="120" s="1"/>
  <c r="F2102" i="120"/>
  <c r="M1762" i="107"/>
  <c r="K2258" i="120"/>
  <c r="M1731" i="107"/>
  <c r="K2261" i="120"/>
  <c r="L1705" i="107"/>
  <c r="L1723" i="107"/>
  <c r="L1757" i="107" s="1"/>
  <c r="F2098" i="120"/>
  <c r="G2255" i="120"/>
  <c r="L1725" i="107"/>
  <c r="F2128" i="120" s="1"/>
  <c r="F2100" i="120"/>
  <c r="D2258" i="120"/>
  <c r="L98" i="107"/>
  <c r="F91" i="120" s="1"/>
  <c r="F89" i="120"/>
  <c r="M1758" i="107"/>
  <c r="O24" i="116"/>
  <c r="K2168" i="120"/>
  <c r="R21" i="116"/>
  <c r="J19" i="116"/>
  <c r="F2095" i="120"/>
  <c r="L1760" i="107"/>
  <c r="G2106" i="120"/>
  <c r="K20" i="116"/>
  <c r="K2257" i="120"/>
  <c r="E2130" i="120" l="1"/>
  <c r="E91" i="120"/>
  <c r="E2132" i="120"/>
  <c r="E2129" i="120"/>
  <c r="J2166" i="120"/>
  <c r="N1759" i="107"/>
  <c r="N1849" i="107" s="1"/>
  <c r="H2257" i="120" s="1"/>
  <c r="P1758" i="107"/>
  <c r="P1848" i="107" s="1"/>
  <c r="J2256" i="120" s="1"/>
  <c r="J2129" i="120"/>
  <c r="P1760" i="107"/>
  <c r="J2126" i="120"/>
  <c r="P1731" i="107"/>
  <c r="J2128" i="120"/>
  <c r="P1759" i="107"/>
  <c r="J2130" i="120"/>
  <c r="P1761" i="107"/>
  <c r="J2133" i="120"/>
  <c r="P1764" i="107"/>
  <c r="J2131" i="120"/>
  <c r="P1762" i="107"/>
  <c r="J2106" i="120"/>
  <c r="N20" i="116"/>
  <c r="P1757" i="107"/>
  <c r="K1761" i="107"/>
  <c r="K1760" i="107"/>
  <c r="J1877" i="161"/>
  <c r="K1757" i="107"/>
  <c r="E2126" i="120"/>
  <c r="K1731" i="107"/>
  <c r="H2131" i="120"/>
  <c r="N1762" i="107"/>
  <c r="E2133" i="120"/>
  <c r="K1764" i="107"/>
  <c r="E2131" i="120"/>
  <c r="K1762" i="107"/>
  <c r="E2127" i="120"/>
  <c r="K1758" i="107"/>
  <c r="K1763" i="107"/>
  <c r="I20" i="116"/>
  <c r="E2106" i="120"/>
  <c r="E2128" i="120"/>
  <c r="K1759" i="107"/>
  <c r="Q1877" i="161"/>
  <c r="H1540" i="161"/>
  <c r="H1549" i="161" s="1"/>
  <c r="H1916" i="161"/>
  <c r="H1919" i="161" s="1"/>
  <c r="J1916" i="161"/>
  <c r="J1919" i="161" s="1"/>
  <c r="J1540" i="161"/>
  <c r="J1549" i="161" s="1"/>
  <c r="J1551" i="161" s="1"/>
  <c r="P1578" i="161" s="1"/>
  <c r="Q1916" i="161"/>
  <c r="Q1540" i="161"/>
  <c r="Q1549" i="161" s="1"/>
  <c r="H2129" i="120"/>
  <c r="N1760" i="107"/>
  <c r="F1765" i="107"/>
  <c r="D24" i="116" s="1"/>
  <c r="T24" i="116" s="1"/>
  <c r="F1847" i="107"/>
  <c r="P1907" i="161"/>
  <c r="P1877" i="161"/>
  <c r="H2126" i="120"/>
  <c r="N1757" i="107"/>
  <c r="N1731" i="107"/>
  <c r="K1877" i="161"/>
  <c r="H2132" i="120"/>
  <c r="N1763" i="107"/>
  <c r="F1907" i="161"/>
  <c r="F1877" i="161"/>
  <c r="N1761" i="107"/>
  <c r="L20" i="116"/>
  <c r="H2106" i="120"/>
  <c r="K1916" i="161"/>
  <c r="K1919" i="161" s="1"/>
  <c r="K1540" i="161"/>
  <c r="H2127" i="120"/>
  <c r="N1758" i="107"/>
  <c r="H1858" i="107"/>
  <c r="F30" i="116"/>
  <c r="H1860" i="107"/>
  <c r="H1871" i="107" s="1"/>
  <c r="H1909" i="107" s="1"/>
  <c r="H1542" i="107" s="1"/>
  <c r="H1865" i="107"/>
  <c r="H1876" i="107" s="1"/>
  <c r="H1914" i="107" s="1"/>
  <c r="H1859" i="107"/>
  <c r="H1870" i="107" s="1"/>
  <c r="H1908" i="107" s="1"/>
  <c r="H1541" i="107" s="1"/>
  <c r="H1864" i="107"/>
  <c r="H1875" i="107" s="1"/>
  <c r="H1913" i="107" s="1"/>
  <c r="H1546" i="107" s="1"/>
  <c r="H1862" i="107"/>
  <c r="H1873" i="107" s="1"/>
  <c r="H1911" i="107" s="1"/>
  <c r="H1544" i="107" s="1"/>
  <c r="H1861" i="107"/>
  <c r="H1872" i="107" s="1"/>
  <c r="H1910" i="107" s="1"/>
  <c r="H1543" i="107" s="1"/>
  <c r="H1863" i="107"/>
  <c r="G1855" i="107"/>
  <c r="H2133" i="120"/>
  <c r="N1764" i="107"/>
  <c r="I2129" i="120"/>
  <c r="O1760" i="107"/>
  <c r="Q1855" i="107"/>
  <c r="Q1864" i="107" s="1"/>
  <c r="K2272" i="120" s="1"/>
  <c r="O1762" i="107"/>
  <c r="I2165" i="120" s="1"/>
  <c r="M1854" i="107"/>
  <c r="G2262" i="120" s="1"/>
  <c r="F2167" i="120"/>
  <c r="L1762" i="107"/>
  <c r="F2165" i="120" s="1"/>
  <c r="P19" i="116"/>
  <c r="O1763" i="107"/>
  <c r="O1853" i="107" s="1"/>
  <c r="I2261" i="120" s="1"/>
  <c r="I2128" i="120"/>
  <c r="O1759" i="107"/>
  <c r="O1758" i="107"/>
  <c r="J1861" i="107"/>
  <c r="D2269" i="120" s="1"/>
  <c r="I2130" i="120"/>
  <c r="O1761" i="107"/>
  <c r="O1757" i="107"/>
  <c r="I2126" i="120"/>
  <c r="O1731" i="107"/>
  <c r="I2133" i="120"/>
  <c r="O1764" i="107"/>
  <c r="I2106" i="120"/>
  <c r="M20" i="116"/>
  <c r="J1862" i="107"/>
  <c r="D2270" i="120" s="1"/>
  <c r="G2163" i="120"/>
  <c r="J1858" i="107"/>
  <c r="D2266" i="120" s="1"/>
  <c r="J1863" i="107"/>
  <c r="D2271" i="120" s="1"/>
  <c r="G2164" i="120"/>
  <c r="F2166" i="120"/>
  <c r="J1864" i="107"/>
  <c r="D2272" i="120" s="1"/>
  <c r="J1859" i="107"/>
  <c r="D2267" i="120" s="1"/>
  <c r="J1860" i="107"/>
  <c r="D2263" i="120"/>
  <c r="H30" i="116"/>
  <c r="G2161" i="120"/>
  <c r="M1848" i="107"/>
  <c r="M1765" i="107"/>
  <c r="R24" i="116"/>
  <c r="L1759" i="107"/>
  <c r="M1852" i="107"/>
  <c r="G2165" i="120"/>
  <c r="D2273" i="120"/>
  <c r="J1876" i="107"/>
  <c r="G2259" i="120"/>
  <c r="L1731" i="107"/>
  <c r="F2126" i="120"/>
  <c r="J20" i="116"/>
  <c r="F2106" i="120"/>
  <c r="G2258" i="120"/>
  <c r="L1761" i="107"/>
  <c r="L1847" i="107"/>
  <c r="F2160" i="120"/>
  <c r="L1850" i="107"/>
  <c r="F2163" i="120"/>
  <c r="F2262" i="120"/>
  <c r="F2261" i="120"/>
  <c r="G2134" i="120"/>
  <c r="K21" i="116"/>
  <c r="F2161" i="120"/>
  <c r="L1848" i="107"/>
  <c r="K1850" i="107" l="1"/>
  <c r="E2164" i="120"/>
  <c r="H2162" i="120"/>
  <c r="K1851" i="107"/>
  <c r="J2161" i="120"/>
  <c r="E2163" i="120"/>
  <c r="Q1860" i="107"/>
  <c r="K2268" i="120" s="1"/>
  <c r="P1851" i="107"/>
  <c r="J2259" i="120" s="1"/>
  <c r="J2164" i="120"/>
  <c r="J2160" i="120"/>
  <c r="P1847" i="107"/>
  <c r="P1765" i="107"/>
  <c r="P1849" i="107"/>
  <c r="J2257" i="120" s="1"/>
  <c r="J2162" i="120"/>
  <c r="J2165" i="120"/>
  <c r="P1852" i="107"/>
  <c r="J2260" i="120" s="1"/>
  <c r="N21" i="116"/>
  <c r="J2134" i="120"/>
  <c r="P1854" i="107"/>
  <c r="J2262" i="120" s="1"/>
  <c r="J2167" i="120"/>
  <c r="P1850" i="107"/>
  <c r="J2258" i="120" s="1"/>
  <c r="J2163" i="120"/>
  <c r="Q1865" i="107"/>
  <c r="Q1876" i="107" s="1"/>
  <c r="O30" i="116"/>
  <c r="K2263" i="120"/>
  <c r="K1578" i="161"/>
  <c r="R30" i="116"/>
  <c r="H1547" i="107"/>
  <c r="E2166" i="120"/>
  <c r="K1853" i="107"/>
  <c r="E2161" i="120"/>
  <c r="K1848" i="107"/>
  <c r="N1852" i="107"/>
  <c r="H2260" i="120" s="1"/>
  <c r="H2165" i="120"/>
  <c r="E2162" i="120"/>
  <c r="K1849" i="107"/>
  <c r="K1852" i="107"/>
  <c r="E2165" i="120"/>
  <c r="E2134" i="120"/>
  <c r="I21" i="116"/>
  <c r="E2167" i="120"/>
  <c r="K1854" i="107"/>
  <c r="K1847" i="107"/>
  <c r="E2160" i="120"/>
  <c r="K1765" i="107"/>
  <c r="N1765" i="107"/>
  <c r="N1847" i="107"/>
  <c r="H2160" i="120"/>
  <c r="N1848" i="107"/>
  <c r="H2256" i="120" s="1"/>
  <c r="H2161" i="120"/>
  <c r="H2164" i="120"/>
  <c r="N1851" i="107"/>
  <c r="H2259" i="120" s="1"/>
  <c r="Q1858" i="107"/>
  <c r="K2266" i="120" s="1"/>
  <c r="H2167" i="120"/>
  <c r="N1854" i="107"/>
  <c r="H2262" i="120" s="1"/>
  <c r="F1916" i="161"/>
  <c r="F1919" i="161" s="1"/>
  <c r="F1540" i="161"/>
  <c r="N1584" i="161"/>
  <c r="O1583" i="161"/>
  <c r="O1578" i="161"/>
  <c r="O1577" i="161"/>
  <c r="N1578" i="161"/>
  <c r="O1584" i="161"/>
  <c r="O1576" i="161"/>
  <c r="O1571" i="161"/>
  <c r="M1576" i="161"/>
  <c r="M1571" i="161"/>
  <c r="M1582" i="161"/>
  <c r="M1567" i="161"/>
  <c r="L1577" i="161"/>
  <c r="N1582" i="161"/>
  <c r="M1583" i="161"/>
  <c r="O1567" i="161"/>
  <c r="L1568" i="161"/>
  <c r="M1577" i="161"/>
  <c r="N1571" i="161"/>
  <c r="O1568" i="161"/>
  <c r="N1576" i="161"/>
  <c r="L1571" i="161"/>
  <c r="L1576" i="161"/>
  <c r="N1568" i="161"/>
  <c r="N1577" i="161"/>
  <c r="O1582" i="161"/>
  <c r="N1583" i="161"/>
  <c r="N1567" i="161"/>
  <c r="L1567" i="161"/>
  <c r="M1568" i="161"/>
  <c r="M1575" i="161"/>
  <c r="M1584" i="161"/>
  <c r="M1578" i="161"/>
  <c r="O1575" i="161"/>
  <c r="L1578" i="161"/>
  <c r="O1581" i="161"/>
  <c r="M1581" i="161"/>
  <c r="L1575" i="161"/>
  <c r="K1577" i="161"/>
  <c r="P1571" i="161"/>
  <c r="N1575" i="161"/>
  <c r="J1567" i="161"/>
  <c r="K1567" i="161"/>
  <c r="N1581" i="161"/>
  <c r="K1571" i="161"/>
  <c r="P1568" i="161"/>
  <c r="K1576" i="161"/>
  <c r="P1567" i="161"/>
  <c r="P1577" i="161"/>
  <c r="P1576" i="161"/>
  <c r="J1568" i="161"/>
  <c r="K1568" i="161"/>
  <c r="N1853" i="107"/>
  <c r="H2261" i="120" s="1"/>
  <c r="H2166" i="120"/>
  <c r="P1916" i="161"/>
  <c r="P1919" i="161" s="1"/>
  <c r="P1540" i="161"/>
  <c r="K1549" i="161"/>
  <c r="K1575" i="161"/>
  <c r="F1855" i="107"/>
  <c r="D30" i="116" s="1"/>
  <c r="G1858" i="107"/>
  <c r="G1863" i="107"/>
  <c r="G1861" i="107"/>
  <c r="E30" i="116"/>
  <c r="G1859" i="107"/>
  <c r="G1864" i="107"/>
  <c r="G1860" i="107"/>
  <c r="G1862" i="107"/>
  <c r="G1865" i="107"/>
  <c r="H1548" i="107"/>
  <c r="H1874" i="107"/>
  <c r="H1912" i="107" s="1"/>
  <c r="H1545" i="107" s="1"/>
  <c r="H1869" i="107"/>
  <c r="H1866" i="107"/>
  <c r="F31" i="116" s="1"/>
  <c r="L21" i="116"/>
  <c r="H2134" i="120"/>
  <c r="N1850" i="107"/>
  <c r="H2258" i="120" s="1"/>
  <c r="H2163" i="120"/>
  <c r="L1852" i="107"/>
  <c r="F2260" i="120" s="1"/>
  <c r="Q1861" i="107"/>
  <c r="K2269" i="120" s="1"/>
  <c r="Q1863" i="107"/>
  <c r="K2271" i="120" s="1"/>
  <c r="Q1862" i="107"/>
  <c r="K2270" i="120" s="1"/>
  <c r="Q1875" i="107"/>
  <c r="K2283" i="120" s="1"/>
  <c r="Q1859" i="107"/>
  <c r="Q1870" i="107" s="1"/>
  <c r="O1850" i="107"/>
  <c r="I2258" i="120" s="1"/>
  <c r="I2163" i="120"/>
  <c r="O1852" i="107"/>
  <c r="I2260" i="120" s="1"/>
  <c r="J1869" i="107"/>
  <c r="D2277" i="120" s="1"/>
  <c r="I2166" i="120"/>
  <c r="J1875" i="107"/>
  <c r="J1913" i="107" s="1"/>
  <c r="J1874" i="107"/>
  <c r="D2282" i="120" s="1"/>
  <c r="J1548" i="107"/>
  <c r="D1948" i="120" s="1"/>
  <c r="I2160" i="120"/>
  <c r="O1847" i="107"/>
  <c r="O1765" i="107"/>
  <c r="P20" i="116"/>
  <c r="O1851" i="107"/>
  <c r="I2259" i="120" s="1"/>
  <c r="I2164" i="120"/>
  <c r="O1854" i="107"/>
  <c r="I2167" i="120"/>
  <c r="O1848" i="107"/>
  <c r="I2256" i="120" s="1"/>
  <c r="I2161" i="120"/>
  <c r="O1849" i="107"/>
  <c r="I2257" i="120" s="1"/>
  <c r="I2162" i="120"/>
  <c r="J1873" i="107"/>
  <c r="D2281" i="120" s="1"/>
  <c r="J1872" i="107"/>
  <c r="D2280" i="120" s="1"/>
  <c r="M21" i="116"/>
  <c r="I2134" i="120"/>
  <c r="J1866" i="107"/>
  <c r="D2274" i="120" s="1"/>
  <c r="J1870" i="107"/>
  <c r="D2278" i="120" s="1"/>
  <c r="J1871" i="107"/>
  <c r="D2279" i="120" s="1"/>
  <c r="D2268" i="120"/>
  <c r="F2258" i="120"/>
  <c r="F2134" i="120"/>
  <c r="J21" i="116"/>
  <c r="D2284" i="120"/>
  <c r="J1914" i="107"/>
  <c r="K24" i="116"/>
  <c r="G2168" i="120"/>
  <c r="G2256" i="120"/>
  <c r="M1855" i="107"/>
  <c r="G2260" i="120"/>
  <c r="L1851" i="107"/>
  <c r="F2164" i="120"/>
  <c r="F2256" i="120"/>
  <c r="F2162" i="120"/>
  <c r="L1849" i="107"/>
  <c r="L1765" i="107"/>
  <c r="F2255" i="120"/>
  <c r="E2262" i="120" l="1"/>
  <c r="E2261" i="120"/>
  <c r="E2260" i="120"/>
  <c r="E2257" i="120"/>
  <c r="E2256" i="120"/>
  <c r="E2259" i="120"/>
  <c r="E2258" i="120"/>
  <c r="Q1871" i="107"/>
  <c r="Q1909" i="107" s="1"/>
  <c r="Q1873" i="107"/>
  <c r="Q1911" i="107" s="1"/>
  <c r="Q1869" i="107"/>
  <c r="K2277" i="120" s="1"/>
  <c r="K2273" i="120"/>
  <c r="J1907" i="107"/>
  <c r="J1540" i="107" s="1"/>
  <c r="Q1872" i="107"/>
  <c r="Q1910" i="107" s="1"/>
  <c r="Q1874" i="107"/>
  <c r="Q1912" i="107" s="1"/>
  <c r="Q1548" i="107"/>
  <c r="K1948" i="120" s="1"/>
  <c r="J2255" i="120"/>
  <c r="P1855" i="107"/>
  <c r="J2168" i="120"/>
  <c r="N24" i="116"/>
  <c r="P1569" i="161"/>
  <c r="L1569" i="161"/>
  <c r="J1569" i="161"/>
  <c r="E2255" i="120"/>
  <c r="K1855" i="107"/>
  <c r="N1569" i="161"/>
  <c r="O1569" i="161"/>
  <c r="M1569" i="161"/>
  <c r="I24" i="116"/>
  <c r="E2168" i="120"/>
  <c r="T30" i="116"/>
  <c r="F1862" i="107"/>
  <c r="F1873" i="107" s="1"/>
  <c r="F1911" i="107" s="1"/>
  <c r="F1544" i="107" s="1"/>
  <c r="I1544" i="107" s="1"/>
  <c r="G1873" i="107"/>
  <c r="G1911" i="107" s="1"/>
  <c r="G1544" i="107" s="1"/>
  <c r="F1860" i="107"/>
  <c r="F1871" i="107" s="1"/>
  <c r="F1909" i="107" s="1"/>
  <c r="F1542" i="107" s="1"/>
  <c r="I1542" i="107" s="1"/>
  <c r="G1871" i="107"/>
  <c r="G1909" i="107" s="1"/>
  <c r="G1542" i="107" s="1"/>
  <c r="K1569" i="161"/>
  <c r="F1864" i="107"/>
  <c r="F1875" i="107" s="1"/>
  <c r="F1913" i="107" s="1"/>
  <c r="F1546" i="107" s="1"/>
  <c r="I1546" i="107" s="1"/>
  <c r="G1875" i="107"/>
  <c r="G1913" i="107" s="1"/>
  <c r="G1546" i="107" s="1"/>
  <c r="F1859" i="107"/>
  <c r="F1870" i="107" s="1"/>
  <c r="F1908" i="107" s="1"/>
  <c r="F1541" i="107" s="1"/>
  <c r="I1541" i="107" s="1"/>
  <c r="G1870" i="107"/>
  <c r="G1908" i="107" s="1"/>
  <c r="G1541" i="107" s="1"/>
  <c r="H1907" i="107"/>
  <c r="H1877" i="107"/>
  <c r="P1549" i="161"/>
  <c r="P1575" i="161"/>
  <c r="F1549" i="161"/>
  <c r="I1549" i="161" s="1"/>
  <c r="I1540" i="161"/>
  <c r="Q1913" i="107"/>
  <c r="K2330" i="120" s="1"/>
  <c r="F1861" i="107"/>
  <c r="F1872" i="107" s="1"/>
  <c r="F1910" i="107" s="1"/>
  <c r="F1543" i="107" s="1"/>
  <c r="I1543" i="107" s="1"/>
  <c r="G1872" i="107"/>
  <c r="G1910" i="107" s="1"/>
  <c r="G1543" i="107" s="1"/>
  <c r="F1863" i="107"/>
  <c r="G1548" i="107"/>
  <c r="G1874" i="107"/>
  <c r="G1912" i="107" s="1"/>
  <c r="G1545" i="107" s="1"/>
  <c r="N1855" i="107"/>
  <c r="H2255" i="120"/>
  <c r="F1865" i="107"/>
  <c r="F1876" i="107" s="1"/>
  <c r="F1914" i="107" s="1"/>
  <c r="G1876" i="107"/>
  <c r="G1914" i="107" s="1"/>
  <c r="G1547" i="107" s="1"/>
  <c r="F1858" i="107"/>
  <c r="G1866" i="107"/>
  <c r="E31" i="116" s="1"/>
  <c r="G1869" i="107"/>
  <c r="H2168" i="120"/>
  <c r="L24" i="116"/>
  <c r="K2267" i="120"/>
  <c r="Q1866" i="107"/>
  <c r="K2274" i="120" s="1"/>
  <c r="J1912" i="107"/>
  <c r="J1545" i="107" s="1"/>
  <c r="D1945" i="120" s="1"/>
  <c r="D2283" i="120"/>
  <c r="J1908" i="107"/>
  <c r="D2325" i="120" s="1"/>
  <c r="J1911" i="107"/>
  <c r="J1544" i="107" s="1"/>
  <c r="D1944" i="120" s="1"/>
  <c r="I2262" i="120"/>
  <c r="P21" i="116"/>
  <c r="J1910" i="107"/>
  <c r="I2168" i="120"/>
  <c r="M24" i="116"/>
  <c r="I2255" i="120"/>
  <c r="O1855" i="107"/>
  <c r="O1865" i="107" s="1"/>
  <c r="I2273" i="120" s="1"/>
  <c r="H31" i="116"/>
  <c r="R31" i="116" s="1"/>
  <c r="J1877" i="107"/>
  <c r="D2285" i="120" s="1"/>
  <c r="J1909" i="107"/>
  <c r="D2326" i="120" s="1"/>
  <c r="L1855" i="107"/>
  <c r="L1858" i="107" s="1"/>
  <c r="D2331" i="120"/>
  <c r="J1547" i="107"/>
  <c r="D1947" i="120" s="1"/>
  <c r="Q1908" i="107"/>
  <c r="K2278" i="120"/>
  <c r="Q1914" i="107"/>
  <c r="K2284" i="120"/>
  <c r="J1546" i="107"/>
  <c r="D1946" i="120" s="1"/>
  <c r="D2330" i="120"/>
  <c r="K30" i="116"/>
  <c r="G2263" i="120"/>
  <c r="M1860" i="107"/>
  <c r="M1858" i="107"/>
  <c r="M1865" i="107"/>
  <c r="M1864" i="107"/>
  <c r="M1862" i="107"/>
  <c r="M1861" i="107"/>
  <c r="F2257" i="120"/>
  <c r="F2259" i="120"/>
  <c r="J24" i="116"/>
  <c r="F2168" i="120"/>
  <c r="M1863" i="107"/>
  <c r="M1859" i="107"/>
  <c r="K2279" i="120" l="1"/>
  <c r="D2324" i="120"/>
  <c r="K2281" i="120"/>
  <c r="Q1907" i="107"/>
  <c r="K2324" i="120" s="1"/>
  <c r="O31" i="116"/>
  <c r="K2280" i="120"/>
  <c r="Q1546" i="107"/>
  <c r="K1946" i="120" s="1"/>
  <c r="D2329" i="120"/>
  <c r="P1863" i="107"/>
  <c r="N30" i="116"/>
  <c r="P1865" i="107"/>
  <c r="J2263" i="120"/>
  <c r="P1864" i="107"/>
  <c r="P1861" i="107"/>
  <c r="P1860" i="107"/>
  <c r="P1858" i="107"/>
  <c r="P1859" i="107"/>
  <c r="K2282" i="120"/>
  <c r="Q1877" i="107"/>
  <c r="K2285" i="120" s="1"/>
  <c r="P1862" i="107"/>
  <c r="K1860" i="107"/>
  <c r="K1862" i="107"/>
  <c r="E2263" i="120"/>
  <c r="I30" i="116"/>
  <c r="K1859" i="107"/>
  <c r="K1863" i="107"/>
  <c r="K1864" i="107"/>
  <c r="K1858" i="107"/>
  <c r="K1865" i="107"/>
  <c r="K1861" i="107"/>
  <c r="N1858" i="107"/>
  <c r="N1864" i="107"/>
  <c r="N1865" i="107"/>
  <c r="N1862" i="107"/>
  <c r="N1863" i="107"/>
  <c r="L30" i="116"/>
  <c r="H2263" i="120"/>
  <c r="N1859" i="107"/>
  <c r="N1860" i="107"/>
  <c r="G1907" i="107"/>
  <c r="G1877" i="107"/>
  <c r="F1548" i="107"/>
  <c r="I1548" i="107" s="1"/>
  <c r="F1874" i="107"/>
  <c r="F1912" i="107" s="1"/>
  <c r="F1545" i="107" s="1"/>
  <c r="I1545" i="107" s="1"/>
  <c r="F1866" i="107"/>
  <c r="D31" i="116" s="1"/>
  <c r="T31" i="116" s="1"/>
  <c r="F1869" i="107"/>
  <c r="H1540" i="107"/>
  <c r="H1549" i="107" s="1"/>
  <c r="H1916" i="107"/>
  <c r="N1861" i="107"/>
  <c r="F1547" i="107"/>
  <c r="I1547" i="107" s="1"/>
  <c r="J1541" i="107"/>
  <c r="J1542" i="107"/>
  <c r="J30" i="116"/>
  <c r="J1916" i="107"/>
  <c r="H33" i="116" s="1"/>
  <c r="D2328" i="120"/>
  <c r="P24" i="116"/>
  <c r="D2327" i="120"/>
  <c r="J1543" i="107"/>
  <c r="O1864" i="107"/>
  <c r="O1860" i="107"/>
  <c r="O1859" i="107"/>
  <c r="O1863" i="107"/>
  <c r="O1861" i="107"/>
  <c r="O1862" i="107"/>
  <c r="I2263" i="120"/>
  <c r="M30" i="116"/>
  <c r="O1858" i="107"/>
  <c r="O1876" i="107"/>
  <c r="F2263" i="120"/>
  <c r="L1861" i="107"/>
  <c r="F2269" i="120" s="1"/>
  <c r="L1860" i="107"/>
  <c r="F2268" i="120" s="1"/>
  <c r="L1863" i="107"/>
  <c r="L1864" i="107"/>
  <c r="L1875" i="107" s="1"/>
  <c r="L1865" i="107"/>
  <c r="F2273" i="120" s="1"/>
  <c r="L1862" i="107"/>
  <c r="F2270" i="120" s="1"/>
  <c r="L1859" i="107"/>
  <c r="F2266" i="120"/>
  <c r="L1869" i="107"/>
  <c r="L1907" i="107" s="1"/>
  <c r="G2270" i="120"/>
  <c r="M1873" i="107"/>
  <c r="G2269" i="120"/>
  <c r="M1872" i="107"/>
  <c r="K2329" i="120"/>
  <c r="Q1545" i="107"/>
  <c r="K1945" i="120" s="1"/>
  <c r="Q1542" i="107"/>
  <c r="K1942" i="120" s="1"/>
  <c r="K2326" i="120"/>
  <c r="G2272" i="120"/>
  <c r="M1875" i="107"/>
  <c r="G2273" i="120"/>
  <c r="M1876" i="107"/>
  <c r="G2267" i="120"/>
  <c r="M1870" i="107"/>
  <c r="M1866" i="107"/>
  <c r="G2266" i="120"/>
  <c r="M1869" i="107"/>
  <c r="Q1541" i="107"/>
  <c r="K1941" i="120" s="1"/>
  <c r="K2325" i="120"/>
  <c r="D1940" i="120"/>
  <c r="G2268" i="120"/>
  <c r="M1871" i="107"/>
  <c r="Q1547" i="107"/>
  <c r="K1947" i="120" s="1"/>
  <c r="K2331" i="120"/>
  <c r="Q1543" i="107"/>
  <c r="K1943" i="120" s="1"/>
  <c r="K2327" i="120"/>
  <c r="G2271" i="120"/>
  <c r="M1548" i="107"/>
  <c r="G1948" i="120" s="1"/>
  <c r="M1874" i="107"/>
  <c r="K2328" i="120"/>
  <c r="Q1544" i="107"/>
  <c r="K1944" i="120" s="1"/>
  <c r="Q1540" i="107" l="1"/>
  <c r="K1940" i="120" s="1"/>
  <c r="Q1916" i="107"/>
  <c r="O33" i="116" s="1"/>
  <c r="O35" i="116" s="1"/>
  <c r="J2268" i="120"/>
  <c r="P1871" i="107"/>
  <c r="J2266" i="120"/>
  <c r="P1866" i="107"/>
  <c r="P1869" i="107"/>
  <c r="J2269" i="120"/>
  <c r="P1872" i="107"/>
  <c r="J2272" i="120"/>
  <c r="P1875" i="107"/>
  <c r="J2270" i="120"/>
  <c r="P1873" i="107"/>
  <c r="P1876" i="107"/>
  <c r="J2273" i="120"/>
  <c r="P1870" i="107"/>
  <c r="J2267" i="120"/>
  <c r="P1548" i="107"/>
  <c r="J1948" i="120" s="1"/>
  <c r="J2271" i="120"/>
  <c r="P1874" i="107"/>
  <c r="D1942" i="120"/>
  <c r="D1941" i="120"/>
  <c r="E2266" i="120"/>
  <c r="K1869" i="107"/>
  <c r="K1866" i="107"/>
  <c r="K1875" i="107"/>
  <c r="E2272" i="120"/>
  <c r="K1874" i="107"/>
  <c r="E2271" i="120"/>
  <c r="K1548" i="107"/>
  <c r="E2267" i="120"/>
  <c r="K1870" i="107"/>
  <c r="K1872" i="107"/>
  <c r="E2269" i="120"/>
  <c r="E2270" i="120"/>
  <c r="K1873" i="107"/>
  <c r="E2273" i="120"/>
  <c r="K1876" i="107"/>
  <c r="E2268" i="120"/>
  <c r="K1871" i="107"/>
  <c r="H2267" i="120"/>
  <c r="N1870" i="107"/>
  <c r="F1907" i="107"/>
  <c r="F1877" i="107"/>
  <c r="N1874" i="107"/>
  <c r="H2271" i="120"/>
  <c r="N1548" i="107"/>
  <c r="H1948" i="120" s="1"/>
  <c r="H2270" i="120"/>
  <c r="N1873" i="107"/>
  <c r="H2273" i="120"/>
  <c r="N1876" i="107"/>
  <c r="H2269" i="120"/>
  <c r="N1872" i="107"/>
  <c r="G1916" i="107"/>
  <c r="G1540" i="107"/>
  <c r="G1549" i="107" s="1"/>
  <c r="H2272" i="120"/>
  <c r="N1875" i="107"/>
  <c r="H1919" i="107"/>
  <c r="F33" i="116"/>
  <c r="F35" i="116" s="1"/>
  <c r="H2268" i="120"/>
  <c r="N1871" i="107"/>
  <c r="H2266" i="120"/>
  <c r="N1869" i="107"/>
  <c r="N1866" i="107"/>
  <c r="J1549" i="107"/>
  <c r="J1551" i="107" s="1"/>
  <c r="J1919" i="107"/>
  <c r="P30" i="116"/>
  <c r="D2333" i="120"/>
  <c r="F2277" i="120"/>
  <c r="L1872" i="107"/>
  <c r="L1910" i="107" s="1"/>
  <c r="O1874" i="107"/>
  <c r="I2271" i="120"/>
  <c r="O1548" i="107"/>
  <c r="I1948" i="120" s="1"/>
  <c r="O1870" i="107"/>
  <c r="I2267" i="120"/>
  <c r="O1914" i="107"/>
  <c r="I2284" i="120"/>
  <c r="I2268" i="120"/>
  <c r="O1871" i="107"/>
  <c r="I2266" i="120"/>
  <c r="O1869" i="107"/>
  <c r="O1866" i="107"/>
  <c r="I2272" i="120"/>
  <c r="O1875" i="107"/>
  <c r="L1871" i="107"/>
  <c r="L1909" i="107" s="1"/>
  <c r="D1943" i="120"/>
  <c r="I2270" i="120"/>
  <c r="O1873" i="107"/>
  <c r="I2269" i="120"/>
  <c r="O1872" i="107"/>
  <c r="L1873" i="107"/>
  <c r="L1911" i="107" s="1"/>
  <c r="F2272" i="120"/>
  <c r="L1876" i="107"/>
  <c r="F2284" i="120" s="1"/>
  <c r="L1866" i="107"/>
  <c r="F2274" i="120" s="1"/>
  <c r="L1548" i="107"/>
  <c r="F1948" i="120" s="1"/>
  <c r="L1874" i="107"/>
  <c r="F2271" i="120"/>
  <c r="F2267" i="120"/>
  <c r="L1870" i="107"/>
  <c r="M1910" i="107"/>
  <c r="G2280" i="120"/>
  <c r="F2283" i="120"/>
  <c r="L1913" i="107"/>
  <c r="M1907" i="107"/>
  <c r="M1877" i="107"/>
  <c r="G2285" i="120" s="1"/>
  <c r="G2277" i="120"/>
  <c r="G2278" i="120"/>
  <c r="M1908" i="107"/>
  <c r="M1913" i="107"/>
  <c r="G2283" i="120"/>
  <c r="H35" i="116"/>
  <c r="G2274" i="120"/>
  <c r="K31" i="116"/>
  <c r="M1911" i="107"/>
  <c r="G2281" i="120"/>
  <c r="G2279" i="120"/>
  <c r="M1909" i="107"/>
  <c r="L1540" i="107"/>
  <c r="F2324" i="120"/>
  <c r="M1912" i="107"/>
  <c r="G2282" i="120"/>
  <c r="G2284" i="120"/>
  <c r="M1914" i="107"/>
  <c r="E1948" i="120" l="1"/>
  <c r="Q1549" i="107"/>
  <c r="K1949" i="120" s="1"/>
  <c r="K2333" i="120"/>
  <c r="J2280" i="120"/>
  <c r="P1910" i="107"/>
  <c r="J2283" i="120"/>
  <c r="P1913" i="107"/>
  <c r="R33" i="116"/>
  <c r="P1908" i="107"/>
  <c r="J2278" i="120"/>
  <c r="J2277" i="120"/>
  <c r="P1907" i="107"/>
  <c r="P1877" i="107"/>
  <c r="J2285" i="120" s="1"/>
  <c r="P1914" i="107"/>
  <c r="J2284" i="120"/>
  <c r="N31" i="116"/>
  <c r="J2274" i="120"/>
  <c r="J2281" i="120"/>
  <c r="P1911" i="107"/>
  <c r="P1912" i="107"/>
  <c r="J2282" i="120"/>
  <c r="J2279" i="120"/>
  <c r="P1909" i="107"/>
  <c r="D1949" i="120"/>
  <c r="E2284" i="120"/>
  <c r="K1914" i="107"/>
  <c r="K1911" i="107"/>
  <c r="E2281" i="120"/>
  <c r="K1912" i="107"/>
  <c r="E2282" i="120"/>
  <c r="E2283" i="120"/>
  <c r="K1913" i="107"/>
  <c r="K1910" i="107"/>
  <c r="E2280" i="120"/>
  <c r="E2274" i="120"/>
  <c r="I31" i="116"/>
  <c r="E2279" i="120"/>
  <c r="K1909" i="107"/>
  <c r="K1908" i="107"/>
  <c r="E2278" i="120"/>
  <c r="K1907" i="107"/>
  <c r="E2277" i="120"/>
  <c r="K1877" i="107"/>
  <c r="N1907" i="107"/>
  <c r="H2277" i="120"/>
  <c r="N1877" i="107"/>
  <c r="H2285" i="120" s="1"/>
  <c r="N1909" i="107"/>
  <c r="H2279" i="120"/>
  <c r="E33" i="116"/>
  <c r="E35" i="116" s="1"/>
  <c r="G1919" i="107"/>
  <c r="H2280" i="120"/>
  <c r="N1910" i="107"/>
  <c r="H2282" i="120"/>
  <c r="N1912" i="107"/>
  <c r="N1914" i="107"/>
  <c r="H2284" i="120"/>
  <c r="F1916" i="107"/>
  <c r="F1540" i="107"/>
  <c r="N1908" i="107"/>
  <c r="H2278" i="120"/>
  <c r="H2274" i="120"/>
  <c r="L31" i="116"/>
  <c r="N1913" i="107"/>
  <c r="H2283" i="120"/>
  <c r="N1911" i="107"/>
  <c r="H2281" i="120"/>
  <c r="F2280" i="120"/>
  <c r="J31" i="116"/>
  <c r="L1914" i="107"/>
  <c r="F2331" i="120" s="1"/>
  <c r="F2281" i="120"/>
  <c r="O1910" i="107"/>
  <c r="I2280" i="120"/>
  <c r="O1913" i="107"/>
  <c r="I2283" i="120"/>
  <c r="O1547" i="107"/>
  <c r="I1947" i="120" s="1"/>
  <c r="I2331" i="120"/>
  <c r="F2279" i="120"/>
  <c r="M31" i="116"/>
  <c r="I2274" i="120"/>
  <c r="I2281" i="120"/>
  <c r="O1911" i="107"/>
  <c r="O1907" i="107"/>
  <c r="I2277" i="120"/>
  <c r="I2278" i="120"/>
  <c r="O1908" i="107"/>
  <c r="I2279" i="120"/>
  <c r="O1909" i="107"/>
  <c r="O1877" i="107"/>
  <c r="I2285" i="120" s="1"/>
  <c r="O1912" i="107"/>
  <c r="I2282" i="120"/>
  <c r="L1877" i="107"/>
  <c r="F2285" i="120" s="1"/>
  <c r="L1912" i="107"/>
  <c r="F2282" i="120"/>
  <c r="F2278" i="120"/>
  <c r="L1908" i="107"/>
  <c r="O1577" i="107"/>
  <c r="I1977" i="120" s="1"/>
  <c r="D1951" i="120"/>
  <c r="O1578" i="107"/>
  <c r="I1978" i="120" s="1"/>
  <c r="O1583" i="107"/>
  <c r="I1983" i="120" s="1"/>
  <c r="N1584" i="107"/>
  <c r="H1984" i="120" s="1"/>
  <c r="N1578" i="107"/>
  <c r="H1978" i="120" s="1"/>
  <c r="O1584" i="107"/>
  <c r="I1984" i="120" s="1"/>
  <c r="G2331" i="120"/>
  <c r="M1547" i="107"/>
  <c r="F1940" i="120"/>
  <c r="L1575" i="107"/>
  <c r="F1975" i="120" s="1"/>
  <c r="L1544" i="107"/>
  <c r="F2328" i="120"/>
  <c r="M1545" i="107"/>
  <c r="G2329" i="120"/>
  <c r="L1543" i="107"/>
  <c r="F1943" i="120" s="1"/>
  <c r="F2327" i="120"/>
  <c r="F2330" i="120"/>
  <c r="L1546" i="107"/>
  <c r="M1544" i="107"/>
  <c r="G2328" i="120"/>
  <c r="M1542" i="107"/>
  <c r="G2326" i="120"/>
  <c r="G2327" i="120"/>
  <c r="M1543" i="107"/>
  <c r="G1943" i="120" s="1"/>
  <c r="M1916" i="107"/>
  <c r="M1540" i="107"/>
  <c r="G2324" i="120"/>
  <c r="M1541" i="107"/>
  <c r="G2325" i="120"/>
  <c r="L1542" i="107"/>
  <c r="F2326" i="120"/>
  <c r="G2330" i="120"/>
  <c r="M1546" i="107"/>
  <c r="E2285" i="120" l="1"/>
  <c r="P1545" i="107"/>
  <c r="J2329" i="120"/>
  <c r="J2328" i="120"/>
  <c r="P1544" i="107"/>
  <c r="P1916" i="107"/>
  <c r="J2324" i="120"/>
  <c r="P1540" i="107"/>
  <c r="P1541" i="107"/>
  <c r="J2325" i="120"/>
  <c r="P1542" i="107"/>
  <c r="J2326" i="120"/>
  <c r="P1546" i="107"/>
  <c r="J2330" i="120"/>
  <c r="P1547" i="107"/>
  <c r="J2331" i="120"/>
  <c r="J2327" i="120"/>
  <c r="P1543" i="107"/>
  <c r="J1943" i="120" s="1"/>
  <c r="L1547" i="107"/>
  <c r="K1541" i="107"/>
  <c r="E2325" i="120"/>
  <c r="K1546" i="107"/>
  <c r="E2330" i="120"/>
  <c r="K1542" i="107"/>
  <c r="E2326" i="120"/>
  <c r="K1545" i="107"/>
  <c r="E2329" i="120"/>
  <c r="E2328" i="120"/>
  <c r="K1544" i="107"/>
  <c r="K1540" i="107"/>
  <c r="K1916" i="107"/>
  <c r="E2324" i="120"/>
  <c r="E2331" i="120"/>
  <c r="K1547" i="107"/>
  <c r="K1543" i="107"/>
  <c r="E2327" i="120"/>
  <c r="N1544" i="107"/>
  <c r="H2328" i="120"/>
  <c r="F1549" i="107"/>
  <c r="I1549" i="107" s="1"/>
  <c r="I1540" i="107"/>
  <c r="D33" i="116"/>
  <c r="F1919" i="107"/>
  <c r="N1546" i="107"/>
  <c r="H2330" i="120"/>
  <c r="N1547" i="107"/>
  <c r="H2331" i="120"/>
  <c r="N1542" i="107"/>
  <c r="H2326" i="120"/>
  <c r="N1545" i="107"/>
  <c r="H1945" i="120" s="1"/>
  <c r="H2329" i="120"/>
  <c r="H2325" i="120"/>
  <c r="N1541" i="107"/>
  <c r="H2327" i="120"/>
  <c r="N1543" i="107"/>
  <c r="H1943" i="120" s="1"/>
  <c r="H2324" i="120"/>
  <c r="N1540" i="107"/>
  <c r="N1916" i="107"/>
  <c r="P31" i="116"/>
  <c r="L1916" i="107"/>
  <c r="J33" i="116" s="1"/>
  <c r="J35" i="116" s="1"/>
  <c r="O1568" i="107"/>
  <c r="I1968" i="120" s="1"/>
  <c r="O1541" i="107"/>
  <c r="I2325" i="120"/>
  <c r="O1916" i="107"/>
  <c r="I2324" i="120"/>
  <c r="O1540" i="107"/>
  <c r="O1545" i="107"/>
  <c r="I1945" i="120" s="1"/>
  <c r="I2329" i="120"/>
  <c r="O1544" i="107"/>
  <c r="I1944" i="120" s="1"/>
  <c r="I2328" i="120"/>
  <c r="O1546" i="107"/>
  <c r="I2330" i="120"/>
  <c r="I2326" i="120"/>
  <c r="O1542" i="107"/>
  <c r="O1543" i="107"/>
  <c r="I1943" i="120" s="1"/>
  <c r="I2327" i="120"/>
  <c r="F2329" i="120"/>
  <c r="L1545" i="107"/>
  <c r="L1541" i="107"/>
  <c r="F2325" i="120"/>
  <c r="G1944" i="120"/>
  <c r="M1583" i="107"/>
  <c r="M1577" i="107"/>
  <c r="G1977" i="120" s="1"/>
  <c r="M1567" i="107"/>
  <c r="G1946" i="120"/>
  <c r="M1571" i="107"/>
  <c r="G1971" i="120" s="1"/>
  <c r="G1941" i="120"/>
  <c r="F1942" i="120"/>
  <c r="L1576" i="107"/>
  <c r="F1976" i="120" s="1"/>
  <c r="M1584" i="107"/>
  <c r="M1578" i="107"/>
  <c r="G1978" i="120" s="1"/>
  <c r="G1945" i="120"/>
  <c r="G1940" i="120"/>
  <c r="M1581" i="107"/>
  <c r="M1575" i="107"/>
  <c r="G1975" i="120" s="1"/>
  <c r="M1549" i="107"/>
  <c r="G1949" i="120" s="1"/>
  <c r="G2333" i="120"/>
  <c r="M1919" i="107"/>
  <c r="K33" i="116"/>
  <c r="K35" i="116" s="1"/>
  <c r="M1582" i="107"/>
  <c r="G1942" i="120"/>
  <c r="M1576" i="107"/>
  <c r="G1976" i="120" s="1"/>
  <c r="G1947" i="120"/>
  <c r="M1568" i="107"/>
  <c r="G1968" i="120" s="1"/>
  <c r="L1567" i="107"/>
  <c r="F1946" i="120"/>
  <c r="F1944" i="120"/>
  <c r="L1577" i="107"/>
  <c r="F1977" i="120" s="1"/>
  <c r="G1983" i="120" l="1"/>
  <c r="G1984" i="120"/>
  <c r="E1943" i="120"/>
  <c r="P1549" i="107"/>
  <c r="J1949" i="120" s="1"/>
  <c r="P1575" i="107"/>
  <c r="J1975" i="120" s="1"/>
  <c r="J1940" i="120"/>
  <c r="J1947" i="120"/>
  <c r="P1568" i="107"/>
  <c r="J1968" i="120" s="1"/>
  <c r="N33" i="116"/>
  <c r="N35" i="116" s="1"/>
  <c r="P1919" i="107"/>
  <c r="J2333" i="120"/>
  <c r="P1571" i="107"/>
  <c r="J1971" i="120" s="1"/>
  <c r="J1941" i="120"/>
  <c r="P1567" i="107"/>
  <c r="J1946" i="120"/>
  <c r="J1944" i="120"/>
  <c r="P1577" i="107"/>
  <c r="J1977" i="120" s="1"/>
  <c r="P1576" i="107"/>
  <c r="J1976" i="120" s="1"/>
  <c r="J1942" i="120"/>
  <c r="J1945" i="120"/>
  <c r="P1578" i="107"/>
  <c r="J1978" i="120" s="1"/>
  <c r="F1947" i="120"/>
  <c r="F2333" i="120"/>
  <c r="L1568" i="107"/>
  <c r="F1968" i="120" s="1"/>
  <c r="L1919" i="107"/>
  <c r="K1568" i="107"/>
  <c r="E1968" i="120" s="1"/>
  <c r="J1568" i="107"/>
  <c r="E1947" i="120"/>
  <c r="K1578" i="107"/>
  <c r="E1945" i="120"/>
  <c r="E1942" i="120"/>
  <c r="K1576" i="107"/>
  <c r="K1919" i="107"/>
  <c r="I33" i="116"/>
  <c r="I35" i="116" s="1"/>
  <c r="E2333" i="120"/>
  <c r="E1940" i="120"/>
  <c r="K1549" i="107"/>
  <c r="K1575" i="107"/>
  <c r="E1946" i="120"/>
  <c r="J1567" i="107"/>
  <c r="K1567" i="107"/>
  <c r="E1944" i="120"/>
  <c r="K1577" i="107"/>
  <c r="K1571" i="107"/>
  <c r="E1941" i="120"/>
  <c r="H1946" i="120"/>
  <c r="N1567" i="107"/>
  <c r="N1571" i="107"/>
  <c r="H1971" i="120" s="1"/>
  <c r="H1941" i="120"/>
  <c r="N1919" i="107"/>
  <c r="L33" i="116"/>
  <c r="L35" i="116" s="1"/>
  <c r="H2333" i="120"/>
  <c r="D35" i="116"/>
  <c r="T33" i="116"/>
  <c r="H1940" i="120"/>
  <c r="N1549" i="107"/>
  <c r="H1949" i="120" s="1"/>
  <c r="N1581" i="107"/>
  <c r="N1575" i="107"/>
  <c r="H1975" i="120" s="1"/>
  <c r="H1942" i="120"/>
  <c r="N1582" i="107"/>
  <c r="N1576" i="107"/>
  <c r="H1976" i="120" s="1"/>
  <c r="H1947" i="120"/>
  <c r="N1568" i="107"/>
  <c r="H1968" i="120" s="1"/>
  <c r="H1944" i="120"/>
  <c r="N1577" i="107"/>
  <c r="H1977" i="120" s="1"/>
  <c r="N1583" i="107"/>
  <c r="H1983" i="120" s="1"/>
  <c r="I1942" i="120"/>
  <c r="O1582" i="107"/>
  <c r="O1576" i="107"/>
  <c r="I1976" i="120" s="1"/>
  <c r="O1549" i="107"/>
  <c r="I1949" i="120" s="1"/>
  <c r="I1940" i="120"/>
  <c r="O1581" i="107"/>
  <c r="O1575" i="107"/>
  <c r="I1975" i="120" s="1"/>
  <c r="M33" i="116"/>
  <c r="M35" i="116" s="1"/>
  <c r="O1919" i="107"/>
  <c r="I2333" i="120"/>
  <c r="I1946" i="120"/>
  <c r="O1567" i="107"/>
  <c r="I1941" i="120"/>
  <c r="O1571" i="107"/>
  <c r="I1971" i="120" s="1"/>
  <c r="L1549" i="107"/>
  <c r="F1949" i="120" s="1"/>
  <c r="F1945" i="120"/>
  <c r="L1578" i="107"/>
  <c r="F1978" i="120" s="1"/>
  <c r="L1571" i="107"/>
  <c r="F1971" i="120" s="1"/>
  <c r="F1941" i="120"/>
  <c r="G1981" i="120"/>
  <c r="G1982" i="120"/>
  <c r="F1967" i="120"/>
  <c r="G1967" i="120"/>
  <c r="M1569" i="107"/>
  <c r="G1969" i="120" s="1"/>
  <c r="D1968" i="120" l="1"/>
  <c r="E1975" i="120"/>
  <c r="E1949" i="120"/>
  <c r="E1978" i="120"/>
  <c r="E1971" i="120"/>
  <c r="E1977" i="120"/>
  <c r="E1976" i="120"/>
  <c r="L1569" i="107"/>
  <c r="F1969" i="120" s="1"/>
  <c r="J1967" i="120"/>
  <c r="P1569" i="107"/>
  <c r="J1969" i="120" s="1"/>
  <c r="K1569" i="107"/>
  <c r="E1967" i="120"/>
  <c r="J1569" i="107"/>
  <c r="D1967" i="120"/>
  <c r="H1981" i="120"/>
  <c r="H1982" i="120"/>
  <c r="H1967" i="120"/>
  <c r="N1569" i="107"/>
  <c r="I1981" i="120"/>
  <c r="P33" i="116"/>
  <c r="I1982" i="120"/>
  <c r="O1569" i="107"/>
  <c r="I1967" i="120"/>
  <c r="D1969" i="120" l="1"/>
  <c r="E1969" i="120"/>
  <c r="H1969" i="120"/>
  <c r="I1969" i="120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<sst xmlns="http://schemas.openxmlformats.org/spreadsheetml/2006/main" count="47194" uniqueCount="9486">
  <si>
    <t>ROE</t>
  </si>
  <si>
    <t>EXP_FACTOR</t>
  </si>
  <si>
    <t>Note</t>
  </si>
  <si>
    <t>Total Income Tax Rate</t>
  </si>
  <si>
    <t>Expansion Factor</t>
  </si>
  <si>
    <t>State Tax Rate</t>
  </si>
  <si>
    <t>Federal Tax Rate</t>
  </si>
  <si>
    <t>Name</t>
  </si>
  <si>
    <t>Excel Named Range</t>
  </si>
  <si>
    <t>Bad Debt</t>
  </si>
  <si>
    <t>Regulatory Assessment Fee</t>
  </si>
  <si>
    <t>%, Factor, or Amount</t>
  </si>
  <si>
    <t>Equity Ratio</t>
  </si>
  <si>
    <t>Long Term Debt</t>
  </si>
  <si>
    <t>Short Term Debt</t>
  </si>
  <si>
    <t>Deferred Revenue</t>
  </si>
  <si>
    <t>Customer Deposits</t>
  </si>
  <si>
    <t>Preferred Stock</t>
  </si>
  <si>
    <t>Tax Credits</t>
  </si>
  <si>
    <t>Formula</t>
  </si>
  <si>
    <t>Constant between Rate Case, but may vary during Rate Case</t>
  </si>
  <si>
    <t>Enter as XX.XX%</t>
  </si>
  <si>
    <t>Expansion Factor Calculation</t>
  </si>
  <si>
    <t>Net Operating Income Multiplier</t>
  </si>
  <si>
    <t>Revenue Requirement</t>
  </si>
  <si>
    <t>Gross Receipts Tax Rate</t>
  </si>
  <si>
    <t>Regulatory Assessment Rate</t>
  </si>
  <si>
    <t>Bad Debt Rate</t>
  </si>
  <si>
    <t>Net Before Income Taxes</t>
  </si>
  <si>
    <t>State Income Tax Rate</t>
  </si>
  <si>
    <t>State Income Tax</t>
  </si>
  <si>
    <t>Net Before Federal Income Tax</t>
  </si>
  <si>
    <t>Federal Income Tax Rate</t>
  </si>
  <si>
    <t>Federal Income Tax</t>
  </si>
  <si>
    <t>Revenue Expansion Factor</t>
  </si>
  <si>
    <t>Description</t>
  </si>
  <si>
    <t>Factor</t>
  </si>
  <si>
    <t>Link</t>
  </si>
  <si>
    <t>Formula (1)-(2)-(3)-(3)</t>
  </si>
  <si>
    <t>Formula (5) x (6)</t>
  </si>
  <si>
    <t>Formula (5) - (7)</t>
  </si>
  <si>
    <t>Formula (8) x (9)</t>
  </si>
  <si>
    <t>Formula (8) - (10)</t>
  </si>
  <si>
    <t>Formula (100% / (11))</t>
  </si>
  <si>
    <t>Steam Operation Supervision And Engineering</t>
  </si>
  <si>
    <t>Steam Fuel</t>
  </si>
  <si>
    <t>Steam Expenses</t>
  </si>
  <si>
    <t>Steam Electric Expenses</t>
  </si>
  <si>
    <t>Miscellaneous Steam Power Expenses</t>
  </si>
  <si>
    <t>Steam Maintenance Supervision and Engineering</t>
  </si>
  <si>
    <t>Steam Maintenance of Structures</t>
  </si>
  <si>
    <t>Steam Maintenance of Boiler Plant</t>
  </si>
  <si>
    <t>Steam Maintenance of Electric Plant</t>
  </si>
  <si>
    <t>Maintenance of Miscellaneous Steam Plant</t>
  </si>
  <si>
    <t>Other Power Operation Supervision and Engineering</t>
  </si>
  <si>
    <t>Other Power Fuel</t>
  </si>
  <si>
    <t>Other Power Generation Expenses</t>
  </si>
  <si>
    <t>Miscellaneous Other Power Generation Expenses</t>
  </si>
  <si>
    <t>Other Power Maintenance Supervision &amp; Engineering</t>
  </si>
  <si>
    <t>Other Power Maintenance of Structures</t>
  </si>
  <si>
    <t>Other Power Maint Generating &amp; Electric Equipment</t>
  </si>
  <si>
    <t>Maintenance of Misc Other Power Generation Plant</t>
  </si>
  <si>
    <t>Other Supply Purchased Power</t>
  </si>
  <si>
    <t>Other Supply System Control and Load Dispatching</t>
  </si>
  <si>
    <t>Transmission Operation Supervision And Engineering</t>
  </si>
  <si>
    <t>Transmission Load Dispatch - Reliability</t>
  </si>
  <si>
    <t>Transm Load Dispatch-Monitor Operate Transm System</t>
  </si>
  <si>
    <t>Transm Load Dispatch-Transmission Svc &amp; Scheduling</t>
  </si>
  <si>
    <t>Transmission Station Expenses</t>
  </si>
  <si>
    <t>Transmission Overhead Line Expenses</t>
  </si>
  <si>
    <t>Miscellaneous Transmission Expenses</t>
  </si>
  <si>
    <t>Transmission Maintenance of Computer Software</t>
  </si>
  <si>
    <t>Transmission Maintenance Communication Equipment</t>
  </si>
  <si>
    <t>Transmission Maintenance of Station Equipment</t>
  </si>
  <si>
    <t>Transmission Maintenance of Overhead Lines</t>
  </si>
  <si>
    <t>Distribution Operation Supervision And Engineering</t>
  </si>
  <si>
    <t>Distribution Load Dispatching</t>
  </si>
  <si>
    <t>Distribution Station Expenses</t>
  </si>
  <si>
    <t>Distribution Overhead Line Expenses</t>
  </si>
  <si>
    <t>Distribution Underground Line Expenses</t>
  </si>
  <si>
    <t>Distribution Street Lighting and Signal System Exp</t>
  </si>
  <si>
    <t>Distribution Meter Expenses</t>
  </si>
  <si>
    <t>Distribution Customer Installations Expenses</t>
  </si>
  <si>
    <t>Miscellaneous Distribution Expenses</t>
  </si>
  <si>
    <t>Distribution Rents</t>
  </si>
  <si>
    <t>Distribution Maintenance of Structures</t>
  </si>
  <si>
    <t>Distribution Maintenance of Station Equipment</t>
  </si>
  <si>
    <t>Distribution Maintenance of Overhead Lines</t>
  </si>
  <si>
    <t>Distribution Maintenance of Underground Lines</t>
  </si>
  <si>
    <t>Distribution Maintenance of Line Transformers</t>
  </si>
  <si>
    <t>Distribution Maint Street Lighting &amp; Signal System</t>
  </si>
  <si>
    <t>Distribution Maintenance of Meters</t>
  </si>
  <si>
    <t>Maintenance of Miscellaneous Distribution Plant</t>
  </si>
  <si>
    <t>Customer Accts Supervision</t>
  </si>
  <si>
    <t>Customer Accts Meter Reading Expenses</t>
  </si>
  <si>
    <t>Customer Accts Customer Records and Collection Exp</t>
  </si>
  <si>
    <t>Customer Uncollectible Accounts</t>
  </si>
  <si>
    <t>Customer Assistance Expenses</t>
  </si>
  <si>
    <t>Cust Svc Informational &amp; Instructional Advertising</t>
  </si>
  <si>
    <t>Sales Demonstrating and Selling Expenses</t>
  </si>
  <si>
    <t>Administrative and General Salaries</t>
  </si>
  <si>
    <t>Office Supplies and Expenses</t>
  </si>
  <si>
    <t>Administrative Expenses Transferred - Credit</t>
  </si>
  <si>
    <t>Outside Services Employed</t>
  </si>
  <si>
    <t>Property Insurance</t>
  </si>
  <si>
    <t>Injuries and Damages</t>
  </si>
  <si>
    <t>Employee Pensions and Benefits</t>
  </si>
  <si>
    <t>Regulatory Commission Expenses</t>
  </si>
  <si>
    <t>Miscellaneous General Expenses</t>
  </si>
  <si>
    <t>Admin &amp; General Rents</t>
  </si>
  <si>
    <t>Admin &amp; General Elec Maintenance of General Plant</t>
  </si>
  <si>
    <t>LABOR</t>
  </si>
  <si>
    <t>NON-LABOR</t>
  </si>
  <si>
    <t>FERC</t>
  </si>
  <si>
    <t>Budget</t>
  </si>
  <si>
    <t>TOTAL</t>
  </si>
  <si>
    <t>Manual Input</t>
  </si>
  <si>
    <t>Account #</t>
  </si>
  <si>
    <t>Cust</t>
  </si>
  <si>
    <t>DEMAND</t>
  </si>
  <si>
    <t>ENERGY</t>
  </si>
  <si>
    <t>Functionalization</t>
  </si>
  <si>
    <t>Total</t>
  </si>
  <si>
    <t>Mid Function</t>
  </si>
  <si>
    <t>A_1010000</t>
  </si>
  <si>
    <t>Utility Plant in Service</t>
  </si>
  <si>
    <t>A_1011200</t>
  </si>
  <si>
    <t>ROUS_OPT_LEASES</t>
  </si>
  <si>
    <t>A_1020000</t>
  </si>
  <si>
    <t>Plant Purchased or Sold</t>
  </si>
  <si>
    <t>A_1050000</t>
  </si>
  <si>
    <t>Plant Held for Future Use</t>
  </si>
  <si>
    <t>A_1060000</t>
  </si>
  <si>
    <t>Completed Construction not Classified</t>
  </si>
  <si>
    <t>A_1070000</t>
  </si>
  <si>
    <t>Construction Work in Progress</t>
  </si>
  <si>
    <t>A_1080000</t>
  </si>
  <si>
    <t>Accumulated Provision for Depreciation</t>
  </si>
  <si>
    <t>A_1080001</t>
  </si>
  <si>
    <t>Retirement Work in Progress</t>
  </si>
  <si>
    <t>A_1080100</t>
  </si>
  <si>
    <t>Accumulated Reserve Cost of Removal - Current</t>
  </si>
  <si>
    <t>A_1080110</t>
  </si>
  <si>
    <t>Accum Reserve Cost of Removal Contra- Current</t>
  </si>
  <si>
    <t>A_1080200</t>
  </si>
  <si>
    <t>Accumulated Reserve Cost of Removal - Non-Current</t>
  </si>
  <si>
    <t>A_1080210</t>
  </si>
  <si>
    <t>Accum Reserve Cost of Removal Contra- Non-Current</t>
  </si>
  <si>
    <t>A_1110000</t>
  </si>
  <si>
    <t>Accumulated Provision For Amortization</t>
  </si>
  <si>
    <t>A_1140000</t>
  </si>
  <si>
    <t>Plant Acquisition Adjustments</t>
  </si>
  <si>
    <t>A_1150000</t>
  </si>
  <si>
    <t>Accum Provision Amort Plant Acquisition Adjustment</t>
  </si>
  <si>
    <t>A_1210000</t>
  </si>
  <si>
    <t>Nonutility Property</t>
  </si>
  <si>
    <t>A_1220000</t>
  </si>
  <si>
    <t>Accum Provision Depr Amortiz Nonutility Property</t>
  </si>
  <si>
    <t>A_1310070</t>
  </si>
  <si>
    <t>JPM Tampa Electric Concentration</t>
  </si>
  <si>
    <t>A_1310085</t>
  </si>
  <si>
    <t>JPM Tampa Electric - Payroll - Outgoing Check</t>
  </si>
  <si>
    <t>A_1310095</t>
  </si>
  <si>
    <t>JPM Tampa Electric - CDA - Outgoing Check</t>
  </si>
  <si>
    <t>A_1310150</t>
  </si>
  <si>
    <t>SUN Tampa Electric Misc Deposit</t>
  </si>
  <si>
    <t>A_1310990</t>
  </si>
  <si>
    <t>Cash - Miscellaneous Adjustments</t>
  </si>
  <si>
    <t>Other Special Deposits</t>
  </si>
  <si>
    <t>A_1350000</t>
  </si>
  <si>
    <t>Petty Cash USD</t>
  </si>
  <si>
    <t>Temporary Cash Investments</t>
  </si>
  <si>
    <t>A_1420400</t>
  </si>
  <si>
    <t>AR - CRM (includes TEC-R) (RECON)</t>
  </si>
  <si>
    <t>A_1420401</t>
  </si>
  <si>
    <t>AR - CRM (includes TEC-R) (Posting)</t>
  </si>
  <si>
    <t>A_1430000</t>
  </si>
  <si>
    <t>AR Misc Other (RECON)</t>
  </si>
  <si>
    <t>A_1430001</t>
  </si>
  <si>
    <t>AR Misc Other (Posting)</t>
  </si>
  <si>
    <t>A_1430030</t>
  </si>
  <si>
    <t>AR - Employee Advances</t>
  </si>
  <si>
    <t>A_1430400</t>
  </si>
  <si>
    <t>AR - Income Taxes Receivable - State</t>
  </si>
  <si>
    <t>A_1430300</t>
  </si>
  <si>
    <t>AR - Income Taxes Receivable - Federal</t>
  </si>
  <si>
    <t>A_1440000</t>
  </si>
  <si>
    <t>Accumulated Provision for Uncollectible Accounts</t>
  </si>
  <si>
    <t>A_1440001</t>
  </si>
  <si>
    <t>Accum Provision for Uncollectible Accts - CRM FF</t>
  </si>
  <si>
    <t>A_1440002</t>
  </si>
  <si>
    <t>Accum Provision for Uncollectible Accts - CRM GRT</t>
  </si>
  <si>
    <t>A_1440020</t>
  </si>
  <si>
    <t>Accum Provision for Uncollectible - Misc Billing</t>
  </si>
  <si>
    <t>Note Receivable I/C</t>
  </si>
  <si>
    <t>A_1460700</t>
  </si>
  <si>
    <t>Trade Receivable-Intercompany (RECON)</t>
  </si>
  <si>
    <t>A_1460701</t>
  </si>
  <si>
    <t>Trade Receivable-Intercompany (Posting)</t>
  </si>
  <si>
    <t>A_1460706</t>
  </si>
  <si>
    <t>A_1460707</t>
  </si>
  <si>
    <t>A_1460708</t>
  </si>
  <si>
    <t>Trade Receivable-Interco-Grand Bahama PowerCo E851</t>
  </si>
  <si>
    <t>A_1460709</t>
  </si>
  <si>
    <t>A_1460760</t>
  </si>
  <si>
    <t>Trade Rec-Interco-Emera Caribbean Inc E855</t>
  </si>
  <si>
    <t>A_1460761</t>
  </si>
  <si>
    <t>Trade Rec-Interco-Emera Maine E393</t>
  </si>
  <si>
    <t>A_1460780</t>
  </si>
  <si>
    <t>A_1460791</t>
  </si>
  <si>
    <t>Trade Receivable-Emera Intercompany (Posting)</t>
  </si>
  <si>
    <t>A_1460799</t>
  </si>
  <si>
    <t>Trade Rec-Interco-Emera Energy Svc E016 Asset Mgmt</t>
  </si>
  <si>
    <t>A_1510020</t>
  </si>
  <si>
    <t>Fuel Stock - Coal</t>
  </si>
  <si>
    <t>A_1510030</t>
  </si>
  <si>
    <t>Fuel Stock - #2 Oil</t>
  </si>
  <si>
    <t>A_1510050</t>
  </si>
  <si>
    <t>Fuel Stock - Natural Gas</t>
  </si>
  <si>
    <t>A_1540000</t>
  </si>
  <si>
    <t>Plant Materials and Operating Supplies (RECON)</t>
  </si>
  <si>
    <t>A_1540001</t>
  </si>
  <si>
    <t>Plant Materials and Operating Supplies (Posting)</t>
  </si>
  <si>
    <t>Stores Expense Undistributed</t>
  </si>
  <si>
    <t>A_1650020</t>
  </si>
  <si>
    <t>Prepaid Ammonia Supply</t>
  </si>
  <si>
    <t>A_1650050</t>
  </si>
  <si>
    <t>A_1650401</t>
  </si>
  <si>
    <t>Prepaid LTSA - Polk Unit #1</t>
  </si>
  <si>
    <t>A_1650402</t>
  </si>
  <si>
    <t>Prepaid CSA - Polk Unit #2</t>
  </si>
  <si>
    <t>A_1650403</t>
  </si>
  <si>
    <t>Prepaid CSA - Polk Unit #3</t>
  </si>
  <si>
    <t>A_1650404</t>
  </si>
  <si>
    <t>Prepaid CSA - Polk Unit #4</t>
  </si>
  <si>
    <t>A_1650405</t>
  </si>
  <si>
    <t>Prepaid CSA - Polk Unit #5</t>
  </si>
  <si>
    <t>A_1650599</t>
  </si>
  <si>
    <t>Prepaid Insurance - Other</t>
  </si>
  <si>
    <t>A_1650800</t>
  </si>
  <si>
    <t>Prepaid Miscellaneous</t>
  </si>
  <si>
    <t>A_1730100</t>
  </si>
  <si>
    <t>Accrued Utility Revenues - Current</t>
  </si>
  <si>
    <t>A_1760120</t>
  </si>
  <si>
    <t>A_1810100</t>
  </si>
  <si>
    <t>A_1810200</t>
  </si>
  <si>
    <t>Unamortized Debt Expense - Recourse</t>
  </si>
  <si>
    <t>A_1823020</t>
  </si>
  <si>
    <t>A_1823102</t>
  </si>
  <si>
    <t>Oth Reg Asset-Rate Case Expense Current</t>
  </si>
  <si>
    <t>A_1823104</t>
  </si>
  <si>
    <t>Oth Reg Asset-ARO Asset Current</t>
  </si>
  <si>
    <t>A_1823105</t>
  </si>
  <si>
    <t>Current Derivative Asset - Regulatory</t>
  </si>
  <si>
    <t>A_1823106</t>
  </si>
  <si>
    <t>Oth Reg Asset-Asset Optimization Gain Current</t>
  </si>
  <si>
    <t>A_1823200</t>
  </si>
  <si>
    <t>Oth Reg Asset-FAS 158 Benefit Non-Current</t>
  </si>
  <si>
    <t>A_1823201</t>
  </si>
  <si>
    <t>Oth Reg Asset-PBOP FAS 106 Non-Current</t>
  </si>
  <si>
    <t>A_1823202</t>
  </si>
  <si>
    <t>Oth Reg Asset-Rate Case Expense Non-Current</t>
  </si>
  <si>
    <t>A_1823204</t>
  </si>
  <si>
    <t>Oth Reg Asset-ARO Asset Non-Current</t>
  </si>
  <si>
    <t>A_1823206</t>
  </si>
  <si>
    <t>Oth Reg Asset-Asset Optimization Gain Non-Current</t>
  </si>
  <si>
    <t>A_1823322</t>
  </si>
  <si>
    <t>Oth Reg Asset-Price Responsive Load Management</t>
  </si>
  <si>
    <t>A_1823324</t>
  </si>
  <si>
    <t>Oth Reg Asset-Energy Education Awareness/Outreach</t>
  </si>
  <si>
    <t>A_1823610</t>
  </si>
  <si>
    <t>Oth Reg Asset-FAS 109 Income Tax</t>
  </si>
  <si>
    <t>A_1823611</t>
  </si>
  <si>
    <t>Oth Reg Asset-Medicare Part D</t>
  </si>
  <si>
    <t>A_1830000</t>
  </si>
  <si>
    <t>Preliminary Survey and Investigation Charges</t>
  </si>
  <si>
    <t>A_1840010</t>
  </si>
  <si>
    <t>Clearing Account - Uniform Rental</t>
  </si>
  <si>
    <t>A_1860020</t>
  </si>
  <si>
    <t>Deferred Debits - SERP Trust</t>
  </si>
  <si>
    <t>A_1860800</t>
  </si>
  <si>
    <t>Deferred Debits - Other</t>
  </si>
  <si>
    <t>A_1890100</t>
  </si>
  <si>
    <t>Unamortized Loss on Reacquired Debt - Short-term</t>
  </si>
  <si>
    <t>A_1890200</t>
  </si>
  <si>
    <t>Unamortized Loss on Reacquired Debt</t>
  </si>
  <si>
    <t>A_1900300</t>
  </si>
  <si>
    <t>Deferred Tax Asset - Federal</t>
  </si>
  <si>
    <t>A_1900303</t>
  </si>
  <si>
    <t>DTA Separate Company - Federal</t>
  </si>
  <si>
    <t>A_1900305</t>
  </si>
  <si>
    <t>Deferred Tax Asset - Federal Non Utility</t>
  </si>
  <si>
    <t>A_1900306</t>
  </si>
  <si>
    <t>Deferred Tax FIT - FAS 133</t>
  </si>
  <si>
    <t>A_1900307</t>
  </si>
  <si>
    <t>Deferred Tax FIT - FAS 133 Interest</t>
  </si>
  <si>
    <t>A_1900308</t>
  </si>
  <si>
    <t>Deferred Tax FIT - FAS 158</t>
  </si>
  <si>
    <t>A_1900310</t>
  </si>
  <si>
    <t>Deferred Tax FIT - Credits</t>
  </si>
  <si>
    <t>A_1900400</t>
  </si>
  <si>
    <t>Deferred Tax Asset - State</t>
  </si>
  <si>
    <t>A_1900403</t>
  </si>
  <si>
    <t>DTA Separate Company - State</t>
  </si>
  <si>
    <t>A_1900405</t>
  </si>
  <si>
    <t>Deferred Tax Asset - State Non Utility</t>
  </si>
  <si>
    <t>A_1900406</t>
  </si>
  <si>
    <t>Deferred Tax SIT - FAS 133</t>
  </si>
  <si>
    <t>A_1900407</t>
  </si>
  <si>
    <t>Deferred Tax SIT - FAS 133 Interest</t>
  </si>
  <si>
    <t>A_1900408</t>
  </si>
  <si>
    <t>Deferred Tax SIT - FAS 158</t>
  </si>
  <si>
    <t>A_1900610</t>
  </si>
  <si>
    <t>Deferred Tax Fd ITC - FAS109 Inc Tax</t>
  </si>
  <si>
    <t>A_2010000</t>
  </si>
  <si>
    <t>Common Stock Issued</t>
  </si>
  <si>
    <t>A_2110000</t>
  </si>
  <si>
    <t>Miscellaneous Paid-in Capital</t>
  </si>
  <si>
    <t>A_2140000</t>
  </si>
  <si>
    <t>Capital Stock Expense</t>
  </si>
  <si>
    <t>A_2160000</t>
  </si>
  <si>
    <t>Retained Earnings</t>
  </si>
  <si>
    <t>A_2190040</t>
  </si>
  <si>
    <t>Comprehensive Income - Cash Flow Hedges Pretax</t>
  </si>
  <si>
    <t>A_2190041</t>
  </si>
  <si>
    <t>Comprehensive Income - Cash Flow Hedges Taxes</t>
  </si>
  <si>
    <t>A_2210100</t>
  </si>
  <si>
    <t>Bonds - Recourse - Current</t>
  </si>
  <si>
    <t>A_2210200</t>
  </si>
  <si>
    <t>Bonds - Recourse - Non-Current</t>
  </si>
  <si>
    <t>Advance Payable Intercompany</t>
  </si>
  <si>
    <t>A_2260200</t>
  </si>
  <si>
    <t>Unamortized Discount Long-term Debt - Recourse</t>
  </si>
  <si>
    <t>A_2270200</t>
  </si>
  <si>
    <t>Long-term Lease Liability - Operating Lease</t>
  </si>
  <si>
    <t>A_2281000</t>
  </si>
  <si>
    <t>Accumulated Provision for Property Insurance</t>
  </si>
  <si>
    <t>A_2281100</t>
  </si>
  <si>
    <t>Accum Provision for Property Insurance-Debit-Curr</t>
  </si>
  <si>
    <t>A_2282010</t>
  </si>
  <si>
    <t>I&amp;D General Liability Reserve</t>
  </si>
  <si>
    <t>A_2282020</t>
  </si>
  <si>
    <t>I&amp;D Workers Compensation Reserve</t>
  </si>
  <si>
    <t>A_2282040</t>
  </si>
  <si>
    <t>I&amp;D Longshore Reserve</t>
  </si>
  <si>
    <t>A_2282210</t>
  </si>
  <si>
    <t>I&amp;D Gen Liab Expected Recoveries - Non-Current</t>
  </si>
  <si>
    <t>A_2283200</t>
  </si>
  <si>
    <t>Pension Liability - Non-Current</t>
  </si>
  <si>
    <t>A_2283201</t>
  </si>
  <si>
    <t>Pension Liability FAS158 - Non-Current</t>
  </si>
  <si>
    <t>A_2283210</t>
  </si>
  <si>
    <t>SERP Liability - Non-Current</t>
  </si>
  <si>
    <t>A_2283211</t>
  </si>
  <si>
    <t>SERP Liability FAS158 - Non-Current</t>
  </si>
  <si>
    <t>A_2283220</t>
  </si>
  <si>
    <t>Restoration Benefit Plan Liability - Non-Current</t>
  </si>
  <si>
    <t>A_2283221</t>
  </si>
  <si>
    <t>A_2283231</t>
  </si>
  <si>
    <t>FAS106 Liability FAS158 - Non-Current</t>
  </si>
  <si>
    <t>A_2283232</t>
  </si>
  <si>
    <t>FAS106 Liability-Retired - Non-Current</t>
  </si>
  <si>
    <t>A_2283240</t>
  </si>
  <si>
    <t>FAS112 Liab for Long-term Disability - Non-Current</t>
  </si>
  <si>
    <t>A_2284020</t>
  </si>
  <si>
    <t>Accum Misc Provision - Other Litigation Reserve</t>
  </si>
  <si>
    <t>Accumulated Provision for Rate Refunds</t>
  </si>
  <si>
    <t>A_2300100</t>
  </si>
  <si>
    <t>Asset Retirement Obligations - Short-term</t>
  </si>
  <si>
    <t>A_2300200</t>
  </si>
  <si>
    <t>Asset Retirement Obligations - Long-term</t>
  </si>
  <si>
    <t>A_2310000</t>
  </si>
  <si>
    <t>Notes Payable (Borrowings &lt; 1 Year Duration)</t>
  </si>
  <si>
    <t>A_2320000</t>
  </si>
  <si>
    <t>AP Vouchers (Do not Post)</t>
  </si>
  <si>
    <t>A_2320001</t>
  </si>
  <si>
    <t>AP Manual Accruals</t>
  </si>
  <si>
    <t>A_2320002</t>
  </si>
  <si>
    <t>AP GR/IR Clearing</t>
  </si>
  <si>
    <t>A_2320003</t>
  </si>
  <si>
    <t>AP P-Card Clearing</t>
  </si>
  <si>
    <t>A_2320005</t>
  </si>
  <si>
    <t>AP Employee Expenses (RECON)</t>
  </si>
  <si>
    <t>A_2320006</t>
  </si>
  <si>
    <t>AP Energy Conservation Allowances</t>
  </si>
  <si>
    <t>A_2320007</t>
  </si>
  <si>
    <t>AP Payroll</t>
  </si>
  <si>
    <t>A_2320008</t>
  </si>
  <si>
    <t>AP 401K Fixed Match</t>
  </si>
  <si>
    <t>A_2320009</t>
  </si>
  <si>
    <t>AP 401K Performance Match</t>
  </si>
  <si>
    <t>A_2320010</t>
  </si>
  <si>
    <t>AP 401K Employee Contributions</t>
  </si>
  <si>
    <t>A_2320011</t>
  </si>
  <si>
    <t>A_2320012</t>
  </si>
  <si>
    <t>AP PSP / Incentive</t>
  </si>
  <si>
    <t>A_2320013</t>
  </si>
  <si>
    <t>A_2320014</t>
  </si>
  <si>
    <t>AP TECO Benefit Association</t>
  </si>
  <si>
    <t>A_2320015</t>
  </si>
  <si>
    <t>AP Group Life Insurance</t>
  </si>
  <si>
    <t>A_2320016</t>
  </si>
  <si>
    <t>AP Long-term Care Insurance</t>
  </si>
  <si>
    <t>A_2320020</t>
  </si>
  <si>
    <t>AP HSA Employee Contribution</t>
  </si>
  <si>
    <t>A_2320021</t>
  </si>
  <si>
    <t>AP HSA Employer Contribution</t>
  </si>
  <si>
    <t>A_2320022</t>
  </si>
  <si>
    <t>AP Medical Insurance Reserve - Active Employees</t>
  </si>
  <si>
    <t>A_2320023</t>
  </si>
  <si>
    <t>AP IBEW Union Dues</t>
  </si>
  <si>
    <t>A_2320024</t>
  </si>
  <si>
    <t>AP OPEIU Union Dues</t>
  </si>
  <si>
    <t>A_2320027</t>
  </si>
  <si>
    <t>AP FSA - Medical</t>
  </si>
  <si>
    <t>A_2320028</t>
  </si>
  <si>
    <t>AP FSA - Dependent Care</t>
  </si>
  <si>
    <t>A_2320029</t>
  </si>
  <si>
    <t>AP FSA - Parking/Transit</t>
  </si>
  <si>
    <t>A_2320031</t>
  </si>
  <si>
    <t>AP Fuel Accrual</t>
  </si>
  <si>
    <t>A_2320035</t>
  </si>
  <si>
    <t>AP Interchange</t>
  </si>
  <si>
    <t>A_2320036</t>
  </si>
  <si>
    <t>A_2320037</t>
  </si>
  <si>
    <t>AP Vision Benefit Plan</t>
  </si>
  <si>
    <t>A_2320039</t>
  </si>
  <si>
    <t>AP Consignment Liability</t>
  </si>
  <si>
    <t>A_2320402</t>
  </si>
  <si>
    <t>AP CSA - Polk Unit #2</t>
  </si>
  <si>
    <t>A_2320403</t>
  </si>
  <si>
    <t>AP CSA - Polk Unit #3</t>
  </si>
  <si>
    <t>A_2320404</t>
  </si>
  <si>
    <t>AP CSA - Polk Unit #4</t>
  </si>
  <si>
    <t>A_2320405</t>
  </si>
  <si>
    <t>AP CSA - Polk Unit #5</t>
  </si>
  <si>
    <t>A_2330711</t>
  </si>
  <si>
    <t>Notes Payable-Intercompany-Current (Posting)</t>
  </si>
  <si>
    <t>A_2340700</t>
  </si>
  <si>
    <t>Trade Payable-Intercompany (RECON)</t>
  </si>
  <si>
    <t>A_2340701</t>
  </si>
  <si>
    <t>Trade Payable-Intercompany (Posting)</t>
  </si>
  <si>
    <t>A_2340711</t>
  </si>
  <si>
    <t>Trade Payable-Emera Intercompany (Posting)</t>
  </si>
  <si>
    <t>A_2350100</t>
  </si>
  <si>
    <t>CIS Customer Deposits Short-term</t>
  </si>
  <si>
    <t>A_2360310</t>
  </si>
  <si>
    <t>Income Tax Pay - Federal Current Year</t>
  </si>
  <si>
    <t>A_2360410</t>
  </si>
  <si>
    <t>Income Tax Pay - State Current Year</t>
  </si>
  <si>
    <t>A_2360421</t>
  </si>
  <si>
    <t>Income Tax Pay - State FIN48 - Non-Current</t>
  </si>
  <si>
    <t>A_2360600</t>
  </si>
  <si>
    <t>Taxes Payable - Unemployment - Federal</t>
  </si>
  <si>
    <t>A_2360601</t>
  </si>
  <si>
    <t>Taxes Payable - Unemployment - State</t>
  </si>
  <si>
    <t>A_2360602</t>
  </si>
  <si>
    <t>Taxes Payable - Regulatory Assessment Fee</t>
  </si>
  <si>
    <t>A_2360603</t>
  </si>
  <si>
    <t>Taxes Payable - Gross Receipts Tax</t>
  </si>
  <si>
    <t>A_2360604</t>
  </si>
  <si>
    <t>Taxes Payable - Property Tax</t>
  </si>
  <si>
    <t>A_2360605</t>
  </si>
  <si>
    <t>Taxes Payable - Franchise Fees</t>
  </si>
  <si>
    <t>A_2360620</t>
  </si>
  <si>
    <t>Taxes Payable - FICA Employr</t>
  </si>
  <si>
    <t>A_2360800</t>
  </si>
  <si>
    <t>Taxes Payable - Other</t>
  </si>
  <si>
    <t>A_2370300</t>
  </si>
  <si>
    <t>Interest Accrued on Customer Deposits</t>
  </si>
  <si>
    <t>A_2370350</t>
  </si>
  <si>
    <t>Interest Accrued on Credit Facility</t>
  </si>
  <si>
    <t>A_2370400</t>
  </si>
  <si>
    <t>Interest Accrued Long Term Debt</t>
  </si>
  <si>
    <t>Dividends Declared</t>
  </si>
  <si>
    <t>A_2410000</t>
  </si>
  <si>
    <t>Taxes Payable - Sales Use Tax (CIS)</t>
  </si>
  <si>
    <t>A_2410005</t>
  </si>
  <si>
    <t>Taxes Payable - Sales Surtax (CIS)</t>
  </si>
  <si>
    <t>A_2410300</t>
  </si>
  <si>
    <t>Taxes Payable - Sales and Use Tax (AP)</t>
  </si>
  <si>
    <t>A_2410305</t>
  </si>
  <si>
    <t>Taxes Payable - Sales Surtax (AP)</t>
  </si>
  <si>
    <t>A_2410310</t>
  </si>
  <si>
    <t>Taxes Payable - Utility Tax</t>
  </si>
  <si>
    <t>A_2410320</t>
  </si>
  <si>
    <t>Taxes Payable - FICA</t>
  </si>
  <si>
    <t>A_2410330</t>
  </si>
  <si>
    <t>Taxes Payable - FIT Withholding</t>
  </si>
  <si>
    <t>A_2410430</t>
  </si>
  <si>
    <t>Taxes Payable - SIT Withholding</t>
  </si>
  <si>
    <t>A_2420111</t>
  </si>
  <si>
    <t>SERP Liability FAS158 - Current</t>
  </si>
  <si>
    <t>A_2420121</t>
  </si>
  <si>
    <t>Resotration Benefit Plan Liability FAS158 - Current</t>
  </si>
  <si>
    <t>A_2420131</t>
  </si>
  <si>
    <t>FAS106 Liability FAS158 - Current</t>
  </si>
  <si>
    <t>A_2420300</t>
  </si>
  <si>
    <t>Misc Accru Liab-Vacation Liability</t>
  </si>
  <si>
    <t>A_2420310</t>
  </si>
  <si>
    <t>A_2420320</t>
  </si>
  <si>
    <t>A_2430100</t>
  </si>
  <si>
    <t>Short-term Lease Liability - Operating Lease</t>
  </si>
  <si>
    <t>A_2450700</t>
  </si>
  <si>
    <t>Current Derivative Liab-Intercompany</t>
  </si>
  <si>
    <t>A_2530120</t>
  </si>
  <si>
    <t>A_2530130</t>
  </si>
  <si>
    <t>Contract Retentions - Current (Posting)</t>
  </si>
  <si>
    <t>A_2530299</t>
  </si>
  <si>
    <t>Oth Defd CR-Contract Retentions (RECON)</t>
  </si>
  <si>
    <t>A_2530300</t>
  </si>
  <si>
    <t>A_2530302</t>
  </si>
  <si>
    <t>Oth Defd CR-Renewable</t>
  </si>
  <si>
    <t>A_2530310</t>
  </si>
  <si>
    <t>Oth Defd CR-Unclaimed Items</t>
  </si>
  <si>
    <t>A_2530340</t>
  </si>
  <si>
    <t>Oth Defd CR Long-term incentive</t>
  </si>
  <si>
    <t>A_2530800</t>
  </si>
  <si>
    <t>Oth Defd CR-Miscellaneous</t>
  </si>
  <si>
    <t>A_2540030</t>
  </si>
  <si>
    <t>Oth Reg Liab-Capacity Clause</t>
  </si>
  <si>
    <t>A_2540040</t>
  </si>
  <si>
    <t>Oth Reg Liab-Conservation Clause</t>
  </si>
  <si>
    <t>A_2540050</t>
  </si>
  <si>
    <t>A_2540105</t>
  </si>
  <si>
    <t>Current Derivative Liability - Regulatory</t>
  </si>
  <si>
    <t>A_2540180</t>
  </si>
  <si>
    <t>A_2540210</t>
  </si>
  <si>
    <t>Oth Reg Liab-FERC Wholesale (AFUDC)-Non-Current</t>
  </si>
  <si>
    <t>A_2540280</t>
  </si>
  <si>
    <t>A_2540320</t>
  </si>
  <si>
    <t>Oth Reg Liab-Deferred Allowance Auction Credits</t>
  </si>
  <si>
    <t>A_2540610</t>
  </si>
  <si>
    <t>Oth Reg Liab-FAS 109 Income Tax</t>
  </si>
  <si>
    <t>A_2540612</t>
  </si>
  <si>
    <t>Oth Reg Liab-Deferred Tax Reform Impact Current</t>
  </si>
  <si>
    <t>A_2550000</t>
  </si>
  <si>
    <t>Accumulated Deferred Investment Tax Credits</t>
  </si>
  <si>
    <t>A_2550005</t>
  </si>
  <si>
    <t>Accumulated Defd Investment Tax Credit Non Utility</t>
  </si>
  <si>
    <t>A_2560000</t>
  </si>
  <si>
    <t>Deferred Gains From Disposition of Utility Plant</t>
  </si>
  <si>
    <t>A_2810300</t>
  </si>
  <si>
    <t>DIT Federal Accelerated Amortization Property</t>
  </si>
  <si>
    <t>A_2810400</t>
  </si>
  <si>
    <t>DIT State Accelerated Amortization Property</t>
  </si>
  <si>
    <t>A_2820300</t>
  </si>
  <si>
    <t>Defd Inc Tax Other Property - Federal</t>
  </si>
  <si>
    <t>A_2820400</t>
  </si>
  <si>
    <t>Defd Inc Tax Other Property - State</t>
  </si>
  <si>
    <t>A_2820610</t>
  </si>
  <si>
    <t>Defd Inc Tax Other Property - FAS109</t>
  </si>
  <si>
    <t>A_2830300</t>
  </si>
  <si>
    <t>DIT Liab-Federal</t>
  </si>
  <si>
    <t>A_2830330</t>
  </si>
  <si>
    <t>DIT Liab-FAS 158 - Federal</t>
  </si>
  <si>
    <t>A_2830340</t>
  </si>
  <si>
    <t>DIT Liab-FAS 133 - Federal</t>
  </si>
  <si>
    <t>A_2830400</t>
  </si>
  <si>
    <t>DIT Liab-State</t>
  </si>
  <si>
    <t>A_2830430</t>
  </si>
  <si>
    <t>DIT Liab-FAS 158 - State</t>
  </si>
  <si>
    <t>A_2830440</t>
  </si>
  <si>
    <t>DIT Liab-FAS 133 - State</t>
  </si>
  <si>
    <t>A_2830610</t>
  </si>
  <si>
    <t>DIT Liab-FAS109 - Other</t>
  </si>
  <si>
    <t>A_2830611</t>
  </si>
  <si>
    <t>DIT Liab-Other Gross Up Medicare Part D</t>
  </si>
  <si>
    <t>A_1011000</t>
  </si>
  <si>
    <t>Property Under Capital Leases</t>
  </si>
  <si>
    <t>A_1430036</t>
  </si>
  <si>
    <t>A_1460751</t>
  </si>
  <si>
    <t>Trade Receivable-Interco-Emera Caribbean Hlds Ltd  E033</t>
  </si>
  <si>
    <t>A_1460752</t>
  </si>
  <si>
    <t>Trade Receivable-Interco-EUSHI E390 (Emera US Holdings)</t>
  </si>
  <si>
    <t>A_1460754</t>
  </si>
  <si>
    <t>Trade Rec-Interco-Emera US Sub 1 E017</t>
  </si>
  <si>
    <t>A_1460755</t>
  </si>
  <si>
    <t>Trade Rec-Interco-Emera Scotia Power E025</t>
  </si>
  <si>
    <t>A_1460762</t>
  </si>
  <si>
    <t>Trade Rec-Interco-Emera Energy Services Inc. E016</t>
  </si>
  <si>
    <t>A_1460763</t>
  </si>
  <si>
    <t>Trade Rec-Interco-Emera Grand HVAC Leasing US E416</t>
  </si>
  <si>
    <t>A_1460764</t>
  </si>
  <si>
    <t>Trade Rec-Interco-Emera Technologies LLC E410</t>
  </si>
  <si>
    <t>A_1650051</t>
  </si>
  <si>
    <t>Prepaid Interest Expense</t>
  </si>
  <si>
    <t>A_1650801</t>
  </si>
  <si>
    <t>Prepaid Miscellaneous - Other Shared Services</t>
  </si>
  <si>
    <t>A_1822111</t>
  </si>
  <si>
    <t>Unrecov Plant - (CETM) Clean Energy Trans Mech Cur</t>
  </si>
  <si>
    <t>A_1822211</t>
  </si>
  <si>
    <t>Unrecov Plant - (CETM) Clean Energy Trans Mech NC</t>
  </si>
  <si>
    <t>Adjustments</t>
  </si>
  <si>
    <t>A_2270201</t>
  </si>
  <si>
    <t>Long-term Lease Liability - Financing Lease</t>
  </si>
  <si>
    <t>A_2340799</t>
  </si>
  <si>
    <t>Trade Payable-Emera Interco Accruals/Reversals</t>
  </si>
  <si>
    <t>A_2420191</t>
  </si>
  <si>
    <t>Long-Term Incentive - Current</t>
  </si>
  <si>
    <t>A_2420192</t>
  </si>
  <si>
    <t>Deferred Compensation - Current</t>
  </si>
  <si>
    <t>A_2430101</t>
  </si>
  <si>
    <t>Short-term Lease Liability - Financing Lease</t>
  </si>
  <si>
    <t>A_2540090</t>
  </si>
  <si>
    <t>13 Month Avg</t>
  </si>
  <si>
    <t>Year End</t>
  </si>
  <si>
    <t>13 Month Average</t>
  </si>
  <si>
    <t xml:space="preserve">Description  </t>
  </si>
  <si>
    <t>SAP Account Formula</t>
  </si>
  <si>
    <t>Recon Check</t>
  </si>
  <si>
    <t>Recon Data</t>
  </si>
  <si>
    <t>A_4070211</t>
  </si>
  <si>
    <t>Unrecov Plant DR Defd - CETM</t>
  </si>
  <si>
    <t>A_4073022</t>
  </si>
  <si>
    <t>REG DR Asset Optimization</t>
  </si>
  <si>
    <t>A_4073021</t>
  </si>
  <si>
    <t>A_4073030</t>
  </si>
  <si>
    <t>A_4073031</t>
  </si>
  <si>
    <t>A_4073040</t>
  </si>
  <si>
    <t>A_4073050</t>
  </si>
  <si>
    <t>A_4073051</t>
  </si>
  <si>
    <t>A_4073090</t>
  </si>
  <si>
    <t>A_4074020</t>
  </si>
  <si>
    <t>A_4074030</t>
  </si>
  <si>
    <t>A_4074040</t>
  </si>
  <si>
    <t>A_4074041</t>
  </si>
  <si>
    <t>A_4074050</t>
  </si>
  <si>
    <t>A_4074090</t>
  </si>
  <si>
    <t>A_4074091</t>
  </si>
  <si>
    <t>A_4073200</t>
  </si>
  <si>
    <t>REG DR Deferred PBOP FAS106</t>
  </si>
  <si>
    <t>REG DR Defd (CETM) Clean Energy Trans Mechanism</t>
  </si>
  <si>
    <t>A_4073212</t>
  </si>
  <si>
    <t>A_4074211</t>
  </si>
  <si>
    <t>REG CR FERC Wholesale (AFUDC) - Amortization</t>
  </si>
  <si>
    <t>A_4400010</t>
  </si>
  <si>
    <t>Residential Base Revenue</t>
  </si>
  <si>
    <t>A_4400020</t>
  </si>
  <si>
    <t>Residential Sales Fuel Adjustment Revenue</t>
  </si>
  <si>
    <t>A_4400030</t>
  </si>
  <si>
    <t>Residential Capacity Revenue</t>
  </si>
  <si>
    <t>A_4400040</t>
  </si>
  <si>
    <t>Residential Conservation Revenue</t>
  </si>
  <si>
    <t>A_4400050</t>
  </si>
  <si>
    <t>Residential Environmental Revenue</t>
  </si>
  <si>
    <t>A_4400060</t>
  </si>
  <si>
    <t>Residential Franchise Revenue</t>
  </si>
  <si>
    <t>A_4400070</t>
  </si>
  <si>
    <t>Residential Gross Receipts Tax Revenue</t>
  </si>
  <si>
    <t>A_4400090</t>
  </si>
  <si>
    <t>Residential Storm Revenue</t>
  </si>
  <si>
    <t>A_4400091</t>
  </si>
  <si>
    <t>Residential CETM Revenue</t>
  </si>
  <si>
    <t>A_4420010</t>
  </si>
  <si>
    <t>Commercial Small Base Revenue</t>
  </si>
  <si>
    <t>A_4420020</t>
  </si>
  <si>
    <t>Commercial Small Sales Fuel Adjustment Revenue</t>
  </si>
  <si>
    <t>A_4420030</t>
  </si>
  <si>
    <t>Commercial Small Capacity Revenue</t>
  </si>
  <si>
    <t>A_4420040</t>
  </si>
  <si>
    <t>Commercial Small Conservation Revenue</t>
  </si>
  <si>
    <t>A_4420050</t>
  </si>
  <si>
    <t>Commercial Small Environmental Revenue</t>
  </si>
  <si>
    <t>A_4420060</t>
  </si>
  <si>
    <t>Commercial Small Franchise Revenue</t>
  </si>
  <si>
    <t>A_4420070</t>
  </si>
  <si>
    <t>Commercial Small Gross Receipts Tax Revenue</t>
  </si>
  <si>
    <t>A_4420090</t>
  </si>
  <si>
    <t>Commercial Small Storm Revenue</t>
  </si>
  <si>
    <t>A_4420091</t>
  </si>
  <si>
    <t>Commercial Small CETM Revenue</t>
  </si>
  <si>
    <t>A_4420110</t>
  </si>
  <si>
    <t>Commercial Large Base Revenue</t>
  </si>
  <si>
    <t>A_4420120</t>
  </si>
  <si>
    <t>Commercial Large Sales Fuel Adjustment</t>
  </si>
  <si>
    <t>A_4420130</t>
  </si>
  <si>
    <t>Commercial Large Capacity Revenue</t>
  </si>
  <si>
    <t>A_4420140</t>
  </si>
  <si>
    <t>Commercial Large Conservation Revenue</t>
  </si>
  <si>
    <t>A_4420150</t>
  </si>
  <si>
    <t>Commercial Large Environmental Revenue</t>
  </si>
  <si>
    <t>A_4420160</t>
  </si>
  <si>
    <t>Commercial Large Franchise Revenue</t>
  </si>
  <si>
    <t>A_4420170</t>
  </si>
  <si>
    <t>Commercial Large Gross Receipts Tax Revenue</t>
  </si>
  <si>
    <t>A_4420180</t>
  </si>
  <si>
    <t>A_4420190</t>
  </si>
  <si>
    <t>Commercial Large Storm Revenue</t>
  </si>
  <si>
    <t>A_4420191</t>
  </si>
  <si>
    <t>Commercial Large CETM Revenue</t>
  </si>
  <si>
    <t>A_4420210</t>
  </si>
  <si>
    <t>Industrial-Phosphate Small Base Revenue</t>
  </si>
  <si>
    <t>Industrial-Phosphate Small Sales Fuel Adjustment</t>
  </si>
  <si>
    <t>A_4420230</t>
  </si>
  <si>
    <t>Industrial-Phosphate Small Capacity Revenue</t>
  </si>
  <si>
    <t>A_4420240</t>
  </si>
  <si>
    <t>Industrial-Phosphate Small Conservation Revenue</t>
  </si>
  <si>
    <t>A_4420250</t>
  </si>
  <si>
    <t>Industrial-Phosphate Small Environmental Revenue</t>
  </si>
  <si>
    <t>A_4420270</t>
  </si>
  <si>
    <t>Industrial-Phosphate Small Gross Receipts Tax Rev</t>
  </si>
  <si>
    <t>A_4420290</t>
  </si>
  <si>
    <t>Industrial-Phosphate Small Storm Revenue</t>
  </si>
  <si>
    <t>A_4420291</t>
  </si>
  <si>
    <t>A_4420310</t>
  </si>
  <si>
    <t>Industrial-Phosphate Large Base Revenue</t>
  </si>
  <si>
    <t>A_4420320</t>
  </si>
  <si>
    <t>Industrial-Phosphate Large Sales Fuel Adjustment</t>
  </si>
  <si>
    <t>A_4420330</t>
  </si>
  <si>
    <t>Industrial-Phosphate Large Capacity Revenue</t>
  </si>
  <si>
    <t>A_4420340</t>
  </si>
  <si>
    <t>Industrial-Phosphate Large Conservation Revenue</t>
  </si>
  <si>
    <t>A_4420350</t>
  </si>
  <si>
    <t>Industrial-Phosphate Large Environmental Revenue</t>
  </si>
  <si>
    <t>A_4420370</t>
  </si>
  <si>
    <t>Industrial-Phosphate Large Gross Receipts Tax Rev</t>
  </si>
  <si>
    <t>A_4420380</t>
  </si>
  <si>
    <t>Industrial-Phosphate Large Optional Billing Provsn</t>
  </si>
  <si>
    <t>A_4420390</t>
  </si>
  <si>
    <t>Industrial-Phosphate Large Storm Revenue</t>
  </si>
  <si>
    <t>A_4420391</t>
  </si>
  <si>
    <t>Industrial-Phosphate Large CETM Revenue</t>
  </si>
  <si>
    <t>A_4420410</t>
  </si>
  <si>
    <t>Industrial-Other Small Base Revenue</t>
  </si>
  <si>
    <t>A_4420420</t>
  </si>
  <si>
    <t>Industrial-Other Small Sales Fuel Adjustment Rev</t>
  </si>
  <si>
    <t>A_4420430</t>
  </si>
  <si>
    <t>Industrial-Other Small Capacity Revenue</t>
  </si>
  <si>
    <t>A_4420440</t>
  </si>
  <si>
    <t>Industrial-Other Small Conservation Revenue</t>
  </si>
  <si>
    <t>A_4420450</t>
  </si>
  <si>
    <t>Industrial-Other Small Environmental Revenue</t>
  </si>
  <si>
    <t>A_4420460</t>
  </si>
  <si>
    <t>Industrial-Other Small Franchise Revenue</t>
  </si>
  <si>
    <t>A_4420470</t>
  </si>
  <si>
    <t>Industrial-Other Small Gross Receipts Tax Rev</t>
  </si>
  <si>
    <t>A_4420490</t>
  </si>
  <si>
    <t>Industrial-Other Small Storm Revenue</t>
  </si>
  <si>
    <t>A_4420491</t>
  </si>
  <si>
    <t>Industrial-Other Small CETM Revenue</t>
  </si>
  <si>
    <t>A_4420510</t>
  </si>
  <si>
    <t>Industrial-Other Large Base Revenue</t>
  </si>
  <si>
    <t>A_4420520</t>
  </si>
  <si>
    <t>Industrial-Other Large Sales Fuel Adjustment</t>
  </si>
  <si>
    <t>A_4420530</t>
  </si>
  <si>
    <t>Industrial-Other Large Capacity Revenue</t>
  </si>
  <si>
    <t>A_4420540</t>
  </si>
  <si>
    <t>Industrial-Other Large Conservation Revenue</t>
  </si>
  <si>
    <t>A_4420550</t>
  </si>
  <si>
    <t>Industrial-Other Large Environmental Revenue</t>
  </si>
  <si>
    <t>A_4420560</t>
  </si>
  <si>
    <t>Industrial-Other Large Franchise Revenue</t>
  </si>
  <si>
    <t>A_4420570</t>
  </si>
  <si>
    <t>Industrial-Other Large Gross Receipts Tax Revenue</t>
  </si>
  <si>
    <t>A_4420580</t>
  </si>
  <si>
    <t>Industrial-Other Large Optional Billing Provision</t>
  </si>
  <si>
    <t>A_4420590</t>
  </si>
  <si>
    <t>Industrial-Other Large Storm Revenue</t>
  </si>
  <si>
    <t>A_4420591</t>
  </si>
  <si>
    <t>Industrial-Other Large CETM Revenue</t>
  </si>
  <si>
    <t>A_4440010</t>
  </si>
  <si>
    <t>Public Street HW Lighting Base Revenue</t>
  </si>
  <si>
    <t>A_4440020</t>
  </si>
  <si>
    <t>Public Street HW Lighting Sales Fuel Adjustment</t>
  </si>
  <si>
    <t>A_4440030</t>
  </si>
  <si>
    <t>Public Street HW Lighting Capacity Revenue</t>
  </si>
  <si>
    <t>A_4440040</t>
  </si>
  <si>
    <t>Public Street HW Lighting Conservation Revenue</t>
  </si>
  <si>
    <t>A_4440050</t>
  </si>
  <si>
    <t>Public Street HW Lighting Environmental Revenue</t>
  </si>
  <si>
    <t>A_4440060</t>
  </si>
  <si>
    <t>Public Street HW Lighting Franchise Revenue</t>
  </si>
  <si>
    <t>A_4440070</t>
  </si>
  <si>
    <t>Public Street HW Lighting Gross Receipts Tax Rev</t>
  </si>
  <si>
    <t>A_4440090</t>
  </si>
  <si>
    <t>A_4440091</t>
  </si>
  <si>
    <t>A_4450010</t>
  </si>
  <si>
    <t>Oth Sales Public Authority Base Revenue</t>
  </si>
  <si>
    <t>A_4450020</t>
  </si>
  <si>
    <t>Oth Sales Public Authority Sales Fuel Adjustment</t>
  </si>
  <si>
    <t>A_4450030</t>
  </si>
  <si>
    <t>Oth Sales Public Authority Capacity Revenue</t>
  </si>
  <si>
    <t>A_4450040</t>
  </si>
  <si>
    <t>Oth Sales Public Authority Conservation Revenue</t>
  </si>
  <si>
    <t>A_4450050</t>
  </si>
  <si>
    <t>Oth Sales Public Authority Environmental Revenue</t>
  </si>
  <si>
    <t>A_4450060</t>
  </si>
  <si>
    <t>Oth Sales Public Authority Franchise Revenue</t>
  </si>
  <si>
    <t>A_4450070</t>
  </si>
  <si>
    <t>Oth Sales Public Authority Gross Receipts Tax Rev</t>
  </si>
  <si>
    <t>A_4450080</t>
  </si>
  <si>
    <t>A_4450090</t>
  </si>
  <si>
    <t>Oth Sales Public Authority Storm Revenue</t>
  </si>
  <si>
    <t>A_4450091</t>
  </si>
  <si>
    <t>Oth Sales Public Authority CETM Revenue</t>
  </si>
  <si>
    <t>A_4470010</t>
  </si>
  <si>
    <t>Recoverable Retail Non-Separated Sales for Resale</t>
  </si>
  <si>
    <t>A_4470011</t>
  </si>
  <si>
    <t>Non-Recoverable Retail Non-Separated Sales Resale</t>
  </si>
  <si>
    <t>A_4470012</t>
  </si>
  <si>
    <t>Recoverable Retail Non-Separated Sales for Resale-Margin</t>
  </si>
  <si>
    <t>A_4510100</t>
  </si>
  <si>
    <t>Misc Svc Rev - Connection - Same Day Service</t>
  </si>
  <si>
    <t>A_4510101</t>
  </si>
  <si>
    <t>Misc Svc Rev - Connection - Saturday</t>
  </si>
  <si>
    <t>A_4510102</t>
  </si>
  <si>
    <t>Misc Svc Rev - Reconnect - at Pole</t>
  </si>
  <si>
    <t>A_4510103</t>
  </si>
  <si>
    <t>Misc Svc Rev - Reconnect - Subsequent Subscriber</t>
  </si>
  <si>
    <t>A_4510104</t>
  </si>
  <si>
    <t>Misc Svc Rev - Reconnect - at Meter</t>
  </si>
  <si>
    <t>A_4510107</t>
  </si>
  <si>
    <t>Misc Svc Rev - Late Payment Fee</t>
  </si>
  <si>
    <t>A_4510108</t>
  </si>
  <si>
    <t>Misc Svc Rev - Initial Turn On</t>
  </si>
  <si>
    <t>A_4510109</t>
  </si>
  <si>
    <t>Misc Svc Rev - Temp. Svcs</t>
  </si>
  <si>
    <t>A_4510110</t>
  </si>
  <si>
    <t>Misc Svc Rev - Tampering</t>
  </si>
  <si>
    <t>A_4510111</t>
  </si>
  <si>
    <t>Misc Svc Rev - Returned Check</t>
  </si>
  <si>
    <t>A_4510112</t>
  </si>
  <si>
    <t>Misc Svc Rev - Field Credit Check</t>
  </si>
  <si>
    <t>A_4510113</t>
  </si>
  <si>
    <t>A_4510800</t>
  </si>
  <si>
    <t>Miscellaneous Service Revenues - Other</t>
  </si>
  <si>
    <t>A_4540010</t>
  </si>
  <si>
    <t>Rental Revenue - Commercial Property</t>
  </si>
  <si>
    <t>A_4540020</t>
  </si>
  <si>
    <t>Rental Revenue - Agricultural Property</t>
  </si>
  <si>
    <t>A_4540030</t>
  </si>
  <si>
    <t>Rental Revenue - Electric Equipment</t>
  </si>
  <si>
    <t>A_4540040</t>
  </si>
  <si>
    <t>Rental Revenue - Big Bend Station</t>
  </si>
  <si>
    <t>Rental Revenue - Pole Attachments - Transmission</t>
  </si>
  <si>
    <t>A_4540081</t>
  </si>
  <si>
    <t>Rental Revenue - Pole Attachments - Distribution</t>
  </si>
  <si>
    <t>A_4540700</t>
  </si>
  <si>
    <t>Rental Revenue - Intercompany</t>
  </si>
  <si>
    <t>A_4540701</t>
  </si>
  <si>
    <t>Rental Revenue - Intercompany - Asset Usage Fee</t>
  </si>
  <si>
    <t>A_4540800</t>
  </si>
  <si>
    <t>Rental Revenue - MetroLink</t>
  </si>
  <si>
    <t>A_4550000</t>
  </si>
  <si>
    <t>Interdepartmental Rents</t>
  </si>
  <si>
    <t>A_4550001</t>
  </si>
  <si>
    <t>Interdepartmental Rents - Asset Usage Fee</t>
  </si>
  <si>
    <t>A_4560020</t>
  </si>
  <si>
    <t>Other Revenue - At-Cost Job Orders</t>
  </si>
  <si>
    <t>A_4560030</t>
  </si>
  <si>
    <t>Other Revenue - Sales Tax</t>
  </si>
  <si>
    <t>A_4560080</t>
  </si>
  <si>
    <t>Other Revenue - Cogen Maintenance - Transmission</t>
  </si>
  <si>
    <t>A_4560110</t>
  </si>
  <si>
    <t>Other Revenue - Metro Link Job Orders</t>
  </si>
  <si>
    <t>A_4560120</t>
  </si>
  <si>
    <t>Other Revenue - Green Power Program</t>
  </si>
  <si>
    <t>A_4560180</t>
  </si>
  <si>
    <t>A_4560200</t>
  </si>
  <si>
    <t>OATT Pt to Pt Revenue</t>
  </si>
  <si>
    <t>A_4560210</t>
  </si>
  <si>
    <t>OATT Ancillary Scheduling Revenue</t>
  </si>
  <si>
    <t>A_4560401</t>
  </si>
  <si>
    <t>Pt to Pt Transmission Non Separated Sale-Retail</t>
  </si>
  <si>
    <t>A_4560411</t>
  </si>
  <si>
    <t>Ancillary Transmission Non Separated-Retail</t>
  </si>
  <si>
    <t>A_4560501</t>
  </si>
  <si>
    <t>Unused Pt to Pt Transm Non Separated-Retail</t>
  </si>
  <si>
    <t>A_4560511</t>
  </si>
  <si>
    <t>Unused Ancillary Transm Non Separated-Retail</t>
  </si>
  <si>
    <t>A_4560660</t>
  </si>
  <si>
    <t>Other Revenue - Gypsum Excluding ECRC</t>
  </si>
  <si>
    <t>Other Revenue - Gypsum ECRC</t>
  </si>
  <si>
    <t>A_4560800</t>
  </si>
  <si>
    <t>Other Revenue - Miscellaneous</t>
  </si>
  <si>
    <t>A_4560900</t>
  </si>
  <si>
    <t>Unbilled Revenue</t>
  </si>
  <si>
    <t>A_6010110</t>
  </si>
  <si>
    <t>Labor Exempt - Straight Time</t>
  </si>
  <si>
    <t>A_6010120</t>
  </si>
  <si>
    <t>Labor Exempt - Overtime</t>
  </si>
  <si>
    <t>A_6010130</t>
  </si>
  <si>
    <t>Labor Exempt - Non-Productive Time</t>
  </si>
  <si>
    <t>A_6010210</t>
  </si>
  <si>
    <t>Labor Non Exempt - Straight Time</t>
  </si>
  <si>
    <t>A_6010220</t>
  </si>
  <si>
    <t>Labor Non Exempt - Overtime</t>
  </si>
  <si>
    <t>A_6010230</t>
  </si>
  <si>
    <t>Labor Non Exempt - Non-Productive Time</t>
  </si>
  <si>
    <t>A_6010310</t>
  </si>
  <si>
    <t>Labor Union - Straight Time</t>
  </si>
  <si>
    <t>A_6010320</t>
  </si>
  <si>
    <t>Labor Union - Overtime</t>
  </si>
  <si>
    <t>A_6010330</t>
  </si>
  <si>
    <t>Labor Union - Non-Productive Time</t>
  </si>
  <si>
    <t>A_6010400</t>
  </si>
  <si>
    <t>A_6010900</t>
  </si>
  <si>
    <t>Labor Commissions</t>
  </si>
  <si>
    <t>A_6010910</t>
  </si>
  <si>
    <t>Labor Off-Cycle Bonus</t>
  </si>
  <si>
    <t>A_6010990</t>
  </si>
  <si>
    <t>Labor Seconded Employees</t>
  </si>
  <si>
    <t>A_6018999</t>
  </si>
  <si>
    <t>Labor Expense Reclass</t>
  </si>
  <si>
    <t>A_6019000</t>
  </si>
  <si>
    <t>Labor Expense sent to Balance Sheet</t>
  </si>
  <si>
    <t>A_6019900</t>
  </si>
  <si>
    <t>ST Labor &amp; Benefits Expense to Balance Sheet</t>
  </si>
  <si>
    <t>A_6019910</t>
  </si>
  <si>
    <t>OT Labor &amp; Benefits Expense to Balance Sheet</t>
  </si>
  <si>
    <t>A_6020010</t>
  </si>
  <si>
    <t>Benefit Plan Admin Fees</t>
  </si>
  <si>
    <t>A_6020020</t>
  </si>
  <si>
    <t>Tuition Reimbursement</t>
  </si>
  <si>
    <t>A_6020030</t>
  </si>
  <si>
    <t>Life Insurance</t>
  </si>
  <si>
    <t>A_6020040</t>
  </si>
  <si>
    <t>Long-term Care Insurance</t>
  </si>
  <si>
    <t>A_6020050</t>
  </si>
  <si>
    <t>Medical Insurance - Active</t>
  </si>
  <si>
    <t>A_6020060</t>
  </si>
  <si>
    <t>Pensions</t>
  </si>
  <si>
    <t>A_6020080</t>
  </si>
  <si>
    <t>Post Retirement Benefits FAS 106 - Active</t>
  </si>
  <si>
    <t>A_6020090</t>
  </si>
  <si>
    <t>Post Retirememt Benefits FAS 106 - Retiree</t>
  </si>
  <si>
    <t>A_6020100</t>
  </si>
  <si>
    <t>A_6020101</t>
  </si>
  <si>
    <t>Employee Deferred Compensation Expense</t>
  </si>
  <si>
    <t>A_6020110</t>
  </si>
  <si>
    <t>Employee Wellness</t>
  </si>
  <si>
    <t>A_6020130</t>
  </si>
  <si>
    <t>Employer 401K Fixed Match</t>
  </si>
  <si>
    <t>A_6020131</t>
  </si>
  <si>
    <t>Employer 401K – IBEW Plan Match</t>
  </si>
  <si>
    <t>A_6020140</t>
  </si>
  <si>
    <t>Employer 401K Performance Match</t>
  </si>
  <si>
    <t>A_6020150</t>
  </si>
  <si>
    <t>Supplemental Executive Retirement Plan (SERP)</t>
  </si>
  <si>
    <t>A_6020170</t>
  </si>
  <si>
    <t>Long-term Disability - FAS 112</t>
  </si>
  <si>
    <t>A_6020180</t>
  </si>
  <si>
    <t>Long-term Disability Premiums</t>
  </si>
  <si>
    <t>Vacations (accrual)</t>
  </si>
  <si>
    <t>A_6020230</t>
  </si>
  <si>
    <t>Restoriation Benefit Plan Expense</t>
  </si>
  <si>
    <t>A_6020240</t>
  </si>
  <si>
    <t>Employer Match on Common Stock Purchase Program</t>
  </si>
  <si>
    <t>A_6020800</t>
  </si>
  <si>
    <t>Benefits - Other</t>
  </si>
  <si>
    <t>A_6020900</t>
  </si>
  <si>
    <t>Employee Incentive Expense</t>
  </si>
  <si>
    <t>A_6029000</t>
  </si>
  <si>
    <t>A_6030010</t>
  </si>
  <si>
    <t>A_6030020</t>
  </si>
  <si>
    <t>Empl Exp - Social/Civic Dues</t>
  </si>
  <si>
    <t>A_6030030</t>
  </si>
  <si>
    <t>A_6030040</t>
  </si>
  <si>
    <t>Empl Exp - Meals &amp; Entertainment 50% Deductible</t>
  </si>
  <si>
    <t>A_6030050</t>
  </si>
  <si>
    <t>Empl Exp - Mileage</t>
  </si>
  <si>
    <t>A_6030060</t>
  </si>
  <si>
    <t>Empl Exp - Shoes and uniforms</t>
  </si>
  <si>
    <t>A_6030070</t>
  </si>
  <si>
    <t>Empl Exp - Training</t>
  </si>
  <si>
    <t>A_6030080</t>
  </si>
  <si>
    <t>Empl Exp - Travel and Lodging</t>
  </si>
  <si>
    <t>A_6030091</t>
  </si>
  <si>
    <t>Empl Exp - Employee Appreciation and Gift Cards</t>
  </si>
  <si>
    <t>A_6030800</t>
  </si>
  <si>
    <t>Empl Exp - Miscellaneous Expense</t>
  </si>
  <si>
    <t>A_6039000</t>
  </si>
  <si>
    <t>Employee Reimb Expense sent to Balance Sheet</t>
  </si>
  <si>
    <t>A_6100010</t>
  </si>
  <si>
    <t>Advertising</t>
  </si>
  <si>
    <t>A_6100030</t>
  </si>
  <si>
    <t>Consultants - Audit</t>
  </si>
  <si>
    <t>A_6100040</t>
  </si>
  <si>
    <t>Consultants - Engineering</t>
  </si>
  <si>
    <t>A_6100050</t>
  </si>
  <si>
    <t>Consultants - Environmental</t>
  </si>
  <si>
    <t>A_6100060</t>
  </si>
  <si>
    <t>Consultants - Legal</t>
  </si>
  <si>
    <t>A_6100070</t>
  </si>
  <si>
    <t>Consultants - Management</t>
  </si>
  <si>
    <t>A_6100080</t>
  </si>
  <si>
    <t>Consultants - Other</t>
  </si>
  <si>
    <t>A_6100090</t>
  </si>
  <si>
    <t>Consultants - Taxes</t>
  </si>
  <si>
    <t>A_6100100</t>
  </si>
  <si>
    <t>Subcontracted Services</t>
  </si>
  <si>
    <t>A_6100110</t>
  </si>
  <si>
    <t>Instrument Service/Repair</t>
  </si>
  <si>
    <t>A_6100120</t>
  </si>
  <si>
    <t>Tools Service/Repair</t>
  </si>
  <si>
    <t>A_6100140</t>
  </si>
  <si>
    <t>Line Clearance</t>
  </si>
  <si>
    <t>A_6100150</t>
  </si>
  <si>
    <t>Printing</t>
  </si>
  <si>
    <t>A_6100160</t>
  </si>
  <si>
    <t>Security Services</t>
  </si>
  <si>
    <t>A_6100170</t>
  </si>
  <si>
    <t>Service/Maintenance-Computers &amp; Communication</t>
  </si>
  <si>
    <t>A_6100180</t>
  </si>
  <si>
    <t>Site Testing Services</t>
  </si>
  <si>
    <t>A_6100190</t>
  </si>
  <si>
    <t>Software Maintenance</t>
  </si>
  <si>
    <t>A_6100200</t>
  </si>
  <si>
    <t>Trust Fee</t>
  </si>
  <si>
    <t>A_6108999</t>
  </si>
  <si>
    <t>Outside Services Expense Reclass</t>
  </si>
  <si>
    <t>A_6109000</t>
  </si>
  <si>
    <t>Outside Services Expense sent to Balance Sheet</t>
  </si>
  <si>
    <t>A_6200010</t>
  </si>
  <si>
    <t>Fuel Expense - Coal Recoverable</t>
  </si>
  <si>
    <t>A_6200030</t>
  </si>
  <si>
    <t>Fuel Expense - Natural Gas</t>
  </si>
  <si>
    <t>A_6200040</t>
  </si>
  <si>
    <t>Fuel Expense - Oil burned for generation</t>
  </si>
  <si>
    <t>A_6200060</t>
  </si>
  <si>
    <t>A_6250100</t>
  </si>
  <si>
    <t>Purchased Power</t>
  </si>
  <si>
    <t>A_6400010</t>
  </si>
  <si>
    <t>Mat &amp; Supp - Furniture &amp; Computer/Office Equipment</t>
  </si>
  <si>
    <t>A_6400020</t>
  </si>
  <si>
    <t>Mat &amp; Supp - General and Office Supplies</t>
  </si>
  <si>
    <t>A_6400030</t>
  </si>
  <si>
    <t>Mat &amp; Supp - Chemicals</t>
  </si>
  <si>
    <t>A_6400040</t>
  </si>
  <si>
    <t>Mat &amp; Supp - Laboratory materials and supplies</t>
  </si>
  <si>
    <t>A_6400050</t>
  </si>
  <si>
    <t>Mat &amp; Supp - Lubricants</t>
  </si>
  <si>
    <t>A_6400060</t>
  </si>
  <si>
    <t>Mat &amp; Supp - Operations Consumables</t>
  </si>
  <si>
    <t>A_6400070</t>
  </si>
  <si>
    <t>Mat &amp; Supp - Safety/First Aid Supplies &amp; Equipment</t>
  </si>
  <si>
    <t>A_6400080</t>
  </si>
  <si>
    <t>Mat &amp; Supp - Vehicle Fuel</t>
  </si>
  <si>
    <t>A_6400100</t>
  </si>
  <si>
    <t>Mat &amp; Supp - Outside Material Purchases</t>
  </si>
  <si>
    <t>A_6400500</t>
  </si>
  <si>
    <t>Mat &amp; Supp - Parts</t>
  </si>
  <si>
    <t>A_6400505</t>
  </si>
  <si>
    <t>Mat &amp; Supp - Part Repairs</t>
  </si>
  <si>
    <t>A_6400510</t>
  </si>
  <si>
    <t>Mat &amp; Supp - Small Tools</t>
  </si>
  <si>
    <t>A_6400520</t>
  </si>
  <si>
    <t>Mat &amp; Supp - Obsolete Inventory</t>
  </si>
  <si>
    <t>A_6400530</t>
  </si>
  <si>
    <t>Mat &amp; Supp - Inventory Other</t>
  </si>
  <si>
    <t>A_6401000</t>
  </si>
  <si>
    <t>Mat &amp; Supp - Inventory Issue</t>
  </si>
  <si>
    <t>A_6401100</t>
  </si>
  <si>
    <t>Physical Inventory Differences</t>
  </si>
  <si>
    <t>A_6401200</t>
  </si>
  <si>
    <t>Materials Price Differences</t>
  </si>
  <si>
    <t>A_6401300</t>
  </si>
  <si>
    <t>A_6408999</t>
  </si>
  <si>
    <t>Materials &amp; Supplies Expense Reclass</t>
  </si>
  <si>
    <t>A_6409000</t>
  </si>
  <si>
    <t>Materials &amp; Supplies Expense sent to Balance Sheet</t>
  </si>
  <si>
    <t>A_6500010</t>
  </si>
  <si>
    <t>Transportation - Vehicle expense</t>
  </si>
  <si>
    <t>A_6500810</t>
  </si>
  <si>
    <t>A_6509000</t>
  </si>
  <si>
    <t>Transportation Expense sent to Balance Sheet</t>
  </si>
  <si>
    <t>A_6700502</t>
  </si>
  <si>
    <t>Insurance - Brokerage Fees</t>
  </si>
  <si>
    <t>A_6700503</t>
  </si>
  <si>
    <t>Insurance - Crime &amp; Fidelity</t>
  </si>
  <si>
    <t>A_6700504</t>
  </si>
  <si>
    <t>Insurance - Directors &amp; Officers</t>
  </si>
  <si>
    <t>A_6700505</t>
  </si>
  <si>
    <t>Insurance - Errors and Omissions</t>
  </si>
  <si>
    <t>A_6700506</t>
  </si>
  <si>
    <t>A_6700507</t>
  </si>
  <si>
    <t>Insurance - Excess General Liability</t>
  </si>
  <si>
    <t>A_6700508</t>
  </si>
  <si>
    <t>Insurance - Fiduciary</t>
  </si>
  <si>
    <t>A_6700509</t>
  </si>
  <si>
    <t>Insurance - I&amp;D Reserves</t>
  </si>
  <si>
    <t>A_6700510</t>
  </si>
  <si>
    <t>Insurance - Longshoremen's Compensation</t>
  </si>
  <si>
    <t>A_6700514</t>
  </si>
  <si>
    <t>Insurance - Property</t>
  </si>
  <si>
    <t>A_6700515</t>
  </si>
  <si>
    <t>Insurance - Punitive Damages</t>
  </si>
  <si>
    <t>A_6700516</t>
  </si>
  <si>
    <t>Insurance - Special Risk</t>
  </si>
  <si>
    <t>A_6700518</t>
  </si>
  <si>
    <t>Insurance - Travel Accident</t>
  </si>
  <si>
    <t>A_6700519</t>
  </si>
  <si>
    <t>Insurance - Workers Compensation - Excess</t>
  </si>
  <si>
    <t>A_6700521</t>
  </si>
  <si>
    <t>Insurance - Solar</t>
  </si>
  <si>
    <t>A_6700599</t>
  </si>
  <si>
    <t>Insurance - Other</t>
  </si>
  <si>
    <t>A_6710020</t>
  </si>
  <si>
    <t>A_6710040</t>
  </si>
  <si>
    <t>A_6710050</t>
  </si>
  <si>
    <t>A_6710060</t>
  </si>
  <si>
    <t>A_6710700</t>
  </si>
  <si>
    <t>A_6710800</t>
  </si>
  <si>
    <t>A_6719000</t>
  </si>
  <si>
    <t>A_6720010</t>
  </si>
  <si>
    <t>A_6720050</t>
  </si>
  <si>
    <t>A_6720060</t>
  </si>
  <si>
    <t>Long-term Lease - Variable Lease Expense</t>
  </si>
  <si>
    <t>A_6720800</t>
  </si>
  <si>
    <t>A_6729000</t>
  </si>
  <si>
    <t>A_6730010</t>
  </si>
  <si>
    <t>Utilities - Electricity</t>
  </si>
  <si>
    <t>A_6730030</t>
  </si>
  <si>
    <t>Utilities - Telecom</t>
  </si>
  <si>
    <t>A_6730050</t>
  </si>
  <si>
    <t>Utilities - Waste &amp; Trash Management</t>
  </si>
  <si>
    <t>A_6730060</t>
  </si>
  <si>
    <t>Utilities - Water</t>
  </si>
  <si>
    <t>A_6730800</t>
  </si>
  <si>
    <t>Utilities - Other</t>
  </si>
  <si>
    <t>A_6739000</t>
  </si>
  <si>
    <t>Utilities Expense sent to Balance Sheet</t>
  </si>
  <si>
    <t>A_6780020</t>
  </si>
  <si>
    <t>Miscellaneous Billing Exp Material Sales</t>
  </si>
  <si>
    <t>A_6780030</t>
  </si>
  <si>
    <t>Miscellaneous Billing Exp Chargeable Projects</t>
  </si>
  <si>
    <t>A_6780040</t>
  </si>
  <si>
    <t>Miscellaneous Billing Exp Damaged Facilities</t>
  </si>
  <si>
    <t>A_6780800</t>
  </si>
  <si>
    <t>Miscellaneous Billing Exp General</t>
  </si>
  <si>
    <t>A_6789000</t>
  </si>
  <si>
    <t>Miscellaneous Billing Exp to Balance Sheet</t>
  </si>
  <si>
    <t>A_6790010</t>
  </si>
  <si>
    <t>Bad Debt Expense</t>
  </si>
  <si>
    <t>A_6790020</t>
  </si>
  <si>
    <t>Bad Debt Expense ARM</t>
  </si>
  <si>
    <t>A_6790030</t>
  </si>
  <si>
    <t>Director's Expenses</t>
  </si>
  <si>
    <t>A_6790050</t>
  </si>
  <si>
    <t>Deferred Compensation</t>
  </si>
  <si>
    <t>A_6790055</t>
  </si>
  <si>
    <t>Economic Development</t>
  </si>
  <si>
    <t>A_6790060</t>
  </si>
  <si>
    <t>Industry Dues</t>
  </si>
  <si>
    <t>A_6790090</t>
  </si>
  <si>
    <t>Donations - Charitable (501c)</t>
  </si>
  <si>
    <t>A_6790091</t>
  </si>
  <si>
    <t>Donations - Non deductible</t>
  </si>
  <si>
    <t>A_6790092</t>
  </si>
  <si>
    <t>Donations - Other</t>
  </si>
  <si>
    <t>A_6790101</t>
  </si>
  <si>
    <t>Fees - Bank</t>
  </si>
  <si>
    <t>A_6790102</t>
  </si>
  <si>
    <t>A_6790103</t>
  </si>
  <si>
    <t>Fees - Registration</t>
  </si>
  <si>
    <t>A_6790199</t>
  </si>
  <si>
    <t>Fees - Miscellaneous</t>
  </si>
  <si>
    <t>A_6790200</t>
  </si>
  <si>
    <t>Penalties</t>
  </si>
  <si>
    <t>A_6790210</t>
  </si>
  <si>
    <t>Permitting</t>
  </si>
  <si>
    <t>A_6790230</t>
  </si>
  <si>
    <t>A_6790250</t>
  </si>
  <si>
    <t>Energy Conservation Allowances</t>
  </si>
  <si>
    <t>A_6790255</t>
  </si>
  <si>
    <t>Selling and Marketing Expense</t>
  </si>
  <si>
    <t>A_6790260</t>
  </si>
  <si>
    <t>Settlements/Claims Expense</t>
  </si>
  <si>
    <t>A_6790300</t>
  </si>
  <si>
    <t>Cash Discount Taken</t>
  </si>
  <si>
    <t>A_6790305</t>
  </si>
  <si>
    <t>A&amp;G Allocation</t>
  </si>
  <si>
    <t>A_6790310</t>
  </si>
  <si>
    <t>A&amp;G Allocated to Capital</t>
  </si>
  <si>
    <t>A_6790320</t>
  </si>
  <si>
    <t>Fleet Allocation</t>
  </si>
  <si>
    <t>A_6790321</t>
  </si>
  <si>
    <t>Stores Allocation</t>
  </si>
  <si>
    <t>A_6790700</t>
  </si>
  <si>
    <t>Intercompany Overhead Allocations</t>
  </si>
  <si>
    <t>A_6790703</t>
  </si>
  <si>
    <t>Intercompany Standard Labor</t>
  </si>
  <si>
    <t>A_6790704</t>
  </si>
  <si>
    <t>Intercompany Support Services</t>
  </si>
  <si>
    <t>A_6790800</t>
  </si>
  <si>
    <t>Other Operational Expense - Miscellaneous</t>
  </si>
  <si>
    <t>A_6791000</t>
  </si>
  <si>
    <t>Rate Case Expense</t>
  </si>
  <si>
    <t>A_6798999</t>
  </si>
  <si>
    <t>Other Operational Expense Reclass</t>
  </si>
  <si>
    <t>A_6799000</t>
  </si>
  <si>
    <t>Other Operational Expense sent to Balance Sheet</t>
  </si>
  <si>
    <t>A_6799104</t>
  </si>
  <si>
    <t>Make Ready Changes to the Balance Sheet</t>
  </si>
  <si>
    <t>A_6799105</t>
  </si>
  <si>
    <t>Fleet Charges to the Balance Sheet</t>
  </si>
  <si>
    <t>A_6799106</t>
  </si>
  <si>
    <t>Small Tools Charges to the Balance Sheet</t>
  </si>
  <si>
    <t>A_6799107</t>
  </si>
  <si>
    <t>Stores Clearing Charges to the Balance Sheet</t>
  </si>
  <si>
    <t>A_6799108</t>
  </si>
  <si>
    <t>Self Help Charges to the Balance Sheet</t>
  </si>
  <si>
    <t>A_6799109</t>
  </si>
  <si>
    <t>Supervisory &amp; Management Cghs to the Balance Sheet</t>
  </si>
  <si>
    <t>A_6800010</t>
  </si>
  <si>
    <t>Amortization - Utility Plant</t>
  </si>
  <si>
    <t>A_6800040</t>
  </si>
  <si>
    <t>Amortization - Acquisition Adjustments</t>
  </si>
  <si>
    <t>A_6800045</t>
  </si>
  <si>
    <t>Amortization - Acquisition Adjustments BTL</t>
  </si>
  <si>
    <t>A_6800120</t>
  </si>
  <si>
    <t>Amortization - Financing Lease</t>
  </si>
  <si>
    <t>A_6810010</t>
  </si>
  <si>
    <t>Depreciation - Utility Plant</t>
  </si>
  <si>
    <t>A_6810025</t>
  </si>
  <si>
    <t>Depreciation - Non-Utility Property BTL</t>
  </si>
  <si>
    <t>A_6810050</t>
  </si>
  <si>
    <t>Depreciation - Environmental</t>
  </si>
  <si>
    <t>A_6810060</t>
  </si>
  <si>
    <t>Depreciation - Dismantling Accrual</t>
  </si>
  <si>
    <t>A_6810090</t>
  </si>
  <si>
    <t>A_6810140</t>
  </si>
  <si>
    <t>Depreciation - Conservation</t>
  </si>
  <si>
    <t>A_6900010</t>
  </si>
  <si>
    <t>TOTI - Franchise Fees</t>
  </si>
  <si>
    <t>A_6900030</t>
  </si>
  <si>
    <t>TOTI - Gross Receipts</t>
  </si>
  <si>
    <t>A_6900040</t>
  </si>
  <si>
    <t>TOTI - Payroll Tax</t>
  </si>
  <si>
    <t>A_6900060</t>
  </si>
  <si>
    <t>TOTI - Property Tax - Above the line</t>
  </si>
  <si>
    <t>A_6900065</t>
  </si>
  <si>
    <t>TOTI - Property Tax - Below the line</t>
  </si>
  <si>
    <t>A_6900070</t>
  </si>
  <si>
    <t>TOTI - Regulatory Assessment Fee</t>
  </si>
  <si>
    <t>A_6900080</t>
  </si>
  <si>
    <t>TOTI - Sales and Use</t>
  </si>
  <si>
    <t>A_6900100</t>
  </si>
  <si>
    <t>TOTI - State Intangible Gov't Leasehold Tax</t>
  </si>
  <si>
    <t>A_6900110</t>
  </si>
  <si>
    <t>TOTI - Federal Excise Tax</t>
  </si>
  <si>
    <t>A_6900120</t>
  </si>
  <si>
    <t>TOTI - County/City Business License Tax</t>
  </si>
  <si>
    <t>A_6900800</t>
  </si>
  <si>
    <t>Taxes other than income - Other</t>
  </si>
  <si>
    <t>A_6909000</t>
  </si>
  <si>
    <t>A_7000220</t>
  </si>
  <si>
    <t>Interest Inc - Defd Fuel Clause</t>
  </si>
  <si>
    <t>A_7000800</t>
  </si>
  <si>
    <t>Interest Inc - Miscellaneous</t>
  </si>
  <si>
    <t>A_7100010</t>
  </si>
  <si>
    <t>Allowance for other funds AFUDC Equity</t>
  </si>
  <si>
    <t>A_7100015</t>
  </si>
  <si>
    <t>Capitalized AFUDC Equity</t>
  </si>
  <si>
    <t>A_7100400</t>
  </si>
  <si>
    <t>Gain/(Loss) Sale of Non-Utility Property</t>
  </si>
  <si>
    <t>A_7100800</t>
  </si>
  <si>
    <t>Oth Inc/Exp - Miscellaneous</t>
  </si>
  <si>
    <t>A_7102000</t>
  </si>
  <si>
    <t>A_7102100</t>
  </si>
  <si>
    <t>A_7103030</t>
  </si>
  <si>
    <t>Commercial Surge Supression Equipment Revenue</t>
  </si>
  <si>
    <t>A_7103040</t>
  </si>
  <si>
    <t>Residential Surge Supression Equipment Revenue</t>
  </si>
  <si>
    <t>A_7103060</t>
  </si>
  <si>
    <t>CIAC (Capital Work Order Credit)</t>
  </si>
  <si>
    <t>A_7109000</t>
  </si>
  <si>
    <t>Other Income sent to Balance Sheet</t>
  </si>
  <si>
    <t>A_7201100</t>
  </si>
  <si>
    <t>A_7202100</t>
  </si>
  <si>
    <t>Currency Adjustment - Unrealized Loss</t>
  </si>
  <si>
    <t>A_7203040</t>
  </si>
  <si>
    <t>Residential Zap Cap Expense</t>
  </si>
  <si>
    <t>A_7500010</t>
  </si>
  <si>
    <t>Interest Exp - Allow for Borrowed Funds AFUDC Debt</t>
  </si>
  <si>
    <t>A_7500015</t>
  </si>
  <si>
    <t>Capitalized AFUDC Debt</t>
  </si>
  <si>
    <t>A_7500030</t>
  </si>
  <si>
    <t>Interest Exp - Customer Deposits</t>
  </si>
  <si>
    <t>A_7500060</t>
  </si>
  <si>
    <t>Interest Exp - Financing Lease</t>
  </si>
  <si>
    <t>A_7500080</t>
  </si>
  <si>
    <t>Interest Exp - Credit Facilities</t>
  </si>
  <si>
    <t>A_7500090</t>
  </si>
  <si>
    <t>A_7500110</t>
  </si>
  <si>
    <t>Interest Exp - Long-term Debt</t>
  </si>
  <si>
    <t>A_7500120</t>
  </si>
  <si>
    <t>A_7500130</t>
  </si>
  <si>
    <t>Interest Exp - Amortiz of Fees on Long-term Debt</t>
  </si>
  <si>
    <t>A_7500230</t>
  </si>
  <si>
    <t>Interest Exp - Defd Capacity Clause</t>
  </si>
  <si>
    <t>A_7500240</t>
  </si>
  <si>
    <t>Interest Exp - Defd Conservation Clause</t>
  </si>
  <si>
    <t>A_7500250</t>
  </si>
  <si>
    <t>Interest Exp - Defd Environmental Clause</t>
  </si>
  <si>
    <t>A_7500290</t>
  </si>
  <si>
    <t>A_7500800</t>
  </si>
  <si>
    <t>Interest Exp - Miscellaneous</t>
  </si>
  <si>
    <t>A_7509000</t>
  </si>
  <si>
    <t>Interest Expense sent to Balance Sheet</t>
  </si>
  <si>
    <t>A_8000300</t>
  </si>
  <si>
    <t>Federal Income Tax Expense</t>
  </si>
  <si>
    <t>A_8000310</t>
  </si>
  <si>
    <t>Federal Income Tax Expense - Above Line</t>
  </si>
  <si>
    <t>A_8000400</t>
  </si>
  <si>
    <t>State Income Tax Expense</t>
  </si>
  <si>
    <t>A_8000410</t>
  </si>
  <si>
    <t>State Income Tax Expense - Above Line</t>
  </si>
  <si>
    <t>A_8010300</t>
  </si>
  <si>
    <t>Deferred Federal Income Tax Exp</t>
  </si>
  <si>
    <t>A_8010305</t>
  </si>
  <si>
    <t>Deferred Federal Income Tax Exp - Non-Utility</t>
  </si>
  <si>
    <t>A_8010310</t>
  </si>
  <si>
    <t>Deferred Federal Income Tax Exp - Cr</t>
  </si>
  <si>
    <t>A_8010315</t>
  </si>
  <si>
    <t>Deferred Federal Income Tax Exp - Cr Non-Utility</t>
  </si>
  <si>
    <t>A_8010320</t>
  </si>
  <si>
    <t>A_8010330</t>
  </si>
  <si>
    <t>DIT Federal Accelerated Amortization Property - Cr</t>
  </si>
  <si>
    <t>A_8010400</t>
  </si>
  <si>
    <t>Deferred State Income Tax Exp</t>
  </si>
  <si>
    <t>A_8010410</t>
  </si>
  <si>
    <t>Deferred State Income Tax Exp - Cr</t>
  </si>
  <si>
    <t>A_8010415</t>
  </si>
  <si>
    <t>Deferred State Income Tax Exp - Cr Non-Utility</t>
  </si>
  <si>
    <t>A_8010420</t>
  </si>
  <si>
    <t>A_8010430</t>
  </si>
  <si>
    <t>DIT State Accelerated Amortization Property - Cr</t>
  </si>
  <si>
    <t>A_8010600</t>
  </si>
  <si>
    <t>Investment Tax Credit Amort - Utility</t>
  </si>
  <si>
    <t>A_8010610</t>
  </si>
  <si>
    <t>Investment Tax Credit Amort - Non Utility</t>
  </si>
  <si>
    <t>A_8900140</t>
  </si>
  <si>
    <t>FICO Reconciliation - O&amp;M Expense</t>
  </si>
  <si>
    <t>A_8900170</t>
  </si>
  <si>
    <t>FICO Reconciliation - Taxes other than Income</t>
  </si>
  <si>
    <t>A_8900180</t>
  </si>
  <si>
    <t>FICO Reconciliation - Other Income/Expense</t>
  </si>
  <si>
    <t>A_8903001</t>
  </si>
  <si>
    <t>A_8903002</t>
  </si>
  <si>
    <t>A_8903003</t>
  </si>
  <si>
    <t>A_8903004</t>
  </si>
  <si>
    <t>A_8903005</t>
  </si>
  <si>
    <t>A_8903006</t>
  </si>
  <si>
    <t>A_8903007</t>
  </si>
  <si>
    <t>A_8903008</t>
  </si>
  <si>
    <t>FICO Reconciliation - HR Empl Relations Allocation</t>
  </si>
  <si>
    <t>A_8903009</t>
  </si>
  <si>
    <t>FICO Reconciliation - Emergency Mgmt Allocation</t>
  </si>
  <si>
    <t>A_8903011</t>
  </si>
  <si>
    <t>FICO Reconciliation - Accounts Payable Allocation</t>
  </si>
  <si>
    <t>A_8903012</t>
  </si>
  <si>
    <t>FICO Reconciliation - Claims Allocation</t>
  </si>
  <si>
    <t>Income Statement Accounts</t>
  </si>
  <si>
    <t>Balance Sheet Accounts</t>
  </si>
  <si>
    <t>Month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</si>
  <si>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</si>
  <si>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</si>
  <si>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</si>
  <si>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</si>
  <si>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</si>
  <si>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</si>
  <si>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</si>
  <si>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</si>
  <si>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</si>
  <si>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</si>
  <si>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</si>
  <si>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</si>
  <si>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Util Plant In Svc Classified</t>
  </si>
  <si>
    <t>Electric Plant Purchased or Sold</t>
  </si>
  <si>
    <t>Property Held For Future Use</t>
  </si>
  <si>
    <t>Util Plant In Svc Not Classif</t>
  </si>
  <si>
    <t>Construction Work In Progress</t>
  </si>
  <si>
    <t>Accumulated Depreciation</t>
  </si>
  <si>
    <t>Accumulated Amortization</t>
  </si>
  <si>
    <t>Acquisition Adjustment</t>
  </si>
  <si>
    <t>Non-Utility Property</t>
  </si>
  <si>
    <t>Accum Depr Non-Utility Prop</t>
  </si>
  <si>
    <t>Investment In Assoc Company</t>
  </si>
  <si>
    <t>Advance- RTO</t>
  </si>
  <si>
    <t xml:space="preserve">OTHER SPECIAL FUNDS                                         </t>
  </si>
  <si>
    <t>Special Funds (Restricted cash)</t>
  </si>
  <si>
    <t>Cash</t>
  </si>
  <si>
    <t>Working Fund</t>
  </si>
  <si>
    <t>Temporary Investments</t>
  </si>
  <si>
    <t>Notes Receivable</t>
  </si>
  <si>
    <t>Customer Receivables</t>
  </si>
  <si>
    <t>Total  Accounts Receivable</t>
  </si>
  <si>
    <t>Accum Prov Uncollect Accts</t>
  </si>
  <si>
    <t>Accts Receivable-Assoc Co &amp; Others</t>
  </si>
  <si>
    <t>Fuel Stock</t>
  </si>
  <si>
    <t>Fuel Stock Expense</t>
  </si>
  <si>
    <t>Residuals</t>
  </si>
  <si>
    <t>Materials &amp; Supplies (153, 154)</t>
  </si>
  <si>
    <t>CAAA Allowances</t>
  </si>
  <si>
    <t>Stores Clearing</t>
  </si>
  <si>
    <t>Prepayments</t>
  </si>
  <si>
    <t>Interest Receivable</t>
  </si>
  <si>
    <t>Unbilled Revenue Rec (17301,17303 GTE)</t>
  </si>
  <si>
    <t>Derivative</t>
  </si>
  <si>
    <t>Unamortized Debt Expense</t>
  </si>
  <si>
    <t>Regulatory Assets</t>
  </si>
  <si>
    <t>Preliminary Survey &amp; Investigation</t>
  </si>
  <si>
    <t>Clearing Accounts</t>
  </si>
  <si>
    <t>Deferred Debits</t>
  </si>
  <si>
    <t>Deferred Income Taxes</t>
  </si>
  <si>
    <t>Common Stock</t>
  </si>
  <si>
    <t>End Bal Misc Paid In Capital</t>
  </si>
  <si>
    <t>Unappropr Retained Earnings</t>
  </si>
  <si>
    <t xml:space="preserve"> OCI - Derivative</t>
  </si>
  <si>
    <t>Bonds Payable</t>
  </si>
  <si>
    <t>Unamortized Bond Premium</t>
  </si>
  <si>
    <t>Unamortized Bond Discount</t>
  </si>
  <si>
    <t>Misc Current Liabilities</t>
  </si>
  <si>
    <t>Asset Retirement Obligation</t>
  </si>
  <si>
    <t>Notes Payable</t>
  </si>
  <si>
    <t>Accounts Payable</t>
  </si>
  <si>
    <t xml:space="preserve">Notes Payable - Intercompany </t>
  </si>
  <si>
    <t>Accts Payable-Assoc Co</t>
  </si>
  <si>
    <t>Accrued Taxes</t>
  </si>
  <si>
    <t>Interest Accrued</t>
  </si>
  <si>
    <t>Dividends Payable</t>
  </si>
  <si>
    <t>Tax Collections Payable</t>
  </si>
  <si>
    <t>Current &amp; Accrued Liabilities</t>
  </si>
  <si>
    <t xml:space="preserve">Short-term Lease Liability - Operating Lease </t>
  </si>
  <si>
    <t>Sales Taxes</t>
  </si>
  <si>
    <t>Other Deferred Credits</t>
  </si>
  <si>
    <t>Regulatory Liabilities</t>
  </si>
  <si>
    <t>Deferred ITC</t>
  </si>
  <si>
    <t>Deferred Credit PHFFU</t>
  </si>
  <si>
    <t>Unamortized Gain on LTD</t>
  </si>
  <si>
    <t>Accumulated Deferred Taxes</t>
  </si>
  <si>
    <t xml:space="preserve">NET INCOME FOR PERIOD                                       </t>
  </si>
  <si>
    <t>Account Number</t>
  </si>
  <si>
    <t>Total Assets</t>
  </si>
  <si>
    <t>Total Liabilities</t>
  </si>
  <si>
    <t>Previous December</t>
  </si>
  <si>
    <t>Check</t>
  </si>
  <si>
    <t>Balance Sheet Accounts check (Assets)</t>
  </si>
  <si>
    <t>Balance Sheet Accounts check (Liabilities)</t>
  </si>
  <si>
    <t>Prod</t>
  </si>
  <si>
    <t xml:space="preserve">OPERATION SUPERVISION &amp; ENGINEERING                         </t>
  </si>
  <si>
    <t>Fuel</t>
  </si>
  <si>
    <t xml:space="preserve">FUEL                                                        </t>
  </si>
  <si>
    <t xml:space="preserve">STEAM EXPENSES                                              </t>
  </si>
  <si>
    <t xml:space="preserve">STEAM TRANSFERRED-CREDIT-OPERATION                          </t>
  </si>
  <si>
    <t xml:space="preserve">ELECTRIC EXPENSES                                           </t>
  </si>
  <si>
    <t xml:space="preserve">MISC STEAM POWER EXPENSES                                   </t>
  </si>
  <si>
    <t xml:space="preserve">RENTS                                                       </t>
  </si>
  <si>
    <t xml:space="preserve">ALLOWANCES-OPERATION                                        </t>
  </si>
  <si>
    <t xml:space="preserve">MAINTENANCE SUPERVISION &amp; ENGINEERING                       </t>
  </si>
  <si>
    <t xml:space="preserve">MAINTENANCE OF STRUCTURES                                   </t>
  </si>
  <si>
    <t xml:space="preserve">MAINTENANCE OF BOILER PLANT                                 </t>
  </si>
  <si>
    <t xml:space="preserve">MAINTENANCE OF ELECTRIC PLANT                               </t>
  </si>
  <si>
    <t xml:space="preserve">MAINTENANCE OF MISC STEAM PLANT                             </t>
  </si>
  <si>
    <t xml:space="preserve">OPERATION SUPERVISION &amp; ENGINEERING-OPERATION               </t>
  </si>
  <si>
    <t xml:space="preserve">GENERATION EXPENSES                                         </t>
  </si>
  <si>
    <t xml:space="preserve">MISC OTHER POWER GENERATION EXPENSES                        </t>
  </si>
  <si>
    <t xml:space="preserve">RENTS-OPERATION                                             </t>
  </si>
  <si>
    <t xml:space="preserve">MAINTENANCE SUPERVISION &amp; ENGINEERING-MAINTENANCE           </t>
  </si>
  <si>
    <t xml:space="preserve">MAINT OF GENERATION AND ELECTRIC EQP                        </t>
  </si>
  <si>
    <t xml:space="preserve">MAINT OF MISC OTHER POWER GENERATION                        </t>
  </si>
  <si>
    <t xml:space="preserve">PURCHASED POWER                                             </t>
  </si>
  <si>
    <t xml:space="preserve">SYSTEM CONTROL &amp; LOAD DISPATCHING-OTHER                     </t>
  </si>
  <si>
    <t xml:space="preserve">OTHER EXPENSES-OTHER                                        </t>
  </si>
  <si>
    <t>Transm</t>
  </si>
  <si>
    <t xml:space="preserve">OPERATION SUPERVISION AND ENGINEERNG                        </t>
  </si>
  <si>
    <t xml:space="preserve">LOAD DISPATCHING                                            </t>
  </si>
  <si>
    <t xml:space="preserve">STATION EXPENSES                                            </t>
  </si>
  <si>
    <t xml:space="preserve">OVERHEAD LINE EXPENSES                                      </t>
  </si>
  <si>
    <t xml:space="preserve">UNDERGROUNG LINE EXPENSES                                   </t>
  </si>
  <si>
    <t xml:space="preserve">TRANSMISSION OF ELECTRICITY BY OTHERS-OPERATION             </t>
  </si>
  <si>
    <t xml:space="preserve">MISC TRANSMISSION EXPENSES                                  </t>
  </si>
  <si>
    <t xml:space="preserve">MAINTENANCE SUPERVISION &amp; ENGINEERNG                        </t>
  </si>
  <si>
    <t xml:space="preserve">MAINTENANCE OF STATION EQUIPMENT                            </t>
  </si>
  <si>
    <t xml:space="preserve">MAINTENANCE OF OVERHEAD LINES                               </t>
  </si>
  <si>
    <t xml:space="preserve">MAINTENANCE OF UNDERGROUND LINES                            </t>
  </si>
  <si>
    <t xml:space="preserve">MAINT OF MISC TRANSMISSION PLANT                            </t>
  </si>
  <si>
    <t xml:space="preserve">DESCRIPTION UNKNOWN                                         </t>
  </si>
  <si>
    <t>Dist</t>
  </si>
  <si>
    <t xml:space="preserve">UNDERGROUND LINE EXPENSES                                   </t>
  </si>
  <si>
    <t xml:space="preserve">STREET LIGHTING &amp; SIGNAL SYS EXPENSES                       </t>
  </si>
  <si>
    <t xml:space="preserve">METER EXPENSES                                              </t>
  </si>
  <si>
    <t xml:space="preserve">CUSTOMER INSTALLATION EXPENSES                              </t>
  </si>
  <si>
    <t xml:space="preserve">MISC DISTRIBUTION EXPENSES                                  </t>
  </si>
  <si>
    <t xml:space="preserve">MAINT SUPERVISION &amp; ENGINEERING                             </t>
  </si>
  <si>
    <t xml:space="preserve">MAINTENANCE OF LINE TRANSFORMERS                            </t>
  </si>
  <si>
    <t xml:space="preserve">MAINT OF STREET LIGHTING &amp; SIGNAL SYS                       </t>
  </si>
  <si>
    <t xml:space="preserve">MAINTENANCE OF METERS                                       </t>
  </si>
  <si>
    <t xml:space="preserve">MAINT OF MISC DISTRIBUTION PLANT                            </t>
  </si>
  <si>
    <t>Total Labor &amp; Non Labor</t>
  </si>
  <si>
    <t>All</t>
  </si>
  <si>
    <t>4073051</t>
  </si>
  <si>
    <t>REG DR Defd Environmental  - Amortization</t>
  </si>
  <si>
    <t>4074050</t>
  </si>
  <si>
    <t>REG CR Defd Environmental</t>
  </si>
  <si>
    <t>4074040</t>
  </si>
  <si>
    <t>REG CR Defd Conservation - Elec</t>
  </si>
  <si>
    <t>4074090</t>
  </si>
  <si>
    <t>REG CR Defd SPPCRC</t>
  </si>
  <si>
    <t>FERC 431 adjust</t>
  </si>
  <si>
    <t>N/A</t>
  </si>
  <si>
    <t>Check Data</t>
  </si>
  <si>
    <t>500s FERC Accounts</t>
  </si>
  <si>
    <t xml:space="preserve">SUPERVISION                                                 </t>
  </si>
  <si>
    <t xml:space="preserve">METER READING EXPENSES                                      </t>
  </si>
  <si>
    <t xml:space="preserve">CUSTOMER RECORDS                                            </t>
  </si>
  <si>
    <t xml:space="preserve">UNCOLLECTIBLE ACCOUNTS                                      </t>
  </si>
  <si>
    <t xml:space="preserve">CUSTOMER ASSISTANCE EXPENSES                                </t>
  </si>
  <si>
    <t xml:space="preserve">INFORMATION &amp; INSTRUCTION ADVERTISE EX                      </t>
  </si>
  <si>
    <t xml:space="preserve">SUPERVISION-SALES ACTVITIES                                 </t>
  </si>
  <si>
    <t xml:space="preserve">DEMONSTRATION &amp; SELLING EXPENSES                            </t>
  </si>
  <si>
    <t xml:space="preserve">ADVERTISING EXPENSES                                        </t>
  </si>
  <si>
    <t xml:space="preserve">MISCELLANEOUS SALES EXPENSES                                </t>
  </si>
  <si>
    <t>A&amp;G</t>
  </si>
  <si>
    <t xml:space="preserve">ADMIN &amp; GENERAL SALARIES                                    </t>
  </si>
  <si>
    <t xml:space="preserve">OFFICE SUPPLIES AND EXPENSES                                </t>
  </si>
  <si>
    <t xml:space="preserve">ADMIN EXP TRANSFERRED-CREDIT                                </t>
  </si>
  <si>
    <t xml:space="preserve">OUTSIDE SERVICES EMPLOYED                                   </t>
  </si>
  <si>
    <t xml:space="preserve">PROPERTY INSURANCE                                          </t>
  </si>
  <si>
    <t xml:space="preserve">INJURIES &amp; DAMAGES                                          </t>
  </si>
  <si>
    <t xml:space="preserve">EMPLOYEE PENSION &amp; BENEFITS                                 </t>
  </si>
  <si>
    <t xml:space="preserve">REGULATORY COMMISSION EXPENSES                              </t>
  </si>
  <si>
    <t xml:space="preserve">FRINGE ALLOCATION                                           </t>
  </si>
  <si>
    <t xml:space="preserve">GENERAL ADVERTISING EXPENSES                                </t>
  </si>
  <si>
    <t xml:space="preserve">MAINTENANCE OF GENERAL PLANT                                </t>
  </si>
  <si>
    <t>900s FERC Accounts</t>
  </si>
  <si>
    <t>Production</t>
  </si>
  <si>
    <t>Transmission</t>
  </si>
  <si>
    <t>Distribution</t>
  </si>
  <si>
    <t>ANNUAL STATUS REPORT</t>
  </si>
  <si>
    <t>PLANT</t>
  </si>
  <si>
    <t>RESERVE</t>
  </si>
  <si>
    <t>Additions</t>
  </si>
  <si>
    <t>Retirements</t>
  </si>
  <si>
    <t>Adj / Xfers</t>
  </si>
  <si>
    <t>Depreciation</t>
  </si>
  <si>
    <t>Gross COR</t>
  </si>
  <si>
    <t>Gross Salv</t>
  </si>
  <si>
    <t>Depr</t>
  </si>
  <si>
    <t>3 digit</t>
  </si>
  <si>
    <t>Functional
Roll</t>
  </si>
  <si>
    <t>Account</t>
  </si>
  <si>
    <t>PowerPlant Depr Group</t>
  </si>
  <si>
    <t>BOP</t>
  </si>
  <si>
    <t>EOP</t>
  </si>
  <si>
    <t>13-mth Avg</t>
  </si>
  <si>
    <t>Rate</t>
  </si>
  <si>
    <t>303.00 Misc Intangible Plant 5yr</t>
  </si>
  <si>
    <t>303.01 SAP Intangible Plant 10yr</t>
  </si>
  <si>
    <t>303.99 Intangible Software Solar</t>
  </si>
  <si>
    <t>310.01 Land &amp; Land Rights-Misc</t>
  </si>
  <si>
    <t>310.40 Land &amp; Land Rights-BBCM</t>
  </si>
  <si>
    <t>311.01 Str &amp; Improvements-Misc</t>
  </si>
  <si>
    <t>311.30 Str &amp; Improvements-BPC</t>
  </si>
  <si>
    <t>311.40 Str &amp; Improvements-BBCM</t>
  </si>
  <si>
    <t>311.41 Str &amp; Improvements-BB1</t>
  </si>
  <si>
    <t>311.42 Str &amp; Improvements-BB2</t>
  </si>
  <si>
    <t>311.43 Str &amp; Improvements-BB3</t>
  </si>
  <si>
    <t>311.44 Str &amp; Improve-BB4 MAIN STT</t>
  </si>
  <si>
    <t>311.45 Str &amp; Improvements-BB3&amp;4 FGD</t>
  </si>
  <si>
    <t>311.46 Str &amp; Improve-BB1&amp;2 FGD</t>
  </si>
  <si>
    <t>311.51 Str &amp; Improve-BB1 SCR</t>
  </si>
  <si>
    <t>311.52 Str &amp; Improve-BB2 SCR</t>
  </si>
  <si>
    <t>311.53 Str &amp; Improve-BB3 SCR</t>
  </si>
  <si>
    <t>311.54 Str &amp; Improve-BB4 SCR</t>
  </si>
  <si>
    <t>312.40 Boiler Plant Eq-BBCM</t>
  </si>
  <si>
    <t>312.41 Boiler Plant Eq-BB1</t>
  </si>
  <si>
    <t>312.42 Boiler Plant Eq-BB2</t>
  </si>
  <si>
    <t>312.43 Boiler Plant Eq-BB3</t>
  </si>
  <si>
    <t>312.44 Boiler Plant Eq-BB4 MAIN STT</t>
  </si>
  <si>
    <t>312.45 Boiler Plant Eq-BB3&amp;4 FGD</t>
  </si>
  <si>
    <t>312.46 Boiler Plant Eq-BB1&amp;2 FGD</t>
  </si>
  <si>
    <t>312.51 Boiler Plant Eq-BB1 SCR</t>
  </si>
  <si>
    <t>312.52 Boiler Plant Eq-BB2 SCR</t>
  </si>
  <si>
    <t>312.53 Boiler Plant Eq-BB3 SCR</t>
  </si>
  <si>
    <t>312.54 Boiler Plant Eq-BB4 SCR</t>
  </si>
  <si>
    <t>314.40 Turbogenerator Units-BBCM</t>
  </si>
  <si>
    <t>314.41 Turbogenerator Units-BB1</t>
  </si>
  <si>
    <t>314.42 Turbogenerator Units-BB2</t>
  </si>
  <si>
    <t>314.43 Turbogenerator Units-BB3</t>
  </si>
  <si>
    <t>314.44 Turbogen Units-BB4 MAIN STT</t>
  </si>
  <si>
    <t>315.40 Accessory Electric Eq-BBCM</t>
  </si>
  <si>
    <t>315.41 Accessory Electric Eq-BB1</t>
  </si>
  <si>
    <t>315.42 Accessory Electric Eq-BB2</t>
  </si>
  <si>
    <t>315.43 Accessory Electric Eq-BB3</t>
  </si>
  <si>
    <t>315.44 Access Elect Eq-BB4 MAIN STT</t>
  </si>
  <si>
    <t>315.45 Accessory Elect Eq-BB3&amp;4 FGD</t>
  </si>
  <si>
    <t>315.46 Accessory Elect Eq-BB1&amp;2 FGD</t>
  </si>
  <si>
    <t>315.51 Accessory Elect Eq-BB1 SCR</t>
  </si>
  <si>
    <t>315.52 Accessory Elect Eq-BB2 SCR</t>
  </si>
  <si>
    <t>315.53 Accessory Elect Eq-BB3 SCR</t>
  </si>
  <si>
    <t>315.54 Accessory Elect Eq-BB4 SCR</t>
  </si>
  <si>
    <t>316.01 Misc Power Plant Equip</t>
  </si>
  <si>
    <t>316.17 Tools Misc Supply 7yr</t>
  </si>
  <si>
    <t>316.30 Misc Power Plant Eq-BPC</t>
  </si>
  <si>
    <t>316.40 Misc Power Plant Eq-BBCM</t>
  </si>
  <si>
    <t>316.41 Misc Power Plant Eq-BB1</t>
  </si>
  <si>
    <t>316.42 Misc Power Plant Eq-BB2</t>
  </si>
  <si>
    <t>316.43 Misc Power Plant Eq-BB3</t>
  </si>
  <si>
    <t>316.44 Misc Pwr Plt Eq-BB 4 MAIN ST</t>
  </si>
  <si>
    <t>316.45 Misc Power Plant Eq-BB3&amp;4FGD</t>
  </si>
  <si>
    <t>316.46 Misc Power Plt Eq-BB1&amp;2 FGD</t>
  </si>
  <si>
    <t>316.47 Tools Big Bend 7yr</t>
  </si>
  <si>
    <t>316.51 Misc Power Plt Eq-BB1 SCR</t>
  </si>
  <si>
    <t>316.52 Misc Power Plt Eq-BB2 SCR</t>
  </si>
  <si>
    <t>316.53 Misc Power Plt Eq-BB3 SCR</t>
  </si>
  <si>
    <t>316.54 Misc Power Plt Eq-BB4 SCR</t>
  </si>
  <si>
    <t>317.00 ARO Costs-Steam</t>
  </si>
  <si>
    <t>340.28 Land &amp; Land Rights-Phillips</t>
  </si>
  <si>
    <t>340.30 Land &amp; Land Rights-BPC</t>
  </si>
  <si>
    <t>340.81 Land &amp; Land Rights-Polk U1</t>
  </si>
  <si>
    <t>340.99 Land &amp; Land Rights-Solar</t>
  </si>
  <si>
    <t>341.28 Str and Improve-Phillips</t>
  </si>
  <si>
    <t>341.30 Str and Improvements-BPC</t>
  </si>
  <si>
    <t>341.31 Str and Improvements-BP1</t>
  </si>
  <si>
    <t>341.32 Str and Improvements-BP2</t>
  </si>
  <si>
    <t>341.33 Str and Improvements-BP3</t>
  </si>
  <si>
    <t>341.34 Str and Improvements-BP4</t>
  </si>
  <si>
    <t>341.35 Str and Improvements-BP5</t>
  </si>
  <si>
    <t>341.36 Str and Improvements-BP6</t>
  </si>
  <si>
    <t>341.41 Str and Improvements-BBCT1</t>
  </si>
  <si>
    <t>341.44 Str and Improvements-BBCT4</t>
  </si>
  <si>
    <t>341.80 Str and Improve-Polk Comm</t>
  </si>
  <si>
    <t>341.81 Str and Improvements-Polk U1</t>
  </si>
  <si>
    <t>341.82 Str and Improvements-Polk U2</t>
  </si>
  <si>
    <t>341.83 Str and Improvements-Polk U3</t>
  </si>
  <si>
    <t>341.84 Str and Improvements-Polk U4</t>
  </si>
  <si>
    <t>341.85 Str and Improvements-Polk U5</t>
  </si>
  <si>
    <t>341.86 Str and Improvements-PKCCST</t>
  </si>
  <si>
    <t>341.99 Str and Improvements-Solar</t>
  </si>
  <si>
    <t>342.28 FuelHolders,ProdAcc-Phillips</t>
  </si>
  <si>
    <t>342.30 Fuel Holders,Prod Acc-BPC</t>
  </si>
  <si>
    <t>342.31 Fuel Holders,Prod Acc-BP1</t>
  </si>
  <si>
    <t>342.32 Fuel Holders,Prod Acc-BP2</t>
  </si>
  <si>
    <t>342.33 Fuel Holders,Prod Acc-BP3</t>
  </si>
  <si>
    <t>342.34 Fuel Holders,Prod Acc-BP4</t>
  </si>
  <si>
    <t>342.35 Fuel Holders,Prod Acc-BP5</t>
  </si>
  <si>
    <t>342.36 Fuel Holders,Prod Acc-BP6</t>
  </si>
  <si>
    <t>342.41 Fuel Holders,Prod Acc-BBCT1</t>
  </si>
  <si>
    <t>342.44 Fuel Holders,Prod Acc-BBCT4</t>
  </si>
  <si>
    <t>342.80 Fuel Holders,Prod Acc-Polk C</t>
  </si>
  <si>
    <t>342.81 Fuel Holders,Prod Acc-Polk 1</t>
  </si>
  <si>
    <t>342.82 Fuel Holders,Prod Acc-Polk 2</t>
  </si>
  <si>
    <t>342.83 Fuel Holders,Prod Acc-Polk 3</t>
  </si>
  <si>
    <t>342.84 Fuel Holders,Prod Acc-Polk 4</t>
  </si>
  <si>
    <t>342.85 Fuel Holders,Prod Acc-Polk 5</t>
  </si>
  <si>
    <t>342.86 Fuel Holders,Prod Acc-PKCCST</t>
  </si>
  <si>
    <t>342.87 Fuel Clause Polk 1</t>
  </si>
  <si>
    <t>343.28 Prime Movers-Phillips</t>
  </si>
  <si>
    <t>343.30 Prime Movers-BPC</t>
  </si>
  <si>
    <t>343.31 Prime Movers-BP1</t>
  </si>
  <si>
    <t>343.32 Prime Movers-BP2</t>
  </si>
  <si>
    <t>343.33 Prime Movers-BP3</t>
  </si>
  <si>
    <t>343.34 Prime Movers-BP4</t>
  </si>
  <si>
    <t>343.35 Prime Movers-BP5</t>
  </si>
  <si>
    <t>343.36 Prime Movers-BP6</t>
  </si>
  <si>
    <t>343.42 Prime Movers-BBCT2&amp;3</t>
  </si>
  <si>
    <t>343.44 Prime Movers-BBCT4</t>
  </si>
  <si>
    <t>343.45 Prime Movers-BBCT5</t>
  </si>
  <si>
    <t>343.46 Prime Movers-BBCT6</t>
  </si>
  <si>
    <t>343.80 Prime Movers-Polk Common</t>
  </si>
  <si>
    <t>343.81 Prime Movers-Polk U1</t>
  </si>
  <si>
    <t>343.82 Prime Movers-Polk U2</t>
  </si>
  <si>
    <t>343.83 Prime Movers-Polk U3</t>
  </si>
  <si>
    <t>343.84 Prime Movers-Polk U4</t>
  </si>
  <si>
    <t>343.85 Prime Movers-Polk U5</t>
  </si>
  <si>
    <t>343.86 Prime Movers-PKCCST</t>
  </si>
  <si>
    <t>343.90 Prime Movers-Tampa Biosolids</t>
  </si>
  <si>
    <t>343.99 Prime Movers-Solar</t>
  </si>
  <si>
    <t>345.28 Accessory Elect Eq-Phillips</t>
  </si>
  <si>
    <t>345.30 Accessory Electric Eq-BPC</t>
  </si>
  <si>
    <t>345.31 Accessory Electric Eq-BP1</t>
  </si>
  <si>
    <t>345.32 Accessory Electric Eq-BP2</t>
  </si>
  <si>
    <t>345.33 Accessory Electric Eq-BP3</t>
  </si>
  <si>
    <t>345.34 Accessory Electric Eq-BP4</t>
  </si>
  <si>
    <t>345.35 Accessory Electric Eq-BP5</t>
  </si>
  <si>
    <t>345.36 Accessory Electric Eq-BP6</t>
  </si>
  <si>
    <t>345.41 Accessory Electric Eq-BBCT1</t>
  </si>
  <si>
    <t>345.44 Accessory Electric Eq-BBCT4</t>
  </si>
  <si>
    <t>345.80 Accessory Elect Eq-Polk Comm</t>
  </si>
  <si>
    <t>345.81 Accessory Elect Eq-Polk U1</t>
  </si>
  <si>
    <t>345.82 Accessory Elect Eq-Polk U2</t>
  </si>
  <si>
    <t>345.83 Accessory Elect Eq-Polk U3</t>
  </si>
  <si>
    <t>345.84 Accessory Elect Eq-Polk U4</t>
  </si>
  <si>
    <t>345.85 Accessory Elect Eq-Polk U5</t>
  </si>
  <si>
    <t>345.86 Accessory Elect Eq-PKCCST</t>
  </si>
  <si>
    <t>345.99 Accessory Elect Eq-Solar</t>
  </si>
  <si>
    <t>346.28 Misc Power Plant Eq-Phillips</t>
  </si>
  <si>
    <t>346.30 Misc Power Plant Eq-BPC</t>
  </si>
  <si>
    <t>346.31 Misc Power Plant Eq-BP1</t>
  </si>
  <si>
    <t>346.32 Misc Power Plant Eq-BP2</t>
  </si>
  <si>
    <t>346.33 Misc Power Plant Eq-BP3</t>
  </si>
  <si>
    <t>346.34 Misc Power Plant Eq-BP4</t>
  </si>
  <si>
    <t>346.35 Misc Power Plant Eq-BP5</t>
  </si>
  <si>
    <t>346.36 Misc Power Plant Eq-BP6</t>
  </si>
  <si>
    <t>346.37 Tools Bayside 7yr</t>
  </si>
  <si>
    <t>346.44 Misc Power Plant Eq-BBCT4</t>
  </si>
  <si>
    <t>346.80 Misc Power Plt Eq-Polk Comm</t>
  </si>
  <si>
    <t>346.81 Misc Power Plant Eq-Polk U1</t>
  </si>
  <si>
    <t>346.82 Misc Power Plant Eq-Polk U2</t>
  </si>
  <si>
    <t>346.83 Misc Power Plant Eq-Polk U3</t>
  </si>
  <si>
    <t>346.84 Misc Power Plant Eq-Polk U4</t>
  </si>
  <si>
    <t>346.85 Misc Power Plant Eq-Polk U5</t>
  </si>
  <si>
    <t>346.86 Misc Power Plant Eq-PKCCST</t>
  </si>
  <si>
    <t>346.87 Tools Polk 7yr</t>
  </si>
  <si>
    <t>347.00 ARO Costs-Other</t>
  </si>
  <si>
    <t>348.99 Energy Storage Battery Equip</t>
  </si>
  <si>
    <t>350.00 Land</t>
  </si>
  <si>
    <t>350.01 Land Rights</t>
  </si>
  <si>
    <t>352.00 STR and Improvements</t>
  </si>
  <si>
    <t>353.00 Station Equipment</t>
  </si>
  <si>
    <t>354.00 Towers &amp; Fixtures</t>
  </si>
  <si>
    <t>355.00 Poles and Fixtures</t>
  </si>
  <si>
    <t>356.00 OH Cond and Devices</t>
  </si>
  <si>
    <t>356.01 Clearing Rights of Way</t>
  </si>
  <si>
    <t>357.00 Underground Conduit</t>
  </si>
  <si>
    <t>358.00 UG Conductors &amp; Devices</t>
  </si>
  <si>
    <t>359.00 Roads and Trails</t>
  </si>
  <si>
    <t>360.00 Land</t>
  </si>
  <si>
    <t>361.00 Structures &amp; Improvements</t>
  </si>
  <si>
    <t>362.00 Station Equipment</t>
  </si>
  <si>
    <t>364.00 Poles, Towers &amp; Fixtures</t>
  </si>
  <si>
    <t>365.00 OH Conductors &amp; Devices</t>
  </si>
  <si>
    <t>366.00 UG Conduit &amp; Others</t>
  </si>
  <si>
    <t>367.00 UG Conductors &amp; Devices</t>
  </si>
  <si>
    <t>369.00 Services - OH</t>
  </si>
  <si>
    <t>369.02 Services - UG</t>
  </si>
  <si>
    <t>370.00 Meters - Analog &amp; AMR</t>
  </si>
  <si>
    <t>370.01 Meters - AMI</t>
  </si>
  <si>
    <t>371.01 Contracted Battery Storage</t>
  </si>
  <si>
    <t>371.02 Backup Power as a Service</t>
  </si>
  <si>
    <t>371.03 Solar as a Service</t>
  </si>
  <si>
    <t>371.04 EV Vehicles</t>
  </si>
  <si>
    <t>373.00 Street Light &amp; Signal Sys</t>
  </si>
  <si>
    <t>373.02 LS2 Lighting</t>
  </si>
  <si>
    <t>374.00 ARO Costs-Distribution</t>
  </si>
  <si>
    <t>389.00 Land &amp; Land Rights</t>
  </si>
  <si>
    <t>390.00 Structures &amp; Improvements</t>
  </si>
  <si>
    <t>391.01 Office Fur, Fixt &amp; Equip 7yr</t>
  </si>
  <si>
    <t>391.02 Computer &amp; Perph Equip 4yr</t>
  </si>
  <si>
    <t>391.03 Data Handling Equip 7yr</t>
  </si>
  <si>
    <t>391.04 Computer Hardw-Mainframe 5yr</t>
  </si>
  <si>
    <t>392.02 ED Trans Equip - L Vehicle</t>
  </si>
  <si>
    <t>392.03 ED Trans Equip - H Vehicle</t>
  </si>
  <si>
    <t>392.04 ED Trans Equip - M Vehicle</t>
  </si>
  <si>
    <t>392.12 ES Trans Equip - L Vehicle</t>
  </si>
  <si>
    <t>392.13 ES Trans Equip - H Vehicle</t>
  </si>
  <si>
    <t>392.14 ES Trans Equip - M Vehicle</t>
  </si>
  <si>
    <t>393.00 Stores Equipment 7yr</t>
  </si>
  <si>
    <t>394.00 Tool Shop &amp; Garage Equip 7yr</t>
  </si>
  <si>
    <t>395.00 Laboratory Equipment 7yr</t>
  </si>
  <si>
    <t>396.00 Power Operated Equipment 7yr</t>
  </si>
  <si>
    <t>397.00 Communication Equipment 7yr</t>
  </si>
  <si>
    <t>397.25 Fiber Optic</t>
  </si>
  <si>
    <t>398.00 Miscellaneous Equipment 7yr</t>
  </si>
  <si>
    <t>399.10 ARO Costs-General</t>
  </si>
  <si>
    <t>SOFT</t>
  </si>
  <si>
    <t>ARO</t>
  </si>
  <si>
    <t>Trans</t>
  </si>
  <si>
    <t>360</t>
  </si>
  <si>
    <t>Distri</t>
  </si>
  <si>
    <t>361</t>
  </si>
  <si>
    <t>362</t>
  </si>
  <si>
    <t>364</t>
  </si>
  <si>
    <t>365</t>
  </si>
  <si>
    <t>366</t>
  </si>
  <si>
    <t>367</t>
  </si>
  <si>
    <t>368</t>
  </si>
  <si>
    <t>370</t>
  </si>
  <si>
    <t>373</t>
  </si>
  <si>
    <t>Gen</t>
  </si>
  <si>
    <t>NONE</t>
  </si>
  <si>
    <t xml:space="preserve">MISCELLANEOUS INTANGIBLE PLANT                              </t>
  </si>
  <si>
    <t xml:space="preserve">LAND AND LAND RIGHTS                                        </t>
  </si>
  <si>
    <t xml:space="preserve">STRUCTURES AND IMPROVEMENTS                                 </t>
  </si>
  <si>
    <t xml:space="preserve">BOILER PLANT EQUIPMENT                                      </t>
  </si>
  <si>
    <t xml:space="preserve">TURBOGENERATOR UNITS                                        </t>
  </si>
  <si>
    <t xml:space="preserve">ACCESSORY ELECTRIC EQUIPMENT                                </t>
  </si>
  <si>
    <t xml:space="preserve">MISCELLANEOUS POWER PLANT EQUIPMENT                         </t>
  </si>
  <si>
    <t>ARO COSTS FOR STEAM PRODUCTION PLANT</t>
  </si>
  <si>
    <t xml:space="preserve">LAND AND LAND RIGHTS-OTHER PRODUCTION                       </t>
  </si>
  <si>
    <t xml:space="preserve">STRUCTURES AND IMPROVEMENTS-OTHER PRODUCTION                </t>
  </si>
  <si>
    <t xml:space="preserve">FUEL HOLDERS, PRODUCERS &amp; ACCESSORIES-OTHER PRODUCTION      </t>
  </si>
  <si>
    <t xml:space="preserve">PRIME MOVERS-OTHER PRODUCTION                               </t>
  </si>
  <si>
    <t xml:space="preserve">GENERATORS-OTHER PRODUCTION                                 </t>
  </si>
  <si>
    <t xml:space="preserve">ACCESSORY ELECTRIC EQUIPMENT-OTHER PRODUCTION               </t>
  </si>
  <si>
    <t xml:space="preserve">MISCELLANEOUS POWER PLANT EQUIPMENT-OTHER PRODUCTION        </t>
  </si>
  <si>
    <t>ARO FOR OTHER PRODUCTION PLANT</t>
  </si>
  <si>
    <t>ENERGY STORAGE EQUIP - PROD</t>
  </si>
  <si>
    <t xml:space="preserve">LAND &amp; LAND RIGHTS-TRANSMISSION                             </t>
  </si>
  <si>
    <t xml:space="preserve">STRUCTURES &amp; IMPROVEMENT-TRANSMISSION                       </t>
  </si>
  <si>
    <t xml:space="preserve">STATION EQUIPMENT-TRANSMISSION                              </t>
  </si>
  <si>
    <t xml:space="preserve">TOWERS &amp; FIXTURES-TRANSMISSION                              </t>
  </si>
  <si>
    <t xml:space="preserve">POLES &amp; FIXTURES-TRANSMISSION                               </t>
  </si>
  <si>
    <t xml:space="preserve">OVERHEAD CONDUCTORS &amp; DEVICES-TRANSMISSION                  </t>
  </si>
  <si>
    <t xml:space="preserve">UNDERGROUND CONDUIT-TRANSMISSION                            </t>
  </si>
  <si>
    <t xml:space="preserve">UNDERGROUND CONDUCTORS &amp; DEVICES-TRANSMISSION               </t>
  </si>
  <si>
    <t xml:space="preserve">ROADS &amp; TRAINS-TRANSMISSION                                 </t>
  </si>
  <si>
    <t xml:space="preserve">LAND &amp; LAND RIGHTS-DISTRIBUTION                             </t>
  </si>
  <si>
    <t xml:space="preserve">STRUCTURES &amp; IMPROVEMENTS-DISTRIBUTION                      </t>
  </si>
  <si>
    <t xml:space="preserve">STATION EQUIPMENT-DISTRIBUTION                              </t>
  </si>
  <si>
    <t xml:space="preserve">POLES, TOWERS &amp; FIXTURES-DISTRIBUTION                       </t>
  </si>
  <si>
    <t xml:space="preserve">OVERHEAD CONDUCTORS &amp; DEVICES-DISTRIBUTION                  </t>
  </si>
  <si>
    <t xml:space="preserve">UNDERGROUND CONDUIT-DISTYRIBUTION                           </t>
  </si>
  <si>
    <t xml:space="preserve">UNDERGROUND CONDUCTORS &amp; DEVICES--DISTRIBUTION              </t>
  </si>
  <si>
    <t xml:space="preserve">LINE TRANSFORMERS-DISTRIBUTION                              </t>
  </si>
  <si>
    <t xml:space="preserve">SERVICES-DISTRIBUTION                                       </t>
  </si>
  <si>
    <t xml:space="preserve">METERS-DISTRIBUTION                                         </t>
  </si>
  <si>
    <t xml:space="preserve">INSTALLATION ON CUSTOMER'S PREMISES-DISTRIBUTION            </t>
  </si>
  <si>
    <t xml:space="preserve">STREET LIGHTING &amp; SIGNAL SYSTEMS-DISTRIBUTION               </t>
  </si>
  <si>
    <t>ARO COSTS FOR DISTRIBUTION PLANT</t>
  </si>
  <si>
    <t xml:space="preserve">STRUCTURES &amp; IMPROVEMENTS-GENERAL                           </t>
  </si>
  <si>
    <t xml:space="preserve">OFFICE FURNITURE &amp; EQUIPMENT-GENERAL                        </t>
  </si>
  <si>
    <t xml:space="preserve">TRANSPORTATION EQUIPMENT-GENERAL                            </t>
  </si>
  <si>
    <t xml:space="preserve">STORES EQUIPMENT-GENERAL                                    </t>
  </si>
  <si>
    <t xml:space="preserve">TOOLS,SHOP &amp; GARAGE EQUIPMENT-GENERAL                       </t>
  </si>
  <si>
    <t xml:space="preserve">LABORATORY EQUIPMENT-GENERAL                                </t>
  </si>
  <si>
    <t xml:space="preserve">POWER OPERATED EQUIPMENT-GENERAL                            </t>
  </si>
  <si>
    <t xml:space="preserve">COMMUNICATION EQUIPMENT-GENERAL                             </t>
  </si>
  <si>
    <t xml:space="preserve">MISCELLANEOUS EQUIPMENT-GENERAL                             </t>
  </si>
  <si>
    <t xml:space="preserve">OTHER TANGIBLE PROPERTY-ARO COSTS FOR GENERAL PLANT                     </t>
  </si>
  <si>
    <t>Plant</t>
  </si>
  <si>
    <t>Reserves</t>
  </si>
  <si>
    <t>Depreciation Expense</t>
  </si>
  <si>
    <t>Plant 13-Month Avg</t>
  </si>
  <si>
    <t>Depreciation Expense Year End</t>
  </si>
  <si>
    <t>Reserves 13-Month Avg</t>
  </si>
  <si>
    <t>ASSET COST</t>
  </si>
  <si>
    <t>Big Bend Power Station</t>
  </si>
  <si>
    <t>Bayside Power Station</t>
  </si>
  <si>
    <t>Polk Power Station</t>
  </si>
  <si>
    <t>Solar</t>
  </si>
  <si>
    <t>Phillips - Sebring Station</t>
  </si>
  <si>
    <t>340XX</t>
  </si>
  <si>
    <t>City of Tampa</t>
  </si>
  <si>
    <t>Miscellaneous</t>
  </si>
  <si>
    <t>Production Land Year End</t>
  </si>
  <si>
    <t>13-Month Avg</t>
  </si>
  <si>
    <t>Reserve</t>
  </si>
  <si>
    <t>Net Book</t>
  </si>
  <si>
    <t>Production Plant</t>
  </si>
  <si>
    <t>Transmission Plant</t>
  </si>
  <si>
    <t>Distribution Plant</t>
  </si>
  <si>
    <t>General Plant</t>
  </si>
  <si>
    <t>Intangible Plant</t>
  </si>
  <si>
    <t>Asset Retirement Obligations</t>
  </si>
  <si>
    <t>Plant Costs including Land</t>
  </si>
  <si>
    <t>Plant Cost excluding Land</t>
  </si>
  <si>
    <t>Short Hand</t>
  </si>
  <si>
    <t>Production Land</t>
  </si>
  <si>
    <t>Transmission Land</t>
  </si>
  <si>
    <t>Distribution Land</t>
  </si>
  <si>
    <t>General Land</t>
  </si>
  <si>
    <t>Asset Costs</t>
  </si>
  <si>
    <t>Projected Steam Prod</t>
  </si>
  <si>
    <t>MFR_Summary</t>
  </si>
  <si>
    <t>Projected Other Prod</t>
  </si>
  <si>
    <t>300s - 3 Digit</t>
  </si>
  <si>
    <t>300s - 5 Digit</t>
  </si>
  <si>
    <t>TOTAL COMPANY ECRC</t>
  </si>
  <si>
    <t>Plant, Reserves &amp; Depreciation Expense</t>
  </si>
  <si>
    <t>13 mo</t>
  </si>
  <si>
    <t>12 mo</t>
  </si>
  <si>
    <t>Table for COS</t>
  </si>
  <si>
    <t>Accum_Rsrv</t>
  </si>
  <si>
    <t>Depre_Exp</t>
  </si>
  <si>
    <t>BB1</t>
  </si>
  <si>
    <t>BB2</t>
  </si>
  <si>
    <t>BB3</t>
  </si>
  <si>
    <t>BB4</t>
  </si>
  <si>
    <t>Polk</t>
  </si>
  <si>
    <t>Phillips</t>
  </si>
  <si>
    <t>Plant In Service</t>
  </si>
  <si>
    <t>ENERGY JURIS SEP</t>
  </si>
  <si>
    <t xml:space="preserve">DEMAND JURIS SEP </t>
  </si>
  <si>
    <t>Unit Assignment</t>
  </si>
  <si>
    <t>split 3&amp;4</t>
  </si>
  <si>
    <t>BIG BEND UNIT 1 SCR</t>
  </si>
  <si>
    <t>BIG BEND UNIT 2 SCR</t>
  </si>
  <si>
    <t>BIG BEND UNIT 3 SCR</t>
  </si>
  <si>
    <t>BIG BEND UNIT 4 SCR</t>
  </si>
  <si>
    <t>D_BB4</t>
  </si>
  <si>
    <t>YR END BAL</t>
  </si>
  <si>
    <t>ACCUM DEPR</t>
  </si>
  <si>
    <t>DEPR EXP</t>
  </si>
  <si>
    <t>Split Factor</t>
  </si>
  <si>
    <t>ECRC Plant-in-Service 13 Mo Avg</t>
  </si>
  <si>
    <t>ECRC Accum Deprec 13 Mo Avg</t>
  </si>
  <si>
    <t>ECRC Depreciation Exp Retail</t>
  </si>
  <si>
    <t>2022 Budget - SPP Adjustments for Plant, Reserves, Depreciation Expense and CWIP</t>
  </si>
  <si>
    <t>TOTAL COMPANY SPP - Transmission Adjustments</t>
  </si>
  <si>
    <t>TOTAL COMPANY SPP - Distribution Adjustments</t>
  </si>
  <si>
    <t>Plant, Reserves &amp; Depreciation Expense, excludes Land (350)</t>
  </si>
  <si>
    <t>Plant, Reserves &amp; Depreciation Expense, excludes Land (360)</t>
  </si>
  <si>
    <t>COS - Energy</t>
  </si>
  <si>
    <t>PIS</t>
  </si>
  <si>
    <t>SPP Transmission:</t>
  </si>
  <si>
    <t>SPP Distribution:</t>
  </si>
  <si>
    <t>AVG BAL</t>
  </si>
  <si>
    <t>1 xxx xxxx xxx</t>
  </si>
  <si>
    <t>1 Distribution Lateral Undergrounding</t>
  </si>
  <si>
    <t>2 Transmission Asset Upgrades</t>
  </si>
  <si>
    <t>3 Substation Extreme Weather Protection</t>
  </si>
  <si>
    <t>4 Distribution Overhead Feeder Hardening</t>
  </si>
  <si>
    <t>NET DEPR EXP</t>
  </si>
  <si>
    <t>DISTRIBUTION DEMAND JURIS SEP</t>
  </si>
  <si>
    <t xml:space="preserve">TRANSMISSION DEMAND JURIS SEP </t>
  </si>
  <si>
    <t>SPP Plant-in-Service</t>
  </si>
  <si>
    <t>SPP Accum Depreciation</t>
  </si>
  <si>
    <t>SPP Depreciation Expense</t>
  </si>
  <si>
    <t>(MW)</t>
  </si>
  <si>
    <t xml:space="preserve">AT </t>
  </si>
  <si>
    <t>SECONDARY</t>
  </si>
  <si>
    <t>PRIMARY</t>
  </si>
  <si>
    <t>SUBTRAN</t>
  </si>
  <si>
    <t>OUTPUT</t>
  </si>
  <si>
    <t>DESCRIPTION</t>
  </si>
  <si>
    <t>METER</t>
  </si>
  <si>
    <t>VOLTAGE</t>
  </si>
  <si>
    <t>TO LINE</t>
  </si>
  <si>
    <t xml:space="preserve">                        (Metered Voltage Level)</t>
  </si>
  <si>
    <t>EXPANSION FACTOR</t>
  </si>
  <si>
    <t>BACKDOWN FACTOR</t>
  </si>
  <si>
    <t>RESIDENTIAL</t>
  </si>
  <si>
    <t xml:space="preserve">   SECONDARY</t>
  </si>
  <si>
    <t>GS &amp; TS</t>
  </si>
  <si>
    <t xml:space="preserve">   SEM/SES (TC 0,A)</t>
  </si>
  <si>
    <t xml:space="preserve">    SEM/PRS (TC 7,G)</t>
  </si>
  <si>
    <t xml:space="preserve">    PRM/SES (TC 6,F)</t>
  </si>
  <si>
    <t xml:space="preserve">    PRM/PRS (TC 5,E)</t>
  </si>
  <si>
    <t xml:space="preserve">    PRM/SUS (TC 8,H)</t>
  </si>
  <si>
    <t xml:space="preserve">   SUBTOTAL</t>
  </si>
  <si>
    <t>GSD</t>
  </si>
  <si>
    <t xml:space="preserve">    SUM/PRS (TC 4,D)</t>
  </si>
  <si>
    <t xml:space="preserve">    SUM/SUS (TC 3,C)</t>
  </si>
  <si>
    <t>GSLD</t>
  </si>
  <si>
    <t>SL/OL</t>
  </si>
  <si>
    <t>RETAIL LOSSES</t>
  </si>
  <si>
    <t>WHOLESALE</t>
  </si>
  <si>
    <t xml:space="preserve">   INTERCHANGE SEPARATED</t>
  </si>
  <si>
    <t xml:space="preserve">   INTERCHANGE NON-SEPARATED</t>
  </si>
  <si>
    <t xml:space="preserve">   PARTIAL REQUIREMENTS</t>
  </si>
  <si>
    <t>WHEELING</t>
  </si>
  <si>
    <t>WHOLESALE/WHEELING LOSSES</t>
  </si>
  <si>
    <t>TOTAL LOSSES</t>
  </si>
  <si>
    <t>Rate Class</t>
  </si>
  <si>
    <t>Service Level</t>
  </si>
  <si>
    <t>RS</t>
  </si>
  <si>
    <t>GS</t>
  </si>
  <si>
    <t>Secondary</t>
  </si>
  <si>
    <t>Primary</t>
  </si>
  <si>
    <t>Subtransmission</t>
  </si>
  <si>
    <t>Lighting</t>
  </si>
  <si>
    <t>Total GS</t>
  </si>
  <si>
    <t>Total 4-Month CP</t>
  </si>
  <si>
    <t>4-Month Avg CP</t>
  </si>
  <si>
    <t>4-Month Max</t>
  </si>
  <si>
    <t>Total GSD</t>
  </si>
  <si>
    <t>Total GSLD</t>
  </si>
  <si>
    <t>FACTORS FROM LOAD RESEARCH</t>
  </si>
  <si>
    <t>EXTRACT FROM LOAD RESEARCH FILE:</t>
  </si>
  <si>
    <t>Distr. Primary - NCP</t>
  </si>
  <si>
    <t>Customer Max Demands @ Secondary</t>
  </si>
  <si>
    <t>MWH at Generation</t>
  </si>
  <si>
    <t>MWH at Meter</t>
  </si>
  <si>
    <t>MWH at Generation (Retail Only)</t>
  </si>
  <si>
    <t>TOTAL
 COMPANY</t>
  </si>
  <si>
    <t>REQ</t>
  </si>
  <si>
    <t>FL JURIS</t>
  </si>
  <si>
    <t>GSLDPR</t>
  </si>
  <si>
    <t>GSLDSU</t>
  </si>
  <si>
    <t>LS</t>
  </si>
  <si>
    <t>LS (don't need)</t>
  </si>
  <si>
    <t>Load Management</t>
  </si>
  <si>
    <t>12 Month Total</t>
  </si>
  <si>
    <t>(MWH)</t>
  </si>
  <si>
    <t>.</t>
  </si>
  <si>
    <t>(Metered Voltage Level)</t>
  </si>
  <si>
    <t>Load Factor</t>
  </si>
  <si>
    <t>Duke Energy Florida (aka Calpine "osprey unit")</t>
  </si>
  <si>
    <t>Seminole (City of Tampa)</t>
  </si>
  <si>
    <t>Seminole (Hillsborough County)</t>
  </si>
  <si>
    <t>@ the Generator level data</t>
  </si>
  <si>
    <t>OUTPUT TO LINE</t>
  </si>
  <si>
    <t>12 mo Avg</t>
  </si>
  <si>
    <t>Prod. &amp; Transm. Power Supply Factor (Mwh/kW)</t>
  </si>
  <si>
    <t>Primary Billing Determinant (Mwh/kW)</t>
  </si>
  <si>
    <t>Secondary Billing Determinant (Mwh/kW)</t>
  </si>
  <si>
    <t>Production Energy - Mwh (meter adjusted)</t>
  </si>
  <si>
    <t>Distribution Primary Mwh</t>
  </si>
  <si>
    <t>Distribution Secondary Mwh</t>
  </si>
  <si>
    <t>Meter Voltage Adjustment</t>
  </si>
  <si>
    <t>Meter Level</t>
  </si>
  <si>
    <t>RS Energy (Mwh)
 @meter</t>
  </si>
  <si>
    <t>GS Energy (Mwh)
 @ meter</t>
  </si>
  <si>
    <t>GSD Demand 
(kW)</t>
  </si>
  <si>
    <t>GSLDPR Demand 
(kW)</t>
  </si>
  <si>
    <t>GSLDSU Demand 
(kW)</t>
  </si>
  <si>
    <t>LS Energy (Mwh)
@ meter</t>
  </si>
  <si>
    <t>Demand (kw)</t>
  </si>
  <si>
    <t>Energy (MWH)</t>
  </si>
  <si>
    <t>LoadFactor</t>
  </si>
  <si>
    <t>SEC/SEC</t>
  </si>
  <si>
    <t>Includes RSD</t>
  </si>
  <si>
    <t>SEC/PRI</t>
  </si>
  <si>
    <t>GSDT</t>
  </si>
  <si>
    <t>PRI/SEC</t>
  </si>
  <si>
    <t>GSDO</t>
  </si>
  <si>
    <t>PRI/PRI</t>
  </si>
  <si>
    <t>GSLDTPR</t>
  </si>
  <si>
    <t>Billing</t>
  </si>
  <si>
    <t>GSLDTSU</t>
  </si>
  <si>
    <t>Peak</t>
  </si>
  <si>
    <t>PRI/TRANS</t>
  </si>
  <si>
    <t>TRANS/PRI</t>
  </si>
  <si>
    <t>TRANS/TRANS</t>
  </si>
  <si>
    <t>GSD Option</t>
  </si>
  <si>
    <t>SBLDPR SUPP</t>
  </si>
  <si>
    <t>SBLDPR Standby</t>
  </si>
  <si>
    <t xml:space="preserve">Load Fac Res </t>
  </si>
  <si>
    <t>Pwr Sup Fac Res</t>
  </si>
  <si>
    <t xml:space="preserve">Pwr Sup Dem </t>
  </si>
  <si>
    <t>SBLDSU SUPP</t>
  </si>
  <si>
    <t>SBLDSU Standby</t>
  </si>
  <si>
    <t>SBLDTPR SUPP</t>
  </si>
  <si>
    <t>SBLDTPR Standby</t>
  </si>
  <si>
    <t>SBLDTSU SUPP</t>
  </si>
  <si>
    <t>SBLDTSU Standby</t>
  </si>
  <si>
    <t>P&amp;T: Subtrans</t>
  </si>
  <si>
    <t>Secondary Svc Only</t>
  </si>
  <si>
    <t>SERVICE DRIVEN</t>
  </si>
  <si>
    <t>REALIZED BILLING FACTOR</t>
  </si>
  <si>
    <t>METER =</t>
  </si>
  <si>
    <t>Subtrans</t>
  </si>
  <si>
    <t>SERVICE =</t>
  </si>
  <si>
    <t>Metering
 Adjustment:</t>
  </si>
  <si>
    <t>Factor 404</t>
  </si>
  <si>
    <t>Factor 410</t>
  </si>
  <si>
    <t>Distribution Primary</t>
  </si>
  <si>
    <t>Factor 408</t>
  </si>
  <si>
    <t>Excludes Subtrans Service</t>
  </si>
  <si>
    <t>Excludes Primary &amp; Subtrans Service</t>
  </si>
  <si>
    <t>FROM IS ACCTS</t>
  </si>
  <si>
    <t>000's</t>
  </si>
  <si>
    <t>has dependents, is formula driven</t>
  </si>
  <si>
    <t>positive if overbilled</t>
  </si>
  <si>
    <t>negative if underbilled</t>
  </si>
  <si>
    <t>REFERENCE</t>
  </si>
  <si>
    <t>sap acct</t>
  </si>
  <si>
    <t>sap_roll</t>
  </si>
  <si>
    <t>TITLE</t>
  </si>
  <si>
    <t>(000's) $'s</t>
  </si>
  <si>
    <t>Asset Optimization Mechanism (AOM)</t>
  </si>
  <si>
    <t>amortization of AOM</t>
  </si>
  <si>
    <t>Clean Energy Transition Mechanism (CETM) Recovery</t>
  </si>
  <si>
    <t>SVC</t>
  </si>
  <si>
    <t>451</t>
  </si>
  <si>
    <t>MISC SVC REV</t>
  </si>
  <si>
    <t>454</t>
  </si>
  <si>
    <t>Rental Revenue - Miscellaneous</t>
  </si>
  <si>
    <t>RENT</t>
  </si>
  <si>
    <t>455</t>
  </si>
  <si>
    <t>TRANS</t>
  </si>
  <si>
    <t>456</t>
  </si>
  <si>
    <t>COST PLUS JOs</t>
  </si>
  <si>
    <t>EGY</t>
  </si>
  <si>
    <t>MGMT CHALLENGE</t>
  </si>
  <si>
    <t>TAX</t>
  </si>
  <si>
    <t>SALES TAX</t>
  </si>
  <si>
    <t>SAP REV - AFFIL</t>
  </si>
  <si>
    <t>SAP REV - DIVISION</t>
  </si>
  <si>
    <t>TRAINING MODULES</t>
  </si>
  <si>
    <t>PARKING</t>
  </si>
  <si>
    <t>COGEN MAINTENANCE-TRANS</t>
  </si>
  <si>
    <t>COGEN MAINTENANCE-DISTRIB</t>
  </si>
  <si>
    <t>new account</t>
  </si>
  <si>
    <t>METROLINK JOs</t>
  </si>
  <si>
    <t>GREEN POWER</t>
  </si>
  <si>
    <t>TRANSLOADING-BB</t>
  </si>
  <si>
    <t>FGT PHASE VIII PROJECT SALE</t>
  </si>
  <si>
    <t>FGT WALKER RD &amp; BAYSIDE (PIG</t>
  </si>
  <si>
    <t>AOM revenues</t>
  </si>
  <si>
    <t>OATT</t>
  </si>
  <si>
    <t>OATT GSI Penalty rev.</t>
  </si>
  <si>
    <t>Pt To Pt Trans- Sep. sales</t>
  </si>
  <si>
    <t>Ancillary Scheduling- Sep. sales</t>
  </si>
  <si>
    <t>SULFURIC ACID</t>
  </si>
  <si>
    <t>BENEFICIATED ASH</t>
  </si>
  <si>
    <t>MISC REV</t>
  </si>
  <si>
    <t>UNBILLED</t>
  </si>
  <si>
    <t>UNBILLED REV</t>
  </si>
  <si>
    <t xml:space="preserve">Plaza Meeting Room </t>
  </si>
  <si>
    <t>Bayside Dock Rental</t>
  </si>
  <si>
    <t>STEAM</t>
  </si>
  <si>
    <t>COMM / IND AUDIT</t>
  </si>
  <si>
    <t>AT COST JOs</t>
  </si>
  <si>
    <t>BERS BLDG EGY AUDIT</t>
  </si>
  <si>
    <t>EXHAUST</t>
  </si>
  <si>
    <t>WATER HEATER LEASE</t>
  </si>
  <si>
    <t>MANATEE VIEW CTR</t>
  </si>
  <si>
    <t>Pt To Pt Trans- Non Sep. sales</t>
  </si>
  <si>
    <t>Ancillary Scheduling- Non Sep. sales</t>
  </si>
  <si>
    <t>RETAIL TRANS NON-SEP</t>
  </si>
  <si>
    <t>WHSL TRANS NON-SEP</t>
  </si>
  <si>
    <t>TRANSM. NON -SEPARATED</t>
  </si>
  <si>
    <t>UNUSED RESERVATION PNT TO PNT</t>
  </si>
  <si>
    <t>UNUSED RESERVATION ANCILLARY</t>
  </si>
  <si>
    <t>Subtotal OOR</t>
  </si>
  <si>
    <t>Acct</t>
  </si>
  <si>
    <t>total oor</t>
  </si>
  <si>
    <t>add back unbilled</t>
  </si>
  <si>
    <t>ck to ee pkg "revenue" tab</t>
  </si>
  <si>
    <t>add back unbilled (inverse)</t>
  </si>
  <si>
    <t>456 tie to ee revenue tab</t>
  </si>
  <si>
    <t>Annual Total</t>
  </si>
  <si>
    <t>TOTALS</t>
  </si>
  <si>
    <t>RSVP</t>
  </si>
  <si>
    <t>CS</t>
  </si>
  <si>
    <t>GST</t>
  </si>
  <si>
    <t>GSUM</t>
  </si>
  <si>
    <t>RSD</t>
  </si>
  <si>
    <t>RS, RSVP</t>
  </si>
  <si>
    <t>GS, GS_Unmetered, GST, TS</t>
  </si>
  <si>
    <t>GSLDPR, GSLDTPR, SBLDPR, SBLDTPR</t>
  </si>
  <si>
    <t>GSLDSU, GSLDTSU, SBLDSU, SBLDTSU</t>
  </si>
  <si>
    <t>LS Energy</t>
  </si>
  <si>
    <t>LS Facilities</t>
  </si>
  <si>
    <t>SUBTOTAL BASE REV</t>
  </si>
  <si>
    <t>PR REQUIREMENTS</t>
  </si>
  <si>
    <t>TOTAL COMPANY</t>
  </si>
  <si>
    <t>Income Statement Budget Base Revenue</t>
  </si>
  <si>
    <t>Base Revenue</t>
  </si>
  <si>
    <t>Load Forecasting's Base Revenue</t>
  </si>
  <si>
    <t>Rate Schedule</t>
  </si>
  <si>
    <t>Adjusted Base Revenue</t>
  </si>
  <si>
    <t>Interchange Non-Separated Margin</t>
  </si>
  <si>
    <t>Management Challenge</t>
  </si>
  <si>
    <t>Transmission Pole Attachments</t>
  </si>
  <si>
    <t>Lighting Revenues Energy Only</t>
  </si>
  <si>
    <t>OATT Non-Firm Transmission</t>
  </si>
  <si>
    <t>PR Requirements</t>
  </si>
  <si>
    <t>Attacher</t>
  </si>
  <si>
    <t># poles attached to</t>
  </si>
  <si>
    <t>Total number of attachments</t>
  </si>
  <si>
    <t>Rate Paid</t>
  </si>
  <si>
    <t>Rate Booked</t>
  </si>
  <si>
    <t>Total Paid</t>
  </si>
  <si>
    <t>Total Booked</t>
  </si>
  <si>
    <t xml:space="preserve">SPECTRUM CHARTER CATV </t>
  </si>
  <si>
    <t>SPECTRUM CHARTER COM</t>
  </si>
  <si>
    <t>CENTURY LINK</t>
  </si>
  <si>
    <t>CITY OF PLANT CITY</t>
  </si>
  <si>
    <t>CITY OF TAMPA</t>
  </si>
  <si>
    <t>CITY OF WINTER HAVEN</t>
  </si>
  <si>
    <t>COMCAST</t>
  </si>
  <si>
    <t>CSX</t>
  </si>
  <si>
    <t>HILLSBOROUGH COUNTY</t>
  </si>
  <si>
    <t>KNOLOGY (WOW)</t>
  </si>
  <si>
    <t>LEVEL 3</t>
  </si>
  <si>
    <t>OTHER</t>
  </si>
  <si>
    <t>PEACE RIVER</t>
  </si>
  <si>
    <t>POLK COUNTY</t>
  </si>
  <si>
    <t>POLK COUNTY TRAFFIC</t>
  </si>
  <si>
    <t>TECO</t>
  </si>
  <si>
    <t>MOSAIC</t>
  </si>
  <si>
    <t>Long-Term Firm</t>
  </si>
  <si>
    <t>MW</t>
  </si>
  <si>
    <t>Anc</t>
  </si>
  <si>
    <t>Short-Term Firm</t>
  </si>
  <si>
    <t>Non-Firm</t>
  </si>
  <si>
    <t>RES</t>
  </si>
  <si>
    <t>TAMPA ELECTRIC COMPANY</t>
  </si>
  <si>
    <t>FUNCTIONALIZATION &amp; CLASSIFICATION OF OTHER OPERATING REVENUE ($000)</t>
  </si>
  <si>
    <t>1</t>
  </si>
  <si>
    <t>2</t>
  </si>
  <si>
    <t>3</t>
  </si>
  <si>
    <t>4</t>
  </si>
  <si>
    <t>5</t>
  </si>
  <si>
    <t>(1)  G/L OTHER OPERATING REVENUE ACCOUNTS</t>
  </si>
  <si>
    <t>(000's)</t>
  </si>
  <si>
    <t>LINE</t>
  </si>
  <si>
    <t>LEGACY ACCT</t>
  </si>
  <si>
    <t>SAP ACCT</t>
  </si>
  <si>
    <t>AMOUNT</t>
  </si>
  <si>
    <t>SERVICE CHARGE REVENUES</t>
  </si>
  <si>
    <t>REFERENCE CODES</t>
  </si>
  <si>
    <t>RENT REVENUES</t>
  </si>
  <si>
    <t>RENT_TRANSM</t>
  </si>
  <si>
    <t>COMMERCIAL PROPERTY</t>
  </si>
  <si>
    <t>RENT_DS</t>
  </si>
  <si>
    <t>ELECTRIC EQUIPMENT</t>
  </si>
  <si>
    <t>AGRICULTURAL PROPERTY</t>
  </si>
  <si>
    <t>RENT_DP</t>
  </si>
  <si>
    <t>POLE ATTACHMENTS</t>
  </si>
  <si>
    <t>METRO LINK</t>
  </si>
  <si>
    <t>MTLK-POLE ATTACHMENTS</t>
  </si>
  <si>
    <t>RENT_PROD</t>
  </si>
  <si>
    <t>BARGE CLEANING BB</t>
  </si>
  <si>
    <t>MISCELLANEOUS</t>
  </si>
  <si>
    <t>454xx</t>
  </si>
  <si>
    <t>Das Antenna Pole Attachments</t>
  </si>
  <si>
    <t>RENTAL INCOME - AFFILIATES</t>
  </si>
  <si>
    <t>RENTAL INCOME - ASSET USAGE</t>
  </si>
  <si>
    <t>RENTAL INC-AFFIL</t>
  </si>
  <si>
    <t>RENTAL INC-AFFIL - ASSET USAGE</t>
  </si>
  <si>
    <t>TOTAL RENT REVENUES</t>
  </si>
  <si>
    <t>454, 455</t>
  </si>
  <si>
    <t>COST PLUS JOS</t>
  </si>
  <si>
    <t>COGEN</t>
  </si>
  <si>
    <t>COGEN MTCE</t>
  </si>
  <si>
    <t>TELECOM/METROLINK/JO</t>
  </si>
  <si>
    <t>GYPSUM (EXCL ECRC)</t>
  </si>
  <si>
    <t>GYPSUM (ECRC)</t>
  </si>
  <si>
    <t>TRANSLOADING - BB</t>
  </si>
  <si>
    <t>GSI PENALTY</t>
  </si>
  <si>
    <t>TRANS_SEP</t>
  </si>
  <si>
    <t>PNT TO PNT - SEPARATED SALES</t>
  </si>
  <si>
    <t>SCH 1 - SEPARATED SALES</t>
  </si>
  <si>
    <t>456xx</t>
  </si>
  <si>
    <t>REVENUE -JOB ORDER-COST</t>
  </si>
  <si>
    <t>FGT PHASE VIII PROJECT</t>
  </si>
  <si>
    <t>TRANS_INTERCHG</t>
  </si>
  <si>
    <t>FGT WALKER RD &amp; BAYSIDE</t>
  </si>
  <si>
    <t>TOTAL OTHER OPERATING REVENUES</t>
  </si>
  <si>
    <t>Unbilled Adjustment to Other Operating Revenues</t>
  </si>
  <si>
    <t>TOTAL UNBILLED</t>
  </si>
  <si>
    <t>OTHER REVENUE (Adjust. to existing dollars)</t>
  </si>
  <si>
    <t>I/CHG NON-SEPARATED</t>
  </si>
  <si>
    <t>PWR</t>
  </si>
  <si>
    <t>EE PKG SUPPLE.SCH REV</t>
  </si>
  <si>
    <t>NON-RECOV CLAUSE ITEMS</t>
  </si>
  <si>
    <t>WHSL_EGY</t>
  </si>
  <si>
    <t>ECRC: SO 2 GAINS, WHSL</t>
  </si>
  <si>
    <t>ECCR: CONSERVATION</t>
  </si>
  <si>
    <t>Recoverable CETM</t>
  </si>
  <si>
    <t>FUEL:  FUEL &amp; GFIP</t>
  </si>
  <si>
    <t>Adj. to 456 revenues</t>
  </si>
  <si>
    <t>TOTAL OOR Adjusted</t>
  </si>
  <si>
    <t>(2)  MISC SERVICE REVENUE (OOR)</t>
  </si>
  <si>
    <t>TOTAL MISC SVC REVENUES</t>
  </si>
  <si>
    <t>ADDITIONAL SERVICE CHARGE REVENUES</t>
  </si>
  <si>
    <t>TOTAL SERVICE CHARGE REVENUES</t>
  </si>
  <si>
    <t>(3)  FUNCTIONALIZED RENT REVENUES</t>
  </si>
  <si>
    <t>PROD - DEMAND</t>
  </si>
  <si>
    <t>TRANS - DEMAND</t>
  </si>
  <si>
    <t>SUBTRANS - DEMAND</t>
  </si>
  <si>
    <t>TXPOLE</t>
  </si>
  <si>
    <t>DIST PRI - DEMAND</t>
  </si>
  <si>
    <t>DIST SEC - DEMAND</t>
  </si>
  <si>
    <t>(4)  PLANT-RELATED REVENUES</t>
  </si>
  <si>
    <t>PLANT-RELATED</t>
  </si>
  <si>
    <t>PIS RATIO %</t>
  </si>
  <si>
    <t>PROD-DEMAND</t>
  </si>
  <si>
    <t>PROD-ENERGY</t>
  </si>
  <si>
    <t>DIST - CUST</t>
  </si>
  <si>
    <t>OTH - CUST</t>
  </si>
  <si>
    <t>TOTAL OOR PLANT RELATED REVENUES</t>
  </si>
  <si>
    <t>(5)  OATT TRANSMISSION &amp; INTERCHG TRANSM. SALES</t>
  </si>
  <si>
    <t>TRANSM - INTERCHG</t>
  </si>
  <si>
    <t>OATT TRANSM. TOTAL</t>
  </si>
  <si>
    <t>TRANSM - OATT "NON-FIRM"</t>
  </si>
  <si>
    <t>TRANSM - OATT 100% WHSL</t>
  </si>
  <si>
    <t>TOTAL OATT REVENUES</t>
  </si>
  <si>
    <t>TRANS - FIRM WHSL</t>
  </si>
  <si>
    <t>100% WHSL</t>
  </si>
  <si>
    <t>STEAM &amp; MISC</t>
  </si>
  <si>
    <t>CLAUSE REVENUE TIMING</t>
  </si>
  <si>
    <t>COLLECT FEE / SALES TAX</t>
  </si>
  <si>
    <t>ENERGY POWER SALES</t>
  </si>
  <si>
    <t>TOTAL DIRECT ASSIGNED</t>
  </si>
  <si>
    <t>INCL. PROFORMA'S</t>
  </si>
  <si>
    <t>OTHER OPERATING REVENUES</t>
  </si>
  <si>
    <t>UNBILLED REVENUES</t>
  </si>
  <si>
    <t>TOTAL SALES REVENUE (BASE)</t>
  </si>
  <si>
    <t>PLUS: WHOLESALE REQUIREMENTS FIRM SALES (INCLUDES PR SALES)</t>
  </si>
  <si>
    <t>PLUS: TRANSM OATT &amp; GRANDFATHERED WHEELING</t>
  </si>
  <si>
    <t>TOTAL COMPANY SALES REV. &amp; TRANSM. WHSL</t>
  </si>
  <si>
    <t>LESS: TRANSM OATT &amp; GRANDFATHERED WHEELING (ABOVE)</t>
  </si>
  <si>
    <t>NET OOR EXCL FIRM TRANSM OATT &amp; WHEELING</t>
  </si>
  <si>
    <t>TOTAL COMPANY SALES AND OTHER OPERATING REVENUE</t>
  </si>
  <si>
    <t xml:space="preserve"> Exhibit K Adjustment</t>
  </si>
  <si>
    <t>Settlement Agreement</t>
  </si>
  <si>
    <t>($000s)</t>
  </si>
  <si>
    <t>Proposed Base Revenues</t>
  </si>
  <si>
    <t>Revenues</t>
  </si>
  <si>
    <t>Jan</t>
  </si>
  <si>
    <t>Feb</t>
  </si>
  <si>
    <t>Mar</t>
  </si>
  <si>
    <t>Apr</t>
  </si>
  <si>
    <t>Jun</t>
  </si>
  <si>
    <t>Aug</t>
  </si>
  <si>
    <t>Sep</t>
  </si>
  <si>
    <t>Oct</t>
  </si>
  <si>
    <t>Nov</t>
  </si>
  <si>
    <t>Dec</t>
  </si>
  <si>
    <t>Public Street HW Lighting Storm Revenue</t>
  </si>
  <si>
    <t>Industrial-Phosphate Small CETM Revenue</t>
  </si>
  <si>
    <t>Public Street HW Lighting CETM Revenue</t>
  </si>
  <si>
    <t>REG DR Defd SPPCRC</t>
  </si>
  <si>
    <t xml:space="preserve">TAMPA ELECTRIC COMPANY                  </t>
  </si>
  <si>
    <t>SCHEDULE 2</t>
  </si>
  <si>
    <t xml:space="preserve">AVERAGE RATE OF RETURN                  </t>
  </si>
  <si>
    <t>PAGE 1 OF 3</t>
  </si>
  <si>
    <t>RATE BASE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</si>
  <si>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</si>
  <si>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</si>
  <si>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</si>
  <si>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</si>
  <si>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</si>
  <si>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</si>
  <si>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</si>
  <si>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</si>
  <si>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</si>
  <si>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Accumulated</t>
  </si>
  <si>
    <t>Net</t>
  </si>
  <si>
    <t>Construction</t>
  </si>
  <si>
    <t>Plant In</t>
  </si>
  <si>
    <t>Depreciation &amp;</t>
  </si>
  <si>
    <t>Property Held</t>
  </si>
  <si>
    <t xml:space="preserve">Work In </t>
  </si>
  <si>
    <t>Nuclear Fuel</t>
  </si>
  <si>
    <t xml:space="preserve">Working </t>
  </si>
  <si>
    <t>Service</t>
  </si>
  <si>
    <t>Amortization</t>
  </si>
  <si>
    <t>For Future Use</t>
  </si>
  <si>
    <t>Progress</t>
  </si>
  <si>
    <t>(Net)</t>
  </si>
  <si>
    <t>Utility Plant</t>
  </si>
  <si>
    <t>Capital</t>
  </si>
  <si>
    <t>Rate Base</t>
  </si>
  <si>
    <t>-</t>
  </si>
  <si>
    <t>System Per Books</t>
  </si>
  <si>
    <t>$</t>
  </si>
  <si>
    <t>Jurisdictional Per Books</t>
  </si>
  <si>
    <t>=</t>
  </si>
  <si>
    <t>FPSC Adjustments</t>
  </si>
  <si>
    <t>Other</t>
  </si>
  <si>
    <t>ECRC</t>
  </si>
  <si>
    <t>SPPCRC</t>
  </si>
  <si>
    <t>Fuel Inventory</t>
  </si>
  <si>
    <t>CWIP</t>
  </si>
  <si>
    <t>CWIP in Rate Base</t>
  </si>
  <si>
    <t>Acquisition Book Values</t>
  </si>
  <si>
    <t>Acquisition Accumulated Amortizations</t>
  </si>
  <si>
    <t xml:space="preserve">Acquisition Adjustments </t>
  </si>
  <si>
    <t>Lease</t>
  </si>
  <si>
    <t>Total FPSC Adjustments</t>
  </si>
  <si>
    <t>FPSC Adjusted</t>
  </si>
  <si>
    <t>Pro Forma Revenue Increase and</t>
  </si>
  <si>
    <t>Total Pro Forma Adjustments</t>
  </si>
  <si>
    <t>Pro Forma Adjusted</t>
  </si>
  <si>
    <t>Fuel &amp; Capacity</t>
  </si>
  <si>
    <t>ECCR</t>
  </si>
  <si>
    <t>CETM</t>
  </si>
  <si>
    <t xml:space="preserve">TAMPA ELECTRIC COMPANY                     </t>
  </si>
  <si>
    <t xml:space="preserve">AVERAGE RATE OF RETURN                     </t>
  </si>
  <si>
    <t>PAGE 2 OF 3</t>
  </si>
  <si>
    <t>INCOME STATEMENT</t>
  </si>
  <si>
    <t/>
  </si>
  <si>
    <t>(10)</t>
  </si>
  <si>
    <t>(11)</t>
  </si>
  <si>
    <t>O &amp; M</t>
  </si>
  <si>
    <t>Deferred</t>
  </si>
  <si>
    <t>Investment Tax</t>
  </si>
  <si>
    <t>Operating</t>
  </si>
  <si>
    <t>Fuel &amp;</t>
  </si>
  <si>
    <t>Taxes Other</t>
  </si>
  <si>
    <t>Income Taxes</t>
  </si>
  <si>
    <t>Credit</t>
  </si>
  <si>
    <t>(Gain)/Loss</t>
  </si>
  <si>
    <t>Net Interchange</t>
  </si>
  <si>
    <t>Than Income</t>
  </si>
  <si>
    <t>Current</t>
  </si>
  <si>
    <t>On Disposition</t>
  </si>
  <si>
    <t>Expenses</t>
  </si>
  <si>
    <t>Income</t>
  </si>
  <si>
    <t>Recoverable Fuel</t>
  </si>
  <si>
    <t>Recoverable Fuel - ROI</t>
  </si>
  <si>
    <t>GPIF Revenues/Penalties</t>
  </si>
  <si>
    <t>Recoverable ECCR</t>
  </si>
  <si>
    <t>Recoverable ECCR - ROI</t>
  </si>
  <si>
    <t>Recoverable ECRC</t>
  </si>
  <si>
    <t>Recoverable ECRC - ROI</t>
  </si>
  <si>
    <t>Recoverable SPPCRC</t>
  </si>
  <si>
    <t>Recoverable SPPCRC - ROI</t>
  </si>
  <si>
    <t>Recoverable CETM - ROI</t>
  </si>
  <si>
    <t>Industry Association Dues</t>
  </si>
  <si>
    <t>Solaris and Waterfall</t>
  </si>
  <si>
    <t>Stockholder Relations</t>
  </si>
  <si>
    <t>Civic Club Meals</t>
  </si>
  <si>
    <t>Promotional Advertising</t>
  </si>
  <si>
    <t>Franchise Fee Revenue and Expense</t>
  </si>
  <si>
    <t>Gross Receipts Tax</t>
  </si>
  <si>
    <t>Income Tax True-up</t>
  </si>
  <si>
    <t>Opt Prov Revenue and Third Party Purchase</t>
  </si>
  <si>
    <t>Acquisition Amortizations</t>
  </si>
  <si>
    <t>Incentive Compensation Plan</t>
  </si>
  <si>
    <t>Shared Services Adjustment</t>
  </si>
  <si>
    <t>Parent Debt Adjustment</t>
  </si>
  <si>
    <t>Asset Optimization/Incentive Program</t>
  </si>
  <si>
    <t>Net Utility Plant Adjustments</t>
  </si>
  <si>
    <t>System</t>
  </si>
  <si>
    <t>Retail</t>
  </si>
  <si>
    <t>ECRC - Plant In Service</t>
  </si>
  <si>
    <t>ECRC - Acc Deprec &amp; Amortization</t>
  </si>
  <si>
    <t>SPPCRC - Plant In Service</t>
  </si>
  <si>
    <t>SPPCRC - Acc Deprec &amp; Amortization</t>
  </si>
  <si>
    <t>ECCR - Plant in Service</t>
  </si>
  <si>
    <t>ECCR - Acc Deprec &amp; Amortization</t>
  </si>
  <si>
    <t>Acquisition Book Value</t>
  </si>
  <si>
    <t>Acquisition Accumulated Amortization</t>
  </si>
  <si>
    <t>Acquisition Adjustment - Plant</t>
  </si>
  <si>
    <t>Acquisition Adjustment - Acc Amortiz</t>
  </si>
  <si>
    <t>Total Adjustments</t>
  </si>
  <si>
    <t>(6)  CO-GENERATION MAINTENANCE</t>
  </si>
  <si>
    <t>(7)  TOTAL FUNCTIONALIZED  [Sum items (4) to (7) above]</t>
  </si>
  <si>
    <t>(8)  DIRECT ASSIGNED TO SPECIFIC LINE ITEMS OF REVENUE REPORT</t>
  </si>
  <si>
    <t>(10) OOR RECAP SUMMARY (454, 455, 456)</t>
  </si>
  <si>
    <t>(11)  TOTAL REVENUES RECAP</t>
  </si>
  <si>
    <t>(9)  COMBINED TOTALS OF (7) FUNCTIONALIZED &amp; (8) DIRECT ASSIGNED      456 REVENUES</t>
  </si>
  <si>
    <t>PLANT BALANCES BY ACCOUNT AND SUB-ACCOUNT</t>
  </si>
  <si>
    <t>Page 1 of 10</t>
  </si>
  <si>
    <t>Page 10 of 10</t>
  </si>
  <si>
    <t>FLORIDA PUBLIC SERVICE COMMISSION</t>
  </si>
  <si>
    <t xml:space="preserve">                  EXPLANATION:</t>
  </si>
  <si>
    <t>Type of data shown:</t>
  </si>
  <si>
    <t>COMPANY: TAMPA ELECTRIC COMPANY</t>
  </si>
  <si>
    <t>Account/</t>
  </si>
  <si>
    <t>Line</t>
  </si>
  <si>
    <t>Sub-account</t>
  </si>
  <si>
    <t>Rate*</t>
  </si>
  <si>
    <t>Balance</t>
  </si>
  <si>
    <t>13-Month</t>
  </si>
  <si>
    <t>No.</t>
  </si>
  <si>
    <t>Number</t>
  </si>
  <si>
    <t>Title</t>
  </si>
  <si>
    <t>(%)</t>
  </si>
  <si>
    <t>Beg. of Year</t>
  </si>
  <si>
    <t>Added</t>
  </si>
  <si>
    <t>Retired</t>
  </si>
  <si>
    <t>or Transfers</t>
  </si>
  <si>
    <t>End of Year</t>
  </si>
  <si>
    <t>Average</t>
  </si>
  <si>
    <t>STEAM PRODUCTION</t>
  </si>
  <si>
    <t>BIG BEND POWER STATION</t>
  </si>
  <si>
    <t>TOTAL STEAM PRODUCTION</t>
  </si>
  <si>
    <t>BIG BEND COMMON</t>
  </si>
  <si>
    <t xml:space="preserve">  Structures and Improvements</t>
  </si>
  <si>
    <t>TOTAL OTHER PRODUCTION</t>
  </si>
  <si>
    <t xml:space="preserve">  Boiler Plant Equipment</t>
  </si>
  <si>
    <t xml:space="preserve">  Turbogenerator Units</t>
  </si>
  <si>
    <t>TOTAL PRODUCTION PLANT</t>
  </si>
  <si>
    <t xml:space="preserve">  Accessory Electric Equipment</t>
  </si>
  <si>
    <t xml:space="preserve">  Misc. Power Plant Equipment</t>
  </si>
  <si>
    <t>TOTAL TRANSMISSION PLANT</t>
  </si>
  <si>
    <t>TOTAL BIG BEND COMMON</t>
  </si>
  <si>
    <t>TOTAL DISTRIBUTION PLANT</t>
  </si>
  <si>
    <t>BIG BEND UNIT 1</t>
  </si>
  <si>
    <t>TOTAL GENERAL PLANT</t>
  </si>
  <si>
    <t>TOTAL DEPRECIABLE PLANT</t>
  </si>
  <si>
    <t>TOTAL NON-DEPRECIABLE</t>
  </si>
  <si>
    <t>TOTAL BIG BEND UNIT 1</t>
  </si>
  <si>
    <t>TOTAL INTANGIBLES</t>
  </si>
  <si>
    <t>BIG BEND UNIT 2</t>
  </si>
  <si>
    <t>TOTAL LEASE NON-DEPRECIABLE LAND</t>
  </si>
  <si>
    <t>TOTAL BIG BEND UNIT 2</t>
  </si>
  <si>
    <t>TOTAL ACQUISITION ADJUSTMENTS</t>
  </si>
  <si>
    <t>BIG BEND UNIT 3</t>
  </si>
  <si>
    <t>ELECTRIC PLANT PURCHASED OR SOLD</t>
  </si>
  <si>
    <t>PROPERTY HELD FOR FUTURE USE</t>
  </si>
  <si>
    <t>TOTAL ELECTRIC UTILITY PLANT</t>
  </si>
  <si>
    <t>TOTAL BIG BEND UNIT 3</t>
  </si>
  <si>
    <t>BIG BEND UNIT 4</t>
  </si>
  <si>
    <t>TOTAL BIG BEND UNIT 4</t>
  </si>
  <si>
    <t>Totals may be affected due to rounding.</t>
  </si>
  <si>
    <t xml:space="preserve"> </t>
  </si>
  <si>
    <t>Page 2 of 10</t>
  </si>
  <si>
    <t>BIG BEND UNIT 3 &amp; 4 FGD</t>
  </si>
  <si>
    <t>TOTAL BIG BEND UNIT 3 &amp; 4 FGD</t>
  </si>
  <si>
    <t>BIG BEND UNIT 1 &amp; 2 FGD</t>
  </si>
  <si>
    <t>TOTAL BIG BEND UNIT 1 &amp; 2 FGD</t>
  </si>
  <si>
    <t>Misc Power Plant Eq-BPC</t>
  </si>
  <si>
    <t>TOTAL BIG BEND UNIT 1 SCR</t>
  </si>
  <si>
    <t>TOTAL BIG BEND UNIT 2 SCR</t>
  </si>
  <si>
    <t>TOTAL BIG BEND UNIT 3 SCR</t>
  </si>
  <si>
    <t>Page 3 of 10</t>
  </si>
  <si>
    <t>TOTAL BIG BEND UNIT 4 SCR</t>
  </si>
  <si>
    <t>Big Bend Fuel Clause</t>
  </si>
  <si>
    <t>TOTAL BIG BEND POWER STATION</t>
  </si>
  <si>
    <t>OTHER PRODUCTION</t>
  </si>
  <si>
    <t>Page 4 of 10</t>
  </si>
  <si>
    <t>POLK POWER STATION</t>
  </si>
  <si>
    <t>POLK COMMON</t>
  </si>
  <si>
    <t xml:space="preserve">  Fuel Holders, Producers and Accessories</t>
  </si>
  <si>
    <t xml:space="preserve">  Prime Movers</t>
  </si>
  <si>
    <t>TOTAL POLK POWER COMMON</t>
  </si>
  <si>
    <t>POLK UNIT 1</t>
  </si>
  <si>
    <t>TOTAL POLK UNIT 1</t>
  </si>
  <si>
    <t>POLK UNIT 2</t>
  </si>
  <si>
    <t>TOTAL POLK UNIT 2</t>
  </si>
  <si>
    <t>POLK UNIT 3</t>
  </si>
  <si>
    <t>TOTAL POLK UNIT 3</t>
  </si>
  <si>
    <t>POLK UNIT 4</t>
  </si>
  <si>
    <t>TOTAL POLK UNIT 4</t>
  </si>
  <si>
    <t>Page 5 of 10</t>
  </si>
  <si>
    <t>POLK UNIT 5</t>
  </si>
  <si>
    <t>TOTAL POLK UNIT 5</t>
  </si>
  <si>
    <t xml:space="preserve">Polk 1 Fuel Clause </t>
  </si>
  <si>
    <t>TOTAL POLK POWER STATION</t>
  </si>
  <si>
    <t>BAYSIDE POWER STATION</t>
  </si>
  <si>
    <t>BAYSIDE COMMON</t>
  </si>
  <si>
    <t>TOTAL BAYSIDE COMMON</t>
  </si>
  <si>
    <t>BAYSIDE UNIT 1</t>
  </si>
  <si>
    <t>TOTAL BAYSIDE UNIT 1</t>
  </si>
  <si>
    <t>Page 6 of 10</t>
  </si>
  <si>
    <t>BAYSIDE UNIT 2</t>
  </si>
  <si>
    <t>TOTAL BAYSIDE UNIT 2</t>
  </si>
  <si>
    <t>BAYSIDE COMBUSTION TURBINE 3</t>
  </si>
  <si>
    <t>TOTAL BAYSIDE COMBUSTION TURBINE 3</t>
  </si>
  <si>
    <t>BAYSIDE COMBUSTION TURBINE 4</t>
  </si>
  <si>
    <t>TOTAL BAYSIDE COMBUSTION TURBINE 4</t>
  </si>
  <si>
    <t>BAYSIDE COMBUSTION TURBINE 5</t>
  </si>
  <si>
    <t>TOTAL BAYSIDE COMBUSTION TURBINE 5</t>
  </si>
  <si>
    <t>Page 7 of 10</t>
  </si>
  <si>
    <t>BAYSIDE COMBUSTION TURBINE 6</t>
  </si>
  <si>
    <t>TOTAL BAYSIDE COMBUSTION TURBINE 6</t>
  </si>
  <si>
    <t>TOTAL BAYSIDE POWER STATION</t>
  </si>
  <si>
    <t>ENERGY STORAGE EQP - PROD</t>
  </si>
  <si>
    <t>DISTRIBUTED GENERATION</t>
  </si>
  <si>
    <t>TRANSMISSION PLANT</t>
  </si>
  <si>
    <t xml:space="preserve">LAND RIGHTS </t>
  </si>
  <si>
    <t>STRUCTURES &amp; IMPROVEMENTS</t>
  </si>
  <si>
    <t>STATION EQUIPMENT</t>
  </si>
  <si>
    <t>TOWERS &amp; FIXTURES</t>
  </si>
  <si>
    <t>POLES &amp; FIXTURES</t>
  </si>
  <si>
    <t>OVERHEAD CONDUCTORS &amp; DEVICES</t>
  </si>
  <si>
    <t>CLEARING RIGHTS-OF-WAY</t>
  </si>
  <si>
    <t>UNDERGROUND CONDUIT</t>
  </si>
  <si>
    <t>UNDERGROUND CONDUCTORS &amp; DEVICES</t>
  </si>
  <si>
    <t>ROADS AND TRAILS</t>
  </si>
  <si>
    <t>Page 8 of 10</t>
  </si>
  <si>
    <t>DISTRIBUTION PLANT</t>
  </si>
  <si>
    <t>POLES, TOWERS &amp; FIXTURES</t>
  </si>
  <si>
    <t>LINE TRANSFORMERS</t>
  </si>
  <si>
    <t>OVERHEAD SERVICES</t>
  </si>
  <si>
    <t>UNDERGROUND SERVICE</t>
  </si>
  <si>
    <t>METERS</t>
  </si>
  <si>
    <t>METERS - AMI</t>
  </si>
  <si>
    <t>STREET LIGHTING &amp; SIGNAL SYSTEMS</t>
  </si>
  <si>
    <t>GENERAL PLANT</t>
  </si>
  <si>
    <t>OFFICE FURNITURE &amp; EQUIPMENT - AMORT</t>
  </si>
  <si>
    <t>COMPUTER EQUIPMENT - AMORT</t>
  </si>
  <si>
    <t>DATA HANDLING EQUIPMENT - AMORT</t>
  </si>
  <si>
    <t>MAINFRAME EQUIPMENT - AMORT</t>
  </si>
  <si>
    <t>LIGHT TRUCKS - ENERGY DELIVERY</t>
  </si>
  <si>
    <t>HEAVY TRUCKS  - ENERGY DELIVERY</t>
  </si>
  <si>
    <t>MEDIUM TRUCKS - ENERGY DELIVERY</t>
  </si>
  <si>
    <t>LIGHT TRUCKS - ENERGY SUPPLY</t>
  </si>
  <si>
    <t>HEAVY TRUCKS - ENERGY SUPPLY</t>
  </si>
  <si>
    <t>MEDIUM TRUCKS - ENERGY SUPPLY</t>
  </si>
  <si>
    <t>STORES EQUIPMENT - AMORT</t>
  </si>
  <si>
    <t>TOOLS, SHOP &amp; GARAGE EQUIP - AMORT</t>
  </si>
  <si>
    <t>ECCR SOLAR CAR PORT - AMORT</t>
  </si>
  <si>
    <t>LABORATORY EQUIPMENT - AMORT</t>
  </si>
  <si>
    <t>POWER OPERATED EQUIPMENT - AMORT</t>
  </si>
  <si>
    <t>COMMUNICATION EQUIPMENT - AMORT</t>
  </si>
  <si>
    <t>COMMUNICATION EQUIPMENT- FIBER</t>
  </si>
  <si>
    <t>MISCELLANEOUS EQUIPMENT - AMORT</t>
  </si>
  <si>
    <t>Page 9 of 10</t>
  </si>
  <si>
    <t>NON-DEPRECIABLE PROPERTY</t>
  </si>
  <si>
    <t>310's</t>
  </si>
  <si>
    <t>LAND-STEAM PRODUCTION</t>
  </si>
  <si>
    <t>340's</t>
  </si>
  <si>
    <t xml:space="preserve">LAND-OTHER PRODUCTION </t>
  </si>
  <si>
    <t>LAND-TRANSMISSION</t>
  </si>
  <si>
    <t>LAND-DISTRIBUTION</t>
  </si>
  <si>
    <t>LAND-GENERAL</t>
  </si>
  <si>
    <t>INTANGIBLES</t>
  </si>
  <si>
    <t>SOFTWARE - AMORT - 15YR</t>
  </si>
  <si>
    <t>ASSET RETIREMENT COST - AMORT</t>
  </si>
  <si>
    <t>INTANGIBLE SOFTWARE SOLAR 30YR</t>
  </si>
  <si>
    <t>ASSET RETIREMENT OBLIGATION</t>
  </si>
  <si>
    <t>ARO COSTS-STEAM</t>
  </si>
  <si>
    <t>ARO COSTS-OTHER</t>
  </si>
  <si>
    <t>ARO COSTS-DISTRIBUTION</t>
  </si>
  <si>
    <t>ARO COSTS-GENERAL</t>
  </si>
  <si>
    <t>TOTAL ASSET RETIREMENT OBLIGATION</t>
  </si>
  <si>
    <t>RIGHT OF USE ASSET-OPERATING LEASE</t>
  </si>
  <si>
    <t>ACQUISITION ADJUSTMENTS</t>
  </si>
  <si>
    <t>ACQUISITION ADJUSTMENT - OUC</t>
  </si>
  <si>
    <t>ACQUISITION ADJUSTMENT - FPL</t>
  </si>
  <si>
    <t>ACQUISITION ADJUSTMENT - UNION HALL</t>
  </si>
  <si>
    <t>DEPRECIATION RESERVE BALANCES BY ACCOUNT AND SUB-ACCOUNT</t>
  </si>
  <si>
    <t>Provide the depreciation reserve balances for each account or sub-account to which</t>
  </si>
  <si>
    <t>Gross</t>
  </si>
  <si>
    <t>Accrued</t>
  </si>
  <si>
    <t>COR</t>
  </si>
  <si>
    <t>Salvage</t>
  </si>
  <si>
    <t>TOTAL DEPRECIABLE RESERVE</t>
  </si>
  <si>
    <t>TOTAL ELECTRIC PLANT RESERVE</t>
  </si>
  <si>
    <t>FOSSIL DISMANTLING - STEAM</t>
  </si>
  <si>
    <t>FOSSIL DISMANTLING - OTHER</t>
  </si>
  <si>
    <t>TOTAL FOSSIL DISMANTLING</t>
  </si>
  <si>
    <t>TOTAL ELECTRIC UTILITY RESERVE</t>
  </si>
  <si>
    <t>COM</t>
  </si>
  <si>
    <t>IND-PHOS</t>
  </si>
  <si>
    <t>PRODUCTION PLANT COST ($000)</t>
  </si>
  <si>
    <t>13-Mo Avg</t>
  </si>
  <si>
    <t>Tools &amp;</t>
  </si>
  <si>
    <t>Scrubber &amp; Gasifier have diff split</t>
  </si>
  <si>
    <t>Capability</t>
  </si>
  <si>
    <t>Steam</t>
  </si>
  <si>
    <t>FL</t>
  </si>
  <si>
    <t>FL JURIS DEMAND/ENERGY SPLIT</t>
  </si>
  <si>
    <t>Line Number</t>
  </si>
  <si>
    <t>(MW) *</t>
  </si>
  <si>
    <t>Cost</t>
  </si>
  <si>
    <t>Common</t>
  </si>
  <si>
    <t>COMPANY</t>
  </si>
  <si>
    <t>SALES</t>
  </si>
  <si>
    <t>JURIS</t>
  </si>
  <si>
    <t>Demand</t>
  </si>
  <si>
    <t>Energy</t>
  </si>
  <si>
    <t>6</t>
  </si>
  <si>
    <t>7</t>
  </si>
  <si>
    <t>8</t>
  </si>
  <si>
    <t>9</t>
  </si>
  <si>
    <t>10</t>
  </si>
  <si>
    <t>11</t>
  </si>
  <si>
    <t>Steam Production</t>
  </si>
  <si>
    <t xml:space="preserve"> Big Bend Common</t>
  </si>
  <si>
    <t xml:space="preserve"> Big Bend Unit 1</t>
  </si>
  <si>
    <t xml:space="preserve"> Big Bend Unit 2</t>
  </si>
  <si>
    <t xml:space="preserve"> Big Bend Unit 3</t>
  </si>
  <si>
    <t xml:space="preserve"> Big Bend Unit 4</t>
  </si>
  <si>
    <t xml:space="preserve"> Big Bend Unit 4 FGD</t>
  </si>
  <si>
    <t xml:space="preserve"> Big Bend Tools</t>
  </si>
  <si>
    <t xml:space="preserve">  Total Big Bend</t>
  </si>
  <si>
    <t xml:space="preserve">  Steam Prod Dismantling</t>
  </si>
  <si>
    <t>TOTAL STEAM</t>
  </si>
  <si>
    <t>Other Production</t>
  </si>
  <si>
    <t xml:space="preserve">   Big Bend CT4</t>
  </si>
  <si>
    <t xml:space="preserve">   Phillips Station</t>
  </si>
  <si>
    <t xml:space="preserve">   Solar</t>
  </si>
  <si>
    <t xml:space="preserve">   Cty of Tpa Prime Mvrs</t>
  </si>
  <si>
    <t xml:space="preserve">   Bayside Unit 1</t>
  </si>
  <si>
    <t xml:space="preserve">   Bayside Unit 2</t>
  </si>
  <si>
    <t xml:space="preserve">   Bayside Unit 3</t>
  </si>
  <si>
    <t xml:space="preserve">   Bayside Unit 4</t>
  </si>
  <si>
    <t xml:space="preserve">   Bayside Unit 5</t>
  </si>
  <si>
    <t xml:space="preserve">   Bayside Unit 6</t>
  </si>
  <si>
    <t xml:space="preserve">   Bayside Common</t>
  </si>
  <si>
    <t xml:space="preserve">   Polk 1</t>
  </si>
  <si>
    <t xml:space="preserve">   Polk 2</t>
  </si>
  <si>
    <t xml:space="preserve">   Polk 3</t>
  </si>
  <si>
    <t xml:space="preserve">   Polk 4</t>
  </si>
  <si>
    <t xml:space="preserve">   Polk 5</t>
  </si>
  <si>
    <t xml:space="preserve">   Polk 2 CC</t>
  </si>
  <si>
    <t xml:space="preserve">   Polk Common</t>
  </si>
  <si>
    <t xml:space="preserve">  Other Prod Dismantling</t>
  </si>
  <si>
    <t>TOTAL OTHER</t>
  </si>
  <si>
    <t xml:space="preserve"> Total Steam &amp; Other Gen</t>
  </si>
  <si>
    <t xml:space="preserve">       </t>
  </si>
  <si>
    <t xml:space="preserve">   Big Bend CT5</t>
  </si>
  <si>
    <t xml:space="preserve">   Big Bend CT6</t>
  </si>
  <si>
    <t xml:space="preserve">   Big Bend ST1</t>
  </si>
  <si>
    <t>Polk Common</t>
  </si>
  <si>
    <t>Polk Unit 1</t>
  </si>
  <si>
    <t xml:space="preserve"> Big Bend Tools Amort.</t>
  </si>
  <si>
    <t xml:space="preserve">   Cty of Tpa Prim Mvrs</t>
  </si>
  <si>
    <t>this % tells me how to extract</t>
  </si>
  <si>
    <t xml:space="preserve">this calculates $ amount </t>
  </si>
  <si>
    <t>the gasifier on the production tab</t>
  </si>
  <si>
    <t>of gasifier to remove from:</t>
  </si>
  <si>
    <t>from Polk Common or from Polk 1</t>
  </si>
  <si>
    <t>Polk Common or Polk 1</t>
  </si>
  <si>
    <t>PAC</t>
  </si>
  <si>
    <t>Property Unit</t>
  </si>
  <si>
    <t>Group</t>
  </si>
  <si>
    <t>Gasification</t>
  </si>
  <si>
    <t>Polk 1</t>
  </si>
  <si>
    <t>A01</t>
  </si>
  <si>
    <t>Administration Building-A01-O</t>
  </si>
  <si>
    <t>C</t>
  </si>
  <si>
    <t>A03</t>
  </si>
  <si>
    <t>Area Structures-A03-O</t>
  </si>
  <si>
    <t>A07</t>
  </si>
  <si>
    <t>Control Building-A07-O</t>
  </si>
  <si>
    <t>A11</t>
  </si>
  <si>
    <t>Facilities Building-A11-O</t>
  </si>
  <si>
    <t>A13</t>
  </si>
  <si>
    <t>Fire / Water Building-A13-O</t>
  </si>
  <si>
    <t>A14</t>
  </si>
  <si>
    <t>Guard House-A14-O</t>
  </si>
  <si>
    <t>A18</t>
  </si>
  <si>
    <t>Maintenance Building-A18-O</t>
  </si>
  <si>
    <t>A20</t>
  </si>
  <si>
    <t>Plant Water-A20-O</t>
  </si>
  <si>
    <t>A26</t>
  </si>
  <si>
    <t>Reverse Osmosis-A26-O</t>
  </si>
  <si>
    <t>A27</t>
  </si>
  <si>
    <t>Sanitary Sewer-A27-O</t>
  </si>
  <si>
    <t>A31</t>
  </si>
  <si>
    <t>Storm Sewer-A31-O</t>
  </si>
  <si>
    <t>A36</t>
  </si>
  <si>
    <t>Warehouse-A36-O</t>
  </si>
  <si>
    <t>A39</t>
  </si>
  <si>
    <t>Water Treating Building-A39-O</t>
  </si>
  <si>
    <t>A41</t>
  </si>
  <si>
    <t>Yard Area-A41-O</t>
  </si>
  <si>
    <t>B26</t>
  </si>
  <si>
    <t>Equipment-B26-O</t>
  </si>
  <si>
    <t>B46</t>
  </si>
  <si>
    <t>Mobile Equipment-B46-O</t>
  </si>
  <si>
    <t>B47</t>
  </si>
  <si>
    <t>Primary Air / Seal Air-B47-O</t>
  </si>
  <si>
    <t>B48</t>
  </si>
  <si>
    <t>Reheat Systems-B48-O</t>
  </si>
  <si>
    <t>B51</t>
  </si>
  <si>
    <t>Sampling-B51-O</t>
  </si>
  <si>
    <t>B63</t>
  </si>
  <si>
    <t>Tank-B63-O</t>
  </si>
  <si>
    <t>C24</t>
  </si>
  <si>
    <t>Injection / Reinjection-C24-O</t>
  </si>
  <si>
    <t>D13</t>
  </si>
  <si>
    <t>Fire Protection / Detection-D13-O</t>
  </si>
  <si>
    <t>D19</t>
  </si>
  <si>
    <t>Cooling Tower-D19-O</t>
  </si>
  <si>
    <t>D24</t>
  </si>
  <si>
    <t>Water Systems-D24-O</t>
  </si>
  <si>
    <t>E03</t>
  </si>
  <si>
    <t>Communications-E03-O</t>
  </si>
  <si>
    <t>E16</t>
  </si>
  <si>
    <t>Station Equipment / Tools-E16-O</t>
  </si>
  <si>
    <t>ent</t>
  </si>
  <si>
    <t>Amortizable Equipment|O</t>
  </si>
  <si>
    <t>tiz</t>
  </si>
  <si>
    <t>Non Unitized</t>
  </si>
  <si>
    <t>Polk Common to Station</t>
  </si>
  <si>
    <t>A02</t>
  </si>
  <si>
    <t>Analyzing Building-A02-O</t>
  </si>
  <si>
    <t>G</t>
  </si>
  <si>
    <t>A04</t>
  </si>
  <si>
    <t>Boiler Building-A04-O</t>
  </si>
  <si>
    <t>A23</t>
  </si>
  <si>
    <t>Preparation Building-A23-O</t>
  </si>
  <si>
    <t>A30</t>
  </si>
  <si>
    <t>Storage Building-A30-O</t>
  </si>
  <si>
    <t>A32</t>
  </si>
  <si>
    <t>Sumps-A32-O</t>
  </si>
  <si>
    <t>B03</t>
  </si>
  <si>
    <t>Air Separation-B03-O</t>
  </si>
  <si>
    <t>B04</t>
  </si>
  <si>
    <t>Auxiliary Boiler-B04-O</t>
  </si>
  <si>
    <t>B06</t>
  </si>
  <si>
    <t>Base Coal-B06-O</t>
  </si>
  <si>
    <t>B13</t>
  </si>
  <si>
    <t>Burners-B13-O</t>
  </si>
  <si>
    <t>B14</t>
  </si>
  <si>
    <t>Chemical Treatment / Cleaning-B14-O</t>
  </si>
  <si>
    <t>B16</t>
  </si>
  <si>
    <t>Conveyor - Coal Handling-B16-O</t>
  </si>
  <si>
    <t>B17</t>
  </si>
  <si>
    <t>Cooling-B17-O</t>
  </si>
  <si>
    <t>B24</t>
  </si>
  <si>
    <t>Dust Collection / Suppression-B24-O</t>
  </si>
  <si>
    <t>B32</t>
  </si>
  <si>
    <t>Flare-B32-O</t>
  </si>
  <si>
    <t>B36</t>
  </si>
  <si>
    <t>Gasification-B36-O</t>
  </si>
  <si>
    <t>B41</t>
  </si>
  <si>
    <t>Injection Systems-B41-O</t>
  </si>
  <si>
    <t>B45</t>
  </si>
  <si>
    <t>Mill Pulverizer-B45-O</t>
  </si>
  <si>
    <t>B53</t>
  </si>
  <si>
    <t>Slurry Preparation-B53-O</t>
  </si>
  <si>
    <t>B54</t>
  </si>
  <si>
    <t>Slurry Water-B54-O</t>
  </si>
  <si>
    <t>B55</t>
  </si>
  <si>
    <t>Soot Blower-B55-O</t>
  </si>
  <si>
    <t>B59</t>
  </si>
  <si>
    <t>Stripping-B59-O</t>
  </si>
  <si>
    <t>B65</t>
  </si>
  <si>
    <t>Unloaders-B65-O</t>
  </si>
  <si>
    <t>B67</t>
  </si>
  <si>
    <t>Water Systems-B67-O</t>
  </si>
  <si>
    <t>C01</t>
  </si>
  <si>
    <t>Absorber-C01-O</t>
  </si>
  <si>
    <t>C02</t>
  </si>
  <si>
    <t>Acid Gas-C02-O</t>
  </si>
  <si>
    <t>C03</t>
  </si>
  <si>
    <t>Acid Gas Removal-C03-O</t>
  </si>
  <si>
    <t>C04</t>
  </si>
  <si>
    <t>Black Water Handling-C04-O</t>
  </si>
  <si>
    <t>C05</t>
  </si>
  <si>
    <t>Brine-C05-O</t>
  </si>
  <si>
    <t>C10</t>
  </si>
  <si>
    <t>Dewatering-C10-O</t>
  </si>
  <si>
    <t>C15</t>
  </si>
  <si>
    <t>Fines Filtration-C15-O</t>
  </si>
  <si>
    <t>C20</t>
  </si>
  <si>
    <t>Fly Ash Handling-C20-O</t>
  </si>
  <si>
    <t>C21</t>
  </si>
  <si>
    <t>Gas Cooling-C21-O</t>
  </si>
  <si>
    <t>C22</t>
  </si>
  <si>
    <t>Greywater Handling-C22-O</t>
  </si>
  <si>
    <t>C34</t>
  </si>
  <si>
    <t>Scrubber-C34-O</t>
  </si>
  <si>
    <t>C35</t>
  </si>
  <si>
    <t>Scrubbing-C35-O</t>
  </si>
  <si>
    <t>C36</t>
  </si>
  <si>
    <t>Slag Handling-C36-O</t>
  </si>
  <si>
    <t>C37</t>
  </si>
  <si>
    <t>Slag / Bottom Ash Handling-C37-O</t>
  </si>
  <si>
    <t>C40</t>
  </si>
  <si>
    <t>Sulfur Recovery-C40-O</t>
  </si>
  <si>
    <t>C41</t>
  </si>
  <si>
    <t>Sulfur / Ammonia Reboiler-C41-O</t>
  </si>
  <si>
    <t>D29</t>
  </si>
  <si>
    <t>Oxygen-D29-O</t>
  </si>
  <si>
    <t>Gasification System</t>
  </si>
  <si>
    <t>A09</t>
  </si>
  <si>
    <t>Electrical Building-A09-O</t>
  </si>
  <si>
    <t>PB</t>
  </si>
  <si>
    <t>A21</t>
  </si>
  <si>
    <t>Ponds &amp; Storage Areas-A21-O</t>
  </si>
  <si>
    <t>A34</t>
  </si>
  <si>
    <t>Turbine Building-A34-O</t>
  </si>
  <si>
    <t>B07</t>
  </si>
  <si>
    <t>Blowdown / Blowoff / Vent / D-B07-O</t>
  </si>
  <si>
    <t>B08</t>
  </si>
  <si>
    <t>Boiler Pressure Parts-B08-O</t>
  </si>
  <si>
    <t>B19</t>
  </si>
  <si>
    <t>Demineralizer-B19-O</t>
  </si>
  <si>
    <t>B25</t>
  </si>
  <si>
    <t>Economizer Section-B25-O</t>
  </si>
  <si>
    <t>B42</t>
  </si>
  <si>
    <t>Lube Oil-B42-O</t>
  </si>
  <si>
    <t>B43</t>
  </si>
  <si>
    <t>Lube Oil-B43-O</t>
  </si>
  <si>
    <t>B49</t>
  </si>
  <si>
    <t>Reheater Section-B49-O</t>
  </si>
  <si>
    <t>B56</t>
  </si>
  <si>
    <t>Stack-B56-O</t>
  </si>
  <si>
    <t>B68</t>
  </si>
  <si>
    <t>Heat Recovery Steam Generator-B68-O</t>
  </si>
  <si>
    <t>C12</t>
  </si>
  <si>
    <t>Ductwork-C12-O</t>
  </si>
  <si>
    <t>D01</t>
  </si>
  <si>
    <t>Pedestal-D01-O</t>
  </si>
  <si>
    <t>D02</t>
  </si>
  <si>
    <t>HP Turbine-D02-O</t>
  </si>
  <si>
    <t>D05</t>
  </si>
  <si>
    <t>Other Equipment / Insulation-D05-O</t>
  </si>
  <si>
    <t>D06</t>
  </si>
  <si>
    <t>Generator-D06-O</t>
  </si>
  <si>
    <t>D07</t>
  </si>
  <si>
    <t>Exciter-D07-O</t>
  </si>
  <si>
    <t>D08</t>
  </si>
  <si>
    <t>EHC System-D08-O</t>
  </si>
  <si>
    <t>D09</t>
  </si>
  <si>
    <t>Gland Seal / Steam-D09-O</t>
  </si>
  <si>
    <t>D10</t>
  </si>
  <si>
    <t>Lube Oil / Conditioning-D10-O</t>
  </si>
  <si>
    <t>D12</t>
  </si>
  <si>
    <t>Seal Oil-D12-O</t>
  </si>
  <si>
    <t>D14</t>
  </si>
  <si>
    <t>Condenser-D14-O</t>
  </si>
  <si>
    <t>D15</t>
  </si>
  <si>
    <t>Condensate-D15-O</t>
  </si>
  <si>
    <t>D17</t>
  </si>
  <si>
    <t>Circulating Water-D17-O</t>
  </si>
  <si>
    <t>D20</t>
  </si>
  <si>
    <t>Air Removal-D20-O</t>
  </si>
  <si>
    <t>D25</t>
  </si>
  <si>
    <t>Hydrogen-D25-O</t>
  </si>
  <si>
    <t>D26</t>
  </si>
  <si>
    <t>Nitrogen-D26-O</t>
  </si>
  <si>
    <t>D27</t>
  </si>
  <si>
    <t>Steam Drains / Vents-D27-O</t>
  </si>
  <si>
    <t>D32</t>
  </si>
  <si>
    <t>CSA Turbine Components-D32-O</t>
  </si>
  <si>
    <t>E05</t>
  </si>
  <si>
    <t>Conductor-E05-O</t>
  </si>
  <si>
    <t>E13</t>
  </si>
  <si>
    <t>Structures-E13-O</t>
  </si>
  <si>
    <t>Power Block for Unit 1</t>
  </si>
  <si>
    <t>A12</t>
  </si>
  <si>
    <t>Fire Protection-A12-O</t>
  </si>
  <si>
    <t>PC</t>
  </si>
  <si>
    <t>A25</t>
  </si>
  <si>
    <t>Recycle Water-A25-O</t>
  </si>
  <si>
    <t>A28</t>
  </si>
  <si>
    <t>Service Water-A28-O</t>
  </si>
  <si>
    <t>A38</t>
  </si>
  <si>
    <t>Waste Water Treatment-A38-O</t>
  </si>
  <si>
    <t>A40</t>
  </si>
  <si>
    <t>Water Treatment-A40-O</t>
  </si>
  <si>
    <t>B12</t>
  </si>
  <si>
    <t>Bunker / Bin-B12-O</t>
  </si>
  <si>
    <t>B15</t>
  </si>
  <si>
    <t>Condensate-B15-O</t>
  </si>
  <si>
    <t>B23</t>
  </si>
  <si>
    <t>Ductwork-B23-O</t>
  </si>
  <si>
    <t>B29</t>
  </si>
  <si>
    <t>Feedwater-B29-O</t>
  </si>
  <si>
    <t>B34</t>
  </si>
  <si>
    <t>Fuel-B34-O</t>
  </si>
  <si>
    <t>B35</t>
  </si>
  <si>
    <t>Fuel Piping-B35-O</t>
  </si>
  <si>
    <t>B37</t>
  </si>
  <si>
    <t>Heat Tracing-B37-O</t>
  </si>
  <si>
    <t>B44</t>
  </si>
  <si>
    <t>Main Steam-B44-O</t>
  </si>
  <si>
    <t>B58</t>
  </si>
  <si>
    <t>Steam Piping-B58-O</t>
  </si>
  <si>
    <t>B60</t>
  </si>
  <si>
    <t>Structures-B60-O</t>
  </si>
  <si>
    <t>C07</t>
  </si>
  <si>
    <t>Chemical Feed System-C07-O</t>
  </si>
  <si>
    <t>C08</t>
  </si>
  <si>
    <t>Condensate-C08-O</t>
  </si>
  <si>
    <t>C39</t>
  </si>
  <si>
    <t>Steam Systems-C39-O</t>
  </si>
  <si>
    <t>C49</t>
  </si>
  <si>
    <t>Water Systems-C49-O</t>
  </si>
  <si>
    <t>D11</t>
  </si>
  <si>
    <t>Cooling Systems-D11-O</t>
  </si>
  <si>
    <t>D28</t>
  </si>
  <si>
    <t>Blowdown / Vents-D28-O</t>
  </si>
  <si>
    <t>E01</t>
  </si>
  <si>
    <t>Auxiliary  / Emergency Equipm-E01-O</t>
  </si>
  <si>
    <t>E02</t>
  </si>
  <si>
    <t>Cable / Wire-E02-O</t>
  </si>
  <si>
    <t>E04</t>
  </si>
  <si>
    <t>Computer-E04-O</t>
  </si>
  <si>
    <t>E06</t>
  </si>
  <si>
    <t>Control / Monitoring Devices-E06-O</t>
  </si>
  <si>
    <t>E07</t>
  </si>
  <si>
    <t>Cranes / Hoists-E07-O</t>
  </si>
  <si>
    <t>E08</t>
  </si>
  <si>
    <t>Instrument Air-E08-O</t>
  </si>
  <si>
    <t>E09</t>
  </si>
  <si>
    <t>Panels-E09-O</t>
  </si>
  <si>
    <t>E10</t>
  </si>
  <si>
    <t>Protective Equipment-E10-O</t>
  </si>
  <si>
    <t>E11</t>
  </si>
  <si>
    <t>Raceway-E11-O</t>
  </si>
  <si>
    <t>E12</t>
  </si>
  <si>
    <t>Station Air-E12-O</t>
  </si>
  <si>
    <t>E14</t>
  </si>
  <si>
    <t>Switching Equipment-E14-O</t>
  </si>
  <si>
    <t>E15</t>
  </si>
  <si>
    <t>Transformers-E15-O</t>
  </si>
  <si>
    <t>Polk Common to Unit 1</t>
  </si>
  <si>
    <t>(A)</t>
  </si>
  <si>
    <t>(B)</t>
  </si>
  <si>
    <t>(A) - (B)</t>
  </si>
  <si>
    <t>GASIFIER</t>
  </si>
  <si>
    <t>Polk Total Gasifier</t>
  </si>
  <si>
    <t>CETM Amortization</t>
  </si>
  <si>
    <t>Amount</t>
  </si>
  <si>
    <t>PRODUCTION PLANT ACCUM RESERVE FOR DEPREC ($000)</t>
  </si>
  <si>
    <t>TOTAL OTHER PROD</t>
  </si>
  <si>
    <t>PRODUCTION PLANT DEPRECIATION EXPENSE ($000)</t>
  </si>
  <si>
    <t>Bayside ST 1</t>
  </si>
  <si>
    <t>Bayside SCT 1A</t>
  </si>
  <si>
    <t>Bayside CT 1B</t>
  </si>
  <si>
    <t>Bayside CT 1C</t>
  </si>
  <si>
    <t>Bayside 1 Peak Fire</t>
  </si>
  <si>
    <t>Bayside ST 2</t>
  </si>
  <si>
    <t>Bayside CT 2A</t>
  </si>
  <si>
    <t>Bayside CT 2B</t>
  </si>
  <si>
    <t>Bayside CT 2C</t>
  </si>
  <si>
    <t>Bayside CT 2D</t>
  </si>
  <si>
    <t>Bayside 2 Peak Fire</t>
  </si>
  <si>
    <t>Bayside 3</t>
  </si>
  <si>
    <t>Bayside 4</t>
  </si>
  <si>
    <t>Bayside 5</t>
  </si>
  <si>
    <t>Bayside 6</t>
  </si>
  <si>
    <t>Big Bend 4 (Coal)</t>
  </si>
  <si>
    <t>Big Bend 4 (Gas)</t>
  </si>
  <si>
    <t>Big Bend CT 4</t>
  </si>
  <si>
    <t>Big Bend CT 5</t>
  </si>
  <si>
    <t>Big Bend CT 6</t>
  </si>
  <si>
    <t>Polk 1 (Syngas with Cofire)</t>
  </si>
  <si>
    <t>Polk 1 (Syngas)</t>
  </si>
  <si>
    <t>Polk 1 (Gas)</t>
  </si>
  <si>
    <t>Polk ST 2</t>
  </si>
  <si>
    <t>Polk 2 (Gas)</t>
  </si>
  <si>
    <t>Polk 2 (Oil)</t>
  </si>
  <si>
    <t>Polk 3 (Gas)</t>
  </si>
  <si>
    <t>Polk 3 (Oil)</t>
  </si>
  <si>
    <t>Polk 4 (Gas)</t>
  </si>
  <si>
    <t>Polk 5 (Gas)</t>
  </si>
  <si>
    <t>Unit</t>
  </si>
  <si>
    <t>TIA Solar</t>
  </si>
  <si>
    <t>Legoland Solar</t>
  </si>
  <si>
    <t>Big Bend Solar &amp; Battery</t>
  </si>
  <si>
    <t>Balm Solar</t>
  </si>
  <si>
    <t>Payne Creek Solar</t>
  </si>
  <si>
    <t>Lithia Solar</t>
  </si>
  <si>
    <t>Grange Hall Solar</t>
  </si>
  <si>
    <t>Peace Creek Solar</t>
  </si>
  <si>
    <t>Bonnie Mine Solar</t>
  </si>
  <si>
    <t>Lake Hancock Solar</t>
  </si>
  <si>
    <t>Wimauma Solar</t>
  </si>
  <si>
    <t>Durrance Solar</t>
  </si>
  <si>
    <t>Magnolia Solar</t>
  </si>
  <si>
    <t>Big Bend II Solar</t>
  </si>
  <si>
    <t>Mountain View Solar</t>
  </si>
  <si>
    <t>Jamison Solar</t>
  </si>
  <si>
    <t>NDC Primary Winter</t>
  </si>
  <si>
    <t>Big Bend 3 (Gas)</t>
  </si>
  <si>
    <t>NDC Primary Summer</t>
  </si>
  <si>
    <t>Bayside Unit 1</t>
  </si>
  <si>
    <t>Bayside Unit 2</t>
  </si>
  <si>
    <t>Bayside Unit 3</t>
  </si>
  <si>
    <t>Bayside Unit 4</t>
  </si>
  <si>
    <t>Bayside Unit 5</t>
  </si>
  <si>
    <t>Bayside Unit 6</t>
  </si>
  <si>
    <t>COS Classification</t>
  </si>
  <si>
    <t>Big Bend Unit 3</t>
  </si>
  <si>
    <t>Big Bend Unit 4</t>
  </si>
  <si>
    <t>Polk 2</t>
  </si>
  <si>
    <t>Polk 3</t>
  </si>
  <si>
    <t>Polk 4</t>
  </si>
  <si>
    <t>Polk 5</t>
  </si>
  <si>
    <t>Big Bend CT4</t>
  </si>
  <si>
    <t>Big Bend CT5</t>
  </si>
  <si>
    <t>Big Bend CT6</t>
  </si>
  <si>
    <t>Polk 2 CC</t>
  </si>
  <si>
    <t>Little Manatee River Solar</t>
  </si>
  <si>
    <t>Riverside Solar</t>
  </si>
  <si>
    <t>Laurel Oaks Solar</t>
  </si>
  <si>
    <t>Big Bend III Solar</t>
  </si>
  <si>
    <t>PNT</t>
  </si>
  <si>
    <t>Location</t>
  </si>
  <si>
    <t>Jul</t>
  </si>
  <si>
    <t>Asset Cost</t>
  </si>
  <si>
    <t>28</t>
  </si>
  <si>
    <t>31</t>
  </si>
  <si>
    <t>BS 1</t>
  </si>
  <si>
    <t>BS 1 CCST</t>
  </si>
  <si>
    <t>BS 2 CCST</t>
  </si>
  <si>
    <t>32</t>
  </si>
  <si>
    <t>BS 2</t>
  </si>
  <si>
    <t>BS 3</t>
  </si>
  <si>
    <t>BS 4</t>
  </si>
  <si>
    <t>BS 5</t>
  </si>
  <si>
    <t>BS 6</t>
  </si>
  <si>
    <t>40</t>
  </si>
  <si>
    <t>BB C</t>
  </si>
  <si>
    <t>41</t>
  </si>
  <si>
    <t>BB 1</t>
  </si>
  <si>
    <t>42</t>
  </si>
  <si>
    <t>BB 2</t>
  </si>
  <si>
    <t>43</t>
  </si>
  <si>
    <t>BB 3</t>
  </si>
  <si>
    <t>44</t>
  </si>
  <si>
    <t>BB 4</t>
  </si>
  <si>
    <t>BB CT 4</t>
  </si>
  <si>
    <t>49</t>
  </si>
  <si>
    <t>BB CT 1</t>
  </si>
  <si>
    <t>53</t>
  </si>
  <si>
    <t>Gan 3</t>
  </si>
  <si>
    <t>54</t>
  </si>
  <si>
    <t>Gan 4</t>
  </si>
  <si>
    <t>55</t>
  </si>
  <si>
    <t>Gan 5</t>
  </si>
  <si>
    <t>56</t>
  </si>
  <si>
    <t>Gan 6</t>
  </si>
  <si>
    <t>81</t>
  </si>
  <si>
    <t>PK 1</t>
  </si>
  <si>
    <t>82</t>
  </si>
  <si>
    <t>PK 2</t>
  </si>
  <si>
    <t>PK2-5 CCST</t>
  </si>
  <si>
    <t>83</t>
  </si>
  <si>
    <t>PK 3</t>
  </si>
  <si>
    <t>84</t>
  </si>
  <si>
    <t>PK 4</t>
  </si>
  <si>
    <t>85</t>
  </si>
  <si>
    <t>PK 5</t>
  </si>
  <si>
    <t>800T-BALM SOLAR</t>
  </si>
  <si>
    <t>801T- PAYNE CREEK SOLAR</t>
  </si>
  <si>
    <t>802T- LITHIA SOLAR</t>
  </si>
  <si>
    <t>804T- PEACE CREEK SOLAR</t>
  </si>
  <si>
    <t>805T- GRANGE HALL SOLAR</t>
  </si>
  <si>
    <t>806T- WIMAUMA SOLAR</t>
  </si>
  <si>
    <t>808T- LAKE HANCOCK SOLAR</t>
  </si>
  <si>
    <t>809T- BONNIE MINE SOLAR</t>
  </si>
  <si>
    <t>811T- LITTLE MANATEE RIVER SOLAR</t>
  </si>
  <si>
    <t>812T- DURRANCE SOLAR</t>
  </si>
  <si>
    <t>810T- MOUNTAIN VIEW SOLAR</t>
  </si>
  <si>
    <t>814T- MAGNOLIA SOLAR SUBSTATION</t>
  </si>
  <si>
    <t>816T- JAMISON SOLAR SUBSTATION</t>
  </si>
  <si>
    <t>817T-BIG BEND II SOLAR SUBST</t>
  </si>
  <si>
    <t>GSU RESERVE</t>
  </si>
  <si>
    <t>GSU DEPRECIATION</t>
  </si>
  <si>
    <t>Annual</t>
  </si>
  <si>
    <t>ASSET COST - INTERCONNECT</t>
  </si>
  <si>
    <t>Circuit Number &amp; Description</t>
  </si>
  <si>
    <t>13-Mth Avg</t>
  </si>
  <si>
    <t>TOTAL ASSET</t>
  </si>
  <si>
    <t>RESERVE - INTERCONNECT</t>
  </si>
  <si>
    <t>TOTAL RESERVE</t>
  </si>
  <si>
    <t>DEPRECIATION - INTERCONNECT</t>
  </si>
  <si>
    <t>TOTAL DEPR EXP</t>
  </si>
  <si>
    <t>13-Month Average</t>
  </si>
  <si>
    <t>Interconnections</t>
  </si>
  <si>
    <t>GSU Investment</t>
  </si>
  <si>
    <t>OUC Acquisition Adjustment</t>
  </si>
  <si>
    <t>(000s)</t>
  </si>
  <si>
    <t>TRANSMISSION PLANT INVESTMENT ($000)</t>
  </si>
  <si>
    <t>HI-VOLT</t>
  </si>
  <si>
    <t>COMMON</t>
  </si>
  <si>
    <t>13 MO</t>
  </si>
  <si>
    <t>Step-Ups &amp;</t>
  </si>
  <si>
    <t>High</t>
  </si>
  <si>
    <t>SUBSTATION</t>
  </si>
  <si>
    <t>AVG PLANT</t>
  </si>
  <si>
    <t>Interconnects</t>
  </si>
  <si>
    <t>Volt</t>
  </si>
  <si>
    <t>Lines</t>
  </si>
  <si>
    <t>&amp; LINES</t>
  </si>
  <si>
    <t>Substation Land</t>
  </si>
  <si>
    <t>Line Land</t>
  </si>
  <si>
    <t>Subtotal Land</t>
  </si>
  <si>
    <t>Line Right of Way</t>
  </si>
  <si>
    <t>Subtotal 350 (substa)</t>
  </si>
  <si>
    <t>Subtotal 350 (lines)</t>
  </si>
  <si>
    <t>TOTAL  ACCT 350 - LAND &amp; ROW</t>
  </si>
  <si>
    <t>Struct &amp; Improvements</t>
  </si>
  <si>
    <t>*353</t>
  </si>
  <si>
    <t>Station Equipment</t>
  </si>
  <si>
    <t xml:space="preserve">  * includes solar</t>
  </si>
  <si>
    <t>TOTAL ACCTS 352 &amp; 353 *</t>
  </si>
  <si>
    <t>Towers &amp; Fixtures</t>
  </si>
  <si>
    <t>Poles &amp; Fixtures</t>
  </si>
  <si>
    <t>OH Conductors</t>
  </si>
  <si>
    <t>Clearing ROW</t>
  </si>
  <si>
    <t>UG Conduit</t>
  </si>
  <si>
    <t>UG Cables &amp; Fixtures</t>
  </si>
  <si>
    <t>Roads &amp; Trails</t>
  </si>
  <si>
    <t>TOTAL ACCTS 354-359</t>
  </si>
  <si>
    <t>TOTAL TRANSMISSION *</t>
  </si>
  <si>
    <t>SUMMARY</t>
  </si>
  <si>
    <t>TOTAL TRANS SUBSTATION *</t>
  </si>
  <si>
    <t>TOTAL TRANS LINES</t>
  </si>
  <si>
    <t>DERIVATION OF TRANSMISSION PLANT INTERNAL ALLOCATORS</t>
  </si>
  <si>
    <t>T1000</t>
  </si>
  <si>
    <t>Transmission Substation Structures</t>
  </si>
  <si>
    <t>Step Ups &amp;
Interconnects</t>
  </si>
  <si>
    <t>Hi_Volt</t>
  </si>
  <si>
    <t>Substation 
&amp; Lines</t>
  </si>
  <si>
    <t>Structures &amp; Improvements</t>
  </si>
  <si>
    <t>Station Equipment *</t>
  </si>
  <si>
    <t>Total $'s *</t>
  </si>
  <si>
    <t>Total %</t>
  </si>
  <si>
    <t>T1001</t>
  </si>
  <si>
    <t>Transmission Substation Poles, Lines &amp; Fixtures</t>
  </si>
  <si>
    <t>Lines (excl ROW)</t>
  </si>
  <si>
    <t>354-359</t>
  </si>
  <si>
    <t>Towers, Poles &amp; Conductors</t>
  </si>
  <si>
    <t>Total $'s</t>
  </si>
  <si>
    <t>TRANSMISSION ACCUM RESERVE FOR DEPRECIATION ($000)</t>
  </si>
  <si>
    <t>Hi-Volt</t>
  </si>
  <si>
    <t>TRANSMISSION DEPRECIATION EXPENSE ($000)</t>
  </si>
  <si>
    <t>TRANSMISSION VOLTAGE LEVEL DETAIL</t>
  </si>
  <si>
    <t>(1) TRANSMISSION LINE INVESTMENT BY VOLTAGE LEVEL</t>
  </si>
  <si>
    <t>HI-</t>
  </si>
  <si>
    <t>VOLT</t>
  </si>
  <si>
    <t>ACCT</t>
  </si>
  <si>
    <t>69KV</t>
  </si>
  <si>
    <t>138KV</t>
  </si>
  <si>
    <t>230KV</t>
  </si>
  <si>
    <t>EOY TOTAL</t>
  </si>
  <si>
    <t>%</t>
  </si>
  <si>
    <t>LAND</t>
  </si>
  <si>
    <t>LAND RIGHTS</t>
  </si>
  <si>
    <t>TOWERS AND FIXTURES</t>
  </si>
  <si>
    <t>POLES AND FIXTURES</t>
  </si>
  <si>
    <t>CONDUCTOR AND DEVICES</t>
  </si>
  <si>
    <t>CLEARING R/W</t>
  </si>
  <si>
    <t>CONDUIT</t>
  </si>
  <si>
    <t>UNDG. CONDUCTOR</t>
  </si>
  <si>
    <t>TOTAL TRANSMISSION LINE</t>
  </si>
  <si>
    <t>(2) TRANSMISSION LINE ACCUM RESERVE BY VOLTAGE LEVEL</t>
  </si>
  <si>
    <t>(3) RATIO FOR ALLOCATION OF TRANSMISSION ACCOUNTS BASED ON VOLTAGE LEVEL DETAIL</t>
  </si>
  <si>
    <t>SUBTRANSM</t>
  </si>
  <si>
    <t>Right of Way</t>
  </si>
  <si>
    <t>Poles &amp; Fixtures - CIAC</t>
  </si>
  <si>
    <t>OH Conductors - CIAC</t>
  </si>
  <si>
    <t>Clearing &amp; ROW</t>
  </si>
  <si>
    <t>TRANSMISSION INVESTMENT BREAKDOWN</t>
  </si>
  <si>
    <t>ACCOUNT</t>
  </si>
  <si>
    <t>AVG</t>
  </si>
  <si>
    <t>Variance</t>
  </si>
  <si>
    <t xml:space="preserve">   TOTAL ASSET COST</t>
  </si>
  <si>
    <t xml:space="preserve">   TOTAL RESERVE</t>
  </si>
  <si>
    <t xml:space="preserve">NET BOOK </t>
  </si>
  <si>
    <t xml:space="preserve">   TOTAL NBV</t>
  </si>
  <si>
    <t>TRANSMISSION SUBSTATION INVESTMENT</t>
  </si>
  <si>
    <t>Adjust Acct 353</t>
  </si>
  <si>
    <t>Adjust Acct 350</t>
  </si>
  <si>
    <t>Adjust Acct 352</t>
  </si>
  <si>
    <t>TOTAL ACCTS</t>
  </si>
  <si>
    <t>REF</t>
  </si>
  <si>
    <t>CO.</t>
  </si>
  <si>
    <t>ACCT 353</t>
  </si>
  <si>
    <t>PIS and 13-Mo</t>
  </si>
  <si>
    <t>ACCT 350</t>
  </si>
  <si>
    <t>ACCT 352</t>
  </si>
  <si>
    <t>353+350+352</t>
  </si>
  <si>
    <t>NO.</t>
  </si>
  <si>
    <t>ID.</t>
  </si>
  <si>
    <t>TOTAL $</t>
  </si>
  <si>
    <t>Avg Factors (*)</t>
  </si>
  <si>
    <t>LAND $</t>
  </si>
  <si>
    <t>STRUCTURE</t>
  </si>
  <si>
    <t>INVESTMENT $</t>
  </si>
  <si>
    <t>002T</t>
  </si>
  <si>
    <t>002T-HOOKER'S POINT</t>
  </si>
  <si>
    <t>003T</t>
  </si>
  <si>
    <t>003T-ELEVENTH AVENUE</t>
  </si>
  <si>
    <t>004T</t>
  </si>
  <si>
    <t>004T-HAMPTON</t>
  </si>
  <si>
    <t>005D</t>
  </si>
  <si>
    <t>005D-HOPEWELL</t>
  </si>
  <si>
    <t>007T</t>
  </si>
  <si>
    <t>007T-LAKE SILVER (W.H)</t>
  </si>
  <si>
    <t>008T</t>
  </si>
  <si>
    <t>008T-DADE CITY</t>
  </si>
  <si>
    <t>034T</t>
  </si>
  <si>
    <t>034T-BIG BEND</t>
  </si>
  <si>
    <t>036T</t>
  </si>
  <si>
    <t>036T-RIDGEWOOD METERING</t>
  </si>
  <si>
    <t>039T</t>
  </si>
  <si>
    <t>039T-MILLPOINT</t>
  </si>
  <si>
    <t>048T</t>
  </si>
  <si>
    <t>048T-CONSERV COGEN INTERC</t>
  </si>
  <si>
    <t>055T</t>
  </si>
  <si>
    <t>055T-USS AGRI-CHEM MTR</t>
  </si>
  <si>
    <t>066T</t>
  </si>
  <si>
    <t>066T-CLEARVIEW</t>
  </si>
  <si>
    <t>080T</t>
  </si>
  <si>
    <t>080T-JACKSON ROAD SUBSTA</t>
  </si>
  <si>
    <t>083T</t>
  </si>
  <si>
    <t>083T-JUNEAU</t>
  </si>
  <si>
    <t>084T</t>
  </si>
  <si>
    <t>084T-HIMES</t>
  </si>
  <si>
    <t>085T</t>
  </si>
  <si>
    <t>085T-ARIANA</t>
  </si>
  <si>
    <t>089T</t>
  </si>
  <si>
    <t>089T-RIVER</t>
  </si>
  <si>
    <t>093T</t>
  </si>
  <si>
    <t>093T-PEBBLEDALE TRANSMISSION</t>
  </si>
  <si>
    <t>103T</t>
  </si>
  <si>
    <t>103T-RUSKIN</t>
  </si>
  <si>
    <t>112T</t>
  </si>
  <si>
    <t>112T-SOUTH GIBSONTON</t>
  </si>
  <si>
    <t>128T</t>
  </si>
  <si>
    <t>128T-SANDHILL</t>
  </si>
  <si>
    <t>129T</t>
  </si>
  <si>
    <t>129T-GANNON</t>
  </si>
  <si>
    <t>144T</t>
  </si>
  <si>
    <t>144T-SOUTH ELOISE</t>
  </si>
  <si>
    <t>145T</t>
  </si>
  <si>
    <t>145T-STATE ROAD 60</t>
  </si>
  <si>
    <t>150T</t>
  </si>
  <si>
    <t>150T-SHELDON ROAD</t>
  </si>
  <si>
    <t>163T</t>
  </si>
  <si>
    <t>163T-CONSERVE METERING</t>
  </si>
  <si>
    <t>171T</t>
  </si>
  <si>
    <t>171T-FOUR CORNERS MTR</t>
  </si>
  <si>
    <t>173T</t>
  </si>
  <si>
    <t>173T-OHIO</t>
  </si>
  <si>
    <t>196T</t>
  </si>
  <si>
    <t>199T</t>
  </si>
  <si>
    <t>199T-FORT GREEN</t>
  </si>
  <si>
    <t>224T</t>
  </si>
  <si>
    <t>224T-DALE MABRY</t>
  </si>
  <si>
    <t>225T</t>
  </si>
  <si>
    <t>225T-DAVIS ROAD SUBSTATION</t>
  </si>
  <si>
    <t>227T</t>
  </si>
  <si>
    <t>227T-GAPWAY SUB</t>
  </si>
  <si>
    <t>266T</t>
  </si>
  <si>
    <t>266T-MINES</t>
  </si>
  <si>
    <t>274T</t>
  </si>
  <si>
    <t>274T-FOUR CORNERS PLT CAP</t>
  </si>
  <si>
    <t>286T</t>
  </si>
  <si>
    <t>286T-FOUR CORNERS MINE ME</t>
  </si>
  <si>
    <t>303T</t>
  </si>
  <si>
    <t>303T-CHAPMAN SUBSTATION</t>
  </si>
  <si>
    <t>304T</t>
  </si>
  <si>
    <t>304T-FOUR CORNERS M/CAP B</t>
  </si>
  <si>
    <t>311T</t>
  </si>
  <si>
    <t>311T-MCKAY BAY CO-GEN</t>
  </si>
  <si>
    <t>313T</t>
  </si>
  <si>
    <t>313T-CABBAGE HILL</t>
  </si>
  <si>
    <t>318T</t>
  </si>
  <si>
    <t>318T-BELL CREEK</t>
  </si>
  <si>
    <t>319T</t>
  </si>
  <si>
    <t>319T-WHEELER ROAD</t>
  </si>
  <si>
    <t>331T</t>
  </si>
  <si>
    <t>331T-GANNON 69KV SUB STA</t>
  </si>
  <si>
    <t>343T</t>
  </si>
  <si>
    <t>343T-CF INDUSTRIES CO-GEN</t>
  </si>
  <si>
    <t>365T</t>
  </si>
  <si>
    <t>365T-POLK POWER SUB</t>
  </si>
  <si>
    <t>370T</t>
  </si>
  <si>
    <t>370T-AGRICO COMPLEX COGEN</t>
  </si>
  <si>
    <t>374T</t>
  </si>
  <si>
    <t>374T - LITHIA 230kV SWITCHARD</t>
  </si>
  <si>
    <t>376T</t>
  </si>
  <si>
    <t>376T-FOUR CORNERS PRECO # 0376T</t>
  </si>
  <si>
    <t>380T</t>
  </si>
  <si>
    <t>380T-RECKER</t>
  </si>
  <si>
    <t>381T</t>
  </si>
  <si>
    <t>381T-LAKE AGNES SUB</t>
  </si>
  <si>
    <t>386T</t>
  </si>
  <si>
    <t>386T-OSCEOLA SUBSTATION 0386T</t>
  </si>
  <si>
    <t>387T</t>
  </si>
  <si>
    <t>387T-STUDIO SUBSTATION</t>
  </si>
  <si>
    <t>408T</t>
  </si>
  <si>
    <t>408T-Wilderness Substation</t>
  </si>
  <si>
    <t>410T</t>
  </si>
  <si>
    <t>410T-4 CORNERS W METERSTA</t>
  </si>
  <si>
    <t>412T</t>
  </si>
  <si>
    <t>412T-FISHHAWK SUB</t>
  </si>
  <si>
    <t>434T</t>
  </si>
  <si>
    <t>434T-FORT LONESOME PREWSH</t>
  </si>
  <si>
    <t>436T</t>
  </si>
  <si>
    <t>436T-Handcart Road</t>
  </si>
  <si>
    <t>437T</t>
  </si>
  <si>
    <t>437T-Whitehurst Substation</t>
  </si>
  <si>
    <t>438T</t>
  </si>
  <si>
    <t>438T- Little Manatee River 230kV Subst</t>
  </si>
  <si>
    <t>442T</t>
  </si>
  <si>
    <t>442T-South Shore Substation</t>
  </si>
  <si>
    <t>444T</t>
  </si>
  <si>
    <t>444T-Union Substation</t>
  </si>
  <si>
    <t>446T</t>
  </si>
  <si>
    <t>446T-Thonotosassa Sub</t>
  </si>
  <si>
    <t>455T</t>
  </si>
  <si>
    <t>455T-ASPEN</t>
  </si>
  <si>
    <t>459T</t>
  </si>
  <si>
    <t>459T-CARL TAYLOR SUBSTATION</t>
  </si>
  <si>
    <t>463T</t>
  </si>
  <si>
    <t>463T-JAMES HARDIE METERING STATION</t>
  </si>
  <si>
    <t>464T</t>
  </si>
  <si>
    <t>464T-BIG BEND SOLAR SUBSTATION</t>
  </si>
  <si>
    <t>492T</t>
  </si>
  <si>
    <t>492T-DURRANCE 230kV SWITCHYARD</t>
  </si>
  <si>
    <t>493T</t>
  </si>
  <si>
    <t>493T-JAMISON 230KV SWITCHYARD</t>
  </si>
  <si>
    <t>494D</t>
  </si>
  <si>
    <t>494D-STREAMSONG SUBSTATION</t>
  </si>
  <si>
    <t>800T</t>
  </si>
  <si>
    <t>801T</t>
  </si>
  <si>
    <t>802T</t>
  </si>
  <si>
    <t>804T</t>
  </si>
  <si>
    <t>805T</t>
  </si>
  <si>
    <t>806T</t>
  </si>
  <si>
    <t>808T</t>
  </si>
  <si>
    <t>809T</t>
  </si>
  <si>
    <t>810T</t>
  </si>
  <si>
    <t>811T</t>
  </si>
  <si>
    <t>811T- Little Manatee River Solar Subst</t>
  </si>
  <si>
    <t>812T</t>
  </si>
  <si>
    <t>812T-DURRANCE SOLAR SUBSTATION</t>
  </si>
  <si>
    <t>814T</t>
  </si>
  <si>
    <t>816T</t>
  </si>
  <si>
    <t>817T</t>
  </si>
  <si>
    <t>916T</t>
  </si>
  <si>
    <t>916T-HARDEE SUB</t>
  </si>
  <si>
    <t>992T</t>
  </si>
  <si>
    <t>992T-MOBILE SUBSTATION</t>
  </si>
  <si>
    <t>BAY1</t>
  </si>
  <si>
    <t>BAYSIDE POWER UNIT 1 CCST (ABC)</t>
  </si>
  <si>
    <t>BAYC</t>
  </si>
  <si>
    <t>BAYSIDE POWER UNIT 1 CT (ABC)</t>
  </si>
  <si>
    <t>BAY2</t>
  </si>
  <si>
    <t>BAYSIDE POWER UNIT 2 CCST (ABCD)</t>
  </si>
  <si>
    <t>BA2C</t>
  </si>
  <si>
    <t>BAYSIDE POWER UNIT 2 CT (ABCD)</t>
  </si>
  <si>
    <t>BAY3</t>
  </si>
  <si>
    <t>BAYSIDE POWER UNIT 3 CT</t>
  </si>
  <si>
    <t>BAY4</t>
  </si>
  <si>
    <t>BAYSIDE POWER UNIT 4 CT</t>
  </si>
  <si>
    <t>BAY5</t>
  </si>
  <si>
    <t>BAYSIDE POWER UNIT 5 CT</t>
  </si>
  <si>
    <t>BAY6</t>
  </si>
  <si>
    <t>BAYSIDE POWER UNIT 6 CT</t>
  </si>
  <si>
    <t>BBCM</t>
  </si>
  <si>
    <t xml:space="preserve">BB4 </t>
  </si>
  <si>
    <t>BIG BEND CT 4</t>
  </si>
  <si>
    <t>BBU4</t>
  </si>
  <si>
    <t>BIG BEND UNIT 4 BOILER</t>
  </si>
  <si>
    <t>GIF1</t>
  </si>
  <si>
    <t>GIF1T-Bayside GIF</t>
  </si>
  <si>
    <t>Hand</t>
  </si>
  <si>
    <t>Handcard Transmission Sub</t>
  </si>
  <si>
    <t xml:space="preserve">New </t>
  </si>
  <si>
    <t>New Tampa Transmission Easement</t>
  </si>
  <si>
    <t>PKCM</t>
  </si>
  <si>
    <t>POLK STATION COMMON</t>
  </si>
  <si>
    <t xml:space="preserve">PK1 </t>
  </si>
  <si>
    <t>POLK STATION UNIT 1 CCST</t>
  </si>
  <si>
    <t xml:space="preserve">PK2 </t>
  </si>
  <si>
    <t>POLK STATION UNIT 2 CT</t>
  </si>
  <si>
    <t>PK25</t>
  </si>
  <si>
    <t>POLK STATION UNIT 2-5 CCST</t>
  </si>
  <si>
    <t xml:space="preserve">PK3 </t>
  </si>
  <si>
    <t>POLK STATION UNIT 3 CT</t>
  </si>
  <si>
    <t>POLK STATION UNIT 4 CT</t>
  </si>
  <si>
    <t xml:space="preserve">PK5 </t>
  </si>
  <si>
    <t>POLK STATION UNIT 5 CT</t>
  </si>
  <si>
    <t>SPAR</t>
  </si>
  <si>
    <t>SPARE SUB EQT</t>
  </si>
  <si>
    <t>GSU</t>
  </si>
  <si>
    <t>BIG BEND</t>
  </si>
  <si>
    <t>BAYSIDE</t>
  </si>
  <si>
    <t>SEBRING</t>
  </si>
  <si>
    <t>POLK</t>
  </si>
  <si>
    <t>SOLAR</t>
  </si>
  <si>
    <t>SUMMARIZE BY TYPE</t>
  </si>
  <si>
    <t>OF SUBSTATION (REF NO.)</t>
  </si>
  <si>
    <t>1 COMMON (GENERAL)</t>
  </si>
  <si>
    <t>5 STEP UP</t>
  </si>
  <si>
    <t>7 HI VOLT</t>
  </si>
  <si>
    <t>TOTAL IN SVC (ACCT 101)</t>
  </si>
  <si>
    <t>CWIP FACTOR</t>
  </si>
  <si>
    <t>TOTAL (101) PLUS CWIP (106):</t>
  </si>
  <si>
    <t>Substa Land</t>
  </si>
  <si>
    <t>Station Structure</t>
  </si>
  <si>
    <t>TOTAL IN SVC (w/ cwip adj)</t>
  </si>
  <si>
    <t>EOY PLANT ($000)</t>
  </si>
  <si>
    <t>AVG PLANT ($000)</t>
  </si>
  <si>
    <t>AVG PLANT FACTOR</t>
  </si>
  <si>
    <t>TOTAL (101) PLUS CWIP (106) AT AVERAGE PLANT:</t>
  </si>
  <si>
    <t>TOTAL IN SVC (adj for plant factor)</t>
  </si>
  <si>
    <t>TOTAL TRANSM LAND (FERC 350) 13 MO AVG</t>
  </si>
  <si>
    <t>LESS SUBSTATION LAND (DEFINED ABOVE)</t>
  </si>
  <si>
    <t>DIFFERENTIAL = SUBSTATION LINE LAND (FEEDS TRANSM TAB)</t>
  </si>
  <si>
    <t>TRANSM LINE LAND (EOY) FROM TRANS VOLTAGE DETAIL</t>
  </si>
  <si>
    <t>PLUS EOY SUBSTATION LAND (SCH = COL N ABOVE)</t>
  </si>
  <si>
    <t>EOY LAND, FERC ACCT 350</t>
  </si>
  <si>
    <t>Transmission Substation Investment</t>
  </si>
  <si>
    <t>Land</t>
  </si>
  <si>
    <t>Structure</t>
  </si>
  <si>
    <t>Station</t>
  </si>
  <si>
    <t>Grand Total</t>
  </si>
  <si>
    <t>Big Bend</t>
  </si>
  <si>
    <t>Bayside</t>
  </si>
  <si>
    <t>Sebring</t>
  </si>
  <si>
    <t>GSU TOTAL</t>
  </si>
  <si>
    <t>Gross Plant 13 month avg</t>
  </si>
  <si>
    <t>1 = COMMON (GENERAL)</t>
  </si>
  <si>
    <t>7 = HI VOLT</t>
  </si>
  <si>
    <t>Reference Number</t>
  </si>
  <si>
    <t>DISTRIBUTION INVESTMENT BREAKDOWN</t>
  </si>
  <si>
    <t>MASS D</t>
  </si>
  <si>
    <t>LINES</t>
  </si>
  <si>
    <t>LINE TRANSFORMERS - OVERHEAD</t>
  </si>
  <si>
    <t>SERVICES - OVERHEAD</t>
  </si>
  <si>
    <t>SERVICES - UNDERGROUND</t>
  </si>
  <si>
    <t>METERS AMI</t>
  </si>
  <si>
    <t>STREET LIGHTING</t>
  </si>
  <si>
    <t>LS2 LIGHTING</t>
  </si>
  <si>
    <t>ARO DISTRIBUTION</t>
  </si>
  <si>
    <t>ANALYSIS OF OVERHEAD CONDUCTOR (ACCOUNT 365)</t>
  </si>
  <si>
    <t>NET</t>
  </si>
  <si>
    <t>CONDUCTOR</t>
  </si>
  <si>
    <t>Ratio Calc of</t>
  </si>
  <si>
    <t>EMBEDDED</t>
  </si>
  <si>
    <t>FEET</t>
  </si>
  <si>
    <t>Secondary Poles</t>
  </si>
  <si>
    <t>COST</t>
  </si>
  <si>
    <t>Secondary Wires</t>
  </si>
  <si>
    <t>B05</t>
  </si>
  <si>
    <t xml:space="preserve">WIRE CU 4 1/C </t>
  </si>
  <si>
    <t>B27</t>
  </si>
  <si>
    <t>B30</t>
  </si>
  <si>
    <t xml:space="preserve">WIRE CU 6 1/C </t>
  </si>
  <si>
    <t>B31</t>
  </si>
  <si>
    <t xml:space="preserve">WIRE CU 2 1/C </t>
  </si>
  <si>
    <t xml:space="preserve">WIRE CU 1/0 1/C </t>
  </si>
  <si>
    <t>B33</t>
  </si>
  <si>
    <t xml:space="preserve">WIRE CU 2/0 1/C </t>
  </si>
  <si>
    <t>Wire CU 3/0 1/C: B34</t>
  </si>
  <si>
    <t xml:space="preserve">WIRE CU 4/0 1/C </t>
  </si>
  <si>
    <t>B38</t>
  </si>
  <si>
    <t xml:space="preserve">WIRE CU 350M 1/C </t>
  </si>
  <si>
    <t>B39</t>
  </si>
  <si>
    <t xml:space="preserve">WIRE CU 400M 1/C </t>
  </si>
  <si>
    <t>B40</t>
  </si>
  <si>
    <t xml:space="preserve">WIRE CU 500M 1/C </t>
  </si>
  <si>
    <t xml:space="preserve">WIRE CU 750M 1/C </t>
  </si>
  <si>
    <t>B50</t>
  </si>
  <si>
    <t xml:space="preserve">WIRE ACSR 2 1/C </t>
  </si>
  <si>
    <t xml:space="preserve">WIRE ACSR 4/0 1/C </t>
  </si>
  <si>
    <t>B52</t>
  </si>
  <si>
    <t xml:space="preserve">WIRE ACSR 336M 1/C </t>
  </si>
  <si>
    <t xml:space="preserve">WIRE ASCR 636M 1/C </t>
  </si>
  <si>
    <t>WIRE ACSR 954 M 1/C</t>
  </si>
  <si>
    <t>Wire ACSR &amp; ACSS 1590 1/C: B55</t>
  </si>
  <si>
    <t>B57</t>
  </si>
  <si>
    <t xml:space="preserve">WIRE AL 7957 1/C </t>
  </si>
  <si>
    <t xml:space="preserve">WIRE AL 2 1/C </t>
  </si>
  <si>
    <t>B66</t>
  </si>
  <si>
    <t xml:space="preserve">WIRE AL 1/0 1/C </t>
  </si>
  <si>
    <t xml:space="preserve">WIRE AL 2/0 1/C </t>
  </si>
  <si>
    <t xml:space="preserve">WIRE AL 4/0 1/C </t>
  </si>
  <si>
    <t>B70</t>
  </si>
  <si>
    <t xml:space="preserve">WIRE AL 1/C 395 &amp; 397M </t>
  </si>
  <si>
    <t>B71</t>
  </si>
  <si>
    <t xml:space="preserve">WIRE AL 636 1/C </t>
  </si>
  <si>
    <t>B72</t>
  </si>
  <si>
    <t>Wire AL 1/C 740 &amp; 795M: B72</t>
  </si>
  <si>
    <t>M52</t>
  </si>
  <si>
    <t>Wire ACSR 336M I/C: M52</t>
  </si>
  <si>
    <t>B73</t>
  </si>
  <si>
    <t xml:space="preserve">WIRE AL 954M 1/CC </t>
  </si>
  <si>
    <t>B75</t>
  </si>
  <si>
    <t xml:space="preserve">WIRE AL 1590 1/C </t>
  </si>
  <si>
    <t>SUB TOTAL WIRE</t>
  </si>
  <si>
    <t>CABLE FEET</t>
  </si>
  <si>
    <t>B77</t>
  </si>
  <si>
    <t xml:space="preserve">WIRE AL 4 2/C </t>
  </si>
  <si>
    <t>B78</t>
  </si>
  <si>
    <t xml:space="preserve">WIRE AL 2/0 3/C </t>
  </si>
  <si>
    <t>B79</t>
  </si>
  <si>
    <t xml:space="preserve">WIRE AL 2/0 4/C </t>
  </si>
  <si>
    <t>B80</t>
  </si>
  <si>
    <t xml:space="preserve">WIRE AL 4/0 3/C </t>
  </si>
  <si>
    <t>B81</t>
  </si>
  <si>
    <t xml:space="preserve">WIRE AL 4/0 4/C </t>
  </si>
  <si>
    <t>D53</t>
  </si>
  <si>
    <t>F39</t>
  </si>
  <si>
    <t>Cable AL 1/0 1/C: F39</t>
  </si>
  <si>
    <t>F42</t>
  </si>
  <si>
    <t>Cable AL 1/0 3C DB: F42</t>
  </si>
  <si>
    <t>F44</t>
  </si>
  <si>
    <t xml:space="preserve">CABLE AL 4/0 3C </t>
  </si>
  <si>
    <t>H05</t>
  </si>
  <si>
    <t>Cable AL 2/0 4/C OVHD SERVFT: H05</t>
  </si>
  <si>
    <t>I89</t>
  </si>
  <si>
    <t xml:space="preserve">CABLE AL 1/0 4/C OVHD SER </t>
  </si>
  <si>
    <t>SUB TOTAL CABLE</t>
  </si>
  <si>
    <t>SUBTOTAL WIRE &amp; CABLE</t>
  </si>
  <si>
    <t>TOTAL WIRE,CABLE &amp; OTHER</t>
  </si>
  <si>
    <t>B02</t>
  </si>
  <si>
    <t>Wire</t>
  </si>
  <si>
    <t>B10</t>
  </si>
  <si>
    <t>B11</t>
  </si>
  <si>
    <t>B83</t>
  </si>
  <si>
    <t>B85</t>
  </si>
  <si>
    <t>B86</t>
  </si>
  <si>
    <t>B87</t>
  </si>
  <si>
    <t>B88</t>
  </si>
  <si>
    <t>B89</t>
  </si>
  <si>
    <t>B90</t>
  </si>
  <si>
    <t>B91</t>
  </si>
  <si>
    <t>B92</t>
  </si>
  <si>
    <t>B93</t>
  </si>
  <si>
    <t>B94</t>
  </si>
  <si>
    <t>B95</t>
  </si>
  <si>
    <t>B96</t>
  </si>
  <si>
    <t>B97</t>
  </si>
  <si>
    <t>B98</t>
  </si>
  <si>
    <t>CABLE</t>
  </si>
  <si>
    <t>ACCOUNT 365 CONDUCTOR COSTS - OH</t>
  </si>
  <si>
    <t>utility_account_id</t>
  </si>
  <si>
    <t>Data</t>
  </si>
  <si>
    <t>PAC Code</t>
  </si>
  <si>
    <t>property_unit</t>
  </si>
  <si>
    <t>Sum of accum_cost</t>
  </si>
  <si>
    <t>Sum of Reserve Total</t>
  </si>
  <si>
    <t>Sum of accum_qty</t>
  </si>
  <si>
    <t>Sum of Depr Exp</t>
  </si>
  <si>
    <t>SW OIL 7 5KV 3PST: B02</t>
  </si>
  <si>
    <t>SW OIL 15KV SPST: B03</t>
  </si>
  <si>
    <t>SW OIL 15KV SPDT: B04</t>
  </si>
  <si>
    <t>SWITCH, RENEWABLE DISCONNECT: B05</t>
  </si>
  <si>
    <t>SW OIL Auto Transfer: B06</t>
  </si>
  <si>
    <t>SW AIR 5KV SPST: B10</t>
  </si>
  <si>
    <t>SW AIR 5KV 3PST: B11</t>
  </si>
  <si>
    <t>SW AIR 7. 5KV SPST: B12</t>
  </si>
  <si>
    <t>SW AIR 15KV SPST: B14</t>
  </si>
  <si>
    <t>SW AIR 15KV 2PST: B15</t>
  </si>
  <si>
    <t>SW AIR 15KV 2PDT: B16</t>
  </si>
  <si>
    <t>SW AIR 15KV 3PST: B17</t>
  </si>
  <si>
    <t>SW MATERIALS TRANS: B25</t>
  </si>
  <si>
    <t>Remote Terminal Unit: B26</t>
  </si>
  <si>
    <t>OPT MOTOR MECH: B27</t>
  </si>
  <si>
    <t>Wire CU 4 1/C: B29</t>
  </si>
  <si>
    <t>Wire CU 6 1/C: B30</t>
  </si>
  <si>
    <t>Wire CU 2 1/C: B31</t>
  </si>
  <si>
    <t>Wire CU 1/0 1/C: B32</t>
  </si>
  <si>
    <t>Wire CU 2/0 1/C: B33</t>
  </si>
  <si>
    <t>Wire CU 4/0 1/C: B35</t>
  </si>
  <si>
    <t>Wire CU 350M 1/C: B38</t>
  </si>
  <si>
    <t>Wire CU 400M 1/C: B39</t>
  </si>
  <si>
    <t>Wire CU 500M 1/C: B40</t>
  </si>
  <si>
    <t>Wire CU 500M 1/C: B42</t>
  </si>
  <si>
    <t>Wire ACSR 2 1/C: B50</t>
  </si>
  <si>
    <t>Wire ACSR 4/0 1/C: B51</t>
  </si>
  <si>
    <t>Wire ACSR 336M 1/C: B52</t>
  </si>
  <si>
    <t>Wire ASCR 636M 1/C: B53</t>
  </si>
  <si>
    <t>Wire ACSR 954M 1/C: B54</t>
  </si>
  <si>
    <t>Wire AL 7957 1/C: B57</t>
  </si>
  <si>
    <t>Wire AL 2 1/C: B65</t>
  </si>
  <si>
    <t>Wire AL 1/0 1/C: B66</t>
  </si>
  <si>
    <t>Wire AL 2/0 1/C: B67</t>
  </si>
  <si>
    <t>Wire AL 4/0 1/C: B68</t>
  </si>
  <si>
    <t>Wire AL 1/C 395 &amp; 397M: B70</t>
  </si>
  <si>
    <t>Wire AL 636 1/C: B71</t>
  </si>
  <si>
    <t>Wire AL 954M 1/CC: B73</t>
  </si>
  <si>
    <t>Wire AL 1590 1/C: B75</t>
  </si>
  <si>
    <t>Wire AL 4 2/C: B77</t>
  </si>
  <si>
    <t>Wire AL 2/0 3/C: B78</t>
  </si>
  <si>
    <t>Wire AL 2/0 4/C: B79</t>
  </si>
  <si>
    <t>Wire AL 4/0 3/C: B80</t>
  </si>
  <si>
    <t>Wire AL 4/0 4/C: B81</t>
  </si>
  <si>
    <t>Sectionilizer 70A DRY: B83</t>
  </si>
  <si>
    <t>Sectionilizer GN3: B85</t>
  </si>
  <si>
    <t>Sectionilizer GS: B86</t>
  </si>
  <si>
    <t>Sectionilizer KGN: B87</t>
  </si>
  <si>
    <t>Recloser H 1P: B88</t>
  </si>
  <si>
    <t>Recloser 4H 1P: B89</t>
  </si>
  <si>
    <t>Recloser L 1P: B90</t>
  </si>
  <si>
    <t>Recloser E 1P: B91</t>
  </si>
  <si>
    <t>S&amp;C,TRIPSAVER,W/CUTOUT MT 6.3KA : B92</t>
  </si>
  <si>
    <t>Recloser 3H 3P: B93</t>
  </si>
  <si>
    <t>Recloser 6H 3P: B94</t>
  </si>
  <si>
    <t>Recloser R 3P: B95</t>
  </si>
  <si>
    <t>Recloser KWB 3P: B96</t>
  </si>
  <si>
    <t>Recloser D 1PH: B97</t>
  </si>
  <si>
    <t>Phase Converter: B98</t>
  </si>
  <si>
    <t>SW OIL/VAC 1PH CAPACITOR: C40</t>
  </si>
  <si>
    <t>Cable 6 3C CU UND ST LGHT: D53</t>
  </si>
  <si>
    <t>Cable AL 4/0 3C: F44</t>
  </si>
  <si>
    <t>Control Cable: I89</t>
  </si>
  <si>
    <t>Guidelines for Conductor</t>
  </si>
  <si>
    <t>BXX</t>
  </si>
  <si>
    <t>OH Wire/Conductor</t>
  </si>
  <si>
    <t>OH Conductor</t>
  </si>
  <si>
    <t>FXX</t>
  </si>
  <si>
    <t>UG Cable &amp; Devices</t>
  </si>
  <si>
    <t>UG Conductor</t>
  </si>
  <si>
    <t>HXX</t>
  </si>
  <si>
    <t>Service Cable-will note OH or UG in description</t>
  </si>
  <si>
    <t>Total Feet</t>
  </si>
  <si>
    <t>Feet per Mile</t>
  </si>
  <si>
    <t>Cable &amp; Wire = Conductor</t>
  </si>
  <si>
    <t>Type</t>
  </si>
  <si>
    <t>Pole Wood 25 FT: A01</t>
  </si>
  <si>
    <t>Pole Wood 30 FT: A02</t>
  </si>
  <si>
    <t>Pole Wood 35 FT: A03</t>
  </si>
  <si>
    <t>Pole Wood 40 FT: A04</t>
  </si>
  <si>
    <t>A05</t>
  </si>
  <si>
    <t>Pole Wood 45 FT: A05</t>
  </si>
  <si>
    <t>A06</t>
  </si>
  <si>
    <t>Pole Wood 50 FT: A06</t>
  </si>
  <si>
    <t>Pole Wood 55 FT: A07</t>
  </si>
  <si>
    <t>A08</t>
  </si>
  <si>
    <t>Pole Wood 60 FT: A08</t>
  </si>
  <si>
    <t>A10</t>
  </si>
  <si>
    <t>Pole Wood 70 FT: A10</t>
  </si>
  <si>
    <t>Pole Wood 80 FT: A12</t>
  </si>
  <si>
    <t>A17</t>
  </si>
  <si>
    <t>CONC/Wood Poles: A17</t>
  </si>
  <si>
    <t>Steel Reinforce-Wood Poles: A18</t>
  </si>
  <si>
    <t>A19</t>
  </si>
  <si>
    <t>Monolighting-Wood Poles: A19</t>
  </si>
  <si>
    <t>A24</t>
  </si>
  <si>
    <t>Pole Concrete 25 FT: A24</t>
  </si>
  <si>
    <t>Pole Concrete 30 FT: A25</t>
  </si>
  <si>
    <t>Pole Concrete 35 FT: A26</t>
  </si>
  <si>
    <t>Pole Concrete 40 FT: A27</t>
  </si>
  <si>
    <t>Pole Concrete 45 FT: A28</t>
  </si>
  <si>
    <t>A29</t>
  </si>
  <si>
    <t>Pole Concrete 50 FT: A29</t>
  </si>
  <si>
    <t>Pole Concrete 55 FT: A30</t>
  </si>
  <si>
    <t>Pole Concrete 60 FT: A31</t>
  </si>
  <si>
    <t>Pole Concrete 65 FT: A32</t>
  </si>
  <si>
    <t>A33</t>
  </si>
  <si>
    <t>Pole Concrete 70 FT: A33</t>
  </si>
  <si>
    <t>Pole Fiberglass 30 FT TO 80 FT: A40</t>
  </si>
  <si>
    <t>A52</t>
  </si>
  <si>
    <t>Pole Steel 40FT THRU 49FT: A52</t>
  </si>
  <si>
    <t>A53</t>
  </si>
  <si>
    <t>Pole Steel 60 FT: A53</t>
  </si>
  <si>
    <t>A55</t>
  </si>
  <si>
    <t>Pole Steel 70 FT: A55</t>
  </si>
  <si>
    <t>A56</t>
  </si>
  <si>
    <t>Pole Steel 75 FT: A56</t>
  </si>
  <si>
    <t>A57</t>
  </si>
  <si>
    <t>Pole Steel 80 FT: A57</t>
  </si>
  <si>
    <t>A70</t>
  </si>
  <si>
    <t>Pole Steel  50 FT THRU 59 FT: A70</t>
  </si>
  <si>
    <t>A71</t>
  </si>
  <si>
    <t>Pole Steel  90 FT: A71</t>
  </si>
  <si>
    <t>ACCOUNT 364 POLE COUNTS</t>
  </si>
  <si>
    <t>Notes:</t>
  </si>
  <si>
    <t>DISTRIBUTION SUBSTATION INVESTMENT</t>
  </si>
  <si>
    <t>always 1</t>
  </si>
  <si>
    <t>Adjust Acct 362</t>
  </si>
  <si>
    <t>Adjust Acct 360</t>
  </si>
  <si>
    <t>Adjust Acct 361</t>
  </si>
  <si>
    <t>ACCT 362</t>
  </si>
  <si>
    <t>CWIPIS and 13-Mo</t>
  </si>
  <si>
    <t>ACCT 360</t>
  </si>
  <si>
    <t>ACCT 361</t>
  </si>
  <si>
    <t>SUBSTA</t>
  </si>
  <si>
    <t>CO. ID</t>
  </si>
  <si>
    <t>STRUCTURE $</t>
  </si>
  <si>
    <t>006D</t>
  </si>
  <si>
    <t>006D-MULBERRY</t>
  </si>
  <si>
    <t>009D</t>
  </si>
  <si>
    <t>009D-MATANZAS</t>
  </si>
  <si>
    <t>012D</t>
  </si>
  <si>
    <t>012D-WASHINGTON STREET</t>
  </si>
  <si>
    <t>013D</t>
  </si>
  <si>
    <t>013D-HYDE PARK</t>
  </si>
  <si>
    <t>015D</t>
  </si>
  <si>
    <t>015D-PLYMOUTH ST</t>
  </si>
  <si>
    <t>016D</t>
  </si>
  <si>
    <t>016D-FERN STREET</t>
  </si>
  <si>
    <t>017D</t>
  </si>
  <si>
    <t>017D-FOURTEENTH STREET</t>
  </si>
  <si>
    <t>018D</t>
  </si>
  <si>
    <t>018D-BELMONT HEIGHTS</t>
  </si>
  <si>
    <t>020D</t>
  </si>
  <si>
    <t>020D-HABANA AVE</t>
  </si>
  <si>
    <t>021D</t>
  </si>
  <si>
    <t>021D-IVY STREET</t>
  </si>
  <si>
    <t>022D</t>
  </si>
  <si>
    <t>022D-BAYCOURT</t>
  </si>
  <si>
    <t>023D</t>
  </si>
  <si>
    <t>023D-MACDILL</t>
  </si>
  <si>
    <t>024D</t>
  </si>
  <si>
    <t>024D-LOIS AVENUE</t>
  </si>
  <si>
    <t>026D</t>
  </si>
  <si>
    <t>026D-YUKON</t>
  </si>
  <si>
    <t>027D</t>
  </si>
  <si>
    <t>027D-FLORIDA AVENUE</t>
  </si>
  <si>
    <t>028D</t>
  </si>
  <si>
    <t>028D-ORIENT PARK</t>
  </si>
  <si>
    <t>029D</t>
  </si>
  <si>
    <t>029D-FORTY NINTH STREET</t>
  </si>
  <si>
    <t>037D</t>
  </si>
  <si>
    <t>037D-TEMPLE TERRACE</t>
  </si>
  <si>
    <t>039D</t>
  </si>
  <si>
    <t>039D-MILLPOINT</t>
  </si>
  <si>
    <t>043D</t>
  </si>
  <si>
    <t>043D-UCETA</t>
  </si>
  <si>
    <t>044D</t>
  </si>
  <si>
    <t>044D-EL PRADO</t>
  </si>
  <si>
    <t>051D</t>
  </si>
  <si>
    <t>051D-GIBSONTON</t>
  </si>
  <si>
    <t>052D</t>
  </si>
  <si>
    <t>052D-BRANDON</t>
  </si>
  <si>
    <t>053D</t>
  </si>
  <si>
    <t>053D-FIFTY SIXTH STREET</t>
  </si>
  <si>
    <t>054D</t>
  </si>
  <si>
    <t>054D-SEVENTY EIGHTH ST</t>
  </si>
  <si>
    <t>056D</t>
  </si>
  <si>
    <t>056D-USS AGRI-CHEM</t>
  </si>
  <si>
    <t>057D</t>
  </si>
  <si>
    <t>057D-PINE LAKE</t>
  </si>
  <si>
    <t>058D</t>
  </si>
  <si>
    <t>058D-CLARKWILD</t>
  </si>
  <si>
    <t>068D</t>
  </si>
  <si>
    <t>068D-WILSON</t>
  </si>
  <si>
    <t>069D</t>
  </si>
  <si>
    <t>069D-MCFARLAND</t>
  </si>
  <si>
    <t>070D</t>
  </si>
  <si>
    <t>070D-CYPRESS GARDENS</t>
  </si>
  <si>
    <t>071D</t>
  </si>
  <si>
    <t>071D-GRAY STREET</t>
  </si>
  <si>
    <t>075D</t>
  </si>
  <si>
    <t>075D-PORT SUTTON</t>
  </si>
  <si>
    <t>077D</t>
  </si>
  <si>
    <t>077D-KEYSTONE</t>
  </si>
  <si>
    <t>078D</t>
  </si>
  <si>
    <t>078D-THIRD AVENUE</t>
  </si>
  <si>
    <t>079D</t>
  </si>
  <si>
    <t>079D-KIRKLAND ROAD</t>
  </si>
  <si>
    <t>080D</t>
  </si>
  <si>
    <t>080D-JACKSON ROAD</t>
  </si>
  <si>
    <t>081D</t>
  </si>
  <si>
    <t>081D-MANHATTAN</t>
  </si>
  <si>
    <t>091D</t>
  </si>
  <si>
    <t>091D-ESTUARY</t>
  </si>
  <si>
    <t>094D</t>
  </si>
  <si>
    <t>094D-JAN PHYL</t>
  </si>
  <si>
    <t>095D</t>
  </si>
  <si>
    <t>095D-DAIRY ROAD</t>
  </si>
  <si>
    <t>099D</t>
  </si>
  <si>
    <t>099D-COOLIDGE</t>
  </si>
  <si>
    <t>100D</t>
  </si>
  <si>
    <t>100D-SUN CITY</t>
  </si>
  <si>
    <t>101D</t>
  </si>
  <si>
    <t>101D-PLANT CITY</t>
  </si>
  <si>
    <t>102D</t>
  </si>
  <si>
    <t>102D-POLK CITY</t>
  </si>
  <si>
    <t>110D</t>
  </si>
  <si>
    <t>110D-SOUTH SEFFNER</t>
  </si>
  <si>
    <t>113D</t>
  </si>
  <si>
    <t>113D-FORT KING HWY.</t>
  </si>
  <si>
    <t>114D</t>
  </si>
  <si>
    <t>114D-BLOOMINGDALE</t>
  </si>
  <si>
    <t>115D</t>
  </si>
  <si>
    <t>115D-FORTY SIXTH STREET</t>
  </si>
  <si>
    <t>117D</t>
  </si>
  <si>
    <t>117D-ALEXANDER ROAD</t>
  </si>
  <si>
    <t>120D</t>
  </si>
  <si>
    <t>120D-GORDONVILLE</t>
  </si>
  <si>
    <t>121D</t>
  </si>
  <si>
    <t>121D-EAST WINTER HAVEN</t>
  </si>
  <si>
    <t>123D</t>
  </si>
  <si>
    <t>123D-UNIV. SO. FLA.</t>
  </si>
  <si>
    <t>124D</t>
  </si>
  <si>
    <t>124D-SUNSET LANE</t>
  </si>
  <si>
    <t>125D</t>
  </si>
  <si>
    <t>125D-PLANT AVENUE</t>
  </si>
  <si>
    <t>126D</t>
  </si>
  <si>
    <t>126D-THIRTIETH STREET</t>
  </si>
  <si>
    <t>130D</t>
  </si>
  <si>
    <t>130D-DOUBLE BRANCH</t>
  </si>
  <si>
    <t>131D</t>
  </si>
  <si>
    <t>131D-LAKE ALFRED</t>
  </si>
  <si>
    <t>133D</t>
  </si>
  <si>
    <t>133D-BIRDSEYE</t>
  </si>
  <si>
    <t>136D</t>
  </si>
  <si>
    <t>136D-MADISON</t>
  </si>
  <si>
    <t>140D</t>
  </si>
  <si>
    <t>140D-SKYWAY</t>
  </si>
  <si>
    <t>141D</t>
  </si>
  <si>
    <t>141D-GEORGE ROAD</t>
  </si>
  <si>
    <t>143D</t>
  </si>
  <si>
    <t>143D-SAN ANTONIO</t>
  </si>
  <si>
    <t>146D</t>
  </si>
  <si>
    <t>146D-WATERS AVENUE</t>
  </si>
  <si>
    <t>148D</t>
  </si>
  <si>
    <t>148D-TWENTY SEVENTH ST</t>
  </si>
  <si>
    <t>149D</t>
  </si>
  <si>
    <t>149D-EAST BAY</t>
  </si>
  <si>
    <t>151D</t>
  </si>
  <si>
    <t>151D-WAYNE ROAD</t>
  </si>
  <si>
    <t>153D</t>
  </si>
  <si>
    <t>153D-LAKE REGION</t>
  </si>
  <si>
    <t>154D</t>
  </si>
  <si>
    <t>154D-CYPRESS STREET</t>
  </si>
  <si>
    <t>156D</t>
  </si>
  <si>
    <t>156D-DEL WEBB</t>
  </si>
  <si>
    <t>157D</t>
  </si>
  <si>
    <t>157D-LAKEWOOD</t>
  </si>
  <si>
    <t>158D</t>
  </si>
  <si>
    <t>158D-STATE ROAD 574</t>
  </si>
  <si>
    <t>159D</t>
  </si>
  <si>
    <t>159D-TWELFTH AVENUE</t>
  </si>
  <si>
    <t>160D</t>
  </si>
  <si>
    <t>160D-ROCKY CREEK</t>
  </si>
  <si>
    <t>161D</t>
  </si>
  <si>
    <t>161D-ROME AVENUE</t>
  </si>
  <si>
    <t>162D</t>
  </si>
  <si>
    <t>162D-MARION STREET</t>
  </si>
  <si>
    <t>164D</t>
  </si>
  <si>
    <t>164D-MARITIME</t>
  </si>
  <si>
    <t>165D</t>
  </si>
  <si>
    <t>165D-CARROLLWOOD VILLAGE</t>
  </si>
  <si>
    <t>170D</t>
  </si>
  <si>
    <t>170D-SENECA STREET</t>
  </si>
  <si>
    <t>174D</t>
  </si>
  <si>
    <t>174D-RHODINE ROAD</t>
  </si>
  <si>
    <t>177D</t>
  </si>
  <si>
    <t>177D-TAMPA BAY BLVD</t>
  </si>
  <si>
    <t>179D</t>
  </si>
  <si>
    <t>179D-BUCKHORN</t>
  </si>
  <si>
    <t>182D</t>
  </si>
  <si>
    <t>182D-FOWLER AVENUE</t>
  </si>
  <si>
    <t>190D</t>
  </si>
  <si>
    <t>190D-PEARSON ROAD</t>
  </si>
  <si>
    <t>191D</t>
  </si>
  <si>
    <t>191D-BERKLEY ROAD</t>
  </si>
  <si>
    <t>193D</t>
  </si>
  <si>
    <t>193D-KNIGHTS</t>
  </si>
  <si>
    <t>202D</t>
  </si>
  <si>
    <t>202D-KINGSFORD 3</t>
  </si>
  <si>
    <t>211D</t>
  </si>
  <si>
    <t>211D-PATTERSON ROAD</t>
  </si>
  <si>
    <t>212D</t>
  </si>
  <si>
    <t>212D-EHRLICH ROAD</t>
  </si>
  <si>
    <t>213D</t>
  </si>
  <si>
    <t>213D-PEACH AVENUE</t>
  </si>
  <si>
    <t>218D</t>
  </si>
  <si>
    <t>218D-BLANTON SUB</t>
  </si>
  <si>
    <t>221D</t>
  </si>
  <si>
    <t>221D-CASEY ROAD</t>
  </si>
  <si>
    <t>226D</t>
  </si>
  <si>
    <t>226D-FIRST STREET</t>
  </si>
  <si>
    <t>228D</t>
  </si>
  <si>
    <t>228D-GRANADA</t>
  </si>
  <si>
    <t>229D</t>
  </si>
  <si>
    <t>229D-HENDERSON ROAD</t>
  </si>
  <si>
    <t>230D</t>
  </si>
  <si>
    <t>230D-IMPERIAL LAKES</t>
  </si>
  <si>
    <t>234D</t>
  </si>
  <si>
    <t>234D-LUCERN PARK SUB</t>
  </si>
  <si>
    <t>235D</t>
  </si>
  <si>
    <t>235D-LAKE MAGDALENE</t>
  </si>
  <si>
    <t>242D</t>
  </si>
  <si>
    <t>242D-MILLER MAC</t>
  </si>
  <si>
    <t>247D</t>
  </si>
  <si>
    <t>247D-PINECREST</t>
  </si>
  <si>
    <t>252D</t>
  </si>
  <si>
    <t>252D-LAKE WINTERSET</t>
  </si>
  <si>
    <t>253D</t>
  </si>
  <si>
    <t>253D-LAKE GUM</t>
  </si>
  <si>
    <t>255D</t>
  </si>
  <si>
    <t>255D-SYDNEY RD</t>
  </si>
  <si>
    <t>262D</t>
  </si>
  <si>
    <t>262D-BELL SHOALS</t>
  </si>
  <si>
    <t>263D</t>
  </si>
  <si>
    <t>263D-GALLAGHER ROAD</t>
  </si>
  <si>
    <t>264D</t>
  </si>
  <si>
    <t>264D-LAKE RUBY</t>
  </si>
  <si>
    <t>265D</t>
  </si>
  <si>
    <t>265D-MEADOW PARK SUB</t>
  </si>
  <si>
    <t>267D</t>
  </si>
  <si>
    <t>267D-PROVIDENCE ROAD</t>
  </si>
  <si>
    <t>268D</t>
  </si>
  <si>
    <t>268D-HARBOUR ISLAND</t>
  </si>
  <si>
    <t>269D</t>
  </si>
  <si>
    <t>269D-TAMPA PALMS</t>
  </si>
  <si>
    <t>270D</t>
  </si>
  <si>
    <t>270D-WOODLANDS</t>
  </si>
  <si>
    <t>278D</t>
  </si>
  <si>
    <t>278D-GULF CITY</t>
  </si>
  <si>
    <t>279D</t>
  </si>
  <si>
    <t>279D-CALOOSA</t>
  </si>
  <si>
    <t>280D</t>
  </si>
  <si>
    <t>280D-ST CLOUD</t>
  </si>
  <si>
    <t>283D</t>
  </si>
  <si>
    <t>283D-LAKE JULIANA</t>
  </si>
  <si>
    <t>287D</t>
  </si>
  <si>
    <t>287D-TROUT CREEK</t>
  </si>
  <si>
    <t>288D</t>
  </si>
  <si>
    <t>288D-HARNEY ROAD SUBSTA</t>
  </si>
  <si>
    <t>2A00</t>
  </si>
  <si>
    <t>2A001 Creek Preserve (Metro Dev)</t>
  </si>
  <si>
    <t>301D</t>
  </si>
  <si>
    <t>301D-FAIR GROUNDS</t>
  </si>
  <si>
    <t>302D</t>
  </si>
  <si>
    <t>302D-STADIUM</t>
  </si>
  <si>
    <t>306D</t>
  </si>
  <si>
    <t>306D-WESTCHASE</t>
  </si>
  <si>
    <t>307D</t>
  </si>
  <si>
    <t>307D-TURKEY FORD</t>
  </si>
  <si>
    <t>308D</t>
  </si>
  <si>
    <t>308D-SUNLAKE SUB</t>
  </si>
  <si>
    <t>312D</t>
  </si>
  <si>
    <t>312D-MINUTE MAID</t>
  </si>
  <si>
    <t>315D</t>
  </si>
  <si>
    <t>315D-RIVERVIEW SUBSTATION</t>
  </si>
  <si>
    <t>321D</t>
  </si>
  <si>
    <t>321D-GTE COLLIER SUB</t>
  </si>
  <si>
    <t>326D</t>
  </si>
  <si>
    <t>326D-BOY SCOUT</t>
  </si>
  <si>
    <t>332D</t>
  </si>
  <si>
    <t>332D-PAGLAN RD. SUBSTATIO</t>
  </si>
  <si>
    <t>335D</t>
  </si>
  <si>
    <t>335D-CASS STREET</t>
  </si>
  <si>
    <t>336D</t>
  </si>
  <si>
    <t>336D-CROSS CREEK SUBSTN</t>
  </si>
  <si>
    <t>345D</t>
  </si>
  <si>
    <t>345D-TERRACE</t>
  </si>
  <si>
    <t>350D</t>
  </si>
  <si>
    <t>350D-MOBILE 28MVA SUBSTA</t>
  </si>
  <si>
    <t>351D</t>
  </si>
  <si>
    <t>351D-TRAINING CTR SUBSTA</t>
  </si>
  <si>
    <t>352D</t>
  </si>
  <si>
    <t>352D-PEBBLECREEK</t>
  </si>
  <si>
    <t>354D</t>
  </si>
  <si>
    <t>354D-CORNET</t>
  </si>
  <si>
    <t>355D</t>
  </si>
  <si>
    <t>355D-ROCKPORT #1</t>
  </si>
  <si>
    <t>356D</t>
  </si>
  <si>
    <t>356D-ROCKPORT #2</t>
  </si>
  <si>
    <t>357D</t>
  </si>
  <si>
    <t>357D-ROCKPORT #3</t>
  </si>
  <si>
    <t>366D</t>
  </si>
  <si>
    <t>366D-POLK POWER SUB</t>
  </si>
  <si>
    <t>382D</t>
  </si>
  <si>
    <t>382D-IMC BUCKET YARD SUB</t>
  </si>
  <si>
    <t>385D</t>
  </si>
  <si>
    <t>385D-MCKINLEY SUB</t>
  </si>
  <si>
    <t>391D</t>
  </si>
  <si>
    <t>391D-GATX SUBSTATION</t>
  </si>
  <si>
    <t>395D</t>
  </si>
  <si>
    <t>395D-MASSORO SUB</t>
  </si>
  <si>
    <t>400D</t>
  </si>
  <si>
    <t>400D-NATIONAL GYPSUM</t>
  </si>
  <si>
    <t>401D</t>
  </si>
  <si>
    <t>401D-WOODBERRY SUB</t>
  </si>
  <si>
    <t>411D</t>
  </si>
  <si>
    <t>418D</t>
  </si>
  <si>
    <t>418D-SILVER DOLLAR SUBSTATION</t>
  </si>
  <si>
    <t>422D</t>
  </si>
  <si>
    <t>422D-DESAL PLANT SUB</t>
  </si>
  <si>
    <t>428D</t>
  </si>
  <si>
    <t>428D-J.D. Page Substation</t>
  </si>
  <si>
    <t>441D</t>
  </si>
  <si>
    <t>441D-INDIAN CREEK</t>
  </si>
  <si>
    <t>447D</t>
  </si>
  <si>
    <t>447D-WOLF BRANCH</t>
  </si>
  <si>
    <t>450D</t>
  </si>
  <si>
    <t>450D-MOBILE 37MVA SUBSTA</t>
  </si>
  <si>
    <t>454D</t>
  </si>
  <si>
    <t>454D-INTERBAY</t>
  </si>
  <si>
    <t>471D</t>
  </si>
  <si>
    <t>471D-MOBILE 37MVA SUBSTA ELGIN</t>
  </si>
  <si>
    <t>925D</t>
  </si>
  <si>
    <t>925D JHN CNTL (PRBRIDGE)</t>
  </si>
  <si>
    <t>936D</t>
  </si>
  <si>
    <t>936D-SWEET HILL SAND MINE</t>
  </si>
  <si>
    <t>994D</t>
  </si>
  <si>
    <t>994D-MOBILE SUBSTATION</t>
  </si>
  <si>
    <t>Nort</t>
  </si>
  <si>
    <t>North Mobley Rd Substation</t>
  </si>
  <si>
    <t xml:space="preserve">     TOTAL ACCT 101</t>
  </si>
  <si>
    <t>DISTR LINE LAND</t>
  </si>
  <si>
    <t>LAND RIGHTS (acct 360.01)</t>
  </si>
  <si>
    <t>CLASSIFIED PLANT</t>
  </si>
  <si>
    <t>CWIP IN SERVICE</t>
  </si>
  <si>
    <t>TOTAL IN SERVICE</t>
  </si>
  <si>
    <t>SUBSTATION SUMMARIZATION BY TYPE OF STATION:</t>
  </si>
  <si>
    <t>COMMON (General)</t>
  </si>
  <si>
    <t>TOTAL PLUS CWIP</t>
  </si>
  <si>
    <t>EOY PLANT</t>
  </si>
  <si>
    <t>DISTRIBUTION SUBSTATION ASSET COST BY SPECIFIC ACCOUNTS</t>
  </si>
  <si>
    <t>asset_loc</t>
  </si>
  <si>
    <t>DISTRIBUTION PLANT COST (000's)</t>
  </si>
  <si>
    <t>Sub</t>
  </si>
  <si>
    <t>Structures</t>
  </si>
  <si>
    <t>Poles</t>
  </si>
  <si>
    <t>OH</t>
  </si>
  <si>
    <t>UG</t>
  </si>
  <si>
    <t>Meters</t>
  </si>
  <si>
    <t>Street</t>
  </si>
  <si>
    <t>FUNCTION</t>
  </si>
  <si>
    <t>Equipment</t>
  </si>
  <si>
    <t>Conductors</t>
  </si>
  <si>
    <t>UG Lines</t>
  </si>
  <si>
    <t>Xformers</t>
  </si>
  <si>
    <t>Services</t>
  </si>
  <si>
    <t>12</t>
  </si>
  <si>
    <t>13</t>
  </si>
  <si>
    <t>14</t>
  </si>
  <si>
    <t>15</t>
  </si>
  <si>
    <t>16</t>
  </si>
  <si>
    <t xml:space="preserve"> SUBSTATIONS DIRECT</t>
  </si>
  <si>
    <t>DEM</t>
  </si>
  <si>
    <t xml:space="preserve"> SUBSTATIONS COMMON</t>
  </si>
  <si>
    <t xml:space="preserve"> SUBSTATIONS</t>
  </si>
  <si>
    <t xml:space="preserve"> POLES DIRECT (SL)</t>
  </si>
  <si>
    <t>CUST</t>
  </si>
  <si>
    <t xml:space="preserve"> POLES PRIMARY</t>
  </si>
  <si>
    <t xml:space="preserve"> POLES PRIMARY (MDS)</t>
  </si>
  <si>
    <t xml:space="preserve"> POLES SECONDARY</t>
  </si>
  <si>
    <t xml:space="preserve"> POLES SECONDARY (MDS)</t>
  </si>
  <si>
    <t xml:space="preserve"> POLES</t>
  </si>
  <si>
    <t xml:space="preserve"> OH LINES DIRECT (SL)</t>
  </si>
  <si>
    <t xml:space="preserve"> OH LINES PRIMARY</t>
  </si>
  <si>
    <t xml:space="preserve"> OH LINES PRIMARY (MDS)</t>
  </si>
  <si>
    <t xml:space="preserve"> OH LINES SECONDARY</t>
  </si>
  <si>
    <t xml:space="preserve"> OH LINES SECONDARY (MDS)</t>
  </si>
  <si>
    <t xml:space="preserve"> OH LINES</t>
  </si>
  <si>
    <t xml:space="preserve"> UG LINES DIRECT</t>
  </si>
  <si>
    <t xml:space="preserve"> UG LINES PRIMARY</t>
  </si>
  <si>
    <t xml:space="preserve"> UG LINES PRIMARY (MDS)</t>
  </si>
  <si>
    <t xml:space="preserve"> UG LINES SECONDARY</t>
  </si>
  <si>
    <t xml:space="preserve"> UG LINES SECONDARY (MDS)</t>
  </si>
  <si>
    <t xml:space="preserve"> UG LINES</t>
  </si>
  <si>
    <t xml:space="preserve"> TRANSFORMERS DIRECT</t>
  </si>
  <si>
    <t xml:space="preserve"> TRANSFORMERS</t>
  </si>
  <si>
    <t xml:space="preserve"> SERVICES</t>
  </si>
  <si>
    <t xml:space="preserve"> METERS</t>
  </si>
  <si>
    <t xml:space="preserve"> STREET LIGHTING</t>
  </si>
  <si>
    <t xml:space="preserve"> DISTRIBUTION PLANT</t>
  </si>
  <si>
    <t>DERIVATION OF DISTRIBUTION PLANT INTERNAL ALLOCATORS</t>
  </si>
  <si>
    <t>Poles &amp; Conductors (Accts 364,365,366,367)</t>
  </si>
  <si>
    <t>Services (Acct 369)</t>
  </si>
  <si>
    <t>D1000</t>
  </si>
  <si>
    <t>Services (Prorata to OH &amp; UG)</t>
  </si>
  <si>
    <t>Investment
$'s</t>
  </si>
  <si>
    <t>OH
 Prorata</t>
  </si>
  <si>
    <t>UG
 Prorata</t>
  </si>
  <si>
    <t>OH Srvcs 
Prorata</t>
  </si>
  <si>
    <t>UG Srvcs
Prorata</t>
  </si>
  <si>
    <t>Overhead Lines</t>
  </si>
  <si>
    <t>Underground Lines</t>
  </si>
  <si>
    <t>Poles &amp; Conductions Prorata % to Services</t>
  </si>
  <si>
    <t>Prorata %</t>
  </si>
  <si>
    <t>D1001</t>
  </si>
  <si>
    <t>Poles, Overhead Lines &amp; Services</t>
  </si>
  <si>
    <t xml:space="preserve">Direct
</t>
  </si>
  <si>
    <t xml:space="preserve">Primary
</t>
  </si>
  <si>
    <t>Primary
 MDS</t>
  </si>
  <si>
    <t xml:space="preserve">Secondary
</t>
  </si>
  <si>
    <t>Secondary
 MDS</t>
  </si>
  <si>
    <t>Services
OH</t>
  </si>
  <si>
    <t>OH Lines</t>
  </si>
  <si>
    <t>OH Services Prorata</t>
  </si>
  <si>
    <t>Total $</t>
  </si>
  <si>
    <t>D1002</t>
  </si>
  <si>
    <t>Underground Lines &amp; Services</t>
  </si>
  <si>
    <t>UG Services Prorata</t>
  </si>
  <si>
    <t>D1003</t>
  </si>
  <si>
    <t>Direct
 IS</t>
  </si>
  <si>
    <t xml:space="preserve">Demand
</t>
  </si>
  <si>
    <t>DISTRIBUTION ACCUM RESERVE FOR DEPRECIATION (000'S)</t>
  </si>
  <si>
    <t>DISTRIBUTION DEPREC RESERVE</t>
  </si>
  <si>
    <t xml:space="preserve"> POLES DIRECT</t>
  </si>
  <si>
    <t xml:space="preserve"> OH LINES DIRECT</t>
  </si>
  <si>
    <t xml:space="preserve"> DISTRIBUTION DEPREC RESERVE</t>
  </si>
  <si>
    <t>DISTRIBUTION DEPRECIATION EXPENSE (000'S)</t>
  </si>
  <si>
    <t>DISTRIBUTION DEPREC EXPENSE</t>
  </si>
  <si>
    <t xml:space="preserve"> DISTRIBUTION DEPREC EXPENSE</t>
  </si>
  <si>
    <t>Distribution Workpaper
MDS Calculation</t>
  </si>
  <si>
    <t>Total Investment
$'s (000's)</t>
  </si>
  <si>
    <t>Direct Assign.
 [Cust]</t>
  </si>
  <si>
    <t>Net Investment</t>
  </si>
  <si>
    <t>Service
Level</t>
  </si>
  <si>
    <t>Voltage
Ratios</t>
  </si>
  <si>
    <t>Total Investment
 * Voltage Ratios</t>
  </si>
  <si>
    <t>MDS
Ratios</t>
  </si>
  <si>
    <t>MDS
[Cust]</t>
  </si>
  <si>
    <t>[Demand]</t>
  </si>
  <si>
    <t>Total
(000's)</t>
  </si>
  <si>
    <t>col. (2) - (3)</t>
  </si>
  <si>
    <t>col. (4) * (6)</t>
  </si>
  <si>
    <t>col. (7) * (8)</t>
  </si>
  <si>
    <t>col. (7) - (9)</t>
  </si>
  <si>
    <t>cols. (3) + (9) + (10)</t>
  </si>
  <si>
    <t>OVERHEAD LINES</t>
  </si>
  <si>
    <t>Account 365</t>
  </si>
  <si>
    <t xml:space="preserve"> UNDERGROUND LINES</t>
  </si>
  <si>
    <t>Accounts 366 &amp; 367</t>
  </si>
  <si>
    <t>POLES</t>
  </si>
  <si>
    <t>Account 364</t>
  </si>
  <si>
    <t>TRANSFORMERS</t>
  </si>
  <si>
    <t xml:space="preserve"> Account 368</t>
  </si>
  <si>
    <t>Rate Case Inputs</t>
  </si>
  <si>
    <t>MDS TABLE</t>
  </si>
  <si>
    <t>Voltage Ratios</t>
  </si>
  <si>
    <t>100% MDS Ratios</t>
  </si>
  <si>
    <t>CUST.</t>
  </si>
  <si>
    <t>Acct 364 - Secondary</t>
  </si>
  <si>
    <t>Acct 364 - Primary</t>
  </si>
  <si>
    <t>OH LINES</t>
  </si>
  <si>
    <t>Acct 365 - Secondary</t>
  </si>
  <si>
    <t>Acct 365 - Primary</t>
  </si>
  <si>
    <t>UG LINES</t>
  </si>
  <si>
    <t>Accts 366/367 - Secondary</t>
  </si>
  <si>
    <t>Accts 366/367 - Primary</t>
  </si>
  <si>
    <t>Acct 368 - Secondary</t>
  </si>
  <si>
    <t>Acct 368 - Primary</t>
  </si>
  <si>
    <t xml:space="preserve"> UG LINES DIRECT (SL)</t>
  </si>
  <si>
    <t xml:space="preserve"> TRANSFORMERS PRIMARY</t>
  </si>
  <si>
    <t xml:space="preserve"> TRANSFORMERS PRIMARY (MDS)</t>
  </si>
  <si>
    <t xml:space="preserve"> TRANSFORMERS SECONDARY</t>
  </si>
  <si>
    <t xml:space="preserve"> TRANSFORMERS SECONDARY (MDS)</t>
  </si>
  <si>
    <t>17</t>
  </si>
  <si>
    <t>ARO FUNCTIONALIZED</t>
  </si>
  <si>
    <t>YE Balance</t>
  </si>
  <si>
    <t>GENERATION - Steam</t>
  </si>
  <si>
    <t>GENERATION - Other</t>
  </si>
  <si>
    <t>GENERATION - Other - Solar</t>
  </si>
  <si>
    <t>TRANSMISSION</t>
  </si>
  <si>
    <t>DISTRIBUTION</t>
  </si>
  <si>
    <t xml:space="preserve">GENERAL </t>
  </si>
  <si>
    <t>TOTAL PLANT</t>
  </si>
  <si>
    <t>FUNCTIONALIZATION OF GENERAL &amp; INTANGIBLE EQUIP / EXPENSES ($000)</t>
  </si>
  <si>
    <t>(1)  ALLOCATION OF GENERAL PLANT (INCLUDING ARO) TO FUNCTIONS</t>
  </si>
  <si>
    <t>RATIO</t>
  </si>
  <si>
    <t>DEPREC
 EXPENSE</t>
  </si>
  <si>
    <t>DEPREC 
RESERVE</t>
  </si>
  <si>
    <t>GENERAL &amp; INTANGIBLE</t>
  </si>
  <si>
    <t>ARO *</t>
  </si>
  <si>
    <t>* includes solar</t>
  </si>
  <si>
    <t>ADJUSTMENTS</t>
  </si>
  <si>
    <t>TOTAL *</t>
  </si>
  <si>
    <t>LABOR % 
DISTRIBUTION</t>
  </si>
  <si>
    <t>DEPREC 
EXPENSE</t>
  </si>
  <si>
    <t>TRANS - HiVLines</t>
  </si>
  <si>
    <t>SUBTRANS - Substa</t>
  </si>
  <si>
    <t>DIST - DstPri</t>
  </si>
  <si>
    <t>DIST - DstSec</t>
  </si>
  <si>
    <t>DIST - Cust</t>
  </si>
  <si>
    <t>OTH - Oth Cust</t>
  </si>
  <si>
    <t>TOTAL GEN &amp; INTAN.</t>
  </si>
  <si>
    <t>ARO - DIRECT</t>
  </si>
  <si>
    <t>DIRECT ASSIGNED ARO
FUNCTIONAL $'S</t>
  </si>
  <si>
    <t>PROD-DEMAND *</t>
  </si>
  <si>
    <t>GENERAL</t>
  </si>
  <si>
    <t>TOTAL ARO *</t>
  </si>
  <si>
    <t>(2)  SUMMARIZED FUNCTIONALIZATION AND CLASSIFICATION</t>
  </si>
  <si>
    <t>CUSTOMER - OTHER LABOR (Accts 901-916) ($000)</t>
  </si>
  <si>
    <t>ADJUSTED</t>
  </si>
  <si>
    <t>CUSTOMER</t>
  </si>
  <si>
    <t>ADJUSTS</t>
  </si>
  <si>
    <t>CUSTOMER ACCOUNTS</t>
  </si>
  <si>
    <t>901</t>
  </si>
  <si>
    <t>Supervision</t>
  </si>
  <si>
    <t>902</t>
  </si>
  <si>
    <t>Meter Reading Expenses</t>
  </si>
  <si>
    <t>903</t>
  </si>
  <si>
    <t>Customer Records &amp; Collection</t>
  </si>
  <si>
    <t>904</t>
  </si>
  <si>
    <t>Uncollectible Accounts</t>
  </si>
  <si>
    <t>905</t>
  </si>
  <si>
    <t>Misc Cust Accounts Exp</t>
  </si>
  <si>
    <t xml:space="preserve">      Subtotal</t>
  </si>
  <si>
    <t>CUSTOMER SERVICE &amp; INFO.</t>
  </si>
  <si>
    <t>907</t>
  </si>
  <si>
    <t>908</t>
  </si>
  <si>
    <t>Customer Assistance Exp</t>
  </si>
  <si>
    <t>909</t>
  </si>
  <si>
    <t>Informational &amp; Instructional</t>
  </si>
  <si>
    <t>910</t>
  </si>
  <si>
    <t>Misc Cust Service &amp; Info</t>
  </si>
  <si>
    <t>SALES EXPENSE</t>
  </si>
  <si>
    <t>911</t>
  </si>
  <si>
    <t>912</t>
  </si>
  <si>
    <t>Sales Demonstrating &amp; Selling Exp</t>
  </si>
  <si>
    <t>913</t>
  </si>
  <si>
    <t>Sales Advertising Exp</t>
  </si>
  <si>
    <t>916</t>
  </si>
  <si>
    <t>Misc Sales Exp</t>
  </si>
  <si>
    <t>TOTAL CUSTOMER - OTHER LABOR</t>
  </si>
  <si>
    <t>TOTAL TRANSMISSION LABOR O&amp;M EXPENSES (Accts 561 - 573) ($000)</t>
  </si>
  <si>
    <t>SUBSTATIONS</t>
  </si>
  <si>
    <t>PROD</t>
  </si>
  <si>
    <t>TRANSM.</t>
  </si>
  <si>
    <t>SUBTRANS</t>
  </si>
  <si>
    <t>ALLOC</t>
  </si>
  <si>
    <t>STEP-UP</t>
  </si>
  <si>
    <t>OPERATIONS</t>
  </si>
  <si>
    <t>561</t>
  </si>
  <si>
    <t>Transmission Load Dispatching</t>
  </si>
  <si>
    <t>562</t>
  </si>
  <si>
    <t>Station Expenses</t>
  </si>
  <si>
    <t>Subtotal</t>
  </si>
  <si>
    <t>563</t>
  </si>
  <si>
    <t>Overhead Line Expenses</t>
  </si>
  <si>
    <t>564</t>
  </si>
  <si>
    <t>Underground Line Expenses</t>
  </si>
  <si>
    <t>Transmission of Electricity by Others</t>
  </si>
  <si>
    <t>Direct Hi-Volt</t>
  </si>
  <si>
    <t>560</t>
  </si>
  <si>
    <t>Operation Supervision, &amp; Engineering</t>
  </si>
  <si>
    <t>566</t>
  </si>
  <si>
    <t>Misc Transmission Exp</t>
  </si>
  <si>
    <t>567</t>
  </si>
  <si>
    <t>Rents</t>
  </si>
  <si>
    <t>T1002</t>
  </si>
  <si>
    <t>MAINTENANCE</t>
  </si>
  <si>
    <t>571</t>
  </si>
  <si>
    <t>Mtce of Overhead Lines</t>
  </si>
  <si>
    <t>572</t>
  </si>
  <si>
    <t>Mtce of Underground Lines</t>
  </si>
  <si>
    <t>Direct Lines</t>
  </si>
  <si>
    <t>568</t>
  </si>
  <si>
    <t>Mtce Supervision &amp; Engineering</t>
  </si>
  <si>
    <t>569</t>
  </si>
  <si>
    <t>Mtce of Structures</t>
  </si>
  <si>
    <t>570</t>
  </si>
  <si>
    <t>Mtce of Station Equipment</t>
  </si>
  <si>
    <t>Mtce of Misc Transm Plant</t>
  </si>
  <si>
    <t>TOTAL TRANSMISSION LABOR</t>
  </si>
  <si>
    <t>TRANSMISSION PLANT INTERNAL ALLOCATORS DERIVED ON TRANSM. PLANT TAB</t>
  </si>
  <si>
    <t>Transmission Substation Equip. &amp; Structures</t>
  </si>
  <si>
    <t>Plant Accounts 352, 353 &amp; Substation Land</t>
  </si>
  <si>
    <t>Plant Accounts 354 to 359, &amp; Line Land</t>
  </si>
  <si>
    <t>TRANSMISSION O&amp;M INTERNAL ALLOCATORS DERIVED ON TRANSM. O&amp;M TAB</t>
  </si>
  <si>
    <t>Transmission Operations Expense</t>
  </si>
  <si>
    <t>Accounts 561-564</t>
  </si>
  <si>
    <t>TOTAL DISTRIBUTION LABOR O&amp;M EXPENSES  (Accts 580 - 598) ($000)</t>
  </si>
  <si>
    <t>SERVICES</t>
  </si>
  <si>
    <t>ST LGTS</t>
  </si>
  <si>
    <t>INTERRUP.</t>
  </si>
  <si>
    <t>LINE
NO.</t>
  </si>
  <si>
    <t>DIRECT
Cust</t>
  </si>
  <si>
    <t>PRI
Demand</t>
  </si>
  <si>
    <t>PRI
MDS Cust</t>
  </si>
  <si>
    <t>SEC
Demand</t>
  </si>
  <si>
    <t>SEC
MDS Cust</t>
  </si>
  <si>
    <t>PRIMARY
Demand</t>
  </si>
  <si>
    <t>PRIMARY
MDS Cust</t>
  </si>
  <si>
    <t>EQUIP
 Cust</t>
  </si>
  <si>
    <t>18</t>
  </si>
  <si>
    <t>19</t>
  </si>
  <si>
    <t>20</t>
  </si>
  <si>
    <t>21</t>
  </si>
  <si>
    <t>22</t>
  </si>
  <si>
    <t>23</t>
  </si>
  <si>
    <t>24</t>
  </si>
  <si>
    <t>25</t>
  </si>
  <si>
    <t>580</t>
  </si>
  <si>
    <t>Operations Supervision &amp; Engineering</t>
  </si>
  <si>
    <t>D1006</t>
  </si>
  <si>
    <t>Load Dispatch</t>
  </si>
  <si>
    <t>582</t>
  </si>
  <si>
    <t>Station Expense</t>
  </si>
  <si>
    <t>583</t>
  </si>
  <si>
    <t>Overhead Line Expense</t>
  </si>
  <si>
    <t>584</t>
  </si>
  <si>
    <t>Underground Line Expense</t>
  </si>
  <si>
    <t>585</t>
  </si>
  <si>
    <t>Street Lighting &amp; Signal Exp</t>
  </si>
  <si>
    <t>Direct</t>
  </si>
  <si>
    <t>586</t>
  </si>
  <si>
    <t>Meter Expense</t>
  </si>
  <si>
    <t>587</t>
  </si>
  <si>
    <t>Customer Installation Expense</t>
  </si>
  <si>
    <t>588</t>
  </si>
  <si>
    <t>Misc Distribution Exp</t>
  </si>
  <si>
    <t>589</t>
  </si>
  <si>
    <t>Direct Substation</t>
  </si>
  <si>
    <t>Total Operations</t>
  </si>
  <si>
    <t>590</t>
  </si>
  <si>
    <t>D1004</t>
  </si>
  <si>
    <t>591</t>
  </si>
  <si>
    <t>Mtce Of Structures</t>
  </si>
  <si>
    <t>592</t>
  </si>
  <si>
    <t>Mtce Of Station Eqpuipment</t>
  </si>
  <si>
    <t>593</t>
  </si>
  <si>
    <t>Mtce Of Overhead Lines</t>
  </si>
  <si>
    <t>594</t>
  </si>
  <si>
    <t>Mtce Of Underground Lines</t>
  </si>
  <si>
    <t>595</t>
  </si>
  <si>
    <t>Mtce Of Transformers</t>
  </si>
  <si>
    <t>596</t>
  </si>
  <si>
    <t>Mtce Of Street Lighting</t>
  </si>
  <si>
    <t>597</t>
  </si>
  <si>
    <t>Mtce Of Meters</t>
  </si>
  <si>
    <t>598</t>
  </si>
  <si>
    <t>Misc Maintenance</t>
  </si>
  <si>
    <t>Total Maintenance</t>
  </si>
  <si>
    <t>TOTAL DISTRIBUTION LABOR</t>
  </si>
  <si>
    <t>DISTRIBUTION PLANT INTERNAL ALLOCATORS DERIVED ON DISTRIBUTION PLANT TAB</t>
  </si>
  <si>
    <t>PIS: Poles, Overhead Lines &amp; Services</t>
  </si>
  <si>
    <t>Plant Accounts 364, 365 &amp; 369 (OH%)</t>
  </si>
  <si>
    <t>PIS: Underground Lines &amp; Services</t>
  </si>
  <si>
    <t>Plant Accounts 366, 367 &amp; 369 (UG %)</t>
  </si>
  <si>
    <t>PIS: Station Equipment</t>
  </si>
  <si>
    <t>Plant Account 362</t>
  </si>
  <si>
    <t>DISTRIBUTION O&amp;M INTERNAL ALLOCATORS DERIVED ON DISTRIBUTION O&amp;M TAB</t>
  </si>
  <si>
    <t>Distribution Maintenance Expense</t>
  </si>
  <si>
    <t>Sums Distribution Accts 591-597</t>
  </si>
  <si>
    <t>Distribution Operations Expense</t>
  </si>
  <si>
    <t>Sums Distribution Accts 582-587, 589</t>
  </si>
  <si>
    <t>D1005</t>
  </si>
  <si>
    <t>Distribution O&amp;M Expense</t>
  </si>
  <si>
    <t>Sums Internal Allocators D1004 &amp; D1005</t>
  </si>
  <si>
    <t>FUNCTIONALIZATION OF TOTAL LABOR A &amp; G EXPENSES ($000)</t>
  </si>
  <si>
    <t>PRODUCTION</t>
  </si>
  <si>
    <t>ADJ. TOTAL</t>
  </si>
  <si>
    <t>SUBTOTAL</t>
  </si>
  <si>
    <t>DISTR</t>
  </si>
  <si>
    <t xml:space="preserve">PROD. </t>
  </si>
  <si>
    <t>HIVOLT</t>
  </si>
  <si>
    <t>SUBTRN</t>
  </si>
  <si>
    <t>DISTRIB.</t>
  </si>
  <si>
    <t xml:space="preserve">PRIMARY </t>
  </si>
  <si>
    <t>SCNDRY</t>
  </si>
  <si>
    <t>A&amp;G LABOR: PLANT-RELATED</t>
  </si>
  <si>
    <t>924</t>
  </si>
  <si>
    <t>931</t>
  </si>
  <si>
    <t>932</t>
  </si>
  <si>
    <t>Mtce of General Plant</t>
  </si>
  <si>
    <t>TOTAL PLANT RELATED A&amp;G LABOR*</t>
  </si>
  <si>
    <t>PIS1000 &amp;</t>
  </si>
  <si>
    <t>PIS1001</t>
  </si>
  <si>
    <t>A&amp;G LABOR: LABOR-RELATED</t>
  </si>
  <si>
    <t>920</t>
  </si>
  <si>
    <t>Admin &amp; General Salaries, includes solar</t>
  </si>
  <si>
    <t>921</t>
  </si>
  <si>
    <t>922</t>
  </si>
  <si>
    <t>Admin Expenses Transfered</t>
  </si>
  <si>
    <t>923</t>
  </si>
  <si>
    <t>925</t>
  </si>
  <si>
    <t>Injuries &amp; Damages</t>
  </si>
  <si>
    <t>926</t>
  </si>
  <si>
    <t>Employee Pensions &amp; Benefits, includes solar</t>
  </si>
  <si>
    <t>928</t>
  </si>
  <si>
    <t>Regulatory Comm Expenses</t>
  </si>
  <si>
    <t>930</t>
  </si>
  <si>
    <t>Misc General Expenses</t>
  </si>
  <si>
    <t>TOTAL LABOR RELATED A&amp;G LABOR*</t>
  </si>
  <si>
    <t>L1000 &amp;</t>
  </si>
  <si>
    <t>L1001</t>
  </si>
  <si>
    <t>TOTAL ADMINISTRATIVE &amp; GENERAL LABOR</t>
  </si>
  <si>
    <t>*The Allocators are applied in two steps. First the functional split; then the secondary subfunction allocator is applied.</t>
  </si>
  <si>
    <t>DERIVATION OF PLANT IN SERVICE INTERNAL ALLOCATOR, REPORTS TAB</t>
  </si>
  <si>
    <t>PIS Plant 
Total</t>
  </si>
  <si>
    <t>Prod. 
Total</t>
  </si>
  <si>
    <t>Prod. 
Demand**</t>
  </si>
  <si>
    <t>Prod.
 Energy</t>
  </si>
  <si>
    <t>Transm.
Total</t>
  </si>
  <si>
    <t>Transm.
Hi Volt</t>
  </si>
  <si>
    <t>Transm.
 Subtrans.</t>
  </si>
  <si>
    <t>Distri.
Total</t>
  </si>
  <si>
    <t>Distri.
Demand
Subtotal</t>
  </si>
  <si>
    <t>Distri.
Prim. Dem</t>
  </si>
  <si>
    <t>Distri.
Sec. Dem</t>
  </si>
  <si>
    <t>Distri. 
Cust.</t>
  </si>
  <si>
    <t>Other
Total</t>
  </si>
  <si>
    <t>Source: Reports Tab, Page 18</t>
  </si>
  <si>
    <t>$(000's)</t>
  </si>
  <si>
    <t>Plant in Service, All Plant</t>
  </si>
  <si>
    <t>PIS1000</t>
  </si>
  <si>
    <t>Sub Functions of Plant Accts Prod., Transm. &amp; Distri.</t>
  </si>
  <si>
    <t>Sub Functions</t>
  </si>
  <si>
    <t>DERIVATION OF LABOR O&amp;M ALLOCATOR, DERIVED LABOR O&amp;M TAB</t>
  </si>
  <si>
    <t>Functional Labor O&amp;M (derived within labor tab)</t>
  </si>
  <si>
    <t>L1000</t>
  </si>
  <si>
    <t>Functionalization:</t>
  </si>
  <si>
    <t>Sub Functions Labor O&amp;M (derived within labor tab)</t>
  </si>
  <si>
    <t>**The Transmission GSU labor portion is included in Production Demand totals in allocator L1001 above.</t>
  </si>
  <si>
    <t>"prod_labor"</t>
  </si>
  <si>
    <t>TOTAL PRODUCTION LABOR O&amp;M EXPENSES (Accts 500-556) ($000)</t>
  </si>
  <si>
    <t>REQUIREMENT</t>
  </si>
  <si>
    <t>FPSC</t>
  </si>
  <si>
    <t>JURISDICTIONAL</t>
  </si>
  <si>
    <t>Demand/Egy following Prod O&amp;M</t>
  </si>
  <si>
    <t>Factor 101</t>
  </si>
  <si>
    <t>Factor 201</t>
  </si>
  <si>
    <t>CLASSIF</t>
  </si>
  <si>
    <t>STEAM OPERATIONS</t>
  </si>
  <si>
    <t>500</t>
  </si>
  <si>
    <t>Steam Expense</t>
  </si>
  <si>
    <t>DEM/EGY</t>
  </si>
  <si>
    <t>Steam From Other Sources</t>
  </si>
  <si>
    <t>505</t>
  </si>
  <si>
    <t>Electric Expense</t>
  </si>
  <si>
    <t>506</t>
  </si>
  <si>
    <t>Misc. Steam Expense</t>
  </si>
  <si>
    <t>507</t>
  </si>
  <si>
    <t>STEAM MAINTENANCE</t>
  </si>
  <si>
    <t>510</t>
  </si>
  <si>
    <t xml:space="preserve">Maintenance Supervision &amp; Engineering </t>
  </si>
  <si>
    <t>P1000</t>
  </si>
  <si>
    <t>511</t>
  </si>
  <si>
    <t>Maintenance Of Structures</t>
  </si>
  <si>
    <t>512</t>
  </si>
  <si>
    <t>Maintenance Of Boiler Plant</t>
  </si>
  <si>
    <t>513</t>
  </si>
  <si>
    <t>Maintenance Of Electric Plant</t>
  </si>
  <si>
    <t>514</t>
  </si>
  <si>
    <t>Maintenance Misc Plant</t>
  </si>
  <si>
    <t xml:space="preserve">  Total Steam Production Labor</t>
  </si>
  <si>
    <t>546</t>
  </si>
  <si>
    <t>548</t>
  </si>
  <si>
    <t>Generation Expense, includes solar</t>
  </si>
  <si>
    <t>549</t>
  </si>
  <si>
    <t>Misc. Other Power Exp, includes solar</t>
  </si>
  <si>
    <t>550</t>
  </si>
  <si>
    <t>551</t>
  </si>
  <si>
    <t>552</t>
  </si>
  <si>
    <t>Maintenance Of Structures, includes solar</t>
  </si>
  <si>
    <t>553</t>
  </si>
  <si>
    <t>Maintenance Of General Plant</t>
  </si>
  <si>
    <t>554</t>
  </si>
  <si>
    <t>Maintenance Other Misc</t>
  </si>
  <si>
    <t>556</t>
  </si>
  <si>
    <t>Load Dispatching</t>
  </si>
  <si>
    <t xml:space="preserve">  TOTAL OTHER PRODUCTION LABOR</t>
  </si>
  <si>
    <t>TOTAL PRODUCTION LABOR</t>
  </si>
  <si>
    <t>PRODUCTION O&amp;M INTERNAL ALLOCATOR DERIVED ON PROD. O&amp;M TAB</t>
  </si>
  <si>
    <t>($000's)</t>
  </si>
  <si>
    <t xml:space="preserve">Steam Production Maintenance Expense </t>
  </si>
  <si>
    <t>Demand (Accounts 511 + 514/Sum Accts 511 to 514)</t>
  </si>
  <si>
    <t>Energy (Accounts 512 + 513/Sum Accts 511 to 514)</t>
  </si>
  <si>
    <t>Conservation Labor</t>
  </si>
  <si>
    <t>LABOR RATIOS</t>
  </si>
  <si>
    <t>O&amp;M LABOR RATIO</t>
  </si>
  <si>
    <t>VEHICLE EXPENSE LABOR RATIO</t>
  </si>
  <si>
    <t>Transmission, Distribution &amp; Other (excl. Production)*</t>
  </si>
  <si>
    <t>FUNCTIONAL DESC.</t>
  </si>
  <si>
    <t>LABOR ($000)</t>
  </si>
  <si>
    <t>LABOR (%)</t>
  </si>
  <si>
    <t>PROD-DEMAND (incl gsu)</t>
  </si>
  <si>
    <t>TRANS - DEMAND (excl gsu)</t>
  </si>
  <si>
    <t>OTH - CUST (excl conservation)</t>
  </si>
  <si>
    <t>*Production is excluded because we take production portion directly to</t>
  </si>
  <si>
    <t>Production Demand, no allocation necessary.</t>
  </si>
  <si>
    <t>This labor total excludes A&amp;G labor because it is used to distribute the A&amp;G labor.</t>
  </si>
  <si>
    <t>Modified Other cust to excl. Conservation in acct 908</t>
  </si>
  <si>
    <t xml:space="preserve">OPER, SUPV &amp; ENG </t>
  </si>
  <si>
    <t>GENERATION EXPENSE</t>
  </si>
  <si>
    <t>MISC OTHER POWER EXP</t>
  </si>
  <si>
    <t>RENTS</t>
  </si>
  <si>
    <t xml:space="preserve">MTCE, SUPV &amp; ENG </t>
  </si>
  <si>
    <t>MTCE OF STRUCTURES</t>
  </si>
  <si>
    <t>MTCE OF GENERAL PLANT</t>
  </si>
  <si>
    <t>MTCE OTHER MISC</t>
  </si>
  <si>
    <t>LOAD DISPATCHING</t>
  </si>
  <si>
    <t>TOTAL PRODUCTION O&amp;M EXPENSES (Accts 500-556) ($000)</t>
  </si>
  <si>
    <t>NO</t>
  </si>
  <si>
    <t>STEAM OPERATION EXPENSE</t>
  </si>
  <si>
    <t>STEAM EXPENSE</t>
  </si>
  <si>
    <t>STEAM FROM OTH SOURCES</t>
  </si>
  <si>
    <t>ELECTRIC EXPENSE</t>
  </si>
  <si>
    <t>MISC STEAM EXPENSE</t>
  </si>
  <si>
    <t>STEAM MAINTENANCE EXPENSE</t>
  </si>
  <si>
    <t>MTCE OF BOILER PLANT</t>
  </si>
  <si>
    <t>MTCE OF ELECTRIC PLT</t>
  </si>
  <si>
    <t>MTCE MISC PLANT</t>
  </si>
  <si>
    <t xml:space="preserve">  TOTAL STEAM PRODUCTION O&amp;M</t>
  </si>
  <si>
    <t>OTHER PRODUCTION EXPENSE *</t>
  </si>
  <si>
    <t xml:space="preserve">  TOTAL OTHER PRODUCTION *</t>
  </si>
  <si>
    <t>TOTAL PRODUCTION O&amp;M *</t>
  </si>
  <si>
    <t>PRODUCTION O&amp;M INTERNAL ALLOCATOR, DERIVED ON PROD. O&amp;M TAB</t>
  </si>
  <si>
    <t>Demand (Account 511 / Accounts 511 to 514)</t>
  </si>
  <si>
    <t>Energy (Accounts 512+513+514 / Accounts 511 to 514)</t>
  </si>
  <si>
    <t>Fuel Additives 50249</t>
  </si>
  <si>
    <t>Fuel Additives 54870</t>
  </si>
  <si>
    <t>BB4 Scrubber</t>
  </si>
  <si>
    <t>Polk Gasifier</t>
  </si>
  <si>
    <t>Input Value</t>
  </si>
  <si>
    <t>Tampa Electric Company</t>
  </si>
  <si>
    <t>Form 42 - 5B</t>
  </si>
  <si>
    <t>Environmental Cost Recovery Clause (ECRC)</t>
  </si>
  <si>
    <t>Calculation of the Projected Period Amount</t>
  </si>
  <si>
    <t>O&amp;M Activities</t>
  </si>
  <si>
    <t>(in Dollars)</t>
  </si>
  <si>
    <t>End of</t>
  </si>
  <si>
    <t>Period</t>
  </si>
  <si>
    <t>Method of Classification</t>
  </si>
  <si>
    <t>Description of O&amp;M Activities</t>
  </si>
  <si>
    <t>Section</t>
  </si>
  <si>
    <t>AIR QUALITY</t>
  </si>
  <si>
    <t>1a.</t>
  </si>
  <si>
    <t>Big Bend Unit 3 Flue Gas Desulfurization Integration</t>
  </si>
  <si>
    <t>1c.</t>
  </si>
  <si>
    <t>1d.</t>
  </si>
  <si>
    <t>Big Bend Units 1 &amp; 2 FGD (Less Gypsum Rev)</t>
  </si>
  <si>
    <t>Big Bend PM Minimization and Monitoring</t>
  </si>
  <si>
    <t>1g.</t>
  </si>
  <si>
    <t>1h.</t>
  </si>
  <si>
    <t xml:space="preserve">Bayside SCR and Ammonia </t>
  </si>
  <si>
    <t>1i.</t>
  </si>
  <si>
    <t>Big Bend Unit 4 SOFA</t>
  </si>
  <si>
    <t>1j.</t>
  </si>
  <si>
    <t>1k.</t>
  </si>
  <si>
    <t>1l.</t>
  </si>
  <si>
    <t>Big Bend 3 SCR</t>
  </si>
  <si>
    <t>Big Bend 4 SCR</t>
  </si>
  <si>
    <t>Mercury Air Toxics Standards</t>
  </si>
  <si>
    <t>BB</t>
  </si>
  <si>
    <t>PK</t>
  </si>
  <si>
    <t>Greenhouse Gas Reduction Program</t>
  </si>
  <si>
    <t>BS</t>
  </si>
  <si>
    <t>Big Bend Gypsum Storage Facility</t>
  </si>
  <si>
    <t>2a.</t>
  </si>
  <si>
    <t>Coal Combustion Residuals (CCR) Rule Phase II</t>
  </si>
  <si>
    <t>WATER</t>
  </si>
  <si>
    <t>3a.</t>
  </si>
  <si>
    <t>NPDES Annual Surveillance Fees</t>
  </si>
  <si>
    <t>3b.</t>
  </si>
  <si>
    <t>3c.</t>
  </si>
  <si>
    <t>Clean Water Act Section 316(b) Phase II Study</t>
  </si>
  <si>
    <t>3d.</t>
  </si>
  <si>
    <t>Arsenic Groundwater Standard Program</t>
  </si>
  <si>
    <t>3e.</t>
  </si>
  <si>
    <t>Big Bend Effluent Limitation Guidelines (ELG) (energy)</t>
  </si>
  <si>
    <t>Recoverable Costs Allocated to Energy</t>
  </si>
  <si>
    <t>Recoverable Costs Allocated to Demand</t>
  </si>
  <si>
    <t>Retail Energy Jurisdictional Factor</t>
  </si>
  <si>
    <t>Retail Demand Jurisdictional Factor</t>
  </si>
  <si>
    <t xml:space="preserve">Jurisdictional Energy Recoverable Costs (A) </t>
  </si>
  <si>
    <t xml:space="preserve">Jurisdictional Demand Recoverable Costs (B) </t>
  </si>
  <si>
    <t>Total Jurisdictional Recoverable Costs for O&amp;M</t>
  </si>
  <si>
    <t xml:space="preserve">Activities (Lines 7 + 8) </t>
  </si>
  <si>
    <t>Line 3 x Line 5</t>
  </si>
  <si>
    <t>Line 4 x Line 6</t>
  </si>
  <si>
    <t>Total ECRC, Whsl &amp; Retail</t>
  </si>
  <si>
    <t>FERC ACCT</t>
  </si>
  <si>
    <t>ECRC TOTAL
 O&amp;M EXPENSE</t>
  </si>
  <si>
    <t>Production Only</t>
  </si>
  <si>
    <t>CSA's Bayside</t>
  </si>
  <si>
    <t>CSA's Polk</t>
  </si>
  <si>
    <t>TOTAL WHOLESALE FUEL AND INTERCHANGE (BALANCING WORKSHEET FOR INPUTS)</t>
  </si>
  <si>
    <t>FERC ACCOUNT</t>
  </si>
  <si>
    <t>CLASSIFY</t>
  </si>
  <si>
    <t>TAB P INPUTS</t>
  </si>
  <si>
    <t>WHSL</t>
  </si>
  <si>
    <t>RETAIL</t>
  </si>
  <si>
    <t>S RPT TIE #</t>
  </si>
  <si>
    <t>Supplement 2, O&amp;M, Fuel &amp; Interchange</t>
  </si>
  <si>
    <t>Schedule 2, Pg 2 of 3</t>
  </si>
  <si>
    <t>lessRecoverable Fuel</t>
  </si>
  <si>
    <t>FUEL &amp; INTERCHANGE COLUMN (excl Optional Provision)</t>
  </si>
  <si>
    <t>SOURCE: TAB P</t>
  </si>
  <si>
    <t>PURCHASED POWER</t>
  </si>
  <si>
    <t>Whsl</t>
  </si>
  <si>
    <t>Non-Recov. Whsl Capacity (ended w/ 2012 Whsl RQ Formula Model)</t>
  </si>
  <si>
    <t>Non_Recov PP Whsl Capacity (Sch J &amp; Sch D)</t>
  </si>
  <si>
    <t>Non_Recov Cogen-Whsl Capacity</t>
  </si>
  <si>
    <t>Non_Recov Cogen-HPP Capacity</t>
  </si>
  <si>
    <t>Whsl Pur Power Capacity</t>
  </si>
  <si>
    <t>REACTIVE POWER (ended Nov, 2009)</t>
  </si>
  <si>
    <t xml:space="preserve">Non_Recov PP Whsl O&amp;M (Sch J &amp; Sch D) </t>
  </si>
  <si>
    <t>Non_Recov PP Reactive Power CALPINE Retail</t>
  </si>
  <si>
    <t>supple 2</t>
  </si>
  <si>
    <t>so2 Allowances, consumption in PP</t>
  </si>
  <si>
    <t>NON-FUEL GENERATION EXPENSE</t>
  </si>
  <si>
    <t>Non-recoverable fuel (handling) BB-Coal</t>
  </si>
  <si>
    <t>Memo entry for whsl alloc of 50109 (handling &amp; analysis)</t>
  </si>
  <si>
    <t>Non-recoverable fuel (handling) Polk</t>
  </si>
  <si>
    <t>Memo entry for whsl alloc of 547 (handling &amp; analysis)</t>
  </si>
  <si>
    <t>VARIANCE ADJUSTMENT TO RETAIL</t>
  </si>
  <si>
    <t>Non-Recoverable Fuel Expense Account 501</t>
  </si>
  <si>
    <t>Non-Recoverable Fuel Expense Account 547</t>
  </si>
  <si>
    <t>TOTAL TRANSMISSION O&amp;M EXPENSE (Accts 561 - 573) ($000)</t>
  </si>
  <si>
    <t>TOTAL
TRANSM.</t>
  </si>
  <si>
    <t>SUBST.
TOTAL</t>
  </si>
  <si>
    <t>PROD
STEP-UP</t>
  </si>
  <si>
    <t>TRANSM.
HI-VOLT</t>
  </si>
  <si>
    <t>SUBTRANS
COMMON</t>
  </si>
  <si>
    <t>LINES
TOTAL</t>
  </si>
  <si>
    <t>Operations Expense</t>
  </si>
  <si>
    <t>STATION EXPENSE</t>
  </si>
  <si>
    <t xml:space="preserve">     Subtotal</t>
  </si>
  <si>
    <t>OVERHEAD LINE EXPENSE</t>
  </si>
  <si>
    <t>UNDERGROUND LINE EXPENSE</t>
  </si>
  <si>
    <t>TRANSM BY OTHERS</t>
  </si>
  <si>
    <t>OPER, SUPV &amp; ENG</t>
  </si>
  <si>
    <t>MISC TRANS EXP</t>
  </si>
  <si>
    <t>Subtotal Misc Operations</t>
  </si>
  <si>
    <t>Maintenance Expense</t>
  </si>
  <si>
    <t>MTCE OF OH LINES</t>
  </si>
  <si>
    <t>MTCE OF UG LINES</t>
  </si>
  <si>
    <t>Subtotal Maint of Lines</t>
  </si>
  <si>
    <t>MTCE, SUPV &amp; ENG</t>
  </si>
  <si>
    <t>MTCE OF STA EQP</t>
  </si>
  <si>
    <t>MTCE OF MISC PLANT [also acct 574]</t>
  </si>
  <si>
    <t>TOTAL TRANSMISSION EXPENSE</t>
  </si>
  <si>
    <t>TRANSMISSION PLANT INTERNAL ALLOCATORS DERIVED ON TRANSM. PLT TAB</t>
  </si>
  <si>
    <t>TRANSMISSION O&amp;M INTERNAL ALLOCATOR DERIVED ON TRANSM. O&amp;M TAB</t>
  </si>
  <si>
    <t>Transmission Input Value</t>
  </si>
  <si>
    <t>SPP O&amp;M Account</t>
  </si>
  <si>
    <t>TOTAL DISTRIBUTION O&amp;M EXPENSE  (Accts 580 - 598) ($000)</t>
  </si>
  <si>
    <t>OPERATION EXPENSE</t>
  </si>
  <si>
    <t>OPER, SUPV &amp; ENG EXP</t>
  </si>
  <si>
    <t>LOAD DISPATCH</t>
  </si>
  <si>
    <t>OH LINE EXPENSE</t>
  </si>
  <si>
    <t>UG LINE EXPENSE</t>
  </si>
  <si>
    <t>ST LIGHTING &amp; SIGN EXP</t>
  </si>
  <si>
    <t>METER EXPENSE</t>
  </si>
  <si>
    <t>CUST INSTALLTN EXP</t>
  </si>
  <si>
    <t>Direct Services</t>
  </si>
  <si>
    <t>MISC DISTR EXP</t>
  </si>
  <si>
    <t>TOTAL OPERATIONS</t>
  </si>
  <si>
    <t>MAINTENANCE EXPENSE</t>
  </si>
  <si>
    <t>MTCE OF TRANSFORMERS</t>
  </si>
  <si>
    <t>MTCE OF ST LIGHTING</t>
  </si>
  <si>
    <t>MTCE OF METERS</t>
  </si>
  <si>
    <t>MISC MTCE</t>
  </si>
  <si>
    <t>TOTAL MAINTENANCE</t>
  </si>
  <si>
    <t>TOTAL DISTRIBUTION O&amp;M EXPENSE</t>
  </si>
  <si>
    <t>DISTRIBUTION O&amp;M INTERNAL ALLOCATORS DERIVED ON DISTRI. O&amp;M TAB</t>
  </si>
  <si>
    <t>IS Equipment</t>
  </si>
  <si>
    <t>Production O&amp;M Account</t>
  </si>
  <si>
    <t>ANALYSIS OF OTHER CUSTOMER EXPENSES (Accts 901-916) ($000)</t>
  </si>
  <si>
    <t>O&amp;M</t>
  </si>
  <si>
    <t>REPORT</t>
  </si>
  <si>
    <t>EXPENSE</t>
  </si>
  <si>
    <t>(Note 1)</t>
  </si>
  <si>
    <t>LINE ITEM</t>
  </si>
  <si>
    <t>Billing &amp; Records</t>
  </si>
  <si>
    <t>Meter Reading</t>
  </si>
  <si>
    <t>Cust Records &amp; Collections</t>
  </si>
  <si>
    <t>Uncollectible Accts</t>
  </si>
  <si>
    <t>Uncollectible</t>
  </si>
  <si>
    <t>CUST SERVICE &amp; INFO</t>
  </si>
  <si>
    <t>Customer Assistance</t>
  </si>
  <si>
    <t>Info &amp; Instructional Exp</t>
  </si>
  <si>
    <t>Misc Cust Service</t>
  </si>
  <si>
    <t>Info Non-Recov</t>
  </si>
  <si>
    <t>Demonstrate &amp; Selling</t>
  </si>
  <si>
    <t>Sales</t>
  </si>
  <si>
    <t>TOTAL OTHER CUSTOMER EXPENSE</t>
  </si>
  <si>
    <t>Note 1:</t>
  </si>
  <si>
    <t>Adjusted to remove amounts recovered through the Conservation Cost Recovery Clause (ECCR)</t>
  </si>
  <si>
    <t>FUNCTIONALIZATION OF TOTAL A &amp; G EXPENSES ($000)</t>
  </si>
  <si>
    <t>(incl. GSU)</t>
  </si>
  <si>
    <t>A&amp;G: PLANT RELATED</t>
  </si>
  <si>
    <t>TOTAL PLANT RELATED A&amp;G</t>
  </si>
  <si>
    <t>PIS1000 &amp; PIS1001</t>
  </si>
  <si>
    <t>92400</t>
  </si>
  <si>
    <t>Storm Reserve</t>
  </si>
  <si>
    <t xml:space="preserve">     Ratios Derived on Property Insurance Tab</t>
  </si>
  <si>
    <t>TOTAL PLANT RELATED A&amp;G*</t>
  </si>
  <si>
    <t>A&amp;G: LABOR RELATED</t>
  </si>
  <si>
    <t>Admin &amp; General Salaries</t>
  </si>
  <si>
    <t>includes solar</t>
  </si>
  <si>
    <t>Office Supplies &amp; Expenses</t>
  </si>
  <si>
    <t>Admin Exp Transferred-CR</t>
  </si>
  <si>
    <t>Employee Pensions &amp; Benefits</t>
  </si>
  <si>
    <t>Regulatory Comm Exp</t>
  </si>
  <si>
    <t>Dupl Charges - Fringe Alloc</t>
  </si>
  <si>
    <t>TOTAL LABOR RELATED A&amp;G*</t>
  </si>
  <si>
    <t>L1000 &amp; L1001</t>
  </si>
  <si>
    <t>TOTAL ADMIN &amp; GENERAL EXP</t>
  </si>
  <si>
    <t>*The Allocators are applied in two steps. First the functional split; then there is a secondary subfunction allocator applied</t>
  </si>
  <si>
    <t>DERIVATION OF PLANT INTERNAL ALLOCATOR - DERIVED ON REPORTS TAB</t>
  </si>
  <si>
    <t>Alloc.</t>
  </si>
  <si>
    <t>Distri.
Demand</t>
  </si>
  <si>
    <t>Plant in Service, all Plant: Source: Reports Tab, Page 18</t>
  </si>
  <si>
    <t>Functionalization of Plant in Service</t>
  </si>
  <si>
    <t>PIS 1000</t>
  </si>
  <si>
    <t>Subfunctions:</t>
  </si>
  <si>
    <t>PIS 1001</t>
  </si>
  <si>
    <t>DERIVATION OF LABOR O&amp;M ALLOCATOR - DERIVED ON LABOR O&amp;M TAB</t>
  </si>
  <si>
    <t>Total Labor O&amp;M Expense (derived within this tab)</t>
  </si>
  <si>
    <t>Functionalization of  Labor O&amp;M</t>
  </si>
  <si>
    <t>Sub Functions of Labor O&amp;M</t>
  </si>
  <si>
    <t>Conservation Account 908</t>
  </si>
  <si>
    <t>Conservation Account 909</t>
  </si>
  <si>
    <t>Conservation Account 926</t>
  </si>
  <si>
    <t>Property Insurance Account 924</t>
  </si>
  <si>
    <t>DEPRE</t>
  </si>
  <si>
    <t>RSRV</t>
  </si>
  <si>
    <t>TOTAL GEN. PLANT</t>
  </si>
  <si>
    <t>LESS TRANS. EQUIP</t>
  </si>
  <si>
    <t>LESS COMM. EQUIP</t>
  </si>
  <si>
    <t>LESS ECCR Car Port (39401)</t>
  </si>
  <si>
    <t>PLUS SOFTWARE</t>
  </si>
  <si>
    <t>PLUS LAND (GENERAL)</t>
  </si>
  <si>
    <t>Subtotal General Plant</t>
  </si>
  <si>
    <t>PLUS ARO (includes solar)</t>
  </si>
  <si>
    <t>General Plant &amp; ARO</t>
  </si>
  <si>
    <t>FUNCTIONALIZATION OF TELECOMMUNICATIONS EQUIP / EXPENSES ($000)</t>
  </si>
  <si>
    <t>(1)  DIRECT ASSIGNMENTS TO FUNCTIONS BASED ON TELECOMM DEPT ANALYSIS / MEMO</t>
  </si>
  <si>
    <t>DEPREC EXPENSE</t>
  </si>
  <si>
    <t>DEPREC RESERVE</t>
  </si>
  <si>
    <t>397Bal</t>
  </si>
  <si>
    <t>397Exp</t>
  </si>
  <si>
    <t>397Res</t>
  </si>
  <si>
    <t>SubTransmission</t>
  </si>
  <si>
    <t>DISTRIBUTION (ALLOC TO PRI / SEC BASED ON PTD PLT)</t>
  </si>
  <si>
    <t>SUB-TOTAL DISTRIBUTION</t>
  </si>
  <si>
    <t>TOTAL Prod, Transm, Distri</t>
  </si>
  <si>
    <t>(2)  ALLOCATION OF GENERAL TO FUNCTIONS ABOVE BASED ON LABOR RATIO</t>
  </si>
  <si>
    <t>LABOR %</t>
  </si>
  <si>
    <t>General Plant Portion</t>
  </si>
  <si>
    <t>Production - Demand</t>
  </si>
  <si>
    <t>Production - Energy</t>
  </si>
  <si>
    <t>(3)  TOTAL FUNCTIONALIZATION AND CLASSIFICATION  (SUM (1) + (2))</t>
  </si>
  <si>
    <t>PAGE 1</t>
  </si>
  <si>
    <t>JURISDICTIONAL SEPARATION STUDY</t>
  </si>
  <si>
    <t>RETAIL COST OF SERVICE STUDY</t>
  </si>
  <si>
    <t xml:space="preserve">PROD. CAP. ALLOC. METHOD: 4 CP </t>
  </si>
  <si>
    <t>PROPOSED RATES (000's)</t>
  </si>
  <si>
    <t>ALLOCATION ASSIGNMENT REPORT</t>
  </si>
  <si>
    <t>FACTOR</t>
  </si>
  <si>
    <t>METHOD OF ASSIGNMENT</t>
  </si>
  <si>
    <t>OPREV</t>
  </si>
  <si>
    <t>Sales Revenue</t>
  </si>
  <si>
    <t>REV</t>
  </si>
  <si>
    <t>Billed Sales Revenue  - Direct Allocation</t>
  </si>
  <si>
    <t>Misc Svc</t>
  </si>
  <si>
    <t>Misc Acct 451 Revenue</t>
  </si>
  <si>
    <t>Distribution Secondary  - Customer Component</t>
  </si>
  <si>
    <t>Rent</t>
  </si>
  <si>
    <t>Jurisdictional Production Capacity - 4 CP</t>
  </si>
  <si>
    <t xml:space="preserve">Production Capacity - 4 CP </t>
  </si>
  <si>
    <t>Transmission - 4  CP</t>
  </si>
  <si>
    <t>Distribution Primary Capacity - NCP</t>
  </si>
  <si>
    <t>Distribution Secondary</t>
  </si>
  <si>
    <t>Distri. Secondary Capacity - Customer Max Demands</t>
  </si>
  <si>
    <t>Acct 456-Plant</t>
  </si>
  <si>
    <t>Energy - Output to Line</t>
  </si>
  <si>
    <t>Transmission-Firm Whsl.</t>
  </si>
  <si>
    <t xml:space="preserve"> Direct Assignment - Wholesale</t>
  </si>
  <si>
    <t>Transmission-Wheeling</t>
  </si>
  <si>
    <t>Distribution Plant - Customer Component</t>
  </si>
  <si>
    <t>Annual Number of Bills</t>
  </si>
  <si>
    <t>Acct 456-Energy</t>
  </si>
  <si>
    <t>Steam &amp; Miscellaneous</t>
  </si>
  <si>
    <t>SO2 Gains Whsl</t>
  </si>
  <si>
    <t>Collect Fee/Sales Tax</t>
  </si>
  <si>
    <t>Retail Energy - Output to Line</t>
  </si>
  <si>
    <t>Energy Power Sales</t>
  </si>
  <si>
    <t>Unbilled Sales Revenue - Direct Allocation</t>
  </si>
  <si>
    <t>Fuel Expense</t>
  </si>
  <si>
    <t>Whsl NR Capacity</t>
  </si>
  <si>
    <t>Whsl NR SO 2 allowances</t>
  </si>
  <si>
    <t>Whsl Calpine Reactive Power</t>
  </si>
  <si>
    <t>Whsl NRFuel Handling &amp; Misc.</t>
  </si>
  <si>
    <t>Whsl NRFuel Handling &amp; Analysis</t>
  </si>
  <si>
    <t>Retail NRFuel Handling</t>
  </si>
  <si>
    <t>Retail Jurisdictional Direct Assignment</t>
  </si>
  <si>
    <t>Retail Reactive Power</t>
  </si>
  <si>
    <t xml:space="preserve">Misc Retail </t>
  </si>
  <si>
    <t xml:space="preserve">  Production Demand</t>
  </si>
  <si>
    <t xml:space="preserve">  Production Energy</t>
  </si>
  <si>
    <t xml:space="preserve">  Production Demand-Solar O&amp;M</t>
  </si>
  <si>
    <t>Production Capacity 4 CP (solar allocator placeholder)</t>
  </si>
  <si>
    <t>Step-Up Substa</t>
  </si>
  <si>
    <t>Hi-Volt Transm</t>
  </si>
  <si>
    <t>Substations</t>
  </si>
  <si>
    <t>OH Lines Direct</t>
  </si>
  <si>
    <t>Street Light Facilities  - LS Direct Assignment</t>
  </si>
  <si>
    <t>OH Lines Primary</t>
  </si>
  <si>
    <t>OH Lines Primary (MDS)</t>
  </si>
  <si>
    <t>Distribution Primary - Customer Component</t>
  </si>
  <si>
    <t>OH Lines Secondary</t>
  </si>
  <si>
    <t>OH Lines Secondary (MDS)</t>
  </si>
  <si>
    <t>UG Lines Direct</t>
  </si>
  <si>
    <t>UG Lines Primary</t>
  </si>
  <si>
    <t>UG Lines Primary (MDS)</t>
  </si>
  <si>
    <t>UG Lines Secondary</t>
  </si>
  <si>
    <t>UG Lines Secondary (MDS)</t>
  </si>
  <si>
    <t>Transformers Direct</t>
  </si>
  <si>
    <t>Transformers Primary</t>
  </si>
  <si>
    <t>Transformers Primary (MDS)</t>
  </si>
  <si>
    <t>Transformers Secondary</t>
  </si>
  <si>
    <t>Transformers Secondary (MDS)</t>
  </si>
  <si>
    <t>Meter Investment Assignment</t>
  </si>
  <si>
    <t>Interruptible Equipment</t>
  </si>
  <si>
    <t>Interruptible Equipment - IS Direct Assign</t>
  </si>
  <si>
    <t>Street Lighting</t>
  </si>
  <si>
    <t>Oth Cust</t>
  </si>
  <si>
    <t>Revenue from Sales - Retail Only</t>
  </si>
  <si>
    <t>Meter Reading - Direct Allocation</t>
  </si>
  <si>
    <t>Cust Svc &amp; Info</t>
  </si>
  <si>
    <t>(EXCL STORM)</t>
  </si>
  <si>
    <t>Production-Solar A&amp;G &amp; Property Ins</t>
  </si>
  <si>
    <t>Production-Solar Labor O&amp;M &amp; Prop Ins</t>
  </si>
  <si>
    <t>Distribution O&amp;M - Customer Component</t>
  </si>
  <si>
    <t>STORM ACCRUL</t>
  </si>
  <si>
    <t>TRANSM. 12 Coincident Peak (RETAIL ONLY)</t>
  </si>
  <si>
    <t>PAGE 2</t>
  </si>
  <si>
    <t>Production Steam</t>
  </si>
  <si>
    <t>Production Other</t>
  </si>
  <si>
    <t>Production Demand - Solar Facilities</t>
  </si>
  <si>
    <t>Step-Up Substa - Solar-GSUs&amp;Interconn</t>
  </si>
  <si>
    <t>Hi-Volt Transm Lines</t>
  </si>
  <si>
    <t>Poles Direct</t>
  </si>
  <si>
    <t>Poles Primary</t>
  </si>
  <si>
    <t>Poles Primary (MDS)</t>
  </si>
  <si>
    <t>Poles Secondary</t>
  </si>
  <si>
    <t>Poles Secondary (MDS)</t>
  </si>
  <si>
    <t>Installations on Customers' Premises</t>
  </si>
  <si>
    <t>Commun</t>
  </si>
  <si>
    <t>Transportation</t>
  </si>
  <si>
    <t>Gen &amp; Intang</t>
  </si>
  <si>
    <t>Production-Solar Software</t>
  </si>
  <si>
    <t>PAGE 3</t>
  </si>
  <si>
    <t>Report</t>
  </si>
  <si>
    <t>#</t>
  </si>
  <si>
    <t>Payroll</t>
  </si>
  <si>
    <t>TXOTH</t>
  </si>
  <si>
    <t>Production - Solar Payroll Taxes-408.1</t>
  </si>
  <si>
    <t>Property</t>
  </si>
  <si>
    <t>Reg. Asses.Fee</t>
  </si>
  <si>
    <t>PAGE 4</t>
  </si>
  <si>
    <t>Loss on Disp</t>
  </si>
  <si>
    <t>INCTX</t>
  </si>
  <si>
    <t>Interest Exp</t>
  </si>
  <si>
    <t>Permanent Diff.</t>
  </si>
  <si>
    <t xml:space="preserve">TrueUps, Adjustments, </t>
  </si>
  <si>
    <t>ITC, and PDA</t>
  </si>
  <si>
    <t>PAGE 5</t>
  </si>
  <si>
    <t>PLTSVC</t>
  </si>
  <si>
    <t>Production Demand</t>
  </si>
  <si>
    <t>Production Energy</t>
  </si>
  <si>
    <t>OH Lines Secondary(MDS)</t>
  </si>
  <si>
    <t>Production-Solar Software and ARO</t>
  </si>
  <si>
    <t>ROU Leases</t>
  </si>
  <si>
    <t>PAGE 6</t>
  </si>
  <si>
    <t>PHFFU</t>
  </si>
  <si>
    <t>Production - Solar</t>
  </si>
  <si>
    <t>Distr</t>
  </si>
  <si>
    <t>Other Cust</t>
  </si>
  <si>
    <t>ACCDPR</t>
  </si>
  <si>
    <t>PAGE 7</t>
  </si>
  <si>
    <t>M&amp;S</t>
  </si>
  <si>
    <t>WKCAP</t>
  </si>
  <si>
    <t>EXCLUDED</t>
  </si>
  <si>
    <t>ITEMS</t>
  </si>
  <si>
    <t>ADDS</t>
  </si>
  <si>
    <t>DEDUCTS</t>
  </si>
  <si>
    <t>FUEL INV</t>
  </si>
  <si>
    <t>Production Demand-Solar</t>
  </si>
  <si>
    <t>Hi-Volt Transmission</t>
  </si>
  <si>
    <t xml:space="preserve">Distribution </t>
  </si>
  <si>
    <t>General</t>
  </si>
  <si>
    <t xml:space="preserve">Production </t>
  </si>
  <si>
    <t>Telecom Usage</t>
  </si>
  <si>
    <t>Production %</t>
  </si>
  <si>
    <t>Transmission  %</t>
  </si>
  <si>
    <t>Subtransmission. %</t>
  </si>
  <si>
    <t>Distribution %</t>
  </si>
  <si>
    <t>FUNCTIONALIZATION OF TRANSPORTATION EQUIP / EXPENSES ($000)</t>
  </si>
  <si>
    <t>(1)  DIRECT ASSIGNMENTS TO FUNCTIONS BASED ON PLANT ACCTG</t>
  </si>
  <si>
    <t>FUNCTIONAL AREA</t>
  </si>
  <si>
    <t>FERCACCT</t>
  </si>
  <si>
    <t>DEPRE EXP</t>
  </si>
  <si>
    <t>ENERGY DELIVERY</t>
  </si>
  <si>
    <t>TOTAL ENERGY DELIVERY</t>
  </si>
  <si>
    <t>ENERGY SUPPLY</t>
  </si>
  <si>
    <t>TOTAL ENERGY SUPPLY</t>
  </si>
  <si>
    <t>TOTAL VEHICLE PLANT</t>
  </si>
  <si>
    <t>(2)  DETAIL FUNCTIONALIZATION BASED ON LABOR RATIOS WITHIN FUNCTIONS</t>
  </si>
  <si>
    <t>LABOR EXPENSE
$ AMOUNT</t>
  </si>
  <si>
    <t>T, D &amp; OTHER 
LABOR DISTRI. %</t>
  </si>
  <si>
    <t>SUBTRANSMISSION</t>
  </si>
  <si>
    <t>(3)  SUMMARIZED FUNCTIONALIZATION AND CLASSIFICATION</t>
  </si>
  <si>
    <t>TOTAL FUNCTIONALIZATION</t>
  </si>
  <si>
    <t>FUNCTIONALIZATION OF PROPERTY HELD FOR FUTURE USE ($000)</t>
  </si>
  <si>
    <t>$ OR RATIO'S</t>
  </si>
  <si>
    <t>ADJ. OR RATIO'S</t>
  </si>
  <si>
    <t>TOTAL COSTS</t>
  </si>
  <si>
    <t>(1)  DIRECT ASSIGNMENTS TO FUNCTIONS BASED ON PLANNED LAND USE</t>
  </si>
  <si>
    <t>COSTS</t>
  </si>
  <si>
    <t>PTD LABOR $'S</t>
  </si>
  <si>
    <t>PTD LABOR %</t>
  </si>
  <si>
    <t>(3)  DETAIL FUNCTIONALIZATION BASED ON PTD PLANT RATIOS WITHIN FUNCTIONS</t>
  </si>
  <si>
    <t>PTD PLANT $'S</t>
  </si>
  <si>
    <t>PTD PLANT
RATIO %</t>
  </si>
  <si>
    <t>(4)  TOTAL FUNCTIONALIZATION AND CLASSIFICATION  (SUM (2) + (3))</t>
  </si>
  <si>
    <t>Functional Area</t>
  </si>
  <si>
    <t>Prints entire tab</t>
  </si>
  <si>
    <t>COMMENTS:</t>
  </si>
  <si>
    <t>THIS TAB CALCULATES ALLOCATORS: 308, 311, 412, 418, &amp; 420</t>
  </si>
  <si>
    <t>WEIGHTED METER COST BY CLASS</t>
  </si>
  <si>
    <t>1=AMI, 2=AMR, 3=NonTransmitting</t>
  </si>
  <si>
    <t>INSTALLED</t>
  </si>
  <si>
    <t>READING</t>
  </si>
  <si>
    <t>PROJECTED AVERAGE COUNT OF CUSTOMERS  (aka METERS)</t>
  </si>
  <si>
    <t>FULL COST OF INSTALLED METERS</t>
  </si>
  <si>
    <t>MONTHLY COST TO READ METERS</t>
  </si>
  <si>
    <t>COST TO READ METERS</t>
  </si>
  <si>
    <t>METER TYPE (Material ID)</t>
  </si>
  <si>
    <t>(1) AMI, (2) AMR,        or (3) non-transmitting</t>
  </si>
  <si>
    <t>$/MTR</t>
  </si>
  <si>
    <t>FERC
JURIS</t>
  </si>
  <si>
    <t>FPSC
 JURIS</t>
  </si>
  <si>
    <t>26</t>
  </si>
  <si>
    <t>27</t>
  </si>
  <si>
    <t>29</t>
  </si>
  <si>
    <t>30</t>
  </si>
  <si>
    <t xml:space="preserve">Meter Type </t>
  </si>
  <si>
    <t>AMI</t>
  </si>
  <si>
    <t>AMR</t>
  </si>
  <si>
    <t>Non-Transmitting meters</t>
  </si>
  <si>
    <t xml:space="preserve">Meter Type %'s </t>
  </si>
  <si>
    <t>Transformer Level Metered</t>
  </si>
  <si>
    <t>WEIGHTED METERS WORK PAPER</t>
  </si>
  <si>
    <t>DEVELOPMENT OF ALLOCATION FACTORS</t>
  </si>
  <si>
    <t>DERIVATION OF METER ALLOCATION FACTORS: 308 &amp; 311</t>
  </si>
  <si>
    <t>1)  Factor 308 - Meter Investment Assignment</t>
  </si>
  <si>
    <t>No. of Customers [Annual Average] Installed $ per Mtr Costs</t>
  </si>
  <si>
    <t>TOTAL ProjectedCount=&gt;</t>
  </si>
  <si>
    <t>Factor 308</t>
  </si>
  <si>
    <t>2)  Factor 311 - Meter Reading Expense</t>
  </si>
  <si>
    <t>Avg. Annual No. of Cust. * Meter Reading $/Mtr Costs*12 mo.</t>
  </si>
  <si>
    <t>TOTAL Projected Customers=&gt;</t>
  </si>
  <si>
    <t>Weighted Avg Mtr Reading Costs=&gt;</t>
  </si>
  <si>
    <t># Months/Yr=&gt;</t>
  </si>
  <si>
    <t>Meter Reading Expense - Direct Allocation</t>
  </si>
  <si>
    <t>Factor 311</t>
  </si>
  <si>
    <t>check</t>
  </si>
  <si>
    <t xml:space="preserve"> true-up to budget in FERC Account 902=&gt;</t>
  </si>
  <si>
    <t xml:space="preserve"> variance to budget in FERC Account 902=&gt;</t>
  </si>
  <si>
    <t>DERIVATION OF CUSTOMER ALLOCATION FACTORS: 412, 418, &amp; 420</t>
  </si>
  <si>
    <t>3)  Factor 412 - Annual Number of Bills</t>
  </si>
  <si>
    <t>Total Avg Customers (excl Unmetered)</t>
  </si>
  <si>
    <t>times 12 months</t>
  </si>
  <si>
    <t>Factor 412</t>
  </si>
  <si>
    <t>4)  Factor 418 - Distribution Primary - Customer Component</t>
  </si>
  <si>
    <t>Remove Customers served at Subtrans</t>
  </si>
  <si>
    <t>only change from above</t>
  </si>
  <si>
    <t>Factor 418</t>
  </si>
  <si>
    <t>5)  Factor 420 - Distribution Secondary - Customer Component</t>
  </si>
  <si>
    <t>Distribution Primary - Customer Component (Factor 418 above)</t>
  </si>
  <si>
    <t>Remove Customers served at Primary</t>
  </si>
  <si>
    <t>Distribution Secondary - Customer Component</t>
  </si>
  <si>
    <t>Factor 420</t>
  </si>
  <si>
    <t xml:space="preserve">     TAMPA ELECTRIC COMPANY</t>
  </si>
  <si>
    <t xml:space="preserve">      AVERAGE RATE OF RETURN </t>
  </si>
  <si>
    <t>PAGE 3 OF 3</t>
  </si>
  <si>
    <t xml:space="preserve">      SYSTEM ADJUSTMENTS     </t>
  </si>
  <si>
    <t>December 2022</t>
  </si>
  <si>
    <t>Working Capital Adjustments</t>
  </si>
  <si>
    <t>Other:</t>
  </si>
  <si>
    <t xml:space="preserve">   Other Return Provided</t>
  </si>
  <si>
    <t xml:space="preserve">   Investor Funds</t>
  </si>
  <si>
    <t xml:space="preserve">   Unamortized Rate Case Expense</t>
  </si>
  <si>
    <t>Working Capital - Assets</t>
  </si>
  <si>
    <t>FERC Account</t>
  </si>
  <si>
    <t>Other Return Provided</t>
  </si>
  <si>
    <t>Non-Utility</t>
  </si>
  <si>
    <t>Investor Funds</t>
  </si>
  <si>
    <t xml:space="preserve">Other Adj. </t>
  </si>
  <si>
    <t>Adj. Working Capital</t>
  </si>
  <si>
    <t>Investment in Associated Companies</t>
  </si>
  <si>
    <t>Investment in Subsidiary Companies</t>
  </si>
  <si>
    <t>Other Investments</t>
  </si>
  <si>
    <t>Working Funds</t>
  </si>
  <si>
    <t>Customer Accounts Receivable</t>
  </si>
  <si>
    <t>Other Accounts Receivable</t>
  </si>
  <si>
    <t>Accumulated Provision Uncollectible Accounts-Cr</t>
  </si>
  <si>
    <t>Notes Receivable from Associated Companies</t>
  </si>
  <si>
    <t>Accounts Receivable from Associated Companies</t>
  </si>
  <si>
    <t>Fuel Stock Expenses Undistributed</t>
  </si>
  <si>
    <t>Residuals and Extracted Products</t>
  </si>
  <si>
    <t>Plant Materials and Operating Supplies</t>
  </si>
  <si>
    <t>Allowance Inventory</t>
  </si>
  <si>
    <t>Allowances Withheld</t>
  </si>
  <si>
    <t>Interest and Dividends Receivable</t>
  </si>
  <si>
    <t>Accrued Utility Revenues</t>
  </si>
  <si>
    <t>Derivative Instrument Assets - Hedges</t>
  </si>
  <si>
    <t>Extraordinary Property Losses</t>
  </si>
  <si>
    <t>Unrecovered Plant and Regulatory Study Costs</t>
  </si>
  <si>
    <t>Other Regulatory Assets</t>
  </si>
  <si>
    <t>Miscellaneous Deferred Debits</t>
  </si>
  <si>
    <t>Research Development &amp; Demonstration Expenditures</t>
  </si>
  <si>
    <t>Working Capital - Liabilities</t>
  </si>
  <si>
    <t>Accumulated Provision for Injuries and Damages</t>
  </si>
  <si>
    <t>Accumulated Provision for Pension and Benefits</t>
  </si>
  <si>
    <t>Accumulated Miscellaneous Operating Provisions</t>
  </si>
  <si>
    <t>Notes Payable to Associated Companies</t>
  </si>
  <si>
    <t>Accounts Payable to Associated Companies</t>
  </si>
  <si>
    <t>Taxes Accrued</t>
  </si>
  <si>
    <t>Miscellaneous Current and Accrued Liabilities</t>
  </si>
  <si>
    <t>Obligations Under Capital Leases - Current</t>
  </si>
  <si>
    <t>Obligations Under Capital Leases - Noncurrent</t>
  </si>
  <si>
    <t>Derivative Instrument Liabilities - Hedges</t>
  </si>
  <si>
    <t>Other Regulatory Liabilities</t>
  </si>
  <si>
    <t>Deferred Gains from Disposition of Utility Plant</t>
  </si>
  <si>
    <t>Unamortized Gain on Reacquired Debt</t>
  </si>
  <si>
    <t>System per Books Working Capital</t>
  </si>
  <si>
    <t>FUNCTIONALIZATION &amp; CLASSIFICATION OF WORKING CAPITAL ($000)</t>
  </si>
  <si>
    <t>(1)  G/L WORKING CAPITAL ACCOUNTS</t>
  </si>
  <si>
    <t>G/L ACCT</t>
  </si>
  <si>
    <t>SYSTEM COSTS</t>
  </si>
  <si>
    <t>DISALLOWED</t>
  </si>
  <si>
    <t>ADJ'D COST</t>
  </si>
  <si>
    <t>CASH</t>
  </si>
  <si>
    <t>TEMPORARY CASH</t>
  </si>
  <si>
    <t>FUEL INVENTORY</t>
  </si>
  <si>
    <t>FUEL INV UNDISTR</t>
  </si>
  <si>
    <t>MATL &amp; SUPPLIES</t>
  </si>
  <si>
    <t>STORES UNDISTR</t>
  </si>
  <si>
    <t>NET ADDITIONS PER SURV RPT</t>
  </si>
  <si>
    <t>TOTAL ADDITIONS</t>
  </si>
  <si>
    <t>SUM (Lines 1:6)</t>
  </si>
  <si>
    <t>NET DEDUCTIONS PER SURV RPT</t>
  </si>
  <si>
    <t>NET WORKING CAPITAL</t>
  </si>
  <si>
    <t>Assets - Liabilities</t>
  </si>
  <si>
    <t>OTHER RETURN PROVIDED</t>
  </si>
  <si>
    <t>NON-UTILITY</t>
  </si>
  <si>
    <t>INVESTOR FUNDS</t>
  </si>
  <si>
    <t>TOTAL ITEMS W/OTHER RETURN PROVIDED</t>
  </si>
  <si>
    <t>ADJUSTED WORKING CAPITAL</t>
  </si>
  <si>
    <t>SUM (Lines 10:15)</t>
  </si>
  <si>
    <t>(2)  100% REMOVE ITEMS WITH  "OTHER RETURN PROVIDED"</t>
  </si>
  <si>
    <t>TOTAL PLANT %</t>
  </si>
  <si>
    <t>Distributed Balance</t>
  </si>
  <si>
    <t>TOTAL EXCLUDED ITEMS</t>
  </si>
  <si>
    <t>(3)  FUEL INVENTORY 100% TO PROD-ENERGY</t>
  </si>
  <si>
    <t>Adjusted Balance</t>
  </si>
  <si>
    <t>(4)  FUNCTIONALIZATION OF MATERIALS &amp;SUPPLIES BASED ON PTD PLANT RATIOS</t>
  </si>
  <si>
    <t>MATERIALS &amp; SUPPLIES</t>
  </si>
  <si>
    <t>PTD PLANT</t>
  </si>
  <si>
    <t>PTD PLANT %</t>
  </si>
  <si>
    <t>BALANCE</t>
  </si>
  <si>
    <t>TOTAL MATERIALS &amp; SUPPLIES</t>
  </si>
  <si>
    <t>(5)  FUNCTIONALIZATION OF NET ADDITIONS BASED ON TOTAL PLANT RATIOS</t>
  </si>
  <si>
    <t>NET ADDITIONS</t>
  </si>
  <si>
    <t>(6)  FUNCTIONALIZATION OF NET DEDUCTIONS BASED ON TOTAL PLANT RATIOS</t>
  </si>
  <si>
    <t>NET DEDUCTIONS</t>
  </si>
  <si>
    <t>TOTAL DEDUCTIONS</t>
  </si>
  <si>
    <t>(7)  TOTAL FUNCTIONALIZATION &amp; CLASSIFICATION</t>
  </si>
  <si>
    <t>TOTAL WORKING CAPITAL</t>
  </si>
  <si>
    <t>WORKING CAPITAL COMPUTATION</t>
  </si>
  <si>
    <t>Adjusted</t>
  </si>
  <si>
    <t>Other Return</t>
  </si>
  <si>
    <t>Investor</t>
  </si>
  <si>
    <t>Working</t>
  </si>
  <si>
    <t>Current Assets</t>
  </si>
  <si>
    <t>Per Books</t>
  </si>
  <si>
    <t>Provided</t>
  </si>
  <si>
    <t>Non-utility</t>
  </si>
  <si>
    <t>Funds</t>
  </si>
  <si>
    <t>Non-utility Property</t>
  </si>
  <si>
    <t>Investment In Assoc. Company</t>
  </si>
  <si>
    <t>Advance - RTO</t>
  </si>
  <si>
    <t>Provision for Bad Debt</t>
  </si>
  <si>
    <t>Accounts Receivable - Assoc. Co.</t>
  </si>
  <si>
    <t>Materials &amp; Supplies - Plant</t>
  </si>
  <si>
    <t>Allowances</t>
  </si>
  <si>
    <t>Stores Expense - Undistributed</t>
  </si>
  <si>
    <t>Unbilled Utility Revenue</t>
  </si>
  <si>
    <t>Total Current Assets</t>
  </si>
  <si>
    <t>Deferred Derivative Debits</t>
  </si>
  <si>
    <t>Other Regulatory Assets (non Fas 109)</t>
  </si>
  <si>
    <t>Misc. Deferred Debits</t>
  </si>
  <si>
    <t>Research &amp; Development</t>
  </si>
  <si>
    <t>Total Deferred Debits</t>
  </si>
  <si>
    <t>Total Working Assets</t>
  </si>
  <si>
    <t>Current Liabilities</t>
  </si>
  <si>
    <t>Misc. Accrued Liabilities</t>
  </si>
  <si>
    <t>Provision For Refunds</t>
  </si>
  <si>
    <t>Notes Payable - I/C</t>
  </si>
  <si>
    <t>Accounts Payable - Assoc. Co.</t>
  </si>
  <si>
    <t>Interest Accrued (non Def Rev)</t>
  </si>
  <si>
    <t>Misc. Current &amp; Accrued (non Def Rev.)</t>
  </si>
  <si>
    <t>Short-Term Lease Liability</t>
  </si>
  <si>
    <t>Total Current Liabilities</t>
  </si>
  <si>
    <t>Deferred Credits &amp; Oper. Res.</t>
  </si>
  <si>
    <t>Long-Term Lease Liability</t>
  </si>
  <si>
    <t>Deferred Derivative Credits</t>
  </si>
  <si>
    <t>Other Deferred Cr. (non FAS 109 &amp; Def Rev)</t>
  </si>
  <si>
    <t>Other Regulatory Liabilities (non Def Rev)</t>
  </si>
  <si>
    <t>Deferred Gains from Disposal</t>
  </si>
  <si>
    <t>Total Deferred Credits &amp; Oper. Res.</t>
  </si>
  <si>
    <t>Total Current Liabilities &amp; Deferred Cr.</t>
  </si>
  <si>
    <t>Working Capital</t>
  </si>
  <si>
    <t xml:space="preserve"> 1</t>
  </si>
  <si>
    <t>ALLOCATED CLASS COST OF SERVICE &amp; ROR STUDY</t>
  </si>
  <si>
    <t>SUMMARY - CLASS ROR'S &amp; REVENUE REQUIREMENTS -ROR</t>
  </si>
  <si>
    <t>ALLOC
FACTOR</t>
  </si>
  <si>
    <t>TOTAL
COMPANY</t>
  </si>
  <si>
    <t>FPSC/
TOTAL RATIO</t>
  </si>
  <si>
    <t>LS
ENERGY</t>
  </si>
  <si>
    <t>LS
FACILITIES</t>
  </si>
  <si>
    <t>ROR</t>
  </si>
  <si>
    <t>OPERATING REVENUES</t>
  </si>
  <si>
    <t>SCH. - OPREV: Line 1</t>
  </si>
  <si>
    <t>Other Revenues</t>
  </si>
  <si>
    <t>SCH. - OPREV: SUM LINES (3 +11 +23 +33) - Line 17</t>
  </si>
  <si>
    <t>TOTAL OPERATING REVENUES</t>
  </si>
  <si>
    <t>SUM LINES (2:3)</t>
  </si>
  <si>
    <t>OPERATING EXPENSES</t>
  </si>
  <si>
    <t xml:space="preserve">  Power Transactions</t>
  </si>
  <si>
    <t>SCH. - O&amp;M: Line 11</t>
  </si>
  <si>
    <t xml:space="preserve">  O&amp;M Expense</t>
  </si>
  <si>
    <t>SCH. - O&amp;M: Line 119</t>
  </si>
  <si>
    <t xml:space="preserve">  Deprec &amp; Amortiz Expense</t>
  </si>
  <si>
    <t>SCH. - DEPRE: Line 121</t>
  </si>
  <si>
    <t xml:space="preserve">  Taxes Other than Income</t>
  </si>
  <si>
    <t>SCH. - TXOTH: Line 68</t>
  </si>
  <si>
    <t xml:space="preserve">  Income Taxes</t>
  </si>
  <si>
    <t>SCH. - INCTX: Line 174</t>
  </si>
  <si>
    <t xml:space="preserve">  Gain/(Loss) on Disposal</t>
  </si>
  <si>
    <t>SCH. - INCTX: Line 70</t>
  </si>
  <si>
    <t>TOTAL OPERATING EXPENSES</t>
  </si>
  <si>
    <t>SUM LINES (9:14)</t>
  </si>
  <si>
    <t>NET OPERATING INCOME</t>
  </si>
  <si>
    <t>LINES (5 - 16)</t>
  </si>
  <si>
    <t xml:space="preserve">  Plant in Service</t>
  </si>
  <si>
    <t>SCH. - PLTSVC: Line 120</t>
  </si>
  <si>
    <t xml:space="preserve">  Plant Held for Future Use</t>
  </si>
  <si>
    <t>SCH. - PHFFU: Line 12</t>
  </si>
  <si>
    <t xml:space="preserve">  Working Capital</t>
  </si>
  <si>
    <t>SCH. - WKCAP: Line 58</t>
  </si>
  <si>
    <t xml:space="preserve">  Construction Work in Progress</t>
  </si>
  <si>
    <t>SCH. - CWIP: Line 53</t>
  </si>
  <si>
    <t xml:space="preserve">  Less: Depreciation Reserve</t>
  </si>
  <si>
    <t>SCH. - ACCDPR: Line 118</t>
  </si>
  <si>
    <t>TOTAL RATE BASE</t>
  </si>
  <si>
    <t>SUM LINES (23:26) - Line 27</t>
  </si>
  <si>
    <t>RATE OF RETURN (%)</t>
  </si>
  <si>
    <t>LINES (19/ 29 * 100)</t>
  </si>
  <si>
    <t>RATE OF RETURN INDEX</t>
  </si>
  <si>
    <t>CALC:  CLASS RATE OF RETURN/TOTAL RETAIL RATE OF RETURN</t>
  </si>
  <si>
    <t>DO NOT PRINT</t>
  </si>
  <si>
    <t xml:space="preserve"> 2</t>
  </si>
  <si>
    <t>SUMMARY - CLASS ROR'S &amp; REVENUE REQUIREMENTS - ROR</t>
  </si>
  <si>
    <t xml:space="preserve">Less: </t>
  </si>
  <si>
    <t>DOES NOT PRINT FOR JURISDICTIONAL</t>
  </si>
  <si>
    <t>Wtd Return on Equity</t>
  </si>
  <si>
    <t>RETURN ON EQUITY</t>
  </si>
  <si>
    <t>DEVELOPMENT OF REVENUE REQUIREMENTS</t>
  </si>
  <si>
    <t>Total Rate Base</t>
  </si>
  <si>
    <t>Line 29</t>
  </si>
  <si>
    <t xml:space="preserve">Total Cost of Capital </t>
  </si>
  <si>
    <t>CALC: COST OF CAPITAL @ 9.95%  ROE</t>
  </si>
  <si>
    <t>Total Required Net Operating Income</t>
  </si>
  <si>
    <t>LINES (37 * 38)</t>
  </si>
  <si>
    <t>Less: Achieved Net Operating Income</t>
  </si>
  <si>
    <t>Line 19</t>
  </si>
  <si>
    <t>Equals: Return Deficiency/(Surplus)</t>
  </si>
  <si>
    <t>LINES (40 - 42)</t>
  </si>
  <si>
    <t>Times: Expansion Factor</t>
  </si>
  <si>
    <t>Equals: Revenue Deficiency/ (Surplus)</t>
  </si>
  <si>
    <t>LINES (44 * 45)</t>
  </si>
  <si>
    <t>Plus: Revenues @ Present Rates</t>
  </si>
  <si>
    <t>Line 5</t>
  </si>
  <si>
    <t>Equals: Total Revenue Requirements</t>
  </si>
  <si>
    <t>SUM LINES (5 + 47)</t>
  </si>
  <si>
    <t>Less: Other Revenues</t>
  </si>
  <si>
    <t>- Line 3</t>
  </si>
  <si>
    <t>Equals: Total Sales Revenue Requirements</t>
  </si>
  <si>
    <t>SUM LINES (51:52)</t>
  </si>
  <si>
    <t>Sales Revenue Requirements Index</t>
  </si>
  <si>
    <t>LINES (2 / 51)</t>
  </si>
  <si>
    <t>COST OF SERVICE STUDY</t>
  </si>
  <si>
    <t xml:space="preserve"> 3</t>
  </si>
  <si>
    <t>OPERATING REVENUES - OPREV</t>
  </si>
  <si>
    <t>SALES REVENUE</t>
  </si>
  <si>
    <t>ALLOC FACTOR  # 501 -- Billed Sales Revenue  - Direct Allocation</t>
  </si>
  <si>
    <t>MISC SERVICE REVENUE: Acct 451</t>
  </si>
  <si>
    <t>ALLOC FACTOR  # 420 -- Distribution Secondary  - Customer Component</t>
  </si>
  <si>
    <t>RENT REVENUE: Acct 454</t>
  </si>
  <si>
    <t xml:space="preserve">ALLOC FACTOR  # 122 -- Production Capacity - 4 CP </t>
  </si>
  <si>
    <t>ALLOC FACTOR  # 117 -- Transmission - 4  CP</t>
  </si>
  <si>
    <t>ALLOC FACTOR  # 105 -- Distribution Primary Capacity - NCP</t>
  </si>
  <si>
    <t>ALLOC FACTOR  # 106 -- Distri. Secondary Capacity - Customer Max Demands</t>
  </si>
  <si>
    <t>TOTAL RENT REVENUE</t>
  </si>
  <si>
    <t>SUM LINES (6:10)</t>
  </si>
  <si>
    <t>PLANT RELATED REVENUE: Acct 456</t>
  </si>
  <si>
    <t xml:space="preserve"> Production</t>
  </si>
  <si>
    <t>ALLOC FACTOR  # 201 -- Energy - Output to Line</t>
  </si>
  <si>
    <t xml:space="preserve"> Transmission</t>
  </si>
  <si>
    <t xml:space="preserve"> Transmission Firm Whsl.</t>
  </si>
  <si>
    <t>ALLOC FACTOR  # 202 --  Direct Assignment - Wholesale</t>
  </si>
  <si>
    <t xml:space="preserve">  Subtransmission</t>
  </si>
  <si>
    <t xml:space="preserve">  Distribution Primary</t>
  </si>
  <si>
    <t xml:space="preserve">  Distribution Secondary</t>
  </si>
  <si>
    <t xml:space="preserve">  Distribution</t>
  </si>
  <si>
    <t>ALLOC FACTOR  # 907 -- Distribution Plant - Customer Component</t>
  </si>
  <si>
    <t xml:space="preserve">  Other</t>
  </si>
  <si>
    <t>ALLOC FACTOR  # 412 -- Annual Number of Bills</t>
  </si>
  <si>
    <t>TOTAL PLANT RELATED REVENUE</t>
  </si>
  <si>
    <t>SUM LINES (14:22)</t>
  </si>
  <si>
    <t>ENERGY-RELATED REVENUE: Acct 456</t>
  </si>
  <si>
    <t xml:space="preserve">  Steam &amp; Miscellaneous</t>
  </si>
  <si>
    <t xml:space="preserve">  Other SO2 Whsl</t>
  </si>
  <si>
    <t xml:space="preserve">      Subtotal Non-Sales Revenue</t>
  </si>
  <si>
    <t>SUM LINES (26:27)</t>
  </si>
  <si>
    <t xml:space="preserve">  Collect Fee/Sales Tax</t>
  </si>
  <si>
    <t>ALLOC FACTOR  # 204 -- Retail Energy - Output to Line</t>
  </si>
  <si>
    <t xml:space="preserve">  Energy Power Sales</t>
  </si>
  <si>
    <t xml:space="preserve">  Unbilled Revenue</t>
  </si>
  <si>
    <t>ALLOC FACTOR  # 508 -- Unbilled Sales Revenue - Direct Allocation</t>
  </si>
  <si>
    <t xml:space="preserve">      Subtotal Sales Revenue</t>
  </si>
  <si>
    <t>SUM LINES (29:31)</t>
  </si>
  <si>
    <t>TOTAL ENERGY RELATED REVENUE</t>
  </si>
  <si>
    <t>SUM LINES (28 + 32)</t>
  </si>
  <si>
    <t>TOTAL OPERATING REVENUE</t>
  </si>
  <si>
    <t xml:space="preserve">  Sales (incl Transm Firm Whsl)</t>
  </si>
  <si>
    <t>Line 1</t>
  </si>
  <si>
    <t xml:space="preserve">  Production</t>
  </si>
  <si>
    <t>SUM LINES (6 + 14)</t>
  </si>
  <si>
    <t>SUM LINES (15 +26 +27 +30 +31)</t>
  </si>
  <si>
    <t xml:space="preserve">  Transmission</t>
  </si>
  <si>
    <t>SUM LINES (7 +16 +17)</t>
  </si>
  <si>
    <t>SUM LINES (8 + 18)</t>
  </si>
  <si>
    <t>SUM LINES (9 + 19)</t>
  </si>
  <si>
    <t>SUM LINES (10 + 20)</t>
  </si>
  <si>
    <t>SUM Line 21</t>
  </si>
  <si>
    <t>SUM LINES (3 +22 +29)</t>
  </si>
  <si>
    <t>SUM LINES (36:44)</t>
  </si>
  <si>
    <t xml:space="preserve"> 4</t>
  </si>
  <si>
    <t>OPERATION &amp; MAINTENANCE EXPENSES - O&amp;M</t>
  </si>
  <si>
    <t>FUEL &amp; POWER TRANSACTIONS</t>
  </si>
  <si>
    <t>Whsl Capacity &amp; Reactive Pwr</t>
  </si>
  <si>
    <t>Retail NRFuel Handling &amp; Misc.</t>
  </si>
  <si>
    <t>SUM LINES (2 + 6)</t>
  </si>
  <si>
    <t>SUM LINES (3 +4 +7)</t>
  </si>
  <si>
    <t>TOTAL FUEL &amp; POWER TRANSACTIONS O&amp;M</t>
  </si>
  <si>
    <t>SUM LINES (9:10)</t>
  </si>
  <si>
    <t>PRODUCTION O&amp;M</t>
  </si>
  <si>
    <t xml:space="preserve">  Production Demand - Solar</t>
  </si>
  <si>
    <t>ALLOC FACTOR  # 121 -- Production Capacity 4 CP (solar allocator placeholder)</t>
  </si>
  <si>
    <t>TOTAL PRODUCTION O&amp;M</t>
  </si>
  <si>
    <t>SUM LINES (15:17)</t>
  </si>
  <si>
    <t>TRANSMISSION O&amp;M</t>
  </si>
  <si>
    <t>Step-Up Substations</t>
  </si>
  <si>
    <t>High-Volt Transmission</t>
  </si>
  <si>
    <t xml:space="preserve">  Substations</t>
  </si>
  <si>
    <t xml:space="preserve">  LINES</t>
  </si>
  <si>
    <t>SUM LINES (27:28)</t>
  </si>
  <si>
    <t>TOTAL TRANSMISSION O&amp;M</t>
  </si>
  <si>
    <t>SUM LINES (22+ 24+ 29)</t>
  </si>
  <si>
    <t xml:space="preserve"> 5</t>
  </si>
  <si>
    <t>ALLOC.
FACTOR</t>
  </si>
  <si>
    <t>DISTRIBUTION O&amp;M</t>
  </si>
  <si>
    <t xml:space="preserve">  OH LINES Direct</t>
  </si>
  <si>
    <t>ALLOC FACTOR  # 310 -- Street Light Facilities  - LS Direct Assignment</t>
  </si>
  <si>
    <t xml:space="preserve">  OH LINES Primary</t>
  </si>
  <si>
    <t xml:space="preserve">  OH LINES Primary (MDS)</t>
  </si>
  <si>
    <t>ALLOC FACTOR  # 418 -- Distribution Primary - Customer Component</t>
  </si>
  <si>
    <t xml:space="preserve">  OH LINES Secondary</t>
  </si>
  <si>
    <t xml:space="preserve">  OH LINES Secondary (MDS)</t>
  </si>
  <si>
    <t>TOTAL OH LINES</t>
  </si>
  <si>
    <t>SUM LINES (35:39)</t>
  </si>
  <si>
    <t xml:space="preserve">  UG LINES Direct</t>
  </si>
  <si>
    <t xml:space="preserve">  UG LINES Primary</t>
  </si>
  <si>
    <t xml:space="preserve">  UG LINES Primary (MDS)</t>
  </si>
  <si>
    <t xml:space="preserve">  UG LINES Secondary</t>
  </si>
  <si>
    <t xml:space="preserve">  UG LINES Secondary (MDS)</t>
  </si>
  <si>
    <t>TOTAL UG LINES</t>
  </si>
  <si>
    <t>SUM LINES (42:46)</t>
  </si>
  <si>
    <t xml:space="preserve">  Transformers Direct</t>
  </si>
  <si>
    <t xml:space="preserve">  Transformers Primary</t>
  </si>
  <si>
    <t xml:space="preserve">  Transformers Primary (MDS)</t>
  </si>
  <si>
    <t xml:space="preserve">  Transformers Secondary</t>
  </si>
  <si>
    <t xml:space="preserve">  Transformers Secondary (MDS)</t>
  </si>
  <si>
    <t>TOTAL Transformers</t>
  </si>
  <si>
    <t>SUM LINES (49:53)</t>
  </si>
  <si>
    <t xml:space="preserve">  Services</t>
  </si>
  <si>
    <t xml:space="preserve">  Meters</t>
  </si>
  <si>
    <t>ALLOC FACTOR  # 308 -- Meter Investment Assignment</t>
  </si>
  <si>
    <t xml:space="preserve">  Interruptible Equipment</t>
  </si>
  <si>
    <t>ALLOC FACTOR  # 309 -- Interruptible Equipment - IS Direct Assign</t>
  </si>
  <si>
    <t xml:space="preserve">  Street Lighting</t>
  </si>
  <si>
    <t xml:space="preserve">  Distribution O&amp;M</t>
  </si>
  <si>
    <t>SUM  TOTAL (Line 32 thru Line 59) LABELED AS DEM</t>
  </si>
  <si>
    <t>SUM  TOTAL (Line 32 thru Line 59) LABELED AS CUST</t>
  </si>
  <si>
    <t>TOTAL DISTRIBUTION O&amp;M</t>
  </si>
  <si>
    <t>SUM LINES (61:62)</t>
  </si>
  <si>
    <t>PROD, TRANS &amp; DIST O&amp;M</t>
  </si>
  <si>
    <t>SUM LINES (15 + 16 + 22)</t>
  </si>
  <si>
    <t>SUM Line 17</t>
  </si>
  <si>
    <t>SUM Line 24</t>
  </si>
  <si>
    <t>SUM Line 29</t>
  </si>
  <si>
    <t>SUM LINES (33 + 36 + 43 + 50 )</t>
  </si>
  <si>
    <t>SUM LINES (38 +45 +52)</t>
  </si>
  <si>
    <t>SUM Line (62)</t>
  </si>
  <si>
    <t>EQUALS ZERO</t>
  </si>
  <si>
    <t>TOTAL PROD, TRANS &amp; DIST O&amp;M</t>
  </si>
  <si>
    <t>SUM LINES (68:75)</t>
  </si>
  <si>
    <t xml:space="preserve"> 6</t>
  </si>
  <si>
    <t>PLUS: OTHER CUSTOMER O&amp;M</t>
  </si>
  <si>
    <t xml:space="preserve">  Uncollectible</t>
  </si>
  <si>
    <t>ALLOC FACTOR  # 507 -- Revenue from Sales - Retail Only</t>
  </si>
  <si>
    <t xml:space="preserve">  Billing &amp; Records</t>
  </si>
  <si>
    <t xml:space="preserve">  Meter Reading</t>
  </si>
  <si>
    <t>ALLOC FACTOR  # 311 -- Meter Reading - Direct Allocation</t>
  </si>
  <si>
    <t xml:space="preserve">  Cust Svc &amp; Info</t>
  </si>
  <si>
    <t xml:space="preserve">  Sales</t>
  </si>
  <si>
    <t>TOTAL OTHER CUSTOMER O&amp;M</t>
  </si>
  <si>
    <t>SUM LINES (78:82)</t>
  </si>
  <si>
    <t>PLUS: ADMIN &amp; GENERAL O&amp;M (EXCL STORM ACCRUAL)</t>
  </si>
  <si>
    <t xml:space="preserve">  Production - Solar</t>
  </si>
  <si>
    <t>ALLOC FACTOR  # 607 -- Distribution O&amp;M - Customer Component</t>
  </si>
  <si>
    <t>TOTAL ADMIN &amp; GENERAL O&amp;M</t>
  </si>
  <si>
    <t>SUM LINES (86:94)</t>
  </si>
  <si>
    <t>PLUS: ADMIN &amp; GENERAL (STORM ACCRUAL ONLY)</t>
  </si>
  <si>
    <t>ALLOC FACTOR  # 817 -- TRANSM. 12 Coincident Peak (RETAIL ONLY)</t>
  </si>
  <si>
    <t>TOTAL ADMIN &amp; GENERAL STORM ACCRUAL</t>
  </si>
  <si>
    <t>SUM LINES (98:105)</t>
  </si>
  <si>
    <t>SUBTOTAL ADMIN &amp; GENERAL O&amp;M</t>
  </si>
  <si>
    <t>SUM LINES (95 +106)</t>
  </si>
  <si>
    <t>EQUALS: O&amp;M EXP LESS FUEL &amp; POWER TRANS</t>
  </si>
  <si>
    <t>SUM LINES (68 +86 + 87 +98)</t>
  </si>
  <si>
    <t>SUM LINES (69 +88 +99)</t>
  </si>
  <si>
    <t>SUM LINES (70 +89 +100)</t>
  </si>
  <si>
    <t>SUM LINES (71 +90 +101)</t>
  </si>
  <si>
    <t>SUM LINES (72 +91 +102)</t>
  </si>
  <si>
    <t>SUM LINES (73 +92 +103)</t>
  </si>
  <si>
    <t>SUM LINES (74 +93 +104)</t>
  </si>
  <si>
    <t>SUM LINES (75 +94 +83 +105)</t>
  </si>
  <si>
    <t>TOTAL O&amp;M EXPENSE (EXCL. FUEL &amp; POWER TRANS.)</t>
  </si>
  <si>
    <t>SUM LINES (110:117)</t>
  </si>
  <si>
    <t>EQUALS: O&amp;M EXP PLUS FUEL &amp; POWER TRANS</t>
  </si>
  <si>
    <t>SUM LINES (9 +110)</t>
  </si>
  <si>
    <t>SUM LINES (10 +111)</t>
  </si>
  <si>
    <t>SUM Line 112</t>
  </si>
  <si>
    <t>SUM Line 113</t>
  </si>
  <si>
    <t>SUM Line 114</t>
  </si>
  <si>
    <t>SUM Line 115</t>
  </si>
  <si>
    <t>SUM Line 116</t>
  </si>
  <si>
    <t>SUM Line 117</t>
  </si>
  <si>
    <t>TOTAL O&amp;M EXPENSE (INCL. FUEL &amp; POWER TRANS.)</t>
  </si>
  <si>
    <t>SUM LINES (122:129)</t>
  </si>
  <si>
    <t xml:space="preserve"> 7</t>
  </si>
  <si>
    <t>DEPRECIATION EXPENSE - DEPRE</t>
  </si>
  <si>
    <t>PRODUCTION DEPREC EXPENSE</t>
  </si>
  <si>
    <t xml:space="preserve">  Production Demand - Solar Facilities</t>
  </si>
  <si>
    <t>TOTAL  PRODUCTION DEPRE EXPENSE</t>
  </si>
  <si>
    <t>SUM LINES (2:4)</t>
  </si>
  <si>
    <t>TRANSMISSION DEPREC EXPENSE</t>
  </si>
  <si>
    <t xml:space="preserve">  Step-Up Substations</t>
  </si>
  <si>
    <t xml:space="preserve">  Step-Up Substations - Solar</t>
  </si>
  <si>
    <t xml:space="preserve"> Step-Up Substations</t>
  </si>
  <si>
    <t>SUM LINES (16:17)</t>
  </si>
  <si>
    <t>TOTAL TRANSMISSION DEPREC EXPENSE</t>
  </si>
  <si>
    <t>SUM LINES (11+ 13+ 18)</t>
  </si>
  <si>
    <t>PAGE 8</t>
  </si>
  <si>
    <t xml:space="preserve"> 8</t>
  </si>
  <si>
    <t xml:space="preserve">  Poles Direct</t>
  </si>
  <si>
    <t xml:space="preserve">  Poles Primary</t>
  </si>
  <si>
    <t xml:space="preserve">  Poles Primary (MDS)</t>
  </si>
  <si>
    <t xml:space="preserve">  Poles Secondary</t>
  </si>
  <si>
    <t xml:space="preserve">  Poles Secondary (MDS)</t>
  </si>
  <si>
    <t>TOTAL POLES</t>
  </si>
  <si>
    <t>SUM LINES (24:28)</t>
  </si>
  <si>
    <t>SUM LINES (31:35)</t>
  </si>
  <si>
    <t xml:space="preserve">  TOTAL UG LINES</t>
  </si>
  <si>
    <t>SUM LINES (38:42)</t>
  </si>
  <si>
    <t>SUM LINES (45:49)</t>
  </si>
  <si>
    <t xml:space="preserve">  Installations on Customers' Premises</t>
  </si>
  <si>
    <t>Total Distribution Expense</t>
  </si>
  <si>
    <t xml:space="preserve">  Distribution Expense</t>
  </si>
  <si>
    <t>SUM  TOTAL (Line 22 thru Line 55) LABELED AS DEM</t>
  </si>
  <si>
    <t>SUM  TOTAL (Line 22 thru Line 55) LABELED AS CUST</t>
  </si>
  <si>
    <t>TOTAL DISTRIBUTION DEPREC EXPENSE</t>
  </si>
  <si>
    <t>SUM LINES (58:59)</t>
  </si>
  <si>
    <t>PROD, TRANS &amp; DIST DEPREC EXPENSE</t>
  </si>
  <si>
    <t>SUM LINES (2 + 3 + 9 + 10)</t>
  </si>
  <si>
    <t>SUM Line 4</t>
  </si>
  <si>
    <t>SUM Line 13</t>
  </si>
  <si>
    <t>SUM Line 18</t>
  </si>
  <si>
    <t>SUM LINES (22 + 25 + 32 + 39 + 46)</t>
  </si>
  <si>
    <t>SUM LINES (27 +34 +41 +48)</t>
  </si>
  <si>
    <t>SUM Line (59)</t>
  </si>
  <si>
    <t>TOTAL PROD, TRANS &amp; DIST DEPREC EXP</t>
  </si>
  <si>
    <t>SUM LINES (64:71)</t>
  </si>
  <si>
    <t>PAGE 9</t>
  </si>
  <si>
    <t xml:space="preserve"> 9</t>
  </si>
  <si>
    <t>PLUS: COMMUNICATION EQP DEPREC EXP</t>
  </si>
  <si>
    <t>TOTAL COMMUNICATION EQP DEPREC EXP</t>
  </si>
  <si>
    <t>SUM LINES (75:82)</t>
  </si>
  <si>
    <t>PLUS: TRANSPORTATION EQP DEPREC EXP</t>
  </si>
  <si>
    <t>TOTAL TRANSPORTATION EQP DEPREC EXP</t>
  </si>
  <si>
    <t>SUM LINES (87:94)</t>
  </si>
  <si>
    <t>PLUS: GENERAL &amp; INTANGIBLE DEPREC EXP</t>
  </si>
  <si>
    <t>TOTAL GENERAL &amp; INTANGIBLE DEPREC EXP</t>
  </si>
  <si>
    <t>SUM LINES (99:107)</t>
  </si>
  <si>
    <t>EQUALS: DEPRECIATION EXPENSE</t>
  </si>
  <si>
    <t>SUM LINES (64 +75 +87 +99 + 100)</t>
  </si>
  <si>
    <t>SUM LINES (65 +76 +88 +101)</t>
  </si>
  <si>
    <t>SUM LINES (66 +77 +89 +102 )</t>
  </si>
  <si>
    <t>SUM LINES (67 +78 +90 +103 )</t>
  </si>
  <si>
    <t>SUM LINES (68 +79 +91 +104)</t>
  </si>
  <si>
    <t>SUM LINES (69 +80 +92 +105)</t>
  </si>
  <si>
    <t>SUM LINES (70 +81 +93 +106)</t>
  </si>
  <si>
    <t>SUM LINES (71 +82 +94 +107)</t>
  </si>
  <si>
    <t>TOTAL DEPRECIATION EXPENSE</t>
  </si>
  <si>
    <t>SUM LINES (112:119)</t>
  </si>
  <si>
    <t>PAGE 10</t>
  </si>
  <si>
    <t>TAXES OTHER THAN INCOME TAXES - TXOTH</t>
  </si>
  <si>
    <t>PAYROLL TAXES</t>
  </si>
  <si>
    <t xml:space="preserve">  Production - Solar </t>
  </si>
  <si>
    <t>TOTAL PAYROLL TAXES</t>
  </si>
  <si>
    <t>SUM LINES (2:10)</t>
  </si>
  <si>
    <t>PLUS:  PROPERTY TAXES</t>
  </si>
  <si>
    <t>TOTAL PROPERTY TAXES</t>
  </si>
  <si>
    <t>SUM LINES (14:21)</t>
  </si>
  <si>
    <t>PLUS: OTHER TAXES</t>
  </si>
  <si>
    <t>TOTAL OTHER TAXES</t>
  </si>
  <si>
    <t>SUM LINES (26:33)</t>
  </si>
  <si>
    <t>EQUALS: NON-REVENUE TAXES</t>
  </si>
  <si>
    <t>SUM LINES (2 + 3 +14 +26)</t>
  </si>
  <si>
    <t>SUM LINES (4 +15 +27)</t>
  </si>
  <si>
    <t>SUM LINES (5 +16 +28)</t>
  </si>
  <si>
    <t>SUM LINES (6 +17 +29)</t>
  </si>
  <si>
    <t>SUM LINES (7 +18 +30)</t>
  </si>
  <si>
    <t>SUM LINES (8 +19 +31)</t>
  </si>
  <si>
    <t>SUM LINES (9 +20 +32)</t>
  </si>
  <si>
    <t>SUM LINES (10 +21 +33)</t>
  </si>
  <si>
    <t>TOTAL NON-REVENUE TAXES</t>
  </si>
  <si>
    <t>SUM LINES (37:44)</t>
  </si>
  <si>
    <t>PAGE 11</t>
  </si>
  <si>
    <t>REGULATORY ASSESSMENT FEE</t>
  </si>
  <si>
    <t>TOTAL REGULATORY ASSESSMENT FEE</t>
  </si>
  <si>
    <t>SUM LINES (47:54)</t>
  </si>
  <si>
    <t>EQUALS: TAXES OTHER THAN INCOME</t>
  </si>
  <si>
    <t>SUM LINES (37 + 47)</t>
  </si>
  <si>
    <t>SUM LINES (38 + 48)</t>
  </si>
  <si>
    <t>SUM LINES (39 + 49)</t>
  </si>
  <si>
    <t>SUM LINES (40 + 50)</t>
  </si>
  <si>
    <t>SUM LINES (41 + 51)</t>
  </si>
  <si>
    <t>SUM LINES (42 + 52)</t>
  </si>
  <si>
    <t>SUM LINES (43 + 53)</t>
  </si>
  <si>
    <t>SUM LINES (44 + 54)</t>
  </si>
  <si>
    <t>TOTAL TAXES OTHER THAN INCOME</t>
  </si>
  <si>
    <t>SUM LINES (59:66)</t>
  </si>
  <si>
    <t>PAGE 12</t>
  </si>
  <si>
    <t>INCOME TAXES - INCTX</t>
  </si>
  <si>
    <t>Derivation of Operating Income</t>
  </si>
  <si>
    <t>Sales Revenue (incl. Transmission Firm Whsl)</t>
  </si>
  <si>
    <t>SCH. - OPREV: Line 36</t>
  </si>
  <si>
    <t>SCH. - OPREV: Line 37</t>
  </si>
  <si>
    <t>SCH. - OPREV: Line 38</t>
  </si>
  <si>
    <t>SCH. - OPREV: Line 39</t>
  </si>
  <si>
    <t>SCH. - OPREV: Line 40</t>
  </si>
  <si>
    <t>SCH. - OPREV: Line 41</t>
  </si>
  <si>
    <t>SCH. - OPREV: Line 42</t>
  </si>
  <si>
    <t>SCH. - OPREV: Line 43</t>
  </si>
  <si>
    <t>SCH. - OPREV: Line 44</t>
  </si>
  <si>
    <t>LESS: O&amp;M EXPENSE</t>
  </si>
  <si>
    <t>SCH. - O&amp;M: Line 110</t>
  </si>
  <si>
    <t>SCH. - O&amp;M: Line 111</t>
  </si>
  <si>
    <t>SCH. - O&amp;M: Line 112</t>
  </si>
  <si>
    <t>SCH. - O&amp;M: Line 113</t>
  </si>
  <si>
    <t>SCH. - O&amp;M: Line 114</t>
  </si>
  <si>
    <t>SCH. - O&amp;M: Line 115</t>
  </si>
  <si>
    <t>SCH. - O&amp;M: Line 116</t>
  </si>
  <si>
    <t>SCH. - O&amp;M: Line 117</t>
  </si>
  <si>
    <t>TOTAL O&amp;M EXPENSE</t>
  </si>
  <si>
    <t>LESS: FUEL &amp; POWER TRANSACTIONS</t>
  </si>
  <si>
    <t>SCH. - O&amp;M: Line 9</t>
  </si>
  <si>
    <t>SCH. - O&amp;M: Line 10</t>
  </si>
  <si>
    <t>TOTAL FUEL &amp; POWER TRANSACTIONS</t>
  </si>
  <si>
    <t>SUM LINES (25:26)</t>
  </si>
  <si>
    <t>LESS: DEPRECIATION EXPENSE</t>
  </si>
  <si>
    <t>SCH. - DEPRE: Line 112</t>
  </si>
  <si>
    <t>SCH. - DEPRE: Line 113</t>
  </si>
  <si>
    <t>SCH. - DEPRE: Line 114</t>
  </si>
  <si>
    <t>SCH. - DEPRE: Line 115</t>
  </si>
  <si>
    <t>SCH. - DEPRE: Line 116</t>
  </si>
  <si>
    <t>SCH. - DEPRE: Line 117</t>
  </si>
  <si>
    <t>SCH. - DEPRE: Line 118</t>
  </si>
  <si>
    <t>SCH. - DEPRE: Line 119</t>
  </si>
  <si>
    <t>SUM LINES (30:37)</t>
  </si>
  <si>
    <t>PAGE 13</t>
  </si>
  <si>
    <t>LESS: AMORTIZATION EXPENSE</t>
  </si>
  <si>
    <t>TOTAL AMORTIZATION EXPENSE</t>
  </si>
  <si>
    <t>SUM LINES (40:47)</t>
  </si>
  <si>
    <t>LESS: TAXES OTHER THAN INCOME</t>
  </si>
  <si>
    <t>SCH. - TXOTH: Line 59</t>
  </si>
  <si>
    <t>SCH. - TXOTH: Line 60</t>
  </si>
  <si>
    <t>SCH. - TXOTH: Line 61</t>
  </si>
  <si>
    <t>SCH. - TXOTH: Line 62</t>
  </si>
  <si>
    <t>SCH. - TXOTH: Line 63</t>
  </si>
  <si>
    <t>SCH. - TXOTH: Line 64</t>
  </si>
  <si>
    <t>SCH. - TXOTH: Line 65</t>
  </si>
  <si>
    <t>SCH. - TXOTH: Line 66</t>
  </si>
  <si>
    <t>SUM LINES (51:58)</t>
  </si>
  <si>
    <t>LESS: LOSS ON DISPOSITION &amp; MISC</t>
  </si>
  <si>
    <t>TOTAL OTHER EXPENSES</t>
  </si>
  <si>
    <t>SUM LINES (62:69)</t>
  </si>
  <si>
    <t>EQUALS: OPERATING INCOME</t>
  </si>
  <si>
    <t>SUM Line 5 less (LINES 16 +27 +32 +40 +51 +62)</t>
  </si>
  <si>
    <t>SUM Line 6 less (LINES 17 +28 +33 +41 +52 +63)</t>
  </si>
  <si>
    <t>SUM Line 7 less (LINES 18 +29 +34 +42 +53 +64)</t>
  </si>
  <si>
    <t>SUM Line 8 less (LINES 19 +30 +35 +43 +54 +65)</t>
  </si>
  <si>
    <t>SUM Line 9 less (LINES 20 +31 +36 +44 +55 +66)</t>
  </si>
  <si>
    <t>SUM Line 10 less (LINES 21 +32 +37 +45 +56 +67)</t>
  </si>
  <si>
    <t>SUM Line 11 less (LINES 22 +33 +38 +46 +57 +68)</t>
  </si>
  <si>
    <t>SUM Line 12 less (LINES 23 +34 + +47 +58 +69)</t>
  </si>
  <si>
    <t>TOTAL OPERATING INCOME</t>
  </si>
  <si>
    <t>SUM LINES (73:81)</t>
  </si>
  <si>
    <t>PAGE 14</t>
  </si>
  <si>
    <t>LESS: INTEREST EXPENSE</t>
  </si>
  <si>
    <t>TOTAL INTEREST EXPENSE</t>
  </si>
  <si>
    <t>SUM LINES (84:91)</t>
  </si>
  <si>
    <t>PLUS: PERMANENT TIMING DIFFERENCES</t>
  </si>
  <si>
    <t>TOTAL PERMANENT TIMING DIFFERENCES</t>
  </si>
  <si>
    <t>SUM LINES (95:102)</t>
  </si>
  <si>
    <t>EQUALS: FLORIDA TAXABLE INCOME</t>
  </si>
  <si>
    <t>Line 73</t>
  </si>
  <si>
    <t>Line 74 - 84 + 95</t>
  </si>
  <si>
    <t>Line 75 - 85 + 96</t>
  </si>
  <si>
    <t>Line 76 - 86 + 97</t>
  </si>
  <si>
    <t>Line 77 - 87 + 98</t>
  </si>
  <si>
    <t>Line 78 - 88 + 99</t>
  </si>
  <si>
    <t>Line 79 - 89 + 100</t>
  </si>
  <si>
    <t>Line 80 - 90 + 101</t>
  </si>
  <si>
    <t>Line 81 - 91 + 102</t>
  </si>
  <si>
    <t>TOTAL FLORIDA TAXABLE INCOME</t>
  </si>
  <si>
    <t>SUM LINES (106:114)</t>
  </si>
  <si>
    <t>RESULTS: FLORIDA INCOME TAX @ 0.055</t>
  </si>
  <si>
    <t>Line 106  * 0.055 [FL INC TAX RATE]</t>
  </si>
  <si>
    <t>Line 107  * 0.055 [FL INC TAX RATE]</t>
  </si>
  <si>
    <t>Line 108  * 0.055 [FL INC TAX RATE]</t>
  </si>
  <si>
    <t>Line 109  * 0.055 [FL INC TAX RATE]</t>
  </si>
  <si>
    <t>Line 110  * 0.055 [FL INC TAX RATE]</t>
  </si>
  <si>
    <t>Line 111  * 0.055 [FL INC TAX RATE]</t>
  </si>
  <si>
    <t>Line 112  * 0.055 [FL INC TAX RATE]</t>
  </si>
  <si>
    <t>Line 113  * 0.055 [FL INC TAX RATE]</t>
  </si>
  <si>
    <t>Line 114  * 0.055 [FL INC TAX RATE]</t>
  </si>
  <si>
    <t>TOTAL FLORIDA INCOME TAX</t>
  </si>
  <si>
    <t>SUM LINES (118:126)</t>
  </si>
  <si>
    <t>PAGE 15</t>
  </si>
  <si>
    <t>EQUALS: FEDERAL TAXABLE INCOME</t>
  </si>
  <si>
    <t>Line 106 - 118</t>
  </si>
  <si>
    <t>Line 107 - 119</t>
  </si>
  <si>
    <t>Line 108 - 120</t>
  </si>
  <si>
    <t>Line 109 - 121</t>
  </si>
  <si>
    <t>Line 110 - 122</t>
  </si>
  <si>
    <t>Line 111 - 123</t>
  </si>
  <si>
    <t>Line 112 - 124</t>
  </si>
  <si>
    <t>Line 113 - 125</t>
  </si>
  <si>
    <t>Line 114 - 126</t>
  </si>
  <si>
    <t>TOTAL FEDERAL TAXABLE INCOME</t>
  </si>
  <si>
    <t>SUM LINES (129:137)</t>
  </si>
  <si>
    <t>RESULTS: FEDERAL INCOME TAX @ 0.21</t>
  </si>
  <si>
    <t>Line 129 * 0.21 [FED INC TAX RATE]</t>
  </si>
  <si>
    <t>Line 130 * 0.21 [FED INC TAX RATE]</t>
  </si>
  <si>
    <t>Line 131 * 0.21 [FED INC TAX RATE]</t>
  </si>
  <si>
    <t>Line 132 * 0.21 [FED INC TAX RATE]</t>
  </si>
  <si>
    <t>Line 133 * 0.21 [FED INC TAX RATE]</t>
  </si>
  <si>
    <t>Line 134 * 0.21 [FED INC TAX RATE]</t>
  </si>
  <si>
    <t>Line 135 * 0.21 [FED INC TAX RATE]</t>
  </si>
  <si>
    <t>Line 136 * 0.21 [FED INC TAX RATE]</t>
  </si>
  <si>
    <t>Line 137 * 0.21 [FED INC TAX RATE]</t>
  </si>
  <si>
    <t>TOTAL FEDERAL INCOME TAX</t>
  </si>
  <si>
    <t>SUM LINES (141:149)</t>
  </si>
  <si>
    <t>ADJ. TO INCOME TAXES (True-ups, Excess Deferred, ITC AND PDA)</t>
  </si>
  <si>
    <t>TOTAL ADJUSTMENT TO INCOME TAXES</t>
  </si>
  <si>
    <t>SUM LINES (153:160)</t>
  </si>
  <si>
    <t>TOTAL INCOME TAXES (FED, STATE, AND ADJUSTMENTS)</t>
  </si>
  <si>
    <t>SUM LINES (118 +141)</t>
  </si>
  <si>
    <t>SUM LINES (119 + 142 + 153)</t>
  </si>
  <si>
    <t>SUM LINES (120 + 143 + 154)</t>
  </si>
  <si>
    <t>SUM LINES (121 + 144 + 155)</t>
  </si>
  <si>
    <t>SUM LINES (122 + 145 + 156)</t>
  </si>
  <si>
    <t>SUM LINES (123 + 146 + 157)</t>
  </si>
  <si>
    <t>SUM LINES (124 + 147 + 158)</t>
  </si>
  <si>
    <t>SUM LINES (125 + 148 + 159)</t>
  </si>
  <si>
    <t>SUM LINES (126 + 149 + 160)</t>
  </si>
  <si>
    <t>TOTAL INCOME TAXES</t>
  </si>
  <si>
    <t>SUM LINES (164:172)</t>
  </si>
  <si>
    <t>PAGE 16</t>
  </si>
  <si>
    <t>PLANT IN SERVICE - PLTSVC</t>
  </si>
  <si>
    <t>PRODUCTION PLANT</t>
  </si>
  <si>
    <t>TOTAL  PRODUCTION PLANT</t>
  </si>
  <si>
    <t>SUM LINES (2 + 3 + 4)</t>
  </si>
  <si>
    <t>High-Volt Substations &amp; LINES</t>
  </si>
  <si>
    <t>PAGE 17</t>
  </si>
  <si>
    <t>TOTAL  POLES</t>
  </si>
  <si>
    <t>TOTAL  UG LINES</t>
  </si>
  <si>
    <t xml:space="preserve">  Distribution Plant</t>
  </si>
  <si>
    <t>SUM LINES (57:58)</t>
  </si>
  <si>
    <t>PROD, TRANS, &amp; DIST PLANT</t>
  </si>
  <si>
    <t>SUM LINES 4</t>
  </si>
  <si>
    <t>SUM LINES 13</t>
  </si>
  <si>
    <t>SUM LINES 18</t>
  </si>
  <si>
    <t>SUM Line (58)</t>
  </si>
  <si>
    <t>TOTAL PROD, TRANS, &amp; DIST PLANT</t>
  </si>
  <si>
    <t>PAGE 18</t>
  </si>
  <si>
    <t>PLUS: COMMUNICATION EQUIPMENT</t>
  </si>
  <si>
    <t>TOTAL COMMUNICATION EQUIPMENT</t>
  </si>
  <si>
    <t>SUM LINES (74:81)</t>
  </si>
  <si>
    <t>PLUS: TRANSPORTATION EQUIPMENT</t>
  </si>
  <si>
    <t>TOTAL TRANSPORTATION EQUIPMENT</t>
  </si>
  <si>
    <t>SUM LINES (85:92)</t>
  </si>
  <si>
    <t>PLUS: GENERAL &amp; INTANGIBLE</t>
  </si>
  <si>
    <t>TOTAL GENERAL &amp; INTANGIBLE</t>
  </si>
  <si>
    <t>SUM LINES (96:104)</t>
  </si>
  <si>
    <t>PLUS: ROU LEASES</t>
  </si>
  <si>
    <t>EQUALS: PLANT IN SERVICE</t>
  </si>
  <si>
    <t>SUM LINES (64 +74 +85 +96 + 97 + 108)</t>
  </si>
  <si>
    <t>SUM LINES (65 +75 +86 +98)</t>
  </si>
  <si>
    <t>SUM LINES (66 +76 +87 +99)</t>
  </si>
  <si>
    <t>SUM LINES (67 +77 +88 +100)</t>
  </si>
  <si>
    <t>SUM LINES (68 +78 +89 +101)</t>
  </si>
  <si>
    <t>SUM LINES (69 +79 +90 +102)</t>
  </si>
  <si>
    <t>SUM LINES (70 +80 +91 +103)</t>
  </si>
  <si>
    <t>SUM LINES (71 +81 +92 +104)</t>
  </si>
  <si>
    <t>TOTAL PLANT IN SERVICE</t>
  </si>
  <si>
    <t>SUM LINES (111:118)</t>
  </si>
  <si>
    <t>PAGE 19</t>
  </si>
  <si>
    <t>PLANT HELD FOR FUTURE USE - PHFFU</t>
  </si>
  <si>
    <t>PLANT HELD FOR FUTURE USE</t>
  </si>
  <si>
    <t>TOTAL PLANT HELD FOR FUTURE USE</t>
  </si>
  <si>
    <t>PAGE 20</t>
  </si>
  <si>
    <t>ACCUMULATED RESERVE FOR DEPRECIATION - ACCDPR</t>
  </si>
  <si>
    <t>PRODUCTION RESERVE</t>
  </si>
  <si>
    <t>TOTAL PRODUCTION DEPRE RESERVE</t>
  </si>
  <si>
    <t>TRANSMISSION RESERVE</t>
  </si>
  <si>
    <t xml:space="preserve">  High-Volt Transmission LINES</t>
  </si>
  <si>
    <t>TOTAL TRANSMISSION DEPRE RESERVE</t>
  </si>
  <si>
    <t>PAGE 21</t>
  </si>
  <si>
    <t>DISTRIBUTION RESERVE</t>
  </si>
  <si>
    <t xml:space="preserve">  Distribution Reserve</t>
  </si>
  <si>
    <t>TOTAL DISTRIBUTION DEPRE RESERVE</t>
  </si>
  <si>
    <t>PROD, TRANS, &amp; DIST RESERVE</t>
  </si>
  <si>
    <t>TOTAL PROD, TRANS, &amp; DIST DEPRE RESERVE</t>
  </si>
  <si>
    <t>PAGE 22</t>
  </si>
  <si>
    <t>TOTAL COMM EQUIP DEPRE RESERVE</t>
  </si>
  <si>
    <t>TOTAL TRANSP EQUIP DEPRE RESERVE</t>
  </si>
  <si>
    <t>SUM LINES (86:93)</t>
  </si>
  <si>
    <t>SUM LINES (97:105)</t>
  </si>
  <si>
    <t>EQUALS: DEPRECIATION RESERVE</t>
  </si>
  <si>
    <t>SUM LINES (64 +75 +86 +97 + 98)</t>
  </si>
  <si>
    <t>SUM LINES (65 +76 +87 +99)</t>
  </si>
  <si>
    <t>SUM LINES (66 +77 +88 +100)</t>
  </si>
  <si>
    <t>SUM LINES (67 +78 +89 +101)</t>
  </si>
  <si>
    <t>SUM LINES (68 +79 +90 +102)</t>
  </si>
  <si>
    <t>SUM LINES (69 +80 +91 +103)</t>
  </si>
  <si>
    <t>SUM LINES (70 +81 +92 +104)</t>
  </si>
  <si>
    <t>SUM LINES (71 +82 +93 +105)</t>
  </si>
  <si>
    <t>TOTAL ACCUM DEPRECIATION RESERVE</t>
  </si>
  <si>
    <t>SUM LINES (109:116)</t>
  </si>
  <si>
    <t>PAGE 23</t>
  </si>
  <si>
    <t>WORKING CAPITAL - WKCAP</t>
  </si>
  <si>
    <t>SUM LINES (2:9)</t>
  </si>
  <si>
    <t>PLUS: EXCLUSIONS</t>
  </si>
  <si>
    <t>TOTAL CASH</t>
  </si>
  <si>
    <t>SUM LINES (13:20)</t>
  </si>
  <si>
    <t>PLUS: NET ADDITIONS</t>
  </si>
  <si>
    <t>TOTAL NET ADDITIONS</t>
  </si>
  <si>
    <t>SUM LINES (24:31)</t>
  </si>
  <si>
    <t>MINUS: NET DEDUCTIONS</t>
  </si>
  <si>
    <t>TOTAL NET DEDUCTIONS</t>
  </si>
  <si>
    <t>SUM LINES (35:42)</t>
  </si>
  <si>
    <t>PAGE 24</t>
  </si>
  <si>
    <t>WORKING CAPITAL SEPARATION (W/O FUEL INVENTORY &amp; CLAUSE ITEMS)</t>
  </si>
  <si>
    <t>THIS PROVIDES SEPARATION FACTOR FOR ITEMS OTHER THAN FUEL &amp; CLAUSE ) it is not used in total rate base, must use working capital below</t>
  </si>
  <si>
    <t>we now use this factor for working capital, beg 2012 budget</t>
  </si>
  <si>
    <t>PLUS: FUEL INVENTORY</t>
  </si>
  <si>
    <t>TOTAL FUEL INVENTORY</t>
  </si>
  <si>
    <t>Sum Line 45</t>
  </si>
  <si>
    <t>EQUALS: WORKING CAPITAL, (Incl. fuel inventory)</t>
  </si>
  <si>
    <t>SUM LINES (2 +13 +24) - Line 35</t>
  </si>
  <si>
    <t>SUM LINES (3 +14 +25 +45) - Line 36</t>
  </si>
  <si>
    <t>SUM LINES (4 +15 +26) - Line 37</t>
  </si>
  <si>
    <t>SUM LINES (5 +16 +27) - Line 38</t>
  </si>
  <si>
    <t>SUM LINES (6 +17 +28) - Line 39</t>
  </si>
  <si>
    <t>SUM LINES (7 +18 +29) - Line 40</t>
  </si>
  <si>
    <t>SUM LINES (8 +19 +30) - Line 41</t>
  </si>
  <si>
    <t>SUM LINES (9 +20 +31) - Line 42</t>
  </si>
  <si>
    <t>SUM LINES (49:56)</t>
  </si>
  <si>
    <t>PAGE 25</t>
  </si>
  <si>
    <t>CONSTRUCTION WORK IN PROGRESS - CWIP</t>
  </si>
  <si>
    <t>PRODUCTION CWIP</t>
  </si>
  <si>
    <t>TOTAL PRODUCTION CWIP</t>
  </si>
  <si>
    <t>TRANSMISSION CWIP</t>
  </si>
  <si>
    <t xml:space="preserve">  Hi-Volt Transmission</t>
  </si>
  <si>
    <t xml:space="preserve">  Subtransmission Common</t>
  </si>
  <si>
    <t>TOTAL TRANSMISSION CWIP</t>
  </si>
  <si>
    <t>SUM LINES (9:11)</t>
  </si>
  <si>
    <t>DISTRIBUTION CWIP</t>
  </si>
  <si>
    <t>TOTAL DISTRIBUTION CWIP</t>
  </si>
  <si>
    <t>SUM LINES (16:18)</t>
  </si>
  <si>
    <t>PROD, TRANS &amp; DIST CWIP</t>
  </si>
  <si>
    <t>SUM LINES (2 + 3 + 9)</t>
  </si>
  <si>
    <t>SUM Line 10</t>
  </si>
  <si>
    <t>SUM Line 11</t>
  </si>
  <si>
    <t>SUM Line 16</t>
  </si>
  <si>
    <t>TOTAL PROD, TRANS &amp; DIST CWIP</t>
  </si>
  <si>
    <t>SUM LINES (23:30)</t>
  </si>
  <si>
    <t>PAGE 26</t>
  </si>
  <si>
    <t>PLUS: GENERAL CWIP</t>
  </si>
  <si>
    <t>TOTAL GENERAL CWIP</t>
  </si>
  <si>
    <t>SUM LINES (33:40)</t>
  </si>
  <si>
    <t>EQUALS: TOTAL CWIP</t>
  </si>
  <si>
    <t>SUM LINES (23 + 33)</t>
  </si>
  <si>
    <t>SUM LINES (24 + 34)</t>
  </si>
  <si>
    <t>SUM LINES (25 + 35)</t>
  </si>
  <si>
    <t>SUM LINES (26 + 36)</t>
  </si>
  <si>
    <t>SUM LINES (27 + 37)</t>
  </si>
  <si>
    <t>SUM LINES (28 + 38)</t>
  </si>
  <si>
    <t>SUM LINES (29 + 39)</t>
  </si>
  <si>
    <t>SUM LINES (30 + 40)</t>
  </si>
  <si>
    <t>TOTAL CWIP</t>
  </si>
  <si>
    <t>SUM LINES (44:51)</t>
  </si>
  <si>
    <t>PAGE 27</t>
  </si>
  <si>
    <t>NET PLANT AND RATE BASE - RBASE</t>
  </si>
  <si>
    <t>RBASE</t>
  </si>
  <si>
    <t>PLANT IN SERVICE</t>
  </si>
  <si>
    <t>SCH. - PLTSVC: Line 111</t>
  </si>
  <si>
    <t>SCH. - PLTSVC: Line 112</t>
  </si>
  <si>
    <t>SCH. - PLTSVC: Line 113</t>
  </si>
  <si>
    <t>SCH. - PLTSVC: Line 114</t>
  </si>
  <si>
    <t>SCH. - PLTSVC: Line 115</t>
  </si>
  <si>
    <t>SCH. - PLTSVC: Line 116</t>
  </si>
  <si>
    <t>SCH. - PLTSVC: Line 117</t>
  </si>
  <si>
    <t>SCH. - PLTSVC: Line 118</t>
  </si>
  <si>
    <t>PLUS: PLANT HELD FOR FUTURE USE</t>
  </si>
  <si>
    <t>SCH. - PHFFU: Line 2</t>
  </si>
  <si>
    <t>SCH. - PHFFU: Line 4</t>
  </si>
  <si>
    <t>SCH. - PHFFU: Line 5</t>
  </si>
  <si>
    <t>SCH. - PHFFU: Line 6</t>
  </si>
  <si>
    <t>SCH. - PHFFU: Line 7</t>
  </si>
  <si>
    <t>SCH. - PHFFU: Line 8</t>
  </si>
  <si>
    <t>SCH. - PHFFU: Line 9</t>
  </si>
  <si>
    <t>SCH. - PHFFU: Line 10</t>
  </si>
  <si>
    <t>EQUALS: TOTAL PLANT</t>
  </si>
  <si>
    <t>SUM LINES (2 + 13)</t>
  </si>
  <si>
    <t>SUM LINES (3 + 14)</t>
  </si>
  <si>
    <t>SUM LINES (4 + 15)</t>
  </si>
  <si>
    <t>SUM LINES (5 + 16)</t>
  </si>
  <si>
    <t>SUM LINES (6 + 17)</t>
  </si>
  <si>
    <t>SUM LINES (7 + 18)</t>
  </si>
  <si>
    <t>SUM LINES (8 + 19)</t>
  </si>
  <si>
    <t>SUM LINES (9 + 20)</t>
  </si>
  <si>
    <t>LESS: DEPRECIATION RESERVE</t>
  </si>
  <si>
    <t>SCH. - ACCDPR: Line 109</t>
  </si>
  <si>
    <t>SCH. - ACCDPR: Line 110</t>
  </si>
  <si>
    <t>SCH. - ACCDPR: Line 111</t>
  </si>
  <si>
    <t>SCH. - ACCDPR: Line 112</t>
  </si>
  <si>
    <t>SCH. - ACCDPR: Line 113</t>
  </si>
  <si>
    <t>SCH. - ACCDPR: Line 114</t>
  </si>
  <si>
    <t>SCH. - ACCDPR: Line 115</t>
  </si>
  <si>
    <t>SCH. - ACCDPR: Line 116</t>
  </si>
  <si>
    <t>TOTAL DEPRECIATION RESERVE</t>
  </si>
  <si>
    <t>PAGE 28</t>
  </si>
  <si>
    <t>EQUALS: NET PLANT</t>
  </si>
  <si>
    <t>LINES (24 - 35)</t>
  </si>
  <si>
    <t>LINES (25 - 36)</t>
  </si>
  <si>
    <t>LINES (26 - 37)</t>
  </si>
  <si>
    <t>LINES (27 - 38)</t>
  </si>
  <si>
    <t>LINES (28 - 39)</t>
  </si>
  <si>
    <t>LINES (29 - 40)</t>
  </si>
  <si>
    <t>LINES (30 - 41)</t>
  </si>
  <si>
    <t>LINES (31 - 42)</t>
  </si>
  <si>
    <t>TOTAL NET PLANT</t>
  </si>
  <si>
    <t>SUM LINES (45:52)</t>
  </si>
  <si>
    <t>PLUS: WORKING CAPITAL</t>
  </si>
  <si>
    <t>SCH. - WKCAP: Line 49</t>
  </si>
  <si>
    <t>SCH. - WKCAP: Line 50</t>
  </si>
  <si>
    <t>SCH. - WKCAP: Line 51</t>
  </si>
  <si>
    <t>SCH. - WKCAP: Line 52</t>
  </si>
  <si>
    <t>SCH. - WKCAP: Line 53</t>
  </si>
  <si>
    <t>SCH. - WKCAP: Line 54</t>
  </si>
  <si>
    <t>SCH. - WKCAP: Line 55</t>
  </si>
  <si>
    <t>SCH. - WKCAP: Line 56</t>
  </si>
  <si>
    <t>SUM LINES (56:63)</t>
  </si>
  <si>
    <t>PLUS: CWIP</t>
  </si>
  <si>
    <t>SCH. - CWIP: Line 44</t>
  </si>
  <si>
    <t>SCH. - CWIP: Line 45</t>
  </si>
  <si>
    <t>SCH. - CWIP: Line 46</t>
  </si>
  <si>
    <t>SCH. - CWIP: Line 47</t>
  </si>
  <si>
    <t>SCH. - CWIP: Line 48</t>
  </si>
  <si>
    <t>SCH. - CWIP: Line 49</t>
  </si>
  <si>
    <t>SCH. - CWIP: Line 50</t>
  </si>
  <si>
    <t>SCH. - CWIP: Line 51</t>
  </si>
  <si>
    <t>SUM LINES (67:74)</t>
  </si>
  <si>
    <t>EQUALS: RATE BASE</t>
  </si>
  <si>
    <t>SUM LINES (45 +56 +67)</t>
  </si>
  <si>
    <t>SUM LINES (46 +57 +68)</t>
  </si>
  <si>
    <t>SUM LINES (47 +58 +69)</t>
  </si>
  <si>
    <t>SUM LINES (48 +59 +70)</t>
  </si>
  <si>
    <t>SUM LINES (49 +60 +71)</t>
  </si>
  <si>
    <t>SUM LINES (50 +61 +72)</t>
  </si>
  <si>
    <t>SUM LINES (51 +62 +73)</t>
  </si>
  <si>
    <t>SUM LINES (52 +63 +74)</t>
  </si>
  <si>
    <t>SUM LINES (78:85)</t>
  </si>
  <si>
    <t>END OF JURISDICTIONAL STUDY</t>
  </si>
  <si>
    <t>PAGE 29</t>
  </si>
  <si>
    <t>DERIVATION OF UNIT COSTS - UNTCST</t>
  </si>
  <si>
    <t>PROPOSED ROR</t>
  </si>
  <si>
    <t>UNTCST</t>
  </si>
  <si>
    <t>FUNCTIONALIZED REVENUE REQUIREMENTS</t>
  </si>
  <si>
    <t>SCH. - DECCST: Line 227</t>
  </si>
  <si>
    <t>SCH. - DECCST: Line 228</t>
  </si>
  <si>
    <t>SCH. - DECCST: Line 229</t>
  </si>
  <si>
    <t>SCH. - DECCST: Line 230</t>
  </si>
  <si>
    <t>SCH. - DECCST: Line 231</t>
  </si>
  <si>
    <t>SCH. - DECCST: Line 232</t>
  </si>
  <si>
    <t xml:space="preserve">  Distribution: MDS, Meters,Svcs,IS Equip,Lighting</t>
  </si>
  <si>
    <t>SCH. - DECCST: Line 233</t>
  </si>
  <si>
    <t xml:space="preserve">  Other: Meter Reading, Billing, Cust Srvc</t>
  </si>
  <si>
    <t>SCH. - DECCST: Line 234</t>
  </si>
  <si>
    <t xml:space="preserve">  Revenue Associated Expense &amp; Fees</t>
  </si>
  <si>
    <t>TOTAL BASE REVENUE REQUIREMENTS</t>
  </si>
  <si>
    <t xml:space="preserve">   Revenue Expense Expansion Factor</t>
  </si>
  <si>
    <t>BILLING UNITS (ANNUAL)</t>
  </si>
  <si>
    <t>MWh Sales Related To:</t>
  </si>
  <si>
    <t>Production &amp; Transmission (Factor 404)</t>
  </si>
  <si>
    <t>ALLOC FACTOR  # 404 -- Billing mWh - Power Supply (P&amp;T)</t>
  </si>
  <si>
    <t>Distribution Primary (Factor 405)</t>
  </si>
  <si>
    <t>ALLOC FACTOR  # 405 -- Billing mWh  - Distribution Primary Capacity</t>
  </si>
  <si>
    <t>Distribution Secondary (Factor 406)</t>
  </si>
  <si>
    <t>ALLOC FACTOR  # 406 -- Billing mWh  - Distribution Secondary Capacity</t>
  </si>
  <si>
    <t>Billing kW Related To:</t>
  </si>
  <si>
    <t>Production &amp; Transmission (Factor 401)</t>
  </si>
  <si>
    <t>ALLOC FACTOR  # 401 -- Billing kW/kVA - Power Supply (P&amp;T)</t>
  </si>
  <si>
    <t>Distribution Primary (Factor 402)</t>
  </si>
  <si>
    <t>ALLOC FACTOR  # 402 -- Billing kW/kVA  - Distribution Primary Capacity</t>
  </si>
  <si>
    <t>Distribution Secondary (Factor 403)</t>
  </si>
  <si>
    <t>ALLOC FACTOR  # 403 -- Billing kW  - Distribution Secondary Capacity</t>
  </si>
  <si>
    <t>Annual Bills  (Factor 412)</t>
  </si>
  <si>
    <t>FUNCTIONALIZED UNIT COSTS (adjusted by Revenue Expense Expansion Factor)</t>
  </si>
  <si>
    <t>Customer Related - $/Bill</t>
  </si>
  <si>
    <t xml:space="preserve">    MDS, Meters, Svcs, IS Equip</t>
  </si>
  <si>
    <t>Line 8 * 1000/ Line 25</t>
  </si>
  <si>
    <t xml:space="preserve">    Meter Reading, Billing, Cust Srvc</t>
  </si>
  <si>
    <t>Line 9 * 1000/ Line 25</t>
  </si>
  <si>
    <t xml:space="preserve"> TOTAL CUSTOMER</t>
  </si>
  <si>
    <t>SUM LINES (29:30)</t>
  </si>
  <si>
    <t xml:space="preserve"> Production Energy (cents/kWh)</t>
  </si>
  <si>
    <t>((Line 3 /Line 16) /10) * 1000</t>
  </si>
  <si>
    <t xml:space="preserve">Capacity  Related </t>
  </si>
  <si>
    <t xml:space="preserve">    Based on MWh Sales - (cents/kWh)</t>
  </si>
  <si>
    <t xml:space="preserve">        Production</t>
  </si>
  <si>
    <t>((Line 2 /Line 16) /10) * 1000</t>
  </si>
  <si>
    <t xml:space="preserve">        Transmission</t>
  </si>
  <si>
    <t>((LINES (4 + 5) /Line 16) /10) *1000</t>
  </si>
  <si>
    <t xml:space="preserve">        Distribution Primary</t>
  </si>
  <si>
    <t>((Line 6 /Line 17) /10) * 1000</t>
  </si>
  <si>
    <t xml:space="preserve">        Distribution Secondary</t>
  </si>
  <si>
    <t>((Line 7 /Line 18) /10) * 1000</t>
  </si>
  <si>
    <t xml:space="preserve">    Based on Billing KW Demand - ($kW/month)</t>
  </si>
  <si>
    <t xml:space="preserve">        Production Demand</t>
  </si>
  <si>
    <t>(Line 2/Line 21) *1000</t>
  </si>
  <si>
    <t xml:space="preserve">        Transmission Demand</t>
  </si>
  <si>
    <t>(LINES (4 + 5) /Line 21) *1000</t>
  </si>
  <si>
    <t xml:space="preserve">        Distribution Primary Demand</t>
  </si>
  <si>
    <t>(Line 6/Line 22) *1000</t>
  </si>
  <si>
    <t xml:space="preserve">        Distribution Secondary Demand</t>
  </si>
  <si>
    <t>(Line 7/Line 23) *1000</t>
  </si>
  <si>
    <t>PAGE 30</t>
  </si>
  <si>
    <t>DERIVATION OF D-E-C COSTS - DECCST</t>
  </si>
  <si>
    <t>This section calculates Functionalized Revenue</t>
  </si>
  <si>
    <t>Requirement for Demand, Energy, Cust Costs</t>
  </si>
  <si>
    <t>DECCST</t>
  </si>
  <si>
    <t>SCH. - RBASE: Line 78</t>
  </si>
  <si>
    <t>SCH. - RBASE: Line 79</t>
  </si>
  <si>
    <t>SCH. - RBASE: Line 80</t>
  </si>
  <si>
    <t>SCH. - RBASE: Line 81</t>
  </si>
  <si>
    <t>SCH. - RBASE: Line 82</t>
  </si>
  <si>
    <t>SCH. - RBASE: Line 83</t>
  </si>
  <si>
    <t>SCH. - RBASE: Line 84</t>
  </si>
  <si>
    <t>SCH. - RBASE: Line 85</t>
  </si>
  <si>
    <t>MULTIPLIED BY RATE OF RETURN</t>
  </si>
  <si>
    <t>CALC: Line 38 * 100 FROM ROR</t>
  </si>
  <si>
    <t>EQUALS: RETURN ON RATE BASE</t>
  </si>
  <si>
    <t>(Line 2 * Line 12) /100</t>
  </si>
  <si>
    <t>(Line 3 * Line 12) /100</t>
  </si>
  <si>
    <t>(Line 4 * Line 12) /100</t>
  </si>
  <si>
    <t>(Line 5 * Line 12) /100</t>
  </si>
  <si>
    <t>(Line 6 * Line 12) /100</t>
  </si>
  <si>
    <t>(Line 7 * Line 12) /100</t>
  </si>
  <si>
    <t>(Line 8 * Line 12) /100</t>
  </si>
  <si>
    <t>(Line 9 * Line 12) /100</t>
  </si>
  <si>
    <t>TOTAL RETURN ON RATE BASE</t>
  </si>
  <si>
    <t>SUM LINES (15:22)</t>
  </si>
  <si>
    <t>PLUS: ADJ. TO INCOME TAXES (True-Ups, Adjs., ITC and PDA)</t>
  </si>
  <si>
    <t>SCH. - INCTX: Line 153</t>
  </si>
  <si>
    <t>SCH. - INCTX: Line 154</t>
  </si>
  <si>
    <t>SCH. - INCTX: Line 155</t>
  </si>
  <si>
    <t>SCH. - INCTX: Line 156</t>
  </si>
  <si>
    <t>SCH. - INCTX: Line 157</t>
  </si>
  <si>
    <t>SCH. - INCTX: Line 158</t>
  </si>
  <si>
    <t>SCH. - INCTX: Line 159</t>
  </si>
  <si>
    <t>SCH. - INCTX: Line 160</t>
  </si>
  <si>
    <t>TOTAL ADJ'S TO INCOME TAXES</t>
  </si>
  <si>
    <t>LESS INTEREST EXPENSE</t>
  </si>
  <si>
    <t>SCH. - INCTX: Line 84</t>
  </si>
  <si>
    <t>SCH. - INCTX: Line 85</t>
  </si>
  <si>
    <t>SCH. - INCTX: Line 86</t>
  </si>
  <si>
    <t>SCH. - INCTX: Line 87</t>
  </si>
  <si>
    <t>SCH. - INCTX: Line 88</t>
  </si>
  <si>
    <t>SCH. - INCTX: Line 89</t>
  </si>
  <si>
    <t>SCH. - INCTX: Line 90</t>
  </si>
  <si>
    <t>SCH. - INCTX: Line 91</t>
  </si>
  <si>
    <t>PAGE 31</t>
  </si>
  <si>
    <t>PLUS PERMANENT TIMING DIFFERENCES</t>
  </si>
  <si>
    <t>SCH. - INCTX: Line 95</t>
  </si>
  <si>
    <t>SCH. - INCTX: Line 96</t>
  </si>
  <si>
    <t>SCH. - INCTX: Line 97</t>
  </si>
  <si>
    <t>SCH. - INCTX: Line 98</t>
  </si>
  <si>
    <t>SCH. - INCTX: Line 99</t>
  </si>
  <si>
    <t>SCH. - INCTX: Line 100</t>
  </si>
  <si>
    <t>SCH. - INCTX: Line 101</t>
  </si>
  <si>
    <t>SCH. - INCTX: Line 102</t>
  </si>
  <si>
    <t>EQUALS: OPERATING INCOME BEFORE FIT</t>
  </si>
  <si>
    <t>SUM LINES (15 +26 - 37 +47)</t>
  </si>
  <si>
    <t>SUM LINES (16 +27 - 38 +48)</t>
  </si>
  <si>
    <t>SUM LINES (17 +28 - 39 +49)</t>
  </si>
  <si>
    <t>SUM LINES (18 +29 - 40 +50)</t>
  </si>
  <si>
    <t>SUM LINES (19 +30 - 41 +51)</t>
  </si>
  <si>
    <t>SUM LINES (20 +31 - 42 +52)</t>
  </si>
  <si>
    <t>SUM LINES (21 +32 - 43 +53)</t>
  </si>
  <si>
    <t>SUM LINES (22 +33 - 44 +54)</t>
  </si>
  <si>
    <t>TOTAL OPER INCOME BEFORE FIT</t>
  </si>
  <si>
    <t>PLUS: OPER. INCOME.*(FIT/(1-FIT)</t>
  </si>
  <si>
    <t>(Line 59 * 0.21)/(1-0.21)</t>
  </si>
  <si>
    <t>(Line 60 * 0.21)/(1-0.21)</t>
  </si>
  <si>
    <t>(Line 61 * 0.21)/(1-0.21)</t>
  </si>
  <si>
    <t>(Line 62 * 0.21)/(1-0.21)</t>
  </si>
  <si>
    <t>PAGE 32</t>
  </si>
  <si>
    <t>(Line 63 * 0.21)/(1-0.21)</t>
  </si>
  <si>
    <t>(Line 64 * 0.21)/(1-0.21)</t>
  </si>
  <si>
    <t>(Line 65 * 0.21)/(1-0.21)</t>
  </si>
  <si>
    <t>(Line 66 * 0.21)/(1-0.21)</t>
  </si>
  <si>
    <t>SUM LINES (70:77)</t>
  </si>
  <si>
    <t>SUM LINES (59 +70)</t>
  </si>
  <si>
    <t>SUM LINES (60 +71)</t>
  </si>
  <si>
    <t>SUM LINES (61 +72)</t>
  </si>
  <si>
    <t>SUM LINES (62 +73)</t>
  </si>
  <si>
    <t>SUM LINES (63 +74)</t>
  </si>
  <si>
    <t>SUM LINES (64 +75)</t>
  </si>
  <si>
    <t>SUM LINES (65 +76)</t>
  </si>
  <si>
    <t>SUM LINES (66 +77)</t>
  </si>
  <si>
    <t>SUM LINES (81:88)</t>
  </si>
  <si>
    <t>PLUS: STATE INC TAX = FED. TAX. INCOME *SIT/(1-SIT)</t>
  </si>
  <si>
    <t>(Line 81 * 0.055)/(1-0.055)</t>
  </si>
  <si>
    <t>(Line 82 * 0.055)/(1-0.055)</t>
  </si>
  <si>
    <t>(Line 83 * 0.055)/(1-0.055)</t>
  </si>
  <si>
    <t>(Line 84 * 0.055)/(1-0.055)</t>
  </si>
  <si>
    <t>(Line 85 * 0.055)/(1-0.055)</t>
  </si>
  <si>
    <t>(Line 86 * 0.055)/(1-0.055)</t>
  </si>
  <si>
    <t>(Line 87 * 0.055)/(1-0.055)</t>
  </si>
  <si>
    <t>(Line 88 * 0.055)/(1-0.055)</t>
  </si>
  <si>
    <t>TOTAL STATE INCOME TAX</t>
  </si>
  <si>
    <t>SUM LINES (91:98)</t>
  </si>
  <si>
    <t>MINUS: PERMANENT TIMING DIFFERENCES</t>
  </si>
  <si>
    <t>SCH. - INCTX: Line 131</t>
  </si>
  <si>
    <t>SCH. - INCTX: Line 132</t>
  </si>
  <si>
    <t>SCH. - INCTX: Line 133</t>
  </si>
  <si>
    <t>SCH. - INCTX: Line 134</t>
  </si>
  <si>
    <t>SCH. - INCTX: Line 135</t>
  </si>
  <si>
    <t>SCH. - INCTX: Line 136</t>
  </si>
  <si>
    <t>SCH. - INCTX: Line 137</t>
  </si>
  <si>
    <t>SCH. - INCTX: Line 138</t>
  </si>
  <si>
    <t>SUM LINES (103:110)</t>
  </si>
  <si>
    <t>PLUS INTEREST EXPENSE</t>
  </si>
  <si>
    <t>Line 37</t>
  </si>
  <si>
    <t>Line 38</t>
  </si>
  <si>
    <t>Line 39</t>
  </si>
  <si>
    <t>Line 40</t>
  </si>
  <si>
    <t>Line 41</t>
  </si>
  <si>
    <t>Line 42</t>
  </si>
  <si>
    <t>Line 43</t>
  </si>
  <si>
    <t>Line 44</t>
  </si>
  <si>
    <t>SUM LINES (114:121)</t>
  </si>
  <si>
    <t>EQUALS: OPERATING INCOME BEFORE TAXES</t>
  </si>
  <si>
    <t>SUM LINES (81 +91 - 103 +114)</t>
  </si>
  <si>
    <t>SUM LINES (82 +92 - 104 +115)</t>
  </si>
  <si>
    <t>SUM LINES (83 +93 - 105 +116)</t>
  </si>
  <si>
    <t>SUM LINES (84 +94 - 106 +117)</t>
  </si>
  <si>
    <t>SUM LINES (85 +95 - 107 +118)</t>
  </si>
  <si>
    <t>SUM LINES (86 +96 - 108 +119)</t>
  </si>
  <si>
    <t>SUM LINES (87 +97 - 109 +120)</t>
  </si>
  <si>
    <t>SUM LINES (88 +98 - 110 +121)</t>
  </si>
  <si>
    <t>TOTAL OPERATING INCOME BEFORE TAXES</t>
  </si>
  <si>
    <t>SUM LINES (125:132)</t>
  </si>
  <si>
    <t>PAGE 33</t>
  </si>
  <si>
    <t>33</t>
  </si>
  <si>
    <t>PLUS: TAXES OTHER THAN INCOME</t>
  </si>
  <si>
    <t>SUM LINES (135:142)</t>
  </si>
  <si>
    <t>PLUS: DEPREC &amp; AMORTIZ EXPENSE</t>
  </si>
  <si>
    <t>TOTAL DEPREC &amp; AMORTIZ EXPENSE</t>
  </si>
  <si>
    <t>SUM LINES (146:153)</t>
  </si>
  <si>
    <t>PLUS: LOSS ON DISPOSITION &amp; MISC.</t>
  </si>
  <si>
    <t>SCH. - INCTX: Line 62</t>
  </si>
  <si>
    <t>SCH. - INCTX: Line 63</t>
  </si>
  <si>
    <t>SCH. - INCTX: Line 64</t>
  </si>
  <si>
    <t>SCH. - INCTX: Line 65</t>
  </si>
  <si>
    <t>SCH. - INCTX: Line 66</t>
  </si>
  <si>
    <t>SCH. - INCTX: Line 67</t>
  </si>
  <si>
    <t>SCH. - INCTX: Line 68</t>
  </si>
  <si>
    <t>SCH. - INCTX: Line 69</t>
  </si>
  <si>
    <t>SUM LINES (157:164)</t>
  </si>
  <si>
    <t>PLUS: O &amp; M EXPENSE</t>
  </si>
  <si>
    <t>TOTAL O &amp; M EXPENSE</t>
  </si>
  <si>
    <t>SUM LINES (168:175)</t>
  </si>
  <si>
    <t>PAGE 34</t>
  </si>
  <si>
    <t>34</t>
  </si>
  <si>
    <t>PLUS: FUEL &amp; POWER TRANSACTIONS</t>
  </si>
  <si>
    <t>SUM LINES (178:179)</t>
  </si>
  <si>
    <t>EQUALS: TOTAL REVENUE LESS REV TAXES</t>
  </si>
  <si>
    <t>SUM LINES (125 +135 +146 +157 +168 +178)</t>
  </si>
  <si>
    <t>SUM LINES (126 +136 +147 +158 +169 +179)</t>
  </si>
  <si>
    <t>SUM LINES (127 +137 +148 +159 +170 +180)</t>
  </si>
  <si>
    <t>SUM LINES (128 +138 +149 +160 +171 +181)</t>
  </si>
  <si>
    <t>SUM LINES (129 +139 +150 +161 +172 +182)</t>
  </si>
  <si>
    <t>SUM LINES (130 +140 +151 +162 +173 +183)</t>
  </si>
  <si>
    <t>SUM LINES (131 +141 +152 +163 +174 +184)</t>
  </si>
  <si>
    <t>SUM LINES (132 +142 +153 +164 +175 +185)</t>
  </si>
  <si>
    <t>TOTAL TOTAL REVENUE LESS REV TAXES</t>
  </si>
  <si>
    <t>SUM LINES (183:190)</t>
  </si>
  <si>
    <t>PLUS: ADD'L REVENUE TAXES (Bad Debt &amp; Regulatory Assess. Fee)</t>
  </si>
  <si>
    <t>(Line 183 / Line 191) *( Line 47 from ROR *(REG_ASSESS_FEE+BAD_DEBT))</t>
  </si>
  <si>
    <t>(Line 184 / Line 191) *( Line 47 from ROR *(REG_ASSESS_FEE+BAD_DEBT))</t>
  </si>
  <si>
    <t>(Line 185 / Line 191) *( Line 47 from ROR *(REG_ASSESS_FEE+BAD_DEBT))</t>
  </si>
  <si>
    <t>(Line 186 / Line 191) *( Line 47 from ROR *(REG_ASSESS_FEE+BAD_DEBT))</t>
  </si>
  <si>
    <t>(Line 187 / Line 191) *( Line 47 from ROR *(REG_ASSESS_FEE+BAD_DEBT))</t>
  </si>
  <si>
    <t>(Line 188 / Line 191) *( Line 47 from ROR *(REG_ASSESS_FEE+BAD_DEBT))</t>
  </si>
  <si>
    <t>(Line 189 / Line 191) *( Line 47 from ROR *(REG_ASSESS_FEE+BAD_DEBT))</t>
  </si>
  <si>
    <t>(Line 190 / Line 191) *( Line 47 from ROR *(REG_ASSESS_FEE+BAD_DEBT))</t>
  </si>
  <si>
    <t>TOTAL REVENUE TAXES</t>
  </si>
  <si>
    <t>SUM LINES (194:201)</t>
  </si>
  <si>
    <t>EQUALS: TOTAL REVENUES</t>
  </si>
  <si>
    <t>SUM LINES (183 + 194)</t>
  </si>
  <si>
    <t>SUM LINES (184 + 195)</t>
  </si>
  <si>
    <t>SUM LINES (185 + 196)</t>
  </si>
  <si>
    <t>SUM LINES (186 + 197)</t>
  </si>
  <si>
    <t>SUM LINES (187 + 198)</t>
  </si>
  <si>
    <t>SUM LINES (188 + 199)</t>
  </si>
  <si>
    <t>SUM LINES (189 + 200)</t>
  </si>
  <si>
    <t>SUM LINES (190 + 201)</t>
  </si>
  <si>
    <t>TOTAL REVENUES</t>
  </si>
  <si>
    <t>SUM LINES (205:212)</t>
  </si>
  <si>
    <t>PAGE 35</t>
  </si>
  <si>
    <t>35</t>
  </si>
  <si>
    <t>LESS: REVENUE OTHER THAN SALES</t>
  </si>
  <si>
    <t>TOTAL REVENUE OTHER THAN SALES</t>
  </si>
  <si>
    <t>SUM LINES (215:222)</t>
  </si>
  <si>
    <t>EQUALS: SALES REVENUE (FUNCTIONALIZED REVENUE REQUIREMENT)</t>
  </si>
  <si>
    <t>(Line 205 - Line 215)</t>
  </si>
  <si>
    <t>(Line 206 - Line 216)</t>
  </si>
  <si>
    <t>(Line 207 - Line 217)</t>
  </si>
  <si>
    <t>(Line 208 - Line 218)</t>
  </si>
  <si>
    <t>(Line 209 - Line 219)</t>
  </si>
  <si>
    <t>(Line 210 - Line 220)</t>
  </si>
  <si>
    <t>(Line 211 - Line 221)</t>
  </si>
  <si>
    <t>(Line 212 - Line 222)</t>
  </si>
  <si>
    <t>TOTAL SALES REVENUE</t>
  </si>
  <si>
    <t>SUM LINES (227:234)</t>
  </si>
  <si>
    <t>END OF RETAIL STUDY</t>
  </si>
  <si>
    <t>ALLOCATION FACTOR REPORT</t>
  </si>
  <si>
    <t>FACTOR
NO.</t>
  </si>
  <si>
    <t>UNIT</t>
  </si>
  <si>
    <t>kW</t>
  </si>
  <si>
    <t>Load Research</t>
  </si>
  <si>
    <t xml:space="preserve">     % of Total Company</t>
  </si>
  <si>
    <t>Production Capacity - 12 CP &amp; 25% AD</t>
  </si>
  <si>
    <t>Production Capacity - 12 CP &amp; 50% AD</t>
  </si>
  <si>
    <t>Proposed Production Capacity - 12CP &amp; 25% AD</t>
  </si>
  <si>
    <t>Proposed Production Capacity - 12CP &amp; 50% AD</t>
  </si>
  <si>
    <t>mWh</t>
  </si>
  <si>
    <t>Direct Allocation - 100% Wholesale</t>
  </si>
  <si>
    <t>Direct Allocation - 100% Retail</t>
  </si>
  <si>
    <t>$000's</t>
  </si>
  <si>
    <t>Internally Generated [Wtd Meters]</t>
  </si>
  <si>
    <t>Direct Allocation - 100% IS Customer</t>
  </si>
  <si>
    <t>Direct Allocation - 100% Lighting Customer</t>
  </si>
  <si>
    <t>Externally Generated, estimated Meter Reading Expense</t>
  </si>
  <si>
    <t>Billing kW - Power Supply (P&amp;T)</t>
  </si>
  <si>
    <t>Billing kW  - Distribution Primary Capacity</t>
  </si>
  <si>
    <t>Billing kW  - Distribution Secondary Capacity</t>
  </si>
  <si>
    <t>Billing mWh - Power Supply (P&amp;T)</t>
  </si>
  <si>
    <t>Billing mWh  - Distribution Primary Capacity</t>
  </si>
  <si>
    <t>Billing mWh  - Distribution Secondary Capacity</t>
  </si>
  <si>
    <t>No. of Bills</t>
  </si>
  <si>
    <t>No. of Cust.</t>
  </si>
  <si>
    <t>Internally Generated - Customer Billing Determinants @ Primary</t>
  </si>
  <si>
    <t>Internally Generated - Customer Billing Determinants @ Secondary</t>
  </si>
  <si>
    <t>Internally Generated - Revenues</t>
  </si>
  <si>
    <t>Extenally Generated - Unbilled Sales</t>
  </si>
  <si>
    <t>DistrIbution O&amp;M - Customer Component</t>
  </si>
  <si>
    <t>Internally Generated - Distribution O&amp;M Customer Component</t>
  </si>
  <si>
    <t>DistrIbution Plant - Customer Component</t>
  </si>
  <si>
    <t>Internally Generated - Distribution Plant Customer Component</t>
  </si>
  <si>
    <t>Transmission - 12 CP (Retail Only)</t>
  </si>
  <si>
    <t>Internally Generated - 12 CP Transmission Retail Only</t>
  </si>
  <si>
    <t>Labor</t>
  </si>
  <si>
    <t>Non-Labor</t>
  </si>
  <si>
    <t>Total:</t>
  </si>
  <si>
    <t>Total Solar O&amp;M Adjustment:</t>
  </si>
  <si>
    <t>Description Account</t>
  </si>
  <si>
    <t>13-Month Average or Year Total</t>
  </si>
  <si>
    <t>Interconnections - Solar Portion</t>
  </si>
  <si>
    <t>GSU Investment - Solar Portion</t>
  </si>
  <si>
    <t>Solar Portion</t>
  </si>
  <si>
    <t>Depre Exp</t>
  </si>
  <si>
    <t>13-Month Avg.</t>
  </si>
  <si>
    <t>Solar Adjustments:</t>
  </si>
  <si>
    <t>Software 303.99</t>
  </si>
  <si>
    <t xml:space="preserve">% of </t>
  </si>
  <si>
    <t>FPSC Adj</t>
  </si>
  <si>
    <t>Sys Per Books</t>
  </si>
  <si>
    <t>Total Sys Per</t>
  </si>
  <si>
    <t>13 Mth Avg</t>
  </si>
  <si>
    <t>Books CWIP</t>
  </si>
  <si>
    <t>Production Other *</t>
  </si>
  <si>
    <t>General-Intangible</t>
  </si>
  <si>
    <t>Total *</t>
  </si>
  <si>
    <t>Solar - CWIP Input Value</t>
  </si>
  <si>
    <t>SPP -CWIP Input Value</t>
  </si>
  <si>
    <t>FUNCTIONALIZATION / CLASSIFICATION OF CWIP ($000)</t>
  </si>
  <si>
    <t>(1)  DIRECT ASSIGNMENTS TO FUNCTIONS BASED ON PLANT ACCTG DATA (TIE TO MFR B-13a ACCT 107.00 --GL COST)</t>
  </si>
  <si>
    <t>G/L COST</t>
  </si>
  <si>
    <t>PRODUCTION STEAM</t>
  </si>
  <si>
    <t>PRODUCTION OTHER *</t>
  </si>
  <si>
    <t>GENERAL-INTANGIBLE</t>
  </si>
  <si>
    <t>TOTAL CWIP *</t>
  </si>
  <si>
    <t>(2)  DETAIL FUNCTIONALIZATION BASED ON PTD PLANT RATIOS WITHIN FUNCTIONS FOR PTD CWIP</t>
  </si>
  <si>
    <t>FUNCTIONALIZED</t>
  </si>
  <si>
    <t>PTD PLANT RATIO'S</t>
  </si>
  <si>
    <t>PROD-STEAM-DEMAND</t>
  </si>
  <si>
    <t>PROD-STEAM-ENERGY</t>
  </si>
  <si>
    <t>PROD-OTHER-DEMAND *</t>
  </si>
  <si>
    <t>TOTAL PTD *</t>
  </si>
  <si>
    <t>(3)  ALLOCATION OF GENERAL TO FUNCTIONS BASED ON LABOR RATIO</t>
  </si>
  <si>
    <t>LABOR $'S</t>
  </si>
  <si>
    <t>TOTAL GENERAL</t>
  </si>
  <si>
    <t>[This schedule reflects the ROU Leases (operating leases) do not impact rate base.]</t>
  </si>
  <si>
    <t xml:space="preserve">RATE BASE - Right of Use (ROU) Leases (zero impact to rate base)             </t>
  </si>
  <si>
    <t>Fuel and ECCR</t>
  </si>
  <si>
    <t>LOCATION</t>
  </si>
  <si>
    <t>Address</t>
  </si>
  <si>
    <t>Long/Lat</t>
  </si>
  <si>
    <t>PRODUCTION PLANTS</t>
  </si>
  <si>
    <t>Hwy 41 &amp; 3602 Port Sutton Road, Tampa, FL  33619</t>
  </si>
  <si>
    <t>N 27.907343, W 82.417867</t>
  </si>
  <si>
    <t>BAYSIDE - VEHICLES</t>
  </si>
  <si>
    <t>13031 Wyandotte Road, Apollo Beach, FL  33572</t>
  </si>
  <si>
    <t>N 27.79537, W 82.402611</t>
  </si>
  <si>
    <t>13032 Wyandotte Road, Apollo Beach, FL  33572</t>
  </si>
  <si>
    <t>N 27.79537, W 82.402612</t>
  </si>
  <si>
    <t xml:space="preserve">BIG BEND - Battery Storage </t>
  </si>
  <si>
    <t>BIG BEND - FUEL VALUES</t>
  </si>
  <si>
    <t>BIG BEND - VEHICLES</t>
  </si>
  <si>
    <t>BIG BEND FLOATING SOLAR</t>
  </si>
  <si>
    <t>9995 State Road 37 South, Mulberry, FL 33860</t>
  </si>
  <si>
    <t>N 27.726843, W 81.989787</t>
  </si>
  <si>
    <t>POLK 2 POWER STATION PROJECT (AS OF JANUARY 2017)</t>
  </si>
  <si>
    <t>POLK POWER STATION - FUEL VALUES</t>
  </si>
  <si>
    <t>POLK POWER STATION - VEHICLES</t>
  </si>
  <si>
    <t>POLK POWER STATION - Injection Well No. 1</t>
  </si>
  <si>
    <t>POLK POWER STATION - Injection Well No. 2</t>
  </si>
  <si>
    <t>TAMPA ELECTRIC PRODUCTION PLANTS TOTAL:</t>
  </si>
  <si>
    <t>MISCELLANEOUS PRODUCTION</t>
  </si>
  <si>
    <t>CENTRAL TEST LAB</t>
  </si>
  <si>
    <t>5012 22nd Causeway Blvd, Tampa, FL  33619</t>
  </si>
  <si>
    <t>N 27.923403,W 82.400379</t>
  </si>
  <si>
    <t>MAINTENANCE &amp; CONTRACT SERVICES</t>
  </si>
  <si>
    <t>13031 Wyandotte Road, Apollo Beach, FL  33570</t>
  </si>
  <si>
    <t>N 27.79499, W 82.399006</t>
  </si>
  <si>
    <t>MISCELLANEOUS PRODUCTION TOTAL:</t>
  </si>
  <si>
    <t>SOLAR PRODUCTION PLANTS</t>
  </si>
  <si>
    <t>4100 George J Bean Pkwy, Tampa, FL 33607</t>
  </si>
  <si>
    <t>N 27.924064, W 82.437415</t>
  </si>
  <si>
    <t>LITHIA SOLAR</t>
  </si>
  <si>
    <t>17649 Bledsoe Loop, 17121 Co Rd 672, Lithia, FL 33547</t>
  </si>
  <si>
    <t>GRANGE HALL SOLAR</t>
  </si>
  <si>
    <t>20290 Stanaland Rd, Wimauma, FL 33598</t>
  </si>
  <si>
    <t>PEACE CREEK SOLAR</t>
  </si>
  <si>
    <t xml:space="preserve">3300 East HWY 60, Bartow, FL 33830 Polk County </t>
  </si>
  <si>
    <t>BONNIE MINE SOLAR</t>
  </si>
  <si>
    <t>2200 Bonnie Mine Rd, Mulberry, FL 33860</t>
  </si>
  <si>
    <t>LAKE HANCOCK</t>
  </si>
  <si>
    <t>4545 Hwy. 98 N., Bartow, FL  33830</t>
  </si>
  <si>
    <t>Wimauma</t>
  </si>
  <si>
    <t>13026 Diehl Farm Rd.Wimauma, FL  33598</t>
  </si>
  <si>
    <t xml:space="preserve">Little Manatee - Nextra </t>
  </si>
  <si>
    <t>Durrance</t>
  </si>
  <si>
    <t>5050 SR 60 W Mulberry FL</t>
  </si>
  <si>
    <t>27° 53' 48.27'' N, 81° 57' 43.66'' </t>
  </si>
  <si>
    <t xml:space="preserve">Magnolia </t>
  </si>
  <si>
    <t xml:space="preserve">Jamison </t>
  </si>
  <si>
    <t>TAMPA ELECTRIC SOLAR PRODUCTION PLANTS TOTAL:</t>
  </si>
  <si>
    <t>TRANSMISSION SUBSTATIONS</t>
  </si>
  <si>
    <t>ARIANA</t>
  </si>
  <si>
    <t>South end of Horn Rd, Auburndale, FL 33823</t>
  </si>
  <si>
    <t>14105 Balm Boyette Road, Riverview, Florida 33579</t>
  </si>
  <si>
    <t xml:space="preserve">14101 Dupree Road, 14530 Highway 672, Wimauma, Fl  33598                                                           </t>
  </si>
  <si>
    <t xml:space="preserve"> 27°46'36.63"N,  82°14'38.07"W</t>
  </si>
  <si>
    <t>BELL CREEK</t>
  </si>
  <si>
    <t>3038 McMullen Road, Riverview, FL 33569</t>
  </si>
  <si>
    <t>N 27.855533, W 82.301119</t>
  </si>
  <si>
    <t>Wyandotte Road, Apollo Beach, FL  33572</t>
  </si>
  <si>
    <t>N 27.4745   W 82.2415</t>
  </si>
  <si>
    <t>6906 N. US Highway 41, Apollo Beach, FL  33575</t>
  </si>
  <si>
    <t>660 E. County Line Road, Plant City, FL 33565</t>
  </si>
  <si>
    <t>CABBAGE HILL</t>
  </si>
  <si>
    <t>1/4 Mile West of SR 581, Dade County, FL  33525</t>
  </si>
  <si>
    <t>N 28.180002,W 82.352888</t>
  </si>
  <si>
    <t>Carl Taylor  SUB</t>
  </si>
  <si>
    <t>16707 SR 674, Lithia, FL 33547</t>
  </si>
  <si>
    <t>N 27.704908, W 82.075667</t>
  </si>
  <si>
    <t>CHAPMAN</t>
  </si>
  <si>
    <t>16923 N Livingston Avenue, Tampa, FL  33612</t>
  </si>
  <si>
    <t>N 28.11501, W 82.429466</t>
  </si>
  <si>
    <t>CLEARVIEW</t>
  </si>
  <si>
    <t>1350 N Himes, Tampa, FL  33607</t>
  </si>
  <si>
    <t>2 1/4 mile north of SR 640, 3 3/4 miles west of SR 37, Mulberry, FL 33860</t>
  </si>
  <si>
    <t>CR 672</t>
  </si>
  <si>
    <t>13260 CR672, Riverview, FL</t>
  </si>
  <si>
    <t>DADE CITY</t>
  </si>
  <si>
    <t>1/2 mile west of US 301 and 1/2 mile north of Meridan Ave on 14th St</t>
  </si>
  <si>
    <t>DALE MABRY</t>
  </si>
  <si>
    <t>16916 Dale Mabry Hwy, Tampa, FL  33624</t>
  </si>
  <si>
    <t>N 28.112844, W 82.510626</t>
  </si>
  <si>
    <t>DAVIS ROAD</t>
  </si>
  <si>
    <t>11028 Davis Road, Temple Terrace, FL  33637</t>
  </si>
  <si>
    <t>N 28.04413,W 82.363552</t>
  </si>
  <si>
    <t xml:space="preserve">Durrance </t>
  </si>
  <si>
    <t>7180 S. Hwy 37, Mulberry, FL</t>
  </si>
  <si>
    <t>ELEVENTH AVE</t>
  </si>
  <si>
    <t>2800 W 11th Ave, Tampa, FL 33605</t>
  </si>
  <si>
    <t>N 27.963662, W 82.427134</t>
  </si>
  <si>
    <t>FISHHAWK</t>
  </si>
  <si>
    <t>19306 Boyette Rd, Lithia , FL 33547</t>
  </si>
  <si>
    <t>Fort Green 69kV</t>
  </si>
  <si>
    <t>8.2 miles south of Bradley Junction on SR 37, 1 mile east of Fort Green sign, Ft. Green, FL</t>
  </si>
  <si>
    <t>E/Si CR 39 North of SR 674, Ft. Lonesome, FL 33547</t>
  </si>
  <si>
    <t>21694 Taylor Gill Rd, Lithia, FL 33547</t>
  </si>
  <si>
    <t>SR 37 and 2 3/4 miles south of SR 674, Hillsborough County Line</t>
  </si>
  <si>
    <t>100 feet east of Taylor Gill Rd and 4 miles south of SR 674, Ft. Lonesome, FL 33547</t>
  </si>
  <si>
    <t>E/Si CR 39 4 miles South of SR 674, Ft. Lonesome, FL 33547</t>
  </si>
  <si>
    <t>GANNON</t>
  </si>
  <si>
    <t>Hwy 41 &amp; Port Sutton Road, Tampa, FL  33601</t>
  </si>
  <si>
    <t>N 27.908371, W 82.408742</t>
  </si>
  <si>
    <t>N 27.908167, W 82.408665</t>
  </si>
  <si>
    <t>GAPWAY</t>
  </si>
  <si>
    <t>Drawdy Drive, Approximately 725 ft. East of Maritime Blvd, Tampa, FL  33605</t>
  </si>
  <si>
    <t>N 27.916929, W 82.436167</t>
  </si>
  <si>
    <t>20290 Stanaland Rd, Wimauma, FL  33598</t>
  </si>
  <si>
    <t>HAMPTON</t>
  </si>
  <si>
    <t>2525 Trapnell Road, Plant City, FL  33564</t>
  </si>
  <si>
    <t>N 27.966109, W 82.14661</t>
  </si>
  <si>
    <t>HANCART ROAD</t>
  </si>
  <si>
    <t>35001 SR 54, Zephyrhills, FL 33541</t>
  </si>
  <si>
    <t>N 28.222323, W 82.237616</t>
  </si>
  <si>
    <t>HIMES</t>
  </si>
  <si>
    <t>5602 Himes Avenue, Tampa, FL  33601</t>
  </si>
  <si>
    <t>N 27.883457, W 82.501678</t>
  </si>
  <si>
    <t>HOOKERS POINT</t>
  </si>
  <si>
    <t>1900 E. Hemlock Avenue, Tampa, FL  33605</t>
  </si>
  <si>
    <t>N 27.938104, W 82.440178</t>
  </si>
  <si>
    <t>JACKSON ROAD</t>
  </si>
  <si>
    <t>8717 Jackson Springs Road, Tampa, FL  33602</t>
  </si>
  <si>
    <t>N 28.000939, W 82.582409</t>
  </si>
  <si>
    <t>James Hardie Metering</t>
  </si>
  <si>
    <t>JUNEAU</t>
  </si>
  <si>
    <t>2112 North Juneau Street, Tampa, FL  33603</t>
  </si>
  <si>
    <t>N 28.022992, W 82.481132</t>
  </si>
  <si>
    <t>LAKE AGNES</t>
  </si>
  <si>
    <t>NW Corner of Berkley Road (SR 655), Polk City, FL  33868</t>
  </si>
  <si>
    <t>N 28.15519, W81.827048</t>
  </si>
  <si>
    <t>LAKE SILVER</t>
  </si>
  <si>
    <t>6th Street South Side of North Lake Silver Drive, Winter Haven, FL  33881</t>
  </si>
  <si>
    <t>N 28.034219,W 81.730791</t>
  </si>
  <si>
    <t>Lithia 230 kV</t>
  </si>
  <si>
    <t>17121 Co Rd 672, Lithia, FL 33547</t>
  </si>
  <si>
    <t>Little Manatee River 230 kV</t>
  </si>
  <si>
    <t>2193 23rd St SE, Ruskin, FL 33570</t>
  </si>
  <si>
    <t>McKay Bay Cogen</t>
  </si>
  <si>
    <t>107 N. 34th Street, Tampa, FL 33605</t>
  </si>
  <si>
    <t>9415 S. Hwy 41, Riverview, FL 33578</t>
  </si>
  <si>
    <t>MINES</t>
  </si>
  <si>
    <t>18483 Hwy 39, Lithia, FL 33547</t>
  </si>
  <si>
    <t>N 27.705091, W 82.146731</t>
  </si>
  <si>
    <t>MULBERRY</t>
  </si>
  <si>
    <t>Diesel Rd. &amp; John Moore Road, Tampa, FL  33602</t>
  </si>
  <si>
    <t>OHIO</t>
  </si>
  <si>
    <t>Ohio Avenue &amp; East Lopez Field, Tampa, FL  33601</t>
  </si>
  <si>
    <t>N 27.976872, W82.499465</t>
  </si>
  <si>
    <t>OSCEOLA</t>
  </si>
  <si>
    <t>3.5 Miles South of US 192, Adjacent to I-4, Kissimmee, FL  32741</t>
  </si>
  <si>
    <t>N 28.335435, W 81.52934</t>
  </si>
  <si>
    <t>5473 Fort Green Rd</t>
  </si>
  <si>
    <t>3300 East Highway 60</t>
  </si>
  <si>
    <t>PEBBLEDALE</t>
  </si>
  <si>
    <t>Old Pebbledale Road, Pierce, FL  32080</t>
  </si>
  <si>
    <t>N 27.83509, W 81.940608</t>
  </si>
  <si>
    <t>POLK POWER</t>
  </si>
  <si>
    <t>9995 SR 37 South, Mulberry, FL  33860</t>
  </si>
  <si>
    <t>N 27.731954, W 81.988429</t>
  </si>
  <si>
    <t>1 mile east of Taylor Gill Rd &amp; 4 miles south of SR 674, Ft. Lonesome, FL 33547</t>
  </si>
  <si>
    <t>RECKER</t>
  </si>
  <si>
    <t>State Road 655, Auburndale, FL  33823</t>
  </si>
  <si>
    <t>N 28.05296,W 81.908189</t>
  </si>
  <si>
    <t>Ridgewood Metering 69kV</t>
  </si>
  <si>
    <t>North of SR 60, 3 1/2 miles east of SR 37,Bartow, FL 33830</t>
  </si>
  <si>
    <t>RIVER</t>
  </si>
  <si>
    <t>9514 Woodland Ridge Drive, Temple Terrace, FL  33617</t>
  </si>
  <si>
    <t>N 28.044162,W 82.363633</t>
  </si>
  <si>
    <t>RUSKIN</t>
  </si>
  <si>
    <t>2103 SE 3rd Avenue, Ruskin, FL  33570</t>
  </si>
  <si>
    <t>N 27.717758,W 82.405811</t>
  </si>
  <si>
    <t>SANDHILL</t>
  </si>
  <si>
    <t>2751 West SR 60, Tampa, FL  33602</t>
  </si>
  <si>
    <t>N 27.963462,W 82.427123</t>
  </si>
  <si>
    <t>SHELDON ROAD</t>
  </si>
  <si>
    <t>9840 West Linebaugh Avenue, Tampa, FL  33603</t>
  </si>
  <si>
    <t>N 28.04029, W 82.591366</t>
  </si>
  <si>
    <t>SOUTH ELOISE</t>
  </si>
  <si>
    <t>Cameron Rd., East of Hwy 17, Eloise, FL  33880</t>
  </si>
  <si>
    <t>N 27.987192,W 81.744025</t>
  </si>
  <si>
    <t>SOUTH GIBSONTON</t>
  </si>
  <si>
    <t>11250 North Street, Gibsonton, FL  33534</t>
  </si>
  <si>
    <t>N 27.837951,W 82.368514</t>
  </si>
  <si>
    <t>South Shore</t>
  </si>
  <si>
    <t>3351 19th Ave NE, Ruskin, FL 33570</t>
  </si>
  <si>
    <t>STATE ROAD 60</t>
  </si>
  <si>
    <t>9845 Solar Drive, Brandon, FL  33511</t>
  </si>
  <si>
    <t>N 27.943721,W 82.341599</t>
  </si>
  <si>
    <t>THONOTOSASSA SUB</t>
  </si>
  <si>
    <t>10171 SR 579, Thonotosassa , FL  33592</t>
  </si>
  <si>
    <t>N 28.044287, W 82.302322</t>
  </si>
  <si>
    <t>Union Hall</t>
  </si>
  <si>
    <t>37717 Gaddis Street, Dade City, FL  33523</t>
  </si>
  <si>
    <t>N 28.375051, W 82.191969</t>
  </si>
  <si>
    <t>1 1/2 miles west of Bartow city limits, Bartow, FL 33830</t>
  </si>
  <si>
    <t>WHEELER ROAD</t>
  </si>
  <si>
    <t>12895 Wheeler Road, Dover, FL 33527</t>
  </si>
  <si>
    <t>N 27.972424,W 82.247812</t>
  </si>
  <si>
    <t>WHITEHURST</t>
  </si>
  <si>
    <t>3570 Boot Bay Road, Plant City, FL  33563</t>
  </si>
  <si>
    <t>N 28.025739, W 82.159735</t>
  </si>
  <si>
    <t>WILDERNESS</t>
  </si>
  <si>
    <t>Morris Bridge Road, Tampa, FL</t>
  </si>
  <si>
    <t>N 28.048139,W 82.358995</t>
  </si>
  <si>
    <t>13026 Diehl Farm Rd., Wimauma, FL  33598</t>
  </si>
  <si>
    <t>Willow Oak (Vacant site)</t>
  </si>
  <si>
    <t>S/E Corner SR 60 &amp; Willow Oak Road, Mulberry, FL  33860</t>
  </si>
  <si>
    <t>MISC. SUBSTATIONS LOCATIONS</t>
  </si>
  <si>
    <t>Misc. Unnamed Substations</t>
  </si>
  <si>
    <t>TRANSMISSION SUBSTATION TOTAL:</t>
  </si>
  <si>
    <t>DISTRIBUTION SUBSTATIONS</t>
  </si>
  <si>
    <t>ALEXANDER ROAD</t>
  </si>
  <si>
    <t>1401 Alexander Street, Tampa, FL  33602</t>
  </si>
  <si>
    <t>N 28.003536, W 82.138215</t>
  </si>
  <si>
    <t>Bay Court</t>
  </si>
  <si>
    <t>3802 S. MacDill, Tampa, FL 33611</t>
  </si>
  <si>
    <t>BELL SHOALS</t>
  </si>
  <si>
    <t>4546 Bell Shoals Road, Valrico, FL 33594</t>
  </si>
  <si>
    <t>N 27.872098,W 82.268903</t>
  </si>
  <si>
    <t>Belmont Heights</t>
  </si>
  <si>
    <t>4502 N. 30th St, Tampa, FL 33610</t>
  </si>
  <si>
    <t>Berkley Road</t>
  </si>
  <si>
    <t>1/8 mile of north of US 92 (SR 600) on Berkeley Rd, Auburndale, FL 33823</t>
  </si>
  <si>
    <t>Birdseye</t>
  </si>
  <si>
    <t>Corner of NW Ave U &amp; 3rd St, NW 3/8 mile east of SR 555 and 1/8 mile north of SR 544, Winter Haven, FL</t>
  </si>
  <si>
    <t>Blanton</t>
  </si>
  <si>
    <t>3 1/2 mile NW of Dade City - Spring Valley Road, Dade City, FL</t>
  </si>
  <si>
    <t>BLOOMINGDALE</t>
  </si>
  <si>
    <t>939 Bloomingdale Avenue, Brandon, FL  33511</t>
  </si>
  <si>
    <t>N 27.893317, W82.269687</t>
  </si>
  <si>
    <t>BOYSCOUT</t>
  </si>
  <si>
    <t>1901 North Hesperides Street, Tampa, FL  33607</t>
  </si>
  <si>
    <t>N 27.959196,W 82.519566</t>
  </si>
  <si>
    <t>BRANDON</t>
  </si>
  <si>
    <t>535 Wilbur Street, Tampa, FL  33610</t>
  </si>
  <si>
    <t>N 27.93614, W 82.278095</t>
  </si>
  <si>
    <t>BUCKHORN</t>
  </si>
  <si>
    <t>6061 Watson Road, Riverview, FL 33569</t>
  </si>
  <si>
    <t>N 27.891841, W 82.310734</t>
  </si>
  <si>
    <t>Caloosa</t>
  </si>
  <si>
    <t>14706 S. Hwy 301 (2.4 mi S/Big Bend Rd.), Wimauma, FL 33598</t>
  </si>
  <si>
    <t>CARROLLWOOD VILLAGE</t>
  </si>
  <si>
    <t>13055 Delwood Road, Tampa, FL  33624</t>
  </si>
  <si>
    <t>N 28.06974,W 82.525577</t>
  </si>
  <si>
    <t>CASEY ROAD</t>
  </si>
  <si>
    <t>11303 Casey Road, Tampa, FL  33609</t>
  </si>
  <si>
    <t>N 28.085302, W 82.517814</t>
  </si>
  <si>
    <t>Causeway</t>
  </si>
  <si>
    <t>10321 Tuscany Ridge Dr, Tampa, FL 33619</t>
  </si>
  <si>
    <t>Clarkwild</t>
  </si>
  <si>
    <t>11702 Jackson Rd, Thonotosassa, FL 33592</t>
  </si>
  <si>
    <t>COOLIDGE</t>
  </si>
  <si>
    <t>4315 Henry Avenue, Tampa, FL  33604</t>
  </si>
  <si>
    <t>N 28.000233,W 82.516876</t>
  </si>
  <si>
    <t>Coronet</t>
  </si>
  <si>
    <t>2100 Clemons Rd , Plant City, FL 33566</t>
  </si>
  <si>
    <t>CROSS CREEK SUBSTATION</t>
  </si>
  <si>
    <t>10910 Cross Creek Blvd, Tampa, FL 33647</t>
  </si>
  <si>
    <t>N 28.147541,W 82.284701</t>
  </si>
  <si>
    <t>Cypress Gardens</t>
  </si>
  <si>
    <t>1/4 mile south of SR 540 on Register Rd, Winter Haven, FL</t>
  </si>
  <si>
    <t>CYPRESS STREET</t>
  </si>
  <si>
    <t>5128 Cypress Street, Tampa, FL  33635</t>
  </si>
  <si>
    <t>N 27.952072,W 82.531689</t>
  </si>
  <si>
    <t>Dairy Road</t>
  </si>
  <si>
    <t>West side of Dairy Rd, 1/2 mile north of Bridgers Ave, .9 north of SR 600, Auburndale, FL</t>
  </si>
  <si>
    <t>DEL WEBB</t>
  </si>
  <si>
    <t>3916 Sun City Center, Sun City, FL 33573</t>
  </si>
  <si>
    <t>N 27.71355, W 82.367949</t>
  </si>
  <si>
    <t>DESALT PLANT SUB</t>
  </si>
  <si>
    <t>N 27.797243,W 82.39568</t>
  </si>
  <si>
    <t>DOUBLE BRANCH</t>
  </si>
  <si>
    <t>Douglas Street &amp; Race Track Road SW Corner, Oldsmar, FL</t>
  </si>
  <si>
    <t>N 28.041195, W 82.649202</t>
  </si>
  <si>
    <t>East Bay</t>
  </si>
  <si>
    <t>7576 Old Big Bend Rd, Gibsonton, FL 33534</t>
  </si>
  <si>
    <t>EAST WINTER HAVEN</t>
  </si>
  <si>
    <t>225 Avenue E SW, Winter Haven, FL 33880</t>
  </si>
  <si>
    <t>EHRLICH ROAD</t>
  </si>
  <si>
    <t>4401 Ehrlich Road, Tampa, FL  33624</t>
  </si>
  <si>
    <t>N 28.085132, W 82.519786</t>
  </si>
  <si>
    <t>EL PRADO</t>
  </si>
  <si>
    <t>4222 West El Prado Blvd, Tampa, FL  33614</t>
  </si>
  <si>
    <t>N 27.911321, W 82.515831</t>
  </si>
  <si>
    <t>Estuary</t>
  </si>
  <si>
    <t>1101 E. Washington, Tampa, FL 33602</t>
  </si>
  <si>
    <t>Fairgrounds</t>
  </si>
  <si>
    <t>4343 N. US Hwy 301, Tampa, FL 33610</t>
  </si>
  <si>
    <t>FERN STREET</t>
  </si>
  <si>
    <t>516 East Fern Street, Tampa, FL  33612</t>
  </si>
  <si>
    <t>N 28.005084,W 82.453491</t>
  </si>
  <si>
    <t>FIFTY SIXTH STREET</t>
  </si>
  <si>
    <t>5601v N 56th st, Tampa, FL  33610</t>
  </si>
  <si>
    <t>N 27.999632,W 82.392734</t>
  </si>
  <si>
    <t>FIRST STREET</t>
  </si>
  <si>
    <t>97 NW 19th Avenue, Ruskin, FL  33570</t>
  </si>
  <si>
    <t>N 27.735672, W 82.434776</t>
  </si>
  <si>
    <t>FLORIDA AVE</t>
  </si>
  <si>
    <t>11525 Florida Avenue, Tampa, FL 33618</t>
  </si>
  <si>
    <t>N 28.095009,N 82.460557</t>
  </si>
  <si>
    <t>FORT KING HIGHWAY</t>
  </si>
  <si>
    <t>Fort King Hwy &amp; Roberts Road, Tampa, FL  33602</t>
  </si>
  <si>
    <t>N 28.058604,W 82.655377</t>
  </si>
  <si>
    <t>FORTY SIXTH STREET</t>
  </si>
  <si>
    <t>11336 North 46th Street, Tampa, FL  33612</t>
  </si>
  <si>
    <t>N 28.05218, W 82.410424</t>
  </si>
  <si>
    <t>Fourteenth Street</t>
  </si>
  <si>
    <t>3302 N. RePublica De Cuba,Tampa, FL 33605</t>
  </si>
  <si>
    <t>FOWLER AVENUE</t>
  </si>
  <si>
    <t>5900 Grandville Drive, Tampa, FL  33612</t>
  </si>
  <si>
    <t>N 27.891802, W 82.310767</t>
  </si>
  <si>
    <t>Gallagher Road</t>
  </si>
  <si>
    <t>2922 N. Gallagher Rd, Dover, FL 33527</t>
  </si>
  <si>
    <t>GATX</t>
  </si>
  <si>
    <t>GATX Drive E. of Maritime, Tampa, FL 33605</t>
  </si>
  <si>
    <t>GEORGE ROAD</t>
  </si>
  <si>
    <t>5103 North Road, Tampa, FL  33617</t>
  </si>
  <si>
    <t>N 28.048117,W 82.359087</t>
  </si>
  <si>
    <t>Gibsonton</t>
  </si>
  <si>
    <t>7737 Nundy Ave, Gibsonton, FL 33534</t>
  </si>
  <si>
    <t>Gordonville</t>
  </si>
  <si>
    <t>On Old Bartow Rd, 1/4 mile north of SR 555, 3 miles southwest of Eagle Lake, 3 miles northeast of Bartow, Bartow, FL</t>
  </si>
  <si>
    <t>GRANADA</t>
  </si>
  <si>
    <t>3008 West Granada, Tampa, FL  33609</t>
  </si>
  <si>
    <t>N 27.920606,W 82.493154</t>
  </si>
  <si>
    <t>GRAY STREET</t>
  </si>
  <si>
    <t>502 North Manhattan, Tampa, FL  33606</t>
  </si>
  <si>
    <t>N 27.949032, W 82.518356</t>
  </si>
  <si>
    <t>GTE Collier</t>
  </si>
  <si>
    <t>13117 Hollow Stump Rd.</t>
  </si>
  <si>
    <t>Gulf City</t>
  </si>
  <si>
    <t xml:space="preserve">3009 Universal Dr. </t>
  </si>
  <si>
    <t xml:space="preserve"> 27°41'3.66"N,  82°28'13.93"W</t>
  </si>
  <si>
    <t>HABANA AVENUE</t>
  </si>
  <si>
    <t>2901 West Giddens, Tampa, FL  33614</t>
  </si>
  <si>
    <t>N 27.995648,W 82.488974</t>
  </si>
  <si>
    <t>HARBOR ISLAND</t>
  </si>
  <si>
    <t>902 Beneficial Blvd, Tampa, FL  33602</t>
  </si>
  <si>
    <t>N 27.935309, W 82.449437</t>
  </si>
  <si>
    <t>HARNEY ROAD</t>
  </si>
  <si>
    <t>7940 Harney Road, Tampa, FL  33637</t>
  </si>
  <si>
    <t>N 28.026765,W 82.362437</t>
  </si>
  <si>
    <t>HENDERSON ROAD</t>
  </si>
  <si>
    <t>6021 Gunn Hwy, Tampa, FL  33603</t>
  </si>
  <si>
    <t>N 28.064084, W 82.549231</t>
  </si>
  <si>
    <t>HOPEWELL</t>
  </si>
  <si>
    <t>920 Old Hopewell Road, Mulberry, FL  33860</t>
  </si>
  <si>
    <t>N 27.928364,W 82.106019</t>
  </si>
  <si>
    <t>HYDE PARK</t>
  </si>
  <si>
    <t>1901 West Deleon Street, Tampa, FL  33606</t>
  </si>
  <si>
    <t>N 27.93895,W 82.479187</t>
  </si>
  <si>
    <t>IMC Bucket Yard</t>
  </si>
  <si>
    <t>W/Si. SR 37 2 miles south of SR 674, Polk County</t>
  </si>
  <si>
    <t>Imperial Lakes</t>
  </si>
  <si>
    <t>1 1/2 mile north of SR 60, 2 miles west of SR 37, 1 mile south of Shepard Rd, Mulberry, FL 33860</t>
  </si>
  <si>
    <t>Indian Creek</t>
  </si>
  <si>
    <t>1010 Gall Blvd, Zephyrhills  FL 33540</t>
  </si>
  <si>
    <t>INTERBAY SUBSTATION</t>
  </si>
  <si>
    <t>7750 Interbay Blvd Tampa FL 33616</t>
  </si>
  <si>
    <t>Ivy</t>
  </si>
  <si>
    <t>3117 W.  Ivy St, Tampa, FL 33607</t>
  </si>
  <si>
    <t>JD Page</t>
  </si>
  <si>
    <t>1155 S. County Line Road, Plant City, FL 33566</t>
  </si>
  <si>
    <t>JAN PHYL</t>
  </si>
  <si>
    <t>Spirit Lake Road, Auburndale, FL  33823</t>
  </si>
  <si>
    <t>N 28.020533,W 81.776625</t>
  </si>
  <si>
    <t>KEYSTONE</t>
  </si>
  <si>
    <t>16315 Race Track Road, Odessa, FL 33556</t>
  </si>
  <si>
    <t>N 28.099623,W 82.591891</t>
  </si>
  <si>
    <t xml:space="preserve">Kirkland </t>
  </si>
  <si>
    <t>13244 Glen Harwell, Dover, FL 33527</t>
  </si>
  <si>
    <t>Knights</t>
  </si>
  <si>
    <t>3545 Keene Rd, Plant City, FL 33565</t>
  </si>
  <si>
    <t>LAKE ALFRED</t>
  </si>
  <si>
    <t>Cumming Street &amp; Buena Vista Drive, Tampa, FL  33602</t>
  </si>
  <si>
    <t>N 28.087722, W 81.731394</t>
  </si>
  <si>
    <t>LAKE GUM</t>
  </si>
  <si>
    <t>State Road 557,Lake Alfred, FL  33850</t>
  </si>
  <si>
    <t>N 28.114122, W 81.730653</t>
  </si>
  <si>
    <t>LAKE JULIANNA</t>
  </si>
  <si>
    <t>1-1/4 Miles East of SR 655, Auburndale, FL  33823</t>
  </si>
  <si>
    <t>N 28.046498,W 81.787068</t>
  </si>
  <si>
    <t>LAKE MAGDALENE</t>
  </si>
  <si>
    <t>2606 Smitter Road, Tampa, FL  33618</t>
  </si>
  <si>
    <t>N 28.084196, W 82.487441</t>
  </si>
  <si>
    <t>Lake Region</t>
  </si>
  <si>
    <t>South side of Dundee Rd, 1 1/4 mile east of Winter Haven city limits, Winter Haven, FL</t>
  </si>
  <si>
    <t>Lake Ruby</t>
  </si>
  <si>
    <t>On SR 540 (Cypress Gardens Blvd) 1 1/2 mile east of Cypress Gardens, Winter Haven, FL</t>
  </si>
  <si>
    <t>LAKE WINTERSET</t>
  </si>
  <si>
    <t>1-1/2 Miles East of Hwy 655 on Eagle Lake Loop Road, Auburndale, FL  33823</t>
  </si>
  <si>
    <t>N 27.967157, W 81.697206</t>
  </si>
  <si>
    <t>LAKEWOOD</t>
  </si>
  <si>
    <t>207 Lakewood Drive, Brandon, FL  33510</t>
  </si>
  <si>
    <t>N 27.940785, W 82.309892</t>
  </si>
  <si>
    <t>LOIS AVENUE</t>
  </si>
  <si>
    <t>2408 South Lois Avenue, Tampa, FL  33629</t>
  </si>
  <si>
    <t>N 27.923292, W 82.513491</t>
  </si>
  <si>
    <t>LUCERNE PARK</t>
  </si>
  <si>
    <t>4 Miles NE of US Hwy 17 &amp; SR 544, Lake Wales, FL  34936</t>
  </si>
  <si>
    <t>N 28.106291, W 81.621443</t>
  </si>
  <si>
    <t>MACDILL AVENUE</t>
  </si>
  <si>
    <t>6918 South Macdill Avenue, Tampa, FL  33609</t>
  </si>
  <si>
    <t>N 27.864853,W 82.493535</t>
  </si>
  <si>
    <t>Madison</t>
  </si>
  <si>
    <t>7613 52nd Avenue, S., Tampa, FL 33619</t>
  </si>
  <si>
    <t>MANHATTAN</t>
  </si>
  <si>
    <t>5102 Manhattan Avenue, Tampa, FL  33609</t>
  </si>
  <si>
    <t>N 27.890393,W 82.517924</t>
  </si>
  <si>
    <t>MARION STREET</t>
  </si>
  <si>
    <t>1502 North Marion Street, Tampa, FL  33621</t>
  </si>
  <si>
    <t>N 27.957888,W 82.459133</t>
  </si>
  <si>
    <t>MARITIME</t>
  </si>
  <si>
    <t>1302 Mcclosky Blvd, Tampa, FL  33605</t>
  </si>
  <si>
    <t>N 27.925396,W 82.441548</t>
  </si>
  <si>
    <t>Massaro</t>
  </si>
  <si>
    <t>1484 Massaro Bl, Tampa, FL 33619</t>
  </si>
  <si>
    <t>MATANZAS</t>
  </si>
  <si>
    <t>512 South Matanzas Avenue, Tampa, FL  33609</t>
  </si>
  <si>
    <t>N 27.939464,W 82.495136</t>
  </si>
  <si>
    <t>McFarland</t>
  </si>
  <si>
    <t>715 E. 131st Ave, Tampa, FL 33612</t>
  </si>
  <si>
    <t>MCKINLEY</t>
  </si>
  <si>
    <t>NW Corner of Mckinley Drive &amp; Bougainvillea Avenue, Tampa, FL  33618</t>
  </si>
  <si>
    <t>N 28.044108,W 82.419651</t>
  </si>
  <si>
    <t>MEADOW PARK</t>
  </si>
  <si>
    <t>1120 Memorial Hwy, Tampa, FL  33635</t>
  </si>
  <si>
    <t>N 28.00094, W 82.582609</t>
  </si>
  <si>
    <t>MILLER MAC</t>
  </si>
  <si>
    <t>310 Miller Mac Road, Tampa, FL  33601</t>
  </si>
  <si>
    <t>N 27.763164, W 82.401522</t>
  </si>
  <si>
    <t>Minute Maid</t>
  </si>
  <si>
    <t>Corner of Derby Ave &amp; McKean St, south of Auburndale, Auburndale, FL</t>
  </si>
  <si>
    <t>National Gypsum</t>
  </si>
  <si>
    <t>12949 S. Hwy 41, Gibsonton, FL 33534</t>
  </si>
  <si>
    <t>ORIENT PARK</t>
  </si>
  <si>
    <t>Miener Avenue, Between Missouri &amp; 75th, Tampa, FL  33602</t>
  </si>
  <si>
    <t>N 27.96796, W 82.371985</t>
  </si>
  <si>
    <t>PAGLAN RD. SUBSTATION</t>
  </si>
  <si>
    <t xml:space="preserve">Paglan Road 1/2 Miles North of Sheldon, Tampa, FL </t>
  </si>
  <si>
    <t>N 28.040286,W 82.591401</t>
  </si>
  <si>
    <t>PATTERSON ROAD</t>
  </si>
  <si>
    <t>6004 Waters Avenue, Tampa, FL  33624</t>
  </si>
  <si>
    <t>N 28.025311, W 82.545339</t>
  </si>
  <si>
    <t xml:space="preserve">Peach Avenue </t>
  </si>
  <si>
    <t>12003 E Hwy 92, Seffner, Fl 33584</t>
  </si>
  <si>
    <t>PEARSON ROAD</t>
  </si>
  <si>
    <t>3302 Pearson Road, Tampa, FL  33602</t>
  </si>
  <si>
    <t>N 27.895345,W 82.228385</t>
  </si>
  <si>
    <t>PEBBLE CREEK</t>
  </si>
  <si>
    <t xml:space="preserve">Bruce B. Downs, Tampa, FL </t>
  </si>
  <si>
    <t>N 28.152816,W 82.354159</t>
  </si>
  <si>
    <t>PINE LAKE</t>
  </si>
  <si>
    <t>2012 Pine Lake Drive, Tampa, FL  33612</t>
  </si>
  <si>
    <t>N 28.058104,W 82.479332</t>
  </si>
  <si>
    <t>Pinecrest</t>
  </si>
  <si>
    <t>10718 S. County Road 39, Lithia, FL 33547</t>
  </si>
  <si>
    <t>PLANT AVENUE</t>
  </si>
  <si>
    <t>215 South Plant Avenue, Tampa, FL  33606</t>
  </si>
  <si>
    <t>N 27.943832, W 82.463106</t>
  </si>
  <si>
    <t>PLANT CITY</t>
  </si>
  <si>
    <t>403 East Himes, Plant City, FL  33566</t>
  </si>
  <si>
    <t>N 27.95471, W 82.502035</t>
  </si>
  <si>
    <t>PLYMOUTH</t>
  </si>
  <si>
    <t>Plymouth &amp; Woodrow, Tampa, FL  33603</t>
  </si>
  <si>
    <t>N 27.973088,W 82.466539</t>
  </si>
  <si>
    <t>Polk City</t>
  </si>
  <si>
    <t>425 Commonwealth Avenue SW, Polk City, FL 33868</t>
  </si>
  <si>
    <t>Polk Power Construction</t>
  </si>
  <si>
    <t>East side of SR 37, east of Bethlehem Rd, Bradley Junction, FL 33835</t>
  </si>
  <si>
    <t>Port Sutton</t>
  </si>
  <si>
    <t>5103 Santa Fe Rd, Tampa, FL 33619</t>
  </si>
  <si>
    <t>PROVIDENCE ROAD</t>
  </si>
  <si>
    <t>11448 Causeway Blvd, Tampa, FL  33602</t>
  </si>
  <si>
    <t>N 27.943661,W 82.341644</t>
  </si>
  <si>
    <t>Rhodine Road</t>
  </si>
  <si>
    <t>12304 Balm Riverview Rd, Riverview, FL 33579</t>
  </si>
  <si>
    <t>RIVERVIEW</t>
  </si>
  <si>
    <t>NW Corner Leonard Avenue &amp; Mcmullin Road, Tampa, FL  33602</t>
  </si>
  <si>
    <t>N 27.846668,W 82.302811</t>
  </si>
  <si>
    <t>Rockport #1</t>
  </si>
  <si>
    <t>3703 Causeway Blvd, Tampa, FL 33619</t>
  </si>
  <si>
    <t>Rockport #2</t>
  </si>
  <si>
    <t>3701 Causeway Blvd, Tampa, FL 33619</t>
  </si>
  <si>
    <t>Rockport #3</t>
  </si>
  <si>
    <t>2893 Rockport Road, Tampa, FL 33619</t>
  </si>
  <si>
    <t>ROCKY CREEK</t>
  </si>
  <si>
    <t>8331 Waters Avenue, Tampa, FL  33615</t>
  </si>
  <si>
    <t>N 28.025435, W 82.582313</t>
  </si>
  <si>
    <t>Rome</t>
  </si>
  <si>
    <t>1007 N. Rome Ave, Tampa, FL 33607</t>
  </si>
  <si>
    <t>SAINT CLOUD</t>
  </si>
  <si>
    <t>202 North Saint Cloud Avenue, Valrico, FL  33594</t>
  </si>
  <si>
    <t>N 27.939782,W 82.236807</t>
  </si>
  <si>
    <t>San Antonio</t>
  </si>
  <si>
    <t>On SR 52 &amp; St Mary St, 2 blocks east of SR 577, San Antonio, FL 33576</t>
  </si>
  <si>
    <t>Seneca Street</t>
  </si>
  <si>
    <t>10620 N. Nebraska Ave, Tampa, FL 33612</t>
  </si>
  <si>
    <t>Seventy Eigth Street</t>
  </si>
  <si>
    <t>1411 S. 78th St, Tampa, FL 33619</t>
  </si>
  <si>
    <t>Silver Dollar</t>
  </si>
  <si>
    <t>16561 Patterson Road, Odessa, FL 33556</t>
  </si>
  <si>
    <t>SKYWAY</t>
  </si>
  <si>
    <t>4001 George Road, Tampa, FL  33634</t>
  </si>
  <si>
    <t>N 27.977132, W 82.550224</t>
  </si>
  <si>
    <t>SOUTH SEFFNER</t>
  </si>
  <si>
    <t>2502 Kingsway Road, Seffner, FL 33584</t>
  </si>
  <si>
    <t>N 27.972893,W 82.277409</t>
  </si>
  <si>
    <t>Stadium</t>
  </si>
  <si>
    <t>3398 W. Ohio Ave, Tampa, FL 33607</t>
  </si>
  <si>
    <t>STATE ROAD 574</t>
  </si>
  <si>
    <t>9818 East Broadway Avenue, Tampa, FL  33602</t>
  </si>
  <si>
    <t>N 27.972989, W 82.337589</t>
  </si>
  <si>
    <t>Sun City</t>
  </si>
  <si>
    <t>5011 SR 674, Wimauma, FL 33598</t>
  </si>
  <si>
    <t>SUNLAKE</t>
  </si>
  <si>
    <t>18948 North Dale Mabry Hwy, Tampa, FL  33624</t>
  </si>
  <si>
    <t>N 28.152759,W 82.491547</t>
  </si>
  <si>
    <t>Sunset Lane</t>
  </si>
  <si>
    <t>110 Sunset Ln, Lutz, FL 33549</t>
  </si>
  <si>
    <t>SYDNEY ROAD</t>
  </si>
  <si>
    <t>2 Miles South &amp; 2 Miles West of Downtown Plant City, Plant City, FL  33566</t>
  </si>
  <si>
    <t>N 27.991455,W 82.162918</t>
  </si>
  <si>
    <t>TAMPA BAY BOULEVARD</t>
  </si>
  <si>
    <t>2 Blocks West of Dale Mabry, 200 ft. South Tampa Bay, Tampa, FL  33614</t>
  </si>
  <si>
    <t>N 27.973251,W 82.508998</t>
  </si>
  <si>
    <t>TAMPA PALMS</t>
  </si>
  <si>
    <t>16199 Bruce B. Downs, Tampa, FL  33612</t>
  </si>
  <si>
    <t>N 28.104411,W 82.390922</t>
  </si>
  <si>
    <t>TEMPLE TERRACE</t>
  </si>
  <si>
    <t>5351 East Busch Blvd, Tampa, FL  33612</t>
  </si>
  <si>
    <t>N 28.03227, W 82.395182</t>
  </si>
  <si>
    <t>Terrace</t>
  </si>
  <si>
    <t>203 E. Terrace Dr, Plant City, FL 33563</t>
  </si>
  <si>
    <t>Third Avenue</t>
  </si>
  <si>
    <t>1401 E. 4th Ave, Tampa, FL 33605</t>
  </si>
  <si>
    <t>Thirtieth Street</t>
  </si>
  <si>
    <t>2920 E. Hanna Ave, Tampa, FL 33610</t>
  </si>
  <si>
    <t>TROUT CREEK</t>
  </si>
  <si>
    <t>4.5 Miles North of I-75, 1/4 Mile South Williamsburg Drive, Dade County, FL  33525</t>
  </si>
  <si>
    <t>N 28.179962,W 82.35285</t>
  </si>
  <si>
    <t>TURKEY FORD</t>
  </si>
  <si>
    <t>17530 Old Tobacco Road, Tampa, FL  33549</t>
  </si>
  <si>
    <t>N 28.127158,W 82.542201</t>
  </si>
  <si>
    <t>Twelfth Avenue</t>
  </si>
  <si>
    <t>4908 12th Ave South, Tampa, FL 33619</t>
  </si>
  <si>
    <t>TWENTY-SEVENTH STREET</t>
  </si>
  <si>
    <t>13120 North 27th Street, Tampa, FL  33612</t>
  </si>
  <si>
    <t>N 28.066826,W 82.430034</t>
  </si>
  <si>
    <t>UNIVERSITY OF SOUTH FLORIDA</t>
  </si>
  <si>
    <t>Fletcher Avemue &amp; 30th Street, Tampa, FL  33637</t>
  </si>
  <si>
    <t>N 28.066823,W 82.430033</t>
  </si>
  <si>
    <t>USS Agri-Chemical</t>
  </si>
  <si>
    <t>WASHINGTON STREET</t>
  </si>
  <si>
    <t>708 East Washingston Street, Tampa, FL  33602</t>
  </si>
  <si>
    <t>N 27.947822, W 82.453538</t>
  </si>
  <si>
    <t>WATERS AVENUE</t>
  </si>
  <si>
    <t>4406 Waters Avenue, Tampa, FL  33604</t>
  </si>
  <si>
    <t>N 28.02515, W 82.518017</t>
  </si>
  <si>
    <t>Wayne Road</t>
  </si>
  <si>
    <t>18002 Gunn Hwy, Odessa, FL 33556</t>
  </si>
  <si>
    <t>WESTCHASE</t>
  </si>
  <si>
    <t>Countryway Blvd, 1-1/4 Miles North of Linebaugh Avenue, Odessa, FL 33556</t>
  </si>
  <si>
    <t>N 28.062566,W 82.618864</t>
  </si>
  <si>
    <t>Wilson</t>
  </si>
  <si>
    <t>2300 Strawberry Dr, Plant City, FL 33563</t>
  </si>
  <si>
    <t>WOODBERRY</t>
  </si>
  <si>
    <t>1 Mile East of Intersection Hwy 301 &amp; SR 60, Brandon, FL</t>
  </si>
  <si>
    <t>N 27.943689,W 82.341655</t>
  </si>
  <si>
    <t>WOODLANDS</t>
  </si>
  <si>
    <t>Curlew Road, Tampa, FL  33602</t>
  </si>
  <si>
    <t>N 28.054387,W 82.724065</t>
  </si>
  <si>
    <t>YUKON</t>
  </si>
  <si>
    <t>1426 Eeat Yukon Street, Tampa, FL  33612</t>
  </si>
  <si>
    <t>N 28.029242,W 82.443372</t>
  </si>
  <si>
    <t>David B. Evans(Training Ctr)</t>
  </si>
  <si>
    <t>82nd St &amp; Palm River Rd, east side of Training Skills Center, Tampa, FL 33619</t>
  </si>
  <si>
    <t>DISTRIBUTION SUBSTATIONS TOTAL:</t>
  </si>
  <si>
    <t>GENERAL STRUCTURES &amp; EQUIPMENT</t>
  </si>
  <si>
    <t>TECO PLAZA</t>
  </si>
  <si>
    <t>702 N. Franklin Street, Tampa, FL  33602</t>
  </si>
  <si>
    <t>N 27.571  W 82.273</t>
  </si>
  <si>
    <t>YBOR DATA CENTER</t>
  </si>
  <si>
    <t>1898 Nuccio Pkwy, Tampa, FL  33602</t>
  </si>
  <si>
    <t>N 27.5739   W 82.2652</t>
  </si>
  <si>
    <t>TAMPA CENTRAL OPERATIONS CENTER</t>
  </si>
  <si>
    <t>2405 East Sligh Avenue, Tampa, FL  33610</t>
  </si>
  <si>
    <t>N 28.0043   W 82.2557</t>
  </si>
  <si>
    <t>TAMPA CENTRAL OPERATIONS CENTER - VEHICLES</t>
  </si>
  <si>
    <t>TAMPA EAST</t>
  </si>
  <si>
    <t>820 South 78th Street, Tampa, FL  33619</t>
  </si>
  <si>
    <t xml:space="preserve">N 27.5632   W 82.223 </t>
  </si>
  <si>
    <t>TAMPA EAST - VEHICLES</t>
  </si>
  <si>
    <t>TAMPA WEST</t>
  </si>
  <si>
    <t>5402 West Sligh Avenue, Tampa, FL  33634</t>
  </si>
  <si>
    <t>N 28.009819, W 82.534428</t>
  </si>
  <si>
    <t>TAMPA WEST - VEHICLES</t>
  </si>
  <si>
    <t>PLANT CITY OPERATIONS CENTER</t>
  </si>
  <si>
    <t>1308 West Grant Street, Plant City, FL  33566</t>
  </si>
  <si>
    <t>N 28.00441, W 82.136391</t>
  </si>
  <si>
    <t>PLANT CITY OPERATIONS CENTER - VEHICLES</t>
  </si>
  <si>
    <t>DADE CITY OPR CTR</t>
  </si>
  <si>
    <t>14520 5th Street, Dade City, FL  33525</t>
  </si>
  <si>
    <t>N 28.369152,W 82.187219</t>
  </si>
  <si>
    <t>SOUTH HILLSBOROUGH OPR CTR</t>
  </si>
  <si>
    <t>223 TECO Road, Ruskin, FL  33570</t>
  </si>
  <si>
    <t>N 27.718234,W 82.386842</t>
  </si>
  <si>
    <t>SOUTH HILLSBOROUGH OPR CTR - VEHICLES</t>
  </si>
  <si>
    <t>PLANT CITY DIVISION OFFICE</t>
  </si>
  <si>
    <t>405 West Haines Street, Plant City, FL  33566</t>
  </si>
  <si>
    <t>N 28.013647, W 82.125588</t>
  </si>
  <si>
    <t>ENERGY CONTROL CENTER</t>
  </si>
  <si>
    <t>8030 Palm River Road, Tampa, FL  33619</t>
  </si>
  <si>
    <t>N 27.5630   W 82.2154</t>
  </si>
  <si>
    <t>WINTER HAVEN OPERATIONS CENTER</t>
  </si>
  <si>
    <t>1770 6th Street NW, Winter Haven, FL 33881</t>
  </si>
  <si>
    <t>N 28.041164, W 81.73204</t>
  </si>
  <si>
    <t>WINTER HAVEN OPERATIONS CENTER - VEHICLES</t>
  </si>
  <si>
    <t>METER BUILDING</t>
  </si>
  <si>
    <t>2405 Eeat Sligh Avenue, Tampa, FL  33610</t>
  </si>
  <si>
    <t>N 28.010209, W 82.431722</t>
  </si>
  <si>
    <t>KATHLEEN</t>
  </si>
  <si>
    <t>3/4 Mile South of Knights Griffin Road, Plant City, FL  33566</t>
  </si>
  <si>
    <t>N 28.073962, W 82.154108</t>
  </si>
  <si>
    <t>DISASTER RECOVERY CENTER</t>
  </si>
  <si>
    <t>16181 Commonwealth Avenue North, Polk City, FL 33868</t>
  </si>
  <si>
    <t>N 28.294067,W 81.834902</t>
  </si>
  <si>
    <t>22ND STREET CAUSEWAY</t>
  </si>
  <si>
    <t>5010 &amp; 5012 Causeway Blvd, Tampa, FL 33619</t>
  </si>
  <si>
    <t>N 27.923374,W 82.400401</t>
  </si>
  <si>
    <t>MANATEE VIEWING</t>
  </si>
  <si>
    <t>6990 Dickman Road, Apollo Beach, FL 33572</t>
  </si>
  <si>
    <t>N 27.792415,W 82.401071</t>
  </si>
  <si>
    <t>MINOR MISC LOCATIONS</t>
  </si>
  <si>
    <t>Misc. Unnamed Locations</t>
  </si>
  <si>
    <t xml:space="preserve">Boat House </t>
  </si>
  <si>
    <t>Clean Energy Building</t>
  </si>
  <si>
    <t>321 Noonan Branch Road, Apollo Beach, FL 33572</t>
  </si>
  <si>
    <t>N 27. 786300,  W 82. 401960</t>
  </si>
  <si>
    <t xml:space="preserve">New Storage / Warehouse Polk </t>
  </si>
  <si>
    <t>New Storage / Warehouse Hillsborough</t>
  </si>
  <si>
    <t>2709 Highway 60 East, Plant City, FL 33602</t>
  </si>
  <si>
    <t>GENERAL STRUCTURES &amp; EQUIPMENT TOTAL:</t>
  </si>
  <si>
    <t>TAMPA ELECTRIC TOTAL EXCLUDING SOLAR</t>
  </si>
  <si>
    <t>TAMPA ELECTRIC TOTAL SOLAR ONLY</t>
  </si>
  <si>
    <t>Misc. Production - Central Lab &amp; MCS Bldg.</t>
  </si>
  <si>
    <t>Trans. Substations</t>
  </si>
  <si>
    <t>Distri. Substations</t>
  </si>
  <si>
    <t>General Structures</t>
  </si>
  <si>
    <t>Solar Facilities</t>
  </si>
  <si>
    <t>Production (Steam), excludes Solar</t>
  </si>
  <si>
    <t>Solar Only Property Insurance Allocation</t>
  </si>
  <si>
    <t>FUNCTIONALIZATION &amp; CLASSIFICATION OF PROPERTY INSURANCE EXPENSE ($000)</t>
  </si>
  <si>
    <t xml:space="preserve">(1)  G/L PROPERTY INSURANCE EXPENSE </t>
  </si>
  <si>
    <t>ACCOUNT NUMBER</t>
  </si>
  <si>
    <t>INSURANCE TYPE</t>
  </si>
  <si>
    <t>FUNCTIONAL</t>
  </si>
  <si>
    <t>COST (000's)</t>
  </si>
  <si>
    <t>924 (excl Storm Accrual)</t>
  </si>
  <si>
    <t>T&amp;D PROPERTY</t>
  </si>
  <si>
    <t>TRANS. &amp; DISTRI.</t>
  </si>
  <si>
    <t>(2)  FUNCTIONALIZATION OF ACCT 924.00 BASED ON STORM RESERVE, COVERED ASSETS</t>
  </si>
  <si>
    <t>Gross Plant</t>
  </si>
  <si>
    <t>Risk Management Provides</t>
  </si>
  <si>
    <t>T&amp;D Only</t>
  </si>
  <si>
    <t>Functional Storm Accrual Split</t>
  </si>
  <si>
    <t>STORM RESERVE</t>
  </si>
  <si>
    <t>Based on Property Insurance</t>
  </si>
  <si>
    <t>Production, includes solar</t>
  </si>
  <si>
    <t>(not property values as above)</t>
  </si>
  <si>
    <t>(3)  FUNCTIONALIZATION OF GENERAL INSURANCE BASED ON PROP. INSURANCE VALUES</t>
  </si>
  <si>
    <t>Values</t>
  </si>
  <si>
    <t>%'s</t>
  </si>
  <si>
    <t>GENERAL PROPERTY INSURANCE</t>
  </si>
  <si>
    <t>(4)  SUM OF TOTAL INSURANCE, FUNCTIONALIZATION</t>
  </si>
  <si>
    <t>FUNCTIONALIZATION &amp; CLASSIFICATION OF TAXES OTHER THAN INCOME ($000)</t>
  </si>
  <si>
    <t>(1)  TAXES OTHER THAN INCOME BY CATEGORY</t>
  </si>
  <si>
    <t>ADJUSTED COST</t>
  </si>
  <si>
    <t>PAYROLL TAXES, includes solar</t>
  </si>
  <si>
    <t>PROPERTY TAXES</t>
  </si>
  <si>
    <t>MISC TAXES</t>
  </si>
  <si>
    <t>REGULATORY FEE</t>
  </si>
  <si>
    <t>REVENUE TAXES</t>
  </si>
  <si>
    <t>TOTAL, includes solar</t>
  </si>
  <si>
    <t>(2)  FUNCTIONALIZATION OF PAYROLL TAXES BASED ON LABOR RATIOS</t>
  </si>
  <si>
    <t>PROD-DEMAND, includes solar</t>
  </si>
  <si>
    <t>(3)  FUNCTIONALIZATION OF PROPERTY TAXES BASED ON TOTAL PLANT (PIS + PHFFU)</t>
  </si>
  <si>
    <t>TOTAL PLT %</t>
  </si>
  <si>
    <t>(4)  FUNCTIONALIZATION OF REGULATORY FEE ASSESSMENT BASED ON RATE BASE</t>
  </si>
  <si>
    <t>RATE BASE %</t>
  </si>
  <si>
    <t>REGULATORY ASSESS. FEE</t>
  </si>
  <si>
    <t>(5)  FUNCTIONALIZATION OF OTHER TAXES BASED ON RATE BASE</t>
  </si>
  <si>
    <t>OTHER TAXES</t>
  </si>
  <si>
    <t>(6)  TOTAL FUNCTIONALIZATION &amp; CLASSIFICATION OF TAXES OTHER THAN INCOME</t>
  </si>
  <si>
    <t>TOTAL COST</t>
  </si>
  <si>
    <t>TOTAL TAXES OTHER</t>
  </si>
  <si>
    <t>OUC Acquisition Amoritzation</t>
  </si>
  <si>
    <t>SPPCRC Property Tax</t>
  </si>
  <si>
    <t>Solar O&amp;M Account 548</t>
  </si>
  <si>
    <t>Solar O&amp;M Account 549</t>
  </si>
  <si>
    <t>Solar O&amp;M Account 552</t>
  </si>
  <si>
    <t>Solar O&amp;M Account 553</t>
  </si>
  <si>
    <t>Solar O&amp;M Account 920</t>
  </si>
  <si>
    <t>Solar O&amp;M Account 926</t>
  </si>
  <si>
    <t>Solar A&amp;G Labor Related Account 920</t>
  </si>
  <si>
    <t>Solar A&amp;G Labor Related Account 926</t>
  </si>
  <si>
    <t>Solar A&amp;G Non-Labor Related Account 923</t>
  </si>
  <si>
    <t>FUNCTIONALIZATION &amp; CLASSIFICATION OF INCOME TAXES ITEMS ($000)</t>
  </si>
  <si>
    <t>(1)  INCOME TAXES INPUTS</t>
  </si>
  <si>
    <t>Gain / Loss On Disposition Of Assets</t>
  </si>
  <si>
    <t>Allowed Interest Expense</t>
  </si>
  <si>
    <t>PERMANENT ADJUSTMENTS</t>
  </si>
  <si>
    <t>Depr - AFUDC Equity</t>
  </si>
  <si>
    <t>Club Dues</t>
  </si>
  <si>
    <t>Meals</t>
  </si>
  <si>
    <t>Transportation Fringe</t>
  </si>
  <si>
    <t>TOTAL PERMANENT ADJUSTMENTS</t>
  </si>
  <si>
    <t>TRUE-UPS, ADJUSTMENTS, ITC AND PDA</t>
  </si>
  <si>
    <t>Parent Debt Adjustment (PDA) - Retail Only</t>
  </si>
  <si>
    <t>Surveillance Report, Schedule 2 - Page 2 of 3</t>
  </si>
  <si>
    <t>State Deferred Timing</t>
  </si>
  <si>
    <t>Medicare Part D Amortization-State</t>
  </si>
  <si>
    <t>Federal Timing Items</t>
  </si>
  <si>
    <t>Adjustments to Federal Deferred</t>
  </si>
  <si>
    <t>Medicare Part D Amortization-Fed</t>
  </si>
  <si>
    <t>Federal GBC - R&amp;D</t>
  </si>
  <si>
    <t>TAX WKSHEET: TOTAL TRUE-UPS, ADJUSTMENTS &amp; ITC</t>
  </si>
  <si>
    <t>RETAIL MANUAL BALANCING ADJUSTMENT</t>
  </si>
  <si>
    <t>TOTAL TRUE-UPS, ADJUSTMENTS, ITC, AND PDA (INCLUDING BALANCING)</t>
  </si>
  <si>
    <t>(2)  FUNCTIONALIZATION OF GAIN / LOSS ON DISPOSTION</t>
  </si>
  <si>
    <t>PLANT IN SVC</t>
  </si>
  <si>
    <t>PLT IN SVC %</t>
  </si>
  <si>
    <t>GAIN / LOSS ON DISP</t>
  </si>
  <si>
    <t>(3)  FUNCTIONALIZATION OF INTEREST EXPENSE</t>
  </si>
  <si>
    <t>INTEREST EXPENSE</t>
  </si>
  <si>
    <t>(4)  FUNCTIONALIZATION OF PERMANENT TIMING DIFFERENCES</t>
  </si>
  <si>
    <t>RATE BASE $</t>
  </si>
  <si>
    <t>PERMANENT DIFFERENCES</t>
  </si>
  <si>
    <t>(5)  FUNCTIONALIZATION OF ADJUSTMENTS, TRUE-UPS, ITC, AND PDA TO INCOME TAXES</t>
  </si>
  <si>
    <t>ADJ'S TO INCOME TAXES, TRUE-UPS, ITC, AND PDA*</t>
  </si>
  <si>
    <t>*PDA - Allocated based on retail rate base, excluding wholesale transmission, with all other amounts allocated on rate base</t>
  </si>
  <si>
    <t>Interest Expense Allowed</t>
  </si>
  <si>
    <t>Manual Balancing Adjustment</t>
  </si>
  <si>
    <t>Income Tax Check</t>
  </si>
  <si>
    <t>Book Income - Non- Operating</t>
  </si>
  <si>
    <t>Non</t>
  </si>
  <si>
    <t>Utility</t>
  </si>
  <si>
    <t>Company</t>
  </si>
  <si>
    <t>Book Income</t>
  </si>
  <si>
    <t>Book Income Before Tax</t>
  </si>
  <si>
    <t>Permanent Adjustments:</t>
  </si>
  <si>
    <t>AFUDC Equity</t>
  </si>
  <si>
    <t xml:space="preserve">   T505 AFUDC EQUITY</t>
  </si>
  <si>
    <t>plant</t>
  </si>
  <si>
    <t xml:space="preserve">   T510 AFUDC EQUITY - DEPR</t>
  </si>
  <si>
    <t>Lobbying</t>
  </si>
  <si>
    <t xml:space="preserve">   P220 LOBBYING</t>
  </si>
  <si>
    <t>other</t>
  </si>
  <si>
    <t xml:space="preserve">   P130 CLUB DUES</t>
  </si>
  <si>
    <t xml:space="preserve">   P100  MEALS &amp; ENTERTAINMENT 50%</t>
  </si>
  <si>
    <t>Contributions</t>
  </si>
  <si>
    <t xml:space="preserve">   P200 POLITICAL CONTRIBUTIONS</t>
  </si>
  <si>
    <t xml:space="preserve">   P400 PENALTIES</t>
  </si>
  <si>
    <t>Excessive Salaries</t>
  </si>
  <si>
    <t xml:space="preserve">   P300  SEC 162M - EXCESSIVE SALARIES</t>
  </si>
  <si>
    <t>State Tax True Up</t>
  </si>
  <si>
    <t>Solar ITC</t>
  </si>
  <si>
    <t xml:space="preserve">   T512 SOLAR ITC</t>
  </si>
  <si>
    <t xml:space="preserve">   P155 TRANSPORTATION FRINGE</t>
  </si>
  <si>
    <t>Production Deduction</t>
  </si>
  <si>
    <t>prod</t>
  </si>
  <si>
    <t xml:space="preserve">   P330 STOCK OPTIONS - PERM</t>
  </si>
  <si>
    <t>Adj Income Before Inc Taxes</t>
  </si>
  <si>
    <t>Timing Adjustments:</t>
  </si>
  <si>
    <t xml:space="preserve">   T504 AMORTIZATION FED</t>
  </si>
  <si>
    <t>Capitalized Interest</t>
  </si>
  <si>
    <t xml:space="preserve">   T590 SEC 263A INTEREST CAP</t>
  </si>
  <si>
    <t>CIAC</t>
  </si>
  <si>
    <t xml:space="preserve">   T560 CIAC</t>
  </si>
  <si>
    <t>Cost of Removal</t>
  </si>
  <si>
    <t xml:space="preserve">   T565 COST OF REMOVAL</t>
  </si>
  <si>
    <t>Repairs Capitalized on Books</t>
  </si>
  <si>
    <t xml:space="preserve">   T580 REPAIRS CAPITALIZED ON BOOKS</t>
  </si>
  <si>
    <t>Medical &amp; Life Benefits (FAS 106)</t>
  </si>
  <si>
    <t xml:space="preserve">   T115 FAS 106 - NC</t>
  </si>
  <si>
    <t>Long Term Medical (FAS 112)</t>
  </si>
  <si>
    <t xml:space="preserve">   T120 FAS 112</t>
  </si>
  <si>
    <t>Pension</t>
  </si>
  <si>
    <t xml:space="preserve">   T125 PENSION - NC</t>
  </si>
  <si>
    <t xml:space="preserve">   T205 AMORT - BOND DISCOUNT</t>
  </si>
  <si>
    <t>Vacation</t>
  </si>
  <si>
    <t xml:space="preserve">   T150 VACATION ACCRUAL</t>
  </si>
  <si>
    <t xml:space="preserve">   T210 AMORT - BOND ISSUE COSTS</t>
  </si>
  <si>
    <t>Deferred Compension</t>
  </si>
  <si>
    <t xml:space="preserve">   T110 DEFERRED COMP </t>
  </si>
  <si>
    <t xml:space="preserve">   T215 AMORT - BOND PREMIUM</t>
  </si>
  <si>
    <t>Deferred Fuel &amp; Conservation</t>
  </si>
  <si>
    <t xml:space="preserve">   T270 DEFERRED FUEL</t>
  </si>
  <si>
    <t xml:space="preserve">   T435 DEFERRED INTEREST - BONDS</t>
  </si>
  <si>
    <t xml:space="preserve">   T285 DEFERRED REVENUE</t>
  </si>
  <si>
    <t xml:space="preserve">   T375 RATE CASE EXPENSE - NC</t>
  </si>
  <si>
    <t>Bond Refinancing</t>
  </si>
  <si>
    <t xml:space="preserve">   T280 DEFERRED LEASE - NC</t>
  </si>
  <si>
    <t>SERP</t>
  </si>
  <si>
    <t xml:space="preserve">   T140 SERP - NC</t>
  </si>
  <si>
    <t xml:space="preserve">   T281 DEFERRED LEASE - NONUTILITY</t>
  </si>
  <si>
    <t>Dismantlement Costs</t>
  </si>
  <si>
    <t xml:space="preserve">   T570 DISMANTLEMENT COSTS</t>
  </si>
  <si>
    <t>Deferred Lease</t>
  </si>
  <si>
    <t xml:space="preserve">   T330 INSURANCE RESERVE - NC</t>
  </si>
  <si>
    <t>Lease - ROU Asset</t>
  </si>
  <si>
    <t xml:space="preserve">   T282 LEASE - ROU ASSET - OPER</t>
  </si>
  <si>
    <t>Lease Liability</t>
  </si>
  <si>
    <t xml:space="preserve">   T283 LEASE LIABILITY - OPER</t>
  </si>
  <si>
    <t>Bad Debts</t>
  </si>
  <si>
    <t xml:space="preserve">   T255 BAD DEBT</t>
  </si>
  <si>
    <t xml:space="preserve">   T331 INSURANCE RESERVE - C</t>
  </si>
  <si>
    <t>Insurance Reserve</t>
  </si>
  <si>
    <t>Fiber Optic</t>
  </si>
  <si>
    <t xml:space="preserve">   T320 FIBER OPTIC</t>
  </si>
  <si>
    <t>Rate Refund</t>
  </si>
  <si>
    <t xml:space="preserve">   T380 RATE REFUND</t>
  </si>
  <si>
    <t>Unbilled Storm Protection Plan</t>
  </si>
  <si>
    <t xml:space="preserve">   T575 G/L - SALE OF ASSETS</t>
  </si>
  <si>
    <t>Legal Expense</t>
  </si>
  <si>
    <t xml:space="preserve">   T345 LEGAL EXPENSES</t>
  </si>
  <si>
    <t>Dredging</t>
  </si>
  <si>
    <t xml:space="preserve">   T290 DREDGING</t>
  </si>
  <si>
    <t>Indirect Costs</t>
  </si>
  <si>
    <t xml:space="preserve">   T591 SEC 263A INDIRECT COSTS</t>
  </si>
  <si>
    <t>Currency Adj - Unreal G/L</t>
  </si>
  <si>
    <t xml:space="preserve">   T490 CURRENCY ADJ - UNREAL G/L </t>
  </si>
  <si>
    <t>Restoration Plan</t>
  </si>
  <si>
    <t xml:space="preserve">   T128 RESTORATION PLAN</t>
  </si>
  <si>
    <t>Long Term Incentive</t>
  </si>
  <si>
    <t xml:space="preserve">   T122 LONG TERM INCENTIVE</t>
  </si>
  <si>
    <t xml:space="preserve">   T410 UNBILLED CONSERVATION REV</t>
  </si>
  <si>
    <t>Bonus Accrual</t>
  </si>
  <si>
    <t xml:space="preserve">   T105 ACCRUED BONUS</t>
  </si>
  <si>
    <t xml:space="preserve">   T415 UNBILLED ENVIRONMENTAL REV</t>
  </si>
  <si>
    <t>Accrued Severance</t>
  </si>
  <si>
    <t xml:space="preserve">   T107 ACCRUED SEVERANCE</t>
  </si>
  <si>
    <t>Storm Protection Clause</t>
  </si>
  <si>
    <t xml:space="preserve">   T404 STORM PROTECTION CLAUSE</t>
  </si>
  <si>
    <t>CETM - Clean Energy Trans Mech</t>
  </si>
  <si>
    <t xml:space="preserve">   T562 CETM - CLEAN ENERGY TRANS MECH</t>
  </si>
  <si>
    <t>Interest Expense</t>
  </si>
  <si>
    <t xml:space="preserve">   T335 INTEREST EXPENSE</t>
  </si>
  <si>
    <t>Payroll Tax 4.458%</t>
  </si>
  <si>
    <t xml:space="preserve">   T123 PAYROLL TAX 4.458%</t>
  </si>
  <si>
    <t xml:space="preserve">Payroll Tax </t>
  </si>
  <si>
    <t xml:space="preserve">   T124 PAYROLL TAX</t>
  </si>
  <si>
    <t>401K Performance Match</t>
  </si>
  <si>
    <t xml:space="preserve">   T100 401K - PERFORMANCE MATCH</t>
  </si>
  <si>
    <t xml:space="preserve">   T420 UNBILLED REVENUE/FUEL</t>
  </si>
  <si>
    <t>Total Timing Differences</t>
  </si>
  <si>
    <t xml:space="preserve">   T500 DEPRECIATION - BOOK</t>
  </si>
  <si>
    <t>Current Taxable Income</t>
  </si>
  <si>
    <t xml:space="preserve">   T502 DEPRECIATION - BOOK TAX DIFF FED</t>
  </si>
  <si>
    <t>State Timing Difference Adjustment</t>
  </si>
  <si>
    <t xml:space="preserve">   STATE TIMING DIFFERENCES ADJUSTMENT</t>
  </si>
  <si>
    <t xml:space="preserve">Def Sep CO - FL NOL </t>
  </si>
  <si>
    <t>Solar ITC - FED only item</t>
  </si>
  <si>
    <t>State Taxable Income</t>
  </si>
  <si>
    <t>State Income Tax @ 5.5%</t>
  </si>
  <si>
    <t xml:space="preserve">True-Ups/Adjustments </t>
  </si>
  <si>
    <t xml:space="preserve">  Total State Current Tax</t>
  </si>
  <si>
    <t>Federal Taxable Income</t>
  </si>
  <si>
    <t>Federal Income Tax @ 21%</t>
  </si>
  <si>
    <t xml:space="preserve">  Total Federal current Tax</t>
  </si>
  <si>
    <t xml:space="preserve">  Current Total Income Taxes</t>
  </si>
  <si>
    <t>State Deferred Timing Items</t>
  </si>
  <si>
    <t>AMORT. OF MEDICARE PART D - DEFERRED STATE</t>
  </si>
  <si>
    <t xml:space="preserve">  Total State Deferred Taxes</t>
  </si>
  <si>
    <t>Federal Def Exp State Timing</t>
  </si>
  <si>
    <t>TOTAL EXCESS DEFERRED TAXES</t>
  </si>
  <si>
    <t>AMORT. OF MEDICARE PART D - DEFERRED FED</t>
  </si>
  <si>
    <t xml:space="preserve">  Total Federal Deferred Taxes</t>
  </si>
  <si>
    <t xml:space="preserve">  Total Deferred Income Taxes</t>
  </si>
  <si>
    <t>Investment Tax Credits</t>
  </si>
  <si>
    <t>ITC-AMORTIZ ACCOUNT 8010600</t>
  </si>
  <si>
    <t>ITC-AMORTIZ ACCOUNT NU 8010610</t>
  </si>
  <si>
    <t>Total Tax Expense</t>
  </si>
  <si>
    <t>Note:  Total may not foot due to rounding</t>
  </si>
  <si>
    <t>TOTAL TAX EXPENSE CHECK</t>
  </si>
  <si>
    <t>√</t>
  </si>
  <si>
    <t>CURRENT TAX EXPENSE CHECK</t>
  </si>
  <si>
    <t>DEFERRED TAX EXPENSE CHECK</t>
  </si>
  <si>
    <t>ITC CHECK</t>
  </si>
  <si>
    <t>Solar Portion 408.1</t>
  </si>
  <si>
    <t>Customer Days</t>
  </si>
  <si>
    <t>NOTE:   COLUMNS CORRESPOND TO SURV RPT -- DO NOT CHANGE</t>
  </si>
  <si>
    <t>EXTRACT OF FACTORS USED IN SURV REPORT</t>
  </si>
  <si>
    <t>2016 OB JUR STUDY</t>
  </si>
  <si>
    <t>2017 OB JUR STUDY</t>
  </si>
  <si>
    <t>2018 OB JUR STUDY</t>
  </si>
  <si>
    <t>2019 OB JUR STUDY</t>
  </si>
  <si>
    <t>2020 OB JUR STUDY</t>
  </si>
  <si>
    <t>2021 OB JUR STUDY</t>
  </si>
  <si>
    <t xml:space="preserve">Change </t>
  </si>
  <si>
    <t>Retail Factor</t>
  </si>
  <si>
    <t>Wholesale Factor</t>
  </si>
  <si>
    <t>in Retail</t>
  </si>
  <si>
    <t>Wheeling Revenues</t>
  </si>
  <si>
    <t>Operating Expenses:</t>
  </si>
  <si>
    <t>Power Transactions</t>
  </si>
  <si>
    <t>O&amp;M Expense</t>
  </si>
  <si>
    <t>Taxes Other Than Income</t>
  </si>
  <si>
    <t>Other Expenses</t>
  </si>
  <si>
    <t>Rate Base:</t>
  </si>
  <si>
    <t>Plant in Service</t>
  </si>
  <si>
    <t>Deprec Reserve</t>
  </si>
  <si>
    <t>"FACTORS_HISTORY", cells range columns b:o</t>
  </si>
  <si>
    <t>HISTORY:</t>
  </si>
  <si>
    <t>1993 Rate Case</t>
  </si>
  <si>
    <t>2009 Final Compliance COS JUR STUDY</t>
  </si>
  <si>
    <t>2014 SETTLEMENT COS STUDY</t>
  </si>
  <si>
    <t>2014 OB JUR STUDY</t>
  </si>
  <si>
    <t>2015 OB JUR STUDY</t>
  </si>
  <si>
    <t>Inc Tax (Def &amp; ITC only)</t>
  </si>
  <si>
    <t>BALANCING CK FOR COS OUTPUT</t>
  </si>
  <si>
    <t>Check three variance boxes to right, col P, R &amp; T</t>
  </si>
  <si>
    <t>ck fpsc to  rate class</t>
  </si>
  <si>
    <t>ck col f to h</t>
  </si>
  <si>
    <t>ck col d to sum e&amp;f</t>
  </si>
  <si>
    <t>DERIVATION OF REVENUE REQUIREMENTS</t>
  </si>
  <si>
    <t>s/b zero</t>
  </si>
  <si>
    <t>Multiplied by: ROR</t>
  </si>
  <si>
    <t xml:space="preserve">   Equals Return on Rate Base</t>
  </si>
  <si>
    <t>Plus: Total Adjustments to Income Taxes</t>
  </si>
  <si>
    <t>Plus: Total Deductions from Oper Income</t>
  </si>
  <si>
    <t xml:space="preserve">   Equals Operating Income After FIT</t>
  </si>
  <si>
    <t>Plus: FIT</t>
  </si>
  <si>
    <t xml:space="preserve">   Equals Federal Taxable Income</t>
  </si>
  <si>
    <t>Plus: SIT @</t>
  </si>
  <si>
    <t>Minus: Florida Income Adjustments</t>
  </si>
  <si>
    <t>Plus Interest Expense</t>
  </si>
  <si>
    <t xml:space="preserve">   Equals Operating Income Before Taxes</t>
  </si>
  <si>
    <t>Plus: Taxes Other Than Income</t>
  </si>
  <si>
    <t>Plus: Deprec &amp; Amort Expense</t>
  </si>
  <si>
    <t>Plus: Other Expenses</t>
  </si>
  <si>
    <t>Plus: O &amp; M Expense</t>
  </si>
  <si>
    <t>Plus: Fuel &amp; Power Transactions</t>
  </si>
  <si>
    <t xml:space="preserve">   Equals Total Rev. Less Rev. Taxes</t>
  </si>
  <si>
    <t>Plus Revenue Taxes</t>
  </si>
  <si>
    <t>Less: Revenue Other than Sales</t>
  </si>
  <si>
    <t xml:space="preserve">   Equals Total Revenue Requirements</t>
  </si>
  <si>
    <t>Rev Req variance</t>
  </si>
  <si>
    <t>Notes</t>
  </si>
  <si>
    <t>AR - Employee Personal Reimbursement Pcard Charge</t>
  </si>
  <si>
    <t>A_1440010</t>
  </si>
  <si>
    <t>Accum Provision for Uncollectible - Regular</t>
  </si>
  <si>
    <t>Trade Receivable-Interco-Emera Inc. E009</t>
  </si>
  <si>
    <t>Trade Receivable-Interco-Emera Energy E012</t>
  </si>
  <si>
    <t>Trade Receivable-Interco-Nova Scotia Power E001</t>
  </si>
  <si>
    <t>A_1460750</t>
  </si>
  <si>
    <t>Trade Receivable-Interco-Emera Brunswick E350</t>
  </si>
  <si>
    <t>Trade Receivable-Emera Interco on SAP  E410 (RECON)</t>
  </si>
  <si>
    <t>Current Derivative Asset - Collateral</t>
  </si>
  <si>
    <t>A_1210100</t>
  </si>
  <si>
    <t>Intangible Asset - C</t>
  </si>
  <si>
    <t>Prepaid Short-term Debt Facility Fees</t>
  </si>
  <si>
    <t>Oth Reg Asset-Fuel Clause</t>
  </si>
  <si>
    <t>A_1823612</t>
  </si>
  <si>
    <t>Oth Reg Asset-Deferred Tax Reform Impact Current</t>
  </si>
  <si>
    <t>A_1823113</t>
  </si>
  <si>
    <t>A_1900315</t>
  </si>
  <si>
    <t>Deferred Tax FIT - Production Tax Credits</t>
  </si>
  <si>
    <t>A_1823220</t>
  </si>
  <si>
    <t>Oth Reg Asset-Fuel Clause Non-Current</t>
  </si>
  <si>
    <t>A_2283202</t>
  </si>
  <si>
    <t>Pension Asset - Non-Current</t>
  </si>
  <si>
    <t>A_2283203</t>
  </si>
  <si>
    <t>Pension Asset FAS158 - Non-Current</t>
  </si>
  <si>
    <t>A_1210200</t>
  </si>
  <si>
    <t>Intangible Asset - Non-Current</t>
  </si>
  <si>
    <t>Unamortized Debt Expense - Short-term Loan</t>
  </si>
  <si>
    <t>AP Stock Purchase Employee Contributions</t>
  </si>
  <si>
    <t>AP Garnishments (Child Support. Levy. etc.)</t>
  </si>
  <si>
    <t>A_2320025</t>
  </si>
  <si>
    <t>AP IAM/AU Union Dues</t>
  </si>
  <si>
    <t>AP Customer Assistance Program</t>
  </si>
  <si>
    <t>Oth Reg Liab-Environmental Clause</t>
  </si>
  <si>
    <t>Oth Reg Liability-Storm Protection Clause</t>
  </si>
  <si>
    <t>Oth Reg Liab-Defd Gain Prop Sales-Current</t>
  </si>
  <si>
    <t>Deferred Revenue -Contract Liability - Current</t>
  </si>
  <si>
    <t>A_2540211</t>
  </si>
  <si>
    <t>Oth Reg Liab - (CETM) Clean Energy Trans Mech NC</t>
  </si>
  <si>
    <t>Oth Reg Liab-Defd Gain Prop Sales-NonCurrent</t>
  </si>
  <si>
    <t>Misc Accru Liab-Cashier Over/Short</t>
  </si>
  <si>
    <t>Misc Accru Liab-Unclaimed Funds</t>
  </si>
  <si>
    <t>Oth Defd CR-Contract Retentions (Posting)</t>
  </si>
  <si>
    <t>Restoration Benefit Plan Liab FAS158 - Non-Current</t>
  </si>
  <si>
    <t>ACTUAL</t>
  </si>
  <si>
    <t>4070211</t>
  </si>
  <si>
    <t>4073021</t>
  </si>
  <si>
    <t>REG DR Defd Fuel and Purchased Power - Amortiz</t>
  </si>
  <si>
    <t>4073022</t>
  </si>
  <si>
    <t>4073030</t>
  </si>
  <si>
    <t>REG DR Defd Capacity</t>
  </si>
  <si>
    <t>4073031</t>
  </si>
  <si>
    <t>REG DR Defd Capacity - Amortization</t>
  </si>
  <si>
    <t>4073040</t>
  </si>
  <si>
    <t>REG DR Defd Conservation Electric</t>
  </si>
  <si>
    <t>4073050</t>
  </si>
  <si>
    <t>REG DR Defd Environmental</t>
  </si>
  <si>
    <t>4073090</t>
  </si>
  <si>
    <t>4073200</t>
  </si>
  <si>
    <t>4073212</t>
  </si>
  <si>
    <t>REG DR Tax Reform</t>
  </si>
  <si>
    <t>4073213</t>
  </si>
  <si>
    <t>A_4073213</t>
  </si>
  <si>
    <t>4074020</t>
  </si>
  <si>
    <t>REG CR Defd Fuel and Purchased Power</t>
  </si>
  <si>
    <t>4074030</t>
  </si>
  <si>
    <t>REG CR Defd Capacity</t>
  </si>
  <si>
    <t>4074041</t>
  </si>
  <si>
    <t>REG CR Defd Conservation - Elec - Amortiz</t>
  </si>
  <si>
    <t>4074091</t>
  </si>
  <si>
    <t>REG CR Defd SPPCRC - Amortization</t>
  </si>
  <si>
    <t>4074211</t>
  </si>
  <si>
    <t>4400010</t>
  </si>
  <si>
    <t>4400020</t>
  </si>
  <si>
    <t>4400030</t>
  </si>
  <si>
    <t>4400040</t>
  </si>
  <si>
    <t>4400050</t>
  </si>
  <si>
    <t>4400060</t>
  </si>
  <si>
    <t>4400070</t>
  </si>
  <si>
    <t>4400090</t>
  </si>
  <si>
    <t>4400091</t>
  </si>
  <si>
    <t>4420010</t>
  </si>
  <si>
    <t>4420020</t>
  </si>
  <si>
    <t>4420030</t>
  </si>
  <si>
    <t>4420040</t>
  </si>
  <si>
    <t>4420050</t>
  </si>
  <si>
    <t>4420060</t>
  </si>
  <si>
    <t>4420070</t>
  </si>
  <si>
    <t>4420090</t>
  </si>
  <si>
    <t>4420091</t>
  </si>
  <si>
    <t>4420110</t>
  </si>
  <si>
    <t>4420120</t>
  </si>
  <si>
    <t>4420130</t>
  </si>
  <si>
    <t>4420140</t>
  </si>
  <si>
    <t>4420150</t>
  </si>
  <si>
    <t>4420160</t>
  </si>
  <si>
    <t>4420170</t>
  </si>
  <si>
    <t>4420180</t>
  </si>
  <si>
    <t>Commercial Large Optional Billing Provision</t>
  </si>
  <si>
    <t>4420190</t>
  </si>
  <si>
    <t>4420191</t>
  </si>
  <si>
    <t>4420210</t>
  </si>
  <si>
    <t>4420230</t>
  </si>
  <si>
    <t>4420240</t>
  </si>
  <si>
    <t>4420250</t>
  </si>
  <si>
    <t>4420270</t>
  </si>
  <si>
    <t>4420290</t>
  </si>
  <si>
    <t>4420291</t>
  </si>
  <si>
    <t>4420310</t>
  </si>
  <si>
    <t>4420320</t>
  </si>
  <si>
    <t>4420330</t>
  </si>
  <si>
    <t>4420340</t>
  </si>
  <si>
    <t>4420350</t>
  </si>
  <si>
    <t>4420370</t>
  </si>
  <si>
    <t>4420380</t>
  </si>
  <si>
    <t>4420390</t>
  </si>
  <si>
    <t>4420391</t>
  </si>
  <si>
    <t>4420410</t>
  </si>
  <si>
    <t>4420420</t>
  </si>
  <si>
    <t>4420430</t>
  </si>
  <si>
    <t>4420440</t>
  </si>
  <si>
    <t>4420450</t>
  </si>
  <si>
    <t>4420460</t>
  </si>
  <si>
    <t>4420470</t>
  </si>
  <si>
    <t>4420490</t>
  </si>
  <si>
    <t>4420491</t>
  </si>
  <si>
    <t>4420510</t>
  </si>
  <si>
    <t>4420520</t>
  </si>
  <si>
    <t>4420530</t>
  </si>
  <si>
    <t>4420540</t>
  </si>
  <si>
    <t>4420550</t>
  </si>
  <si>
    <t>4420560</t>
  </si>
  <si>
    <t>4420570</t>
  </si>
  <si>
    <t>4420580</t>
  </si>
  <si>
    <t>4420590</t>
  </si>
  <si>
    <t>4420591</t>
  </si>
  <si>
    <t>4440010</t>
  </si>
  <si>
    <t>4440020</t>
  </si>
  <si>
    <t>4440030</t>
  </si>
  <si>
    <t>4440040</t>
  </si>
  <si>
    <t>4440050</t>
  </si>
  <si>
    <t>4440060</t>
  </si>
  <si>
    <t>4440070</t>
  </si>
  <si>
    <t>4440090</t>
  </si>
  <si>
    <t>4440091</t>
  </si>
  <si>
    <t>4450010</t>
  </si>
  <si>
    <t>4450020</t>
  </si>
  <si>
    <t>4450030</t>
  </si>
  <si>
    <t>4450040</t>
  </si>
  <si>
    <t>4450050</t>
  </si>
  <si>
    <t>4450060</t>
  </si>
  <si>
    <t>4450070</t>
  </si>
  <si>
    <t>4450080</t>
  </si>
  <si>
    <t>Oth Sales Public Authority Optional Billing Provsn</t>
  </si>
  <si>
    <t>4450090</t>
  </si>
  <si>
    <t>4450091</t>
  </si>
  <si>
    <t>4470010</t>
  </si>
  <si>
    <t>4470011</t>
  </si>
  <si>
    <t>4470012</t>
  </si>
  <si>
    <t>4510100</t>
  </si>
  <si>
    <t>4510101</t>
  </si>
  <si>
    <t>4510102</t>
  </si>
  <si>
    <t>4510103</t>
  </si>
  <si>
    <t>4510104</t>
  </si>
  <si>
    <t>4510107</t>
  </si>
  <si>
    <t>4510108</t>
  </si>
  <si>
    <t>4510109</t>
  </si>
  <si>
    <t>4510110</t>
  </si>
  <si>
    <t>4510111</t>
  </si>
  <si>
    <t>4510112</t>
  </si>
  <si>
    <t>4510113</t>
  </si>
  <si>
    <t>Misc Svc Rev - Billing Adjustments</t>
  </si>
  <si>
    <t>4510800</t>
  </si>
  <si>
    <t>4540010</t>
  </si>
  <si>
    <t>4540020</t>
  </si>
  <si>
    <t>4540030</t>
  </si>
  <si>
    <t>4540040</t>
  </si>
  <si>
    <t>4540081</t>
  </si>
  <si>
    <t>4540700</t>
  </si>
  <si>
    <t>4540701</t>
  </si>
  <si>
    <t>4540800</t>
  </si>
  <si>
    <t>4550000</t>
  </si>
  <si>
    <t>4550001</t>
  </si>
  <si>
    <t>4560020</t>
  </si>
  <si>
    <t>4560030</t>
  </si>
  <si>
    <t>4560080</t>
  </si>
  <si>
    <t>4560110</t>
  </si>
  <si>
    <t>4560120</t>
  </si>
  <si>
    <t>4560180</t>
  </si>
  <si>
    <t>Other Revenue - Asset Optimization</t>
  </si>
  <si>
    <t>4560190</t>
  </si>
  <si>
    <t>A_4560190</t>
  </si>
  <si>
    <t>Other Revenue - Lighting Smart Service-Regulated</t>
  </si>
  <si>
    <t>4560200</t>
  </si>
  <si>
    <t>4560210</t>
  </si>
  <si>
    <t>4560401</t>
  </si>
  <si>
    <t>4560411</t>
  </si>
  <si>
    <t>4560501</t>
  </si>
  <si>
    <t>4560511</t>
  </si>
  <si>
    <t>4560660</t>
  </si>
  <si>
    <t>4560800</t>
  </si>
  <si>
    <t>4560900</t>
  </si>
  <si>
    <t>6010110</t>
  </si>
  <si>
    <t>6010120</t>
  </si>
  <si>
    <t>6010130</t>
  </si>
  <si>
    <t>6010210</t>
  </si>
  <si>
    <t>6010220</t>
  </si>
  <si>
    <t>6010230</t>
  </si>
  <si>
    <t>6010310</t>
  </si>
  <si>
    <t>6010320</t>
  </si>
  <si>
    <t>6010330</t>
  </si>
  <si>
    <t>6010400</t>
  </si>
  <si>
    <t>Labor Severance</t>
  </si>
  <si>
    <t>6010900</t>
  </si>
  <si>
    <t>6010910</t>
  </si>
  <si>
    <t>6010990</t>
  </si>
  <si>
    <t>6018999</t>
  </si>
  <si>
    <t>6019000</t>
  </si>
  <si>
    <t>6019900</t>
  </si>
  <si>
    <t>6019910</t>
  </si>
  <si>
    <t>6020010</t>
  </si>
  <si>
    <t>6020020</t>
  </si>
  <si>
    <t>6020030</t>
  </si>
  <si>
    <t>6020040</t>
  </si>
  <si>
    <t>6020050</t>
  </si>
  <si>
    <t>6020060</t>
  </si>
  <si>
    <t>6020080</t>
  </si>
  <si>
    <t>6020090</t>
  </si>
  <si>
    <t>6020100</t>
  </si>
  <si>
    <t>Long-term incentive Expense</t>
  </si>
  <si>
    <t>6020101</t>
  </si>
  <si>
    <t>6020110</t>
  </si>
  <si>
    <t>6020130</t>
  </si>
  <si>
    <t>6020131</t>
  </si>
  <si>
    <t>6020140</t>
  </si>
  <si>
    <t>6020150</t>
  </si>
  <si>
    <t>6020170</t>
  </si>
  <si>
    <t>6020180</t>
  </si>
  <si>
    <t>6020220</t>
  </si>
  <si>
    <t>6020230</t>
  </si>
  <si>
    <t>6020240</t>
  </si>
  <si>
    <t>6020800</t>
  </si>
  <si>
    <t>6020900</t>
  </si>
  <si>
    <t>6028999</t>
  </si>
  <si>
    <t>A_6028999</t>
  </si>
  <si>
    <t>Benefits Fringe Reclass</t>
  </si>
  <si>
    <t>6029000</t>
  </si>
  <si>
    <t>Benefits Expense sent to Balance Sheet</t>
  </si>
  <si>
    <t>6030010</t>
  </si>
  <si>
    <t>Empl Exp - Professional Dues. Subscriptions. Fees</t>
  </si>
  <si>
    <t>6030020</t>
  </si>
  <si>
    <t>6030030</t>
  </si>
  <si>
    <t>Inactive Acc - Do Not Use - Empl Exp - Meals &amp; Ent 100% Ded</t>
  </si>
  <si>
    <t>6030040</t>
  </si>
  <si>
    <t>6030050</t>
  </si>
  <si>
    <t>6030060</t>
  </si>
  <si>
    <t>6030070</t>
  </si>
  <si>
    <t>6030080</t>
  </si>
  <si>
    <t>6030091</t>
  </si>
  <si>
    <t>6030800</t>
  </si>
  <si>
    <t>6039000</t>
  </si>
  <si>
    <t>6100010</t>
  </si>
  <si>
    <t>6100030</t>
  </si>
  <si>
    <t>6100040</t>
  </si>
  <si>
    <t>6100050</t>
  </si>
  <si>
    <t>6100060</t>
  </si>
  <si>
    <t>6100070</t>
  </si>
  <si>
    <t>6100080</t>
  </si>
  <si>
    <t>6100090</t>
  </si>
  <si>
    <t>6100100</t>
  </si>
  <si>
    <t>6100110</t>
  </si>
  <si>
    <t>6100120</t>
  </si>
  <si>
    <t>6100140</t>
  </si>
  <si>
    <t>6100150</t>
  </si>
  <si>
    <t>6100160</t>
  </si>
  <si>
    <t>6100170</t>
  </si>
  <si>
    <t>6100180</t>
  </si>
  <si>
    <t>6100190</t>
  </si>
  <si>
    <t>6100200</t>
  </si>
  <si>
    <t>6108999</t>
  </si>
  <si>
    <t>6109000</t>
  </si>
  <si>
    <t>6200010</t>
  </si>
  <si>
    <t>6200030</t>
  </si>
  <si>
    <t>6200040</t>
  </si>
  <si>
    <t>6200060</t>
  </si>
  <si>
    <t>Fuel Expense - SO2 credits. Nox</t>
  </si>
  <si>
    <t>6250100</t>
  </si>
  <si>
    <t>6400010</t>
  </si>
  <si>
    <t>6400020</t>
  </si>
  <si>
    <t>6400030</t>
  </si>
  <si>
    <t>6400040</t>
  </si>
  <si>
    <t>6400050</t>
  </si>
  <si>
    <t>6400060</t>
  </si>
  <si>
    <t>6400070</t>
  </si>
  <si>
    <t>6400080</t>
  </si>
  <si>
    <t>6400100</t>
  </si>
  <si>
    <t>6400500</t>
  </si>
  <si>
    <t>6400505</t>
  </si>
  <si>
    <t>6400510</t>
  </si>
  <si>
    <t>6400520</t>
  </si>
  <si>
    <t>6400530</t>
  </si>
  <si>
    <t>6401000</t>
  </si>
  <si>
    <t>6401100</t>
  </si>
  <si>
    <t>6401200</t>
  </si>
  <si>
    <t>6401300</t>
  </si>
  <si>
    <t>Re-Stock Salvage</t>
  </si>
  <si>
    <t>6408999</t>
  </si>
  <si>
    <t>6409000</t>
  </si>
  <si>
    <t>6500010</t>
  </si>
  <si>
    <t>6500015</t>
  </si>
  <si>
    <t>A_6500015</t>
  </si>
  <si>
    <t>Transportation - Vehicle Gas</t>
  </si>
  <si>
    <t>6500810</t>
  </si>
  <si>
    <t>Transportation - Vehicle Depreciation Other</t>
  </si>
  <si>
    <t>6509000</t>
  </si>
  <si>
    <t>6700502</t>
  </si>
  <si>
    <t>6700503</t>
  </si>
  <si>
    <t>6700504</t>
  </si>
  <si>
    <t>6700505</t>
  </si>
  <si>
    <t>6700506</t>
  </si>
  <si>
    <t>Insurance - Excess Automobile</t>
  </si>
  <si>
    <t>6700507</t>
  </si>
  <si>
    <t>6700508</t>
  </si>
  <si>
    <t>6700509</t>
  </si>
  <si>
    <t>6700510</t>
  </si>
  <si>
    <t>6700514</t>
  </si>
  <si>
    <t>6700515</t>
  </si>
  <si>
    <t>6700516</t>
  </si>
  <si>
    <t>6700518</t>
  </si>
  <si>
    <t>6700519</t>
  </si>
  <si>
    <t>6700521</t>
  </si>
  <si>
    <t>6700599</t>
  </si>
  <si>
    <t>6710020</t>
  </si>
  <si>
    <t>Short-term Rent - Non-Office Equipment</t>
  </si>
  <si>
    <t>6710040</t>
  </si>
  <si>
    <t>Short-term Rent - Office Space</t>
  </si>
  <si>
    <t>6710050</t>
  </si>
  <si>
    <t>Short-term Rent - Right of way</t>
  </si>
  <si>
    <t>6710060</t>
  </si>
  <si>
    <t>Short-term Rent - Vehicle</t>
  </si>
  <si>
    <t>6710700</t>
  </si>
  <si>
    <t>Short-term Rent - Intercompany</t>
  </si>
  <si>
    <t>6710800</t>
  </si>
  <si>
    <t>Short-term Rent - Other</t>
  </si>
  <si>
    <t>6719000</t>
  </si>
  <si>
    <t>Short-term Rent Expense sent to Balance Sheet</t>
  </si>
  <si>
    <t>6720010</t>
  </si>
  <si>
    <t>Long-term Lease - Building</t>
  </si>
  <si>
    <t>6720050</t>
  </si>
  <si>
    <t>Long-term Lease - Vehicle</t>
  </si>
  <si>
    <t>6720060</t>
  </si>
  <si>
    <t>6720800</t>
  </si>
  <si>
    <t>Long-term Lease - Other</t>
  </si>
  <si>
    <t>6729000</t>
  </si>
  <si>
    <t>Long-term Lease Expense sent to Balance Sheet</t>
  </si>
  <si>
    <t>6730010</t>
  </si>
  <si>
    <t>6730030</t>
  </si>
  <si>
    <t>6730050</t>
  </si>
  <si>
    <t>6730060</t>
  </si>
  <si>
    <t>6730800</t>
  </si>
  <si>
    <t>6739000</t>
  </si>
  <si>
    <t>6780020</t>
  </si>
  <si>
    <t>6780030</t>
  </si>
  <si>
    <t>6780040</t>
  </si>
  <si>
    <t>6780800</t>
  </si>
  <si>
    <t>6789000</t>
  </si>
  <si>
    <t>6790010</t>
  </si>
  <si>
    <t>6790020</t>
  </si>
  <si>
    <t>6790030</t>
  </si>
  <si>
    <t>6790050</t>
  </si>
  <si>
    <t>6790055</t>
  </si>
  <si>
    <t>6790060</t>
  </si>
  <si>
    <t>6790090</t>
  </si>
  <si>
    <t>6790091</t>
  </si>
  <si>
    <t>6790092</t>
  </si>
  <si>
    <t>6790101</t>
  </si>
  <si>
    <t>6790102</t>
  </si>
  <si>
    <t>Fees - Report Filing</t>
  </si>
  <si>
    <t>6790103</t>
  </si>
  <si>
    <t>6790199</t>
  </si>
  <si>
    <t>6790200</t>
  </si>
  <si>
    <t>6790210</t>
  </si>
  <si>
    <t>6790230</t>
  </si>
  <si>
    <t>Postage. Shipping and Courier</t>
  </si>
  <si>
    <t>6790250</t>
  </si>
  <si>
    <t>6790255</t>
  </si>
  <si>
    <t>6790260</t>
  </si>
  <si>
    <t>6790300</t>
  </si>
  <si>
    <t>6790305</t>
  </si>
  <si>
    <t>6790310</t>
  </si>
  <si>
    <t>6790320</t>
  </si>
  <si>
    <t>6790321</t>
  </si>
  <si>
    <t>6790700</t>
  </si>
  <si>
    <t>6790703</t>
  </si>
  <si>
    <t>6790704</t>
  </si>
  <si>
    <t>6790800</t>
  </si>
  <si>
    <t>6791000</t>
  </si>
  <si>
    <t>6798999</t>
  </si>
  <si>
    <t>6799000</t>
  </si>
  <si>
    <t>6799104</t>
  </si>
  <si>
    <t>6799105</t>
  </si>
  <si>
    <t>6799106</t>
  </si>
  <si>
    <t>6799107</t>
  </si>
  <si>
    <t>6799108</t>
  </si>
  <si>
    <t>6799109</t>
  </si>
  <si>
    <t>6800010</t>
  </si>
  <si>
    <t>6800040</t>
  </si>
  <si>
    <t>6800045</t>
  </si>
  <si>
    <t>6800120</t>
  </si>
  <si>
    <t>6810010</t>
  </si>
  <si>
    <t>6810025</t>
  </si>
  <si>
    <t>6810050</t>
  </si>
  <si>
    <t>6810060</t>
  </si>
  <si>
    <t>6810090</t>
  </si>
  <si>
    <t>Depreciation – SPPCRC</t>
  </si>
  <si>
    <t>6810140</t>
  </si>
  <si>
    <t>6900010</t>
  </si>
  <si>
    <t>6900030</t>
  </si>
  <si>
    <t>6900040</t>
  </si>
  <si>
    <t>6900049</t>
  </si>
  <si>
    <t>A_6900049</t>
  </si>
  <si>
    <t>TOTI - Payroll Tax Reclass</t>
  </si>
  <si>
    <t>6900060</t>
  </si>
  <si>
    <t>6900065</t>
  </si>
  <si>
    <t>6900070</t>
  </si>
  <si>
    <t>6900080</t>
  </si>
  <si>
    <t>6900100</t>
  </si>
  <si>
    <t>6900110</t>
  </si>
  <si>
    <t>6900120</t>
  </si>
  <si>
    <t>6900800</t>
  </si>
  <si>
    <t>6909000</t>
  </si>
  <si>
    <t>Taxes other than income Exp sent to Balance Sheet</t>
  </si>
  <si>
    <t>7000220</t>
  </si>
  <si>
    <t>7000291</t>
  </si>
  <si>
    <t>A_7000291</t>
  </si>
  <si>
    <t>Interest Inc - Defd CETM</t>
  </si>
  <si>
    <t>7000800</t>
  </si>
  <si>
    <t>7100010</t>
  </si>
  <si>
    <t>7100015</t>
  </si>
  <si>
    <t>7100400</t>
  </si>
  <si>
    <t>7100800</t>
  </si>
  <si>
    <t>7102000</t>
  </si>
  <si>
    <t>Currency Adjustment - Realized Gain</t>
  </si>
  <si>
    <t>7102100</t>
  </si>
  <si>
    <t>Currency Adjustment - Unrealized Gain</t>
  </si>
  <si>
    <t>7103030</t>
  </si>
  <si>
    <t>7103035</t>
  </si>
  <si>
    <t>A_7103035</t>
  </si>
  <si>
    <t>Other Lighting Revenue - Unregulated</t>
  </si>
  <si>
    <t>7103040</t>
  </si>
  <si>
    <t>7103060</t>
  </si>
  <si>
    <t>7109000</t>
  </si>
  <si>
    <t>7201100</t>
  </si>
  <si>
    <t>Amortization of Loss on Reacquired Debt</t>
  </si>
  <si>
    <t>7202100</t>
  </si>
  <si>
    <t>7203040</t>
  </si>
  <si>
    <t>7500010</t>
  </si>
  <si>
    <t>7500015</t>
  </si>
  <si>
    <t>7500030</t>
  </si>
  <si>
    <t>7500060</t>
  </si>
  <si>
    <t>7500080</t>
  </si>
  <si>
    <t>7500090</t>
  </si>
  <si>
    <t>Interest Exp - Other Short Term Borrowing</t>
  </si>
  <si>
    <t>7500110</t>
  </si>
  <si>
    <t>7500120</t>
  </si>
  <si>
    <t>Amortization of discount on Debt</t>
  </si>
  <si>
    <t>7500130</t>
  </si>
  <si>
    <t>7500230</t>
  </si>
  <si>
    <t>7500240</t>
  </si>
  <si>
    <t>7500250</t>
  </si>
  <si>
    <t>7500290</t>
  </si>
  <si>
    <t>Interest Exp - Defd Storm Clause</t>
  </si>
  <si>
    <t>7500291</t>
  </si>
  <si>
    <t>A_7500291</t>
  </si>
  <si>
    <t>Interest Exp - Defd CETM</t>
  </si>
  <si>
    <t>7500800</t>
  </si>
  <si>
    <t>7509000</t>
  </si>
  <si>
    <t>8000300</t>
  </si>
  <si>
    <t>8000310</t>
  </si>
  <si>
    <t>8000400</t>
  </si>
  <si>
    <t>8000410</t>
  </si>
  <si>
    <t>8010300</t>
  </si>
  <si>
    <t>8010305</t>
  </si>
  <si>
    <t>8010310</t>
  </si>
  <si>
    <t>8010315</t>
  </si>
  <si>
    <t>8010320</t>
  </si>
  <si>
    <t>8010330</t>
  </si>
  <si>
    <t>8010400</t>
  </si>
  <si>
    <t>8010410</t>
  </si>
  <si>
    <t>8010415</t>
  </si>
  <si>
    <t>8010420</t>
  </si>
  <si>
    <t>8010430</t>
  </si>
  <si>
    <t>8010600</t>
  </si>
  <si>
    <t>8010610</t>
  </si>
  <si>
    <t>8900140</t>
  </si>
  <si>
    <t>8900170</t>
  </si>
  <si>
    <t>8900180</t>
  </si>
  <si>
    <t>8903001</t>
  </si>
  <si>
    <t>FICO Reconciliation - Parent A&amp;G Allocation</t>
  </si>
  <si>
    <t>8903002</t>
  </si>
  <si>
    <t>FICO Reconciliation - IT Allocation</t>
  </si>
  <si>
    <t>8903003</t>
  </si>
  <si>
    <t>FICO Reconciliation - Telecom Allocation</t>
  </si>
  <si>
    <t>8903004</t>
  </si>
  <si>
    <t>FICO Reconciliation - Facilities Allocation</t>
  </si>
  <si>
    <t>8903005</t>
  </si>
  <si>
    <t>FICO Reconciliation - HR Allocation</t>
  </si>
  <si>
    <t>8903006</t>
  </si>
  <si>
    <t>FICO Reconciliation - Services Allocation</t>
  </si>
  <si>
    <t>8903007</t>
  </si>
  <si>
    <t>FICO Reconciliation - Procurement Allocation</t>
  </si>
  <si>
    <t>8903008</t>
  </si>
  <si>
    <t>8903009</t>
  </si>
  <si>
    <t>8903011</t>
  </si>
  <si>
    <t>8903012</t>
  </si>
  <si>
    <t>6100000</t>
  </si>
  <si>
    <t>A_S6100000</t>
  </si>
  <si>
    <t>Settled Outside Services Expense</t>
  </si>
  <si>
    <t>6010000</t>
  </si>
  <si>
    <t>A_S6010000</t>
  </si>
  <si>
    <t>Settled Labor Expense</t>
  </si>
  <si>
    <t>6020920</t>
  </si>
  <si>
    <t>A_S6020920</t>
  </si>
  <si>
    <t>Settled Employee Service Awards</t>
  </si>
  <si>
    <t>6030000</t>
  </si>
  <si>
    <t>A_S6030000</t>
  </si>
  <si>
    <t>Settled Employee Reimbursable Expense</t>
  </si>
  <si>
    <t>6038999</t>
  </si>
  <si>
    <t>A_S6038999</t>
  </si>
  <si>
    <t>Settled Employee Expense Reclass</t>
  </si>
  <si>
    <t>6400000</t>
  </si>
  <si>
    <t>A_S6400000</t>
  </si>
  <si>
    <t>Settled Materials &amp; Supplies Expense</t>
  </si>
  <si>
    <t>6500000</t>
  </si>
  <si>
    <t>A_S6500000</t>
  </si>
  <si>
    <t>Settled Transportation Expense</t>
  </si>
  <si>
    <t>6700517</t>
  </si>
  <si>
    <t>A_S6700517</t>
  </si>
  <si>
    <t>Settled Insurance - Surety Bonds</t>
  </si>
  <si>
    <t>6730000</t>
  </si>
  <si>
    <t>A_S6730000</t>
  </si>
  <si>
    <t>Settled Utilities Expense</t>
  </si>
  <si>
    <t>6790000</t>
  </si>
  <si>
    <t>A_S6790000</t>
  </si>
  <si>
    <t>Settled Other Operational Expense</t>
  </si>
  <si>
    <t>6790220</t>
  </si>
  <si>
    <t>A_S6790220</t>
  </si>
  <si>
    <t>Settled Political Contributions</t>
  </si>
  <si>
    <t>6790322</t>
  </si>
  <si>
    <t>A_S6790322</t>
  </si>
  <si>
    <t>Settled Small Tools Allocation</t>
  </si>
  <si>
    <t>6790323</t>
  </si>
  <si>
    <t>A_S6790323</t>
  </si>
  <si>
    <t>Settled Self Help Allocation</t>
  </si>
  <si>
    <t>7000700</t>
  </si>
  <si>
    <t>A_S7000700</t>
  </si>
  <si>
    <t>Settled Interest Inc - Intercompany</t>
  </si>
  <si>
    <t>7101000</t>
  </si>
  <si>
    <t>A_S7101000</t>
  </si>
  <si>
    <t>Settled Gain Sale of Utility Property</t>
  </si>
  <si>
    <t>C1010003</t>
  </si>
  <si>
    <t>A_C1010003</t>
  </si>
  <si>
    <t>TSI A&amp;G Adder</t>
  </si>
  <si>
    <t>C6020000</t>
  </si>
  <si>
    <t>A_C6020000</t>
  </si>
  <si>
    <t>Fringe Adder</t>
  </si>
  <si>
    <t>P1000000</t>
  </si>
  <si>
    <t>A_P1000000</t>
  </si>
  <si>
    <t>Planned Corporate Overhead Allocation</t>
  </si>
  <si>
    <t>P1000100</t>
  </si>
  <si>
    <t>A_P1000100</t>
  </si>
  <si>
    <t>Planned IT Charges</t>
  </si>
  <si>
    <t>P1000101</t>
  </si>
  <si>
    <t>A_P1000101</t>
  </si>
  <si>
    <t>Planned Facility Charges</t>
  </si>
  <si>
    <t>P1000102</t>
  </si>
  <si>
    <t>A_P1000102</t>
  </si>
  <si>
    <t>Planned Telecom Charges</t>
  </si>
  <si>
    <t>P1000103</t>
  </si>
  <si>
    <t>A_P1000103</t>
  </si>
  <si>
    <t>Planned HR Benefits Admin</t>
  </si>
  <si>
    <t>P1000104</t>
  </si>
  <si>
    <t>A_P1000104</t>
  </si>
  <si>
    <t>Planned TSI Services</t>
  </si>
  <si>
    <t>P1000105</t>
  </si>
  <si>
    <t>A_P1000105</t>
  </si>
  <si>
    <t>Planned Procurement Charges</t>
  </si>
  <si>
    <t>P1000108</t>
  </si>
  <si>
    <t>A_P1000108</t>
  </si>
  <si>
    <t>Planned SS HREmpRel Chgs</t>
  </si>
  <si>
    <t>P1000109</t>
  </si>
  <si>
    <t>A_P1000109</t>
  </si>
  <si>
    <t>Planned SS EmerMgmt Chgs</t>
  </si>
  <si>
    <t>P1000111</t>
  </si>
  <si>
    <t>A_P1000111</t>
  </si>
  <si>
    <t>Planned SS AcctsPay Chgs</t>
  </si>
  <si>
    <t>P1000112</t>
  </si>
  <si>
    <t>A_P1000112</t>
  </si>
  <si>
    <t>Planned SS Claims Chgs</t>
  </si>
  <si>
    <t>P6020000</t>
  </si>
  <si>
    <t>A_P6020000</t>
  </si>
  <si>
    <t>Planned Benefits Expense</t>
  </si>
  <si>
    <t>P6100000</t>
  </si>
  <si>
    <t>A_P6100000</t>
  </si>
  <si>
    <t>Planned Outside Services Expense</t>
  </si>
  <si>
    <t>S1000105</t>
  </si>
  <si>
    <t>A_S1000105</t>
  </si>
  <si>
    <t>Settled Procurement Charges</t>
  </si>
  <si>
    <t>S1000200</t>
  </si>
  <si>
    <t>A_S1000200</t>
  </si>
  <si>
    <t>Settled Fleet Charges</t>
  </si>
  <si>
    <t>S6010000</t>
  </si>
  <si>
    <t>S6010990</t>
  </si>
  <si>
    <t>A_S6010990</t>
  </si>
  <si>
    <t>Settled Labor Seconded Employees</t>
  </si>
  <si>
    <t>S6018999</t>
  </si>
  <si>
    <t>A_S6018999</t>
  </si>
  <si>
    <t>Settled Labor Expense Reclass</t>
  </si>
  <si>
    <t>S6019900</t>
  </si>
  <si>
    <t>A_S6019900</t>
  </si>
  <si>
    <t>Settled ST Labor &amp; Benefits Expense</t>
  </si>
  <si>
    <t>S6019910</t>
  </si>
  <si>
    <t>A_S6019910</t>
  </si>
  <si>
    <t>Settled OT Labor &amp; Benefits Expense</t>
  </si>
  <si>
    <t>S6020010</t>
  </si>
  <si>
    <t>A_S6020010</t>
  </si>
  <si>
    <t>Settled Benefit Plan Admin Fees</t>
  </si>
  <si>
    <t>S6020020</t>
  </si>
  <si>
    <t>A_S6020020</t>
  </si>
  <si>
    <t>Settled Tuition Reimbursement</t>
  </si>
  <si>
    <t>S6020030</t>
  </si>
  <si>
    <t>A_S6020030</t>
  </si>
  <si>
    <t>Settled Life Insurance</t>
  </si>
  <si>
    <t>S6020040</t>
  </si>
  <si>
    <t>A_S6020040</t>
  </si>
  <si>
    <t>Settled Long-term Care Insurance</t>
  </si>
  <si>
    <t>S6020050</t>
  </si>
  <si>
    <t>A_S6020050</t>
  </si>
  <si>
    <t>Settled Medical Insurance - Active</t>
  </si>
  <si>
    <t>S6020060</t>
  </si>
  <si>
    <t>A_S6020060</t>
  </si>
  <si>
    <t>Settled Pensions</t>
  </si>
  <si>
    <t>S6020080</t>
  </si>
  <si>
    <t>A_S6020080</t>
  </si>
  <si>
    <t>Settled Post Retirement Benefits FAS 106 - Activ</t>
  </si>
  <si>
    <t>S6020090</t>
  </si>
  <si>
    <t>A_S6020090</t>
  </si>
  <si>
    <t>Settled Post Retirememt Benefits FAS 106 - Retir</t>
  </si>
  <si>
    <t>S6020100</t>
  </si>
  <si>
    <t>A_S6020100</t>
  </si>
  <si>
    <t>Settled Long-term Incentive Expense</t>
  </si>
  <si>
    <t>S6020110</t>
  </si>
  <si>
    <t>A_S6020110</t>
  </si>
  <si>
    <t>Settled Employee Wellness</t>
  </si>
  <si>
    <t>S6020130</t>
  </si>
  <si>
    <t>A_S6020130</t>
  </si>
  <si>
    <t>Settled Employer 401K Fixed Match</t>
  </si>
  <si>
    <t>S6020131</t>
  </si>
  <si>
    <t>A_S6020131</t>
  </si>
  <si>
    <t>Settled Employer 401K IBEW Plan Expense</t>
  </si>
  <si>
    <t>S6020150</t>
  </si>
  <si>
    <t>A_S6020150</t>
  </si>
  <si>
    <t>Settled Supplemental Executive Retirement</t>
  </si>
  <si>
    <t>S6020170</t>
  </si>
  <si>
    <t>A_S6020170</t>
  </si>
  <si>
    <t>Settled Long-term Disability - FAS 112</t>
  </si>
  <si>
    <t>S6020180</t>
  </si>
  <si>
    <t>A_S6020180</t>
  </si>
  <si>
    <t>Settled Long-term Disability Premiums</t>
  </si>
  <si>
    <t>Settled Vacations (accrual)</t>
  </si>
  <si>
    <t>S6020230</t>
  </si>
  <si>
    <t>A_S6020230</t>
  </si>
  <si>
    <t>Settled Restoration Benefit Plan Expense</t>
  </si>
  <si>
    <t>S6020800</t>
  </si>
  <si>
    <t>A_S6020800</t>
  </si>
  <si>
    <t>Settled Benefits - Other</t>
  </si>
  <si>
    <t>S6020900</t>
  </si>
  <si>
    <t>A_S6020900</t>
  </si>
  <si>
    <t>Settled Employee Incentive Expense</t>
  </si>
  <si>
    <t>S6020920</t>
  </si>
  <si>
    <t>S6028999</t>
  </si>
  <si>
    <t>A_S6028999</t>
  </si>
  <si>
    <t>Settled Benefits Fringe Reclass</t>
  </si>
  <si>
    <t>S6030000</t>
  </si>
  <si>
    <t>S6030010</t>
  </si>
  <si>
    <t>A_S6030010</t>
  </si>
  <si>
    <t>Settled Empl Exp - Professional Dues Subscription</t>
  </si>
  <si>
    <t>S6030020</t>
  </si>
  <si>
    <t>A_S6030020</t>
  </si>
  <si>
    <t>Settled Empl Exp - Social/Civic Dues</t>
  </si>
  <si>
    <t>S6030030</t>
  </si>
  <si>
    <t>A_S6030030</t>
  </si>
  <si>
    <t>Inactive Account - Do Not Use - Stld Empl Exp - Meals &amp; Ent</t>
  </si>
  <si>
    <t>S6030040</t>
  </si>
  <si>
    <t>A_S6030040</t>
  </si>
  <si>
    <t>Settled Empl Exp - Meals &amp; Entertainment 50% Ded</t>
  </si>
  <si>
    <t>S6030050</t>
  </si>
  <si>
    <t>A_S6030050</t>
  </si>
  <si>
    <t>Settled Empl Exp - Mileage</t>
  </si>
  <si>
    <t>S6030060</t>
  </si>
  <si>
    <t>A_S6030060</t>
  </si>
  <si>
    <t>Settled Empl Exp - Shoes and uniforms</t>
  </si>
  <si>
    <t>S6030070</t>
  </si>
  <si>
    <t>A_S6030070</t>
  </si>
  <si>
    <t>Settled Empl Exp - Training</t>
  </si>
  <si>
    <t>S6030080</t>
  </si>
  <si>
    <t>A_S6030080</t>
  </si>
  <si>
    <t>Settled Empl Exp - Travel and Lodging</t>
  </si>
  <si>
    <t>S6030091</t>
  </si>
  <si>
    <t>A_S6030091</t>
  </si>
  <si>
    <t>Settled Empl Exp - Employee Appreciation and Gift Cards</t>
  </si>
  <si>
    <t>S6030800</t>
  </si>
  <si>
    <t>A_S6030800</t>
  </si>
  <si>
    <t>Settled Empl Exp - Miscellaneous Expense</t>
  </si>
  <si>
    <t>S6038999</t>
  </si>
  <si>
    <t>S6100000</t>
  </si>
  <si>
    <t>S6100010</t>
  </si>
  <si>
    <t>A_S6100010</t>
  </si>
  <si>
    <t>Settled Advertising</t>
  </si>
  <si>
    <t>S6100030</t>
  </si>
  <si>
    <t>A_S6100030</t>
  </si>
  <si>
    <t>Settled Consultants - Audit</t>
  </si>
  <si>
    <t>S6100050</t>
  </si>
  <si>
    <t>A_S6100050</t>
  </si>
  <si>
    <t>Settled Consultants - Environmental</t>
  </si>
  <si>
    <t>S6100060</t>
  </si>
  <si>
    <t>A_S6100060</t>
  </si>
  <si>
    <t>Settled Consultants - Legal</t>
  </si>
  <si>
    <t>S6100070</t>
  </si>
  <si>
    <t>A_S6100070</t>
  </si>
  <si>
    <t>Settled Consultants - Management</t>
  </si>
  <si>
    <t>S6100080</t>
  </si>
  <si>
    <t>A_S6100080</t>
  </si>
  <si>
    <t>Settled Consultants - Other</t>
  </si>
  <si>
    <t>S6100100</t>
  </si>
  <si>
    <t>A_S6100100</t>
  </si>
  <si>
    <t>Settled Contractor Services</t>
  </si>
  <si>
    <t>S6100140</t>
  </si>
  <si>
    <t>A_S6100140</t>
  </si>
  <si>
    <t>Settled Line Clearance</t>
  </si>
  <si>
    <t>S6100150</t>
  </si>
  <si>
    <t>A_S6100150</t>
  </si>
  <si>
    <t>Settled Printing</t>
  </si>
  <si>
    <t>S6100160</t>
  </si>
  <si>
    <t>A_S6100160</t>
  </si>
  <si>
    <t>Settled Security Services</t>
  </si>
  <si>
    <t>S6100170</t>
  </si>
  <si>
    <t>A_S6100170</t>
  </si>
  <si>
    <t>Settled Hardware Maintenance / Services</t>
  </si>
  <si>
    <t>S6100190</t>
  </si>
  <si>
    <t>A_S6100190</t>
  </si>
  <si>
    <t>Settled Software Maintenance</t>
  </si>
  <si>
    <t>S6108999</t>
  </si>
  <si>
    <t>A_S6108999</t>
  </si>
  <si>
    <t>Settled Outside Services Expense Reclass</t>
  </si>
  <si>
    <t>S6400000</t>
  </si>
  <si>
    <t>S6400010</t>
  </si>
  <si>
    <t>A_S6400010</t>
  </si>
  <si>
    <t>Settled Mat &amp; Supp - Furniture &amp; Computer</t>
  </si>
  <si>
    <t>S6400020</t>
  </si>
  <si>
    <t>A_S6400020</t>
  </si>
  <si>
    <t>Settled Mat &amp; Supp - General and Office</t>
  </si>
  <si>
    <t>S6400030</t>
  </si>
  <si>
    <t>A_S6400030</t>
  </si>
  <si>
    <t>Settled Mat &amp; Supp - Chemicals</t>
  </si>
  <si>
    <t>S6400040</t>
  </si>
  <si>
    <t>A_S6400040</t>
  </si>
  <si>
    <t>Settled Mat &amp; Supp - Laboratory material</t>
  </si>
  <si>
    <t>S6400050</t>
  </si>
  <si>
    <t>A_S6400050</t>
  </si>
  <si>
    <t>Settled Mat &amp; Supp - Lubricants</t>
  </si>
  <si>
    <t>S6400060</t>
  </si>
  <si>
    <t>A_S6400060</t>
  </si>
  <si>
    <t>Settled Mat &amp; Supp - Operations Consumables</t>
  </si>
  <si>
    <t>S6400070</t>
  </si>
  <si>
    <t>A_S6400070</t>
  </si>
  <si>
    <t>Settled Mat &amp; Supp - Safety/First Aid Supplies</t>
  </si>
  <si>
    <t>S6400100</t>
  </si>
  <si>
    <t>A_S6400100</t>
  </si>
  <si>
    <t>Settled Mat &amp; Supp - Outside Material Purchases</t>
  </si>
  <si>
    <t>S6400510</t>
  </si>
  <si>
    <t>A_S6400510</t>
  </si>
  <si>
    <t>Settled Mat &amp; Supp - Small Tools</t>
  </si>
  <si>
    <t>S6401000</t>
  </si>
  <si>
    <t>A_S6401000</t>
  </si>
  <si>
    <t>Settled M&amp;S Inventory Issues</t>
  </si>
  <si>
    <t>S6500000</t>
  </si>
  <si>
    <t>S6500010</t>
  </si>
  <si>
    <t>A_S6500010</t>
  </si>
  <si>
    <t>Settled Transportation - Vehicle expense</t>
  </si>
  <si>
    <t>S6700502</t>
  </si>
  <si>
    <t>A_S6700502</t>
  </si>
  <si>
    <t>Settled Insurance - Brokerage Fees</t>
  </si>
  <si>
    <t>S6700503</t>
  </si>
  <si>
    <t>A_S6700503</t>
  </si>
  <si>
    <t>Settled Insurance - Crime &amp; Fidelity</t>
  </si>
  <si>
    <t>S6700504</t>
  </si>
  <si>
    <t>A_S6700504</t>
  </si>
  <si>
    <t>Settled Insurance - Directors &amp; Officers</t>
  </si>
  <si>
    <t>S6700505</t>
  </si>
  <si>
    <t>A_S6700505</t>
  </si>
  <si>
    <t>Settled Insurance - Errors and Omissions</t>
  </si>
  <si>
    <t>S6700507</t>
  </si>
  <si>
    <t>A_S6700507</t>
  </si>
  <si>
    <t>Settled Insurance - Excess General Liability</t>
  </si>
  <si>
    <t>S6700508</t>
  </si>
  <si>
    <t>A_S6700508</t>
  </si>
  <si>
    <t>Settled Insurance - Fiduciary</t>
  </si>
  <si>
    <t>S6700509</t>
  </si>
  <si>
    <t>A_S6700509</t>
  </si>
  <si>
    <t>Settled Insurance - I&amp;D Reserves</t>
  </si>
  <si>
    <t>S6700510</t>
  </si>
  <si>
    <t>A_S6700510</t>
  </si>
  <si>
    <t>Settled Insurance - Longshoremen's Compensation</t>
  </si>
  <si>
    <t>S6700514</t>
  </si>
  <si>
    <t>A_S6700514</t>
  </si>
  <si>
    <t>Settled Insurance - Property</t>
  </si>
  <si>
    <t>S6700515</t>
  </si>
  <si>
    <t>A_S6700515</t>
  </si>
  <si>
    <t>Settled Insurance - Punitive Damages</t>
  </si>
  <si>
    <t>S6700516</t>
  </si>
  <si>
    <t>A_S6700516</t>
  </si>
  <si>
    <t>Settled Insurance - Special Risk</t>
  </si>
  <si>
    <t>S6700517</t>
  </si>
  <si>
    <t>S6700518</t>
  </si>
  <si>
    <t>A_S6700518</t>
  </si>
  <si>
    <t>Settled Insurance - Travel Accident</t>
  </si>
  <si>
    <t>S6700519</t>
  </si>
  <si>
    <t>A_S6700519</t>
  </si>
  <si>
    <t>Settled Insurance - Workers Compensation - Exces</t>
  </si>
  <si>
    <t>S6700521</t>
  </si>
  <si>
    <t>A_S6700521</t>
  </si>
  <si>
    <t>Settled Insurance - Solar</t>
  </si>
  <si>
    <t>S6700599</t>
  </si>
  <si>
    <t>A_S6700599</t>
  </si>
  <si>
    <t>Settled Insurance - Other</t>
  </si>
  <si>
    <t>S6710040</t>
  </si>
  <si>
    <t>A_S6710040</t>
  </si>
  <si>
    <t>Settled Short-term Rent - Office Space</t>
  </si>
  <si>
    <t>S6710700</t>
  </si>
  <si>
    <t>A_S6710700</t>
  </si>
  <si>
    <t>Settled Short-term Rent - Intercompany</t>
  </si>
  <si>
    <t>S6710800</t>
  </si>
  <si>
    <t>A_S6710800</t>
  </si>
  <si>
    <t>Settled Short-term Rent - Other</t>
  </si>
  <si>
    <t>S6720010</t>
  </si>
  <si>
    <t>A_S6720010</t>
  </si>
  <si>
    <t>Settled Long-term Lease - Building</t>
  </si>
  <si>
    <t>S6720060</t>
  </si>
  <si>
    <t>A_S6720060</t>
  </si>
  <si>
    <t>Settled Long-term Lease - Variable Lease</t>
  </si>
  <si>
    <t>S6720800</t>
  </si>
  <si>
    <t>A_S6720800</t>
  </si>
  <si>
    <t>Settled Long-term Lease - Other</t>
  </si>
  <si>
    <t>S6730000</t>
  </si>
  <si>
    <t>S6730030</t>
  </si>
  <si>
    <t>A_S6730030</t>
  </si>
  <si>
    <t>Settled Utilities - Telecom</t>
  </si>
  <si>
    <t>S6730050</t>
  </si>
  <si>
    <t>A_S6730050</t>
  </si>
  <si>
    <t>Settled Utilities - Waste &amp; Trash Management</t>
  </si>
  <si>
    <t>S6730060</t>
  </si>
  <si>
    <t>A_S6730060</t>
  </si>
  <si>
    <t>Settled Utilities - Water</t>
  </si>
  <si>
    <t>S6780030</t>
  </si>
  <si>
    <t>A_S6780030</t>
  </si>
  <si>
    <t>Settled Miscellaneous Billing Exp Chargeable Pro</t>
  </si>
  <si>
    <t>S6780800</t>
  </si>
  <si>
    <t>A_S6780800</t>
  </si>
  <si>
    <t>Settled Miscellaneous Billing Exp General</t>
  </si>
  <si>
    <t>S6790000</t>
  </si>
  <si>
    <t>S6790010</t>
  </si>
  <si>
    <t>A_S6790010</t>
  </si>
  <si>
    <t>Settled Bad Debt Expense AR CIS</t>
  </si>
  <si>
    <t>S6790030</t>
  </si>
  <si>
    <t>A_S6790030</t>
  </si>
  <si>
    <t>Settled Director's Expenses</t>
  </si>
  <si>
    <t>S6790050</t>
  </si>
  <si>
    <t>A_S6790050</t>
  </si>
  <si>
    <t>Settled Deferred Compensation</t>
  </si>
  <si>
    <t>S6790060</t>
  </si>
  <si>
    <t>A_S6790060</t>
  </si>
  <si>
    <t>Settled Industry Dues</t>
  </si>
  <si>
    <t>S6790090</t>
  </si>
  <si>
    <t>A_S6790090</t>
  </si>
  <si>
    <t>Settled Donations - Charitable (501c)</t>
  </si>
  <si>
    <t>S6790091</t>
  </si>
  <si>
    <t>A_S6790091</t>
  </si>
  <si>
    <t>Settled Donations - Non deductible</t>
  </si>
  <si>
    <t>S6790101</t>
  </si>
  <si>
    <t>A_S6790101</t>
  </si>
  <si>
    <t>Settled Fees - Bank</t>
  </si>
  <si>
    <t>S6790102</t>
  </si>
  <si>
    <t>A_S6790102</t>
  </si>
  <si>
    <t>Settled Fees - Report Filing</t>
  </si>
  <si>
    <t>S6790103</t>
  </si>
  <si>
    <t>A_S6790103</t>
  </si>
  <si>
    <t>Settled Fees - Registration</t>
  </si>
  <si>
    <t>S6790199</t>
  </si>
  <si>
    <t>A_S6790199</t>
  </si>
  <si>
    <t>Settled Fees - Miscellaneous</t>
  </si>
  <si>
    <t>S6790200</t>
  </si>
  <si>
    <t>A_S6790200</t>
  </si>
  <si>
    <t>Settled Penalties</t>
  </si>
  <si>
    <t>S6790210</t>
  </si>
  <si>
    <t>A_S6790210</t>
  </si>
  <si>
    <t>Settled Permitting</t>
  </si>
  <si>
    <t>S6790220</t>
  </si>
  <si>
    <t>S6790230</t>
  </si>
  <si>
    <t>A_S6790230</t>
  </si>
  <si>
    <t>Settled Postage Shipping and Courier</t>
  </si>
  <si>
    <t>S6790310</t>
  </si>
  <si>
    <t>A_S6790310</t>
  </si>
  <si>
    <t>Settled A&amp;G Allocated to Capital</t>
  </si>
  <si>
    <t>S6790320</t>
  </si>
  <si>
    <t>A_S6790320</t>
  </si>
  <si>
    <t>Settled Fleet Allocation</t>
  </si>
  <si>
    <t>S6790321</t>
  </si>
  <si>
    <t>A_S6790321</t>
  </si>
  <si>
    <t>Settled Stores Allocation</t>
  </si>
  <si>
    <t>S6790322</t>
  </si>
  <si>
    <t>S6790323</t>
  </si>
  <si>
    <t>S6790704</t>
  </si>
  <si>
    <t>A_S6790704</t>
  </si>
  <si>
    <t>Settled Intercompany Support Services</t>
  </si>
  <si>
    <t>S6790800</t>
  </si>
  <si>
    <t>A_S6790800</t>
  </si>
  <si>
    <t>Settled Other Operational Expense - Misc</t>
  </si>
  <si>
    <t>S6798999</t>
  </si>
  <si>
    <t>A_S6798999</t>
  </si>
  <si>
    <t>Settled Other Operational Expense Reclas</t>
  </si>
  <si>
    <t>S6800120</t>
  </si>
  <si>
    <t>A_S6800120</t>
  </si>
  <si>
    <t>Settled Amortization - Financing Lease</t>
  </si>
  <si>
    <t>S6810025</t>
  </si>
  <si>
    <t>A_S6810025</t>
  </si>
  <si>
    <t>Settled Depreciation - Non-Utility Property BTL</t>
  </si>
  <si>
    <t>S6900048</t>
  </si>
  <si>
    <t>A_S6900048</t>
  </si>
  <si>
    <t>Settled TOTI - Payroll Tax - Incentives</t>
  </si>
  <si>
    <t>S6900049</t>
  </si>
  <si>
    <t>A_S6900049</t>
  </si>
  <si>
    <t>Settled TOTI - Payroll Tax Reclass</t>
  </si>
  <si>
    <t>S7000700</t>
  </si>
  <si>
    <t>S7100400</t>
  </si>
  <si>
    <t>A_S7100400</t>
  </si>
  <si>
    <t>Settled Gain/(Loss) Sale of Non-Utility</t>
  </si>
  <si>
    <t>S7101000</t>
  </si>
  <si>
    <t>S7103030</t>
  </si>
  <si>
    <t>A_S7103030</t>
  </si>
  <si>
    <t>Settled Zap Cap for Business Revenue</t>
  </si>
  <si>
    <t>S7103035</t>
  </si>
  <si>
    <t>A_S7103035</t>
  </si>
  <si>
    <t>Settled Other Lighting Revenue - Unregulated</t>
  </si>
  <si>
    <t>S7103040</t>
  </si>
  <si>
    <t>A_S7103040</t>
  </si>
  <si>
    <t>Settled Residential Zap Cap Revenue</t>
  </si>
  <si>
    <t>S7201100</t>
  </si>
  <si>
    <t>A_S7201100</t>
  </si>
  <si>
    <t>Settled Amortization of loss on reaquired debt</t>
  </si>
  <si>
    <t>S7500030</t>
  </si>
  <si>
    <t>A_S7500030</t>
  </si>
  <si>
    <t>Settled Interest Exp - Customer Deposits</t>
  </si>
  <si>
    <t>S7500060</t>
  </si>
  <si>
    <t>A_S7500060</t>
  </si>
  <si>
    <t>Settled Interest Exp - Financing Lease</t>
  </si>
  <si>
    <t>S7500080</t>
  </si>
  <si>
    <t>A_S7500080</t>
  </si>
  <si>
    <t>Settled Interest Exp - Credit Facilities</t>
  </si>
  <si>
    <t>S7500090</t>
  </si>
  <si>
    <t>A_S7500090</t>
  </si>
  <si>
    <t>Settled Interest Exp - Other Short Term Borrowing</t>
  </si>
  <si>
    <t>S7500110</t>
  </si>
  <si>
    <t>A_S7500110</t>
  </si>
  <si>
    <t>Settled Interest Exp - Long-term Debt</t>
  </si>
  <si>
    <t>S7500120</t>
  </si>
  <si>
    <t>A_S7500120</t>
  </si>
  <si>
    <t>Settled Interest Exp - Amortiz Discount</t>
  </si>
  <si>
    <t>S7500130</t>
  </si>
  <si>
    <t>A_S7500130</t>
  </si>
  <si>
    <t>Settled Interest Exp - Amortiz of Fees L</t>
  </si>
  <si>
    <t>407</t>
  </si>
  <si>
    <t>440</t>
  </si>
  <si>
    <t>442</t>
  </si>
  <si>
    <t>444</t>
  </si>
  <si>
    <t>445</t>
  </si>
  <si>
    <t>447</t>
  </si>
  <si>
    <t>601</t>
  </si>
  <si>
    <t>602</t>
  </si>
  <si>
    <t>603</t>
  </si>
  <si>
    <t>610</t>
  </si>
  <si>
    <t>620</t>
  </si>
  <si>
    <t>625</t>
  </si>
  <si>
    <t>640</t>
  </si>
  <si>
    <t>650</t>
  </si>
  <si>
    <t>670</t>
  </si>
  <si>
    <t>671</t>
  </si>
  <si>
    <t>672</t>
  </si>
  <si>
    <t>673</t>
  </si>
  <si>
    <t>678</t>
  </si>
  <si>
    <t>679</t>
  </si>
  <si>
    <t>680</t>
  </si>
  <si>
    <t>681</t>
  </si>
  <si>
    <t>690</t>
  </si>
  <si>
    <t>700</t>
  </si>
  <si>
    <t>710</t>
  </si>
  <si>
    <t>720</t>
  </si>
  <si>
    <t>750</t>
  </si>
  <si>
    <t>800</t>
  </si>
  <si>
    <t>801</t>
  </si>
  <si>
    <t>890</t>
  </si>
  <si>
    <t xml:space="preserve">-   </t>
  </si>
  <si>
    <t>Provide the depreciation rate and plant balances for each account or sub-account to which</t>
  </si>
  <si>
    <t>a separate depreciation rate is prescribed. (Include Amortization/Recovery schedule amounts).</t>
  </si>
  <si>
    <t>XX</t>
  </si>
  <si>
    <t>DOCKET No. XXX</t>
  </si>
  <si>
    <t>(Dollars in cents)</t>
  </si>
  <si>
    <t>Witness: D. Avellan</t>
  </si>
  <si>
    <t>Big Bend Tools - Amort</t>
  </si>
  <si>
    <t>BIG BEND COMBUSTION TURBINE 4</t>
  </si>
  <si>
    <t>TOTAL BIG BEND COMBUSTION TURBINE 4</t>
  </si>
  <si>
    <t xml:space="preserve">BIG BEND COMBUSTION TURBINE 5 </t>
  </si>
  <si>
    <t>TOTAL BIG BEND COMBUSTION TURBINE 5</t>
  </si>
  <si>
    <t>BIG BEND COMBUSTION TURBINE 6</t>
  </si>
  <si>
    <t>TOTAL BIG BEND COMBUSTION TURBINE 6</t>
  </si>
  <si>
    <t>BIG BEND NEW STEAM TURBINE 1</t>
  </si>
  <si>
    <t>TOTAL BIG BEND NEW STEAM TURBINE 1</t>
  </si>
  <si>
    <t>POLK CCST (2-5)</t>
  </si>
  <si>
    <t>TOTAL POLK CCST (2-5)</t>
  </si>
  <si>
    <t>Polk Tools - Amort</t>
  </si>
  <si>
    <t>Bayside Tools - Amort</t>
  </si>
  <si>
    <t>SOLAR SITES</t>
  </si>
  <si>
    <t xml:space="preserve">  Energy Battery Storage Equipment</t>
  </si>
  <si>
    <t>TOTAL SOLAR SITES</t>
  </si>
  <si>
    <t>DC MICRO GRID</t>
  </si>
  <si>
    <t>TOTAL DC MICRO GRID</t>
  </si>
  <si>
    <t>ENERGY BATTERY STORAGE EQUIPMENT</t>
  </si>
  <si>
    <t>STREET LIGHTING - LS2</t>
  </si>
  <si>
    <t>TOTAL NON-DEPRECIABLE PROPERTY</t>
  </si>
  <si>
    <t>LEASE NON-DEPRECIABLE LAND</t>
  </si>
  <si>
    <t>RIGHT OF USE ASSET-CAPITAL LEASE</t>
  </si>
  <si>
    <t>TOTAL ELECTRIC PLANT IN SERVICE</t>
  </si>
  <si>
    <t>an individual depreciation rate is applied. (Include Amortization/Recovery amounts).</t>
  </si>
  <si>
    <t>Supporting Schedules:  B-10, B-11</t>
  </si>
  <si>
    <t>303.02 ARO Costs-Intangible</t>
  </si>
  <si>
    <t>303.15 Intangible Software 15yr</t>
  </si>
  <si>
    <t>310.11 Land &amp; LR-Dinner Lake</t>
  </si>
  <si>
    <t>311.31 Str &amp; Improvements-BP1</t>
  </si>
  <si>
    <t>311.32 Str &amp; Improvements-BP2</t>
  </si>
  <si>
    <t>311.33 Str &amp; Improvements-BP3</t>
  </si>
  <si>
    <t>311.34 Str &amp; Improvements-BP4</t>
  </si>
  <si>
    <t>311.75 Str &amp; Improvements-BPC</t>
  </si>
  <si>
    <t>311.78 Str &amp; Improvements-BP3</t>
  </si>
  <si>
    <t>311.79 Str &amp; Improvements-BP4</t>
  </si>
  <si>
    <t>312.30 Boiler Plant Eq-BPC</t>
  </si>
  <si>
    <t>312.31 Boiler Plant Eq-BP1</t>
  </si>
  <si>
    <t>312.32 Boiler Plant Eq-BP2</t>
  </si>
  <si>
    <t>312.47 Fuel Clause Big Bend</t>
  </si>
  <si>
    <t>312.75 Boiler Plant Eq-BPC</t>
  </si>
  <si>
    <t>314.30 Turbogenerator Units-BPC</t>
  </si>
  <si>
    <t>314.31 Turbogenerator Units-BP1</t>
  </si>
  <si>
    <t>314.32 Turbogenerator Units-BP2</t>
  </si>
  <si>
    <t>314.33 Turbogenerator Units-BP3</t>
  </si>
  <si>
    <t>314.34 Turbogenerator Units-BP4</t>
  </si>
  <si>
    <t>315.30 Accessory Electric Eq-BPC</t>
  </si>
  <si>
    <t>315.31 Accessory Electric Eq-BP1</t>
  </si>
  <si>
    <t>315.32 Accessory Electric Eq-BP2</t>
  </si>
  <si>
    <t>315.33 Accessory Electric Eq-BP3</t>
  </si>
  <si>
    <t>315.34 Accessory Electric Eq-BP4</t>
  </si>
  <si>
    <t>316.31 Misc Power Plant Eq-BP1</t>
  </si>
  <si>
    <t>316.32 Misc Power Plant Eq-BP2</t>
  </si>
  <si>
    <t>316.33 Misc Power Plant Eq-BP3</t>
  </si>
  <si>
    <t>316.34 Misc Power Plant Eq-BP4</t>
  </si>
  <si>
    <t>340.42 Land &amp; Land Rights-BBCT1&amp;3</t>
  </si>
  <si>
    <t>341.42 Str and Improvements-BBCT2&amp;3</t>
  </si>
  <si>
    <t>341.43 Str and Improvements-BBCCST1</t>
  </si>
  <si>
    <t>341.45 Str and Improvements-BBCT5</t>
  </si>
  <si>
    <t>341.46 Str and Improvements-BBCT6</t>
  </si>
  <si>
    <t>342.42 Fuel Holders,ProdAcc-BBCT2&amp;3</t>
  </si>
  <si>
    <t>342.43 Fuel Holders,ProdAcc-BBCCST1</t>
  </si>
  <si>
    <t>342.45 Fuel Holders,Prod Acc-BBCT5</t>
  </si>
  <si>
    <t>342.46 Fuel Holders,Prod Acc-BBCT6</t>
  </si>
  <si>
    <t>343.41 Prime Movers-BBCT1</t>
  </si>
  <si>
    <t>343.43 Prime Movers-BBCCST1</t>
  </si>
  <si>
    <t>343.52 Prime Movers-Gannon Dismantl</t>
  </si>
  <si>
    <t>345.42 Accessory Elect Eq-BBCT2&amp;3</t>
  </si>
  <si>
    <t>345.43 Accessory ElectricEq-BBCCST1</t>
  </si>
  <si>
    <t>345.45 Accessory Electric Eq-BBCT5</t>
  </si>
  <si>
    <t>345.46 Accessory Electric Eq-BBCT6</t>
  </si>
  <si>
    <t>346.41 Misc Power Plant Eq-BBCT1</t>
  </si>
  <si>
    <t>346.43 Misc Power Plant Eq-BBCCST1</t>
  </si>
  <si>
    <t>346.45 Misc Power Plant Eq-BBCT5</t>
  </si>
  <si>
    <t>346.46 Misc Power Plant Eq-BBCT6</t>
  </si>
  <si>
    <t>351.00 Energy Storage Battery Equip</t>
  </si>
  <si>
    <t>359.10 ARO Costs-Transmission</t>
  </si>
  <si>
    <t>363.00 Energy Storage Battery Equip</t>
  </si>
  <si>
    <t>368.00 Line Transformers OH,UG,Net</t>
  </si>
  <si>
    <t>392.01 Trans Equipment - Invalid</t>
  </si>
  <si>
    <t>394.01 ECCR Solar Car Port 5y</t>
  </si>
  <si>
    <t>394.03 Tool Vehicles 7yr - Invalid</t>
  </si>
  <si>
    <t>FUNC ROLL</t>
  </si>
  <si>
    <t>Manual</t>
  </si>
  <si>
    <t>Calc</t>
  </si>
  <si>
    <t>B69</t>
  </si>
  <si>
    <t>Coal Handling Equipment-B69-O</t>
  </si>
  <si>
    <t>C27</t>
  </si>
  <si>
    <t>Oxidation-C27-O</t>
  </si>
  <si>
    <t>THE NUMBERS I USE ARE IN ROW 160 BELOW</t>
  </si>
  <si>
    <t>Spread to gasifier, comes from various pieces</t>
  </si>
  <si>
    <t>5% ponds &amp; storage</t>
  </si>
  <si>
    <t>50/50 split</t>
  </si>
  <si>
    <t>COS Splits</t>
  </si>
  <si>
    <t>Ratio</t>
  </si>
  <si>
    <r>
      <t>SO</t>
    </r>
    <r>
      <rPr>
        <vertAlign val="subscript"/>
        <sz val="14"/>
        <rFont val="Arial"/>
        <family val="2"/>
      </rPr>
      <t>2</t>
    </r>
    <r>
      <rPr>
        <sz val="14"/>
        <rFont val="Arial"/>
        <family val="2"/>
      </rPr>
      <t xml:space="preserve"> Emissions Allowances</t>
    </r>
  </si>
  <si>
    <r>
      <t>Polk NO</t>
    </r>
    <r>
      <rPr>
        <vertAlign val="subscript"/>
        <sz val="14"/>
        <rFont val="Arial"/>
        <family val="2"/>
      </rPr>
      <t xml:space="preserve">x </t>
    </r>
    <r>
      <rPr>
        <sz val="14"/>
        <rFont val="Arial"/>
        <family val="2"/>
      </rPr>
      <t>Emissions Reduction</t>
    </r>
  </si>
  <si>
    <t xml:space="preserve">Big Bend Unit 1 Sec. 316(b) Impingement Mortality </t>
  </si>
  <si>
    <r>
      <t>Total of O&amp;M Activities</t>
    </r>
    <r>
      <rPr>
        <vertAlign val="superscript"/>
        <sz val="9.1"/>
        <rFont val="Arial"/>
        <family val="2"/>
      </rPr>
      <t xml:space="preserve"> </t>
    </r>
  </si>
  <si>
    <t>ck</t>
  </si>
  <si>
    <t>LUG</t>
  </si>
  <si>
    <t>TAU</t>
  </si>
  <si>
    <t>FH</t>
  </si>
  <si>
    <t>TXE</t>
  </si>
  <si>
    <t>Crown Castle Fiber</t>
  </si>
  <si>
    <t>FPL FIBERNET</t>
  </si>
  <si>
    <t>ICC</t>
  </si>
  <si>
    <t>MCI Metro</t>
  </si>
  <si>
    <t>TW TELECOM</t>
  </si>
  <si>
    <t>Frontier (Formerly Verizon)</t>
  </si>
  <si>
    <t>Big Bend ST1</t>
  </si>
  <si>
    <t>Juniper Solar</t>
  </si>
  <si>
    <t>111T-WAHNETA SUBSTATION</t>
  </si>
  <si>
    <t>196T-MOSAIC FT GREEN METERING SUBST</t>
  </si>
  <si>
    <t>813T- LAUREL OAKS SOLAR</t>
  </si>
  <si>
    <t>820T-RIVERSIDE SOLAR SUBST</t>
  </si>
  <si>
    <t>BIG BEND CT 5</t>
  </si>
  <si>
    <t>BIG BEND CT 6</t>
  </si>
  <si>
    <t>BIG BEND ST 1 for CT 5&amp;6</t>
  </si>
  <si>
    <t>453D-PACE RD</t>
  </si>
  <si>
    <t>504D-TUCKER JONES ROAD SUBST</t>
  </si>
  <si>
    <t>Property Insurance Values</t>
  </si>
  <si>
    <t>BALM SOLAR</t>
  </si>
  <si>
    <t>14101 Dupree Road, 14530 Highway 672, Wimauma</t>
  </si>
  <si>
    <t>27.767 / -82.234</t>
  </si>
  <si>
    <t>PAYNE CREEK SOLAR</t>
  </si>
  <si>
    <t>5473 Fort Green Road, Bowling Green</t>
  </si>
  <si>
    <t>27.668 / -81.965</t>
  </si>
  <si>
    <t>27.68’94”N, 82.20’43”W</t>
  </si>
  <si>
    <t>27.91’63”N, 81.81’15”W</t>
  </si>
  <si>
    <t>27°56'7.60"N, 81°52'59.27"W</t>
  </si>
  <si>
    <t>27.73’03.87”N, 82.26’35.48”W</t>
  </si>
  <si>
    <t>27.41’11.82”N, 82.25’03.45”W</t>
  </si>
  <si>
    <t>27.59’18.84”N, 81.41’27.57”W</t>
  </si>
  <si>
    <t>5050 SR60 Mulberry, FL 33860</t>
  </si>
  <si>
    <t>27°55'3.78"N, 82° 2'55.31"W</t>
  </si>
  <si>
    <t xml:space="preserve">Big Bend II &amp; (Agrivoltaics Solar + $2M to be completed in Feb 2022) </t>
  </si>
  <si>
    <t>27.46’50.91”N, 82.23’07.61”W</t>
  </si>
  <si>
    <t xml:space="preserve">Mountain View </t>
  </si>
  <si>
    <t>28.23’51.79”N, 82.12’47.10”W</t>
  </si>
  <si>
    <t>27.48’23.31”N, 81.57’14.00”W</t>
  </si>
  <si>
    <t>Laurel Oaks</t>
  </si>
  <si>
    <t>Riverside</t>
  </si>
  <si>
    <t>Big Bend II Phase II</t>
  </si>
  <si>
    <t>Juniper</t>
  </si>
  <si>
    <t>Pace Road</t>
  </si>
  <si>
    <t>Steamstrong</t>
  </si>
  <si>
    <t>Wolf Branch</t>
  </si>
  <si>
    <t>bought for future expansion, empty land</t>
  </si>
  <si>
    <t>new</t>
  </si>
  <si>
    <t>Total Assets per tab</t>
  </si>
  <si>
    <t>Variance to Total Assets per Balance Sheet</t>
  </si>
  <si>
    <t>Excluded: B/S Account 115 - Accum Provision Amort Plant Acquisition Adjustment</t>
  </si>
  <si>
    <t>Excluded: B/S Account 189 - Unamortized Loss on Reacquired Debt</t>
  </si>
  <si>
    <t>BB5</t>
  </si>
  <si>
    <t>BB6</t>
  </si>
  <si>
    <t>BBCC1</t>
  </si>
  <si>
    <t>813T</t>
  </si>
  <si>
    <t>820T</t>
  </si>
  <si>
    <t>111T</t>
  </si>
  <si>
    <t>Input TAB</t>
  </si>
  <si>
    <t>Total Detail Less GSU</t>
  </si>
  <si>
    <t>Non-utilized</t>
  </si>
  <si>
    <t>453D</t>
  </si>
  <si>
    <t>504D</t>
  </si>
  <si>
    <t xml:space="preserve">   Non-utility</t>
  </si>
  <si>
    <t>Clause Adjustments</t>
  </si>
  <si>
    <t>9121000</t>
  </si>
  <si>
    <t>9122000</t>
  </si>
  <si>
    <t>9123000</t>
  </si>
  <si>
    <t>9123100</t>
  </si>
  <si>
    <t>9124000</t>
  </si>
  <si>
    <t>9131000</t>
  </si>
  <si>
    <t>9134000</t>
  </si>
  <si>
    <t>9135000</t>
  </si>
  <si>
    <t>9136000</t>
  </si>
  <si>
    <t>9141000</t>
  </si>
  <si>
    <t>9142000</t>
  </si>
  <si>
    <t>9143000</t>
  </si>
  <si>
    <t>9144000</t>
  </si>
  <si>
    <t>9145000</t>
  </si>
  <si>
    <t>9146000</t>
  </si>
  <si>
    <t>9151000</t>
  </si>
  <si>
    <t>9152000</t>
  </si>
  <si>
    <t>9153000</t>
  </si>
  <si>
    <t>9154000</t>
  </si>
  <si>
    <t>9158100</t>
  </si>
  <si>
    <t>9158200</t>
  </si>
  <si>
    <t>9163000</t>
  </si>
  <si>
    <t>9165000</t>
  </si>
  <si>
    <t>9171000</t>
  </si>
  <si>
    <t>9173000</t>
  </si>
  <si>
    <t>9176000</t>
  </si>
  <si>
    <t>9182100</t>
  </si>
  <si>
    <t>9182200</t>
  </si>
  <si>
    <t>9182300</t>
  </si>
  <si>
    <t>1823610</t>
  </si>
  <si>
    <t>9183000</t>
  </si>
  <si>
    <t>9184000</t>
  </si>
  <si>
    <t>9186000</t>
  </si>
  <si>
    <t>9188000</t>
  </si>
  <si>
    <t>SEC./SEC</t>
  </si>
  <si>
    <t>New GSLDPR</t>
  </si>
  <si>
    <t>New GSLDSU</t>
  </si>
  <si>
    <t>NEW GSLDTPR</t>
  </si>
  <si>
    <t>NEW GSLDTSU</t>
  </si>
  <si>
    <t>Trans/TRANS</t>
  </si>
  <si>
    <t>Clause</t>
  </si>
  <si>
    <t>Unamort.</t>
  </si>
  <si>
    <t>Rate Case</t>
  </si>
  <si>
    <t>Shared Debt</t>
  </si>
  <si>
    <t>Adjustment</t>
  </si>
  <si>
    <t>CLAUSE ADJUSTMENTS</t>
  </si>
  <si>
    <t>LEASE</t>
  </si>
  <si>
    <t>UNAMORT RATE CASE</t>
  </si>
  <si>
    <t>SHARED DEBT ADJ</t>
  </si>
  <si>
    <t>SBLDTPR</t>
  </si>
  <si>
    <t>SBLDTSU</t>
  </si>
  <si>
    <t>FOR COST OF SERVICE INPUTS</t>
  </si>
  <si>
    <t>Lighting: LS</t>
  </si>
  <si>
    <t>LS ENERGY (kWh)</t>
  </si>
  <si>
    <t>TOTAL LIGHTING ENERGY (kWh)</t>
  </si>
  <si>
    <t>LS REVENUES ($)</t>
  </si>
  <si>
    <t>TOTAL LIGHTING REVENUES</t>
  </si>
  <si>
    <t>IND</t>
  </si>
  <si>
    <t>GOV</t>
  </si>
  <si>
    <t>LS1</t>
  </si>
  <si>
    <t>Lighting Energy Charge</t>
  </si>
  <si>
    <t>Lighting Facilities &amp; Maintenance Charges</t>
  </si>
  <si>
    <t>LS2 Total Charges</t>
  </si>
  <si>
    <t>total base rev per I/S</t>
  </si>
  <si>
    <t>GSD, GSD Option, GSDT, RSD, SBFT, GSDR</t>
  </si>
  <si>
    <t>SR 2.2 - Income Taxes</t>
  </si>
  <si>
    <t>SR 2.2 - Deferred IT</t>
  </si>
  <si>
    <t>SR 2.2 - ITC</t>
  </si>
  <si>
    <t>REPORTS - Total IT</t>
  </si>
  <si>
    <t>Hardcoded Adjustment</t>
  </si>
  <si>
    <t>SR</t>
  </si>
  <si>
    <t>I/S</t>
  </si>
  <si>
    <t>Fuel Revenues</t>
  </si>
  <si>
    <t>Cap Revenues</t>
  </si>
  <si>
    <t>Deferred Fuel Revenues</t>
  </si>
  <si>
    <t>Deferred Cap Revenues</t>
  </si>
  <si>
    <t>Interchange Sales</t>
  </si>
  <si>
    <t>GPIF/AOM</t>
  </si>
  <si>
    <t>Fuel Adjustment</t>
  </si>
  <si>
    <t>ECRC Adjustment</t>
  </si>
  <si>
    <t>ECCR Adjustment</t>
  </si>
  <si>
    <t>BIG BEND I SOLAR SUBST</t>
  </si>
  <si>
    <t>817T- BIG BEND II SOLAR SUBST</t>
  </si>
  <si>
    <t>TAMPA ELECTRIC GSU ASSET COST</t>
  </si>
  <si>
    <t>Per Report</t>
  </si>
  <si>
    <t>CHECK</t>
  </si>
  <si>
    <t>Production per B-7</t>
  </si>
  <si>
    <t>Production per tab</t>
  </si>
  <si>
    <t>Reduction - SR Adjustments</t>
  </si>
  <si>
    <t>Addition - Gen Land</t>
  </si>
  <si>
    <t>Big Bend per B-7</t>
  </si>
  <si>
    <t>Big Bend per tab</t>
  </si>
  <si>
    <t>Bayside per B-7</t>
  </si>
  <si>
    <t>Bayside per tab</t>
  </si>
  <si>
    <t>Polk per tab</t>
  </si>
  <si>
    <t>Polk per B-7</t>
  </si>
  <si>
    <t>Solar per B-7</t>
  </si>
  <si>
    <t>Solar per tab</t>
  </si>
  <si>
    <t>Check per tab</t>
  </si>
  <si>
    <t>Check per B-7</t>
  </si>
  <si>
    <t>Fossil per tab</t>
  </si>
  <si>
    <t>Production per B-9</t>
  </si>
  <si>
    <t>Big Bend per B-9</t>
  </si>
  <si>
    <t>Bayside per B-9</t>
  </si>
  <si>
    <t>Polk per B-9</t>
  </si>
  <si>
    <t>Solar per B-9</t>
  </si>
  <si>
    <t>Fossil per B-9</t>
  </si>
  <si>
    <t>Check per B-9</t>
  </si>
  <si>
    <t>Transmission per B-7</t>
  </si>
  <si>
    <t xml:space="preserve">Transmission per tab </t>
  </si>
  <si>
    <t>Reduction - SPP Trans</t>
  </si>
  <si>
    <t>Addition - Land</t>
  </si>
  <si>
    <t>350 per B-7</t>
  </si>
  <si>
    <t>350 per tab</t>
  </si>
  <si>
    <t>352&amp;353 per B-7</t>
  </si>
  <si>
    <t>352&amp;353 per tab</t>
  </si>
  <si>
    <t>354-359 per B-7</t>
  </si>
  <si>
    <t>354-359 per tab</t>
  </si>
  <si>
    <t>Transmission per B-9</t>
  </si>
  <si>
    <t>350 per B-9</t>
  </si>
  <si>
    <t>352&amp;353 per B-9</t>
  </si>
  <si>
    <t>354-359 per B-9</t>
  </si>
  <si>
    <t>SPP General Plant:</t>
  </si>
  <si>
    <t>TOTAL COMPANY SPP - General Plant Adjustments</t>
  </si>
  <si>
    <t>Distribution per B-7</t>
  </si>
  <si>
    <t>Distribution per tab</t>
  </si>
  <si>
    <t>Reduction - SPP Dist</t>
  </si>
  <si>
    <t>Substations per B-7</t>
  </si>
  <si>
    <t>Substations per tab</t>
  </si>
  <si>
    <t>Poles per tab</t>
  </si>
  <si>
    <t>Poles per B-7</t>
  </si>
  <si>
    <t>OH Lines per B-7</t>
  </si>
  <si>
    <t>OH Lines per tab</t>
  </si>
  <si>
    <t>UG Lines per tab</t>
  </si>
  <si>
    <t>UG Lines per B-7</t>
  </si>
  <si>
    <t>Transformers per B-7</t>
  </si>
  <si>
    <t>Transformers per tab</t>
  </si>
  <si>
    <t>Other per B-7</t>
  </si>
  <si>
    <t>Other per tab</t>
  </si>
  <si>
    <t>Substations per b-9</t>
  </si>
  <si>
    <t>Poles per b-9</t>
  </si>
  <si>
    <t>OH Lines per b-9</t>
  </si>
  <si>
    <t>UG Lines per b-9</t>
  </si>
  <si>
    <t>Transformers per b-9</t>
  </si>
  <si>
    <t>Other per b-9</t>
  </si>
  <si>
    <t>Check per b-9</t>
  </si>
  <si>
    <t>Distribution per b-9</t>
  </si>
  <si>
    <t>Comm Equip per B-7</t>
  </si>
  <si>
    <t>Comm Equip per tab</t>
  </si>
  <si>
    <t>Reduction - SPP Gen</t>
  </si>
  <si>
    <t>Comm Equip per B-9</t>
  </si>
  <si>
    <t>Transpo Equip per tab</t>
  </si>
  <si>
    <t>Transpo Equip per B-9</t>
  </si>
  <si>
    <t>Transpo Equip per B-7</t>
  </si>
  <si>
    <t>Gen Plant Equip per tab</t>
  </si>
  <si>
    <t>Gen Plant Equip per B-7</t>
  </si>
  <si>
    <t>Reduction - SPP &amp; ECCR</t>
  </si>
  <si>
    <t>WC per SR</t>
  </si>
  <si>
    <t>WC per Tab</t>
  </si>
  <si>
    <t>SR Adjustment</t>
  </si>
  <si>
    <t>Per Top</t>
  </si>
  <si>
    <t>Per Bottom</t>
  </si>
  <si>
    <t>A_1823030</t>
  </si>
  <si>
    <t>Oth Reg Asset-Capacity Clause</t>
  </si>
  <si>
    <t>A_1760720</t>
  </si>
  <si>
    <t>Non-Current Deriv Asset-Intercompany</t>
  </si>
  <si>
    <t>A_2540205</t>
  </si>
  <si>
    <t>Long-Term Derivative Liability - Regulatory</t>
  </si>
  <si>
    <t>EXPENSES</t>
  </si>
  <si>
    <t>4073091</t>
  </si>
  <si>
    <t>A_4073091</t>
  </si>
  <si>
    <t>REG DR Defd SPPCRC – Amortization</t>
  </si>
  <si>
    <t>A_4560050</t>
  </si>
  <si>
    <t>A_4560230</t>
  </si>
  <si>
    <t>7000230</t>
  </si>
  <si>
    <t>7000290</t>
  </si>
  <si>
    <t>S6020210</t>
  </si>
  <si>
    <t>A_S6020210</t>
  </si>
  <si>
    <t>METERS - ANALOG &amp; AMR</t>
  </si>
  <si>
    <t>341.98 Str and Improvements-DCMG</t>
  </si>
  <si>
    <t>343.98 Prime Movers-DCMG</t>
  </si>
  <si>
    <t>345.98 Accessory Electric Eq-DCMG</t>
  </si>
  <si>
    <t>348.98 Energy Storage Battery-DCMG</t>
  </si>
  <si>
    <t>394.01 ECCR Solar Car Port 5yr</t>
  </si>
  <si>
    <t>9228100</t>
  </si>
  <si>
    <t>9228200</t>
  </si>
  <si>
    <t>9228300</t>
  </si>
  <si>
    <t>9228400</t>
  </si>
  <si>
    <t>9229000</t>
  </si>
  <si>
    <t>9230000</t>
  </si>
  <si>
    <t>9232000</t>
  </si>
  <si>
    <t>9233000</t>
  </si>
  <si>
    <t>9234000</t>
  </si>
  <si>
    <t>9236000</t>
  </si>
  <si>
    <t>9237000</t>
  </si>
  <si>
    <t>9238000</t>
  </si>
  <si>
    <t>9241000</t>
  </si>
  <si>
    <t>9242000</t>
  </si>
  <si>
    <t>9243000</t>
  </si>
  <si>
    <t>9227000</t>
  </si>
  <si>
    <t>9245000</t>
  </si>
  <si>
    <t>9253000</t>
  </si>
  <si>
    <t>9254000</t>
  </si>
  <si>
    <t>2540610</t>
  </si>
  <si>
    <t>9256000</t>
  </si>
  <si>
    <t>9257000</t>
  </si>
  <si>
    <t>9500000</t>
  </si>
  <si>
    <t>9501000</t>
  </si>
  <si>
    <t>9502000</t>
  </si>
  <si>
    <t>9505000</t>
  </si>
  <si>
    <t>9506000</t>
  </si>
  <si>
    <t>9509000</t>
  </si>
  <si>
    <t>Steam Allowances</t>
  </si>
  <si>
    <t>9510000</t>
  </si>
  <si>
    <t>9511000</t>
  </si>
  <si>
    <t>9512000</t>
  </si>
  <si>
    <t>9513000</t>
  </si>
  <si>
    <t>9514000</t>
  </si>
  <si>
    <t>9546000</t>
  </si>
  <si>
    <t>9547000</t>
  </si>
  <si>
    <t>9548000</t>
  </si>
  <si>
    <t>9549000</t>
  </si>
  <si>
    <t>9550000</t>
  </si>
  <si>
    <t>Other Power Rents</t>
  </si>
  <si>
    <t>9551000</t>
  </si>
  <si>
    <t>9552000</t>
  </si>
  <si>
    <t>9553000</t>
  </si>
  <si>
    <t>9554000</t>
  </si>
  <si>
    <t>9555000</t>
  </si>
  <si>
    <t>9556000</t>
  </si>
  <si>
    <t>9557000</t>
  </si>
  <si>
    <t>Other Power Supply Expenses</t>
  </si>
  <si>
    <t>9560000</t>
  </si>
  <si>
    <t>9561100</t>
  </si>
  <si>
    <t>9561200</t>
  </si>
  <si>
    <t>9561300</t>
  </si>
  <si>
    <t>9561800</t>
  </si>
  <si>
    <t>Transm Billed Reliability Planning Stnrds Dev Svcs</t>
  </si>
  <si>
    <t>9562000</t>
  </si>
  <si>
    <t>9563000</t>
  </si>
  <si>
    <t>9566000</t>
  </si>
  <si>
    <t>9567000</t>
  </si>
  <si>
    <t>Transmission Rents</t>
  </si>
  <si>
    <t>9569000</t>
  </si>
  <si>
    <t>Transmission Maintenance of Structures</t>
  </si>
  <si>
    <t>9569200</t>
  </si>
  <si>
    <t>9569300</t>
  </si>
  <si>
    <t>9570000</t>
  </si>
  <si>
    <t>9571000</t>
  </si>
  <si>
    <t>9580000</t>
  </si>
  <si>
    <t>9581000</t>
  </si>
  <si>
    <t>9582000</t>
  </si>
  <si>
    <t>9583000</t>
  </si>
  <si>
    <t>9584000</t>
  </si>
  <si>
    <t>9585000</t>
  </si>
  <si>
    <t>9586000</t>
  </si>
  <si>
    <t>9587000</t>
  </si>
  <si>
    <t>9588000</t>
  </si>
  <si>
    <t>9589000</t>
  </si>
  <si>
    <t>9591000</t>
  </si>
  <si>
    <t>9592000</t>
  </si>
  <si>
    <t>9593000</t>
  </si>
  <si>
    <t>9594000</t>
  </si>
  <si>
    <t>9595000</t>
  </si>
  <si>
    <t>9596000</t>
  </si>
  <si>
    <t>9597000</t>
  </si>
  <si>
    <t>9598000</t>
  </si>
  <si>
    <t>9901000</t>
  </si>
  <si>
    <t>9902000</t>
  </si>
  <si>
    <t>9903000</t>
  </si>
  <si>
    <t>9904000</t>
  </si>
  <si>
    <t>9908000</t>
  </si>
  <si>
    <t>9909000</t>
  </si>
  <si>
    <t>9912000</t>
  </si>
  <si>
    <t>9920000</t>
  </si>
  <si>
    <t>9921000</t>
  </si>
  <si>
    <t>9922000</t>
  </si>
  <si>
    <t>9923000</t>
  </si>
  <si>
    <t>9924000</t>
  </si>
  <si>
    <t>9925000</t>
  </si>
  <si>
    <t>9926000</t>
  </si>
  <si>
    <t>9928000</t>
  </si>
  <si>
    <t>9930100</t>
  </si>
  <si>
    <t>General Advertising Expenses</t>
  </si>
  <si>
    <t>9930200</t>
  </si>
  <si>
    <t>9931000</t>
  </si>
  <si>
    <t>9935000</t>
  </si>
  <si>
    <t>Steam Rents</t>
  </si>
  <si>
    <t>9507000</t>
  </si>
  <si>
    <t>Based on "As Booked" and ties to Surveillance Report</t>
  </si>
  <si>
    <t>303</t>
  </si>
  <si>
    <t>310</t>
  </si>
  <si>
    <t>311</t>
  </si>
  <si>
    <t>312</t>
  </si>
  <si>
    <t>314</t>
  </si>
  <si>
    <t>315</t>
  </si>
  <si>
    <t>316</t>
  </si>
  <si>
    <t>317</t>
  </si>
  <si>
    <t>340</t>
  </si>
  <si>
    <t>341</t>
  </si>
  <si>
    <t>342</t>
  </si>
  <si>
    <t>343</t>
  </si>
  <si>
    <t>345</t>
  </si>
  <si>
    <t>346</t>
  </si>
  <si>
    <t>347</t>
  </si>
  <si>
    <t>348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</si>
  <si>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</si>
  <si>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</si>
  <si>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</si>
  <si>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</si>
  <si>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</si>
  <si>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</si>
  <si>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</si>
  <si>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</si>
  <si>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</si>
  <si>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</si>
  <si>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363</t>
  </si>
  <si>
    <t>369</t>
  </si>
  <si>
    <t>371</t>
  </si>
  <si>
    <t>374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</si>
  <si>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</si>
  <si>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</si>
  <si>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</si>
  <si>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</si>
  <si>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</si>
  <si>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</si>
  <si>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</si>
  <si>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</si>
  <si>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</si>
  <si>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</si>
  <si>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</si>
  <si>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Depr Exp</t>
  </si>
  <si>
    <t>Main</t>
  </si>
  <si>
    <t>total</t>
  </si>
  <si>
    <t>Per SR</t>
  </si>
  <si>
    <t>4073020</t>
  </si>
  <si>
    <t>REG DR Defd Fuel and Purchased Power</t>
  </si>
  <si>
    <t>4074031</t>
  </si>
  <si>
    <t>REG CR Defd Capacity - Amortization</t>
  </si>
  <si>
    <t>4074051</t>
  </si>
  <si>
    <t>REG CR Defd Environmental - Amortization</t>
  </si>
  <si>
    <t>LIGHTING SMART SERVICE - REG</t>
  </si>
  <si>
    <t>Comm</t>
  </si>
  <si>
    <t>LESS SPP General</t>
  </si>
  <si>
    <t>Gen Plant Equip per B-9</t>
  </si>
  <si>
    <t>Gen Plant Equip per Tab</t>
  </si>
  <si>
    <t>M&amp;E + Payroll Rate Change</t>
  </si>
  <si>
    <t>CP</t>
  </si>
  <si>
    <t>Winter</t>
  </si>
  <si>
    <t>Summer</t>
  </si>
  <si>
    <t>Customers</t>
  </si>
  <si>
    <t>Witness: J. M. Williams</t>
  </si>
  <si>
    <t>GSD, GSD Option, GSDT, RSD, SBFT</t>
  </si>
  <si>
    <t>Shared Debt Adjustment</t>
  </si>
  <si>
    <t xml:space="preserve">CETM </t>
  </si>
  <si>
    <t>Unamort. Rate Case</t>
  </si>
  <si>
    <t>Shared Debt Adj.</t>
  </si>
  <si>
    <t>A_1450713</t>
  </si>
  <si>
    <t>Notes Receivable - Intercompany - Shared Debt - C</t>
  </si>
  <si>
    <t>A_1823090</t>
  </si>
  <si>
    <t>Oth Reg Asset-Storm Protection Clause</t>
  </si>
  <si>
    <t>A_1823321</t>
  </si>
  <si>
    <t>Oth Reg Asset-Commercial Load Management</t>
  </si>
  <si>
    <t>A_1823327</t>
  </si>
  <si>
    <t>Oth Reg Asset-Prime Time Plus</t>
  </si>
  <si>
    <t>A_2320412</t>
  </si>
  <si>
    <t>AP CSA - Bayside #2</t>
  </si>
  <si>
    <t>A_2540020</t>
  </si>
  <si>
    <t>Oth Reg Liab-Fuel and Purchased Power Clause</t>
  </si>
  <si>
    <t>A_2360606</t>
  </si>
  <si>
    <t>Taxes Payable - Federal Excise Tax</t>
  </si>
  <si>
    <t>WKG_BUDGET</t>
  </si>
  <si>
    <t>2024.DEC</t>
  </si>
  <si>
    <t>CLASS</t>
  </si>
  <si>
    <t>REVENUE</t>
  </si>
  <si>
    <t>A_4073020</t>
  </si>
  <si>
    <t>A_4074031</t>
  </si>
  <si>
    <t>A_4074051</t>
  </si>
  <si>
    <t>6020210</t>
  </si>
  <si>
    <t>A_6020210</t>
  </si>
  <si>
    <t>6790705</t>
  </si>
  <si>
    <t>A_6790705</t>
  </si>
  <si>
    <t>Intercompany Print Shop Charges</t>
  </si>
  <si>
    <t>6900048</t>
  </si>
  <si>
    <t>A_6900048</t>
  </si>
  <si>
    <t>TOTI - Payroll Tax - Incentives</t>
  </si>
  <si>
    <t>6900061</t>
  </si>
  <si>
    <t>A_6900061</t>
  </si>
  <si>
    <t>TOTI - Property Tax - Above the line - GAAP Adj</t>
  </si>
  <si>
    <t>OTHER INCOME</t>
  </si>
  <si>
    <t>INTEREST</t>
  </si>
  <si>
    <t>7500220</t>
  </si>
  <si>
    <t>A_7500220</t>
  </si>
  <si>
    <t>Interest Exp - Defd Fuel Clause</t>
  </si>
  <si>
    <t>6010010</t>
  </si>
  <si>
    <t>A_S6010010</t>
  </si>
  <si>
    <t>Settled SLR Overtime Blended Labor</t>
  </si>
  <si>
    <t>6020000</t>
  </si>
  <si>
    <t>A_S6020000</t>
  </si>
  <si>
    <t>Settled Benefits Expense</t>
  </si>
  <si>
    <t>A_S6020220</t>
  </si>
  <si>
    <t>6700400</t>
  </si>
  <si>
    <t>A_S6700400</t>
  </si>
  <si>
    <t>Settled Insurance - FPSC Storm Reserve Expense</t>
  </si>
  <si>
    <t>6720000</t>
  </si>
  <si>
    <t>A_S6720000</t>
  </si>
  <si>
    <t>Settled Lease Expense</t>
  </si>
  <si>
    <t>A_S7000230</t>
  </si>
  <si>
    <t>Settled Interest Inc - Defd Capacity Clause</t>
  </si>
  <si>
    <t>A_S7000290</t>
  </si>
  <si>
    <t>Settled Interest Inc - Defd Storm Protection Cla</t>
  </si>
  <si>
    <t>A_S7000800</t>
  </si>
  <si>
    <t>Settled Interest Inc - Miscellaneous</t>
  </si>
  <si>
    <t>4118030</t>
  </si>
  <si>
    <t>A_4118030</t>
  </si>
  <si>
    <t>REC Sales - Retail</t>
  </si>
  <si>
    <t>4400092</t>
  </si>
  <si>
    <t>A_4400092</t>
  </si>
  <si>
    <t>Residential Storm Surcharge</t>
  </si>
  <si>
    <t>4420192</t>
  </si>
  <si>
    <t>A_4420192</t>
  </si>
  <si>
    <t>Commercial Large Storm Surcharge</t>
  </si>
  <si>
    <t>4420392</t>
  </si>
  <si>
    <t>A_4420392</t>
  </si>
  <si>
    <t>Industrial-Phosphate Large Storm Surcharge</t>
  </si>
  <si>
    <t>4420592</t>
  </si>
  <si>
    <t>A_4420592</t>
  </si>
  <si>
    <t>Industrial-Other Large Storm Surcharge</t>
  </si>
  <si>
    <t>4450092</t>
  </si>
  <si>
    <t>A_4450092</t>
  </si>
  <si>
    <t>Oth Sales Public Authority Storm Surcharge</t>
  </si>
  <si>
    <t>6200080</t>
  </si>
  <si>
    <t>A_6200080</t>
  </si>
  <si>
    <t>Fuel Renew Energy CRs</t>
  </si>
  <si>
    <t>A1000101</t>
  </si>
  <si>
    <t>A_A1000101</t>
  </si>
  <si>
    <t>Assessed Facility Charges</t>
  </si>
  <si>
    <t>A1000300</t>
  </si>
  <si>
    <t>A_A1000300</t>
  </si>
  <si>
    <t>Assessed Stores Clearing Charges</t>
  </si>
  <si>
    <t>S1000104</t>
  </si>
  <si>
    <t>A_S1000104</t>
  </si>
  <si>
    <t>Settled Admin Services</t>
  </si>
  <si>
    <t>A1000113</t>
  </si>
  <si>
    <t>A_A1000113</t>
  </si>
  <si>
    <t>Assessed SS DOC Services</t>
  </si>
  <si>
    <t>A1000114</t>
  </si>
  <si>
    <t>A_A1000114</t>
  </si>
  <si>
    <t>Assessed SS Payroll Charge</t>
  </si>
  <si>
    <t>P1000113</t>
  </si>
  <si>
    <t>A_P1000113</t>
  </si>
  <si>
    <t>Planned SS DOC Services</t>
  </si>
  <si>
    <t>P1000114</t>
  </si>
  <si>
    <t>A_P1000114</t>
  </si>
  <si>
    <t>Planned SS Payroll Charge</t>
  </si>
  <si>
    <t>P1000300</t>
  </si>
  <si>
    <t>A_P1000300</t>
  </si>
  <si>
    <t>Planned Stores Clearing Charges</t>
  </si>
  <si>
    <t>S1000101</t>
  </si>
  <si>
    <t>A_S1000101</t>
  </si>
  <si>
    <t>Settled Facility Charges</t>
  </si>
  <si>
    <t>S1000102</t>
  </si>
  <si>
    <t>A_S1000102</t>
  </si>
  <si>
    <t>Settled Telecom Charges</t>
  </si>
  <si>
    <t>S1000109</t>
  </si>
  <si>
    <t>A_S1000109</t>
  </si>
  <si>
    <t>Settled SS EmerMgmt Chgs</t>
  </si>
  <si>
    <t>S6010010</t>
  </si>
  <si>
    <t>S6010910</t>
  </si>
  <si>
    <t>A_S6010910</t>
  </si>
  <si>
    <t>Settled Labor Off-Cycle Bonus</t>
  </si>
  <si>
    <t>S6020000</t>
  </si>
  <si>
    <t>S6020220</t>
  </si>
  <si>
    <t>S6020240</t>
  </si>
  <si>
    <t>A_S6020240</t>
  </si>
  <si>
    <t>Settled Employer Match on Common Stock Purch</t>
  </si>
  <si>
    <t>S6100040</t>
  </si>
  <si>
    <t>A_S6100040</t>
  </si>
  <si>
    <t>Settled Consultants - Engineering</t>
  </si>
  <si>
    <t>S6100090</t>
  </si>
  <si>
    <t>A_S6100090</t>
  </si>
  <si>
    <t>Settled Consultants - Taxes</t>
  </si>
  <si>
    <t>S6100120</t>
  </si>
  <si>
    <t>A_S6100120</t>
  </si>
  <si>
    <t>Settled Tools Service/Repair</t>
  </si>
  <si>
    <t>S6100180</t>
  </si>
  <si>
    <t>A_S6100180</t>
  </si>
  <si>
    <t>Settled Site Testing Services</t>
  </si>
  <si>
    <t>S6100200</t>
  </si>
  <si>
    <t>A_S6100200</t>
  </si>
  <si>
    <t>Settled Trust Fee</t>
  </si>
  <si>
    <t>S6200030</t>
  </si>
  <si>
    <t>A_S6200030</t>
  </si>
  <si>
    <t>Settled Fuel Expense - Natural Gas</t>
  </si>
  <si>
    <t>S6200040</t>
  </si>
  <si>
    <t>A_S6200040</t>
  </si>
  <si>
    <t>Settled Fuel Expense - Oil burned for generation</t>
  </si>
  <si>
    <t>S6200060</t>
  </si>
  <si>
    <t>A_S6200060</t>
  </si>
  <si>
    <t>"Settled Fuel Expense - SO2 credits, Nox</t>
  </si>
  <si>
    <t>S6250100</t>
  </si>
  <si>
    <t>A_S6250100</t>
  </si>
  <si>
    <t>Settled Purchased Power</t>
  </si>
  <si>
    <t>S6400080</t>
  </si>
  <si>
    <t>A_S6400080</t>
  </si>
  <si>
    <t>Settled Mat &amp; Supp - Vehicle Fuel</t>
  </si>
  <si>
    <t>S6400500</t>
  </si>
  <si>
    <t>A_S6400500</t>
  </si>
  <si>
    <t>Settled Mat &amp; Supp - Parts</t>
  </si>
  <si>
    <t>S6400505</t>
  </si>
  <si>
    <t>A_S6400505</t>
  </si>
  <si>
    <t>Settled Mat &amp; Supp - Part Repairs</t>
  </si>
  <si>
    <t>S6400530</t>
  </si>
  <si>
    <t>A_S6400530</t>
  </si>
  <si>
    <t>Settled Mat &amp; Supp - Inventory Other</t>
  </si>
  <si>
    <t>S6408999</t>
  </si>
  <si>
    <t>A_S6408999</t>
  </si>
  <si>
    <t>Settled Materials &amp; Supplies Expense Reclass</t>
  </si>
  <si>
    <t>S6700400</t>
  </si>
  <si>
    <t>S6710020</t>
  </si>
  <si>
    <t>A_S6710020</t>
  </si>
  <si>
    <t>Settled Short-term Rent - Non-Office Equipment</t>
  </si>
  <si>
    <t>S6710060</t>
  </si>
  <si>
    <t>A_S6710060</t>
  </si>
  <si>
    <t>Settled Short-term Rent - Vehicle</t>
  </si>
  <si>
    <t>S6720000</t>
  </si>
  <si>
    <t>S6730800</t>
  </si>
  <si>
    <t>A_S6730800</t>
  </si>
  <si>
    <t>Settled Utilities - Other</t>
  </si>
  <si>
    <t>S6790055</t>
  </si>
  <si>
    <t>A_S6790055</t>
  </si>
  <si>
    <t>Settled Economic Development</t>
  </si>
  <si>
    <t>S6790092</t>
  </si>
  <si>
    <t>A_S6790092</t>
  </si>
  <si>
    <t>Settled Donations - Other</t>
  </si>
  <si>
    <t>S6790250</t>
  </si>
  <si>
    <t>A_S6790250</t>
  </si>
  <si>
    <t>Settled Energy Conservation Allowances</t>
  </si>
  <si>
    <t>S6790700</t>
  </si>
  <si>
    <t>A_S6790700</t>
  </si>
  <si>
    <t>Settled Intercompany Overhead Allocations</t>
  </si>
  <si>
    <t>S6790705</t>
  </si>
  <si>
    <t>A_S6790705</t>
  </si>
  <si>
    <t>Settled Intercompany Print Shop Charges</t>
  </si>
  <si>
    <t>S6791000</t>
  </si>
  <si>
    <t>A_S6791000</t>
  </si>
  <si>
    <t>Settled Rate Case Expense</t>
  </si>
  <si>
    <t>S6810050</t>
  </si>
  <si>
    <t>A_S6810050</t>
  </si>
  <si>
    <t>Settled Depreciation - Environmental</t>
  </si>
  <si>
    <t>S6810010</t>
  </si>
  <si>
    <t>A_S6810010</t>
  </si>
  <si>
    <t>Settled Depreciation - Utility Plant</t>
  </si>
  <si>
    <t>S6810090</t>
  </si>
  <si>
    <t>A_S6810090</t>
  </si>
  <si>
    <t>Settled Depreciation - Storm Protection Clause</t>
  </si>
  <si>
    <t>S6810140</t>
  </si>
  <si>
    <t>A_S6810140</t>
  </si>
  <si>
    <t>Settled Depreciation - Conservation</t>
  </si>
  <si>
    <t>S6900010</t>
  </si>
  <si>
    <t>A_S6900010</t>
  </si>
  <si>
    <t>Settled TOTI - Franchise Fees</t>
  </si>
  <si>
    <t>S6900030</t>
  </si>
  <si>
    <t>A_S6900030</t>
  </si>
  <si>
    <t>Settled TOTI - Gross Receipts</t>
  </si>
  <si>
    <t>S6900040</t>
  </si>
  <si>
    <t>A_S6900040</t>
  </si>
  <si>
    <t>Settled TOTI - Payroll Tax</t>
  </si>
  <si>
    <t>S6900060</t>
  </si>
  <si>
    <t>A_S6900060</t>
  </si>
  <si>
    <t>Settled TOTI - Property Tax - Above the line</t>
  </si>
  <si>
    <t>S6900065</t>
  </si>
  <si>
    <t>A_S6900065</t>
  </si>
  <si>
    <t>Settled TOTI - Property Tax - Below the line</t>
  </si>
  <si>
    <t>S6900070</t>
  </si>
  <si>
    <t>A_S6900070</t>
  </si>
  <si>
    <t>Settled TOTI - Regulatory Assessment Fee</t>
  </si>
  <si>
    <t>S6900080</t>
  </si>
  <si>
    <t>A_S6900080</t>
  </si>
  <si>
    <t>Settled TOTI - Sales and Use</t>
  </si>
  <si>
    <t>S6900100</t>
  </si>
  <si>
    <t>A_S6900100</t>
  </si>
  <si>
    <t>Settled TOTI - State Intangible Gov't Leasehold</t>
  </si>
  <si>
    <t>S6900110</t>
  </si>
  <si>
    <t>A_S6900110</t>
  </si>
  <si>
    <t>Settled TOTI - Federal Excise Tax</t>
  </si>
  <si>
    <t>S6900120</t>
  </si>
  <si>
    <t>A_S6900120</t>
  </si>
  <si>
    <t>Settled TOTI - County/City Business License Tax</t>
  </si>
  <si>
    <t>S7000220</t>
  </si>
  <si>
    <t>A_S7000220</t>
  </si>
  <si>
    <t>Settled Interest Inc - Defd Fuel Clause</t>
  </si>
  <si>
    <t>S7000230</t>
  </si>
  <si>
    <t>S7000290</t>
  </si>
  <si>
    <t>S7000291</t>
  </si>
  <si>
    <t>A_S7000291</t>
  </si>
  <si>
    <t>Settled Interest Inc - Defd CETM</t>
  </si>
  <si>
    <t>S7000800</t>
  </si>
  <si>
    <t>S7500220</t>
  </si>
  <si>
    <t>A_S7500220</t>
  </si>
  <si>
    <t>Settled Interest Exp - Defd Fuel Clause</t>
  </si>
  <si>
    <t>S7500240</t>
  </si>
  <si>
    <t>A_S7500240</t>
  </si>
  <si>
    <t>Settled Interest Exp - Defd Conservation Clause</t>
  </si>
  <si>
    <t>S7500250</t>
  </si>
  <si>
    <t>A_S7500250</t>
  </si>
  <si>
    <t>Settled Interest Exp - Defd Environmental Clause</t>
  </si>
  <si>
    <t>S7500290</t>
  </si>
  <si>
    <t>A_S7500290</t>
  </si>
  <si>
    <t>Settled Interest Exp - Defd Storm Protection Cla</t>
  </si>
  <si>
    <t>S7500291</t>
  </si>
  <si>
    <t>A_S7500291</t>
  </si>
  <si>
    <t>Settled Interest Exp - Defd CETM</t>
  </si>
  <si>
    <t>1000105</t>
  </si>
  <si>
    <t>1000200</t>
  </si>
  <si>
    <t>SCHEDULE B-07</t>
  </si>
  <si>
    <t>Projected Test Year Ended 12/31/2025</t>
  </si>
  <si>
    <t>Projected Prior Year Ended 12/31/2024</t>
  </si>
  <si>
    <t>Historical Prior Year Ended 12/31/2023</t>
  </si>
  <si>
    <t>Supporting Schedules:  B-08, B-11</t>
  </si>
  <si>
    <t>Recap Schedules:  B-03, B-06</t>
  </si>
  <si>
    <t>MACDILL AFB</t>
  </si>
  <si>
    <t>TOTAL MACDILL AFB</t>
  </si>
  <si>
    <t>EV CHARGING STATIONS</t>
  </si>
  <si>
    <t>SCHEDULE B-09</t>
  </si>
  <si>
    <t>341.20 Str and Improvements-MDAFB</t>
  </si>
  <si>
    <t>342.20 Fuel Holders,Prod Acc-MDAFB</t>
  </si>
  <si>
    <t>343.20 Prime Movers-MDAFB</t>
  </si>
  <si>
    <t>345.20 Accessory Electric Eq-MDAFB</t>
  </si>
  <si>
    <t>346.20 Misc Power Plant Eq-MDAFB</t>
  </si>
  <si>
    <t>343.00 Unapproved Distributed Gen 30yr</t>
  </si>
  <si>
    <t>348.00 Unapproved Energy Storage 10yr</t>
  </si>
  <si>
    <t>348.20 Energy Storage Battery-MDAFB</t>
  </si>
  <si>
    <t>370.10 EV Charging Stations</t>
  </si>
  <si>
    <t>371.01 Unapproved Placeholder 10yr</t>
  </si>
  <si>
    <t>371.02 Unapproved Placeholder 15yr</t>
  </si>
  <si>
    <t>371.03 Unapproved Placeholder 30yr</t>
  </si>
  <si>
    <t>FORECAST</t>
  </si>
  <si>
    <t>BUDGET</t>
  </si>
  <si>
    <t>1 BB UNIT 3 FGD</t>
  </si>
  <si>
    <t>2 3 BB4 CEM</t>
  </si>
  <si>
    <t>3 10 MERCURY PLATFORM</t>
  </si>
  <si>
    <t>4 11 BB 1&amp;2 SCRUBBER</t>
  </si>
  <si>
    <t>5 12 BB FGD OPTIM.&amp; UTILIZ.</t>
  </si>
  <si>
    <t>6 14 PM MIN</t>
  </si>
  <si>
    <t>7 15 POLK NOX</t>
  </si>
  <si>
    <t>8 16 BB4 SOFA</t>
  </si>
  <si>
    <t>9 23 BB4 SCR</t>
  </si>
  <si>
    <t>10 24 BB FGD RELIABILITY</t>
  </si>
  <si>
    <t>11 25 CAMR MATS</t>
  </si>
  <si>
    <t>13 25 GYP STORAGE FACILITY</t>
  </si>
  <si>
    <t>19 31 Big Bend NESHAP Subpart YYYY</t>
  </si>
  <si>
    <t>14 26 BB Coal Combustion Byproducts</t>
  </si>
  <si>
    <t>15 27 CCR Rule - Phase II</t>
  </si>
  <si>
    <t>16 28 Big Bend ELG Compliance</t>
  </si>
  <si>
    <t>17 29 BB1 Section 316(b) Impingement Mortality</t>
  </si>
  <si>
    <t>18 30 Bayside 316(b) Compliance</t>
  </si>
  <si>
    <t>D_Bayside</t>
  </si>
  <si>
    <t>ECRC 2024 ACTUAL DEPRECIATION EXPENSE</t>
  </si>
  <si>
    <t>1.</t>
  </si>
  <si>
    <t>1b.</t>
  </si>
  <si>
    <t>1e.</t>
  </si>
  <si>
    <t>1f.</t>
  </si>
  <si>
    <t>ES</t>
  </si>
  <si>
    <t xml:space="preserve">1m. </t>
  </si>
  <si>
    <t xml:space="preserve">Big Bend NESHAP Subpart YYYY Compliance </t>
  </si>
  <si>
    <t>2.</t>
  </si>
  <si>
    <t>3.</t>
  </si>
  <si>
    <t>4.</t>
  </si>
  <si>
    <t>5.</t>
  </si>
  <si>
    <t>6.</t>
  </si>
  <si>
    <t>7.</t>
  </si>
  <si>
    <t>8.</t>
  </si>
  <si>
    <t>9.</t>
  </si>
  <si>
    <t>JANUARY 2024 RETAIL COINCIDENT PEAK EXPANSION - PRIME TIME /  STANDBY GENERATOR ADDED</t>
  </si>
  <si>
    <t>JANUARY 2024 RETAIL COINCIDENT PEAK EXPANSION - PRIME TIME /  STANDBY GENERATOR SUBTRACTED</t>
  </si>
  <si>
    <t>JANUARY 2024 RETAIL COINCIDENT PEAK EXPANSION - INTERRUPTED LOAD ADDED</t>
  </si>
  <si>
    <t>FEBRUARY 2024 RETAIL COINCIDENT PEAK EXPANSION - PRIME TIME /  STANDBY GENERATOR ADDED</t>
  </si>
  <si>
    <t>FEBRUARY 2024 RETAIL COINCIDENT PEAK EXPANSION - PRIME TIME /  STANDBY GENERATOR SUBTRACTED</t>
  </si>
  <si>
    <t>FEBRUARY 2024 RETAIL COINCIDENT PEAK EXPANSION - INTERRUPTED LOAD ADDED</t>
  </si>
  <si>
    <t>MARCH 2024 RETAIL COINCIDENT PEAK EXPANSION - PRIME TIME /  STANDBY GENERATOR ADDED</t>
  </si>
  <si>
    <t>MARCH 2024 RETAIL COINCIDENT PEAK EXPANSION - PRIME TIME /  STANDBY GENERATOR SUBTRACTED</t>
  </si>
  <si>
    <t>MARCH 2024 RETAIL COINCIDENT PEAK EXPANSION - INTERRUPTED LOAD ADDED</t>
  </si>
  <si>
    <t xml:space="preserve">                                                                              (Metered Voltage Level)</t>
  </si>
  <si>
    <t>Leap YEAR?</t>
  </si>
  <si>
    <t>Alafia</t>
  </si>
  <si>
    <t>Lake Mabel</t>
  </si>
  <si>
    <t>Dover Solar</t>
  </si>
  <si>
    <t>Lake Mabel Solar</t>
  </si>
  <si>
    <t>Alafia Solar</t>
  </si>
  <si>
    <t>Agrivoltaics</t>
  </si>
  <si>
    <t>Floating Solar</t>
  </si>
  <si>
    <t>TECO ENERGY, INC.</t>
  </si>
  <si>
    <t>**BIG BEND - SOLAR</t>
  </si>
  <si>
    <t>**TAMPA INTERNATIONAL AIRPORT SOLAR POWER FACILITY</t>
  </si>
  <si>
    <t>**Legoland Solar</t>
  </si>
  <si>
    <t>**These three sites are not included in Solar total. Are included in Property Total</t>
  </si>
  <si>
    <t xml:space="preserve"> 27°45'27.50"N  82°10'16.18"W</t>
  </si>
  <si>
    <t xml:space="preserve"> 27°52'45.41"N  81°55'25.99"W</t>
  </si>
  <si>
    <t>Solar Energy Center Contents</t>
  </si>
  <si>
    <t>Dover</t>
  </si>
  <si>
    <t xml:space="preserve"> 28° 2'50.68"N,  81°47'14.42"W</t>
  </si>
  <si>
    <t xml:space="preserve"> 27°46'35.36"N,  82°15'8.07"W</t>
  </si>
  <si>
    <t xml:space="preserve"> 27°52'45.41"N,  81°55'25.99"W</t>
  </si>
  <si>
    <t xml:space="preserve"> 28°10'4.44"N,  82° 8'31.76"W</t>
  </si>
  <si>
    <t xml:space="preserve"> 27°57'17.51"N,  82°30'8.55"W</t>
  </si>
  <si>
    <t xml:space="preserve"> 27°52'56.90"N,  82° 2'6.53"W</t>
  </si>
  <si>
    <t xml:space="preserve"> 27°45'48.52"N,  82° 15'43.72"W</t>
  </si>
  <si>
    <t xml:space="preserve"> 28°22'15.98"N,  82°11'47.28"W</t>
  </si>
  <si>
    <t xml:space="preserve"> 27° 47'8.67"N,  81°59'4.85"W</t>
  </si>
  <si>
    <t xml:space="preserve"> 27°51'22.30"N,  82°12'4.68"W</t>
  </si>
  <si>
    <t xml:space="preserve"> 27°40'10.15"N,  82° 1'26.79"W</t>
  </si>
  <si>
    <t xml:space="preserve"> 27°42'17.35"N, 82° 8'44.84"W</t>
  </si>
  <si>
    <t xml:space="preserve"> 27°38'51.79"N,  82° 7'12.98"W</t>
  </si>
  <si>
    <t xml:space="preserve"> 27°39'40.52"N,  82° 2'46.16"W</t>
  </si>
  <si>
    <t xml:space="preserve"> 27°38'50.69"N,  82° 7'12.90"W</t>
  </si>
  <si>
    <t xml:space="preserve"> 27°38'47.77"N,  82° 8'41.72"W</t>
  </si>
  <si>
    <t xml:space="preserve"> 27°41'22.64"N,  82°12'14.99"W</t>
  </si>
  <si>
    <t xml:space="preserve"> 27°55'49.76"N,  81°52'03.09"W</t>
  </si>
  <si>
    <t xml:space="preserve"> 27°45'27.50"N,  82°10'16.18"W</t>
  </si>
  <si>
    <t xml:space="preserve"> 27°41'33.87"N,  82°24'16.88"W</t>
  </si>
  <si>
    <t xml:space="preserve"> 27°41'33.87"N, 82°24'16.88"W</t>
  </si>
  <si>
    <t xml:space="preserve"> 27°56'56.97"N,  82°25'17.59"W</t>
  </si>
  <si>
    <t xml:space="preserve"> 27°51'43.59"N,  82°23'7.23"W</t>
  </si>
  <si>
    <t xml:space="preserve"> N 27.892468,W 81.98345</t>
  </si>
  <si>
    <t xml:space="preserve"> 27°39'46.59"N,  81°57'56.33"W</t>
  </si>
  <si>
    <t xml:space="preserve"> 27°55'03.91"N,  81°48'42.62"W</t>
  </si>
  <si>
    <t xml:space="preserve"> 27°38'49.60"N,  82° 5'40.34"W</t>
  </si>
  <si>
    <t xml:space="preserve"> 27°53'41.69"N,  81°55'5.32"W</t>
  </si>
  <si>
    <t xml:space="preserve"> 27°44'03.58"N,  82°23'11.12"W</t>
  </si>
  <si>
    <t xml:space="preserve"> 27°53'54.78"N,  81°52'43.75"W</t>
  </si>
  <si>
    <t xml:space="preserve"> 27°43'59.22"N,  82°16'50.91"W</t>
  </si>
  <si>
    <t xml:space="preserve"> 27°54'27.21"N,  82°29'36.58"W</t>
  </si>
  <si>
    <t xml:space="preserve"> 27°59'10.08"N,  82°25'35.98"W</t>
  </si>
  <si>
    <t xml:space="preserve"> 28° 3'29.86"N,  81°49'1.70"W</t>
  </si>
  <si>
    <t xml:space="preserve"> 28° 2'42.39"N,  81°43'45.59"W</t>
  </si>
  <si>
    <t xml:space="preserve"> 28°24'34.19"N,  82°14'21.19"W</t>
  </si>
  <si>
    <t xml:space="preserve"> 27°45'25.76"N,  82°20'4.14"W</t>
  </si>
  <si>
    <t xml:space="preserve"> 27°55'29.57"N,  82°20'24.55"W</t>
  </si>
  <si>
    <t xml:space="preserve"> 28° 3'16.88"N,  82°19'10.40"W</t>
  </si>
  <si>
    <t xml:space="preserve"> 27°59'9.31"N,  82° 5'2.39"W</t>
  </si>
  <si>
    <t xml:space="preserve"> 27°59'38.13"N,  81°41'8.82"W</t>
  </si>
  <si>
    <t xml:space="preserve"> 28° 4'16.26"N,  81°46'36.85"W</t>
  </si>
  <si>
    <t xml:space="preserve"> 603 Big Bend Road, Gibsonton, FL 33534</t>
  </si>
  <si>
    <t xml:space="preserve"> 27°47'34.50"N,  82°22'5.97"W</t>
  </si>
  <si>
    <t xml:space="preserve"> 28° 1'1.56"N,  81°43'43.98"W </t>
  </si>
  <si>
    <t xml:space="preserve"> 27°56'54.55"N,  82°26'52.67"W</t>
  </si>
  <si>
    <t xml:space="preserve"> 27°59'5.54"N,  82°21'30.08"W</t>
  </si>
  <si>
    <t xml:space="preserve"> 27°58'25.11"N,  82°26'39.98"W</t>
  </si>
  <si>
    <t xml:space="preserve"> 27°59'24.83"N,  82°14'11.28"W</t>
  </si>
  <si>
    <t xml:space="preserve"> 27°55'0.58"N,  82°26'10.07"W</t>
  </si>
  <si>
    <t xml:space="preserve"> 27°50'47.09"N,  82°22'4.32"W</t>
  </si>
  <si>
    <t xml:space="preserve"> 27°56'35.65"N,  81°48'9.23"W</t>
  </si>
  <si>
    <t xml:space="preserve"> 28° 3'57.62"N,  82°22'5.69"W</t>
  </si>
  <si>
    <t xml:space="preserve"> 27°40'30.76"N,  82° 2'16.86"W</t>
  </si>
  <si>
    <t xml:space="preserve"> 27°55'21.68"N,  81°59'36.92"W</t>
  </si>
  <si>
    <t xml:space="preserve"> 28°10'18.67"N,  82°12'40.33"W</t>
  </si>
  <si>
    <t xml:space="preserve"> N 27°51'55.00,  W 82°30'59.17</t>
  </si>
  <si>
    <t xml:space="preserve"> 27°58'11.62"N,  82°29'41.22"W</t>
  </si>
  <si>
    <t xml:space="preserve"> 28° 0'15.27"N,  82° 3'25.16"W</t>
  </si>
  <si>
    <t xml:space="preserve"> 28° 1'32.34"N,  82°13'7.13"W</t>
  </si>
  <si>
    <t xml:space="preserve"> 28° 4'26.43"N,  82° 9'14.94"W</t>
  </si>
  <si>
    <t xml:space="preserve"> 28° 1'19.06"N,  81°41'31.47"W</t>
  </si>
  <si>
    <t xml:space="preserve"> 27°58'54.75"N,  81°39'40.36"W</t>
  </si>
  <si>
    <t xml:space="preserve"> 27°54'2.21"N,  82°22'8.59"W</t>
  </si>
  <si>
    <t xml:space="preserve"> 27°57'15.60"N,  82°21'50.01"W</t>
  </si>
  <si>
    <t xml:space="preserve"> 28° 3'55.14"N,  82°27'12.03"W</t>
  </si>
  <si>
    <t xml:space="preserve"> 28° 3'17.93"N,  81°47'49.27"W</t>
  </si>
  <si>
    <t xml:space="preserve"> 27°48'1.00"N,  82°23'12.00"W</t>
  </si>
  <si>
    <t xml:space="preserve"> 28° 0'9.24"N,  82°17'47.47"W</t>
  </si>
  <si>
    <t xml:space="preserve"> 27°50'46.33"N,  82° 8'41.52"W</t>
  </si>
  <si>
    <t xml:space="preserve"> 28°10'43.40"N,  81°49'42.72"W</t>
  </si>
  <si>
    <t xml:space="preserve"> 27°43'45.99"N,  82° 0'9.19"W</t>
  </si>
  <si>
    <t xml:space="preserve"> 27°54'24.78"N,  82°23'55.73"W</t>
  </si>
  <si>
    <t xml:space="preserve"> 27°49'7.67"N,  82°17'41.66"W</t>
  </si>
  <si>
    <t xml:space="preserve"> 27°54'58.16"N,  82°25'6.95"W</t>
  </si>
  <si>
    <t xml:space="preserve"> 27°54'46.00"N,  82°25'21.07"W</t>
  </si>
  <si>
    <t xml:space="preserve"> 27°55'11.51"N,  82°25'5.97"W</t>
  </si>
  <si>
    <t xml:space="preserve"> 27°57'8.94"N,  82°28'34.43"W</t>
  </si>
  <si>
    <t xml:space="preserve"> 28°19'57.20"N,  82°16'16.85"W</t>
  </si>
  <si>
    <t xml:space="preserve"> 28° 2'43.95"N,  82°27'6.36"W</t>
  </si>
  <si>
    <t xml:space="preserve"> 27°56'6.17"N,  82°22'8.75"W</t>
  </si>
  <si>
    <t xml:space="preserve"> 28° 6'51.67"N,  82°38'18.40"W</t>
  </si>
  <si>
    <t xml:space="preserve"> 27°58'37.14"N,  82°29'53.33"W</t>
  </si>
  <si>
    <t xml:space="preserve"> 27°42'43.86"N,  82°19'51.42"W</t>
  </si>
  <si>
    <t xml:space="preserve"> 28° 8'33.41"N,  82°27'41.37"W</t>
  </si>
  <si>
    <t xml:space="preserve"> 28° 2'23.01"N,  82° 7'35.02"W</t>
  </si>
  <si>
    <t xml:space="preserve"> 27°57'27.97"N,  82°26'38.18"W</t>
  </si>
  <si>
    <t xml:space="preserve"> 28° 0'13.14"N,  82°25'36.95"W</t>
  </si>
  <si>
    <t xml:space="preserve"> 27°56'14.27"N,  82°24'11.64"W</t>
  </si>
  <si>
    <t xml:space="preserve"> 27°54'0.59"N,  81°52'53.72"W</t>
  </si>
  <si>
    <t xml:space="preserve"> 28° 8'11.30"N,  82°34'32.68"W</t>
  </si>
  <si>
    <t xml:space="preserve"> 28° 1'31.43"N,  82° 8'45.87"W</t>
  </si>
  <si>
    <t>Dover Storage</t>
  </si>
  <si>
    <t>Lake Mabel Battery</t>
  </si>
  <si>
    <t>Wimauma Battery</t>
  </si>
  <si>
    <t xml:space="preserve">Stock Options </t>
  </si>
  <si>
    <t>G/L on Sale of Assets</t>
  </si>
  <si>
    <t xml:space="preserve">   SOLAR ITC  - FED ONLY ITEM</t>
  </si>
  <si>
    <t xml:space="preserve">   OTHER STATE ADJUST. - STATE TAX TU</t>
  </si>
  <si>
    <t xml:space="preserve">   DEF SEP CO - FED NOL </t>
  </si>
  <si>
    <t xml:space="preserve">   Credits and Adjustments</t>
  </si>
  <si>
    <t>&lt;Expected per missing B/S information</t>
  </si>
  <si>
    <t>SEW</t>
  </si>
  <si>
    <t>Storm Surcharge</t>
  </si>
  <si>
    <t>Winter Max</t>
  </si>
  <si>
    <t>Summer Max</t>
  </si>
  <si>
    <t>LS Energy, LS Facilities</t>
  </si>
  <si>
    <t>Installations on</t>
  </si>
  <si>
    <t>Customers' Premises</t>
  </si>
  <si>
    <t xml:space="preserve"> INSTALLATIONS ON CUSTOMERS' PREMISES</t>
  </si>
  <si>
    <t xml:space="preserve">  Debt Subtotal</t>
  </si>
  <si>
    <t>VOL I</t>
  </si>
  <si>
    <t>VOL II</t>
  </si>
  <si>
    <t>GENERAL MFR INFORMATION</t>
  </si>
  <si>
    <t>VERIFIED 10/11</t>
  </si>
  <si>
    <t>NEED VERIFICATION ON HEADER</t>
  </si>
  <si>
    <t>WILL LIKELY CHANGE</t>
  </si>
  <si>
    <t>CURRENT OB JUR STUDY</t>
  </si>
  <si>
    <t>Pro Forma R&amp;D Tax Credit</t>
  </si>
  <si>
    <t>wkg_budget</t>
  </si>
  <si>
    <t>2025.JAN</t>
  </si>
  <si>
    <t>2025.FEB</t>
  </si>
  <si>
    <t>2025.MAR</t>
  </si>
  <si>
    <t>2025.APR</t>
  </si>
  <si>
    <t>2025.MAY</t>
  </si>
  <si>
    <t>2025.JUN</t>
  </si>
  <si>
    <t>2025.JUL</t>
  </si>
  <si>
    <t>2025.AUG</t>
  </si>
  <si>
    <t>2025.SEP</t>
  </si>
  <si>
    <t>2025.OCT</t>
  </si>
  <si>
    <t>2025.NOV</t>
  </si>
  <si>
    <t>2025.DEC</t>
  </si>
  <si>
    <t>A_1760700</t>
  </si>
  <si>
    <t>Current Deriv Asset-Intercompany</t>
  </si>
  <si>
    <t>6780000</t>
  </si>
  <si>
    <t>A_S6780000</t>
  </si>
  <si>
    <t>Settled Miscellaneous Billing Expense</t>
  </si>
  <si>
    <t>A1000109</t>
  </si>
  <si>
    <t>A_A1000109</t>
  </si>
  <si>
    <t>Assessed Shared Services Emergency Mgmt Charges</t>
  </si>
  <si>
    <t>A1000104</t>
  </si>
  <si>
    <t>A_A1000104</t>
  </si>
  <si>
    <t>Assessed Admin Services</t>
  </si>
  <si>
    <t>S1000300</t>
  </si>
  <si>
    <t>A_S1000300</t>
  </si>
  <si>
    <t>Settled Stores Clearing Charges</t>
  </si>
  <si>
    <t>S6010130</t>
  </si>
  <si>
    <t>A_S6010130</t>
  </si>
  <si>
    <t>Settled Labor Exempt - Non-Productive Time</t>
  </si>
  <si>
    <t>S6200010</t>
  </si>
  <si>
    <t>A_S6200010</t>
  </si>
  <si>
    <t>S6780000</t>
  </si>
  <si>
    <t>2025 Budget O&amp;M</t>
  </si>
  <si>
    <t>2025 TOTAL</t>
  </si>
  <si>
    <t>January 2025 to December 2025</t>
  </si>
  <si>
    <t>&lt; Due to rounding</t>
  </si>
  <si>
    <t>APRIL 2025 RETAIL COINCIDENT PEAK EXPANSION - PROJECTED</t>
  </si>
  <si>
    <t>APRIL 2025 RETAIL COINCIDENT PEAK EXPANSION - PRIME TIME /  STANDBY GENERATOR ADDED</t>
  </si>
  <si>
    <t>APRIL 2025 RETAIL COINCIDENT PEAK EXPANSION - PRIME TIME /  STANDBY GENERATOR SUBTRACTED</t>
  </si>
  <si>
    <t>APRIL 2025 RETAIL COINCIDENT PEAK EXPANSION - INTERRUPTED LOAD ADDED</t>
  </si>
  <si>
    <t>MARCH 2025 RETAIL COINCIDENT PEAK EXPANSION - PROJECTED</t>
  </si>
  <si>
    <t>FEBRUARY 2025 RETAIL COINCIDENT PEAK EXPANSION - PROJECTED</t>
  </si>
  <si>
    <t>JANUARY 2025 RETAIL COINCIDENT PEAK EXPANSION - PROJECTED</t>
  </si>
  <si>
    <t>MAY 2025 RETAIL COINCIDENT PEAK EXPANSION - PROJECTED</t>
  </si>
  <si>
    <t>MAY 2025 RETAIL COINCIDENT PEAK EXPANSION - PRIME TIME /  STANDBY GENERATOR ADDED</t>
  </si>
  <si>
    <t>MAY 2025 RETAIL COINCIDENT PEAK EXPANSION - PRIME TIME /  STANDBY GENERATOR SUBTRACTED</t>
  </si>
  <si>
    <t>MAY 2025 RETAIL COINCIDENT PEAK EXPANSION - INTERRUPTED LOAD ADDED</t>
  </si>
  <si>
    <t>JUNE 2025 RETAIL COINCIDENT PEAK EXPANSION - PROJECTED</t>
  </si>
  <si>
    <t>JUNE 2025 RETAIL COINCIDENT PEAK EXPANSION - PRIME TIME /  STANDBY GENERATOR ADDED</t>
  </si>
  <si>
    <t>JUNE 2025 RETAIL COINCIDENT PEAK EXPANSION - PRIME TIME /  STANDBY GENERATOR SUBTRACTED</t>
  </si>
  <si>
    <t>JUNE 2025 RETAIL COINCIDENT PEAK EXPANSION - INTERRUPTED LOAD ADDED</t>
  </si>
  <si>
    <t>JULY 2025 RETAIL COINCIDENT PEAK EXPANSION - PROJECTED</t>
  </si>
  <si>
    <t>JULY 2025 RETAIL COINCIDENT PEAK EXPANSION - PRIME TIME /  STANDBY GENERATOR ADDED</t>
  </si>
  <si>
    <t>JULY 2025 RETAIL COINCIDENT PEAK EXPANSION - PRIME TIME /  STANDBY GENERATOR SUBTRACTED</t>
  </si>
  <si>
    <t>JULY 2025 RETAIL COINCIDENT PEAK EXPANSION - INTERRUPTED LOAD ADDED</t>
  </si>
  <si>
    <t>AUGUST 2025 RETAIL COINCIDENT PEAK EXPANSION - PROJECTED</t>
  </si>
  <si>
    <t>AUGUST 2025 RETAIL COINCIDENT PEAK EXPANSION - PRIME TIME /  STANDBY GENERATOR ADDED</t>
  </si>
  <si>
    <t>AUGUST 2025 RETAIL COINCIDENT PEAK EXPANSION - PRIME TIME /  STANDBY GENERATOR SUBTRACTED</t>
  </si>
  <si>
    <t>AUGUST 2025 RETAIL COINCIDENT PEAK EXPANSION - INTERRUPTED LOAD ADDED</t>
  </si>
  <si>
    <t>SEPTEMBER 2025 RETAIL COINCIDENT PEAK EXPANSION - PROJECTED</t>
  </si>
  <si>
    <t>SEPTEMBER 2025 RETAIL COINCIDENT PEAK EXPANSION - PRIME TIME /  STANDBY GENERATOR ADDED</t>
  </si>
  <si>
    <t>SEPTEMBER 2025 RETAIL COINCIDENT PEAK EXPANSION - PRIME TIME /  STANDBY GENERATOR SUBTRACTED</t>
  </si>
  <si>
    <t>SEPTEMBER 2025 RETAIL COINCIDENT PEAK EXPANSION - INTERRUPTED LOAD ADDED</t>
  </si>
  <si>
    <t>OCTOBER 2025 RETAIL COINCIDENT PEAK EXPANSION - PROJECTED</t>
  </si>
  <si>
    <t>OCTOBER 2025 RETAIL COINCIDENT PEAK EXPANSION - PRIME TIME /  STANDBY GENERATOR ADDED</t>
  </si>
  <si>
    <t>OCTOBER 2025 RETAIL COINCIDENT PEAK EXPANSION - PRIME TIME /  STANDBY GENERATOR SUBTRACTED</t>
  </si>
  <si>
    <t>OCTOBER 2025 RETAIL COINCIDENT PEAK EXPANSION - INTERRUPTED LOAD ADDED</t>
  </si>
  <si>
    <t>NOVEMBER 2025 RETAIL COINCIDENT PEAK EXPANSION - PROJECTED</t>
  </si>
  <si>
    <t>NOVEMBER 2025 RETAIL COINCIDENT PEAK EXPANSION - PRIME TIME /  STANDBY GENERATOR ADDED</t>
  </si>
  <si>
    <t>NOVEMBER 2025 RETAIL COINCIDENT PEAK EXPANSION - PRIME TIME /  STANDBY GENERATOR SUBTRACTED</t>
  </si>
  <si>
    <t>NOVEMBER 2025 RETAIL COINCIDENT PEAK EXPANSION - INTERRUPTED LOAD ADDED</t>
  </si>
  <si>
    <t>DECEMBER 2025 RETAIL COINCIDENT PEAK EXPANSION - PROJECTED</t>
  </si>
  <si>
    <t>DECEMBER 2025 RETAIL COINCIDENT PEAK EXPANSION - PRIME TIME /  STANDBY GENERATOR ADDED</t>
  </si>
  <si>
    <t>DECEMBER 2025 RETAIL COINCIDENT PEAK EXPANSION - PRIME TIME /  STANDBY GENERATOR SUBTRACTED</t>
  </si>
  <si>
    <t>DECEMBER 2025 RETAIL COINCIDENT PEAK EXPANSION - INTERRUPTED LOAD ADDED</t>
  </si>
  <si>
    <t>RESIDENTIAL SERVICE 2025 NON-COINCIDENT PEAK - PROJECTED</t>
  </si>
  <si>
    <t>RESIDENTIAL SERVICE 2025 RETAIL COINCIDENT PEAK EXPANSION - PRIME TIME /  STANDBY GENERATOR ADDED</t>
  </si>
  <si>
    <t>RESIDENTIAL SERVICE 2025 RETAIL COINCIDENT PEAK EXPANSION - PRIME TIME /  STANDBY GENERATOR SUBTRACTED</t>
  </si>
  <si>
    <t>RESIDENTIAL SERVICE 2025 RETAIL COINCIDENT PEAK EXPANSION - INTERRUPTED LOAD ADDED</t>
  </si>
  <si>
    <t>GENERAL SERVICE 2025 NON-COINCIDENT PEAK - PROJECTED</t>
  </si>
  <si>
    <t>GENERAL SERVICE 2025 RETAIL COINCIDENT PEAK EXPANSION - PRIME TIME /  STANDBY GENERATOR ADDED</t>
  </si>
  <si>
    <t>GENERAL SERVICE 2025 RETAIL COINCIDENT PEAK EXPANSION - PRIME TIME /  STANDBY GENERATOR SUBTRACTED</t>
  </si>
  <si>
    <t>GENERAL SERVICE 2025 RETAIL COINCIDENT PEAK EXPANSION - INTERRUPTED LOAD ADDED</t>
  </si>
  <si>
    <t>GENERAL SERVICE DEMAND 2025 NON-COINCIDENT PEAK - PROJECTED</t>
  </si>
  <si>
    <t>GENERAL SERVICE DEMAND 2025 RETAIL COINCIDENT PEAK EXPANSION - PRIME TIME /  STANDBY GENERATOR ADDED</t>
  </si>
  <si>
    <t>GENERAL SERVICE DEMAND 2025 RETAIL COINCIDENT PEAK EXPANSION - PRIME TIME /  STANDBY GENERATOR SUBTRACTED</t>
  </si>
  <si>
    <t>GENERAL SERVICE DEMAND 2025 RETAIL COINCIDENT PEAK EXPANSION - INTERRUPTED LOAD ADDED</t>
  </si>
  <si>
    <t>GENERAL SERVICE LARGE DEMAND 2025 NON-COINCIDENT PEAK - PROJECTED</t>
  </si>
  <si>
    <t>GENERAL SERVICE LARGE DEMAND 2025 RETAIL COINCIDENT PEAK EXPANSION - PRIME TIME /  STANDBY GENERATOR ADDED</t>
  </si>
  <si>
    <t>GENERAL SERVICE LARGE DEMAND 2025 RETAIL COINCIDENT PEAK EXPANSION - PRIME TIME /  STANDBY GENERATOR SUBTRACTED</t>
  </si>
  <si>
    <t>GENERAL SERVICE LARGE DEMAND 2025 RETAIL COINCIDENT PEAK EXPANSION - INTERRUPTED LOAD ADDED</t>
  </si>
  <si>
    <t>LIGHTING SERVICE 2025 NON-COINCIDENT PEAK - PROJECTED</t>
  </si>
  <si>
    <t>LIGHTING SERVICE 2025 RETAIL COINCIDENT PEAK EXPANSION - PRIME TIME /  STANDBY GENERATOR ADDED</t>
  </si>
  <si>
    <t>LIGHTING SERVICE 2025 RETAIL COINCIDENT PEAK EXPANSION - PRIME TIME /  STANDBY GENERATOR SUBTRACTED</t>
  </si>
  <si>
    <t>LIGHTING SERVICE 2025 RETAIL COINCIDENT PEAK EXPANSION - INTERRUPTED LOAD ADDED</t>
  </si>
  <si>
    <t xml:space="preserve">                                                 2025 BILLING YEAR ENERGY EXPANSION - PROJECTED</t>
  </si>
  <si>
    <t>2025 Proj</t>
  </si>
  <si>
    <t>Billing Demands*</t>
  </si>
  <si>
    <t xml:space="preserve">*Excludes Peak, PSFR and PSDR </t>
  </si>
  <si>
    <t>Tx Ownership kW</t>
  </si>
  <si>
    <t>Pri Served</t>
  </si>
  <si>
    <t>Trans Served</t>
  </si>
  <si>
    <t>All Demands</t>
  </si>
  <si>
    <t>GSDR</t>
  </si>
  <si>
    <t>2025 Year End Budget</t>
  </si>
  <si>
    <t>F50</t>
  </si>
  <si>
    <t>Cable AL 4/0 2/C 2/0 1/C: F50</t>
  </si>
  <si>
    <t>Post Concrete: D07</t>
  </si>
  <si>
    <t xml:space="preserve">                   -  </t>
  </si>
  <si>
    <t>139D - CIVIC ROAD SUBSTATION</t>
  </si>
  <si>
    <t>411D-CAUSEWAY BLVD</t>
  </si>
  <si>
    <t>139D</t>
  </si>
  <si>
    <t>MacDill AFB</t>
  </si>
  <si>
    <t>MAcDill AFB</t>
  </si>
  <si>
    <t>FOR THE FORECAST PERIOD ENDING 12/31/2025</t>
  </si>
  <si>
    <t>FOR THE FORECAST PERIOD ENDING 12-31-25</t>
  </si>
  <si>
    <t>2025 ACTUAL</t>
  </si>
  <si>
    <t>2025 Budget</t>
  </si>
  <si>
    <t>MWh</t>
  </si>
  <si>
    <t>12-Month Avg CP</t>
  </si>
  <si>
    <t>12-Month Max</t>
  </si>
  <si>
    <t>Total 12-Month CP</t>
  </si>
  <si>
    <t>12 Coincident Peak (output to line, adj for ld mgmt))</t>
  </si>
  <si>
    <t>MacDill Power and Battery Storage</t>
  </si>
  <si>
    <t>275 Big Bend Rd. Gibsonton, FL 33534</t>
  </si>
  <si>
    <t>6202 Miles Farm Rd. Plant City, FL 33567</t>
  </si>
  <si>
    <t>3040 Universal DR., Ruskin FL 33570</t>
  </si>
  <si>
    <t>40421 Spoto Rd, Zephyrhills, FL 33540</t>
  </si>
  <si>
    <t>3500 Bethlehem Rd Mulberry, FL 33860</t>
  </si>
  <si>
    <t>947 CF Kinney Road Lake Wales, FL 33859</t>
  </si>
  <si>
    <t>1255 Sidney Washer Rd Dover, FL 33527</t>
  </si>
  <si>
    <t>Brewster</t>
  </si>
  <si>
    <t>English Creek</t>
  </si>
  <si>
    <t>Bulldog Creek</t>
  </si>
  <si>
    <t>Studio</t>
  </si>
  <si>
    <t>Hardee</t>
  </si>
  <si>
    <t>Baycourt</t>
  </si>
  <si>
    <t>Civic</t>
  </si>
  <si>
    <t>Mobile 28MVA</t>
  </si>
  <si>
    <t>Mobile 37MVA</t>
  </si>
  <si>
    <t>Tucker Jones Road</t>
  </si>
  <si>
    <t>TECO HQ - Midtown</t>
  </si>
  <si>
    <t>BOC</t>
  </si>
  <si>
    <t>Tampa Electric Total Assets</t>
  </si>
  <si>
    <t>March 2025 - March 2026</t>
  </si>
  <si>
    <t>FACTOR 122</t>
  </si>
  <si>
    <t>CSA - Lines</t>
  </si>
  <si>
    <t>DCSA - Lines</t>
  </si>
  <si>
    <t>ESA - Lines</t>
  </si>
  <si>
    <t>Microwave - Sandhill 400</t>
  </si>
  <si>
    <t>PCSA - Lines</t>
  </si>
  <si>
    <t>Winterhaven - Lines</t>
  </si>
  <si>
    <t>WSA - Lines</t>
  </si>
  <si>
    <t>497T-CR 672 SUBSTATION</t>
  </si>
  <si>
    <t>2025B FERC</t>
  </si>
  <si>
    <t>POLK STATION
 COMMON</t>
  </si>
  <si>
    <t>POLK STATION
 UNIT 1 IGCC</t>
  </si>
  <si>
    <t>Power 
Block</t>
  </si>
  <si>
    <t xml:space="preserve">                    -  </t>
  </si>
  <si>
    <t xml:space="preserve">                     -  </t>
  </si>
  <si>
    <t>2023 $'s</t>
  </si>
  <si>
    <t xml:space="preserve">                -</t>
  </si>
  <si>
    <t xml:space="preserve">                 -</t>
  </si>
  <si>
    <t>Forecast based on 8+4 2023 BV V4</t>
  </si>
  <si>
    <t>AS OF 12/31/25</t>
  </si>
  <si>
    <t>Asset</t>
  </si>
  <si>
    <t>AS OF 12/31/24</t>
  </si>
  <si>
    <t>2024 Budget</t>
  </si>
  <si>
    <t xml:space="preserve">                  -</t>
  </si>
  <si>
    <t xml:space="preserve">                    -</t>
  </si>
  <si>
    <t>Hard code Rate Base</t>
  </si>
  <si>
    <t>Hard code Rate Base, Remove Transmission</t>
  </si>
  <si>
    <t>Non PDA</t>
  </si>
  <si>
    <t>PDA</t>
  </si>
  <si>
    <t>2025 Cost of Service</t>
  </si>
  <si>
    <t>SECONDARY/SECONDARY/SECONDARY Metered</t>
  </si>
  <si>
    <t>12 CP - Transmission</t>
  </si>
  <si>
    <t>Transmission - 4 CP (Retail Only)</t>
  </si>
  <si>
    <t>Transmission - 12  CP</t>
  </si>
  <si>
    <t>SUM LINES (84 +94 - 106 +118)</t>
  </si>
  <si>
    <t>SCH. - O&amp;M: Line 118</t>
  </si>
  <si>
    <t>SUM LINES (110:118)</t>
  </si>
  <si>
    <t>SUM Line 118</t>
  </si>
  <si>
    <t>Jurisdictional Production Capacity - 12 CP</t>
  </si>
  <si>
    <t>502</t>
  </si>
  <si>
    <t>503</t>
  </si>
  <si>
    <t xml:space="preserve">   </t>
  </si>
  <si>
    <t>Tax Credit</t>
  </si>
  <si>
    <t>less SO2 and REC Expenses</t>
  </si>
  <si>
    <t>MacDill</t>
  </si>
  <si>
    <t>MacDIll</t>
  </si>
  <si>
    <t>Transpo</t>
  </si>
  <si>
    <t>TEMPORARILY MOVED TO OTHER A&amp;G</t>
  </si>
  <si>
    <t>ZAP CAP</t>
  </si>
  <si>
    <t>Category</t>
  </si>
  <si>
    <t>With MDS</t>
  </si>
  <si>
    <t>0 MDS</t>
  </si>
  <si>
    <t>FUEL EXPENSE</t>
  </si>
  <si>
    <t>DISTRI</t>
  </si>
  <si>
    <t>OTH CUST</t>
  </si>
  <si>
    <t xml:space="preserve">   P910 RESEARCH EXPENSE</t>
  </si>
  <si>
    <t>Deductible Contribution</t>
  </si>
  <si>
    <t xml:space="preserve">   T267 DEDUCTIBLE CONTRIBUTION</t>
  </si>
  <si>
    <t xml:space="preserve">   T422 UNBILLED STORM PROTECTION PLAN</t>
  </si>
  <si>
    <t>Amort - Section 174</t>
  </si>
  <si>
    <t xml:space="preserve">   T201 AMORT - SECTION 174</t>
  </si>
  <si>
    <t>Production Tax Credit (PTC)</t>
  </si>
  <si>
    <t xml:space="preserve">PROD. CAP. ALLOC. METHOD: 12 CP </t>
  </si>
  <si>
    <t>PROJECTED CALENDAR YEAR 2025; FULLY ADJUSTED DATA</t>
  </si>
  <si>
    <t>Tampa Electric 2025 OB Budget</t>
  </si>
  <si>
    <t>December 2025</t>
  </si>
  <si>
    <t>A_1823103</t>
  </si>
  <si>
    <t>Oth Reg Asset-Deferred Dredging Costs Current</t>
  </si>
  <si>
    <t>4074214</t>
  </si>
  <si>
    <t>A_4074214</t>
  </si>
  <si>
    <t>REG CR Defd (CETM) Clean Energy Trans - Amortiz.</t>
  </si>
  <si>
    <t>S1000114</t>
  </si>
  <si>
    <t>A_S1000114</t>
  </si>
  <si>
    <t>Settled Fuel Expense - Coal</t>
  </si>
  <si>
    <t>S7500800</t>
  </si>
  <si>
    <t>A_S7500800</t>
  </si>
  <si>
    <t>Settled Interest Exp - Miscellaneous</t>
  </si>
  <si>
    <t>S6780040</t>
  </si>
  <si>
    <t>A_S6780040</t>
  </si>
  <si>
    <t>Settled Miscellaneous Billing Exp Damaged Facili</t>
  </si>
  <si>
    <t>S6909000</t>
  </si>
  <si>
    <t>A_S6909000</t>
  </si>
  <si>
    <t>Settled Taxes other than income Exp to BS</t>
  </si>
  <si>
    <t>Based on Actuals, as of 12/31/2022, these are Polk Common and Polk 1 assets only in components 341, 342, 343, 345 &amp; 346</t>
  </si>
  <si>
    <t>D31</t>
  </si>
  <si>
    <t>CT EQP-D31-O</t>
  </si>
  <si>
    <t>C32</t>
  </si>
  <si>
    <t>Recirculation-C32-O</t>
  </si>
  <si>
    <t>SOURCE: 2025 BUDGET Based on the 2024 Budget</t>
  </si>
  <si>
    <t>Revenues_RS.Total_Base</t>
  </si>
  <si>
    <t>Revenues_RSVP.Total_Base</t>
  </si>
  <si>
    <t>Revenues_RSD.Total_Base</t>
  </si>
  <si>
    <t>Revenues_GS.Total_Base</t>
  </si>
  <si>
    <t>Revenues_GS_Unmetered.Total_Base</t>
  </si>
  <si>
    <t>Revenues_GST.Total_Base</t>
  </si>
  <si>
    <t>Revenues_GSD.Total_Base</t>
  </si>
  <si>
    <t>Revenues_GSD_Option.Total_Base</t>
  </si>
  <si>
    <t>Revenues_GSDT.Total_Base</t>
  </si>
  <si>
    <t>Revenues_GSLD_PR.Total_Base</t>
  </si>
  <si>
    <t>Revenues_GSLD_SU.Total_Base</t>
  </si>
  <si>
    <t>Revenues_GSLDT_PR.Total_Base</t>
  </si>
  <si>
    <t>Revenues_GSLDT_SU.Total_Base</t>
  </si>
  <si>
    <t>Revenues_SBLDT_PR.Total_Base</t>
  </si>
  <si>
    <t>Revenues_SBLDT_SU.Total_Base</t>
  </si>
  <si>
    <t>AddUp_Total__LS_Revenues.Total_Base</t>
  </si>
  <si>
    <t>Revenues_CS.Total_Base</t>
  </si>
  <si>
    <t>Revenues_GSDR.Total_Base</t>
  </si>
  <si>
    <t>807T- ALAFIA SOLAR</t>
  </si>
  <si>
    <t>818T- DOVER SOLAR SUBSTATION</t>
  </si>
  <si>
    <t>819T- JUNIPER SOLAR SUBSTATION</t>
  </si>
  <si>
    <t>821T- LAKE MABEL SOLAR SUBSTATION</t>
  </si>
  <si>
    <t>497T</t>
  </si>
  <si>
    <t xml:space="preserve">d: </t>
  </si>
  <si>
    <t xml:space="preserve">Non-unitized: </t>
  </si>
  <si>
    <t xml:space="preserve">411D-CAUSEWAY BLVD </t>
  </si>
  <si>
    <t>NOT UPDATED AT THIS POINT - TAB NOT USED</t>
  </si>
  <si>
    <r>
      <t xml:space="preserve">Aspen </t>
    </r>
    <r>
      <rPr>
        <b/>
        <sz val="9"/>
        <color indexed="10"/>
        <rFont val="Arial"/>
        <family val="2"/>
      </rPr>
      <t>230kV</t>
    </r>
  </si>
  <si>
    <r>
      <t xml:space="preserve">Big Bend Solar </t>
    </r>
    <r>
      <rPr>
        <b/>
        <sz val="9"/>
        <color indexed="10"/>
        <rFont val="Arial"/>
        <family val="2"/>
      </rPr>
      <t>69kV</t>
    </r>
  </si>
  <si>
    <r>
      <t xml:space="preserve">C.F. Industries Cogen </t>
    </r>
    <r>
      <rPr>
        <b/>
        <sz val="9"/>
        <color indexed="10"/>
        <rFont val="Arial"/>
        <family val="2"/>
      </rPr>
      <t>69kV</t>
    </r>
  </si>
  <si>
    <r>
      <t xml:space="preserve">Conserv Cogen </t>
    </r>
    <r>
      <rPr>
        <b/>
        <sz val="9"/>
        <color indexed="10"/>
        <rFont val="Arial"/>
        <family val="2"/>
      </rPr>
      <t>69kV</t>
    </r>
  </si>
  <si>
    <r>
      <t xml:space="preserve">Conserv Metering </t>
    </r>
    <r>
      <rPr>
        <b/>
        <sz val="9"/>
        <color indexed="10"/>
        <rFont val="Arial"/>
        <family val="2"/>
      </rPr>
      <t>69kV</t>
    </r>
  </si>
  <si>
    <r>
      <t xml:space="preserve">Mosaic Fort Green Metering </t>
    </r>
    <r>
      <rPr>
        <b/>
        <sz val="9"/>
        <color indexed="10"/>
        <rFont val="Arial"/>
        <family val="2"/>
      </rPr>
      <t>69kV</t>
    </r>
  </si>
  <si>
    <r>
      <t xml:space="preserve">Fort Lonesome Pre Washer Mtr </t>
    </r>
    <r>
      <rPr>
        <b/>
        <sz val="9"/>
        <color indexed="10"/>
        <rFont val="Arial"/>
        <family val="2"/>
      </rPr>
      <t>69kV</t>
    </r>
  </si>
  <si>
    <r>
      <t xml:space="preserve">Four Corners Metering </t>
    </r>
    <r>
      <rPr>
        <b/>
        <sz val="9"/>
        <color indexed="10"/>
        <rFont val="Arial"/>
        <family val="2"/>
      </rPr>
      <t>69kV</t>
    </r>
  </si>
  <si>
    <r>
      <t xml:space="preserve">Four Corners Mine Cap. Bank </t>
    </r>
    <r>
      <rPr>
        <b/>
        <sz val="9"/>
        <color indexed="10"/>
        <rFont val="Arial"/>
        <family val="2"/>
      </rPr>
      <t>69kV</t>
    </r>
  </si>
  <si>
    <r>
      <t xml:space="preserve">Four Corners Mine Metering </t>
    </r>
    <r>
      <rPr>
        <b/>
        <sz val="9"/>
        <color indexed="10"/>
        <rFont val="Arial"/>
        <family val="2"/>
      </rPr>
      <t>69kV</t>
    </r>
  </si>
  <si>
    <r>
      <t xml:space="preserve">Four Corners Plant Cap. Bank </t>
    </r>
    <r>
      <rPr>
        <b/>
        <sz val="9"/>
        <color indexed="10"/>
        <rFont val="Arial"/>
        <family val="2"/>
      </rPr>
      <t>69kV</t>
    </r>
  </si>
  <si>
    <r>
      <t xml:space="preserve">Four Corners West Meter Station </t>
    </r>
    <r>
      <rPr>
        <b/>
        <sz val="9"/>
        <color indexed="10"/>
        <rFont val="Arial"/>
        <family val="2"/>
      </rPr>
      <t>69kV</t>
    </r>
  </si>
  <si>
    <r>
      <t xml:space="preserve">Millpoint </t>
    </r>
    <r>
      <rPr>
        <b/>
        <sz val="9"/>
        <color indexed="10"/>
        <rFont val="Arial"/>
        <family val="2"/>
      </rPr>
      <t>69kV</t>
    </r>
  </si>
  <si>
    <r>
      <t xml:space="preserve">Preco #1 Metering </t>
    </r>
    <r>
      <rPr>
        <b/>
        <sz val="9"/>
        <color indexed="10"/>
        <rFont val="Arial"/>
        <family val="2"/>
      </rPr>
      <t>69kV</t>
    </r>
  </si>
  <si>
    <r>
      <t xml:space="preserve">USS Agri-Chemical Metering </t>
    </r>
    <r>
      <rPr>
        <b/>
        <sz val="9"/>
        <color indexed="10"/>
        <rFont val="Arial"/>
        <family val="2"/>
      </rPr>
      <t>69kV</t>
    </r>
  </si>
  <si>
    <t>AFUDC Equity - non oper</t>
  </si>
  <si>
    <t xml:space="preserve">   T505 AFUDC EQUITY - non oper</t>
  </si>
  <si>
    <t>Depr - AFUDC Equity  - non oper</t>
  </si>
  <si>
    <t xml:space="preserve">   T510 AFUDC EQUITY - DEPR - non oper</t>
  </si>
  <si>
    <t>s</t>
  </si>
  <si>
    <t>Disallowed Fuel Inventory</t>
  </si>
  <si>
    <t>Federal Tax Items</t>
  </si>
  <si>
    <t>(Excess Deferred)</t>
  </si>
  <si>
    <t>PERIOD ENDING 12/31/2025</t>
  </si>
  <si>
    <t>PRODUCTION ONLY</t>
  </si>
  <si>
    <t>2025 13-mth Avg</t>
  </si>
  <si>
    <t>Bullfrog Creek Solar</t>
  </si>
  <si>
    <t>English Creek Solar</t>
  </si>
  <si>
    <t>Cottonmouth Solar</t>
  </si>
  <si>
    <t>FFD Solar</t>
  </si>
  <si>
    <t>ITC</t>
  </si>
  <si>
    <t>INCOME TAX SEPARATION</t>
  </si>
  <si>
    <t>PTC /ITC</t>
  </si>
  <si>
    <t>As of December 2025</t>
  </si>
  <si>
    <t xml:space="preserve">                            -  </t>
  </si>
  <si>
    <t>Total Per 2023</t>
  </si>
  <si>
    <t>Total Per 2025</t>
  </si>
  <si>
    <t>Gross Up %</t>
  </si>
  <si>
    <t>Misc</t>
  </si>
  <si>
    <t>807T</t>
  </si>
  <si>
    <t>818T</t>
  </si>
  <si>
    <t>819T</t>
  </si>
  <si>
    <t>821T</t>
  </si>
  <si>
    <t>SYSTEM PER BOOK ADJUSTMENT</t>
  </si>
  <si>
    <t>Inc Tax (DIT)</t>
  </si>
  <si>
    <t>0 mds reports' - Total IT</t>
  </si>
  <si>
    <t xml:space="preserve">Weighted 12 CP </t>
  </si>
  <si>
    <t>PAGE 36</t>
  </si>
  <si>
    <t>PAGE 37</t>
  </si>
  <si>
    <t>PAGE 38</t>
  </si>
  <si>
    <t>PAGE 39</t>
  </si>
  <si>
    <t xml:space="preserve">Production Capacity - 12 CP </t>
  </si>
  <si>
    <t>1/13th Average Demand Adjustment</t>
  </si>
  <si>
    <t>Factor 117</t>
  </si>
  <si>
    <t>Factor 117 weights</t>
  </si>
  <si>
    <t>Energy at Generation (MWH)</t>
  </si>
  <si>
    <t>Average Demand (kW)</t>
  </si>
  <si>
    <t>Average Demand Weights</t>
  </si>
  <si>
    <t xml:space="preserve">Weighted 12 CP and 1/13th AD </t>
  </si>
  <si>
    <t>Production Capacity 12 CP (solar allocator placeholder)</t>
  </si>
  <si>
    <t>Rev</t>
  </si>
  <si>
    <t>Revenue Deficiency</t>
  </si>
  <si>
    <t>PROD. CAP. ALLOC. METHOD: 12 CP &amp; 1/13th AD</t>
  </si>
  <si>
    <t>MINIMUM DISTRIBUTION SYSTEM (MDS) NOT EMPLOYED</t>
  </si>
  <si>
    <t>Production Capacity - 12 CP &amp; 1/13th AD</t>
  </si>
  <si>
    <t>12 CP &amp; 1/13th AD (solar allocator placeholder)</t>
  </si>
  <si>
    <t>ALLOC FACTOR  # 122 -- Production Capacity - 12 CP &amp; 1/13th AD</t>
  </si>
  <si>
    <t>ALLOC FACTOR  # 118 -- Transmission - 12 CP</t>
  </si>
  <si>
    <t>RATES WITH REVENUE DEFICIENCY ADDITION</t>
  </si>
  <si>
    <t>(@ 11.50% ROE)</t>
  </si>
  <si>
    <t>PROJECTED 2025, FULLY ADJUSTED</t>
  </si>
  <si>
    <t>2025 Total</t>
  </si>
  <si>
    <t>2025 OB JUR STUDY</t>
  </si>
  <si>
    <t>based on 12-31-2025</t>
  </si>
  <si>
    <t>FOR THE FORECAST PERIOD ENDING 12/31/20255</t>
  </si>
  <si>
    <t>DOCKET No. 20240026-EI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</si>
</sst>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9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0.0000"/>
    <numFmt numFmtId="167" formatCode="_(* #,##0_);_(* \(#,##0\);_(* &quot;-&quot;??_);_(@_)"/>
    <numFmt numFmtId="168" formatCode="0.000"/>
    <numFmt numFmtId="169" formatCode="_(&quot;$&quot;* #,##0_);_(&quot;$&quot;* \(#,##0\);_(&quot;$&quot;* &quot;-&quot;??_);_(@_)"/>
    <numFmt numFmtId="170" formatCode="0.0000000"/>
    <numFmt numFmtId="171" formatCode="#,##0.00000000_);\(#,##0.00000000\)"/>
    <numFmt numFmtId="172" formatCode="#,##0.00000"/>
    <numFmt numFmtId="173" formatCode="#,##0.0"/>
    <numFmt numFmtId="174" formatCode="_(* #,##0.0_);_(* \(#,##0.0\);_(* &quot;-&quot;??_);_(@_)"/>
    <numFmt numFmtId="175" formatCode="0.0%"/>
    <numFmt numFmtId="176" formatCode="0_);\(0\)"/>
    <numFmt numFmtId="177" formatCode="&quot;$&quot;#,##0"/>
    <numFmt numFmtId="178" formatCode="&quot;$&quot;#,##0.00"/>
    <numFmt numFmtId="179" formatCode="\(@\)"/>
    <numFmt numFmtId="180" formatCode="[Red]&quot;ERROR&quot;;[Red]&quot;ERROR&quot;;&quot;Ok&quot;"/>
    <numFmt numFmtId="181" formatCode="#,##0_);[Color9]\(#,##0\);&quot;-&quot;_);[Blue]&quot;Error-&quot;@"/>
    <numFmt numFmtId="182" formatCode="mmmm\ yyyy"/>
    <numFmt numFmtId="183" formatCode=";;;"/>
    <numFmt numFmtId="184" formatCode="0.0"/>
    <numFmt numFmtId="185" formatCode="0.0000%"/>
    <numFmt numFmtId="186" formatCode="_(* #,##0.000000_);_(* \(#,##0.000000\);_(* &quot;-&quot;??_);_(@_)"/>
    <numFmt numFmtId="187" formatCode="_(* #,##0.000_);_(* \(#,##0.000\);_(* &quot;-&quot;??_);_(@_)"/>
    <numFmt numFmtId="188" formatCode="_(* #,##0.0000_);_(* \(#,##0.0000\);_(* &quot;-&quot;??_);_(@_)"/>
    <numFmt numFmtId="189" formatCode="#,##0;[Red]#,##0"/>
    <numFmt numFmtId="190" formatCode="_(* #,##0.00000_);_(* \(#,##0.00000\);_(* &quot;-&quot;??_);_(@_)"/>
    <numFmt numFmtId="191" formatCode="#,##0.0000"/>
    <numFmt numFmtId="192" formatCode="#,##0.0_);\(#,##0.0\)"/>
    <numFmt numFmtId="193" formatCode="m/d/yy"/>
    <numFmt numFmtId="194" formatCode="&quot;$&quot;#,##0;[Red]&quot;$&quot;#,##0"/>
    <numFmt numFmtId="195" formatCode="#,##0.000000_);\(#,##0.000000\)"/>
    <numFmt numFmtId="196" formatCode="#,##0.0000_);\(#,##0.0000\)"/>
    <numFmt numFmtId="197" formatCode="0.00_);\(0.00\)"/>
    <numFmt numFmtId="198" formatCode="#,##0.0000000_);\(#,##0.0000000\)"/>
    <numFmt numFmtId="199" formatCode="m/d/yy\ h:mm\ AM/PM"/>
    <numFmt numFmtId="200" formatCode="_(* #,##0.00000000_);_(* \(#,##0.00000000\);_(* &quot;-&quot;??_);_(@_)"/>
    <numFmt numFmtId="201" formatCode="_(* #,##0.0000000_);_(* \(#,##0.0000000\);_(* &quot;-&quot;??_);_(@_)"/>
    <numFmt numFmtId="202" formatCode="#,##0.000_);\(#,##0.000\)"/>
    <numFmt numFmtId="203" formatCode="_(* #,##0.0000000000_);_(* \(#,##0.0000000000\);_(* &quot;-&quot;??_);_(@_)"/>
    <numFmt numFmtId="204" formatCode="#,##0.0000000"/>
    <numFmt numFmtId="205" formatCode="_-* #,##0.00_-;\-* #,##0.00_-;_-* &quot;-&quot;??_-;_-@_-"/>
    <numFmt numFmtId="206" formatCode="0.000000"/>
  </numFmts>
  <fonts count="1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4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indexed="9"/>
      <name val="Arial"/>
      <family val="2"/>
    </font>
    <font>
      <sz val="10"/>
      <color theme="4"/>
      <name val="Arial"/>
      <family val="2"/>
    </font>
    <font>
      <b/>
      <sz val="10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2"/>
      <color theme="4"/>
      <name val="Arial"/>
      <family val="2"/>
    </font>
    <font>
      <b/>
      <sz val="10"/>
      <color theme="0"/>
      <name val="Arial"/>
      <family val="2"/>
    </font>
    <font>
      <sz val="12"/>
      <name val="Arial"/>
      <family val="2"/>
    </font>
    <font>
      <sz val="9"/>
      <color theme="3" tint="0.39997558519241921"/>
      <name val="Arial"/>
      <family val="2"/>
    </font>
    <font>
      <sz val="10"/>
      <color rgb="FFFF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4"/>
      <name val="Calibri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0"/>
      <color rgb="FF00B050"/>
      <name val="Arial"/>
      <family val="2"/>
    </font>
    <font>
      <b/>
      <sz val="12"/>
      <color indexed="12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color indexed="17"/>
      <name val="Arial"/>
      <family val="2"/>
    </font>
    <font>
      <u val="singleAccounting"/>
      <sz val="10"/>
      <color indexed="17"/>
      <name val="Arial"/>
      <family val="2"/>
    </font>
    <font>
      <b/>
      <sz val="10"/>
      <color indexed="53"/>
      <name val="Arial"/>
      <family val="2"/>
    </font>
    <font>
      <i/>
      <sz val="11"/>
      <color theme="1"/>
      <name val="Calibri"/>
      <family val="2"/>
      <scheme val="minor"/>
    </font>
    <font>
      <sz val="8"/>
      <color indexed="12"/>
      <name val="Arial"/>
      <family val="2"/>
    </font>
    <font>
      <sz val="11"/>
      <color rgb="FF00B050"/>
      <name val="Calibri"/>
      <family val="2"/>
      <scheme val="minor"/>
    </font>
    <font>
      <sz val="12"/>
      <color theme="4"/>
      <name val="Arial"/>
      <family val="2"/>
    </font>
    <font>
      <sz val="11"/>
      <color theme="4"/>
      <name val="Arial"/>
      <family val="2"/>
    </font>
    <font>
      <b/>
      <sz val="9"/>
      <color theme="1"/>
      <name val="Arial"/>
      <family val="2"/>
    </font>
    <font>
      <b/>
      <sz val="8"/>
      <color indexed="12"/>
      <name val="Arial"/>
      <family val="2"/>
    </font>
    <font>
      <sz val="12"/>
      <color rgb="FFFF0000"/>
      <name val="Arial"/>
      <family val="2"/>
    </font>
    <font>
      <u/>
      <sz val="10"/>
      <name val="Arial"/>
      <family val="2"/>
    </font>
    <font>
      <b/>
      <sz val="14"/>
      <color theme="4"/>
      <name val="Arial"/>
      <family val="2"/>
    </font>
    <font>
      <b/>
      <u/>
      <sz val="10"/>
      <color theme="4"/>
      <name val="Arial"/>
      <family val="2"/>
    </font>
    <font>
      <u val="singleAccounting"/>
      <sz val="10"/>
      <name val="Arial"/>
      <family val="2"/>
    </font>
    <font>
      <b/>
      <sz val="10"/>
      <color indexed="10"/>
      <name val="Arial"/>
      <family val="2"/>
    </font>
    <font>
      <sz val="11"/>
      <color rgb="FF9C5700"/>
      <name val="Calibri"/>
      <family val="2"/>
      <scheme val="minor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b/>
      <i/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u val="singleAccounting"/>
      <sz val="10"/>
      <color theme="4"/>
      <name val="Arial"/>
      <family val="2"/>
    </font>
    <font>
      <b/>
      <u/>
      <sz val="12"/>
      <name val="Arial"/>
      <family val="2"/>
    </font>
    <font>
      <sz val="10"/>
      <color rgb="FF0070C0"/>
      <name val="Arial"/>
      <family val="2"/>
    </font>
    <font>
      <b/>
      <sz val="9"/>
      <color indexed="12"/>
      <name val="Arial"/>
      <family val="2"/>
    </font>
    <font>
      <i/>
      <sz val="10"/>
      <color rgb="FF0000FF"/>
      <name val="Arial"/>
      <family val="2"/>
    </font>
    <font>
      <sz val="10"/>
      <color rgb="FF0000FF"/>
      <name val="Arial"/>
      <family val="2"/>
    </font>
    <font>
      <i/>
      <sz val="9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sz val="9"/>
      <color rgb="FF0000FF"/>
      <name val="Arial"/>
      <family val="2"/>
    </font>
    <font>
      <sz val="9"/>
      <color theme="8" tint="-0.249977111117893"/>
      <name val="Arial"/>
      <family val="2"/>
    </font>
    <font>
      <sz val="9"/>
      <color theme="4"/>
      <name val="Arial"/>
      <family val="2"/>
    </font>
    <font>
      <i/>
      <sz val="9"/>
      <color rgb="FF0000FF"/>
      <name val="Arial"/>
      <family val="2"/>
    </font>
    <font>
      <b/>
      <sz val="9"/>
      <name val="Arial"/>
      <family val="2"/>
    </font>
    <font>
      <b/>
      <sz val="10"/>
      <color indexed="18"/>
      <name val="Arial"/>
      <family val="2"/>
    </font>
    <font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8"/>
      <color theme="4"/>
      <name val="Arial"/>
      <family val="2"/>
    </font>
    <font>
      <sz val="10"/>
      <name val="Arial Narrow"/>
      <family val="2"/>
    </font>
    <font>
      <b/>
      <sz val="11"/>
      <color rgb="FF3F3F3F"/>
      <name val="Calibri"/>
      <family val="2"/>
      <scheme val="minor"/>
    </font>
    <font>
      <sz val="10"/>
      <color indexed="18"/>
      <name val="Arial"/>
      <family val="2"/>
    </font>
    <font>
      <b/>
      <sz val="12"/>
      <color indexed="10"/>
      <name val="Arial"/>
      <family val="2"/>
    </font>
    <font>
      <sz val="10"/>
      <color indexed="61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Courier New"/>
      <family val="3"/>
    </font>
    <font>
      <b/>
      <sz val="10"/>
      <color rgb="FF0000FF"/>
      <name val="Arial"/>
      <family val="2"/>
    </font>
    <font>
      <b/>
      <sz val="12"/>
      <color indexed="17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4"/>
      <color indexed="17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9"/>
      <color theme="4"/>
      <name val="Arial"/>
      <family val="2"/>
    </font>
    <font>
      <b/>
      <i/>
      <sz val="11"/>
      <name val="Arial"/>
      <family val="2"/>
    </font>
    <font>
      <sz val="9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name val="Arial"/>
      <family val="2"/>
    </font>
    <font>
      <b/>
      <sz val="14"/>
      <color theme="0"/>
      <name val="Calibri"/>
      <family val="2"/>
      <scheme val="minor"/>
    </font>
    <font>
      <u/>
      <sz val="12"/>
      <name val="Arial"/>
      <family val="2"/>
    </font>
    <font>
      <b/>
      <u val="double"/>
      <sz val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sz val="11"/>
      <color rgb="FF0070C0"/>
      <name val="Arial"/>
      <family val="2"/>
    </font>
    <font>
      <u val="singleAccounting"/>
      <sz val="11"/>
      <name val="Arial"/>
      <family val="2"/>
    </font>
    <font>
      <sz val="9"/>
      <color rgb="FFFF0000"/>
      <name val="Arial"/>
      <family val="2"/>
    </font>
    <font>
      <sz val="14"/>
      <color rgb="FFC00000"/>
      <name val="Arial"/>
      <family val="2"/>
    </font>
    <font>
      <sz val="8"/>
      <color rgb="FFFF0000"/>
      <name val="Arial"/>
      <family val="2"/>
    </font>
    <font>
      <sz val="14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70C0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0"/>
      <color theme="8" tint="-0.249977111117893"/>
      <name val="Arial"/>
      <family val="2"/>
    </font>
    <font>
      <sz val="11"/>
      <color rgb="FF0000FF"/>
      <name val="Arial"/>
      <family val="2"/>
    </font>
    <font>
      <sz val="11"/>
      <color theme="1"/>
      <name val="Arial"/>
      <family val="2"/>
    </font>
    <font>
      <sz val="11"/>
      <color indexed="9"/>
      <name val="Arial"/>
      <family val="2"/>
    </font>
    <font>
      <b/>
      <sz val="11"/>
      <color theme="4" tint="-0.249977111117893"/>
      <name val="Arial"/>
      <family val="2"/>
    </font>
    <font>
      <b/>
      <sz val="11"/>
      <name val="Calibri"/>
      <family val="2"/>
    </font>
    <font>
      <b/>
      <sz val="16"/>
      <color indexed="12"/>
      <name val="Arial Narrow"/>
      <family val="2"/>
    </font>
    <font>
      <b/>
      <sz val="11"/>
      <color rgb="FF00B050"/>
      <name val="Arial"/>
      <family val="2"/>
    </font>
    <font>
      <b/>
      <sz val="12"/>
      <color rgb="FF0070C0"/>
      <name val="Arial"/>
      <family val="2"/>
    </font>
    <font>
      <b/>
      <sz val="16"/>
      <color rgb="FFFF0000"/>
      <name val="Calibri"/>
      <family val="2"/>
      <scheme val="minor"/>
    </font>
    <font>
      <b/>
      <u val="singleAccounting"/>
      <sz val="10"/>
      <name val="Arial"/>
      <family val="2"/>
    </font>
    <font>
      <i/>
      <sz val="9"/>
      <color rgb="FF0000FF"/>
      <name val="Calibri"/>
      <family val="2"/>
    </font>
    <font>
      <b/>
      <sz val="16"/>
      <color indexed="10"/>
      <name val="Arial"/>
      <family val="2"/>
    </font>
    <font>
      <sz val="11"/>
      <color indexed="12"/>
      <name val="Arial"/>
      <family val="2"/>
    </font>
    <font>
      <b/>
      <sz val="10"/>
      <color indexed="8"/>
      <name val="Calibri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4"/>
      <color rgb="FF0000FF"/>
      <name val="Arial"/>
      <family val="2"/>
    </font>
    <font>
      <sz val="14"/>
      <color rgb="FF0000FF"/>
      <name val="Times New Roman"/>
      <family val="1"/>
    </font>
    <font>
      <vertAlign val="subscript"/>
      <sz val="14"/>
      <name val="Arial"/>
      <family val="2"/>
    </font>
    <font>
      <sz val="14"/>
      <color rgb="FF7030A0"/>
      <name val="Arial"/>
      <family val="2"/>
    </font>
    <font>
      <vertAlign val="superscript"/>
      <sz val="9.1"/>
      <name val="Arial"/>
      <family val="2"/>
    </font>
    <font>
      <b/>
      <sz val="9"/>
      <color rgb="FFFF0000"/>
      <name val="Arial"/>
      <family val="2"/>
    </font>
    <font>
      <b/>
      <sz val="9"/>
      <name val="Arial MT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2"/>
      <color rgb="FF0000FF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i/>
      <sz val="10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SWISS"/>
    </font>
    <font>
      <i/>
      <sz val="10"/>
      <color indexed="12"/>
      <name val="Arial"/>
      <family val="2"/>
    </font>
    <font>
      <b/>
      <sz val="12"/>
      <color rgb="FFFF0000"/>
      <name val="Calibri"/>
      <family val="2"/>
    </font>
    <font>
      <sz val="8"/>
      <name val="Courier New"/>
      <family val="3"/>
    </font>
    <font>
      <sz val="10"/>
      <name val="Arial"/>
      <family val="2"/>
    </font>
    <font>
      <sz val="18"/>
      <name val="Arial"/>
      <family val="2"/>
    </font>
    <font>
      <b/>
      <sz val="24"/>
      <name val="Arial"/>
      <family val="2"/>
    </font>
    <font>
      <sz val="14"/>
      <color indexed="12"/>
      <name val="Times New Roman"/>
      <family val="1"/>
    </font>
    <font>
      <b/>
      <sz val="9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u/>
      <sz val="11"/>
      <color theme="0"/>
      <name val="Arial"/>
      <family val="2"/>
    </font>
    <font>
      <b/>
      <sz val="20"/>
      <color theme="1"/>
      <name val="Calibri"/>
      <family val="2"/>
      <scheme val="minor"/>
    </font>
    <font>
      <sz val="12"/>
      <name val="Arial MT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rgb="FF000000"/>
      <name val="Calibri"/>
      <family val="2"/>
    </font>
    <font>
      <b/>
      <sz val="9"/>
      <color indexed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</patternFill>
    </fill>
    <fill>
      <patternFill patternType="solid">
        <fgColor theme="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</patternFill>
    </fill>
    <fill>
      <patternFill patternType="solid">
        <fgColor rgb="FFFFFFCC"/>
      </patternFill>
    </fill>
  </fills>
  <borders count="149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DashDot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3"/>
      </right>
      <top style="medium">
        <color indexed="64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/>
      <right/>
      <top/>
      <bottom style="double">
        <color indexed="0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double">
        <color indexed="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44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9" fillId="0" borderId="0"/>
    <xf numFmtId="43" fontId="5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5" fillId="0" borderId="0"/>
    <xf numFmtId="0" fontId="27" fillId="0" borderId="0"/>
    <xf numFmtId="0" fontId="27" fillId="0" borderId="0"/>
    <xf numFmtId="180" fontId="55" fillId="0" borderId="44">
      <alignment horizontal="center" vertical="center"/>
    </xf>
    <xf numFmtId="181" fontId="46" fillId="0" borderId="0"/>
    <xf numFmtId="0" fontId="9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7" fillId="12" borderId="0" applyNumberFormat="0" applyBorder="0" applyAlignment="0" applyProtection="0"/>
    <xf numFmtId="0" fontId="5" fillId="0" borderId="0"/>
    <xf numFmtId="0" fontId="93" fillId="15" borderId="104" applyNumberFormat="0" applyAlignment="0" applyProtection="0"/>
    <xf numFmtId="0" fontId="1" fillId="16" borderId="0" applyNumberFormat="0" applyBorder="0" applyAlignment="0" applyProtection="0"/>
    <xf numFmtId="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5" fillId="0" borderId="0"/>
    <xf numFmtId="0" fontId="5" fillId="0" borderId="0"/>
    <xf numFmtId="0" fontId="1" fillId="0" borderId="0"/>
    <xf numFmtId="0" fontId="150" fillId="0" borderId="0"/>
    <xf numFmtId="0" fontId="165" fillId="29" borderId="0" applyNumberFormat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37" fontId="167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44">
      <alignment horizontal="left" wrapText="1"/>
    </xf>
    <xf numFmtId="0" fontId="5" fillId="0" borderId="0"/>
    <xf numFmtId="37" fontId="167" fillId="0" borderId="0"/>
    <xf numFmtId="0" fontId="1" fillId="0" borderId="0"/>
    <xf numFmtId="43" fontId="1" fillId="0" borderId="0" applyFont="0" applyFill="0" applyBorder="0" applyAlignment="0" applyProtection="0"/>
    <xf numFmtId="0" fontId="5" fillId="0" borderId="141">
      <alignment horizontal="center" vertical="center"/>
    </xf>
    <xf numFmtId="9" fontId="1" fillId="0" borderId="0" applyFont="0" applyFill="0" applyBorder="0" applyAlignment="0" applyProtection="0"/>
    <xf numFmtId="0" fontId="41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70" fillId="0" borderId="0">
      <alignment vertical="top"/>
    </xf>
    <xf numFmtId="0" fontId="171" fillId="0" borderId="0"/>
    <xf numFmtId="3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3" fontId="173" fillId="0" borderId="0" applyProtection="0"/>
    <xf numFmtId="3" fontId="133" fillId="0" borderId="0" applyProtection="0"/>
    <xf numFmtId="37" fontId="27" fillId="0" borderId="0"/>
    <xf numFmtId="0" fontId="5" fillId="0" borderId="0"/>
    <xf numFmtId="14" fontId="5" fillId="0" borderId="0" applyFont="0" applyFill="0" applyBorder="0" applyAlignment="0" applyProtection="0"/>
    <xf numFmtId="3" fontId="172" fillId="0" borderId="0" applyProtection="0"/>
    <xf numFmtId="43" fontId="5" fillId="0" borderId="0" applyFont="0" applyFill="0" applyBorder="0" applyAlignment="0" applyProtection="0"/>
    <xf numFmtId="37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7" fillId="0" borderId="0" applyNumberFormat="0" applyFon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143" applyNumberFormat="0" applyFont="0" applyBorder="0" applyAlignment="0" applyProtection="0"/>
    <xf numFmtId="0" fontId="5" fillId="0" borderId="0"/>
    <xf numFmtId="37" fontId="27" fillId="0" borderId="0" applyBorder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6" fontId="5" fillId="0" borderId="0">
      <alignment horizontal="left" wrapText="1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80" fillId="34" borderId="0"/>
    <xf numFmtId="0" fontId="180" fillId="34" borderId="0"/>
    <xf numFmtId="0" fontId="1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1" fillId="0" borderId="0" applyNumberFormat="0" applyBorder="0" applyAlignment="0"/>
    <xf numFmtId="0" fontId="182" fillId="0" borderId="0" applyNumberFormat="0" applyBorder="0" applyAlignment="0"/>
    <xf numFmtId="44" fontId="5" fillId="0" borderId="0" applyFont="0" applyFill="0" applyBorder="0" applyAlignment="0" applyProtection="0"/>
    <xf numFmtId="206" fontId="5" fillId="0" borderId="0">
      <alignment horizontal="left" wrapText="1"/>
    </xf>
    <xf numFmtId="44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83" fillId="35" borderId="147" applyNumberFormat="0" applyFont="0" applyAlignment="0" applyProtection="0"/>
    <xf numFmtId="0" fontId="5" fillId="0" borderId="0"/>
    <xf numFmtId="0" fontId="5" fillId="0" borderId="0"/>
  </cellStyleXfs>
  <cellXfs count="3166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0" fillId="2" borderId="4" xfId="0" applyFill="1" applyBorder="1"/>
    <xf numFmtId="0" fontId="0" fillId="2" borderId="6" xfId="0" applyFill="1" applyBorder="1"/>
    <xf numFmtId="164" fontId="4" fillId="2" borderId="5" xfId="1" applyNumberFormat="1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165" fontId="4" fillId="2" borderId="8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165" fontId="4" fillId="2" borderId="5" xfId="0" applyNumberFormat="1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167" fontId="5" fillId="0" borderId="0" xfId="5" applyNumberFormat="1" applyFill="1" applyBorder="1" applyAlignment="1">
      <alignment horizontal="center"/>
    </xf>
    <xf numFmtId="167" fontId="5" fillId="0" borderId="0" xfId="5" applyNumberFormat="1" applyFill="1" applyBorder="1" applyAlignment="1"/>
    <xf numFmtId="0" fontId="0" fillId="0" borderId="6" xfId="0" applyBorder="1" applyAlignment="1">
      <alignment horizontal="center"/>
    </xf>
    <xf numFmtId="164" fontId="3" fillId="3" borderId="5" xfId="1" applyNumberFormat="1" applyFont="1" applyFill="1" applyBorder="1" applyAlignment="1">
      <alignment horizontal="center"/>
    </xf>
    <xf numFmtId="164" fontId="3" fillId="3" borderId="8" xfId="1" applyNumberFormat="1" applyFont="1" applyFill="1" applyBorder="1" applyAlignment="1">
      <alignment horizontal="center"/>
    </xf>
    <xf numFmtId="166" fontId="3" fillId="3" borderId="5" xfId="0" applyNumberFormat="1" applyFont="1" applyFill="1" applyBorder="1" applyAlignment="1">
      <alignment horizontal="center"/>
    </xf>
    <xf numFmtId="0" fontId="3" fillId="3" borderId="0" xfId="0" applyFont="1" applyFill="1"/>
    <xf numFmtId="0" fontId="0" fillId="0" borderId="27" xfId="0" applyBorder="1"/>
    <xf numFmtId="0" fontId="0" fillId="0" borderId="29" xfId="0" applyBorder="1"/>
    <xf numFmtId="0" fontId="0" fillId="0" borderId="30" xfId="0" applyBorder="1"/>
    <xf numFmtId="0" fontId="0" fillId="0" borderId="0" xfId="0" applyAlignment="1">
      <alignment horizontal="center"/>
    </xf>
    <xf numFmtId="0" fontId="0" fillId="0" borderId="23" xfId="0" applyBorder="1"/>
    <xf numFmtId="0" fontId="8" fillId="0" borderId="30" xfId="0" applyFont="1" applyBorder="1"/>
    <xf numFmtId="0" fontId="0" fillId="0" borderId="5" xfId="0" applyBorder="1"/>
    <xf numFmtId="0" fontId="0" fillId="0" borderId="8" xfId="0" applyBorder="1"/>
    <xf numFmtId="0" fontId="0" fillId="0" borderId="22" xfId="0" applyBorder="1"/>
    <xf numFmtId="0" fontId="8" fillId="0" borderId="27" xfId="0" applyFont="1" applyBorder="1"/>
    <xf numFmtId="0" fontId="8" fillId="0" borderId="28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167" fontId="5" fillId="0" borderId="0" xfId="5" applyNumberFormat="1" applyFont="1" applyFill="1" applyBorder="1"/>
    <xf numFmtId="0" fontId="8" fillId="0" borderId="28" xfId="0" applyFont="1" applyBorder="1"/>
    <xf numFmtId="37" fontId="1" fillId="0" borderId="0" xfId="2" applyNumberFormat="1" applyFont="1" applyFill="1" applyAlignment="1">
      <alignment horizontal="right"/>
    </xf>
    <xf numFmtId="37" fontId="1" fillId="0" borderId="0" xfId="2" applyNumberFormat="1" applyFont="1" applyFill="1" applyBorder="1" applyAlignment="1">
      <alignment horizontal="right"/>
    </xf>
    <xf numFmtId="37" fontId="0" fillId="0" borderId="0" xfId="0" applyNumberFormat="1"/>
    <xf numFmtId="37" fontId="1" fillId="0" borderId="0" xfId="2" quotePrefix="1" applyNumberFormat="1" applyFont="1" applyFill="1" applyBorder="1" applyAlignment="1">
      <alignment horizontal="center"/>
    </xf>
    <xf numFmtId="37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30" xfId="0" applyFont="1" applyBorder="1" applyAlignment="1">
      <alignment horizontal="center"/>
    </xf>
    <xf numFmtId="167" fontId="8" fillId="0" borderId="0" xfId="5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10" fontId="3" fillId="3" borderId="8" xfId="1" applyNumberFormat="1" applyFont="1" applyFill="1" applyBorder="1" applyAlignment="1">
      <alignment horizontal="center"/>
    </xf>
    <xf numFmtId="37" fontId="1" fillId="0" borderId="28" xfId="2" applyNumberFormat="1" applyFont="1" applyFill="1" applyBorder="1" applyAlignment="1">
      <alignment horizontal="right"/>
    </xf>
    <xf numFmtId="0" fontId="2" fillId="0" borderId="13" xfId="0" applyFont="1" applyBorder="1" applyAlignment="1">
      <alignment horizontal="center"/>
    </xf>
    <xf numFmtId="167" fontId="5" fillId="0" borderId="28" xfId="2" quotePrefix="1" applyNumberFormat="1" applyFont="1" applyFill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0" fillId="0" borderId="27" xfId="0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8" fillId="0" borderId="0" xfId="0" applyFont="1"/>
    <xf numFmtId="0" fontId="8" fillId="0" borderId="0" xfId="0" quotePrefix="1" applyFont="1" applyAlignment="1">
      <alignment horizontal="center"/>
    </xf>
    <xf numFmtId="3" fontId="0" fillId="0" borderId="0" xfId="0" applyNumberFormat="1"/>
    <xf numFmtId="0" fontId="8" fillId="0" borderId="30" xfId="0" applyFont="1" applyBorder="1" applyAlignment="1">
      <alignment wrapText="1"/>
    </xf>
    <xf numFmtId="0" fontId="8" fillId="0" borderId="30" xfId="0" applyFont="1" applyBorder="1" applyAlignment="1">
      <alignment horizontal="center" wrapText="1"/>
    </xf>
    <xf numFmtId="0" fontId="14" fillId="0" borderId="0" xfId="0" applyFont="1"/>
    <xf numFmtId="3" fontId="0" fillId="0" borderId="5" xfId="0" applyNumberFormat="1" applyBorder="1" applyAlignment="1">
      <alignment horizontal="center"/>
    </xf>
    <xf numFmtId="3" fontId="0" fillId="0" borderId="6" xfId="0" applyNumberForma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0" fontId="0" fillId="0" borderId="14" xfId="0" applyBorder="1"/>
    <xf numFmtId="0" fontId="2" fillId="0" borderId="12" xfId="0" applyFont="1" applyBorder="1"/>
    <xf numFmtId="0" fontId="2" fillId="0" borderId="14" xfId="0" applyFont="1" applyBorder="1"/>
    <xf numFmtId="37" fontId="1" fillId="0" borderId="30" xfId="2" applyNumberFormat="1" applyFont="1" applyFill="1" applyBorder="1" applyAlignment="1">
      <alignment horizontal="right"/>
    </xf>
    <xf numFmtId="169" fontId="0" fillId="0" borderId="0" xfId="6" applyNumberFormat="1" applyFont="1"/>
    <xf numFmtId="0" fontId="8" fillId="0" borderId="10" xfId="0" applyFont="1" applyBorder="1" applyAlignment="1">
      <alignment horizontal="center"/>
    </xf>
    <xf numFmtId="167" fontId="5" fillId="0" borderId="0" xfId="5" applyNumberFormat="1"/>
    <xf numFmtId="167" fontId="5" fillId="0" borderId="0" xfId="5" applyNumberFormat="1" applyFont="1" applyFill="1"/>
    <xf numFmtId="0" fontId="0" fillId="0" borderId="12" xfId="0" applyBorder="1"/>
    <xf numFmtId="0" fontId="0" fillId="0" borderId="1" xfId="0" applyBorder="1"/>
    <xf numFmtId="0" fontId="8" fillId="0" borderId="29" xfId="0" applyFont="1" applyBorder="1"/>
    <xf numFmtId="3" fontId="3" fillId="3" borderId="0" xfId="0" applyNumberFormat="1" applyFont="1" applyFill="1"/>
    <xf numFmtId="0" fontId="3" fillId="3" borderId="0" xfId="0" applyFont="1" applyFill="1" applyAlignment="1">
      <alignment horizontal="center"/>
    </xf>
    <xf numFmtId="17" fontId="25" fillId="3" borderId="0" xfId="7" applyNumberFormat="1" applyFont="1" applyFill="1"/>
    <xf numFmtId="0" fontId="22" fillId="3" borderId="0" xfId="7" applyFont="1" applyFill="1"/>
    <xf numFmtId="170" fontId="22" fillId="3" borderId="0" xfId="7" applyNumberFormat="1" applyFont="1" applyFill="1"/>
    <xf numFmtId="167" fontId="22" fillId="3" borderId="0" xfId="5" applyNumberFormat="1" applyFont="1" applyFill="1"/>
    <xf numFmtId="0" fontId="8" fillId="7" borderId="12" xfId="0" applyFont="1" applyFill="1" applyBorder="1" applyAlignment="1">
      <alignment horizontal="centerContinuous"/>
    </xf>
    <xf numFmtId="0" fontId="27" fillId="7" borderId="14" xfId="0" applyFont="1" applyFill="1" applyBorder="1" applyAlignment="1">
      <alignment horizontal="centerContinuous"/>
    </xf>
    <xf numFmtId="0" fontId="0" fillId="7" borderId="13" xfId="0" applyFill="1" applyBorder="1" applyAlignment="1">
      <alignment horizontal="centerContinuous"/>
    </xf>
    <xf numFmtId="0" fontId="8" fillId="0" borderId="27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28" xfId="0" applyBorder="1" applyAlignment="1">
      <alignment horizontal="centerContinuous"/>
    </xf>
    <xf numFmtId="0" fontId="8" fillId="0" borderId="27" xfId="0" applyFont="1" applyBorder="1" applyAlignment="1">
      <alignment horizontal="center"/>
    </xf>
    <xf numFmtId="0" fontId="5" fillId="0" borderId="0" xfId="0" applyFont="1"/>
    <xf numFmtId="0" fontId="5" fillId="0" borderId="28" xfId="0" applyFont="1" applyBorder="1"/>
    <xf numFmtId="0" fontId="5" fillId="0" borderId="27" xfId="0" applyFont="1" applyBorder="1"/>
    <xf numFmtId="0" fontId="28" fillId="0" borderId="0" xfId="0" applyFont="1"/>
    <xf numFmtId="0" fontId="28" fillId="0" borderId="28" xfId="0" applyFont="1" applyBorder="1"/>
    <xf numFmtId="173" fontId="0" fillId="0" borderId="0" xfId="0" applyNumberFormat="1"/>
    <xf numFmtId="173" fontId="8" fillId="0" borderId="27" xfId="0" applyNumberFormat="1" applyFont="1" applyBorder="1"/>
    <xf numFmtId="0" fontId="0" fillId="7" borderId="14" xfId="0" applyFill="1" applyBorder="1" applyAlignment="1">
      <alignment horizontal="centerContinuous"/>
    </xf>
    <xf numFmtId="0" fontId="0" fillId="0" borderId="27" xfId="0" applyBorder="1" applyAlignment="1">
      <alignment horizontal="centerContinuous"/>
    </xf>
    <xf numFmtId="0" fontId="30" fillId="7" borderId="12" xfId="0" applyFont="1" applyFill="1" applyBorder="1" applyAlignment="1">
      <alignment horizontal="centerContinuous"/>
    </xf>
    <xf numFmtId="0" fontId="31" fillId="7" borderId="14" xfId="0" applyFont="1" applyFill="1" applyBorder="1" applyAlignment="1">
      <alignment horizontal="centerContinuous"/>
    </xf>
    <xf numFmtId="0" fontId="31" fillId="7" borderId="13" xfId="0" applyFont="1" applyFill="1" applyBorder="1" applyAlignment="1">
      <alignment horizontal="centerContinuous"/>
    </xf>
    <xf numFmtId="0" fontId="8" fillId="7" borderId="14" xfId="0" applyFont="1" applyFill="1" applyBorder="1" applyAlignment="1">
      <alignment horizontal="centerContinuous"/>
    </xf>
    <xf numFmtId="0" fontId="8" fillId="7" borderId="13" xfId="0" applyFont="1" applyFill="1" applyBorder="1" applyAlignment="1">
      <alignment horizontal="centerContinuous"/>
    </xf>
    <xf numFmtId="0" fontId="8" fillId="0" borderId="0" xfId="0" applyFont="1" applyAlignment="1">
      <alignment horizontal="centerContinuous"/>
    </xf>
    <xf numFmtId="0" fontId="8" fillId="0" borderId="28" xfId="0" applyFont="1" applyBorder="1" applyAlignment="1">
      <alignment horizontal="centerContinuous"/>
    </xf>
    <xf numFmtId="3" fontId="0" fillId="0" borderId="0" xfId="0" applyNumberForma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0" fillId="0" borderId="4" xfId="0" applyBorder="1"/>
    <xf numFmtId="0" fontId="0" fillId="0" borderId="7" xfId="0" applyBorder="1"/>
    <xf numFmtId="0" fontId="2" fillId="0" borderId="7" xfId="0" applyFont="1" applyBorder="1"/>
    <xf numFmtId="0" fontId="2" fillId="0" borderId="8" xfId="0" applyFont="1" applyBorder="1"/>
    <xf numFmtId="0" fontId="2" fillId="0" borderId="36" xfId="0" applyFont="1" applyBorder="1"/>
    <xf numFmtId="0" fontId="32" fillId="0" borderId="0" xfId="0" applyFont="1"/>
    <xf numFmtId="17" fontId="8" fillId="0" borderId="3" xfId="0" applyNumberFormat="1" applyFont="1" applyBorder="1" applyAlignment="1">
      <alignment horizontal="center"/>
    </xf>
    <xf numFmtId="4" fontId="0" fillId="0" borderId="5" xfId="0" applyNumberFormat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37" xfId="0" applyNumberFormat="1" applyBorder="1" applyAlignment="1">
      <alignment horizontal="center"/>
    </xf>
    <xf numFmtId="0" fontId="8" fillId="7" borderId="12" xfId="0" applyFont="1" applyFill="1" applyBorder="1"/>
    <xf numFmtId="0" fontId="8" fillId="7" borderId="14" xfId="0" applyFont="1" applyFill="1" applyBorder="1"/>
    <xf numFmtId="0" fontId="8" fillId="7" borderId="13" xfId="0" applyFont="1" applyFill="1" applyBorder="1"/>
    <xf numFmtId="0" fontId="8" fillId="0" borderId="21" xfId="0" applyFont="1" applyBorder="1"/>
    <xf numFmtId="0" fontId="8" fillId="0" borderId="22" xfId="0" applyFont="1" applyBorder="1"/>
    <xf numFmtId="0" fontId="8" fillId="0" borderId="23" xfId="0" applyFont="1" applyBorder="1"/>
    <xf numFmtId="0" fontId="2" fillId="0" borderId="3" xfId="0" applyFont="1" applyBorder="1"/>
    <xf numFmtId="9" fontId="3" fillId="3" borderId="6" xfId="1" applyFont="1" applyFill="1" applyBorder="1"/>
    <xf numFmtId="9" fontId="3" fillId="3" borderId="9" xfId="1" applyFont="1" applyFill="1" applyBorder="1"/>
    <xf numFmtId="0" fontId="4" fillId="0" borderId="4" xfId="0" applyFont="1" applyBorder="1"/>
    <xf numFmtId="0" fontId="4" fillId="0" borderId="7" xfId="0" applyFont="1" applyBorder="1"/>
    <xf numFmtId="0" fontId="0" fillId="0" borderId="39" xfId="0" applyBorder="1"/>
    <xf numFmtId="0" fontId="0" fillId="0" borderId="40" xfId="0" applyBorder="1" applyAlignment="1">
      <alignment horizontal="center"/>
    </xf>
    <xf numFmtId="0" fontId="0" fillId="0" borderId="40" xfId="0" applyBorder="1"/>
    <xf numFmtId="0" fontId="0" fillId="0" borderId="5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4" xfId="0" quotePrefix="1" applyBorder="1"/>
    <xf numFmtId="3" fontId="3" fillId="3" borderId="5" xfId="0" applyNumberFormat="1" applyFont="1" applyFill="1" applyBorder="1" applyAlignment="1">
      <alignment horizontal="center"/>
    </xf>
    <xf numFmtId="0" fontId="32" fillId="0" borderId="2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164" fontId="0" fillId="0" borderId="5" xfId="1" applyNumberFormat="1" applyFont="1" applyBorder="1" applyAlignment="1">
      <alignment horizontal="center"/>
    </xf>
    <xf numFmtId="164" fontId="0" fillId="0" borderId="6" xfId="1" applyNumberFormat="1" applyFont="1" applyBorder="1" applyAlignment="1">
      <alignment horizontal="center"/>
    </xf>
    <xf numFmtId="0" fontId="0" fillId="0" borderId="2" xfId="0" applyBorder="1"/>
    <xf numFmtId="9" fontId="3" fillId="3" borderId="6" xfId="1" applyFont="1" applyFill="1" applyBorder="1" applyAlignment="1">
      <alignment horizontal="center"/>
    </xf>
    <xf numFmtId="9" fontId="3" fillId="3" borderId="9" xfId="1" applyFont="1" applyFill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167" fontId="34" fillId="0" borderId="22" xfId="2" applyNumberFormat="1" applyFont="1" applyFill="1" applyBorder="1"/>
    <xf numFmtId="0" fontId="35" fillId="0" borderId="0" xfId="0" applyFont="1"/>
    <xf numFmtId="167" fontId="34" fillId="0" borderId="0" xfId="2" applyNumberFormat="1" applyFont="1" applyFill="1" applyBorder="1"/>
    <xf numFmtId="167" fontId="0" fillId="0" borderId="0" xfId="0" applyNumberFormat="1"/>
    <xf numFmtId="167" fontId="33" fillId="0" borderId="0" xfId="2" applyNumberFormat="1" applyFont="1" applyFill="1" applyBorder="1"/>
    <xf numFmtId="175" fontId="33" fillId="0" borderId="0" xfId="1" applyNumberFormat="1" applyFont="1" applyFill="1" applyBorder="1"/>
    <xf numFmtId="167" fontId="33" fillId="0" borderId="23" xfId="0" applyNumberFormat="1" applyFont="1" applyBorder="1"/>
    <xf numFmtId="167" fontId="33" fillId="0" borderId="0" xfId="0" applyNumberFormat="1" applyFont="1"/>
    <xf numFmtId="43" fontId="33" fillId="0" borderId="0" xfId="2" applyFont="1" applyFill="1" applyBorder="1"/>
    <xf numFmtId="175" fontId="33" fillId="0" borderId="0" xfId="1" applyNumberFormat="1" applyFont="1" applyFill="1" applyBorder="1" applyAlignment="1">
      <alignment horizontal="center"/>
    </xf>
    <xf numFmtId="175" fontId="33" fillId="0" borderId="42" xfId="1" applyNumberFormat="1" applyFont="1" applyFill="1" applyBorder="1"/>
    <xf numFmtId="167" fontId="34" fillId="0" borderId="0" xfId="0" applyNumberFormat="1" applyFont="1"/>
    <xf numFmtId="0" fontId="36" fillId="0" borderId="0" xfId="0" applyFont="1"/>
    <xf numFmtId="175" fontId="34" fillId="0" borderId="0" xfId="1" applyNumberFormat="1" applyFont="1" applyFill="1" applyBorder="1"/>
    <xf numFmtId="43" fontId="34" fillId="0" borderId="0" xfId="0" applyNumberFormat="1" applyFont="1"/>
    <xf numFmtId="0" fontId="1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43" fontId="0" fillId="0" borderId="39" xfId="0" applyNumberFormat="1" applyBorder="1"/>
    <xf numFmtId="3" fontId="0" fillId="0" borderId="40" xfId="0" applyNumberFormat="1" applyBorder="1"/>
    <xf numFmtId="3" fontId="0" fillId="0" borderId="43" xfId="0" applyNumberFormat="1" applyBorder="1"/>
    <xf numFmtId="4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43" fontId="0" fillId="0" borderId="7" xfId="0" applyNumberFormat="1" applyBorder="1"/>
    <xf numFmtId="3" fontId="0" fillId="0" borderId="8" xfId="0" applyNumberFormat="1" applyBorder="1"/>
    <xf numFmtId="3" fontId="0" fillId="0" borderId="9" xfId="0" applyNumberFormat="1" applyBorder="1"/>
    <xf numFmtId="0" fontId="33" fillId="0" borderId="39" xfId="0" applyFont="1" applyBorder="1"/>
    <xf numFmtId="0" fontId="33" fillId="0" borderId="39" xfId="0" applyFont="1" applyBorder="1" applyAlignment="1">
      <alignment horizontal="right"/>
    </xf>
    <xf numFmtId="0" fontId="33" fillId="0" borderId="4" xfId="0" applyFont="1" applyBorder="1" applyAlignment="1">
      <alignment horizontal="right"/>
    </xf>
    <xf numFmtId="0" fontId="33" fillId="0" borderId="7" xfId="0" applyFont="1" applyBorder="1" applyAlignment="1">
      <alignment horizontal="right"/>
    </xf>
    <xf numFmtId="0" fontId="0" fillId="0" borderId="9" xfId="0" applyBorder="1"/>
    <xf numFmtId="9" fontId="0" fillId="0" borderId="2" xfId="0" applyNumberFormat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3" fontId="0" fillId="0" borderId="40" xfId="0" applyNumberFormat="1" applyBorder="1" applyAlignment="1">
      <alignment horizontal="center"/>
    </xf>
    <xf numFmtId="3" fontId="0" fillId="0" borderId="43" xfId="0" applyNumberFormat="1" applyBorder="1" applyAlignment="1">
      <alignment horizontal="center"/>
    </xf>
    <xf numFmtId="167" fontId="34" fillId="0" borderId="40" xfId="2" applyNumberFormat="1" applyFont="1" applyFill="1" applyBorder="1" applyAlignment="1">
      <alignment horizontal="center"/>
    </xf>
    <xf numFmtId="3" fontId="33" fillId="0" borderId="43" xfId="0" applyNumberFormat="1" applyFont="1" applyBorder="1" applyAlignment="1">
      <alignment horizontal="center"/>
    </xf>
    <xf numFmtId="3" fontId="33" fillId="0" borderId="43" xfId="1" applyNumberFormat="1" applyFont="1" applyFill="1" applyBorder="1" applyAlignment="1">
      <alignment horizontal="center"/>
    </xf>
    <xf numFmtId="167" fontId="34" fillId="0" borderId="5" xfId="2" applyNumberFormat="1" applyFont="1" applyFill="1" applyBorder="1" applyAlignment="1">
      <alignment horizontal="center"/>
    </xf>
    <xf numFmtId="3" fontId="33" fillId="0" borderId="6" xfId="1" applyNumberFormat="1" applyFont="1" applyFill="1" applyBorder="1" applyAlignment="1">
      <alignment horizontal="center"/>
    </xf>
    <xf numFmtId="167" fontId="34" fillId="0" borderId="8" xfId="2" applyNumberFormat="1" applyFont="1" applyFill="1" applyBorder="1" applyAlignment="1">
      <alignment horizontal="center"/>
    </xf>
    <xf numFmtId="3" fontId="33" fillId="0" borderId="9" xfId="1" applyNumberFormat="1" applyFont="1" applyFill="1" applyBorder="1" applyAlignment="1">
      <alignment horizontal="center"/>
    </xf>
    <xf numFmtId="0" fontId="33" fillId="0" borderId="4" xfId="0" applyFont="1" applyBorder="1"/>
    <xf numFmtId="167" fontId="37" fillId="3" borderId="22" xfId="2" applyNumberFormat="1" applyFont="1" applyFill="1" applyBorder="1"/>
    <xf numFmtId="175" fontId="37" fillId="3" borderId="23" xfId="1" applyNumberFormat="1" applyFont="1" applyFill="1" applyBorder="1"/>
    <xf numFmtId="167" fontId="37" fillId="3" borderId="0" xfId="2" applyNumberFormat="1" applyFont="1" applyFill="1" applyBorder="1"/>
    <xf numFmtId="175" fontId="37" fillId="3" borderId="28" xfId="1" applyNumberFormat="1" applyFont="1" applyFill="1" applyBorder="1"/>
    <xf numFmtId="167" fontId="37" fillId="3" borderId="30" xfId="2" applyNumberFormat="1" applyFont="1" applyFill="1" applyBorder="1"/>
    <xf numFmtId="175" fontId="37" fillId="3" borderId="31" xfId="1" applyNumberFormat="1" applyFont="1" applyFill="1" applyBorder="1"/>
    <xf numFmtId="167" fontId="37" fillId="3" borderId="10" xfId="2" applyNumberFormat="1" applyFont="1" applyFill="1" applyBorder="1"/>
    <xf numFmtId="167" fontId="37" fillId="3" borderId="20" xfId="2" applyNumberFormat="1" applyFont="1" applyFill="1" applyBorder="1"/>
    <xf numFmtId="167" fontId="37" fillId="3" borderId="41" xfId="0" applyNumberFormat="1" applyFont="1" applyFill="1" applyBorder="1"/>
    <xf numFmtId="175" fontId="37" fillId="3" borderId="25" xfId="1" applyNumberFormat="1" applyFont="1" applyFill="1" applyBorder="1"/>
    <xf numFmtId="167" fontId="37" fillId="3" borderId="22" xfId="0" applyNumberFormat="1" applyFont="1" applyFill="1" applyBorder="1"/>
    <xf numFmtId="0" fontId="37" fillId="3" borderId="30" xfId="0" applyFont="1" applyFill="1" applyBorder="1"/>
    <xf numFmtId="167" fontId="37" fillId="8" borderId="22" xfId="0" applyNumberFormat="1" applyFont="1" applyFill="1" applyBorder="1"/>
    <xf numFmtId="175" fontId="37" fillId="8" borderId="23" xfId="1" applyNumberFormat="1" applyFont="1" applyFill="1" applyBorder="1"/>
    <xf numFmtId="0" fontId="37" fillId="8" borderId="30" xfId="0" applyFont="1" applyFill="1" applyBorder="1"/>
    <xf numFmtId="175" fontId="37" fillId="8" borderId="31" xfId="1" applyNumberFormat="1" applyFont="1" applyFill="1" applyBorder="1"/>
    <xf numFmtId="0" fontId="37" fillId="3" borderId="22" xfId="0" applyFont="1" applyFill="1" applyBorder="1"/>
    <xf numFmtId="167" fontId="37" fillId="3" borderId="0" xfId="0" applyNumberFormat="1" applyFont="1" applyFill="1"/>
    <xf numFmtId="167" fontId="37" fillId="3" borderId="10" xfId="0" applyNumberFormat="1" applyFont="1" applyFill="1" applyBorder="1"/>
    <xf numFmtId="0" fontId="37" fillId="3" borderId="0" xfId="0" applyFont="1" applyFill="1"/>
    <xf numFmtId="0" fontId="37" fillId="3" borderId="10" xfId="0" applyFont="1" applyFill="1" applyBorder="1"/>
    <xf numFmtId="0" fontId="37" fillId="3" borderId="25" xfId="1" applyNumberFormat="1" applyFont="1" applyFill="1" applyBorder="1"/>
    <xf numFmtId="167" fontId="37" fillId="3" borderId="30" xfId="0" applyNumberFormat="1" applyFont="1" applyFill="1" applyBorder="1"/>
    <xf numFmtId="0" fontId="37" fillId="8" borderId="22" xfId="0" applyFont="1" applyFill="1" applyBorder="1"/>
    <xf numFmtId="167" fontId="37" fillId="8" borderId="0" xfId="2" applyNumberFormat="1" applyFont="1" applyFill="1" applyBorder="1"/>
    <xf numFmtId="175" fontId="37" fillId="8" borderId="28" xfId="1" applyNumberFormat="1" applyFont="1" applyFill="1" applyBorder="1"/>
    <xf numFmtId="175" fontId="37" fillId="8" borderId="25" xfId="1" applyNumberFormat="1" applyFont="1" applyFill="1" applyBorder="1"/>
    <xf numFmtId="0" fontId="37" fillId="8" borderId="20" xfId="0" applyFont="1" applyFill="1" applyBorder="1"/>
    <xf numFmtId="175" fontId="37" fillId="8" borderId="41" xfId="1" applyNumberFormat="1" applyFont="1" applyFill="1" applyBorder="1"/>
    <xf numFmtId="167" fontId="37" fillId="8" borderId="30" xfId="2" applyNumberFormat="1" applyFont="1" applyFill="1" applyBorder="1"/>
    <xf numFmtId="167" fontId="37" fillId="8" borderId="30" xfId="0" applyNumberFormat="1" applyFont="1" applyFill="1" applyBorder="1"/>
    <xf numFmtId="0" fontId="37" fillId="8" borderId="31" xfId="1" applyNumberFormat="1" applyFont="1" applyFill="1" applyBorder="1"/>
    <xf numFmtId="0" fontId="37" fillId="3" borderId="20" xfId="0" applyFont="1" applyFill="1" applyBorder="1"/>
    <xf numFmtId="175" fontId="37" fillId="3" borderId="41" xfId="1" applyNumberFormat="1" applyFont="1" applyFill="1" applyBorder="1"/>
    <xf numFmtId="0" fontId="37" fillId="3" borderId="31" xfId="1" applyNumberFormat="1" applyFont="1" applyFill="1" applyBorder="1"/>
    <xf numFmtId="0" fontId="34" fillId="0" borderId="21" xfId="0" applyFont="1" applyBorder="1"/>
    <xf numFmtId="0" fontId="34" fillId="0" borderId="27" xfId="0" applyFont="1" applyBorder="1"/>
    <xf numFmtId="0" fontId="34" fillId="0" borderId="29" xfId="0" applyFont="1" applyBorder="1"/>
    <xf numFmtId="0" fontId="34" fillId="0" borderId="21" xfId="0" applyFont="1" applyBorder="1" applyAlignment="1">
      <alignment horizontal="right"/>
    </xf>
    <xf numFmtId="0" fontId="34" fillId="0" borderId="27" xfId="0" applyFont="1" applyBorder="1" applyAlignment="1">
      <alignment horizontal="right"/>
    </xf>
    <xf numFmtId="0" fontId="34" fillId="0" borderId="26" xfId="0" applyFont="1" applyBorder="1"/>
    <xf numFmtId="0" fontId="34" fillId="0" borderId="29" xfId="0" applyFont="1" applyBorder="1" applyAlignment="1">
      <alignment horizontal="right"/>
    </xf>
    <xf numFmtId="0" fontId="34" fillId="0" borderId="21" xfId="0" applyFont="1" applyBorder="1" applyAlignment="1">
      <alignment horizontal="left"/>
    </xf>
    <xf numFmtId="0" fontId="34" fillId="0" borderId="29" xfId="0" applyFont="1" applyBorder="1" applyAlignment="1">
      <alignment horizontal="left"/>
    </xf>
    <xf numFmtId="0" fontId="34" fillId="0" borderId="24" xfId="0" applyFont="1" applyBorder="1" applyAlignment="1">
      <alignment horizontal="right"/>
    </xf>
    <xf numFmtId="0" fontId="34" fillId="0" borderId="27" xfId="0" applyFont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left"/>
    </xf>
    <xf numFmtId="43" fontId="0" fillId="0" borderId="39" xfId="0" applyNumberFormat="1" applyBorder="1" applyAlignment="1">
      <alignment horizontal="left"/>
    </xf>
    <xf numFmtId="43" fontId="0" fillId="0" borderId="4" xfId="0" applyNumberFormat="1" applyBorder="1" applyAlignment="1">
      <alignment horizontal="left"/>
    </xf>
    <xf numFmtId="43" fontId="0" fillId="0" borderId="7" xfId="0" applyNumberFormat="1" applyBorder="1" applyAlignment="1">
      <alignment horizontal="left"/>
    </xf>
    <xf numFmtId="167" fontId="0" fillId="0" borderId="0" xfId="0" applyNumberFormat="1" applyAlignment="1">
      <alignment horizontal="left"/>
    </xf>
    <xf numFmtId="0" fontId="33" fillId="0" borderId="39" xfId="0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0" fontId="33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39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9" fontId="0" fillId="0" borderId="4" xfId="1" applyFont="1" applyBorder="1"/>
    <xf numFmtId="10" fontId="0" fillId="0" borderId="7" xfId="1" applyNumberFormat="1" applyFont="1" applyBorder="1"/>
    <xf numFmtId="0" fontId="8" fillId="0" borderId="4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8" fillId="0" borderId="46" xfId="0" applyFont="1" applyBorder="1" applyAlignment="1">
      <alignment horizontal="center"/>
    </xf>
    <xf numFmtId="0" fontId="8" fillId="0" borderId="47" xfId="0" applyFont="1" applyBorder="1" applyAlignment="1">
      <alignment horizontal="center" wrapText="1"/>
    </xf>
    <xf numFmtId="9" fontId="23" fillId="3" borderId="18" xfId="1" applyFont="1" applyFill="1" applyBorder="1" applyAlignment="1">
      <alignment horizontal="center"/>
    </xf>
    <xf numFmtId="9" fontId="23" fillId="3" borderId="19" xfId="1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3" fontId="0" fillId="0" borderId="4" xfId="0" applyNumberFormat="1" applyBorder="1"/>
    <xf numFmtId="0" fontId="39" fillId="0" borderId="40" xfId="0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167" fontId="9" fillId="0" borderId="22" xfId="5" applyNumberFormat="1" applyFont="1" applyFill="1" applyBorder="1"/>
    <xf numFmtId="167" fontId="9" fillId="0" borderId="22" xfId="5" applyNumberFormat="1" applyFont="1" applyFill="1" applyBorder="1" applyAlignment="1">
      <alignment horizontal="center"/>
    </xf>
    <xf numFmtId="0" fontId="41" fillId="0" borderId="0" xfId="5" applyNumberFormat="1" applyFont="1" applyFill="1" applyBorder="1" applyAlignment="1">
      <alignment horizontal="center"/>
    </xf>
    <xf numFmtId="0" fontId="42" fillId="0" borderId="28" xfId="0" applyFont="1" applyBorder="1"/>
    <xf numFmtId="0" fontId="8" fillId="0" borderId="0" xfId="0" applyFont="1" applyAlignment="1">
      <alignment horizontal="right"/>
    </xf>
    <xf numFmtId="0" fontId="44" fillId="0" borderId="0" xfId="0" applyFont="1"/>
    <xf numFmtId="0" fontId="5" fillId="0" borderId="0" xfId="0" applyFont="1" applyAlignment="1">
      <alignment horizontal="center"/>
    </xf>
    <xf numFmtId="176" fontId="0" fillId="0" borderId="0" xfId="5" applyNumberFormat="1" applyFont="1" applyFill="1"/>
    <xf numFmtId="0" fontId="5" fillId="0" borderId="0" xfId="5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0" borderId="20" xfId="0" applyBorder="1"/>
    <xf numFmtId="167" fontId="0" fillId="0" borderId="42" xfId="0" applyNumberFormat="1" applyBorder="1"/>
    <xf numFmtId="0" fontId="0" fillId="0" borderId="42" xfId="0" applyBorder="1"/>
    <xf numFmtId="0" fontId="0" fillId="0" borderId="10" xfId="0" applyBorder="1"/>
    <xf numFmtId="0" fontId="0" fillId="0" borderId="55" xfId="0" applyBorder="1"/>
    <xf numFmtId="172" fontId="22" fillId="3" borderId="0" xfId="0" applyNumberFormat="1" applyFont="1" applyFill="1"/>
    <xf numFmtId="165" fontId="22" fillId="3" borderId="28" xfId="0" applyNumberFormat="1" applyFont="1" applyFill="1" applyBorder="1"/>
    <xf numFmtId="165" fontId="22" fillId="3" borderId="0" xfId="0" applyNumberFormat="1" applyFont="1" applyFill="1"/>
    <xf numFmtId="0" fontId="3" fillId="3" borderId="28" xfId="0" applyFont="1" applyFill="1" applyBorder="1"/>
    <xf numFmtId="173" fontId="22" fillId="3" borderId="34" xfId="0" applyNumberFormat="1" applyFont="1" applyFill="1" applyBorder="1"/>
    <xf numFmtId="173" fontId="22" fillId="3" borderId="11" xfId="0" applyNumberFormat="1" applyFont="1" applyFill="1" applyBorder="1"/>
    <xf numFmtId="173" fontId="22" fillId="3" borderId="35" xfId="0" applyNumberFormat="1" applyFont="1" applyFill="1" applyBorder="1"/>
    <xf numFmtId="173" fontId="3" fillId="3" borderId="0" xfId="0" applyNumberFormat="1" applyFont="1" applyFill="1"/>
    <xf numFmtId="173" fontId="3" fillId="3" borderId="28" xfId="0" applyNumberFormat="1" applyFont="1" applyFill="1" applyBorder="1"/>
    <xf numFmtId="173" fontId="22" fillId="3" borderId="0" xfId="0" applyNumberFormat="1" applyFont="1" applyFill="1"/>
    <xf numFmtId="173" fontId="22" fillId="3" borderId="28" xfId="0" applyNumberFormat="1" applyFont="1" applyFill="1" applyBorder="1"/>
    <xf numFmtId="174" fontId="22" fillId="3" borderId="0" xfId="5" applyNumberFormat="1" applyFont="1" applyFill="1" applyBorder="1"/>
    <xf numFmtId="173" fontId="3" fillId="3" borderId="34" xfId="0" applyNumberFormat="1" applyFont="1" applyFill="1" applyBorder="1"/>
    <xf numFmtId="173" fontId="3" fillId="3" borderId="11" xfId="0" applyNumberFormat="1" applyFont="1" applyFill="1" applyBorder="1"/>
    <xf numFmtId="173" fontId="3" fillId="3" borderId="35" xfId="0" applyNumberFormat="1" applyFont="1" applyFill="1" applyBorder="1"/>
    <xf numFmtId="173" fontId="3" fillId="3" borderId="12" xfId="0" applyNumberFormat="1" applyFont="1" applyFill="1" applyBorder="1"/>
    <xf numFmtId="173" fontId="3" fillId="3" borderId="14" xfId="0" applyNumberFormat="1" applyFont="1" applyFill="1" applyBorder="1"/>
    <xf numFmtId="173" fontId="3" fillId="3" borderId="13" xfId="0" applyNumberFormat="1" applyFont="1" applyFill="1" applyBorder="1"/>
    <xf numFmtId="173" fontId="3" fillId="3" borderId="30" xfId="0" applyNumberFormat="1" applyFont="1" applyFill="1" applyBorder="1"/>
    <xf numFmtId="173" fontId="22" fillId="3" borderId="30" xfId="0" applyNumberFormat="1" applyFont="1" applyFill="1" applyBorder="1"/>
    <xf numFmtId="173" fontId="3" fillId="3" borderId="31" xfId="0" applyNumberFormat="1" applyFont="1" applyFill="1" applyBorder="1"/>
    <xf numFmtId="173" fontId="22" fillId="3" borderId="25" xfId="0" applyNumberFormat="1" applyFont="1" applyFill="1" applyBorder="1"/>
    <xf numFmtId="3" fontId="23" fillId="3" borderId="13" xfId="0" applyNumberFormat="1" applyFont="1" applyFill="1" applyBorder="1"/>
    <xf numFmtId="173" fontId="3" fillId="3" borderId="23" xfId="0" applyNumberFormat="1" applyFont="1" applyFill="1" applyBorder="1"/>
    <xf numFmtId="3" fontId="3" fillId="3" borderId="30" xfId="0" applyNumberFormat="1" applyFont="1" applyFill="1" applyBorder="1"/>
    <xf numFmtId="3" fontId="3" fillId="3" borderId="31" xfId="0" applyNumberFormat="1" applyFont="1" applyFill="1" applyBorder="1"/>
    <xf numFmtId="173" fontId="4" fillId="0" borderId="0" xfId="0" applyNumberFormat="1" applyFont="1"/>
    <xf numFmtId="0" fontId="4" fillId="0" borderId="0" xfId="0" applyFont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4" fillId="0" borderId="0" xfId="0" applyFont="1"/>
    <xf numFmtId="0" fontId="46" fillId="0" borderId="0" xfId="0" applyFont="1"/>
    <xf numFmtId="0" fontId="46" fillId="0" borderId="28" xfId="0" applyFont="1" applyBorder="1"/>
    <xf numFmtId="177" fontId="0" fillId="0" borderId="9" xfId="0" applyNumberFormat="1" applyBorder="1"/>
    <xf numFmtId="0" fontId="3" fillId="3" borderId="3" xfId="0" applyFont="1" applyFill="1" applyBorder="1"/>
    <xf numFmtId="177" fontId="3" fillId="3" borderId="6" xfId="0" applyNumberFormat="1" applyFont="1" applyFill="1" applyBorder="1"/>
    <xf numFmtId="177" fontId="3" fillId="3" borderId="56" xfId="0" applyNumberFormat="1" applyFont="1" applyFill="1" applyBorder="1"/>
    <xf numFmtId="0" fontId="0" fillId="0" borderId="57" xfId="0" applyBorder="1"/>
    <xf numFmtId="0" fontId="0" fillId="0" borderId="58" xfId="0" applyBorder="1"/>
    <xf numFmtId="0" fontId="46" fillId="0" borderId="4" xfId="0" applyFont="1" applyBorder="1"/>
    <xf numFmtId="177" fontId="0" fillId="0" borderId="5" xfId="0" applyNumberFormat="1" applyBorder="1" applyAlignment="1">
      <alignment horizontal="center"/>
    </xf>
    <xf numFmtId="177" fontId="0" fillId="0" borderId="6" xfId="0" applyNumberFormat="1" applyBorder="1" applyAlignment="1">
      <alignment horizontal="center"/>
    </xf>
    <xf numFmtId="177" fontId="3" fillId="3" borderId="5" xfId="0" applyNumberFormat="1" applyFont="1" applyFill="1" applyBorder="1" applyAlignment="1">
      <alignment horizontal="center"/>
    </xf>
    <xf numFmtId="0" fontId="5" fillId="0" borderId="7" xfId="0" applyFont="1" applyBorder="1"/>
    <xf numFmtId="177" fontId="0" fillId="0" borderId="8" xfId="0" applyNumberFormat="1" applyBorder="1" applyAlignment="1">
      <alignment horizontal="center"/>
    </xf>
    <xf numFmtId="177" fontId="0" fillId="0" borderId="9" xfId="0" applyNumberFormat="1" applyBorder="1" applyAlignment="1">
      <alignment horizontal="center"/>
    </xf>
    <xf numFmtId="177" fontId="4" fillId="0" borderId="5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67" fontId="0" fillId="0" borderId="0" xfId="2" applyNumberFormat="1" applyFont="1"/>
    <xf numFmtId="167" fontId="0" fillId="0" borderId="0" xfId="2" applyNumberFormat="1" applyFont="1" applyFill="1" applyBorder="1"/>
    <xf numFmtId="177" fontId="4" fillId="0" borderId="6" xfId="0" applyNumberFormat="1" applyFont="1" applyBorder="1" applyAlignment="1">
      <alignment horizontal="center"/>
    </xf>
    <xf numFmtId="177" fontId="3" fillId="3" borderId="6" xfId="0" applyNumberFormat="1" applyFont="1" applyFill="1" applyBorder="1" applyAlignment="1">
      <alignment horizontal="center"/>
    </xf>
    <xf numFmtId="177" fontId="4" fillId="0" borderId="9" xfId="0" applyNumberFormat="1" applyFont="1" applyBorder="1" applyAlignment="1">
      <alignment horizontal="center"/>
    </xf>
    <xf numFmtId="177" fontId="4" fillId="0" borderId="0" xfId="0" applyNumberFormat="1" applyFont="1" applyAlignment="1">
      <alignment horizontal="center"/>
    </xf>
    <xf numFmtId="0" fontId="8" fillId="0" borderId="53" xfId="0" applyFont="1" applyBorder="1"/>
    <xf numFmtId="0" fontId="8" fillId="0" borderId="51" xfId="0" applyFont="1" applyBorder="1"/>
    <xf numFmtId="179" fontId="48" fillId="0" borderId="34" xfId="9" quotePrefix="1" applyNumberFormat="1" applyFont="1" applyBorder="1" applyAlignment="1">
      <alignment horizontal="center"/>
    </xf>
    <xf numFmtId="179" fontId="48" fillId="0" borderId="11" xfId="9" quotePrefix="1" applyNumberFormat="1" applyFont="1" applyBorder="1" applyAlignment="1">
      <alignment horizontal="center"/>
    </xf>
    <xf numFmtId="179" fontId="48" fillId="0" borderId="59" xfId="9" quotePrefix="1" applyNumberFormat="1" applyFont="1" applyBorder="1" applyAlignment="1">
      <alignment horizontal="center"/>
    </xf>
    <xf numFmtId="0" fontId="0" fillId="0" borderId="51" xfId="0" applyBorder="1"/>
    <xf numFmtId="0" fontId="8" fillId="9" borderId="11" xfId="0" quotePrefix="1" applyFont="1" applyFill="1" applyBorder="1"/>
    <xf numFmtId="0" fontId="0" fillId="9" borderId="11" xfId="0" applyFill="1" applyBorder="1"/>
    <xf numFmtId="0" fontId="8" fillId="9" borderId="59" xfId="0" applyFont="1" applyFill="1" applyBorder="1" applyAlignment="1">
      <alignment horizontal="center"/>
    </xf>
    <xf numFmtId="0" fontId="40" fillId="0" borderId="0" xfId="0" applyFont="1"/>
    <xf numFmtId="0" fontId="8" fillId="0" borderId="42" xfId="0" quotePrefix="1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8" fillId="7" borderId="52" xfId="0" applyFont="1" applyFill="1" applyBorder="1" applyAlignment="1">
      <alignment horizontal="left"/>
    </xf>
    <xf numFmtId="0" fontId="8" fillId="7" borderId="52" xfId="0" quotePrefix="1" applyFont="1" applyFill="1" applyBorder="1" applyAlignment="1">
      <alignment horizontal="center"/>
    </xf>
    <xf numFmtId="0" fontId="8" fillId="7" borderId="52" xfId="0" applyFont="1" applyFill="1" applyBorder="1"/>
    <xf numFmtId="169" fontId="49" fillId="7" borderId="60" xfId="6" quotePrefix="1" applyNumberFormat="1" applyFont="1" applyFill="1" applyBorder="1"/>
    <xf numFmtId="0" fontId="8" fillId="0" borderId="10" xfId="0" applyFont="1" applyBorder="1" applyAlignment="1">
      <alignment horizontal="left"/>
    </xf>
    <xf numFmtId="0" fontId="0" fillId="0" borderId="10" xfId="0" quotePrefix="1" applyBorder="1" applyAlignment="1">
      <alignment horizontal="center"/>
    </xf>
    <xf numFmtId="0" fontId="5" fillId="0" borderId="10" xfId="0" quotePrefix="1" applyFont="1" applyBorder="1" applyAlignment="1">
      <alignment horizontal="center"/>
    </xf>
    <xf numFmtId="169" fontId="41" fillId="0" borderId="55" xfId="6" quotePrefix="1" applyNumberFormat="1" applyFont="1" applyBorder="1"/>
    <xf numFmtId="0" fontId="0" fillId="0" borderId="20" xfId="0" quotePrefix="1" applyBorder="1" applyAlignment="1">
      <alignment horizontal="center"/>
    </xf>
    <xf numFmtId="169" fontId="41" fillId="0" borderId="42" xfId="6" quotePrefix="1" applyNumberFormat="1" applyFont="1" applyBorder="1"/>
    <xf numFmtId="0" fontId="0" fillId="0" borderId="0" xfId="0" quotePrefix="1" applyAlignment="1">
      <alignment horizontal="center"/>
    </xf>
    <xf numFmtId="167" fontId="41" fillId="0" borderId="42" xfId="5" applyNumberFormat="1" applyFont="1" applyFill="1" applyBorder="1"/>
    <xf numFmtId="0" fontId="5" fillId="0" borderId="0" xfId="0" quotePrefix="1" applyFont="1" applyAlignment="1">
      <alignment horizont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5" quotePrefix="1" applyNumberFormat="1" applyFont="1" applyFill="1" applyBorder="1" applyAlignment="1">
      <alignment horizontal="center"/>
    </xf>
    <xf numFmtId="0" fontId="8" fillId="10" borderId="52" xfId="0" applyFont="1" applyFill="1" applyBorder="1"/>
    <xf numFmtId="0" fontId="8" fillId="10" borderId="52" xfId="0" applyFont="1" applyFill="1" applyBorder="1" applyAlignment="1">
      <alignment horizontal="center"/>
    </xf>
    <xf numFmtId="169" fontId="8" fillId="10" borderId="60" xfId="0" applyNumberFormat="1" applyFont="1" applyFill="1" applyBorder="1"/>
    <xf numFmtId="0" fontId="0" fillId="0" borderId="61" xfId="0" applyBorder="1"/>
    <xf numFmtId="0" fontId="8" fillId="0" borderId="0" xfId="0" applyFont="1" applyAlignment="1">
      <alignment horizontal="left"/>
    </xf>
    <xf numFmtId="37" fontId="5" fillId="0" borderId="0" xfId="0" applyNumberFormat="1" applyFont="1" applyAlignment="1">
      <alignment horizontal="left"/>
    </xf>
    <xf numFmtId="37" fontId="8" fillId="7" borderId="11" xfId="0" applyNumberFormat="1" applyFont="1" applyFill="1" applyBorder="1" applyAlignment="1">
      <alignment horizontal="left"/>
    </xf>
    <xf numFmtId="0" fontId="0" fillId="7" borderId="11" xfId="0" applyFill="1" applyBorder="1"/>
    <xf numFmtId="37" fontId="5" fillId="7" borderId="11" xfId="0" applyNumberFormat="1" applyFont="1" applyFill="1" applyBorder="1" applyAlignment="1">
      <alignment horizontal="left"/>
    </xf>
    <xf numFmtId="0" fontId="50" fillId="7" borderId="11" xfId="0" applyFont="1" applyFill="1" applyBorder="1"/>
    <xf numFmtId="169" fontId="49" fillId="7" borderId="59" xfId="0" applyNumberFormat="1" applyFont="1" applyFill="1" applyBorder="1"/>
    <xf numFmtId="37" fontId="8" fillId="0" borderId="0" xfId="0" applyNumberFormat="1" applyFont="1" applyAlignment="1">
      <alignment horizontal="left"/>
    </xf>
    <xf numFmtId="0" fontId="50" fillId="0" borderId="0" xfId="0" applyFont="1"/>
    <xf numFmtId="169" fontId="49" fillId="0" borderId="42" xfId="0" applyNumberFormat="1" applyFont="1" applyBorder="1"/>
    <xf numFmtId="37" fontId="5" fillId="0" borderId="0" xfId="0" applyNumberFormat="1" applyFont="1" applyAlignment="1">
      <alignment horizontal="center"/>
    </xf>
    <xf numFmtId="169" fontId="51" fillId="0" borderId="42" xfId="6" applyNumberFormat="1" applyFont="1" applyFill="1" applyBorder="1"/>
    <xf numFmtId="176" fontId="5" fillId="0" borderId="0" xfId="0" applyNumberFormat="1" applyFont="1" applyAlignment="1">
      <alignment horizontal="center"/>
    </xf>
    <xf numFmtId="169" fontId="51" fillId="0" borderId="42" xfId="0" applyNumberFormat="1" applyFont="1" applyBorder="1"/>
    <xf numFmtId="3" fontId="8" fillId="10" borderId="52" xfId="0" applyNumberFormat="1" applyFont="1" applyFill="1" applyBorder="1" applyAlignment="1">
      <alignment horizontal="center"/>
    </xf>
    <xf numFmtId="169" fontId="52" fillId="0" borderId="42" xfId="6" applyNumberFormat="1" applyFont="1" applyFill="1" applyBorder="1"/>
    <xf numFmtId="0" fontId="0" fillId="9" borderId="59" xfId="0" applyFill="1" applyBorder="1"/>
    <xf numFmtId="0" fontId="5" fillId="0" borderId="20" xfId="0" applyFont="1" applyBorder="1"/>
    <xf numFmtId="0" fontId="49" fillId="0" borderId="20" xfId="0" applyFont="1" applyBorder="1" applyAlignment="1">
      <alignment horizontal="center"/>
    </xf>
    <xf numFmtId="0" fontId="49" fillId="0" borderId="0" xfId="0" applyFont="1" applyAlignment="1">
      <alignment horizontal="center"/>
    </xf>
    <xf numFmtId="169" fontId="41" fillId="0" borderId="54" xfId="6" quotePrefix="1" applyNumberFormat="1" applyFont="1" applyBorder="1"/>
    <xf numFmtId="0" fontId="53" fillId="0" borderId="10" xfId="0" applyFont="1" applyBorder="1"/>
    <xf numFmtId="0" fontId="8" fillId="0" borderId="52" xfId="0" applyFont="1" applyBorder="1" applyAlignment="1">
      <alignment horizontal="center"/>
    </xf>
    <xf numFmtId="0" fontId="53" fillId="0" borderId="52" xfId="0" applyFont="1" applyBorder="1"/>
    <xf numFmtId="0" fontId="0" fillId="0" borderId="52" xfId="0" applyBorder="1"/>
    <xf numFmtId="169" fontId="49" fillId="0" borderId="60" xfId="6" quotePrefix="1" applyNumberFormat="1" applyFont="1" applyBorder="1"/>
    <xf numFmtId="0" fontId="0" fillId="0" borderId="62" xfId="0" applyBorder="1"/>
    <xf numFmtId="0" fontId="8" fillId="9" borderId="34" xfId="0" quotePrefix="1" applyFont="1" applyFill="1" applyBorder="1"/>
    <xf numFmtId="0" fontId="8" fillId="0" borderId="11" xfId="0" applyFont="1" applyBorder="1"/>
    <xf numFmtId="0" fontId="8" fillId="0" borderId="11" xfId="0" applyFont="1" applyBorder="1" applyAlignment="1">
      <alignment horizontal="center"/>
    </xf>
    <xf numFmtId="169" fontId="49" fillId="0" borderId="59" xfId="6" quotePrefix="1" applyNumberFormat="1" applyFont="1" applyBorder="1"/>
    <xf numFmtId="0" fontId="41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49" fontId="5" fillId="0" borderId="0" xfId="0" applyNumberFormat="1" applyFont="1" applyAlignment="1">
      <alignment horizontal="left"/>
    </xf>
    <xf numFmtId="169" fontId="8" fillId="0" borderId="59" xfId="0" applyNumberFormat="1" applyFont="1" applyBorder="1"/>
    <xf numFmtId="0" fontId="49" fillId="0" borderId="11" xfId="0" applyFont="1" applyBorder="1" applyAlignment="1">
      <alignment horizontal="center"/>
    </xf>
    <xf numFmtId="0" fontId="53" fillId="0" borderId="11" xfId="0" applyFont="1" applyBorder="1"/>
    <xf numFmtId="169" fontId="49" fillId="0" borderId="59" xfId="0" applyNumberFormat="1" applyFont="1" applyBorder="1"/>
    <xf numFmtId="167" fontId="5" fillId="0" borderId="0" xfId="5" quotePrefix="1" applyNumberFormat="1" applyFont="1" applyBorder="1" applyAlignment="1">
      <alignment horizontal="center"/>
    </xf>
    <xf numFmtId="10" fontId="5" fillId="0" borderId="0" xfId="1" quotePrefix="1" applyNumberFormat="1" applyFont="1" applyBorder="1" applyAlignment="1">
      <alignment horizontal="center"/>
    </xf>
    <xf numFmtId="49" fontId="8" fillId="0" borderId="52" xfId="0" applyNumberFormat="1" applyFont="1" applyBorder="1" applyAlignment="1">
      <alignment horizontal="left"/>
    </xf>
    <xf numFmtId="169" fontId="8" fillId="0" borderId="52" xfId="0" applyNumberFormat="1" applyFont="1" applyBorder="1"/>
    <xf numFmtId="10" fontId="8" fillId="0" borderId="52" xfId="1" applyNumberFormat="1" applyFont="1" applyFill="1" applyBorder="1" applyAlignment="1">
      <alignment horizontal="center"/>
    </xf>
    <xf numFmtId="169" fontId="8" fillId="0" borderId="60" xfId="0" applyNumberFormat="1" applyFont="1" applyBorder="1"/>
    <xf numFmtId="0" fontId="8" fillId="0" borderId="0" xfId="5" applyNumberFormat="1" applyFont="1" applyFill="1" applyBorder="1" applyAlignment="1">
      <alignment horizontal="center"/>
    </xf>
    <xf numFmtId="0" fontId="53" fillId="0" borderId="0" xfId="0" applyFont="1"/>
    <xf numFmtId="169" fontId="5" fillId="0" borderId="42" xfId="6" applyNumberFormat="1" applyFont="1" applyBorder="1"/>
    <xf numFmtId="169" fontId="41" fillId="0" borderId="42" xfId="6" applyNumberFormat="1" applyFont="1" applyBorder="1"/>
    <xf numFmtId="10" fontId="41" fillId="0" borderId="0" xfId="0" applyNumberFormat="1" applyFont="1"/>
    <xf numFmtId="10" fontId="51" fillId="0" borderId="0" xfId="0" applyNumberFormat="1" applyFont="1"/>
    <xf numFmtId="167" fontId="5" fillId="0" borderId="0" xfId="5" applyNumberFormat="1" applyFont="1" applyBorder="1"/>
    <xf numFmtId="49" fontId="5" fillId="0" borderId="10" xfId="0" applyNumberFormat="1" applyFont="1" applyBorder="1" applyAlignment="1">
      <alignment horizontal="left"/>
    </xf>
    <xf numFmtId="10" fontId="41" fillId="0" borderId="10" xfId="0" applyNumberFormat="1" applyFont="1" applyBorder="1"/>
    <xf numFmtId="10" fontId="51" fillId="0" borderId="10" xfId="0" applyNumberFormat="1" applyFont="1" applyBorder="1"/>
    <xf numFmtId="167" fontId="5" fillId="0" borderId="10" xfId="5" applyNumberFormat="1" applyFont="1" applyFill="1" applyBorder="1"/>
    <xf numFmtId="0" fontId="49" fillId="0" borderId="10" xfId="0" applyFont="1" applyBorder="1"/>
    <xf numFmtId="10" fontId="49" fillId="0" borderId="10" xfId="0" applyNumberFormat="1" applyFont="1" applyBorder="1"/>
    <xf numFmtId="169" fontId="49" fillId="0" borderId="10" xfId="0" applyNumberFormat="1" applyFont="1" applyBorder="1"/>
    <xf numFmtId="0" fontId="49" fillId="0" borderId="55" xfId="0" applyFont="1" applyBorder="1"/>
    <xf numFmtId="169" fontId="51" fillId="0" borderId="10" xfId="6" applyNumberFormat="1" applyFont="1" applyFill="1" applyBorder="1"/>
    <xf numFmtId="167" fontId="51" fillId="0" borderId="0" xfId="5" applyNumberFormat="1" applyFont="1" applyFill="1" applyBorder="1"/>
    <xf numFmtId="169" fontId="8" fillId="0" borderId="52" xfId="6" applyNumberFormat="1" applyFont="1" applyFill="1" applyBorder="1"/>
    <xf numFmtId="169" fontId="8" fillId="0" borderId="60" xfId="6" applyNumberFormat="1" applyFont="1" applyFill="1" applyBorder="1"/>
    <xf numFmtId="167" fontId="8" fillId="0" borderId="52" xfId="5" applyNumberFormat="1" applyFont="1" applyFill="1" applyBorder="1"/>
    <xf numFmtId="169" fontId="8" fillId="9" borderId="59" xfId="0" applyNumberFormat="1" applyFont="1" applyFill="1" applyBorder="1"/>
    <xf numFmtId="0" fontId="0" fillId="0" borderId="59" xfId="0" applyBorder="1"/>
    <xf numFmtId="169" fontId="0" fillId="0" borderId="42" xfId="0" applyNumberFormat="1" applyBorder="1"/>
    <xf numFmtId="10" fontId="49" fillId="0" borderId="0" xfId="0" applyNumberFormat="1" applyFont="1" applyAlignment="1">
      <alignment horizontal="center"/>
    </xf>
    <xf numFmtId="169" fontId="5" fillId="0" borderId="42" xfId="0" applyNumberFormat="1" applyFont="1" applyBorder="1"/>
    <xf numFmtId="167" fontId="8" fillId="10" borderId="11" xfId="5" applyNumberFormat="1" applyFont="1" applyFill="1" applyBorder="1"/>
    <xf numFmtId="0" fontId="8" fillId="10" borderId="11" xfId="0" applyFont="1" applyFill="1" applyBorder="1"/>
    <xf numFmtId="10" fontId="47" fillId="10" borderId="11" xfId="0" applyNumberFormat="1" applyFont="1" applyFill="1" applyBorder="1"/>
    <xf numFmtId="169" fontId="8" fillId="10" borderId="59" xfId="0" applyNumberFormat="1" applyFont="1" applyFill="1" applyBorder="1"/>
    <xf numFmtId="167" fontId="41" fillId="0" borderId="55" xfId="5" applyNumberFormat="1" applyFont="1" applyFill="1" applyBorder="1"/>
    <xf numFmtId="169" fontId="0" fillId="0" borderId="54" xfId="0" applyNumberFormat="1" applyBorder="1"/>
    <xf numFmtId="0" fontId="0" fillId="0" borderId="54" xfId="0" applyBorder="1"/>
    <xf numFmtId="0" fontId="47" fillId="0" borderId="48" xfId="0" applyFont="1" applyBorder="1"/>
    <xf numFmtId="0" fontId="0" fillId="0" borderId="48" xfId="0" applyBorder="1" applyAlignment="1">
      <alignment horizontal="center"/>
    </xf>
    <xf numFmtId="177" fontId="0" fillId="0" borderId="0" xfId="0" applyNumberFormat="1" applyAlignment="1">
      <alignment horizontal="center"/>
    </xf>
    <xf numFmtId="0" fontId="2" fillId="0" borderId="9" xfId="0" applyFont="1" applyBorder="1" applyAlignment="1">
      <alignment horizontal="center"/>
    </xf>
    <xf numFmtId="177" fontId="3" fillId="3" borderId="8" xfId="0" applyNumberFormat="1" applyFont="1" applyFill="1" applyBorder="1" applyAlignment="1">
      <alignment horizontal="center"/>
    </xf>
    <xf numFmtId="169" fontId="22" fillId="3" borderId="42" xfId="6" applyNumberFormat="1" applyFont="1" applyFill="1" applyBorder="1"/>
    <xf numFmtId="167" fontId="4" fillId="0" borderId="0" xfId="0" applyNumberFormat="1" applyFont="1"/>
    <xf numFmtId="167" fontId="4" fillId="0" borderId="11" xfId="0" applyNumberFormat="1" applyFont="1" applyBorder="1"/>
    <xf numFmtId="37" fontId="17" fillId="0" borderId="0" xfId="0" applyNumberFormat="1" applyFont="1"/>
    <xf numFmtId="37" fontId="17" fillId="0" borderId="0" xfId="0" applyNumberFormat="1" applyFont="1" applyAlignment="1">
      <alignment horizontal="center"/>
    </xf>
    <xf numFmtId="37" fontId="17" fillId="0" borderId="0" xfId="0" applyNumberFormat="1" applyFont="1" applyAlignment="1">
      <alignment horizontal="centerContinuous"/>
    </xf>
    <xf numFmtId="182" fontId="17" fillId="0" borderId="0" xfId="0" quotePrefix="1" applyNumberFormat="1" applyFont="1" applyAlignment="1">
      <alignment horizontal="centerContinuous"/>
    </xf>
    <xf numFmtId="37" fontId="17" fillId="0" borderId="0" xfId="0" applyNumberFormat="1" applyFont="1" applyAlignment="1" applyProtection="1">
      <alignment horizontal="centerContinuous"/>
      <protection locked="0"/>
    </xf>
    <xf numFmtId="37" fontId="27" fillId="0" borderId="0" xfId="0" applyNumberFormat="1" applyFont="1"/>
    <xf numFmtId="37" fontId="27" fillId="0" borderId="0" xfId="0" applyNumberFormat="1" applyFont="1" applyProtection="1">
      <protection locked="0"/>
    </xf>
    <xf numFmtId="37" fontId="27" fillId="0" borderId="0" xfId="0" applyNumberFormat="1" applyFont="1" applyAlignment="1">
      <alignment horizontal="center"/>
    </xf>
    <xf numFmtId="37" fontId="27" fillId="0" borderId="0" xfId="0" applyNumberFormat="1" applyFont="1" applyAlignment="1">
      <alignment horizontal="fill"/>
    </xf>
    <xf numFmtId="37" fontId="42" fillId="0" borderId="0" xfId="0" applyNumberFormat="1" applyFont="1" applyAlignment="1">
      <alignment horizontal="right"/>
    </xf>
    <xf numFmtId="167" fontId="27" fillId="0" borderId="0" xfId="2" applyNumberFormat="1" applyFont="1" applyFill="1"/>
    <xf numFmtId="37" fontId="27" fillId="0" borderId="0" xfId="0" quotePrefix="1" applyNumberFormat="1" applyFont="1" applyAlignment="1">
      <alignment horizontal="left"/>
    </xf>
    <xf numFmtId="37" fontId="27" fillId="0" borderId="0" xfId="0" applyNumberFormat="1" applyFont="1" applyAlignment="1">
      <alignment horizontal="left"/>
    </xf>
    <xf numFmtId="37" fontId="27" fillId="0" borderId="0" xfId="0" applyNumberFormat="1" applyFont="1" applyProtection="1">
      <protection hidden="1"/>
    </xf>
    <xf numFmtId="37" fontId="27" fillId="0" borderId="0" xfId="0" applyNumberFormat="1" applyFont="1" applyAlignment="1">
      <alignment horizontal="right"/>
    </xf>
    <xf numFmtId="43" fontId="4" fillId="0" borderId="0" xfId="2" applyFont="1"/>
    <xf numFmtId="37" fontId="4" fillId="0" borderId="0" xfId="0" applyNumberFormat="1" applyFont="1"/>
    <xf numFmtId="167" fontId="27" fillId="0" borderId="0" xfId="5" applyNumberFormat="1" applyFont="1" applyFill="1" applyAlignment="1"/>
    <xf numFmtId="37" fontId="42" fillId="0" borderId="0" xfId="0" applyNumberFormat="1" applyFont="1"/>
    <xf numFmtId="37" fontId="17" fillId="0" borderId="0" xfId="0" quotePrefix="1" applyNumberFormat="1" applyFont="1" applyAlignment="1">
      <alignment horizontal="left" indent="11"/>
    </xf>
    <xf numFmtId="167" fontId="27" fillId="0" borderId="0" xfId="2" applyNumberFormat="1" applyFont="1"/>
    <xf numFmtId="37" fontId="17" fillId="0" borderId="0" xfId="0" quotePrefix="1" applyNumberFormat="1" applyFont="1" applyAlignment="1">
      <alignment horizontal="center"/>
    </xf>
    <xf numFmtId="37" fontId="57" fillId="3" borderId="0" xfId="0" applyNumberFormat="1" applyFont="1" applyFill="1"/>
    <xf numFmtId="37" fontId="58" fillId="3" borderId="0" xfId="0" applyNumberFormat="1" applyFont="1" applyFill="1" applyAlignment="1">
      <alignment horizontal="right"/>
    </xf>
    <xf numFmtId="167" fontId="57" fillId="3" borderId="0" xfId="2" applyNumberFormat="1" applyFont="1" applyFill="1"/>
    <xf numFmtId="37" fontId="57" fillId="3" borderId="0" xfId="0" applyNumberFormat="1" applyFont="1" applyFill="1" applyAlignment="1">
      <alignment horizontal="fill"/>
    </xf>
    <xf numFmtId="37" fontId="25" fillId="3" borderId="0" xfId="0" applyNumberFormat="1" applyFont="1" applyFill="1"/>
    <xf numFmtId="37" fontId="57" fillId="3" borderId="0" xfId="0" applyNumberFormat="1" applyFont="1" applyFill="1" applyProtection="1">
      <protection locked="0"/>
    </xf>
    <xf numFmtId="37" fontId="57" fillId="3" borderId="0" xfId="0" applyNumberFormat="1" applyFont="1" applyFill="1" applyProtection="1">
      <protection hidden="1"/>
    </xf>
    <xf numFmtId="37" fontId="57" fillId="3" borderId="0" xfId="0" applyNumberFormat="1" applyFont="1" applyFill="1" applyAlignment="1">
      <alignment horizontal="right"/>
    </xf>
    <xf numFmtId="37" fontId="27" fillId="0" borderId="0" xfId="0" quotePrefix="1" applyNumberFormat="1" applyFont="1" applyAlignment="1">
      <alignment horizontal="fill"/>
    </xf>
    <xf numFmtId="167" fontId="22" fillId="3" borderId="42" xfId="5" applyNumberFormat="1" applyFont="1" applyFill="1" applyBorder="1"/>
    <xf numFmtId="167" fontId="8" fillId="0" borderId="63" xfId="5" applyNumberFormat="1" applyFont="1" applyFill="1" applyBorder="1"/>
    <xf numFmtId="167" fontId="8" fillId="0" borderId="0" xfId="5" applyNumberFormat="1" applyFont="1" applyFill="1"/>
    <xf numFmtId="167" fontId="5" fillId="0" borderId="0" xfId="5" applyNumberFormat="1" applyFont="1"/>
    <xf numFmtId="37" fontId="5" fillId="0" borderId="0" xfId="5" applyNumberFormat="1" applyFont="1" applyFill="1" applyBorder="1"/>
    <xf numFmtId="37" fontId="5" fillId="0" borderId="10" xfId="5" applyNumberFormat="1" applyFont="1" applyFill="1" applyBorder="1"/>
    <xf numFmtId="167" fontId="0" fillId="0" borderId="10" xfId="5" applyNumberFormat="1" applyFont="1" applyFill="1" applyBorder="1"/>
    <xf numFmtId="0" fontId="6" fillId="0" borderId="0" xfId="0" applyFont="1" applyAlignment="1">
      <alignment horizontal="left"/>
    </xf>
    <xf numFmtId="43" fontId="0" fillId="0" borderId="0" xfId="5" applyFont="1"/>
    <xf numFmtId="43" fontId="0" fillId="0" borderId="0" xfId="5" applyFont="1" applyFill="1"/>
    <xf numFmtId="169" fontId="59" fillId="0" borderId="0" xfId="0" quotePrefix="1" applyNumberFormat="1" applyFont="1"/>
    <xf numFmtId="0" fontId="60" fillId="0" borderId="0" xfId="0" applyFont="1" applyAlignment="1">
      <alignment horizontal="left"/>
    </xf>
    <xf numFmtId="167" fontId="0" fillId="0" borderId="0" xfId="5" applyNumberFormat="1" applyFont="1" applyFill="1"/>
    <xf numFmtId="167" fontId="0" fillId="0" borderId="0" xfId="5" applyNumberFormat="1" applyFont="1" applyFill="1" applyBorder="1"/>
    <xf numFmtId="0" fontId="8" fillId="0" borderId="10" xfId="0" applyFont="1" applyBorder="1"/>
    <xf numFmtId="0" fontId="8" fillId="0" borderId="10" xfId="0" applyFont="1" applyBorder="1" applyAlignment="1">
      <alignment horizontal="center" wrapText="1"/>
    </xf>
    <xf numFmtId="43" fontId="0" fillId="0" borderId="0" xfId="0" applyNumberFormat="1"/>
    <xf numFmtId="0" fontId="2" fillId="0" borderId="1" xfId="0" applyFont="1" applyBorder="1" applyAlignment="1">
      <alignment horizontal="left"/>
    </xf>
    <xf numFmtId="0" fontId="8" fillId="0" borderId="20" xfId="0" applyFont="1" applyBorder="1"/>
    <xf numFmtId="6" fontId="8" fillId="0" borderId="48" xfId="0" quotePrefix="1" applyNumberFormat="1" applyFont="1" applyBorder="1"/>
    <xf numFmtId="0" fontId="8" fillId="0" borderId="53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179" fontId="48" fillId="0" borderId="10" xfId="9" quotePrefix="1" applyNumberFormat="1" applyFont="1" applyBorder="1" applyAlignment="1">
      <alignment horizontal="center"/>
    </xf>
    <xf numFmtId="179" fontId="8" fillId="0" borderId="44" xfId="0" applyNumberFormat="1" applyFont="1" applyBorder="1" applyAlignment="1">
      <alignment horizontal="center"/>
    </xf>
    <xf numFmtId="0" fontId="43" fillId="0" borderId="51" xfId="0" applyFont="1" applyBorder="1" applyAlignment="1">
      <alignment horizontal="center"/>
    </xf>
    <xf numFmtId="176" fontId="5" fillId="0" borderId="0" xfId="5" applyNumberFormat="1" applyFont="1" applyFill="1" applyBorder="1"/>
    <xf numFmtId="1" fontId="5" fillId="0" borderId="0" xfId="0" applyNumberFormat="1" applyFont="1"/>
    <xf numFmtId="0" fontId="0" fillId="0" borderId="10" xfId="0" applyBorder="1" applyAlignment="1">
      <alignment horizontal="center"/>
    </xf>
    <xf numFmtId="167" fontId="0" fillId="0" borderId="10" xfId="0" applyNumberFormat="1" applyBorder="1"/>
    <xf numFmtId="0" fontId="62" fillId="0" borderId="0" xfId="0" applyFont="1"/>
    <xf numFmtId="37" fontId="3" fillId="3" borderId="0" xfId="0" applyNumberFormat="1" applyFont="1" applyFill="1"/>
    <xf numFmtId="43" fontId="3" fillId="3" borderId="0" xfId="2" applyFont="1" applyFill="1"/>
    <xf numFmtId="0" fontId="4" fillId="0" borderId="5" xfId="0" applyFont="1" applyBorder="1"/>
    <xf numFmtId="0" fontId="4" fillId="0" borderId="51" xfId="0" applyFont="1" applyBorder="1"/>
    <xf numFmtId="0" fontId="4" fillId="0" borderId="42" xfId="0" applyFont="1" applyBorder="1"/>
    <xf numFmtId="167" fontId="4" fillId="0" borderId="10" xfId="5" applyNumberFormat="1" applyFont="1" applyFill="1" applyBorder="1"/>
    <xf numFmtId="37" fontId="5" fillId="0" borderId="0" xfId="0" applyNumberFormat="1" applyFont="1"/>
    <xf numFmtId="37" fontId="4" fillId="0" borderId="10" xfId="5" applyNumberFormat="1" applyFont="1" applyFill="1" applyBorder="1"/>
    <xf numFmtId="0" fontId="4" fillId="0" borderId="64" xfId="0" applyFont="1" applyBorder="1"/>
    <xf numFmtId="37" fontId="4" fillId="0" borderId="11" xfId="0" applyNumberFormat="1" applyFont="1" applyBorder="1"/>
    <xf numFmtId="37" fontId="4" fillId="0" borderId="63" xfId="0" applyNumberFormat="1" applyFont="1" applyBorder="1"/>
    <xf numFmtId="167" fontId="4" fillId="0" borderId="63" xfId="0" applyNumberFormat="1" applyFont="1" applyBorder="1"/>
    <xf numFmtId="0" fontId="4" fillId="0" borderId="0" xfId="0" applyFont="1" applyAlignment="1">
      <alignment wrapText="1"/>
    </xf>
    <xf numFmtId="0" fontId="5" fillId="0" borderId="10" xfId="0" applyFont="1" applyBorder="1"/>
    <xf numFmtId="0" fontId="4" fillId="0" borderId="10" xfId="0" applyFont="1" applyBorder="1"/>
    <xf numFmtId="0" fontId="4" fillId="0" borderId="55" xfId="0" applyFont="1" applyBorder="1"/>
    <xf numFmtId="0" fontId="4" fillId="0" borderId="0" xfId="0" applyFont="1" applyAlignment="1">
      <alignment horizontal="center"/>
    </xf>
    <xf numFmtId="0" fontId="4" fillId="0" borderId="20" xfId="0" applyFont="1" applyBorder="1"/>
    <xf numFmtId="0" fontId="4" fillId="0" borderId="54" xfId="0" applyFont="1" applyBorder="1"/>
    <xf numFmtId="179" fontId="8" fillId="0" borderId="10" xfId="9" quotePrefix="1" applyNumberFormat="1" applyFont="1" applyBorder="1" applyAlignment="1">
      <alignment horizontal="center"/>
    </xf>
    <xf numFmtId="179" fontId="8" fillId="0" borderId="59" xfId="9" quotePrefix="1" applyNumberFormat="1" applyFont="1" applyBorder="1" applyAlignment="1">
      <alignment horizontal="center"/>
    </xf>
    <xf numFmtId="186" fontId="5" fillId="0" borderId="10" xfId="5" applyNumberFormat="1" applyFont="1" applyFill="1" applyBorder="1"/>
    <xf numFmtId="1" fontId="5" fillId="0" borderId="0" xfId="5" applyNumberFormat="1" applyFont="1" applyFill="1" applyBorder="1"/>
    <xf numFmtId="37" fontId="5" fillId="0" borderId="0" xfId="5" applyNumberFormat="1" applyFont="1" applyFill="1" applyBorder="1" applyAlignment="1">
      <alignment horizontal="center"/>
    </xf>
    <xf numFmtId="37" fontId="4" fillId="0" borderId="0" xfId="0" applyNumberFormat="1" applyFont="1" applyAlignment="1">
      <alignment horizontal="center"/>
    </xf>
    <xf numFmtId="37" fontId="4" fillId="0" borderId="5" xfId="0" applyNumberFormat="1" applyFont="1" applyBorder="1" applyAlignment="1">
      <alignment horizontal="center"/>
    </xf>
    <xf numFmtId="167" fontId="5" fillId="0" borderId="0" xfId="5" applyNumberFormat="1" applyFont="1" applyFill="1" applyBorder="1" applyAlignment="1">
      <alignment horizontal="center"/>
    </xf>
    <xf numFmtId="167" fontId="4" fillId="0" borderId="0" xfId="5" applyNumberFormat="1" applyFont="1" applyFill="1" applyBorder="1" applyAlignment="1">
      <alignment horizontal="center"/>
    </xf>
    <xf numFmtId="37" fontId="5" fillId="0" borderId="0" xfId="5" quotePrefix="1" applyNumberFormat="1" applyFont="1" applyFill="1" applyBorder="1" applyAlignment="1">
      <alignment horizontal="center"/>
    </xf>
    <xf numFmtId="37" fontId="5" fillId="0" borderId="10" xfId="5" applyNumberFormat="1" applyFont="1" applyFill="1" applyBorder="1" applyAlignment="1">
      <alignment horizontal="center"/>
    </xf>
    <xf numFmtId="37" fontId="4" fillId="0" borderId="32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5" fillId="0" borderId="0" xfId="5" applyNumberFormat="1" applyFont="1" applyFill="1" applyBorder="1" applyAlignment="1">
      <alignment horizontal="center"/>
    </xf>
    <xf numFmtId="37" fontId="4" fillId="0" borderId="11" xfId="0" applyNumberFormat="1" applyFont="1" applyBorder="1" applyAlignment="1">
      <alignment horizontal="center"/>
    </xf>
    <xf numFmtId="37" fontId="4" fillId="0" borderId="63" xfId="0" applyNumberFormat="1" applyFont="1" applyBorder="1" applyAlignment="1">
      <alignment horizontal="center"/>
    </xf>
    <xf numFmtId="37" fontId="4" fillId="0" borderId="10" xfId="5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0" xfId="5" applyNumberFormat="1" applyFont="1" applyFill="1" applyBorder="1" applyAlignment="1">
      <alignment horizontal="center"/>
    </xf>
    <xf numFmtId="3" fontId="4" fillId="0" borderId="10" xfId="5" applyNumberFormat="1" applyFont="1" applyFill="1" applyBorder="1" applyAlignment="1">
      <alignment horizontal="center"/>
    </xf>
    <xf numFmtId="3" fontId="4" fillId="0" borderId="32" xfId="0" applyNumberFormat="1" applyFont="1" applyBorder="1" applyAlignment="1">
      <alignment horizontal="center"/>
    </xf>
    <xf numFmtId="3" fontId="4" fillId="0" borderId="32" xfId="5" applyNumberFormat="1" applyFont="1" applyFill="1" applyBorder="1" applyAlignment="1">
      <alignment horizontal="center"/>
    </xf>
    <xf numFmtId="3" fontId="5" fillId="0" borderId="10" xfId="5" applyNumberFormat="1" applyFont="1" applyFill="1" applyBorder="1" applyAlignment="1">
      <alignment horizontal="center"/>
    </xf>
    <xf numFmtId="3" fontId="4" fillId="0" borderId="44" xfId="0" applyNumberFormat="1" applyFont="1" applyBorder="1" applyAlignment="1">
      <alignment horizontal="center"/>
    </xf>
    <xf numFmtId="3" fontId="4" fillId="0" borderId="63" xfId="5" applyNumberFormat="1" applyFont="1" applyFill="1" applyBorder="1" applyAlignment="1">
      <alignment horizontal="center"/>
    </xf>
    <xf numFmtId="3" fontId="4" fillId="0" borderId="58" xfId="0" applyNumberFormat="1" applyFont="1" applyBorder="1" applyAlignment="1">
      <alignment horizontal="center"/>
    </xf>
    <xf numFmtId="37" fontId="4" fillId="0" borderId="51" xfId="0" applyNumberFormat="1" applyFont="1" applyBorder="1" applyAlignment="1">
      <alignment horizontal="center"/>
    </xf>
    <xf numFmtId="37" fontId="4" fillId="0" borderId="42" xfId="0" applyNumberFormat="1" applyFont="1" applyBorder="1" applyAlignment="1">
      <alignment horizontal="center"/>
    </xf>
    <xf numFmtId="37" fontId="4" fillId="0" borderId="0" xfId="5" applyNumberFormat="1" applyFont="1" applyFill="1" applyBorder="1" applyAlignment="1">
      <alignment horizontal="center"/>
    </xf>
    <xf numFmtId="37" fontId="5" fillId="0" borderId="51" xfId="5" applyNumberFormat="1" applyFont="1" applyFill="1" applyBorder="1" applyAlignment="1">
      <alignment horizontal="center"/>
    </xf>
    <xf numFmtId="37" fontId="4" fillId="0" borderId="42" xfId="5" applyNumberFormat="1" applyFont="1" applyFill="1" applyBorder="1" applyAlignment="1">
      <alignment horizontal="center"/>
    </xf>
    <xf numFmtId="37" fontId="4" fillId="0" borderId="5" xfId="5" applyNumberFormat="1" applyFont="1" applyFill="1" applyBorder="1" applyAlignment="1">
      <alignment horizontal="center"/>
    </xf>
    <xf numFmtId="37" fontId="4" fillId="0" borderId="0" xfId="5" quotePrefix="1" applyNumberFormat="1" applyFont="1" applyFill="1" applyBorder="1" applyAlignment="1">
      <alignment horizontal="center"/>
    </xf>
    <xf numFmtId="37" fontId="4" fillId="0" borderId="32" xfId="5" applyNumberFormat="1" applyFont="1" applyFill="1" applyBorder="1" applyAlignment="1">
      <alignment horizontal="center"/>
    </xf>
    <xf numFmtId="37" fontId="5" fillId="0" borderId="48" xfId="5" applyNumberFormat="1" applyFont="1" applyFill="1" applyBorder="1" applyAlignment="1">
      <alignment horizontal="center"/>
    </xf>
    <xf numFmtId="37" fontId="4" fillId="0" borderId="55" xfId="5" applyNumberFormat="1" applyFont="1" applyFill="1" applyBorder="1" applyAlignment="1">
      <alignment horizontal="center"/>
    </xf>
    <xf numFmtId="37" fontId="4" fillId="0" borderId="51" xfId="5" applyNumberFormat="1" applyFont="1" applyFill="1" applyBorder="1" applyAlignment="1">
      <alignment horizontal="center"/>
    </xf>
    <xf numFmtId="37" fontId="5" fillId="0" borderId="55" xfId="5" applyNumberFormat="1" applyFont="1" applyFill="1" applyBorder="1" applyAlignment="1">
      <alignment horizontal="center"/>
    </xf>
    <xf numFmtId="37" fontId="4" fillId="0" borderId="48" xfId="5" applyNumberFormat="1" applyFont="1" applyFill="1" applyBorder="1" applyAlignment="1">
      <alignment horizontal="center"/>
    </xf>
    <xf numFmtId="37" fontId="5" fillId="0" borderId="42" xfId="5" applyNumberFormat="1" applyFont="1" applyFill="1" applyBorder="1" applyAlignment="1">
      <alignment horizontal="center"/>
    </xf>
    <xf numFmtId="37" fontId="4" fillId="0" borderId="64" xfId="0" applyNumberFormat="1" applyFont="1" applyBorder="1" applyAlignment="1">
      <alignment horizontal="center"/>
    </xf>
    <xf numFmtId="37" fontId="4" fillId="0" borderId="11" xfId="5" applyNumberFormat="1" applyFont="1" applyFill="1" applyBorder="1" applyAlignment="1">
      <alignment horizontal="center"/>
    </xf>
    <xf numFmtId="37" fontId="4" fillId="0" borderId="44" xfId="0" applyNumberFormat="1" applyFont="1" applyBorder="1" applyAlignment="1">
      <alignment horizontal="center"/>
    </xf>
    <xf numFmtId="37" fontId="4" fillId="0" borderId="34" xfId="5" applyNumberFormat="1" applyFont="1" applyFill="1" applyBorder="1" applyAlignment="1">
      <alignment horizontal="center"/>
    </xf>
    <xf numFmtId="37" fontId="4" fillId="0" borderId="59" xfId="5" applyNumberFormat="1" applyFont="1" applyFill="1" applyBorder="1" applyAlignment="1">
      <alignment horizontal="center"/>
    </xf>
    <xf numFmtId="37" fontId="4" fillId="0" borderId="63" xfId="5" applyNumberFormat="1" applyFont="1" applyFill="1" applyBorder="1" applyAlignment="1">
      <alignment horizontal="center"/>
    </xf>
    <xf numFmtId="37" fontId="4" fillId="0" borderId="58" xfId="0" applyNumberFormat="1" applyFont="1" applyBorder="1" applyAlignment="1">
      <alignment horizontal="center"/>
    </xf>
    <xf numFmtId="37" fontId="4" fillId="0" borderId="65" xfId="5" applyNumberFormat="1" applyFont="1" applyFill="1" applyBorder="1" applyAlignment="1">
      <alignment horizontal="center"/>
    </xf>
    <xf numFmtId="37" fontId="4" fillId="0" borderId="66" xfId="5" applyNumberFormat="1" applyFont="1" applyFill="1" applyBorder="1" applyAlignment="1">
      <alignment horizontal="center"/>
    </xf>
    <xf numFmtId="37" fontId="5" fillId="0" borderId="51" xfId="5" quotePrefix="1" applyNumberFormat="1" applyFont="1" applyFill="1" applyBorder="1" applyAlignment="1">
      <alignment horizontal="center"/>
    </xf>
    <xf numFmtId="185" fontId="8" fillId="0" borderId="67" xfId="1" applyNumberFormat="1" applyFont="1" applyFill="1" applyBorder="1" applyAlignment="1">
      <alignment horizontal="center"/>
    </xf>
    <xf numFmtId="37" fontId="22" fillId="3" borderId="0" xfId="5" applyNumberFormat="1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37" fontId="22" fillId="3" borderId="10" xfId="5" applyNumberFormat="1" applyFont="1" applyFill="1" applyBorder="1" applyAlignment="1">
      <alignment horizontal="center"/>
    </xf>
    <xf numFmtId="3" fontId="4" fillId="0" borderId="11" xfId="0" applyNumberFormat="1" applyFont="1" applyBorder="1" applyAlignment="1">
      <alignment horizontal="center"/>
    </xf>
    <xf numFmtId="3" fontId="4" fillId="0" borderId="63" xfId="0" applyNumberFormat="1" applyFont="1" applyBorder="1" applyAlignment="1">
      <alignment horizontal="center"/>
    </xf>
    <xf numFmtId="37" fontId="4" fillId="0" borderId="55" xfId="0" applyNumberFormat="1" applyFont="1" applyBorder="1" applyAlignment="1">
      <alignment horizontal="center"/>
    </xf>
    <xf numFmtId="37" fontId="4" fillId="0" borderId="48" xfId="0" applyNumberFormat="1" applyFont="1" applyBorder="1" applyAlignment="1">
      <alignment horizontal="center"/>
    </xf>
    <xf numFmtId="37" fontId="4" fillId="0" borderId="10" xfId="0" applyNumberFormat="1" applyFont="1" applyBorder="1" applyAlignment="1">
      <alignment horizontal="center"/>
    </xf>
    <xf numFmtId="37" fontId="4" fillId="0" borderId="44" xfId="5" applyNumberFormat="1" applyFont="1" applyFill="1" applyBorder="1" applyAlignment="1">
      <alignment horizontal="center"/>
    </xf>
    <xf numFmtId="37" fontId="29" fillId="3" borderId="0" xfId="5" applyNumberFormat="1" applyFont="1" applyFill="1" applyBorder="1"/>
    <xf numFmtId="0" fontId="63" fillId="3" borderId="0" xfId="0" applyFont="1" applyFill="1" applyAlignment="1">
      <alignment horizontal="left"/>
    </xf>
    <xf numFmtId="0" fontId="63" fillId="3" borderId="0" xfId="0" applyFont="1" applyFill="1"/>
    <xf numFmtId="0" fontId="23" fillId="3" borderId="51" xfId="0" applyFont="1" applyFill="1" applyBorder="1"/>
    <xf numFmtId="0" fontId="0" fillId="0" borderId="48" xfId="0" applyBorder="1"/>
    <xf numFmtId="167" fontId="5" fillId="0" borderId="5" xfId="5" applyNumberFormat="1" applyFont="1" applyFill="1" applyBorder="1"/>
    <xf numFmtId="167" fontId="5" fillId="0" borderId="44" xfId="5" applyNumberFormat="1" applyFont="1" applyFill="1" applyBorder="1"/>
    <xf numFmtId="167" fontId="8" fillId="0" borderId="44" xfId="5" applyNumberFormat="1" applyFont="1" applyFill="1" applyBorder="1"/>
    <xf numFmtId="167" fontId="5" fillId="0" borderId="51" xfId="5" applyNumberFormat="1" applyFont="1" applyFill="1" applyBorder="1"/>
    <xf numFmtId="167" fontId="5" fillId="0" borderId="32" xfId="5" applyNumberFormat="1" applyFont="1" applyFill="1" applyBorder="1"/>
    <xf numFmtId="0" fontId="8" fillId="0" borderId="42" xfId="0" applyFont="1" applyBorder="1"/>
    <xf numFmtId="179" fontId="8" fillId="0" borderId="5" xfId="5" applyNumberFormat="1" applyFont="1" applyFill="1" applyBorder="1" applyAlignment="1">
      <alignment horizontal="center"/>
    </xf>
    <xf numFmtId="167" fontId="65" fillId="0" borderId="51" xfId="5" applyNumberFormat="1" applyFont="1" applyFill="1" applyBorder="1"/>
    <xf numFmtId="167" fontId="65" fillId="0" borderId="5" xfId="5" applyNumberFormat="1" applyFont="1" applyFill="1" applyBorder="1"/>
    <xf numFmtId="16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 wrapText="1"/>
    </xf>
    <xf numFmtId="179" fontId="8" fillId="0" borderId="44" xfId="5" applyNumberFormat="1" applyFont="1" applyFill="1" applyBorder="1" applyAlignment="1">
      <alignment horizontal="center"/>
    </xf>
    <xf numFmtId="167" fontId="65" fillId="0" borderId="0" xfId="5" applyNumberFormat="1" applyFont="1" applyFill="1" applyBorder="1"/>
    <xf numFmtId="167" fontId="5" fillId="0" borderId="0" xfId="0" applyNumberFormat="1" applyFont="1"/>
    <xf numFmtId="0" fontId="5" fillId="0" borderId="5" xfId="0" applyFont="1" applyBorder="1"/>
    <xf numFmtId="179" fontId="8" fillId="0" borderId="11" xfId="9" quotePrefix="1" applyNumberFormat="1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28" xfId="0" applyFont="1" applyBorder="1"/>
    <xf numFmtId="0" fontId="4" fillId="0" borderId="30" xfId="0" applyFont="1" applyBorder="1"/>
    <xf numFmtId="0" fontId="8" fillId="0" borderId="34" xfId="0" applyFont="1" applyBorder="1" applyAlignment="1">
      <alignment horizontal="center"/>
    </xf>
    <xf numFmtId="0" fontId="8" fillId="0" borderId="59" xfId="0" applyFont="1" applyBorder="1"/>
    <xf numFmtId="0" fontId="4" fillId="0" borderId="48" xfId="0" applyFont="1" applyBorder="1"/>
    <xf numFmtId="179" fontId="8" fillId="0" borderId="34" xfId="9" quotePrefix="1" applyNumberFormat="1" applyFont="1" applyBorder="1" applyAlignment="1">
      <alignment horizontal="center"/>
    </xf>
    <xf numFmtId="179" fontId="8" fillId="0" borderId="44" xfId="9" quotePrefix="1" applyNumberFormat="1" applyFont="1" applyBorder="1" applyAlignment="1">
      <alignment horizontal="center"/>
    </xf>
    <xf numFmtId="0" fontId="4" fillId="0" borderId="27" xfId="0" applyFont="1" applyBorder="1"/>
    <xf numFmtId="0" fontId="4" fillId="0" borderId="29" xfId="0" applyFont="1" applyBorder="1"/>
    <xf numFmtId="167" fontId="5" fillId="0" borderId="20" xfId="5" applyNumberFormat="1" applyFont="1" applyFill="1" applyBorder="1"/>
    <xf numFmtId="167" fontId="8" fillId="0" borderId="0" xfId="5" applyNumberFormat="1" applyFont="1" applyFill="1" applyAlignment="1">
      <alignment horizontal="center"/>
    </xf>
    <xf numFmtId="167" fontId="5" fillId="0" borderId="30" xfId="5" applyNumberFormat="1" applyFont="1" applyFill="1" applyBorder="1"/>
    <xf numFmtId="10" fontId="66" fillId="0" borderId="0" xfId="15" applyNumberFormat="1" applyFont="1" applyFill="1" applyBorder="1" applyAlignment="1"/>
    <xf numFmtId="10" fontId="38" fillId="0" borderId="42" xfId="15" applyNumberFormat="1" applyFont="1" applyFill="1" applyBorder="1" applyAlignment="1">
      <alignment horizontal="left"/>
    </xf>
    <xf numFmtId="43" fontId="8" fillId="0" borderId="10" xfId="5" applyFont="1" applyFill="1" applyBorder="1" applyAlignment="1">
      <alignment horizontal="center"/>
    </xf>
    <xf numFmtId="0" fontId="17" fillId="0" borderId="0" xfId="0" applyFont="1"/>
    <xf numFmtId="167" fontId="4" fillId="0" borderId="0" xfId="5" applyNumberFormat="1" applyFont="1" applyFill="1" applyBorder="1"/>
    <xf numFmtId="0" fontId="4" fillId="0" borderId="0" xfId="5" applyNumberFormat="1" applyFont="1" applyFill="1" applyBorder="1"/>
    <xf numFmtId="43" fontId="4" fillId="0" borderId="0" xfId="5" applyFont="1" applyFill="1" applyBorder="1"/>
    <xf numFmtId="41" fontId="5" fillId="0" borderId="0" xfId="5" applyNumberFormat="1" applyFont="1" applyFill="1" applyBorder="1"/>
    <xf numFmtId="167" fontId="5" fillId="0" borderId="52" xfId="5" applyNumberFormat="1" applyFont="1" applyFill="1" applyBorder="1"/>
    <xf numFmtId="0" fontId="23" fillId="3" borderId="48" xfId="0" applyFont="1" applyFill="1" applyBorder="1"/>
    <xf numFmtId="0" fontId="68" fillId="0" borderId="0" xfId="0" applyFont="1"/>
    <xf numFmtId="167" fontId="68" fillId="0" borderId="0" xfId="0" applyNumberFormat="1" applyFont="1"/>
    <xf numFmtId="0" fontId="43" fillId="0" borderId="10" xfId="0" applyFont="1" applyBorder="1" applyAlignment="1">
      <alignment horizontal="left"/>
    </xf>
    <xf numFmtId="0" fontId="69" fillId="0" borderId="10" xfId="0" applyFont="1" applyBorder="1"/>
    <xf numFmtId="179" fontId="8" fillId="0" borderId="11" xfId="5" applyNumberFormat="1" applyFont="1" applyFill="1" applyBorder="1" applyAlignment="1">
      <alignment horizontal="center"/>
    </xf>
    <xf numFmtId="179" fontId="8" fillId="0" borderId="59" xfId="5" applyNumberFormat="1" applyFont="1" applyFill="1" applyBorder="1" applyAlignment="1">
      <alignment horizontal="center"/>
    </xf>
    <xf numFmtId="3" fontId="5" fillId="0" borderId="0" xfId="5" applyNumberFormat="1" applyFont="1" applyFill="1" applyBorder="1"/>
    <xf numFmtId="3" fontId="5" fillId="0" borderId="10" xfId="5" applyNumberFormat="1" applyFont="1" applyFill="1" applyBorder="1"/>
    <xf numFmtId="0" fontId="70" fillId="0" borderId="0" xfId="0" applyFont="1"/>
    <xf numFmtId="0" fontId="43" fillId="0" borderId="0" xfId="0" applyFont="1" applyAlignment="1">
      <alignment horizontal="left"/>
    </xf>
    <xf numFmtId="0" fontId="5" fillId="0" borderId="0" xfId="0" quotePrefix="1" applyFont="1"/>
    <xf numFmtId="167" fontId="4" fillId="0" borderId="42" xfId="5" applyNumberFormat="1" applyFont="1" applyFill="1" applyBorder="1"/>
    <xf numFmtId="43" fontId="5" fillId="0" borderId="10" xfId="5" applyFont="1" applyFill="1" applyBorder="1"/>
    <xf numFmtId="167" fontId="4" fillId="0" borderId="55" xfId="5" applyNumberFormat="1" applyFont="1" applyFill="1" applyBorder="1"/>
    <xf numFmtId="5" fontId="4" fillId="0" borderId="42" xfId="5" applyNumberFormat="1" applyFont="1" applyFill="1" applyBorder="1"/>
    <xf numFmtId="3" fontId="0" fillId="0" borderId="28" xfId="0" applyNumberFormat="1" applyBorder="1" applyAlignment="1">
      <alignment horizontal="center"/>
    </xf>
    <xf numFmtId="0" fontId="3" fillId="0" borderId="10" xfId="0" applyFont="1" applyBorder="1"/>
    <xf numFmtId="3" fontId="4" fillId="0" borderId="0" xfId="17" applyNumberFormat="1" applyFont="1" applyFill="1" applyBorder="1" applyAlignment="1">
      <alignment horizontal="center"/>
    </xf>
    <xf numFmtId="3" fontId="4" fillId="0" borderId="0" xfId="17" applyNumberFormat="1" applyFont="1" applyFill="1" applyAlignment="1">
      <alignment horizontal="center"/>
    </xf>
    <xf numFmtId="3" fontId="4" fillId="0" borderId="0" xfId="17" quotePrefix="1" applyNumberFormat="1" applyFont="1" applyFill="1" applyAlignment="1">
      <alignment horizontal="center"/>
    </xf>
    <xf numFmtId="191" fontId="4" fillId="0" borderId="0" xfId="5" applyNumberFormat="1" applyFont="1" applyFill="1" applyBorder="1" applyAlignment="1">
      <alignment horizontal="center"/>
    </xf>
    <xf numFmtId="191" fontId="4" fillId="0" borderId="0" xfId="0" applyNumberFormat="1" applyFont="1" applyAlignment="1">
      <alignment horizontal="center"/>
    </xf>
    <xf numFmtId="0" fontId="4" fillId="0" borderId="42" xfId="0" applyFont="1" applyBorder="1" applyAlignment="1">
      <alignment horizontal="center"/>
    </xf>
    <xf numFmtId="3" fontId="62" fillId="0" borderId="0" xfId="5" applyNumberFormat="1" applyFont="1" applyFill="1" applyBorder="1" applyAlignment="1">
      <alignment horizontal="center"/>
    </xf>
    <xf numFmtId="3" fontId="4" fillId="0" borderId="52" xfId="17" applyNumberFormat="1" applyFont="1" applyFill="1" applyBorder="1" applyAlignment="1">
      <alignment horizontal="center"/>
    </xf>
    <xf numFmtId="5" fontId="4" fillId="0" borderId="60" xfId="5" applyNumberFormat="1" applyFont="1" applyFill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5" fillId="0" borderId="55" xfId="0" applyFont="1" applyBorder="1" applyAlignment="1">
      <alignment horizontal="center"/>
    </xf>
    <xf numFmtId="5" fontId="5" fillId="0" borderId="0" xfId="5" applyNumberFormat="1" applyFont="1" applyFill="1" applyBorder="1"/>
    <xf numFmtId="37" fontId="4" fillId="0" borderId="0" xfId="5" applyNumberFormat="1" applyFont="1" applyFill="1" applyBorder="1"/>
    <xf numFmtId="167" fontId="4" fillId="0" borderId="0" xfId="5" applyNumberFormat="1" applyFont="1" applyFill="1" applyBorder="1" applyAlignment="1">
      <alignment horizontal="right"/>
    </xf>
    <xf numFmtId="37" fontId="62" fillId="0" borderId="0" xfId="5" applyNumberFormat="1" applyFont="1" applyFill="1" applyBorder="1"/>
    <xf numFmtId="189" fontId="4" fillId="0" borderId="0" xfId="5" applyNumberFormat="1" applyFont="1" applyFill="1" applyBorder="1"/>
    <xf numFmtId="37" fontId="4" fillId="0" borderId="42" xfId="5" applyNumberFormat="1" applyFont="1" applyFill="1" applyBorder="1"/>
    <xf numFmtId="190" fontId="4" fillId="0" borderId="0" xfId="5" applyNumberFormat="1" applyFont="1" applyFill="1" applyBorder="1"/>
    <xf numFmtId="167" fontId="65" fillId="0" borderId="28" xfId="5" applyNumberFormat="1" applyFont="1" applyFill="1" applyBorder="1"/>
    <xf numFmtId="0" fontId="4" fillId="0" borderId="51" xfId="0" applyFont="1" applyBorder="1" applyAlignment="1">
      <alignment horizontal="center"/>
    </xf>
    <xf numFmtId="43" fontId="5" fillId="0" borderId="0" xfId="5" applyFont="1" applyFill="1" applyBorder="1"/>
    <xf numFmtId="0" fontId="4" fillId="0" borderId="52" xfId="0" applyFont="1" applyBorder="1"/>
    <xf numFmtId="0" fontId="71" fillId="0" borderId="0" xfId="17" applyFont="1" applyFill="1"/>
    <xf numFmtId="5" fontId="72" fillId="0" borderId="52" xfId="17" applyNumberFormat="1" applyFont="1" applyFill="1" applyBorder="1" applyAlignment="1">
      <alignment horizontal="center"/>
    </xf>
    <xf numFmtId="37" fontId="4" fillId="0" borderId="61" xfId="5" applyNumberFormat="1" applyFont="1" applyFill="1" applyBorder="1"/>
    <xf numFmtId="0" fontId="4" fillId="0" borderId="21" xfId="0" applyFont="1" applyBorder="1"/>
    <xf numFmtId="37" fontId="4" fillId="0" borderId="22" xfId="5" applyNumberFormat="1" applyFont="1" applyFill="1" applyBorder="1"/>
    <xf numFmtId="167" fontId="4" fillId="0" borderId="22" xfId="0" applyNumberFormat="1" applyFont="1" applyBorder="1"/>
    <xf numFmtId="167" fontId="4" fillId="0" borderId="23" xfId="5" applyNumberFormat="1" applyFont="1" applyFill="1" applyBorder="1"/>
    <xf numFmtId="167" fontId="4" fillId="0" borderId="27" xfId="5" applyNumberFormat="1" applyFont="1" applyFill="1" applyBorder="1"/>
    <xf numFmtId="167" fontId="4" fillId="0" borderId="28" xfId="5" applyNumberFormat="1" applyFont="1" applyFill="1" applyBorder="1"/>
    <xf numFmtId="37" fontId="4" fillId="0" borderId="28" xfId="5" applyNumberFormat="1" applyFont="1" applyFill="1" applyBorder="1"/>
    <xf numFmtId="167" fontId="5" fillId="0" borderId="28" xfId="5" quotePrefix="1" applyNumberFormat="1" applyFont="1" applyFill="1" applyBorder="1"/>
    <xf numFmtId="37" fontId="62" fillId="0" borderId="28" xfId="5" applyNumberFormat="1" applyFont="1" applyFill="1" applyBorder="1"/>
    <xf numFmtId="3" fontId="4" fillId="0" borderId="0" xfId="5" applyNumberFormat="1" applyFont="1" applyFill="1" applyBorder="1"/>
    <xf numFmtId="3" fontId="4" fillId="0" borderId="42" xfId="5" applyNumberFormat="1" applyFont="1" applyFill="1" applyBorder="1"/>
    <xf numFmtId="3" fontId="62" fillId="0" borderId="0" xfId="5" applyNumberFormat="1" applyFont="1" applyFill="1" applyBorder="1"/>
    <xf numFmtId="3" fontId="62" fillId="0" borderId="42" xfId="5" applyNumberFormat="1" applyFont="1" applyFill="1" applyBorder="1"/>
    <xf numFmtId="3" fontId="4" fillId="0" borderId="52" xfId="5" applyNumberFormat="1" applyFont="1" applyFill="1" applyBorder="1"/>
    <xf numFmtId="3" fontId="4" fillId="0" borderId="60" xfId="5" applyNumberFormat="1" applyFont="1" applyFill="1" applyBorder="1"/>
    <xf numFmtId="177" fontId="4" fillId="0" borderId="52" xfId="17" applyNumberFormat="1" applyFont="1" applyFill="1" applyBorder="1" applyAlignment="1">
      <alignment horizontal="center"/>
    </xf>
    <xf numFmtId="0" fontId="4" fillId="0" borderId="75" xfId="0" applyFont="1" applyBorder="1"/>
    <xf numFmtId="0" fontId="4" fillId="0" borderId="76" xfId="0" applyFont="1" applyBorder="1"/>
    <xf numFmtId="0" fontId="2" fillId="0" borderId="67" xfId="0" applyFont="1" applyBorder="1"/>
    <xf numFmtId="37" fontId="4" fillId="0" borderId="0" xfId="5" applyNumberFormat="1" applyFont="1" applyFill="1" applyBorder="1" applyAlignment="1">
      <alignment horizontal="right"/>
    </xf>
    <xf numFmtId="167" fontId="4" fillId="0" borderId="42" xfId="5" applyNumberFormat="1" applyFont="1" applyFill="1" applyBorder="1" applyAlignment="1">
      <alignment horizontal="right"/>
    </xf>
    <xf numFmtId="3" fontId="4" fillId="0" borderId="64" xfId="0" applyNumberFormat="1" applyFont="1" applyBorder="1" applyAlignment="1">
      <alignment horizontal="center"/>
    </xf>
    <xf numFmtId="3" fontId="5" fillId="0" borderId="51" xfId="5" applyNumberFormat="1" applyFont="1" applyFill="1" applyBorder="1" applyAlignment="1">
      <alignment horizontal="center"/>
    </xf>
    <xf numFmtId="3" fontId="5" fillId="0" borderId="42" xfId="5" applyNumberFormat="1" applyFont="1" applyFill="1" applyBorder="1" applyAlignment="1">
      <alignment horizontal="center"/>
    </xf>
    <xf numFmtId="3" fontId="5" fillId="0" borderId="5" xfId="5" applyNumberFormat="1" applyFont="1" applyFill="1" applyBorder="1" applyAlignment="1">
      <alignment horizontal="center"/>
    </xf>
    <xf numFmtId="3" fontId="65" fillId="0" borderId="42" xfId="5" applyNumberFormat="1" applyFont="1" applyFill="1" applyBorder="1" applyAlignment="1">
      <alignment horizontal="center"/>
    </xf>
    <xf numFmtId="3" fontId="5" fillId="0" borderId="34" xfId="5" applyNumberFormat="1" applyFont="1" applyFill="1" applyBorder="1" applyAlignment="1">
      <alignment horizontal="center"/>
    </xf>
    <xf numFmtId="3" fontId="5" fillId="0" borderId="11" xfId="5" applyNumberFormat="1" applyFont="1" applyFill="1" applyBorder="1" applyAlignment="1">
      <alignment horizontal="center"/>
    </xf>
    <xf numFmtId="3" fontId="5" fillId="0" borderId="59" xfId="5" applyNumberFormat="1" applyFont="1" applyFill="1" applyBorder="1" applyAlignment="1">
      <alignment horizontal="center"/>
    </xf>
    <xf numFmtId="3" fontId="5" fillId="0" borderId="44" xfId="5" applyNumberFormat="1" applyFont="1" applyFill="1" applyBorder="1" applyAlignment="1">
      <alignment horizontal="center"/>
    </xf>
    <xf numFmtId="3" fontId="5" fillId="0" borderId="42" xfId="5" quotePrefix="1" applyNumberFormat="1" applyFont="1" applyFill="1" applyBorder="1" applyAlignment="1">
      <alignment horizontal="center"/>
    </xf>
    <xf numFmtId="3" fontId="5" fillId="0" borderId="55" xfId="5" applyNumberFormat="1" applyFont="1" applyFill="1" applyBorder="1" applyAlignment="1">
      <alignment horizontal="center"/>
    </xf>
    <xf numFmtId="3" fontId="5" fillId="0" borderId="32" xfId="5" applyNumberFormat="1" applyFont="1" applyFill="1" applyBorder="1" applyAlignment="1">
      <alignment horizontal="center"/>
    </xf>
    <xf numFmtId="3" fontId="5" fillId="0" borderId="51" xfId="15" applyNumberFormat="1" applyFont="1" applyFill="1" applyBorder="1" applyAlignment="1">
      <alignment horizontal="center"/>
    </xf>
    <xf numFmtId="3" fontId="5" fillId="0" borderId="0" xfId="15" applyNumberFormat="1" applyFont="1" applyFill="1" applyBorder="1" applyAlignment="1">
      <alignment horizontal="center"/>
    </xf>
    <xf numFmtId="3" fontId="5" fillId="0" borderId="42" xfId="15" applyNumberFormat="1" applyFont="1" applyFill="1" applyBorder="1" applyAlignment="1">
      <alignment horizontal="center"/>
    </xf>
    <xf numFmtId="3" fontId="5" fillId="0" borderId="5" xfId="15" applyNumberFormat="1" applyFont="1" applyFill="1" applyBorder="1" applyAlignment="1">
      <alignment horizontal="center"/>
    </xf>
    <xf numFmtId="3" fontId="8" fillId="0" borderId="11" xfId="5" applyNumberFormat="1" applyFont="1" applyFill="1" applyBorder="1" applyAlignment="1">
      <alignment horizontal="center"/>
    </xf>
    <xf numFmtId="3" fontId="8" fillId="0" borderId="59" xfId="5" applyNumberFormat="1" applyFont="1" applyFill="1" applyBorder="1" applyAlignment="1">
      <alignment horizontal="center"/>
    </xf>
    <xf numFmtId="3" fontId="8" fillId="0" borderId="44" xfId="5" applyNumberFormat="1" applyFont="1" applyFill="1" applyBorder="1" applyAlignment="1">
      <alignment horizontal="center"/>
    </xf>
    <xf numFmtId="3" fontId="5" fillId="0" borderId="48" xfId="5" applyNumberFormat="1" applyFont="1" applyFill="1" applyBorder="1" applyAlignment="1">
      <alignment horizontal="center"/>
    </xf>
    <xf numFmtId="3" fontId="8" fillId="0" borderId="34" xfId="5" applyNumberFormat="1" applyFont="1" applyFill="1" applyBorder="1" applyAlignment="1">
      <alignment horizontal="center"/>
    </xf>
    <xf numFmtId="3" fontId="4" fillId="0" borderId="0" xfId="15" applyNumberFormat="1" applyFont="1" applyFill="1" applyBorder="1" applyAlignment="1">
      <alignment horizontal="center"/>
    </xf>
    <xf numFmtId="3" fontId="4" fillId="0" borderId="28" xfId="15" applyNumberFormat="1" applyFont="1" applyFill="1" applyBorder="1" applyAlignment="1">
      <alignment horizontal="center"/>
    </xf>
    <xf numFmtId="3" fontId="5" fillId="0" borderId="28" xfId="5" applyNumberFormat="1" applyFont="1" applyFill="1" applyBorder="1" applyAlignment="1">
      <alignment horizontal="center"/>
    </xf>
    <xf numFmtId="3" fontId="4" fillId="0" borderId="28" xfId="5" applyNumberFormat="1" applyFont="1" applyFill="1" applyBorder="1" applyAlignment="1">
      <alignment horizontal="center"/>
    </xf>
    <xf numFmtId="3" fontId="4" fillId="0" borderId="20" xfId="5" applyNumberFormat="1" applyFont="1" applyFill="1" applyBorder="1" applyAlignment="1">
      <alignment horizontal="center"/>
    </xf>
    <xf numFmtId="175" fontId="4" fillId="0" borderId="0" xfId="1" applyNumberFormat="1" applyFont="1" applyFill="1" applyBorder="1" applyAlignment="1">
      <alignment horizontal="center"/>
    </xf>
    <xf numFmtId="175" fontId="4" fillId="0" borderId="28" xfId="1" applyNumberFormat="1" applyFont="1" applyFill="1" applyBorder="1" applyAlignment="1">
      <alignment horizontal="center"/>
    </xf>
    <xf numFmtId="37" fontId="5" fillId="0" borderId="5" xfId="5" applyNumberFormat="1" applyFont="1" applyFill="1" applyBorder="1" applyAlignment="1">
      <alignment horizontal="center"/>
    </xf>
    <xf numFmtId="3" fontId="62" fillId="0" borderId="42" xfId="5" applyNumberFormat="1" applyFont="1" applyFill="1" applyBorder="1" applyAlignment="1">
      <alignment horizontal="center"/>
    </xf>
    <xf numFmtId="3" fontId="62" fillId="0" borderId="5" xfId="5" applyNumberFormat="1" applyFont="1" applyFill="1" applyBorder="1" applyAlignment="1">
      <alignment horizontal="center"/>
    </xf>
    <xf numFmtId="3" fontId="62" fillId="0" borderId="51" xfId="5" applyNumberFormat="1" applyFont="1" applyFill="1" applyBorder="1" applyAlignment="1">
      <alignment horizontal="center"/>
    </xf>
    <xf numFmtId="167" fontId="0" fillId="0" borderId="0" xfId="5" applyNumberFormat="1" applyFont="1"/>
    <xf numFmtId="0" fontId="8" fillId="0" borderId="20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43" fontId="43" fillId="0" borderId="0" xfId="5" applyFont="1" applyFill="1" applyBorder="1"/>
    <xf numFmtId="43" fontId="0" fillId="0" borderId="0" xfId="5" applyFont="1" applyFill="1" applyBorder="1"/>
    <xf numFmtId="43" fontId="27" fillId="0" borderId="0" xfId="5" quotePrefix="1" applyFont="1" applyFill="1" applyAlignment="1">
      <alignment horizontal="left"/>
    </xf>
    <xf numFmtId="167" fontId="8" fillId="0" borderId="0" xfId="5" applyNumberFormat="1" applyFont="1" applyFill="1" applyBorder="1"/>
    <xf numFmtId="43" fontId="8" fillId="0" borderId="21" xfId="5" applyFont="1" applyFill="1" applyBorder="1" applyAlignment="1"/>
    <xf numFmtId="9" fontId="0" fillId="0" borderId="0" xfId="15" applyFont="1" applyFill="1" applyAlignment="1">
      <alignment horizontal="center"/>
    </xf>
    <xf numFmtId="9" fontId="8" fillId="0" borderId="0" xfId="15" applyFont="1" applyFill="1" applyBorder="1" applyAlignment="1">
      <alignment horizontal="center"/>
    </xf>
    <xf numFmtId="0" fontId="78" fillId="0" borderId="0" xfId="0" applyFont="1"/>
    <xf numFmtId="0" fontId="41" fillId="0" borderId="0" xfId="0" applyFont="1"/>
    <xf numFmtId="167" fontId="41" fillId="0" borderId="0" xfId="5" applyNumberFormat="1" applyFont="1" applyFill="1" applyBorder="1"/>
    <xf numFmtId="0" fontId="29" fillId="0" borderId="0" xfId="0" applyFont="1"/>
    <xf numFmtId="169" fontId="8" fillId="0" borderId="0" xfId="6" applyNumberFormat="1" applyFont="1" applyFill="1" applyBorder="1"/>
    <xf numFmtId="0" fontId="8" fillId="0" borderId="42" xfId="0" applyFont="1" applyBorder="1" applyAlignment="1">
      <alignment horizontal="center"/>
    </xf>
    <xf numFmtId="43" fontId="17" fillId="0" borderId="0" xfId="5" quotePrefix="1" applyFont="1" applyFill="1" applyAlignment="1">
      <alignment horizontal="left"/>
    </xf>
    <xf numFmtId="0" fontId="8" fillId="0" borderId="48" xfId="0" applyFont="1" applyBorder="1"/>
    <xf numFmtId="0" fontId="4" fillId="0" borderId="10" xfId="0" applyFont="1" applyBorder="1" applyAlignment="1">
      <alignment horizontal="center"/>
    </xf>
    <xf numFmtId="0" fontId="4" fillId="0" borderId="53" xfId="0" applyFont="1" applyBorder="1"/>
    <xf numFmtId="37" fontId="4" fillId="0" borderId="63" xfId="5" applyNumberFormat="1" applyFont="1" applyFill="1" applyBorder="1"/>
    <xf numFmtId="43" fontId="4" fillId="0" borderId="30" xfId="5" applyFont="1" applyFill="1" applyBorder="1"/>
    <xf numFmtId="167" fontId="5" fillId="0" borderId="0" xfId="5" quotePrefix="1" applyNumberFormat="1" applyFont="1" applyFill="1"/>
    <xf numFmtId="0" fontId="40" fillId="0" borderId="5" xfId="0" applyFont="1" applyBorder="1"/>
    <xf numFmtId="0" fontId="5" fillId="0" borderId="5" xfId="0" applyFont="1" applyBorder="1" applyAlignment="1">
      <alignment horizontal="center"/>
    </xf>
    <xf numFmtId="167" fontId="5" fillId="0" borderId="0" xfId="5" quotePrefix="1" applyNumberFormat="1" applyFont="1" applyFill="1" applyBorder="1"/>
    <xf numFmtId="0" fontId="8" fillId="0" borderId="91" xfId="0" applyFont="1" applyBorder="1"/>
    <xf numFmtId="0" fontId="8" fillId="0" borderId="27" xfId="0" applyFont="1" applyBorder="1" applyAlignment="1">
      <alignment horizontal="center" wrapText="1"/>
    </xf>
    <xf numFmtId="167" fontId="5" fillId="0" borderId="0" xfId="0" applyNumberFormat="1" applyFont="1" applyAlignment="1">
      <alignment horizontal="center" wrapText="1"/>
    </xf>
    <xf numFmtId="175" fontId="5" fillId="0" borderId="0" xfId="15" applyNumberFormat="1" applyFont="1" applyFill="1" applyBorder="1"/>
    <xf numFmtId="167" fontId="5" fillId="0" borderId="10" xfId="5" quotePrefix="1" applyNumberFormat="1" applyFont="1" applyFill="1" applyBorder="1"/>
    <xf numFmtId="0" fontId="4" fillId="0" borderId="5" xfId="0" applyFont="1" applyBorder="1" applyAlignment="1">
      <alignment horizontal="center"/>
    </xf>
    <xf numFmtId="187" fontId="4" fillId="0" borderId="0" xfId="5" applyNumberFormat="1" applyFont="1" applyFill="1" applyBorder="1"/>
    <xf numFmtId="0" fontId="4" fillId="0" borderId="32" xfId="0" applyFont="1" applyBorder="1"/>
    <xf numFmtId="0" fontId="4" fillId="0" borderId="64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7" fontId="4" fillId="0" borderId="63" xfId="5" applyNumberFormat="1" applyFont="1" applyFill="1" applyBorder="1"/>
    <xf numFmtId="167" fontId="4" fillId="0" borderId="66" xfId="5" applyNumberFormat="1" applyFont="1" applyFill="1" applyBorder="1"/>
    <xf numFmtId="167" fontId="4" fillId="0" borderId="10" xfId="0" applyNumberFormat="1" applyFont="1" applyBorder="1"/>
    <xf numFmtId="169" fontId="4" fillId="0" borderId="0" xfId="6" applyNumberFormat="1" applyFont="1" applyFill="1" applyBorder="1"/>
    <xf numFmtId="175" fontId="4" fillId="0" borderId="0" xfId="15" applyNumberFormat="1" applyFont="1" applyFill="1" applyBorder="1"/>
    <xf numFmtId="0" fontId="4" fillId="0" borderId="24" xfId="0" applyFont="1" applyBorder="1"/>
    <xf numFmtId="0" fontId="4" fillId="0" borderId="25" xfId="0" applyFont="1" applyBorder="1"/>
    <xf numFmtId="169" fontId="4" fillId="0" borderId="0" xfId="0" applyNumberFormat="1" applyFont="1"/>
    <xf numFmtId="175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10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31" xfId="0" applyFont="1" applyBorder="1"/>
    <xf numFmtId="167" fontId="4" fillId="0" borderId="0" xfId="5" applyNumberFormat="1" applyFont="1" applyFill="1"/>
    <xf numFmtId="0" fontId="79" fillId="0" borderId="0" xfId="0" applyFont="1"/>
    <xf numFmtId="0" fontId="0" fillId="0" borderId="28" xfId="0" applyBorder="1" applyAlignment="1">
      <alignment horizontal="center"/>
    </xf>
    <xf numFmtId="169" fontId="27" fillId="0" borderId="0" xfId="6" quotePrefix="1" applyNumberFormat="1" applyFont="1" applyFill="1" applyBorder="1"/>
    <xf numFmtId="169" fontId="27" fillId="0" borderId="0" xfId="6" applyNumberFormat="1" applyFont="1" applyFill="1" applyBorder="1"/>
    <xf numFmtId="175" fontId="27" fillId="0" borderId="0" xfId="15" applyNumberFormat="1" applyFont="1" applyFill="1" applyBorder="1" applyAlignment="1">
      <alignment horizontal="right"/>
    </xf>
    <xf numFmtId="9" fontId="27" fillId="0" borderId="0" xfId="15" applyFont="1" applyFill="1" applyBorder="1" applyAlignment="1">
      <alignment horizontal="right"/>
    </xf>
    <xf numFmtId="169" fontId="27" fillId="0" borderId="28" xfId="6" applyNumberFormat="1" applyFont="1" applyFill="1" applyBorder="1"/>
    <xf numFmtId="188" fontId="27" fillId="0" borderId="27" xfId="5" applyNumberFormat="1" applyFont="1" applyFill="1" applyBorder="1" applyAlignment="1">
      <alignment horizontal="left"/>
    </xf>
    <xf numFmtId="175" fontId="27" fillId="0" borderId="10" xfId="15" applyNumberFormat="1" applyFont="1" applyFill="1" applyBorder="1" applyAlignment="1">
      <alignment horizontal="right"/>
    </xf>
    <xf numFmtId="169" fontId="27" fillId="0" borderId="10" xfId="6" applyNumberFormat="1" applyFont="1" applyFill="1" applyBorder="1"/>
    <xf numFmtId="9" fontId="27" fillId="0" borderId="10" xfId="15" applyFont="1" applyFill="1" applyBorder="1" applyAlignment="1">
      <alignment horizontal="right"/>
    </xf>
    <xf numFmtId="169" fontId="27" fillId="0" borderId="25" xfId="6" applyNumberFormat="1" applyFont="1" applyFill="1" applyBorder="1"/>
    <xf numFmtId="167" fontId="27" fillId="0" borderId="27" xfId="5" applyNumberFormat="1" applyFont="1" applyFill="1" applyBorder="1"/>
    <xf numFmtId="167" fontId="27" fillId="0" borderId="27" xfId="5" applyNumberFormat="1" applyFont="1" applyFill="1" applyBorder="1" applyAlignment="1">
      <alignment horizontal="left"/>
    </xf>
    <xf numFmtId="175" fontId="27" fillId="0" borderId="20" xfId="15" applyNumberFormat="1" applyFont="1" applyFill="1" applyBorder="1" applyAlignment="1">
      <alignment horizontal="right"/>
    </xf>
    <xf numFmtId="3" fontId="22" fillId="3" borderId="5" xfId="5" applyNumberFormat="1" applyFont="1" applyFill="1" applyBorder="1" applyAlignment="1">
      <alignment horizontal="center"/>
    </xf>
    <xf numFmtId="3" fontId="4" fillId="0" borderId="5" xfId="5" applyNumberFormat="1" applyFont="1" applyFill="1" applyBorder="1" applyAlignment="1">
      <alignment horizontal="center"/>
    </xf>
    <xf numFmtId="3" fontId="5" fillId="0" borderId="5" xfId="5" quotePrefix="1" applyNumberFormat="1" applyFont="1" applyFill="1" applyBorder="1" applyAlignment="1">
      <alignment horizontal="center"/>
    </xf>
    <xf numFmtId="3" fontId="5" fillId="0" borderId="5" xfId="0" quotePrefix="1" applyNumberFormat="1" applyFont="1" applyBorder="1" applyAlignment="1">
      <alignment horizontal="center"/>
    </xf>
    <xf numFmtId="3" fontId="4" fillId="0" borderId="64" xfId="5" applyNumberFormat="1" applyFont="1" applyFill="1" applyBorder="1" applyAlignment="1">
      <alignment horizontal="center"/>
    </xf>
    <xf numFmtId="167" fontId="4" fillId="0" borderId="48" xfId="5" applyNumberFormat="1" applyFont="1" applyFill="1" applyBorder="1"/>
    <xf numFmtId="167" fontId="3" fillId="3" borderId="10" xfId="0" applyNumberFormat="1" applyFont="1" applyFill="1" applyBorder="1"/>
    <xf numFmtId="3" fontId="4" fillId="0" borderId="0" xfId="0" applyNumberFormat="1" applyFont="1"/>
    <xf numFmtId="3" fontId="4" fillId="0" borderId="0" xfId="6" applyNumberFormat="1" applyFont="1" applyFill="1" applyBorder="1"/>
    <xf numFmtId="3" fontId="4" fillId="0" borderId="10" xfId="0" applyNumberFormat="1" applyFont="1" applyBorder="1"/>
    <xf numFmtId="3" fontId="4" fillId="0" borderId="0" xfId="15" applyNumberFormat="1" applyFont="1" applyFill="1" applyBorder="1"/>
    <xf numFmtId="3" fontId="5" fillId="0" borderId="32" xfId="5" quotePrefix="1" applyNumberFormat="1" applyFont="1" applyFill="1" applyBorder="1" applyAlignment="1">
      <alignment horizontal="center"/>
    </xf>
    <xf numFmtId="3" fontId="4" fillId="0" borderId="51" xfId="5" applyNumberFormat="1" applyFont="1" applyFill="1" applyBorder="1" applyAlignment="1">
      <alignment horizontal="center"/>
    </xf>
    <xf numFmtId="3" fontId="4" fillId="0" borderId="42" xfId="5" applyNumberFormat="1" applyFont="1" applyFill="1" applyBorder="1" applyAlignment="1">
      <alignment horizontal="center"/>
    </xf>
    <xf numFmtId="3" fontId="4" fillId="0" borderId="48" xfId="5" applyNumberFormat="1" applyFont="1" applyFill="1" applyBorder="1" applyAlignment="1">
      <alignment horizontal="center"/>
    </xf>
    <xf numFmtId="3" fontId="4" fillId="0" borderId="55" xfId="5" applyNumberFormat="1" applyFont="1" applyFill="1" applyBorder="1" applyAlignment="1">
      <alignment horizontal="center"/>
    </xf>
    <xf numFmtId="3" fontId="4" fillId="0" borderId="66" xfId="5" applyNumberFormat="1" applyFont="1" applyFill="1" applyBorder="1" applyAlignment="1">
      <alignment horizontal="center"/>
    </xf>
    <xf numFmtId="0" fontId="66" fillId="0" borderId="0" xfId="0" applyFont="1"/>
    <xf numFmtId="179" fontId="48" fillId="0" borderId="48" xfId="9" quotePrefix="1" applyNumberFormat="1" applyFont="1" applyBorder="1" applyAlignment="1">
      <alignment horizontal="center"/>
    </xf>
    <xf numFmtId="179" fontId="48" fillId="0" borderId="55" xfId="9" quotePrefix="1" applyNumberFormat="1" applyFont="1" applyBorder="1" applyAlignment="1">
      <alignment horizontal="center"/>
    </xf>
    <xf numFmtId="169" fontId="5" fillId="0" borderId="0" xfId="6" applyNumberFormat="1" applyFont="1" applyFill="1" applyBorder="1"/>
    <xf numFmtId="169" fontId="5" fillId="0" borderId="42" xfId="6" applyNumberFormat="1" applyFont="1" applyFill="1" applyBorder="1"/>
    <xf numFmtId="169" fontId="5" fillId="0" borderId="10" xfId="6" applyNumberFormat="1" applyFont="1" applyFill="1" applyBorder="1"/>
    <xf numFmtId="169" fontId="5" fillId="0" borderId="55" xfId="6" applyNumberFormat="1" applyFont="1" applyFill="1" applyBorder="1"/>
    <xf numFmtId="185" fontId="5" fillId="0" borderId="52" xfId="15" applyNumberFormat="1" applyFont="1" applyFill="1" applyBorder="1"/>
    <xf numFmtId="185" fontId="51" fillId="0" borderId="0" xfId="15" applyNumberFormat="1" applyFont="1" applyFill="1" applyBorder="1"/>
    <xf numFmtId="185" fontId="5" fillId="0" borderId="11" xfId="15" applyNumberFormat="1" applyFont="1" applyFill="1" applyBorder="1"/>
    <xf numFmtId="169" fontId="0" fillId="0" borderId="0" xfId="0" applyNumberFormat="1"/>
    <xf numFmtId="185" fontId="51" fillId="0" borderId="10" xfId="15" applyNumberFormat="1" applyFont="1" applyFill="1" applyBorder="1"/>
    <xf numFmtId="169" fontId="5" fillId="0" borderId="54" xfId="6" applyNumberFormat="1" applyFont="1" applyFill="1" applyBorder="1"/>
    <xf numFmtId="185" fontId="5" fillId="0" borderId="0" xfId="15" applyNumberFormat="1" applyFont="1" applyFill="1" applyBorder="1" applyAlignment="1">
      <alignment horizontal="center"/>
    </xf>
    <xf numFmtId="167" fontId="0" fillId="0" borderId="10" xfId="5" applyNumberFormat="1" applyFont="1" applyBorder="1"/>
    <xf numFmtId="0" fontId="10" fillId="0" borderId="0" xfId="0" applyFont="1"/>
    <xf numFmtId="167" fontId="0" fillId="0" borderId="0" xfId="5" applyNumberFormat="1" applyFont="1" applyBorder="1"/>
    <xf numFmtId="0" fontId="85" fillId="11" borderId="0" xfId="0" applyFont="1" applyFill="1"/>
    <xf numFmtId="10" fontId="0" fillId="0" borderId="0" xfId="15" applyNumberFormat="1" applyFont="1" applyFill="1" applyBorder="1" applyAlignment="1">
      <alignment horizontal="right"/>
    </xf>
    <xf numFmtId="185" fontId="0" fillId="0" borderId="0" xfId="15" applyNumberFormat="1" applyFont="1" applyFill="1" applyBorder="1" applyAlignment="1"/>
    <xf numFmtId="10" fontId="0" fillId="0" borderId="0" xfId="15" applyNumberFormat="1" applyFont="1" applyFill="1" applyBorder="1"/>
    <xf numFmtId="0" fontId="0" fillId="0" borderId="87" xfId="0" applyBorder="1"/>
    <xf numFmtId="185" fontId="0" fillId="0" borderId="0" xfId="15" applyNumberFormat="1" applyFont="1" applyFill="1" applyBorder="1"/>
    <xf numFmtId="10" fontId="0" fillId="0" borderId="28" xfId="15" applyNumberFormat="1" applyFont="1" applyFill="1" applyBorder="1"/>
    <xf numFmtId="10" fontId="0" fillId="0" borderId="42" xfId="15" applyNumberFormat="1" applyFont="1" applyFill="1" applyBorder="1"/>
    <xf numFmtId="185" fontId="0" fillId="0" borderId="28" xfId="15" applyNumberFormat="1" applyFont="1" applyFill="1" applyBorder="1"/>
    <xf numFmtId="185" fontId="0" fillId="0" borderId="42" xfId="15" applyNumberFormat="1" applyFont="1" applyFill="1" applyBorder="1"/>
    <xf numFmtId="10" fontId="0" fillId="0" borderId="30" xfId="15" applyNumberFormat="1" applyFont="1" applyFill="1" applyBorder="1"/>
    <xf numFmtId="10" fontId="0" fillId="0" borderId="31" xfId="15" applyNumberFormat="1" applyFont="1" applyFill="1" applyBorder="1"/>
    <xf numFmtId="0" fontId="8" fillId="0" borderId="34" xfId="0" applyFont="1" applyBorder="1" applyAlignment="1">
      <alignment horizontal="center" wrapText="1"/>
    </xf>
    <xf numFmtId="167" fontId="5" fillId="0" borderId="42" xfId="5" applyNumberFormat="1" applyFont="1" applyFill="1" applyBorder="1" applyAlignment="1"/>
    <xf numFmtId="167" fontId="5" fillId="0" borderId="55" xfId="5" applyNumberFormat="1" applyFont="1" applyFill="1" applyBorder="1" applyAlignment="1"/>
    <xf numFmtId="41" fontId="0" fillId="0" borderId="0" xfId="5" applyNumberFormat="1" applyFont="1" applyFill="1" applyBorder="1"/>
    <xf numFmtId="175" fontId="0" fillId="0" borderId="0" xfId="15" applyNumberFormat="1" applyFont="1" applyFill="1" applyBorder="1"/>
    <xf numFmtId="175" fontId="0" fillId="0" borderId="42" xfId="15" applyNumberFormat="1" applyFont="1" applyFill="1" applyBorder="1"/>
    <xf numFmtId="41" fontId="8" fillId="0" borderId="0" xfId="5" applyNumberFormat="1" applyFont="1" applyFill="1" applyBorder="1"/>
    <xf numFmtId="0" fontId="86" fillId="0" borderId="0" xfId="0" applyFont="1"/>
    <xf numFmtId="0" fontId="47" fillId="0" borderId="0" xfId="0" applyFont="1"/>
    <xf numFmtId="167" fontId="5" fillId="0" borderId="11" xfId="5" applyNumberFormat="1" applyFont="1" applyFill="1" applyBorder="1"/>
    <xf numFmtId="167" fontId="5" fillId="0" borderId="59" xfId="5" applyNumberFormat="1" applyFont="1" applyFill="1" applyBorder="1"/>
    <xf numFmtId="167" fontId="5" fillId="0" borderId="34" xfId="5" applyNumberFormat="1" applyFont="1" applyFill="1" applyBorder="1"/>
    <xf numFmtId="0" fontId="5" fillId="0" borderId="27" xfId="0" applyFont="1" applyBorder="1" applyAlignment="1">
      <alignment horizontal="left"/>
    </xf>
    <xf numFmtId="37" fontId="5" fillId="0" borderId="28" xfId="5" applyNumberFormat="1" applyFont="1" applyFill="1" applyBorder="1"/>
    <xf numFmtId="10" fontId="5" fillId="0" borderId="0" xfId="15" applyNumberFormat="1" applyFont="1" applyFill="1" applyBorder="1"/>
    <xf numFmtId="10" fontId="5" fillId="0" borderId="28" xfId="15" applyNumberFormat="1" applyFont="1" applyFill="1" applyBorder="1"/>
    <xf numFmtId="167" fontId="5" fillId="0" borderId="5" xfId="5" applyNumberFormat="1" applyFont="1" applyFill="1" applyBorder="1" applyAlignment="1"/>
    <xf numFmtId="10" fontId="0" fillId="0" borderId="5" xfId="15" applyNumberFormat="1" applyFont="1" applyFill="1" applyBorder="1" applyAlignment="1">
      <alignment horizontal="right"/>
    </xf>
    <xf numFmtId="185" fontId="0" fillId="0" borderId="5" xfId="15" applyNumberFormat="1" applyFont="1" applyFill="1" applyBorder="1"/>
    <xf numFmtId="185" fontId="0" fillId="0" borderId="5" xfId="15" applyNumberFormat="1" applyFont="1" applyFill="1" applyBorder="1" applyAlignment="1">
      <alignment horizontal="right"/>
    </xf>
    <xf numFmtId="185" fontId="0" fillId="0" borderId="42" xfId="15" applyNumberFormat="1" applyFont="1" applyFill="1" applyBorder="1" applyAlignment="1"/>
    <xf numFmtId="10" fontId="0" fillId="0" borderId="5" xfId="15" applyNumberFormat="1" applyFont="1" applyFill="1" applyBorder="1" applyAlignment="1"/>
    <xf numFmtId="10" fontId="0" fillId="0" borderId="0" xfId="15" applyNumberFormat="1" applyFont="1" applyFill="1" applyBorder="1" applyAlignment="1"/>
    <xf numFmtId="10" fontId="0" fillId="0" borderId="42" xfId="15" applyNumberFormat="1" applyFont="1" applyFill="1" applyBorder="1" applyAlignment="1"/>
    <xf numFmtId="10" fontId="0" fillId="0" borderId="44" xfId="15" applyNumberFormat="1" applyFont="1" applyFill="1" applyBorder="1"/>
    <xf numFmtId="167" fontId="22" fillId="3" borderId="10" xfId="5" applyNumberFormat="1" applyFont="1" applyFill="1" applyBorder="1"/>
    <xf numFmtId="0" fontId="6" fillId="0" borderId="0" xfId="0" applyFont="1"/>
    <xf numFmtId="3" fontId="0" fillId="0" borderId="0" xfId="15" applyNumberFormat="1" applyFont="1" applyFill="1" applyBorder="1"/>
    <xf numFmtId="167" fontId="0" fillId="0" borderId="51" xfId="5" applyNumberFormat="1" applyFont="1" applyFill="1" applyBorder="1"/>
    <xf numFmtId="167" fontId="0" fillId="0" borderId="42" xfId="5" applyNumberFormat="1" applyFont="1" applyFill="1" applyBorder="1"/>
    <xf numFmtId="167" fontId="0" fillId="0" borderId="42" xfId="5" quotePrefix="1" applyNumberFormat="1" applyFont="1" applyFill="1" applyBorder="1"/>
    <xf numFmtId="167" fontId="10" fillId="0" borderId="51" xfId="5" applyNumberFormat="1" applyFont="1" applyFill="1" applyBorder="1"/>
    <xf numFmtId="167" fontId="8" fillId="0" borderId="34" xfId="5" applyNumberFormat="1" applyFont="1" applyFill="1" applyBorder="1"/>
    <xf numFmtId="167" fontId="8" fillId="0" borderId="11" xfId="5" applyNumberFormat="1" applyFont="1" applyFill="1" applyBorder="1"/>
    <xf numFmtId="167" fontId="8" fillId="0" borderId="59" xfId="5" applyNumberFormat="1" applyFont="1" applyFill="1" applyBorder="1"/>
    <xf numFmtId="167" fontId="8" fillId="0" borderId="51" xfId="5" applyNumberFormat="1" applyFont="1" applyFill="1" applyBorder="1"/>
    <xf numFmtId="167" fontId="8" fillId="0" borderId="42" xfId="5" applyNumberFormat="1" applyFont="1" applyFill="1" applyBorder="1"/>
    <xf numFmtId="167" fontId="43" fillId="0" borderId="51" xfId="5" applyNumberFormat="1" applyFont="1" applyFill="1" applyBorder="1"/>
    <xf numFmtId="187" fontId="0" fillId="0" borderId="0" xfId="5" applyNumberFormat="1" applyFont="1" applyFill="1" applyBorder="1"/>
    <xf numFmtId="167" fontId="5" fillId="0" borderId="42" xfId="5" quotePrefix="1" applyNumberFormat="1" applyFont="1" applyFill="1" applyBorder="1"/>
    <xf numFmtId="167" fontId="5" fillId="0" borderId="42" xfId="5" applyNumberFormat="1" applyFont="1" applyFill="1" applyBorder="1"/>
    <xf numFmtId="10" fontId="0" fillId="0" borderId="54" xfId="15" applyNumberFormat="1" applyFont="1" applyFill="1" applyBorder="1"/>
    <xf numFmtId="10" fontId="0" fillId="0" borderId="22" xfId="15" applyNumberFormat="1" applyFont="1" applyFill="1" applyBorder="1"/>
    <xf numFmtId="10" fontId="0" fillId="0" borderId="23" xfId="15" applyNumberFormat="1" applyFont="1" applyFill="1" applyBorder="1"/>
    <xf numFmtId="0" fontId="42" fillId="0" borderId="0" xfId="0" applyFont="1"/>
    <xf numFmtId="169" fontId="8" fillId="0" borderId="59" xfId="6" applyNumberFormat="1" applyFont="1" applyFill="1" applyBorder="1"/>
    <xf numFmtId="37" fontId="5" fillId="0" borderId="42" xfId="5" applyNumberFormat="1" applyFont="1" applyFill="1" applyBorder="1"/>
    <xf numFmtId="37" fontId="5" fillId="0" borderId="55" xfId="5" applyNumberFormat="1" applyFont="1" applyFill="1" applyBorder="1"/>
    <xf numFmtId="167" fontId="5" fillId="0" borderId="55" xfId="5" applyNumberFormat="1" applyFont="1" applyFill="1" applyBorder="1"/>
    <xf numFmtId="167" fontId="17" fillId="0" borderId="66" xfId="5" applyNumberFormat="1" applyFont="1" applyFill="1" applyBorder="1"/>
    <xf numFmtId="169" fontId="17" fillId="0" borderId="60" xfId="6" applyNumberFormat="1" applyFont="1" applyFill="1" applyBorder="1"/>
    <xf numFmtId="0" fontId="0" fillId="0" borderId="97" xfId="0" applyBorder="1"/>
    <xf numFmtId="37" fontId="8" fillId="0" borderId="52" xfId="5" applyNumberFormat="1" applyFont="1" applyFill="1" applyBorder="1" applyAlignment="1">
      <alignment horizontal="center"/>
    </xf>
    <xf numFmtId="167" fontId="5" fillId="0" borderId="44" xfId="5" applyNumberFormat="1" applyFont="1" applyFill="1" applyBorder="1" applyAlignment="1"/>
    <xf numFmtId="167" fontId="0" fillId="0" borderId="11" xfId="5" applyNumberFormat="1" applyFont="1" applyFill="1" applyBorder="1"/>
    <xf numFmtId="185" fontId="0" fillId="0" borderId="59" xfId="15" applyNumberFormat="1" applyFont="1" applyFill="1" applyBorder="1"/>
    <xf numFmtId="10" fontId="0" fillId="0" borderId="5" xfId="15" applyNumberFormat="1" applyFont="1" applyFill="1" applyBorder="1"/>
    <xf numFmtId="174" fontId="0" fillId="0" borderId="5" xfId="5" applyNumberFormat="1" applyFont="1" applyFill="1" applyBorder="1"/>
    <xf numFmtId="10" fontId="4" fillId="0" borderId="0" xfId="15" applyNumberFormat="1" applyFont="1" applyFill="1" applyBorder="1"/>
    <xf numFmtId="185" fontId="4" fillId="0" borderId="0" xfId="15" applyNumberFormat="1" applyFont="1" applyFill="1" applyBorder="1"/>
    <xf numFmtId="10" fontId="4" fillId="0" borderId="28" xfId="15" applyNumberFormat="1" applyFont="1" applyFill="1" applyBorder="1"/>
    <xf numFmtId="185" fontId="4" fillId="0" borderId="10" xfId="15" applyNumberFormat="1" applyFont="1" applyFill="1" applyBorder="1"/>
    <xf numFmtId="185" fontId="4" fillId="0" borderId="25" xfId="15" applyNumberFormat="1" applyFont="1" applyFill="1" applyBorder="1"/>
    <xf numFmtId="0" fontId="4" fillId="0" borderId="95" xfId="0" applyFont="1" applyBorder="1"/>
    <xf numFmtId="10" fontId="4" fillId="0" borderId="0" xfId="1" applyNumberFormat="1" applyFont="1" applyFill="1" applyBorder="1"/>
    <xf numFmtId="10" fontId="4" fillId="0" borderId="28" xfId="1" applyNumberFormat="1" applyFont="1" applyFill="1" applyBorder="1"/>
    <xf numFmtId="41" fontId="5" fillId="0" borderId="55" xfId="5" applyNumberFormat="1" applyFont="1" applyFill="1" applyBorder="1"/>
    <xf numFmtId="41" fontId="5" fillId="0" borderId="10" xfId="5" applyNumberFormat="1" applyFont="1" applyFill="1" applyBorder="1"/>
    <xf numFmtId="41" fontId="60" fillId="0" borderId="22" xfId="5" applyNumberFormat="1" applyFont="1" applyFill="1" applyBorder="1"/>
    <xf numFmtId="41" fontId="5" fillId="0" borderId="22" xfId="5" applyNumberFormat="1" applyFont="1" applyFill="1" applyBorder="1"/>
    <xf numFmtId="185" fontId="5" fillId="0" borderId="0" xfId="15" applyNumberFormat="1" applyFont="1" applyFill="1" applyBorder="1"/>
    <xf numFmtId="175" fontId="5" fillId="0" borderId="28" xfId="15" applyNumberFormat="1" applyFont="1" applyFill="1" applyBorder="1"/>
    <xf numFmtId="175" fontId="5" fillId="0" borderId="94" xfId="15" applyNumberFormat="1" applyFont="1" applyFill="1" applyBorder="1"/>
    <xf numFmtId="175" fontId="5" fillId="0" borderId="96" xfId="15" applyNumberFormat="1" applyFont="1" applyFill="1" applyBorder="1"/>
    <xf numFmtId="175" fontId="5" fillId="0" borderId="10" xfId="15" applyNumberFormat="1" applyFont="1" applyFill="1" applyBorder="1"/>
    <xf numFmtId="175" fontId="5" fillId="0" borderId="55" xfId="15" applyNumberFormat="1" applyFont="1" applyFill="1" applyBorder="1"/>
    <xf numFmtId="9" fontId="5" fillId="0" borderId="0" xfId="1" applyFont="1" applyFill="1" applyBorder="1" applyAlignment="1">
      <alignment horizontal="center"/>
    </xf>
    <xf numFmtId="41" fontId="5" fillId="0" borderId="0" xfId="5" applyNumberFormat="1" applyFont="1" applyFill="1" applyBorder="1" applyAlignment="1">
      <alignment horizontal="center"/>
    </xf>
    <xf numFmtId="175" fontId="5" fillId="0" borderId="0" xfId="15" applyNumberFormat="1" applyFont="1" applyFill="1" applyBorder="1" applyAlignment="1">
      <alignment horizontal="right"/>
    </xf>
    <xf numFmtId="175" fontId="5" fillId="0" borderId="0" xfId="1" applyNumberFormat="1" applyFont="1" applyFill="1"/>
    <xf numFmtId="175" fontId="5" fillId="0" borderId="0" xfId="1" applyNumberFormat="1" applyFont="1" applyFill="1" applyBorder="1"/>
    <xf numFmtId="175" fontId="5" fillId="0" borderId="28" xfId="1" applyNumberFormat="1" applyFont="1" applyFill="1" applyBorder="1"/>
    <xf numFmtId="0" fontId="0" fillId="0" borderId="0" xfId="0" quotePrefix="1"/>
    <xf numFmtId="0" fontId="0" fillId="0" borderId="94" xfId="0" applyBorder="1"/>
    <xf numFmtId="167" fontId="5" fillId="0" borderId="48" xfId="5" applyNumberFormat="1" applyFont="1" applyFill="1" applyBorder="1"/>
    <xf numFmtId="175" fontId="5" fillId="0" borderId="42" xfId="15" applyNumberFormat="1" applyFont="1" applyFill="1" applyBorder="1"/>
    <xf numFmtId="10" fontId="5" fillId="0" borderId="5" xfId="15" applyNumberFormat="1" applyFont="1" applyFill="1" applyBorder="1"/>
    <xf numFmtId="10" fontId="5" fillId="0" borderId="42" xfId="15" applyNumberFormat="1" applyFont="1" applyFill="1" applyBorder="1"/>
    <xf numFmtId="167" fontId="9" fillId="0" borderId="0" xfId="5" applyNumberFormat="1" applyFont="1" applyFill="1"/>
    <xf numFmtId="167" fontId="43" fillId="0" borderId="42" xfId="5" applyNumberFormat="1" applyFont="1" applyFill="1" applyBorder="1"/>
    <xf numFmtId="167" fontId="43" fillId="0" borderId="55" xfId="5" applyNumberFormat="1" applyFont="1" applyFill="1" applyBorder="1"/>
    <xf numFmtId="10" fontId="5" fillId="0" borderId="51" xfId="15" applyNumberFormat="1" applyFont="1" applyFill="1" applyBorder="1"/>
    <xf numFmtId="185" fontId="5" fillId="0" borderId="94" xfId="15" applyNumberFormat="1" applyFont="1" applyFill="1" applyBorder="1"/>
    <xf numFmtId="10" fontId="0" fillId="0" borderId="96" xfId="15" applyNumberFormat="1" applyFont="1" applyFill="1" applyBorder="1"/>
    <xf numFmtId="0" fontId="0" fillId="0" borderId="103" xfId="0" applyBorder="1"/>
    <xf numFmtId="167" fontId="43" fillId="0" borderId="0" xfId="5" applyNumberFormat="1" applyFont="1" applyFill="1" applyBorder="1"/>
    <xf numFmtId="167" fontId="43" fillId="0" borderId="10" xfId="5" applyNumberFormat="1" applyFont="1" applyFill="1" applyBorder="1"/>
    <xf numFmtId="10" fontId="5" fillId="0" borderId="0" xfId="15" applyNumberFormat="1" applyFont="1" applyFill="1"/>
    <xf numFmtId="0" fontId="0" fillId="0" borderId="92" xfId="0" applyBorder="1"/>
    <xf numFmtId="0" fontId="8" fillId="0" borderId="107" xfId="0" applyFont="1" applyBorder="1"/>
    <xf numFmtId="0" fontId="0" fillId="0" borderId="108" xfId="0" applyBorder="1"/>
    <xf numFmtId="185" fontId="51" fillId="0" borderId="52" xfId="15" applyNumberFormat="1" applyFont="1" applyFill="1" applyBorder="1"/>
    <xf numFmtId="167" fontId="51" fillId="0" borderId="103" xfId="5" applyNumberFormat="1" applyFont="1" applyFill="1" applyBorder="1"/>
    <xf numFmtId="167" fontId="51" fillId="0" borderId="0" xfId="5" applyNumberFormat="1" applyFont="1" applyFill="1"/>
    <xf numFmtId="167" fontId="51" fillId="0" borderId="0" xfId="5" quotePrefix="1" applyNumberFormat="1" applyFont="1" applyFill="1"/>
    <xf numFmtId="167" fontId="51" fillId="0" borderId="0" xfId="5" quotePrefix="1" applyNumberFormat="1" applyFont="1" applyFill="1" applyBorder="1"/>
    <xf numFmtId="167" fontId="51" fillId="0" borderId="10" xfId="5" quotePrefix="1" applyNumberFormat="1" applyFont="1" applyFill="1" applyBorder="1"/>
    <xf numFmtId="167" fontId="51" fillId="0" borderId="10" xfId="5" applyNumberFormat="1" applyFont="1" applyFill="1" applyBorder="1"/>
    <xf numFmtId="0" fontId="95" fillId="0" borderId="0" xfId="0" applyFont="1"/>
    <xf numFmtId="0" fontId="43" fillId="0" borderId="0" xfId="0" applyFont="1" applyAlignment="1">
      <alignment horizontal="center"/>
    </xf>
    <xf numFmtId="167" fontId="8" fillId="0" borderId="0" xfId="5" applyNumberFormat="1" applyFont="1" applyFill="1" applyAlignment="1">
      <alignment horizontal="center" vertical="top"/>
    </xf>
    <xf numFmtId="167" fontId="48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center"/>
    </xf>
    <xf numFmtId="0" fontId="41" fillId="0" borderId="0" xfId="0" applyFont="1" applyAlignment="1">
      <alignment horizontal="center"/>
    </xf>
    <xf numFmtId="167" fontId="0" fillId="0" borderId="10" xfId="5" applyNumberFormat="1" applyFont="1" applyFill="1" applyBorder="1" applyAlignment="1">
      <alignment horizontal="center"/>
    </xf>
    <xf numFmtId="0" fontId="41" fillId="0" borderId="10" xfId="0" applyFont="1" applyBorder="1" applyAlignment="1">
      <alignment horizontal="center"/>
    </xf>
    <xf numFmtId="0" fontId="10" fillId="0" borderId="10" xfId="0" applyFont="1" applyBorder="1"/>
    <xf numFmtId="0" fontId="44" fillId="0" borderId="10" xfId="0" applyFont="1" applyBorder="1" applyAlignment="1">
      <alignment horizontal="center"/>
    </xf>
    <xf numFmtId="0" fontId="0" fillId="0" borderId="105" xfId="0" applyBorder="1"/>
    <xf numFmtId="167" fontId="51" fillId="0" borderId="105" xfId="5" applyNumberFormat="1" applyFont="1" applyFill="1" applyBorder="1"/>
    <xf numFmtId="0" fontId="44" fillId="0" borderId="105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0" fillId="0" borderId="111" xfId="0" applyBorder="1"/>
    <xf numFmtId="0" fontId="0" fillId="0" borderId="111" xfId="0" applyBorder="1" applyAlignment="1">
      <alignment horizontal="center"/>
    </xf>
    <xf numFmtId="167" fontId="51" fillId="0" borderId="111" xfId="5" applyNumberFormat="1" applyFont="1" applyFill="1" applyBorder="1"/>
    <xf numFmtId="0" fontId="44" fillId="0" borderId="111" xfId="0" applyFont="1" applyBorder="1" applyAlignment="1">
      <alignment horizontal="center"/>
    </xf>
    <xf numFmtId="0" fontId="43" fillId="0" borderId="10" xfId="0" applyFont="1" applyBorder="1" applyAlignment="1">
      <alignment horizontal="center"/>
    </xf>
    <xf numFmtId="167" fontId="43" fillId="0" borderId="0" xfId="5" applyNumberFormat="1" applyFont="1" applyFill="1"/>
    <xf numFmtId="0" fontId="96" fillId="0" borderId="0" xfId="0" quotePrefix="1" applyFont="1"/>
    <xf numFmtId="0" fontId="96" fillId="0" borderId="0" xfId="0" quotePrefix="1" applyFont="1" applyAlignment="1">
      <alignment horizontal="center"/>
    </xf>
    <xf numFmtId="0" fontId="97" fillId="0" borderId="0" xfId="0" applyFont="1"/>
    <xf numFmtId="0" fontId="43" fillId="0" borderId="0" xfId="0" applyFont="1"/>
    <xf numFmtId="0" fontId="41" fillId="0" borderId="105" xfId="0" applyFont="1" applyBorder="1"/>
    <xf numFmtId="0" fontId="41" fillId="0" borderId="105" xfId="0" applyFont="1" applyBorder="1" applyAlignment="1">
      <alignment horizontal="center"/>
    </xf>
    <xf numFmtId="37" fontId="51" fillId="0" borderId="10" xfId="5" applyNumberFormat="1" applyFont="1" applyFill="1" applyBorder="1"/>
    <xf numFmtId="164" fontId="5" fillId="0" borderId="11" xfId="15" applyNumberFormat="1" applyFont="1" applyFill="1" applyBorder="1"/>
    <xf numFmtId="10" fontId="5" fillId="0" borderId="11" xfId="15" applyNumberFormat="1" applyFont="1" applyFill="1" applyBorder="1"/>
    <xf numFmtId="10" fontId="5" fillId="0" borderId="0" xfId="1" applyNumberFormat="1" applyFont="1" applyFill="1" applyBorder="1"/>
    <xf numFmtId="0" fontId="8" fillId="0" borderId="1" xfId="0" applyFont="1" applyBorder="1" applyAlignment="1">
      <alignment horizontal="center" wrapText="1"/>
    </xf>
    <xf numFmtId="10" fontId="3" fillId="3" borderId="6" xfId="20" applyNumberFormat="1" applyFont="1" applyFill="1" applyBorder="1"/>
    <xf numFmtId="10" fontId="3" fillId="3" borderId="98" xfId="20" applyNumberFormat="1" applyFont="1" applyFill="1" applyBorder="1"/>
    <xf numFmtId="0" fontId="19" fillId="0" borderId="3" xfId="19" applyFont="1" applyFill="1" applyBorder="1" applyAlignment="1">
      <alignment horizontal="center" wrapText="1"/>
    </xf>
    <xf numFmtId="0" fontId="8" fillId="0" borderId="34" xfId="0" quotePrefix="1" applyFont="1" applyBorder="1"/>
    <xf numFmtId="0" fontId="0" fillId="0" borderId="106" xfId="0" applyBorder="1"/>
    <xf numFmtId="0" fontId="8" fillId="0" borderId="107" xfId="0" applyFont="1" applyBorder="1" applyAlignment="1">
      <alignment horizontal="center"/>
    </xf>
    <xf numFmtId="0" fontId="8" fillId="0" borderId="103" xfId="0" applyFont="1" applyBorder="1" applyAlignment="1">
      <alignment horizontal="center"/>
    </xf>
    <xf numFmtId="49" fontId="8" fillId="0" borderId="103" xfId="0" applyNumberFormat="1" applyFont="1" applyBorder="1" applyAlignment="1">
      <alignment horizontal="center"/>
    </xf>
    <xf numFmtId="0" fontId="8" fillId="0" borderId="108" xfId="0" applyFont="1" applyBorder="1" applyAlignment="1">
      <alignment horizontal="center"/>
    </xf>
    <xf numFmtId="169" fontId="5" fillId="0" borderId="0" xfId="6" quotePrefix="1" applyNumberFormat="1" applyFont="1" applyFill="1" applyBorder="1"/>
    <xf numFmtId="0" fontId="4" fillId="0" borderId="108" xfId="0" applyFont="1" applyBorder="1"/>
    <xf numFmtId="169" fontId="5" fillId="0" borderId="55" xfId="6" quotePrefix="1" applyNumberFormat="1" applyFont="1" applyFill="1" applyBorder="1"/>
    <xf numFmtId="44" fontId="5" fillId="0" borderId="0" xfId="6" applyFont="1" applyFill="1" applyBorder="1"/>
    <xf numFmtId="44" fontId="5" fillId="0" borderId="42" xfId="6" applyFont="1" applyFill="1" applyBorder="1"/>
    <xf numFmtId="169" fontId="4" fillId="0" borderId="42" xfId="6" applyNumberFormat="1" applyFont="1" applyFill="1" applyBorder="1"/>
    <xf numFmtId="49" fontId="5" fillId="0" borderId="0" xfId="0" applyNumberFormat="1" applyFont="1" applyAlignment="1">
      <alignment horizontal="right"/>
    </xf>
    <xf numFmtId="169" fontId="62" fillId="0" borderId="0" xfId="6" applyNumberFormat="1" applyFont="1" applyFill="1" applyBorder="1"/>
    <xf numFmtId="169" fontId="62" fillId="0" borderId="42" xfId="6" applyNumberFormat="1" applyFont="1" applyFill="1" applyBorder="1"/>
    <xf numFmtId="169" fontId="4" fillId="0" borderId="42" xfId="0" applyNumberFormat="1" applyFont="1" applyBorder="1"/>
    <xf numFmtId="0" fontId="4" fillId="0" borderId="105" xfId="0" applyFont="1" applyBorder="1"/>
    <xf numFmtId="0" fontId="4" fillId="0" borderId="106" xfId="0" applyFont="1" applyBorder="1"/>
    <xf numFmtId="0" fontId="8" fillId="0" borderId="105" xfId="0" applyFont="1" applyBorder="1" applyAlignment="1">
      <alignment horizontal="center"/>
    </xf>
    <xf numFmtId="169" fontId="65" fillId="0" borderId="0" xfId="6" applyNumberFormat="1" applyFont="1" applyFill="1" applyBorder="1"/>
    <xf numFmtId="169" fontId="65" fillId="0" borderId="42" xfId="6" applyNumberFormat="1" applyFont="1" applyFill="1" applyBorder="1"/>
    <xf numFmtId="49" fontId="8" fillId="0" borderId="10" xfId="0" applyNumberFormat="1" applyFont="1" applyBorder="1" applyAlignment="1">
      <alignment horizontal="center"/>
    </xf>
    <xf numFmtId="49" fontId="5" fillId="0" borderId="52" xfId="0" applyNumberFormat="1" applyFont="1" applyBorder="1" applyAlignment="1">
      <alignment horizontal="left"/>
    </xf>
    <xf numFmtId="169" fontId="4" fillId="0" borderId="52" xfId="0" applyNumberFormat="1" applyFont="1" applyBorder="1"/>
    <xf numFmtId="169" fontId="4" fillId="0" borderId="60" xfId="0" applyNumberFormat="1" applyFont="1" applyBorder="1"/>
    <xf numFmtId="43" fontId="8" fillId="0" borderId="42" xfId="5" applyFont="1" applyBorder="1"/>
    <xf numFmtId="169" fontId="51" fillId="0" borderId="0" xfId="6" applyNumberFormat="1" applyFont="1" applyFill="1" applyBorder="1"/>
    <xf numFmtId="169" fontId="5" fillId="0" borderId="103" xfId="6" applyNumberFormat="1" applyFont="1" applyFill="1" applyBorder="1"/>
    <xf numFmtId="185" fontId="47" fillId="0" borderId="52" xfId="15" applyNumberFormat="1" applyFont="1" applyFill="1" applyBorder="1"/>
    <xf numFmtId="169" fontId="94" fillId="0" borderId="0" xfId="6" quotePrefix="1" applyNumberFormat="1" applyFont="1" applyFill="1" applyBorder="1"/>
    <xf numFmtId="169" fontId="94" fillId="0" borderId="108" xfId="6" quotePrefix="1" applyNumberFormat="1" applyFont="1" applyFill="1" applyBorder="1"/>
    <xf numFmtId="169" fontId="94" fillId="0" borderId="42" xfId="6" quotePrefix="1" applyNumberFormat="1" applyFont="1" applyFill="1" applyBorder="1"/>
    <xf numFmtId="169" fontId="94" fillId="0" borderId="10" xfId="6" quotePrefix="1" applyNumberFormat="1" applyFont="1" applyFill="1" applyBorder="1"/>
    <xf numFmtId="169" fontId="94" fillId="0" borderId="55" xfId="6" quotePrefix="1" applyNumberFormat="1" applyFont="1" applyFill="1" applyBorder="1"/>
    <xf numFmtId="0" fontId="5" fillId="0" borderId="105" xfId="0" applyFont="1" applyBorder="1"/>
    <xf numFmtId="10" fontId="5" fillId="0" borderId="105" xfId="0" applyNumberFormat="1" applyFont="1" applyBorder="1" applyAlignment="1">
      <alignment horizontal="center"/>
    </xf>
    <xf numFmtId="169" fontId="0" fillId="0" borderId="105" xfId="6" applyNumberFormat="1" applyFont="1" applyFill="1" applyBorder="1"/>
    <xf numFmtId="169" fontId="0" fillId="0" borderId="106" xfId="6" applyNumberFormat="1" applyFont="1" applyFill="1" applyBorder="1"/>
    <xf numFmtId="0" fontId="5" fillId="0" borderId="10" xfId="0" applyFont="1" applyBorder="1" applyAlignment="1">
      <alignment horizontal="center" wrapText="1"/>
    </xf>
    <xf numFmtId="49" fontId="5" fillId="0" borderId="10" xfId="0" applyNumberFormat="1" applyFont="1" applyBorder="1" applyAlignment="1">
      <alignment horizontal="center"/>
    </xf>
    <xf numFmtId="0" fontId="5" fillId="0" borderId="106" xfId="0" applyFont="1" applyBorder="1" applyAlignment="1">
      <alignment horizontal="center"/>
    </xf>
    <xf numFmtId="10" fontId="5" fillId="0" borderId="0" xfId="15" applyNumberFormat="1" applyFont="1" applyFill="1" applyBorder="1" applyAlignment="1">
      <alignment horizontal="center"/>
    </xf>
    <xf numFmtId="169" fontId="5" fillId="0" borderId="108" xfId="6" applyNumberFormat="1" applyFont="1" applyFill="1" applyBorder="1"/>
    <xf numFmtId="10" fontId="5" fillId="0" borderId="10" xfId="15" applyNumberFormat="1" applyFont="1" applyFill="1" applyBorder="1" applyAlignment="1">
      <alignment horizontal="center"/>
    </xf>
    <xf numFmtId="49" fontId="5" fillId="0" borderId="103" xfId="0" applyNumberFormat="1" applyFont="1" applyBorder="1" applyAlignment="1">
      <alignment horizontal="left"/>
    </xf>
    <xf numFmtId="10" fontId="0" fillId="0" borderId="103" xfId="0" applyNumberFormat="1" applyBorder="1" applyAlignment="1">
      <alignment horizontal="center"/>
    </xf>
    <xf numFmtId="169" fontId="0" fillId="0" borderId="103" xfId="0" applyNumberFormat="1" applyBorder="1"/>
    <xf numFmtId="169" fontId="0" fillId="0" borderId="108" xfId="0" applyNumberFormat="1" applyBorder="1"/>
    <xf numFmtId="43" fontId="5" fillId="0" borderId="105" xfId="5" applyFont="1" applyFill="1" applyBorder="1" applyAlignment="1">
      <alignment horizontal="left"/>
    </xf>
    <xf numFmtId="5" fontId="5" fillId="0" borderId="105" xfId="6" applyNumberFormat="1" applyFont="1" applyFill="1" applyBorder="1" applyAlignment="1"/>
    <xf numFmtId="5" fontId="5" fillId="0" borderId="106" xfId="6" applyNumberFormat="1" applyFont="1" applyFill="1" applyBorder="1" applyAlignment="1"/>
    <xf numFmtId="185" fontId="5" fillId="0" borderId="105" xfId="15" applyNumberFormat="1" applyFont="1" applyFill="1" applyBorder="1"/>
    <xf numFmtId="167" fontId="5" fillId="0" borderId="105" xfId="5" applyNumberFormat="1" applyFont="1" applyFill="1" applyBorder="1"/>
    <xf numFmtId="169" fontId="4" fillId="0" borderId="105" xfId="6" applyNumberFormat="1" applyFont="1" applyFill="1" applyBorder="1"/>
    <xf numFmtId="10" fontId="5" fillId="0" borderId="105" xfId="15" applyNumberFormat="1" applyFont="1" applyFill="1" applyBorder="1"/>
    <xf numFmtId="0" fontId="49" fillId="0" borderId="0" xfId="0" applyFont="1"/>
    <xf numFmtId="0" fontId="60" fillId="0" borderId="0" xfId="0" applyFont="1" applyAlignment="1">
      <alignment horizontal="right"/>
    </xf>
    <xf numFmtId="3" fontId="56" fillId="0" borderId="0" xfId="0" applyNumberFormat="1" applyFont="1"/>
    <xf numFmtId="0" fontId="60" fillId="0" borderId="0" xfId="0" applyFont="1" applyAlignment="1">
      <alignment horizontal="center"/>
    </xf>
    <xf numFmtId="0" fontId="99" fillId="0" borderId="0" xfId="0" applyFont="1"/>
    <xf numFmtId="0" fontId="100" fillId="17" borderId="0" xfId="0" applyFont="1" applyFill="1" applyAlignment="1">
      <alignment horizontal="left"/>
    </xf>
    <xf numFmtId="0" fontId="0" fillId="17" borderId="0" xfId="0" applyFill="1"/>
    <xf numFmtId="0" fontId="54" fillId="0" borderId="0" xfId="0" applyFont="1"/>
    <xf numFmtId="0" fontId="54" fillId="0" borderId="0" xfId="0" applyFont="1" applyAlignment="1">
      <alignment horizontal="center"/>
    </xf>
    <xf numFmtId="0" fontId="0" fillId="0" borderId="21" xfId="0" applyBorder="1" applyAlignment="1">
      <alignment horizontal="center"/>
    </xf>
    <xf numFmtId="0" fontId="49" fillId="0" borderId="40" xfId="0" applyFont="1" applyBorder="1" applyAlignment="1">
      <alignment horizontal="center"/>
    </xf>
    <xf numFmtId="0" fontId="0" fillId="19" borderId="22" xfId="0" applyFill="1" applyBorder="1"/>
    <xf numFmtId="15" fontId="0" fillId="0" borderId="22" xfId="0" applyNumberFormat="1" applyBorder="1"/>
    <xf numFmtId="0" fontId="47" fillId="0" borderId="22" xfId="0" applyFont="1" applyBorder="1" applyAlignment="1">
      <alignment horizontal="center"/>
    </xf>
    <xf numFmtId="0" fontId="0" fillId="0" borderId="112" xfId="0" applyBorder="1"/>
    <xf numFmtId="0" fontId="0" fillId="0" borderId="27" xfId="0" applyBorder="1" applyAlignment="1">
      <alignment horizontal="center"/>
    </xf>
    <xf numFmtId="0" fontId="0" fillId="19" borderId="0" xfId="0" applyFill="1"/>
    <xf numFmtId="0" fontId="8" fillId="0" borderId="24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 wrapText="1"/>
    </xf>
    <xf numFmtId="0" fontId="8" fillId="0" borderId="69" xfId="0" applyFont="1" applyBorder="1" applyAlignment="1">
      <alignment horizontal="center" wrapText="1"/>
    </xf>
    <xf numFmtId="0" fontId="8" fillId="0" borderId="113" xfId="0" applyFont="1" applyBorder="1" applyAlignment="1">
      <alignment horizontal="center" wrapText="1"/>
    </xf>
    <xf numFmtId="0" fontId="8" fillId="0" borderId="71" xfId="0" applyFont="1" applyBorder="1" applyAlignment="1">
      <alignment horizontal="center" wrapText="1"/>
    </xf>
    <xf numFmtId="0" fontId="8" fillId="0" borderId="70" xfId="0" applyFont="1" applyBorder="1" applyAlignment="1">
      <alignment horizontal="center" wrapText="1"/>
    </xf>
    <xf numFmtId="0" fontId="8" fillId="0" borderId="55" xfId="0" applyFont="1" applyBorder="1" applyAlignment="1">
      <alignment horizontal="center" wrapText="1"/>
    </xf>
    <xf numFmtId="0" fontId="8" fillId="0" borderId="91" xfId="0" applyFont="1" applyBorder="1" applyAlignment="1">
      <alignment horizontal="center" wrapText="1"/>
    </xf>
    <xf numFmtId="0" fontId="8" fillId="0" borderId="106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179" fontId="48" fillId="0" borderId="45" xfId="9" quotePrefix="1" applyNumberFormat="1" applyFont="1" applyBorder="1" applyAlignment="1">
      <alignment horizontal="center"/>
    </xf>
    <xf numFmtId="179" fontId="48" fillId="0" borderId="114" xfId="9" quotePrefix="1" applyNumberFormat="1" applyFont="1" applyBorder="1" applyAlignment="1">
      <alignment horizontal="center"/>
    </xf>
    <xf numFmtId="179" fontId="48" fillId="0" borderId="115" xfId="9" quotePrefix="1" applyNumberFormat="1" applyFont="1" applyBorder="1" applyAlignment="1">
      <alignment horizontal="center"/>
    </xf>
    <xf numFmtId="179" fontId="48" fillId="0" borderId="116" xfId="9" quotePrefix="1" applyNumberFormat="1" applyFont="1" applyBorder="1" applyAlignment="1">
      <alignment horizontal="center"/>
    </xf>
    <xf numFmtId="179" fontId="48" fillId="0" borderId="108" xfId="9" quotePrefix="1" applyNumberFormat="1" applyFont="1" applyBorder="1" applyAlignment="1">
      <alignment horizontal="center"/>
    </xf>
    <xf numFmtId="0" fontId="0" fillId="6" borderId="14" xfId="0" applyFill="1" applyBorder="1"/>
    <xf numFmtId="3" fontId="1" fillId="0" borderId="0" xfId="0" applyNumberFormat="1" applyFont="1"/>
    <xf numFmtId="0" fontId="41" fillId="0" borderId="0" xfId="0" applyFont="1" applyAlignment="1">
      <alignment horizontal="right"/>
    </xf>
    <xf numFmtId="0" fontId="17" fillId="20" borderId="12" xfId="0" applyFont="1" applyFill="1" applyBorder="1" applyAlignment="1">
      <alignment horizontal="right" vertical="center"/>
    </xf>
    <xf numFmtId="37" fontId="101" fillId="20" borderId="14" xfId="0" applyNumberFormat="1" applyFont="1" applyFill="1" applyBorder="1" applyAlignment="1">
      <alignment horizontal="center"/>
    </xf>
    <xf numFmtId="44" fontId="41" fillId="20" borderId="14" xfId="0" applyNumberFormat="1" applyFont="1" applyFill="1" applyBorder="1"/>
    <xf numFmtId="0" fontId="49" fillId="20" borderId="2" xfId="0" applyFont="1" applyFill="1" applyBorder="1" applyAlignment="1">
      <alignment horizontal="center" wrapText="1"/>
    </xf>
    <xf numFmtId="167" fontId="49" fillId="20" borderId="2" xfId="5" applyNumberFormat="1" applyFont="1" applyFill="1" applyBorder="1" applyAlignment="1">
      <alignment horizontal="center" wrapText="1"/>
    </xf>
    <xf numFmtId="167" fontId="41" fillId="20" borderId="2" xfId="5" applyNumberFormat="1" applyFont="1" applyFill="1" applyBorder="1" applyAlignment="1">
      <alignment horizontal="center" wrapText="1"/>
    </xf>
    <xf numFmtId="169" fontId="49" fillId="20" borderId="118" xfId="6" applyNumberFormat="1" applyFont="1" applyFill="1" applyBorder="1" applyAlignment="1">
      <alignment horizontal="left" wrapText="1"/>
    </xf>
    <xf numFmtId="169" fontId="49" fillId="20" borderId="67" xfId="6" applyNumberFormat="1" applyFont="1" applyFill="1" applyBorder="1" applyAlignment="1">
      <alignment horizontal="left" wrapText="1"/>
    </xf>
    <xf numFmtId="169" fontId="41" fillId="20" borderId="119" xfId="6" applyNumberFormat="1" applyFont="1" applyFill="1" applyBorder="1" applyAlignment="1">
      <alignment horizontal="left" wrapText="1"/>
    </xf>
    <xf numFmtId="169" fontId="41" fillId="20" borderId="2" xfId="6" applyNumberFormat="1" applyFont="1" applyFill="1" applyBorder="1" applyAlignment="1">
      <alignment horizontal="left" wrapText="1"/>
    </xf>
    <xf numFmtId="0" fontId="17" fillId="21" borderId="12" xfId="0" applyFont="1" applyFill="1" applyBorder="1" applyAlignment="1">
      <alignment horizontal="right" vertical="center" wrapText="1"/>
    </xf>
    <xf numFmtId="37" fontId="101" fillId="21" borderId="14" xfId="0" applyNumberFormat="1" applyFont="1" applyFill="1" applyBorder="1" applyAlignment="1">
      <alignment horizontal="center"/>
    </xf>
    <xf numFmtId="44" fontId="41" fillId="21" borderId="14" xfId="0" applyNumberFormat="1" applyFont="1" applyFill="1" applyBorder="1"/>
    <xf numFmtId="0" fontId="49" fillId="21" borderId="2" xfId="0" applyFont="1" applyFill="1" applyBorder="1" applyAlignment="1">
      <alignment horizontal="center" wrapText="1"/>
    </xf>
    <xf numFmtId="167" fontId="49" fillId="21" borderId="2" xfId="5" applyNumberFormat="1" applyFont="1" applyFill="1" applyBorder="1" applyAlignment="1">
      <alignment horizontal="center" wrapText="1"/>
    </xf>
    <xf numFmtId="167" fontId="41" fillId="21" borderId="2" xfId="5" applyNumberFormat="1" applyFont="1" applyFill="1" applyBorder="1" applyAlignment="1">
      <alignment horizontal="center" wrapText="1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vertical="center"/>
    </xf>
    <xf numFmtId="44" fontId="0" fillId="0" borderId="0" xfId="0" applyNumberFormat="1"/>
    <xf numFmtId="0" fontId="8" fillId="0" borderId="105" xfId="0" applyFont="1" applyBorder="1" applyAlignment="1">
      <alignment horizontal="center" wrapText="1"/>
    </xf>
    <xf numFmtId="167" fontId="8" fillId="0" borderId="10" xfId="5" applyNumberFormat="1" applyFont="1" applyFill="1" applyBorder="1" applyAlignment="1">
      <alignment horizontal="center" wrapText="1"/>
    </xf>
    <xf numFmtId="167" fontId="5" fillId="0" borderId="10" xfId="5" applyNumberFormat="1" applyFont="1" applyFill="1" applyBorder="1" applyAlignment="1">
      <alignment horizontal="center" wrapText="1"/>
    </xf>
    <xf numFmtId="169" fontId="8" fillId="0" borderId="105" xfId="6" applyNumberFormat="1" applyFont="1" applyFill="1" applyBorder="1" applyAlignment="1">
      <alignment horizontal="left" wrapText="1"/>
    </xf>
    <xf numFmtId="169" fontId="5" fillId="0" borderId="105" xfId="6" applyNumberFormat="1" applyFont="1" applyFill="1" applyBorder="1" applyAlignment="1">
      <alignment horizontal="left" wrapText="1"/>
    </xf>
    <xf numFmtId="0" fontId="8" fillId="21" borderId="118" xfId="0" applyFont="1" applyFill="1" applyBorder="1" applyAlignment="1">
      <alignment horizontal="center" vertical="center" wrapText="1"/>
    </xf>
    <xf numFmtId="9" fontId="49" fillId="20" borderId="2" xfId="15" applyFont="1" applyFill="1" applyBorder="1" applyAlignment="1">
      <alignment horizontal="center" wrapText="1"/>
    </xf>
    <xf numFmtId="9" fontId="41" fillId="20" borderId="2" xfId="15" applyFont="1" applyFill="1" applyBorder="1" applyAlignment="1">
      <alignment horizontal="center" wrapText="1"/>
    </xf>
    <xf numFmtId="169" fontId="8" fillId="0" borderId="0" xfId="6" applyNumberFormat="1" applyFont="1" applyFill="1" applyBorder="1" applyAlignment="1">
      <alignment horizontal="center"/>
    </xf>
    <xf numFmtId="167" fontId="0" fillId="0" borderId="0" xfId="5" applyNumberFormat="1" applyFont="1" applyFill="1" applyBorder="1" applyAlignment="1">
      <alignment horizontal="right"/>
    </xf>
    <xf numFmtId="167" fontId="2" fillId="0" borderId="0" xfId="5" applyNumberFormat="1" applyFont="1" applyFill="1" applyBorder="1"/>
    <xf numFmtId="0" fontId="99" fillId="0" borderId="0" xfId="0" applyFont="1" applyAlignment="1">
      <alignment horizontal="right"/>
    </xf>
    <xf numFmtId="167" fontId="103" fillId="0" borderId="0" xfId="5" applyNumberFormat="1" applyFont="1" applyFill="1" applyBorder="1"/>
    <xf numFmtId="167" fontId="104" fillId="0" borderId="0" xfId="5" applyNumberFormat="1" applyFont="1" applyFill="1" applyBorder="1"/>
    <xf numFmtId="0" fontId="105" fillId="0" borderId="0" xfId="0" applyFont="1" applyAlignment="1">
      <alignment horizontal="left"/>
    </xf>
    <xf numFmtId="0" fontId="107" fillId="14" borderId="15" xfId="0" applyFont="1" applyFill="1" applyBorder="1" applyAlignment="1">
      <alignment horizontal="left"/>
    </xf>
    <xf numFmtId="0" fontId="108" fillId="14" borderId="70" xfId="0" applyFont="1" applyFill="1" applyBorder="1"/>
    <xf numFmtId="0" fontId="109" fillId="14" borderId="70" xfId="0" applyFont="1" applyFill="1" applyBorder="1"/>
    <xf numFmtId="167" fontId="108" fillId="14" borderId="0" xfId="5" applyNumberFormat="1" applyFont="1" applyFill="1" applyBorder="1"/>
    <xf numFmtId="167" fontId="108" fillId="14" borderId="10" xfId="5" applyNumberFormat="1" applyFont="1" applyFill="1" applyBorder="1"/>
    <xf numFmtId="167" fontId="108" fillId="14" borderId="25" xfId="5" applyNumberFormat="1" applyFont="1" applyFill="1" applyBorder="1"/>
    <xf numFmtId="0" fontId="8" fillId="0" borderId="45" xfId="0" applyFont="1" applyBorder="1" applyAlignment="1">
      <alignment horizontal="center" wrapText="1"/>
    </xf>
    <xf numFmtId="0" fontId="8" fillId="0" borderId="44" xfId="0" applyFont="1" applyBorder="1" applyAlignment="1">
      <alignment horizontal="center" wrapText="1"/>
    </xf>
    <xf numFmtId="0" fontId="8" fillId="0" borderId="16" xfId="0" applyFont="1" applyBorder="1" applyAlignment="1">
      <alignment horizontal="center" wrapText="1"/>
    </xf>
    <xf numFmtId="0" fontId="8" fillId="0" borderId="109" xfId="0" applyFont="1" applyBorder="1" applyAlignment="1">
      <alignment horizontal="center" wrapText="1"/>
    </xf>
    <xf numFmtId="169" fontId="110" fillId="0" borderId="0" xfId="0" quotePrefix="1" applyNumberFormat="1" applyFont="1" applyAlignment="1">
      <alignment horizontal="right"/>
    </xf>
    <xf numFmtId="0" fontId="32" fillId="18" borderId="12" xfId="0" applyFont="1" applyFill="1" applyBorder="1" applyAlignment="1">
      <alignment horizontal="left"/>
    </xf>
    <xf numFmtId="0" fontId="8" fillId="18" borderId="14" xfId="0" applyFont="1" applyFill="1" applyBorder="1"/>
    <xf numFmtId="0" fontId="0" fillId="18" borderId="14" xfId="0" applyFill="1" applyBorder="1"/>
    <xf numFmtId="0" fontId="40" fillId="18" borderId="14" xfId="0" applyFont="1" applyFill="1" applyBorder="1"/>
    <xf numFmtId="0" fontId="8" fillId="18" borderId="14" xfId="0" applyFont="1" applyFill="1" applyBorder="1" applyAlignment="1">
      <alignment horizontal="center" wrapText="1"/>
    </xf>
    <xf numFmtId="167" fontId="0" fillId="18" borderId="13" xfId="5" applyNumberFormat="1" applyFont="1" applyFill="1" applyBorder="1"/>
    <xf numFmtId="0" fontId="50" fillId="18" borderId="27" xfId="0" applyFont="1" applyFill="1" applyBorder="1"/>
    <xf numFmtId="0" fontId="8" fillId="18" borderId="0" xfId="0" applyFont="1" applyFill="1"/>
    <xf numFmtId="167" fontId="0" fillId="0" borderId="0" xfId="5" applyNumberFormat="1" applyFont="1" applyBorder="1" applyAlignment="1">
      <alignment horizontal="right"/>
    </xf>
    <xf numFmtId="43" fontId="42" fillId="0" borderId="116" xfId="5" applyFont="1" applyFill="1" applyBorder="1" applyAlignment="1">
      <alignment horizontal="right" wrapText="1"/>
    </xf>
    <xf numFmtId="167" fontId="0" fillId="0" borderId="116" xfId="5" applyNumberFormat="1" applyFont="1" applyFill="1" applyBorder="1"/>
    <xf numFmtId="167" fontId="0" fillId="0" borderId="124" xfId="5" applyNumberFormat="1" applyFont="1" applyFill="1" applyBorder="1"/>
    <xf numFmtId="167" fontId="0" fillId="0" borderId="108" xfId="5" applyNumberFormat="1" applyFont="1" applyFill="1" applyBorder="1"/>
    <xf numFmtId="167" fontId="0" fillId="0" borderId="114" xfId="5" applyNumberFormat="1" applyFont="1" applyFill="1" applyBorder="1"/>
    <xf numFmtId="167" fontId="0" fillId="0" borderId="28" xfId="5" applyNumberFormat="1" applyFont="1" applyFill="1" applyBorder="1"/>
    <xf numFmtId="0" fontId="0" fillId="18" borderId="12" xfId="0" applyFill="1" applyBorder="1"/>
    <xf numFmtId="0" fontId="42" fillId="18" borderId="14" xfId="0" applyFont="1" applyFill="1" applyBorder="1"/>
    <xf numFmtId="0" fontId="32" fillId="18" borderId="14" xfId="0" applyFont="1" applyFill="1" applyBorder="1" applyAlignment="1">
      <alignment horizontal="right"/>
    </xf>
    <xf numFmtId="0" fontId="40" fillId="18" borderId="13" xfId="0" applyFont="1" applyFill="1" applyBorder="1"/>
    <xf numFmtId="0" fontId="8" fillId="18" borderId="12" xfId="0" applyFont="1" applyFill="1" applyBorder="1" applyAlignment="1">
      <alignment horizontal="right"/>
    </xf>
    <xf numFmtId="169" fontId="32" fillId="18" borderId="116" xfId="6" applyNumberFormat="1" applyFont="1" applyFill="1" applyBorder="1"/>
    <xf numFmtId="169" fontId="32" fillId="18" borderId="124" xfId="6" applyNumberFormat="1" applyFont="1" applyFill="1" applyBorder="1"/>
    <xf numFmtId="169" fontId="32" fillId="18" borderId="114" xfId="6" applyNumberFormat="1" applyFont="1" applyFill="1" applyBorder="1"/>
    <xf numFmtId="169" fontId="32" fillId="18" borderId="109" xfId="6" applyNumberFormat="1" applyFont="1" applyFill="1" applyBorder="1"/>
    <xf numFmtId="169" fontId="32" fillId="0" borderId="116" xfId="6" applyNumberFormat="1" applyFont="1" applyFill="1" applyBorder="1"/>
    <xf numFmtId="169" fontId="32" fillId="0" borderId="124" xfId="6" applyNumberFormat="1" applyFont="1" applyFill="1" applyBorder="1"/>
    <xf numFmtId="169" fontId="32" fillId="0" borderId="114" xfId="6" applyNumberFormat="1" applyFont="1" applyFill="1" applyBorder="1"/>
    <xf numFmtId="169" fontId="32" fillId="0" borderId="109" xfId="6" applyNumberFormat="1" applyFont="1" applyFill="1" applyBorder="1"/>
    <xf numFmtId="0" fontId="32" fillId="0" borderId="27" xfId="0" applyFont="1" applyBorder="1" applyAlignment="1">
      <alignment horizontal="left"/>
    </xf>
    <xf numFmtId="44" fontId="32" fillId="0" borderId="121" xfId="6" applyFont="1" applyBorder="1"/>
    <xf numFmtId="169" fontId="32" fillId="0" borderId="45" xfId="6" applyNumberFormat="1" applyFont="1" applyBorder="1"/>
    <xf numFmtId="169" fontId="32" fillId="0" borderId="44" xfId="6" applyNumberFormat="1" applyFont="1" applyBorder="1"/>
    <xf numFmtId="169" fontId="32" fillId="0" borderId="44" xfId="6" applyNumberFormat="1" applyFont="1" applyFill="1" applyBorder="1"/>
    <xf numFmtId="169" fontId="32" fillId="0" borderId="35" xfId="6" applyNumberFormat="1" applyFont="1" applyBorder="1"/>
    <xf numFmtId="0" fontId="111" fillId="18" borderId="0" xfId="0" applyFont="1" applyFill="1"/>
    <xf numFmtId="167" fontId="112" fillId="0" borderId="0" xfId="5" applyNumberFormat="1" applyFont="1" applyBorder="1" applyAlignment="1">
      <alignment horizontal="right"/>
    </xf>
    <xf numFmtId="44" fontId="5" fillId="0" borderId="121" xfId="6" applyFont="1" applyFill="1" applyBorder="1" applyAlignment="1">
      <alignment horizontal="left" wrapText="1"/>
    </xf>
    <xf numFmtId="0" fontId="5" fillId="0" borderId="121" xfId="0" applyFont="1" applyBorder="1" applyAlignment="1">
      <alignment horizontal="right" wrapText="1"/>
    </xf>
    <xf numFmtId="2" fontId="5" fillId="0" borderId="121" xfId="0" applyNumberFormat="1" applyFont="1" applyBorder="1" applyAlignment="1">
      <alignment horizontal="right" wrapText="1"/>
    </xf>
    <xf numFmtId="2" fontId="5" fillId="0" borderId="45" xfId="0" applyNumberFormat="1" applyFont="1" applyBorder="1" applyAlignment="1">
      <alignment horizontal="right" wrapText="1"/>
    </xf>
    <xf numFmtId="2" fontId="5" fillId="0" borderId="44" xfId="0" applyNumberFormat="1" applyFont="1" applyBorder="1" applyAlignment="1">
      <alignment horizontal="right" wrapText="1"/>
    </xf>
    <xf numFmtId="2" fontId="5" fillId="0" borderId="35" xfId="0" applyNumberFormat="1" applyFont="1" applyBorder="1" applyAlignment="1">
      <alignment horizontal="right" wrapText="1"/>
    </xf>
    <xf numFmtId="0" fontId="5" fillId="0" borderId="45" xfId="0" applyFont="1" applyBorder="1" applyAlignment="1">
      <alignment horizontal="right" wrapText="1"/>
    </xf>
    <xf numFmtId="0" fontId="5" fillId="0" borderId="44" xfId="0" applyFont="1" applyBorder="1" applyAlignment="1">
      <alignment horizontal="right" wrapText="1"/>
    </xf>
    <xf numFmtId="0" fontId="5" fillId="0" borderId="109" xfId="0" applyFont="1" applyBorder="1" applyAlignment="1">
      <alignment horizontal="right" wrapText="1"/>
    </xf>
    <xf numFmtId="0" fontId="8" fillId="18" borderId="14" xfId="0" applyFont="1" applyFill="1" applyBorder="1" applyAlignment="1">
      <alignment horizontal="right"/>
    </xf>
    <xf numFmtId="169" fontId="32" fillId="18" borderId="12" xfId="6" applyNumberFormat="1" applyFont="1" applyFill="1" applyBorder="1"/>
    <xf numFmtId="169" fontId="32" fillId="18" borderId="67" xfId="6" applyNumberFormat="1" applyFont="1" applyFill="1" applyBorder="1"/>
    <xf numFmtId="169" fontId="32" fillId="18" borderId="119" xfId="6" applyNumberFormat="1" applyFont="1" applyFill="1" applyBorder="1"/>
    <xf numFmtId="169" fontId="32" fillId="18" borderId="13" xfId="6" applyNumberFormat="1" applyFont="1" applyFill="1" applyBorder="1"/>
    <xf numFmtId="169" fontId="32" fillId="18" borderId="3" xfId="6" applyNumberFormat="1" applyFont="1" applyFill="1" applyBorder="1"/>
    <xf numFmtId="0" fontId="113" fillId="18" borderId="75" xfId="0" applyFont="1" applyFill="1" applyBorder="1" applyAlignment="1">
      <alignment horizontal="center"/>
    </xf>
    <xf numFmtId="167" fontId="0" fillId="18" borderId="75" xfId="0" applyNumberFormat="1" applyFill="1" applyBorder="1"/>
    <xf numFmtId="167" fontId="0" fillId="18" borderId="4" xfId="0" applyNumberFormat="1" applyFill="1" applyBorder="1"/>
    <xf numFmtId="167" fontId="0" fillId="18" borderId="5" xfId="0" applyNumberFormat="1" applyFill="1" applyBorder="1"/>
    <xf numFmtId="167" fontId="0" fillId="18" borderId="28" xfId="0" applyNumberFormat="1" applyFill="1" applyBorder="1"/>
    <xf numFmtId="9" fontId="0" fillId="18" borderId="75" xfId="0" applyNumberFormat="1" applyFill="1" applyBorder="1"/>
    <xf numFmtId="10" fontId="0" fillId="18" borderId="125" xfId="0" applyNumberFormat="1" applyFill="1" applyBorder="1"/>
    <xf numFmtId="10" fontId="0" fillId="18" borderId="32" xfId="0" applyNumberFormat="1" applyFill="1" applyBorder="1"/>
    <xf numFmtId="10" fontId="0" fillId="18" borderId="33" xfId="0" applyNumberFormat="1" applyFill="1" applyBorder="1"/>
    <xf numFmtId="177" fontId="0" fillId="0" borderId="0" xfId="0" applyNumberFormat="1"/>
    <xf numFmtId="0" fontId="0" fillId="0" borderId="75" xfId="0" applyBorder="1"/>
    <xf numFmtId="177" fontId="0" fillId="0" borderId="115" xfId="0" applyNumberFormat="1" applyBorder="1"/>
    <xf numFmtId="177" fontId="0" fillId="0" borderId="124" xfId="0" applyNumberFormat="1" applyBorder="1"/>
    <xf numFmtId="177" fontId="0" fillId="0" borderId="114" xfId="0" applyNumberFormat="1" applyBorder="1"/>
    <xf numFmtId="177" fontId="0" fillId="0" borderId="110" xfId="0" applyNumberFormat="1" applyBorder="1"/>
    <xf numFmtId="169" fontId="0" fillId="0" borderId="75" xfId="0" applyNumberFormat="1" applyBorder="1"/>
    <xf numFmtId="177" fontId="0" fillId="0" borderId="24" xfId="0" applyNumberFormat="1" applyBorder="1"/>
    <xf numFmtId="177" fontId="0" fillId="0" borderId="125" xfId="0" applyNumberFormat="1" applyBorder="1"/>
    <xf numFmtId="177" fontId="0" fillId="0" borderId="32" xfId="0" applyNumberFormat="1" applyBorder="1"/>
    <xf numFmtId="177" fontId="0" fillId="0" borderId="33" xfId="0" applyNumberFormat="1" applyBorder="1"/>
    <xf numFmtId="0" fontId="0" fillId="0" borderId="95" xfId="0" applyBorder="1" applyAlignment="1">
      <alignment horizontal="left"/>
    </xf>
    <xf numFmtId="0" fontId="0" fillId="0" borderId="76" xfId="0" applyBorder="1"/>
    <xf numFmtId="175" fontId="0" fillId="0" borderId="76" xfId="15" applyNumberFormat="1" applyFont="1" applyBorder="1"/>
    <xf numFmtId="175" fontId="0" fillId="0" borderId="97" xfId="15" applyNumberFormat="1" applyFont="1" applyBorder="1"/>
    <xf numFmtId="175" fontId="0" fillId="0" borderId="8" xfId="15" applyNumberFormat="1" applyFont="1" applyBorder="1"/>
    <xf numFmtId="175" fontId="0" fillId="0" borderId="8" xfId="15" applyNumberFormat="1" applyFont="1" applyFill="1" applyBorder="1"/>
    <xf numFmtId="175" fontId="0" fillId="0" borderId="19" xfId="15" applyNumberFormat="1" applyFont="1" applyBorder="1"/>
    <xf numFmtId="0" fontId="107" fillId="14" borderId="125" xfId="0" applyFont="1" applyFill="1" applyBorder="1" applyAlignment="1">
      <alignment horizontal="left"/>
    </xf>
    <xf numFmtId="0" fontId="108" fillId="14" borderId="10" xfId="0" applyFont="1" applyFill="1" applyBorder="1"/>
    <xf numFmtId="0" fontId="109" fillId="14" borderId="10" xfId="0" applyFont="1" applyFill="1" applyBorder="1"/>
    <xf numFmtId="0" fontId="0" fillId="14" borderId="0" xfId="0" applyFill="1"/>
    <xf numFmtId="167" fontId="108" fillId="14" borderId="120" xfId="5" applyNumberFormat="1" applyFont="1" applyFill="1" applyBorder="1"/>
    <xf numFmtId="167" fontId="108" fillId="14" borderId="125" xfId="5" applyNumberFormat="1" applyFont="1" applyFill="1" applyBorder="1"/>
    <xf numFmtId="167" fontId="108" fillId="14" borderId="32" xfId="5" applyNumberFormat="1" applyFont="1" applyFill="1" applyBorder="1"/>
    <xf numFmtId="0" fontId="8" fillId="18" borderId="13" xfId="0" applyFont="1" applyFill="1" applyBorder="1" applyAlignment="1">
      <alignment horizontal="center" wrapText="1"/>
    </xf>
    <xf numFmtId="0" fontId="42" fillId="23" borderId="27" xfId="0" applyFont="1" applyFill="1" applyBorder="1" applyAlignment="1">
      <alignment horizontal="left"/>
    </xf>
    <xf numFmtId="0" fontId="42" fillId="23" borderId="0" xfId="0" applyFont="1" applyFill="1"/>
    <xf numFmtId="0" fontId="42" fillId="0" borderId="75" xfId="0" applyFont="1" applyBorder="1"/>
    <xf numFmtId="167" fontId="0" fillId="0" borderId="75" xfId="5" applyNumberFormat="1" applyFont="1" applyBorder="1"/>
    <xf numFmtId="167" fontId="0" fillId="0" borderId="4" xfId="5" applyNumberFormat="1" applyFont="1" applyBorder="1"/>
    <xf numFmtId="167" fontId="0" fillId="0" borderId="5" xfId="5" applyNumberFormat="1" applyFont="1" applyBorder="1"/>
    <xf numFmtId="167" fontId="0" fillId="0" borderId="6" xfId="5" applyNumberFormat="1" applyFont="1" applyBorder="1"/>
    <xf numFmtId="0" fontId="42" fillId="0" borderId="27" xfId="0" applyFont="1" applyBorder="1" applyAlignment="1">
      <alignment horizontal="left"/>
    </xf>
    <xf numFmtId="167" fontId="0" fillId="0" borderId="4" xfId="5" applyNumberFormat="1" applyFont="1" applyFill="1" applyBorder="1"/>
    <xf numFmtId="167" fontId="0" fillId="0" borderId="5" xfId="5" applyNumberFormat="1" applyFont="1" applyFill="1" applyBorder="1"/>
    <xf numFmtId="0" fontId="32" fillId="13" borderId="91" xfId="0" applyFont="1" applyFill="1" applyBorder="1" applyAlignment="1">
      <alignment horizontal="left"/>
    </xf>
    <xf numFmtId="0" fontId="32" fillId="13" borderId="105" xfId="0" applyFont="1" applyFill="1" applyBorder="1"/>
    <xf numFmtId="0" fontId="32" fillId="13" borderId="105" xfId="0" applyFont="1" applyFill="1" applyBorder="1" applyAlignment="1">
      <alignment horizontal="center"/>
    </xf>
    <xf numFmtId="0" fontId="0" fillId="13" borderId="35" xfId="0" applyFill="1" applyBorder="1"/>
    <xf numFmtId="0" fontId="32" fillId="13" borderId="121" xfId="0" applyFont="1" applyFill="1" applyBorder="1" applyAlignment="1">
      <alignment horizontal="right"/>
    </xf>
    <xf numFmtId="167" fontId="32" fillId="13" borderId="121" xfId="0" applyNumberFormat="1" applyFont="1" applyFill="1" applyBorder="1"/>
    <xf numFmtId="167" fontId="32" fillId="13" borderId="45" xfId="0" applyNumberFormat="1" applyFont="1" applyFill="1" applyBorder="1"/>
    <xf numFmtId="167" fontId="32" fillId="13" borderId="44" xfId="0" applyNumberFormat="1" applyFont="1" applyFill="1" applyBorder="1"/>
    <xf numFmtId="167" fontId="32" fillId="13" borderId="46" xfId="0" applyNumberFormat="1" applyFont="1" applyFill="1" applyBorder="1"/>
    <xf numFmtId="43" fontId="42" fillId="0" borderId="75" xfId="0" applyNumberFormat="1" applyFont="1" applyBorder="1"/>
    <xf numFmtId="0" fontId="42" fillId="0" borderId="4" xfId="0" applyFont="1" applyBorder="1"/>
    <xf numFmtId="0" fontId="42" fillId="0" borderId="5" xfId="0" applyFont="1" applyBorder="1"/>
    <xf numFmtId="0" fontId="8" fillId="18" borderId="119" xfId="0" applyFont="1" applyFill="1" applyBorder="1" applyAlignment="1">
      <alignment horizontal="center" wrapText="1"/>
    </xf>
    <xf numFmtId="167" fontId="0" fillId="0" borderId="110" xfId="5" applyNumberFormat="1" applyFont="1" applyBorder="1"/>
    <xf numFmtId="0" fontId="42" fillId="24" borderId="0" xfId="0" applyFont="1" applyFill="1"/>
    <xf numFmtId="0" fontId="114" fillId="24" borderId="0" xfId="0" applyFont="1" applyFill="1"/>
    <xf numFmtId="0" fontId="0" fillId="24" borderId="28" xfId="0" applyFill="1" applyBorder="1"/>
    <xf numFmtId="0" fontId="42" fillId="0" borderId="120" xfId="0" applyFont="1" applyBorder="1"/>
    <xf numFmtId="167" fontId="0" fillId="0" borderId="75" xfId="5" applyNumberFormat="1" applyFont="1" applyFill="1" applyBorder="1"/>
    <xf numFmtId="167" fontId="0" fillId="0" borderId="98" xfId="5" applyNumberFormat="1" applyFont="1" applyFill="1" applyBorder="1"/>
    <xf numFmtId="0" fontId="32" fillId="13" borderId="121" xfId="0" applyFont="1" applyFill="1" applyBorder="1"/>
    <xf numFmtId="167" fontId="32" fillId="18" borderId="67" xfId="0" applyNumberFormat="1" applyFont="1" applyFill="1" applyBorder="1"/>
    <xf numFmtId="167" fontId="0" fillId="0" borderId="28" xfId="5" applyNumberFormat="1" applyFont="1" applyBorder="1"/>
    <xf numFmtId="0" fontId="42" fillId="25" borderId="0" xfId="0" applyFont="1" applyFill="1"/>
    <xf numFmtId="167" fontId="0" fillId="0" borderId="125" xfId="5" applyNumberFormat="1" applyFont="1" applyFill="1" applyBorder="1"/>
    <xf numFmtId="167" fontId="0" fillId="0" borderId="32" xfId="5" applyNumberFormat="1" applyFont="1" applyFill="1" applyBorder="1"/>
    <xf numFmtId="0" fontId="32" fillId="13" borderId="122" xfId="0" applyFont="1" applyFill="1" applyBorder="1"/>
    <xf numFmtId="167" fontId="32" fillId="13" borderId="122" xfId="0" applyNumberFormat="1" applyFont="1" applyFill="1" applyBorder="1"/>
    <xf numFmtId="167" fontId="32" fillId="13" borderId="47" xfId="0" applyNumberFormat="1" applyFont="1" applyFill="1" applyBorder="1"/>
    <xf numFmtId="167" fontId="32" fillId="13" borderId="18" xfId="0" applyNumberFormat="1" applyFont="1" applyFill="1" applyBorder="1"/>
    <xf numFmtId="167" fontId="32" fillId="13" borderId="126" xfId="0" applyNumberFormat="1" applyFont="1" applyFill="1" applyBorder="1"/>
    <xf numFmtId="167" fontId="103" fillId="22" borderId="94" xfId="5" applyNumberFormat="1" applyFont="1" applyFill="1" applyBorder="1"/>
    <xf numFmtId="167" fontId="106" fillId="22" borderId="94" xfId="5" applyNumberFormat="1" applyFont="1" applyFill="1" applyBorder="1"/>
    <xf numFmtId="0" fontId="2" fillId="24" borderId="34" xfId="0" applyFont="1" applyFill="1" applyBorder="1" applyAlignment="1">
      <alignment horizontal="center"/>
    </xf>
    <xf numFmtId="0" fontId="2" fillId="24" borderId="44" xfId="0" applyFont="1" applyFill="1" applyBorder="1" applyAlignment="1">
      <alignment horizontal="center"/>
    </xf>
    <xf numFmtId="0" fontId="2" fillId="24" borderId="105" xfId="0" applyFont="1" applyFill="1" applyBorder="1" applyAlignment="1">
      <alignment horizontal="center"/>
    </xf>
    <xf numFmtId="43" fontId="1" fillId="0" borderId="5" xfId="2" applyFont="1" applyFill="1" applyBorder="1" applyAlignment="1">
      <alignment horizontal="left"/>
    </xf>
    <xf numFmtId="167" fontId="1" fillId="0" borderId="0" xfId="2" applyNumberFormat="1" applyFont="1" applyBorder="1" applyAlignment="1">
      <alignment horizontal="center"/>
    </xf>
    <xf numFmtId="167" fontId="0" fillId="0" borderId="5" xfId="2" applyNumberFormat="1" applyFont="1" applyBorder="1"/>
    <xf numFmtId="167" fontId="0" fillId="0" borderId="0" xfId="2" applyNumberFormat="1" applyFont="1" applyBorder="1"/>
    <xf numFmtId="0" fontId="0" fillId="0" borderId="51" xfId="0" quotePrefix="1" applyBorder="1" applyAlignment="1">
      <alignment horizontal="center"/>
    </xf>
    <xf numFmtId="167" fontId="1" fillId="0" borderId="0" xfId="2" applyNumberFormat="1" applyFont="1" applyFill="1" applyBorder="1" applyAlignment="1">
      <alignment horizontal="center"/>
    </xf>
    <xf numFmtId="167" fontId="0" fillId="0" borderId="5" xfId="2" applyNumberFormat="1" applyFont="1" applyFill="1" applyBorder="1"/>
    <xf numFmtId="167" fontId="4" fillId="0" borderId="0" xfId="2" applyNumberFormat="1" applyFont="1" applyFill="1" applyBorder="1"/>
    <xf numFmtId="167" fontId="2" fillId="17" borderId="52" xfId="2" applyNumberFormat="1" applyFont="1" applyFill="1" applyBorder="1" applyAlignment="1">
      <alignment horizontal="center"/>
    </xf>
    <xf numFmtId="43" fontId="1" fillId="0" borderId="0" xfId="2" applyFont="1" applyFill="1" applyBorder="1" applyAlignment="1">
      <alignment horizontal="center"/>
    </xf>
    <xf numFmtId="167" fontId="0" fillId="0" borderId="0" xfId="2" applyNumberFormat="1" applyFont="1" applyBorder="1" applyAlignment="1">
      <alignment horizontal="center"/>
    </xf>
    <xf numFmtId="43" fontId="1" fillId="0" borderId="107" xfId="2" applyFont="1" applyFill="1" applyBorder="1" applyAlignment="1">
      <alignment horizontal="left"/>
    </xf>
    <xf numFmtId="167" fontId="1" fillId="0" borderId="107" xfId="2" applyNumberFormat="1" applyFont="1" applyBorder="1" applyAlignment="1">
      <alignment horizontal="center"/>
    </xf>
    <xf numFmtId="0" fontId="0" fillId="0" borderId="107" xfId="0" applyBorder="1"/>
    <xf numFmtId="0" fontId="0" fillId="0" borderId="114" xfId="0" applyBorder="1"/>
    <xf numFmtId="43" fontId="1" fillId="0" borderId="51" xfId="2" applyFont="1" applyFill="1" applyBorder="1" applyAlignment="1">
      <alignment horizontal="left"/>
    </xf>
    <xf numFmtId="167" fontId="1" fillId="0" borderId="51" xfId="2" applyNumberFormat="1" applyFont="1" applyBorder="1" applyAlignment="1">
      <alignment horizontal="center"/>
    </xf>
    <xf numFmtId="167" fontId="1" fillId="0" borderId="51" xfId="2" applyNumberFormat="1" applyFont="1" applyFill="1" applyBorder="1" applyAlignment="1">
      <alignment horizontal="center"/>
    </xf>
    <xf numFmtId="167" fontId="4" fillId="0" borderId="5" xfId="2" applyNumberFormat="1" applyFont="1" applyFill="1" applyBorder="1"/>
    <xf numFmtId="167" fontId="0" fillId="0" borderId="42" xfId="2" applyNumberFormat="1" applyFont="1" applyFill="1" applyBorder="1"/>
    <xf numFmtId="43" fontId="4" fillId="0" borderId="42" xfId="2" applyFont="1" applyFill="1" applyBorder="1"/>
    <xf numFmtId="167" fontId="0" fillId="0" borderId="51" xfId="0" applyNumberFormat="1" applyBorder="1"/>
    <xf numFmtId="167" fontId="4" fillId="0" borderId="51" xfId="2" applyNumberFormat="1" applyFont="1" applyFill="1" applyBorder="1"/>
    <xf numFmtId="167" fontId="2" fillId="5" borderId="52" xfId="2" applyNumberFormat="1" applyFont="1" applyFill="1" applyBorder="1"/>
    <xf numFmtId="167" fontId="5" fillId="0" borderId="103" xfId="5" applyNumberFormat="1" applyFont="1" applyFill="1" applyBorder="1"/>
    <xf numFmtId="10" fontId="5" fillId="0" borderId="103" xfId="15" applyNumberFormat="1" applyFont="1" applyFill="1" applyBorder="1"/>
    <xf numFmtId="10" fontId="5" fillId="0" borderId="10" xfId="15" applyNumberFormat="1" applyFont="1" applyFill="1" applyBorder="1"/>
    <xf numFmtId="9" fontId="8" fillId="0" borderId="52" xfId="15" applyFont="1" applyFill="1" applyBorder="1"/>
    <xf numFmtId="169" fontId="8" fillId="0" borderId="106" xfId="6" applyNumberFormat="1" applyFont="1" applyFill="1" applyBorder="1"/>
    <xf numFmtId="169" fontId="5" fillId="0" borderId="61" xfId="6" applyNumberFormat="1" applyFont="1" applyFill="1" applyBorder="1"/>
    <xf numFmtId="169" fontId="8" fillId="0" borderId="106" xfId="6" applyNumberFormat="1" applyFont="1" applyFill="1" applyBorder="1" applyAlignment="1">
      <alignment horizontal="center"/>
    </xf>
    <xf numFmtId="169" fontId="5" fillId="0" borderId="60" xfId="6" applyNumberFormat="1" applyFont="1" applyFill="1" applyBorder="1"/>
    <xf numFmtId="169" fontId="8" fillId="0" borderId="105" xfId="6" applyNumberFormat="1" applyFont="1" applyFill="1" applyBorder="1"/>
    <xf numFmtId="0" fontId="115" fillId="26" borderId="107" xfId="0" applyFont="1" applyFill="1" applyBorder="1" applyAlignment="1">
      <alignment vertical="center"/>
    </xf>
    <xf numFmtId="0" fontId="115" fillId="26" borderId="103" xfId="0" applyFont="1" applyFill="1" applyBorder="1" applyAlignment="1">
      <alignment vertical="center"/>
    </xf>
    <xf numFmtId="0" fontId="115" fillId="26" borderId="108" xfId="0" applyFont="1" applyFill="1" applyBorder="1" applyAlignment="1">
      <alignment vertical="center"/>
    </xf>
    <xf numFmtId="0" fontId="115" fillId="26" borderId="51" xfId="0" applyFont="1" applyFill="1" applyBorder="1" applyAlignment="1">
      <alignment vertical="center"/>
    </xf>
    <xf numFmtId="0" fontId="115" fillId="26" borderId="0" xfId="0" applyFont="1" applyFill="1" applyAlignment="1">
      <alignment vertical="center"/>
    </xf>
    <xf numFmtId="0" fontId="115" fillId="26" borderId="42" xfId="0" applyFont="1" applyFill="1" applyBorder="1" applyAlignment="1">
      <alignment vertical="center"/>
    </xf>
    <xf numFmtId="0" fontId="115" fillId="26" borderId="48" xfId="0" applyFont="1" applyFill="1" applyBorder="1" applyAlignment="1">
      <alignment vertical="center"/>
    </xf>
    <xf numFmtId="0" fontId="115" fillId="26" borderId="10" xfId="0" applyFont="1" applyFill="1" applyBorder="1" applyAlignment="1">
      <alignment vertical="center"/>
    </xf>
    <xf numFmtId="0" fontId="115" fillId="26" borderId="55" xfId="0" applyFont="1" applyFill="1" applyBorder="1" applyAlignment="1">
      <alignment vertical="center"/>
    </xf>
    <xf numFmtId="0" fontId="2" fillId="5" borderId="52" xfId="0" applyFont="1" applyFill="1" applyBorder="1"/>
    <xf numFmtId="169" fontId="27" fillId="0" borderId="0" xfId="6" applyNumberFormat="1" applyFont="1" applyFill="1"/>
    <xf numFmtId="169" fontId="27" fillId="0" borderId="0" xfId="6" applyNumberFormat="1" applyFont="1" applyFill="1" applyAlignment="1"/>
    <xf numFmtId="169" fontId="116" fillId="0" borderId="0" xfId="6" applyNumberFormat="1" applyFont="1" applyFill="1" applyAlignment="1"/>
    <xf numFmtId="43" fontId="116" fillId="0" borderId="0" xfId="5" applyFont="1" applyFill="1" applyAlignment="1"/>
    <xf numFmtId="169" fontId="117" fillId="0" borderId="0" xfId="6" applyNumberFormat="1" applyFont="1" applyFill="1" applyAlignment="1"/>
    <xf numFmtId="167" fontId="42" fillId="0" borderId="0" xfId="5" applyNumberFormat="1" applyFont="1"/>
    <xf numFmtId="167" fontId="42" fillId="0" borderId="0" xfId="5" quotePrefix="1" applyNumberFormat="1" applyFont="1"/>
    <xf numFmtId="0" fontId="42" fillId="0" borderId="0" xfId="5" applyNumberFormat="1" applyFont="1" applyAlignment="1">
      <alignment horizontal="center"/>
    </xf>
    <xf numFmtId="185" fontId="42" fillId="0" borderId="0" xfId="15" applyNumberFormat="1" applyFont="1"/>
    <xf numFmtId="167" fontId="42" fillId="0" borderId="0" xfId="5" applyNumberFormat="1" applyFont="1" applyFill="1"/>
    <xf numFmtId="167" fontId="118" fillId="0" borderId="0" xfId="5" applyNumberFormat="1" applyFont="1" applyFill="1"/>
    <xf numFmtId="167" fontId="42" fillId="0" borderId="0" xfId="5" quotePrefix="1" applyNumberFormat="1" applyFont="1" applyFill="1"/>
    <xf numFmtId="167" fontId="32" fillId="0" borderId="0" xfId="5" applyNumberFormat="1" applyFont="1" applyAlignment="1">
      <alignment horizontal="center" vertical="top"/>
    </xf>
    <xf numFmtId="185" fontId="32" fillId="0" borderId="0" xfId="15" applyNumberFormat="1" applyFont="1" applyAlignment="1">
      <alignment horizontal="right"/>
    </xf>
    <xf numFmtId="167" fontId="32" fillId="0" borderId="0" xfId="5" applyNumberFormat="1" applyFont="1" applyFill="1" applyAlignment="1">
      <alignment horizontal="center" vertical="top"/>
    </xf>
    <xf numFmtId="167" fontId="119" fillId="0" borderId="0" xfId="5" applyNumberFormat="1" applyFont="1" applyFill="1" applyAlignment="1">
      <alignment horizontal="center" vertical="top"/>
    </xf>
    <xf numFmtId="167" fontId="32" fillId="0" borderId="0" xfId="5" applyNumberFormat="1" applyFont="1"/>
    <xf numFmtId="167" fontId="32" fillId="0" borderId="0" xfId="5" applyNumberFormat="1" applyFont="1" applyAlignment="1">
      <alignment horizontal="right"/>
    </xf>
    <xf numFmtId="167" fontId="32" fillId="0" borderId="0" xfId="5" applyNumberFormat="1" applyFont="1" applyAlignment="1">
      <alignment horizontal="center"/>
    </xf>
    <xf numFmtId="167" fontId="32" fillId="0" borderId="0" xfId="5" applyNumberFormat="1" applyFont="1" applyFill="1" applyAlignment="1">
      <alignment horizontal="right"/>
    </xf>
    <xf numFmtId="185" fontId="120" fillId="0" borderId="0" xfId="15" applyNumberFormat="1" applyFont="1" applyAlignment="1">
      <alignment horizontal="right"/>
    </xf>
    <xf numFmtId="167" fontId="32" fillId="0" borderId="0" xfId="5" applyNumberFormat="1" applyFont="1" applyFill="1" applyAlignment="1">
      <alignment horizontal="center"/>
    </xf>
    <xf numFmtId="167" fontId="119" fillId="0" borderId="0" xfId="5" applyNumberFormat="1" applyFont="1" applyFill="1" applyAlignment="1">
      <alignment horizontal="center"/>
    </xf>
    <xf numFmtId="167" fontId="121" fillId="0" borderId="0" xfId="5" applyNumberFormat="1" applyFont="1" applyFill="1" applyAlignment="1">
      <alignment horizontal="center"/>
    </xf>
    <xf numFmtId="167" fontId="42" fillId="0" borderId="0" xfId="5" applyNumberFormat="1" applyFont="1" applyAlignment="1">
      <alignment horizontal="center"/>
    </xf>
    <xf numFmtId="167" fontId="32" fillId="0" borderId="0" xfId="5" applyNumberFormat="1" applyFont="1" applyAlignment="1">
      <alignment horizontal="left"/>
    </xf>
    <xf numFmtId="0" fontId="42" fillId="0" borderId="0" xfId="5" applyNumberFormat="1" applyFont="1" applyAlignment="1">
      <alignment horizontal="left"/>
    </xf>
    <xf numFmtId="0" fontId="32" fillId="0" borderId="0" xfId="5" applyNumberFormat="1" applyFont="1" applyAlignment="1">
      <alignment horizontal="center"/>
    </xf>
    <xf numFmtId="185" fontId="32" fillId="0" borderId="0" xfId="15" applyNumberFormat="1" applyFont="1" applyAlignment="1">
      <alignment horizontal="center"/>
    </xf>
    <xf numFmtId="167" fontId="42" fillId="0" borderId="0" xfId="5" applyNumberFormat="1" applyFont="1" applyFill="1" applyAlignment="1">
      <alignment horizontal="center"/>
    </xf>
    <xf numFmtId="167" fontId="32" fillId="0" borderId="0" xfId="5" applyNumberFormat="1" applyFont="1" applyFill="1" applyBorder="1" applyAlignment="1"/>
    <xf numFmtId="167" fontId="32" fillId="0" borderId="0" xfId="5" applyNumberFormat="1" applyFont="1" applyBorder="1" applyAlignment="1">
      <alignment horizontal="center"/>
    </xf>
    <xf numFmtId="167" fontId="32" fillId="0" borderId="10" xfId="5" applyNumberFormat="1" applyFont="1" applyBorder="1" applyAlignment="1">
      <alignment horizontal="left"/>
    </xf>
    <xf numFmtId="167" fontId="32" fillId="0" borderId="10" xfId="5" applyNumberFormat="1" applyFont="1" applyBorder="1" applyAlignment="1">
      <alignment horizontal="center" wrapText="1"/>
    </xf>
    <xf numFmtId="0" fontId="32" fillId="0" borderId="10" xfId="5" applyNumberFormat="1" applyFont="1" applyBorder="1" applyAlignment="1">
      <alignment horizontal="center" wrapText="1"/>
    </xf>
    <xf numFmtId="167" fontId="42" fillId="0" borderId="10" xfId="5" applyNumberFormat="1" applyFont="1" applyBorder="1"/>
    <xf numFmtId="185" fontId="32" fillId="0" borderId="10" xfId="5" applyNumberFormat="1" applyFont="1" applyBorder="1" applyAlignment="1">
      <alignment horizontal="center" wrapText="1"/>
    </xf>
    <xf numFmtId="167" fontId="32" fillId="0" borderId="10" xfId="5" applyNumberFormat="1" applyFont="1" applyFill="1" applyBorder="1" applyAlignment="1">
      <alignment horizontal="center" wrapText="1"/>
    </xf>
    <xf numFmtId="167" fontId="32" fillId="0" borderId="10" xfId="5" applyNumberFormat="1" applyFont="1" applyFill="1" applyBorder="1" applyAlignment="1">
      <alignment horizontal="center"/>
    </xf>
    <xf numFmtId="167" fontId="119" fillId="0" borderId="10" xfId="5" applyNumberFormat="1" applyFont="1" applyFill="1" applyBorder="1" applyAlignment="1">
      <alignment horizontal="center"/>
    </xf>
    <xf numFmtId="167" fontId="32" fillId="0" borderId="10" xfId="5" applyNumberFormat="1" applyFont="1" applyBorder="1" applyAlignment="1">
      <alignment horizontal="center"/>
    </xf>
    <xf numFmtId="167" fontId="122" fillId="0" borderId="0" xfId="5" applyNumberFormat="1" applyFont="1"/>
    <xf numFmtId="0" fontId="32" fillId="0" borderId="0" xfId="5" applyNumberFormat="1" applyFont="1" applyBorder="1" applyAlignment="1">
      <alignment horizontal="center"/>
    </xf>
    <xf numFmtId="167" fontId="42" fillId="0" borderId="0" xfId="5" applyNumberFormat="1" applyFont="1" applyBorder="1"/>
    <xf numFmtId="185" fontId="32" fillId="0" borderId="0" xfId="5" applyNumberFormat="1" applyFont="1" applyBorder="1" applyAlignment="1">
      <alignment horizontal="center"/>
    </xf>
    <xf numFmtId="167" fontId="32" fillId="0" borderId="0" xfId="5" applyNumberFormat="1" applyFont="1" applyFill="1" applyBorder="1" applyAlignment="1">
      <alignment horizontal="center"/>
    </xf>
    <xf numFmtId="167" fontId="119" fillId="0" borderId="0" xfId="5" applyNumberFormat="1" applyFont="1" applyFill="1" applyBorder="1" applyAlignment="1">
      <alignment horizontal="center"/>
    </xf>
    <xf numFmtId="167" fontId="122" fillId="0" borderId="0" xfId="5" applyNumberFormat="1" applyFont="1" applyFill="1"/>
    <xf numFmtId="167" fontId="42" fillId="0" borderId="0" xfId="5" quotePrefix="1" applyNumberFormat="1" applyFont="1" applyAlignment="1">
      <alignment horizontal="center"/>
    </xf>
    <xf numFmtId="167" fontId="42" fillId="0" borderId="0" xfId="5" applyNumberFormat="1" applyFont="1" applyFill="1" applyBorder="1"/>
    <xf numFmtId="167" fontId="123" fillId="0" borderId="0" xfId="5" applyNumberFormat="1" applyFont="1"/>
    <xf numFmtId="167" fontId="42" fillId="0" borderId="10" xfId="5" applyNumberFormat="1" applyFont="1" applyFill="1" applyBorder="1"/>
    <xf numFmtId="167" fontId="118" fillId="0" borderId="0" xfId="5" applyNumberFormat="1" applyFont="1" applyFill="1" applyBorder="1"/>
    <xf numFmtId="167" fontId="123" fillId="0" borderId="0" xfId="5" applyNumberFormat="1" applyFont="1" applyFill="1"/>
    <xf numFmtId="167" fontId="123" fillId="0" borderId="0" xfId="5" applyNumberFormat="1" applyFont="1" applyFill="1" applyBorder="1"/>
    <xf numFmtId="37" fontId="123" fillId="0" borderId="0" xfId="5" applyNumberFormat="1" applyFont="1" applyFill="1" applyBorder="1"/>
    <xf numFmtId="37" fontId="42" fillId="0" borderId="0" xfId="5" applyNumberFormat="1" applyFont="1"/>
    <xf numFmtId="37" fontId="123" fillId="0" borderId="0" xfId="5" applyNumberFormat="1" applyFont="1"/>
    <xf numFmtId="167" fontId="42" fillId="0" borderId="0" xfId="5" quotePrefix="1" applyNumberFormat="1" applyFont="1" applyFill="1" applyAlignment="1">
      <alignment horizontal="center"/>
    </xf>
    <xf numFmtId="185" fontId="42" fillId="0" borderId="0" xfId="15" applyNumberFormat="1" applyFont="1" applyFill="1"/>
    <xf numFmtId="167" fontId="42" fillId="0" borderId="103" xfId="5" applyNumberFormat="1" applyFont="1" applyFill="1" applyBorder="1"/>
    <xf numFmtId="167" fontId="42" fillId="0" borderId="103" xfId="5" applyNumberFormat="1" applyFont="1" applyBorder="1"/>
    <xf numFmtId="167" fontId="118" fillId="0" borderId="103" xfId="5" applyNumberFormat="1" applyFont="1" applyFill="1" applyBorder="1"/>
    <xf numFmtId="167" fontId="118" fillId="0" borderId="10" xfId="5" applyNumberFormat="1" applyFont="1" applyFill="1" applyBorder="1"/>
    <xf numFmtId="185" fontId="42" fillId="0" borderId="0" xfId="15" applyNumberFormat="1" applyFont="1" applyBorder="1"/>
    <xf numFmtId="167" fontId="42" fillId="0" borderId="63" xfId="5" applyNumberFormat="1" applyFont="1" applyFill="1" applyBorder="1"/>
    <xf numFmtId="167" fontId="42" fillId="0" borderId="102" xfId="5" applyNumberFormat="1" applyFont="1" applyFill="1" applyBorder="1"/>
    <xf numFmtId="164" fontId="42" fillId="0" borderId="0" xfId="15" applyNumberFormat="1" applyFont="1" applyFill="1"/>
    <xf numFmtId="167" fontId="118" fillId="0" borderId="102" xfId="5" applyNumberFormat="1" applyFont="1" applyFill="1" applyBorder="1"/>
    <xf numFmtId="188" fontId="42" fillId="0" borderId="0" xfId="5" applyNumberFormat="1" applyFont="1"/>
    <xf numFmtId="200" fontId="42" fillId="0" borderId="0" xfId="5" applyNumberFormat="1" applyFont="1"/>
    <xf numFmtId="185" fontId="42" fillId="0" borderId="0" xfId="5" applyNumberFormat="1" applyFont="1"/>
    <xf numFmtId="187" fontId="42" fillId="0" borderId="0" xfId="5" applyNumberFormat="1" applyFont="1" applyFill="1"/>
    <xf numFmtId="43" fontId="42" fillId="0" borderId="0" xfId="5" applyFont="1"/>
    <xf numFmtId="43" fontId="42" fillId="0" borderId="0" xfId="5" applyFont="1" applyFill="1"/>
    <xf numFmtId="43" fontId="118" fillId="0" borderId="0" xfId="5" applyFont="1" applyFill="1"/>
    <xf numFmtId="201" fontId="42" fillId="0" borderId="0" xfId="5" applyNumberFormat="1" applyFont="1" applyFill="1"/>
    <xf numFmtId="187" fontId="42" fillId="0" borderId="0" xfId="5" applyNumberFormat="1" applyFont="1"/>
    <xf numFmtId="0" fontId="42" fillId="0" borderId="0" xfId="5" applyNumberFormat="1" applyFont="1" applyFill="1" applyAlignment="1">
      <alignment horizontal="center"/>
    </xf>
    <xf numFmtId="43" fontId="124" fillId="0" borderId="0" xfId="5" applyFont="1" applyFill="1" applyAlignment="1">
      <alignment horizontal="left" indent="2"/>
    </xf>
    <xf numFmtId="185" fontId="42" fillId="0" borderId="0" xfId="5" applyNumberFormat="1" applyFont="1" applyFill="1"/>
    <xf numFmtId="167" fontId="32" fillId="0" borderId="0" xfId="5" applyNumberFormat="1" applyFont="1" applyBorder="1" applyAlignment="1">
      <alignment horizontal="center" wrapText="1"/>
    </xf>
    <xf numFmtId="0" fontId="32" fillId="0" borderId="0" xfId="5" applyNumberFormat="1" applyFont="1" applyBorder="1" applyAlignment="1">
      <alignment horizontal="center" wrapText="1"/>
    </xf>
    <xf numFmtId="185" fontId="32" fillId="0" borderId="0" xfId="5" applyNumberFormat="1" applyFont="1" applyBorder="1" applyAlignment="1">
      <alignment horizontal="center" wrapText="1"/>
    </xf>
    <xf numFmtId="167" fontId="32" fillId="0" borderId="0" xfId="5" applyNumberFormat="1" applyFont="1" applyFill="1" applyBorder="1" applyAlignment="1">
      <alignment horizontal="center" wrapText="1"/>
    </xf>
    <xf numFmtId="10" fontId="42" fillId="0" borderId="0" xfId="15" applyNumberFormat="1" applyFont="1" applyFill="1" applyAlignment="1">
      <alignment horizontal="right"/>
    </xf>
    <xf numFmtId="10" fontId="118" fillId="0" borderId="0" xfId="15" applyNumberFormat="1" applyFont="1" applyFill="1" applyAlignment="1">
      <alignment horizontal="right"/>
    </xf>
    <xf numFmtId="10" fontId="42" fillId="0" borderId="0" xfId="15" applyNumberFormat="1" applyFont="1" applyFill="1" applyBorder="1" applyAlignment="1">
      <alignment horizontal="right"/>
    </xf>
    <xf numFmtId="10" fontId="42" fillId="0" borderId="0" xfId="15" applyNumberFormat="1" applyFont="1" applyFill="1"/>
    <xf numFmtId="10" fontId="42" fillId="0" borderId="0" xfId="15" applyNumberFormat="1" applyFont="1" applyFill="1" applyBorder="1"/>
    <xf numFmtId="167" fontId="125" fillId="0" borderId="0" xfId="5" applyNumberFormat="1" applyFont="1" applyFill="1"/>
    <xf numFmtId="167" fontId="124" fillId="0" borderId="0" xfId="5" applyNumberFormat="1" applyFont="1" applyFill="1" applyAlignment="1">
      <alignment horizontal="center"/>
    </xf>
    <xf numFmtId="167" fontId="124" fillId="0" borderId="0" xfId="5" applyNumberFormat="1" applyFont="1" applyFill="1"/>
    <xf numFmtId="190" fontId="124" fillId="0" borderId="0" xfId="5" applyNumberFormat="1" applyFont="1" applyFill="1"/>
    <xf numFmtId="185" fontId="42" fillId="0" borderId="0" xfId="15" applyNumberFormat="1" applyFont="1" applyAlignment="1">
      <alignment horizontal="right"/>
    </xf>
    <xf numFmtId="37" fontId="42" fillId="0" borderId="0" xfId="5" applyNumberFormat="1" applyFont="1" applyFill="1"/>
    <xf numFmtId="188" fontId="42" fillId="0" borderId="0" xfId="5" applyNumberFormat="1" applyFont="1" applyFill="1"/>
    <xf numFmtId="37" fontId="58" fillId="0" borderId="0" xfId="5" applyNumberFormat="1" applyFont="1" applyFill="1"/>
    <xf numFmtId="202" fontId="58" fillId="0" borderId="0" xfId="5" applyNumberFormat="1" applyFont="1" applyFill="1"/>
    <xf numFmtId="167" fontId="124" fillId="0" borderId="0" xfId="5" applyNumberFormat="1" applyFont="1"/>
    <xf numFmtId="185" fontId="32" fillId="0" borderId="0" xfId="15" applyNumberFormat="1" applyFont="1"/>
    <xf numFmtId="167" fontId="32" fillId="0" borderId="0" xfId="5" applyNumberFormat="1" applyFont="1" applyFill="1"/>
    <xf numFmtId="167" fontId="119" fillId="0" borderId="0" xfId="5" applyNumberFormat="1" applyFont="1" applyFill="1"/>
    <xf numFmtId="167" fontId="32" fillId="0" borderId="10" xfId="5" applyNumberFormat="1" applyFont="1" applyBorder="1"/>
    <xf numFmtId="175" fontId="42" fillId="0" borderId="0" xfId="15" applyNumberFormat="1" applyFont="1" applyFill="1"/>
    <xf numFmtId="167" fontId="42" fillId="0" borderId="0" xfId="5" applyNumberFormat="1" applyFont="1" applyFill="1" applyAlignment="1">
      <alignment horizontal="right"/>
    </xf>
    <xf numFmtId="167" fontId="42" fillId="0" borderId="105" xfId="5" applyNumberFormat="1" applyFont="1" applyFill="1" applyBorder="1"/>
    <xf numFmtId="167" fontId="118" fillId="0" borderId="105" xfId="5" applyNumberFormat="1" applyFont="1" applyFill="1" applyBorder="1"/>
    <xf numFmtId="167" fontId="42" fillId="0" borderId="63" xfId="5" applyNumberFormat="1" applyFont="1" applyBorder="1"/>
    <xf numFmtId="167" fontId="118" fillId="0" borderId="63" xfId="5" applyNumberFormat="1" applyFont="1" applyFill="1" applyBorder="1"/>
    <xf numFmtId="167" fontId="32" fillId="0" borderId="10" xfId="5" applyNumberFormat="1" applyFont="1" applyBorder="1" applyAlignment="1">
      <alignment wrapText="1"/>
    </xf>
    <xf numFmtId="185" fontId="32" fillId="0" borderId="10" xfId="15" applyNumberFormat="1" applyFont="1" applyBorder="1" applyAlignment="1">
      <alignment horizontal="center" wrapText="1"/>
    </xf>
    <xf numFmtId="167" fontId="42" fillId="0" borderId="105" xfId="5" applyNumberFormat="1" applyFont="1" applyBorder="1"/>
    <xf numFmtId="167" fontId="42" fillId="0" borderId="10" xfId="5" applyNumberFormat="1" applyFont="1" applyBorder="1" applyAlignment="1">
      <alignment horizontal="right"/>
    </xf>
    <xf numFmtId="167" fontId="42" fillId="0" borderId="0" xfId="5" applyNumberFormat="1" applyFont="1" applyFill="1" applyBorder="1" applyAlignment="1">
      <alignment horizontal="right"/>
    </xf>
    <xf numFmtId="167" fontId="126" fillId="0" borderId="103" xfId="5" applyNumberFormat="1" applyFont="1" applyFill="1" applyBorder="1"/>
    <xf numFmtId="185" fontId="32" fillId="0" borderId="0" xfId="15" applyNumberFormat="1" applyFont="1" applyFill="1" applyAlignment="1">
      <alignment horizontal="right"/>
    </xf>
    <xf numFmtId="167" fontId="32" fillId="0" borderId="0" xfId="5" quotePrefix="1" applyNumberFormat="1" applyFont="1"/>
    <xf numFmtId="167" fontId="32" fillId="0" borderId="0" xfId="5" quotePrefix="1" applyNumberFormat="1" applyFont="1" applyFill="1"/>
    <xf numFmtId="0" fontId="42" fillId="0" borderId="0" xfId="5" applyNumberFormat="1" applyFont="1" applyBorder="1" applyAlignment="1">
      <alignment horizontal="center"/>
    </xf>
    <xf numFmtId="167" fontId="32" fillId="0" borderId="0" xfId="5" applyNumberFormat="1" applyFont="1" applyBorder="1"/>
    <xf numFmtId="167" fontId="42" fillId="0" borderId="0" xfId="5" quotePrefix="1" applyNumberFormat="1" applyFont="1" applyBorder="1"/>
    <xf numFmtId="167" fontId="122" fillId="0" borderId="0" xfId="5" applyNumberFormat="1" applyFont="1" applyBorder="1"/>
    <xf numFmtId="167" fontId="42" fillId="0" borderId="0" xfId="5" quotePrefix="1" applyNumberFormat="1" applyFont="1" applyFill="1" applyBorder="1"/>
    <xf numFmtId="0" fontId="42" fillId="0" borderId="0" xfId="5" applyNumberFormat="1" applyFont="1" applyFill="1" applyBorder="1" applyAlignment="1">
      <alignment horizontal="center"/>
    </xf>
    <xf numFmtId="185" fontId="42" fillId="0" borderId="0" xfId="15" applyNumberFormat="1" applyFont="1" applyFill="1" applyBorder="1"/>
    <xf numFmtId="167" fontId="32" fillId="0" borderId="0" xfId="5" applyNumberFormat="1" applyFont="1" applyBorder="1" applyAlignment="1">
      <alignment wrapText="1"/>
    </xf>
    <xf numFmtId="185" fontId="32" fillId="0" borderId="0" xfId="15" applyNumberFormat="1" applyFont="1" applyBorder="1" applyAlignment="1">
      <alignment horizontal="center" wrapText="1"/>
    </xf>
    <xf numFmtId="167" fontId="127" fillId="0" borderId="0" xfId="5" applyNumberFormat="1" applyFont="1"/>
    <xf numFmtId="167" fontId="122" fillId="0" borderId="0" xfId="5" applyNumberFormat="1" applyFont="1" applyBorder="1" applyAlignment="1">
      <alignment horizontal="left"/>
    </xf>
    <xf numFmtId="37" fontId="42" fillId="0" borderId="0" xfId="5" applyNumberFormat="1" applyFont="1" applyFill="1" applyBorder="1"/>
    <xf numFmtId="43" fontId="42" fillId="0" borderId="0" xfId="5" applyFont="1" applyBorder="1"/>
    <xf numFmtId="167" fontId="32" fillId="0" borderId="0" xfId="5" applyNumberFormat="1" applyFont="1" applyFill="1" applyBorder="1"/>
    <xf numFmtId="185" fontId="32" fillId="0" borderId="0" xfId="15" applyNumberFormat="1" applyFont="1" applyFill="1" applyBorder="1" applyAlignment="1">
      <alignment horizontal="center" wrapText="1"/>
    </xf>
    <xf numFmtId="167" fontId="128" fillId="0" borderId="0" xfId="5" applyNumberFormat="1" applyFont="1" applyFill="1" applyBorder="1"/>
    <xf numFmtId="167" fontId="122" fillId="0" borderId="0" xfId="5" applyNumberFormat="1" applyFont="1" applyFill="1" applyBorder="1"/>
    <xf numFmtId="167" fontId="120" fillId="0" borderId="0" xfId="5" quotePrefix="1" applyNumberFormat="1" applyFont="1" applyBorder="1"/>
    <xf numFmtId="167" fontId="32" fillId="7" borderId="21" xfId="5" applyNumberFormat="1" applyFont="1" applyFill="1" applyBorder="1"/>
    <xf numFmtId="167" fontId="42" fillId="7" borderId="22" xfId="5" applyNumberFormat="1" applyFont="1" applyFill="1" applyBorder="1"/>
    <xf numFmtId="185" fontId="42" fillId="7" borderId="23" xfId="15" applyNumberFormat="1" applyFont="1" applyFill="1" applyBorder="1"/>
    <xf numFmtId="167" fontId="32" fillId="0" borderId="21" xfId="5" applyNumberFormat="1" applyFont="1" applyFill="1" applyBorder="1" applyAlignment="1">
      <alignment horizontal="center" wrapText="1"/>
    </xf>
    <xf numFmtId="167" fontId="32" fillId="0" borderId="22" xfId="5" applyNumberFormat="1" applyFont="1" applyFill="1" applyBorder="1" applyAlignment="1">
      <alignment horizontal="center"/>
    </xf>
    <xf numFmtId="167" fontId="119" fillId="0" borderId="22" xfId="5" applyNumberFormat="1" applyFont="1" applyFill="1" applyBorder="1" applyAlignment="1">
      <alignment horizontal="center"/>
    </xf>
    <xf numFmtId="167" fontId="32" fillId="0" borderId="22" xfId="5" applyNumberFormat="1" applyFont="1" applyFill="1" applyBorder="1" applyAlignment="1">
      <alignment horizontal="center" wrapText="1"/>
    </xf>
    <xf numFmtId="167" fontId="32" fillId="0" borderId="23" xfId="5" applyNumberFormat="1" applyFont="1" applyFill="1" applyBorder="1" applyAlignment="1">
      <alignment horizontal="center" wrapText="1"/>
    </xf>
    <xf numFmtId="0" fontId="32" fillId="7" borderId="27" xfId="5" applyNumberFormat="1" applyFont="1" applyFill="1" applyBorder="1" applyAlignment="1">
      <alignment horizontal="left"/>
    </xf>
    <xf numFmtId="167" fontId="42" fillId="7" borderId="0" xfId="5" applyNumberFormat="1" applyFont="1" applyFill="1" applyBorder="1"/>
    <xf numFmtId="185" fontId="42" fillId="7" borderId="28" xfId="15" applyNumberFormat="1" applyFont="1" applyFill="1" applyBorder="1"/>
    <xf numFmtId="167" fontId="32" fillId="0" borderId="27" xfId="5" applyNumberFormat="1" applyFont="1" applyFill="1" applyBorder="1" applyAlignment="1">
      <alignment horizontal="center" wrapText="1"/>
    </xf>
    <xf numFmtId="167" fontId="32" fillId="0" borderId="28" xfId="5" applyNumberFormat="1" applyFont="1" applyFill="1" applyBorder="1" applyAlignment="1">
      <alignment horizontal="center" wrapText="1"/>
    </xf>
    <xf numFmtId="0" fontId="42" fillId="7" borderId="27" xfId="5" applyNumberFormat="1" applyFont="1" applyFill="1" applyBorder="1" applyAlignment="1">
      <alignment horizontal="center"/>
    </xf>
    <xf numFmtId="167" fontId="42" fillId="0" borderId="27" xfId="5" applyNumberFormat="1" applyFont="1" applyFill="1" applyBorder="1"/>
    <xf numFmtId="167" fontId="42" fillId="0" borderId="28" xfId="5" applyNumberFormat="1" applyFont="1" applyFill="1" applyBorder="1"/>
    <xf numFmtId="167" fontId="42" fillId="7" borderId="10" xfId="5" applyNumberFormat="1" applyFont="1" applyFill="1" applyBorder="1"/>
    <xf numFmtId="167" fontId="42" fillId="0" borderId="24" xfId="5" applyNumberFormat="1" applyFont="1" applyFill="1" applyBorder="1"/>
    <xf numFmtId="167" fontId="42" fillId="0" borderId="25" xfId="5" applyNumberFormat="1" applyFont="1" applyFill="1" applyBorder="1"/>
    <xf numFmtId="0" fontId="42" fillId="7" borderId="95" xfId="5" applyNumberFormat="1" applyFont="1" applyFill="1" applyBorder="1" applyAlignment="1">
      <alignment horizontal="center"/>
    </xf>
    <xf numFmtId="167" fontId="42" fillId="7" borderId="94" xfId="5" applyNumberFormat="1" applyFont="1" applyFill="1" applyBorder="1"/>
    <xf numFmtId="185" fontId="42" fillId="7" borderId="96" xfId="15" applyNumberFormat="1" applyFont="1" applyFill="1" applyBorder="1"/>
    <xf numFmtId="167" fontId="42" fillId="0" borderId="95" xfId="5" applyNumberFormat="1" applyFont="1" applyFill="1" applyBorder="1"/>
    <xf numFmtId="167" fontId="42" fillId="0" borderId="94" xfId="5" applyNumberFormat="1" applyFont="1" applyFill="1" applyBorder="1"/>
    <xf numFmtId="167" fontId="118" fillId="0" borderId="94" xfId="5" applyNumberFormat="1" applyFont="1" applyFill="1" applyBorder="1"/>
    <xf numFmtId="167" fontId="42" fillId="0" borderId="96" xfId="5" applyNumberFormat="1" applyFont="1" applyFill="1" applyBorder="1"/>
    <xf numFmtId="167" fontId="129" fillId="0" borderId="0" xfId="5" applyNumberFormat="1" applyFont="1"/>
    <xf numFmtId="167" fontId="130" fillId="0" borderId="0" xfId="5" applyNumberFormat="1" applyFont="1"/>
    <xf numFmtId="174" fontId="42" fillId="0" borderId="0" xfId="5" applyNumberFormat="1" applyFont="1" applyBorder="1"/>
    <xf numFmtId="174" fontId="42" fillId="0" borderId="0" xfId="5" applyNumberFormat="1" applyFont="1"/>
    <xf numFmtId="167" fontId="42" fillId="0" borderId="52" xfId="5" applyNumberFormat="1" applyFont="1" applyBorder="1"/>
    <xf numFmtId="167" fontId="42" fillId="0" borderId="52" xfId="5" applyNumberFormat="1" applyFont="1" applyFill="1" applyBorder="1"/>
    <xf numFmtId="167" fontId="118" fillId="0" borderId="52" xfId="5" applyNumberFormat="1" applyFont="1" applyFill="1" applyBorder="1"/>
    <xf numFmtId="167" fontId="42" fillId="27" borderId="0" xfId="5" applyNumberFormat="1" applyFont="1" applyFill="1"/>
    <xf numFmtId="0" fontId="42" fillId="27" borderId="0" xfId="5" applyNumberFormat="1" applyFont="1" applyFill="1" applyAlignment="1">
      <alignment horizontal="center"/>
    </xf>
    <xf numFmtId="167" fontId="42" fillId="27" borderId="0" xfId="5" applyNumberFormat="1" applyFont="1" applyFill="1" applyBorder="1"/>
    <xf numFmtId="167" fontId="131" fillId="0" borderId="0" xfId="5" quotePrefix="1" applyNumberFormat="1" applyFont="1" applyFill="1" applyBorder="1"/>
    <xf numFmtId="167" fontId="132" fillId="0" borderId="0" xfId="5" applyNumberFormat="1" applyFont="1"/>
    <xf numFmtId="167" fontId="133" fillId="0" borderId="0" xfId="5" quotePrefix="1" applyNumberFormat="1" applyFont="1" applyFill="1" applyBorder="1"/>
    <xf numFmtId="0" fontId="32" fillId="0" borderId="0" xfId="5" quotePrefix="1" applyNumberFormat="1" applyFont="1" applyFill="1" applyBorder="1" applyAlignment="1">
      <alignment horizontal="left"/>
    </xf>
    <xf numFmtId="186" fontId="42" fillId="0" borderId="0" xfId="5" applyNumberFormat="1" applyFont="1" applyFill="1"/>
    <xf numFmtId="167" fontId="121" fillId="0" borderId="10" xfId="5" applyNumberFormat="1" applyFont="1" applyFill="1" applyBorder="1" applyAlignment="1">
      <alignment horizontal="center" wrapText="1"/>
    </xf>
    <xf numFmtId="0" fontId="134" fillId="0" borderId="0" xfId="0" applyFont="1"/>
    <xf numFmtId="167" fontId="41" fillId="0" borderId="0" xfId="0" applyNumberFormat="1" applyFont="1"/>
    <xf numFmtId="190" fontId="42" fillId="0" borderId="0" xfId="5" applyNumberFormat="1" applyFont="1" applyFill="1"/>
    <xf numFmtId="0" fontId="42" fillId="0" borderId="0" xfId="0" applyFont="1" applyAlignment="1">
      <alignment horizontal="center" wrapText="1"/>
    </xf>
    <xf numFmtId="167" fontId="135" fillId="0" borderId="113" xfId="5" applyNumberFormat="1" applyFont="1" applyFill="1" applyBorder="1" applyAlignment="1">
      <alignment horizontal="center"/>
    </xf>
    <xf numFmtId="167" fontId="135" fillId="0" borderId="75" xfId="5" applyNumberFormat="1" applyFont="1" applyFill="1" applyBorder="1"/>
    <xf numFmtId="0" fontId="135" fillId="0" borderId="75" xfId="0" applyFont="1" applyBorder="1"/>
    <xf numFmtId="0" fontId="118" fillId="0" borderId="0" xfId="0" applyFont="1"/>
    <xf numFmtId="0" fontId="42" fillId="0" borderId="0" xfId="0" applyFont="1" applyAlignment="1">
      <alignment horizontal="center"/>
    </xf>
    <xf numFmtId="44" fontId="135" fillId="0" borderId="75" xfId="6" applyFont="1" applyFill="1" applyBorder="1"/>
    <xf numFmtId="44" fontId="42" fillId="0" borderId="0" xfId="6" applyFont="1" applyFill="1" applyBorder="1"/>
    <xf numFmtId="44" fontId="136" fillId="0" borderId="0" xfId="6" applyFont="1" applyFill="1" applyBorder="1"/>
    <xf numFmtId="44" fontId="135" fillId="0" borderId="120" xfId="6" applyFont="1" applyFill="1" applyBorder="1"/>
    <xf numFmtId="44" fontId="42" fillId="0" borderId="10" xfId="6" applyFont="1" applyFill="1" applyBorder="1"/>
    <xf numFmtId="44" fontId="135" fillId="0" borderId="76" xfId="6" applyFont="1" applyFill="1" applyBorder="1"/>
    <xf numFmtId="44" fontId="118" fillId="0" borderId="0" xfId="6" applyFont="1" applyFill="1" applyBorder="1"/>
    <xf numFmtId="167" fontId="42" fillId="0" borderId="0" xfId="5" applyNumberFormat="1" applyFont="1" applyBorder="1" applyAlignment="1">
      <alignment horizontal="center"/>
    </xf>
    <xf numFmtId="167" fontId="42" fillId="0" borderId="0" xfId="5" applyNumberFormat="1" applyFont="1" applyFill="1" applyBorder="1" applyAlignment="1">
      <alignment horizontal="center"/>
    </xf>
    <xf numFmtId="202" fontId="42" fillId="0" borderId="0" xfId="6" applyNumberFormat="1" applyFont="1" applyFill="1" applyBorder="1"/>
    <xf numFmtId="39" fontId="42" fillId="0" borderId="0" xfId="6" applyNumberFormat="1" applyFont="1" applyBorder="1"/>
    <xf numFmtId="39" fontId="42" fillId="0" borderId="0" xfId="6" applyNumberFormat="1" applyFont="1" applyFill="1" applyBorder="1"/>
    <xf numFmtId="202" fontId="42" fillId="0" borderId="0" xfId="0" applyNumberFormat="1" applyFont="1"/>
    <xf numFmtId="202" fontId="118" fillId="0" borderId="0" xfId="0" applyNumberFormat="1" applyFont="1"/>
    <xf numFmtId="202" fontId="136" fillId="0" borderId="0" xfId="6" applyNumberFormat="1" applyFont="1" applyBorder="1"/>
    <xf numFmtId="44" fontId="136" fillId="0" borderId="0" xfId="6" applyFont="1"/>
    <xf numFmtId="44" fontId="42" fillId="0" borderId="0" xfId="6" applyFont="1"/>
    <xf numFmtId="44" fontId="42" fillId="0" borderId="0" xfId="6" applyFont="1" applyFill="1"/>
    <xf numFmtId="167" fontId="137" fillId="0" borderId="0" xfId="5" applyNumberFormat="1" applyFont="1"/>
    <xf numFmtId="0" fontId="32" fillId="0" borderId="0" xfId="5" applyNumberFormat="1" applyFont="1" applyAlignment="1">
      <alignment horizontal="left"/>
    </xf>
    <xf numFmtId="201" fontId="42" fillId="0" borderId="0" xfId="5" quotePrefix="1" applyNumberFormat="1" applyFont="1" applyFill="1"/>
    <xf numFmtId="0" fontId="32" fillId="0" borderId="10" xfId="0" applyFont="1" applyBorder="1" applyAlignment="1">
      <alignment horizontal="center" wrapText="1"/>
    </xf>
    <xf numFmtId="167" fontId="123" fillId="0" borderId="0" xfId="5" applyNumberFormat="1" applyFont="1" applyBorder="1"/>
    <xf numFmtId="43" fontId="42" fillId="0" borderId="0" xfId="5" quotePrefix="1" applyFont="1" applyFill="1"/>
    <xf numFmtId="185" fontId="42" fillId="0" borderId="0" xfId="0" applyNumberFormat="1" applyFont="1"/>
    <xf numFmtId="167" fontId="125" fillId="0" borderId="0" xfId="5" applyNumberFormat="1" applyFont="1" applyFill="1" applyBorder="1"/>
    <xf numFmtId="203" fontId="42" fillId="0" borderId="0" xfId="5" applyNumberFormat="1" applyFont="1"/>
    <xf numFmtId="203" fontId="42" fillId="0" borderId="0" xfId="5" applyNumberFormat="1" applyFont="1" applyFill="1"/>
    <xf numFmtId="203" fontId="118" fillId="0" borderId="0" xfId="5" applyNumberFormat="1" applyFont="1" applyFill="1"/>
    <xf numFmtId="186" fontId="42" fillId="0" borderId="0" xfId="5" applyNumberFormat="1" applyFont="1"/>
    <xf numFmtId="188" fontId="42" fillId="0" borderId="0" xfId="5" applyNumberFormat="1" applyFont="1" applyFill="1" applyBorder="1"/>
    <xf numFmtId="188" fontId="118" fillId="0" borderId="0" xfId="5" applyNumberFormat="1" applyFont="1" applyFill="1" applyBorder="1"/>
    <xf numFmtId="167" fontId="42" fillId="0" borderId="10" xfId="5" quotePrefix="1" applyNumberFormat="1" applyFont="1" applyFill="1" applyBorder="1"/>
    <xf numFmtId="185" fontId="32" fillId="0" borderId="0" xfId="15" applyNumberFormat="1" applyFont="1" applyFill="1"/>
    <xf numFmtId="167" fontId="58" fillId="0" borderId="0" xfId="5" applyNumberFormat="1" applyFont="1" applyFill="1"/>
    <xf numFmtId="185" fontId="58" fillId="0" borderId="0" xfId="15" applyNumberFormat="1" applyFont="1" applyFill="1" applyBorder="1"/>
    <xf numFmtId="167" fontId="58" fillId="0" borderId="0" xfId="5" applyNumberFormat="1" applyFont="1"/>
    <xf numFmtId="185" fontId="32" fillId="0" borderId="0" xfId="5" applyNumberFormat="1" applyFont="1" applyAlignment="1">
      <alignment horizontal="right"/>
    </xf>
    <xf numFmtId="0" fontId="120" fillId="0" borderId="0" xfId="5" applyNumberFormat="1" applyFont="1" applyFill="1" applyAlignment="1">
      <alignment horizontal="center"/>
    </xf>
    <xf numFmtId="185" fontId="5" fillId="0" borderId="0" xfId="15" applyNumberFormat="1" applyFont="1" applyFill="1"/>
    <xf numFmtId="0" fontId="32" fillId="0" borderId="0" xfId="5" applyNumberFormat="1" applyFont="1" applyFill="1" applyBorder="1" applyAlignment="1">
      <alignment horizontal="center" wrapText="1"/>
    </xf>
    <xf numFmtId="0" fontId="42" fillId="0" borderId="0" xfId="5" applyNumberFormat="1" applyFont="1" applyFill="1" applyBorder="1" applyAlignment="1">
      <alignment horizontal="center" wrapText="1"/>
    </xf>
    <xf numFmtId="167" fontId="42" fillId="0" borderId="0" xfId="5" applyNumberFormat="1" applyFont="1" applyFill="1" applyBorder="1" applyAlignment="1">
      <alignment horizontal="center" wrapText="1"/>
    </xf>
    <xf numFmtId="167" fontId="42" fillId="0" borderId="0" xfId="5" applyNumberFormat="1" applyFont="1" applyBorder="1" applyAlignment="1">
      <alignment horizontal="center" wrapText="1"/>
    </xf>
    <xf numFmtId="167" fontId="138" fillId="0" borderId="0" xfId="5" applyNumberFormat="1" applyFont="1"/>
    <xf numFmtId="167" fontId="42" fillId="0" borderId="0" xfId="5" applyNumberFormat="1" applyFont="1" applyAlignment="1"/>
    <xf numFmtId="0" fontId="93" fillId="0" borderId="127" xfId="19" applyFill="1" applyBorder="1" applyAlignment="1">
      <alignment horizontal="center"/>
    </xf>
    <xf numFmtId="167" fontId="1" fillId="0" borderId="128" xfId="20" applyNumberFormat="1" applyFill="1" applyBorder="1"/>
    <xf numFmtId="167" fontId="1" fillId="0" borderId="4" xfId="20" applyNumberFormat="1" applyFill="1" applyBorder="1"/>
    <xf numFmtId="167" fontId="1" fillId="0" borderId="97" xfId="20" applyNumberFormat="1" applyFill="1" applyBorder="1"/>
    <xf numFmtId="3" fontId="0" fillId="0" borderId="96" xfId="0" applyNumberFormat="1" applyBorder="1" applyAlignment="1">
      <alignment horizontal="center"/>
    </xf>
    <xf numFmtId="167" fontId="58" fillId="3" borderId="10" xfId="5" applyNumberFormat="1" applyFont="1" applyFill="1" applyBorder="1"/>
    <xf numFmtId="175" fontId="62" fillId="0" borderId="0" xfId="15" applyNumberFormat="1" applyFont="1" applyFill="1" applyBorder="1"/>
    <xf numFmtId="43" fontId="5" fillId="0" borderId="11" xfId="5" applyFont="1" applyFill="1" applyBorder="1" applyAlignment="1">
      <alignment horizontal="left"/>
    </xf>
    <xf numFmtId="169" fontId="5" fillId="0" borderId="11" xfId="6" applyNumberFormat="1" applyFont="1" applyFill="1" applyBorder="1"/>
    <xf numFmtId="169" fontId="65" fillId="0" borderId="0" xfId="6" quotePrefix="1" applyNumberFormat="1" applyFont="1" applyFill="1" applyBorder="1"/>
    <xf numFmtId="169" fontId="4" fillId="0" borderId="11" xfId="6" applyNumberFormat="1" applyFont="1" applyFill="1" applyBorder="1"/>
    <xf numFmtId="169" fontId="4" fillId="0" borderId="59" xfId="6" applyNumberFormat="1" applyFont="1" applyFill="1" applyBorder="1"/>
    <xf numFmtId="169" fontId="4" fillId="0" borderId="52" xfId="6" applyNumberFormat="1" applyFont="1" applyFill="1" applyBorder="1"/>
    <xf numFmtId="169" fontId="5" fillId="0" borderId="63" xfId="6" applyNumberFormat="1" applyFont="1" applyFill="1" applyBorder="1"/>
    <xf numFmtId="10" fontId="0" fillId="0" borderId="6" xfId="1" applyNumberFormat="1" applyFont="1" applyBorder="1" applyAlignment="1">
      <alignment horizontal="center"/>
    </xf>
    <xf numFmtId="167" fontId="9" fillId="0" borderId="42" xfId="5" applyNumberFormat="1" applyFont="1" applyFill="1" applyBorder="1"/>
    <xf numFmtId="9" fontId="5" fillId="0" borderId="52" xfId="15" applyFont="1" applyFill="1" applyBorder="1"/>
    <xf numFmtId="167" fontId="51" fillId="0" borderId="11" xfId="5" applyNumberFormat="1" applyFont="1" applyFill="1" applyBorder="1"/>
    <xf numFmtId="9" fontId="8" fillId="0" borderId="63" xfId="15" applyFont="1" applyFill="1" applyBorder="1"/>
    <xf numFmtId="10" fontId="0" fillId="0" borderId="10" xfId="15" applyNumberFormat="1" applyFont="1" applyFill="1" applyBorder="1"/>
    <xf numFmtId="10" fontId="0" fillId="0" borderId="11" xfId="15" applyNumberFormat="1" applyFont="1" applyFill="1" applyBorder="1"/>
    <xf numFmtId="43" fontId="0" fillId="0" borderId="10" xfId="5" applyFont="1" applyFill="1" applyBorder="1"/>
    <xf numFmtId="167" fontId="58" fillId="3" borderId="0" xfId="5" applyNumberFormat="1" applyFont="1" applyFill="1" applyBorder="1"/>
    <xf numFmtId="167" fontId="5" fillId="0" borderId="0" xfId="5" quotePrefix="1" applyNumberFormat="1" applyFont="1" applyFill="1" applyBorder="1" applyAlignment="1">
      <alignment horizontal="center"/>
    </xf>
    <xf numFmtId="167" fontId="22" fillId="3" borderId="20" xfId="5" applyNumberFormat="1" applyFont="1" applyFill="1" applyBorder="1"/>
    <xf numFmtId="169" fontId="5" fillId="0" borderId="42" xfId="6" quotePrefix="1" applyNumberFormat="1" applyFont="1" applyFill="1" applyBorder="1"/>
    <xf numFmtId="169" fontId="65" fillId="0" borderId="42" xfId="6" quotePrefix="1" applyNumberFormat="1" applyFont="1" applyFill="1" applyBorder="1"/>
    <xf numFmtId="10" fontId="5" fillId="0" borderId="52" xfId="15" applyNumberFormat="1" applyFont="1" applyFill="1" applyBorder="1"/>
    <xf numFmtId="169" fontId="5" fillId="0" borderId="52" xfId="6" applyNumberFormat="1" applyFont="1" applyFill="1" applyBorder="1"/>
    <xf numFmtId="169" fontId="5" fillId="0" borderId="0" xfId="6" quotePrefix="1" applyNumberFormat="1" applyFont="1" applyFill="1"/>
    <xf numFmtId="10" fontId="5" fillId="0" borderId="0" xfId="1" applyNumberFormat="1" applyFont="1" applyFill="1"/>
    <xf numFmtId="167" fontId="32" fillId="0" borderId="0" xfId="5" quotePrefix="1" applyNumberFormat="1" applyFont="1" applyFill="1" applyAlignment="1">
      <alignment horizontal="left"/>
    </xf>
    <xf numFmtId="0" fontId="32" fillId="0" borderId="0" xfId="5" quotePrefix="1" applyNumberFormat="1" applyFont="1" applyAlignment="1">
      <alignment horizontal="left"/>
    </xf>
    <xf numFmtId="167" fontId="32" fillId="0" borderId="0" xfId="5" applyNumberFormat="1" applyFont="1" applyFill="1" applyBorder="1" applyAlignment="1">
      <alignment horizontal="left"/>
    </xf>
    <xf numFmtId="185" fontId="14" fillId="0" borderId="0" xfId="5" applyNumberFormat="1" applyFont="1" applyFill="1" applyBorder="1"/>
    <xf numFmtId="167" fontId="123" fillId="0" borderId="0" xfId="5" applyNumberFormat="1" applyFont="1" applyFill="1" applyBorder="1" applyAlignment="1">
      <alignment horizontal="right"/>
    </xf>
    <xf numFmtId="42" fontId="8" fillId="0" borderId="60" xfId="6" applyNumberFormat="1" applyFont="1" applyFill="1" applyBorder="1"/>
    <xf numFmtId="43" fontId="0" fillId="0" borderId="0" xfId="2" applyFont="1"/>
    <xf numFmtId="169" fontId="8" fillId="0" borderId="108" xfId="6" applyNumberFormat="1" applyFont="1" applyFill="1" applyBorder="1"/>
    <xf numFmtId="169" fontId="8" fillId="0" borderId="42" xfId="6" applyNumberFormat="1" applyFont="1" applyFill="1" applyBorder="1"/>
    <xf numFmtId="167" fontId="58" fillId="3" borderId="0" xfId="5" applyNumberFormat="1" applyFont="1" applyFill="1"/>
    <xf numFmtId="185" fontId="41" fillId="0" borderId="0" xfId="15" applyNumberFormat="1" applyFont="1" applyFill="1"/>
    <xf numFmtId="185" fontId="51" fillId="0" borderId="0" xfId="15" applyNumberFormat="1" applyFont="1" applyFill="1"/>
    <xf numFmtId="167" fontId="147" fillId="0" borderId="0" xfId="5" applyNumberFormat="1" applyFont="1" applyFill="1"/>
    <xf numFmtId="167" fontId="42" fillId="0" borderId="134" xfId="5" applyNumberFormat="1" applyFont="1" applyFill="1" applyBorder="1"/>
    <xf numFmtId="167" fontId="42" fillId="0" borderId="135" xfId="5" applyNumberFormat="1" applyFont="1" applyFill="1" applyBorder="1"/>
    <xf numFmtId="0" fontId="145" fillId="0" borderId="0" xfId="19" applyFont="1" applyFill="1" applyBorder="1"/>
    <xf numFmtId="167" fontId="58" fillId="3" borderId="0" xfId="5" quotePrefix="1" applyNumberFormat="1" applyFont="1" applyFill="1" applyAlignment="1">
      <alignment horizontal="center"/>
    </xf>
    <xf numFmtId="165" fontId="42" fillId="0" borderId="0" xfId="5" applyNumberFormat="1" applyFont="1"/>
    <xf numFmtId="175" fontId="0" fillId="2" borderId="0" xfId="1" applyNumberFormat="1" applyFont="1" applyFill="1"/>
    <xf numFmtId="167" fontId="17" fillId="4" borderId="0" xfId="5" applyNumberFormat="1" applyFont="1" applyFill="1"/>
    <xf numFmtId="167" fontId="42" fillId="4" borderId="0" xfId="5" applyNumberFormat="1" applyFont="1" applyFill="1"/>
    <xf numFmtId="10" fontId="42" fillId="4" borderId="0" xfId="15" applyNumberFormat="1" applyFont="1" applyFill="1"/>
    <xf numFmtId="10" fontId="42" fillId="4" borderId="0" xfId="15" applyNumberFormat="1" applyFont="1" applyFill="1" applyBorder="1"/>
    <xf numFmtId="10" fontId="42" fillId="4" borderId="10" xfId="15" applyNumberFormat="1" applyFont="1" applyFill="1" applyBorder="1"/>
    <xf numFmtId="10" fontId="42" fillId="4" borderId="103" xfId="15" applyNumberFormat="1" applyFont="1" applyFill="1" applyBorder="1"/>
    <xf numFmtId="43" fontId="3" fillId="24" borderId="0" xfId="2" applyFont="1" applyFill="1"/>
    <xf numFmtId="3" fontId="4" fillId="17" borderId="0" xfId="0" applyNumberFormat="1" applyFont="1" applyFill="1"/>
    <xf numFmtId="43" fontId="151" fillId="18" borderId="0" xfId="2" applyFont="1" applyFill="1"/>
    <xf numFmtId="0" fontId="4" fillId="17" borderId="0" xfId="0" applyFont="1" applyFill="1"/>
    <xf numFmtId="43" fontId="0" fillId="17" borderId="0" xfId="2" applyFont="1" applyFill="1"/>
    <xf numFmtId="37" fontId="4" fillId="0" borderId="10" xfId="5" applyNumberFormat="1" applyFont="1" applyFill="1" applyBorder="1" applyAlignment="1">
      <alignment horizontal="right"/>
    </xf>
    <xf numFmtId="167" fontId="1" fillId="0" borderId="138" xfId="2" applyNumberFormat="1" applyFont="1" applyBorder="1" applyAlignment="1">
      <alignment horizontal="center"/>
    </xf>
    <xf numFmtId="167" fontId="4" fillId="0" borderId="42" xfId="2" applyNumberFormat="1" applyFont="1" applyFill="1" applyBorder="1"/>
    <xf numFmtId="167" fontId="1" fillId="0" borderId="5" xfId="2" applyNumberFormat="1" applyFont="1" applyBorder="1" applyAlignment="1">
      <alignment horizontal="center"/>
    </xf>
    <xf numFmtId="167" fontId="0" fillId="0" borderId="107" xfId="2" applyNumberFormat="1" applyFont="1" applyBorder="1"/>
    <xf numFmtId="167" fontId="0" fillId="0" borderId="51" xfId="2" applyNumberFormat="1" applyFont="1" applyBorder="1"/>
    <xf numFmtId="167" fontId="1" fillId="0" borderId="5" xfId="2" applyNumberFormat="1" applyFont="1" applyFill="1" applyBorder="1" applyAlignment="1">
      <alignment horizontal="center"/>
    </xf>
    <xf numFmtId="167" fontId="0" fillId="0" borderId="51" xfId="2" applyNumberFormat="1" applyFont="1" applyFill="1" applyBorder="1"/>
    <xf numFmtId="167" fontId="1" fillId="0" borderId="32" xfId="2" applyNumberFormat="1" applyFont="1" applyBorder="1" applyAlignment="1">
      <alignment horizontal="center"/>
    </xf>
    <xf numFmtId="167" fontId="0" fillId="0" borderId="48" xfId="2" applyNumberFormat="1" applyFont="1" applyBorder="1"/>
    <xf numFmtId="167" fontId="0" fillId="0" borderId="32" xfId="2" applyNumberFormat="1" applyFont="1" applyBorder="1"/>
    <xf numFmtId="167" fontId="2" fillId="17" borderId="72" xfId="2" applyNumberFormat="1" applyFont="1" applyFill="1" applyBorder="1" applyAlignment="1">
      <alignment horizontal="center"/>
    </xf>
    <xf numFmtId="167" fontId="2" fillId="17" borderId="60" xfId="2" applyNumberFormat="1" applyFont="1" applyFill="1" applyBorder="1" applyAlignment="1">
      <alignment horizontal="center"/>
    </xf>
    <xf numFmtId="0" fontId="8" fillId="7" borderId="12" xfId="0" applyFont="1" applyFill="1" applyBorder="1" applyAlignment="1">
      <alignment horizontal="center"/>
    </xf>
    <xf numFmtId="0" fontId="27" fillId="7" borderId="14" xfId="0" applyFont="1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30" fillId="7" borderId="12" xfId="0" applyFont="1" applyFill="1" applyBorder="1" applyAlignment="1">
      <alignment horizontal="center"/>
    </xf>
    <xf numFmtId="0" fontId="31" fillId="7" borderId="14" xfId="0" applyFont="1" applyFill="1" applyBorder="1" applyAlignment="1">
      <alignment horizontal="center"/>
    </xf>
    <xf numFmtId="0" fontId="31" fillId="7" borderId="13" xfId="0" applyFont="1" applyFill="1" applyBorder="1" applyAlignment="1">
      <alignment horizontal="center"/>
    </xf>
    <xf numFmtId="0" fontId="8" fillId="7" borderId="14" xfId="0" applyFont="1" applyFill="1" applyBorder="1" applyAlignment="1">
      <alignment horizontal="center"/>
    </xf>
    <xf numFmtId="0" fontId="8" fillId="7" borderId="13" xfId="0" applyFont="1" applyFill="1" applyBorder="1" applyAlignment="1">
      <alignment horizontal="center"/>
    </xf>
    <xf numFmtId="37" fontId="4" fillId="24" borderId="0" xfId="5" applyNumberFormat="1" applyFont="1" applyFill="1" applyBorder="1" applyAlignment="1">
      <alignment horizontal="right"/>
    </xf>
    <xf numFmtId="167" fontId="4" fillId="24" borderId="42" xfId="5" applyNumberFormat="1" applyFont="1" applyFill="1" applyBorder="1" applyAlignment="1">
      <alignment horizontal="right"/>
    </xf>
    <xf numFmtId="6" fontId="161" fillId="0" borderId="0" xfId="0" applyNumberFormat="1" applyFont="1"/>
    <xf numFmtId="0" fontId="2" fillId="0" borderId="0" xfId="0" applyFont="1" applyAlignment="1">
      <alignment horizontal="right"/>
    </xf>
    <xf numFmtId="37" fontId="5" fillId="3" borderId="0" xfId="5" applyNumberFormat="1" applyFont="1" applyFill="1" applyBorder="1"/>
    <xf numFmtId="10" fontId="4" fillId="0" borderId="5" xfId="1" applyNumberFormat="1" applyFont="1" applyFill="1" applyBorder="1"/>
    <xf numFmtId="178" fontId="0" fillId="0" borderId="0" xfId="0" applyNumberFormat="1"/>
    <xf numFmtId="43" fontId="0" fillId="0" borderId="10" xfId="2" applyFont="1" applyBorder="1"/>
    <xf numFmtId="43" fontId="165" fillId="29" borderId="0" xfId="37" applyNumberFormat="1"/>
    <xf numFmtId="43" fontId="165" fillId="29" borderId="10" xfId="37" applyNumberFormat="1" applyBorder="1"/>
    <xf numFmtId="0" fontId="5" fillId="0" borderId="0" xfId="18"/>
    <xf numFmtId="3" fontId="37" fillId="3" borderId="30" xfId="0" applyNumberFormat="1" applyFont="1" applyFill="1" applyBorder="1"/>
    <xf numFmtId="4" fontId="5" fillId="0" borderId="0" xfId="2" applyNumberFormat="1" applyFont="1" applyFill="1" applyBorder="1" applyAlignment="1">
      <alignment horizontal="center"/>
    </xf>
    <xf numFmtId="0" fontId="106" fillId="0" borderId="0" xfId="0" applyFont="1"/>
    <xf numFmtId="167" fontId="8" fillId="0" borderId="0" xfId="5" applyNumberFormat="1" applyFont="1"/>
    <xf numFmtId="0" fontId="166" fillId="0" borderId="0" xfId="0" applyFont="1"/>
    <xf numFmtId="0" fontId="133" fillId="0" borderId="0" xfId="0" applyFont="1" applyAlignment="1">
      <alignment horizontal="left"/>
    </xf>
    <xf numFmtId="167" fontId="8" fillId="0" borderId="0" xfId="5" applyNumberFormat="1" applyFont="1" applyAlignment="1">
      <alignment horizontal="center"/>
    </xf>
    <xf numFmtId="167" fontId="144" fillId="0" borderId="0" xfId="5" applyNumberFormat="1" applyFont="1" applyAlignment="1">
      <alignment horizontal="center"/>
    </xf>
    <xf numFmtId="37" fontId="8" fillId="0" borderId="0" xfId="0" applyNumberFormat="1" applyFont="1"/>
    <xf numFmtId="167" fontId="0" fillId="0" borderId="0" xfId="0" applyNumberFormat="1" applyAlignment="1">
      <alignment horizontal="center"/>
    </xf>
    <xf numFmtId="167" fontId="0" fillId="0" borderId="52" xfId="5" applyNumberFormat="1" applyFont="1" applyBorder="1"/>
    <xf numFmtId="0" fontId="168" fillId="0" borderId="0" xfId="0" applyFont="1"/>
    <xf numFmtId="167" fontId="4" fillId="0" borderId="0" xfId="5" applyNumberFormat="1" applyFont="1"/>
    <xf numFmtId="167" fontId="143" fillId="0" borderId="0" xfId="5" applyNumberFormat="1" applyFont="1"/>
    <xf numFmtId="167" fontId="0" fillId="0" borderId="0" xfId="2" applyNumberFormat="1" applyFont="1" applyFill="1"/>
    <xf numFmtId="37" fontId="169" fillId="0" borderId="0" xfId="2" applyNumberFormat="1" applyFont="1"/>
    <xf numFmtId="167" fontId="5" fillId="0" borderId="23" xfId="2" quotePrefix="1" applyNumberFormat="1" applyFont="1" applyFill="1" applyBorder="1" applyAlignment="1">
      <alignment horizontal="center"/>
    </xf>
    <xf numFmtId="0" fontId="2" fillId="0" borderId="67" xfId="0" applyFont="1" applyBorder="1" applyAlignment="1">
      <alignment horizontal="center"/>
    </xf>
    <xf numFmtId="177" fontId="0" fillId="0" borderId="117" xfId="0" applyNumberFormat="1" applyBorder="1" applyAlignment="1">
      <alignment horizontal="center"/>
    </xf>
    <xf numFmtId="177" fontId="0" fillId="0" borderId="75" xfId="0" applyNumberFormat="1" applyBorder="1" applyAlignment="1">
      <alignment horizontal="center"/>
    </xf>
    <xf numFmtId="177" fontId="0" fillId="0" borderId="76" xfId="0" applyNumberFormat="1" applyBorder="1" applyAlignment="1">
      <alignment horizontal="center"/>
    </xf>
    <xf numFmtId="167" fontId="31" fillId="0" borderId="0" xfId="109" applyNumberFormat="1" applyFont="1" applyFill="1"/>
    <xf numFmtId="167" fontId="0" fillId="0" borderId="0" xfId="109" applyNumberFormat="1" applyFont="1" applyFill="1"/>
    <xf numFmtId="167" fontId="0" fillId="0" borderId="0" xfId="109" applyNumberFormat="1" applyFont="1" applyFill="1" applyBorder="1"/>
    <xf numFmtId="37" fontId="17" fillId="0" borderId="0" xfId="0" quotePrefix="1" applyNumberFormat="1" applyFont="1"/>
    <xf numFmtId="37" fontId="17" fillId="0" borderId="0" xfId="0" quotePrefix="1" applyNumberFormat="1" applyFont="1" applyAlignment="1">
      <alignment horizontal="right"/>
    </xf>
    <xf numFmtId="37" fontId="17" fillId="0" borderId="0" xfId="0" quotePrefix="1" applyNumberFormat="1" applyFont="1" applyAlignment="1">
      <alignment horizontal="left"/>
    </xf>
    <xf numFmtId="43" fontId="57" fillId="3" borderId="0" xfId="2" applyFont="1" applyFill="1"/>
    <xf numFmtId="0" fontId="2" fillId="24" borderId="11" xfId="0" applyFont="1" applyFill="1" applyBorder="1" applyAlignment="1">
      <alignment horizontal="center"/>
    </xf>
    <xf numFmtId="0" fontId="2" fillId="24" borderId="59" xfId="0" applyFont="1" applyFill="1" applyBorder="1" applyAlignment="1">
      <alignment horizontal="center"/>
    </xf>
    <xf numFmtId="4" fontId="3" fillId="3" borderId="0" xfId="0" applyNumberFormat="1" applyFont="1" applyFill="1"/>
    <xf numFmtId="0" fontId="31" fillId="0" borderId="0" xfId="33" applyFont="1"/>
    <xf numFmtId="0" fontId="31" fillId="0" borderId="0" xfId="33" applyFont="1" applyAlignment="1">
      <alignment horizontal="center"/>
    </xf>
    <xf numFmtId="5" fontId="31" fillId="0" borderId="0" xfId="33" applyNumberFormat="1" applyFont="1"/>
    <xf numFmtId="167" fontId="31" fillId="0" borderId="0" xfId="5" applyNumberFormat="1" applyFont="1" applyFill="1" applyBorder="1"/>
    <xf numFmtId="37" fontId="88" fillId="0" borderId="0" xfId="109" applyNumberFormat="1" applyFont="1" applyFill="1" applyAlignment="1">
      <alignment horizontal="center"/>
    </xf>
    <xf numFmtId="10" fontId="154" fillId="0" borderId="0" xfId="15" applyNumberFormat="1" applyFont="1" applyFill="1"/>
    <xf numFmtId="10" fontId="88" fillId="0" borderId="0" xfId="15" applyNumberFormat="1" applyFont="1" applyFill="1"/>
    <xf numFmtId="167" fontId="156" fillId="0" borderId="0" xfId="109" applyNumberFormat="1" applyFont="1" applyFill="1"/>
    <xf numFmtId="167" fontId="88" fillId="0" borderId="0" xfId="109" applyNumberFormat="1" applyFont="1" applyFill="1"/>
    <xf numFmtId="10" fontId="174" fillId="0" borderId="0" xfId="15" applyNumberFormat="1" applyFont="1" applyFill="1"/>
    <xf numFmtId="37" fontId="153" fillId="0" borderId="0" xfId="109" applyNumberFormat="1" applyFont="1" applyFill="1"/>
    <xf numFmtId="10" fontId="153" fillId="0" borderId="0" xfId="1" quotePrefix="1" applyNumberFormat="1" applyFont="1" applyFill="1" applyAlignment="1" applyProtection="1">
      <alignment horizontal="center"/>
    </xf>
    <xf numFmtId="37" fontId="88" fillId="0" borderId="0" xfId="109" applyNumberFormat="1" applyFont="1" applyFill="1"/>
    <xf numFmtId="10" fontId="88" fillId="0" borderId="0" xfId="1" quotePrefix="1" applyNumberFormat="1" applyFont="1" applyFill="1" applyAlignment="1" applyProtection="1">
      <alignment horizontal="center"/>
    </xf>
    <xf numFmtId="37" fontId="6" fillId="0" borderId="0" xfId="109" applyNumberFormat="1" applyFont="1" applyFill="1" applyBorder="1" applyAlignment="1"/>
    <xf numFmtId="39" fontId="88" fillId="0" borderId="0" xfId="109" applyNumberFormat="1" applyFont="1" applyFill="1" applyAlignment="1" applyProtection="1">
      <alignment horizontal="center"/>
    </xf>
    <xf numFmtId="43" fontId="88" fillId="0" borderId="0" xfId="109" applyFont="1" applyFill="1"/>
    <xf numFmtId="43" fontId="88" fillId="0" borderId="0" xfId="109" applyFont="1" applyFill="1" applyBorder="1"/>
    <xf numFmtId="43" fontId="42" fillId="0" borderId="0" xfId="109" applyFont="1" applyFill="1" applyBorder="1"/>
    <xf numFmtId="0" fontId="86" fillId="31" borderId="0" xfId="0" applyFont="1" applyFill="1"/>
    <xf numFmtId="167" fontId="46" fillId="0" borderId="0" xfId="22" applyNumberFormat="1" applyFont="1" applyFill="1" applyAlignment="1">
      <alignment wrapText="1"/>
    </xf>
    <xf numFmtId="177" fontId="46" fillId="0" borderId="0" xfId="22" applyNumberFormat="1" applyFont="1" applyFill="1" applyBorder="1" applyAlignment="1">
      <alignment wrapText="1"/>
    </xf>
    <xf numFmtId="167" fontId="46" fillId="0" borderId="0" xfId="22" applyNumberFormat="1" applyFont="1" applyFill="1"/>
    <xf numFmtId="167" fontId="46" fillId="0" borderId="44" xfId="22" applyNumberFormat="1" applyFont="1" applyFill="1" applyBorder="1" applyAlignment="1">
      <alignment horizontal="center" wrapText="1"/>
    </xf>
    <xf numFmtId="167" fontId="46" fillId="0" borderId="0" xfId="23" applyNumberFormat="1" applyFont="1" applyFill="1" applyAlignment="1">
      <alignment wrapText="1"/>
    </xf>
    <xf numFmtId="167" fontId="46" fillId="0" borderId="44" xfId="23" applyNumberFormat="1" applyFont="1" applyFill="1" applyBorder="1" applyAlignment="1">
      <alignment horizontal="center" wrapText="1"/>
    </xf>
    <xf numFmtId="167" fontId="46" fillId="0" borderId="34" xfId="22" applyNumberFormat="1" applyFont="1" applyFill="1" applyBorder="1" applyAlignment="1">
      <alignment horizontal="center" wrapText="1"/>
    </xf>
    <xf numFmtId="167" fontId="46" fillId="0" borderId="32" xfId="23" applyNumberFormat="1" applyFont="1" applyFill="1" applyBorder="1" applyAlignment="1">
      <alignment wrapText="1"/>
    </xf>
    <xf numFmtId="167" fontId="46" fillId="0" borderId="44" xfId="23" applyNumberFormat="1" applyFont="1" applyFill="1" applyBorder="1"/>
    <xf numFmtId="167" fontId="46" fillId="0" borderId="44" xfId="23" applyNumberFormat="1" applyFont="1" applyFill="1" applyBorder="1" applyAlignment="1">
      <alignment horizontal="left"/>
    </xf>
    <xf numFmtId="167" fontId="46" fillId="0" borderId="44" xfId="23" applyNumberFormat="1" applyFont="1" applyFill="1" applyBorder="1" applyAlignment="1">
      <alignment horizontal="center"/>
    </xf>
    <xf numFmtId="167" fontId="46" fillId="0" borderId="0" xfId="23" applyNumberFormat="1" applyFont="1" applyFill="1"/>
    <xf numFmtId="0" fontId="175" fillId="2" borderId="0" xfId="0" applyFont="1" applyFill="1"/>
    <xf numFmtId="0" fontId="86" fillId="2" borderId="0" xfId="0" applyFont="1" applyFill="1"/>
    <xf numFmtId="0" fontId="86" fillId="32" borderId="130" xfId="0" applyFont="1" applyFill="1" applyBorder="1" applyAlignment="1">
      <alignment horizontal="center" vertical="center"/>
    </xf>
    <xf numFmtId="10" fontId="86" fillId="31" borderId="0" xfId="15" applyNumberFormat="1" applyFont="1" applyFill="1"/>
    <xf numFmtId="169" fontId="86" fillId="0" borderId="0" xfId="0" applyNumberFormat="1" applyFont="1"/>
    <xf numFmtId="10" fontId="86" fillId="0" borderId="0" xfId="44" applyNumberFormat="1" applyFont="1"/>
    <xf numFmtId="10" fontId="86" fillId="31" borderId="0" xfId="44" applyNumberFormat="1" applyFont="1" applyFill="1"/>
    <xf numFmtId="205" fontId="86" fillId="31" borderId="0" xfId="0" applyNumberFormat="1" applyFont="1" applyFill="1"/>
    <xf numFmtId="169" fontId="86" fillId="31" borderId="0" xfId="0" applyNumberFormat="1" applyFont="1" applyFill="1"/>
    <xf numFmtId="169" fontId="86" fillId="2" borderId="0" xfId="0" applyNumberFormat="1" applyFont="1" applyFill="1"/>
    <xf numFmtId="0" fontId="86" fillId="2" borderId="0" xfId="44" applyNumberFormat="1" applyFont="1" applyFill="1" applyBorder="1"/>
    <xf numFmtId="0" fontId="159" fillId="31" borderId="0" xfId="0" applyFont="1" applyFill="1"/>
    <xf numFmtId="10" fontId="86" fillId="0" borderId="51" xfId="44" applyNumberFormat="1" applyFont="1" applyBorder="1"/>
    <xf numFmtId="10" fontId="86" fillId="0" borderId="0" xfId="44" applyNumberFormat="1" applyFont="1" applyBorder="1"/>
    <xf numFmtId="167" fontId="143" fillId="0" borderId="0" xfId="5" applyNumberFormat="1" applyFont="1" applyFill="1"/>
    <xf numFmtId="0" fontId="17" fillId="0" borderId="0" xfId="0" applyFont="1" applyAlignment="1">
      <alignment horizontal="left" wrapText="1"/>
    </xf>
    <xf numFmtId="167" fontId="144" fillId="0" borderId="0" xfId="5" applyNumberFormat="1" applyFont="1" applyFill="1" applyAlignment="1">
      <alignment horizontal="center"/>
    </xf>
    <xf numFmtId="167" fontId="5" fillId="0" borderId="10" xfId="5" applyNumberFormat="1" applyBorder="1"/>
    <xf numFmtId="167" fontId="0" fillId="0" borderId="52" xfId="5" applyNumberFormat="1" applyFont="1" applyFill="1" applyBorder="1"/>
    <xf numFmtId="167" fontId="5" fillId="0" borderId="52" xfId="5" applyNumberFormat="1" applyBorder="1"/>
    <xf numFmtId="0" fontId="4" fillId="28" borderId="5" xfId="0" applyFont="1" applyFill="1" applyBorder="1" applyAlignment="1">
      <alignment horizontal="center"/>
    </xf>
    <xf numFmtId="3" fontId="5" fillId="28" borderId="5" xfId="5" quotePrefix="1" applyNumberFormat="1" applyFont="1" applyFill="1" applyBorder="1" applyAlignment="1">
      <alignment horizontal="center"/>
    </xf>
    <xf numFmtId="167" fontId="22" fillId="0" borderId="42" xfId="5" applyNumberFormat="1" applyFont="1" applyFill="1" applyBorder="1"/>
    <xf numFmtId="167" fontId="42" fillId="30" borderId="105" xfId="5" applyNumberFormat="1" applyFont="1" applyFill="1" applyBorder="1"/>
    <xf numFmtId="167" fontId="42" fillId="30" borderId="10" xfId="5" applyNumberFormat="1" applyFont="1" applyFill="1" applyBorder="1"/>
    <xf numFmtId="185" fontId="120" fillId="0" borderId="0" xfId="15" applyNumberFormat="1" applyFont="1" applyFill="1" applyAlignment="1">
      <alignment horizontal="right"/>
    </xf>
    <xf numFmtId="167" fontId="32" fillId="0" borderId="0" xfId="5" applyNumberFormat="1" applyFont="1" applyFill="1" applyAlignment="1">
      <alignment horizontal="left"/>
    </xf>
    <xf numFmtId="0" fontId="32" fillId="0" borderId="0" xfId="5" applyNumberFormat="1" applyFont="1" applyFill="1" applyAlignment="1">
      <alignment horizontal="left"/>
    </xf>
    <xf numFmtId="0" fontId="42" fillId="0" borderId="0" xfId="5" applyNumberFormat="1" applyFont="1" applyFill="1" applyAlignment="1">
      <alignment horizontal="left"/>
    </xf>
    <xf numFmtId="0" fontId="32" fillId="0" borderId="0" xfId="5" applyNumberFormat="1" applyFont="1" applyFill="1" applyAlignment="1">
      <alignment horizontal="center"/>
    </xf>
    <xf numFmtId="185" fontId="32" fillId="0" borderId="0" xfId="15" applyNumberFormat="1" applyFont="1" applyFill="1" applyAlignment="1">
      <alignment horizontal="center"/>
    </xf>
    <xf numFmtId="0" fontId="32" fillId="0" borderId="10" xfId="5" applyNumberFormat="1" applyFont="1" applyFill="1" applyBorder="1" applyAlignment="1">
      <alignment horizontal="center" wrapText="1"/>
    </xf>
    <xf numFmtId="185" fontId="32" fillId="0" borderId="10" xfId="5" applyNumberFormat="1" applyFont="1" applyFill="1" applyBorder="1" applyAlignment="1">
      <alignment horizontal="center" wrapText="1"/>
    </xf>
    <xf numFmtId="0" fontId="32" fillId="0" borderId="0" xfId="5" applyNumberFormat="1" applyFont="1" applyFill="1" applyBorder="1" applyAlignment="1">
      <alignment horizontal="center"/>
    </xf>
    <xf numFmtId="185" fontId="32" fillId="0" borderId="0" xfId="5" applyNumberFormat="1" applyFont="1" applyFill="1" applyBorder="1" applyAlignment="1">
      <alignment horizontal="center"/>
    </xf>
    <xf numFmtId="167" fontId="32" fillId="0" borderId="10" xfId="5" applyNumberFormat="1" applyFont="1" applyFill="1" applyBorder="1"/>
    <xf numFmtId="185" fontId="32" fillId="0" borderId="10" xfId="15" applyNumberFormat="1" applyFont="1" applyFill="1" applyBorder="1" applyAlignment="1">
      <alignment horizontal="center" wrapText="1"/>
    </xf>
    <xf numFmtId="167" fontId="42" fillId="0" borderId="10" xfId="5" applyNumberFormat="1" applyFont="1" applyFill="1" applyBorder="1" applyAlignment="1">
      <alignment horizontal="right"/>
    </xf>
    <xf numFmtId="167" fontId="122" fillId="0" borderId="0" xfId="5" applyNumberFormat="1" applyFont="1" applyFill="1" applyBorder="1" applyAlignment="1">
      <alignment horizontal="left"/>
    </xf>
    <xf numFmtId="167" fontId="58" fillId="0" borderId="10" xfId="5" applyNumberFormat="1" applyFont="1" applyFill="1" applyBorder="1"/>
    <xf numFmtId="167" fontId="58" fillId="0" borderId="0" xfId="5" applyNumberFormat="1" applyFont="1" applyFill="1" applyBorder="1"/>
    <xf numFmtId="43" fontId="42" fillId="0" borderId="0" xfId="5" applyFont="1" applyFill="1" applyBorder="1"/>
    <xf numFmtId="174" fontId="42" fillId="0" borderId="0" xfId="5" applyNumberFormat="1" applyFont="1" applyFill="1" applyBorder="1"/>
    <xf numFmtId="174" fontId="42" fillId="0" borderId="0" xfId="5" applyNumberFormat="1" applyFont="1" applyFill="1"/>
    <xf numFmtId="185" fontId="32" fillId="0" borderId="0" xfId="5" applyNumberFormat="1" applyFont="1" applyFill="1" applyAlignment="1">
      <alignment horizontal="right"/>
    </xf>
    <xf numFmtId="167" fontId="120" fillId="0" borderId="0" xfId="5" applyNumberFormat="1" applyFont="1" applyFill="1" applyBorder="1"/>
    <xf numFmtId="167" fontId="120" fillId="0" borderId="0" xfId="5" quotePrefix="1" applyNumberFormat="1" applyFont="1" applyFill="1" applyBorder="1"/>
    <xf numFmtId="167" fontId="177" fillId="0" borderId="0" xfId="5" applyNumberFormat="1" applyFont="1" applyFill="1" applyBorder="1" applyAlignment="1">
      <alignment wrapText="1"/>
    </xf>
    <xf numFmtId="0" fontId="177" fillId="0" borderId="0" xfId="5" applyNumberFormat="1" applyFont="1" applyFill="1" applyBorder="1" applyAlignment="1">
      <alignment horizontal="center" wrapText="1"/>
    </xf>
    <xf numFmtId="167" fontId="120" fillId="0" borderId="0" xfId="5" applyNumberFormat="1" applyFont="1" applyFill="1" applyBorder="1" applyAlignment="1">
      <alignment horizontal="center" wrapText="1"/>
    </xf>
    <xf numFmtId="167" fontId="177" fillId="0" borderId="0" xfId="5" applyNumberFormat="1" applyFont="1" applyFill="1" applyBorder="1" applyAlignment="1">
      <alignment horizontal="center" wrapText="1"/>
    </xf>
    <xf numFmtId="167" fontId="178" fillId="0" borderId="0" xfId="5" applyNumberFormat="1" applyFont="1" applyFill="1" applyBorder="1"/>
    <xf numFmtId="167" fontId="120" fillId="0" borderId="0" xfId="5" applyNumberFormat="1" applyFont="1" applyFill="1" applyBorder="1" applyAlignment="1">
      <alignment horizontal="center"/>
    </xf>
    <xf numFmtId="0" fontId="176" fillId="0" borderId="0" xfId="0" applyFont="1"/>
    <xf numFmtId="167" fontId="177" fillId="0" borderId="0" xfId="5" quotePrefix="1" applyNumberFormat="1" applyFont="1" applyFill="1" applyBorder="1"/>
    <xf numFmtId="167" fontId="42" fillId="0" borderId="0" xfId="5" applyNumberFormat="1" applyFont="1" applyFill="1" applyAlignment="1"/>
    <xf numFmtId="167" fontId="46" fillId="0" borderId="103" xfId="5" applyNumberFormat="1" applyFont="1" applyFill="1" applyBorder="1"/>
    <xf numFmtId="167" fontId="32" fillId="0" borderId="0" xfId="5" quotePrefix="1" applyNumberFormat="1" applyFont="1" applyFill="1" applyBorder="1"/>
    <xf numFmtId="167" fontId="42" fillId="0" borderId="113" xfId="5" applyNumberFormat="1" applyFont="1" applyFill="1" applyBorder="1" applyAlignment="1">
      <alignment horizontal="center"/>
    </xf>
    <xf numFmtId="167" fontId="42" fillId="0" borderId="75" xfId="5" applyNumberFormat="1" applyFont="1" applyFill="1" applyBorder="1"/>
    <xf numFmtId="44" fontId="42" fillId="0" borderId="75" xfId="6" applyFont="1" applyFill="1" applyBorder="1"/>
    <xf numFmtId="44" fontId="42" fillId="0" borderId="120" xfId="6" applyFont="1" applyFill="1" applyBorder="1"/>
    <xf numFmtId="44" fontId="42" fillId="0" borderId="76" xfId="6" applyFont="1" applyFill="1" applyBorder="1"/>
    <xf numFmtId="202" fontId="42" fillId="0" borderId="0" xfId="6" applyNumberFormat="1" applyFont="1" applyBorder="1"/>
    <xf numFmtId="0" fontId="0" fillId="0" borderId="95" xfId="0" applyBorder="1"/>
    <xf numFmtId="0" fontId="8" fillId="0" borderId="136" xfId="0" applyFont="1" applyBorder="1" applyAlignment="1">
      <alignment horizontal="center"/>
    </xf>
    <xf numFmtId="179" fontId="8" fillId="0" borderId="105" xfId="5" applyNumberFormat="1" applyFont="1" applyFill="1" applyBorder="1" applyAlignment="1">
      <alignment horizontal="center"/>
    </xf>
    <xf numFmtId="0" fontId="2" fillId="2" borderId="4" xfId="0" applyFont="1" applyFill="1" applyBorder="1"/>
    <xf numFmtId="164" fontId="4" fillId="0" borderId="5" xfId="1" applyNumberFormat="1" applyFont="1" applyFill="1" applyBorder="1" applyAlignment="1">
      <alignment horizontal="center"/>
    </xf>
    <xf numFmtId="167" fontId="177" fillId="33" borderId="0" xfId="5" applyNumberFormat="1" applyFont="1" applyFill="1"/>
    <xf numFmtId="167" fontId="177" fillId="33" borderId="0" xfId="5" applyNumberFormat="1" applyFont="1" applyFill="1" applyAlignment="1">
      <alignment horizontal="left"/>
    </xf>
    <xf numFmtId="0" fontId="179" fillId="0" borderId="0" xfId="0" applyFont="1" applyAlignment="1">
      <alignment horizontal="center"/>
    </xf>
    <xf numFmtId="43" fontId="5" fillId="0" borderId="45" xfId="2" applyFont="1" applyFill="1" applyBorder="1" applyAlignment="1">
      <alignment horizontal="left" wrapText="1"/>
    </xf>
    <xf numFmtId="43" fontId="5" fillId="0" borderId="44" xfId="2" applyFont="1" applyFill="1" applyBorder="1" applyAlignment="1">
      <alignment horizontal="left" wrapText="1"/>
    </xf>
    <xf numFmtId="43" fontId="5" fillId="0" borderId="46" xfId="2" applyFont="1" applyFill="1" applyBorder="1" applyAlignment="1">
      <alignment horizontal="left" wrapText="1"/>
    </xf>
    <xf numFmtId="169" fontId="31" fillId="0" borderId="0" xfId="28" applyNumberFormat="1" applyFont="1" applyFill="1" applyProtection="1">
      <protection locked="0"/>
    </xf>
    <xf numFmtId="167" fontId="31" fillId="0" borderId="0" xfId="29" applyNumberFormat="1" applyFont="1" applyFill="1"/>
    <xf numFmtId="167" fontId="31" fillId="0" borderId="0" xfId="29" applyNumberFormat="1" applyFont="1" applyFill="1" applyAlignment="1">
      <alignment horizontal="right"/>
    </xf>
    <xf numFmtId="4" fontId="31" fillId="0" borderId="0" xfId="29" applyNumberFormat="1" applyFont="1" applyFill="1"/>
    <xf numFmtId="43" fontId="31" fillId="0" borderId="0" xfId="29" applyFont="1" applyFill="1" applyAlignment="1">
      <alignment horizontal="right"/>
    </xf>
    <xf numFmtId="43" fontId="31" fillId="0" borderId="0" xfId="29" applyFont="1" applyFill="1"/>
    <xf numFmtId="167" fontId="31" fillId="0" borderId="0" xfId="29" applyNumberFormat="1" applyFont="1" applyFill="1" applyAlignment="1">
      <alignment horizontal="center"/>
    </xf>
    <xf numFmtId="167" fontId="31" fillId="0" borderId="136" xfId="29" applyNumberFormat="1" applyFont="1" applyFill="1" applyBorder="1" applyAlignment="1">
      <alignment horizontal="right"/>
    </xf>
    <xf numFmtId="41" fontId="31" fillId="0" borderId="0" xfId="29" applyNumberFormat="1" applyFont="1" applyFill="1" applyAlignment="1" applyProtection="1">
      <alignment horizontal="right"/>
      <protection locked="0"/>
    </xf>
    <xf numFmtId="41" fontId="31" fillId="0" borderId="0" xfId="29" applyNumberFormat="1" applyFont="1" applyFill="1" applyAlignment="1">
      <alignment horizontal="right"/>
    </xf>
    <xf numFmtId="41" fontId="31" fillId="0" borderId="0" xfId="28" applyNumberFormat="1" applyFont="1" applyFill="1" applyAlignment="1" applyProtection="1">
      <alignment horizontal="right"/>
      <protection locked="0"/>
    </xf>
    <xf numFmtId="41" fontId="31" fillId="0" borderId="0" xfId="28" applyNumberFormat="1" applyFont="1" applyFill="1" applyAlignment="1">
      <alignment horizontal="right"/>
    </xf>
    <xf numFmtId="41" fontId="31" fillId="0" borderId="136" xfId="29" applyNumberFormat="1" applyFont="1" applyFill="1" applyBorder="1" applyAlignment="1">
      <alignment horizontal="right"/>
    </xf>
    <xf numFmtId="167" fontId="31" fillId="0" borderId="0" xfId="29" quotePrefix="1" applyNumberFormat="1" applyFont="1" applyFill="1" applyAlignment="1">
      <alignment horizontal="center"/>
    </xf>
    <xf numFmtId="167" fontId="31" fillId="0" borderId="0" xfId="29" quotePrefix="1" applyNumberFormat="1" applyFont="1" applyFill="1" applyAlignment="1">
      <alignment horizontal="right"/>
    </xf>
    <xf numFmtId="43" fontId="31" fillId="0" borderId="0" xfId="28" applyNumberFormat="1" applyFont="1" applyFill="1" applyProtection="1">
      <protection locked="0"/>
    </xf>
    <xf numFmtId="43" fontId="31" fillId="0" borderId="0" xfId="29" applyFont="1" applyFill="1" applyProtection="1">
      <protection locked="0"/>
    </xf>
    <xf numFmtId="167" fontId="31" fillId="0" borderId="52" xfId="29" applyNumberFormat="1" applyFont="1" applyFill="1" applyBorder="1"/>
    <xf numFmtId="167" fontId="31" fillId="0" borderId="52" xfId="29" applyNumberFormat="1" applyFont="1" applyFill="1" applyBorder="1" applyAlignment="1">
      <alignment horizontal="center"/>
    </xf>
    <xf numFmtId="37" fontId="31" fillId="0" borderId="0" xfId="29" applyNumberFormat="1" applyFont="1" applyFill="1" applyAlignment="1">
      <alignment horizontal="center"/>
    </xf>
    <xf numFmtId="0" fontId="31" fillId="0" borderId="0" xfId="28" quotePrefix="1" applyNumberFormat="1" applyFont="1" applyFill="1" applyAlignment="1" applyProtection="1">
      <alignment horizontal="left"/>
      <protection locked="0"/>
    </xf>
    <xf numFmtId="0" fontId="31" fillId="0" borderId="0" xfId="29" applyNumberFormat="1" applyFont="1" applyFill="1" applyProtection="1">
      <protection locked="0"/>
    </xf>
    <xf numFmtId="169" fontId="31" fillId="0" borderId="0" xfId="29" applyNumberFormat="1" applyFont="1" applyFill="1" applyProtection="1">
      <protection locked="0"/>
    </xf>
    <xf numFmtId="0" fontId="31" fillId="0" borderId="0" xfId="29" applyNumberFormat="1" applyFont="1" applyFill="1"/>
    <xf numFmtId="169" fontId="31" fillId="0" borderId="0" xfId="29" applyNumberFormat="1" applyFont="1" applyFill="1"/>
    <xf numFmtId="167" fontId="31" fillId="0" borderId="52" xfId="29" applyNumberFormat="1" applyFont="1" applyFill="1" applyBorder="1" applyAlignment="1">
      <alignment horizontal="right"/>
    </xf>
    <xf numFmtId="0" fontId="31" fillId="0" borderId="0" xfId="28" applyNumberFormat="1" applyFont="1" applyFill="1" applyProtection="1">
      <protection locked="0"/>
    </xf>
    <xf numFmtId="0" fontId="31" fillId="0" borderId="0" xfId="29" quotePrefix="1" applyNumberFormat="1" applyFont="1" applyFill="1" applyAlignment="1" applyProtection="1">
      <alignment horizontal="left"/>
      <protection locked="0"/>
    </xf>
    <xf numFmtId="167" fontId="31" fillId="0" borderId="0" xfId="29" applyNumberFormat="1" applyFont="1" applyFill="1" applyProtection="1">
      <protection locked="0"/>
    </xf>
    <xf numFmtId="0" fontId="31" fillId="0" borderId="0" xfId="29" applyNumberFormat="1" applyFont="1" applyFill="1" applyAlignment="1" applyProtection="1">
      <alignment horizontal="left"/>
      <protection locked="0"/>
    </xf>
    <xf numFmtId="167" fontId="31" fillId="0" borderId="10" xfId="29" applyNumberFormat="1" applyFont="1" applyFill="1" applyBorder="1"/>
    <xf numFmtId="167" fontId="31" fillId="0" borderId="136" xfId="29" applyNumberFormat="1" applyFont="1" applyFill="1" applyBorder="1"/>
    <xf numFmtId="167" fontId="31" fillId="0" borderId="0" xfId="29" applyNumberFormat="1" applyFont="1" applyFill="1" applyBorder="1"/>
    <xf numFmtId="167" fontId="31" fillId="0" borderId="0" xfId="29" applyNumberFormat="1" applyFont="1" applyFill="1" applyBorder="1" applyAlignment="1">
      <alignment horizontal="right"/>
    </xf>
    <xf numFmtId="41" fontId="31" fillId="0" borderId="0" xfId="29" applyNumberFormat="1" applyFont="1" applyFill="1" applyBorder="1" applyAlignment="1">
      <alignment horizontal="right"/>
    </xf>
    <xf numFmtId="167" fontId="31" fillId="0" borderId="0" xfId="29" applyNumberFormat="1" applyFont="1" applyFill="1" applyBorder="1" applyAlignment="1"/>
    <xf numFmtId="10" fontId="88" fillId="0" borderId="136" xfId="15" applyNumberFormat="1" applyFont="1" applyFill="1" applyBorder="1"/>
    <xf numFmtId="10" fontId="88" fillId="0" borderId="136" xfId="1" quotePrefix="1" applyNumberFormat="1" applyFont="1" applyFill="1" applyBorder="1" applyAlignment="1" applyProtection="1">
      <alignment horizontal="center"/>
    </xf>
    <xf numFmtId="0" fontId="2" fillId="24" borderId="0" xfId="0" applyFont="1" applyFill="1" applyAlignment="1">
      <alignment horizontal="center" vertical="center"/>
    </xf>
    <xf numFmtId="0" fontId="4" fillId="0" borderId="0" xfId="0" applyFont="1" applyAlignment="1">
      <alignment horizontal="left" indent="1"/>
    </xf>
    <xf numFmtId="0" fontId="46" fillId="0" borderId="0" xfId="0" applyFont="1" applyAlignment="1">
      <alignment wrapText="1"/>
    </xf>
    <xf numFmtId="0" fontId="46" fillId="0" borderId="0" xfId="0" applyFont="1" applyAlignment="1">
      <alignment horizontal="left"/>
    </xf>
    <xf numFmtId="191" fontId="0" fillId="0" borderId="38" xfId="0" applyNumberFormat="1" applyBorder="1" applyAlignment="1">
      <alignment horizontal="center"/>
    </xf>
    <xf numFmtId="167" fontId="161" fillId="0" borderId="0" xfId="2" applyNumberFormat="1" applyFont="1"/>
    <xf numFmtId="0" fontId="8" fillId="0" borderId="25" xfId="0" applyFont="1" applyBorder="1" applyAlignment="1">
      <alignment horizontal="center" wrapText="1"/>
    </xf>
    <xf numFmtId="179" fontId="48" fillId="0" borderId="138" xfId="9" quotePrefix="1" applyNumberFormat="1" applyFont="1" applyBorder="1" applyAlignment="1">
      <alignment horizontal="center"/>
    </xf>
    <xf numFmtId="169" fontId="49" fillId="21" borderId="118" xfId="6" applyNumberFormat="1" applyFont="1" applyFill="1" applyBorder="1" applyAlignment="1">
      <alignment horizontal="left" wrapText="1"/>
    </xf>
    <xf numFmtId="169" fontId="49" fillId="21" borderId="67" xfId="6" applyNumberFormat="1" applyFont="1" applyFill="1" applyBorder="1" applyAlignment="1">
      <alignment horizontal="left" wrapText="1"/>
    </xf>
    <xf numFmtId="169" fontId="41" fillId="21" borderId="119" xfId="6" applyNumberFormat="1" applyFont="1" applyFill="1" applyBorder="1" applyAlignment="1">
      <alignment horizontal="left" wrapText="1"/>
    </xf>
    <xf numFmtId="169" fontId="41" fillId="21" borderId="2" xfId="6" applyNumberFormat="1" applyFont="1" applyFill="1" applyBorder="1" applyAlignment="1">
      <alignment horizontal="left" wrapText="1"/>
    </xf>
    <xf numFmtId="169" fontId="41" fillId="21" borderId="2" xfId="6" applyNumberFormat="1" applyFont="1" applyFill="1" applyBorder="1" applyAlignment="1">
      <alignment horizontal="center" wrapText="1"/>
    </xf>
    <xf numFmtId="37" fontId="17" fillId="0" borderId="112" xfId="0" applyNumberFormat="1" applyFont="1" applyBorder="1" applyAlignment="1">
      <alignment horizontal="center"/>
    </xf>
    <xf numFmtId="167" fontId="8" fillId="0" borderId="120" xfId="5" applyNumberFormat="1" applyFont="1" applyFill="1" applyBorder="1" applyAlignment="1">
      <alignment horizontal="center" wrapText="1"/>
    </xf>
    <xf numFmtId="167" fontId="5" fillId="0" borderId="55" xfId="5" applyNumberFormat="1" applyFont="1" applyFill="1" applyBorder="1" applyAlignment="1">
      <alignment horizontal="center" wrapText="1"/>
    </xf>
    <xf numFmtId="169" fontId="8" fillId="0" borderId="34" xfId="6" applyNumberFormat="1" applyFont="1" applyFill="1" applyBorder="1" applyAlignment="1">
      <alignment horizontal="left" wrapText="1"/>
    </xf>
    <xf numFmtId="169" fontId="8" fillId="0" borderId="121" xfId="6" applyNumberFormat="1" applyFont="1" applyFill="1" applyBorder="1" applyAlignment="1">
      <alignment horizontal="left" wrapText="1"/>
    </xf>
    <xf numFmtId="169" fontId="5" fillId="0" borderId="106" xfId="6" applyNumberFormat="1" applyFont="1" applyFill="1" applyBorder="1" applyAlignment="1">
      <alignment horizontal="left" wrapText="1"/>
    </xf>
    <xf numFmtId="37" fontId="17" fillId="0" borderId="42" xfId="0" applyNumberFormat="1" applyFont="1" applyBorder="1" applyAlignment="1">
      <alignment horizontal="center"/>
    </xf>
    <xf numFmtId="37" fontId="17" fillId="0" borderId="87" xfId="0" applyNumberFormat="1" applyFont="1" applyBorder="1" applyAlignment="1">
      <alignment horizontal="center"/>
    </xf>
    <xf numFmtId="0" fontId="0" fillId="19" borderId="14" xfId="0" applyFill="1" applyBorder="1"/>
    <xf numFmtId="175" fontId="8" fillId="0" borderId="120" xfId="15" applyNumberFormat="1" applyFont="1" applyFill="1" applyBorder="1" applyAlignment="1">
      <alignment horizontal="center" wrapText="1"/>
    </xf>
    <xf numFmtId="9" fontId="5" fillId="0" borderId="55" xfId="15" applyFont="1" applyFill="1" applyBorder="1" applyAlignment="1">
      <alignment horizontal="center" wrapText="1"/>
    </xf>
    <xf numFmtId="9" fontId="5" fillId="0" borderId="17" xfId="15" applyFont="1" applyFill="1" applyBorder="1" applyAlignment="1">
      <alignment horizontal="center" wrapText="1"/>
    </xf>
    <xf numFmtId="9" fontId="8" fillId="0" borderId="120" xfId="15" applyFont="1" applyFill="1" applyBorder="1" applyAlignment="1">
      <alignment horizontal="center" wrapText="1"/>
    </xf>
    <xf numFmtId="9" fontId="8" fillId="0" borderId="55" xfId="15" applyFont="1" applyFill="1" applyBorder="1" applyAlignment="1">
      <alignment horizontal="center" wrapText="1"/>
    </xf>
    <xf numFmtId="44" fontId="41" fillId="0" borderId="0" xfId="0" applyNumberFormat="1" applyFont="1"/>
    <xf numFmtId="0" fontId="41" fillId="19" borderId="0" xfId="0" applyFont="1" applyFill="1"/>
    <xf numFmtId="0" fontId="49" fillId="0" borderId="34" xfId="0" applyFont="1" applyBorder="1" applyAlignment="1">
      <alignment horizontal="center" wrapText="1"/>
    </xf>
    <xf numFmtId="9" fontId="41" fillId="0" borderId="44" xfId="15" applyFont="1" applyFill="1" applyBorder="1" applyAlignment="1">
      <alignment horizontal="center" wrapText="1"/>
    </xf>
    <xf numFmtId="9" fontId="41" fillId="0" borderId="55" xfId="15" applyFont="1" applyFill="1" applyBorder="1" applyAlignment="1">
      <alignment horizontal="center" wrapText="1"/>
    </xf>
    <xf numFmtId="9" fontId="5" fillId="0" borderId="33" xfId="15" applyFont="1" applyFill="1" applyBorder="1" applyAlignment="1">
      <alignment horizontal="center" wrapText="1"/>
    </xf>
    <xf numFmtId="9" fontId="49" fillId="0" borderId="120" xfId="15" applyFont="1" applyFill="1" applyBorder="1" applyAlignment="1">
      <alignment horizontal="center" wrapText="1"/>
    </xf>
    <xf numFmtId="9" fontId="49" fillId="0" borderId="44" xfId="15" applyFont="1" applyFill="1" applyBorder="1" applyAlignment="1">
      <alignment horizontal="center" wrapText="1"/>
    </xf>
    <xf numFmtId="167" fontId="41" fillId="0" borderId="10" xfId="5" applyNumberFormat="1" applyFont="1" applyFill="1" applyBorder="1" applyAlignment="1">
      <alignment horizontal="center" wrapText="1"/>
    </xf>
    <xf numFmtId="9" fontId="41" fillId="0" borderId="33" xfId="15" applyFont="1" applyFill="1" applyBorder="1" applyAlignment="1">
      <alignment horizontal="center" wrapText="1"/>
    </xf>
    <xf numFmtId="9" fontId="5" fillId="0" borderId="98" xfId="15" applyFont="1" applyFill="1" applyBorder="1" applyAlignment="1">
      <alignment horizontal="center" wrapText="1"/>
    </xf>
    <xf numFmtId="9" fontId="41" fillId="0" borderId="10" xfId="15" applyFont="1" applyFill="1" applyBorder="1" applyAlignment="1">
      <alignment horizontal="center" wrapText="1"/>
    </xf>
    <xf numFmtId="9" fontId="41" fillId="0" borderId="98" xfId="15" applyFont="1" applyFill="1" applyBorder="1" applyAlignment="1">
      <alignment horizontal="center" wrapText="1"/>
    </xf>
    <xf numFmtId="37" fontId="101" fillId="0" borderId="0" xfId="0" applyNumberFormat="1" applyFont="1" applyAlignment="1">
      <alignment horizontal="center"/>
    </xf>
    <xf numFmtId="167" fontId="49" fillId="0" borderId="120" xfId="5" applyNumberFormat="1" applyFont="1" applyFill="1" applyBorder="1" applyAlignment="1">
      <alignment horizontal="center" wrapText="1"/>
    </xf>
    <xf numFmtId="167" fontId="41" fillId="0" borderId="44" xfId="5" applyNumberFormat="1" applyFont="1" applyFill="1" applyBorder="1" applyAlignment="1">
      <alignment horizontal="center" wrapText="1"/>
    </xf>
    <xf numFmtId="169" fontId="49" fillId="0" borderId="34" xfId="6" applyNumberFormat="1" applyFont="1" applyFill="1" applyBorder="1" applyAlignment="1">
      <alignment horizontal="left" wrapText="1"/>
    </xf>
    <xf numFmtId="169" fontId="49" fillId="0" borderId="121" xfId="6" applyNumberFormat="1" applyFont="1" applyFill="1" applyBorder="1" applyAlignment="1">
      <alignment horizontal="left" wrapText="1"/>
    </xf>
    <xf numFmtId="169" fontId="41" fillId="0" borderId="106" xfId="6" applyNumberFormat="1" applyFont="1" applyFill="1" applyBorder="1" applyAlignment="1">
      <alignment horizontal="left" wrapText="1"/>
    </xf>
    <xf numFmtId="169" fontId="41" fillId="0" borderId="44" xfId="6" applyNumberFormat="1" applyFont="1" applyFill="1" applyBorder="1" applyAlignment="1">
      <alignment horizontal="left" wrapText="1"/>
    </xf>
    <xf numFmtId="167" fontId="41" fillId="0" borderId="55" xfId="5" applyNumberFormat="1" applyFont="1" applyFill="1" applyBorder="1" applyAlignment="1">
      <alignment horizontal="center" wrapText="1"/>
    </xf>
    <xf numFmtId="167" fontId="0" fillId="0" borderId="0" xfId="5" applyNumberFormat="1" applyFont="1" applyFill="1" applyBorder="1" applyAlignment="1">
      <alignment horizontal="centerContinuous"/>
    </xf>
    <xf numFmtId="190" fontId="42" fillId="0" borderId="0" xfId="5" applyNumberFormat="1" applyFont="1"/>
    <xf numFmtId="43" fontId="31" fillId="0" borderId="146" xfId="29" quotePrefix="1" applyFont="1" applyFill="1" applyBorder="1" applyAlignment="1">
      <alignment horizontal="left"/>
    </xf>
    <xf numFmtId="167" fontId="31" fillId="0" borderId="63" xfId="29" applyNumberFormat="1" applyFont="1" applyFill="1" applyBorder="1"/>
    <xf numFmtId="167" fontId="31" fillId="0" borderId="63" xfId="29" applyNumberFormat="1" applyFont="1" applyFill="1" applyBorder="1" applyAlignment="1"/>
    <xf numFmtId="167" fontId="31" fillId="0" borderId="63" xfId="29" applyNumberFormat="1" applyFont="1" applyFill="1" applyBorder="1" applyAlignment="1">
      <alignment horizontal="right"/>
    </xf>
    <xf numFmtId="2" fontId="31" fillId="0" borderId="0" xfId="29" applyNumberFormat="1" applyFont="1" applyFill="1" applyProtection="1">
      <protection locked="0"/>
    </xf>
    <xf numFmtId="2" fontId="31" fillId="0" borderId="0" xfId="28" applyNumberFormat="1" applyFont="1" applyFill="1" applyProtection="1">
      <protection locked="0"/>
    </xf>
    <xf numFmtId="167" fontId="31" fillId="0" borderId="136" xfId="109" applyNumberFormat="1" applyFont="1" applyFill="1" applyBorder="1" applyAlignment="1">
      <alignment horizontal="right"/>
    </xf>
    <xf numFmtId="167" fontId="31" fillId="0" borderId="0" xfId="109" applyNumberFormat="1" applyFont="1" applyFill="1" applyAlignment="1">
      <alignment horizontal="center"/>
    </xf>
    <xf numFmtId="167" fontId="8" fillId="0" borderId="0" xfId="109" applyNumberFormat="1" applyFont="1" applyFill="1"/>
    <xf numFmtId="167" fontId="8" fillId="0" borderId="0" xfId="109" applyNumberFormat="1" applyFont="1" applyFill="1" applyBorder="1"/>
    <xf numFmtId="37" fontId="6" fillId="0" borderId="63" xfId="109" applyNumberFormat="1" applyFont="1" applyFill="1" applyBorder="1" applyAlignment="1"/>
    <xf numFmtId="3" fontId="0" fillId="0" borderId="148" xfId="0" applyNumberFormat="1" applyBorder="1" applyAlignment="1">
      <alignment horizontal="center"/>
    </xf>
    <xf numFmtId="169" fontId="0" fillId="0" borderId="0" xfId="6" applyNumberFormat="1" applyFont="1" applyAlignment="1">
      <alignment wrapText="1"/>
    </xf>
    <xf numFmtId="0" fontId="8" fillId="0" borderId="138" xfId="0" applyFont="1" applyBorder="1"/>
    <xf numFmtId="0" fontId="0" fillId="0" borderId="136" xfId="0" applyBorder="1"/>
    <xf numFmtId="167" fontId="0" fillId="0" borderId="136" xfId="0" applyNumberFormat="1" applyBorder="1"/>
    <xf numFmtId="0" fontId="0" fillId="0" borderId="138" xfId="0" applyBorder="1"/>
    <xf numFmtId="167" fontId="4" fillId="0" borderId="108" xfId="5" applyNumberFormat="1" applyFont="1" applyFill="1" applyBorder="1"/>
    <xf numFmtId="0" fontId="4" fillId="0" borderId="146" xfId="0" applyFont="1" applyBorder="1"/>
    <xf numFmtId="167" fontId="4" fillId="0" borderId="96" xfId="0" applyNumberFormat="1" applyFont="1" applyBorder="1"/>
    <xf numFmtId="0" fontId="86" fillId="0" borderId="0" xfId="18" applyFont="1" applyAlignment="1">
      <alignment horizontal="center"/>
    </xf>
    <xf numFmtId="0" fontId="86" fillId="0" borderId="0" xfId="18" applyFont="1" applyAlignment="1">
      <alignment horizontal="left"/>
    </xf>
    <xf numFmtId="0" fontId="86" fillId="0" borderId="131" xfId="18" applyFont="1" applyBorder="1" applyAlignment="1">
      <alignment horizontal="center" vertical="center" wrapText="1"/>
    </xf>
    <xf numFmtId="0" fontId="46" fillId="0" borderId="44" xfId="18" applyFont="1" applyBorder="1" applyAlignment="1">
      <alignment horizontal="left"/>
    </xf>
    <xf numFmtId="0" fontId="86" fillId="0" borderId="0" xfId="18" applyFont="1"/>
    <xf numFmtId="0" fontId="86" fillId="0" borderId="131" xfId="18" applyFont="1" applyBorder="1" applyAlignment="1">
      <alignment horizontal="left" vertical="center"/>
    </xf>
    <xf numFmtId="0" fontId="86" fillId="0" borderId="44" xfId="18" applyFont="1" applyBorder="1" applyAlignment="1">
      <alignment horizontal="left"/>
    </xf>
    <xf numFmtId="0" fontId="86" fillId="0" borderId="0" xfId="18" applyFont="1" applyAlignment="1">
      <alignment horizontal="center" vertical="top"/>
    </xf>
    <xf numFmtId="0" fontId="86" fillId="0" borderId="130" xfId="18" applyFont="1" applyBorder="1" applyAlignment="1">
      <alignment horizontal="center" vertical="center"/>
    </xf>
    <xf numFmtId="0" fontId="46" fillId="0" borderId="44" xfId="18" applyFont="1" applyBorder="1" applyAlignment="1">
      <alignment horizontal="center" wrapText="1"/>
    </xf>
    <xf numFmtId="0" fontId="86" fillId="0" borderId="0" xfId="18" applyFont="1" applyAlignment="1">
      <alignment horizontal="center" vertical="center"/>
    </xf>
    <xf numFmtId="169" fontId="46" fillId="0" borderId="0" xfId="302" applyNumberFormat="1" applyFont="1" applyFill="1" applyBorder="1"/>
    <xf numFmtId="0" fontId="86" fillId="0" borderId="44" xfId="18" applyFont="1" applyBorder="1"/>
    <xf numFmtId="44" fontId="4" fillId="0" borderId="44" xfId="108" applyFont="1" applyFill="1" applyBorder="1"/>
    <xf numFmtId="167" fontId="184" fillId="0" borderId="0" xfId="23" applyNumberFormat="1" applyFont="1" applyFill="1" applyAlignment="1">
      <alignment wrapText="1"/>
    </xf>
    <xf numFmtId="169" fontId="86" fillId="0" borderId="0" xfId="302" applyNumberFormat="1" applyFont="1" applyFill="1" applyBorder="1"/>
    <xf numFmtId="0" fontId="46" fillId="0" borderId="0" xfId="18" applyFont="1" applyAlignment="1">
      <alignment horizontal="left"/>
    </xf>
    <xf numFmtId="0" fontId="86" fillId="0" borderId="114" xfId="18" applyFont="1" applyBorder="1" applyAlignment="1">
      <alignment horizontal="left"/>
    </xf>
    <xf numFmtId="0" fontId="86" fillId="0" borderId="113" xfId="18" applyFont="1" applyBorder="1" applyAlignment="1">
      <alignment horizontal="left"/>
    </xf>
    <xf numFmtId="0" fontId="46" fillId="0" borderId="59" xfId="18" applyFont="1" applyBorder="1" applyAlignment="1">
      <alignment horizontal="left"/>
    </xf>
    <xf numFmtId="0" fontId="86" fillId="0" borderId="121" xfId="18" applyFont="1" applyBorder="1" applyAlignment="1">
      <alignment horizontal="left" wrapText="1"/>
    </xf>
    <xf numFmtId="0" fontId="86" fillId="0" borderId="59" xfId="18" applyFont="1" applyBorder="1" applyAlignment="1">
      <alignment horizontal="left"/>
    </xf>
    <xf numFmtId="0" fontId="86" fillId="0" borderId="122" xfId="18" applyFont="1" applyBorder="1" applyAlignment="1">
      <alignment horizontal="left"/>
    </xf>
    <xf numFmtId="0" fontId="86" fillId="0" borderId="32" xfId="18" applyFont="1" applyBorder="1" applyAlignment="1">
      <alignment horizontal="left"/>
    </xf>
    <xf numFmtId="0" fontId="46" fillId="0" borderId="44" xfId="18" applyFont="1" applyBorder="1" applyAlignment="1">
      <alignment horizontal="center"/>
    </xf>
    <xf numFmtId="0" fontId="46" fillId="0" borderId="44" xfId="8" applyFont="1" applyBorder="1" applyAlignment="1">
      <alignment horizontal="left" vertical="center"/>
    </xf>
    <xf numFmtId="0" fontId="46" fillId="0" borderId="34" xfId="8" applyFont="1" applyBorder="1" applyAlignment="1">
      <alignment horizontal="center" vertical="center" wrapText="1"/>
    </xf>
    <xf numFmtId="0" fontId="46" fillId="0" borderId="44" xfId="8" applyFont="1" applyBorder="1" applyAlignment="1">
      <alignment horizontal="left"/>
    </xf>
    <xf numFmtId="0" fontId="19" fillId="0" borderId="44" xfId="18" applyFont="1" applyBorder="1" applyAlignment="1">
      <alignment vertical="center" wrapText="1"/>
    </xf>
    <xf numFmtId="0" fontId="34" fillId="0" borderId="114" xfId="18" applyFont="1" applyBorder="1" applyAlignment="1">
      <alignment vertical="center"/>
    </xf>
    <xf numFmtId="0" fontId="46" fillId="0" borderId="114" xfId="18" applyFont="1" applyBorder="1" applyAlignment="1">
      <alignment horizontal="center"/>
    </xf>
    <xf numFmtId="0" fontId="185" fillId="0" borderId="44" xfId="18" applyFont="1" applyBorder="1" applyAlignment="1">
      <alignment vertical="center" wrapText="1"/>
    </xf>
    <xf numFmtId="0" fontId="34" fillId="0" borderId="44" xfId="18" applyFont="1" applyBorder="1" applyAlignment="1">
      <alignment vertical="center"/>
    </xf>
    <xf numFmtId="0" fontId="185" fillId="0" borderId="32" xfId="18" applyFont="1" applyBorder="1" applyAlignment="1">
      <alignment vertical="center" wrapText="1"/>
    </xf>
    <xf numFmtId="0" fontId="34" fillId="0" borderId="0" xfId="18" applyFont="1" applyAlignment="1">
      <alignment vertical="center"/>
    </xf>
    <xf numFmtId="0" fontId="46" fillId="0" borderId="32" xfId="18" applyFont="1" applyBorder="1" applyAlignment="1">
      <alignment horizontal="center"/>
    </xf>
    <xf numFmtId="0" fontId="72" fillId="0" borderId="55" xfId="18" applyFont="1" applyBorder="1" applyAlignment="1">
      <alignment vertical="center" wrapText="1"/>
    </xf>
    <xf numFmtId="42" fontId="86" fillId="0" borderId="0" xfId="44" applyNumberFormat="1" applyFont="1" applyFill="1" applyBorder="1"/>
    <xf numFmtId="0" fontId="86" fillId="0" borderId="132" xfId="18" applyFont="1" applyBorder="1" applyAlignment="1">
      <alignment horizontal="left" vertical="center"/>
    </xf>
    <xf numFmtId="0" fontId="86" fillId="0" borderId="132" xfId="18" applyFont="1" applyBorder="1" applyAlignment="1">
      <alignment horizontal="center" vertical="center" wrapText="1"/>
    </xf>
    <xf numFmtId="0" fontId="46" fillId="0" borderId="44" xfId="18" applyFont="1" applyBorder="1" applyAlignment="1">
      <alignment vertical="center"/>
    </xf>
    <xf numFmtId="0" fontId="86" fillId="0" borderId="44" xfId="18" applyFont="1" applyBorder="1" applyAlignment="1">
      <alignment vertical="center"/>
    </xf>
    <xf numFmtId="0" fontId="46" fillId="0" borderId="44" xfId="18" applyFont="1" applyBorder="1"/>
    <xf numFmtId="0" fontId="86" fillId="0" borderId="114" xfId="18" applyFont="1" applyBorder="1"/>
    <xf numFmtId="0" fontId="46" fillId="0" borderId="114" xfId="18" applyFont="1" applyBorder="1"/>
    <xf numFmtId="0" fontId="46" fillId="0" borderId="44" xfId="18" applyFont="1" applyBorder="1" applyAlignment="1">
      <alignment vertical="justify"/>
    </xf>
    <xf numFmtId="0" fontId="86" fillId="0" borderId="44" xfId="18" applyFont="1" applyBorder="1" applyAlignment="1">
      <alignment horizontal="left" vertical="center"/>
    </xf>
    <xf numFmtId="0" fontId="46" fillId="0" borderId="44" xfId="18" applyFont="1" applyBorder="1" applyAlignment="1">
      <alignment horizontal="left" vertical="center"/>
    </xf>
    <xf numFmtId="0" fontId="46" fillId="0" borderId="44" xfId="18" applyFont="1" applyBorder="1" applyAlignment="1">
      <alignment horizontal="left" wrapText="1"/>
    </xf>
    <xf numFmtId="0" fontId="46" fillId="0" borderId="44" xfId="18" applyFont="1" applyBorder="1" applyAlignment="1">
      <alignment horizontal="left" vertical="justify"/>
    </xf>
    <xf numFmtId="0" fontId="46" fillId="0" borderId="44" xfId="18" applyFont="1" applyBorder="1" applyAlignment="1">
      <alignment wrapText="1"/>
    </xf>
    <xf numFmtId="0" fontId="86" fillId="0" borderId="44" xfId="18" applyFont="1" applyBorder="1" applyAlignment="1">
      <alignment horizontal="center"/>
    </xf>
    <xf numFmtId="0" fontId="46" fillId="0" borderId="0" xfId="18" applyFont="1"/>
    <xf numFmtId="0" fontId="46" fillId="0" borderId="114" xfId="18" applyFont="1" applyBorder="1" applyAlignment="1">
      <alignment wrapText="1"/>
    </xf>
    <xf numFmtId="0" fontId="4" fillId="0" borderId="59" xfId="18" applyFont="1" applyBorder="1"/>
    <xf numFmtId="0" fontId="46" fillId="0" borderId="0" xfId="18" applyFont="1" applyAlignment="1">
      <alignment horizontal="center" wrapText="1"/>
    </xf>
    <xf numFmtId="0" fontId="158" fillId="0" borderId="34" xfId="18" applyFont="1" applyBorder="1"/>
    <xf numFmtId="0" fontId="86" fillId="0" borderId="34" xfId="18" applyFont="1" applyBorder="1" applyAlignment="1">
      <alignment horizontal="center"/>
    </xf>
    <xf numFmtId="169" fontId="86" fillId="0" borderId="44" xfId="302" applyNumberFormat="1" applyFont="1" applyFill="1" applyBorder="1"/>
    <xf numFmtId="169" fontId="158" fillId="0" borderId="0" xfId="302" applyNumberFormat="1" applyFont="1" applyFill="1" applyBorder="1"/>
    <xf numFmtId="0" fontId="86" fillId="0" borderId="0" xfId="18" applyFont="1" applyAlignment="1">
      <alignment horizontal="right"/>
    </xf>
    <xf numFmtId="0" fontId="29" fillId="0" borderId="0" xfId="0" applyFont="1" applyAlignment="1">
      <alignment horizontal="center"/>
    </xf>
    <xf numFmtId="169" fontId="2" fillId="0" borderId="0" xfId="6" applyNumberFormat="1" applyFont="1"/>
    <xf numFmtId="43" fontId="5" fillId="0" borderId="0" xfId="2" applyFont="1" applyFill="1" applyBorder="1"/>
    <xf numFmtId="185" fontId="42" fillId="0" borderId="0" xfId="1" applyNumberFormat="1" applyFont="1"/>
    <xf numFmtId="185" fontId="3" fillId="3" borderId="148" xfId="1" applyNumberFormat="1" applyFont="1" applyFill="1" applyBorder="1" applyAlignment="1">
      <alignment horizontal="center"/>
    </xf>
    <xf numFmtId="185" fontId="42" fillId="0" borderId="10" xfId="15" applyNumberFormat="1" applyFont="1" applyFill="1" applyBorder="1"/>
    <xf numFmtId="10" fontId="0" fillId="0" borderId="5" xfId="1" applyNumberFormat="1" applyFont="1" applyBorder="1" applyAlignment="1">
      <alignment horizontal="center"/>
    </xf>
    <xf numFmtId="0" fontId="0" fillId="0" borderId="123" xfId="0" applyBorder="1"/>
    <xf numFmtId="0" fontId="0" fillId="0" borderId="146" xfId="0" applyBorder="1"/>
    <xf numFmtId="10" fontId="2" fillId="0" borderId="2" xfId="1" applyNumberFormat="1" applyFont="1" applyBorder="1" applyAlignment="1">
      <alignment horizontal="center"/>
    </xf>
    <xf numFmtId="10" fontId="2" fillId="0" borderId="3" xfId="1" applyNumberFormat="1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3" fillId="0" borderId="0" xfId="0" applyFont="1"/>
    <xf numFmtId="37" fontId="27" fillId="0" borderId="0" xfId="0" quotePrefix="1" applyNumberFormat="1" applyFont="1" applyAlignment="1">
      <alignment horizontal="center"/>
    </xf>
    <xf numFmtId="37" fontId="57" fillId="0" borderId="0" xfId="0" applyNumberFormat="1" applyFont="1" applyAlignment="1">
      <alignment horizontal="right"/>
    </xf>
    <xf numFmtId="37" fontId="57" fillId="0" borderId="0" xfId="0" applyNumberFormat="1" applyFont="1"/>
    <xf numFmtId="37" fontId="57" fillId="0" borderId="0" xfId="0" applyNumberFormat="1" applyFont="1" applyAlignment="1">
      <alignment horizontal="fill"/>
    </xf>
    <xf numFmtId="167" fontId="57" fillId="0" borderId="0" xfId="2" applyNumberFormat="1" applyFont="1" applyFill="1"/>
    <xf numFmtId="0" fontId="23" fillId="0" borderId="0" xfId="0" applyFont="1" applyAlignment="1">
      <alignment horizontal="center"/>
    </xf>
    <xf numFmtId="37" fontId="57" fillId="0" borderId="0" xfId="0" applyNumberFormat="1" applyFont="1" applyAlignment="1">
      <alignment horizontal="center"/>
    </xf>
    <xf numFmtId="37" fontId="57" fillId="0" borderId="0" xfId="0" quotePrefix="1" applyNumberFormat="1" applyFont="1"/>
    <xf numFmtId="37" fontId="58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22" fillId="0" borderId="0" xfId="0" applyFont="1"/>
    <xf numFmtId="37" fontId="57" fillId="0" borderId="94" xfId="0" applyNumberFormat="1" applyFont="1" applyBorder="1"/>
    <xf numFmtId="17" fontId="24" fillId="0" borderId="0" xfId="2" quotePrefix="1" applyNumberFormat="1" applyFont="1" applyFill="1" applyBorder="1" applyAlignment="1">
      <alignment horizontal="center"/>
    </xf>
    <xf numFmtId="0" fontId="24" fillId="0" borderId="0" xfId="2" applyNumberFormat="1" applyFont="1" applyFill="1" applyBorder="1" applyAlignment="1">
      <alignment horizontal="center"/>
    </xf>
    <xf numFmtId="17" fontId="12" fillId="0" borderId="0" xfId="2" applyNumberFormat="1" applyFont="1" applyFill="1" applyBorder="1" applyAlignment="1">
      <alignment horizontal="center"/>
    </xf>
    <xf numFmtId="0" fontId="24" fillId="0" borderId="94" xfId="0" quotePrefix="1" applyFont="1" applyBorder="1" applyAlignment="1">
      <alignment horizontal="center"/>
    </xf>
    <xf numFmtId="0" fontId="24" fillId="0" borderId="94" xfId="0" applyFont="1" applyBorder="1" applyAlignment="1">
      <alignment horizontal="center"/>
    </xf>
    <xf numFmtId="0" fontId="24" fillId="0" borderId="144" xfId="0" applyFont="1" applyBorder="1" applyAlignment="1">
      <alignment horizontal="center"/>
    </xf>
    <xf numFmtId="37" fontId="3" fillId="0" borderId="0" xfId="2" applyNumberFormat="1" applyFont="1" applyFill="1" applyAlignment="1">
      <alignment horizontal="right"/>
    </xf>
    <xf numFmtId="37" fontId="3" fillId="0" borderId="0" xfId="2" quotePrefix="1" applyNumberFormat="1" applyFont="1" applyFill="1" applyBorder="1" applyAlignment="1">
      <alignment horizontal="right"/>
    </xf>
    <xf numFmtId="0" fontId="24" fillId="0" borderId="0" xfId="0" applyFont="1" applyAlignment="1">
      <alignment horizontal="centerContinuous"/>
    </xf>
    <xf numFmtId="0" fontId="2" fillId="0" borderId="0" xfId="0" applyFont="1" applyAlignment="1">
      <alignment horizontal="centerContinuous"/>
    </xf>
    <xf numFmtId="0" fontId="2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" fillId="0" borderId="22" xfId="0" applyFont="1" applyBorder="1"/>
    <xf numFmtId="37" fontId="3" fillId="0" borderId="22" xfId="2" applyNumberFormat="1" applyFont="1" applyFill="1" applyBorder="1" applyAlignment="1">
      <alignment horizontal="right"/>
    </xf>
    <xf numFmtId="37" fontId="3" fillId="0" borderId="23" xfId="2" applyNumberFormat="1" applyFont="1" applyFill="1" applyBorder="1" applyAlignment="1">
      <alignment horizontal="right"/>
    </xf>
    <xf numFmtId="37" fontId="3" fillId="0" borderId="0" xfId="2" applyNumberFormat="1" applyFont="1" applyFill="1" applyBorder="1" applyAlignment="1">
      <alignment horizontal="right"/>
    </xf>
    <xf numFmtId="37" fontId="3" fillId="0" borderId="28" xfId="2" applyNumberFormat="1" applyFont="1" applyFill="1" applyBorder="1" applyAlignment="1">
      <alignment horizontal="right"/>
    </xf>
    <xf numFmtId="0" fontId="0" fillId="0" borderId="95" xfId="0" applyBorder="1" applyAlignment="1">
      <alignment horizontal="center"/>
    </xf>
    <xf numFmtId="0" fontId="3" fillId="0" borderId="146" xfId="0" applyFont="1" applyBorder="1"/>
    <xf numFmtId="37" fontId="3" fillId="0" borderId="146" xfId="2" applyNumberFormat="1" applyFont="1" applyFill="1" applyBorder="1" applyAlignment="1">
      <alignment horizontal="right"/>
    </xf>
    <xf numFmtId="37" fontId="3" fillId="0" borderId="96" xfId="2" applyNumberFormat="1" applyFont="1" applyFill="1" applyBorder="1" applyAlignment="1">
      <alignment horizontal="right"/>
    </xf>
    <xf numFmtId="0" fontId="31" fillId="0" borderId="146" xfId="33" quotePrefix="1" applyFont="1" applyBorder="1" applyAlignment="1">
      <alignment horizontal="left"/>
    </xf>
    <xf numFmtId="0" fontId="31" fillId="0" borderId="146" xfId="33" applyFont="1" applyBorder="1"/>
    <xf numFmtId="0" fontId="31" fillId="0" borderId="146" xfId="33" applyFont="1" applyBorder="1" applyAlignment="1">
      <alignment horizontal="right"/>
    </xf>
    <xf numFmtId="183" fontId="31" fillId="0" borderId="146" xfId="33" applyNumberFormat="1" applyFont="1" applyBorder="1" applyAlignment="1">
      <alignment horizontal="center"/>
    </xf>
    <xf numFmtId="0" fontId="8" fillId="0" borderId="0" xfId="3" applyFont="1"/>
    <xf numFmtId="0" fontId="31" fillId="0" borderId="0" xfId="33" applyFont="1" applyAlignment="1">
      <alignment horizontal="right"/>
    </xf>
    <xf numFmtId="0" fontId="31" fillId="0" borderId="0" xfId="33" quotePrefix="1" applyFont="1" applyAlignment="1">
      <alignment horizontal="left"/>
    </xf>
    <xf numFmtId="0" fontId="31" fillId="0" borderId="22" xfId="33" applyFont="1" applyBorder="1" applyAlignment="1">
      <alignment horizontal="left"/>
    </xf>
    <xf numFmtId="0" fontId="31" fillId="0" borderId="22" xfId="33" applyFont="1" applyBorder="1" applyAlignment="1">
      <alignment horizontal="right"/>
    </xf>
    <xf numFmtId="0" fontId="31" fillId="0" borderId="0" xfId="33" applyFont="1" applyAlignment="1">
      <alignment horizontal="left"/>
    </xf>
    <xf numFmtId="0" fontId="5" fillId="0" borderId="0" xfId="3"/>
    <xf numFmtId="0" fontId="31" fillId="0" borderId="0" xfId="27" quotePrefix="1" applyFont="1" applyAlignment="1">
      <alignment horizontal="left"/>
    </xf>
    <xf numFmtId="0" fontId="31" fillId="0" borderId="146" xfId="33" applyFont="1" applyBorder="1" applyAlignment="1">
      <alignment horizontal="center"/>
    </xf>
    <xf numFmtId="0" fontId="31" fillId="0" borderId="0" xfId="33" quotePrefix="1" applyFont="1" applyAlignment="1">
      <alignment horizontal="center"/>
    </xf>
    <xf numFmtId="0" fontId="31" fillId="0" borderId="0" xfId="33" quotePrefix="1" applyFont="1" applyAlignment="1">
      <alignment horizontal="right"/>
    </xf>
    <xf numFmtId="14" fontId="31" fillId="0" borderId="146" xfId="33" applyNumberFormat="1" applyFont="1" applyBorder="1" applyAlignment="1">
      <alignment horizontal="center"/>
    </xf>
    <xf numFmtId="14" fontId="31" fillId="0" borderId="146" xfId="33" quotePrefix="1" applyNumberFormat="1" applyFont="1" applyBorder="1" applyAlignment="1">
      <alignment horizontal="center"/>
    </xf>
    <xf numFmtId="0" fontId="31" fillId="0" borderId="146" xfId="33" quotePrefix="1" applyFont="1" applyBorder="1" applyAlignment="1">
      <alignment horizontal="center"/>
    </xf>
    <xf numFmtId="0" fontId="31" fillId="0" borderId="146" xfId="33" quotePrefix="1" applyFont="1" applyBorder="1" applyAlignment="1">
      <alignment horizontal="right"/>
    </xf>
    <xf numFmtId="0" fontId="31" fillId="0" borderId="0" xfId="13" applyFont="1" applyAlignment="1">
      <alignment wrapText="1"/>
    </xf>
    <xf numFmtId="183" fontId="31" fillId="0" borderId="0" xfId="33" applyNumberFormat="1" applyFont="1" applyAlignment="1">
      <alignment horizontal="center"/>
    </xf>
    <xf numFmtId="183" fontId="31" fillId="0" borderId="0" xfId="33" applyNumberFormat="1" applyFont="1"/>
    <xf numFmtId="183" fontId="31" fillId="0" borderId="0" xfId="33" applyNumberFormat="1" applyFont="1" applyAlignment="1">
      <alignment horizontal="right"/>
    </xf>
    <xf numFmtId="2" fontId="31" fillId="0" borderId="0" xfId="33" applyNumberFormat="1" applyFont="1" applyAlignment="1">
      <alignment horizontal="center"/>
    </xf>
    <xf numFmtId="2" fontId="31" fillId="0" borderId="0" xfId="33" applyNumberFormat="1" applyFont="1"/>
    <xf numFmtId="0" fontId="31" fillId="0" borderId="0" xfId="33" applyFont="1" applyProtection="1">
      <protection locked="0"/>
    </xf>
    <xf numFmtId="0" fontId="31" fillId="0" borderId="0" xfId="13" quotePrefix="1" applyFont="1" applyAlignment="1">
      <alignment horizontal="right" wrapText="1"/>
    </xf>
    <xf numFmtId="184" fontId="31" fillId="0" borderId="0" xfId="33" applyNumberFormat="1" applyFont="1" applyAlignment="1">
      <alignment horizontal="center"/>
    </xf>
    <xf numFmtId="1" fontId="31" fillId="0" borderId="0" xfId="33" applyNumberFormat="1" applyFont="1"/>
    <xf numFmtId="1" fontId="31" fillId="0" borderId="146" xfId="33" applyNumberFormat="1" applyFont="1" applyBorder="1"/>
    <xf numFmtId="5" fontId="31" fillId="0" borderId="0" xfId="33" quotePrefix="1" applyNumberFormat="1" applyFont="1" applyAlignment="1">
      <alignment horizontal="left"/>
    </xf>
    <xf numFmtId="2" fontId="31" fillId="0" borderId="0" xfId="33" applyNumberFormat="1" applyFont="1" applyAlignment="1">
      <alignment horizontal="right"/>
    </xf>
    <xf numFmtId="14" fontId="31" fillId="0" borderId="0" xfId="33" applyNumberFormat="1" applyFont="1" applyAlignment="1">
      <alignment horizontal="center"/>
    </xf>
    <xf numFmtId="0" fontId="31" fillId="0" borderId="136" xfId="33" applyFont="1" applyBorder="1"/>
    <xf numFmtId="168" fontId="31" fillId="0" borderId="0" xfId="33" applyNumberFormat="1" applyFont="1" applyAlignment="1">
      <alignment horizontal="right"/>
    </xf>
    <xf numFmtId="41" fontId="31" fillId="0" borderId="0" xfId="33" applyNumberFormat="1" applyFont="1" applyAlignment="1">
      <alignment horizontal="right"/>
    </xf>
    <xf numFmtId="43" fontId="31" fillId="0" borderId="0" xfId="33" applyNumberFormat="1" applyFont="1"/>
    <xf numFmtId="43" fontId="31" fillId="0" borderId="0" xfId="33" applyNumberFormat="1" applyFont="1" applyAlignment="1">
      <alignment horizontal="right"/>
    </xf>
    <xf numFmtId="14" fontId="31" fillId="0" borderId="0" xfId="33" quotePrefix="1" applyNumberFormat="1" applyFont="1" applyAlignment="1">
      <alignment horizontal="center"/>
    </xf>
    <xf numFmtId="167" fontId="31" fillId="0" borderId="0" xfId="33" applyNumberFormat="1" applyFont="1"/>
    <xf numFmtId="41" fontId="31" fillId="0" borderId="0" xfId="33" applyNumberFormat="1" applyFont="1" applyAlignment="1">
      <alignment horizontal="center"/>
    </xf>
    <xf numFmtId="43" fontId="31" fillId="0" borderId="0" xfId="33" applyNumberFormat="1" applyFont="1" applyAlignment="1">
      <alignment horizontal="center"/>
    </xf>
    <xf numFmtId="0" fontId="31" fillId="0" borderId="0" xfId="0" applyFont="1"/>
    <xf numFmtId="0" fontId="31" fillId="0" borderId="0" xfId="0" applyFont="1" applyProtection="1">
      <protection locked="0"/>
    </xf>
    <xf numFmtId="5" fontId="31" fillId="0" borderId="0" xfId="0" applyNumberFormat="1" applyFont="1"/>
    <xf numFmtId="37" fontId="31" fillId="0" borderId="0" xfId="33" applyNumberFormat="1" applyFont="1" applyAlignment="1">
      <alignment horizontal="center"/>
    </xf>
    <xf numFmtId="37" fontId="31" fillId="0" borderId="0" xfId="33" applyNumberFormat="1" applyFont="1" applyAlignment="1">
      <alignment horizontal="right"/>
    </xf>
    <xf numFmtId="5" fontId="31" fillId="0" borderId="0" xfId="33" applyNumberFormat="1" applyFont="1" applyAlignment="1">
      <alignment horizontal="right"/>
    </xf>
    <xf numFmtId="0" fontId="31" fillId="0" borderId="0" xfId="14" quotePrefix="1" applyFont="1" applyAlignment="1">
      <alignment horizontal="left"/>
    </xf>
    <xf numFmtId="167" fontId="31" fillId="0" borderId="52" xfId="33" applyNumberFormat="1" applyFont="1" applyBorder="1"/>
    <xf numFmtId="167" fontId="5" fillId="0" borderId="0" xfId="3" applyNumberFormat="1"/>
    <xf numFmtId="41" fontId="31" fillId="0" borderId="0" xfId="33" applyNumberFormat="1" applyFont="1"/>
    <xf numFmtId="0" fontId="31" fillId="0" borderId="0" xfId="30" quotePrefix="1" applyFont="1" applyAlignment="1">
      <alignment horizontal="left"/>
    </xf>
    <xf numFmtId="0" fontId="5" fillId="0" borderId="0" xfId="3" applyAlignment="1">
      <alignment horizontal="center"/>
    </xf>
    <xf numFmtId="0" fontId="6" fillId="0" borderId="0" xfId="3" applyFont="1"/>
    <xf numFmtId="0" fontId="63" fillId="0" borderId="0" xfId="3" applyFont="1"/>
    <xf numFmtId="0" fontId="7" fillId="0" borderId="0" xfId="3" applyFont="1"/>
    <xf numFmtId="0" fontId="8" fillId="0" borderId="10" xfId="3" applyFont="1" applyBorder="1" applyAlignment="1">
      <alignment horizontal="center"/>
    </xf>
    <xf numFmtId="167" fontId="2" fillId="0" borderId="10" xfId="2" applyNumberFormat="1" applyFont="1" applyFill="1" applyBorder="1" applyAlignment="1">
      <alignment horizontal="center"/>
    </xf>
    <xf numFmtId="0" fontId="8" fillId="0" borderId="0" xfId="4" applyFont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 applyAlignment="1">
      <alignment horizontal="center"/>
    </xf>
    <xf numFmtId="0" fontId="3" fillId="0" borderId="0" xfId="0" applyFont="1" applyAlignment="1">
      <alignment horizontal="left" vertical="top"/>
    </xf>
    <xf numFmtId="167" fontId="22" fillId="0" borderId="0" xfId="2" quotePrefix="1" applyNumberFormat="1" applyFont="1" applyFill="1" applyBorder="1" applyAlignment="1">
      <alignment horizontal="center"/>
    </xf>
    <xf numFmtId="0" fontId="0" fillId="0" borderId="21" xfId="0" applyBorder="1"/>
    <xf numFmtId="0" fontId="3" fillId="0" borderId="0" xfId="0" quotePrefix="1" applyFont="1" applyAlignment="1">
      <alignment horizontal="left" vertical="top"/>
    </xf>
    <xf numFmtId="0" fontId="0" fillId="0" borderId="28" xfId="0" applyBorder="1"/>
    <xf numFmtId="37" fontId="3" fillId="0" borderId="28" xfId="0" applyNumberFormat="1" applyFont="1" applyBorder="1"/>
    <xf numFmtId="0" fontId="4" fillId="0" borderId="27" xfId="0" quotePrefix="1" applyFont="1" applyBorder="1"/>
    <xf numFmtId="176" fontId="4" fillId="0" borderId="0" xfId="0" applyNumberFormat="1" applyFont="1"/>
    <xf numFmtId="167" fontId="4" fillId="0" borderId="28" xfId="2" applyNumberFormat="1" applyFont="1" applyFill="1" applyBorder="1"/>
    <xf numFmtId="0" fontId="19" fillId="0" borderId="27" xfId="0" applyFont="1" applyBorder="1"/>
    <xf numFmtId="0" fontId="19" fillId="0" borderId="0" xfId="0" applyFont="1"/>
    <xf numFmtId="37" fontId="24" fillId="0" borderId="28" xfId="0" applyNumberFormat="1" applyFont="1" applyBorder="1"/>
    <xf numFmtId="167" fontId="0" fillId="0" borderId="28" xfId="0" applyNumberFormat="1" applyBorder="1"/>
    <xf numFmtId="0" fontId="11" fillId="0" borderId="95" xfId="0" applyFont="1" applyBorder="1"/>
    <xf numFmtId="167" fontId="0" fillId="0" borderId="96" xfId="0" applyNumberFormat="1" applyBorder="1"/>
    <xf numFmtId="0" fontId="3" fillId="0" borderId="0" xfId="2" quotePrefix="1" applyNumberFormat="1" applyFont="1" applyFill="1" applyAlignment="1">
      <alignment horizontal="left"/>
    </xf>
    <xf numFmtId="167" fontId="3" fillId="0" borderId="0" xfId="2" applyNumberFormat="1" applyFont="1" applyFill="1"/>
    <xf numFmtId="167" fontId="22" fillId="0" borderId="0" xfId="2" applyNumberFormat="1" applyFont="1" applyFill="1" applyBorder="1" applyAlignment="1">
      <alignment horizontal="center"/>
    </xf>
    <xf numFmtId="167" fontId="22" fillId="0" borderId="0" xfId="5" applyNumberFormat="1" applyFont="1" applyFill="1" applyBorder="1" applyAlignment="1">
      <alignment horizontal="center"/>
    </xf>
    <xf numFmtId="0" fontId="23" fillId="0" borderId="0" xfId="3" applyFont="1"/>
    <xf numFmtId="0" fontId="22" fillId="0" borderId="0" xfId="3" applyFont="1" applyAlignment="1">
      <alignment horizontal="center"/>
    </xf>
    <xf numFmtId="167" fontId="23" fillId="0" borderId="11" xfId="5" applyNumberFormat="1" applyFont="1" applyFill="1" applyBorder="1" applyAlignment="1">
      <alignment horizontal="center"/>
    </xf>
    <xf numFmtId="0" fontId="152" fillId="0" borderId="0" xfId="0" applyFont="1"/>
    <xf numFmtId="0" fontId="61" fillId="0" borderId="0" xfId="0" applyFont="1"/>
    <xf numFmtId="0" fontId="99" fillId="0" borderId="10" xfId="0" applyFont="1" applyBorder="1" applyAlignment="1">
      <alignment horizontal="center"/>
    </xf>
    <xf numFmtId="0" fontId="78" fillId="0" borderId="0" xfId="0" applyFont="1" applyAlignment="1">
      <alignment horizontal="center"/>
    </xf>
    <xf numFmtId="10" fontId="0" fillId="0" borderId="0" xfId="15" applyNumberFormat="1" applyFont="1" applyFill="1"/>
    <xf numFmtId="167" fontId="8" fillId="0" borderId="52" xfId="0" applyNumberFormat="1" applyFont="1" applyBorder="1"/>
    <xf numFmtId="167" fontId="8" fillId="0" borderId="0" xfId="0" applyNumberFormat="1" applyFont="1"/>
    <xf numFmtId="0" fontId="8" fillId="0" borderId="50" xfId="0" applyFont="1" applyBorder="1"/>
    <xf numFmtId="167" fontId="8" fillId="0" borderId="50" xfId="0" applyNumberFormat="1" applyFont="1" applyBorder="1"/>
    <xf numFmtId="167" fontId="26" fillId="0" borderId="52" xfId="0" applyNumberFormat="1" applyFont="1" applyBorder="1"/>
    <xf numFmtId="0" fontId="152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3" fontId="152" fillId="0" borderId="0" xfId="0" applyNumberFormat="1" applyFont="1"/>
    <xf numFmtId="9" fontId="5" fillId="0" borderId="0" xfId="0" applyNumberFormat="1" applyFont="1" applyAlignment="1">
      <alignment horizontal="left"/>
    </xf>
    <xf numFmtId="9" fontId="152" fillId="0" borderId="0" xfId="0" applyNumberFormat="1" applyFont="1" applyAlignment="1">
      <alignment horizontal="left"/>
    </xf>
    <xf numFmtId="3" fontId="8" fillId="0" borderId="52" xfId="0" applyNumberFormat="1" applyFont="1" applyBorder="1"/>
    <xf numFmtId="3" fontId="8" fillId="0" borderId="0" xfId="0" applyNumberFormat="1" applyFont="1"/>
    <xf numFmtId="10" fontId="152" fillId="0" borderId="0" xfId="0" applyNumberFormat="1" applyFont="1" applyAlignment="1">
      <alignment horizontal="center"/>
    </xf>
    <xf numFmtId="10" fontId="152" fillId="0" borderId="52" xfId="0" applyNumberFormat="1" applyFont="1" applyBorder="1" applyAlignment="1">
      <alignment horizontal="center"/>
    </xf>
    <xf numFmtId="0" fontId="19" fillId="0" borderId="2" xfId="0" applyFont="1" applyBorder="1"/>
    <xf numFmtId="0" fontId="0" fillId="0" borderId="3" xfId="0" applyBorder="1"/>
    <xf numFmtId="0" fontId="0" fillId="0" borderId="4" xfId="0" applyBorder="1" applyAlignment="1">
      <alignment horizontal="center"/>
    </xf>
    <xf numFmtId="9" fontId="3" fillId="0" borderId="32" xfId="0" applyNumberFormat="1" applyFont="1" applyBorder="1" applyAlignment="1">
      <alignment horizontal="center"/>
    </xf>
    <xf numFmtId="0" fontId="3" fillId="0" borderId="33" xfId="0" applyFont="1" applyBorder="1"/>
    <xf numFmtId="0" fontId="0" fillId="0" borderId="7" xfId="0" applyBorder="1" applyAlignment="1">
      <alignment horizontal="center"/>
    </xf>
    <xf numFmtId="9" fontId="3" fillId="0" borderId="18" xfId="0" applyNumberFormat="1" applyFont="1" applyBorder="1" applyAlignment="1">
      <alignment horizontal="center"/>
    </xf>
    <xf numFmtId="0" fontId="3" fillId="0" borderId="19" xfId="0" applyFont="1" applyBorder="1"/>
    <xf numFmtId="0" fontId="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0" fontId="18" fillId="0" borderId="0" xfId="0" applyFont="1" applyAlignment="1">
      <alignment horizontal="center"/>
    </xf>
    <xf numFmtId="17" fontId="23" fillId="0" borderId="0" xfId="0" applyNumberFormat="1" applyFont="1" applyAlignment="1">
      <alignment horizontal="right"/>
    </xf>
    <xf numFmtId="0" fontId="12" fillId="0" borderId="0" xfId="0" applyFont="1"/>
    <xf numFmtId="3" fontId="3" fillId="0" borderId="0" xfId="0" applyNumberFormat="1" applyFont="1"/>
    <xf numFmtId="0" fontId="6" fillId="0" borderId="0" xfId="7" applyFont="1"/>
    <xf numFmtId="0" fontId="16" fillId="0" borderId="0" xfId="7" applyFont="1"/>
    <xf numFmtId="0" fontId="17" fillId="0" borderId="0" xfId="7" applyFont="1"/>
    <xf numFmtId="0" fontId="10" fillId="0" borderId="0" xfId="7" applyFont="1"/>
    <xf numFmtId="167" fontId="10" fillId="0" borderId="0" xfId="5" applyNumberFormat="1" applyFont="1" applyFill="1"/>
    <xf numFmtId="167" fontId="5" fillId="0" borderId="0" xfId="5" applyNumberFormat="1" applyFill="1"/>
    <xf numFmtId="0" fontId="22" fillId="0" borderId="0" xfId="7" applyFont="1"/>
    <xf numFmtId="17" fontId="25" fillId="0" borderId="0" xfId="7" applyNumberFormat="1" applyFont="1"/>
    <xf numFmtId="167" fontId="25" fillId="0" borderId="0" xfId="5" applyNumberFormat="1" applyFont="1" applyFill="1" applyAlignment="1">
      <alignment horizontal="center"/>
    </xf>
    <xf numFmtId="167" fontId="22" fillId="0" borderId="0" xfId="5" applyNumberFormat="1" applyFont="1" applyFill="1"/>
    <xf numFmtId="0" fontId="24" fillId="0" borderId="0" xfId="0" applyFont="1"/>
    <xf numFmtId="0" fontId="88" fillId="0" borderId="0" xfId="0" applyFont="1" applyAlignment="1">
      <alignment horizontal="center"/>
    </xf>
    <xf numFmtId="0" fontId="88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88" fillId="0" borderId="0" xfId="0" applyFont="1" applyAlignment="1">
      <alignment horizontal="centerContinuous"/>
    </xf>
    <xf numFmtId="39" fontId="88" fillId="0" borderId="0" xfId="0" applyNumberFormat="1" applyFont="1" applyAlignment="1">
      <alignment horizontal="centerContinuous"/>
    </xf>
    <xf numFmtId="0" fontId="27" fillId="0" borderId="0" xfId="0" applyFont="1"/>
    <xf numFmtId="0" fontId="153" fillId="0" borderId="0" xfId="0" applyFont="1" applyAlignment="1">
      <alignment horizontal="left"/>
    </xf>
    <xf numFmtId="39" fontId="153" fillId="0" borderId="0" xfId="0" applyNumberFormat="1" applyFont="1" applyAlignment="1">
      <alignment horizontal="left"/>
    </xf>
    <xf numFmtId="39" fontId="88" fillId="0" borderId="0" xfId="0" applyNumberFormat="1" applyFont="1"/>
    <xf numFmtId="17" fontId="88" fillId="0" borderId="0" xfId="0" applyNumberFormat="1" applyFont="1" applyAlignment="1">
      <alignment horizontal="center"/>
    </xf>
    <xf numFmtId="0" fontId="90" fillId="0" borderId="0" xfId="0" applyFont="1" applyAlignment="1">
      <alignment horizontal="right"/>
    </xf>
    <xf numFmtId="17" fontId="88" fillId="0" borderId="145" xfId="0" applyNumberFormat="1" applyFont="1" applyBorder="1" applyAlignment="1">
      <alignment horizontal="center"/>
    </xf>
    <xf numFmtId="17" fontId="88" fillId="0" borderId="146" xfId="0" applyNumberFormat="1" applyFont="1" applyBorder="1" applyAlignment="1">
      <alignment horizontal="center"/>
    </xf>
    <xf numFmtId="17" fontId="88" fillId="0" borderId="0" xfId="0" applyNumberFormat="1" applyFont="1"/>
    <xf numFmtId="0" fontId="88" fillId="0" borderId="145" xfId="0" applyFont="1" applyBorder="1" applyAlignment="1">
      <alignment horizontal="center"/>
    </xf>
    <xf numFmtId="0" fontId="88" fillId="0" borderId="0" xfId="0" applyFont="1" applyAlignment="1">
      <alignment horizontal="right"/>
    </xf>
    <xf numFmtId="0" fontId="6" fillId="0" borderId="0" xfId="18" applyFont="1" applyAlignment="1">
      <alignment horizontal="left"/>
    </xf>
    <xf numFmtId="39" fontId="5" fillId="0" borderId="0" xfId="18" applyNumberFormat="1"/>
    <xf numFmtId="0" fontId="6" fillId="0" borderId="63" xfId="18" quotePrefix="1" applyFont="1" applyBorder="1" applyAlignment="1">
      <alignment horizontal="left"/>
    </xf>
    <xf numFmtId="0" fontId="6" fillId="0" borderId="63" xfId="18" applyFont="1" applyBorder="1"/>
    <xf numFmtId="39" fontId="6" fillId="0" borderId="63" xfId="18" applyNumberFormat="1" applyFont="1" applyBorder="1" applyAlignment="1">
      <alignment horizontal="center"/>
    </xf>
    <xf numFmtId="49" fontId="88" fillId="0" borderId="0" xfId="162" applyNumberFormat="1" applyFont="1" applyProtection="1"/>
    <xf numFmtId="0" fontId="153" fillId="0" borderId="0" xfId="0" applyFont="1"/>
    <xf numFmtId="39" fontId="88" fillId="0" borderId="0" xfId="18" applyNumberFormat="1" applyFont="1" applyAlignment="1">
      <alignment horizontal="center"/>
    </xf>
    <xf numFmtId="2" fontId="88" fillId="0" borderId="0" xfId="18" applyNumberFormat="1" applyFont="1" applyAlignment="1">
      <alignment horizontal="center"/>
    </xf>
    <xf numFmtId="39" fontId="88" fillId="0" borderId="0" xfId="0" applyNumberFormat="1" applyFont="1" applyAlignment="1">
      <alignment horizontal="center"/>
    </xf>
    <xf numFmtId="198" fontId="88" fillId="0" borderId="0" xfId="0" applyNumberFormat="1" applyFont="1"/>
    <xf numFmtId="0" fontId="88" fillId="0" borderId="0" xfId="18" applyFont="1"/>
    <xf numFmtId="0" fontId="88" fillId="0" borderId="0" xfId="0" quotePrefix="1" applyFont="1" applyAlignment="1">
      <alignment horizontal="center"/>
    </xf>
    <xf numFmtId="39" fontId="129" fillId="0" borderId="0" xfId="18" applyNumberFormat="1" applyFont="1" applyAlignment="1">
      <alignment horizontal="center"/>
    </xf>
    <xf numFmtId="43" fontId="88" fillId="0" borderId="0" xfId="0" applyNumberFormat="1" applyFont="1" applyAlignment="1">
      <alignment horizontal="center"/>
    </xf>
    <xf numFmtId="0" fontId="88" fillId="0" borderId="0" xfId="0" quotePrefix="1" applyFont="1" applyAlignment="1">
      <alignment horizontal="left"/>
    </xf>
    <xf numFmtId="37" fontId="88" fillId="0" borderId="0" xfId="116" applyFont="1"/>
    <xf numFmtId="39" fontId="88" fillId="0" borderId="0" xfId="116" applyNumberFormat="1" applyFont="1" applyAlignment="1">
      <alignment horizontal="center"/>
    </xf>
    <xf numFmtId="0" fontId="153" fillId="0" borderId="10" xfId="0" applyFont="1" applyBorder="1"/>
    <xf numFmtId="49" fontId="88" fillId="0" borderId="0" xfId="0" applyNumberFormat="1" applyFont="1"/>
    <xf numFmtId="0" fontId="6" fillId="0" borderId="63" xfId="18" applyFont="1" applyBorder="1" applyAlignment="1">
      <alignment horizontal="left"/>
    </xf>
    <xf numFmtId="0" fontId="6" fillId="0" borderId="0" xfId="18" quotePrefix="1" applyFont="1" applyAlignment="1">
      <alignment horizontal="left"/>
    </xf>
    <xf numFmtId="39" fontId="6" fillId="0" borderId="0" xfId="18" applyNumberFormat="1" applyFont="1" applyAlignment="1">
      <alignment horizontal="center"/>
    </xf>
    <xf numFmtId="37" fontId="5" fillId="0" borderId="0" xfId="18" applyNumberFormat="1"/>
    <xf numFmtId="0" fontId="129" fillId="0" borderId="0" xfId="18" applyFont="1" applyAlignment="1">
      <alignment horizontal="right"/>
    </xf>
    <xf numFmtId="37" fontId="88" fillId="0" borderId="0" xfId="18" applyNumberFormat="1" applyFont="1" applyAlignment="1">
      <alignment horizontal="center"/>
    </xf>
    <xf numFmtId="0" fontId="88" fillId="0" borderId="10" xfId="0" applyFont="1" applyBorder="1"/>
    <xf numFmtId="0" fontId="88" fillId="0" borderId="0" xfId="0" quotePrefix="1" applyFont="1" applyAlignment="1">
      <alignment horizontal="right"/>
    </xf>
    <xf numFmtId="204" fontId="88" fillId="0" borderId="0" xfId="0" applyNumberFormat="1" applyFont="1"/>
    <xf numFmtId="0" fontId="88" fillId="0" borderId="142" xfId="0" applyFont="1" applyBorder="1"/>
    <xf numFmtId="5" fontId="88" fillId="0" borderId="0" xfId="0" applyNumberFormat="1" applyFont="1"/>
    <xf numFmtId="5" fontId="88" fillId="0" borderId="145" xfId="0" applyNumberFormat="1" applyFont="1" applyBorder="1"/>
    <xf numFmtId="198" fontId="27" fillId="0" borderId="0" xfId="0" applyNumberFormat="1" applyFont="1"/>
    <xf numFmtId="0" fontId="42" fillId="0" borderId="0" xfId="0" applyFont="1" applyAlignment="1">
      <alignment horizontal="right"/>
    </xf>
    <xf numFmtId="0" fontId="26" fillId="0" borderId="0" xfId="8" applyFont="1" applyAlignment="1">
      <alignment horizontal="center"/>
    </xf>
    <xf numFmtId="17" fontId="21" fillId="0" borderId="0" xfId="8" applyNumberFormat="1" applyFont="1" applyAlignment="1">
      <alignment horizontal="center"/>
    </xf>
    <xf numFmtId="171" fontId="3" fillId="0" borderId="0" xfId="0" applyNumberFormat="1" applyFont="1"/>
    <xf numFmtId="0" fontId="8" fillId="0" borderId="0" xfId="8" applyFont="1"/>
    <xf numFmtId="0" fontId="5" fillId="0" borderId="0" xfId="7"/>
    <xf numFmtId="0" fontId="23" fillId="0" borderId="0" xfId="7" applyFont="1"/>
    <xf numFmtId="167" fontId="25" fillId="0" borderId="0" xfId="5" applyNumberFormat="1" applyFont="1" applyFill="1" applyAlignment="1">
      <alignment horizontal="right"/>
    </xf>
    <xf numFmtId="0" fontId="22" fillId="0" borderId="20" xfId="7" applyFont="1" applyBorder="1"/>
    <xf numFmtId="0" fontId="22" fillId="0" borderId="10" xfId="7" applyFont="1" applyBorder="1"/>
    <xf numFmtId="1" fontId="22" fillId="0" borderId="11" xfId="7" applyNumberFormat="1" applyFont="1" applyBorder="1"/>
    <xf numFmtId="0" fontId="22" fillId="0" borderId="11" xfId="7" applyFont="1" applyBorder="1"/>
    <xf numFmtId="0" fontId="8" fillId="0" borderId="12" xfId="0" applyFont="1" applyBorder="1" applyAlignment="1">
      <alignment horizontal="centerContinuous"/>
    </xf>
    <xf numFmtId="0" fontId="27" fillId="0" borderId="14" xfId="0" applyFont="1" applyBorder="1" applyAlignment="1">
      <alignment horizontal="centerContinuous"/>
    </xf>
    <xf numFmtId="0" fontId="0" fillId="0" borderId="13" xfId="0" applyBorder="1" applyAlignment="1">
      <alignment horizontal="centerContinuous"/>
    </xf>
    <xf numFmtId="172" fontId="22" fillId="0" borderId="0" xfId="0" applyNumberFormat="1" applyFont="1"/>
    <xf numFmtId="165" fontId="22" fillId="0" borderId="28" xfId="0" applyNumberFormat="1" applyFont="1" applyBorder="1"/>
    <xf numFmtId="165" fontId="22" fillId="0" borderId="0" xfId="0" applyNumberFormat="1" applyFont="1"/>
    <xf numFmtId="0" fontId="3" fillId="0" borderId="28" xfId="0" applyFont="1" applyBorder="1"/>
    <xf numFmtId="173" fontId="22" fillId="0" borderId="34" xfId="0" applyNumberFormat="1" applyFont="1" applyBorder="1"/>
    <xf numFmtId="173" fontId="22" fillId="0" borderId="11" xfId="0" applyNumberFormat="1" applyFont="1" applyBorder="1"/>
    <xf numFmtId="173" fontId="22" fillId="0" borderId="35" xfId="0" applyNumberFormat="1" applyFont="1" applyBorder="1"/>
    <xf numFmtId="173" fontId="3" fillId="0" borderId="0" xfId="0" applyNumberFormat="1" applyFont="1"/>
    <xf numFmtId="173" fontId="3" fillId="0" borderId="28" xfId="0" applyNumberFormat="1" applyFont="1" applyBorder="1"/>
    <xf numFmtId="173" fontId="22" fillId="0" borderId="0" xfId="0" applyNumberFormat="1" applyFont="1"/>
    <xf numFmtId="173" fontId="22" fillId="0" borderId="28" xfId="0" applyNumberFormat="1" applyFont="1" applyBorder="1"/>
    <xf numFmtId="174" fontId="22" fillId="0" borderId="0" xfId="5" applyNumberFormat="1" applyFont="1" applyFill="1" applyBorder="1"/>
    <xf numFmtId="173" fontId="3" fillId="0" borderId="34" xfId="0" applyNumberFormat="1" applyFont="1" applyBorder="1"/>
    <xf numFmtId="173" fontId="3" fillId="0" borderId="11" xfId="0" applyNumberFormat="1" applyFont="1" applyBorder="1"/>
    <xf numFmtId="173" fontId="3" fillId="0" borderId="35" xfId="0" applyNumberFormat="1" applyFont="1" applyBorder="1"/>
    <xf numFmtId="173" fontId="3" fillId="0" borderId="12" xfId="0" applyNumberFormat="1" applyFont="1" applyBorder="1"/>
    <xf numFmtId="173" fontId="3" fillId="0" borderId="14" xfId="0" applyNumberFormat="1" applyFont="1" applyBorder="1"/>
    <xf numFmtId="173" fontId="3" fillId="0" borderId="13" xfId="0" applyNumberFormat="1" applyFont="1" applyBorder="1"/>
    <xf numFmtId="173" fontId="3" fillId="0" borderId="30" xfId="0" applyNumberFormat="1" applyFont="1" applyBorder="1"/>
    <xf numFmtId="173" fontId="22" fillId="0" borderId="30" xfId="0" applyNumberFormat="1" applyFont="1" applyBorder="1"/>
    <xf numFmtId="173" fontId="3" fillId="0" borderId="31" xfId="0" applyNumberFormat="1" applyFont="1" applyBorder="1"/>
    <xf numFmtId="0" fontId="0" fillId="0" borderId="14" xfId="0" applyBorder="1" applyAlignment="1">
      <alignment horizontal="centerContinuous"/>
    </xf>
    <xf numFmtId="0" fontId="30" fillId="0" borderId="12" xfId="0" applyFont="1" applyBorder="1" applyAlignment="1">
      <alignment horizontal="centerContinuous"/>
    </xf>
    <xf numFmtId="0" fontId="31" fillId="0" borderId="14" xfId="0" applyFont="1" applyBorder="1" applyAlignment="1">
      <alignment horizontal="centerContinuous"/>
    </xf>
    <xf numFmtId="0" fontId="31" fillId="0" borderId="13" xfId="0" applyFont="1" applyBorder="1" applyAlignment="1">
      <alignment horizontal="centerContinuous"/>
    </xf>
    <xf numFmtId="0" fontId="8" fillId="0" borderId="14" xfId="0" applyFont="1" applyBorder="1" applyAlignment="1">
      <alignment horizontal="centerContinuous"/>
    </xf>
    <xf numFmtId="0" fontId="8" fillId="0" borderId="13" xfId="0" applyFont="1" applyBorder="1" applyAlignment="1">
      <alignment horizontal="centerContinuous"/>
    </xf>
    <xf numFmtId="0" fontId="160" fillId="0" borderId="0" xfId="0" applyFont="1"/>
    <xf numFmtId="0" fontId="161" fillId="0" borderId="0" xfId="0" applyFont="1" applyAlignment="1">
      <alignment horizontal="center" vertical="center"/>
    </xf>
    <xf numFmtId="0" fontId="161" fillId="0" borderId="39" xfId="0" applyFont="1" applyBorder="1" applyAlignment="1">
      <alignment horizontal="center" wrapText="1"/>
    </xf>
    <xf numFmtId="0" fontId="161" fillId="0" borderId="21" xfId="0" applyFont="1" applyBorder="1" applyAlignment="1">
      <alignment horizontal="center" wrapText="1"/>
    </xf>
    <xf numFmtId="0" fontId="161" fillId="0" borderId="97" xfId="0" applyFont="1" applyBorder="1" applyAlignment="1">
      <alignment horizontal="center" wrapText="1"/>
    </xf>
    <xf numFmtId="0" fontId="161" fillId="0" borderId="95" xfId="0" applyFont="1" applyBorder="1" applyAlignment="1">
      <alignment horizontal="center" wrapText="1"/>
    </xf>
    <xf numFmtId="0" fontId="16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3" fontId="160" fillId="0" borderId="0" xfId="0" applyNumberFormat="1" applyFont="1" applyAlignment="1">
      <alignment horizontal="center"/>
    </xf>
    <xf numFmtId="3" fontId="160" fillId="0" borderId="75" xfId="0" applyNumberFormat="1" applyFont="1" applyBorder="1"/>
    <xf numFmtId="6" fontId="160" fillId="0" borderId="0" xfId="0" applyNumberFormat="1" applyFont="1"/>
    <xf numFmtId="6" fontId="160" fillId="0" borderId="120" xfId="0" applyNumberFormat="1" applyFont="1" applyBorder="1"/>
    <xf numFmtId="0" fontId="164" fillId="0" borderId="10" xfId="0" applyFont="1" applyBorder="1" applyAlignment="1">
      <alignment horizontal="center"/>
    </xf>
    <xf numFmtId="0" fontId="161" fillId="0" borderId="10" xfId="0" applyFont="1" applyBorder="1" applyAlignment="1">
      <alignment horizontal="center"/>
    </xf>
    <xf numFmtId="3" fontId="160" fillId="0" borderId="10" xfId="0" applyNumberFormat="1" applyFont="1" applyBorder="1" applyAlignment="1">
      <alignment horizontal="center"/>
    </xf>
    <xf numFmtId="0" fontId="160" fillId="0" borderId="10" xfId="0" applyFont="1" applyBorder="1" applyAlignment="1">
      <alignment horizontal="center"/>
    </xf>
    <xf numFmtId="3" fontId="160" fillId="0" borderId="120" xfId="0" applyNumberFormat="1" applyFont="1" applyBorder="1"/>
    <xf numFmtId="6" fontId="160" fillId="0" borderId="10" xfId="0" applyNumberFormat="1" applyFont="1" applyBorder="1"/>
    <xf numFmtId="0" fontId="160" fillId="0" borderId="75" xfId="0" applyFont="1" applyBorder="1"/>
    <xf numFmtId="0" fontId="161" fillId="0" borderId="0" xfId="0" applyFont="1" applyAlignment="1">
      <alignment horizontal="right"/>
    </xf>
    <xf numFmtId="10" fontId="160" fillId="0" borderId="0" xfId="0" applyNumberFormat="1" applyFont="1"/>
    <xf numFmtId="10" fontId="160" fillId="0" borderId="76" xfId="0" applyNumberFormat="1" applyFont="1" applyBorder="1"/>
    <xf numFmtId="9" fontId="160" fillId="0" borderId="0" xfId="0" applyNumberFormat="1" applyFont="1"/>
    <xf numFmtId="9" fontId="160" fillId="0" borderId="76" xfId="0" applyNumberFormat="1" applyFont="1" applyBorder="1"/>
    <xf numFmtId="0" fontId="9" fillId="0" borderId="44" xfId="4" applyBorder="1" applyAlignment="1">
      <alignment horizontal="center" wrapText="1"/>
    </xf>
    <xf numFmtId="178" fontId="9" fillId="0" borderId="44" xfId="4" applyNumberFormat="1" applyBorder="1" applyAlignment="1">
      <alignment horizontal="center" wrapText="1"/>
    </xf>
    <xf numFmtId="0" fontId="22" fillId="0" borderId="44" xfId="4" applyFont="1" applyBorder="1" applyAlignment="1">
      <alignment wrapText="1"/>
    </xf>
    <xf numFmtId="3" fontId="37" fillId="0" borderId="44" xfId="7" applyNumberFormat="1" applyFont="1" applyBorder="1" applyAlignment="1">
      <alignment horizontal="right" vertical="center"/>
    </xf>
    <xf numFmtId="3" fontId="22" fillId="0" borderId="44" xfId="3" applyNumberFormat="1" applyFont="1" applyBorder="1"/>
    <xf numFmtId="178" fontId="22" fillId="0" borderId="44" xfId="7" applyNumberFormat="1" applyFont="1" applyBorder="1"/>
    <xf numFmtId="0" fontId="37" fillId="0" borderId="44" xfId="7" applyFont="1" applyBorder="1" applyAlignment="1">
      <alignment horizontal="right" vertical="center"/>
    </xf>
    <xf numFmtId="0" fontId="3" fillId="0" borderId="44" xfId="3" applyFont="1" applyBorder="1" applyAlignment="1">
      <alignment horizontal="right"/>
    </xf>
    <xf numFmtId="0" fontId="22" fillId="0" borderId="44" xfId="3" applyFont="1" applyBorder="1"/>
    <xf numFmtId="0" fontId="37" fillId="0" borderId="44" xfId="7" applyFont="1" applyBorder="1" applyAlignment="1">
      <alignment horizontal="right" vertical="top"/>
    </xf>
    <xf numFmtId="0" fontId="22" fillId="0" borderId="44" xfId="4" applyFont="1" applyBorder="1" applyAlignment="1">
      <alignment horizontal="right" wrapText="1"/>
    </xf>
    <xf numFmtId="0" fontId="37" fillId="0" borderId="44" xfId="7" applyFont="1" applyBorder="1" applyAlignment="1">
      <alignment horizontal="right"/>
    </xf>
    <xf numFmtId="0" fontId="3" fillId="0" borderId="4" xfId="0" applyFont="1" applyBorder="1"/>
    <xf numFmtId="3" fontId="3" fillId="0" borderId="5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/>
    </xf>
    <xf numFmtId="173" fontId="3" fillId="0" borderId="5" xfId="0" applyNumberFormat="1" applyFont="1" applyBorder="1" applyAlignment="1">
      <alignment horizontal="center"/>
    </xf>
    <xf numFmtId="173" fontId="3" fillId="0" borderId="6" xfId="0" applyNumberFormat="1" applyFont="1" applyBorder="1" applyAlignment="1">
      <alignment horizontal="center"/>
    </xf>
    <xf numFmtId="0" fontId="17" fillId="0" borderId="0" xfId="0" quotePrefix="1" applyFont="1" applyAlignment="1">
      <alignment horizontal="left"/>
    </xf>
    <xf numFmtId="0" fontId="25" fillId="0" borderId="0" xfId="0" quotePrefix="1" applyFont="1" applyAlignment="1">
      <alignment horizontal="left"/>
    </xf>
    <xf numFmtId="0" fontId="23" fillId="0" borderId="0" xfId="0" quotePrefix="1" applyFont="1" applyAlignment="1">
      <alignment horizontal="center"/>
    </xf>
    <xf numFmtId="0" fontId="23" fillId="0" borderId="0" xfId="0" quotePrefix="1" applyFont="1" applyAlignment="1">
      <alignment horizontal="left"/>
    </xf>
    <xf numFmtId="0" fontId="23" fillId="0" borderId="0" xfId="0" applyFont="1"/>
    <xf numFmtId="0" fontId="23" fillId="0" borderId="10" xfId="0" applyFont="1" applyBorder="1" applyAlignment="1">
      <alignment horizontal="center"/>
    </xf>
    <xf numFmtId="0" fontId="23" fillId="0" borderId="10" xfId="0" applyFont="1" applyBorder="1"/>
    <xf numFmtId="0" fontId="22" fillId="0" borderId="10" xfId="0" applyFont="1" applyBorder="1" applyAlignment="1">
      <alignment horizontal="center"/>
    </xf>
    <xf numFmtId="0" fontId="23" fillId="0" borderId="55" xfId="0" quotePrefix="1" applyFont="1" applyBorder="1" applyAlignment="1">
      <alignment horizontal="center"/>
    </xf>
    <xf numFmtId="0" fontId="23" fillId="0" borderId="10" xfId="0" quotePrefix="1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quotePrefix="1" applyFont="1" applyAlignment="1">
      <alignment horizontal="left"/>
    </xf>
    <xf numFmtId="167" fontId="23" fillId="0" borderId="0" xfId="5" applyNumberFormat="1" applyFont="1" applyFill="1"/>
    <xf numFmtId="167" fontId="3" fillId="0" borderId="0" xfId="5" applyNumberFormat="1" applyFont="1" applyFill="1"/>
    <xf numFmtId="9" fontId="3" fillId="0" borderId="0" xfId="0" applyNumberFormat="1" applyFont="1"/>
    <xf numFmtId="9" fontId="3" fillId="0" borderId="42" xfId="0" applyNumberFormat="1" applyFont="1" applyBorder="1"/>
    <xf numFmtId="43" fontId="3" fillId="0" borderId="51" xfId="5" applyFont="1" applyFill="1" applyBorder="1"/>
    <xf numFmtId="43" fontId="3" fillId="0" borderId="0" xfId="5" applyFont="1" applyFill="1"/>
    <xf numFmtId="44" fontId="3" fillId="0" borderId="0" xfId="5" applyNumberFormat="1" applyFont="1" applyFill="1" applyBorder="1"/>
    <xf numFmtId="44" fontId="3" fillId="0" borderId="55" xfId="5" applyNumberFormat="1" applyFont="1" applyFill="1" applyBorder="1"/>
    <xf numFmtId="43" fontId="3" fillId="0" borderId="10" xfId="5" applyFont="1" applyFill="1" applyBorder="1"/>
    <xf numFmtId="167" fontId="23" fillId="0" borderId="52" xfId="5" applyNumberFormat="1" applyFont="1" applyFill="1" applyBorder="1"/>
    <xf numFmtId="9" fontId="23" fillId="0" borderId="52" xfId="0" applyNumberFormat="1" applyFont="1" applyBorder="1"/>
    <xf numFmtId="9" fontId="23" fillId="0" borderId="60" xfId="0" applyNumberFormat="1" applyFont="1" applyBorder="1"/>
    <xf numFmtId="167" fontId="23" fillId="0" borderId="60" xfId="5" applyNumberFormat="1" applyFont="1" applyFill="1" applyBorder="1"/>
    <xf numFmtId="167" fontId="3" fillId="0" borderId="0" xfId="0" applyNumberFormat="1" applyFont="1"/>
    <xf numFmtId="167" fontId="22" fillId="0" borderId="0" xfId="5" applyNumberFormat="1" applyFont="1" applyFill="1" applyBorder="1"/>
    <xf numFmtId="10" fontId="3" fillId="0" borderId="0" xfId="0" applyNumberFormat="1" applyFont="1"/>
    <xf numFmtId="10" fontId="22" fillId="0" borderId="0" xfId="0" applyNumberFormat="1" applyFont="1"/>
    <xf numFmtId="167" fontId="3" fillId="0" borderId="0" xfId="5" applyNumberFormat="1" applyFont="1" applyFill="1" applyBorder="1"/>
    <xf numFmtId="0" fontId="4" fillId="0" borderId="0" xfId="0" quotePrefix="1" applyFont="1" applyAlignment="1">
      <alignment horizontal="left"/>
    </xf>
    <xf numFmtId="40" fontId="3" fillId="0" borderId="0" xfId="0" applyNumberFormat="1" applyFont="1"/>
    <xf numFmtId="167" fontId="23" fillId="0" borderId="0" xfId="5" applyNumberFormat="1" applyFont="1" applyFill="1" applyBorder="1"/>
    <xf numFmtId="2" fontId="3" fillId="0" borderId="0" xfId="0" applyNumberFormat="1" applyFont="1"/>
    <xf numFmtId="2" fontId="4" fillId="0" borderId="0" xfId="0" applyNumberFormat="1" applyFont="1"/>
    <xf numFmtId="43" fontId="3" fillId="0" borderId="0" xfId="0" applyNumberFormat="1" applyFont="1"/>
    <xf numFmtId="0" fontId="3" fillId="0" borderId="0" xfId="5" applyNumberFormat="1" applyFont="1" applyFill="1"/>
    <xf numFmtId="0" fontId="64" fillId="0" borderId="0" xfId="0" applyFont="1"/>
    <xf numFmtId="0" fontId="23" fillId="0" borderId="52" xfId="0" applyFont="1" applyBorder="1"/>
    <xf numFmtId="167" fontId="23" fillId="0" borderId="52" xfId="0" applyNumberFormat="1" applyFont="1" applyBorder="1"/>
    <xf numFmtId="167" fontId="23" fillId="0" borderId="0" xfId="0" applyNumberFormat="1" applyFont="1"/>
    <xf numFmtId="167" fontId="8" fillId="0" borderId="52" xfId="109" applyNumberFormat="1" applyFont="1" applyFill="1" applyBorder="1"/>
    <xf numFmtId="3" fontId="3" fillId="0" borderId="0" xfId="0" applyNumberFormat="1" applyFont="1" applyAlignment="1">
      <alignment horizontal="center"/>
    </xf>
    <xf numFmtId="0" fontId="25" fillId="0" borderId="0" xfId="3" applyFont="1" applyAlignment="1">
      <alignment horizontal="left"/>
    </xf>
    <xf numFmtId="0" fontId="23" fillId="0" borderId="0" xfId="3" applyFont="1" applyAlignment="1">
      <alignment horizontal="center"/>
    </xf>
    <xf numFmtId="0" fontId="22" fillId="0" borderId="0" xfId="15" applyNumberFormat="1" applyFont="1" applyFill="1" applyAlignment="1">
      <alignment horizontal="center"/>
    </xf>
    <xf numFmtId="0" fontId="23" fillId="0" borderId="0" xfId="3" quotePrefix="1" applyFont="1" applyAlignment="1">
      <alignment horizontal="center"/>
    </xf>
    <xf numFmtId="43" fontId="23" fillId="0" borderId="0" xfId="5" applyFont="1" applyFill="1" applyAlignment="1">
      <alignment horizontal="center"/>
    </xf>
    <xf numFmtId="187" fontId="23" fillId="0" borderId="0" xfId="2" applyNumberFormat="1" applyFont="1" applyFill="1" applyAlignment="1">
      <alignment horizontal="center"/>
    </xf>
    <xf numFmtId="0" fontId="22" fillId="0" borderId="0" xfId="3" applyFont="1"/>
    <xf numFmtId="0" fontId="23" fillId="0" borderId="0" xfId="15" applyNumberFormat="1" applyFont="1" applyFill="1" applyAlignment="1">
      <alignment horizontal="center"/>
    </xf>
    <xf numFmtId="167" fontId="22" fillId="0" borderId="0" xfId="16" applyNumberFormat="1" applyFont="1" applyFill="1"/>
    <xf numFmtId="167" fontId="22" fillId="0" borderId="0" xfId="2" applyNumberFormat="1" applyFont="1" applyFill="1"/>
    <xf numFmtId="167" fontId="0" fillId="0" borderId="6" xfId="0" applyNumberFormat="1" applyBorder="1"/>
    <xf numFmtId="0" fontId="3" fillId="0" borderId="0" xfId="0" applyFont="1" applyAlignment="1">
      <alignment vertical="center" wrapText="1"/>
    </xf>
    <xf numFmtId="167" fontId="0" fillId="0" borderId="98" xfId="0" applyNumberFormat="1" applyBorder="1"/>
    <xf numFmtId="0" fontId="22" fillId="0" borderId="0" xfId="3" quotePrefix="1" applyFont="1" applyAlignment="1">
      <alignment horizontal="center"/>
    </xf>
    <xf numFmtId="167" fontId="22" fillId="0" borderId="0" xfId="3" applyNumberFormat="1" applyFont="1"/>
    <xf numFmtId="43" fontId="22" fillId="0" borderId="0" xfId="5" applyFont="1" applyFill="1"/>
    <xf numFmtId="0" fontId="23" fillId="0" borderId="0" xfId="15" applyNumberFormat="1" applyFont="1" applyFill="1" applyAlignment="1">
      <alignment horizontal="right"/>
    </xf>
    <xf numFmtId="187" fontId="3" fillId="0" borderId="0" xfId="2" applyNumberFormat="1" applyFont="1" applyFill="1" applyAlignment="1">
      <alignment horizontal="center"/>
    </xf>
    <xf numFmtId="167" fontId="3" fillId="0" borderId="0" xfId="5" applyNumberFormat="1" applyFont="1" applyFill="1" applyAlignment="1">
      <alignment horizontal="center"/>
    </xf>
    <xf numFmtId="0" fontId="23" fillId="0" borderId="0" xfId="15" quotePrefix="1" applyNumberFormat="1" applyFont="1" applyFill="1" applyAlignment="1">
      <alignment horizontal="right"/>
    </xf>
    <xf numFmtId="187" fontId="22" fillId="0" borderId="0" xfId="2" applyNumberFormat="1" applyFont="1" applyFill="1"/>
    <xf numFmtId="0" fontId="25" fillId="0" borderId="0" xfId="3" quotePrefix="1" applyFont="1" applyAlignment="1">
      <alignment horizontal="left"/>
    </xf>
    <xf numFmtId="0" fontId="23" fillId="0" borderId="0" xfId="3" applyFont="1" applyAlignment="1">
      <alignment horizontal="left"/>
    </xf>
    <xf numFmtId="167" fontId="24" fillId="0" borderId="52" xfId="5" applyNumberFormat="1" applyFont="1" applyFill="1" applyBorder="1"/>
    <xf numFmtId="0" fontId="5" fillId="0" borderId="0" xfId="15" applyNumberFormat="1" applyFont="1" applyFill="1" applyAlignment="1">
      <alignment horizontal="center"/>
    </xf>
    <xf numFmtId="43" fontId="5" fillId="0" borderId="0" xfId="5" applyFont="1" applyFill="1"/>
    <xf numFmtId="187" fontId="5" fillId="0" borderId="0" xfId="2" applyNumberFormat="1" applyFont="1" applyFill="1"/>
    <xf numFmtId="0" fontId="2" fillId="0" borderId="146" xfId="0" applyFont="1" applyBorder="1"/>
    <xf numFmtId="0" fontId="0" fillId="0" borderId="67" xfId="0" applyBorder="1"/>
    <xf numFmtId="0" fontId="2" fillId="0" borderId="146" xfId="0" applyFont="1" applyBorder="1" applyAlignment="1">
      <alignment horizontal="center"/>
    </xf>
    <xf numFmtId="4" fontId="3" fillId="0" borderId="0" xfId="0" applyNumberFormat="1" applyFont="1"/>
    <xf numFmtId="37" fontId="3" fillId="0" borderId="73" xfId="0" applyNumberFormat="1" applyFont="1" applyBorder="1"/>
    <xf numFmtId="37" fontId="22" fillId="0" borderId="0" xfId="2" applyNumberFormat="1" applyFont="1" applyFill="1"/>
    <xf numFmtId="37" fontId="3" fillId="0" borderId="74" xfId="0" applyNumberFormat="1" applyFont="1" applyBorder="1"/>
    <xf numFmtId="37" fontId="3" fillId="0" borderId="0" xfId="2" applyNumberFormat="1" applyFont="1" applyFill="1"/>
    <xf numFmtId="37" fontId="3" fillId="0" borderId="0" xfId="0" applyNumberFormat="1" applyFont="1"/>
    <xf numFmtId="0" fontId="37" fillId="0" borderId="0" xfId="0" applyFont="1"/>
    <xf numFmtId="0" fontId="0" fillId="0" borderId="77" xfId="0" applyBorder="1"/>
    <xf numFmtId="0" fontId="0" fillId="0" borderId="77" xfId="0" applyBorder="1" applyAlignment="1">
      <alignment horizontal="center"/>
    </xf>
    <xf numFmtId="0" fontId="0" fillId="0" borderId="78" xfId="0" applyBorder="1"/>
    <xf numFmtId="0" fontId="0" fillId="0" borderId="79" xfId="0" applyBorder="1"/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3" fillId="0" borderId="78" xfId="0" applyFont="1" applyBorder="1"/>
    <xf numFmtId="0" fontId="3" fillId="0" borderId="81" xfId="0" applyFont="1" applyBorder="1"/>
    <xf numFmtId="0" fontId="3" fillId="0" borderId="82" xfId="0" applyFont="1" applyBorder="1"/>
    <xf numFmtId="167" fontId="3" fillId="0" borderId="78" xfId="0" applyNumberFormat="1" applyFont="1" applyBorder="1"/>
    <xf numFmtId="167" fontId="3" fillId="0" borderId="81" xfId="0" applyNumberFormat="1" applyFont="1" applyBorder="1"/>
    <xf numFmtId="167" fontId="3" fillId="0" borderId="82" xfId="0" applyNumberFormat="1" applyFont="1" applyBorder="1"/>
    <xf numFmtId="0" fontId="5" fillId="0" borderId="23" xfId="0" applyFont="1" applyBorder="1"/>
    <xf numFmtId="0" fontId="5" fillId="0" borderId="27" xfId="0" applyFont="1" applyBorder="1" applyAlignment="1">
      <alignment horizontal="center"/>
    </xf>
    <xf numFmtId="0" fontId="5" fillId="0" borderId="96" xfId="0" applyFont="1" applyBorder="1" applyAlignment="1">
      <alignment horizontal="left"/>
    </xf>
    <xf numFmtId="0" fontId="3" fillId="0" borderId="77" xfId="0" applyFont="1" applyBorder="1"/>
    <xf numFmtId="0" fontId="3" fillId="0" borderId="77" xfId="0" applyFont="1" applyBorder="1" applyAlignment="1">
      <alignment horizontal="center"/>
    </xf>
    <xf numFmtId="0" fontId="3" fillId="0" borderId="79" xfId="0" applyFont="1" applyBorder="1"/>
    <xf numFmtId="0" fontId="3" fillId="0" borderId="80" xfId="0" applyFont="1" applyBorder="1"/>
    <xf numFmtId="43" fontId="29" fillId="0" borderId="0" xfId="5" applyFont="1" applyFill="1"/>
    <xf numFmtId="40" fontId="0" fillId="0" borderId="0" xfId="0" applyNumberFormat="1"/>
    <xf numFmtId="43" fontId="23" fillId="0" borderId="0" xfId="5" applyFont="1" applyFill="1"/>
    <xf numFmtId="0" fontId="3" fillId="0" borderId="78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8" xfId="0" applyFont="1" applyBorder="1"/>
    <xf numFmtId="167" fontId="3" fillId="0" borderId="88" xfId="0" applyNumberFormat="1" applyFont="1" applyBorder="1"/>
    <xf numFmtId="0" fontId="3" fillId="0" borderId="89" xfId="0" applyFont="1" applyBorder="1"/>
    <xf numFmtId="167" fontId="3" fillId="0" borderId="89" xfId="0" applyNumberFormat="1" applyFont="1" applyBorder="1"/>
    <xf numFmtId="167" fontId="3" fillId="0" borderId="90" xfId="0" applyNumberFormat="1" applyFont="1" applyBorder="1"/>
    <xf numFmtId="0" fontId="23" fillId="0" borderId="83" xfId="0" applyFont="1" applyBorder="1"/>
    <xf numFmtId="167" fontId="23" fillId="0" borderId="83" xfId="0" applyNumberFormat="1" applyFont="1" applyBorder="1"/>
    <xf numFmtId="167" fontId="23" fillId="0" borderId="84" xfId="0" applyNumberFormat="1" applyFont="1" applyBorder="1"/>
    <xf numFmtId="167" fontId="23" fillId="0" borderId="77" xfId="0" applyNumberFormat="1" applyFont="1" applyBorder="1"/>
    <xf numFmtId="0" fontId="11" fillId="0" borderId="0" xfId="0" applyFont="1"/>
    <xf numFmtId="41" fontId="3" fillId="0" borderId="0" xfId="0" applyNumberFormat="1" applyFont="1"/>
    <xf numFmtId="41" fontId="22" fillId="0" borderId="0" xfId="0" applyNumberFormat="1" applyFont="1"/>
    <xf numFmtId="41" fontId="3" fillId="0" borderId="10" xfId="0" applyNumberFormat="1" applyFont="1" applyBorder="1"/>
    <xf numFmtId="41" fontId="22" fillId="0" borderId="10" xfId="0" applyNumberFormat="1" applyFont="1" applyBorder="1"/>
    <xf numFmtId="0" fontId="23" fillId="0" borderId="52" xfId="5" quotePrefix="1" applyNumberFormat="1" applyFont="1" applyFill="1" applyBorder="1" applyAlignment="1">
      <alignment horizontal="left"/>
    </xf>
    <xf numFmtId="41" fontId="23" fillId="0" borderId="52" xfId="0" applyNumberFormat="1" applyFont="1" applyBorder="1"/>
    <xf numFmtId="41" fontId="23" fillId="0" borderId="0" xfId="0" applyNumberFormat="1" applyFont="1"/>
    <xf numFmtId="41" fontId="0" fillId="0" borderId="0" xfId="0" applyNumberFormat="1"/>
    <xf numFmtId="0" fontId="12" fillId="0" borderId="12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1" fillId="0" borderId="27" xfId="0" applyFont="1" applyBorder="1"/>
    <xf numFmtId="37" fontId="0" fillId="0" borderId="28" xfId="0" applyNumberFormat="1" applyBorder="1"/>
    <xf numFmtId="0" fontId="11" fillId="0" borderId="29" xfId="0" applyFont="1" applyBorder="1"/>
    <xf numFmtId="37" fontId="0" fillId="0" borderId="30" xfId="0" applyNumberFormat="1" applyBorder="1"/>
    <xf numFmtId="37" fontId="0" fillId="0" borderId="31" xfId="0" applyNumberFormat="1" applyBorder="1"/>
    <xf numFmtId="1" fontId="0" fillId="0" borderId="0" xfId="0" applyNumberFormat="1"/>
    <xf numFmtId="0" fontId="0" fillId="0" borderId="14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169" fontId="0" fillId="0" borderId="0" xfId="6" applyNumberFormat="1" applyFont="1" applyFill="1"/>
    <xf numFmtId="37" fontId="1" fillId="0" borderId="31" xfId="2" applyNumberFormat="1" applyFont="1" applyFill="1" applyBorder="1" applyAlignment="1">
      <alignment horizontal="right"/>
    </xf>
    <xf numFmtId="43" fontId="0" fillId="0" borderId="0" xfId="2" applyFont="1" applyFill="1"/>
    <xf numFmtId="0" fontId="12" fillId="0" borderId="13" xfId="0" applyFont="1" applyBorder="1" applyAlignment="1">
      <alignment horizontal="center"/>
    </xf>
    <xf numFmtId="0" fontId="40" fillId="0" borderId="21" xfId="0" applyFont="1" applyBorder="1"/>
    <xf numFmtId="0" fontId="29" fillId="0" borderId="29" xfId="0" applyFont="1" applyBorder="1"/>
    <xf numFmtId="0" fontId="43" fillId="0" borderId="31" xfId="0" applyFont="1" applyBorder="1"/>
    <xf numFmtId="0" fontId="38" fillId="0" borderId="0" xfId="0" applyFont="1"/>
    <xf numFmtId="0" fontId="45" fillId="0" borderId="0" xfId="0" applyFont="1"/>
    <xf numFmtId="0" fontId="38" fillId="0" borderId="10" xfId="0" applyFont="1" applyBorder="1" applyAlignment="1">
      <alignment horizontal="center"/>
    </xf>
    <xf numFmtId="0" fontId="11" fillId="0" borderId="21" xfId="0" applyFont="1" applyBorder="1"/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167" fontId="8" fillId="0" borderId="50" xfId="5" applyNumberFormat="1" applyFont="1" applyFill="1" applyBorder="1" applyAlignment="1">
      <alignment horizontal="right"/>
    </xf>
    <xf numFmtId="0" fontId="5" fillId="0" borderId="27" xfId="0" applyFont="1" applyBorder="1" applyAlignment="1">
      <alignment horizontal="right"/>
    </xf>
    <xf numFmtId="0" fontId="5" fillId="0" borderId="28" xfId="0" applyFont="1" applyBorder="1" applyAlignment="1">
      <alignment horizontal="right"/>
    </xf>
    <xf numFmtId="0" fontId="0" fillId="0" borderId="22" xfId="0" applyBorder="1" applyAlignment="1">
      <alignment horizontal="center"/>
    </xf>
    <xf numFmtId="37" fontId="0" fillId="0" borderId="0" xfId="5" applyNumberFormat="1" applyFont="1" applyFill="1"/>
    <xf numFmtId="167" fontId="3" fillId="0" borderId="0" xfId="2" applyNumberFormat="1" applyFont="1" applyFill="1" applyBorder="1"/>
    <xf numFmtId="0" fontId="5" fillId="0" borderId="95" xfId="0" applyFont="1" applyBorder="1"/>
    <xf numFmtId="0" fontId="0" fillId="0" borderId="96" xfId="0" applyBorder="1"/>
    <xf numFmtId="0" fontId="0" fillId="0" borderId="53" xfId="0" applyBorder="1" applyAlignment="1">
      <alignment horizontal="left"/>
    </xf>
    <xf numFmtId="167" fontId="0" fillId="0" borderId="54" xfId="0" applyNumberFormat="1" applyBorder="1"/>
    <xf numFmtId="0" fontId="5" fillId="0" borderId="51" xfId="0" applyFont="1" applyBorder="1"/>
    <xf numFmtId="167" fontId="0" fillId="0" borderId="55" xfId="0" applyNumberFormat="1" applyBorder="1"/>
    <xf numFmtId="0" fontId="5" fillId="0" borderId="48" xfId="0" applyFont="1" applyBorder="1"/>
    <xf numFmtId="0" fontId="8" fillId="0" borderId="52" xfId="0" applyFont="1" applyBorder="1" applyAlignment="1">
      <alignment horizontal="left"/>
    </xf>
    <xf numFmtId="37" fontId="8" fillId="0" borderId="52" xfId="0" applyNumberFormat="1" applyFont="1" applyBorder="1"/>
    <xf numFmtId="0" fontId="12" fillId="0" borderId="12" xfId="0" applyFont="1" applyBorder="1"/>
    <xf numFmtId="0" fontId="0" fillId="0" borderId="13" xfId="0" applyBorder="1"/>
    <xf numFmtId="0" fontId="0" fillId="0" borderId="15" xfId="0" applyBorder="1" applyAlignment="1">
      <alignment horizontal="center"/>
    </xf>
    <xf numFmtId="0" fontId="0" fillId="0" borderId="16" xfId="0" applyBorder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" fillId="0" borderId="29" xfId="0" applyFont="1" applyBorder="1" applyAlignment="1">
      <alignment horizontal="left"/>
    </xf>
    <xf numFmtId="0" fontId="2" fillId="0" borderId="30" xfId="0" applyFont="1" applyBorder="1"/>
    <xf numFmtId="0" fontId="12" fillId="0" borderId="30" xfId="0" applyFont="1" applyBorder="1" applyAlignment="1">
      <alignment horizontal="center"/>
    </xf>
    <xf numFmtId="0" fontId="0" fillId="0" borderId="31" xfId="0" applyBorder="1"/>
    <xf numFmtId="0" fontId="0" fillId="0" borderId="29" xfId="0" applyBorder="1" applyAlignment="1">
      <alignment horizontal="left"/>
    </xf>
    <xf numFmtId="3" fontId="0" fillId="0" borderId="30" xfId="0" applyNumberFormat="1" applyBorder="1"/>
    <xf numFmtId="0" fontId="2" fillId="0" borderId="13" xfId="0" applyFont="1" applyBorder="1"/>
    <xf numFmtId="3" fontId="0" fillId="0" borderId="28" xfId="0" applyNumberFormat="1" applyBorder="1"/>
    <xf numFmtId="3" fontId="0" fillId="0" borderId="31" xfId="0" applyNumberFormat="1" applyBorder="1"/>
    <xf numFmtId="3" fontId="0" fillId="0" borderId="23" xfId="0" applyNumberFormat="1" applyBorder="1"/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2" fillId="0" borderId="31" xfId="0" applyFont="1" applyBorder="1"/>
    <xf numFmtId="3" fontId="20" fillId="0" borderId="0" xfId="0" applyNumberFormat="1" applyFont="1"/>
    <xf numFmtId="3" fontId="20" fillId="0" borderId="30" xfId="0" applyNumberFormat="1" applyFont="1" applyBorder="1"/>
    <xf numFmtId="0" fontId="2" fillId="0" borderId="21" xfId="0" applyFont="1" applyBorder="1"/>
    <xf numFmtId="3" fontId="0" fillId="0" borderId="14" xfId="0" applyNumberFormat="1" applyBorder="1"/>
    <xf numFmtId="3" fontId="0" fillId="0" borderId="13" xfId="0" applyNumberFormat="1" applyBorder="1"/>
    <xf numFmtId="3" fontId="0" fillId="0" borderId="22" xfId="0" applyNumberFormat="1" applyBorder="1"/>
    <xf numFmtId="0" fontId="8" fillId="0" borderId="24" xfId="0" applyFont="1" applyBorder="1" applyAlignment="1">
      <alignment horizontal="right"/>
    </xf>
    <xf numFmtId="0" fontId="8" fillId="0" borderId="25" xfId="0" applyFont="1" applyBorder="1" applyAlignment="1">
      <alignment horizontal="center"/>
    </xf>
    <xf numFmtId="0" fontId="8" fillId="0" borderId="26" xfId="0" applyFont="1" applyBorder="1"/>
    <xf numFmtId="167" fontId="8" fillId="0" borderId="28" xfId="0" applyNumberFormat="1" applyFont="1" applyBorder="1"/>
    <xf numFmtId="167" fontId="8" fillId="0" borderId="30" xfId="0" applyNumberFormat="1" applyFont="1" applyBorder="1"/>
    <xf numFmtId="167" fontId="8" fillId="0" borderId="31" xfId="0" applyNumberFormat="1" applyFont="1" applyBorder="1"/>
    <xf numFmtId="0" fontId="8" fillId="0" borderId="29" xfId="0" applyFont="1" applyBorder="1" applyAlignment="1">
      <alignment horizontal="right"/>
    </xf>
    <xf numFmtId="0" fontId="8" fillId="0" borderId="69" xfId="0" applyFont="1" applyBorder="1" applyAlignment="1">
      <alignment horizontal="right"/>
    </xf>
    <xf numFmtId="0" fontId="8" fillId="0" borderId="70" xfId="0" applyFont="1" applyBorder="1" applyAlignment="1">
      <alignment horizontal="center"/>
    </xf>
    <xf numFmtId="0" fontId="8" fillId="0" borderId="93" xfId="0" applyFont="1" applyBorder="1" applyAlignment="1">
      <alignment horizontal="center"/>
    </xf>
    <xf numFmtId="0" fontId="2" fillId="0" borderId="27" xfId="0" applyFont="1" applyBorder="1"/>
    <xf numFmtId="0" fontId="8" fillId="0" borderId="95" xfId="0" applyFont="1" applyBorder="1" applyAlignment="1">
      <alignment horizontal="right"/>
    </xf>
    <xf numFmtId="167" fontId="8" fillId="0" borderId="94" xfId="0" applyNumberFormat="1" applyFont="1" applyBorder="1"/>
    <xf numFmtId="167" fontId="8" fillId="0" borderId="96" xfId="0" applyNumberFormat="1" applyFont="1" applyBorder="1"/>
    <xf numFmtId="0" fontId="2" fillId="0" borderId="5" xfId="0" applyFont="1" applyBorder="1"/>
    <xf numFmtId="0" fontId="2" fillId="0" borderId="5" xfId="0" applyFont="1" applyBorder="1" applyAlignment="1">
      <alignment horizontal="center"/>
    </xf>
    <xf numFmtId="0" fontId="0" fillId="0" borderId="6" xfId="0" applyBorder="1"/>
    <xf numFmtId="37" fontId="0" fillId="0" borderId="23" xfId="0" applyNumberFormat="1" applyBorder="1"/>
    <xf numFmtId="37" fontId="0" fillId="0" borderId="96" xfId="0" applyNumberFormat="1" applyBorder="1"/>
    <xf numFmtId="43" fontId="0" fillId="0" borderId="21" xfId="2" applyFont="1" applyFill="1" applyBorder="1"/>
    <xf numFmtId="43" fontId="0" fillId="0" borderId="23" xfId="2" applyFont="1" applyFill="1" applyBorder="1"/>
    <xf numFmtId="0" fontId="2" fillId="0" borderId="37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43" fontId="0" fillId="0" borderId="27" xfId="2" applyFont="1" applyFill="1" applyBorder="1"/>
    <xf numFmtId="43" fontId="0" fillId="0" borderId="28" xfId="2" applyFont="1" applyFill="1" applyBorder="1"/>
    <xf numFmtId="43" fontId="0" fillId="0" borderId="95" xfId="2" applyFont="1" applyFill="1" applyBorder="1"/>
    <xf numFmtId="43" fontId="0" fillId="0" borderId="96" xfId="2" applyFont="1" applyFill="1" applyBorder="1"/>
    <xf numFmtId="177" fontId="3" fillId="0" borderId="6" xfId="0" applyNumberFormat="1" applyFont="1" applyBorder="1" applyAlignment="1">
      <alignment horizontal="center"/>
    </xf>
    <xf numFmtId="0" fontId="2" fillId="0" borderId="148" xfId="0" applyFont="1" applyBorder="1" applyAlignment="1">
      <alignment horizontal="center"/>
    </xf>
    <xf numFmtId="177" fontId="3" fillId="0" borderId="5" xfId="0" applyNumberFormat="1" applyFont="1" applyBorder="1" applyAlignment="1">
      <alignment horizontal="center"/>
    </xf>
    <xf numFmtId="10" fontId="0" fillId="0" borderId="0" xfId="1" applyNumberFormat="1" applyFont="1" applyFill="1"/>
    <xf numFmtId="0" fontId="8" fillId="0" borderId="11" xfId="0" quotePrefix="1" applyFont="1" applyBorder="1"/>
    <xf numFmtId="0" fontId="0" fillId="0" borderId="11" xfId="0" applyBorder="1"/>
    <xf numFmtId="0" fontId="8" fillId="0" borderId="52" xfId="0" quotePrefix="1" applyFont="1" applyBorder="1" applyAlignment="1">
      <alignment horizontal="center"/>
    </xf>
    <xf numFmtId="0" fontId="8" fillId="0" borderId="52" xfId="0" applyFont="1" applyBorder="1"/>
    <xf numFmtId="169" fontId="49" fillId="0" borderId="60" xfId="6" quotePrefix="1" applyNumberFormat="1" applyFont="1" applyFill="1" applyBorder="1"/>
    <xf numFmtId="169" fontId="41" fillId="0" borderId="55" xfId="6" quotePrefix="1" applyNumberFormat="1" applyFont="1" applyFill="1" applyBorder="1"/>
    <xf numFmtId="169" fontId="41" fillId="0" borderId="42" xfId="6" quotePrefix="1" applyNumberFormat="1" applyFont="1" applyFill="1" applyBorder="1"/>
    <xf numFmtId="37" fontId="8" fillId="0" borderId="11" xfId="0" applyNumberFormat="1" applyFont="1" applyBorder="1" applyAlignment="1">
      <alignment horizontal="left"/>
    </xf>
    <xf numFmtId="37" fontId="5" fillId="0" borderId="11" xfId="0" applyNumberFormat="1" applyFont="1" applyBorder="1" applyAlignment="1">
      <alignment horizontal="left"/>
    </xf>
    <xf numFmtId="0" fontId="50" fillId="0" borderId="11" xfId="0" applyFont="1" applyBorder="1"/>
    <xf numFmtId="169" fontId="22" fillId="0" borderId="42" xfId="6" applyNumberFormat="1" applyFont="1" applyFill="1" applyBorder="1"/>
    <xf numFmtId="3" fontId="8" fillId="0" borderId="52" xfId="0" applyNumberFormat="1" applyFont="1" applyBorder="1" applyAlignment="1">
      <alignment horizontal="center"/>
    </xf>
    <xf numFmtId="169" fontId="41" fillId="0" borderId="54" xfId="6" quotePrefix="1" applyNumberFormat="1" applyFont="1" applyFill="1" applyBorder="1"/>
    <xf numFmtId="169" fontId="49" fillId="0" borderId="59" xfId="6" quotePrefix="1" applyNumberFormat="1" applyFont="1" applyFill="1" applyBorder="1"/>
    <xf numFmtId="10" fontId="5" fillId="0" borderId="0" xfId="1" quotePrefix="1" applyNumberFormat="1" applyFont="1" applyFill="1" applyBorder="1" applyAlignment="1">
      <alignment horizontal="center"/>
    </xf>
    <xf numFmtId="169" fontId="41" fillId="0" borderId="42" xfId="6" applyNumberFormat="1" applyFont="1" applyFill="1" applyBorder="1"/>
    <xf numFmtId="10" fontId="47" fillId="0" borderId="11" xfId="0" applyNumberFormat="1" applyFont="1" applyBorder="1"/>
    <xf numFmtId="0" fontId="23" fillId="0" borderId="48" xfId="0" applyFont="1" applyBorder="1"/>
    <xf numFmtId="0" fontId="0" fillId="0" borderId="53" xfId="0" applyBorder="1" applyAlignment="1">
      <alignment horizontal="center"/>
    </xf>
    <xf numFmtId="0" fontId="8" fillId="0" borderId="34" xfId="0" applyFont="1" applyBorder="1"/>
    <xf numFmtId="0" fontId="66" fillId="0" borderId="11" xfId="0" applyFont="1" applyBorder="1"/>
    <xf numFmtId="10" fontId="0" fillId="0" borderId="59" xfId="15" applyNumberFormat="1" applyFont="1" applyFill="1" applyBorder="1"/>
    <xf numFmtId="10" fontId="8" fillId="0" borderId="42" xfId="15" applyNumberFormat="1" applyFont="1" applyFill="1" applyBorder="1" applyAlignment="1">
      <alignment horizontal="center"/>
    </xf>
    <xf numFmtId="10" fontId="8" fillId="0" borderId="55" xfId="15" applyNumberFormat="1" applyFont="1" applyFill="1" applyBorder="1" applyAlignment="1">
      <alignment horizontal="center"/>
    </xf>
    <xf numFmtId="9" fontId="8" fillId="0" borderId="42" xfId="15" applyFont="1" applyFill="1" applyBorder="1" applyAlignment="1">
      <alignment horizontal="center"/>
    </xf>
    <xf numFmtId="0" fontId="38" fillId="0" borderId="42" xfId="15" applyNumberFormat="1" applyFont="1" applyFill="1" applyBorder="1"/>
    <xf numFmtId="188" fontId="8" fillId="0" borderId="0" xfId="0" applyNumberFormat="1" applyFont="1"/>
    <xf numFmtId="10" fontId="66" fillId="0" borderId="11" xfId="15" applyNumberFormat="1" applyFont="1" applyFill="1" applyBorder="1" applyAlignment="1"/>
    <xf numFmtId="10" fontId="38" fillId="0" borderId="59" xfId="15" applyNumberFormat="1" applyFont="1" applyFill="1" applyBorder="1" applyAlignment="1">
      <alignment horizontal="left"/>
    </xf>
    <xf numFmtId="10" fontId="0" fillId="0" borderId="55" xfId="15" applyNumberFormat="1" applyFont="1" applyFill="1" applyBorder="1"/>
    <xf numFmtId="0" fontId="66" fillId="0" borderId="11" xfId="0" applyFont="1" applyBorder="1" applyAlignment="1">
      <alignment wrapText="1"/>
    </xf>
    <xf numFmtId="0" fontId="0" fillId="0" borderId="53" xfId="0" applyBorder="1"/>
    <xf numFmtId="0" fontId="66" fillId="0" borderId="20" xfId="0" applyFont="1" applyBorder="1" applyAlignment="1">
      <alignment wrapText="1"/>
    </xf>
    <xf numFmtId="9" fontId="8" fillId="0" borderId="0" xfId="5" applyNumberFormat="1" applyFont="1" applyFill="1" applyBorder="1" applyAlignment="1">
      <alignment horizontal="center"/>
    </xf>
    <xf numFmtId="2" fontId="8" fillId="0" borderId="51" xfId="0" applyNumberFormat="1" applyFont="1" applyBorder="1" applyAlignment="1">
      <alignment horizontal="center"/>
    </xf>
    <xf numFmtId="9" fontId="0" fillId="0" borderId="10" xfId="0" applyNumberFormat="1" applyBorder="1"/>
    <xf numFmtId="0" fontId="2" fillId="0" borderId="43" xfId="0" applyFont="1" applyBorder="1" applyAlignment="1">
      <alignment horizontal="center"/>
    </xf>
    <xf numFmtId="0" fontId="2" fillId="0" borderId="97" xfId="0" applyFont="1" applyBorder="1"/>
    <xf numFmtId="0" fontId="2" fillId="0" borderId="9" xfId="0" applyFont="1" applyBorder="1"/>
    <xf numFmtId="43" fontId="0" fillId="0" borderId="10" xfId="2" applyFont="1" applyFill="1" applyBorder="1"/>
    <xf numFmtId="0" fontId="8" fillId="0" borderId="55" xfId="0" applyFont="1" applyBorder="1"/>
    <xf numFmtId="0" fontId="8" fillId="0" borderId="68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43" fontId="165" fillId="0" borderId="0" xfId="37" applyNumberFormat="1" applyFill="1"/>
    <xf numFmtId="3" fontId="4" fillId="0" borderId="51" xfId="0" applyNumberFormat="1" applyFont="1" applyBorder="1" applyAlignment="1">
      <alignment horizontal="center"/>
    </xf>
    <xf numFmtId="3" fontId="4" fillId="0" borderId="42" xfId="0" applyNumberFormat="1" applyFont="1" applyBorder="1" applyAlignment="1">
      <alignment horizontal="center"/>
    </xf>
    <xf numFmtId="37" fontId="22" fillId="0" borderId="0" xfId="5" applyNumberFormat="1" applyFont="1" applyFill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34" xfId="0" applyFont="1" applyBorder="1"/>
    <xf numFmtId="0" fontId="5" fillId="0" borderId="11" xfId="0" applyFont="1" applyBorder="1"/>
    <xf numFmtId="0" fontId="5" fillId="0" borderId="59" xfId="0" applyFont="1" applyBorder="1"/>
    <xf numFmtId="43" fontId="165" fillId="0" borderId="10" xfId="37" applyNumberFormat="1" applyFill="1" applyBorder="1"/>
    <xf numFmtId="0" fontId="5" fillId="0" borderId="42" xfId="0" applyFont="1" applyBorder="1"/>
    <xf numFmtId="0" fontId="62" fillId="0" borderId="51" xfId="0" applyFont="1" applyBorder="1"/>
    <xf numFmtId="0" fontId="5" fillId="0" borderId="32" xfId="0" applyFont="1" applyBorder="1" applyAlignment="1">
      <alignment horizontal="center"/>
    </xf>
    <xf numFmtId="0" fontId="8" fillId="0" borderId="69" xfId="0" applyFont="1" applyBorder="1"/>
    <xf numFmtId="0" fontId="4" fillId="0" borderId="70" xfId="0" applyFont="1" applyBorder="1"/>
    <xf numFmtId="0" fontId="4" fillId="0" borderId="71" xfId="0" applyFont="1" applyBorder="1"/>
    <xf numFmtId="167" fontId="5" fillId="0" borderId="28" xfId="0" applyNumberFormat="1" applyFont="1" applyBorder="1" applyAlignment="1">
      <alignment horizontal="center" wrapText="1"/>
    </xf>
    <xf numFmtId="3" fontId="5" fillId="0" borderId="0" xfId="0" applyNumberFormat="1" applyFont="1" applyAlignment="1">
      <alignment horizontal="center" wrapText="1"/>
    </xf>
    <xf numFmtId="3" fontId="5" fillId="0" borderId="0" xfId="0" applyNumberFormat="1" applyFont="1" applyAlignment="1">
      <alignment horizontal="center"/>
    </xf>
    <xf numFmtId="3" fontId="4" fillId="0" borderId="28" xfId="0" applyNumberFormat="1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25" xfId="0" applyNumberFormat="1" applyFont="1" applyBorder="1" applyAlignment="1">
      <alignment horizontal="center"/>
    </xf>
    <xf numFmtId="9" fontId="4" fillId="0" borderId="0" xfId="1" applyFont="1" applyFill="1" applyAlignment="1">
      <alignment horizontal="center"/>
    </xf>
    <xf numFmtId="175" fontId="4" fillId="0" borderId="0" xfId="1" applyNumberFormat="1" applyFont="1" applyFill="1" applyAlignment="1">
      <alignment horizontal="center"/>
    </xf>
    <xf numFmtId="3" fontId="4" fillId="0" borderId="30" xfId="0" applyNumberFormat="1" applyFont="1" applyBorder="1" applyAlignment="1">
      <alignment horizontal="center"/>
    </xf>
    <xf numFmtId="3" fontId="4" fillId="0" borderId="31" xfId="0" applyNumberFormat="1" applyFont="1" applyBorder="1" applyAlignment="1">
      <alignment horizontal="center"/>
    </xf>
    <xf numFmtId="179" fontId="8" fillId="0" borderId="48" xfId="9" quotePrefix="1" applyNumberFormat="1" applyFont="1" applyBorder="1" applyAlignment="1">
      <alignment horizontal="center"/>
    </xf>
    <xf numFmtId="3" fontId="73" fillId="0" borderId="5" xfId="5" applyNumberFormat="1" applyFont="1" applyFill="1" applyBorder="1" applyAlignment="1">
      <alignment horizontal="center"/>
    </xf>
    <xf numFmtId="0" fontId="8" fillId="0" borderId="72" xfId="0" applyFont="1" applyBorder="1" applyAlignment="1">
      <alignment horizontal="center"/>
    </xf>
    <xf numFmtId="0" fontId="10" fillId="0" borderId="20" xfId="0" applyFont="1" applyBorder="1"/>
    <xf numFmtId="14" fontId="69" fillId="0" borderId="20" xfId="0" applyNumberFormat="1" applyFont="1" applyBorder="1"/>
    <xf numFmtId="0" fontId="69" fillId="0" borderId="0" xfId="0" applyFont="1"/>
    <xf numFmtId="0" fontId="23" fillId="0" borderId="51" xfId="0" applyFont="1" applyBorder="1"/>
    <xf numFmtId="0" fontId="60" fillId="0" borderId="0" xfId="0" applyFont="1"/>
    <xf numFmtId="0" fontId="5" fillId="0" borderId="42" xfId="0" applyFont="1" applyBorder="1" applyAlignment="1">
      <alignment horizontal="center"/>
    </xf>
    <xf numFmtId="0" fontId="74" fillId="0" borderId="0" xfId="0" applyFont="1" applyAlignment="1">
      <alignment horizontal="center"/>
    </xf>
    <xf numFmtId="192" fontId="5" fillId="0" borderId="42" xfId="0" applyNumberFormat="1" applyFont="1" applyBorder="1"/>
    <xf numFmtId="192" fontId="8" fillId="0" borderId="0" xfId="0" applyNumberFormat="1" applyFont="1"/>
    <xf numFmtId="37" fontId="5" fillId="0" borderId="11" xfId="0" applyNumberFormat="1" applyFont="1" applyBorder="1"/>
    <xf numFmtId="10" fontId="0" fillId="0" borderId="0" xfId="15" applyNumberFormat="1" applyFont="1" applyFill="1" applyAlignment="1">
      <alignment horizontal="center"/>
    </xf>
    <xf numFmtId="10" fontId="0" fillId="0" borderId="42" xfId="15" applyNumberFormat="1" applyFont="1" applyFill="1" applyBorder="1" applyAlignment="1">
      <alignment horizontal="center"/>
    </xf>
    <xf numFmtId="37" fontId="43" fillId="0" borderId="0" xfId="0" applyNumberFormat="1" applyFont="1"/>
    <xf numFmtId="0" fontId="0" fillId="0" borderId="42" xfId="0" applyBorder="1" applyAlignment="1">
      <alignment horizontal="center"/>
    </xf>
    <xf numFmtId="37" fontId="8" fillId="0" borderId="10" xfId="0" applyNumberFormat="1" applyFont="1" applyBorder="1" applyAlignment="1">
      <alignment horizontal="center"/>
    </xf>
    <xf numFmtId="37" fontId="0" fillId="0" borderId="11" xfId="0" applyNumberFormat="1" applyBorder="1"/>
    <xf numFmtId="37" fontId="5" fillId="0" borderId="42" xfId="0" applyNumberFormat="1" applyFont="1" applyBorder="1"/>
    <xf numFmtId="0" fontId="8" fillId="0" borderId="63" xfId="0" applyFont="1" applyBorder="1"/>
    <xf numFmtId="37" fontId="0" fillId="0" borderId="63" xfId="0" applyNumberFormat="1" applyBorder="1"/>
    <xf numFmtId="0" fontId="0" fillId="0" borderId="63" xfId="0" applyBorder="1"/>
    <xf numFmtId="37" fontId="0" fillId="0" borderId="42" xfId="0" applyNumberFormat="1" applyBorder="1"/>
    <xf numFmtId="3" fontId="51" fillId="0" borderId="10" xfId="0" applyNumberFormat="1" applyFont="1" applyBorder="1"/>
    <xf numFmtId="3" fontId="0" fillId="0" borderId="10" xfId="0" applyNumberFormat="1" applyBorder="1"/>
    <xf numFmtId="0" fontId="76" fillId="0" borderId="0" xfId="0" applyFont="1"/>
    <xf numFmtId="0" fontId="77" fillId="0" borderId="0" xfId="0" applyFont="1"/>
    <xf numFmtId="0" fontId="8" fillId="0" borderId="0" xfId="0" applyFont="1" applyAlignment="1">
      <alignment horizontal="center" wrapText="1"/>
    </xf>
    <xf numFmtId="0" fontId="75" fillId="0" borderId="0" xfId="0" applyFont="1"/>
    <xf numFmtId="193" fontId="4" fillId="0" borderId="10" xfId="0" applyNumberFormat="1" applyFont="1" applyBorder="1" applyAlignment="1">
      <alignment horizontal="left"/>
    </xf>
    <xf numFmtId="0" fontId="5" fillId="0" borderId="55" xfId="0" applyFont="1" applyBorder="1"/>
    <xf numFmtId="0" fontId="4" fillId="0" borderId="0" xfId="0" applyFont="1" applyAlignment="1">
      <alignment horizontal="centerContinuous" wrapText="1"/>
    </xf>
    <xf numFmtId="0" fontId="4" fillId="0" borderId="0" xfId="0" applyFont="1" applyAlignment="1">
      <alignment horizontal="center" wrapText="1"/>
    </xf>
    <xf numFmtId="0" fontId="4" fillId="0" borderId="48" xfId="0" applyFont="1" applyBorder="1" applyAlignment="1">
      <alignment horizontal="center"/>
    </xf>
    <xf numFmtId="0" fontId="4" fillId="0" borderId="55" xfId="0" applyFont="1" applyBorder="1" applyAlignment="1">
      <alignment horizontal="center"/>
    </xf>
    <xf numFmtId="37" fontId="4" fillId="0" borderId="42" xfId="0" applyNumberFormat="1" applyFont="1" applyBorder="1"/>
    <xf numFmtId="0" fontId="5" fillId="0" borderId="86" xfId="4" applyFont="1" applyBorder="1" applyAlignment="1">
      <alignment horizontal="left" wrapText="1"/>
    </xf>
    <xf numFmtId="0" fontId="5" fillId="0" borderId="137" xfId="4" applyFont="1" applyBorder="1" applyAlignment="1">
      <alignment horizontal="left" wrapText="1"/>
    </xf>
    <xf numFmtId="37" fontId="4" fillId="0" borderId="10" xfId="0" applyNumberFormat="1" applyFont="1" applyBorder="1"/>
    <xf numFmtId="37" fontId="4" fillId="0" borderId="55" xfId="0" applyNumberFormat="1" applyFont="1" applyBorder="1"/>
    <xf numFmtId="3" fontId="22" fillId="0" borderId="0" xfId="5" applyNumberFormat="1" applyFont="1" applyFill="1" applyBorder="1" applyAlignment="1">
      <alignment horizontal="center"/>
    </xf>
    <xf numFmtId="3" fontId="22" fillId="0" borderId="42" xfId="5" applyNumberFormat="1" applyFont="1" applyFill="1" applyBorder="1" applyAlignment="1">
      <alignment horizontal="center"/>
    </xf>
    <xf numFmtId="3" fontId="22" fillId="0" borderId="10" xfId="5" applyNumberFormat="1" applyFont="1" applyFill="1" applyBorder="1" applyAlignment="1">
      <alignment horizontal="center"/>
    </xf>
    <xf numFmtId="37" fontId="4" fillId="0" borderId="66" xfId="0" applyNumberFormat="1" applyFont="1" applyBorder="1"/>
    <xf numFmtId="194" fontId="4" fillId="0" borderId="30" xfId="0" applyNumberFormat="1" applyFont="1" applyBorder="1"/>
    <xf numFmtId="194" fontId="4" fillId="0" borderId="87" xfId="0" applyNumberFormat="1" applyFont="1" applyBorder="1"/>
    <xf numFmtId="5" fontId="4" fillId="0" borderId="66" xfId="0" applyNumberFormat="1" applyFont="1" applyBorder="1"/>
    <xf numFmtId="5" fontId="4" fillId="0" borderId="0" xfId="0" applyNumberFormat="1" applyFont="1"/>
    <xf numFmtId="5" fontId="4" fillId="0" borderId="42" xfId="0" applyNumberFormat="1" applyFont="1" applyBorder="1"/>
    <xf numFmtId="195" fontId="4" fillId="0" borderId="0" xfId="0" applyNumberFormat="1" applyFont="1"/>
    <xf numFmtId="195" fontId="4" fillId="0" borderId="42" xfId="0" applyNumberFormat="1" applyFont="1" applyBorder="1"/>
    <xf numFmtId="5" fontId="4" fillId="0" borderId="63" xfId="0" applyNumberFormat="1" applyFont="1" applyBorder="1"/>
    <xf numFmtId="5" fontId="5" fillId="0" borderId="0" xfId="0" applyNumberFormat="1" applyFont="1"/>
    <xf numFmtId="5" fontId="5" fillId="0" borderId="42" xfId="0" applyNumberFormat="1" applyFont="1" applyBorder="1"/>
    <xf numFmtId="196" fontId="4" fillId="0" borderId="0" xfId="0" applyNumberFormat="1" applyFont="1"/>
    <xf numFmtId="196" fontId="4" fillId="0" borderId="42" xfId="0" applyNumberFormat="1" applyFont="1" applyBorder="1"/>
    <xf numFmtId="5" fontId="4" fillId="0" borderId="10" xfId="0" applyNumberFormat="1" applyFont="1" applyBorder="1"/>
    <xf numFmtId="5" fontId="4" fillId="0" borderId="55" xfId="0" applyNumberFormat="1" applyFont="1" applyBorder="1"/>
    <xf numFmtId="0" fontId="81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8" fillId="0" borderId="12" xfId="0" applyFont="1" applyBorder="1"/>
    <xf numFmtId="0" fontId="8" fillId="0" borderId="22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46" fillId="0" borderId="27" xfId="0" applyFont="1" applyBorder="1"/>
    <xf numFmtId="197" fontId="84" fillId="0" borderId="22" xfId="0" applyNumberFormat="1" applyFont="1" applyBorder="1"/>
    <xf numFmtId="197" fontId="46" fillId="0" borderId="0" xfId="0" applyNumberFormat="1" applyFont="1"/>
    <xf numFmtId="197" fontId="46" fillId="0" borderId="28" xfId="0" applyNumberFormat="1" applyFont="1" applyBorder="1"/>
    <xf numFmtId="0" fontId="46" fillId="0" borderId="30" xfId="0" applyFont="1" applyBorder="1"/>
    <xf numFmtId="197" fontId="84" fillId="0" borderId="30" xfId="0" applyNumberFormat="1" applyFont="1" applyBorder="1"/>
    <xf numFmtId="197" fontId="46" fillId="0" borderId="30" xfId="0" applyNumberFormat="1" applyFont="1" applyBorder="1"/>
    <xf numFmtId="197" fontId="46" fillId="0" borderId="31" xfId="0" applyNumberFormat="1" applyFont="1" applyBorder="1"/>
    <xf numFmtId="197" fontId="84" fillId="0" borderId="0" xfId="0" applyNumberFormat="1" applyFont="1"/>
    <xf numFmtId="0" fontId="46" fillId="0" borderId="29" xfId="0" applyFont="1" applyBorder="1"/>
    <xf numFmtId="197" fontId="0" fillId="0" borderId="30" xfId="0" applyNumberFormat="1" applyBorder="1"/>
    <xf numFmtId="197" fontId="82" fillId="0" borderId="30" xfId="0" applyNumberFormat="1" applyFont="1" applyBorder="1"/>
    <xf numFmtId="197" fontId="83" fillId="0" borderId="31" xfId="0" applyNumberFormat="1" applyFont="1" applyBorder="1"/>
    <xf numFmtId="167" fontId="27" fillId="0" borderId="21" xfId="5" applyNumberFormat="1" applyFont="1" applyFill="1" applyBorder="1" applyAlignment="1">
      <alignment horizontal="center" wrapText="1"/>
    </xf>
    <xf numFmtId="0" fontId="27" fillId="0" borderId="22" xfId="0" applyFont="1" applyBorder="1" applyAlignment="1">
      <alignment horizontal="center" wrapText="1"/>
    </xf>
    <xf numFmtId="0" fontId="27" fillId="0" borderId="23" xfId="0" applyFont="1" applyBorder="1" applyAlignment="1">
      <alignment horizontal="center" wrapText="1"/>
    </xf>
    <xf numFmtId="179" fontId="80" fillId="0" borderId="24" xfId="9" quotePrefix="1" applyNumberFormat="1" applyFont="1" applyBorder="1" applyAlignment="1">
      <alignment horizontal="center"/>
    </xf>
    <xf numFmtId="179" fontId="80" fillId="0" borderId="10" xfId="9" quotePrefix="1" applyNumberFormat="1" applyFont="1" applyBorder="1" applyAlignment="1">
      <alignment horizontal="center"/>
    </xf>
    <xf numFmtId="179" fontId="80" fillId="0" borderId="25" xfId="9" quotePrefix="1" applyNumberFormat="1" applyFont="1" applyBorder="1" applyAlignment="1">
      <alignment horizontal="center"/>
    </xf>
    <xf numFmtId="0" fontId="31" fillId="0" borderId="91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169" fontId="57" fillId="0" borderId="0" xfId="6" applyNumberFormat="1" applyFont="1" applyFill="1" applyBorder="1"/>
    <xf numFmtId="167" fontId="27" fillId="0" borderId="0" xfId="0" applyNumberFormat="1" applyFont="1"/>
    <xf numFmtId="177" fontId="27" fillId="0" borderId="0" xfId="0" applyNumberFormat="1" applyFont="1"/>
    <xf numFmtId="177" fontId="27" fillId="0" borderId="0" xfId="0" applyNumberFormat="1" applyFont="1" applyAlignment="1">
      <alignment horizontal="right"/>
    </xf>
    <xf numFmtId="177" fontId="27" fillId="0" borderId="28" xfId="0" applyNumberFormat="1" applyFont="1" applyBorder="1"/>
    <xf numFmtId="0" fontId="27" fillId="0" borderId="0" xfId="0" applyFont="1" applyAlignment="1">
      <alignment horizontal="right"/>
    </xf>
    <xf numFmtId="167" fontId="27" fillId="0" borderId="28" xfId="0" applyNumberFormat="1" applyFont="1" applyBorder="1"/>
    <xf numFmtId="0" fontId="27" fillId="0" borderId="27" xfId="0" applyFont="1" applyBorder="1"/>
    <xf numFmtId="0" fontId="27" fillId="0" borderId="28" xfId="0" applyFont="1" applyBorder="1"/>
    <xf numFmtId="0" fontId="27" fillId="0" borderId="27" xfId="0" applyFont="1" applyBorder="1" applyAlignment="1">
      <alignment horizontal="left"/>
    </xf>
    <xf numFmtId="177" fontId="27" fillId="0" borderId="20" xfId="0" applyNumberFormat="1" applyFont="1" applyBorder="1"/>
    <xf numFmtId="177" fontId="27" fillId="0" borderId="20" xfId="0" applyNumberFormat="1" applyFont="1" applyBorder="1" applyAlignment="1">
      <alignment horizontal="center"/>
    </xf>
    <xf numFmtId="0" fontId="27" fillId="0" borderId="29" xfId="0" applyFont="1" applyBorder="1" applyAlignment="1">
      <alignment horizontal="left"/>
    </xf>
    <xf numFmtId="0" fontId="42" fillId="0" borderId="30" xfId="0" applyFont="1" applyBorder="1"/>
    <xf numFmtId="0" fontId="42" fillId="0" borderId="31" xfId="0" applyFont="1" applyBorder="1"/>
    <xf numFmtId="3" fontId="3" fillId="0" borderId="98" xfId="0" applyNumberFormat="1" applyFont="1" applyBorder="1" applyAlignment="1">
      <alignment horizontal="center"/>
    </xf>
    <xf numFmtId="43" fontId="8" fillId="0" borderId="42" xfId="5" applyFont="1" applyFill="1" applyBorder="1"/>
    <xf numFmtId="0" fontId="66" fillId="0" borderId="10" xfId="0" applyFont="1" applyBorder="1"/>
    <xf numFmtId="43" fontId="8" fillId="0" borderId="55" xfId="5" applyFont="1" applyFill="1" applyBorder="1"/>
    <xf numFmtId="43" fontId="8" fillId="0" borderId="51" xfId="5" applyFont="1" applyFill="1" applyBorder="1" applyAlignment="1">
      <alignment horizontal="center"/>
    </xf>
    <xf numFmtId="43" fontId="8" fillId="0" borderId="0" xfId="5" applyFont="1" applyFill="1" applyBorder="1" applyAlignment="1">
      <alignment horizontal="center"/>
    </xf>
    <xf numFmtId="43" fontId="8" fillId="0" borderId="42" xfId="5" applyFont="1" applyFill="1" applyBorder="1" applyAlignment="1">
      <alignment horizontal="center"/>
    </xf>
    <xf numFmtId="0" fontId="0" fillId="0" borderId="107" xfId="0" applyBorder="1" applyAlignment="1">
      <alignment horizontal="center"/>
    </xf>
    <xf numFmtId="0" fontId="8" fillId="0" borderId="105" xfId="0" quotePrefix="1" applyFont="1" applyBorder="1"/>
    <xf numFmtId="0" fontId="5" fillId="0" borderId="10" xfId="0" applyFont="1" applyBorder="1" applyAlignment="1">
      <alignment horizontal="center"/>
    </xf>
    <xf numFmtId="5" fontId="5" fillId="0" borderId="10" xfId="0" applyNumberFormat="1" applyFont="1" applyBorder="1" applyAlignment="1">
      <alignment horizontal="center"/>
    </xf>
    <xf numFmtId="3" fontId="22" fillId="0" borderId="103" xfId="5" applyNumberFormat="1" applyFont="1" applyFill="1" applyBorder="1" applyAlignment="1">
      <alignment horizontal="center"/>
    </xf>
    <xf numFmtId="49" fontId="5" fillId="0" borderId="55" xfId="0" applyNumberFormat="1" applyFont="1" applyBorder="1" applyAlignment="1">
      <alignment horizontal="center"/>
    </xf>
    <xf numFmtId="169" fontId="65" fillId="0" borderId="42" xfId="0" applyNumberFormat="1" applyFont="1" applyBorder="1"/>
    <xf numFmtId="41" fontId="4" fillId="0" borderId="0" xfId="0" applyNumberFormat="1" applyFont="1"/>
    <xf numFmtId="49" fontId="5" fillId="0" borderId="105" xfId="0" applyNumberFormat="1" applyFont="1" applyBorder="1" applyAlignment="1">
      <alignment horizontal="left"/>
    </xf>
    <xf numFmtId="167" fontId="4" fillId="0" borderId="105" xfId="0" applyNumberFormat="1" applyFont="1" applyBorder="1"/>
    <xf numFmtId="169" fontId="4" fillId="0" borderId="106" xfId="0" applyNumberFormat="1" applyFont="1" applyBorder="1"/>
    <xf numFmtId="169" fontId="5" fillId="0" borderId="106" xfId="0" applyNumberFormat="1" applyFont="1" applyBorder="1"/>
    <xf numFmtId="0" fontId="8" fillId="0" borderId="106" xfId="0" applyFont="1" applyBorder="1" applyAlignment="1">
      <alignment horizontal="center"/>
    </xf>
    <xf numFmtId="169" fontId="0" fillId="0" borderId="60" xfId="0" applyNumberFormat="1" applyBorder="1"/>
    <xf numFmtId="0" fontId="2" fillId="0" borderId="4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98" xfId="0" applyFont="1" applyBorder="1" applyAlignment="1">
      <alignment horizontal="center"/>
    </xf>
    <xf numFmtId="3" fontId="3" fillId="0" borderId="5" xfId="0" applyNumberFormat="1" applyFont="1" applyBorder="1"/>
    <xf numFmtId="3" fontId="3" fillId="0" borderId="6" xfId="0" applyNumberFormat="1" applyFont="1" applyBorder="1"/>
    <xf numFmtId="10" fontId="0" fillId="0" borderId="8" xfId="1" applyNumberFormat="1" applyFont="1" applyFill="1" applyBorder="1"/>
    <xf numFmtId="3" fontId="0" fillId="0" borderId="98" xfId="0" applyNumberFormat="1" applyBorder="1"/>
    <xf numFmtId="43" fontId="8" fillId="0" borderId="0" xfId="5" applyFont="1" applyFill="1" applyBorder="1"/>
    <xf numFmtId="0" fontId="47" fillId="0" borderId="51" xfId="0" applyFont="1" applyBorder="1"/>
    <xf numFmtId="169" fontId="0" fillId="0" borderId="10" xfId="0" applyNumberFormat="1" applyBorder="1"/>
    <xf numFmtId="0" fontId="8" fillId="0" borderId="10" xfId="0" quotePrefix="1" applyFont="1" applyBorder="1" applyAlignment="1">
      <alignment horizontal="center"/>
    </xf>
    <xf numFmtId="49" fontId="8" fillId="0" borderId="11" xfId="0" applyNumberFormat="1" applyFont="1" applyBorder="1" applyAlignment="1">
      <alignment horizontal="center"/>
    </xf>
    <xf numFmtId="49" fontId="8" fillId="0" borderId="59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49" fontId="8" fillId="0" borderId="55" xfId="0" applyNumberFormat="1" applyFont="1" applyBorder="1" applyAlignment="1">
      <alignment horizontal="center"/>
    </xf>
    <xf numFmtId="43" fontId="4" fillId="0" borderId="0" xfId="0" applyNumberFormat="1" applyFont="1"/>
    <xf numFmtId="43" fontId="4" fillId="0" borderId="10" xfId="0" applyNumberFormat="1" applyFont="1" applyBorder="1"/>
    <xf numFmtId="49" fontId="5" fillId="0" borderId="11" xfId="0" applyNumberFormat="1" applyFont="1" applyBorder="1" applyAlignment="1">
      <alignment horizontal="left"/>
    </xf>
    <xf numFmtId="0" fontId="4" fillId="0" borderId="11" xfId="0" applyFont="1" applyBorder="1"/>
    <xf numFmtId="169" fontId="4" fillId="0" borderId="59" xfId="0" applyNumberFormat="1" applyFont="1" applyBorder="1"/>
    <xf numFmtId="0" fontId="4" fillId="0" borderId="59" xfId="0" applyFont="1" applyBorder="1"/>
    <xf numFmtId="169" fontId="4" fillId="0" borderId="66" xfId="0" applyNumberFormat="1" applyFont="1" applyBorder="1"/>
    <xf numFmtId="0" fontId="5" fillId="0" borderId="52" xfId="0" applyFont="1" applyBorder="1"/>
    <xf numFmtId="49" fontId="5" fillId="0" borderId="129" xfId="0" applyNumberFormat="1" applyFont="1" applyBorder="1" applyAlignment="1">
      <alignment horizontal="left"/>
    </xf>
    <xf numFmtId="0" fontId="140" fillId="0" borderId="0" xfId="0" applyFont="1"/>
    <xf numFmtId="0" fontId="92" fillId="0" borderId="0" xfId="0" applyFont="1"/>
    <xf numFmtId="0" fontId="32" fillId="0" borderId="0" xfId="0" applyFont="1" applyAlignment="1">
      <alignment horizontal="right"/>
    </xf>
    <xf numFmtId="37" fontId="141" fillId="0" borderId="0" xfId="0" applyNumberFormat="1" applyFont="1"/>
    <xf numFmtId="37" fontId="142" fillId="0" borderId="0" xfId="0" applyNumberFormat="1" applyFont="1"/>
    <xf numFmtId="37" fontId="102" fillId="0" borderId="0" xfId="0" applyNumberFormat="1" applyFont="1" applyAlignment="1">
      <alignment horizontal="left"/>
    </xf>
    <xf numFmtId="37" fontId="102" fillId="0" borderId="0" xfId="0" applyNumberFormat="1" applyFont="1"/>
    <xf numFmtId="0" fontId="8" fillId="0" borderId="1" xfId="0" applyFont="1" applyBorder="1"/>
    <xf numFmtId="0" fontId="19" fillId="0" borderId="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3" fontId="4" fillId="0" borderId="6" xfId="0" applyNumberFormat="1" applyFont="1" applyBorder="1" applyAlignment="1">
      <alignment horizontal="center"/>
    </xf>
    <xf numFmtId="0" fontId="2" fillId="0" borderId="97" xfId="0" applyFont="1" applyBorder="1" applyAlignment="1">
      <alignment horizontal="left"/>
    </xf>
    <xf numFmtId="0" fontId="5" fillId="0" borderId="4" xfId="0" applyFont="1" applyBorder="1"/>
    <xf numFmtId="3" fontId="5" fillId="0" borderId="5" xfId="0" applyNumberFormat="1" applyFont="1" applyBorder="1" applyAlignment="1">
      <alignment horizontal="center"/>
    </xf>
    <xf numFmtId="3" fontId="5" fillId="0" borderId="6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/>
    </xf>
    <xf numFmtId="3" fontId="5" fillId="0" borderId="32" xfId="0" applyNumberFormat="1" applyFont="1" applyBorder="1" applyAlignment="1">
      <alignment horizontal="center"/>
    </xf>
    <xf numFmtId="0" fontId="5" fillId="0" borderId="97" xfId="0" applyFont="1" applyBorder="1"/>
    <xf numFmtId="3" fontId="5" fillId="0" borderId="8" xfId="0" applyNumberFormat="1" applyFont="1" applyBorder="1" applyAlignment="1">
      <alignment horizontal="center"/>
    </xf>
    <xf numFmtId="3" fontId="5" fillId="0" borderId="98" xfId="0" applyNumberFormat="1" applyFont="1" applyBorder="1" applyAlignment="1">
      <alignment horizontal="center"/>
    </xf>
    <xf numFmtId="49" fontId="8" fillId="0" borderId="20" xfId="0" applyNumberFormat="1" applyFont="1" applyBorder="1" applyAlignment="1">
      <alignment horizontal="center"/>
    </xf>
    <xf numFmtId="0" fontId="8" fillId="0" borderId="20" xfId="0" applyFont="1" applyBorder="1" applyAlignment="1">
      <alignment horizontal="center" wrapText="1"/>
    </xf>
    <xf numFmtId="0" fontId="8" fillId="0" borderId="54" xfId="0" applyFont="1" applyBorder="1" applyAlignment="1">
      <alignment horizontal="center" wrapText="1"/>
    </xf>
    <xf numFmtId="0" fontId="8" fillId="0" borderId="11" xfId="0" applyFont="1" applyBorder="1" applyAlignment="1">
      <alignment horizontal="center" wrapText="1"/>
    </xf>
    <xf numFmtId="169" fontId="8" fillId="0" borderId="59" xfId="0" applyNumberFormat="1" applyFont="1" applyBorder="1" applyAlignment="1">
      <alignment horizontal="center" wrapText="1"/>
    </xf>
    <xf numFmtId="169" fontId="0" fillId="0" borderId="11" xfId="0" applyNumberFormat="1" applyBorder="1"/>
    <xf numFmtId="169" fontId="0" fillId="0" borderId="59" xfId="0" applyNumberFormat="1" applyBorder="1"/>
    <xf numFmtId="49" fontId="8" fillId="0" borderId="34" xfId="0" applyNumberFormat="1" applyFont="1" applyBorder="1" applyAlignment="1">
      <alignment horizontal="left"/>
    </xf>
    <xf numFmtId="0" fontId="8" fillId="0" borderId="59" xfId="0" applyFont="1" applyBorder="1" applyAlignment="1">
      <alignment horizontal="center" wrapText="1"/>
    </xf>
    <xf numFmtId="169" fontId="0" fillId="0" borderId="52" xfId="0" applyNumberFormat="1" applyBorder="1"/>
    <xf numFmtId="4" fontId="17" fillId="0" borderId="0" xfId="0" applyNumberFormat="1" applyFont="1" applyAlignment="1">
      <alignment horizontal="centerContinuous"/>
    </xf>
    <xf numFmtId="4" fontId="27" fillId="0" borderId="0" xfId="0" applyNumberFormat="1" applyFont="1" applyAlignment="1">
      <alignment horizontal="centerContinuous"/>
    </xf>
    <xf numFmtId="15" fontId="27" fillId="0" borderId="0" xfId="0" applyNumberFormat="1" applyFont="1" applyAlignment="1">
      <alignment horizontal="centerContinuous"/>
    </xf>
    <xf numFmtId="182" fontId="25" fillId="0" borderId="0" xfId="0" applyNumberFormat="1" applyFont="1" applyAlignment="1">
      <alignment horizontal="centerContinuous"/>
    </xf>
    <xf numFmtId="4" fontId="57" fillId="0" borderId="0" xfId="0" applyNumberFormat="1" applyFont="1" applyAlignment="1">
      <alignment horizontal="centerContinuous"/>
    </xf>
    <xf numFmtId="37" fontId="31" fillId="0" borderId="0" xfId="0" applyNumberFormat="1" applyFont="1"/>
    <xf numFmtId="4" fontId="27" fillId="0" borderId="0" xfId="0" applyNumberFormat="1" applyFont="1"/>
    <xf numFmtId="199" fontId="31" fillId="0" borderId="0" xfId="0" applyNumberFormat="1" applyFont="1" applyAlignment="1">
      <alignment horizontal="left"/>
    </xf>
    <xf numFmtId="4" fontId="27" fillId="0" borderId="0" xfId="0" applyNumberFormat="1" applyFont="1" applyAlignment="1">
      <alignment horizontal="center"/>
    </xf>
    <xf numFmtId="4" fontId="17" fillId="0" borderId="0" xfId="0" applyNumberFormat="1" applyFont="1"/>
    <xf numFmtId="4" fontId="116" fillId="0" borderId="0" xfId="0" applyNumberFormat="1" applyFont="1" applyAlignment="1">
      <alignment horizontal="center"/>
    </xf>
    <xf numFmtId="0" fontId="102" fillId="0" borderId="0" xfId="0" applyFont="1" applyAlignment="1">
      <alignment horizontal="center"/>
    </xf>
    <xf numFmtId="4" fontId="102" fillId="0" borderId="0" xfId="0" applyNumberFormat="1" applyFont="1"/>
    <xf numFmtId="4" fontId="17" fillId="0" borderId="0" xfId="0" applyNumberFormat="1" applyFont="1" applyAlignment="1">
      <alignment horizontal="center"/>
    </xf>
    <xf numFmtId="37" fontId="116" fillId="0" borderId="0" xfId="0" applyNumberFormat="1" applyFont="1"/>
    <xf numFmtId="4" fontId="116" fillId="0" borderId="0" xfId="0" applyNumberFormat="1" applyFont="1"/>
    <xf numFmtId="4" fontId="27" fillId="0" borderId="0" xfId="0" quotePrefix="1" applyNumberFormat="1" applyFont="1" applyAlignment="1">
      <alignment horizontal="left"/>
    </xf>
    <xf numFmtId="182" fontId="17" fillId="0" borderId="0" xfId="0" applyNumberFormat="1" applyFont="1" applyAlignment="1">
      <alignment horizontal="centerContinuous"/>
    </xf>
    <xf numFmtId="4" fontId="27" fillId="0" borderId="0" xfId="0" applyNumberFormat="1" applyFont="1" applyAlignment="1">
      <alignment horizontal="left"/>
    </xf>
    <xf numFmtId="37" fontId="61" fillId="0" borderId="0" xfId="0" applyNumberFormat="1" applyFont="1"/>
    <xf numFmtId="4" fontId="17" fillId="0" borderId="0" xfId="0" quotePrefix="1" applyNumberFormat="1" applyFont="1" applyAlignment="1">
      <alignment horizontal="left"/>
    </xf>
    <xf numFmtId="4" fontId="116" fillId="0" borderId="0" xfId="0" quotePrefix="1" applyNumberFormat="1" applyFont="1" applyAlignment="1">
      <alignment horizontal="left"/>
    </xf>
    <xf numFmtId="4" fontId="102" fillId="0" borderId="0" xfId="0" applyNumberFormat="1" applyFont="1" applyAlignment="1">
      <alignment horizontal="left"/>
    </xf>
    <xf numFmtId="4" fontId="102" fillId="0" borderId="0" xfId="0" quotePrefix="1" applyNumberFormat="1" applyFont="1" applyAlignment="1">
      <alignment horizontal="left"/>
    </xf>
    <xf numFmtId="4" fontId="74" fillId="0" borderId="0" xfId="0" applyNumberFormat="1" applyFont="1" applyAlignment="1">
      <alignment horizontal="center"/>
    </xf>
    <xf numFmtId="179" fontId="8" fillId="0" borderId="105" xfId="9" quotePrefix="1" applyNumberFormat="1" applyFont="1" applyBorder="1" applyAlignment="1">
      <alignment horizontal="center"/>
    </xf>
    <xf numFmtId="179" fontId="8" fillId="0" borderId="106" xfId="9" quotePrefix="1" applyNumberFormat="1" applyFont="1" applyBorder="1" applyAlignment="1">
      <alignment horizontal="center"/>
    </xf>
    <xf numFmtId="169" fontId="22" fillId="0" borderId="0" xfId="6" applyNumberFormat="1" applyFont="1" applyFill="1" applyBorder="1"/>
    <xf numFmtId="0" fontId="4" fillId="0" borderId="10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8" fillId="0" borderId="105" xfId="0" applyFont="1" applyBorder="1" applyAlignment="1">
      <alignment horizontal="left"/>
    </xf>
    <xf numFmtId="0" fontId="8" fillId="0" borderId="51" xfId="0" quotePrefix="1" applyFont="1" applyBorder="1"/>
    <xf numFmtId="0" fontId="8" fillId="0" borderId="0" xfId="0" quotePrefix="1" applyFont="1"/>
    <xf numFmtId="10" fontId="5" fillId="0" borderId="0" xfId="0" applyNumberFormat="1" applyFont="1"/>
    <xf numFmtId="49" fontId="5" fillId="0" borderId="48" xfId="0" applyNumberFormat="1" applyFont="1" applyBorder="1" applyAlignment="1">
      <alignment horizontal="left"/>
    </xf>
    <xf numFmtId="0" fontId="4" fillId="0" borderId="103" xfId="0" applyFont="1" applyBorder="1"/>
    <xf numFmtId="0" fontId="8" fillId="0" borderId="105" xfId="0" applyFont="1" applyBorder="1"/>
    <xf numFmtId="169" fontId="4" fillId="0" borderId="108" xfId="0" applyNumberFormat="1" applyFont="1" applyBorder="1"/>
    <xf numFmtId="169" fontId="4" fillId="0" borderId="55" xfId="0" applyNumberFormat="1" applyFont="1" applyBorder="1"/>
    <xf numFmtId="3" fontId="3" fillId="0" borderId="6" xfId="0" applyNumberFormat="1" applyFont="1" applyBorder="1" applyAlignment="1">
      <alignment horizontal="centerContinuous"/>
    </xf>
    <xf numFmtId="167" fontId="3" fillId="0" borderId="40" xfId="20" applyNumberFormat="1" applyFont="1" applyFill="1" applyBorder="1"/>
    <xf numFmtId="167" fontId="3" fillId="0" borderId="28" xfId="20" applyNumberFormat="1" applyFont="1" applyFill="1" applyBorder="1"/>
    <xf numFmtId="167" fontId="3" fillId="0" borderId="5" xfId="20" applyNumberFormat="1" applyFont="1" applyFill="1" applyBorder="1"/>
    <xf numFmtId="167" fontId="3" fillId="0" borderId="8" xfId="20" applyNumberFormat="1" applyFont="1" applyFill="1" applyBorder="1"/>
    <xf numFmtId="0" fontId="2" fillId="0" borderId="12" xfId="0" applyFont="1" applyBorder="1" applyAlignment="1">
      <alignment horizontal="right"/>
    </xf>
    <xf numFmtId="38" fontId="2" fillId="0" borderId="14" xfId="0" applyNumberFormat="1" applyFont="1" applyBorder="1"/>
    <xf numFmtId="38" fontId="2" fillId="0" borderId="13" xfId="0" applyNumberFormat="1" applyFont="1" applyBorder="1"/>
    <xf numFmtId="0" fontId="139" fillId="0" borderId="0" xfId="0" applyFont="1"/>
    <xf numFmtId="167" fontId="139" fillId="0" borderId="0" xfId="0" applyNumberFormat="1" applyFont="1"/>
    <xf numFmtId="0" fontId="23" fillId="0" borderId="21" xfId="0" applyFont="1" applyBorder="1"/>
    <xf numFmtId="0" fontId="23" fillId="0" borderId="23" xfId="0" applyFont="1" applyBorder="1"/>
    <xf numFmtId="0" fontId="43" fillId="0" borderId="95" xfId="0" applyFont="1" applyBorder="1"/>
    <xf numFmtId="0" fontId="30" fillId="0" borderId="96" xfId="0" applyFont="1" applyBorder="1" applyAlignment="1">
      <alignment horizontal="center"/>
    </xf>
    <xf numFmtId="0" fontId="8" fillId="0" borderId="49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 wrapText="1"/>
    </xf>
    <xf numFmtId="0" fontId="4" fillId="0" borderId="51" xfId="0" quotePrefix="1" applyFont="1" applyBorder="1" applyAlignment="1">
      <alignment horizontal="center"/>
    </xf>
    <xf numFmtId="43" fontId="0" fillId="0" borderId="0" xfId="2" applyFont="1" applyFill="1" applyAlignment="1">
      <alignment horizontal="centerContinuous"/>
    </xf>
    <xf numFmtId="198" fontId="0" fillId="0" borderId="0" xfId="0" applyNumberFormat="1"/>
    <xf numFmtId="0" fontId="8" fillId="0" borderId="54" xfId="0" applyFont="1" applyBorder="1"/>
    <xf numFmtId="0" fontId="8" fillId="0" borderId="20" xfId="0" applyFont="1" applyBorder="1" applyAlignment="1">
      <alignment horizontal="centerContinuous"/>
    </xf>
    <xf numFmtId="0" fontId="8" fillId="0" borderId="54" xfId="0" applyFont="1" applyBorder="1" applyAlignment="1">
      <alignment horizontal="centerContinuous"/>
    </xf>
    <xf numFmtId="0" fontId="8" fillId="0" borderId="42" xfId="0" applyFont="1" applyBorder="1" applyAlignment="1">
      <alignment horizontal="centerContinuous"/>
    </xf>
    <xf numFmtId="0" fontId="30" fillId="0" borderId="27" xfId="0" applyFont="1" applyBorder="1" applyAlignment="1">
      <alignment horizontal="center"/>
    </xf>
    <xf numFmtId="0" fontId="30" fillId="0" borderId="28" xfId="0" applyFont="1" applyBorder="1" applyAlignment="1">
      <alignment horizontal="center"/>
    </xf>
    <xf numFmtId="165" fontId="91" fillId="0" borderId="29" xfId="0" applyNumberFormat="1" applyFont="1" applyBorder="1" applyAlignment="1">
      <alignment horizontal="center"/>
    </xf>
    <xf numFmtId="165" fontId="91" fillId="0" borderId="31" xfId="0" applyNumberFormat="1" applyFont="1" applyBorder="1" applyAlignment="1">
      <alignment horizontal="center"/>
    </xf>
    <xf numFmtId="179" fontId="8" fillId="0" borderId="34" xfId="0" quotePrefix="1" applyNumberFormat="1" applyFont="1" applyBorder="1" applyAlignment="1">
      <alignment horizontal="center"/>
    </xf>
    <xf numFmtId="179" fontId="8" fillId="0" borderId="11" xfId="0" quotePrefix="1" applyNumberFormat="1" applyFont="1" applyBorder="1" applyAlignment="1">
      <alignment horizontal="center"/>
    </xf>
    <xf numFmtId="179" fontId="8" fillId="0" borderId="59" xfId="0" quotePrefix="1" applyNumberFormat="1" applyFont="1" applyBorder="1" applyAlignment="1">
      <alignment horizontal="center"/>
    </xf>
    <xf numFmtId="0" fontId="0" fillId="0" borderId="0" xfId="0" quotePrefix="1" applyAlignment="1">
      <alignment horizontal="left"/>
    </xf>
    <xf numFmtId="187" fontId="8" fillId="0" borderId="0" xfId="5" applyNumberFormat="1" applyFont="1" applyFill="1" applyBorder="1"/>
    <xf numFmtId="167" fontId="8" fillId="0" borderId="48" xfId="5" applyNumberFormat="1" applyFont="1" applyFill="1" applyBorder="1"/>
    <xf numFmtId="167" fontId="8" fillId="0" borderId="10" xfId="5" applyNumberFormat="1" applyFont="1" applyFill="1" applyBorder="1"/>
    <xf numFmtId="167" fontId="8" fillId="0" borderId="55" xfId="5" applyNumberFormat="1" applyFont="1" applyFill="1" applyBorder="1"/>
    <xf numFmtId="0" fontId="8" fillId="0" borderId="15" xfId="0" applyFont="1" applyBorder="1"/>
    <xf numFmtId="0" fontId="0" fillId="0" borderId="70" xfId="0" applyBorder="1"/>
    <xf numFmtId="0" fontId="0" fillId="0" borderId="71" xfId="0" applyBorder="1"/>
    <xf numFmtId="0" fontId="5" fillId="0" borderId="22" xfId="0" applyFont="1" applyBorder="1" applyAlignment="1">
      <alignment horizontal="center"/>
    </xf>
    <xf numFmtId="0" fontId="5" fillId="0" borderId="29" xfId="0" applyFont="1" applyBorder="1"/>
    <xf numFmtId="175" fontId="0" fillId="0" borderId="30" xfId="0" applyNumberFormat="1" applyBorder="1"/>
    <xf numFmtId="175" fontId="0" fillId="0" borderId="30" xfId="15" applyNumberFormat="1" applyFont="1" applyFill="1" applyBorder="1"/>
    <xf numFmtId="0" fontId="2" fillId="0" borderId="39" xfId="0" applyFont="1" applyBorder="1"/>
    <xf numFmtId="3" fontId="3" fillId="0" borderId="43" xfId="0" applyNumberFormat="1" applyFont="1" applyBorder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54" xfId="0" quotePrefix="1" applyFont="1" applyBorder="1" applyAlignment="1">
      <alignment horizontal="center"/>
    </xf>
    <xf numFmtId="49" fontId="5" fillId="0" borderId="51" xfId="0" applyNumberFormat="1" applyFont="1" applyBorder="1" applyAlignment="1">
      <alignment horizontal="left"/>
    </xf>
    <xf numFmtId="49" fontId="5" fillId="0" borderId="53" xfId="0" applyNumberFormat="1" applyFont="1" applyBorder="1" applyAlignment="1">
      <alignment horizontal="left"/>
    </xf>
    <xf numFmtId="41" fontId="4" fillId="0" borderId="20" xfId="0" applyNumberFormat="1" applyFont="1" applyBorder="1"/>
    <xf numFmtId="10" fontId="4" fillId="0" borderId="54" xfId="15" applyNumberFormat="1" applyFont="1" applyFill="1" applyBorder="1"/>
    <xf numFmtId="10" fontId="4" fillId="0" borderId="42" xfId="15" applyNumberFormat="1" applyFont="1" applyFill="1" applyBorder="1"/>
    <xf numFmtId="41" fontId="5" fillId="0" borderId="0" xfId="0" applyNumberFormat="1" applyFont="1"/>
    <xf numFmtId="41" fontId="5" fillId="0" borderId="42" xfId="0" applyNumberFormat="1" applyFont="1" applyBorder="1"/>
    <xf numFmtId="41" fontId="4" fillId="0" borderId="10" xfId="0" applyNumberFormat="1" applyFont="1" applyBorder="1"/>
    <xf numFmtId="10" fontId="4" fillId="0" borderId="108" xfId="0" applyNumberFormat="1" applyFont="1" applyBorder="1"/>
    <xf numFmtId="41" fontId="5" fillId="0" borderId="10" xfId="0" applyNumberFormat="1" applyFont="1" applyBorder="1"/>
    <xf numFmtId="49" fontId="5" fillId="0" borderId="34" xfId="0" applyNumberFormat="1" applyFont="1" applyBorder="1" applyAlignment="1">
      <alignment horizontal="left"/>
    </xf>
    <xf numFmtId="167" fontId="5" fillId="0" borderId="11" xfId="0" applyNumberFormat="1" applyFont="1" applyBorder="1"/>
    <xf numFmtId="10" fontId="5" fillId="0" borderId="11" xfId="0" applyNumberFormat="1" applyFont="1" applyBorder="1"/>
    <xf numFmtId="167" fontId="5" fillId="0" borderId="59" xfId="0" applyNumberFormat="1" applyFont="1" applyBorder="1"/>
    <xf numFmtId="167" fontId="22" fillId="0" borderId="10" xfId="5" applyNumberFormat="1" applyFont="1" applyFill="1" applyBorder="1"/>
    <xf numFmtId="167" fontId="0" fillId="0" borderId="59" xfId="5" applyNumberFormat="1" applyFont="1" applyFill="1" applyBorder="1"/>
    <xf numFmtId="167" fontId="5" fillId="0" borderId="63" xfId="5" applyNumberFormat="1" applyFont="1" applyFill="1" applyBorder="1"/>
    <xf numFmtId="167" fontId="5" fillId="0" borderId="66" xfId="5" applyNumberFormat="1" applyFont="1" applyFill="1" applyBorder="1"/>
    <xf numFmtId="0" fontId="85" fillId="0" borderId="0" xfId="0" applyFont="1"/>
    <xf numFmtId="0" fontId="23" fillId="0" borderId="5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8" fillId="0" borderId="32" xfId="0" applyFont="1" applyBorder="1"/>
    <xf numFmtId="0" fontId="0" fillId="0" borderId="44" xfId="0" applyBorder="1"/>
    <xf numFmtId="0" fontId="86" fillId="0" borderId="64" xfId="0" applyFont="1" applyBorder="1" applyAlignment="1">
      <alignment horizontal="center"/>
    </xf>
    <xf numFmtId="179" fontId="8" fillId="0" borderId="59" xfId="0" applyNumberFormat="1" applyFont="1" applyBorder="1" applyAlignment="1">
      <alignment horizontal="center"/>
    </xf>
    <xf numFmtId="179" fontId="8" fillId="0" borderId="11" xfId="0" applyNumberFormat="1" applyFont="1" applyBorder="1" applyAlignment="1">
      <alignment horizontal="center"/>
    </xf>
    <xf numFmtId="41" fontId="0" fillId="0" borderId="44" xfId="0" applyNumberFormat="1" applyBorder="1"/>
    <xf numFmtId="41" fontId="0" fillId="0" borderId="11" xfId="0" applyNumberFormat="1" applyBorder="1"/>
    <xf numFmtId="41" fontId="0" fillId="0" borderId="59" xfId="0" applyNumberFormat="1" applyBorder="1"/>
    <xf numFmtId="10" fontId="0" fillId="0" borderId="5" xfId="0" applyNumberFormat="1" applyBorder="1"/>
    <xf numFmtId="41" fontId="0" fillId="0" borderId="5" xfId="0" applyNumberFormat="1" applyBorder="1"/>
    <xf numFmtId="10" fontId="43" fillId="0" borderId="5" xfId="0" applyNumberFormat="1" applyFont="1" applyBorder="1"/>
    <xf numFmtId="41" fontId="5" fillId="0" borderId="44" xfId="0" applyNumberFormat="1" applyFont="1" applyBorder="1"/>
    <xf numFmtId="185" fontId="0" fillId="0" borderId="5" xfId="0" applyNumberFormat="1" applyBorder="1"/>
    <xf numFmtId="0" fontId="10" fillId="0" borderId="5" xfId="0" applyFont="1" applyBorder="1"/>
    <xf numFmtId="167" fontId="0" fillId="0" borderId="5" xfId="0" applyNumberFormat="1" applyBorder="1"/>
    <xf numFmtId="41" fontId="87" fillId="0" borderId="11" xfId="0" applyNumberFormat="1" applyFont="1" applyBorder="1"/>
    <xf numFmtId="41" fontId="0" fillId="0" borderId="72" xfId="0" applyNumberFormat="1" applyBorder="1"/>
    <xf numFmtId="41" fontId="0" fillId="0" borderId="100" xfId="0" applyNumberFormat="1" applyBorder="1"/>
    <xf numFmtId="41" fontId="0" fillId="0" borderId="52" xfId="0" applyNumberFormat="1" applyBorder="1"/>
    <xf numFmtId="41" fontId="0" fillId="0" borderId="60" xfId="0" applyNumberFormat="1" applyBorder="1"/>
    <xf numFmtId="0" fontId="8" fillId="0" borderId="71" xfId="0" applyFont="1" applyBorder="1" applyAlignment="1">
      <alignment horizontal="center"/>
    </xf>
    <xf numFmtId="41" fontId="0" fillId="0" borderId="22" xfId="0" applyNumberFormat="1" applyBorder="1"/>
    <xf numFmtId="41" fontId="69" fillId="0" borderId="0" xfId="0" applyNumberFormat="1" applyFont="1"/>
    <xf numFmtId="41" fontId="0" fillId="0" borderId="28" xfId="0" applyNumberFormat="1" applyBorder="1"/>
    <xf numFmtId="41" fontId="0" fillId="0" borderId="42" xfId="0" applyNumberFormat="1" applyBorder="1"/>
    <xf numFmtId="10" fontId="0" fillId="0" borderId="0" xfId="0" applyNumberFormat="1"/>
    <xf numFmtId="185" fontId="0" fillId="0" borderId="0" xfId="0" applyNumberFormat="1"/>
    <xf numFmtId="41" fontId="5" fillId="0" borderId="28" xfId="0" applyNumberFormat="1" applyFont="1" applyBorder="1"/>
    <xf numFmtId="10" fontId="0" fillId="0" borderId="10" xfId="0" applyNumberFormat="1" applyBorder="1"/>
    <xf numFmtId="0" fontId="8" fillId="0" borderId="45" xfId="0" applyFont="1" applyBorder="1"/>
    <xf numFmtId="185" fontId="0" fillId="0" borderId="11" xfId="0" applyNumberFormat="1" applyBorder="1"/>
    <xf numFmtId="10" fontId="0" fillId="0" borderId="30" xfId="0" applyNumberFormat="1" applyBorder="1"/>
    <xf numFmtId="0" fontId="8" fillId="0" borderId="51" xfId="0" applyFont="1" applyBorder="1" applyAlignment="1">
      <alignment horizontal="center" wrapText="1"/>
    </xf>
    <xf numFmtId="0" fontId="8" fillId="0" borderId="53" xfId="0" applyFont="1" applyBorder="1" applyAlignment="1">
      <alignment horizontal="center" wrapText="1"/>
    </xf>
    <xf numFmtId="179" fontId="48" fillId="0" borderId="44" xfId="9" quotePrefix="1" applyNumberFormat="1" applyFont="1" applyBorder="1" applyAlignment="1">
      <alignment horizontal="center"/>
    </xf>
    <xf numFmtId="3" fontId="0" fillId="0" borderId="42" xfId="0" applyNumberFormat="1" applyBorder="1"/>
    <xf numFmtId="1" fontId="0" fillId="0" borderId="42" xfId="0" applyNumberFormat="1" applyBorder="1"/>
    <xf numFmtId="2" fontId="0" fillId="0" borderId="42" xfId="0" applyNumberFormat="1" applyBorder="1"/>
    <xf numFmtId="41" fontId="0" fillId="0" borderId="10" xfId="0" applyNumberFormat="1" applyBorder="1"/>
    <xf numFmtId="41" fontId="0" fillId="0" borderId="55" xfId="0" applyNumberFormat="1" applyBorder="1"/>
    <xf numFmtId="41" fontId="0" fillId="0" borderId="106" xfId="0" applyNumberFormat="1" applyBorder="1"/>
    <xf numFmtId="3" fontId="0" fillId="0" borderId="106" xfId="0" applyNumberFormat="1" applyBorder="1"/>
    <xf numFmtId="37" fontId="0" fillId="0" borderId="55" xfId="0" applyNumberFormat="1" applyBorder="1"/>
    <xf numFmtId="41" fontId="0" fillId="0" borderId="105" xfId="0" applyNumberFormat="1" applyBorder="1"/>
    <xf numFmtId="41" fontId="0" fillId="0" borderId="34" xfId="0" applyNumberFormat="1" applyBorder="1"/>
    <xf numFmtId="41" fontId="0" fillId="0" borderId="48" xfId="0" applyNumberFormat="1" applyBorder="1"/>
    <xf numFmtId="41" fontId="0" fillId="0" borderId="30" xfId="0" applyNumberFormat="1" applyBorder="1"/>
    <xf numFmtId="41" fontId="0" fillId="0" borderId="50" xfId="0" applyNumberFormat="1" applyBorder="1"/>
    <xf numFmtId="41" fontId="0" fillId="0" borderId="87" xfId="0" applyNumberFormat="1" applyBorder="1"/>
    <xf numFmtId="0" fontId="8" fillId="0" borderId="16" xfId="0" applyFont="1" applyBorder="1"/>
    <xf numFmtId="3" fontId="5" fillId="0" borderId="0" xfId="0" applyNumberFormat="1" applyFont="1"/>
    <xf numFmtId="3" fontId="5" fillId="0" borderId="42" xfId="0" applyNumberFormat="1" applyFont="1" applyBorder="1"/>
    <xf numFmtId="175" fontId="0" fillId="0" borderId="0" xfId="0" applyNumberFormat="1"/>
    <xf numFmtId="0" fontId="31" fillId="0" borderId="0" xfId="0" applyFont="1" applyAlignment="1">
      <alignment horizontal="center"/>
    </xf>
    <xf numFmtId="0" fontId="31" fillId="0" borderId="42" xfId="0" applyFont="1" applyBorder="1" applyAlignment="1">
      <alignment horizontal="center"/>
    </xf>
    <xf numFmtId="0" fontId="8" fillId="0" borderId="44" xfId="0" applyFont="1" applyBorder="1"/>
    <xf numFmtId="0" fontId="31" fillId="0" borderId="10" xfId="0" applyFont="1" applyBorder="1" applyAlignment="1">
      <alignment horizontal="center"/>
    </xf>
    <xf numFmtId="0" fontId="31" fillId="0" borderId="55" xfId="0" applyFont="1" applyBorder="1" applyAlignment="1">
      <alignment horizontal="center"/>
    </xf>
    <xf numFmtId="0" fontId="5" fillId="0" borderId="54" xfId="0" applyFont="1" applyBorder="1"/>
    <xf numFmtId="0" fontId="8" fillId="0" borderId="5" xfId="0" applyFont="1" applyBorder="1" applyAlignment="1">
      <alignment horizontal="center" wrapText="1"/>
    </xf>
    <xf numFmtId="179" fontId="8" fillId="0" borderId="10" xfId="0" quotePrefix="1" applyNumberFormat="1" applyFont="1" applyBorder="1" applyAlignment="1">
      <alignment horizontal="center"/>
    </xf>
    <xf numFmtId="179" fontId="8" fillId="0" borderId="55" xfId="0" quotePrefix="1" applyNumberFormat="1" applyFont="1" applyBorder="1" applyAlignment="1">
      <alignment horizontal="center"/>
    </xf>
    <xf numFmtId="37" fontId="5" fillId="0" borderId="5" xfId="0" applyNumberFormat="1" applyFont="1" applyBorder="1"/>
    <xf numFmtId="0" fontId="31" fillId="0" borderId="22" xfId="0" applyFont="1" applyBorder="1" applyAlignment="1">
      <alignment horizontal="center" wrapText="1"/>
    </xf>
    <xf numFmtId="0" fontId="31" fillId="0" borderId="23" xfId="0" applyFont="1" applyBorder="1" applyAlignment="1">
      <alignment horizontal="center" wrapText="1"/>
    </xf>
    <xf numFmtId="10" fontId="50" fillId="0" borderId="0" xfId="0" applyNumberFormat="1" applyFont="1"/>
    <xf numFmtId="0" fontId="53" fillId="0" borderId="27" xfId="0" applyFont="1" applyBorder="1"/>
    <xf numFmtId="3" fontId="5" fillId="0" borderId="28" xfId="0" applyNumberFormat="1" applyFont="1" applyBorder="1"/>
    <xf numFmtId="0" fontId="5" fillId="0" borderId="30" xfId="0" applyFont="1" applyBorder="1"/>
    <xf numFmtId="0" fontId="5" fillId="0" borderId="31" xfId="0" applyFont="1" applyBorder="1"/>
    <xf numFmtId="0" fontId="8" fillId="0" borderId="53" xfId="0" applyFont="1" applyBorder="1" applyAlignment="1">
      <alignment horizontal="left"/>
    </xf>
    <xf numFmtId="0" fontId="8" fillId="0" borderId="51" xfId="0" applyFont="1" applyBorder="1" applyAlignment="1">
      <alignment horizontal="left"/>
    </xf>
    <xf numFmtId="0" fontId="30" fillId="0" borderId="21" xfId="0" applyFont="1" applyBorder="1" applyAlignment="1">
      <alignment horizontal="center"/>
    </xf>
    <xf numFmtId="0" fontId="30" fillId="0" borderId="23" xfId="0" applyFont="1" applyBorder="1" applyAlignment="1">
      <alignment horizontal="center"/>
    </xf>
    <xf numFmtId="167" fontId="51" fillId="0" borderId="42" xfId="5" applyNumberFormat="1" applyFont="1" applyFill="1" applyBorder="1"/>
    <xf numFmtId="167" fontId="41" fillId="0" borderId="11" xfId="5" applyNumberFormat="1" applyFont="1" applyFill="1" applyBorder="1"/>
    <xf numFmtId="37" fontId="5" fillId="0" borderId="51" xfId="0" applyNumberFormat="1" applyFont="1" applyBorder="1"/>
    <xf numFmtId="37" fontId="41" fillId="0" borderId="0" xfId="0" applyNumberFormat="1" applyFont="1"/>
    <xf numFmtId="37" fontId="43" fillId="0" borderId="51" xfId="0" applyNumberFormat="1" applyFont="1" applyBorder="1"/>
    <xf numFmtId="39" fontId="41" fillId="0" borderId="0" xfId="0" applyNumberFormat="1" applyFont="1"/>
    <xf numFmtId="37" fontId="41" fillId="0" borderId="42" xfId="0" applyNumberFormat="1" applyFont="1" applyBorder="1"/>
    <xf numFmtId="37" fontId="0" fillId="0" borderId="51" xfId="0" applyNumberFormat="1" applyBorder="1"/>
    <xf numFmtId="167" fontId="0" fillId="0" borderId="34" xfId="5" applyNumberFormat="1" applyFont="1" applyFill="1" applyBorder="1"/>
    <xf numFmtId="167" fontId="0" fillId="0" borderId="48" xfId="5" applyNumberFormat="1" applyFont="1" applyFill="1" applyBorder="1"/>
    <xf numFmtId="167" fontId="0" fillId="0" borderId="55" xfId="5" applyNumberFormat="1" applyFont="1" applyFill="1" applyBorder="1"/>
    <xf numFmtId="37" fontId="8" fillId="0" borderId="71" xfId="0" applyNumberFormat="1" applyFont="1" applyBorder="1" applyAlignment="1">
      <alignment horizontal="center"/>
    </xf>
    <xf numFmtId="41" fontId="0" fillId="0" borderId="23" xfId="0" applyNumberFormat="1" applyBorder="1"/>
    <xf numFmtId="41" fontId="0" fillId="0" borderId="31" xfId="0" applyNumberFormat="1" applyBorder="1"/>
    <xf numFmtId="0" fontId="19" fillId="0" borderId="1" xfId="0" applyFont="1" applyBorder="1"/>
    <xf numFmtId="0" fontId="0" fillId="0" borderId="97" xfId="0" applyBorder="1" applyAlignment="1">
      <alignment horizontal="center"/>
    </xf>
    <xf numFmtId="0" fontId="8" fillId="0" borderId="64" xfId="0" applyFont="1" applyBorder="1" applyAlignment="1">
      <alignment horizontal="center" wrapText="1"/>
    </xf>
    <xf numFmtId="0" fontId="8" fillId="0" borderId="42" xfId="0" applyFont="1" applyBorder="1" applyAlignment="1">
      <alignment horizontal="center" wrapText="1"/>
    </xf>
    <xf numFmtId="167" fontId="0" fillId="0" borderId="11" xfId="0" applyNumberFormat="1" applyBorder="1"/>
    <xf numFmtId="167" fontId="0" fillId="0" borderId="59" xfId="0" applyNumberFormat="1" applyBorder="1"/>
    <xf numFmtId="0" fontId="0" fillId="0" borderId="32" xfId="0" applyBorder="1" applyAlignment="1">
      <alignment horizontal="left"/>
    </xf>
    <xf numFmtId="0" fontId="0" fillId="0" borderId="32" xfId="0" applyBorder="1"/>
    <xf numFmtId="41" fontId="8" fillId="0" borderId="72" xfId="0" applyNumberFormat="1" applyFont="1" applyBorder="1"/>
    <xf numFmtId="41" fontId="8" fillId="0" borderId="100" xfId="0" applyNumberFormat="1" applyFont="1" applyBorder="1"/>
    <xf numFmtId="41" fontId="8" fillId="0" borderId="52" xfId="0" applyNumberFormat="1" applyFont="1" applyBorder="1"/>
    <xf numFmtId="41" fontId="8" fillId="0" borderId="60" xfId="0" applyNumberFormat="1" applyFont="1" applyBorder="1"/>
    <xf numFmtId="0" fontId="0" fillId="0" borderId="99" xfId="0" applyBorder="1"/>
    <xf numFmtId="41" fontId="0" fillId="0" borderId="70" xfId="0" applyNumberFormat="1" applyBorder="1"/>
    <xf numFmtId="0" fontId="0" fillId="0" borderId="93" xfId="0" applyBorder="1"/>
    <xf numFmtId="0" fontId="4" fillId="0" borderId="26" xfId="0" applyFont="1" applyBorder="1"/>
    <xf numFmtId="41" fontId="5" fillId="0" borderId="20" xfId="0" applyNumberFormat="1" applyFont="1" applyBorder="1"/>
    <xf numFmtId="41" fontId="4" fillId="0" borderId="28" xfId="0" applyNumberFormat="1" applyFont="1" applyBorder="1"/>
    <xf numFmtId="10" fontId="4" fillId="0" borderId="0" xfId="0" applyNumberFormat="1" applyFont="1"/>
    <xf numFmtId="185" fontId="4" fillId="0" borderId="0" xfId="0" applyNumberFormat="1" applyFont="1"/>
    <xf numFmtId="185" fontId="4" fillId="0" borderId="10" xfId="0" applyNumberFormat="1" applyFont="1" applyBorder="1"/>
    <xf numFmtId="0" fontId="4" fillId="0" borderId="41" xfId="0" applyFont="1" applyBorder="1"/>
    <xf numFmtId="167" fontId="4" fillId="0" borderId="28" xfId="0" applyNumberFormat="1" applyFont="1" applyBorder="1"/>
    <xf numFmtId="0" fontId="4" fillId="0" borderId="94" xfId="0" applyFont="1" applyBorder="1"/>
    <xf numFmtId="0" fontId="4" fillId="0" borderId="96" xfId="0" applyFont="1" applyBorder="1"/>
    <xf numFmtId="0" fontId="47" fillId="0" borderId="51" xfId="0" applyFont="1" applyBorder="1" applyAlignment="1">
      <alignment horizontal="left"/>
    </xf>
    <xf numFmtId="179" fontId="8" fillId="0" borderId="51" xfId="0" quotePrefix="1" applyNumberFormat="1" applyFont="1" applyBorder="1" applyAlignment="1">
      <alignment horizontal="center"/>
    </xf>
    <xf numFmtId="0" fontId="74" fillId="0" borderId="0" xfId="0" applyFont="1"/>
    <xf numFmtId="179" fontId="8" fillId="0" borderId="0" xfId="0" quotePrefix="1" applyNumberFormat="1" applyFont="1" applyAlignment="1">
      <alignment horizontal="center"/>
    </xf>
    <xf numFmtId="179" fontId="8" fillId="0" borderId="42" xfId="0" quotePrefix="1" applyNumberFormat="1" applyFont="1" applyBorder="1" applyAlignment="1">
      <alignment horizontal="center"/>
    </xf>
    <xf numFmtId="37" fontId="92" fillId="0" borderId="0" xfId="0" applyNumberFormat="1" applyFont="1"/>
    <xf numFmtId="167" fontId="5" fillId="0" borderId="42" xfId="0" applyNumberFormat="1" applyFont="1" applyBorder="1"/>
    <xf numFmtId="37" fontId="92" fillId="0" borderId="0" xfId="0" applyNumberFormat="1" applyFont="1" applyAlignment="1">
      <alignment horizontal="fill"/>
    </xf>
    <xf numFmtId="167" fontId="5" fillId="0" borderId="55" xfId="0" applyNumberFormat="1" applyFont="1" applyBorder="1"/>
    <xf numFmtId="167" fontId="4" fillId="0" borderId="42" xfId="0" applyNumberFormat="1" applyFont="1" applyBorder="1"/>
    <xf numFmtId="167" fontId="4" fillId="0" borderId="5" xfId="0" applyNumberFormat="1" applyFont="1" applyBorder="1"/>
    <xf numFmtId="167" fontId="5" fillId="0" borderId="5" xfId="0" applyNumberFormat="1" applyFont="1" applyBorder="1"/>
    <xf numFmtId="0" fontId="17" fillId="0" borderId="52" xfId="0" applyFont="1" applyBorder="1"/>
    <xf numFmtId="167" fontId="17" fillId="0" borderId="72" xfId="0" applyNumberFormat="1" applyFont="1" applyBorder="1"/>
    <xf numFmtId="167" fontId="4" fillId="0" borderId="52" xfId="0" applyNumberFormat="1" applyFont="1" applyBorder="1"/>
    <xf numFmtId="169" fontId="17" fillId="0" borderId="60" xfId="0" applyNumberFormat="1" applyFont="1" applyBorder="1"/>
    <xf numFmtId="0" fontId="30" fillId="0" borderId="10" xfId="0" applyFont="1" applyBorder="1"/>
    <xf numFmtId="37" fontId="4" fillId="0" borderId="98" xfId="0" applyNumberFormat="1" applyFont="1" applyBorder="1" applyAlignment="1">
      <alignment horizontal="center"/>
    </xf>
    <xf numFmtId="0" fontId="8" fillId="0" borderId="48" xfId="0" applyFont="1" applyBorder="1" applyAlignment="1">
      <alignment horizontal="center" wrapText="1"/>
    </xf>
    <xf numFmtId="0" fontId="86" fillId="0" borderId="0" xfId="0" applyFont="1" applyAlignment="1">
      <alignment horizontal="center"/>
    </xf>
    <xf numFmtId="41" fontId="5" fillId="0" borderId="55" xfId="0" applyNumberFormat="1" applyFont="1" applyBorder="1"/>
    <xf numFmtId="41" fontId="8" fillId="0" borderId="66" xfId="0" applyNumberFormat="1" applyFont="1" applyBorder="1"/>
    <xf numFmtId="41" fontId="8" fillId="0" borderId="63" xfId="0" applyNumberFormat="1" applyFont="1" applyBorder="1"/>
    <xf numFmtId="0" fontId="5" fillId="0" borderId="94" xfId="0" applyFont="1" applyBorder="1"/>
    <xf numFmtId="41" fontId="5" fillId="0" borderId="94" xfId="0" applyNumberFormat="1" applyFont="1" applyBorder="1"/>
    <xf numFmtId="0" fontId="5" fillId="0" borderId="101" xfId="0" applyFont="1" applyBorder="1"/>
    <xf numFmtId="0" fontId="5" fillId="0" borderId="87" xfId="0" applyFont="1" applyBorder="1"/>
    <xf numFmtId="0" fontId="8" fillId="0" borderId="71" xfId="0" applyFont="1" applyBorder="1"/>
    <xf numFmtId="0" fontId="5" fillId="0" borderId="71" xfId="0" applyFont="1" applyBorder="1"/>
    <xf numFmtId="0" fontId="5" fillId="0" borderId="22" xfId="0" applyFont="1" applyBorder="1"/>
    <xf numFmtId="0" fontId="10" fillId="0" borderId="0" xfId="0" applyFont="1" applyAlignment="1">
      <alignment horizontal="center"/>
    </xf>
    <xf numFmtId="167" fontId="5" fillId="0" borderId="0" xfId="0" quotePrefix="1" applyNumberFormat="1" applyFont="1" applyAlignment="1">
      <alignment horizontal="right"/>
    </xf>
    <xf numFmtId="3" fontId="5" fillId="0" borderId="28" xfId="0" applyNumberFormat="1" applyFont="1" applyBorder="1" applyAlignment="1">
      <alignment horizontal="right"/>
    </xf>
    <xf numFmtId="10" fontId="5" fillId="0" borderId="0" xfId="0" applyNumberFormat="1" applyFont="1" applyAlignment="1">
      <alignment horizontal="right"/>
    </xf>
    <xf numFmtId="175" fontId="5" fillId="0" borderId="28" xfId="0" applyNumberFormat="1" applyFont="1" applyBorder="1" applyAlignment="1">
      <alignment horizontal="right"/>
    </xf>
    <xf numFmtId="0" fontId="31" fillId="0" borderId="28" xfId="0" applyFont="1" applyBorder="1" applyAlignment="1">
      <alignment horizontal="center"/>
    </xf>
    <xf numFmtId="175" fontId="5" fillId="0" borderId="0" xfId="0" applyNumberFormat="1" applyFont="1"/>
    <xf numFmtId="0" fontId="31" fillId="0" borderId="0" xfId="0" applyFont="1" applyAlignment="1">
      <alignment horizontal="center" wrapText="1"/>
    </xf>
    <xf numFmtId="3" fontId="5" fillId="0" borderId="0" xfId="0" quotePrefix="1" applyNumberFormat="1" applyFont="1"/>
    <xf numFmtId="185" fontId="5" fillId="0" borderId="0" xfId="0" applyNumberFormat="1" applyFont="1"/>
    <xf numFmtId="0" fontId="5" fillId="0" borderId="24" xfId="0" applyFont="1" applyBorder="1"/>
    <xf numFmtId="0" fontId="31" fillId="0" borderId="25" xfId="0" applyFont="1" applyBorder="1" applyAlignment="1">
      <alignment horizontal="center"/>
    </xf>
    <xf numFmtId="3" fontId="0" fillId="0" borderId="59" xfId="0" applyNumberFormat="1" applyBorder="1"/>
    <xf numFmtId="175" fontId="5" fillId="0" borderId="94" xfId="0" applyNumberFormat="1" applyFont="1" applyBorder="1"/>
    <xf numFmtId="175" fontId="5" fillId="0" borderId="10" xfId="0" applyNumberFormat="1" applyFont="1" applyBorder="1"/>
    <xf numFmtId="3" fontId="3" fillId="0" borderId="96" xfId="0" applyNumberFormat="1" applyFont="1" applyBorder="1" applyAlignment="1">
      <alignment horizontal="center"/>
    </xf>
    <xf numFmtId="37" fontId="0" fillId="0" borderId="10" xfId="0" applyNumberFormat="1" applyBorder="1"/>
    <xf numFmtId="37" fontId="0" fillId="0" borderId="20" xfId="0" applyNumberFormat="1" applyBorder="1"/>
    <xf numFmtId="37" fontId="0" fillId="0" borderId="103" xfId="0" applyNumberFormat="1" applyBorder="1"/>
    <xf numFmtId="0" fontId="26" fillId="0" borderId="44" xfId="0" applyFont="1" applyBorder="1" applyAlignment="1">
      <alignment horizontal="center"/>
    </xf>
    <xf numFmtId="37" fontId="5" fillId="0" borderId="32" xfId="0" applyNumberFormat="1" applyFont="1" applyBorder="1"/>
    <xf numFmtId="37" fontId="5" fillId="0" borderId="10" xfId="0" applyNumberFormat="1" applyFont="1" applyBorder="1"/>
    <xf numFmtId="37" fontId="5" fillId="0" borderId="55" xfId="0" applyNumberFormat="1" applyFont="1" applyBorder="1"/>
    <xf numFmtId="37" fontId="5" fillId="0" borderId="44" xfId="0" applyNumberFormat="1" applyFont="1" applyBorder="1"/>
    <xf numFmtId="37" fontId="5" fillId="0" borderId="59" xfId="0" applyNumberFormat="1" applyFont="1" applyBorder="1"/>
    <xf numFmtId="37" fontId="5" fillId="0" borderId="34" xfId="0" applyNumberFormat="1" applyFont="1" applyBorder="1"/>
    <xf numFmtId="37" fontId="5" fillId="0" borderId="65" xfId="0" applyNumberFormat="1" applyFont="1" applyBorder="1"/>
    <xf numFmtId="37" fontId="5" fillId="0" borderId="63" xfId="0" applyNumberFormat="1" applyFont="1" applyBorder="1"/>
    <xf numFmtId="37" fontId="5" fillId="0" borderId="66" xfId="0" applyNumberFormat="1" applyFont="1" applyBorder="1"/>
    <xf numFmtId="10" fontId="5" fillId="0" borderId="102" xfId="15" applyNumberFormat="1" applyFont="1" applyFill="1" applyBorder="1"/>
    <xf numFmtId="10" fontId="5" fillId="0" borderId="61" xfId="15" applyNumberFormat="1" applyFont="1" applyFill="1" applyBorder="1"/>
    <xf numFmtId="37" fontId="5" fillId="0" borderId="48" xfId="0" applyNumberFormat="1" applyFont="1" applyBorder="1"/>
    <xf numFmtId="0" fontId="5" fillId="0" borderId="70" xfId="0" applyFont="1" applyBorder="1" applyAlignment="1">
      <alignment horizontal="center"/>
    </xf>
    <xf numFmtId="0" fontId="46" fillId="0" borderId="22" xfId="0" applyFont="1" applyBorder="1" applyAlignment="1">
      <alignment horizontal="center" wrapText="1"/>
    </xf>
    <xf numFmtId="0" fontId="46" fillId="0" borderId="23" xfId="0" applyFont="1" applyBorder="1" applyAlignment="1">
      <alignment horizontal="center" wrapText="1"/>
    </xf>
    <xf numFmtId="0" fontId="46" fillId="0" borderId="0" xfId="0" applyFont="1" applyAlignment="1">
      <alignment horizontal="center" wrapText="1"/>
    </xf>
    <xf numFmtId="0" fontId="5" fillId="0" borderId="28" xfId="0" applyFont="1" applyBorder="1" applyAlignment="1">
      <alignment horizontal="center" wrapText="1"/>
    </xf>
    <xf numFmtId="37" fontId="5" fillId="0" borderId="94" xfId="0" applyNumberFormat="1" applyFont="1" applyBorder="1"/>
    <xf numFmtId="0" fontId="5" fillId="0" borderId="96" xfId="0" applyFont="1" applyBorder="1"/>
    <xf numFmtId="185" fontId="5" fillId="0" borderId="10" xfId="15" applyNumberFormat="1" applyFont="1" applyFill="1" applyBorder="1"/>
    <xf numFmtId="0" fontId="2" fillId="0" borderId="118" xfId="0" applyFont="1" applyBorder="1" applyAlignment="1">
      <alignment horizontal="center"/>
    </xf>
    <xf numFmtId="3" fontId="0" fillId="0" borderId="51" xfId="0" applyNumberFormat="1" applyBorder="1" applyAlignment="1">
      <alignment horizontal="center"/>
    </xf>
    <xf numFmtId="10" fontId="0" fillId="0" borderId="6" xfId="1" applyNumberFormat="1" applyFont="1" applyFill="1" applyBorder="1" applyAlignment="1">
      <alignment horizontal="center"/>
    </xf>
    <xf numFmtId="3" fontId="0" fillId="0" borderId="123" xfId="0" applyNumberFormat="1" applyBorder="1" applyAlignment="1">
      <alignment horizontal="center"/>
    </xf>
    <xf numFmtId="0" fontId="0" fillId="0" borderId="98" xfId="0" applyBorder="1" applyAlignment="1">
      <alignment horizontal="center"/>
    </xf>
    <xf numFmtId="0" fontId="5" fillId="0" borderId="42" xfId="0" quotePrefix="1" applyFont="1" applyBorder="1" applyAlignment="1">
      <alignment horizontal="center"/>
    </xf>
    <xf numFmtId="2" fontId="5" fillId="0" borderId="0" xfId="0" applyNumberFormat="1" applyFont="1" applyAlignment="1">
      <alignment horizontal="center"/>
    </xf>
    <xf numFmtId="0" fontId="46" fillId="0" borderId="51" xfId="0" applyFont="1" applyBorder="1"/>
    <xf numFmtId="49" fontId="5" fillId="0" borderId="100" xfId="0" applyNumberFormat="1" applyFont="1" applyBorder="1" applyAlignment="1">
      <alignment horizontal="left"/>
    </xf>
    <xf numFmtId="169" fontId="5" fillId="0" borderId="60" xfId="0" applyNumberFormat="1" applyFont="1" applyBorder="1"/>
    <xf numFmtId="169" fontId="22" fillId="0" borderId="59" xfId="6" applyNumberFormat="1" applyFont="1" applyFill="1" applyBorder="1"/>
    <xf numFmtId="49" fontId="5" fillId="0" borderId="65" xfId="0" applyNumberFormat="1" applyFont="1" applyBorder="1" applyAlignment="1">
      <alignment horizontal="left"/>
    </xf>
    <xf numFmtId="169" fontId="5" fillId="0" borderId="66" xfId="0" applyNumberFormat="1" applyFont="1" applyBorder="1"/>
    <xf numFmtId="0" fontId="19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97" xfId="0" applyFont="1" applyBorder="1" applyAlignment="1">
      <alignment horizontal="center"/>
    </xf>
    <xf numFmtId="3" fontId="0" fillId="0" borderId="98" xfId="0" applyNumberFormat="1" applyBorder="1" applyAlignment="1">
      <alignment horizontal="center"/>
    </xf>
    <xf numFmtId="0" fontId="0" fillId="0" borderId="64" xfId="0" applyBorder="1" applyAlignment="1">
      <alignment horizontal="center"/>
    </xf>
    <xf numFmtId="0" fontId="4" fillId="0" borderId="133" xfId="0" applyFont="1" applyBorder="1"/>
    <xf numFmtId="0" fontId="0" fillId="0" borderId="97" xfId="0" applyBorder="1" applyAlignment="1">
      <alignment horizontal="left"/>
    </xf>
    <xf numFmtId="0" fontId="0" fillId="0" borderId="114" xfId="0" applyBorder="1" applyAlignment="1">
      <alignment horizontal="center"/>
    </xf>
    <xf numFmtId="4" fontId="0" fillId="0" borderId="0" xfId="0" applyNumberFormat="1"/>
    <xf numFmtId="43" fontId="4" fillId="0" borderId="10" xfId="5" applyFont="1" applyFill="1" applyBorder="1"/>
    <xf numFmtId="49" fontId="5" fillId="0" borderId="59" xfId="0" applyNumberFormat="1" applyFont="1" applyBorder="1" applyAlignment="1">
      <alignment horizontal="center"/>
    </xf>
    <xf numFmtId="0" fontId="60" fillId="0" borderId="51" xfId="0" applyFont="1" applyBorder="1"/>
    <xf numFmtId="0" fontId="0" fillId="0" borderId="4" xfId="0" quotePrefix="1" applyBorder="1" applyAlignment="1">
      <alignment horizontal="left"/>
    </xf>
    <xf numFmtId="0" fontId="41" fillId="0" borderId="11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18" fillId="0" borderId="0" xfId="0" applyFont="1"/>
    <xf numFmtId="0" fontId="49" fillId="0" borderId="10" xfId="0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41" fillId="0" borderId="10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0" fillId="0" borderId="105" xfId="0" applyBorder="1" applyAlignment="1">
      <alignment horizontal="center"/>
    </xf>
    <xf numFmtId="185" fontId="0" fillId="0" borderId="0" xfId="15" applyNumberFormat="1" applyFont="1" applyFill="1"/>
    <xf numFmtId="0" fontId="8" fillId="0" borderId="10" xfId="0" applyFont="1" applyBorder="1" applyAlignment="1">
      <alignment horizontal="centerContinuous"/>
    </xf>
    <xf numFmtId="0" fontId="145" fillId="0" borderId="0" xfId="19" applyFont="1" applyFill="1" applyBorder="1" applyAlignment="1">
      <alignment horizontal="left"/>
    </xf>
    <xf numFmtId="0" fontId="146" fillId="0" borderId="0" xfId="5" applyNumberFormat="1" applyFont="1" applyFill="1" applyAlignment="1">
      <alignment horizontal="left"/>
    </xf>
    <xf numFmtId="185" fontId="32" fillId="0" borderId="0" xfId="15" applyNumberFormat="1" applyFont="1" applyFill="1" applyBorder="1" applyAlignment="1">
      <alignment horizontal="center"/>
    </xf>
    <xf numFmtId="0" fontId="30" fillId="0" borderId="64" xfId="0" applyFont="1" applyBorder="1" applyAlignment="1">
      <alignment horizontal="center"/>
    </xf>
    <xf numFmtId="0" fontId="148" fillId="0" borderId="64" xfId="20" applyFont="1" applyFill="1" applyBorder="1" applyAlignment="1">
      <alignment horizontal="center"/>
    </xf>
    <xf numFmtId="0" fontId="0" fillId="0" borderId="64" xfId="0" applyBorder="1"/>
    <xf numFmtId="0" fontId="122" fillId="0" borderId="0" xfId="5" applyNumberFormat="1" applyFont="1" applyFill="1" applyBorder="1" applyAlignment="1">
      <alignment horizontal="left"/>
    </xf>
    <xf numFmtId="0" fontId="149" fillId="0" borderId="32" xfId="0" applyFont="1" applyBorder="1" applyAlignment="1">
      <alignment horizontal="center"/>
    </xf>
    <xf numFmtId="0" fontId="148" fillId="0" borderId="32" xfId="20" applyFont="1" applyFill="1" applyBorder="1" applyAlignment="1">
      <alignment horizontal="center"/>
    </xf>
    <xf numFmtId="167" fontId="31" fillId="0" borderId="5" xfId="0" applyNumberFormat="1" applyFont="1" applyBorder="1"/>
    <xf numFmtId="187" fontId="1" fillId="0" borderId="5" xfId="20" applyNumberFormat="1" applyFill="1" applyBorder="1"/>
    <xf numFmtId="43" fontId="42" fillId="0" borderId="10" xfId="5" applyFont="1" applyFill="1" applyBorder="1"/>
    <xf numFmtId="37" fontId="17" fillId="0" borderId="0" xfId="0" applyNumberFormat="1" applyFont="1" applyAlignment="1">
      <alignment horizontal="center"/>
    </xf>
    <xf numFmtId="182" fontId="17" fillId="0" borderId="0" xfId="0" quotePrefix="1" applyNumberFormat="1" applyFont="1" applyAlignment="1">
      <alignment horizontal="center"/>
    </xf>
    <xf numFmtId="0" fontId="8" fillId="0" borderId="0" xfId="0" applyFont="1" applyAlignment="1">
      <alignment horizontal="center"/>
    </xf>
    <xf numFmtId="17" fontId="23" fillId="0" borderId="0" xfId="0" quotePrefix="1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" fillId="17" borderId="52" xfId="0" quotePrefix="1" applyFont="1" applyFill="1" applyBorder="1" applyAlignment="1">
      <alignment horizontal="center"/>
    </xf>
    <xf numFmtId="0" fontId="2" fillId="17" borderId="100" xfId="0" quotePrefix="1" applyFont="1" applyFill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0" fontId="12" fillId="0" borderId="23" xfId="0" applyFont="1" applyBorder="1" applyAlignment="1">
      <alignment horizontal="center"/>
    </xf>
    <xf numFmtId="0" fontId="152" fillId="0" borderId="0" xfId="0" applyFont="1"/>
    <xf numFmtId="3" fontId="26" fillId="0" borderId="95" xfId="0" applyNumberFormat="1" applyFont="1" applyBorder="1" applyAlignment="1">
      <alignment horizontal="center"/>
    </xf>
    <xf numFmtId="3" fontId="26" fillId="0" borderId="96" xfId="0" applyNumberFormat="1" applyFont="1" applyBorder="1" applyAlignment="1">
      <alignment horizontal="center"/>
    </xf>
    <xf numFmtId="0" fontId="6" fillId="0" borderId="0" xfId="7" applyFont="1" applyAlignment="1">
      <alignment horizontal="center"/>
    </xf>
    <xf numFmtId="0" fontId="16" fillId="0" borderId="0" xfId="7" applyFont="1" applyAlignment="1">
      <alignment horizontal="center"/>
    </xf>
    <xf numFmtId="0" fontId="88" fillId="0" borderId="142" xfId="0" applyFont="1" applyBorder="1" applyAlignment="1">
      <alignment horizontal="center"/>
    </xf>
    <xf numFmtId="0" fontId="88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2" fillId="0" borderId="94" xfId="0" applyFont="1" applyBorder="1" applyAlignment="1">
      <alignment horizontal="center"/>
    </xf>
    <xf numFmtId="0" fontId="163" fillId="0" borderId="12" xfId="0" applyFont="1" applyBorder="1" applyAlignment="1">
      <alignment horizontal="center"/>
    </xf>
    <xf numFmtId="0" fontId="163" fillId="0" borderId="14" xfId="0" applyFont="1" applyBorder="1" applyAlignment="1">
      <alignment horizontal="center"/>
    </xf>
    <xf numFmtId="0" fontId="161" fillId="0" borderId="12" xfId="0" applyFont="1" applyBorder="1" applyAlignment="1">
      <alignment horizontal="center" vertical="center"/>
    </xf>
    <xf numFmtId="0" fontId="161" fillId="0" borderId="14" xfId="0" applyFont="1" applyBorder="1" applyAlignment="1">
      <alignment horizontal="center" vertical="center"/>
    </xf>
    <xf numFmtId="0" fontId="161" fillId="0" borderId="13" xfId="0" applyFont="1" applyBorder="1" applyAlignment="1">
      <alignment horizontal="center" vertical="center"/>
    </xf>
    <xf numFmtId="0" fontId="161" fillId="0" borderId="117" xfId="0" applyFont="1" applyBorder="1" applyAlignment="1">
      <alignment horizontal="center" vertical="center" wrapText="1"/>
    </xf>
    <xf numFmtId="0" fontId="161" fillId="0" borderId="75" xfId="0" applyFont="1" applyBorder="1" applyAlignment="1">
      <alignment horizontal="center" vertical="center" wrapText="1"/>
    </xf>
    <xf numFmtId="0" fontId="160" fillId="0" borderId="0" xfId="0" applyFont="1"/>
    <xf numFmtId="0" fontId="160" fillId="0" borderId="28" xfId="0" applyFont="1" applyBorder="1"/>
    <xf numFmtId="0" fontId="161" fillId="0" borderId="39" xfId="0" applyFont="1" applyBorder="1" applyAlignment="1">
      <alignment horizontal="center" vertical="center"/>
    </xf>
    <xf numFmtId="0" fontId="161" fillId="0" borderId="97" xfId="0" applyFont="1" applyBorder="1" applyAlignment="1">
      <alignment horizontal="center" vertical="center"/>
    </xf>
    <xf numFmtId="0" fontId="161" fillId="0" borderId="40" xfId="0" applyFont="1" applyBorder="1" applyAlignment="1">
      <alignment horizontal="center" vertical="center"/>
    </xf>
    <xf numFmtId="0" fontId="161" fillId="0" borderId="8" xfId="0" applyFont="1" applyBorder="1" applyAlignment="1">
      <alignment horizontal="center" vertical="center"/>
    </xf>
    <xf numFmtId="0" fontId="161" fillId="0" borderId="117" xfId="0" applyFont="1" applyBorder="1" applyAlignment="1">
      <alignment horizontal="center" wrapText="1"/>
    </xf>
    <xf numFmtId="0" fontId="161" fillId="0" borderId="76" xfId="0" applyFont="1" applyBorder="1" applyAlignment="1">
      <alignment horizontal="center" wrapText="1"/>
    </xf>
    <xf numFmtId="0" fontId="160" fillId="0" borderId="103" xfId="0" applyFont="1" applyBorder="1"/>
    <xf numFmtId="0" fontId="160" fillId="0" borderId="140" xfId="0" applyFont="1" applyBorder="1"/>
    <xf numFmtId="0" fontId="161" fillId="0" borderId="43" xfId="0" applyFont="1" applyBorder="1" applyAlignment="1">
      <alignment horizontal="center" vertical="center"/>
    </xf>
    <xf numFmtId="0" fontId="161" fillId="0" borderId="98" xfId="0" applyFont="1" applyBorder="1" applyAlignment="1">
      <alignment horizontal="center" vertical="center"/>
    </xf>
    <xf numFmtId="0" fontId="161" fillId="0" borderId="27" xfId="0" applyFont="1" applyBorder="1" applyAlignment="1">
      <alignment horizontal="center" vertical="center"/>
    </xf>
    <xf numFmtId="0" fontId="161" fillId="0" borderId="28" xfId="0" applyFont="1" applyBorder="1" applyAlignment="1">
      <alignment horizontal="center"/>
    </xf>
    <xf numFmtId="0" fontId="17" fillId="0" borderId="0" xfId="0" applyFont="1" applyAlignment="1">
      <alignment horizontal="left" wrapText="1"/>
    </xf>
    <xf numFmtId="0" fontId="15" fillId="0" borderId="12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31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22" xfId="0" applyFont="1" applyBorder="1" applyAlignment="1">
      <alignment horizontal="center"/>
    </xf>
    <xf numFmtId="0" fontId="17" fillId="0" borderId="2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8" fillId="0" borderId="53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54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55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50" xfId="0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3" xfId="0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59" xfId="0" applyFont="1" applyBorder="1" applyAlignment="1">
      <alignment horizontal="center"/>
    </xf>
    <xf numFmtId="0" fontId="8" fillId="17" borderId="69" xfId="0" applyFont="1" applyFill="1" applyBorder="1" applyAlignment="1">
      <alignment horizontal="center"/>
    </xf>
    <xf numFmtId="0" fontId="8" fillId="17" borderId="22" xfId="0" applyFont="1" applyFill="1" applyBorder="1" applyAlignment="1">
      <alignment horizontal="center"/>
    </xf>
    <xf numFmtId="0" fontId="8" fillId="17" borderId="70" xfId="0" applyFont="1" applyFill="1" applyBorder="1" applyAlignment="1">
      <alignment horizontal="center"/>
    </xf>
    <xf numFmtId="0" fontId="8" fillId="17" borderId="93" xfId="0" applyFont="1" applyFill="1" applyBorder="1" applyAlignment="1">
      <alignment horizontal="center"/>
    </xf>
    <xf numFmtId="0" fontId="103" fillId="0" borderId="139" xfId="0" applyFont="1" applyBorder="1" applyAlignment="1">
      <alignment horizontal="left" vertical="top" wrapText="1"/>
    </xf>
    <xf numFmtId="0" fontId="103" fillId="0" borderId="50" xfId="0" applyFont="1" applyBorder="1" applyAlignment="1">
      <alignment horizontal="left" vertical="top" wrapText="1"/>
    </xf>
    <xf numFmtId="0" fontId="106" fillId="0" borderId="139" xfId="0" applyFont="1" applyBorder="1" applyAlignment="1">
      <alignment horizontal="left" vertical="top" wrapText="1"/>
    </xf>
    <xf numFmtId="0" fontId="106" fillId="0" borderId="50" xfId="0" applyFont="1" applyBorder="1" applyAlignment="1">
      <alignment horizontal="left" vertical="top" wrapText="1"/>
    </xf>
    <xf numFmtId="0" fontId="98" fillId="1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17" borderId="12" xfId="0" applyFont="1" applyFill="1" applyBorder="1" applyAlignment="1">
      <alignment horizontal="center"/>
    </xf>
    <xf numFmtId="0" fontId="8" fillId="17" borderId="14" xfId="0" applyFont="1" applyFill="1" applyBorder="1" applyAlignment="1">
      <alignment horizontal="center"/>
    </xf>
    <xf numFmtId="0" fontId="8" fillId="17" borderId="13" xfId="0" applyFont="1" applyFill="1" applyBorder="1" applyAlignment="1">
      <alignment horizontal="center"/>
    </xf>
    <xf numFmtId="37" fontId="17" fillId="0" borderId="0" xfId="0" quotePrefix="1" applyNumberFormat="1" applyFont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59" xfId="0" applyBorder="1"/>
    <xf numFmtId="0" fontId="86" fillId="0" borderId="34" xfId="0" applyFont="1" applyBorder="1" applyAlignment="1">
      <alignment horizontal="center"/>
    </xf>
    <xf numFmtId="0" fontId="86" fillId="0" borderId="11" xfId="0" applyFont="1" applyBorder="1" applyAlignment="1">
      <alignment horizontal="center"/>
    </xf>
    <xf numFmtId="0" fontId="86" fillId="0" borderId="59" xfId="0" applyFont="1" applyBorder="1" applyAlignment="1">
      <alignment horizontal="center"/>
    </xf>
    <xf numFmtId="0" fontId="26" fillId="0" borderId="34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59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167" fontId="32" fillId="0" borderId="0" xfId="5" applyNumberFormat="1" applyFont="1" applyFill="1" applyAlignment="1">
      <alignment horizontal="center"/>
    </xf>
    <xf numFmtId="0" fontId="17" fillId="0" borderId="0" xfId="0" applyFont="1" applyAlignment="1">
      <alignment horizontal="center"/>
    </xf>
  </cellXfs>
  <cellStyles count="445">
    <cellStyle name="1. CALC Amount" xfId="12"/>
    <cellStyle name="20% - Accent5" xfId="20" builtinId="46"/>
    <cellStyle name="5. CALLUP Text" xfId="105"/>
    <cellStyle name="Check" xfId="11"/>
    <cellStyle name="ColumnHeading" xfId="100"/>
    <cellStyle name="Comma" xfId="2" builtinId="3"/>
    <cellStyle name="Comma [0] 2" xfId="47"/>
    <cellStyle name="Comma 10" xfId="109"/>
    <cellStyle name="Comma 11" xfId="163"/>
    <cellStyle name="Comma 12" xfId="164"/>
    <cellStyle name="Comma 13" xfId="165"/>
    <cellStyle name="Comma 14" xfId="441"/>
    <cellStyle name="Comma 195" xfId="104"/>
    <cellStyle name="Comma 2" xfId="5"/>
    <cellStyle name="Comma 2 2" xfId="16"/>
    <cellStyle name="Comma 2 2 2" xfId="125"/>
    <cellStyle name="Comma 2 2 2 2" xfId="29"/>
    <cellStyle name="Comma 2 2 2 2 2" xfId="99"/>
    <cellStyle name="Comma 2 2 2 2 3" xfId="126"/>
    <cellStyle name="Comma 2 2 2 2 4" xfId="439"/>
    <cellStyle name="Comma 2 2 3" xfId="127"/>
    <cellStyle name="Comma 2 2 3 2" xfId="168"/>
    <cellStyle name="Comma 2 2 4" xfId="128"/>
    <cellStyle name="Comma 2 2 5" xfId="129"/>
    <cellStyle name="Comma 2 2 6" xfId="124"/>
    <cellStyle name="Comma 2 3" xfId="130"/>
    <cellStyle name="Comma 2 3 2" xfId="131"/>
    <cellStyle name="Comma 2 3 2 2" xfId="132"/>
    <cellStyle name="Comma 2 3 3" xfId="133"/>
    <cellStyle name="Comma 2 3 4" xfId="134"/>
    <cellStyle name="Comma 2 3 5" xfId="167"/>
    <cellStyle name="Comma 2 4" xfId="135"/>
    <cellStyle name="Comma 2 4 2" xfId="136"/>
    <cellStyle name="Comma 2 5" xfId="137"/>
    <cellStyle name="Comma 2 6" xfId="138"/>
    <cellStyle name="Comma 2 7" xfId="139"/>
    <cellStyle name="Comma 2 8" xfId="140"/>
    <cellStyle name="Comma 2 9" xfId="123"/>
    <cellStyle name="Comma 3" xfId="41"/>
    <cellStyle name="Comma 3 2" xfId="31"/>
    <cellStyle name="Comma 3 2 2" xfId="141"/>
    <cellStyle name="Comma 3 3" xfId="122"/>
    <cellStyle name="Comma 3 3 11 2 3" xfId="438"/>
    <cellStyle name="Comma 3 3 5 3 4" xfId="437"/>
    <cellStyle name="Comma 4" xfId="42"/>
    <cellStyle name="Comma 4 2" xfId="22"/>
    <cellStyle name="Comma 4 2 2" xfId="170"/>
    <cellStyle name="Comma 4 2 2 2" xfId="306"/>
    <cellStyle name="Comma 4 2 3" xfId="171"/>
    <cellStyle name="Comma 4 2 4" xfId="305"/>
    <cellStyle name="Comma 4 2 5" xfId="169"/>
    <cellStyle name="Comma 4 3" xfId="25"/>
    <cellStyle name="Comma 4 3 2" xfId="307"/>
    <cellStyle name="Comma 4 3 3 9 2 3" xfId="440"/>
    <cellStyle name="Comma 4 4" xfId="172"/>
    <cellStyle name="Comma 5" xfId="39"/>
    <cellStyle name="Comma 5 2" xfId="23"/>
    <cellStyle name="Comma 6" xfId="46"/>
    <cellStyle name="Comma 6 2" xfId="308"/>
    <cellStyle name="Comma 6 3" xfId="173"/>
    <cellStyle name="Comma 7" xfId="24"/>
    <cellStyle name="Comma 8" xfId="94"/>
    <cellStyle name="Comma 9" xfId="120"/>
    <cellStyle name="Comma 9 2" xfId="26"/>
    <cellStyle name="Comma0" xfId="112"/>
    <cellStyle name="Currency" xfId="6" builtinId="4"/>
    <cellStyle name="Currency 10" xfId="108"/>
    <cellStyle name="Currency 2" xfId="28"/>
    <cellStyle name="Currency 2 2" xfId="63"/>
    <cellStyle name="Currency 2 2 2" xfId="302"/>
    <cellStyle name="Currency 2 3" xfId="74"/>
    <cellStyle name="Currency 2 4" xfId="84"/>
    <cellStyle name="Currency 2 5" xfId="51"/>
    <cellStyle name="Currency 3" xfId="58"/>
    <cellStyle name="Currency 3 2" xfId="70"/>
    <cellStyle name="Currency 3 3" xfId="81"/>
    <cellStyle name="Currency 3 4" xfId="91"/>
    <cellStyle name="Currency 3 5" xfId="304"/>
    <cellStyle name="Currency 4" xfId="61"/>
    <cellStyle name="Currency 5" xfId="72"/>
    <cellStyle name="Currency 6" xfId="49"/>
    <cellStyle name="Currency0" xfId="21"/>
    <cellStyle name="Date" xfId="118"/>
    <cellStyle name="F2" xfId="119"/>
    <cellStyle name="F3" xfId="115"/>
    <cellStyle name="F8" xfId="114"/>
    <cellStyle name="Fixed" xfId="113"/>
    <cellStyle name="Good" xfId="37" builtinId="26"/>
    <cellStyle name="Heading 1 2" xfId="142"/>
    <cellStyle name="Heading 2 2" xfId="143"/>
    <cellStyle name="Heading 2 3" xfId="144"/>
    <cellStyle name="Heading 2 4" xfId="145"/>
    <cellStyle name="Neutral" xfId="17" builtinId="28"/>
    <cellStyle name="Normal" xfId="0" builtinId="0"/>
    <cellStyle name="Normal 10" xfId="32"/>
    <cellStyle name="Normal 10 2" xfId="174"/>
    <cellStyle name="Normal 10 2 2" xfId="175"/>
    <cellStyle name="Normal 10 2 2 2" xfId="176"/>
    <cellStyle name="Normal 10 2 2 2 2" xfId="312"/>
    <cellStyle name="Normal 10 2 2 3" xfId="311"/>
    <cellStyle name="Normal 10 2 3" xfId="177"/>
    <cellStyle name="Normal 10 2 3 2" xfId="313"/>
    <cellStyle name="Normal 10 2 4" xfId="178"/>
    <cellStyle name="Normal 10 2 4 2" xfId="314"/>
    <cellStyle name="Normal 10 2 5" xfId="310"/>
    <cellStyle name="Normal 10 24" xfId="35"/>
    <cellStyle name="Normal 10 3" xfId="179"/>
    <cellStyle name="Normal 10 3 2" xfId="180"/>
    <cellStyle name="Normal 10 3 2 2" xfId="316"/>
    <cellStyle name="Normal 10 3 3" xfId="315"/>
    <cellStyle name="Normal 10 4" xfId="181"/>
    <cellStyle name="Normal 10 4 2" xfId="317"/>
    <cellStyle name="Normal 10 5" xfId="182"/>
    <cellStyle name="Normal 10 5 2" xfId="318"/>
    <cellStyle name="Normal 10 6" xfId="309"/>
    <cellStyle name="Normal 10 8" xfId="18"/>
    <cellStyle name="Normal 11" xfId="45"/>
    <cellStyle name="Normal 11 2" xfId="93"/>
    <cellStyle name="Normal 11 2 2" xfId="185"/>
    <cellStyle name="Normal 11 2 2 2" xfId="186"/>
    <cellStyle name="Normal 11 2 2 2 2" xfId="322"/>
    <cellStyle name="Normal 11 2 2 3" xfId="321"/>
    <cellStyle name="Normal 11 2 3" xfId="187"/>
    <cellStyle name="Normal 11 2 3 2" xfId="323"/>
    <cellStyle name="Normal 11 2 4" xfId="320"/>
    <cellStyle name="Normal 11 2 5" xfId="184"/>
    <cellStyle name="Normal 11 22" xfId="34"/>
    <cellStyle name="Normal 11 3" xfId="188"/>
    <cellStyle name="Normal 11 3 2" xfId="189"/>
    <cellStyle name="Normal 11 3 2 2" xfId="325"/>
    <cellStyle name="Normal 11 3 3" xfId="324"/>
    <cellStyle name="Normal 11 4" xfId="190"/>
    <cellStyle name="Normal 11 4 2" xfId="326"/>
    <cellStyle name="Normal 11 5" xfId="191"/>
    <cellStyle name="Normal 11 5 2" xfId="327"/>
    <cellStyle name="Normal 11 6" xfId="319"/>
    <cellStyle name="Normal 11 7" xfId="183"/>
    <cellStyle name="Normal 11_Income Tax BS Accts for BPC" xfId="95"/>
    <cellStyle name="Normal 12" xfId="96"/>
    <cellStyle name="Normal 12 2" xfId="98"/>
    <cellStyle name="Normal 12 2 2" xfId="194"/>
    <cellStyle name="Normal 12 2 2 2" xfId="330"/>
    <cellStyle name="Normal 12 2 3" xfId="329"/>
    <cellStyle name="Normal 12 2 4" xfId="193"/>
    <cellStyle name="Normal 12 3" xfId="195"/>
    <cellStyle name="Normal 12 3 2" xfId="331"/>
    <cellStyle name="Normal 12 4" xfId="196"/>
    <cellStyle name="Normal 12 4 2" xfId="332"/>
    <cellStyle name="Normal 12 5" xfId="328"/>
    <cellStyle name="Normal 12 6" xfId="192"/>
    <cellStyle name="Normal 13" xfId="107"/>
    <cellStyle name="Normal 13 2" xfId="10"/>
    <cellStyle name="Normal 13 2 2" xfId="199"/>
    <cellStyle name="Normal 13 2 2 2" xfId="335"/>
    <cellStyle name="Normal 13 2 3" xfId="334"/>
    <cellStyle name="Normal 13 2 4" xfId="198"/>
    <cellStyle name="Normal 13 3" xfId="200"/>
    <cellStyle name="Normal 13 3 2" xfId="336"/>
    <cellStyle name="Normal 13 4" xfId="333"/>
    <cellStyle name="Normal 13 5" xfId="197"/>
    <cellStyle name="Normal 14" xfId="111"/>
    <cellStyle name="Normal 14 2" xfId="202"/>
    <cellStyle name="Normal 14 2 2" xfId="203"/>
    <cellStyle name="Normal 14 2 2 2" xfId="339"/>
    <cellStyle name="Normal 14 2 3" xfId="338"/>
    <cellStyle name="Normal 14 3" xfId="204"/>
    <cellStyle name="Normal 14 3 2" xfId="340"/>
    <cellStyle name="Normal 14 4" xfId="337"/>
    <cellStyle name="Normal 14 5" xfId="201"/>
    <cellStyle name="Normal 15" xfId="38"/>
    <cellStyle name="Normal 15 2" xfId="205"/>
    <cellStyle name="Normal 15 2 2" xfId="206"/>
    <cellStyle name="Normal 15 2 2 2" xfId="343"/>
    <cellStyle name="Normal 15 2 3" xfId="342"/>
    <cellStyle name="Normal 15 3" xfId="207"/>
    <cellStyle name="Normal 15 3 2" xfId="344"/>
    <cellStyle name="Normal 15 4" xfId="341"/>
    <cellStyle name="Normal 16" xfId="208"/>
    <cellStyle name="Normal 16 2" xfId="209"/>
    <cellStyle name="Normal 16 2 2" xfId="210"/>
    <cellStyle name="Normal 16 2 2 2" xfId="347"/>
    <cellStyle name="Normal 16 2 3" xfId="346"/>
    <cellStyle name="Normal 16 3" xfId="211"/>
    <cellStyle name="Normal 16 3 2" xfId="348"/>
    <cellStyle name="Normal 16 4" xfId="345"/>
    <cellStyle name="Normal 17" xfId="212"/>
    <cellStyle name="Normal 17 2" xfId="213"/>
    <cellStyle name="Normal 17 2 2" xfId="214"/>
    <cellStyle name="Normal 17 2 2 2" xfId="351"/>
    <cellStyle name="Normal 17 2 3" xfId="350"/>
    <cellStyle name="Normal 17 3" xfId="215"/>
    <cellStyle name="Normal 17 3 2" xfId="352"/>
    <cellStyle name="Normal 17 4" xfId="349"/>
    <cellStyle name="Normal 18" xfId="216"/>
    <cellStyle name="Normal 18 2" xfId="217"/>
    <cellStyle name="Normal 18 2 2" xfId="218"/>
    <cellStyle name="Normal 18 2 2 2" xfId="355"/>
    <cellStyle name="Normal 18 2 3" xfId="354"/>
    <cellStyle name="Normal 18 3" xfId="219"/>
    <cellStyle name="Normal 18 3 2" xfId="356"/>
    <cellStyle name="Normal 18 4" xfId="353"/>
    <cellStyle name="Normal 19" xfId="220"/>
    <cellStyle name="Normal 19 2" xfId="221"/>
    <cellStyle name="Normal 19 2 2" xfId="222"/>
    <cellStyle name="Normal 19 2 2 2" xfId="359"/>
    <cellStyle name="Normal 19 2 3" xfId="358"/>
    <cellStyle name="Normal 19 3" xfId="223"/>
    <cellStyle name="Normal 19 3 2" xfId="360"/>
    <cellStyle name="Normal 19 4" xfId="357"/>
    <cellStyle name="Normal 2" xfId="3"/>
    <cellStyle name="Normal 2 2" xfId="8"/>
    <cellStyle name="Normal 2 2 17" xfId="30"/>
    <cellStyle name="Normal 2 2 2" xfId="97"/>
    <cellStyle name="Normal 2 2 2 2" xfId="224"/>
    <cellStyle name="Normal 2 2 2 2 2" xfId="225"/>
    <cellStyle name="Normal 2 2 2 2 2 2" xfId="226"/>
    <cellStyle name="Normal 2 2 2 2 2 2 2" xfId="365"/>
    <cellStyle name="Normal 2 2 2 2 2 3" xfId="364"/>
    <cellStyle name="Normal 2 2 2 2 3" xfId="227"/>
    <cellStyle name="Normal 2 2 2 2 3 2" xfId="366"/>
    <cellStyle name="Normal 2 2 2 2 4" xfId="363"/>
    <cellStyle name="Normal 2 2 2 3" xfId="228"/>
    <cellStyle name="Normal 2 2 2 3 2" xfId="229"/>
    <cellStyle name="Normal 2 2 2 3 2 2" xfId="368"/>
    <cellStyle name="Normal 2 2 2 3 3" xfId="367"/>
    <cellStyle name="Normal 2 2 2 4" xfId="230"/>
    <cellStyle name="Normal 2 2 2 4 2" xfId="369"/>
    <cellStyle name="Normal 2 2 2 5" xfId="362"/>
    <cellStyle name="Normal 2 2 3" xfId="231"/>
    <cellStyle name="Normal 2 2 3 2" xfId="232"/>
    <cellStyle name="Normal 2 2 3 2 2" xfId="233"/>
    <cellStyle name="Normal 2 2 3 2 2 2" xfId="372"/>
    <cellStyle name="Normal 2 2 3 2 3" xfId="371"/>
    <cellStyle name="Normal 2 2 3 3" xfId="234"/>
    <cellStyle name="Normal 2 2 3 3 2" xfId="373"/>
    <cellStyle name="Normal 2 2 3 4" xfId="370"/>
    <cellStyle name="Normal 2 2 3 5" xfId="443"/>
    <cellStyle name="Normal 2 2 4" xfId="235"/>
    <cellStyle name="Normal 2 2 4 2" xfId="236"/>
    <cellStyle name="Normal 2 2 4 2 2" xfId="375"/>
    <cellStyle name="Normal 2 2 4 3" xfId="374"/>
    <cellStyle name="Normal 2 2 5" xfId="237"/>
    <cellStyle name="Normal 2 2 5 2" xfId="376"/>
    <cellStyle name="Normal 2 2 6" xfId="33"/>
    <cellStyle name="Normal 2 2 6 4 5" xfId="14"/>
    <cellStyle name="Normal 2 2 7" xfId="361"/>
    <cellStyle name="Normal 2 3" xfId="36"/>
    <cellStyle name="Normal 2 3 2" xfId="102"/>
    <cellStyle name="Normal 2 3 3" xfId="238"/>
    <cellStyle name="Normal 2 4" xfId="101"/>
    <cellStyle name="Normal 2 5" xfId="48"/>
    <cellStyle name="Normal 2 6" xfId="116"/>
    <cellStyle name="Normal 20" xfId="239"/>
    <cellStyle name="Normal 20 2" xfId="240"/>
    <cellStyle name="Normal 20 2 2" xfId="241"/>
    <cellStyle name="Normal 20 2 2 2" xfId="379"/>
    <cellStyle name="Normal 20 2 3" xfId="378"/>
    <cellStyle name="Normal 20 3" xfId="242"/>
    <cellStyle name="Normal 20 3 2" xfId="380"/>
    <cellStyle name="Normal 20 4" xfId="377"/>
    <cellStyle name="Normal 21" xfId="243"/>
    <cellStyle name="Normal 21 2" xfId="244"/>
    <cellStyle name="Normal 21 2 2" xfId="245"/>
    <cellStyle name="Normal 21 2 2 2" xfId="383"/>
    <cellStyle name="Normal 21 2 3" xfId="382"/>
    <cellStyle name="Normal 21 3" xfId="246"/>
    <cellStyle name="Normal 21 3 2" xfId="384"/>
    <cellStyle name="Normal 21 4" xfId="381"/>
    <cellStyle name="Normal 22" xfId="247"/>
    <cellStyle name="Normal 22 2" xfId="248"/>
    <cellStyle name="Normal 22 2 2" xfId="249"/>
    <cellStyle name="Normal 22 2 2 2" xfId="387"/>
    <cellStyle name="Normal 22 2 3" xfId="386"/>
    <cellStyle name="Normal 22 3" xfId="250"/>
    <cellStyle name="Normal 22 3 2" xfId="388"/>
    <cellStyle name="Normal 22 4" xfId="385"/>
    <cellStyle name="Normal 23" xfId="251"/>
    <cellStyle name="Normal 23 2" xfId="252"/>
    <cellStyle name="Normal 23 2 2" xfId="253"/>
    <cellStyle name="Normal 23 2 2 2" xfId="391"/>
    <cellStyle name="Normal 23 2 3" xfId="390"/>
    <cellStyle name="Normal 23 3" xfId="254"/>
    <cellStyle name="Normal 23 3 2" xfId="392"/>
    <cellStyle name="Normal 23 4" xfId="389"/>
    <cellStyle name="Normal 24" xfId="255"/>
    <cellStyle name="Normal 24 2" xfId="256"/>
    <cellStyle name="Normal 24 2 2" xfId="257"/>
    <cellStyle name="Normal 24 2 2 2" xfId="395"/>
    <cellStyle name="Normal 24 2 3" xfId="394"/>
    <cellStyle name="Normal 24 3" xfId="258"/>
    <cellStyle name="Normal 24 3 2" xfId="396"/>
    <cellStyle name="Normal 24 4" xfId="393"/>
    <cellStyle name="Normal 25" xfId="27"/>
    <cellStyle name="Normal 25 2" xfId="259"/>
    <cellStyle name="Normal 25 2 2" xfId="260"/>
    <cellStyle name="Normal 25 2 2 2" xfId="399"/>
    <cellStyle name="Normal 25 2 3" xfId="398"/>
    <cellStyle name="Normal 25 3" xfId="261"/>
    <cellStyle name="Normal 25 3 2" xfId="400"/>
    <cellStyle name="Normal 25 4" xfId="397"/>
    <cellStyle name="Normal 26" xfId="262"/>
    <cellStyle name="Normal 26 2" xfId="263"/>
    <cellStyle name="Normal 26 2 2" xfId="264"/>
    <cellStyle name="Normal 26 2 2 2" xfId="403"/>
    <cellStyle name="Normal 26 2 3" xfId="402"/>
    <cellStyle name="Normal 26 3" xfId="265"/>
    <cellStyle name="Normal 26 3 2" xfId="404"/>
    <cellStyle name="Normal 26 4" xfId="401"/>
    <cellStyle name="Normal 27" xfId="266"/>
    <cellStyle name="Normal 27 2" xfId="267"/>
    <cellStyle name="Normal 27 2 2" xfId="406"/>
    <cellStyle name="Normal 27 3" xfId="405"/>
    <cellStyle name="Normal 28" xfId="268"/>
    <cellStyle name="Normal 28 2" xfId="269"/>
    <cellStyle name="Normal 28 2 2" xfId="408"/>
    <cellStyle name="Normal 28 3" xfId="407"/>
    <cellStyle name="Normal 29" xfId="270"/>
    <cellStyle name="Normal 29 2" xfId="409"/>
    <cellStyle name="Normal 3" xfId="7"/>
    <cellStyle name="Normal 3 2" xfId="62"/>
    <cellStyle name="Normal 3 2 2" xfId="146"/>
    <cellStyle name="Normal 3 2 2 2" xfId="147"/>
    <cellStyle name="Normal 3 2 3" xfId="148"/>
    <cellStyle name="Normal 3 2 4" xfId="149"/>
    <cellStyle name="Normal 3 2 5" xfId="150"/>
    <cellStyle name="Normal 3 2 6" xfId="271"/>
    <cellStyle name="Normal 3 2 7" xfId="444"/>
    <cellStyle name="Normal 3 3" xfId="73"/>
    <cellStyle name="Normal 3 3 2" xfId="151"/>
    <cellStyle name="Normal 3 3 2 2" xfId="152"/>
    <cellStyle name="Normal 3 3 3" xfId="153"/>
    <cellStyle name="Normal 3 3 4" xfId="154"/>
    <cellStyle name="Normal 3 4" xfId="83"/>
    <cellStyle name="Normal 3 4 2" xfId="155"/>
    <cellStyle name="Normal 3 5" xfId="50"/>
    <cellStyle name="Normal 3 6" xfId="156"/>
    <cellStyle name="Normal 3 7" xfId="157"/>
    <cellStyle name="Normal 3 8" xfId="158"/>
    <cellStyle name="Normal 30" xfId="117"/>
    <cellStyle name="Normal 35" xfId="110"/>
    <cellStyle name="Normal 373" xfId="103"/>
    <cellStyle name="Normal 4" xfId="53"/>
    <cellStyle name="Normal 4 2" xfId="65"/>
    <cellStyle name="Normal 4 2 2" xfId="410"/>
    <cellStyle name="Normal 4 3" xfId="76"/>
    <cellStyle name="Normal 4 3 2" xfId="411"/>
    <cellStyle name="Normal 4 4" xfId="86"/>
    <cellStyle name="Normal 4 4 2" xfId="273"/>
    <cellStyle name="Normal 4 5" xfId="121"/>
    <cellStyle name="Normal 4 5 2" xfId="412"/>
    <cellStyle name="Normal 4 5 3" xfId="274"/>
    <cellStyle name="Normal 4 6" xfId="272"/>
    <cellStyle name="Normal 5" xfId="54"/>
    <cellStyle name="Normal 5 2" xfId="66"/>
    <cellStyle name="Normal 5 2 2" xfId="413"/>
    <cellStyle name="Normal 5 3" xfId="77"/>
    <cellStyle name="Normal 5 3 2" xfId="276"/>
    <cellStyle name="Normal 5 4" xfId="87"/>
    <cellStyle name="Normal 5 4 2" xfId="414"/>
    <cellStyle name="Normal 5 5" xfId="159"/>
    <cellStyle name="Normal 5 6" xfId="275"/>
    <cellStyle name="Normal 6" xfId="55"/>
    <cellStyle name="Normal 6 2" xfId="67"/>
    <cellStyle name="Normal 6 2 2" xfId="279"/>
    <cellStyle name="Normal 6 2 3" xfId="280"/>
    <cellStyle name="Normal 6 2 3 2" xfId="415"/>
    <cellStyle name="Normal 6 2 4" xfId="278"/>
    <cellStyle name="Normal 6 3" xfId="78"/>
    <cellStyle name="Normal 6 3 2" xfId="281"/>
    <cellStyle name="Normal 6 4" xfId="88"/>
    <cellStyle name="Normal 6 4 2" xfId="416"/>
    <cellStyle name="Normal 6 5" xfId="277"/>
    <cellStyle name="Normal 7" xfId="56"/>
    <cellStyle name="Normal 7 2" xfId="68"/>
    <cellStyle name="Normal 7 2 2" xfId="283"/>
    <cellStyle name="Normal 7 2 3" xfId="284"/>
    <cellStyle name="Normal 7 2 3 2" xfId="417"/>
    <cellStyle name="Normal 7 2 4" xfId="282"/>
    <cellStyle name="Normal 7 3" xfId="79"/>
    <cellStyle name="Normal 7 3 2" xfId="285"/>
    <cellStyle name="Normal 7 4" xfId="89"/>
    <cellStyle name="Normal 7 4 2" xfId="418"/>
    <cellStyle name="Normal 7 5" xfId="161"/>
    <cellStyle name="Normal 8" xfId="57"/>
    <cellStyle name="Normal 8 2" xfId="69"/>
    <cellStyle name="Normal 8 2 2" xfId="286"/>
    <cellStyle name="Normal 8 2 2 2" xfId="287"/>
    <cellStyle name="Normal 8 2 2 2 2" xfId="422"/>
    <cellStyle name="Normal 8 2 2 3" xfId="421"/>
    <cellStyle name="Normal 8 2 3" xfId="288"/>
    <cellStyle name="Normal 8 2 3 2" xfId="423"/>
    <cellStyle name="Normal 8 2 4" xfId="420"/>
    <cellStyle name="Normal 8 3" xfId="80"/>
    <cellStyle name="Normal 8 3 2" xfId="289"/>
    <cellStyle name="Normal 8 3 2 2" xfId="425"/>
    <cellStyle name="Normal 8 3 3" xfId="424"/>
    <cellStyle name="Normal 8 4" xfId="90"/>
    <cellStyle name="Normal 8 4 2" xfId="426"/>
    <cellStyle name="Normal 8 5" xfId="290"/>
    <cellStyle name="Normal 8 5 2" xfId="427"/>
    <cellStyle name="Normal 8 6" xfId="419"/>
    <cellStyle name="Normal 9" xfId="60"/>
    <cellStyle name="Normal 9 2" xfId="292"/>
    <cellStyle name="Normal 9 2 2" xfId="293"/>
    <cellStyle name="Normal 9 2 2 2" xfId="294"/>
    <cellStyle name="Normal 9 2 2 2 2" xfId="431"/>
    <cellStyle name="Normal 9 2 2 3" xfId="430"/>
    <cellStyle name="Normal 9 2 3" xfId="295"/>
    <cellStyle name="Normal 9 2 3 2" xfId="432"/>
    <cellStyle name="Normal 9 2 4" xfId="429"/>
    <cellStyle name="Normal 9 3" xfId="296"/>
    <cellStyle name="Normal 9 3 2" xfId="297"/>
    <cellStyle name="Normal 9 3 2 2" xfId="434"/>
    <cellStyle name="Normal 9 3 3" xfId="433"/>
    <cellStyle name="Normal 9 4" xfId="298"/>
    <cellStyle name="Normal 9 4 2" xfId="435"/>
    <cellStyle name="Normal 9 5" xfId="299"/>
    <cellStyle name="Normal 9 5 2" xfId="436"/>
    <cellStyle name="Normal 9 6" xfId="428"/>
    <cellStyle name="Normal 9 7" xfId="291"/>
    <cellStyle name="Normal_2002 True-up Schedules - Final_1" xfId="162"/>
    <cellStyle name="Normal_Book1_FINAL A STATEMENTS" xfId="9"/>
    <cellStyle name="Normal_Sheet1" xfId="4"/>
    <cellStyle name="Normal_Sheet1 2" xfId="13"/>
    <cellStyle name="Note 2" xfId="442"/>
    <cellStyle name="Output" xfId="19" builtinId="21"/>
    <cellStyle name="Percent" xfId="1" builtinId="5"/>
    <cellStyle name="Percent 120" xfId="106"/>
    <cellStyle name="Percent 2" xfId="15"/>
    <cellStyle name="Percent 2 2" xfId="64"/>
    <cellStyle name="Percent 2 3" xfId="75"/>
    <cellStyle name="Percent 2 4" xfId="85"/>
    <cellStyle name="Percent 2 5" xfId="52"/>
    <cellStyle name="Percent 3" xfId="43"/>
    <cellStyle name="Percent 3 2" xfId="71"/>
    <cellStyle name="Percent 3 3" xfId="82"/>
    <cellStyle name="Percent 3 4" xfId="92"/>
    <cellStyle name="Percent 3 5" xfId="59"/>
    <cellStyle name="Percent 4" xfId="44"/>
    <cellStyle name="Percent 5" xfId="40"/>
    <cellStyle name="Style 1" xfId="166"/>
    <cellStyle name="Style 1 2" xfId="303"/>
    <cellStyle name="STYLE1" xfId="300"/>
    <cellStyle name="STYLE3" xfId="301"/>
    <cellStyle name="Total 2" xfId="160"/>
  </cellStyles>
  <dxfs count="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indexed="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eetMetadata" Target="metadata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70</xdr:row>
      <xdr:rowOff>0</xdr:rowOff>
    </xdr:from>
    <xdr:to>
      <xdr:col>30</xdr:col>
      <xdr:colOff>142019</xdr:colOff>
      <xdr:row>103</xdr:row>
      <xdr:rowOff>46827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0F3622-9F9C-4EB7-8884-B4A213619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07125" y="13563600"/>
          <a:ext cx="6847619" cy="63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8387B7F-019E-FD38-66D0-DED2022F80E0}"/>
            </a:ext>
          </a:extLst>
        </xdr:cNvPr>
        <xdr:cNvSpPr txBox="1"/>
      </xdr:nvSpPr>
      <xdr:spPr>
        <a:xfrm>
          <a:off x="849630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38100</xdr:colOff>
      <xdr:row>21</xdr:row>
      <xdr:rowOff>123825</xdr:rowOff>
    </xdr:from>
    <xdr:ext cx="1800942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962D7EA-C0F2-4609-8096-37AAF4759471}"/>
            </a:ext>
          </a:extLst>
        </xdr:cNvPr>
        <xdr:cNvSpPr txBox="1"/>
      </xdr:nvSpPr>
      <xdr:spPr>
        <a:xfrm>
          <a:off x="8553450" y="4152900"/>
          <a:ext cx="1800942" cy="264560"/>
        </a:xfrm>
        <a:prstGeom prst="rect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increase by storm surcharge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5</xdr:row>
      <xdr:rowOff>190500</xdr:rowOff>
    </xdr:from>
    <xdr:ext cx="3257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5ED5FF-EB32-6DE2-BCD7-98FE36A8A144}"/>
            </a:ext>
          </a:extLst>
        </xdr:cNvPr>
        <xdr:cNvSpPr txBox="1"/>
      </xdr:nvSpPr>
      <xdr:spPr>
        <a:xfrm>
          <a:off x="11953875" y="1285875"/>
          <a:ext cx="3257550" cy="609013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Direct</a:t>
          </a:r>
          <a:r>
            <a:rPr lang="en-US" sz="1100" baseline="0"/>
            <a:t> Assignment due to classifications on other columns that identify assets to be more aligned with lgithing in 373 as opposed to the accounts below. </a:t>
          </a:r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9525</xdr:colOff>
      <xdr:row>5</xdr:row>
      <xdr:rowOff>190500</xdr:rowOff>
    </xdr:from>
    <xdr:ext cx="3257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258C111-C813-446D-BDF8-ED24EE170E89}"/>
            </a:ext>
          </a:extLst>
        </xdr:cNvPr>
        <xdr:cNvSpPr txBox="1"/>
      </xdr:nvSpPr>
      <xdr:spPr>
        <a:xfrm>
          <a:off x="11953875" y="1285875"/>
          <a:ext cx="3257550" cy="609013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Direct</a:t>
          </a:r>
          <a:r>
            <a:rPr lang="en-US" sz="1100" baseline="0"/>
            <a:t> Assignment due to classifications on other columns that identify assets to be more aligned with lgithing in 373 as opposed to the accounts below. </a:t>
          </a:r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15</xdr:col>
      <xdr:colOff>247162</xdr:colOff>
      <xdr:row>30</xdr:row>
      <xdr:rowOff>189759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E9728-E481-FE14-F654-47E4600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25175" y="190500"/>
          <a:ext cx="3904762" cy="59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</xdr:row>
      <xdr:rowOff>0</xdr:rowOff>
    </xdr:from>
    <xdr:to>
      <xdr:col>22</xdr:col>
      <xdr:colOff>104305</xdr:colOff>
      <xdr:row>26</xdr:row>
      <xdr:rowOff>8902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DA08F-DBF7-2875-4D70-56370FA30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92375" y="190500"/>
          <a:ext cx="3761905" cy="49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1.bin"/><Relationship Id="rId2" Type="http://schemas.openxmlformats.org/officeDocument/2006/relationships/customProperty" Target="../customProperty200.bin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3.bin"/><Relationship Id="rId2" Type="http://schemas.openxmlformats.org/officeDocument/2006/relationships/customProperty" Target="../customProperty202.bin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5.bin"/><Relationship Id="rId2" Type="http://schemas.openxmlformats.org/officeDocument/2006/relationships/customProperty" Target="../customProperty204.bin"/><Relationship Id="rId1" Type="http://schemas.openxmlformats.org/officeDocument/2006/relationships/printerSettings" Target="../printerSettings/printerSettings102.bin"/><Relationship Id="rId4" Type="http://schemas.openxmlformats.org/officeDocument/2006/relationships/drawing" Target="../drawings/drawing6.xml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7.bin"/><Relationship Id="rId2" Type="http://schemas.openxmlformats.org/officeDocument/2006/relationships/customProperty" Target="../customProperty206.bin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09.bin"/><Relationship Id="rId2" Type="http://schemas.openxmlformats.org/officeDocument/2006/relationships/customProperty" Target="../customProperty208.bin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1.bin"/><Relationship Id="rId2" Type="http://schemas.openxmlformats.org/officeDocument/2006/relationships/customProperty" Target="../customProperty210.bin"/><Relationship Id="rId1" Type="http://schemas.openxmlformats.org/officeDocument/2006/relationships/printerSettings" Target="../printerSettings/printerSettings105.bin"/><Relationship Id="rId4" Type="http://schemas.openxmlformats.org/officeDocument/2006/relationships/customProperty" Target="../customProperty212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4.bin"/><Relationship Id="rId2" Type="http://schemas.openxmlformats.org/officeDocument/2006/relationships/customProperty" Target="../customProperty213.bin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6.bin"/><Relationship Id="rId2" Type="http://schemas.openxmlformats.org/officeDocument/2006/relationships/customProperty" Target="../customProperty215.bin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8.bin"/><Relationship Id="rId2" Type="http://schemas.openxmlformats.org/officeDocument/2006/relationships/customProperty" Target="../customProperty217.bin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0.bin"/><Relationship Id="rId2" Type="http://schemas.openxmlformats.org/officeDocument/2006/relationships/customProperty" Target="../customProperty219.bin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2.bin"/><Relationship Id="rId2" Type="http://schemas.openxmlformats.org/officeDocument/2006/relationships/customProperty" Target="../customProperty221.bin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4.bin"/><Relationship Id="rId2" Type="http://schemas.openxmlformats.org/officeDocument/2006/relationships/customProperty" Target="../customProperty223.bin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6.bin"/><Relationship Id="rId2" Type="http://schemas.openxmlformats.org/officeDocument/2006/relationships/customProperty" Target="../customProperty225.bin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28.bin"/><Relationship Id="rId2" Type="http://schemas.openxmlformats.org/officeDocument/2006/relationships/customProperty" Target="../customProperty227.bin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0.bin"/><Relationship Id="rId2" Type="http://schemas.openxmlformats.org/officeDocument/2006/relationships/customProperty" Target="../customProperty229.bin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2.bin"/><Relationship Id="rId2" Type="http://schemas.openxmlformats.org/officeDocument/2006/relationships/customProperty" Target="../customProperty231.bin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4.bin"/><Relationship Id="rId2" Type="http://schemas.openxmlformats.org/officeDocument/2006/relationships/customProperty" Target="../customProperty233.bin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6.bin"/><Relationship Id="rId2" Type="http://schemas.openxmlformats.org/officeDocument/2006/relationships/customProperty" Target="../customProperty235.bin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8.bin"/><Relationship Id="rId2" Type="http://schemas.openxmlformats.org/officeDocument/2006/relationships/customProperty" Target="../customProperty237.bin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0.bin"/><Relationship Id="rId2" Type="http://schemas.openxmlformats.org/officeDocument/2006/relationships/customProperty" Target="../customProperty239.bin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2.bin"/><Relationship Id="rId2" Type="http://schemas.openxmlformats.org/officeDocument/2006/relationships/customProperty" Target="../customProperty241.bin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4.bin"/><Relationship Id="rId2" Type="http://schemas.openxmlformats.org/officeDocument/2006/relationships/customProperty" Target="../customProperty243.bin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6.bin"/><Relationship Id="rId2" Type="http://schemas.openxmlformats.org/officeDocument/2006/relationships/customProperty" Target="../customProperty245.bin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48.bin"/><Relationship Id="rId2" Type="http://schemas.openxmlformats.org/officeDocument/2006/relationships/customProperty" Target="../customProperty247.bin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0.bin"/><Relationship Id="rId2" Type="http://schemas.openxmlformats.org/officeDocument/2006/relationships/customProperty" Target="../customProperty249.bin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52.bin"/><Relationship Id="rId2" Type="http://schemas.openxmlformats.org/officeDocument/2006/relationships/customProperty" Target="../customProperty251.bin"/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3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0.bin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2.bin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4.bin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8.bin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0.bin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customProperty" Target="../customProperty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2.bin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4.bin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8.bin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2.bin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4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6.bin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8.bin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0.bin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2.bin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4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6.bin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8.bin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0.bin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2.bin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4.bin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6.bin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8.bin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0.bin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.bin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2.bin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4.bin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6.bin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8.bin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0.bin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2.bin"/><Relationship Id="rId2" Type="http://schemas.openxmlformats.org/officeDocument/2006/relationships/customProperty" Target="../customProperty91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4.bin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6.bin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98.bin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0.bin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.bin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2.bin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4.bin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5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7.bin"/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9.bin"/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1.bin"/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3.bin"/><Relationship Id="rId2" Type="http://schemas.openxmlformats.org/officeDocument/2006/relationships/customProperty" Target="../customProperty112.bin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5.bin"/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7.bin"/><Relationship Id="rId2" Type="http://schemas.openxmlformats.org/officeDocument/2006/relationships/customProperty" Target="../customProperty116.bin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19.bin"/><Relationship Id="rId2" Type="http://schemas.openxmlformats.org/officeDocument/2006/relationships/customProperty" Target="../customProperty118.bin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1.bin"/><Relationship Id="rId2" Type="http://schemas.openxmlformats.org/officeDocument/2006/relationships/customProperty" Target="../customProperty120.bin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3.bin"/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5.bin"/><Relationship Id="rId2" Type="http://schemas.openxmlformats.org/officeDocument/2006/relationships/customProperty" Target="../customProperty124.bin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7.bin"/><Relationship Id="rId2" Type="http://schemas.openxmlformats.org/officeDocument/2006/relationships/customProperty" Target="../customProperty126.bin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9.bin"/><Relationship Id="rId2" Type="http://schemas.openxmlformats.org/officeDocument/2006/relationships/customProperty" Target="../customProperty128.bin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1.bin"/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3.bin"/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5.bin"/><Relationship Id="rId2" Type="http://schemas.openxmlformats.org/officeDocument/2006/relationships/customProperty" Target="../customProperty134.bin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7.bin"/><Relationship Id="rId2" Type="http://schemas.openxmlformats.org/officeDocument/2006/relationships/customProperty" Target="../customProperty136.bin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9.bin"/><Relationship Id="rId2" Type="http://schemas.openxmlformats.org/officeDocument/2006/relationships/customProperty" Target="../customProperty138.bin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1.bin"/><Relationship Id="rId2" Type="http://schemas.openxmlformats.org/officeDocument/2006/relationships/customProperty" Target="../customProperty140.bin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3.bin"/><Relationship Id="rId2" Type="http://schemas.openxmlformats.org/officeDocument/2006/relationships/customProperty" Target="../customProperty142.bin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5.bin"/><Relationship Id="rId2" Type="http://schemas.openxmlformats.org/officeDocument/2006/relationships/customProperty" Target="../customProperty144.bin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7.bin"/><Relationship Id="rId2" Type="http://schemas.openxmlformats.org/officeDocument/2006/relationships/customProperty" Target="../customProperty146.bin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9.bin"/><Relationship Id="rId2" Type="http://schemas.openxmlformats.org/officeDocument/2006/relationships/customProperty" Target="../customProperty148.bin"/><Relationship Id="rId1" Type="http://schemas.openxmlformats.org/officeDocument/2006/relationships/printerSettings" Target="../printerSettings/printerSettings74.bin"/><Relationship Id="rId4" Type="http://schemas.openxmlformats.org/officeDocument/2006/relationships/drawing" Target="../drawings/drawing2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1.bin"/><Relationship Id="rId2" Type="http://schemas.openxmlformats.org/officeDocument/2006/relationships/customProperty" Target="../customProperty150.bin"/><Relationship Id="rId1" Type="http://schemas.openxmlformats.org/officeDocument/2006/relationships/printerSettings" Target="../printerSettings/printerSettings75.bin"/><Relationship Id="rId4" Type="http://schemas.openxmlformats.org/officeDocument/2006/relationships/drawing" Target="../drawings/drawing3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3.bin"/><Relationship Id="rId2" Type="http://schemas.openxmlformats.org/officeDocument/2006/relationships/customProperty" Target="../customProperty152.bin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5.bin"/><Relationship Id="rId2" Type="http://schemas.openxmlformats.org/officeDocument/2006/relationships/customProperty" Target="../customProperty154.bin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7.bin"/><Relationship Id="rId2" Type="http://schemas.openxmlformats.org/officeDocument/2006/relationships/customProperty" Target="../customProperty156.bin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9.bin"/><Relationship Id="rId2" Type="http://schemas.openxmlformats.org/officeDocument/2006/relationships/customProperty" Target="../customProperty158.bin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.bin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1.bin"/><Relationship Id="rId2" Type="http://schemas.openxmlformats.org/officeDocument/2006/relationships/customProperty" Target="../customProperty160.bin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3.bin"/><Relationship Id="rId2" Type="http://schemas.openxmlformats.org/officeDocument/2006/relationships/customProperty" Target="../customProperty162.bin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5.bin"/><Relationship Id="rId2" Type="http://schemas.openxmlformats.org/officeDocument/2006/relationships/customProperty" Target="../customProperty164.bin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7.bin"/><Relationship Id="rId2" Type="http://schemas.openxmlformats.org/officeDocument/2006/relationships/customProperty" Target="../customProperty166.bin"/><Relationship Id="rId1" Type="http://schemas.openxmlformats.org/officeDocument/2006/relationships/printerSettings" Target="../printerSettings/printerSettings83.bin"/><Relationship Id="rId4" Type="http://schemas.openxmlformats.org/officeDocument/2006/relationships/drawing" Target="../drawings/drawing4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69.bin"/><Relationship Id="rId2" Type="http://schemas.openxmlformats.org/officeDocument/2006/relationships/customProperty" Target="../customProperty168.bin"/><Relationship Id="rId1" Type="http://schemas.openxmlformats.org/officeDocument/2006/relationships/printerSettings" Target="../printerSettings/printerSettings84.bin"/><Relationship Id="rId4" Type="http://schemas.openxmlformats.org/officeDocument/2006/relationships/drawing" Target="../drawings/drawing5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1.bin"/><Relationship Id="rId2" Type="http://schemas.openxmlformats.org/officeDocument/2006/relationships/customProperty" Target="../customProperty170.bin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3.bin"/><Relationship Id="rId2" Type="http://schemas.openxmlformats.org/officeDocument/2006/relationships/customProperty" Target="../customProperty172.bin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5.bin"/><Relationship Id="rId2" Type="http://schemas.openxmlformats.org/officeDocument/2006/relationships/customProperty" Target="../customProperty174.bin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7.bin"/><Relationship Id="rId2" Type="http://schemas.openxmlformats.org/officeDocument/2006/relationships/customProperty" Target="../customProperty176.bin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79.bin"/><Relationship Id="rId2" Type="http://schemas.openxmlformats.org/officeDocument/2006/relationships/customProperty" Target="../customProperty178.bin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.bin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1.bin"/><Relationship Id="rId2" Type="http://schemas.openxmlformats.org/officeDocument/2006/relationships/customProperty" Target="../customProperty180.bin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3.bin"/><Relationship Id="rId2" Type="http://schemas.openxmlformats.org/officeDocument/2006/relationships/customProperty" Target="../customProperty182.bin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5.bin"/><Relationship Id="rId2" Type="http://schemas.openxmlformats.org/officeDocument/2006/relationships/customProperty" Target="../customProperty184.bin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7.bin"/><Relationship Id="rId2" Type="http://schemas.openxmlformats.org/officeDocument/2006/relationships/customProperty" Target="../customProperty186.bin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9.bin"/><Relationship Id="rId2" Type="http://schemas.openxmlformats.org/officeDocument/2006/relationships/customProperty" Target="../customProperty188.bin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1.bin"/><Relationship Id="rId2" Type="http://schemas.openxmlformats.org/officeDocument/2006/relationships/customProperty" Target="../customProperty190.bin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3.bin"/><Relationship Id="rId2" Type="http://schemas.openxmlformats.org/officeDocument/2006/relationships/customProperty" Target="../customProperty192.bin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5.bin"/><Relationship Id="rId2" Type="http://schemas.openxmlformats.org/officeDocument/2006/relationships/customProperty" Target="../customProperty194.bin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7.bin"/><Relationship Id="rId2" Type="http://schemas.openxmlformats.org/officeDocument/2006/relationships/customProperty" Target="../customProperty196.bin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99.bin"/><Relationship Id="rId2" Type="http://schemas.openxmlformats.org/officeDocument/2006/relationships/customProperty" Target="../customProperty198.bin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</sheetPr>
  <dimension ref="B1:H22"/>
  <sheetViews>
    <sheetView tabSelected="1" showOutlineSymbols="0" workbookViewId="0"/>
  </sheetViews>
  <sheetFormatPr defaultColWidth="9.109375" defaultRowHeight="14.4"/>
  <cols>
    <col min="1" max="1" width="9.109375" style="1"/>
    <col min="2" max="2" width="25.88671875" style="1" bestFit="1" customWidth="1"/>
    <col min="3" max="3" width="19.6640625" style="1" bestFit="1" customWidth="1"/>
    <col min="4" max="4" width="55.33203125" style="1" bestFit="1" customWidth="1"/>
    <col min="5" max="5" width="9.109375" style="1"/>
    <col min="6" max="6" width="12.6640625" style="1" bestFit="1" customWidth="1"/>
    <col min="7" max="16384" width="9.109375" style="1"/>
  </cols>
  <sheetData>
    <row r="1" spans="2:8" ht="15" thickBot="1"/>
    <row r="2" spans="2:8" ht="15" thickBot="1">
      <c r="B2" s="2" t="s">
        <v>7</v>
      </c>
      <c r="C2" s="4" t="s">
        <v>11</v>
      </c>
      <c r="D2" s="5" t="s">
        <v>2</v>
      </c>
      <c r="F2" s="29" t="s">
        <v>116</v>
      </c>
    </row>
    <row r="3" spans="2:8">
      <c r="B3" s="6" t="s">
        <v>6</v>
      </c>
      <c r="C3" s="26">
        <v>0.21</v>
      </c>
      <c r="D3" s="7" t="s">
        <v>20</v>
      </c>
    </row>
    <row r="4" spans="2:8">
      <c r="B4" s="6" t="s">
        <v>5</v>
      </c>
      <c r="C4" s="26">
        <v>5.5E-2</v>
      </c>
      <c r="D4" s="7" t="s">
        <v>20</v>
      </c>
    </row>
    <row r="5" spans="2:8">
      <c r="B5" s="6" t="s">
        <v>3</v>
      </c>
      <c r="C5" s="8">
        <f>C3+((1-C3)*C4)</f>
        <v>0.25345000000000001</v>
      </c>
      <c r="D5" s="12" t="s">
        <v>19</v>
      </c>
    </row>
    <row r="6" spans="2:8" ht="15" thickBot="1">
      <c r="B6" s="9" t="s">
        <v>0</v>
      </c>
      <c r="C6" s="27">
        <v>0.115</v>
      </c>
      <c r="D6" s="11"/>
    </row>
    <row r="8" spans="2:8" ht="15" thickBot="1"/>
    <row r="9" spans="2:8" ht="15" thickBot="1">
      <c r="B9" s="2" t="s">
        <v>7</v>
      </c>
      <c r="C9" s="4" t="s">
        <v>11</v>
      </c>
      <c r="D9" s="5" t="s">
        <v>2</v>
      </c>
    </row>
    <row r="10" spans="2:8">
      <c r="B10" s="6" t="s">
        <v>9</v>
      </c>
      <c r="C10" s="26">
        <v>2.2369999999999998E-3</v>
      </c>
      <c r="D10" s="12"/>
      <c r="H10" s="1598"/>
    </row>
    <row r="11" spans="2:8" ht="15" thickBot="1">
      <c r="B11" s="9" t="s">
        <v>10</v>
      </c>
      <c r="C11" s="1954">
        <v>8.4800000000000001E-4</v>
      </c>
      <c r="D11" s="13"/>
    </row>
    <row r="13" spans="2:8" ht="15" thickBot="1"/>
    <row r="14" spans="2:8" ht="15" thickBot="1">
      <c r="B14" s="2" t="s">
        <v>7</v>
      </c>
      <c r="C14" s="4" t="s">
        <v>11</v>
      </c>
      <c r="D14" s="5" t="s">
        <v>2</v>
      </c>
    </row>
    <row r="15" spans="2:8">
      <c r="B15" s="6" t="s">
        <v>13</v>
      </c>
      <c r="C15" s="26">
        <v>1.6299999999999999E-2</v>
      </c>
      <c r="D15" s="7"/>
    </row>
    <row r="16" spans="2:8">
      <c r="B16" s="6" t="s">
        <v>14</v>
      </c>
      <c r="C16" s="26">
        <v>1.5E-3</v>
      </c>
      <c r="D16" s="7"/>
    </row>
    <row r="17" spans="2:4">
      <c r="B17" s="6" t="s">
        <v>15</v>
      </c>
      <c r="C17" s="26">
        <v>0</v>
      </c>
      <c r="D17" s="7"/>
    </row>
    <row r="18" spans="2:4">
      <c r="B18" s="6" t="s">
        <v>16</v>
      </c>
      <c r="C18" s="26">
        <v>2.0000000000000001E-4</v>
      </c>
      <c r="D18" s="7"/>
    </row>
    <row r="19" spans="2:4">
      <c r="B19" s="6" t="s">
        <v>17</v>
      </c>
      <c r="C19" s="26">
        <v>0</v>
      </c>
      <c r="D19" s="7"/>
    </row>
    <row r="20" spans="2:4">
      <c r="B20" s="6" t="s">
        <v>18</v>
      </c>
      <c r="C20" s="26">
        <v>1.8E-3</v>
      </c>
      <c r="D20" s="7"/>
    </row>
    <row r="21" spans="2:4">
      <c r="B21" s="1773" t="s">
        <v>4374</v>
      </c>
      <c r="C21" s="1774">
        <f>+SUM(C15:C20)</f>
        <v>1.9799999999999998E-2</v>
      </c>
      <c r="D21" s="7"/>
    </row>
    <row r="22" spans="2:4" ht="15" thickBot="1">
      <c r="B22" s="9" t="s">
        <v>12</v>
      </c>
      <c r="C22" s="54">
        <v>0.46829999999999999</v>
      </c>
      <c r="D22" s="13" t="s">
        <v>21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</sheetPr>
  <dimension ref="A1:AD570"/>
  <sheetViews>
    <sheetView tabSelected="1" showOutlineSymbols="0" workbookViewId="0"/>
  </sheetViews>
  <sheetFormatPr defaultRowHeight="13.2"/>
  <cols>
    <col min="1" max="2" width="4.5546875" style="1674" customWidth="1"/>
    <col min="3" max="3" width="10.5546875" style="1674" customWidth="1"/>
    <col min="4" max="4" width="33.44140625" style="1674" customWidth="1"/>
    <col min="5" max="5" width="2" style="1674" customWidth="1"/>
    <col min="6" max="6" width="10.44140625" style="1674" customWidth="1"/>
    <col min="7" max="7" width="2" style="1674" customWidth="1"/>
    <col min="8" max="8" width="14.5546875" style="1674" customWidth="1"/>
    <col min="9" max="9" width="2" style="1674" customWidth="1"/>
    <col min="10" max="10" width="14.5546875" style="1674" customWidth="1"/>
    <col min="11" max="11" width="2" style="1674" customWidth="1"/>
    <col min="12" max="12" width="14.5546875" style="1674" customWidth="1"/>
    <col min="13" max="13" width="2" style="1674" customWidth="1"/>
    <col min="14" max="14" width="14.5546875" style="1674" customWidth="1"/>
    <col min="15" max="15" width="2" style="1674" customWidth="1"/>
    <col min="16" max="16" width="14.5546875" style="1674" customWidth="1"/>
    <col min="17" max="17" width="1.5546875" style="1674" customWidth="1"/>
    <col min="18" max="18" width="14.5546875" style="1674" customWidth="1"/>
    <col min="19" max="19" width="9.109375" style="2006"/>
    <col min="20" max="20" width="14.5546875" style="1674" customWidth="1"/>
    <col min="21" max="21" width="2" style="1674" customWidth="1"/>
    <col min="22" max="22" width="14.5546875" style="1674" customWidth="1"/>
    <col min="23" max="23" width="2" style="1674" customWidth="1"/>
    <col min="24" max="24" width="14.5546875" style="1674" customWidth="1"/>
    <col min="25" max="25" width="2" style="1674" customWidth="1"/>
    <col min="26" max="26" width="14.5546875" style="1674" customWidth="1"/>
    <col min="27" max="27" width="2" style="1674" customWidth="1"/>
    <col min="28" max="28" width="14.5546875" style="1674" customWidth="1"/>
    <col min="29" max="29" width="1.5546875" style="1674" customWidth="1"/>
    <col min="30" max="30" width="14.5546875" style="1674" customWidth="1"/>
    <col min="31" max="225" width="9.109375" style="2006"/>
    <col min="226" max="226" width="3.5546875" style="2006" customWidth="1"/>
    <col min="227" max="227" width="6.6640625" style="2006" bestFit="1" customWidth="1"/>
    <col min="228" max="228" width="10.6640625" style="2006" bestFit="1" customWidth="1"/>
    <col min="229" max="229" width="40.33203125" style="2006" bestFit="1" customWidth="1"/>
    <col min="230" max="230" width="2.33203125" style="2006" customWidth="1"/>
    <col min="231" max="231" width="9.5546875" style="2006" customWidth="1"/>
    <col min="232" max="232" width="2.33203125" style="2006" customWidth="1"/>
    <col min="233" max="233" width="13.5546875" style="2006" customWidth="1"/>
    <col min="234" max="234" width="2.33203125" style="2006" customWidth="1"/>
    <col min="235" max="235" width="13.5546875" style="2006" customWidth="1"/>
    <col min="236" max="236" width="2.33203125" style="2006" customWidth="1"/>
    <col min="237" max="237" width="13.5546875" style="2006" customWidth="1"/>
    <col min="238" max="238" width="2.33203125" style="2006" customWidth="1"/>
    <col min="239" max="239" width="13.5546875" style="2006" customWidth="1"/>
    <col min="240" max="240" width="2.33203125" style="2006" customWidth="1"/>
    <col min="241" max="241" width="13.5546875" style="2006" customWidth="1"/>
    <col min="242" max="242" width="2.33203125" style="2006" customWidth="1"/>
    <col min="243" max="243" width="13.5546875" style="2006" customWidth="1"/>
    <col min="244" max="244" width="3.33203125" style="2006" customWidth="1"/>
    <col min="245" max="245" width="3.5546875" style="2006" customWidth="1"/>
    <col min="246" max="246" width="11.33203125" style="2006" customWidth="1"/>
    <col min="247" max="247" width="11.6640625" style="2006" bestFit="1" customWidth="1"/>
    <col min="248" max="248" width="40.33203125" style="2006" bestFit="1" customWidth="1"/>
    <col min="249" max="249" width="2.33203125" style="2006" customWidth="1"/>
    <col min="250" max="250" width="9.5546875" style="2006" customWidth="1"/>
    <col min="251" max="251" width="2.33203125" style="2006" customWidth="1"/>
    <col min="252" max="252" width="13.5546875" style="2006" customWidth="1"/>
    <col min="253" max="253" width="2.33203125" style="2006" customWidth="1"/>
    <col min="254" max="254" width="13.5546875" style="2006" customWidth="1"/>
    <col min="255" max="255" width="2.33203125" style="2006" customWidth="1"/>
    <col min="256" max="256" width="13.5546875" style="2006" customWidth="1"/>
    <col min="257" max="257" width="2.33203125" style="2006" customWidth="1"/>
    <col min="258" max="258" width="13.5546875" style="2006" customWidth="1"/>
    <col min="259" max="259" width="2.33203125" style="2006" customWidth="1"/>
    <col min="260" max="260" width="13.5546875" style="2006" customWidth="1"/>
    <col min="261" max="261" width="2.33203125" style="2006" customWidth="1"/>
    <col min="262" max="263" width="13.5546875" style="2006" customWidth="1"/>
    <col min="264" max="481" width="9.109375" style="2006"/>
    <col min="482" max="482" width="3.5546875" style="2006" customWidth="1"/>
    <col min="483" max="483" width="6.6640625" style="2006" bestFit="1" customWidth="1"/>
    <col min="484" max="484" width="10.6640625" style="2006" bestFit="1" customWidth="1"/>
    <col min="485" max="485" width="40.33203125" style="2006" bestFit="1" customWidth="1"/>
    <col min="486" max="486" width="2.33203125" style="2006" customWidth="1"/>
    <col min="487" max="487" width="9.5546875" style="2006" customWidth="1"/>
    <col min="488" max="488" width="2.33203125" style="2006" customWidth="1"/>
    <col min="489" max="489" width="13.5546875" style="2006" customWidth="1"/>
    <col min="490" max="490" width="2.33203125" style="2006" customWidth="1"/>
    <col min="491" max="491" width="13.5546875" style="2006" customWidth="1"/>
    <col min="492" max="492" width="2.33203125" style="2006" customWidth="1"/>
    <col min="493" max="493" width="13.5546875" style="2006" customWidth="1"/>
    <col min="494" max="494" width="2.33203125" style="2006" customWidth="1"/>
    <col min="495" max="495" width="13.5546875" style="2006" customWidth="1"/>
    <col min="496" max="496" width="2.33203125" style="2006" customWidth="1"/>
    <col min="497" max="497" width="13.5546875" style="2006" customWidth="1"/>
    <col min="498" max="498" width="2.33203125" style="2006" customWidth="1"/>
    <col min="499" max="499" width="13.5546875" style="2006" customWidth="1"/>
    <col min="500" max="500" width="3.33203125" style="2006" customWidth="1"/>
    <col min="501" max="501" width="3.5546875" style="2006" customWidth="1"/>
    <col min="502" max="502" width="11.33203125" style="2006" customWidth="1"/>
    <col min="503" max="503" width="11.6640625" style="2006" bestFit="1" customWidth="1"/>
    <col min="504" max="504" width="40.33203125" style="2006" bestFit="1" customWidth="1"/>
    <col min="505" max="505" width="2.33203125" style="2006" customWidth="1"/>
    <col min="506" max="506" width="9.5546875" style="2006" customWidth="1"/>
    <col min="507" max="507" width="2.33203125" style="2006" customWidth="1"/>
    <col min="508" max="508" width="13.5546875" style="2006" customWidth="1"/>
    <col min="509" max="509" width="2.33203125" style="2006" customWidth="1"/>
    <col min="510" max="510" width="13.5546875" style="2006" customWidth="1"/>
    <col min="511" max="511" width="2.33203125" style="2006" customWidth="1"/>
    <col min="512" max="512" width="13.5546875" style="2006" customWidth="1"/>
    <col min="513" max="513" width="2.33203125" style="2006" customWidth="1"/>
    <col min="514" max="514" width="13.5546875" style="2006" customWidth="1"/>
    <col min="515" max="515" width="2.33203125" style="2006" customWidth="1"/>
    <col min="516" max="516" width="13.5546875" style="2006" customWidth="1"/>
    <col min="517" max="517" width="2.33203125" style="2006" customWidth="1"/>
    <col min="518" max="519" width="13.5546875" style="2006" customWidth="1"/>
    <col min="520" max="737" width="9.109375" style="2006"/>
    <col min="738" max="738" width="3.5546875" style="2006" customWidth="1"/>
    <col min="739" max="739" width="6.6640625" style="2006" bestFit="1" customWidth="1"/>
    <col min="740" max="740" width="10.6640625" style="2006" bestFit="1" customWidth="1"/>
    <col min="741" max="741" width="40.33203125" style="2006" bestFit="1" customWidth="1"/>
    <col min="742" max="742" width="2.33203125" style="2006" customWidth="1"/>
    <col min="743" max="743" width="9.5546875" style="2006" customWidth="1"/>
    <col min="744" max="744" width="2.33203125" style="2006" customWidth="1"/>
    <col min="745" max="745" width="13.5546875" style="2006" customWidth="1"/>
    <col min="746" max="746" width="2.33203125" style="2006" customWidth="1"/>
    <col min="747" max="747" width="13.5546875" style="2006" customWidth="1"/>
    <col min="748" max="748" width="2.33203125" style="2006" customWidth="1"/>
    <col min="749" max="749" width="13.5546875" style="2006" customWidth="1"/>
    <col min="750" max="750" width="2.33203125" style="2006" customWidth="1"/>
    <col min="751" max="751" width="13.5546875" style="2006" customWidth="1"/>
    <col min="752" max="752" width="2.33203125" style="2006" customWidth="1"/>
    <col min="753" max="753" width="13.5546875" style="2006" customWidth="1"/>
    <col min="754" max="754" width="2.33203125" style="2006" customWidth="1"/>
    <col min="755" max="755" width="13.5546875" style="2006" customWidth="1"/>
    <col min="756" max="756" width="3.33203125" style="2006" customWidth="1"/>
    <col min="757" max="757" width="3.5546875" style="2006" customWidth="1"/>
    <col min="758" max="758" width="11.33203125" style="2006" customWidth="1"/>
    <col min="759" max="759" width="11.6640625" style="2006" bestFit="1" customWidth="1"/>
    <col min="760" max="760" width="40.33203125" style="2006" bestFit="1" customWidth="1"/>
    <col min="761" max="761" width="2.33203125" style="2006" customWidth="1"/>
    <col min="762" max="762" width="9.5546875" style="2006" customWidth="1"/>
    <col min="763" max="763" width="2.33203125" style="2006" customWidth="1"/>
    <col min="764" max="764" width="13.5546875" style="2006" customWidth="1"/>
    <col min="765" max="765" width="2.33203125" style="2006" customWidth="1"/>
    <col min="766" max="766" width="13.5546875" style="2006" customWidth="1"/>
    <col min="767" max="767" width="2.33203125" style="2006" customWidth="1"/>
    <col min="768" max="768" width="13.5546875" style="2006" customWidth="1"/>
    <col min="769" max="769" width="2.33203125" style="2006" customWidth="1"/>
    <col min="770" max="770" width="13.5546875" style="2006" customWidth="1"/>
    <col min="771" max="771" width="2.33203125" style="2006" customWidth="1"/>
    <col min="772" max="772" width="13.5546875" style="2006" customWidth="1"/>
    <col min="773" max="773" width="2.33203125" style="2006" customWidth="1"/>
    <col min="774" max="775" width="13.5546875" style="2006" customWidth="1"/>
    <col min="776" max="993" width="9.109375" style="2006"/>
    <col min="994" max="994" width="3.5546875" style="2006" customWidth="1"/>
    <col min="995" max="995" width="6.6640625" style="2006" bestFit="1" customWidth="1"/>
    <col min="996" max="996" width="10.6640625" style="2006" bestFit="1" customWidth="1"/>
    <col min="997" max="997" width="40.33203125" style="2006" bestFit="1" customWidth="1"/>
    <col min="998" max="998" width="2.33203125" style="2006" customWidth="1"/>
    <col min="999" max="999" width="9.5546875" style="2006" customWidth="1"/>
    <col min="1000" max="1000" width="2.33203125" style="2006" customWidth="1"/>
    <col min="1001" max="1001" width="13.5546875" style="2006" customWidth="1"/>
    <col min="1002" max="1002" width="2.33203125" style="2006" customWidth="1"/>
    <col min="1003" max="1003" width="13.5546875" style="2006" customWidth="1"/>
    <col min="1004" max="1004" width="2.33203125" style="2006" customWidth="1"/>
    <col min="1005" max="1005" width="13.5546875" style="2006" customWidth="1"/>
    <col min="1006" max="1006" width="2.33203125" style="2006" customWidth="1"/>
    <col min="1007" max="1007" width="13.5546875" style="2006" customWidth="1"/>
    <col min="1008" max="1008" width="2.33203125" style="2006" customWidth="1"/>
    <col min="1009" max="1009" width="13.5546875" style="2006" customWidth="1"/>
    <col min="1010" max="1010" width="2.33203125" style="2006" customWidth="1"/>
    <col min="1011" max="1011" width="13.5546875" style="2006" customWidth="1"/>
    <col min="1012" max="1012" width="3.33203125" style="2006" customWidth="1"/>
    <col min="1013" max="1013" width="3.5546875" style="2006" customWidth="1"/>
    <col min="1014" max="1014" width="11.33203125" style="2006" customWidth="1"/>
    <col min="1015" max="1015" width="11.6640625" style="2006" bestFit="1" customWidth="1"/>
    <col min="1016" max="1016" width="40.33203125" style="2006" bestFit="1" customWidth="1"/>
    <col min="1017" max="1017" width="2.33203125" style="2006" customWidth="1"/>
    <col min="1018" max="1018" width="9.5546875" style="2006" customWidth="1"/>
    <col min="1019" max="1019" width="2.33203125" style="2006" customWidth="1"/>
    <col min="1020" max="1020" width="13.5546875" style="2006" customWidth="1"/>
    <col min="1021" max="1021" width="2.33203125" style="2006" customWidth="1"/>
    <col min="1022" max="1022" width="13.5546875" style="2006" customWidth="1"/>
    <col min="1023" max="1023" width="2.33203125" style="2006" customWidth="1"/>
    <col min="1024" max="1024" width="13.5546875" style="2006" customWidth="1"/>
    <col min="1025" max="1025" width="2.33203125" style="2006" customWidth="1"/>
    <col min="1026" max="1026" width="13.5546875" style="2006" customWidth="1"/>
    <col min="1027" max="1027" width="2.33203125" style="2006" customWidth="1"/>
    <col min="1028" max="1028" width="13.5546875" style="2006" customWidth="1"/>
    <col min="1029" max="1029" width="2.33203125" style="2006" customWidth="1"/>
    <col min="1030" max="1031" width="13.5546875" style="2006" customWidth="1"/>
    <col min="1032" max="1249" width="9.109375" style="2006"/>
    <col min="1250" max="1250" width="3.5546875" style="2006" customWidth="1"/>
    <col min="1251" max="1251" width="6.6640625" style="2006" bestFit="1" customWidth="1"/>
    <col min="1252" max="1252" width="10.6640625" style="2006" bestFit="1" customWidth="1"/>
    <col min="1253" max="1253" width="40.33203125" style="2006" bestFit="1" customWidth="1"/>
    <col min="1254" max="1254" width="2.33203125" style="2006" customWidth="1"/>
    <col min="1255" max="1255" width="9.5546875" style="2006" customWidth="1"/>
    <col min="1256" max="1256" width="2.33203125" style="2006" customWidth="1"/>
    <col min="1257" max="1257" width="13.5546875" style="2006" customWidth="1"/>
    <col min="1258" max="1258" width="2.33203125" style="2006" customWidth="1"/>
    <col min="1259" max="1259" width="13.5546875" style="2006" customWidth="1"/>
    <col min="1260" max="1260" width="2.33203125" style="2006" customWidth="1"/>
    <col min="1261" max="1261" width="13.5546875" style="2006" customWidth="1"/>
    <col min="1262" max="1262" width="2.33203125" style="2006" customWidth="1"/>
    <col min="1263" max="1263" width="13.5546875" style="2006" customWidth="1"/>
    <col min="1264" max="1264" width="2.33203125" style="2006" customWidth="1"/>
    <col min="1265" max="1265" width="13.5546875" style="2006" customWidth="1"/>
    <col min="1266" max="1266" width="2.33203125" style="2006" customWidth="1"/>
    <col min="1267" max="1267" width="13.5546875" style="2006" customWidth="1"/>
    <col min="1268" max="1268" width="3.33203125" style="2006" customWidth="1"/>
    <col min="1269" max="1269" width="3.5546875" style="2006" customWidth="1"/>
    <col min="1270" max="1270" width="11.33203125" style="2006" customWidth="1"/>
    <col min="1271" max="1271" width="11.6640625" style="2006" bestFit="1" customWidth="1"/>
    <col min="1272" max="1272" width="40.33203125" style="2006" bestFit="1" customWidth="1"/>
    <col min="1273" max="1273" width="2.33203125" style="2006" customWidth="1"/>
    <col min="1274" max="1274" width="9.5546875" style="2006" customWidth="1"/>
    <col min="1275" max="1275" width="2.33203125" style="2006" customWidth="1"/>
    <col min="1276" max="1276" width="13.5546875" style="2006" customWidth="1"/>
    <col min="1277" max="1277" width="2.33203125" style="2006" customWidth="1"/>
    <col min="1278" max="1278" width="13.5546875" style="2006" customWidth="1"/>
    <col min="1279" max="1279" width="2.33203125" style="2006" customWidth="1"/>
    <col min="1280" max="1280" width="13.5546875" style="2006" customWidth="1"/>
    <col min="1281" max="1281" width="2.33203125" style="2006" customWidth="1"/>
    <col min="1282" max="1282" width="13.5546875" style="2006" customWidth="1"/>
    <col min="1283" max="1283" width="2.33203125" style="2006" customWidth="1"/>
    <col min="1284" max="1284" width="13.5546875" style="2006" customWidth="1"/>
    <col min="1285" max="1285" width="2.33203125" style="2006" customWidth="1"/>
    <col min="1286" max="1287" width="13.5546875" style="2006" customWidth="1"/>
    <col min="1288" max="1505" width="9.109375" style="2006"/>
    <col min="1506" max="1506" width="3.5546875" style="2006" customWidth="1"/>
    <col min="1507" max="1507" width="6.6640625" style="2006" bestFit="1" customWidth="1"/>
    <col min="1508" max="1508" width="10.6640625" style="2006" bestFit="1" customWidth="1"/>
    <col min="1509" max="1509" width="40.33203125" style="2006" bestFit="1" customWidth="1"/>
    <col min="1510" max="1510" width="2.33203125" style="2006" customWidth="1"/>
    <col min="1511" max="1511" width="9.5546875" style="2006" customWidth="1"/>
    <col min="1512" max="1512" width="2.33203125" style="2006" customWidth="1"/>
    <col min="1513" max="1513" width="13.5546875" style="2006" customWidth="1"/>
    <col min="1514" max="1514" width="2.33203125" style="2006" customWidth="1"/>
    <col min="1515" max="1515" width="13.5546875" style="2006" customWidth="1"/>
    <col min="1516" max="1516" width="2.33203125" style="2006" customWidth="1"/>
    <col min="1517" max="1517" width="13.5546875" style="2006" customWidth="1"/>
    <col min="1518" max="1518" width="2.33203125" style="2006" customWidth="1"/>
    <col min="1519" max="1519" width="13.5546875" style="2006" customWidth="1"/>
    <col min="1520" max="1520" width="2.33203125" style="2006" customWidth="1"/>
    <col min="1521" max="1521" width="13.5546875" style="2006" customWidth="1"/>
    <col min="1522" max="1522" width="2.33203125" style="2006" customWidth="1"/>
    <col min="1523" max="1523" width="13.5546875" style="2006" customWidth="1"/>
    <col min="1524" max="1524" width="3.33203125" style="2006" customWidth="1"/>
    <col min="1525" max="1525" width="3.5546875" style="2006" customWidth="1"/>
    <col min="1526" max="1526" width="11.33203125" style="2006" customWidth="1"/>
    <col min="1527" max="1527" width="11.6640625" style="2006" bestFit="1" customWidth="1"/>
    <col min="1528" max="1528" width="40.33203125" style="2006" bestFit="1" customWidth="1"/>
    <col min="1529" max="1529" width="2.33203125" style="2006" customWidth="1"/>
    <col min="1530" max="1530" width="9.5546875" style="2006" customWidth="1"/>
    <col min="1531" max="1531" width="2.33203125" style="2006" customWidth="1"/>
    <col min="1532" max="1532" width="13.5546875" style="2006" customWidth="1"/>
    <col min="1533" max="1533" width="2.33203125" style="2006" customWidth="1"/>
    <col min="1534" max="1534" width="13.5546875" style="2006" customWidth="1"/>
    <col min="1535" max="1535" width="2.33203125" style="2006" customWidth="1"/>
    <col min="1536" max="1536" width="13.5546875" style="2006" customWidth="1"/>
    <col min="1537" max="1537" width="2.33203125" style="2006" customWidth="1"/>
    <col min="1538" max="1538" width="13.5546875" style="2006" customWidth="1"/>
    <col min="1539" max="1539" width="2.33203125" style="2006" customWidth="1"/>
    <col min="1540" max="1540" width="13.5546875" style="2006" customWidth="1"/>
    <col min="1541" max="1541" width="2.33203125" style="2006" customWidth="1"/>
    <col min="1542" max="1543" width="13.5546875" style="2006" customWidth="1"/>
    <col min="1544" max="1761" width="9.109375" style="2006"/>
    <col min="1762" max="1762" width="3.5546875" style="2006" customWidth="1"/>
    <col min="1763" max="1763" width="6.6640625" style="2006" bestFit="1" customWidth="1"/>
    <col min="1764" max="1764" width="10.6640625" style="2006" bestFit="1" customWidth="1"/>
    <col min="1765" max="1765" width="40.33203125" style="2006" bestFit="1" customWidth="1"/>
    <col min="1766" max="1766" width="2.33203125" style="2006" customWidth="1"/>
    <col min="1767" max="1767" width="9.5546875" style="2006" customWidth="1"/>
    <col min="1768" max="1768" width="2.33203125" style="2006" customWidth="1"/>
    <col min="1769" max="1769" width="13.5546875" style="2006" customWidth="1"/>
    <col min="1770" max="1770" width="2.33203125" style="2006" customWidth="1"/>
    <col min="1771" max="1771" width="13.5546875" style="2006" customWidth="1"/>
    <col min="1772" max="1772" width="2.33203125" style="2006" customWidth="1"/>
    <col min="1773" max="1773" width="13.5546875" style="2006" customWidth="1"/>
    <col min="1774" max="1774" width="2.33203125" style="2006" customWidth="1"/>
    <col min="1775" max="1775" width="13.5546875" style="2006" customWidth="1"/>
    <col min="1776" max="1776" width="2.33203125" style="2006" customWidth="1"/>
    <col min="1777" max="1777" width="13.5546875" style="2006" customWidth="1"/>
    <col min="1778" max="1778" width="2.33203125" style="2006" customWidth="1"/>
    <col min="1779" max="1779" width="13.5546875" style="2006" customWidth="1"/>
    <col min="1780" max="1780" width="3.33203125" style="2006" customWidth="1"/>
    <col min="1781" max="1781" width="3.5546875" style="2006" customWidth="1"/>
    <col min="1782" max="1782" width="11.33203125" style="2006" customWidth="1"/>
    <col min="1783" max="1783" width="11.6640625" style="2006" bestFit="1" customWidth="1"/>
    <col min="1784" max="1784" width="40.33203125" style="2006" bestFit="1" customWidth="1"/>
    <col min="1785" max="1785" width="2.33203125" style="2006" customWidth="1"/>
    <col min="1786" max="1786" width="9.5546875" style="2006" customWidth="1"/>
    <col min="1787" max="1787" width="2.33203125" style="2006" customWidth="1"/>
    <col min="1788" max="1788" width="13.5546875" style="2006" customWidth="1"/>
    <col min="1789" max="1789" width="2.33203125" style="2006" customWidth="1"/>
    <col min="1790" max="1790" width="13.5546875" style="2006" customWidth="1"/>
    <col min="1791" max="1791" width="2.33203125" style="2006" customWidth="1"/>
    <col min="1792" max="1792" width="13.5546875" style="2006" customWidth="1"/>
    <col min="1793" max="1793" width="2.33203125" style="2006" customWidth="1"/>
    <col min="1794" max="1794" width="13.5546875" style="2006" customWidth="1"/>
    <col min="1795" max="1795" width="2.33203125" style="2006" customWidth="1"/>
    <col min="1796" max="1796" width="13.5546875" style="2006" customWidth="1"/>
    <col min="1797" max="1797" width="2.33203125" style="2006" customWidth="1"/>
    <col min="1798" max="1799" width="13.5546875" style="2006" customWidth="1"/>
    <col min="1800" max="2017" width="9.109375" style="2006"/>
    <col min="2018" max="2018" width="3.5546875" style="2006" customWidth="1"/>
    <col min="2019" max="2019" width="6.6640625" style="2006" bestFit="1" customWidth="1"/>
    <col min="2020" max="2020" width="10.6640625" style="2006" bestFit="1" customWidth="1"/>
    <col min="2021" max="2021" width="40.33203125" style="2006" bestFit="1" customWidth="1"/>
    <col min="2022" max="2022" width="2.33203125" style="2006" customWidth="1"/>
    <col min="2023" max="2023" width="9.5546875" style="2006" customWidth="1"/>
    <col min="2024" max="2024" width="2.33203125" style="2006" customWidth="1"/>
    <col min="2025" max="2025" width="13.5546875" style="2006" customWidth="1"/>
    <col min="2026" max="2026" width="2.33203125" style="2006" customWidth="1"/>
    <col min="2027" max="2027" width="13.5546875" style="2006" customWidth="1"/>
    <col min="2028" max="2028" width="2.33203125" style="2006" customWidth="1"/>
    <col min="2029" max="2029" width="13.5546875" style="2006" customWidth="1"/>
    <col min="2030" max="2030" width="2.33203125" style="2006" customWidth="1"/>
    <col min="2031" max="2031" width="13.5546875" style="2006" customWidth="1"/>
    <col min="2032" max="2032" width="2.33203125" style="2006" customWidth="1"/>
    <col min="2033" max="2033" width="13.5546875" style="2006" customWidth="1"/>
    <col min="2034" max="2034" width="2.33203125" style="2006" customWidth="1"/>
    <col min="2035" max="2035" width="13.5546875" style="2006" customWidth="1"/>
    <col min="2036" max="2036" width="3.33203125" style="2006" customWidth="1"/>
    <col min="2037" max="2037" width="3.5546875" style="2006" customWidth="1"/>
    <col min="2038" max="2038" width="11.33203125" style="2006" customWidth="1"/>
    <col min="2039" max="2039" width="11.6640625" style="2006" bestFit="1" customWidth="1"/>
    <col min="2040" max="2040" width="40.33203125" style="2006" bestFit="1" customWidth="1"/>
    <col min="2041" max="2041" width="2.33203125" style="2006" customWidth="1"/>
    <col min="2042" max="2042" width="9.5546875" style="2006" customWidth="1"/>
    <col min="2043" max="2043" width="2.33203125" style="2006" customWidth="1"/>
    <col min="2044" max="2044" width="13.5546875" style="2006" customWidth="1"/>
    <col min="2045" max="2045" width="2.33203125" style="2006" customWidth="1"/>
    <col min="2046" max="2046" width="13.5546875" style="2006" customWidth="1"/>
    <col min="2047" max="2047" width="2.33203125" style="2006" customWidth="1"/>
    <col min="2048" max="2048" width="13.5546875" style="2006" customWidth="1"/>
    <col min="2049" max="2049" width="2.33203125" style="2006" customWidth="1"/>
    <col min="2050" max="2050" width="13.5546875" style="2006" customWidth="1"/>
    <col min="2051" max="2051" width="2.33203125" style="2006" customWidth="1"/>
    <col min="2052" max="2052" width="13.5546875" style="2006" customWidth="1"/>
    <col min="2053" max="2053" width="2.33203125" style="2006" customWidth="1"/>
    <col min="2054" max="2055" width="13.5546875" style="2006" customWidth="1"/>
    <col min="2056" max="2273" width="9.109375" style="2006"/>
    <col min="2274" max="2274" width="3.5546875" style="2006" customWidth="1"/>
    <col min="2275" max="2275" width="6.6640625" style="2006" bestFit="1" customWidth="1"/>
    <col min="2276" max="2276" width="10.6640625" style="2006" bestFit="1" customWidth="1"/>
    <col min="2277" max="2277" width="40.33203125" style="2006" bestFit="1" customWidth="1"/>
    <col min="2278" max="2278" width="2.33203125" style="2006" customWidth="1"/>
    <col min="2279" max="2279" width="9.5546875" style="2006" customWidth="1"/>
    <col min="2280" max="2280" width="2.33203125" style="2006" customWidth="1"/>
    <col min="2281" max="2281" width="13.5546875" style="2006" customWidth="1"/>
    <col min="2282" max="2282" width="2.33203125" style="2006" customWidth="1"/>
    <col min="2283" max="2283" width="13.5546875" style="2006" customWidth="1"/>
    <col min="2284" max="2284" width="2.33203125" style="2006" customWidth="1"/>
    <col min="2285" max="2285" width="13.5546875" style="2006" customWidth="1"/>
    <col min="2286" max="2286" width="2.33203125" style="2006" customWidth="1"/>
    <col min="2287" max="2287" width="13.5546875" style="2006" customWidth="1"/>
    <col min="2288" max="2288" width="2.33203125" style="2006" customWidth="1"/>
    <col min="2289" max="2289" width="13.5546875" style="2006" customWidth="1"/>
    <col min="2290" max="2290" width="2.33203125" style="2006" customWidth="1"/>
    <col min="2291" max="2291" width="13.5546875" style="2006" customWidth="1"/>
    <col min="2292" max="2292" width="3.33203125" style="2006" customWidth="1"/>
    <col min="2293" max="2293" width="3.5546875" style="2006" customWidth="1"/>
    <col min="2294" max="2294" width="11.33203125" style="2006" customWidth="1"/>
    <col min="2295" max="2295" width="11.6640625" style="2006" bestFit="1" customWidth="1"/>
    <col min="2296" max="2296" width="40.33203125" style="2006" bestFit="1" customWidth="1"/>
    <col min="2297" max="2297" width="2.33203125" style="2006" customWidth="1"/>
    <col min="2298" max="2298" width="9.5546875" style="2006" customWidth="1"/>
    <col min="2299" max="2299" width="2.33203125" style="2006" customWidth="1"/>
    <col min="2300" max="2300" width="13.5546875" style="2006" customWidth="1"/>
    <col min="2301" max="2301" width="2.33203125" style="2006" customWidth="1"/>
    <col min="2302" max="2302" width="13.5546875" style="2006" customWidth="1"/>
    <col min="2303" max="2303" width="2.33203125" style="2006" customWidth="1"/>
    <col min="2304" max="2304" width="13.5546875" style="2006" customWidth="1"/>
    <col min="2305" max="2305" width="2.33203125" style="2006" customWidth="1"/>
    <col min="2306" max="2306" width="13.5546875" style="2006" customWidth="1"/>
    <col min="2307" max="2307" width="2.33203125" style="2006" customWidth="1"/>
    <col min="2308" max="2308" width="13.5546875" style="2006" customWidth="1"/>
    <col min="2309" max="2309" width="2.33203125" style="2006" customWidth="1"/>
    <col min="2310" max="2311" width="13.5546875" style="2006" customWidth="1"/>
    <col min="2312" max="2529" width="9.109375" style="2006"/>
    <col min="2530" max="2530" width="3.5546875" style="2006" customWidth="1"/>
    <col min="2531" max="2531" width="6.6640625" style="2006" bestFit="1" customWidth="1"/>
    <col min="2532" max="2532" width="10.6640625" style="2006" bestFit="1" customWidth="1"/>
    <col min="2533" max="2533" width="40.33203125" style="2006" bestFit="1" customWidth="1"/>
    <col min="2534" max="2534" width="2.33203125" style="2006" customWidth="1"/>
    <col min="2535" max="2535" width="9.5546875" style="2006" customWidth="1"/>
    <col min="2536" max="2536" width="2.33203125" style="2006" customWidth="1"/>
    <col min="2537" max="2537" width="13.5546875" style="2006" customWidth="1"/>
    <col min="2538" max="2538" width="2.33203125" style="2006" customWidth="1"/>
    <col min="2539" max="2539" width="13.5546875" style="2006" customWidth="1"/>
    <col min="2540" max="2540" width="2.33203125" style="2006" customWidth="1"/>
    <col min="2541" max="2541" width="13.5546875" style="2006" customWidth="1"/>
    <col min="2542" max="2542" width="2.33203125" style="2006" customWidth="1"/>
    <col min="2543" max="2543" width="13.5546875" style="2006" customWidth="1"/>
    <col min="2544" max="2544" width="2.33203125" style="2006" customWidth="1"/>
    <col min="2545" max="2545" width="13.5546875" style="2006" customWidth="1"/>
    <col min="2546" max="2546" width="2.33203125" style="2006" customWidth="1"/>
    <col min="2547" max="2547" width="13.5546875" style="2006" customWidth="1"/>
    <col min="2548" max="2548" width="3.33203125" style="2006" customWidth="1"/>
    <col min="2549" max="2549" width="3.5546875" style="2006" customWidth="1"/>
    <col min="2550" max="2550" width="11.33203125" style="2006" customWidth="1"/>
    <col min="2551" max="2551" width="11.6640625" style="2006" bestFit="1" customWidth="1"/>
    <col min="2552" max="2552" width="40.33203125" style="2006" bestFit="1" customWidth="1"/>
    <col min="2553" max="2553" width="2.33203125" style="2006" customWidth="1"/>
    <col min="2554" max="2554" width="9.5546875" style="2006" customWidth="1"/>
    <col min="2555" max="2555" width="2.33203125" style="2006" customWidth="1"/>
    <col min="2556" max="2556" width="13.5546875" style="2006" customWidth="1"/>
    <col min="2557" max="2557" width="2.33203125" style="2006" customWidth="1"/>
    <col min="2558" max="2558" width="13.5546875" style="2006" customWidth="1"/>
    <col min="2559" max="2559" width="2.33203125" style="2006" customWidth="1"/>
    <col min="2560" max="2560" width="13.5546875" style="2006" customWidth="1"/>
    <col min="2561" max="2561" width="2.33203125" style="2006" customWidth="1"/>
    <col min="2562" max="2562" width="13.5546875" style="2006" customWidth="1"/>
    <col min="2563" max="2563" width="2.33203125" style="2006" customWidth="1"/>
    <col min="2564" max="2564" width="13.5546875" style="2006" customWidth="1"/>
    <col min="2565" max="2565" width="2.33203125" style="2006" customWidth="1"/>
    <col min="2566" max="2567" width="13.5546875" style="2006" customWidth="1"/>
    <col min="2568" max="2785" width="9.109375" style="2006"/>
    <col min="2786" max="2786" width="3.5546875" style="2006" customWidth="1"/>
    <col min="2787" max="2787" width="6.6640625" style="2006" bestFit="1" customWidth="1"/>
    <col min="2788" max="2788" width="10.6640625" style="2006" bestFit="1" customWidth="1"/>
    <col min="2789" max="2789" width="40.33203125" style="2006" bestFit="1" customWidth="1"/>
    <col min="2790" max="2790" width="2.33203125" style="2006" customWidth="1"/>
    <col min="2791" max="2791" width="9.5546875" style="2006" customWidth="1"/>
    <col min="2792" max="2792" width="2.33203125" style="2006" customWidth="1"/>
    <col min="2793" max="2793" width="13.5546875" style="2006" customWidth="1"/>
    <col min="2794" max="2794" width="2.33203125" style="2006" customWidth="1"/>
    <col min="2795" max="2795" width="13.5546875" style="2006" customWidth="1"/>
    <col min="2796" max="2796" width="2.33203125" style="2006" customWidth="1"/>
    <col min="2797" max="2797" width="13.5546875" style="2006" customWidth="1"/>
    <col min="2798" max="2798" width="2.33203125" style="2006" customWidth="1"/>
    <col min="2799" max="2799" width="13.5546875" style="2006" customWidth="1"/>
    <col min="2800" max="2800" width="2.33203125" style="2006" customWidth="1"/>
    <col min="2801" max="2801" width="13.5546875" style="2006" customWidth="1"/>
    <col min="2802" max="2802" width="2.33203125" style="2006" customWidth="1"/>
    <col min="2803" max="2803" width="13.5546875" style="2006" customWidth="1"/>
    <col min="2804" max="2804" width="3.33203125" style="2006" customWidth="1"/>
    <col min="2805" max="2805" width="3.5546875" style="2006" customWidth="1"/>
    <col min="2806" max="2806" width="11.33203125" style="2006" customWidth="1"/>
    <col min="2807" max="2807" width="11.6640625" style="2006" bestFit="1" customWidth="1"/>
    <col min="2808" max="2808" width="40.33203125" style="2006" bestFit="1" customWidth="1"/>
    <col min="2809" max="2809" width="2.33203125" style="2006" customWidth="1"/>
    <col min="2810" max="2810" width="9.5546875" style="2006" customWidth="1"/>
    <col min="2811" max="2811" width="2.33203125" style="2006" customWidth="1"/>
    <col min="2812" max="2812" width="13.5546875" style="2006" customWidth="1"/>
    <col min="2813" max="2813" width="2.33203125" style="2006" customWidth="1"/>
    <col min="2814" max="2814" width="13.5546875" style="2006" customWidth="1"/>
    <col min="2815" max="2815" width="2.33203125" style="2006" customWidth="1"/>
    <col min="2816" max="2816" width="13.5546875" style="2006" customWidth="1"/>
    <col min="2817" max="2817" width="2.33203125" style="2006" customWidth="1"/>
    <col min="2818" max="2818" width="13.5546875" style="2006" customWidth="1"/>
    <col min="2819" max="2819" width="2.33203125" style="2006" customWidth="1"/>
    <col min="2820" max="2820" width="13.5546875" style="2006" customWidth="1"/>
    <col min="2821" max="2821" width="2.33203125" style="2006" customWidth="1"/>
    <col min="2822" max="2823" width="13.5546875" style="2006" customWidth="1"/>
    <col min="2824" max="3041" width="9.109375" style="2006"/>
    <col min="3042" max="3042" width="3.5546875" style="2006" customWidth="1"/>
    <col min="3043" max="3043" width="6.6640625" style="2006" bestFit="1" customWidth="1"/>
    <col min="3044" max="3044" width="10.6640625" style="2006" bestFit="1" customWidth="1"/>
    <col min="3045" max="3045" width="40.33203125" style="2006" bestFit="1" customWidth="1"/>
    <col min="3046" max="3046" width="2.33203125" style="2006" customWidth="1"/>
    <col min="3047" max="3047" width="9.5546875" style="2006" customWidth="1"/>
    <col min="3048" max="3048" width="2.33203125" style="2006" customWidth="1"/>
    <col min="3049" max="3049" width="13.5546875" style="2006" customWidth="1"/>
    <col min="3050" max="3050" width="2.33203125" style="2006" customWidth="1"/>
    <col min="3051" max="3051" width="13.5546875" style="2006" customWidth="1"/>
    <col min="3052" max="3052" width="2.33203125" style="2006" customWidth="1"/>
    <col min="3053" max="3053" width="13.5546875" style="2006" customWidth="1"/>
    <col min="3054" max="3054" width="2.33203125" style="2006" customWidth="1"/>
    <col min="3055" max="3055" width="13.5546875" style="2006" customWidth="1"/>
    <col min="3056" max="3056" width="2.33203125" style="2006" customWidth="1"/>
    <col min="3057" max="3057" width="13.5546875" style="2006" customWidth="1"/>
    <col min="3058" max="3058" width="2.33203125" style="2006" customWidth="1"/>
    <col min="3059" max="3059" width="13.5546875" style="2006" customWidth="1"/>
    <col min="3060" max="3060" width="3.33203125" style="2006" customWidth="1"/>
    <col min="3061" max="3061" width="3.5546875" style="2006" customWidth="1"/>
    <col min="3062" max="3062" width="11.33203125" style="2006" customWidth="1"/>
    <col min="3063" max="3063" width="11.6640625" style="2006" bestFit="1" customWidth="1"/>
    <col min="3064" max="3064" width="40.33203125" style="2006" bestFit="1" customWidth="1"/>
    <col min="3065" max="3065" width="2.33203125" style="2006" customWidth="1"/>
    <col min="3066" max="3066" width="9.5546875" style="2006" customWidth="1"/>
    <col min="3067" max="3067" width="2.33203125" style="2006" customWidth="1"/>
    <col min="3068" max="3068" width="13.5546875" style="2006" customWidth="1"/>
    <col min="3069" max="3069" width="2.33203125" style="2006" customWidth="1"/>
    <col min="3070" max="3070" width="13.5546875" style="2006" customWidth="1"/>
    <col min="3071" max="3071" width="2.33203125" style="2006" customWidth="1"/>
    <col min="3072" max="3072" width="13.5546875" style="2006" customWidth="1"/>
    <col min="3073" max="3073" width="2.33203125" style="2006" customWidth="1"/>
    <col min="3074" max="3074" width="13.5546875" style="2006" customWidth="1"/>
    <col min="3075" max="3075" width="2.33203125" style="2006" customWidth="1"/>
    <col min="3076" max="3076" width="13.5546875" style="2006" customWidth="1"/>
    <col min="3077" max="3077" width="2.33203125" style="2006" customWidth="1"/>
    <col min="3078" max="3079" width="13.5546875" style="2006" customWidth="1"/>
    <col min="3080" max="3297" width="9.109375" style="2006"/>
    <col min="3298" max="3298" width="3.5546875" style="2006" customWidth="1"/>
    <col min="3299" max="3299" width="6.6640625" style="2006" bestFit="1" customWidth="1"/>
    <col min="3300" max="3300" width="10.6640625" style="2006" bestFit="1" customWidth="1"/>
    <col min="3301" max="3301" width="40.33203125" style="2006" bestFit="1" customWidth="1"/>
    <col min="3302" max="3302" width="2.33203125" style="2006" customWidth="1"/>
    <col min="3303" max="3303" width="9.5546875" style="2006" customWidth="1"/>
    <col min="3304" max="3304" width="2.33203125" style="2006" customWidth="1"/>
    <col min="3305" max="3305" width="13.5546875" style="2006" customWidth="1"/>
    <col min="3306" max="3306" width="2.33203125" style="2006" customWidth="1"/>
    <col min="3307" max="3307" width="13.5546875" style="2006" customWidth="1"/>
    <col min="3308" max="3308" width="2.33203125" style="2006" customWidth="1"/>
    <col min="3309" max="3309" width="13.5546875" style="2006" customWidth="1"/>
    <col min="3310" max="3310" width="2.33203125" style="2006" customWidth="1"/>
    <col min="3311" max="3311" width="13.5546875" style="2006" customWidth="1"/>
    <col min="3312" max="3312" width="2.33203125" style="2006" customWidth="1"/>
    <col min="3313" max="3313" width="13.5546875" style="2006" customWidth="1"/>
    <col min="3314" max="3314" width="2.33203125" style="2006" customWidth="1"/>
    <col min="3315" max="3315" width="13.5546875" style="2006" customWidth="1"/>
    <col min="3316" max="3316" width="3.33203125" style="2006" customWidth="1"/>
    <col min="3317" max="3317" width="3.5546875" style="2006" customWidth="1"/>
    <col min="3318" max="3318" width="11.33203125" style="2006" customWidth="1"/>
    <col min="3319" max="3319" width="11.6640625" style="2006" bestFit="1" customWidth="1"/>
    <col min="3320" max="3320" width="40.33203125" style="2006" bestFit="1" customWidth="1"/>
    <col min="3321" max="3321" width="2.33203125" style="2006" customWidth="1"/>
    <col min="3322" max="3322" width="9.5546875" style="2006" customWidth="1"/>
    <col min="3323" max="3323" width="2.33203125" style="2006" customWidth="1"/>
    <col min="3324" max="3324" width="13.5546875" style="2006" customWidth="1"/>
    <col min="3325" max="3325" width="2.33203125" style="2006" customWidth="1"/>
    <col min="3326" max="3326" width="13.5546875" style="2006" customWidth="1"/>
    <col min="3327" max="3327" width="2.33203125" style="2006" customWidth="1"/>
    <col min="3328" max="3328" width="13.5546875" style="2006" customWidth="1"/>
    <col min="3329" max="3329" width="2.33203125" style="2006" customWidth="1"/>
    <col min="3330" max="3330" width="13.5546875" style="2006" customWidth="1"/>
    <col min="3331" max="3331" width="2.33203125" style="2006" customWidth="1"/>
    <col min="3332" max="3332" width="13.5546875" style="2006" customWidth="1"/>
    <col min="3333" max="3333" width="2.33203125" style="2006" customWidth="1"/>
    <col min="3334" max="3335" width="13.5546875" style="2006" customWidth="1"/>
    <col min="3336" max="3553" width="9.109375" style="2006"/>
    <col min="3554" max="3554" width="3.5546875" style="2006" customWidth="1"/>
    <col min="3555" max="3555" width="6.6640625" style="2006" bestFit="1" customWidth="1"/>
    <col min="3556" max="3556" width="10.6640625" style="2006" bestFit="1" customWidth="1"/>
    <col min="3557" max="3557" width="40.33203125" style="2006" bestFit="1" customWidth="1"/>
    <col min="3558" max="3558" width="2.33203125" style="2006" customWidth="1"/>
    <col min="3559" max="3559" width="9.5546875" style="2006" customWidth="1"/>
    <col min="3560" max="3560" width="2.33203125" style="2006" customWidth="1"/>
    <col min="3561" max="3561" width="13.5546875" style="2006" customWidth="1"/>
    <col min="3562" max="3562" width="2.33203125" style="2006" customWidth="1"/>
    <col min="3563" max="3563" width="13.5546875" style="2006" customWidth="1"/>
    <col min="3564" max="3564" width="2.33203125" style="2006" customWidth="1"/>
    <col min="3565" max="3565" width="13.5546875" style="2006" customWidth="1"/>
    <col min="3566" max="3566" width="2.33203125" style="2006" customWidth="1"/>
    <col min="3567" max="3567" width="13.5546875" style="2006" customWidth="1"/>
    <col min="3568" max="3568" width="2.33203125" style="2006" customWidth="1"/>
    <col min="3569" max="3569" width="13.5546875" style="2006" customWidth="1"/>
    <col min="3570" max="3570" width="2.33203125" style="2006" customWidth="1"/>
    <col min="3571" max="3571" width="13.5546875" style="2006" customWidth="1"/>
    <col min="3572" max="3572" width="3.33203125" style="2006" customWidth="1"/>
    <col min="3573" max="3573" width="3.5546875" style="2006" customWidth="1"/>
    <col min="3574" max="3574" width="11.33203125" style="2006" customWidth="1"/>
    <col min="3575" max="3575" width="11.6640625" style="2006" bestFit="1" customWidth="1"/>
    <col min="3576" max="3576" width="40.33203125" style="2006" bestFit="1" customWidth="1"/>
    <col min="3577" max="3577" width="2.33203125" style="2006" customWidth="1"/>
    <col min="3578" max="3578" width="9.5546875" style="2006" customWidth="1"/>
    <col min="3579" max="3579" width="2.33203125" style="2006" customWidth="1"/>
    <col min="3580" max="3580" width="13.5546875" style="2006" customWidth="1"/>
    <col min="3581" max="3581" width="2.33203125" style="2006" customWidth="1"/>
    <col min="3582" max="3582" width="13.5546875" style="2006" customWidth="1"/>
    <col min="3583" max="3583" width="2.33203125" style="2006" customWidth="1"/>
    <col min="3584" max="3584" width="13.5546875" style="2006" customWidth="1"/>
    <col min="3585" max="3585" width="2.33203125" style="2006" customWidth="1"/>
    <col min="3586" max="3586" width="13.5546875" style="2006" customWidth="1"/>
    <col min="3587" max="3587" width="2.33203125" style="2006" customWidth="1"/>
    <col min="3588" max="3588" width="13.5546875" style="2006" customWidth="1"/>
    <col min="3589" max="3589" width="2.33203125" style="2006" customWidth="1"/>
    <col min="3590" max="3591" width="13.5546875" style="2006" customWidth="1"/>
    <col min="3592" max="3809" width="9.109375" style="2006"/>
    <col min="3810" max="3810" width="3.5546875" style="2006" customWidth="1"/>
    <col min="3811" max="3811" width="6.6640625" style="2006" bestFit="1" customWidth="1"/>
    <col min="3812" max="3812" width="10.6640625" style="2006" bestFit="1" customWidth="1"/>
    <col min="3813" max="3813" width="40.33203125" style="2006" bestFit="1" customWidth="1"/>
    <col min="3814" max="3814" width="2.33203125" style="2006" customWidth="1"/>
    <col min="3815" max="3815" width="9.5546875" style="2006" customWidth="1"/>
    <col min="3816" max="3816" width="2.33203125" style="2006" customWidth="1"/>
    <col min="3817" max="3817" width="13.5546875" style="2006" customWidth="1"/>
    <col min="3818" max="3818" width="2.33203125" style="2006" customWidth="1"/>
    <col min="3819" max="3819" width="13.5546875" style="2006" customWidth="1"/>
    <col min="3820" max="3820" width="2.33203125" style="2006" customWidth="1"/>
    <col min="3821" max="3821" width="13.5546875" style="2006" customWidth="1"/>
    <col min="3822" max="3822" width="2.33203125" style="2006" customWidth="1"/>
    <col min="3823" max="3823" width="13.5546875" style="2006" customWidth="1"/>
    <col min="3824" max="3824" width="2.33203125" style="2006" customWidth="1"/>
    <col min="3825" max="3825" width="13.5546875" style="2006" customWidth="1"/>
    <col min="3826" max="3826" width="2.33203125" style="2006" customWidth="1"/>
    <col min="3827" max="3827" width="13.5546875" style="2006" customWidth="1"/>
    <col min="3828" max="3828" width="3.33203125" style="2006" customWidth="1"/>
    <col min="3829" max="3829" width="3.5546875" style="2006" customWidth="1"/>
    <col min="3830" max="3830" width="11.33203125" style="2006" customWidth="1"/>
    <col min="3831" max="3831" width="11.6640625" style="2006" bestFit="1" customWidth="1"/>
    <col min="3832" max="3832" width="40.33203125" style="2006" bestFit="1" customWidth="1"/>
    <col min="3833" max="3833" width="2.33203125" style="2006" customWidth="1"/>
    <col min="3834" max="3834" width="9.5546875" style="2006" customWidth="1"/>
    <col min="3835" max="3835" width="2.33203125" style="2006" customWidth="1"/>
    <col min="3836" max="3836" width="13.5546875" style="2006" customWidth="1"/>
    <col min="3837" max="3837" width="2.33203125" style="2006" customWidth="1"/>
    <col min="3838" max="3838" width="13.5546875" style="2006" customWidth="1"/>
    <col min="3839" max="3839" width="2.33203125" style="2006" customWidth="1"/>
    <col min="3840" max="3840" width="13.5546875" style="2006" customWidth="1"/>
    <col min="3841" max="3841" width="2.33203125" style="2006" customWidth="1"/>
    <col min="3842" max="3842" width="13.5546875" style="2006" customWidth="1"/>
    <col min="3843" max="3843" width="2.33203125" style="2006" customWidth="1"/>
    <col min="3844" max="3844" width="13.5546875" style="2006" customWidth="1"/>
    <col min="3845" max="3845" width="2.33203125" style="2006" customWidth="1"/>
    <col min="3846" max="3847" width="13.5546875" style="2006" customWidth="1"/>
    <col min="3848" max="4065" width="9.109375" style="2006"/>
    <col min="4066" max="4066" width="3.5546875" style="2006" customWidth="1"/>
    <col min="4067" max="4067" width="6.6640625" style="2006" bestFit="1" customWidth="1"/>
    <col min="4068" max="4068" width="10.6640625" style="2006" bestFit="1" customWidth="1"/>
    <col min="4069" max="4069" width="40.33203125" style="2006" bestFit="1" customWidth="1"/>
    <col min="4070" max="4070" width="2.33203125" style="2006" customWidth="1"/>
    <col min="4071" max="4071" width="9.5546875" style="2006" customWidth="1"/>
    <col min="4072" max="4072" width="2.33203125" style="2006" customWidth="1"/>
    <col min="4073" max="4073" width="13.5546875" style="2006" customWidth="1"/>
    <col min="4074" max="4074" width="2.33203125" style="2006" customWidth="1"/>
    <col min="4075" max="4075" width="13.5546875" style="2006" customWidth="1"/>
    <col min="4076" max="4076" width="2.33203125" style="2006" customWidth="1"/>
    <col min="4077" max="4077" width="13.5546875" style="2006" customWidth="1"/>
    <col min="4078" max="4078" width="2.33203125" style="2006" customWidth="1"/>
    <col min="4079" max="4079" width="13.5546875" style="2006" customWidth="1"/>
    <col min="4080" max="4080" width="2.33203125" style="2006" customWidth="1"/>
    <col min="4081" max="4081" width="13.5546875" style="2006" customWidth="1"/>
    <col min="4082" max="4082" width="2.33203125" style="2006" customWidth="1"/>
    <col min="4083" max="4083" width="13.5546875" style="2006" customWidth="1"/>
    <col min="4084" max="4084" width="3.33203125" style="2006" customWidth="1"/>
    <col min="4085" max="4085" width="3.5546875" style="2006" customWidth="1"/>
    <col min="4086" max="4086" width="11.33203125" style="2006" customWidth="1"/>
    <col min="4087" max="4087" width="11.6640625" style="2006" bestFit="1" customWidth="1"/>
    <col min="4088" max="4088" width="40.33203125" style="2006" bestFit="1" customWidth="1"/>
    <col min="4089" max="4089" width="2.33203125" style="2006" customWidth="1"/>
    <col min="4090" max="4090" width="9.5546875" style="2006" customWidth="1"/>
    <col min="4091" max="4091" width="2.33203125" style="2006" customWidth="1"/>
    <col min="4092" max="4092" width="13.5546875" style="2006" customWidth="1"/>
    <col min="4093" max="4093" width="2.33203125" style="2006" customWidth="1"/>
    <col min="4094" max="4094" width="13.5546875" style="2006" customWidth="1"/>
    <col min="4095" max="4095" width="2.33203125" style="2006" customWidth="1"/>
    <col min="4096" max="4096" width="13.5546875" style="2006" customWidth="1"/>
    <col min="4097" max="4097" width="2.33203125" style="2006" customWidth="1"/>
    <col min="4098" max="4098" width="13.5546875" style="2006" customWidth="1"/>
    <col min="4099" max="4099" width="2.33203125" style="2006" customWidth="1"/>
    <col min="4100" max="4100" width="13.5546875" style="2006" customWidth="1"/>
    <col min="4101" max="4101" width="2.33203125" style="2006" customWidth="1"/>
    <col min="4102" max="4103" width="13.5546875" style="2006" customWidth="1"/>
    <col min="4104" max="4321" width="9.109375" style="2006"/>
    <col min="4322" max="4322" width="3.5546875" style="2006" customWidth="1"/>
    <col min="4323" max="4323" width="6.6640625" style="2006" bestFit="1" customWidth="1"/>
    <col min="4324" max="4324" width="10.6640625" style="2006" bestFit="1" customWidth="1"/>
    <col min="4325" max="4325" width="40.33203125" style="2006" bestFit="1" customWidth="1"/>
    <col min="4326" max="4326" width="2.33203125" style="2006" customWidth="1"/>
    <col min="4327" max="4327" width="9.5546875" style="2006" customWidth="1"/>
    <col min="4328" max="4328" width="2.33203125" style="2006" customWidth="1"/>
    <col min="4329" max="4329" width="13.5546875" style="2006" customWidth="1"/>
    <col min="4330" max="4330" width="2.33203125" style="2006" customWidth="1"/>
    <col min="4331" max="4331" width="13.5546875" style="2006" customWidth="1"/>
    <col min="4332" max="4332" width="2.33203125" style="2006" customWidth="1"/>
    <col min="4333" max="4333" width="13.5546875" style="2006" customWidth="1"/>
    <col min="4334" max="4334" width="2.33203125" style="2006" customWidth="1"/>
    <col min="4335" max="4335" width="13.5546875" style="2006" customWidth="1"/>
    <col min="4336" max="4336" width="2.33203125" style="2006" customWidth="1"/>
    <col min="4337" max="4337" width="13.5546875" style="2006" customWidth="1"/>
    <col min="4338" max="4338" width="2.33203125" style="2006" customWidth="1"/>
    <col min="4339" max="4339" width="13.5546875" style="2006" customWidth="1"/>
    <col min="4340" max="4340" width="3.33203125" style="2006" customWidth="1"/>
    <col min="4341" max="4341" width="3.5546875" style="2006" customWidth="1"/>
    <col min="4342" max="4342" width="11.33203125" style="2006" customWidth="1"/>
    <col min="4343" max="4343" width="11.6640625" style="2006" bestFit="1" customWidth="1"/>
    <col min="4344" max="4344" width="40.33203125" style="2006" bestFit="1" customWidth="1"/>
    <col min="4345" max="4345" width="2.33203125" style="2006" customWidth="1"/>
    <col min="4346" max="4346" width="9.5546875" style="2006" customWidth="1"/>
    <col min="4347" max="4347" width="2.33203125" style="2006" customWidth="1"/>
    <col min="4348" max="4348" width="13.5546875" style="2006" customWidth="1"/>
    <col min="4349" max="4349" width="2.33203125" style="2006" customWidth="1"/>
    <col min="4350" max="4350" width="13.5546875" style="2006" customWidth="1"/>
    <col min="4351" max="4351" width="2.33203125" style="2006" customWidth="1"/>
    <col min="4352" max="4352" width="13.5546875" style="2006" customWidth="1"/>
    <col min="4353" max="4353" width="2.33203125" style="2006" customWidth="1"/>
    <col min="4354" max="4354" width="13.5546875" style="2006" customWidth="1"/>
    <col min="4355" max="4355" width="2.33203125" style="2006" customWidth="1"/>
    <col min="4356" max="4356" width="13.5546875" style="2006" customWidth="1"/>
    <col min="4357" max="4357" width="2.33203125" style="2006" customWidth="1"/>
    <col min="4358" max="4359" width="13.5546875" style="2006" customWidth="1"/>
    <col min="4360" max="4577" width="9.109375" style="2006"/>
    <col min="4578" max="4578" width="3.5546875" style="2006" customWidth="1"/>
    <col min="4579" max="4579" width="6.6640625" style="2006" bestFit="1" customWidth="1"/>
    <col min="4580" max="4580" width="10.6640625" style="2006" bestFit="1" customWidth="1"/>
    <col min="4581" max="4581" width="40.33203125" style="2006" bestFit="1" customWidth="1"/>
    <col min="4582" max="4582" width="2.33203125" style="2006" customWidth="1"/>
    <col min="4583" max="4583" width="9.5546875" style="2006" customWidth="1"/>
    <col min="4584" max="4584" width="2.33203125" style="2006" customWidth="1"/>
    <col min="4585" max="4585" width="13.5546875" style="2006" customWidth="1"/>
    <col min="4586" max="4586" width="2.33203125" style="2006" customWidth="1"/>
    <col min="4587" max="4587" width="13.5546875" style="2006" customWidth="1"/>
    <col min="4588" max="4588" width="2.33203125" style="2006" customWidth="1"/>
    <col min="4589" max="4589" width="13.5546875" style="2006" customWidth="1"/>
    <col min="4590" max="4590" width="2.33203125" style="2006" customWidth="1"/>
    <col min="4591" max="4591" width="13.5546875" style="2006" customWidth="1"/>
    <col min="4592" max="4592" width="2.33203125" style="2006" customWidth="1"/>
    <col min="4593" max="4593" width="13.5546875" style="2006" customWidth="1"/>
    <col min="4594" max="4594" width="2.33203125" style="2006" customWidth="1"/>
    <col min="4595" max="4595" width="13.5546875" style="2006" customWidth="1"/>
    <col min="4596" max="4596" width="3.33203125" style="2006" customWidth="1"/>
    <col min="4597" max="4597" width="3.5546875" style="2006" customWidth="1"/>
    <col min="4598" max="4598" width="11.33203125" style="2006" customWidth="1"/>
    <col min="4599" max="4599" width="11.6640625" style="2006" bestFit="1" customWidth="1"/>
    <col min="4600" max="4600" width="40.33203125" style="2006" bestFit="1" customWidth="1"/>
    <col min="4601" max="4601" width="2.33203125" style="2006" customWidth="1"/>
    <col min="4602" max="4602" width="9.5546875" style="2006" customWidth="1"/>
    <col min="4603" max="4603" width="2.33203125" style="2006" customWidth="1"/>
    <col min="4604" max="4604" width="13.5546875" style="2006" customWidth="1"/>
    <col min="4605" max="4605" width="2.33203125" style="2006" customWidth="1"/>
    <col min="4606" max="4606" width="13.5546875" style="2006" customWidth="1"/>
    <col min="4607" max="4607" width="2.33203125" style="2006" customWidth="1"/>
    <col min="4608" max="4608" width="13.5546875" style="2006" customWidth="1"/>
    <col min="4609" max="4609" width="2.33203125" style="2006" customWidth="1"/>
    <col min="4610" max="4610" width="13.5546875" style="2006" customWidth="1"/>
    <col min="4611" max="4611" width="2.33203125" style="2006" customWidth="1"/>
    <col min="4612" max="4612" width="13.5546875" style="2006" customWidth="1"/>
    <col min="4613" max="4613" width="2.33203125" style="2006" customWidth="1"/>
    <col min="4614" max="4615" width="13.5546875" style="2006" customWidth="1"/>
    <col min="4616" max="4833" width="9.109375" style="2006"/>
    <col min="4834" max="4834" width="3.5546875" style="2006" customWidth="1"/>
    <col min="4835" max="4835" width="6.6640625" style="2006" bestFit="1" customWidth="1"/>
    <col min="4836" max="4836" width="10.6640625" style="2006" bestFit="1" customWidth="1"/>
    <col min="4837" max="4837" width="40.33203125" style="2006" bestFit="1" customWidth="1"/>
    <col min="4838" max="4838" width="2.33203125" style="2006" customWidth="1"/>
    <col min="4839" max="4839" width="9.5546875" style="2006" customWidth="1"/>
    <col min="4840" max="4840" width="2.33203125" style="2006" customWidth="1"/>
    <col min="4841" max="4841" width="13.5546875" style="2006" customWidth="1"/>
    <col min="4842" max="4842" width="2.33203125" style="2006" customWidth="1"/>
    <col min="4843" max="4843" width="13.5546875" style="2006" customWidth="1"/>
    <col min="4844" max="4844" width="2.33203125" style="2006" customWidth="1"/>
    <col min="4845" max="4845" width="13.5546875" style="2006" customWidth="1"/>
    <col min="4846" max="4846" width="2.33203125" style="2006" customWidth="1"/>
    <col min="4847" max="4847" width="13.5546875" style="2006" customWidth="1"/>
    <col min="4848" max="4848" width="2.33203125" style="2006" customWidth="1"/>
    <col min="4849" max="4849" width="13.5546875" style="2006" customWidth="1"/>
    <col min="4850" max="4850" width="2.33203125" style="2006" customWidth="1"/>
    <col min="4851" max="4851" width="13.5546875" style="2006" customWidth="1"/>
    <col min="4852" max="4852" width="3.33203125" style="2006" customWidth="1"/>
    <col min="4853" max="4853" width="3.5546875" style="2006" customWidth="1"/>
    <col min="4854" max="4854" width="11.33203125" style="2006" customWidth="1"/>
    <col min="4855" max="4855" width="11.6640625" style="2006" bestFit="1" customWidth="1"/>
    <col min="4856" max="4856" width="40.33203125" style="2006" bestFit="1" customWidth="1"/>
    <col min="4857" max="4857" width="2.33203125" style="2006" customWidth="1"/>
    <col min="4858" max="4858" width="9.5546875" style="2006" customWidth="1"/>
    <col min="4859" max="4859" width="2.33203125" style="2006" customWidth="1"/>
    <col min="4860" max="4860" width="13.5546875" style="2006" customWidth="1"/>
    <col min="4861" max="4861" width="2.33203125" style="2006" customWidth="1"/>
    <col min="4862" max="4862" width="13.5546875" style="2006" customWidth="1"/>
    <col min="4863" max="4863" width="2.33203125" style="2006" customWidth="1"/>
    <col min="4864" max="4864" width="13.5546875" style="2006" customWidth="1"/>
    <col min="4865" max="4865" width="2.33203125" style="2006" customWidth="1"/>
    <col min="4866" max="4866" width="13.5546875" style="2006" customWidth="1"/>
    <col min="4867" max="4867" width="2.33203125" style="2006" customWidth="1"/>
    <col min="4868" max="4868" width="13.5546875" style="2006" customWidth="1"/>
    <col min="4869" max="4869" width="2.33203125" style="2006" customWidth="1"/>
    <col min="4870" max="4871" width="13.5546875" style="2006" customWidth="1"/>
    <col min="4872" max="5089" width="9.109375" style="2006"/>
    <col min="5090" max="5090" width="3.5546875" style="2006" customWidth="1"/>
    <col min="5091" max="5091" width="6.6640625" style="2006" bestFit="1" customWidth="1"/>
    <col min="5092" max="5092" width="10.6640625" style="2006" bestFit="1" customWidth="1"/>
    <col min="5093" max="5093" width="40.33203125" style="2006" bestFit="1" customWidth="1"/>
    <col min="5094" max="5094" width="2.33203125" style="2006" customWidth="1"/>
    <col min="5095" max="5095" width="9.5546875" style="2006" customWidth="1"/>
    <col min="5096" max="5096" width="2.33203125" style="2006" customWidth="1"/>
    <col min="5097" max="5097" width="13.5546875" style="2006" customWidth="1"/>
    <col min="5098" max="5098" width="2.33203125" style="2006" customWidth="1"/>
    <col min="5099" max="5099" width="13.5546875" style="2006" customWidth="1"/>
    <col min="5100" max="5100" width="2.33203125" style="2006" customWidth="1"/>
    <col min="5101" max="5101" width="13.5546875" style="2006" customWidth="1"/>
    <col min="5102" max="5102" width="2.33203125" style="2006" customWidth="1"/>
    <col min="5103" max="5103" width="13.5546875" style="2006" customWidth="1"/>
    <col min="5104" max="5104" width="2.33203125" style="2006" customWidth="1"/>
    <col min="5105" max="5105" width="13.5546875" style="2006" customWidth="1"/>
    <col min="5106" max="5106" width="2.33203125" style="2006" customWidth="1"/>
    <col min="5107" max="5107" width="13.5546875" style="2006" customWidth="1"/>
    <col min="5108" max="5108" width="3.33203125" style="2006" customWidth="1"/>
    <col min="5109" max="5109" width="3.5546875" style="2006" customWidth="1"/>
    <col min="5110" max="5110" width="11.33203125" style="2006" customWidth="1"/>
    <col min="5111" max="5111" width="11.6640625" style="2006" bestFit="1" customWidth="1"/>
    <col min="5112" max="5112" width="40.33203125" style="2006" bestFit="1" customWidth="1"/>
    <col min="5113" max="5113" width="2.33203125" style="2006" customWidth="1"/>
    <col min="5114" max="5114" width="9.5546875" style="2006" customWidth="1"/>
    <col min="5115" max="5115" width="2.33203125" style="2006" customWidth="1"/>
    <col min="5116" max="5116" width="13.5546875" style="2006" customWidth="1"/>
    <col min="5117" max="5117" width="2.33203125" style="2006" customWidth="1"/>
    <col min="5118" max="5118" width="13.5546875" style="2006" customWidth="1"/>
    <col min="5119" max="5119" width="2.33203125" style="2006" customWidth="1"/>
    <col min="5120" max="5120" width="13.5546875" style="2006" customWidth="1"/>
    <col min="5121" max="5121" width="2.33203125" style="2006" customWidth="1"/>
    <col min="5122" max="5122" width="13.5546875" style="2006" customWidth="1"/>
    <col min="5123" max="5123" width="2.33203125" style="2006" customWidth="1"/>
    <col min="5124" max="5124" width="13.5546875" style="2006" customWidth="1"/>
    <col min="5125" max="5125" width="2.33203125" style="2006" customWidth="1"/>
    <col min="5126" max="5127" width="13.5546875" style="2006" customWidth="1"/>
    <col min="5128" max="5345" width="9.109375" style="2006"/>
    <col min="5346" max="5346" width="3.5546875" style="2006" customWidth="1"/>
    <col min="5347" max="5347" width="6.6640625" style="2006" bestFit="1" customWidth="1"/>
    <col min="5348" max="5348" width="10.6640625" style="2006" bestFit="1" customWidth="1"/>
    <col min="5349" max="5349" width="40.33203125" style="2006" bestFit="1" customWidth="1"/>
    <col min="5350" max="5350" width="2.33203125" style="2006" customWidth="1"/>
    <col min="5351" max="5351" width="9.5546875" style="2006" customWidth="1"/>
    <col min="5352" max="5352" width="2.33203125" style="2006" customWidth="1"/>
    <col min="5353" max="5353" width="13.5546875" style="2006" customWidth="1"/>
    <col min="5354" max="5354" width="2.33203125" style="2006" customWidth="1"/>
    <col min="5355" max="5355" width="13.5546875" style="2006" customWidth="1"/>
    <col min="5356" max="5356" width="2.33203125" style="2006" customWidth="1"/>
    <col min="5357" max="5357" width="13.5546875" style="2006" customWidth="1"/>
    <col min="5358" max="5358" width="2.33203125" style="2006" customWidth="1"/>
    <col min="5359" max="5359" width="13.5546875" style="2006" customWidth="1"/>
    <col min="5360" max="5360" width="2.33203125" style="2006" customWidth="1"/>
    <col min="5361" max="5361" width="13.5546875" style="2006" customWidth="1"/>
    <col min="5362" max="5362" width="2.33203125" style="2006" customWidth="1"/>
    <col min="5363" max="5363" width="13.5546875" style="2006" customWidth="1"/>
    <col min="5364" max="5364" width="3.33203125" style="2006" customWidth="1"/>
    <col min="5365" max="5365" width="3.5546875" style="2006" customWidth="1"/>
    <col min="5366" max="5366" width="11.33203125" style="2006" customWidth="1"/>
    <col min="5367" max="5367" width="11.6640625" style="2006" bestFit="1" customWidth="1"/>
    <col min="5368" max="5368" width="40.33203125" style="2006" bestFit="1" customWidth="1"/>
    <col min="5369" max="5369" width="2.33203125" style="2006" customWidth="1"/>
    <col min="5370" max="5370" width="9.5546875" style="2006" customWidth="1"/>
    <col min="5371" max="5371" width="2.33203125" style="2006" customWidth="1"/>
    <col min="5372" max="5372" width="13.5546875" style="2006" customWidth="1"/>
    <col min="5373" max="5373" width="2.33203125" style="2006" customWidth="1"/>
    <col min="5374" max="5374" width="13.5546875" style="2006" customWidth="1"/>
    <col min="5375" max="5375" width="2.33203125" style="2006" customWidth="1"/>
    <col min="5376" max="5376" width="13.5546875" style="2006" customWidth="1"/>
    <col min="5377" max="5377" width="2.33203125" style="2006" customWidth="1"/>
    <col min="5378" max="5378" width="13.5546875" style="2006" customWidth="1"/>
    <col min="5379" max="5379" width="2.33203125" style="2006" customWidth="1"/>
    <col min="5380" max="5380" width="13.5546875" style="2006" customWidth="1"/>
    <col min="5381" max="5381" width="2.33203125" style="2006" customWidth="1"/>
    <col min="5382" max="5383" width="13.5546875" style="2006" customWidth="1"/>
    <col min="5384" max="5601" width="9.109375" style="2006"/>
    <col min="5602" max="5602" width="3.5546875" style="2006" customWidth="1"/>
    <col min="5603" max="5603" width="6.6640625" style="2006" bestFit="1" customWidth="1"/>
    <col min="5604" max="5604" width="10.6640625" style="2006" bestFit="1" customWidth="1"/>
    <col min="5605" max="5605" width="40.33203125" style="2006" bestFit="1" customWidth="1"/>
    <col min="5606" max="5606" width="2.33203125" style="2006" customWidth="1"/>
    <col min="5607" max="5607" width="9.5546875" style="2006" customWidth="1"/>
    <col min="5608" max="5608" width="2.33203125" style="2006" customWidth="1"/>
    <col min="5609" max="5609" width="13.5546875" style="2006" customWidth="1"/>
    <col min="5610" max="5610" width="2.33203125" style="2006" customWidth="1"/>
    <col min="5611" max="5611" width="13.5546875" style="2006" customWidth="1"/>
    <col min="5612" max="5612" width="2.33203125" style="2006" customWidth="1"/>
    <col min="5613" max="5613" width="13.5546875" style="2006" customWidth="1"/>
    <col min="5614" max="5614" width="2.33203125" style="2006" customWidth="1"/>
    <col min="5615" max="5615" width="13.5546875" style="2006" customWidth="1"/>
    <col min="5616" max="5616" width="2.33203125" style="2006" customWidth="1"/>
    <col min="5617" max="5617" width="13.5546875" style="2006" customWidth="1"/>
    <col min="5618" max="5618" width="2.33203125" style="2006" customWidth="1"/>
    <col min="5619" max="5619" width="13.5546875" style="2006" customWidth="1"/>
    <col min="5620" max="5620" width="3.33203125" style="2006" customWidth="1"/>
    <col min="5621" max="5621" width="3.5546875" style="2006" customWidth="1"/>
    <col min="5622" max="5622" width="11.33203125" style="2006" customWidth="1"/>
    <col min="5623" max="5623" width="11.6640625" style="2006" bestFit="1" customWidth="1"/>
    <col min="5624" max="5624" width="40.33203125" style="2006" bestFit="1" customWidth="1"/>
    <col min="5625" max="5625" width="2.33203125" style="2006" customWidth="1"/>
    <col min="5626" max="5626" width="9.5546875" style="2006" customWidth="1"/>
    <col min="5627" max="5627" width="2.33203125" style="2006" customWidth="1"/>
    <col min="5628" max="5628" width="13.5546875" style="2006" customWidth="1"/>
    <col min="5629" max="5629" width="2.33203125" style="2006" customWidth="1"/>
    <col min="5630" max="5630" width="13.5546875" style="2006" customWidth="1"/>
    <col min="5631" max="5631" width="2.33203125" style="2006" customWidth="1"/>
    <col min="5632" max="5632" width="13.5546875" style="2006" customWidth="1"/>
    <col min="5633" max="5633" width="2.33203125" style="2006" customWidth="1"/>
    <col min="5634" max="5634" width="13.5546875" style="2006" customWidth="1"/>
    <col min="5635" max="5635" width="2.33203125" style="2006" customWidth="1"/>
    <col min="5636" max="5636" width="13.5546875" style="2006" customWidth="1"/>
    <col min="5637" max="5637" width="2.33203125" style="2006" customWidth="1"/>
    <col min="5638" max="5639" width="13.5546875" style="2006" customWidth="1"/>
    <col min="5640" max="5857" width="9.109375" style="2006"/>
    <col min="5858" max="5858" width="3.5546875" style="2006" customWidth="1"/>
    <col min="5859" max="5859" width="6.6640625" style="2006" bestFit="1" customWidth="1"/>
    <col min="5860" max="5860" width="10.6640625" style="2006" bestFit="1" customWidth="1"/>
    <col min="5861" max="5861" width="40.33203125" style="2006" bestFit="1" customWidth="1"/>
    <col min="5862" max="5862" width="2.33203125" style="2006" customWidth="1"/>
    <col min="5863" max="5863" width="9.5546875" style="2006" customWidth="1"/>
    <col min="5864" max="5864" width="2.33203125" style="2006" customWidth="1"/>
    <col min="5865" max="5865" width="13.5546875" style="2006" customWidth="1"/>
    <col min="5866" max="5866" width="2.33203125" style="2006" customWidth="1"/>
    <col min="5867" max="5867" width="13.5546875" style="2006" customWidth="1"/>
    <col min="5868" max="5868" width="2.33203125" style="2006" customWidth="1"/>
    <col min="5869" max="5869" width="13.5546875" style="2006" customWidth="1"/>
    <col min="5870" max="5870" width="2.33203125" style="2006" customWidth="1"/>
    <col min="5871" max="5871" width="13.5546875" style="2006" customWidth="1"/>
    <col min="5872" max="5872" width="2.33203125" style="2006" customWidth="1"/>
    <col min="5873" max="5873" width="13.5546875" style="2006" customWidth="1"/>
    <col min="5874" max="5874" width="2.33203125" style="2006" customWidth="1"/>
    <col min="5875" max="5875" width="13.5546875" style="2006" customWidth="1"/>
    <col min="5876" max="5876" width="3.33203125" style="2006" customWidth="1"/>
    <col min="5877" max="5877" width="3.5546875" style="2006" customWidth="1"/>
    <col min="5878" max="5878" width="11.33203125" style="2006" customWidth="1"/>
    <col min="5879" max="5879" width="11.6640625" style="2006" bestFit="1" customWidth="1"/>
    <col min="5880" max="5880" width="40.33203125" style="2006" bestFit="1" customWidth="1"/>
    <col min="5881" max="5881" width="2.33203125" style="2006" customWidth="1"/>
    <col min="5882" max="5882" width="9.5546875" style="2006" customWidth="1"/>
    <col min="5883" max="5883" width="2.33203125" style="2006" customWidth="1"/>
    <col min="5884" max="5884" width="13.5546875" style="2006" customWidth="1"/>
    <col min="5885" max="5885" width="2.33203125" style="2006" customWidth="1"/>
    <col min="5886" max="5886" width="13.5546875" style="2006" customWidth="1"/>
    <col min="5887" max="5887" width="2.33203125" style="2006" customWidth="1"/>
    <col min="5888" max="5888" width="13.5546875" style="2006" customWidth="1"/>
    <col min="5889" max="5889" width="2.33203125" style="2006" customWidth="1"/>
    <col min="5890" max="5890" width="13.5546875" style="2006" customWidth="1"/>
    <col min="5891" max="5891" width="2.33203125" style="2006" customWidth="1"/>
    <col min="5892" max="5892" width="13.5546875" style="2006" customWidth="1"/>
    <col min="5893" max="5893" width="2.33203125" style="2006" customWidth="1"/>
    <col min="5894" max="5895" width="13.5546875" style="2006" customWidth="1"/>
    <col min="5896" max="6113" width="9.109375" style="2006"/>
    <col min="6114" max="6114" width="3.5546875" style="2006" customWidth="1"/>
    <col min="6115" max="6115" width="6.6640625" style="2006" bestFit="1" customWidth="1"/>
    <col min="6116" max="6116" width="10.6640625" style="2006" bestFit="1" customWidth="1"/>
    <col min="6117" max="6117" width="40.33203125" style="2006" bestFit="1" customWidth="1"/>
    <col min="6118" max="6118" width="2.33203125" style="2006" customWidth="1"/>
    <col min="6119" max="6119" width="9.5546875" style="2006" customWidth="1"/>
    <col min="6120" max="6120" width="2.33203125" style="2006" customWidth="1"/>
    <col min="6121" max="6121" width="13.5546875" style="2006" customWidth="1"/>
    <col min="6122" max="6122" width="2.33203125" style="2006" customWidth="1"/>
    <col min="6123" max="6123" width="13.5546875" style="2006" customWidth="1"/>
    <col min="6124" max="6124" width="2.33203125" style="2006" customWidth="1"/>
    <col min="6125" max="6125" width="13.5546875" style="2006" customWidth="1"/>
    <col min="6126" max="6126" width="2.33203125" style="2006" customWidth="1"/>
    <col min="6127" max="6127" width="13.5546875" style="2006" customWidth="1"/>
    <col min="6128" max="6128" width="2.33203125" style="2006" customWidth="1"/>
    <col min="6129" max="6129" width="13.5546875" style="2006" customWidth="1"/>
    <col min="6130" max="6130" width="2.33203125" style="2006" customWidth="1"/>
    <col min="6131" max="6131" width="13.5546875" style="2006" customWidth="1"/>
    <col min="6132" max="6132" width="3.33203125" style="2006" customWidth="1"/>
    <col min="6133" max="6133" width="3.5546875" style="2006" customWidth="1"/>
    <col min="6134" max="6134" width="11.33203125" style="2006" customWidth="1"/>
    <col min="6135" max="6135" width="11.6640625" style="2006" bestFit="1" customWidth="1"/>
    <col min="6136" max="6136" width="40.33203125" style="2006" bestFit="1" customWidth="1"/>
    <col min="6137" max="6137" width="2.33203125" style="2006" customWidth="1"/>
    <col min="6138" max="6138" width="9.5546875" style="2006" customWidth="1"/>
    <col min="6139" max="6139" width="2.33203125" style="2006" customWidth="1"/>
    <col min="6140" max="6140" width="13.5546875" style="2006" customWidth="1"/>
    <col min="6141" max="6141" width="2.33203125" style="2006" customWidth="1"/>
    <col min="6142" max="6142" width="13.5546875" style="2006" customWidth="1"/>
    <col min="6143" max="6143" width="2.33203125" style="2006" customWidth="1"/>
    <col min="6144" max="6144" width="13.5546875" style="2006" customWidth="1"/>
    <col min="6145" max="6145" width="2.33203125" style="2006" customWidth="1"/>
    <col min="6146" max="6146" width="13.5546875" style="2006" customWidth="1"/>
    <col min="6147" max="6147" width="2.33203125" style="2006" customWidth="1"/>
    <col min="6148" max="6148" width="13.5546875" style="2006" customWidth="1"/>
    <col min="6149" max="6149" width="2.33203125" style="2006" customWidth="1"/>
    <col min="6150" max="6151" width="13.5546875" style="2006" customWidth="1"/>
    <col min="6152" max="6369" width="9.109375" style="2006"/>
    <col min="6370" max="6370" width="3.5546875" style="2006" customWidth="1"/>
    <col min="6371" max="6371" width="6.6640625" style="2006" bestFit="1" customWidth="1"/>
    <col min="6372" max="6372" width="10.6640625" style="2006" bestFit="1" customWidth="1"/>
    <col min="6373" max="6373" width="40.33203125" style="2006" bestFit="1" customWidth="1"/>
    <col min="6374" max="6374" width="2.33203125" style="2006" customWidth="1"/>
    <col min="6375" max="6375" width="9.5546875" style="2006" customWidth="1"/>
    <col min="6376" max="6376" width="2.33203125" style="2006" customWidth="1"/>
    <col min="6377" max="6377" width="13.5546875" style="2006" customWidth="1"/>
    <col min="6378" max="6378" width="2.33203125" style="2006" customWidth="1"/>
    <col min="6379" max="6379" width="13.5546875" style="2006" customWidth="1"/>
    <col min="6380" max="6380" width="2.33203125" style="2006" customWidth="1"/>
    <col min="6381" max="6381" width="13.5546875" style="2006" customWidth="1"/>
    <col min="6382" max="6382" width="2.33203125" style="2006" customWidth="1"/>
    <col min="6383" max="6383" width="13.5546875" style="2006" customWidth="1"/>
    <col min="6384" max="6384" width="2.33203125" style="2006" customWidth="1"/>
    <col min="6385" max="6385" width="13.5546875" style="2006" customWidth="1"/>
    <col min="6386" max="6386" width="2.33203125" style="2006" customWidth="1"/>
    <col min="6387" max="6387" width="13.5546875" style="2006" customWidth="1"/>
    <col min="6388" max="6388" width="3.33203125" style="2006" customWidth="1"/>
    <col min="6389" max="6389" width="3.5546875" style="2006" customWidth="1"/>
    <col min="6390" max="6390" width="11.33203125" style="2006" customWidth="1"/>
    <col min="6391" max="6391" width="11.6640625" style="2006" bestFit="1" customWidth="1"/>
    <col min="6392" max="6392" width="40.33203125" style="2006" bestFit="1" customWidth="1"/>
    <col min="6393" max="6393" width="2.33203125" style="2006" customWidth="1"/>
    <col min="6394" max="6394" width="9.5546875" style="2006" customWidth="1"/>
    <col min="6395" max="6395" width="2.33203125" style="2006" customWidth="1"/>
    <col min="6396" max="6396" width="13.5546875" style="2006" customWidth="1"/>
    <col min="6397" max="6397" width="2.33203125" style="2006" customWidth="1"/>
    <col min="6398" max="6398" width="13.5546875" style="2006" customWidth="1"/>
    <col min="6399" max="6399" width="2.33203125" style="2006" customWidth="1"/>
    <col min="6400" max="6400" width="13.5546875" style="2006" customWidth="1"/>
    <col min="6401" max="6401" width="2.33203125" style="2006" customWidth="1"/>
    <col min="6402" max="6402" width="13.5546875" style="2006" customWidth="1"/>
    <col min="6403" max="6403" width="2.33203125" style="2006" customWidth="1"/>
    <col min="6404" max="6404" width="13.5546875" style="2006" customWidth="1"/>
    <col min="6405" max="6405" width="2.33203125" style="2006" customWidth="1"/>
    <col min="6406" max="6407" width="13.5546875" style="2006" customWidth="1"/>
    <col min="6408" max="6625" width="9.109375" style="2006"/>
    <col min="6626" max="6626" width="3.5546875" style="2006" customWidth="1"/>
    <col min="6627" max="6627" width="6.6640625" style="2006" bestFit="1" customWidth="1"/>
    <col min="6628" max="6628" width="10.6640625" style="2006" bestFit="1" customWidth="1"/>
    <col min="6629" max="6629" width="40.33203125" style="2006" bestFit="1" customWidth="1"/>
    <col min="6630" max="6630" width="2.33203125" style="2006" customWidth="1"/>
    <col min="6631" max="6631" width="9.5546875" style="2006" customWidth="1"/>
    <col min="6632" max="6632" width="2.33203125" style="2006" customWidth="1"/>
    <col min="6633" max="6633" width="13.5546875" style="2006" customWidth="1"/>
    <col min="6634" max="6634" width="2.33203125" style="2006" customWidth="1"/>
    <col min="6635" max="6635" width="13.5546875" style="2006" customWidth="1"/>
    <col min="6636" max="6636" width="2.33203125" style="2006" customWidth="1"/>
    <col min="6637" max="6637" width="13.5546875" style="2006" customWidth="1"/>
    <col min="6638" max="6638" width="2.33203125" style="2006" customWidth="1"/>
    <col min="6639" max="6639" width="13.5546875" style="2006" customWidth="1"/>
    <col min="6640" max="6640" width="2.33203125" style="2006" customWidth="1"/>
    <col min="6641" max="6641" width="13.5546875" style="2006" customWidth="1"/>
    <col min="6642" max="6642" width="2.33203125" style="2006" customWidth="1"/>
    <col min="6643" max="6643" width="13.5546875" style="2006" customWidth="1"/>
    <col min="6644" max="6644" width="3.33203125" style="2006" customWidth="1"/>
    <col min="6645" max="6645" width="3.5546875" style="2006" customWidth="1"/>
    <col min="6646" max="6646" width="11.33203125" style="2006" customWidth="1"/>
    <col min="6647" max="6647" width="11.6640625" style="2006" bestFit="1" customWidth="1"/>
    <col min="6648" max="6648" width="40.33203125" style="2006" bestFit="1" customWidth="1"/>
    <col min="6649" max="6649" width="2.33203125" style="2006" customWidth="1"/>
    <col min="6650" max="6650" width="9.5546875" style="2006" customWidth="1"/>
    <col min="6651" max="6651" width="2.33203125" style="2006" customWidth="1"/>
    <col min="6652" max="6652" width="13.5546875" style="2006" customWidth="1"/>
    <col min="6653" max="6653" width="2.33203125" style="2006" customWidth="1"/>
    <col min="6654" max="6654" width="13.5546875" style="2006" customWidth="1"/>
    <col min="6655" max="6655" width="2.33203125" style="2006" customWidth="1"/>
    <col min="6656" max="6656" width="13.5546875" style="2006" customWidth="1"/>
    <col min="6657" max="6657" width="2.33203125" style="2006" customWidth="1"/>
    <col min="6658" max="6658" width="13.5546875" style="2006" customWidth="1"/>
    <col min="6659" max="6659" width="2.33203125" style="2006" customWidth="1"/>
    <col min="6660" max="6660" width="13.5546875" style="2006" customWidth="1"/>
    <col min="6661" max="6661" width="2.33203125" style="2006" customWidth="1"/>
    <col min="6662" max="6663" width="13.5546875" style="2006" customWidth="1"/>
    <col min="6664" max="6881" width="9.109375" style="2006"/>
    <col min="6882" max="6882" width="3.5546875" style="2006" customWidth="1"/>
    <col min="6883" max="6883" width="6.6640625" style="2006" bestFit="1" customWidth="1"/>
    <col min="6884" max="6884" width="10.6640625" style="2006" bestFit="1" customWidth="1"/>
    <col min="6885" max="6885" width="40.33203125" style="2006" bestFit="1" customWidth="1"/>
    <col min="6886" max="6886" width="2.33203125" style="2006" customWidth="1"/>
    <col min="6887" max="6887" width="9.5546875" style="2006" customWidth="1"/>
    <col min="6888" max="6888" width="2.33203125" style="2006" customWidth="1"/>
    <col min="6889" max="6889" width="13.5546875" style="2006" customWidth="1"/>
    <col min="6890" max="6890" width="2.33203125" style="2006" customWidth="1"/>
    <col min="6891" max="6891" width="13.5546875" style="2006" customWidth="1"/>
    <col min="6892" max="6892" width="2.33203125" style="2006" customWidth="1"/>
    <col min="6893" max="6893" width="13.5546875" style="2006" customWidth="1"/>
    <col min="6894" max="6894" width="2.33203125" style="2006" customWidth="1"/>
    <col min="6895" max="6895" width="13.5546875" style="2006" customWidth="1"/>
    <col min="6896" max="6896" width="2.33203125" style="2006" customWidth="1"/>
    <col min="6897" max="6897" width="13.5546875" style="2006" customWidth="1"/>
    <col min="6898" max="6898" width="2.33203125" style="2006" customWidth="1"/>
    <col min="6899" max="6899" width="13.5546875" style="2006" customWidth="1"/>
    <col min="6900" max="6900" width="3.33203125" style="2006" customWidth="1"/>
    <col min="6901" max="6901" width="3.5546875" style="2006" customWidth="1"/>
    <col min="6902" max="6902" width="11.33203125" style="2006" customWidth="1"/>
    <col min="6903" max="6903" width="11.6640625" style="2006" bestFit="1" customWidth="1"/>
    <col min="6904" max="6904" width="40.33203125" style="2006" bestFit="1" customWidth="1"/>
    <col min="6905" max="6905" width="2.33203125" style="2006" customWidth="1"/>
    <col min="6906" max="6906" width="9.5546875" style="2006" customWidth="1"/>
    <col min="6907" max="6907" width="2.33203125" style="2006" customWidth="1"/>
    <col min="6908" max="6908" width="13.5546875" style="2006" customWidth="1"/>
    <col min="6909" max="6909" width="2.33203125" style="2006" customWidth="1"/>
    <col min="6910" max="6910" width="13.5546875" style="2006" customWidth="1"/>
    <col min="6911" max="6911" width="2.33203125" style="2006" customWidth="1"/>
    <col min="6912" max="6912" width="13.5546875" style="2006" customWidth="1"/>
    <col min="6913" max="6913" width="2.33203125" style="2006" customWidth="1"/>
    <col min="6914" max="6914" width="13.5546875" style="2006" customWidth="1"/>
    <col min="6915" max="6915" width="2.33203125" style="2006" customWidth="1"/>
    <col min="6916" max="6916" width="13.5546875" style="2006" customWidth="1"/>
    <col min="6917" max="6917" width="2.33203125" style="2006" customWidth="1"/>
    <col min="6918" max="6919" width="13.5546875" style="2006" customWidth="1"/>
    <col min="6920" max="7137" width="9.109375" style="2006"/>
    <col min="7138" max="7138" width="3.5546875" style="2006" customWidth="1"/>
    <col min="7139" max="7139" width="6.6640625" style="2006" bestFit="1" customWidth="1"/>
    <col min="7140" max="7140" width="10.6640625" style="2006" bestFit="1" customWidth="1"/>
    <col min="7141" max="7141" width="40.33203125" style="2006" bestFit="1" customWidth="1"/>
    <col min="7142" max="7142" width="2.33203125" style="2006" customWidth="1"/>
    <col min="7143" max="7143" width="9.5546875" style="2006" customWidth="1"/>
    <col min="7144" max="7144" width="2.33203125" style="2006" customWidth="1"/>
    <col min="7145" max="7145" width="13.5546875" style="2006" customWidth="1"/>
    <col min="7146" max="7146" width="2.33203125" style="2006" customWidth="1"/>
    <col min="7147" max="7147" width="13.5546875" style="2006" customWidth="1"/>
    <col min="7148" max="7148" width="2.33203125" style="2006" customWidth="1"/>
    <col min="7149" max="7149" width="13.5546875" style="2006" customWidth="1"/>
    <col min="7150" max="7150" width="2.33203125" style="2006" customWidth="1"/>
    <col min="7151" max="7151" width="13.5546875" style="2006" customWidth="1"/>
    <col min="7152" max="7152" width="2.33203125" style="2006" customWidth="1"/>
    <col min="7153" max="7153" width="13.5546875" style="2006" customWidth="1"/>
    <col min="7154" max="7154" width="2.33203125" style="2006" customWidth="1"/>
    <col min="7155" max="7155" width="13.5546875" style="2006" customWidth="1"/>
    <col min="7156" max="7156" width="3.33203125" style="2006" customWidth="1"/>
    <col min="7157" max="7157" width="3.5546875" style="2006" customWidth="1"/>
    <col min="7158" max="7158" width="11.33203125" style="2006" customWidth="1"/>
    <col min="7159" max="7159" width="11.6640625" style="2006" bestFit="1" customWidth="1"/>
    <col min="7160" max="7160" width="40.33203125" style="2006" bestFit="1" customWidth="1"/>
    <col min="7161" max="7161" width="2.33203125" style="2006" customWidth="1"/>
    <col min="7162" max="7162" width="9.5546875" style="2006" customWidth="1"/>
    <col min="7163" max="7163" width="2.33203125" style="2006" customWidth="1"/>
    <col min="7164" max="7164" width="13.5546875" style="2006" customWidth="1"/>
    <col min="7165" max="7165" width="2.33203125" style="2006" customWidth="1"/>
    <col min="7166" max="7166" width="13.5546875" style="2006" customWidth="1"/>
    <col min="7167" max="7167" width="2.33203125" style="2006" customWidth="1"/>
    <col min="7168" max="7168" width="13.5546875" style="2006" customWidth="1"/>
    <col min="7169" max="7169" width="2.33203125" style="2006" customWidth="1"/>
    <col min="7170" max="7170" width="13.5546875" style="2006" customWidth="1"/>
    <col min="7171" max="7171" width="2.33203125" style="2006" customWidth="1"/>
    <col min="7172" max="7172" width="13.5546875" style="2006" customWidth="1"/>
    <col min="7173" max="7173" width="2.33203125" style="2006" customWidth="1"/>
    <col min="7174" max="7175" width="13.5546875" style="2006" customWidth="1"/>
    <col min="7176" max="7393" width="9.109375" style="2006"/>
    <col min="7394" max="7394" width="3.5546875" style="2006" customWidth="1"/>
    <col min="7395" max="7395" width="6.6640625" style="2006" bestFit="1" customWidth="1"/>
    <col min="7396" max="7396" width="10.6640625" style="2006" bestFit="1" customWidth="1"/>
    <col min="7397" max="7397" width="40.33203125" style="2006" bestFit="1" customWidth="1"/>
    <col min="7398" max="7398" width="2.33203125" style="2006" customWidth="1"/>
    <col min="7399" max="7399" width="9.5546875" style="2006" customWidth="1"/>
    <col min="7400" max="7400" width="2.33203125" style="2006" customWidth="1"/>
    <col min="7401" max="7401" width="13.5546875" style="2006" customWidth="1"/>
    <col min="7402" max="7402" width="2.33203125" style="2006" customWidth="1"/>
    <col min="7403" max="7403" width="13.5546875" style="2006" customWidth="1"/>
    <col min="7404" max="7404" width="2.33203125" style="2006" customWidth="1"/>
    <col min="7405" max="7405" width="13.5546875" style="2006" customWidth="1"/>
    <col min="7406" max="7406" width="2.33203125" style="2006" customWidth="1"/>
    <col min="7407" max="7407" width="13.5546875" style="2006" customWidth="1"/>
    <col min="7408" max="7408" width="2.33203125" style="2006" customWidth="1"/>
    <col min="7409" max="7409" width="13.5546875" style="2006" customWidth="1"/>
    <col min="7410" max="7410" width="2.33203125" style="2006" customWidth="1"/>
    <col min="7411" max="7411" width="13.5546875" style="2006" customWidth="1"/>
    <col min="7412" max="7412" width="3.33203125" style="2006" customWidth="1"/>
    <col min="7413" max="7413" width="3.5546875" style="2006" customWidth="1"/>
    <col min="7414" max="7414" width="11.33203125" style="2006" customWidth="1"/>
    <col min="7415" max="7415" width="11.6640625" style="2006" bestFit="1" customWidth="1"/>
    <col min="7416" max="7416" width="40.33203125" style="2006" bestFit="1" customWidth="1"/>
    <col min="7417" max="7417" width="2.33203125" style="2006" customWidth="1"/>
    <col min="7418" max="7418" width="9.5546875" style="2006" customWidth="1"/>
    <col min="7419" max="7419" width="2.33203125" style="2006" customWidth="1"/>
    <col min="7420" max="7420" width="13.5546875" style="2006" customWidth="1"/>
    <col min="7421" max="7421" width="2.33203125" style="2006" customWidth="1"/>
    <col min="7422" max="7422" width="13.5546875" style="2006" customWidth="1"/>
    <col min="7423" max="7423" width="2.33203125" style="2006" customWidth="1"/>
    <col min="7424" max="7424" width="13.5546875" style="2006" customWidth="1"/>
    <col min="7425" max="7425" width="2.33203125" style="2006" customWidth="1"/>
    <col min="7426" max="7426" width="13.5546875" style="2006" customWidth="1"/>
    <col min="7427" max="7427" width="2.33203125" style="2006" customWidth="1"/>
    <col min="7428" max="7428" width="13.5546875" style="2006" customWidth="1"/>
    <col min="7429" max="7429" width="2.33203125" style="2006" customWidth="1"/>
    <col min="7430" max="7431" width="13.5546875" style="2006" customWidth="1"/>
    <col min="7432" max="7649" width="9.109375" style="2006"/>
    <col min="7650" max="7650" width="3.5546875" style="2006" customWidth="1"/>
    <col min="7651" max="7651" width="6.6640625" style="2006" bestFit="1" customWidth="1"/>
    <col min="7652" max="7652" width="10.6640625" style="2006" bestFit="1" customWidth="1"/>
    <col min="7653" max="7653" width="40.33203125" style="2006" bestFit="1" customWidth="1"/>
    <col min="7654" max="7654" width="2.33203125" style="2006" customWidth="1"/>
    <col min="7655" max="7655" width="9.5546875" style="2006" customWidth="1"/>
    <col min="7656" max="7656" width="2.33203125" style="2006" customWidth="1"/>
    <col min="7657" max="7657" width="13.5546875" style="2006" customWidth="1"/>
    <col min="7658" max="7658" width="2.33203125" style="2006" customWidth="1"/>
    <col min="7659" max="7659" width="13.5546875" style="2006" customWidth="1"/>
    <col min="7660" max="7660" width="2.33203125" style="2006" customWidth="1"/>
    <col min="7661" max="7661" width="13.5546875" style="2006" customWidth="1"/>
    <col min="7662" max="7662" width="2.33203125" style="2006" customWidth="1"/>
    <col min="7663" max="7663" width="13.5546875" style="2006" customWidth="1"/>
    <col min="7664" max="7664" width="2.33203125" style="2006" customWidth="1"/>
    <col min="7665" max="7665" width="13.5546875" style="2006" customWidth="1"/>
    <col min="7666" max="7666" width="2.33203125" style="2006" customWidth="1"/>
    <col min="7667" max="7667" width="13.5546875" style="2006" customWidth="1"/>
    <col min="7668" max="7668" width="3.33203125" style="2006" customWidth="1"/>
    <col min="7669" max="7669" width="3.5546875" style="2006" customWidth="1"/>
    <col min="7670" max="7670" width="11.33203125" style="2006" customWidth="1"/>
    <col min="7671" max="7671" width="11.6640625" style="2006" bestFit="1" customWidth="1"/>
    <col min="7672" max="7672" width="40.33203125" style="2006" bestFit="1" customWidth="1"/>
    <col min="7673" max="7673" width="2.33203125" style="2006" customWidth="1"/>
    <col min="7674" max="7674" width="9.5546875" style="2006" customWidth="1"/>
    <col min="7675" max="7675" width="2.33203125" style="2006" customWidth="1"/>
    <col min="7676" max="7676" width="13.5546875" style="2006" customWidth="1"/>
    <col min="7677" max="7677" width="2.33203125" style="2006" customWidth="1"/>
    <col min="7678" max="7678" width="13.5546875" style="2006" customWidth="1"/>
    <col min="7679" max="7679" width="2.33203125" style="2006" customWidth="1"/>
    <col min="7680" max="7680" width="13.5546875" style="2006" customWidth="1"/>
    <col min="7681" max="7681" width="2.33203125" style="2006" customWidth="1"/>
    <col min="7682" max="7682" width="13.5546875" style="2006" customWidth="1"/>
    <col min="7683" max="7683" width="2.33203125" style="2006" customWidth="1"/>
    <col min="7684" max="7684" width="13.5546875" style="2006" customWidth="1"/>
    <col min="7685" max="7685" width="2.33203125" style="2006" customWidth="1"/>
    <col min="7686" max="7687" width="13.5546875" style="2006" customWidth="1"/>
    <col min="7688" max="7905" width="9.109375" style="2006"/>
    <col min="7906" max="7906" width="3.5546875" style="2006" customWidth="1"/>
    <col min="7907" max="7907" width="6.6640625" style="2006" bestFit="1" customWidth="1"/>
    <col min="7908" max="7908" width="10.6640625" style="2006" bestFit="1" customWidth="1"/>
    <col min="7909" max="7909" width="40.33203125" style="2006" bestFit="1" customWidth="1"/>
    <col min="7910" max="7910" width="2.33203125" style="2006" customWidth="1"/>
    <col min="7911" max="7911" width="9.5546875" style="2006" customWidth="1"/>
    <col min="7912" max="7912" width="2.33203125" style="2006" customWidth="1"/>
    <col min="7913" max="7913" width="13.5546875" style="2006" customWidth="1"/>
    <col min="7914" max="7914" width="2.33203125" style="2006" customWidth="1"/>
    <col min="7915" max="7915" width="13.5546875" style="2006" customWidth="1"/>
    <col min="7916" max="7916" width="2.33203125" style="2006" customWidth="1"/>
    <col min="7917" max="7917" width="13.5546875" style="2006" customWidth="1"/>
    <col min="7918" max="7918" width="2.33203125" style="2006" customWidth="1"/>
    <col min="7919" max="7919" width="13.5546875" style="2006" customWidth="1"/>
    <col min="7920" max="7920" width="2.33203125" style="2006" customWidth="1"/>
    <col min="7921" max="7921" width="13.5546875" style="2006" customWidth="1"/>
    <col min="7922" max="7922" width="2.33203125" style="2006" customWidth="1"/>
    <col min="7923" max="7923" width="13.5546875" style="2006" customWidth="1"/>
    <col min="7924" max="7924" width="3.33203125" style="2006" customWidth="1"/>
    <col min="7925" max="7925" width="3.5546875" style="2006" customWidth="1"/>
    <col min="7926" max="7926" width="11.33203125" style="2006" customWidth="1"/>
    <col min="7927" max="7927" width="11.6640625" style="2006" bestFit="1" customWidth="1"/>
    <col min="7928" max="7928" width="40.33203125" style="2006" bestFit="1" customWidth="1"/>
    <col min="7929" max="7929" width="2.33203125" style="2006" customWidth="1"/>
    <col min="7930" max="7930" width="9.5546875" style="2006" customWidth="1"/>
    <col min="7931" max="7931" width="2.33203125" style="2006" customWidth="1"/>
    <col min="7932" max="7932" width="13.5546875" style="2006" customWidth="1"/>
    <col min="7933" max="7933" width="2.33203125" style="2006" customWidth="1"/>
    <col min="7934" max="7934" width="13.5546875" style="2006" customWidth="1"/>
    <col min="7935" max="7935" width="2.33203125" style="2006" customWidth="1"/>
    <col min="7936" max="7936" width="13.5546875" style="2006" customWidth="1"/>
    <col min="7937" max="7937" width="2.33203125" style="2006" customWidth="1"/>
    <col min="7938" max="7938" width="13.5546875" style="2006" customWidth="1"/>
    <col min="7939" max="7939" width="2.33203125" style="2006" customWidth="1"/>
    <col min="7940" max="7940" width="13.5546875" style="2006" customWidth="1"/>
    <col min="7941" max="7941" width="2.33203125" style="2006" customWidth="1"/>
    <col min="7942" max="7943" width="13.5546875" style="2006" customWidth="1"/>
    <col min="7944" max="8161" width="9.109375" style="2006"/>
    <col min="8162" max="8162" width="3.5546875" style="2006" customWidth="1"/>
    <col min="8163" max="8163" width="6.6640625" style="2006" bestFit="1" customWidth="1"/>
    <col min="8164" max="8164" width="10.6640625" style="2006" bestFit="1" customWidth="1"/>
    <col min="8165" max="8165" width="40.33203125" style="2006" bestFit="1" customWidth="1"/>
    <col min="8166" max="8166" width="2.33203125" style="2006" customWidth="1"/>
    <col min="8167" max="8167" width="9.5546875" style="2006" customWidth="1"/>
    <col min="8168" max="8168" width="2.33203125" style="2006" customWidth="1"/>
    <col min="8169" max="8169" width="13.5546875" style="2006" customWidth="1"/>
    <col min="8170" max="8170" width="2.33203125" style="2006" customWidth="1"/>
    <col min="8171" max="8171" width="13.5546875" style="2006" customWidth="1"/>
    <col min="8172" max="8172" width="2.33203125" style="2006" customWidth="1"/>
    <col min="8173" max="8173" width="13.5546875" style="2006" customWidth="1"/>
    <col min="8174" max="8174" width="2.33203125" style="2006" customWidth="1"/>
    <col min="8175" max="8175" width="13.5546875" style="2006" customWidth="1"/>
    <col min="8176" max="8176" width="2.33203125" style="2006" customWidth="1"/>
    <col min="8177" max="8177" width="13.5546875" style="2006" customWidth="1"/>
    <col min="8178" max="8178" width="2.33203125" style="2006" customWidth="1"/>
    <col min="8179" max="8179" width="13.5546875" style="2006" customWidth="1"/>
    <col min="8180" max="8180" width="3.33203125" style="2006" customWidth="1"/>
    <col min="8181" max="8181" width="3.5546875" style="2006" customWidth="1"/>
    <col min="8182" max="8182" width="11.33203125" style="2006" customWidth="1"/>
    <col min="8183" max="8183" width="11.6640625" style="2006" bestFit="1" customWidth="1"/>
    <col min="8184" max="8184" width="40.33203125" style="2006" bestFit="1" customWidth="1"/>
    <col min="8185" max="8185" width="2.33203125" style="2006" customWidth="1"/>
    <col min="8186" max="8186" width="9.5546875" style="2006" customWidth="1"/>
    <col min="8187" max="8187" width="2.33203125" style="2006" customWidth="1"/>
    <col min="8188" max="8188" width="13.5546875" style="2006" customWidth="1"/>
    <col min="8189" max="8189" width="2.33203125" style="2006" customWidth="1"/>
    <col min="8190" max="8190" width="13.5546875" style="2006" customWidth="1"/>
    <col min="8191" max="8191" width="2.33203125" style="2006" customWidth="1"/>
    <col min="8192" max="8192" width="13.5546875" style="2006" customWidth="1"/>
    <col min="8193" max="8193" width="2.33203125" style="2006" customWidth="1"/>
    <col min="8194" max="8194" width="13.5546875" style="2006" customWidth="1"/>
    <col min="8195" max="8195" width="2.33203125" style="2006" customWidth="1"/>
    <col min="8196" max="8196" width="13.5546875" style="2006" customWidth="1"/>
    <col min="8197" max="8197" width="2.33203125" style="2006" customWidth="1"/>
    <col min="8198" max="8199" width="13.5546875" style="2006" customWidth="1"/>
    <col min="8200" max="8417" width="9.109375" style="2006"/>
    <col min="8418" max="8418" width="3.5546875" style="2006" customWidth="1"/>
    <col min="8419" max="8419" width="6.6640625" style="2006" bestFit="1" customWidth="1"/>
    <col min="8420" max="8420" width="10.6640625" style="2006" bestFit="1" customWidth="1"/>
    <col min="8421" max="8421" width="40.33203125" style="2006" bestFit="1" customWidth="1"/>
    <col min="8422" max="8422" width="2.33203125" style="2006" customWidth="1"/>
    <col min="8423" max="8423" width="9.5546875" style="2006" customWidth="1"/>
    <col min="8424" max="8424" width="2.33203125" style="2006" customWidth="1"/>
    <col min="8425" max="8425" width="13.5546875" style="2006" customWidth="1"/>
    <col min="8426" max="8426" width="2.33203125" style="2006" customWidth="1"/>
    <col min="8427" max="8427" width="13.5546875" style="2006" customWidth="1"/>
    <col min="8428" max="8428" width="2.33203125" style="2006" customWidth="1"/>
    <col min="8429" max="8429" width="13.5546875" style="2006" customWidth="1"/>
    <col min="8430" max="8430" width="2.33203125" style="2006" customWidth="1"/>
    <col min="8431" max="8431" width="13.5546875" style="2006" customWidth="1"/>
    <col min="8432" max="8432" width="2.33203125" style="2006" customWidth="1"/>
    <col min="8433" max="8433" width="13.5546875" style="2006" customWidth="1"/>
    <col min="8434" max="8434" width="2.33203125" style="2006" customWidth="1"/>
    <col min="8435" max="8435" width="13.5546875" style="2006" customWidth="1"/>
    <col min="8436" max="8436" width="3.33203125" style="2006" customWidth="1"/>
    <col min="8437" max="8437" width="3.5546875" style="2006" customWidth="1"/>
    <col min="8438" max="8438" width="11.33203125" style="2006" customWidth="1"/>
    <col min="8439" max="8439" width="11.6640625" style="2006" bestFit="1" customWidth="1"/>
    <col min="8440" max="8440" width="40.33203125" style="2006" bestFit="1" customWidth="1"/>
    <col min="8441" max="8441" width="2.33203125" style="2006" customWidth="1"/>
    <col min="8442" max="8442" width="9.5546875" style="2006" customWidth="1"/>
    <col min="8443" max="8443" width="2.33203125" style="2006" customWidth="1"/>
    <col min="8444" max="8444" width="13.5546875" style="2006" customWidth="1"/>
    <col min="8445" max="8445" width="2.33203125" style="2006" customWidth="1"/>
    <col min="8446" max="8446" width="13.5546875" style="2006" customWidth="1"/>
    <col min="8447" max="8447" width="2.33203125" style="2006" customWidth="1"/>
    <col min="8448" max="8448" width="13.5546875" style="2006" customWidth="1"/>
    <col min="8449" max="8449" width="2.33203125" style="2006" customWidth="1"/>
    <col min="8450" max="8450" width="13.5546875" style="2006" customWidth="1"/>
    <col min="8451" max="8451" width="2.33203125" style="2006" customWidth="1"/>
    <col min="8452" max="8452" width="13.5546875" style="2006" customWidth="1"/>
    <col min="8453" max="8453" width="2.33203125" style="2006" customWidth="1"/>
    <col min="8454" max="8455" width="13.5546875" style="2006" customWidth="1"/>
    <col min="8456" max="8673" width="9.109375" style="2006"/>
    <col min="8674" max="8674" width="3.5546875" style="2006" customWidth="1"/>
    <col min="8675" max="8675" width="6.6640625" style="2006" bestFit="1" customWidth="1"/>
    <col min="8676" max="8676" width="10.6640625" style="2006" bestFit="1" customWidth="1"/>
    <col min="8677" max="8677" width="40.33203125" style="2006" bestFit="1" customWidth="1"/>
    <col min="8678" max="8678" width="2.33203125" style="2006" customWidth="1"/>
    <col min="8679" max="8679" width="9.5546875" style="2006" customWidth="1"/>
    <col min="8680" max="8680" width="2.33203125" style="2006" customWidth="1"/>
    <col min="8681" max="8681" width="13.5546875" style="2006" customWidth="1"/>
    <col min="8682" max="8682" width="2.33203125" style="2006" customWidth="1"/>
    <col min="8683" max="8683" width="13.5546875" style="2006" customWidth="1"/>
    <col min="8684" max="8684" width="2.33203125" style="2006" customWidth="1"/>
    <col min="8685" max="8685" width="13.5546875" style="2006" customWidth="1"/>
    <col min="8686" max="8686" width="2.33203125" style="2006" customWidth="1"/>
    <col min="8687" max="8687" width="13.5546875" style="2006" customWidth="1"/>
    <col min="8688" max="8688" width="2.33203125" style="2006" customWidth="1"/>
    <col min="8689" max="8689" width="13.5546875" style="2006" customWidth="1"/>
    <col min="8690" max="8690" width="2.33203125" style="2006" customWidth="1"/>
    <col min="8691" max="8691" width="13.5546875" style="2006" customWidth="1"/>
    <col min="8692" max="8692" width="3.33203125" style="2006" customWidth="1"/>
    <col min="8693" max="8693" width="3.5546875" style="2006" customWidth="1"/>
    <col min="8694" max="8694" width="11.33203125" style="2006" customWidth="1"/>
    <col min="8695" max="8695" width="11.6640625" style="2006" bestFit="1" customWidth="1"/>
    <col min="8696" max="8696" width="40.33203125" style="2006" bestFit="1" customWidth="1"/>
    <col min="8697" max="8697" width="2.33203125" style="2006" customWidth="1"/>
    <col min="8698" max="8698" width="9.5546875" style="2006" customWidth="1"/>
    <col min="8699" max="8699" width="2.33203125" style="2006" customWidth="1"/>
    <col min="8700" max="8700" width="13.5546875" style="2006" customWidth="1"/>
    <col min="8701" max="8701" width="2.33203125" style="2006" customWidth="1"/>
    <col min="8702" max="8702" width="13.5546875" style="2006" customWidth="1"/>
    <col min="8703" max="8703" width="2.33203125" style="2006" customWidth="1"/>
    <col min="8704" max="8704" width="13.5546875" style="2006" customWidth="1"/>
    <col min="8705" max="8705" width="2.33203125" style="2006" customWidth="1"/>
    <col min="8706" max="8706" width="13.5546875" style="2006" customWidth="1"/>
    <col min="8707" max="8707" width="2.33203125" style="2006" customWidth="1"/>
    <col min="8708" max="8708" width="13.5546875" style="2006" customWidth="1"/>
    <col min="8709" max="8709" width="2.33203125" style="2006" customWidth="1"/>
    <col min="8710" max="8711" width="13.5546875" style="2006" customWidth="1"/>
    <col min="8712" max="8929" width="9.109375" style="2006"/>
    <col min="8930" max="8930" width="3.5546875" style="2006" customWidth="1"/>
    <col min="8931" max="8931" width="6.6640625" style="2006" bestFit="1" customWidth="1"/>
    <col min="8932" max="8932" width="10.6640625" style="2006" bestFit="1" customWidth="1"/>
    <col min="8933" max="8933" width="40.33203125" style="2006" bestFit="1" customWidth="1"/>
    <col min="8934" max="8934" width="2.33203125" style="2006" customWidth="1"/>
    <col min="8935" max="8935" width="9.5546875" style="2006" customWidth="1"/>
    <col min="8936" max="8936" width="2.33203125" style="2006" customWidth="1"/>
    <col min="8937" max="8937" width="13.5546875" style="2006" customWidth="1"/>
    <col min="8938" max="8938" width="2.33203125" style="2006" customWidth="1"/>
    <col min="8939" max="8939" width="13.5546875" style="2006" customWidth="1"/>
    <col min="8940" max="8940" width="2.33203125" style="2006" customWidth="1"/>
    <col min="8941" max="8941" width="13.5546875" style="2006" customWidth="1"/>
    <col min="8942" max="8942" width="2.33203125" style="2006" customWidth="1"/>
    <col min="8943" max="8943" width="13.5546875" style="2006" customWidth="1"/>
    <col min="8944" max="8944" width="2.33203125" style="2006" customWidth="1"/>
    <col min="8945" max="8945" width="13.5546875" style="2006" customWidth="1"/>
    <col min="8946" max="8946" width="2.33203125" style="2006" customWidth="1"/>
    <col min="8947" max="8947" width="13.5546875" style="2006" customWidth="1"/>
    <col min="8948" max="8948" width="3.33203125" style="2006" customWidth="1"/>
    <col min="8949" max="8949" width="3.5546875" style="2006" customWidth="1"/>
    <col min="8950" max="8950" width="11.33203125" style="2006" customWidth="1"/>
    <col min="8951" max="8951" width="11.6640625" style="2006" bestFit="1" customWidth="1"/>
    <col min="8952" max="8952" width="40.33203125" style="2006" bestFit="1" customWidth="1"/>
    <col min="8953" max="8953" width="2.33203125" style="2006" customWidth="1"/>
    <col min="8954" max="8954" width="9.5546875" style="2006" customWidth="1"/>
    <col min="8955" max="8955" width="2.33203125" style="2006" customWidth="1"/>
    <col min="8956" max="8956" width="13.5546875" style="2006" customWidth="1"/>
    <col min="8957" max="8957" width="2.33203125" style="2006" customWidth="1"/>
    <col min="8958" max="8958" width="13.5546875" style="2006" customWidth="1"/>
    <col min="8959" max="8959" width="2.33203125" style="2006" customWidth="1"/>
    <col min="8960" max="8960" width="13.5546875" style="2006" customWidth="1"/>
    <col min="8961" max="8961" width="2.33203125" style="2006" customWidth="1"/>
    <col min="8962" max="8962" width="13.5546875" style="2006" customWidth="1"/>
    <col min="8963" max="8963" width="2.33203125" style="2006" customWidth="1"/>
    <col min="8964" max="8964" width="13.5546875" style="2006" customWidth="1"/>
    <col min="8965" max="8965" width="2.33203125" style="2006" customWidth="1"/>
    <col min="8966" max="8967" width="13.5546875" style="2006" customWidth="1"/>
    <col min="8968" max="9185" width="9.109375" style="2006"/>
    <col min="9186" max="9186" width="3.5546875" style="2006" customWidth="1"/>
    <col min="9187" max="9187" width="6.6640625" style="2006" bestFit="1" customWidth="1"/>
    <col min="9188" max="9188" width="10.6640625" style="2006" bestFit="1" customWidth="1"/>
    <col min="9189" max="9189" width="40.33203125" style="2006" bestFit="1" customWidth="1"/>
    <col min="9190" max="9190" width="2.33203125" style="2006" customWidth="1"/>
    <col min="9191" max="9191" width="9.5546875" style="2006" customWidth="1"/>
    <col min="9192" max="9192" width="2.33203125" style="2006" customWidth="1"/>
    <col min="9193" max="9193" width="13.5546875" style="2006" customWidth="1"/>
    <col min="9194" max="9194" width="2.33203125" style="2006" customWidth="1"/>
    <col min="9195" max="9195" width="13.5546875" style="2006" customWidth="1"/>
    <col min="9196" max="9196" width="2.33203125" style="2006" customWidth="1"/>
    <col min="9197" max="9197" width="13.5546875" style="2006" customWidth="1"/>
    <col min="9198" max="9198" width="2.33203125" style="2006" customWidth="1"/>
    <col min="9199" max="9199" width="13.5546875" style="2006" customWidth="1"/>
    <col min="9200" max="9200" width="2.33203125" style="2006" customWidth="1"/>
    <col min="9201" max="9201" width="13.5546875" style="2006" customWidth="1"/>
    <col min="9202" max="9202" width="2.33203125" style="2006" customWidth="1"/>
    <col min="9203" max="9203" width="13.5546875" style="2006" customWidth="1"/>
    <col min="9204" max="9204" width="3.33203125" style="2006" customWidth="1"/>
    <col min="9205" max="9205" width="3.5546875" style="2006" customWidth="1"/>
    <col min="9206" max="9206" width="11.33203125" style="2006" customWidth="1"/>
    <col min="9207" max="9207" width="11.6640625" style="2006" bestFit="1" customWidth="1"/>
    <col min="9208" max="9208" width="40.33203125" style="2006" bestFit="1" customWidth="1"/>
    <col min="9209" max="9209" width="2.33203125" style="2006" customWidth="1"/>
    <col min="9210" max="9210" width="9.5546875" style="2006" customWidth="1"/>
    <col min="9211" max="9211" width="2.33203125" style="2006" customWidth="1"/>
    <col min="9212" max="9212" width="13.5546875" style="2006" customWidth="1"/>
    <col min="9213" max="9213" width="2.33203125" style="2006" customWidth="1"/>
    <col min="9214" max="9214" width="13.5546875" style="2006" customWidth="1"/>
    <col min="9215" max="9215" width="2.33203125" style="2006" customWidth="1"/>
    <col min="9216" max="9216" width="13.5546875" style="2006" customWidth="1"/>
    <col min="9217" max="9217" width="2.33203125" style="2006" customWidth="1"/>
    <col min="9218" max="9218" width="13.5546875" style="2006" customWidth="1"/>
    <col min="9219" max="9219" width="2.33203125" style="2006" customWidth="1"/>
    <col min="9220" max="9220" width="13.5546875" style="2006" customWidth="1"/>
    <col min="9221" max="9221" width="2.33203125" style="2006" customWidth="1"/>
    <col min="9222" max="9223" width="13.5546875" style="2006" customWidth="1"/>
    <col min="9224" max="9441" width="9.109375" style="2006"/>
    <col min="9442" max="9442" width="3.5546875" style="2006" customWidth="1"/>
    <col min="9443" max="9443" width="6.6640625" style="2006" bestFit="1" customWidth="1"/>
    <col min="9444" max="9444" width="10.6640625" style="2006" bestFit="1" customWidth="1"/>
    <col min="9445" max="9445" width="40.33203125" style="2006" bestFit="1" customWidth="1"/>
    <col min="9446" max="9446" width="2.33203125" style="2006" customWidth="1"/>
    <col min="9447" max="9447" width="9.5546875" style="2006" customWidth="1"/>
    <col min="9448" max="9448" width="2.33203125" style="2006" customWidth="1"/>
    <col min="9449" max="9449" width="13.5546875" style="2006" customWidth="1"/>
    <col min="9450" max="9450" width="2.33203125" style="2006" customWidth="1"/>
    <col min="9451" max="9451" width="13.5546875" style="2006" customWidth="1"/>
    <col min="9452" max="9452" width="2.33203125" style="2006" customWidth="1"/>
    <col min="9453" max="9453" width="13.5546875" style="2006" customWidth="1"/>
    <col min="9454" max="9454" width="2.33203125" style="2006" customWidth="1"/>
    <col min="9455" max="9455" width="13.5546875" style="2006" customWidth="1"/>
    <col min="9456" max="9456" width="2.33203125" style="2006" customWidth="1"/>
    <col min="9457" max="9457" width="13.5546875" style="2006" customWidth="1"/>
    <col min="9458" max="9458" width="2.33203125" style="2006" customWidth="1"/>
    <col min="9459" max="9459" width="13.5546875" style="2006" customWidth="1"/>
    <col min="9460" max="9460" width="3.33203125" style="2006" customWidth="1"/>
    <col min="9461" max="9461" width="3.5546875" style="2006" customWidth="1"/>
    <col min="9462" max="9462" width="11.33203125" style="2006" customWidth="1"/>
    <col min="9463" max="9463" width="11.6640625" style="2006" bestFit="1" customWidth="1"/>
    <col min="9464" max="9464" width="40.33203125" style="2006" bestFit="1" customWidth="1"/>
    <col min="9465" max="9465" width="2.33203125" style="2006" customWidth="1"/>
    <col min="9466" max="9466" width="9.5546875" style="2006" customWidth="1"/>
    <col min="9467" max="9467" width="2.33203125" style="2006" customWidth="1"/>
    <col min="9468" max="9468" width="13.5546875" style="2006" customWidth="1"/>
    <col min="9469" max="9469" width="2.33203125" style="2006" customWidth="1"/>
    <col min="9470" max="9470" width="13.5546875" style="2006" customWidth="1"/>
    <col min="9471" max="9471" width="2.33203125" style="2006" customWidth="1"/>
    <col min="9472" max="9472" width="13.5546875" style="2006" customWidth="1"/>
    <col min="9473" max="9473" width="2.33203125" style="2006" customWidth="1"/>
    <col min="9474" max="9474" width="13.5546875" style="2006" customWidth="1"/>
    <col min="9475" max="9475" width="2.33203125" style="2006" customWidth="1"/>
    <col min="9476" max="9476" width="13.5546875" style="2006" customWidth="1"/>
    <col min="9477" max="9477" width="2.33203125" style="2006" customWidth="1"/>
    <col min="9478" max="9479" width="13.5546875" style="2006" customWidth="1"/>
    <col min="9480" max="9697" width="9.109375" style="2006"/>
    <col min="9698" max="9698" width="3.5546875" style="2006" customWidth="1"/>
    <col min="9699" max="9699" width="6.6640625" style="2006" bestFit="1" customWidth="1"/>
    <col min="9700" max="9700" width="10.6640625" style="2006" bestFit="1" customWidth="1"/>
    <col min="9701" max="9701" width="40.33203125" style="2006" bestFit="1" customWidth="1"/>
    <col min="9702" max="9702" width="2.33203125" style="2006" customWidth="1"/>
    <col min="9703" max="9703" width="9.5546875" style="2006" customWidth="1"/>
    <col min="9704" max="9704" width="2.33203125" style="2006" customWidth="1"/>
    <col min="9705" max="9705" width="13.5546875" style="2006" customWidth="1"/>
    <col min="9706" max="9706" width="2.33203125" style="2006" customWidth="1"/>
    <col min="9707" max="9707" width="13.5546875" style="2006" customWidth="1"/>
    <col min="9708" max="9708" width="2.33203125" style="2006" customWidth="1"/>
    <col min="9709" max="9709" width="13.5546875" style="2006" customWidth="1"/>
    <col min="9710" max="9710" width="2.33203125" style="2006" customWidth="1"/>
    <col min="9711" max="9711" width="13.5546875" style="2006" customWidth="1"/>
    <col min="9712" max="9712" width="2.33203125" style="2006" customWidth="1"/>
    <col min="9713" max="9713" width="13.5546875" style="2006" customWidth="1"/>
    <col min="9714" max="9714" width="2.33203125" style="2006" customWidth="1"/>
    <col min="9715" max="9715" width="13.5546875" style="2006" customWidth="1"/>
    <col min="9716" max="9716" width="3.33203125" style="2006" customWidth="1"/>
    <col min="9717" max="9717" width="3.5546875" style="2006" customWidth="1"/>
    <col min="9718" max="9718" width="11.33203125" style="2006" customWidth="1"/>
    <col min="9719" max="9719" width="11.6640625" style="2006" bestFit="1" customWidth="1"/>
    <col min="9720" max="9720" width="40.33203125" style="2006" bestFit="1" customWidth="1"/>
    <col min="9721" max="9721" width="2.33203125" style="2006" customWidth="1"/>
    <col min="9722" max="9722" width="9.5546875" style="2006" customWidth="1"/>
    <col min="9723" max="9723" width="2.33203125" style="2006" customWidth="1"/>
    <col min="9724" max="9724" width="13.5546875" style="2006" customWidth="1"/>
    <col min="9725" max="9725" width="2.33203125" style="2006" customWidth="1"/>
    <col min="9726" max="9726" width="13.5546875" style="2006" customWidth="1"/>
    <col min="9727" max="9727" width="2.33203125" style="2006" customWidth="1"/>
    <col min="9728" max="9728" width="13.5546875" style="2006" customWidth="1"/>
    <col min="9729" max="9729" width="2.33203125" style="2006" customWidth="1"/>
    <col min="9730" max="9730" width="13.5546875" style="2006" customWidth="1"/>
    <col min="9731" max="9731" width="2.33203125" style="2006" customWidth="1"/>
    <col min="9732" max="9732" width="13.5546875" style="2006" customWidth="1"/>
    <col min="9733" max="9733" width="2.33203125" style="2006" customWidth="1"/>
    <col min="9734" max="9735" width="13.5546875" style="2006" customWidth="1"/>
    <col min="9736" max="9953" width="9.109375" style="2006"/>
    <col min="9954" max="9954" width="3.5546875" style="2006" customWidth="1"/>
    <col min="9955" max="9955" width="6.6640625" style="2006" bestFit="1" customWidth="1"/>
    <col min="9956" max="9956" width="10.6640625" style="2006" bestFit="1" customWidth="1"/>
    <col min="9957" max="9957" width="40.33203125" style="2006" bestFit="1" customWidth="1"/>
    <col min="9958" max="9958" width="2.33203125" style="2006" customWidth="1"/>
    <col min="9959" max="9959" width="9.5546875" style="2006" customWidth="1"/>
    <col min="9960" max="9960" width="2.33203125" style="2006" customWidth="1"/>
    <col min="9961" max="9961" width="13.5546875" style="2006" customWidth="1"/>
    <col min="9962" max="9962" width="2.33203125" style="2006" customWidth="1"/>
    <col min="9963" max="9963" width="13.5546875" style="2006" customWidth="1"/>
    <col min="9964" max="9964" width="2.33203125" style="2006" customWidth="1"/>
    <col min="9965" max="9965" width="13.5546875" style="2006" customWidth="1"/>
    <col min="9966" max="9966" width="2.33203125" style="2006" customWidth="1"/>
    <col min="9967" max="9967" width="13.5546875" style="2006" customWidth="1"/>
    <col min="9968" max="9968" width="2.33203125" style="2006" customWidth="1"/>
    <col min="9969" max="9969" width="13.5546875" style="2006" customWidth="1"/>
    <col min="9970" max="9970" width="2.33203125" style="2006" customWidth="1"/>
    <col min="9971" max="9971" width="13.5546875" style="2006" customWidth="1"/>
    <col min="9972" max="9972" width="3.33203125" style="2006" customWidth="1"/>
    <col min="9973" max="9973" width="3.5546875" style="2006" customWidth="1"/>
    <col min="9974" max="9974" width="11.33203125" style="2006" customWidth="1"/>
    <col min="9975" max="9975" width="11.6640625" style="2006" bestFit="1" customWidth="1"/>
    <col min="9976" max="9976" width="40.33203125" style="2006" bestFit="1" customWidth="1"/>
    <col min="9977" max="9977" width="2.33203125" style="2006" customWidth="1"/>
    <col min="9978" max="9978" width="9.5546875" style="2006" customWidth="1"/>
    <col min="9979" max="9979" width="2.33203125" style="2006" customWidth="1"/>
    <col min="9980" max="9980" width="13.5546875" style="2006" customWidth="1"/>
    <col min="9981" max="9981" width="2.33203125" style="2006" customWidth="1"/>
    <col min="9982" max="9982" width="13.5546875" style="2006" customWidth="1"/>
    <col min="9983" max="9983" width="2.33203125" style="2006" customWidth="1"/>
    <col min="9984" max="9984" width="13.5546875" style="2006" customWidth="1"/>
    <col min="9985" max="9985" width="2.33203125" style="2006" customWidth="1"/>
    <col min="9986" max="9986" width="13.5546875" style="2006" customWidth="1"/>
    <col min="9987" max="9987" width="2.33203125" style="2006" customWidth="1"/>
    <col min="9988" max="9988" width="13.5546875" style="2006" customWidth="1"/>
    <col min="9989" max="9989" width="2.33203125" style="2006" customWidth="1"/>
    <col min="9990" max="9991" width="13.5546875" style="2006" customWidth="1"/>
    <col min="9992" max="10209" width="9.109375" style="2006"/>
    <col min="10210" max="10210" width="3.5546875" style="2006" customWidth="1"/>
    <col min="10211" max="10211" width="6.6640625" style="2006" bestFit="1" customWidth="1"/>
    <col min="10212" max="10212" width="10.6640625" style="2006" bestFit="1" customWidth="1"/>
    <col min="10213" max="10213" width="40.33203125" style="2006" bestFit="1" customWidth="1"/>
    <col min="10214" max="10214" width="2.33203125" style="2006" customWidth="1"/>
    <col min="10215" max="10215" width="9.5546875" style="2006" customWidth="1"/>
    <col min="10216" max="10216" width="2.33203125" style="2006" customWidth="1"/>
    <col min="10217" max="10217" width="13.5546875" style="2006" customWidth="1"/>
    <col min="10218" max="10218" width="2.33203125" style="2006" customWidth="1"/>
    <col min="10219" max="10219" width="13.5546875" style="2006" customWidth="1"/>
    <col min="10220" max="10220" width="2.33203125" style="2006" customWidth="1"/>
    <col min="10221" max="10221" width="13.5546875" style="2006" customWidth="1"/>
    <col min="10222" max="10222" width="2.33203125" style="2006" customWidth="1"/>
    <col min="10223" max="10223" width="13.5546875" style="2006" customWidth="1"/>
    <col min="10224" max="10224" width="2.33203125" style="2006" customWidth="1"/>
    <col min="10225" max="10225" width="13.5546875" style="2006" customWidth="1"/>
    <col min="10226" max="10226" width="2.33203125" style="2006" customWidth="1"/>
    <col min="10227" max="10227" width="13.5546875" style="2006" customWidth="1"/>
    <col min="10228" max="10228" width="3.33203125" style="2006" customWidth="1"/>
    <col min="10229" max="10229" width="3.5546875" style="2006" customWidth="1"/>
    <col min="10230" max="10230" width="11.33203125" style="2006" customWidth="1"/>
    <col min="10231" max="10231" width="11.6640625" style="2006" bestFit="1" customWidth="1"/>
    <col min="10232" max="10232" width="40.33203125" style="2006" bestFit="1" customWidth="1"/>
    <col min="10233" max="10233" width="2.33203125" style="2006" customWidth="1"/>
    <col min="10234" max="10234" width="9.5546875" style="2006" customWidth="1"/>
    <col min="10235" max="10235" width="2.33203125" style="2006" customWidth="1"/>
    <col min="10236" max="10236" width="13.5546875" style="2006" customWidth="1"/>
    <col min="10237" max="10237" width="2.33203125" style="2006" customWidth="1"/>
    <col min="10238" max="10238" width="13.5546875" style="2006" customWidth="1"/>
    <col min="10239" max="10239" width="2.33203125" style="2006" customWidth="1"/>
    <col min="10240" max="10240" width="13.5546875" style="2006" customWidth="1"/>
    <col min="10241" max="10241" width="2.33203125" style="2006" customWidth="1"/>
    <col min="10242" max="10242" width="13.5546875" style="2006" customWidth="1"/>
    <col min="10243" max="10243" width="2.33203125" style="2006" customWidth="1"/>
    <col min="10244" max="10244" width="13.5546875" style="2006" customWidth="1"/>
    <col min="10245" max="10245" width="2.33203125" style="2006" customWidth="1"/>
    <col min="10246" max="10247" width="13.5546875" style="2006" customWidth="1"/>
    <col min="10248" max="10465" width="9.109375" style="2006"/>
    <col min="10466" max="10466" width="3.5546875" style="2006" customWidth="1"/>
    <col min="10467" max="10467" width="6.6640625" style="2006" bestFit="1" customWidth="1"/>
    <col min="10468" max="10468" width="10.6640625" style="2006" bestFit="1" customWidth="1"/>
    <col min="10469" max="10469" width="40.33203125" style="2006" bestFit="1" customWidth="1"/>
    <col min="10470" max="10470" width="2.33203125" style="2006" customWidth="1"/>
    <col min="10471" max="10471" width="9.5546875" style="2006" customWidth="1"/>
    <col min="10472" max="10472" width="2.33203125" style="2006" customWidth="1"/>
    <col min="10473" max="10473" width="13.5546875" style="2006" customWidth="1"/>
    <col min="10474" max="10474" width="2.33203125" style="2006" customWidth="1"/>
    <col min="10475" max="10475" width="13.5546875" style="2006" customWidth="1"/>
    <col min="10476" max="10476" width="2.33203125" style="2006" customWidth="1"/>
    <col min="10477" max="10477" width="13.5546875" style="2006" customWidth="1"/>
    <col min="10478" max="10478" width="2.33203125" style="2006" customWidth="1"/>
    <col min="10479" max="10479" width="13.5546875" style="2006" customWidth="1"/>
    <col min="10480" max="10480" width="2.33203125" style="2006" customWidth="1"/>
    <col min="10481" max="10481" width="13.5546875" style="2006" customWidth="1"/>
    <col min="10482" max="10482" width="2.33203125" style="2006" customWidth="1"/>
    <col min="10483" max="10483" width="13.5546875" style="2006" customWidth="1"/>
    <col min="10484" max="10484" width="3.33203125" style="2006" customWidth="1"/>
    <col min="10485" max="10485" width="3.5546875" style="2006" customWidth="1"/>
    <col min="10486" max="10486" width="11.33203125" style="2006" customWidth="1"/>
    <col min="10487" max="10487" width="11.6640625" style="2006" bestFit="1" customWidth="1"/>
    <col min="10488" max="10488" width="40.33203125" style="2006" bestFit="1" customWidth="1"/>
    <col min="10489" max="10489" width="2.33203125" style="2006" customWidth="1"/>
    <col min="10490" max="10490" width="9.5546875" style="2006" customWidth="1"/>
    <col min="10491" max="10491" width="2.33203125" style="2006" customWidth="1"/>
    <col min="10492" max="10492" width="13.5546875" style="2006" customWidth="1"/>
    <col min="10493" max="10493" width="2.33203125" style="2006" customWidth="1"/>
    <col min="10494" max="10494" width="13.5546875" style="2006" customWidth="1"/>
    <col min="10495" max="10495" width="2.33203125" style="2006" customWidth="1"/>
    <col min="10496" max="10496" width="13.5546875" style="2006" customWidth="1"/>
    <col min="10497" max="10497" width="2.33203125" style="2006" customWidth="1"/>
    <col min="10498" max="10498" width="13.5546875" style="2006" customWidth="1"/>
    <col min="10499" max="10499" width="2.33203125" style="2006" customWidth="1"/>
    <col min="10500" max="10500" width="13.5546875" style="2006" customWidth="1"/>
    <col min="10501" max="10501" width="2.33203125" style="2006" customWidth="1"/>
    <col min="10502" max="10503" width="13.5546875" style="2006" customWidth="1"/>
    <col min="10504" max="10721" width="9.109375" style="2006"/>
    <col min="10722" max="10722" width="3.5546875" style="2006" customWidth="1"/>
    <col min="10723" max="10723" width="6.6640625" style="2006" bestFit="1" customWidth="1"/>
    <col min="10724" max="10724" width="10.6640625" style="2006" bestFit="1" customWidth="1"/>
    <col min="10725" max="10725" width="40.33203125" style="2006" bestFit="1" customWidth="1"/>
    <col min="10726" max="10726" width="2.33203125" style="2006" customWidth="1"/>
    <col min="10727" max="10727" width="9.5546875" style="2006" customWidth="1"/>
    <col min="10728" max="10728" width="2.33203125" style="2006" customWidth="1"/>
    <col min="10729" max="10729" width="13.5546875" style="2006" customWidth="1"/>
    <col min="10730" max="10730" width="2.33203125" style="2006" customWidth="1"/>
    <col min="10731" max="10731" width="13.5546875" style="2006" customWidth="1"/>
    <col min="10732" max="10732" width="2.33203125" style="2006" customWidth="1"/>
    <col min="10733" max="10733" width="13.5546875" style="2006" customWidth="1"/>
    <col min="10734" max="10734" width="2.33203125" style="2006" customWidth="1"/>
    <col min="10735" max="10735" width="13.5546875" style="2006" customWidth="1"/>
    <col min="10736" max="10736" width="2.33203125" style="2006" customWidth="1"/>
    <col min="10737" max="10737" width="13.5546875" style="2006" customWidth="1"/>
    <col min="10738" max="10738" width="2.33203125" style="2006" customWidth="1"/>
    <col min="10739" max="10739" width="13.5546875" style="2006" customWidth="1"/>
    <col min="10740" max="10740" width="3.33203125" style="2006" customWidth="1"/>
    <col min="10741" max="10741" width="3.5546875" style="2006" customWidth="1"/>
    <col min="10742" max="10742" width="11.33203125" style="2006" customWidth="1"/>
    <col min="10743" max="10743" width="11.6640625" style="2006" bestFit="1" customWidth="1"/>
    <col min="10744" max="10744" width="40.33203125" style="2006" bestFit="1" customWidth="1"/>
    <col min="10745" max="10745" width="2.33203125" style="2006" customWidth="1"/>
    <col min="10746" max="10746" width="9.5546875" style="2006" customWidth="1"/>
    <col min="10747" max="10747" width="2.33203125" style="2006" customWidth="1"/>
    <col min="10748" max="10748" width="13.5546875" style="2006" customWidth="1"/>
    <col min="10749" max="10749" width="2.33203125" style="2006" customWidth="1"/>
    <col min="10750" max="10750" width="13.5546875" style="2006" customWidth="1"/>
    <col min="10751" max="10751" width="2.33203125" style="2006" customWidth="1"/>
    <col min="10752" max="10752" width="13.5546875" style="2006" customWidth="1"/>
    <col min="10753" max="10753" width="2.33203125" style="2006" customWidth="1"/>
    <col min="10754" max="10754" width="13.5546875" style="2006" customWidth="1"/>
    <col min="10755" max="10755" width="2.33203125" style="2006" customWidth="1"/>
    <col min="10756" max="10756" width="13.5546875" style="2006" customWidth="1"/>
    <col min="10757" max="10757" width="2.33203125" style="2006" customWidth="1"/>
    <col min="10758" max="10759" width="13.5546875" style="2006" customWidth="1"/>
    <col min="10760" max="10977" width="9.109375" style="2006"/>
    <col min="10978" max="10978" width="3.5546875" style="2006" customWidth="1"/>
    <col min="10979" max="10979" width="6.6640625" style="2006" bestFit="1" customWidth="1"/>
    <col min="10980" max="10980" width="10.6640625" style="2006" bestFit="1" customWidth="1"/>
    <col min="10981" max="10981" width="40.33203125" style="2006" bestFit="1" customWidth="1"/>
    <col min="10982" max="10982" width="2.33203125" style="2006" customWidth="1"/>
    <col min="10983" max="10983" width="9.5546875" style="2006" customWidth="1"/>
    <col min="10984" max="10984" width="2.33203125" style="2006" customWidth="1"/>
    <col min="10985" max="10985" width="13.5546875" style="2006" customWidth="1"/>
    <col min="10986" max="10986" width="2.33203125" style="2006" customWidth="1"/>
    <col min="10987" max="10987" width="13.5546875" style="2006" customWidth="1"/>
    <col min="10988" max="10988" width="2.33203125" style="2006" customWidth="1"/>
    <col min="10989" max="10989" width="13.5546875" style="2006" customWidth="1"/>
    <col min="10990" max="10990" width="2.33203125" style="2006" customWidth="1"/>
    <col min="10991" max="10991" width="13.5546875" style="2006" customWidth="1"/>
    <col min="10992" max="10992" width="2.33203125" style="2006" customWidth="1"/>
    <col min="10993" max="10993" width="13.5546875" style="2006" customWidth="1"/>
    <col min="10994" max="10994" width="2.33203125" style="2006" customWidth="1"/>
    <col min="10995" max="10995" width="13.5546875" style="2006" customWidth="1"/>
    <col min="10996" max="10996" width="3.33203125" style="2006" customWidth="1"/>
    <col min="10997" max="10997" width="3.5546875" style="2006" customWidth="1"/>
    <col min="10998" max="10998" width="11.33203125" style="2006" customWidth="1"/>
    <col min="10999" max="10999" width="11.6640625" style="2006" bestFit="1" customWidth="1"/>
    <col min="11000" max="11000" width="40.33203125" style="2006" bestFit="1" customWidth="1"/>
    <col min="11001" max="11001" width="2.33203125" style="2006" customWidth="1"/>
    <col min="11002" max="11002" width="9.5546875" style="2006" customWidth="1"/>
    <col min="11003" max="11003" width="2.33203125" style="2006" customWidth="1"/>
    <col min="11004" max="11004" width="13.5546875" style="2006" customWidth="1"/>
    <col min="11005" max="11005" width="2.33203125" style="2006" customWidth="1"/>
    <col min="11006" max="11006" width="13.5546875" style="2006" customWidth="1"/>
    <col min="11007" max="11007" width="2.33203125" style="2006" customWidth="1"/>
    <col min="11008" max="11008" width="13.5546875" style="2006" customWidth="1"/>
    <col min="11009" max="11009" width="2.33203125" style="2006" customWidth="1"/>
    <col min="11010" max="11010" width="13.5546875" style="2006" customWidth="1"/>
    <col min="11011" max="11011" width="2.33203125" style="2006" customWidth="1"/>
    <col min="11012" max="11012" width="13.5546875" style="2006" customWidth="1"/>
    <col min="11013" max="11013" width="2.33203125" style="2006" customWidth="1"/>
    <col min="11014" max="11015" width="13.5546875" style="2006" customWidth="1"/>
    <col min="11016" max="11233" width="9.109375" style="2006"/>
    <col min="11234" max="11234" width="3.5546875" style="2006" customWidth="1"/>
    <col min="11235" max="11235" width="6.6640625" style="2006" bestFit="1" customWidth="1"/>
    <col min="11236" max="11236" width="10.6640625" style="2006" bestFit="1" customWidth="1"/>
    <col min="11237" max="11237" width="40.33203125" style="2006" bestFit="1" customWidth="1"/>
    <col min="11238" max="11238" width="2.33203125" style="2006" customWidth="1"/>
    <col min="11239" max="11239" width="9.5546875" style="2006" customWidth="1"/>
    <col min="11240" max="11240" width="2.33203125" style="2006" customWidth="1"/>
    <col min="11241" max="11241" width="13.5546875" style="2006" customWidth="1"/>
    <col min="11242" max="11242" width="2.33203125" style="2006" customWidth="1"/>
    <col min="11243" max="11243" width="13.5546875" style="2006" customWidth="1"/>
    <col min="11244" max="11244" width="2.33203125" style="2006" customWidth="1"/>
    <col min="11245" max="11245" width="13.5546875" style="2006" customWidth="1"/>
    <col min="11246" max="11246" width="2.33203125" style="2006" customWidth="1"/>
    <col min="11247" max="11247" width="13.5546875" style="2006" customWidth="1"/>
    <col min="11248" max="11248" width="2.33203125" style="2006" customWidth="1"/>
    <col min="11249" max="11249" width="13.5546875" style="2006" customWidth="1"/>
    <col min="11250" max="11250" width="2.33203125" style="2006" customWidth="1"/>
    <col min="11251" max="11251" width="13.5546875" style="2006" customWidth="1"/>
    <col min="11252" max="11252" width="3.33203125" style="2006" customWidth="1"/>
    <col min="11253" max="11253" width="3.5546875" style="2006" customWidth="1"/>
    <col min="11254" max="11254" width="11.33203125" style="2006" customWidth="1"/>
    <col min="11255" max="11255" width="11.6640625" style="2006" bestFit="1" customWidth="1"/>
    <col min="11256" max="11256" width="40.33203125" style="2006" bestFit="1" customWidth="1"/>
    <col min="11257" max="11257" width="2.33203125" style="2006" customWidth="1"/>
    <col min="11258" max="11258" width="9.5546875" style="2006" customWidth="1"/>
    <col min="11259" max="11259" width="2.33203125" style="2006" customWidth="1"/>
    <col min="11260" max="11260" width="13.5546875" style="2006" customWidth="1"/>
    <col min="11261" max="11261" width="2.33203125" style="2006" customWidth="1"/>
    <col min="11262" max="11262" width="13.5546875" style="2006" customWidth="1"/>
    <col min="11263" max="11263" width="2.33203125" style="2006" customWidth="1"/>
    <col min="11264" max="11264" width="13.5546875" style="2006" customWidth="1"/>
    <col min="11265" max="11265" width="2.33203125" style="2006" customWidth="1"/>
    <col min="11266" max="11266" width="13.5546875" style="2006" customWidth="1"/>
    <col min="11267" max="11267" width="2.33203125" style="2006" customWidth="1"/>
    <col min="11268" max="11268" width="13.5546875" style="2006" customWidth="1"/>
    <col min="11269" max="11269" width="2.33203125" style="2006" customWidth="1"/>
    <col min="11270" max="11271" width="13.5546875" style="2006" customWidth="1"/>
    <col min="11272" max="11489" width="9.109375" style="2006"/>
    <col min="11490" max="11490" width="3.5546875" style="2006" customWidth="1"/>
    <col min="11491" max="11491" width="6.6640625" style="2006" bestFit="1" customWidth="1"/>
    <col min="11492" max="11492" width="10.6640625" style="2006" bestFit="1" customWidth="1"/>
    <col min="11493" max="11493" width="40.33203125" style="2006" bestFit="1" customWidth="1"/>
    <col min="11494" max="11494" width="2.33203125" style="2006" customWidth="1"/>
    <col min="11495" max="11495" width="9.5546875" style="2006" customWidth="1"/>
    <col min="11496" max="11496" width="2.33203125" style="2006" customWidth="1"/>
    <col min="11497" max="11497" width="13.5546875" style="2006" customWidth="1"/>
    <col min="11498" max="11498" width="2.33203125" style="2006" customWidth="1"/>
    <col min="11499" max="11499" width="13.5546875" style="2006" customWidth="1"/>
    <col min="11500" max="11500" width="2.33203125" style="2006" customWidth="1"/>
    <col min="11501" max="11501" width="13.5546875" style="2006" customWidth="1"/>
    <col min="11502" max="11502" width="2.33203125" style="2006" customWidth="1"/>
    <col min="11503" max="11503" width="13.5546875" style="2006" customWidth="1"/>
    <col min="11504" max="11504" width="2.33203125" style="2006" customWidth="1"/>
    <col min="11505" max="11505" width="13.5546875" style="2006" customWidth="1"/>
    <col min="11506" max="11506" width="2.33203125" style="2006" customWidth="1"/>
    <col min="11507" max="11507" width="13.5546875" style="2006" customWidth="1"/>
    <col min="11508" max="11508" width="3.33203125" style="2006" customWidth="1"/>
    <col min="11509" max="11509" width="3.5546875" style="2006" customWidth="1"/>
    <col min="11510" max="11510" width="11.33203125" style="2006" customWidth="1"/>
    <col min="11511" max="11511" width="11.6640625" style="2006" bestFit="1" customWidth="1"/>
    <col min="11512" max="11512" width="40.33203125" style="2006" bestFit="1" customWidth="1"/>
    <col min="11513" max="11513" width="2.33203125" style="2006" customWidth="1"/>
    <col min="11514" max="11514" width="9.5546875" style="2006" customWidth="1"/>
    <col min="11515" max="11515" width="2.33203125" style="2006" customWidth="1"/>
    <col min="11516" max="11516" width="13.5546875" style="2006" customWidth="1"/>
    <col min="11517" max="11517" width="2.33203125" style="2006" customWidth="1"/>
    <col min="11518" max="11518" width="13.5546875" style="2006" customWidth="1"/>
    <col min="11519" max="11519" width="2.33203125" style="2006" customWidth="1"/>
    <col min="11520" max="11520" width="13.5546875" style="2006" customWidth="1"/>
    <col min="11521" max="11521" width="2.33203125" style="2006" customWidth="1"/>
    <col min="11522" max="11522" width="13.5546875" style="2006" customWidth="1"/>
    <col min="11523" max="11523" width="2.33203125" style="2006" customWidth="1"/>
    <col min="11524" max="11524" width="13.5546875" style="2006" customWidth="1"/>
    <col min="11525" max="11525" width="2.33203125" style="2006" customWidth="1"/>
    <col min="11526" max="11527" width="13.5546875" style="2006" customWidth="1"/>
    <col min="11528" max="11745" width="9.109375" style="2006"/>
    <col min="11746" max="11746" width="3.5546875" style="2006" customWidth="1"/>
    <col min="11747" max="11747" width="6.6640625" style="2006" bestFit="1" customWidth="1"/>
    <col min="11748" max="11748" width="10.6640625" style="2006" bestFit="1" customWidth="1"/>
    <col min="11749" max="11749" width="40.33203125" style="2006" bestFit="1" customWidth="1"/>
    <col min="11750" max="11750" width="2.33203125" style="2006" customWidth="1"/>
    <col min="11751" max="11751" width="9.5546875" style="2006" customWidth="1"/>
    <col min="11752" max="11752" width="2.33203125" style="2006" customWidth="1"/>
    <col min="11753" max="11753" width="13.5546875" style="2006" customWidth="1"/>
    <col min="11754" max="11754" width="2.33203125" style="2006" customWidth="1"/>
    <col min="11755" max="11755" width="13.5546875" style="2006" customWidth="1"/>
    <col min="11756" max="11756" width="2.33203125" style="2006" customWidth="1"/>
    <col min="11757" max="11757" width="13.5546875" style="2006" customWidth="1"/>
    <col min="11758" max="11758" width="2.33203125" style="2006" customWidth="1"/>
    <col min="11759" max="11759" width="13.5546875" style="2006" customWidth="1"/>
    <col min="11760" max="11760" width="2.33203125" style="2006" customWidth="1"/>
    <col min="11761" max="11761" width="13.5546875" style="2006" customWidth="1"/>
    <col min="11762" max="11762" width="2.33203125" style="2006" customWidth="1"/>
    <col min="11763" max="11763" width="13.5546875" style="2006" customWidth="1"/>
    <col min="11764" max="11764" width="3.33203125" style="2006" customWidth="1"/>
    <col min="11765" max="11765" width="3.5546875" style="2006" customWidth="1"/>
    <col min="11766" max="11766" width="11.33203125" style="2006" customWidth="1"/>
    <col min="11767" max="11767" width="11.6640625" style="2006" bestFit="1" customWidth="1"/>
    <col min="11768" max="11768" width="40.33203125" style="2006" bestFit="1" customWidth="1"/>
    <col min="11769" max="11769" width="2.33203125" style="2006" customWidth="1"/>
    <col min="11770" max="11770" width="9.5546875" style="2006" customWidth="1"/>
    <col min="11771" max="11771" width="2.33203125" style="2006" customWidth="1"/>
    <col min="11772" max="11772" width="13.5546875" style="2006" customWidth="1"/>
    <col min="11773" max="11773" width="2.33203125" style="2006" customWidth="1"/>
    <col min="11774" max="11774" width="13.5546875" style="2006" customWidth="1"/>
    <col min="11775" max="11775" width="2.33203125" style="2006" customWidth="1"/>
    <col min="11776" max="11776" width="13.5546875" style="2006" customWidth="1"/>
    <col min="11777" max="11777" width="2.33203125" style="2006" customWidth="1"/>
    <col min="11778" max="11778" width="13.5546875" style="2006" customWidth="1"/>
    <col min="11779" max="11779" width="2.33203125" style="2006" customWidth="1"/>
    <col min="11780" max="11780" width="13.5546875" style="2006" customWidth="1"/>
    <col min="11781" max="11781" width="2.33203125" style="2006" customWidth="1"/>
    <col min="11782" max="11783" width="13.5546875" style="2006" customWidth="1"/>
    <col min="11784" max="12001" width="9.109375" style="2006"/>
    <col min="12002" max="12002" width="3.5546875" style="2006" customWidth="1"/>
    <col min="12003" max="12003" width="6.6640625" style="2006" bestFit="1" customWidth="1"/>
    <col min="12004" max="12004" width="10.6640625" style="2006" bestFit="1" customWidth="1"/>
    <col min="12005" max="12005" width="40.33203125" style="2006" bestFit="1" customWidth="1"/>
    <col min="12006" max="12006" width="2.33203125" style="2006" customWidth="1"/>
    <col min="12007" max="12007" width="9.5546875" style="2006" customWidth="1"/>
    <col min="12008" max="12008" width="2.33203125" style="2006" customWidth="1"/>
    <col min="12009" max="12009" width="13.5546875" style="2006" customWidth="1"/>
    <col min="12010" max="12010" width="2.33203125" style="2006" customWidth="1"/>
    <col min="12011" max="12011" width="13.5546875" style="2006" customWidth="1"/>
    <col min="12012" max="12012" width="2.33203125" style="2006" customWidth="1"/>
    <col min="12013" max="12013" width="13.5546875" style="2006" customWidth="1"/>
    <col min="12014" max="12014" width="2.33203125" style="2006" customWidth="1"/>
    <col min="12015" max="12015" width="13.5546875" style="2006" customWidth="1"/>
    <col min="12016" max="12016" width="2.33203125" style="2006" customWidth="1"/>
    <col min="12017" max="12017" width="13.5546875" style="2006" customWidth="1"/>
    <col min="12018" max="12018" width="2.33203125" style="2006" customWidth="1"/>
    <col min="12019" max="12019" width="13.5546875" style="2006" customWidth="1"/>
    <col min="12020" max="12020" width="3.33203125" style="2006" customWidth="1"/>
    <col min="12021" max="12021" width="3.5546875" style="2006" customWidth="1"/>
    <col min="12022" max="12022" width="11.33203125" style="2006" customWidth="1"/>
    <col min="12023" max="12023" width="11.6640625" style="2006" bestFit="1" customWidth="1"/>
    <col min="12024" max="12024" width="40.33203125" style="2006" bestFit="1" customWidth="1"/>
    <col min="12025" max="12025" width="2.33203125" style="2006" customWidth="1"/>
    <col min="12026" max="12026" width="9.5546875" style="2006" customWidth="1"/>
    <col min="12027" max="12027" width="2.33203125" style="2006" customWidth="1"/>
    <col min="12028" max="12028" width="13.5546875" style="2006" customWidth="1"/>
    <col min="12029" max="12029" width="2.33203125" style="2006" customWidth="1"/>
    <col min="12030" max="12030" width="13.5546875" style="2006" customWidth="1"/>
    <col min="12031" max="12031" width="2.33203125" style="2006" customWidth="1"/>
    <col min="12032" max="12032" width="13.5546875" style="2006" customWidth="1"/>
    <col min="12033" max="12033" width="2.33203125" style="2006" customWidth="1"/>
    <col min="12034" max="12034" width="13.5546875" style="2006" customWidth="1"/>
    <col min="12035" max="12035" width="2.33203125" style="2006" customWidth="1"/>
    <col min="12036" max="12036" width="13.5546875" style="2006" customWidth="1"/>
    <col min="12037" max="12037" width="2.33203125" style="2006" customWidth="1"/>
    <col min="12038" max="12039" width="13.5546875" style="2006" customWidth="1"/>
    <col min="12040" max="12257" width="9.109375" style="2006"/>
    <col min="12258" max="12258" width="3.5546875" style="2006" customWidth="1"/>
    <col min="12259" max="12259" width="6.6640625" style="2006" bestFit="1" customWidth="1"/>
    <col min="12260" max="12260" width="10.6640625" style="2006" bestFit="1" customWidth="1"/>
    <col min="12261" max="12261" width="40.33203125" style="2006" bestFit="1" customWidth="1"/>
    <col min="12262" max="12262" width="2.33203125" style="2006" customWidth="1"/>
    <col min="12263" max="12263" width="9.5546875" style="2006" customWidth="1"/>
    <col min="12264" max="12264" width="2.33203125" style="2006" customWidth="1"/>
    <col min="12265" max="12265" width="13.5546875" style="2006" customWidth="1"/>
    <col min="12266" max="12266" width="2.33203125" style="2006" customWidth="1"/>
    <col min="12267" max="12267" width="13.5546875" style="2006" customWidth="1"/>
    <col min="12268" max="12268" width="2.33203125" style="2006" customWidth="1"/>
    <col min="12269" max="12269" width="13.5546875" style="2006" customWidth="1"/>
    <col min="12270" max="12270" width="2.33203125" style="2006" customWidth="1"/>
    <col min="12271" max="12271" width="13.5546875" style="2006" customWidth="1"/>
    <col min="12272" max="12272" width="2.33203125" style="2006" customWidth="1"/>
    <col min="12273" max="12273" width="13.5546875" style="2006" customWidth="1"/>
    <col min="12274" max="12274" width="2.33203125" style="2006" customWidth="1"/>
    <col min="12275" max="12275" width="13.5546875" style="2006" customWidth="1"/>
    <col min="12276" max="12276" width="3.33203125" style="2006" customWidth="1"/>
    <col min="12277" max="12277" width="3.5546875" style="2006" customWidth="1"/>
    <col min="12278" max="12278" width="11.33203125" style="2006" customWidth="1"/>
    <col min="12279" max="12279" width="11.6640625" style="2006" bestFit="1" customWidth="1"/>
    <col min="12280" max="12280" width="40.33203125" style="2006" bestFit="1" customWidth="1"/>
    <col min="12281" max="12281" width="2.33203125" style="2006" customWidth="1"/>
    <col min="12282" max="12282" width="9.5546875" style="2006" customWidth="1"/>
    <col min="12283" max="12283" width="2.33203125" style="2006" customWidth="1"/>
    <col min="12284" max="12284" width="13.5546875" style="2006" customWidth="1"/>
    <col min="12285" max="12285" width="2.33203125" style="2006" customWidth="1"/>
    <col min="12286" max="12286" width="13.5546875" style="2006" customWidth="1"/>
    <col min="12287" max="12287" width="2.33203125" style="2006" customWidth="1"/>
    <col min="12288" max="12288" width="13.5546875" style="2006" customWidth="1"/>
    <col min="12289" max="12289" width="2.33203125" style="2006" customWidth="1"/>
    <col min="12290" max="12290" width="13.5546875" style="2006" customWidth="1"/>
    <col min="12291" max="12291" width="2.33203125" style="2006" customWidth="1"/>
    <col min="12292" max="12292" width="13.5546875" style="2006" customWidth="1"/>
    <col min="12293" max="12293" width="2.33203125" style="2006" customWidth="1"/>
    <col min="12294" max="12295" width="13.5546875" style="2006" customWidth="1"/>
    <col min="12296" max="12513" width="9.109375" style="2006"/>
    <col min="12514" max="12514" width="3.5546875" style="2006" customWidth="1"/>
    <col min="12515" max="12515" width="6.6640625" style="2006" bestFit="1" customWidth="1"/>
    <col min="12516" max="12516" width="10.6640625" style="2006" bestFit="1" customWidth="1"/>
    <col min="12517" max="12517" width="40.33203125" style="2006" bestFit="1" customWidth="1"/>
    <col min="12518" max="12518" width="2.33203125" style="2006" customWidth="1"/>
    <col min="12519" max="12519" width="9.5546875" style="2006" customWidth="1"/>
    <col min="12520" max="12520" width="2.33203125" style="2006" customWidth="1"/>
    <col min="12521" max="12521" width="13.5546875" style="2006" customWidth="1"/>
    <col min="12522" max="12522" width="2.33203125" style="2006" customWidth="1"/>
    <col min="12523" max="12523" width="13.5546875" style="2006" customWidth="1"/>
    <col min="12524" max="12524" width="2.33203125" style="2006" customWidth="1"/>
    <col min="12525" max="12525" width="13.5546875" style="2006" customWidth="1"/>
    <col min="12526" max="12526" width="2.33203125" style="2006" customWidth="1"/>
    <col min="12527" max="12527" width="13.5546875" style="2006" customWidth="1"/>
    <col min="12528" max="12528" width="2.33203125" style="2006" customWidth="1"/>
    <col min="12529" max="12529" width="13.5546875" style="2006" customWidth="1"/>
    <col min="12530" max="12530" width="2.33203125" style="2006" customWidth="1"/>
    <col min="12531" max="12531" width="13.5546875" style="2006" customWidth="1"/>
    <col min="12532" max="12532" width="3.33203125" style="2006" customWidth="1"/>
    <col min="12533" max="12533" width="3.5546875" style="2006" customWidth="1"/>
    <col min="12534" max="12534" width="11.33203125" style="2006" customWidth="1"/>
    <col min="12535" max="12535" width="11.6640625" style="2006" bestFit="1" customWidth="1"/>
    <col min="12536" max="12536" width="40.33203125" style="2006" bestFit="1" customWidth="1"/>
    <col min="12537" max="12537" width="2.33203125" style="2006" customWidth="1"/>
    <col min="12538" max="12538" width="9.5546875" style="2006" customWidth="1"/>
    <col min="12539" max="12539" width="2.33203125" style="2006" customWidth="1"/>
    <col min="12540" max="12540" width="13.5546875" style="2006" customWidth="1"/>
    <col min="12541" max="12541" width="2.33203125" style="2006" customWidth="1"/>
    <col min="12542" max="12542" width="13.5546875" style="2006" customWidth="1"/>
    <col min="12543" max="12543" width="2.33203125" style="2006" customWidth="1"/>
    <col min="12544" max="12544" width="13.5546875" style="2006" customWidth="1"/>
    <col min="12545" max="12545" width="2.33203125" style="2006" customWidth="1"/>
    <col min="12546" max="12546" width="13.5546875" style="2006" customWidth="1"/>
    <col min="12547" max="12547" width="2.33203125" style="2006" customWidth="1"/>
    <col min="12548" max="12548" width="13.5546875" style="2006" customWidth="1"/>
    <col min="12549" max="12549" width="2.33203125" style="2006" customWidth="1"/>
    <col min="12550" max="12551" width="13.5546875" style="2006" customWidth="1"/>
    <col min="12552" max="12769" width="9.109375" style="2006"/>
    <col min="12770" max="12770" width="3.5546875" style="2006" customWidth="1"/>
    <col min="12771" max="12771" width="6.6640625" style="2006" bestFit="1" customWidth="1"/>
    <col min="12772" max="12772" width="10.6640625" style="2006" bestFit="1" customWidth="1"/>
    <col min="12773" max="12773" width="40.33203125" style="2006" bestFit="1" customWidth="1"/>
    <col min="12774" max="12774" width="2.33203125" style="2006" customWidth="1"/>
    <col min="12775" max="12775" width="9.5546875" style="2006" customWidth="1"/>
    <col min="12776" max="12776" width="2.33203125" style="2006" customWidth="1"/>
    <col min="12777" max="12777" width="13.5546875" style="2006" customWidth="1"/>
    <col min="12778" max="12778" width="2.33203125" style="2006" customWidth="1"/>
    <col min="12779" max="12779" width="13.5546875" style="2006" customWidth="1"/>
    <col min="12780" max="12780" width="2.33203125" style="2006" customWidth="1"/>
    <col min="12781" max="12781" width="13.5546875" style="2006" customWidth="1"/>
    <col min="12782" max="12782" width="2.33203125" style="2006" customWidth="1"/>
    <col min="12783" max="12783" width="13.5546875" style="2006" customWidth="1"/>
    <col min="12784" max="12784" width="2.33203125" style="2006" customWidth="1"/>
    <col min="12785" max="12785" width="13.5546875" style="2006" customWidth="1"/>
    <col min="12786" max="12786" width="2.33203125" style="2006" customWidth="1"/>
    <col min="12787" max="12787" width="13.5546875" style="2006" customWidth="1"/>
    <col min="12788" max="12788" width="3.33203125" style="2006" customWidth="1"/>
    <col min="12789" max="12789" width="3.5546875" style="2006" customWidth="1"/>
    <col min="12790" max="12790" width="11.33203125" style="2006" customWidth="1"/>
    <col min="12791" max="12791" width="11.6640625" style="2006" bestFit="1" customWidth="1"/>
    <col min="12792" max="12792" width="40.33203125" style="2006" bestFit="1" customWidth="1"/>
    <col min="12793" max="12793" width="2.33203125" style="2006" customWidth="1"/>
    <col min="12794" max="12794" width="9.5546875" style="2006" customWidth="1"/>
    <col min="12795" max="12795" width="2.33203125" style="2006" customWidth="1"/>
    <col min="12796" max="12796" width="13.5546875" style="2006" customWidth="1"/>
    <col min="12797" max="12797" width="2.33203125" style="2006" customWidth="1"/>
    <col min="12798" max="12798" width="13.5546875" style="2006" customWidth="1"/>
    <col min="12799" max="12799" width="2.33203125" style="2006" customWidth="1"/>
    <col min="12800" max="12800" width="13.5546875" style="2006" customWidth="1"/>
    <col min="12801" max="12801" width="2.33203125" style="2006" customWidth="1"/>
    <col min="12802" max="12802" width="13.5546875" style="2006" customWidth="1"/>
    <col min="12803" max="12803" width="2.33203125" style="2006" customWidth="1"/>
    <col min="12804" max="12804" width="13.5546875" style="2006" customWidth="1"/>
    <col min="12805" max="12805" width="2.33203125" style="2006" customWidth="1"/>
    <col min="12806" max="12807" width="13.5546875" style="2006" customWidth="1"/>
    <col min="12808" max="13025" width="9.109375" style="2006"/>
    <col min="13026" max="13026" width="3.5546875" style="2006" customWidth="1"/>
    <col min="13027" max="13027" width="6.6640625" style="2006" bestFit="1" customWidth="1"/>
    <col min="13028" max="13028" width="10.6640625" style="2006" bestFit="1" customWidth="1"/>
    <col min="13029" max="13029" width="40.33203125" style="2006" bestFit="1" customWidth="1"/>
    <col min="13030" max="13030" width="2.33203125" style="2006" customWidth="1"/>
    <col min="13031" max="13031" width="9.5546875" style="2006" customWidth="1"/>
    <col min="13032" max="13032" width="2.33203125" style="2006" customWidth="1"/>
    <col min="13033" max="13033" width="13.5546875" style="2006" customWidth="1"/>
    <col min="13034" max="13034" width="2.33203125" style="2006" customWidth="1"/>
    <col min="13035" max="13035" width="13.5546875" style="2006" customWidth="1"/>
    <col min="13036" max="13036" width="2.33203125" style="2006" customWidth="1"/>
    <col min="13037" max="13037" width="13.5546875" style="2006" customWidth="1"/>
    <col min="13038" max="13038" width="2.33203125" style="2006" customWidth="1"/>
    <col min="13039" max="13039" width="13.5546875" style="2006" customWidth="1"/>
    <col min="13040" max="13040" width="2.33203125" style="2006" customWidth="1"/>
    <col min="13041" max="13041" width="13.5546875" style="2006" customWidth="1"/>
    <col min="13042" max="13042" width="2.33203125" style="2006" customWidth="1"/>
    <col min="13043" max="13043" width="13.5546875" style="2006" customWidth="1"/>
    <col min="13044" max="13044" width="3.33203125" style="2006" customWidth="1"/>
    <col min="13045" max="13045" width="3.5546875" style="2006" customWidth="1"/>
    <col min="13046" max="13046" width="11.33203125" style="2006" customWidth="1"/>
    <col min="13047" max="13047" width="11.6640625" style="2006" bestFit="1" customWidth="1"/>
    <col min="13048" max="13048" width="40.33203125" style="2006" bestFit="1" customWidth="1"/>
    <col min="13049" max="13049" width="2.33203125" style="2006" customWidth="1"/>
    <col min="13050" max="13050" width="9.5546875" style="2006" customWidth="1"/>
    <col min="13051" max="13051" width="2.33203125" style="2006" customWidth="1"/>
    <col min="13052" max="13052" width="13.5546875" style="2006" customWidth="1"/>
    <col min="13053" max="13053" width="2.33203125" style="2006" customWidth="1"/>
    <col min="13054" max="13054" width="13.5546875" style="2006" customWidth="1"/>
    <col min="13055" max="13055" width="2.33203125" style="2006" customWidth="1"/>
    <col min="13056" max="13056" width="13.5546875" style="2006" customWidth="1"/>
    <col min="13057" max="13057" width="2.33203125" style="2006" customWidth="1"/>
    <col min="13058" max="13058" width="13.5546875" style="2006" customWidth="1"/>
    <col min="13059" max="13059" width="2.33203125" style="2006" customWidth="1"/>
    <col min="13060" max="13060" width="13.5546875" style="2006" customWidth="1"/>
    <col min="13061" max="13061" width="2.33203125" style="2006" customWidth="1"/>
    <col min="13062" max="13063" width="13.5546875" style="2006" customWidth="1"/>
    <col min="13064" max="13281" width="9.109375" style="2006"/>
    <col min="13282" max="13282" width="3.5546875" style="2006" customWidth="1"/>
    <col min="13283" max="13283" width="6.6640625" style="2006" bestFit="1" customWidth="1"/>
    <col min="13284" max="13284" width="10.6640625" style="2006" bestFit="1" customWidth="1"/>
    <col min="13285" max="13285" width="40.33203125" style="2006" bestFit="1" customWidth="1"/>
    <col min="13286" max="13286" width="2.33203125" style="2006" customWidth="1"/>
    <col min="13287" max="13287" width="9.5546875" style="2006" customWidth="1"/>
    <col min="13288" max="13288" width="2.33203125" style="2006" customWidth="1"/>
    <col min="13289" max="13289" width="13.5546875" style="2006" customWidth="1"/>
    <col min="13290" max="13290" width="2.33203125" style="2006" customWidth="1"/>
    <col min="13291" max="13291" width="13.5546875" style="2006" customWidth="1"/>
    <col min="13292" max="13292" width="2.33203125" style="2006" customWidth="1"/>
    <col min="13293" max="13293" width="13.5546875" style="2006" customWidth="1"/>
    <col min="13294" max="13294" width="2.33203125" style="2006" customWidth="1"/>
    <col min="13295" max="13295" width="13.5546875" style="2006" customWidth="1"/>
    <col min="13296" max="13296" width="2.33203125" style="2006" customWidth="1"/>
    <col min="13297" max="13297" width="13.5546875" style="2006" customWidth="1"/>
    <col min="13298" max="13298" width="2.33203125" style="2006" customWidth="1"/>
    <col min="13299" max="13299" width="13.5546875" style="2006" customWidth="1"/>
    <col min="13300" max="13300" width="3.33203125" style="2006" customWidth="1"/>
    <col min="13301" max="13301" width="3.5546875" style="2006" customWidth="1"/>
    <col min="13302" max="13302" width="11.33203125" style="2006" customWidth="1"/>
    <col min="13303" max="13303" width="11.6640625" style="2006" bestFit="1" customWidth="1"/>
    <col min="13304" max="13304" width="40.33203125" style="2006" bestFit="1" customWidth="1"/>
    <col min="13305" max="13305" width="2.33203125" style="2006" customWidth="1"/>
    <col min="13306" max="13306" width="9.5546875" style="2006" customWidth="1"/>
    <col min="13307" max="13307" width="2.33203125" style="2006" customWidth="1"/>
    <col min="13308" max="13308" width="13.5546875" style="2006" customWidth="1"/>
    <col min="13309" max="13309" width="2.33203125" style="2006" customWidth="1"/>
    <col min="13310" max="13310" width="13.5546875" style="2006" customWidth="1"/>
    <col min="13311" max="13311" width="2.33203125" style="2006" customWidth="1"/>
    <col min="13312" max="13312" width="13.5546875" style="2006" customWidth="1"/>
    <col min="13313" max="13313" width="2.33203125" style="2006" customWidth="1"/>
    <col min="13314" max="13314" width="13.5546875" style="2006" customWidth="1"/>
    <col min="13315" max="13315" width="2.33203125" style="2006" customWidth="1"/>
    <col min="13316" max="13316" width="13.5546875" style="2006" customWidth="1"/>
    <col min="13317" max="13317" width="2.33203125" style="2006" customWidth="1"/>
    <col min="13318" max="13319" width="13.5546875" style="2006" customWidth="1"/>
    <col min="13320" max="13537" width="9.109375" style="2006"/>
    <col min="13538" max="13538" width="3.5546875" style="2006" customWidth="1"/>
    <col min="13539" max="13539" width="6.6640625" style="2006" bestFit="1" customWidth="1"/>
    <col min="13540" max="13540" width="10.6640625" style="2006" bestFit="1" customWidth="1"/>
    <col min="13541" max="13541" width="40.33203125" style="2006" bestFit="1" customWidth="1"/>
    <col min="13542" max="13542" width="2.33203125" style="2006" customWidth="1"/>
    <col min="13543" max="13543" width="9.5546875" style="2006" customWidth="1"/>
    <col min="13544" max="13544" width="2.33203125" style="2006" customWidth="1"/>
    <col min="13545" max="13545" width="13.5546875" style="2006" customWidth="1"/>
    <col min="13546" max="13546" width="2.33203125" style="2006" customWidth="1"/>
    <col min="13547" max="13547" width="13.5546875" style="2006" customWidth="1"/>
    <col min="13548" max="13548" width="2.33203125" style="2006" customWidth="1"/>
    <col min="13549" max="13549" width="13.5546875" style="2006" customWidth="1"/>
    <col min="13550" max="13550" width="2.33203125" style="2006" customWidth="1"/>
    <col min="13551" max="13551" width="13.5546875" style="2006" customWidth="1"/>
    <col min="13552" max="13552" width="2.33203125" style="2006" customWidth="1"/>
    <col min="13553" max="13553" width="13.5546875" style="2006" customWidth="1"/>
    <col min="13554" max="13554" width="2.33203125" style="2006" customWidth="1"/>
    <col min="13555" max="13555" width="13.5546875" style="2006" customWidth="1"/>
    <col min="13556" max="13556" width="3.33203125" style="2006" customWidth="1"/>
    <col min="13557" max="13557" width="3.5546875" style="2006" customWidth="1"/>
    <col min="13558" max="13558" width="11.33203125" style="2006" customWidth="1"/>
    <col min="13559" max="13559" width="11.6640625" style="2006" bestFit="1" customWidth="1"/>
    <col min="13560" max="13560" width="40.33203125" style="2006" bestFit="1" customWidth="1"/>
    <col min="13561" max="13561" width="2.33203125" style="2006" customWidth="1"/>
    <col min="13562" max="13562" width="9.5546875" style="2006" customWidth="1"/>
    <col min="13563" max="13563" width="2.33203125" style="2006" customWidth="1"/>
    <col min="13564" max="13564" width="13.5546875" style="2006" customWidth="1"/>
    <col min="13565" max="13565" width="2.33203125" style="2006" customWidth="1"/>
    <col min="13566" max="13566" width="13.5546875" style="2006" customWidth="1"/>
    <col min="13567" max="13567" width="2.33203125" style="2006" customWidth="1"/>
    <col min="13568" max="13568" width="13.5546875" style="2006" customWidth="1"/>
    <col min="13569" max="13569" width="2.33203125" style="2006" customWidth="1"/>
    <col min="13570" max="13570" width="13.5546875" style="2006" customWidth="1"/>
    <col min="13571" max="13571" width="2.33203125" style="2006" customWidth="1"/>
    <col min="13572" max="13572" width="13.5546875" style="2006" customWidth="1"/>
    <col min="13573" max="13573" width="2.33203125" style="2006" customWidth="1"/>
    <col min="13574" max="13575" width="13.5546875" style="2006" customWidth="1"/>
    <col min="13576" max="13793" width="9.109375" style="2006"/>
    <col min="13794" max="13794" width="3.5546875" style="2006" customWidth="1"/>
    <col min="13795" max="13795" width="6.6640625" style="2006" bestFit="1" customWidth="1"/>
    <col min="13796" max="13796" width="10.6640625" style="2006" bestFit="1" customWidth="1"/>
    <col min="13797" max="13797" width="40.33203125" style="2006" bestFit="1" customWidth="1"/>
    <col min="13798" max="13798" width="2.33203125" style="2006" customWidth="1"/>
    <col min="13799" max="13799" width="9.5546875" style="2006" customWidth="1"/>
    <col min="13800" max="13800" width="2.33203125" style="2006" customWidth="1"/>
    <col min="13801" max="13801" width="13.5546875" style="2006" customWidth="1"/>
    <col min="13802" max="13802" width="2.33203125" style="2006" customWidth="1"/>
    <col min="13803" max="13803" width="13.5546875" style="2006" customWidth="1"/>
    <col min="13804" max="13804" width="2.33203125" style="2006" customWidth="1"/>
    <col min="13805" max="13805" width="13.5546875" style="2006" customWidth="1"/>
    <col min="13806" max="13806" width="2.33203125" style="2006" customWidth="1"/>
    <col min="13807" max="13807" width="13.5546875" style="2006" customWidth="1"/>
    <col min="13808" max="13808" width="2.33203125" style="2006" customWidth="1"/>
    <col min="13809" max="13809" width="13.5546875" style="2006" customWidth="1"/>
    <col min="13810" max="13810" width="2.33203125" style="2006" customWidth="1"/>
    <col min="13811" max="13811" width="13.5546875" style="2006" customWidth="1"/>
    <col min="13812" max="13812" width="3.33203125" style="2006" customWidth="1"/>
    <col min="13813" max="13813" width="3.5546875" style="2006" customWidth="1"/>
    <col min="13814" max="13814" width="11.33203125" style="2006" customWidth="1"/>
    <col min="13815" max="13815" width="11.6640625" style="2006" bestFit="1" customWidth="1"/>
    <col min="13816" max="13816" width="40.33203125" style="2006" bestFit="1" customWidth="1"/>
    <col min="13817" max="13817" width="2.33203125" style="2006" customWidth="1"/>
    <col min="13818" max="13818" width="9.5546875" style="2006" customWidth="1"/>
    <col min="13819" max="13819" width="2.33203125" style="2006" customWidth="1"/>
    <col min="13820" max="13820" width="13.5546875" style="2006" customWidth="1"/>
    <col min="13821" max="13821" width="2.33203125" style="2006" customWidth="1"/>
    <col min="13822" max="13822" width="13.5546875" style="2006" customWidth="1"/>
    <col min="13823" max="13823" width="2.33203125" style="2006" customWidth="1"/>
    <col min="13824" max="13824" width="13.5546875" style="2006" customWidth="1"/>
    <col min="13825" max="13825" width="2.33203125" style="2006" customWidth="1"/>
    <col min="13826" max="13826" width="13.5546875" style="2006" customWidth="1"/>
    <col min="13827" max="13827" width="2.33203125" style="2006" customWidth="1"/>
    <col min="13828" max="13828" width="13.5546875" style="2006" customWidth="1"/>
    <col min="13829" max="13829" width="2.33203125" style="2006" customWidth="1"/>
    <col min="13830" max="13831" width="13.5546875" style="2006" customWidth="1"/>
    <col min="13832" max="14049" width="9.109375" style="2006"/>
    <col min="14050" max="14050" width="3.5546875" style="2006" customWidth="1"/>
    <col min="14051" max="14051" width="6.6640625" style="2006" bestFit="1" customWidth="1"/>
    <col min="14052" max="14052" width="10.6640625" style="2006" bestFit="1" customWidth="1"/>
    <col min="14053" max="14053" width="40.33203125" style="2006" bestFit="1" customWidth="1"/>
    <col min="14054" max="14054" width="2.33203125" style="2006" customWidth="1"/>
    <col min="14055" max="14055" width="9.5546875" style="2006" customWidth="1"/>
    <col min="14056" max="14056" width="2.33203125" style="2006" customWidth="1"/>
    <col min="14057" max="14057" width="13.5546875" style="2006" customWidth="1"/>
    <col min="14058" max="14058" width="2.33203125" style="2006" customWidth="1"/>
    <col min="14059" max="14059" width="13.5546875" style="2006" customWidth="1"/>
    <col min="14060" max="14060" width="2.33203125" style="2006" customWidth="1"/>
    <col min="14061" max="14061" width="13.5546875" style="2006" customWidth="1"/>
    <col min="14062" max="14062" width="2.33203125" style="2006" customWidth="1"/>
    <col min="14063" max="14063" width="13.5546875" style="2006" customWidth="1"/>
    <col min="14064" max="14064" width="2.33203125" style="2006" customWidth="1"/>
    <col min="14065" max="14065" width="13.5546875" style="2006" customWidth="1"/>
    <col min="14066" max="14066" width="2.33203125" style="2006" customWidth="1"/>
    <col min="14067" max="14067" width="13.5546875" style="2006" customWidth="1"/>
    <col min="14068" max="14068" width="3.33203125" style="2006" customWidth="1"/>
    <col min="14069" max="14069" width="3.5546875" style="2006" customWidth="1"/>
    <col min="14070" max="14070" width="11.33203125" style="2006" customWidth="1"/>
    <col min="14071" max="14071" width="11.6640625" style="2006" bestFit="1" customWidth="1"/>
    <col min="14072" max="14072" width="40.33203125" style="2006" bestFit="1" customWidth="1"/>
    <col min="14073" max="14073" width="2.33203125" style="2006" customWidth="1"/>
    <col min="14074" max="14074" width="9.5546875" style="2006" customWidth="1"/>
    <col min="14075" max="14075" width="2.33203125" style="2006" customWidth="1"/>
    <col min="14076" max="14076" width="13.5546875" style="2006" customWidth="1"/>
    <col min="14077" max="14077" width="2.33203125" style="2006" customWidth="1"/>
    <col min="14078" max="14078" width="13.5546875" style="2006" customWidth="1"/>
    <col min="14079" max="14079" width="2.33203125" style="2006" customWidth="1"/>
    <col min="14080" max="14080" width="13.5546875" style="2006" customWidth="1"/>
    <col min="14081" max="14081" width="2.33203125" style="2006" customWidth="1"/>
    <col min="14082" max="14082" width="13.5546875" style="2006" customWidth="1"/>
    <col min="14083" max="14083" width="2.33203125" style="2006" customWidth="1"/>
    <col min="14084" max="14084" width="13.5546875" style="2006" customWidth="1"/>
    <col min="14085" max="14085" width="2.33203125" style="2006" customWidth="1"/>
    <col min="14086" max="14087" width="13.5546875" style="2006" customWidth="1"/>
    <col min="14088" max="14305" width="9.109375" style="2006"/>
    <col min="14306" max="14306" width="3.5546875" style="2006" customWidth="1"/>
    <col min="14307" max="14307" width="6.6640625" style="2006" bestFit="1" customWidth="1"/>
    <col min="14308" max="14308" width="10.6640625" style="2006" bestFit="1" customWidth="1"/>
    <col min="14309" max="14309" width="40.33203125" style="2006" bestFit="1" customWidth="1"/>
    <col min="14310" max="14310" width="2.33203125" style="2006" customWidth="1"/>
    <col min="14311" max="14311" width="9.5546875" style="2006" customWidth="1"/>
    <col min="14312" max="14312" width="2.33203125" style="2006" customWidth="1"/>
    <col min="14313" max="14313" width="13.5546875" style="2006" customWidth="1"/>
    <col min="14314" max="14314" width="2.33203125" style="2006" customWidth="1"/>
    <col min="14315" max="14315" width="13.5546875" style="2006" customWidth="1"/>
    <col min="14316" max="14316" width="2.33203125" style="2006" customWidth="1"/>
    <col min="14317" max="14317" width="13.5546875" style="2006" customWidth="1"/>
    <col min="14318" max="14318" width="2.33203125" style="2006" customWidth="1"/>
    <col min="14319" max="14319" width="13.5546875" style="2006" customWidth="1"/>
    <col min="14320" max="14320" width="2.33203125" style="2006" customWidth="1"/>
    <col min="14321" max="14321" width="13.5546875" style="2006" customWidth="1"/>
    <col min="14322" max="14322" width="2.33203125" style="2006" customWidth="1"/>
    <col min="14323" max="14323" width="13.5546875" style="2006" customWidth="1"/>
    <col min="14324" max="14324" width="3.33203125" style="2006" customWidth="1"/>
    <col min="14325" max="14325" width="3.5546875" style="2006" customWidth="1"/>
    <col min="14326" max="14326" width="11.33203125" style="2006" customWidth="1"/>
    <col min="14327" max="14327" width="11.6640625" style="2006" bestFit="1" customWidth="1"/>
    <col min="14328" max="14328" width="40.33203125" style="2006" bestFit="1" customWidth="1"/>
    <col min="14329" max="14329" width="2.33203125" style="2006" customWidth="1"/>
    <col min="14330" max="14330" width="9.5546875" style="2006" customWidth="1"/>
    <col min="14331" max="14331" width="2.33203125" style="2006" customWidth="1"/>
    <col min="14332" max="14332" width="13.5546875" style="2006" customWidth="1"/>
    <col min="14333" max="14333" width="2.33203125" style="2006" customWidth="1"/>
    <col min="14334" max="14334" width="13.5546875" style="2006" customWidth="1"/>
    <col min="14335" max="14335" width="2.33203125" style="2006" customWidth="1"/>
    <col min="14336" max="14336" width="13.5546875" style="2006" customWidth="1"/>
    <col min="14337" max="14337" width="2.33203125" style="2006" customWidth="1"/>
    <col min="14338" max="14338" width="13.5546875" style="2006" customWidth="1"/>
    <col min="14339" max="14339" width="2.33203125" style="2006" customWidth="1"/>
    <col min="14340" max="14340" width="13.5546875" style="2006" customWidth="1"/>
    <col min="14341" max="14341" width="2.33203125" style="2006" customWidth="1"/>
    <col min="14342" max="14343" width="13.5546875" style="2006" customWidth="1"/>
    <col min="14344" max="14561" width="9.109375" style="2006"/>
    <col min="14562" max="14562" width="3.5546875" style="2006" customWidth="1"/>
    <col min="14563" max="14563" width="6.6640625" style="2006" bestFit="1" customWidth="1"/>
    <col min="14564" max="14564" width="10.6640625" style="2006" bestFit="1" customWidth="1"/>
    <col min="14565" max="14565" width="40.33203125" style="2006" bestFit="1" customWidth="1"/>
    <col min="14566" max="14566" width="2.33203125" style="2006" customWidth="1"/>
    <col min="14567" max="14567" width="9.5546875" style="2006" customWidth="1"/>
    <col min="14568" max="14568" width="2.33203125" style="2006" customWidth="1"/>
    <col min="14569" max="14569" width="13.5546875" style="2006" customWidth="1"/>
    <col min="14570" max="14570" width="2.33203125" style="2006" customWidth="1"/>
    <col min="14571" max="14571" width="13.5546875" style="2006" customWidth="1"/>
    <col min="14572" max="14572" width="2.33203125" style="2006" customWidth="1"/>
    <col min="14573" max="14573" width="13.5546875" style="2006" customWidth="1"/>
    <col min="14574" max="14574" width="2.33203125" style="2006" customWidth="1"/>
    <col min="14575" max="14575" width="13.5546875" style="2006" customWidth="1"/>
    <col min="14576" max="14576" width="2.33203125" style="2006" customWidth="1"/>
    <col min="14577" max="14577" width="13.5546875" style="2006" customWidth="1"/>
    <col min="14578" max="14578" width="2.33203125" style="2006" customWidth="1"/>
    <col min="14579" max="14579" width="13.5546875" style="2006" customWidth="1"/>
    <col min="14580" max="14580" width="3.33203125" style="2006" customWidth="1"/>
    <col min="14581" max="14581" width="3.5546875" style="2006" customWidth="1"/>
    <col min="14582" max="14582" width="11.33203125" style="2006" customWidth="1"/>
    <col min="14583" max="14583" width="11.6640625" style="2006" bestFit="1" customWidth="1"/>
    <col min="14584" max="14584" width="40.33203125" style="2006" bestFit="1" customWidth="1"/>
    <col min="14585" max="14585" width="2.33203125" style="2006" customWidth="1"/>
    <col min="14586" max="14586" width="9.5546875" style="2006" customWidth="1"/>
    <col min="14587" max="14587" width="2.33203125" style="2006" customWidth="1"/>
    <col min="14588" max="14588" width="13.5546875" style="2006" customWidth="1"/>
    <col min="14589" max="14589" width="2.33203125" style="2006" customWidth="1"/>
    <col min="14590" max="14590" width="13.5546875" style="2006" customWidth="1"/>
    <col min="14591" max="14591" width="2.33203125" style="2006" customWidth="1"/>
    <col min="14592" max="14592" width="13.5546875" style="2006" customWidth="1"/>
    <col min="14593" max="14593" width="2.33203125" style="2006" customWidth="1"/>
    <col min="14594" max="14594" width="13.5546875" style="2006" customWidth="1"/>
    <col min="14595" max="14595" width="2.33203125" style="2006" customWidth="1"/>
    <col min="14596" max="14596" width="13.5546875" style="2006" customWidth="1"/>
    <col min="14597" max="14597" width="2.33203125" style="2006" customWidth="1"/>
    <col min="14598" max="14599" width="13.5546875" style="2006" customWidth="1"/>
    <col min="14600" max="14817" width="9.109375" style="2006"/>
    <col min="14818" max="14818" width="3.5546875" style="2006" customWidth="1"/>
    <col min="14819" max="14819" width="6.6640625" style="2006" bestFit="1" customWidth="1"/>
    <col min="14820" max="14820" width="10.6640625" style="2006" bestFit="1" customWidth="1"/>
    <col min="14821" max="14821" width="40.33203125" style="2006" bestFit="1" customWidth="1"/>
    <col min="14822" max="14822" width="2.33203125" style="2006" customWidth="1"/>
    <col min="14823" max="14823" width="9.5546875" style="2006" customWidth="1"/>
    <col min="14824" max="14824" width="2.33203125" style="2006" customWidth="1"/>
    <col min="14825" max="14825" width="13.5546875" style="2006" customWidth="1"/>
    <col min="14826" max="14826" width="2.33203125" style="2006" customWidth="1"/>
    <col min="14827" max="14827" width="13.5546875" style="2006" customWidth="1"/>
    <col min="14828" max="14828" width="2.33203125" style="2006" customWidth="1"/>
    <col min="14829" max="14829" width="13.5546875" style="2006" customWidth="1"/>
    <col min="14830" max="14830" width="2.33203125" style="2006" customWidth="1"/>
    <col min="14831" max="14831" width="13.5546875" style="2006" customWidth="1"/>
    <col min="14832" max="14832" width="2.33203125" style="2006" customWidth="1"/>
    <col min="14833" max="14833" width="13.5546875" style="2006" customWidth="1"/>
    <col min="14834" max="14834" width="2.33203125" style="2006" customWidth="1"/>
    <col min="14835" max="14835" width="13.5546875" style="2006" customWidth="1"/>
    <col min="14836" max="14836" width="3.33203125" style="2006" customWidth="1"/>
    <col min="14837" max="14837" width="3.5546875" style="2006" customWidth="1"/>
    <col min="14838" max="14838" width="11.33203125" style="2006" customWidth="1"/>
    <col min="14839" max="14839" width="11.6640625" style="2006" bestFit="1" customWidth="1"/>
    <col min="14840" max="14840" width="40.33203125" style="2006" bestFit="1" customWidth="1"/>
    <col min="14841" max="14841" width="2.33203125" style="2006" customWidth="1"/>
    <col min="14842" max="14842" width="9.5546875" style="2006" customWidth="1"/>
    <col min="14843" max="14843" width="2.33203125" style="2006" customWidth="1"/>
    <col min="14844" max="14844" width="13.5546875" style="2006" customWidth="1"/>
    <col min="14845" max="14845" width="2.33203125" style="2006" customWidth="1"/>
    <col min="14846" max="14846" width="13.5546875" style="2006" customWidth="1"/>
    <col min="14847" max="14847" width="2.33203125" style="2006" customWidth="1"/>
    <col min="14848" max="14848" width="13.5546875" style="2006" customWidth="1"/>
    <col min="14849" max="14849" width="2.33203125" style="2006" customWidth="1"/>
    <col min="14850" max="14850" width="13.5546875" style="2006" customWidth="1"/>
    <col min="14851" max="14851" width="2.33203125" style="2006" customWidth="1"/>
    <col min="14852" max="14852" width="13.5546875" style="2006" customWidth="1"/>
    <col min="14853" max="14853" width="2.33203125" style="2006" customWidth="1"/>
    <col min="14854" max="14855" width="13.5546875" style="2006" customWidth="1"/>
    <col min="14856" max="15073" width="9.109375" style="2006"/>
    <col min="15074" max="15074" width="3.5546875" style="2006" customWidth="1"/>
    <col min="15075" max="15075" width="6.6640625" style="2006" bestFit="1" customWidth="1"/>
    <col min="15076" max="15076" width="10.6640625" style="2006" bestFit="1" customWidth="1"/>
    <col min="15077" max="15077" width="40.33203125" style="2006" bestFit="1" customWidth="1"/>
    <col min="15078" max="15078" width="2.33203125" style="2006" customWidth="1"/>
    <col min="15079" max="15079" width="9.5546875" style="2006" customWidth="1"/>
    <col min="15080" max="15080" width="2.33203125" style="2006" customWidth="1"/>
    <col min="15081" max="15081" width="13.5546875" style="2006" customWidth="1"/>
    <col min="15082" max="15082" width="2.33203125" style="2006" customWidth="1"/>
    <col min="15083" max="15083" width="13.5546875" style="2006" customWidth="1"/>
    <col min="15084" max="15084" width="2.33203125" style="2006" customWidth="1"/>
    <col min="15085" max="15085" width="13.5546875" style="2006" customWidth="1"/>
    <col min="15086" max="15086" width="2.33203125" style="2006" customWidth="1"/>
    <col min="15087" max="15087" width="13.5546875" style="2006" customWidth="1"/>
    <col min="15088" max="15088" width="2.33203125" style="2006" customWidth="1"/>
    <col min="15089" max="15089" width="13.5546875" style="2006" customWidth="1"/>
    <col min="15090" max="15090" width="2.33203125" style="2006" customWidth="1"/>
    <col min="15091" max="15091" width="13.5546875" style="2006" customWidth="1"/>
    <col min="15092" max="15092" width="3.33203125" style="2006" customWidth="1"/>
    <col min="15093" max="15093" width="3.5546875" style="2006" customWidth="1"/>
    <col min="15094" max="15094" width="11.33203125" style="2006" customWidth="1"/>
    <col min="15095" max="15095" width="11.6640625" style="2006" bestFit="1" customWidth="1"/>
    <col min="15096" max="15096" width="40.33203125" style="2006" bestFit="1" customWidth="1"/>
    <col min="15097" max="15097" width="2.33203125" style="2006" customWidth="1"/>
    <col min="15098" max="15098" width="9.5546875" style="2006" customWidth="1"/>
    <col min="15099" max="15099" width="2.33203125" style="2006" customWidth="1"/>
    <col min="15100" max="15100" width="13.5546875" style="2006" customWidth="1"/>
    <col min="15101" max="15101" width="2.33203125" style="2006" customWidth="1"/>
    <col min="15102" max="15102" width="13.5546875" style="2006" customWidth="1"/>
    <col min="15103" max="15103" width="2.33203125" style="2006" customWidth="1"/>
    <col min="15104" max="15104" width="13.5546875" style="2006" customWidth="1"/>
    <col min="15105" max="15105" width="2.33203125" style="2006" customWidth="1"/>
    <col min="15106" max="15106" width="13.5546875" style="2006" customWidth="1"/>
    <col min="15107" max="15107" width="2.33203125" style="2006" customWidth="1"/>
    <col min="15108" max="15108" width="13.5546875" style="2006" customWidth="1"/>
    <col min="15109" max="15109" width="2.33203125" style="2006" customWidth="1"/>
    <col min="15110" max="15111" width="13.5546875" style="2006" customWidth="1"/>
    <col min="15112" max="15329" width="9.109375" style="2006"/>
    <col min="15330" max="15330" width="3.5546875" style="2006" customWidth="1"/>
    <col min="15331" max="15331" width="6.6640625" style="2006" bestFit="1" customWidth="1"/>
    <col min="15332" max="15332" width="10.6640625" style="2006" bestFit="1" customWidth="1"/>
    <col min="15333" max="15333" width="40.33203125" style="2006" bestFit="1" customWidth="1"/>
    <col min="15334" max="15334" width="2.33203125" style="2006" customWidth="1"/>
    <col min="15335" max="15335" width="9.5546875" style="2006" customWidth="1"/>
    <col min="15336" max="15336" width="2.33203125" style="2006" customWidth="1"/>
    <col min="15337" max="15337" width="13.5546875" style="2006" customWidth="1"/>
    <col min="15338" max="15338" width="2.33203125" style="2006" customWidth="1"/>
    <col min="15339" max="15339" width="13.5546875" style="2006" customWidth="1"/>
    <col min="15340" max="15340" width="2.33203125" style="2006" customWidth="1"/>
    <col min="15341" max="15341" width="13.5546875" style="2006" customWidth="1"/>
    <col min="15342" max="15342" width="2.33203125" style="2006" customWidth="1"/>
    <col min="15343" max="15343" width="13.5546875" style="2006" customWidth="1"/>
    <col min="15344" max="15344" width="2.33203125" style="2006" customWidth="1"/>
    <col min="15345" max="15345" width="13.5546875" style="2006" customWidth="1"/>
    <col min="15346" max="15346" width="2.33203125" style="2006" customWidth="1"/>
    <col min="15347" max="15347" width="13.5546875" style="2006" customWidth="1"/>
    <col min="15348" max="15348" width="3.33203125" style="2006" customWidth="1"/>
    <col min="15349" max="15349" width="3.5546875" style="2006" customWidth="1"/>
    <col min="15350" max="15350" width="11.33203125" style="2006" customWidth="1"/>
    <col min="15351" max="15351" width="11.6640625" style="2006" bestFit="1" customWidth="1"/>
    <col min="15352" max="15352" width="40.33203125" style="2006" bestFit="1" customWidth="1"/>
    <col min="15353" max="15353" width="2.33203125" style="2006" customWidth="1"/>
    <col min="15354" max="15354" width="9.5546875" style="2006" customWidth="1"/>
    <col min="15355" max="15355" width="2.33203125" style="2006" customWidth="1"/>
    <col min="15356" max="15356" width="13.5546875" style="2006" customWidth="1"/>
    <col min="15357" max="15357" width="2.33203125" style="2006" customWidth="1"/>
    <col min="15358" max="15358" width="13.5546875" style="2006" customWidth="1"/>
    <col min="15359" max="15359" width="2.33203125" style="2006" customWidth="1"/>
    <col min="15360" max="15360" width="13.5546875" style="2006" customWidth="1"/>
    <col min="15361" max="15361" width="2.33203125" style="2006" customWidth="1"/>
    <col min="15362" max="15362" width="13.5546875" style="2006" customWidth="1"/>
    <col min="15363" max="15363" width="2.33203125" style="2006" customWidth="1"/>
    <col min="15364" max="15364" width="13.5546875" style="2006" customWidth="1"/>
    <col min="15365" max="15365" width="2.33203125" style="2006" customWidth="1"/>
    <col min="15366" max="15367" width="13.5546875" style="2006" customWidth="1"/>
    <col min="15368" max="15585" width="9.109375" style="2006"/>
    <col min="15586" max="15586" width="3.5546875" style="2006" customWidth="1"/>
    <col min="15587" max="15587" width="6.6640625" style="2006" bestFit="1" customWidth="1"/>
    <col min="15588" max="15588" width="10.6640625" style="2006" bestFit="1" customWidth="1"/>
    <col min="15589" max="15589" width="40.33203125" style="2006" bestFit="1" customWidth="1"/>
    <col min="15590" max="15590" width="2.33203125" style="2006" customWidth="1"/>
    <col min="15591" max="15591" width="9.5546875" style="2006" customWidth="1"/>
    <col min="15592" max="15592" width="2.33203125" style="2006" customWidth="1"/>
    <col min="15593" max="15593" width="13.5546875" style="2006" customWidth="1"/>
    <col min="15594" max="15594" width="2.33203125" style="2006" customWidth="1"/>
    <col min="15595" max="15595" width="13.5546875" style="2006" customWidth="1"/>
    <col min="15596" max="15596" width="2.33203125" style="2006" customWidth="1"/>
    <col min="15597" max="15597" width="13.5546875" style="2006" customWidth="1"/>
    <col min="15598" max="15598" width="2.33203125" style="2006" customWidth="1"/>
    <col min="15599" max="15599" width="13.5546875" style="2006" customWidth="1"/>
    <col min="15600" max="15600" width="2.33203125" style="2006" customWidth="1"/>
    <col min="15601" max="15601" width="13.5546875" style="2006" customWidth="1"/>
    <col min="15602" max="15602" width="2.33203125" style="2006" customWidth="1"/>
    <col min="15603" max="15603" width="13.5546875" style="2006" customWidth="1"/>
    <col min="15604" max="15604" width="3.33203125" style="2006" customWidth="1"/>
    <col min="15605" max="15605" width="3.5546875" style="2006" customWidth="1"/>
    <col min="15606" max="15606" width="11.33203125" style="2006" customWidth="1"/>
    <col min="15607" max="15607" width="11.6640625" style="2006" bestFit="1" customWidth="1"/>
    <col min="15608" max="15608" width="40.33203125" style="2006" bestFit="1" customWidth="1"/>
    <col min="15609" max="15609" width="2.33203125" style="2006" customWidth="1"/>
    <col min="15610" max="15610" width="9.5546875" style="2006" customWidth="1"/>
    <col min="15611" max="15611" width="2.33203125" style="2006" customWidth="1"/>
    <col min="15612" max="15612" width="13.5546875" style="2006" customWidth="1"/>
    <col min="15613" max="15613" width="2.33203125" style="2006" customWidth="1"/>
    <col min="15614" max="15614" width="13.5546875" style="2006" customWidth="1"/>
    <col min="15615" max="15615" width="2.33203125" style="2006" customWidth="1"/>
    <col min="15616" max="15616" width="13.5546875" style="2006" customWidth="1"/>
    <col min="15617" max="15617" width="2.33203125" style="2006" customWidth="1"/>
    <col min="15618" max="15618" width="13.5546875" style="2006" customWidth="1"/>
    <col min="15619" max="15619" width="2.33203125" style="2006" customWidth="1"/>
    <col min="15620" max="15620" width="13.5546875" style="2006" customWidth="1"/>
    <col min="15621" max="15621" width="2.33203125" style="2006" customWidth="1"/>
    <col min="15622" max="15623" width="13.5546875" style="2006" customWidth="1"/>
    <col min="15624" max="15841" width="9.109375" style="2006"/>
    <col min="15842" max="15842" width="3.5546875" style="2006" customWidth="1"/>
    <col min="15843" max="15843" width="6.6640625" style="2006" bestFit="1" customWidth="1"/>
    <col min="15844" max="15844" width="10.6640625" style="2006" bestFit="1" customWidth="1"/>
    <col min="15845" max="15845" width="40.33203125" style="2006" bestFit="1" customWidth="1"/>
    <col min="15846" max="15846" width="2.33203125" style="2006" customWidth="1"/>
    <col min="15847" max="15847" width="9.5546875" style="2006" customWidth="1"/>
    <col min="15848" max="15848" width="2.33203125" style="2006" customWidth="1"/>
    <col min="15849" max="15849" width="13.5546875" style="2006" customWidth="1"/>
    <col min="15850" max="15850" width="2.33203125" style="2006" customWidth="1"/>
    <col min="15851" max="15851" width="13.5546875" style="2006" customWidth="1"/>
    <col min="15852" max="15852" width="2.33203125" style="2006" customWidth="1"/>
    <col min="15853" max="15853" width="13.5546875" style="2006" customWidth="1"/>
    <col min="15854" max="15854" width="2.33203125" style="2006" customWidth="1"/>
    <col min="15855" max="15855" width="13.5546875" style="2006" customWidth="1"/>
    <col min="15856" max="15856" width="2.33203125" style="2006" customWidth="1"/>
    <col min="15857" max="15857" width="13.5546875" style="2006" customWidth="1"/>
    <col min="15858" max="15858" width="2.33203125" style="2006" customWidth="1"/>
    <col min="15859" max="15859" width="13.5546875" style="2006" customWidth="1"/>
    <col min="15860" max="15860" width="3.33203125" style="2006" customWidth="1"/>
    <col min="15861" max="15861" width="3.5546875" style="2006" customWidth="1"/>
    <col min="15862" max="15862" width="11.33203125" style="2006" customWidth="1"/>
    <col min="15863" max="15863" width="11.6640625" style="2006" bestFit="1" customWidth="1"/>
    <col min="15864" max="15864" width="40.33203125" style="2006" bestFit="1" customWidth="1"/>
    <col min="15865" max="15865" width="2.33203125" style="2006" customWidth="1"/>
    <col min="15866" max="15866" width="9.5546875" style="2006" customWidth="1"/>
    <col min="15867" max="15867" width="2.33203125" style="2006" customWidth="1"/>
    <col min="15868" max="15868" width="13.5546875" style="2006" customWidth="1"/>
    <col min="15869" max="15869" width="2.33203125" style="2006" customWidth="1"/>
    <col min="15870" max="15870" width="13.5546875" style="2006" customWidth="1"/>
    <col min="15871" max="15871" width="2.33203125" style="2006" customWidth="1"/>
    <col min="15872" max="15872" width="13.5546875" style="2006" customWidth="1"/>
    <col min="15873" max="15873" width="2.33203125" style="2006" customWidth="1"/>
    <col min="15874" max="15874" width="13.5546875" style="2006" customWidth="1"/>
    <col min="15875" max="15875" width="2.33203125" style="2006" customWidth="1"/>
    <col min="15876" max="15876" width="13.5546875" style="2006" customWidth="1"/>
    <col min="15877" max="15877" width="2.33203125" style="2006" customWidth="1"/>
    <col min="15878" max="15879" width="13.5546875" style="2006" customWidth="1"/>
    <col min="15880" max="16097" width="9.109375" style="2006"/>
    <col min="16098" max="16098" width="3.5546875" style="2006" customWidth="1"/>
    <col min="16099" max="16099" width="6.6640625" style="2006" bestFit="1" customWidth="1"/>
    <col min="16100" max="16100" width="10.6640625" style="2006" bestFit="1" customWidth="1"/>
    <col min="16101" max="16101" width="40.33203125" style="2006" bestFit="1" customWidth="1"/>
    <col min="16102" max="16102" width="2.33203125" style="2006" customWidth="1"/>
    <col min="16103" max="16103" width="9.5546875" style="2006" customWidth="1"/>
    <col min="16104" max="16104" width="2.33203125" style="2006" customWidth="1"/>
    <col min="16105" max="16105" width="13.5546875" style="2006" customWidth="1"/>
    <col min="16106" max="16106" width="2.33203125" style="2006" customWidth="1"/>
    <col min="16107" max="16107" width="13.5546875" style="2006" customWidth="1"/>
    <col min="16108" max="16108" width="2.33203125" style="2006" customWidth="1"/>
    <col min="16109" max="16109" width="13.5546875" style="2006" customWidth="1"/>
    <col min="16110" max="16110" width="2.33203125" style="2006" customWidth="1"/>
    <col min="16111" max="16111" width="13.5546875" style="2006" customWidth="1"/>
    <col min="16112" max="16112" width="2.33203125" style="2006" customWidth="1"/>
    <col min="16113" max="16113" width="13.5546875" style="2006" customWidth="1"/>
    <col min="16114" max="16114" width="2.33203125" style="2006" customWidth="1"/>
    <col min="16115" max="16115" width="13.5546875" style="2006" customWidth="1"/>
    <col min="16116" max="16116" width="3.33203125" style="2006" customWidth="1"/>
    <col min="16117" max="16117" width="3.5546875" style="2006" customWidth="1"/>
    <col min="16118" max="16118" width="11.33203125" style="2006" customWidth="1"/>
    <col min="16119" max="16119" width="11.6640625" style="2006" bestFit="1" customWidth="1"/>
    <col min="16120" max="16120" width="40.33203125" style="2006" bestFit="1" customWidth="1"/>
    <col min="16121" max="16121" width="2.33203125" style="2006" customWidth="1"/>
    <col min="16122" max="16122" width="9.5546875" style="2006" customWidth="1"/>
    <col min="16123" max="16123" width="2.33203125" style="2006" customWidth="1"/>
    <col min="16124" max="16124" width="13.5546875" style="2006" customWidth="1"/>
    <col min="16125" max="16125" width="2.33203125" style="2006" customWidth="1"/>
    <col min="16126" max="16126" width="13.5546875" style="2006" customWidth="1"/>
    <col min="16127" max="16127" width="2.33203125" style="2006" customWidth="1"/>
    <col min="16128" max="16128" width="13.5546875" style="2006" customWidth="1"/>
    <col min="16129" max="16129" width="2.33203125" style="2006" customWidth="1"/>
    <col min="16130" max="16130" width="13.5546875" style="2006" customWidth="1"/>
    <col min="16131" max="16131" width="2.33203125" style="2006" customWidth="1"/>
    <col min="16132" max="16132" width="13.5546875" style="2006" customWidth="1"/>
    <col min="16133" max="16133" width="2.33203125" style="2006" customWidth="1"/>
    <col min="16134" max="16135" width="13.5546875" style="2006" customWidth="1"/>
    <col min="16136" max="16384" width="9.109375" style="2006"/>
  </cols>
  <sheetData>
    <row r="1" spans="1:30" s="2000" customFormat="1" ht="14.1" customHeight="1" thickBot="1">
      <c r="A1" s="1996" t="s">
        <v>8943</v>
      </c>
      <c r="B1" s="1997"/>
      <c r="C1" s="1997"/>
      <c r="D1" s="1997"/>
      <c r="E1" s="1997"/>
      <c r="F1" s="1997"/>
      <c r="G1" s="1997" t="s">
        <v>2422</v>
      </c>
      <c r="H1" s="1997"/>
      <c r="I1" s="1997"/>
      <c r="J1" s="1997"/>
      <c r="K1" s="1997"/>
      <c r="L1" s="1997"/>
      <c r="M1" s="1997"/>
      <c r="N1" s="1997"/>
      <c r="O1" s="1998"/>
      <c r="P1" s="1999">
        <v>10</v>
      </c>
      <c r="Q1" s="1997"/>
      <c r="R1" s="1997" t="s">
        <v>2423</v>
      </c>
      <c r="T1" s="1997"/>
      <c r="U1" s="1997"/>
      <c r="V1" s="1997"/>
      <c r="W1" s="1997"/>
      <c r="X1" s="1997"/>
      <c r="Y1" s="1997"/>
      <c r="Z1" s="1997"/>
      <c r="AA1" s="1998"/>
      <c r="AB1" s="1999">
        <v>10</v>
      </c>
      <c r="AC1" s="1997"/>
      <c r="AD1" s="1997" t="s">
        <v>2423</v>
      </c>
    </row>
    <row r="2" spans="1:30" ht="14.1" customHeight="1">
      <c r="A2" s="1674" t="s">
        <v>2425</v>
      </c>
      <c r="E2" s="2001" t="s">
        <v>2426</v>
      </c>
      <c r="F2" s="2002" t="s">
        <v>8155</v>
      </c>
      <c r="J2" s="2003"/>
      <c r="K2" s="2003"/>
      <c r="M2" s="2003"/>
      <c r="N2" s="2003"/>
      <c r="O2" s="2004"/>
      <c r="P2" s="2003" t="s">
        <v>2427</v>
      </c>
      <c r="R2" s="2005"/>
      <c r="V2" s="2003"/>
      <c r="W2" s="2003"/>
      <c r="Y2" s="2003"/>
      <c r="Z2" s="2003"/>
      <c r="AA2" s="2004"/>
      <c r="AB2" s="2003" t="s">
        <v>2427</v>
      </c>
      <c r="AD2" s="2005"/>
    </row>
    <row r="3" spans="1:30" ht="14.1" customHeight="1">
      <c r="F3" s="1674" t="s">
        <v>8156</v>
      </c>
      <c r="J3" s="2001"/>
      <c r="K3" s="2005"/>
      <c r="N3" s="2001"/>
      <c r="O3" s="2001" t="s">
        <v>8157</v>
      </c>
      <c r="P3" s="2007" t="s">
        <v>8944</v>
      </c>
      <c r="R3" s="2001"/>
      <c r="V3" s="2001"/>
      <c r="W3" s="2005"/>
      <c r="Z3" s="2001"/>
      <c r="AA3" s="2001" t="s">
        <v>8157</v>
      </c>
      <c r="AB3" s="2007" t="s">
        <v>8944</v>
      </c>
      <c r="AD3" s="2001"/>
    </row>
    <row r="4" spans="1:30" ht="14.1" customHeight="1">
      <c r="A4" s="1674" t="s">
        <v>2428</v>
      </c>
      <c r="J4" s="2001"/>
      <c r="K4" s="2005"/>
      <c r="L4" s="2001"/>
      <c r="O4" s="2001"/>
      <c r="P4" s="2007" t="s">
        <v>8945</v>
      </c>
      <c r="R4" s="2001"/>
      <c r="V4" s="2001"/>
      <c r="W4" s="2005"/>
      <c r="X4" s="2001"/>
      <c r="AA4" s="2001"/>
      <c r="AB4" s="2007" t="s">
        <v>8945</v>
      </c>
      <c r="AD4" s="2001"/>
    </row>
    <row r="5" spans="1:30" ht="14.1" customHeight="1">
      <c r="J5" s="2001"/>
      <c r="K5" s="2005"/>
      <c r="L5" s="2001"/>
      <c r="O5" s="2001"/>
      <c r="P5" s="2007" t="s">
        <v>8946</v>
      </c>
      <c r="R5" s="2001"/>
      <c r="V5" s="2001"/>
      <c r="W5" s="2005"/>
      <c r="X5" s="2001"/>
      <c r="AA5" s="2001"/>
      <c r="AB5" s="2007" t="s">
        <v>8946</v>
      </c>
      <c r="AD5" s="2001"/>
    </row>
    <row r="6" spans="1:30" ht="14.1" customHeight="1">
      <c r="J6" s="2001"/>
      <c r="K6" s="2005"/>
      <c r="L6" s="2001"/>
      <c r="O6" s="2001"/>
      <c r="P6" s="2007" t="s">
        <v>8160</v>
      </c>
      <c r="R6" s="2001"/>
      <c r="V6" s="2001"/>
      <c r="W6" s="2005"/>
      <c r="X6" s="2001"/>
      <c r="AA6" s="2001"/>
      <c r="AB6" s="2007" t="s">
        <v>8160</v>
      </c>
      <c r="AD6" s="2001"/>
    </row>
    <row r="7" spans="1:30" ht="14.1" customHeight="1" thickBot="1">
      <c r="A7" s="1996" t="s">
        <v>8158</v>
      </c>
      <c r="B7" s="1997"/>
      <c r="C7" s="1997"/>
      <c r="D7" s="1997"/>
      <c r="E7" s="1997"/>
      <c r="F7" s="1997"/>
      <c r="G7" s="1997"/>
      <c r="H7" s="2008" t="s">
        <v>8159</v>
      </c>
      <c r="I7" s="1997"/>
      <c r="J7" s="1997"/>
      <c r="K7" s="1997"/>
      <c r="L7" s="1997"/>
      <c r="M7" s="1997"/>
      <c r="N7" s="1997"/>
      <c r="O7" s="1998"/>
      <c r="P7" s="1997" t="s">
        <v>2477</v>
      </c>
      <c r="Q7" s="1997"/>
      <c r="R7" s="1997"/>
      <c r="T7" s="2008" t="s">
        <v>8159</v>
      </c>
      <c r="U7" s="1997"/>
      <c r="V7" s="1997"/>
      <c r="W7" s="1997"/>
      <c r="X7" s="1997"/>
      <c r="Y7" s="1997"/>
      <c r="Z7" s="1997"/>
      <c r="AA7" s="1998"/>
      <c r="AB7" s="1997" t="s">
        <v>2477</v>
      </c>
      <c r="AC7" s="1997"/>
      <c r="AD7" s="1997"/>
    </row>
    <row r="8" spans="1:30" ht="14.1" customHeight="1">
      <c r="C8" s="2009"/>
      <c r="D8" s="2009"/>
      <c r="E8" s="2009"/>
      <c r="F8" s="2009"/>
      <c r="G8" s="2009"/>
      <c r="H8" s="2009"/>
      <c r="I8" s="2009"/>
      <c r="J8" s="2009"/>
      <c r="K8" s="2009"/>
      <c r="L8" s="2009"/>
      <c r="M8" s="2009"/>
      <c r="N8" s="2009"/>
      <c r="O8" s="2010"/>
      <c r="P8" s="2009"/>
      <c r="Q8" s="2009"/>
      <c r="R8" s="2009"/>
      <c r="T8" s="2009"/>
      <c r="U8" s="2009"/>
      <c r="V8" s="2009"/>
      <c r="W8" s="2009"/>
      <c r="X8" s="2009"/>
      <c r="Y8" s="2009"/>
      <c r="Z8" s="2009"/>
      <c r="AA8" s="2010"/>
      <c r="AB8" s="2009"/>
      <c r="AC8" s="2009"/>
      <c r="AD8" s="2009"/>
    </row>
    <row r="9" spans="1:30" ht="14.1" customHeight="1">
      <c r="C9" s="2009" t="s">
        <v>2306</v>
      </c>
      <c r="D9" s="2009" t="s">
        <v>2307</v>
      </c>
      <c r="E9" s="2009"/>
      <c r="F9" s="2009" t="s">
        <v>2308</v>
      </c>
      <c r="G9" s="2009"/>
      <c r="H9" s="2009" t="s">
        <v>2309</v>
      </c>
      <c r="I9" s="2009"/>
      <c r="J9" s="1675" t="s">
        <v>2310</v>
      </c>
      <c r="K9" s="1675"/>
      <c r="L9" s="2009" t="s">
        <v>2311</v>
      </c>
      <c r="M9" s="2009"/>
      <c r="N9" s="2009" t="s">
        <v>2312</v>
      </c>
      <c r="O9" s="2010"/>
      <c r="P9" s="2009" t="s">
        <v>2313</v>
      </c>
      <c r="Q9" s="2009"/>
      <c r="R9" s="2009" t="s">
        <v>2314</v>
      </c>
      <c r="T9" s="2009" t="s">
        <v>2309</v>
      </c>
      <c r="U9" s="2009"/>
      <c r="V9" s="1675" t="s">
        <v>2310</v>
      </c>
      <c r="W9" s="1675"/>
      <c r="X9" s="2009" t="s">
        <v>2311</v>
      </c>
      <c r="Y9" s="2009"/>
      <c r="Z9" s="2009" t="s">
        <v>2312</v>
      </c>
      <c r="AA9" s="2010"/>
      <c r="AB9" s="2009" t="s">
        <v>2313</v>
      </c>
      <c r="AC9" s="2009"/>
      <c r="AD9" s="2009" t="s">
        <v>2314</v>
      </c>
    </row>
    <row r="10" spans="1:30" ht="14.1" customHeight="1">
      <c r="C10" s="1675" t="s">
        <v>2429</v>
      </c>
      <c r="D10" s="1675" t="s">
        <v>2429</v>
      </c>
      <c r="F10" s="1675" t="s">
        <v>1537</v>
      </c>
      <c r="G10" s="1675"/>
      <c r="H10" s="2009" t="s">
        <v>1823</v>
      </c>
      <c r="I10" s="1675"/>
      <c r="J10" s="2009" t="s">
        <v>122</v>
      </c>
      <c r="K10" s="1675"/>
      <c r="L10" s="1675" t="s">
        <v>122</v>
      </c>
      <c r="M10" s="1675"/>
      <c r="O10" s="2001"/>
      <c r="P10" s="1675" t="s">
        <v>1823</v>
      </c>
      <c r="R10" s="1675"/>
      <c r="T10" s="2009" t="s">
        <v>1823</v>
      </c>
      <c r="U10" s="1675"/>
      <c r="V10" s="2009" t="s">
        <v>122</v>
      </c>
      <c r="W10" s="1675"/>
      <c r="X10" s="1675" t="s">
        <v>122</v>
      </c>
      <c r="Y10" s="1675"/>
      <c r="AA10" s="2001"/>
      <c r="AB10" s="1675" t="s">
        <v>1823</v>
      </c>
      <c r="AD10" s="1675"/>
    </row>
    <row r="11" spans="1:30" ht="14.1" customHeight="1">
      <c r="A11" s="1675" t="s">
        <v>2430</v>
      </c>
      <c r="B11" s="1675"/>
      <c r="C11" s="1675" t="s">
        <v>2431</v>
      </c>
      <c r="D11" s="1675" t="s">
        <v>2431</v>
      </c>
      <c r="E11" s="2009"/>
      <c r="F11" s="1675" t="s">
        <v>2432</v>
      </c>
      <c r="G11" s="1675"/>
      <c r="H11" s="1675" t="s">
        <v>2433</v>
      </c>
      <c r="I11" s="1675"/>
      <c r="J11" s="1675" t="s">
        <v>1823</v>
      </c>
      <c r="K11" s="2009"/>
      <c r="L11" s="1675" t="s">
        <v>1823</v>
      </c>
      <c r="M11" s="2005"/>
      <c r="N11" s="1675" t="s">
        <v>593</v>
      </c>
      <c r="O11" s="2010"/>
      <c r="P11" s="2009" t="s">
        <v>2433</v>
      </c>
      <c r="Q11" s="2009"/>
      <c r="R11" s="1675" t="s">
        <v>2434</v>
      </c>
      <c r="T11" s="1675" t="s">
        <v>2433</v>
      </c>
      <c r="U11" s="1675"/>
      <c r="V11" s="1675" t="s">
        <v>1823</v>
      </c>
      <c r="W11" s="2009"/>
      <c r="X11" s="1675" t="s">
        <v>1823</v>
      </c>
      <c r="Y11" s="2005"/>
      <c r="Z11" s="1675" t="s">
        <v>593</v>
      </c>
      <c r="AA11" s="2010"/>
      <c r="AB11" s="2009" t="s">
        <v>2433</v>
      </c>
      <c r="AC11" s="2009"/>
      <c r="AD11" s="1675" t="s">
        <v>2434</v>
      </c>
    </row>
    <row r="12" spans="1:30" ht="14.1" customHeight="1" thickBot="1">
      <c r="A12" s="2008" t="s">
        <v>2435</v>
      </c>
      <c r="B12" s="2008"/>
      <c r="C12" s="2008" t="s">
        <v>2436</v>
      </c>
      <c r="D12" s="2008" t="s">
        <v>2437</v>
      </c>
      <c r="E12" s="2008"/>
      <c r="F12" s="2011" t="s">
        <v>2438</v>
      </c>
      <c r="G12" s="2011"/>
      <c r="H12" s="2011" t="s">
        <v>2439</v>
      </c>
      <c r="I12" s="2012"/>
      <c r="J12" s="2011" t="s">
        <v>2440</v>
      </c>
      <c r="K12" s="2012"/>
      <c r="L12" s="2012" t="s">
        <v>2441</v>
      </c>
      <c r="M12" s="2013"/>
      <c r="N12" s="2013" t="s">
        <v>2442</v>
      </c>
      <c r="O12" s="2014"/>
      <c r="P12" s="2013" t="s">
        <v>2443</v>
      </c>
      <c r="Q12" s="2013"/>
      <c r="R12" s="2013" t="s">
        <v>2444</v>
      </c>
      <c r="T12" s="2011" t="s">
        <v>2439</v>
      </c>
      <c r="U12" s="2012"/>
      <c r="V12" s="2011" t="s">
        <v>2440</v>
      </c>
      <c r="W12" s="2012"/>
      <c r="X12" s="2012" t="s">
        <v>2441</v>
      </c>
      <c r="Y12" s="2013"/>
      <c r="Z12" s="2013" t="s">
        <v>2442</v>
      </c>
      <c r="AA12" s="2014"/>
      <c r="AB12" s="2013" t="s">
        <v>2443</v>
      </c>
      <c r="AC12" s="2013"/>
      <c r="AD12" s="2013" t="s">
        <v>2444</v>
      </c>
    </row>
    <row r="13" spans="1:30" ht="14.1" customHeight="1">
      <c r="A13" s="1675">
        <v>1</v>
      </c>
      <c r="B13" s="2015"/>
      <c r="N13" s="2016">
        <v>6</v>
      </c>
      <c r="O13" s="2001"/>
      <c r="Z13" s="2016">
        <v>6</v>
      </c>
      <c r="AA13" s="2001"/>
    </row>
    <row r="14" spans="1:30" ht="14.1" customHeight="1">
      <c r="A14" s="1675">
        <v>2</v>
      </c>
      <c r="B14" s="2015"/>
      <c r="D14" s="1674" t="s">
        <v>2445</v>
      </c>
      <c r="F14" s="2016">
        <v>24</v>
      </c>
      <c r="G14" s="2017"/>
      <c r="H14" s="2016">
        <v>3</v>
      </c>
      <c r="I14" s="2017"/>
      <c r="J14" s="2016">
        <v>4</v>
      </c>
      <c r="K14" s="2017"/>
      <c r="L14" s="2016">
        <v>5</v>
      </c>
      <c r="M14" s="2017"/>
      <c r="N14" s="2016">
        <v>7</v>
      </c>
      <c r="O14" s="2018"/>
      <c r="P14" s="2016">
        <v>8</v>
      </c>
      <c r="Q14" s="2017"/>
      <c r="R14" s="2016">
        <v>9</v>
      </c>
      <c r="T14" s="2016">
        <v>3</v>
      </c>
      <c r="U14" s="2017"/>
      <c r="V14" s="2016">
        <v>4</v>
      </c>
      <c r="W14" s="2017"/>
      <c r="X14" s="2016">
        <v>5</v>
      </c>
      <c r="Y14" s="2017"/>
      <c r="Z14" s="2016">
        <v>7</v>
      </c>
      <c r="AA14" s="2018"/>
      <c r="AB14" s="2016">
        <v>8</v>
      </c>
      <c r="AC14" s="2017"/>
      <c r="AD14" s="2016">
        <v>9</v>
      </c>
    </row>
    <row r="15" spans="1:30" ht="14.1" customHeight="1">
      <c r="A15" s="1675">
        <v>3</v>
      </c>
      <c r="B15" s="2015"/>
      <c r="D15" s="1674" t="s">
        <v>2446</v>
      </c>
      <c r="O15" s="2001"/>
      <c r="AA15" s="2001"/>
    </row>
    <row r="16" spans="1:30" ht="14.1" customHeight="1">
      <c r="A16" s="1675">
        <v>4</v>
      </c>
      <c r="B16" s="2015"/>
      <c r="D16" s="1674" t="s">
        <v>2448</v>
      </c>
      <c r="H16" s="1781"/>
      <c r="I16" s="1781"/>
      <c r="J16" s="1782"/>
      <c r="K16" s="1782"/>
      <c r="L16" s="1782"/>
      <c r="M16" s="1782"/>
      <c r="N16" s="1782"/>
      <c r="O16" s="1783"/>
      <c r="P16" s="1784"/>
      <c r="Q16" s="1784"/>
      <c r="R16" s="1782"/>
      <c r="T16" s="1781"/>
      <c r="U16" s="1781"/>
      <c r="V16" s="1782"/>
      <c r="W16" s="1782"/>
      <c r="X16" s="1782"/>
      <c r="Y16" s="1782"/>
      <c r="Z16" s="1782"/>
      <c r="AA16" s="1783"/>
      <c r="AB16" s="1784"/>
      <c r="AC16" s="1784"/>
      <c r="AD16" s="1782"/>
    </row>
    <row r="17" spans="1:30" ht="14.1" customHeight="1">
      <c r="A17" s="1675">
        <v>5</v>
      </c>
      <c r="B17" s="2015"/>
      <c r="C17" s="1675">
        <v>31140</v>
      </c>
      <c r="D17" s="1674" t="s">
        <v>2449</v>
      </c>
      <c r="F17" s="2019">
        <v>2.52</v>
      </c>
      <c r="G17" s="2001"/>
      <c r="H17" s="1876">
        <f>+IF(ISNUMBER(T17),T17/1000,T17)</f>
        <v>280963.52530000004</v>
      </c>
      <c r="I17" s="1785">
        <f t="shared" ref="I17:I80" si="0">+IF(ISNUMBER(U17),U17/1000,U17)</f>
        <v>0</v>
      </c>
      <c r="J17" s="1876">
        <f t="shared" ref="J17:J80" si="1">+IF(ISNUMBER(V17),V17/1000,V17)</f>
        <v>0</v>
      </c>
      <c r="K17" s="1786">
        <f t="shared" ref="K17:K80" si="2">+IF(ISNUMBER(W17),W17/1000,W17)</f>
        <v>0</v>
      </c>
      <c r="L17" s="1876">
        <f t="shared" ref="L17:L80" si="3">+IF(ISNUMBER(X17),X17/1000,X17)</f>
        <v>0</v>
      </c>
      <c r="M17" s="1786">
        <f t="shared" ref="M17:M80" si="4">+IF(ISNUMBER(Y17),Y17/1000,Y17)</f>
        <v>0</v>
      </c>
      <c r="N17" s="1876">
        <f t="shared" ref="N17:N80" si="5">+IF(ISNUMBER(Z17),Z17/1000,Z17)</f>
        <v>0</v>
      </c>
      <c r="O17" s="1785">
        <f t="shared" ref="O17:O80" si="6">+IF(ISNUMBER(AA17),AA17/1000,AA17)</f>
        <v>0</v>
      </c>
      <c r="P17" s="1787">
        <f t="shared" ref="P17:P80" si="7">+IF(ISNUMBER(AB17),AB17/1000,AB17)</f>
        <v>280963.52530000004</v>
      </c>
      <c r="Q17" s="1786">
        <f t="shared" ref="Q17:Q80" si="8">+IF(ISNUMBER(AC17),AC17/1000,AC17)</f>
        <v>0</v>
      </c>
      <c r="R17" s="1876">
        <f t="shared" ref="R17:R80" si="9">+IF(ISNUMBER(AD17),AD17/1000,AD17)</f>
        <v>280963.52530000004</v>
      </c>
      <c r="T17" s="1876">
        <v>280963525.30000001</v>
      </c>
      <c r="U17" s="1785"/>
      <c r="V17" s="1876">
        <v>0</v>
      </c>
      <c r="W17" s="1786"/>
      <c r="X17" s="1876">
        <v>0</v>
      </c>
      <c r="Y17" s="1786"/>
      <c r="Z17" s="1876">
        <v>0</v>
      </c>
      <c r="AA17" s="1785"/>
      <c r="AB17" s="1787">
        <v>280963525.30000001</v>
      </c>
      <c r="AC17" s="1786"/>
      <c r="AD17" s="1876">
        <v>280963525.30000001</v>
      </c>
    </row>
    <row r="18" spans="1:30" ht="14.1" customHeight="1">
      <c r="A18" s="1675">
        <v>6</v>
      </c>
      <c r="B18" s="2015"/>
      <c r="C18" s="1675">
        <v>31240</v>
      </c>
      <c r="D18" s="1674" t="s">
        <v>2451</v>
      </c>
      <c r="F18" s="2019">
        <v>3.81</v>
      </c>
      <c r="G18" s="2001"/>
      <c r="H18" s="1876">
        <f t="shared" ref="H18:H81" si="10">+IF(ISNUMBER(T18),T18/1000,T18)</f>
        <v>197728.66846999998</v>
      </c>
      <c r="I18" s="1785">
        <f t="shared" si="0"/>
        <v>0</v>
      </c>
      <c r="J18" s="1876">
        <f t="shared" si="1"/>
        <v>5357.0656200000003</v>
      </c>
      <c r="K18" s="1786">
        <f t="shared" si="2"/>
        <v>0</v>
      </c>
      <c r="L18" s="1876">
        <f t="shared" si="3"/>
        <v>-1071.41309</v>
      </c>
      <c r="M18" s="1786">
        <f t="shared" si="4"/>
        <v>0</v>
      </c>
      <c r="N18" s="1876">
        <f t="shared" si="5"/>
        <v>0</v>
      </c>
      <c r="O18" s="1785">
        <f t="shared" si="6"/>
        <v>0</v>
      </c>
      <c r="P18" s="1787">
        <f t="shared" si="7"/>
        <v>202014.32099999997</v>
      </c>
      <c r="Q18" s="1786">
        <f t="shared" si="8"/>
        <v>0</v>
      </c>
      <c r="R18" s="1876">
        <f t="shared" si="9"/>
        <v>199557.61538999999</v>
      </c>
      <c r="T18" s="1876">
        <v>197728668.46999997</v>
      </c>
      <c r="U18" s="1785"/>
      <c r="V18" s="1876">
        <v>5357065.62</v>
      </c>
      <c r="W18" s="1786"/>
      <c r="X18" s="1876">
        <v>-1071413.0900000001</v>
      </c>
      <c r="Y18" s="1786"/>
      <c r="Z18" s="1876">
        <v>0</v>
      </c>
      <c r="AA18" s="1785"/>
      <c r="AB18" s="1787">
        <v>202014320.99999997</v>
      </c>
      <c r="AC18" s="1786"/>
      <c r="AD18" s="1876">
        <v>199557615.38999999</v>
      </c>
    </row>
    <row r="19" spans="1:30" ht="14.1" customHeight="1">
      <c r="A19" s="1675">
        <v>7</v>
      </c>
      <c r="B19" s="2015"/>
      <c r="C19" s="1675">
        <v>31440</v>
      </c>
      <c r="D19" s="1674" t="s">
        <v>2452</v>
      </c>
      <c r="F19" s="2019">
        <v>3.9</v>
      </c>
      <c r="G19" s="2001"/>
      <c r="H19" s="1876">
        <f t="shared" si="10"/>
        <v>28785.796029999998</v>
      </c>
      <c r="I19" s="1785">
        <f t="shared" si="0"/>
        <v>0</v>
      </c>
      <c r="J19" s="1876">
        <f t="shared" si="1"/>
        <v>5357.0656200000003</v>
      </c>
      <c r="K19" s="1786">
        <f t="shared" si="2"/>
        <v>0</v>
      </c>
      <c r="L19" s="1876">
        <f t="shared" si="3"/>
        <v>-1071.41309</v>
      </c>
      <c r="M19" s="1786">
        <f t="shared" si="4"/>
        <v>0</v>
      </c>
      <c r="N19" s="1876">
        <f t="shared" si="5"/>
        <v>0</v>
      </c>
      <c r="O19" s="1785">
        <f t="shared" si="6"/>
        <v>0</v>
      </c>
      <c r="P19" s="1787">
        <f t="shared" si="7"/>
        <v>33071.448559999997</v>
      </c>
      <c r="Q19" s="1786">
        <f t="shared" si="8"/>
        <v>0</v>
      </c>
      <c r="R19" s="1876">
        <f t="shared" si="9"/>
        <v>30614.74295</v>
      </c>
      <c r="T19" s="1876">
        <v>28785796.029999997</v>
      </c>
      <c r="U19" s="1785"/>
      <c r="V19" s="1876">
        <v>5357065.62</v>
      </c>
      <c r="W19" s="1786"/>
      <c r="X19" s="1876">
        <v>-1071413.0900000001</v>
      </c>
      <c r="Y19" s="1786"/>
      <c r="Z19" s="1876">
        <v>0</v>
      </c>
      <c r="AA19" s="1785"/>
      <c r="AB19" s="1787">
        <v>33071448.559999999</v>
      </c>
      <c r="AC19" s="1786"/>
      <c r="AD19" s="1876">
        <v>30614742.949999999</v>
      </c>
    </row>
    <row r="20" spans="1:30" ht="14.1" customHeight="1">
      <c r="A20" s="1675">
        <v>8</v>
      </c>
      <c r="B20" s="2015"/>
      <c r="C20" s="1675">
        <v>31540</v>
      </c>
      <c r="D20" s="1674" t="s">
        <v>2454</v>
      </c>
      <c r="F20" s="2019">
        <v>2.16</v>
      </c>
      <c r="G20" s="2001"/>
      <c r="H20" s="1876">
        <f t="shared" si="10"/>
        <v>43980.094720000001</v>
      </c>
      <c r="I20" s="1785">
        <f t="shared" si="0"/>
        <v>0</v>
      </c>
      <c r="J20" s="1876">
        <f t="shared" si="1"/>
        <v>0</v>
      </c>
      <c r="K20" s="1786">
        <f t="shared" si="2"/>
        <v>0</v>
      </c>
      <c r="L20" s="1876">
        <f t="shared" si="3"/>
        <v>0</v>
      </c>
      <c r="M20" s="1786">
        <f t="shared" si="4"/>
        <v>0</v>
      </c>
      <c r="N20" s="1876">
        <f t="shared" si="5"/>
        <v>0</v>
      </c>
      <c r="O20" s="1785">
        <f t="shared" si="6"/>
        <v>0</v>
      </c>
      <c r="P20" s="1787">
        <f t="shared" si="7"/>
        <v>43980.094720000001</v>
      </c>
      <c r="Q20" s="1786">
        <f t="shared" si="8"/>
        <v>0</v>
      </c>
      <c r="R20" s="1876">
        <f t="shared" si="9"/>
        <v>43980.094720000001</v>
      </c>
      <c r="T20" s="1876">
        <v>43980094.719999999</v>
      </c>
      <c r="U20" s="1785"/>
      <c r="V20" s="1876">
        <v>0</v>
      </c>
      <c r="W20" s="1786"/>
      <c r="X20" s="1876">
        <v>0</v>
      </c>
      <c r="Y20" s="1786"/>
      <c r="Z20" s="1876">
        <v>0</v>
      </c>
      <c r="AA20" s="1785"/>
      <c r="AB20" s="1787">
        <v>43980094.719999999</v>
      </c>
      <c r="AC20" s="1786"/>
      <c r="AD20" s="1876">
        <v>43980094.719999999</v>
      </c>
    </row>
    <row r="21" spans="1:30" ht="14.1" customHeight="1">
      <c r="A21" s="1675">
        <v>9</v>
      </c>
      <c r="B21" s="2015"/>
      <c r="C21" s="1675">
        <v>31640</v>
      </c>
      <c r="D21" s="1674" t="s">
        <v>2455</v>
      </c>
      <c r="F21" s="2019">
        <v>2.02</v>
      </c>
      <c r="G21" s="2001"/>
      <c r="H21" s="1876">
        <f t="shared" si="10"/>
        <v>26448.498799999998</v>
      </c>
      <c r="I21" s="1785">
        <f t="shared" si="0"/>
        <v>0</v>
      </c>
      <c r="J21" s="1876">
        <f t="shared" si="1"/>
        <v>0</v>
      </c>
      <c r="K21" s="1786">
        <f t="shared" si="2"/>
        <v>0</v>
      </c>
      <c r="L21" s="1876">
        <f t="shared" si="3"/>
        <v>0</v>
      </c>
      <c r="M21" s="1786">
        <f t="shared" si="4"/>
        <v>0</v>
      </c>
      <c r="N21" s="1876">
        <f t="shared" si="5"/>
        <v>0</v>
      </c>
      <c r="O21" s="1785">
        <f t="shared" si="6"/>
        <v>0</v>
      </c>
      <c r="P21" s="1787">
        <f t="shared" si="7"/>
        <v>26448.498799999998</v>
      </c>
      <c r="Q21" s="1786">
        <f t="shared" si="8"/>
        <v>0</v>
      </c>
      <c r="R21" s="1876">
        <f t="shared" si="9"/>
        <v>26448.498800000001</v>
      </c>
      <c r="T21" s="1876">
        <v>26448498.799999997</v>
      </c>
      <c r="U21" s="1785"/>
      <c r="V21" s="1876">
        <v>0</v>
      </c>
      <c r="W21" s="1786"/>
      <c r="X21" s="1876">
        <v>0</v>
      </c>
      <c r="Y21" s="1786"/>
      <c r="Z21" s="1876">
        <v>0</v>
      </c>
      <c r="AA21" s="1785"/>
      <c r="AB21" s="1787">
        <v>26448498.799999997</v>
      </c>
      <c r="AC21" s="1786"/>
      <c r="AD21" s="1876">
        <v>26448498.800000001</v>
      </c>
    </row>
    <row r="22" spans="1:30" ht="14.1" customHeight="1">
      <c r="A22" s="1675">
        <v>10</v>
      </c>
      <c r="B22" s="2015"/>
      <c r="C22" s="1675"/>
      <c r="D22" s="1674" t="s">
        <v>2457</v>
      </c>
      <c r="F22" s="2020"/>
      <c r="H22" s="1788">
        <f t="shared" si="10"/>
        <v>577906.58331999998</v>
      </c>
      <c r="I22" s="1783">
        <f t="shared" si="0"/>
        <v>0</v>
      </c>
      <c r="J22" s="1788">
        <f t="shared" si="1"/>
        <v>10714.131240000001</v>
      </c>
      <c r="K22" s="1783">
        <f t="shared" si="2"/>
        <v>0</v>
      </c>
      <c r="L22" s="1788">
        <f t="shared" si="3"/>
        <v>-2142.82618</v>
      </c>
      <c r="M22" s="1783">
        <f t="shared" si="4"/>
        <v>0</v>
      </c>
      <c r="N22" s="1788">
        <f t="shared" si="5"/>
        <v>0</v>
      </c>
      <c r="O22" s="1783">
        <f t="shared" si="6"/>
        <v>0</v>
      </c>
      <c r="P22" s="1788">
        <f t="shared" si="7"/>
        <v>586477.8883799999</v>
      </c>
      <c r="Q22" s="1783">
        <f t="shared" si="8"/>
        <v>0</v>
      </c>
      <c r="R22" s="1788">
        <f t="shared" si="9"/>
        <v>581564.47716000001</v>
      </c>
      <c r="T22" s="1788">
        <v>577906583.31999993</v>
      </c>
      <c r="U22" s="1783"/>
      <c r="V22" s="1788">
        <v>10714131.24</v>
      </c>
      <c r="W22" s="1783"/>
      <c r="X22" s="1788">
        <v>-2142826.1800000002</v>
      </c>
      <c r="Y22" s="1783"/>
      <c r="Z22" s="1788">
        <v>0</v>
      </c>
      <c r="AA22" s="1783"/>
      <c r="AB22" s="1788">
        <v>586477888.37999988</v>
      </c>
      <c r="AC22" s="1783"/>
      <c r="AD22" s="1788">
        <v>581564477.15999997</v>
      </c>
    </row>
    <row r="23" spans="1:30" ht="14.1" customHeight="1">
      <c r="A23" s="1675">
        <v>11</v>
      </c>
      <c r="B23" s="2015"/>
      <c r="C23" s="1675"/>
      <c r="F23" s="2020"/>
      <c r="H23" s="1789">
        <f t="shared" si="10"/>
        <v>0</v>
      </c>
      <c r="I23" s="1789">
        <f t="shared" si="0"/>
        <v>0</v>
      </c>
      <c r="J23" s="1789">
        <f t="shared" si="1"/>
        <v>0</v>
      </c>
      <c r="K23" s="1790">
        <f t="shared" si="2"/>
        <v>0</v>
      </c>
      <c r="L23" s="1789">
        <f t="shared" si="3"/>
        <v>0</v>
      </c>
      <c r="M23" s="1790">
        <f t="shared" si="4"/>
        <v>0</v>
      </c>
      <c r="N23" s="1789">
        <f t="shared" si="5"/>
        <v>0</v>
      </c>
      <c r="O23" s="1790">
        <f t="shared" si="6"/>
        <v>0</v>
      </c>
      <c r="P23" s="1789">
        <f t="shared" si="7"/>
        <v>0</v>
      </c>
      <c r="Q23" s="1790">
        <f t="shared" si="8"/>
        <v>0</v>
      </c>
      <c r="R23" s="1789">
        <f t="shared" si="9"/>
        <v>0</v>
      </c>
      <c r="T23" s="1789"/>
      <c r="U23" s="1789"/>
      <c r="V23" s="1789"/>
      <c r="W23" s="1790"/>
      <c r="X23" s="1789"/>
      <c r="Y23" s="1790"/>
      <c r="Z23" s="1789"/>
      <c r="AA23" s="1790"/>
      <c r="AB23" s="1789"/>
      <c r="AC23" s="1790"/>
      <c r="AD23" s="1789"/>
    </row>
    <row r="24" spans="1:30" ht="14.1" customHeight="1">
      <c r="A24" s="1675">
        <v>12</v>
      </c>
      <c r="B24" s="2015"/>
      <c r="C24" s="1675"/>
      <c r="D24" s="1674" t="s">
        <v>2459</v>
      </c>
      <c r="F24" s="2020"/>
      <c r="H24" s="1791">
        <f t="shared" si="10"/>
        <v>0</v>
      </c>
      <c r="I24" s="1791">
        <f t="shared" si="0"/>
        <v>0</v>
      </c>
      <c r="J24" s="1791">
        <f t="shared" si="1"/>
        <v>0</v>
      </c>
      <c r="K24" s="1790">
        <f t="shared" si="2"/>
        <v>0</v>
      </c>
      <c r="L24" s="1791">
        <f t="shared" si="3"/>
        <v>0</v>
      </c>
      <c r="M24" s="1790">
        <f t="shared" si="4"/>
        <v>0</v>
      </c>
      <c r="N24" s="1791">
        <f t="shared" si="5"/>
        <v>0</v>
      </c>
      <c r="O24" s="1790">
        <f t="shared" si="6"/>
        <v>0</v>
      </c>
      <c r="P24" s="1791">
        <f t="shared" si="7"/>
        <v>0</v>
      </c>
      <c r="Q24" s="1790">
        <f t="shared" si="8"/>
        <v>0</v>
      </c>
      <c r="R24" s="1791">
        <f t="shared" si="9"/>
        <v>0</v>
      </c>
      <c r="T24" s="1791"/>
      <c r="U24" s="1791"/>
      <c r="V24" s="1791"/>
      <c r="W24" s="1790"/>
      <c r="X24" s="1791"/>
      <c r="Y24" s="1790"/>
      <c r="Z24" s="1791"/>
      <c r="AA24" s="1790"/>
      <c r="AB24" s="1791"/>
      <c r="AC24" s="1790"/>
      <c r="AD24" s="1791"/>
    </row>
    <row r="25" spans="1:30" ht="14.1" customHeight="1">
      <c r="A25" s="1675">
        <v>13</v>
      </c>
      <c r="B25" s="2015"/>
      <c r="C25" s="1675">
        <v>31141</v>
      </c>
      <c r="D25" s="1674" t="s">
        <v>2449</v>
      </c>
      <c r="F25" s="2019">
        <v>0</v>
      </c>
      <c r="G25" s="2001"/>
      <c r="H25" s="1876">
        <f t="shared" si="10"/>
        <v>0</v>
      </c>
      <c r="I25" s="1785">
        <f t="shared" si="0"/>
        <v>0</v>
      </c>
      <c r="J25" s="1876">
        <f t="shared" si="1"/>
        <v>0</v>
      </c>
      <c r="K25" s="1786">
        <f t="shared" si="2"/>
        <v>0</v>
      </c>
      <c r="L25" s="1876">
        <f t="shared" si="3"/>
        <v>0</v>
      </c>
      <c r="M25" s="1786">
        <f t="shared" si="4"/>
        <v>0</v>
      </c>
      <c r="N25" s="1876">
        <f t="shared" si="5"/>
        <v>0</v>
      </c>
      <c r="O25" s="1785">
        <f t="shared" si="6"/>
        <v>0</v>
      </c>
      <c r="P25" s="1787">
        <f t="shared" si="7"/>
        <v>0</v>
      </c>
      <c r="Q25" s="1786">
        <f t="shared" si="8"/>
        <v>0</v>
      </c>
      <c r="R25" s="1876">
        <f t="shared" si="9"/>
        <v>0</v>
      </c>
      <c r="T25" s="1876">
        <v>0</v>
      </c>
      <c r="U25" s="1785"/>
      <c r="V25" s="1876">
        <v>0</v>
      </c>
      <c r="W25" s="1786"/>
      <c r="X25" s="1876">
        <v>0</v>
      </c>
      <c r="Y25" s="1786"/>
      <c r="Z25" s="1876">
        <v>0</v>
      </c>
      <c r="AA25" s="1785"/>
      <c r="AB25" s="1787">
        <v>0</v>
      </c>
      <c r="AC25" s="1786"/>
      <c r="AD25" s="1876">
        <v>0</v>
      </c>
    </row>
    <row r="26" spans="1:30" ht="14.1" customHeight="1">
      <c r="A26" s="1675">
        <v>14</v>
      </c>
      <c r="B26" s="2015"/>
      <c r="C26" s="1675">
        <v>31241</v>
      </c>
      <c r="D26" s="1674" t="s">
        <v>2451</v>
      </c>
      <c r="F26" s="2019">
        <v>0</v>
      </c>
      <c r="G26" s="2001"/>
      <c r="H26" s="1876">
        <f t="shared" si="10"/>
        <v>0</v>
      </c>
      <c r="I26" s="1785">
        <f t="shared" si="0"/>
        <v>0</v>
      </c>
      <c r="J26" s="1876">
        <f t="shared" si="1"/>
        <v>0</v>
      </c>
      <c r="K26" s="1786">
        <f t="shared" si="2"/>
        <v>0</v>
      </c>
      <c r="L26" s="1876">
        <f t="shared" si="3"/>
        <v>0</v>
      </c>
      <c r="M26" s="1786">
        <f t="shared" si="4"/>
        <v>0</v>
      </c>
      <c r="N26" s="1876">
        <f t="shared" si="5"/>
        <v>0</v>
      </c>
      <c r="O26" s="1785">
        <f t="shared" si="6"/>
        <v>0</v>
      </c>
      <c r="P26" s="1787">
        <f t="shared" si="7"/>
        <v>0</v>
      </c>
      <c r="Q26" s="1786">
        <f t="shared" si="8"/>
        <v>0</v>
      </c>
      <c r="R26" s="1876">
        <f t="shared" si="9"/>
        <v>0</v>
      </c>
      <c r="T26" s="1876">
        <v>0</v>
      </c>
      <c r="U26" s="1785"/>
      <c r="V26" s="1876">
        <v>0</v>
      </c>
      <c r="W26" s="1786"/>
      <c r="X26" s="1876">
        <v>0</v>
      </c>
      <c r="Y26" s="1786"/>
      <c r="Z26" s="1876">
        <v>0</v>
      </c>
      <c r="AA26" s="1785"/>
      <c r="AB26" s="1787">
        <v>0</v>
      </c>
      <c r="AC26" s="1786"/>
      <c r="AD26" s="1876">
        <v>0</v>
      </c>
    </row>
    <row r="27" spans="1:30" ht="14.1" customHeight="1">
      <c r="A27" s="1675">
        <v>15</v>
      </c>
      <c r="B27" s="2015"/>
      <c r="C27" s="1675">
        <v>31441</v>
      </c>
      <c r="D27" s="1674" t="s">
        <v>2452</v>
      </c>
      <c r="F27" s="2019">
        <v>0</v>
      </c>
      <c r="G27" s="2001"/>
      <c r="H27" s="1876">
        <f t="shared" si="10"/>
        <v>0</v>
      </c>
      <c r="I27" s="1785">
        <f t="shared" si="0"/>
        <v>0</v>
      </c>
      <c r="J27" s="1876">
        <f t="shared" si="1"/>
        <v>0</v>
      </c>
      <c r="K27" s="1786">
        <f t="shared" si="2"/>
        <v>0</v>
      </c>
      <c r="L27" s="1876">
        <f t="shared" si="3"/>
        <v>0</v>
      </c>
      <c r="M27" s="1786">
        <f t="shared" si="4"/>
        <v>0</v>
      </c>
      <c r="N27" s="1876">
        <f t="shared" si="5"/>
        <v>0</v>
      </c>
      <c r="O27" s="1785">
        <f t="shared" si="6"/>
        <v>0</v>
      </c>
      <c r="P27" s="1787">
        <f t="shared" si="7"/>
        <v>0</v>
      </c>
      <c r="Q27" s="1786">
        <f t="shared" si="8"/>
        <v>0</v>
      </c>
      <c r="R27" s="1876">
        <f t="shared" si="9"/>
        <v>0</v>
      </c>
      <c r="T27" s="1876">
        <v>0</v>
      </c>
      <c r="U27" s="1785"/>
      <c r="V27" s="1876">
        <v>0</v>
      </c>
      <c r="W27" s="1786"/>
      <c r="X27" s="1876">
        <v>0</v>
      </c>
      <c r="Y27" s="1786"/>
      <c r="Z27" s="1876">
        <v>0</v>
      </c>
      <c r="AA27" s="1785"/>
      <c r="AB27" s="1787">
        <v>0</v>
      </c>
      <c r="AC27" s="1786"/>
      <c r="AD27" s="1876">
        <v>0</v>
      </c>
    </row>
    <row r="28" spans="1:30" ht="14.1" customHeight="1">
      <c r="A28" s="1675">
        <v>16</v>
      </c>
      <c r="B28" s="2015"/>
      <c r="C28" s="1675">
        <v>31541</v>
      </c>
      <c r="D28" s="1674" t="s">
        <v>2454</v>
      </c>
      <c r="F28" s="2019">
        <v>0</v>
      </c>
      <c r="G28" s="2001"/>
      <c r="H28" s="1876">
        <f t="shared" si="10"/>
        <v>0</v>
      </c>
      <c r="I28" s="1785">
        <f t="shared" si="0"/>
        <v>0</v>
      </c>
      <c r="J28" s="1876">
        <f t="shared" si="1"/>
        <v>0</v>
      </c>
      <c r="K28" s="1786">
        <f t="shared" si="2"/>
        <v>0</v>
      </c>
      <c r="L28" s="1876">
        <f t="shared" si="3"/>
        <v>0</v>
      </c>
      <c r="M28" s="1786">
        <f t="shared" si="4"/>
        <v>0</v>
      </c>
      <c r="N28" s="1876">
        <f t="shared" si="5"/>
        <v>0</v>
      </c>
      <c r="O28" s="1785">
        <f t="shared" si="6"/>
        <v>0</v>
      </c>
      <c r="P28" s="1787">
        <f t="shared" si="7"/>
        <v>0</v>
      </c>
      <c r="Q28" s="1786">
        <f t="shared" si="8"/>
        <v>0</v>
      </c>
      <c r="R28" s="1876">
        <f t="shared" si="9"/>
        <v>0</v>
      </c>
      <c r="T28" s="1876">
        <v>0</v>
      </c>
      <c r="U28" s="1785"/>
      <c r="V28" s="1876">
        <v>0</v>
      </c>
      <c r="W28" s="1786"/>
      <c r="X28" s="1876">
        <v>0</v>
      </c>
      <c r="Y28" s="1786"/>
      <c r="Z28" s="1876">
        <v>0</v>
      </c>
      <c r="AA28" s="1785"/>
      <c r="AB28" s="1787">
        <v>0</v>
      </c>
      <c r="AC28" s="1786"/>
      <c r="AD28" s="1876">
        <v>0</v>
      </c>
    </row>
    <row r="29" spans="1:30" ht="14.1" customHeight="1">
      <c r="A29" s="1675">
        <v>17</v>
      </c>
      <c r="B29" s="2015"/>
      <c r="C29" s="1675">
        <v>31641</v>
      </c>
      <c r="D29" s="1674" t="s">
        <v>2455</v>
      </c>
      <c r="F29" s="2019">
        <v>0</v>
      </c>
      <c r="G29" s="2001"/>
      <c r="H29" s="1876">
        <f t="shared" si="10"/>
        <v>0</v>
      </c>
      <c r="I29" s="1785">
        <f t="shared" si="0"/>
        <v>0</v>
      </c>
      <c r="J29" s="1876">
        <f t="shared" si="1"/>
        <v>0</v>
      </c>
      <c r="K29" s="1786">
        <f t="shared" si="2"/>
        <v>0</v>
      </c>
      <c r="L29" s="1876">
        <f t="shared" si="3"/>
        <v>0</v>
      </c>
      <c r="M29" s="1786">
        <f t="shared" si="4"/>
        <v>0</v>
      </c>
      <c r="N29" s="1876">
        <f t="shared" si="5"/>
        <v>0</v>
      </c>
      <c r="O29" s="1785">
        <f t="shared" si="6"/>
        <v>0</v>
      </c>
      <c r="P29" s="1787">
        <f t="shared" si="7"/>
        <v>0</v>
      </c>
      <c r="Q29" s="1786">
        <f t="shared" si="8"/>
        <v>0</v>
      </c>
      <c r="R29" s="1876">
        <f t="shared" si="9"/>
        <v>0</v>
      </c>
      <c r="T29" s="1876">
        <v>0</v>
      </c>
      <c r="U29" s="1785"/>
      <c r="V29" s="1876">
        <v>0</v>
      </c>
      <c r="W29" s="1786"/>
      <c r="X29" s="1876">
        <v>0</v>
      </c>
      <c r="Y29" s="1786"/>
      <c r="Z29" s="1876">
        <v>0</v>
      </c>
      <c r="AA29" s="1785"/>
      <c r="AB29" s="1787">
        <v>0</v>
      </c>
      <c r="AC29" s="1786"/>
      <c r="AD29" s="1876">
        <v>0</v>
      </c>
    </row>
    <row r="30" spans="1:30" ht="14.1" customHeight="1">
      <c r="A30" s="1675">
        <v>18</v>
      </c>
      <c r="B30" s="2015"/>
      <c r="C30" s="1675"/>
      <c r="D30" s="1674" t="s">
        <v>2463</v>
      </c>
      <c r="F30" s="2019"/>
      <c r="H30" s="1788">
        <f t="shared" si="10"/>
        <v>0</v>
      </c>
      <c r="I30" s="1790">
        <f t="shared" si="0"/>
        <v>0</v>
      </c>
      <c r="J30" s="1788">
        <f t="shared" si="1"/>
        <v>0</v>
      </c>
      <c r="K30" s="1790">
        <f t="shared" si="2"/>
        <v>0</v>
      </c>
      <c r="L30" s="1788">
        <f t="shared" si="3"/>
        <v>0</v>
      </c>
      <c r="M30" s="1790">
        <f t="shared" si="4"/>
        <v>0</v>
      </c>
      <c r="N30" s="1788">
        <f t="shared" si="5"/>
        <v>0</v>
      </c>
      <c r="O30" s="1790">
        <f t="shared" si="6"/>
        <v>0</v>
      </c>
      <c r="P30" s="1788">
        <f t="shared" si="7"/>
        <v>0</v>
      </c>
      <c r="Q30" s="1790">
        <f t="shared" si="8"/>
        <v>0</v>
      </c>
      <c r="R30" s="1788">
        <f t="shared" si="9"/>
        <v>0</v>
      </c>
      <c r="T30" s="1788">
        <v>0</v>
      </c>
      <c r="U30" s="1790"/>
      <c r="V30" s="1788">
        <v>0</v>
      </c>
      <c r="W30" s="1790"/>
      <c r="X30" s="1788">
        <v>0</v>
      </c>
      <c r="Y30" s="1790"/>
      <c r="Z30" s="1788">
        <v>0</v>
      </c>
      <c r="AA30" s="1790"/>
      <c r="AB30" s="1788">
        <v>0</v>
      </c>
      <c r="AC30" s="1790"/>
      <c r="AD30" s="1788">
        <v>0</v>
      </c>
    </row>
    <row r="31" spans="1:30" ht="14.1" customHeight="1">
      <c r="A31" s="1675">
        <v>19</v>
      </c>
      <c r="B31" s="2015"/>
      <c r="F31" s="2020"/>
      <c r="H31" s="1674">
        <f t="shared" si="10"/>
        <v>0</v>
      </c>
      <c r="I31" s="1674">
        <f t="shared" si="0"/>
        <v>0</v>
      </c>
      <c r="J31" s="1674">
        <f t="shared" si="1"/>
        <v>0</v>
      </c>
      <c r="K31" s="1674">
        <f t="shared" si="2"/>
        <v>0</v>
      </c>
      <c r="L31" s="1674">
        <f t="shared" si="3"/>
        <v>0</v>
      </c>
      <c r="M31" s="1674">
        <f t="shared" si="4"/>
        <v>0</v>
      </c>
      <c r="N31" s="1674">
        <f t="shared" si="5"/>
        <v>0</v>
      </c>
      <c r="O31" s="2001">
        <f t="shared" si="6"/>
        <v>0</v>
      </c>
      <c r="P31" s="1674">
        <f t="shared" si="7"/>
        <v>0</v>
      </c>
      <c r="Q31" s="1674">
        <f t="shared" si="8"/>
        <v>0</v>
      </c>
      <c r="R31" s="1674">
        <f t="shared" si="9"/>
        <v>0</v>
      </c>
      <c r="AA31" s="2001"/>
    </row>
    <row r="32" spans="1:30" ht="14.1" customHeight="1">
      <c r="A32" s="1675">
        <v>20</v>
      </c>
      <c r="B32" s="2015"/>
      <c r="C32" s="1675"/>
      <c r="D32" s="2021" t="s">
        <v>2465</v>
      </c>
      <c r="E32" s="2021"/>
      <c r="F32" s="2019"/>
      <c r="G32" s="2021"/>
      <c r="H32" s="1789">
        <f t="shared" si="10"/>
        <v>0</v>
      </c>
      <c r="I32" s="1789">
        <f t="shared" si="0"/>
        <v>0</v>
      </c>
      <c r="J32" s="1789">
        <f t="shared" si="1"/>
        <v>0</v>
      </c>
      <c r="K32" s="1790">
        <f t="shared" si="2"/>
        <v>0</v>
      </c>
      <c r="L32" s="1789">
        <f t="shared" si="3"/>
        <v>0</v>
      </c>
      <c r="M32" s="1790">
        <f t="shared" si="4"/>
        <v>0</v>
      </c>
      <c r="N32" s="1789">
        <f t="shared" si="5"/>
        <v>0</v>
      </c>
      <c r="O32" s="1790">
        <f t="shared" si="6"/>
        <v>0</v>
      </c>
      <c r="P32" s="1789">
        <f t="shared" si="7"/>
        <v>0</v>
      </c>
      <c r="Q32" s="1790">
        <f t="shared" si="8"/>
        <v>0</v>
      </c>
      <c r="R32" s="1789">
        <f t="shared" si="9"/>
        <v>0</v>
      </c>
      <c r="T32" s="1789"/>
      <c r="U32" s="1789"/>
      <c r="V32" s="1789"/>
      <c r="W32" s="1790"/>
      <c r="X32" s="1789"/>
      <c r="Y32" s="1790"/>
      <c r="Z32" s="1789"/>
      <c r="AA32" s="1790"/>
      <c r="AB32" s="1789"/>
      <c r="AC32" s="1790"/>
      <c r="AD32" s="1789"/>
    </row>
    <row r="33" spans="1:30" ht="14.1" customHeight="1">
      <c r="A33" s="1675">
        <v>21</v>
      </c>
      <c r="B33" s="2015"/>
      <c r="C33" s="1675">
        <v>31142</v>
      </c>
      <c r="D33" s="1674" t="s">
        <v>2449</v>
      </c>
      <c r="F33" s="2019">
        <v>0</v>
      </c>
      <c r="G33" s="2001"/>
      <c r="H33" s="1876">
        <f t="shared" si="10"/>
        <v>0</v>
      </c>
      <c r="I33" s="1785">
        <f t="shared" si="0"/>
        <v>0</v>
      </c>
      <c r="J33" s="1876">
        <f t="shared" si="1"/>
        <v>0</v>
      </c>
      <c r="K33" s="1786">
        <f t="shared" si="2"/>
        <v>0</v>
      </c>
      <c r="L33" s="1876">
        <f t="shared" si="3"/>
        <v>0</v>
      </c>
      <c r="M33" s="1786">
        <f t="shared" si="4"/>
        <v>0</v>
      </c>
      <c r="N33" s="1876">
        <f t="shared" si="5"/>
        <v>0</v>
      </c>
      <c r="O33" s="1785">
        <f t="shared" si="6"/>
        <v>0</v>
      </c>
      <c r="P33" s="1787">
        <f t="shared" si="7"/>
        <v>0</v>
      </c>
      <c r="Q33" s="1786">
        <f t="shared" si="8"/>
        <v>0</v>
      </c>
      <c r="R33" s="1876">
        <f t="shared" si="9"/>
        <v>0</v>
      </c>
      <c r="T33" s="1876">
        <v>0</v>
      </c>
      <c r="U33" s="1785"/>
      <c r="V33" s="1876">
        <v>0</v>
      </c>
      <c r="W33" s="1786"/>
      <c r="X33" s="1876">
        <v>0</v>
      </c>
      <c r="Y33" s="1786"/>
      <c r="Z33" s="1876">
        <v>0</v>
      </c>
      <c r="AA33" s="1785"/>
      <c r="AB33" s="1787">
        <v>0</v>
      </c>
      <c r="AC33" s="1786"/>
      <c r="AD33" s="1876">
        <v>0</v>
      </c>
    </row>
    <row r="34" spans="1:30" ht="14.1" customHeight="1">
      <c r="A34" s="1675">
        <v>22</v>
      </c>
      <c r="B34" s="2015"/>
      <c r="C34" s="1675">
        <v>31242</v>
      </c>
      <c r="D34" s="1674" t="s">
        <v>2451</v>
      </c>
      <c r="F34" s="2019">
        <v>0</v>
      </c>
      <c r="G34" s="2001"/>
      <c r="H34" s="1876">
        <f t="shared" si="10"/>
        <v>0</v>
      </c>
      <c r="I34" s="1785">
        <f t="shared" si="0"/>
        <v>0</v>
      </c>
      <c r="J34" s="1876">
        <f t="shared" si="1"/>
        <v>0</v>
      </c>
      <c r="K34" s="1786">
        <f t="shared" si="2"/>
        <v>0</v>
      </c>
      <c r="L34" s="1876">
        <f t="shared" si="3"/>
        <v>0</v>
      </c>
      <c r="M34" s="1786">
        <f t="shared" si="4"/>
        <v>0</v>
      </c>
      <c r="N34" s="1876">
        <f t="shared" si="5"/>
        <v>0</v>
      </c>
      <c r="O34" s="1785">
        <f t="shared" si="6"/>
        <v>0</v>
      </c>
      <c r="P34" s="1787">
        <f t="shared" si="7"/>
        <v>0</v>
      </c>
      <c r="Q34" s="1786">
        <f t="shared" si="8"/>
        <v>0</v>
      </c>
      <c r="R34" s="1876">
        <f t="shared" si="9"/>
        <v>0</v>
      </c>
      <c r="T34" s="1876">
        <v>0</v>
      </c>
      <c r="U34" s="1785"/>
      <c r="V34" s="1876">
        <v>0</v>
      </c>
      <c r="W34" s="1786"/>
      <c r="X34" s="1876">
        <v>0</v>
      </c>
      <c r="Y34" s="1786"/>
      <c r="Z34" s="1876">
        <v>0</v>
      </c>
      <c r="AA34" s="1785"/>
      <c r="AB34" s="1787">
        <v>0</v>
      </c>
      <c r="AC34" s="1786"/>
      <c r="AD34" s="1876">
        <v>0</v>
      </c>
    </row>
    <row r="35" spans="1:30" ht="14.1" customHeight="1">
      <c r="A35" s="1675">
        <v>23</v>
      </c>
      <c r="B35" s="2015"/>
      <c r="C35" s="1675">
        <v>31442</v>
      </c>
      <c r="D35" s="1674" t="s">
        <v>2452</v>
      </c>
      <c r="F35" s="2019">
        <v>0</v>
      </c>
      <c r="G35" s="2001"/>
      <c r="H35" s="1876">
        <f t="shared" si="10"/>
        <v>0</v>
      </c>
      <c r="I35" s="1785">
        <f t="shared" si="0"/>
        <v>0</v>
      </c>
      <c r="J35" s="1876">
        <f t="shared" si="1"/>
        <v>0</v>
      </c>
      <c r="K35" s="1786">
        <f t="shared" si="2"/>
        <v>0</v>
      </c>
      <c r="L35" s="1876">
        <f t="shared" si="3"/>
        <v>0</v>
      </c>
      <c r="M35" s="1786">
        <f t="shared" si="4"/>
        <v>0</v>
      </c>
      <c r="N35" s="1876">
        <f t="shared" si="5"/>
        <v>0</v>
      </c>
      <c r="O35" s="1785">
        <f t="shared" si="6"/>
        <v>0</v>
      </c>
      <c r="P35" s="1787">
        <f t="shared" si="7"/>
        <v>0</v>
      </c>
      <c r="Q35" s="1786">
        <f t="shared" si="8"/>
        <v>0</v>
      </c>
      <c r="R35" s="1876">
        <f t="shared" si="9"/>
        <v>0</v>
      </c>
      <c r="T35" s="1876">
        <v>0</v>
      </c>
      <c r="U35" s="1785"/>
      <c r="V35" s="1876">
        <v>0</v>
      </c>
      <c r="W35" s="1786"/>
      <c r="X35" s="1876">
        <v>0</v>
      </c>
      <c r="Y35" s="1786"/>
      <c r="Z35" s="1876">
        <v>0</v>
      </c>
      <c r="AA35" s="1785"/>
      <c r="AB35" s="1787">
        <v>0</v>
      </c>
      <c r="AC35" s="1786"/>
      <c r="AD35" s="1876">
        <v>0</v>
      </c>
    </row>
    <row r="36" spans="1:30" ht="14.1" customHeight="1">
      <c r="A36" s="1675">
        <v>24</v>
      </c>
      <c r="B36" s="2015"/>
      <c r="C36" s="1675">
        <v>31542</v>
      </c>
      <c r="D36" s="1674" t="s">
        <v>2454</v>
      </c>
      <c r="F36" s="2019">
        <v>0</v>
      </c>
      <c r="G36" s="2001"/>
      <c r="H36" s="1876">
        <f t="shared" si="10"/>
        <v>0</v>
      </c>
      <c r="I36" s="1785">
        <f t="shared" si="0"/>
        <v>0</v>
      </c>
      <c r="J36" s="1876">
        <f t="shared" si="1"/>
        <v>0</v>
      </c>
      <c r="K36" s="1786">
        <f t="shared" si="2"/>
        <v>0</v>
      </c>
      <c r="L36" s="1876">
        <f t="shared" si="3"/>
        <v>0</v>
      </c>
      <c r="M36" s="1786">
        <f t="shared" si="4"/>
        <v>0</v>
      </c>
      <c r="N36" s="1876">
        <f t="shared" si="5"/>
        <v>0</v>
      </c>
      <c r="O36" s="1785">
        <f t="shared" si="6"/>
        <v>0</v>
      </c>
      <c r="P36" s="1787">
        <f t="shared" si="7"/>
        <v>0</v>
      </c>
      <c r="Q36" s="1786">
        <f t="shared" si="8"/>
        <v>0</v>
      </c>
      <c r="R36" s="1876">
        <f t="shared" si="9"/>
        <v>0</v>
      </c>
      <c r="T36" s="1876">
        <v>0</v>
      </c>
      <c r="U36" s="1785"/>
      <c r="V36" s="1876">
        <v>0</v>
      </c>
      <c r="W36" s="1786"/>
      <c r="X36" s="1876">
        <v>0</v>
      </c>
      <c r="Y36" s="1786"/>
      <c r="Z36" s="1876">
        <v>0</v>
      </c>
      <c r="AA36" s="1785"/>
      <c r="AB36" s="1787">
        <v>0</v>
      </c>
      <c r="AC36" s="1786"/>
      <c r="AD36" s="1876">
        <v>0</v>
      </c>
    </row>
    <row r="37" spans="1:30" ht="14.1" customHeight="1">
      <c r="A37" s="1675">
        <v>25</v>
      </c>
      <c r="B37" s="2015"/>
      <c r="C37" s="1675">
        <v>31642</v>
      </c>
      <c r="D37" s="1674" t="s">
        <v>2455</v>
      </c>
      <c r="F37" s="2019">
        <v>0</v>
      </c>
      <c r="G37" s="2001"/>
      <c r="H37" s="1876">
        <f t="shared" si="10"/>
        <v>0</v>
      </c>
      <c r="I37" s="1785">
        <f t="shared" si="0"/>
        <v>0</v>
      </c>
      <c r="J37" s="1876">
        <f t="shared" si="1"/>
        <v>0</v>
      </c>
      <c r="K37" s="1786">
        <f t="shared" si="2"/>
        <v>0</v>
      </c>
      <c r="L37" s="1876">
        <f t="shared" si="3"/>
        <v>0</v>
      </c>
      <c r="M37" s="1786">
        <f t="shared" si="4"/>
        <v>0</v>
      </c>
      <c r="N37" s="1876">
        <f t="shared" si="5"/>
        <v>0</v>
      </c>
      <c r="O37" s="1785">
        <f t="shared" si="6"/>
        <v>0</v>
      </c>
      <c r="P37" s="1787">
        <f t="shared" si="7"/>
        <v>0</v>
      </c>
      <c r="Q37" s="1786">
        <f t="shared" si="8"/>
        <v>0</v>
      </c>
      <c r="R37" s="1876">
        <f t="shared" si="9"/>
        <v>0</v>
      </c>
      <c r="T37" s="1876">
        <v>0</v>
      </c>
      <c r="U37" s="1785"/>
      <c r="V37" s="1876">
        <v>0</v>
      </c>
      <c r="W37" s="1786"/>
      <c r="X37" s="1876">
        <v>0</v>
      </c>
      <c r="Y37" s="1786"/>
      <c r="Z37" s="1876">
        <v>0</v>
      </c>
      <c r="AA37" s="1785"/>
      <c r="AB37" s="1787">
        <v>0</v>
      </c>
      <c r="AC37" s="1786"/>
      <c r="AD37" s="1876">
        <v>0</v>
      </c>
    </row>
    <row r="38" spans="1:30" ht="14.1" customHeight="1">
      <c r="A38" s="1675">
        <v>26</v>
      </c>
      <c r="B38" s="2015"/>
      <c r="C38" s="1675"/>
      <c r="D38" s="1676" t="s">
        <v>2467</v>
      </c>
      <c r="E38" s="1676"/>
      <c r="F38" s="2019"/>
      <c r="H38" s="1788">
        <f t="shared" si="10"/>
        <v>0</v>
      </c>
      <c r="I38" s="1790">
        <f t="shared" si="0"/>
        <v>0</v>
      </c>
      <c r="J38" s="1788">
        <f t="shared" si="1"/>
        <v>0</v>
      </c>
      <c r="K38" s="1790">
        <f t="shared" si="2"/>
        <v>0</v>
      </c>
      <c r="L38" s="1788">
        <f t="shared" si="3"/>
        <v>0</v>
      </c>
      <c r="M38" s="1790">
        <f t="shared" si="4"/>
        <v>0</v>
      </c>
      <c r="N38" s="1788">
        <f t="shared" si="5"/>
        <v>0</v>
      </c>
      <c r="O38" s="1790">
        <f t="shared" si="6"/>
        <v>0</v>
      </c>
      <c r="P38" s="1788">
        <f t="shared" si="7"/>
        <v>0</v>
      </c>
      <c r="Q38" s="1790">
        <f t="shared" si="8"/>
        <v>0</v>
      </c>
      <c r="R38" s="1788">
        <f t="shared" si="9"/>
        <v>0</v>
      </c>
      <c r="T38" s="1788">
        <v>0</v>
      </c>
      <c r="U38" s="1790"/>
      <c r="V38" s="1788">
        <v>0</v>
      </c>
      <c r="W38" s="1790"/>
      <c r="X38" s="1788">
        <v>0</v>
      </c>
      <c r="Y38" s="1790"/>
      <c r="Z38" s="1788">
        <v>0</v>
      </c>
      <c r="AA38" s="1790"/>
      <c r="AB38" s="1788">
        <v>0</v>
      </c>
      <c r="AC38" s="1790"/>
      <c r="AD38" s="1788">
        <v>0</v>
      </c>
    </row>
    <row r="39" spans="1:30" ht="14.1" customHeight="1">
      <c r="A39" s="1675">
        <v>27</v>
      </c>
      <c r="B39" s="2015"/>
      <c r="C39" s="1675"/>
      <c r="D39" s="1676"/>
      <c r="E39" s="1676"/>
      <c r="F39" s="2019"/>
      <c r="G39" s="1676"/>
      <c r="H39" s="1790">
        <f t="shared" si="10"/>
        <v>0</v>
      </c>
      <c r="I39" s="1790">
        <f t="shared" si="0"/>
        <v>0</v>
      </c>
      <c r="J39" s="1790">
        <f t="shared" si="1"/>
        <v>0</v>
      </c>
      <c r="K39" s="1790">
        <f t="shared" si="2"/>
        <v>0</v>
      </c>
      <c r="L39" s="1790">
        <f t="shared" si="3"/>
        <v>0</v>
      </c>
      <c r="M39" s="1790">
        <f t="shared" si="4"/>
        <v>0</v>
      </c>
      <c r="N39" s="1790">
        <f t="shared" si="5"/>
        <v>0</v>
      </c>
      <c r="O39" s="1789">
        <f t="shared" si="6"/>
        <v>0</v>
      </c>
      <c r="P39" s="1790">
        <f t="shared" si="7"/>
        <v>0</v>
      </c>
      <c r="Q39" s="1789">
        <f t="shared" si="8"/>
        <v>0</v>
      </c>
      <c r="R39" s="1790">
        <f t="shared" si="9"/>
        <v>0</v>
      </c>
      <c r="T39" s="1790"/>
      <c r="U39" s="1790"/>
      <c r="V39" s="1790"/>
      <c r="W39" s="1790"/>
      <c r="X39" s="1790"/>
      <c r="Y39" s="1790"/>
      <c r="Z39" s="1790"/>
      <c r="AA39" s="1789"/>
      <c r="AB39" s="1790"/>
      <c r="AC39" s="1789"/>
      <c r="AD39" s="1790"/>
    </row>
    <row r="40" spans="1:30" ht="14.1" customHeight="1">
      <c r="A40" s="1675">
        <v>28</v>
      </c>
      <c r="B40" s="2015"/>
      <c r="C40" s="1675"/>
      <c r="D40" s="1676" t="s">
        <v>2469</v>
      </c>
      <c r="E40" s="1676"/>
      <c r="F40" s="2019"/>
      <c r="G40" s="1676"/>
      <c r="H40" s="1790">
        <f t="shared" si="10"/>
        <v>0</v>
      </c>
      <c r="I40" s="1790">
        <f t="shared" si="0"/>
        <v>0</v>
      </c>
      <c r="J40" s="1790">
        <f t="shared" si="1"/>
        <v>0</v>
      </c>
      <c r="K40" s="1790">
        <f t="shared" si="2"/>
        <v>0</v>
      </c>
      <c r="L40" s="1790">
        <f t="shared" si="3"/>
        <v>0</v>
      </c>
      <c r="M40" s="1790">
        <f t="shared" si="4"/>
        <v>0</v>
      </c>
      <c r="N40" s="1790">
        <f t="shared" si="5"/>
        <v>0</v>
      </c>
      <c r="O40" s="1789">
        <f t="shared" si="6"/>
        <v>0</v>
      </c>
      <c r="P40" s="1790">
        <f t="shared" si="7"/>
        <v>0</v>
      </c>
      <c r="Q40" s="1789">
        <f t="shared" si="8"/>
        <v>0</v>
      </c>
      <c r="R40" s="1790">
        <f t="shared" si="9"/>
        <v>0</v>
      </c>
      <c r="T40" s="1790"/>
      <c r="U40" s="1790"/>
      <c r="V40" s="1790"/>
      <c r="W40" s="1790"/>
      <c r="X40" s="1790"/>
      <c r="Y40" s="1790"/>
      <c r="Z40" s="1790"/>
      <c r="AA40" s="1789"/>
      <c r="AB40" s="1790"/>
      <c r="AC40" s="1789"/>
      <c r="AD40" s="1790"/>
    </row>
    <row r="41" spans="1:30" ht="14.1" customHeight="1">
      <c r="A41" s="1675">
        <v>29</v>
      </c>
      <c r="B41" s="2015"/>
      <c r="C41" s="1675">
        <v>31143</v>
      </c>
      <c r="D41" s="1674" t="s">
        <v>2449</v>
      </c>
      <c r="F41" s="2019">
        <v>0</v>
      </c>
      <c r="G41" s="2001"/>
      <c r="H41" s="1876">
        <f t="shared" si="10"/>
        <v>0</v>
      </c>
      <c r="I41" s="1785">
        <f t="shared" si="0"/>
        <v>0</v>
      </c>
      <c r="J41" s="1876">
        <f t="shared" si="1"/>
        <v>0</v>
      </c>
      <c r="K41" s="1786">
        <f t="shared" si="2"/>
        <v>0</v>
      </c>
      <c r="L41" s="1876">
        <f t="shared" si="3"/>
        <v>0</v>
      </c>
      <c r="M41" s="1786">
        <f t="shared" si="4"/>
        <v>0</v>
      </c>
      <c r="N41" s="1876">
        <f t="shared" si="5"/>
        <v>0</v>
      </c>
      <c r="O41" s="1785">
        <f t="shared" si="6"/>
        <v>0</v>
      </c>
      <c r="P41" s="1787">
        <f t="shared" si="7"/>
        <v>0</v>
      </c>
      <c r="Q41" s="1786">
        <f t="shared" si="8"/>
        <v>0</v>
      </c>
      <c r="R41" s="1876">
        <f t="shared" si="9"/>
        <v>0</v>
      </c>
      <c r="T41" s="1876">
        <v>0</v>
      </c>
      <c r="U41" s="1785"/>
      <c r="V41" s="1876">
        <v>0</v>
      </c>
      <c r="W41" s="1786"/>
      <c r="X41" s="1876">
        <v>0</v>
      </c>
      <c r="Y41" s="1786"/>
      <c r="Z41" s="1876">
        <v>0</v>
      </c>
      <c r="AA41" s="1785"/>
      <c r="AB41" s="1787">
        <v>0</v>
      </c>
      <c r="AC41" s="1786"/>
      <c r="AD41" s="1876">
        <v>0</v>
      </c>
    </row>
    <row r="42" spans="1:30" ht="14.1" customHeight="1">
      <c r="A42" s="1675">
        <v>30</v>
      </c>
      <c r="B42" s="2015"/>
      <c r="C42" s="1675">
        <v>31243</v>
      </c>
      <c r="D42" s="1674" t="s">
        <v>2451</v>
      </c>
      <c r="F42" s="2019">
        <v>0</v>
      </c>
      <c r="G42" s="2001"/>
      <c r="H42" s="1876">
        <f t="shared" si="10"/>
        <v>0</v>
      </c>
      <c r="I42" s="1785">
        <f t="shared" si="0"/>
        <v>0</v>
      </c>
      <c r="J42" s="1876">
        <f t="shared" si="1"/>
        <v>0</v>
      </c>
      <c r="K42" s="1786">
        <f t="shared" si="2"/>
        <v>0</v>
      </c>
      <c r="L42" s="1876">
        <f t="shared" si="3"/>
        <v>0</v>
      </c>
      <c r="M42" s="1786">
        <f t="shared" si="4"/>
        <v>0</v>
      </c>
      <c r="N42" s="1876">
        <f t="shared" si="5"/>
        <v>0</v>
      </c>
      <c r="O42" s="1785">
        <f t="shared" si="6"/>
        <v>0</v>
      </c>
      <c r="P42" s="1787">
        <f t="shared" si="7"/>
        <v>0</v>
      </c>
      <c r="Q42" s="1786">
        <f t="shared" si="8"/>
        <v>0</v>
      </c>
      <c r="R42" s="1876">
        <f t="shared" si="9"/>
        <v>0</v>
      </c>
      <c r="T42" s="1876">
        <v>0</v>
      </c>
      <c r="U42" s="1785"/>
      <c r="V42" s="1876">
        <v>0</v>
      </c>
      <c r="W42" s="1786"/>
      <c r="X42" s="1876">
        <v>0</v>
      </c>
      <c r="Y42" s="1786"/>
      <c r="Z42" s="1876">
        <v>0</v>
      </c>
      <c r="AA42" s="1785"/>
      <c r="AB42" s="1787">
        <v>0</v>
      </c>
      <c r="AC42" s="1786"/>
      <c r="AD42" s="1876">
        <v>0</v>
      </c>
    </row>
    <row r="43" spans="1:30" ht="14.1" customHeight="1">
      <c r="A43" s="1675">
        <v>31</v>
      </c>
      <c r="B43" s="2015"/>
      <c r="C43" s="1675">
        <v>31443</v>
      </c>
      <c r="D43" s="1674" t="s">
        <v>2452</v>
      </c>
      <c r="F43" s="2019">
        <v>0</v>
      </c>
      <c r="G43" s="2001"/>
      <c r="H43" s="1876">
        <f t="shared" si="10"/>
        <v>0</v>
      </c>
      <c r="I43" s="1785">
        <f t="shared" si="0"/>
        <v>0</v>
      </c>
      <c r="J43" s="1876">
        <f t="shared" si="1"/>
        <v>0</v>
      </c>
      <c r="K43" s="1786">
        <f t="shared" si="2"/>
        <v>0</v>
      </c>
      <c r="L43" s="1876">
        <f t="shared" si="3"/>
        <v>0</v>
      </c>
      <c r="M43" s="1786">
        <f t="shared" si="4"/>
        <v>0</v>
      </c>
      <c r="N43" s="1876">
        <f t="shared" si="5"/>
        <v>0</v>
      </c>
      <c r="O43" s="1785">
        <f t="shared" si="6"/>
        <v>0</v>
      </c>
      <c r="P43" s="1787">
        <f t="shared" si="7"/>
        <v>0</v>
      </c>
      <c r="Q43" s="1786">
        <f t="shared" si="8"/>
        <v>0</v>
      </c>
      <c r="R43" s="1876">
        <f t="shared" si="9"/>
        <v>0</v>
      </c>
      <c r="T43" s="1876">
        <v>0</v>
      </c>
      <c r="U43" s="1785"/>
      <c r="V43" s="1876">
        <v>0</v>
      </c>
      <c r="W43" s="1786"/>
      <c r="X43" s="1876">
        <v>0</v>
      </c>
      <c r="Y43" s="1786"/>
      <c r="Z43" s="1876">
        <v>0</v>
      </c>
      <c r="AA43" s="1785"/>
      <c r="AB43" s="1787">
        <v>0</v>
      </c>
      <c r="AC43" s="1786"/>
      <c r="AD43" s="1876">
        <v>0</v>
      </c>
    </row>
    <row r="44" spans="1:30" ht="14.1" customHeight="1">
      <c r="A44" s="1675">
        <v>32</v>
      </c>
      <c r="B44" s="2015"/>
      <c r="C44" s="1675">
        <v>31543</v>
      </c>
      <c r="D44" s="1674" t="s">
        <v>2454</v>
      </c>
      <c r="F44" s="2019">
        <v>0</v>
      </c>
      <c r="G44" s="2001"/>
      <c r="H44" s="1876">
        <f t="shared" si="10"/>
        <v>0</v>
      </c>
      <c r="I44" s="1785">
        <f t="shared" si="0"/>
        <v>0</v>
      </c>
      <c r="J44" s="1876">
        <f t="shared" si="1"/>
        <v>0</v>
      </c>
      <c r="K44" s="1786">
        <f t="shared" si="2"/>
        <v>0</v>
      </c>
      <c r="L44" s="1876">
        <f t="shared" si="3"/>
        <v>0</v>
      </c>
      <c r="M44" s="1786">
        <f t="shared" si="4"/>
        <v>0</v>
      </c>
      <c r="N44" s="1876">
        <f t="shared" si="5"/>
        <v>0</v>
      </c>
      <c r="O44" s="1785">
        <f t="shared" si="6"/>
        <v>0</v>
      </c>
      <c r="P44" s="1787">
        <f t="shared" si="7"/>
        <v>0</v>
      </c>
      <c r="Q44" s="1786">
        <f t="shared" si="8"/>
        <v>0</v>
      </c>
      <c r="R44" s="1876">
        <f t="shared" si="9"/>
        <v>0</v>
      </c>
      <c r="T44" s="1876">
        <v>0</v>
      </c>
      <c r="U44" s="1785"/>
      <c r="V44" s="1876">
        <v>0</v>
      </c>
      <c r="W44" s="1786"/>
      <c r="X44" s="1876">
        <v>0</v>
      </c>
      <c r="Y44" s="1786"/>
      <c r="Z44" s="1876">
        <v>0</v>
      </c>
      <c r="AA44" s="1785"/>
      <c r="AB44" s="1787">
        <v>0</v>
      </c>
      <c r="AC44" s="1786"/>
      <c r="AD44" s="1876">
        <v>0</v>
      </c>
    </row>
    <row r="45" spans="1:30" ht="14.1" customHeight="1">
      <c r="A45" s="1675">
        <v>33</v>
      </c>
      <c r="B45" s="2015"/>
      <c r="C45" s="1675">
        <v>31643</v>
      </c>
      <c r="D45" s="1674" t="s">
        <v>2455</v>
      </c>
      <c r="F45" s="2019">
        <v>0</v>
      </c>
      <c r="G45" s="2001"/>
      <c r="H45" s="1876">
        <f t="shared" si="10"/>
        <v>0</v>
      </c>
      <c r="I45" s="1785">
        <f t="shared" si="0"/>
        <v>0</v>
      </c>
      <c r="J45" s="1876">
        <f t="shared" si="1"/>
        <v>0</v>
      </c>
      <c r="K45" s="1786">
        <f t="shared" si="2"/>
        <v>0</v>
      </c>
      <c r="L45" s="1876">
        <f t="shared" si="3"/>
        <v>0</v>
      </c>
      <c r="M45" s="1786">
        <f t="shared" si="4"/>
        <v>0</v>
      </c>
      <c r="N45" s="1876">
        <f t="shared" si="5"/>
        <v>0</v>
      </c>
      <c r="O45" s="1785">
        <f t="shared" si="6"/>
        <v>0</v>
      </c>
      <c r="P45" s="1787">
        <f t="shared" si="7"/>
        <v>0</v>
      </c>
      <c r="Q45" s="1786">
        <f t="shared" si="8"/>
        <v>0</v>
      </c>
      <c r="R45" s="1876">
        <f t="shared" si="9"/>
        <v>0</v>
      </c>
      <c r="T45" s="1876">
        <v>0</v>
      </c>
      <c r="U45" s="1785"/>
      <c r="V45" s="1876">
        <v>0</v>
      </c>
      <c r="W45" s="1786"/>
      <c r="X45" s="1876">
        <v>0</v>
      </c>
      <c r="Y45" s="1786"/>
      <c r="Z45" s="1876">
        <v>0</v>
      </c>
      <c r="AA45" s="1785"/>
      <c r="AB45" s="1787">
        <v>0</v>
      </c>
      <c r="AC45" s="1786"/>
      <c r="AD45" s="1876">
        <v>0</v>
      </c>
    </row>
    <row r="46" spans="1:30" ht="14.1" customHeight="1">
      <c r="A46" s="1675">
        <v>34</v>
      </c>
      <c r="B46" s="2015"/>
      <c r="C46" s="1675"/>
      <c r="D46" s="1676" t="s">
        <v>2473</v>
      </c>
      <c r="E46" s="1676"/>
      <c r="F46" s="2019"/>
      <c r="H46" s="1788">
        <f t="shared" si="10"/>
        <v>0</v>
      </c>
      <c r="I46" s="1790">
        <f t="shared" si="0"/>
        <v>0</v>
      </c>
      <c r="J46" s="1788">
        <f t="shared" si="1"/>
        <v>0</v>
      </c>
      <c r="K46" s="1790">
        <f t="shared" si="2"/>
        <v>0</v>
      </c>
      <c r="L46" s="1788">
        <f t="shared" si="3"/>
        <v>0</v>
      </c>
      <c r="M46" s="1790">
        <f t="shared" si="4"/>
        <v>0</v>
      </c>
      <c r="N46" s="1788">
        <f t="shared" si="5"/>
        <v>0</v>
      </c>
      <c r="O46" s="1790">
        <f t="shared" si="6"/>
        <v>0</v>
      </c>
      <c r="P46" s="1788">
        <f t="shared" si="7"/>
        <v>0</v>
      </c>
      <c r="Q46" s="1790">
        <f t="shared" si="8"/>
        <v>0</v>
      </c>
      <c r="R46" s="1788">
        <f t="shared" si="9"/>
        <v>0</v>
      </c>
      <c r="T46" s="1788">
        <v>0</v>
      </c>
      <c r="U46" s="1790"/>
      <c r="V46" s="1788">
        <v>0</v>
      </c>
      <c r="W46" s="1790"/>
      <c r="X46" s="1788">
        <v>0</v>
      </c>
      <c r="Y46" s="1790"/>
      <c r="Z46" s="1788">
        <v>0</v>
      </c>
      <c r="AA46" s="1790"/>
      <c r="AB46" s="1788">
        <v>0</v>
      </c>
      <c r="AC46" s="1790"/>
      <c r="AD46" s="1788">
        <v>0</v>
      </c>
    </row>
    <row r="47" spans="1:30" ht="14.1" customHeight="1">
      <c r="A47" s="1675">
        <v>35</v>
      </c>
      <c r="B47" s="2015"/>
      <c r="F47" s="2020"/>
      <c r="H47" s="1674">
        <f t="shared" si="10"/>
        <v>0</v>
      </c>
      <c r="I47" s="1674">
        <f t="shared" si="0"/>
        <v>0</v>
      </c>
      <c r="J47" s="1674">
        <f t="shared" si="1"/>
        <v>0</v>
      </c>
      <c r="K47" s="1674">
        <f t="shared" si="2"/>
        <v>0</v>
      </c>
      <c r="L47" s="1674">
        <f t="shared" si="3"/>
        <v>0</v>
      </c>
      <c r="M47" s="1674">
        <f t="shared" si="4"/>
        <v>0</v>
      </c>
      <c r="N47" s="1674">
        <f t="shared" si="5"/>
        <v>0</v>
      </c>
      <c r="O47" s="2001">
        <f t="shared" si="6"/>
        <v>0</v>
      </c>
      <c r="P47" s="1674">
        <f t="shared" si="7"/>
        <v>0</v>
      </c>
      <c r="Q47" s="1674">
        <f t="shared" si="8"/>
        <v>0</v>
      </c>
      <c r="R47" s="1674">
        <f t="shared" si="9"/>
        <v>0</v>
      </c>
      <c r="AA47" s="2001"/>
    </row>
    <row r="48" spans="1:30" ht="14.1" customHeight="1">
      <c r="A48" s="1675">
        <v>36</v>
      </c>
      <c r="B48" s="2015"/>
      <c r="C48" s="2019"/>
      <c r="D48" s="1676" t="s">
        <v>2474</v>
      </c>
      <c r="E48" s="1676"/>
      <c r="F48" s="2019"/>
      <c r="G48" s="1676"/>
      <c r="H48" s="1790">
        <f t="shared" si="10"/>
        <v>0</v>
      </c>
      <c r="I48" s="1790">
        <f t="shared" si="0"/>
        <v>0</v>
      </c>
      <c r="J48" s="1790">
        <f t="shared" si="1"/>
        <v>0</v>
      </c>
      <c r="K48" s="1790">
        <f t="shared" si="2"/>
        <v>0</v>
      </c>
      <c r="L48" s="1790">
        <f t="shared" si="3"/>
        <v>0</v>
      </c>
      <c r="M48" s="1790">
        <f t="shared" si="4"/>
        <v>0</v>
      </c>
      <c r="N48" s="1790">
        <f t="shared" si="5"/>
        <v>0</v>
      </c>
      <c r="O48" s="1789">
        <f t="shared" si="6"/>
        <v>0</v>
      </c>
      <c r="P48" s="1790">
        <f t="shared" si="7"/>
        <v>0</v>
      </c>
      <c r="Q48" s="1789">
        <f t="shared" si="8"/>
        <v>0</v>
      </c>
      <c r="R48" s="1790">
        <f t="shared" si="9"/>
        <v>0</v>
      </c>
      <c r="T48" s="1790"/>
      <c r="U48" s="1790"/>
      <c r="V48" s="1790"/>
      <c r="W48" s="1790"/>
      <c r="X48" s="1790"/>
      <c r="Y48" s="1790"/>
      <c r="Z48" s="1790"/>
      <c r="AA48" s="1789"/>
      <c r="AB48" s="1790"/>
      <c r="AC48" s="1789"/>
      <c r="AD48" s="1790"/>
    </row>
    <row r="49" spans="1:30" ht="14.1" customHeight="1">
      <c r="A49" s="1675">
        <v>37</v>
      </c>
      <c r="B49" s="2022"/>
      <c r="C49" s="1675">
        <v>31144</v>
      </c>
      <c r="D49" s="1674" t="s">
        <v>2449</v>
      </c>
      <c r="F49" s="2019">
        <v>3.49</v>
      </c>
      <c r="G49" s="2001"/>
      <c r="H49" s="1876">
        <f t="shared" si="10"/>
        <v>55902.236310000008</v>
      </c>
      <c r="I49" s="1785">
        <f t="shared" si="0"/>
        <v>0</v>
      </c>
      <c r="J49" s="1876">
        <f t="shared" si="1"/>
        <v>0</v>
      </c>
      <c r="K49" s="1786">
        <f t="shared" si="2"/>
        <v>0</v>
      </c>
      <c r="L49" s="1876">
        <f t="shared" si="3"/>
        <v>0</v>
      </c>
      <c r="M49" s="1786">
        <f t="shared" si="4"/>
        <v>0</v>
      </c>
      <c r="N49" s="1876">
        <f t="shared" si="5"/>
        <v>0</v>
      </c>
      <c r="O49" s="1785">
        <f t="shared" si="6"/>
        <v>0</v>
      </c>
      <c r="P49" s="1787">
        <f t="shared" si="7"/>
        <v>55902.236310000008</v>
      </c>
      <c r="Q49" s="1786">
        <f t="shared" si="8"/>
        <v>0</v>
      </c>
      <c r="R49" s="1876">
        <f t="shared" si="9"/>
        <v>55902.23631</v>
      </c>
      <c r="T49" s="1876">
        <v>55902236.31000001</v>
      </c>
      <c r="U49" s="1785"/>
      <c r="V49" s="1876">
        <v>0</v>
      </c>
      <c r="W49" s="1786"/>
      <c r="X49" s="1876">
        <v>0</v>
      </c>
      <c r="Y49" s="1786"/>
      <c r="Z49" s="1876">
        <v>0</v>
      </c>
      <c r="AA49" s="1785"/>
      <c r="AB49" s="1787">
        <v>55902236.31000001</v>
      </c>
      <c r="AC49" s="1786"/>
      <c r="AD49" s="1876">
        <v>55902236.310000002</v>
      </c>
    </row>
    <row r="50" spans="1:30" ht="14.1" customHeight="1">
      <c r="A50" s="1675">
        <v>38</v>
      </c>
      <c r="B50" s="2022"/>
      <c r="C50" s="1675">
        <v>31244</v>
      </c>
      <c r="D50" s="1674" t="s">
        <v>2451</v>
      </c>
      <c r="F50" s="2019">
        <v>5.38</v>
      </c>
      <c r="G50" s="2001"/>
      <c r="H50" s="1876">
        <f t="shared" si="10"/>
        <v>315953.30990499986</v>
      </c>
      <c r="I50" s="1785">
        <f t="shared" si="0"/>
        <v>0</v>
      </c>
      <c r="J50" s="1876">
        <f t="shared" si="1"/>
        <v>3285.0593399999998</v>
      </c>
      <c r="K50" s="1786">
        <f t="shared" si="2"/>
        <v>0</v>
      </c>
      <c r="L50" s="1876">
        <f t="shared" si="3"/>
        <v>-657.01185999999996</v>
      </c>
      <c r="M50" s="1786">
        <f t="shared" si="4"/>
        <v>0</v>
      </c>
      <c r="N50" s="1876">
        <f t="shared" si="5"/>
        <v>0</v>
      </c>
      <c r="O50" s="1785">
        <f t="shared" si="6"/>
        <v>0</v>
      </c>
      <c r="P50" s="1787">
        <f t="shared" si="7"/>
        <v>318581.35738499981</v>
      </c>
      <c r="Q50" s="1786">
        <f t="shared" si="8"/>
        <v>0</v>
      </c>
      <c r="R50" s="1876">
        <f t="shared" si="9"/>
        <v>316923.75189000001</v>
      </c>
      <c r="T50" s="1876">
        <v>315953309.90499985</v>
      </c>
      <c r="U50" s="1785"/>
      <c r="V50" s="1876">
        <v>3285059.34</v>
      </c>
      <c r="W50" s="1786"/>
      <c r="X50" s="1876">
        <v>-657011.86</v>
      </c>
      <c r="Y50" s="1786"/>
      <c r="Z50" s="1876">
        <v>0</v>
      </c>
      <c r="AA50" s="1785"/>
      <c r="AB50" s="1787">
        <v>318581357.38499981</v>
      </c>
      <c r="AC50" s="1786"/>
      <c r="AD50" s="1876">
        <v>316923751.88999999</v>
      </c>
    </row>
    <row r="51" spans="1:30" ht="14.1" customHeight="1">
      <c r="A51" s="1675">
        <v>39</v>
      </c>
      <c r="B51" s="2022"/>
      <c r="C51" s="1675">
        <v>31444</v>
      </c>
      <c r="D51" s="1674" t="s">
        <v>2452</v>
      </c>
      <c r="F51" s="2019">
        <v>4.66</v>
      </c>
      <c r="G51" s="2001"/>
      <c r="H51" s="1876">
        <f t="shared" si="10"/>
        <v>120281.00042500003</v>
      </c>
      <c r="I51" s="1785">
        <f t="shared" si="0"/>
        <v>0</v>
      </c>
      <c r="J51" s="1876">
        <f t="shared" si="1"/>
        <v>3285.0593399999998</v>
      </c>
      <c r="K51" s="1786">
        <f t="shared" si="2"/>
        <v>0</v>
      </c>
      <c r="L51" s="1876">
        <f t="shared" si="3"/>
        <v>-657.01185999999996</v>
      </c>
      <c r="M51" s="1786">
        <f t="shared" si="4"/>
        <v>0</v>
      </c>
      <c r="N51" s="1876">
        <f t="shared" si="5"/>
        <v>0</v>
      </c>
      <c r="O51" s="1785">
        <f t="shared" si="6"/>
        <v>0</v>
      </c>
      <c r="P51" s="1787">
        <f t="shared" si="7"/>
        <v>122909.04790500004</v>
      </c>
      <c r="Q51" s="1786">
        <f t="shared" si="8"/>
        <v>0</v>
      </c>
      <c r="R51" s="1876">
        <f t="shared" si="9"/>
        <v>121251.44241</v>
      </c>
      <c r="T51" s="1876">
        <v>120281000.42500004</v>
      </c>
      <c r="U51" s="1785"/>
      <c r="V51" s="1876">
        <v>3285059.34</v>
      </c>
      <c r="W51" s="1786"/>
      <c r="X51" s="1876">
        <v>-657011.86</v>
      </c>
      <c r="Y51" s="1786"/>
      <c r="Z51" s="1876">
        <v>0</v>
      </c>
      <c r="AA51" s="1785"/>
      <c r="AB51" s="1787">
        <v>122909047.90500005</v>
      </c>
      <c r="AC51" s="1786"/>
      <c r="AD51" s="1876">
        <v>121251442.41</v>
      </c>
    </row>
    <row r="52" spans="1:30" ht="14.1" customHeight="1">
      <c r="A52" s="1675">
        <v>40</v>
      </c>
      <c r="B52" s="2022"/>
      <c r="C52" s="1675">
        <v>31544</v>
      </c>
      <c r="D52" s="1674" t="s">
        <v>2454</v>
      </c>
      <c r="F52" s="2019">
        <v>2.8</v>
      </c>
      <c r="G52" s="2001"/>
      <c r="H52" s="1876">
        <f t="shared" si="10"/>
        <v>52859.494079999997</v>
      </c>
      <c r="I52" s="1785">
        <f t="shared" si="0"/>
        <v>0</v>
      </c>
      <c r="J52" s="1876">
        <f t="shared" si="1"/>
        <v>0</v>
      </c>
      <c r="K52" s="1786">
        <f t="shared" si="2"/>
        <v>0</v>
      </c>
      <c r="L52" s="1876">
        <f t="shared" si="3"/>
        <v>0</v>
      </c>
      <c r="M52" s="1786">
        <f t="shared" si="4"/>
        <v>0</v>
      </c>
      <c r="N52" s="1876">
        <f t="shared" si="5"/>
        <v>0</v>
      </c>
      <c r="O52" s="1785">
        <f t="shared" si="6"/>
        <v>0</v>
      </c>
      <c r="P52" s="1787">
        <f t="shared" si="7"/>
        <v>52859.494079999997</v>
      </c>
      <c r="Q52" s="1786">
        <f t="shared" si="8"/>
        <v>0</v>
      </c>
      <c r="R52" s="1876">
        <f t="shared" si="9"/>
        <v>52859.494079999997</v>
      </c>
      <c r="T52" s="1876">
        <v>52859494.079999998</v>
      </c>
      <c r="U52" s="1785"/>
      <c r="V52" s="1876">
        <v>0</v>
      </c>
      <c r="W52" s="1786"/>
      <c r="X52" s="1876">
        <v>0</v>
      </c>
      <c r="Y52" s="1786"/>
      <c r="Z52" s="1876">
        <v>0</v>
      </c>
      <c r="AA52" s="1785"/>
      <c r="AB52" s="1787">
        <v>52859494.079999998</v>
      </c>
      <c r="AC52" s="1786"/>
      <c r="AD52" s="1876">
        <v>52859494.079999998</v>
      </c>
    </row>
    <row r="53" spans="1:30" ht="14.1" customHeight="1">
      <c r="A53" s="1675">
        <v>41</v>
      </c>
      <c r="B53" s="2022"/>
      <c r="C53" s="1675">
        <v>31644</v>
      </c>
      <c r="D53" s="1674" t="s">
        <v>2455</v>
      </c>
      <c r="F53" s="2019">
        <v>1.92</v>
      </c>
      <c r="G53" s="2001"/>
      <c r="H53" s="1876">
        <f t="shared" si="10"/>
        <v>5865.8117899999997</v>
      </c>
      <c r="I53" s="1785">
        <f t="shared" si="0"/>
        <v>0</v>
      </c>
      <c r="J53" s="1876">
        <f t="shared" si="1"/>
        <v>0</v>
      </c>
      <c r="K53" s="1786">
        <f t="shared" si="2"/>
        <v>0</v>
      </c>
      <c r="L53" s="1876">
        <f t="shared" si="3"/>
        <v>0</v>
      </c>
      <c r="M53" s="1786">
        <f t="shared" si="4"/>
        <v>0</v>
      </c>
      <c r="N53" s="1876">
        <f t="shared" si="5"/>
        <v>0</v>
      </c>
      <c r="O53" s="1785">
        <f t="shared" si="6"/>
        <v>0</v>
      </c>
      <c r="P53" s="1787">
        <f t="shared" si="7"/>
        <v>5865.8117899999997</v>
      </c>
      <c r="Q53" s="1786">
        <f t="shared" si="8"/>
        <v>0</v>
      </c>
      <c r="R53" s="1876">
        <f t="shared" si="9"/>
        <v>5865.8117899999997</v>
      </c>
      <c r="T53" s="1876">
        <v>5865811.79</v>
      </c>
      <c r="U53" s="1785"/>
      <c r="V53" s="1876">
        <v>0</v>
      </c>
      <c r="W53" s="1786"/>
      <c r="X53" s="1876">
        <v>0</v>
      </c>
      <c r="Y53" s="1786"/>
      <c r="Z53" s="1876">
        <v>0</v>
      </c>
      <c r="AA53" s="1785"/>
      <c r="AB53" s="1787">
        <v>5865811.79</v>
      </c>
      <c r="AC53" s="1786"/>
      <c r="AD53" s="1876">
        <v>5865811.79</v>
      </c>
    </row>
    <row r="54" spans="1:30" ht="14.1" customHeight="1">
      <c r="A54" s="1675">
        <v>42</v>
      </c>
      <c r="B54" s="2022"/>
      <c r="D54" s="1676" t="s">
        <v>2475</v>
      </c>
      <c r="E54" s="1676"/>
      <c r="F54" s="2023"/>
      <c r="H54" s="1788">
        <f t="shared" si="10"/>
        <v>550861.85250999988</v>
      </c>
      <c r="I54" s="1790">
        <f t="shared" si="0"/>
        <v>0</v>
      </c>
      <c r="J54" s="1788">
        <f t="shared" si="1"/>
        <v>6570.1186799999996</v>
      </c>
      <c r="K54" s="1790">
        <f t="shared" si="2"/>
        <v>0</v>
      </c>
      <c r="L54" s="1788">
        <f t="shared" si="3"/>
        <v>-1314.0237199999999</v>
      </c>
      <c r="M54" s="1790">
        <f t="shared" si="4"/>
        <v>0</v>
      </c>
      <c r="N54" s="1788">
        <f t="shared" si="5"/>
        <v>0</v>
      </c>
      <c r="O54" s="1790">
        <f t="shared" si="6"/>
        <v>0</v>
      </c>
      <c r="P54" s="1788">
        <f t="shared" si="7"/>
        <v>556117.94746999978</v>
      </c>
      <c r="Q54" s="1790">
        <f t="shared" si="8"/>
        <v>0</v>
      </c>
      <c r="R54" s="1788">
        <f t="shared" si="9"/>
        <v>552802.73647999996</v>
      </c>
      <c r="T54" s="1788">
        <v>550861852.50999987</v>
      </c>
      <c r="U54" s="1790"/>
      <c r="V54" s="1788">
        <v>6570118.6799999997</v>
      </c>
      <c r="W54" s="1790"/>
      <c r="X54" s="1788">
        <v>-1314023.72</v>
      </c>
      <c r="Y54" s="1790"/>
      <c r="Z54" s="1788">
        <v>0</v>
      </c>
      <c r="AA54" s="1790"/>
      <c r="AB54" s="1788">
        <v>556117947.46999979</v>
      </c>
      <c r="AC54" s="1790"/>
      <c r="AD54" s="1788">
        <v>552802736.48000002</v>
      </c>
    </row>
    <row r="55" spans="1:30" ht="14.1" customHeight="1">
      <c r="A55" s="1675">
        <v>43</v>
      </c>
      <c r="B55" s="2022"/>
      <c r="H55" s="1674">
        <f t="shared" si="10"/>
        <v>0</v>
      </c>
      <c r="I55" s="1674">
        <f t="shared" si="0"/>
        <v>0</v>
      </c>
      <c r="J55" s="1674">
        <f t="shared" si="1"/>
        <v>0</v>
      </c>
      <c r="K55" s="1674">
        <f t="shared" si="2"/>
        <v>0</v>
      </c>
      <c r="L55" s="1674">
        <f t="shared" si="3"/>
        <v>0</v>
      </c>
      <c r="M55" s="1674">
        <f t="shared" si="4"/>
        <v>0</v>
      </c>
      <c r="N55" s="1674">
        <f t="shared" si="5"/>
        <v>0</v>
      </c>
      <c r="O55" s="2001">
        <f t="shared" si="6"/>
        <v>0</v>
      </c>
      <c r="P55" s="1674">
        <f t="shared" si="7"/>
        <v>0</v>
      </c>
      <c r="Q55" s="1674">
        <f t="shared" si="8"/>
        <v>0</v>
      </c>
      <c r="R55" s="1674">
        <f t="shared" si="9"/>
        <v>0</v>
      </c>
      <c r="AA55" s="2001"/>
    </row>
    <row r="56" spans="1:30" ht="14.1" customHeight="1" thickBot="1">
      <c r="A56" s="2008">
        <v>44</v>
      </c>
      <c r="B56" s="1869" t="s">
        <v>2476</v>
      </c>
      <c r="C56" s="1997"/>
      <c r="D56" s="1997"/>
      <c r="E56" s="1997"/>
      <c r="F56" s="1997"/>
      <c r="G56" s="1997"/>
      <c r="H56" s="1997">
        <f t="shared" si="10"/>
        <v>0</v>
      </c>
      <c r="I56" s="1997">
        <f t="shared" si="0"/>
        <v>0</v>
      </c>
      <c r="J56" s="1997">
        <f t="shared" si="1"/>
        <v>0</v>
      </c>
      <c r="K56" s="1997">
        <f t="shared" si="2"/>
        <v>0</v>
      </c>
      <c r="L56" s="1997">
        <f t="shared" si="3"/>
        <v>0</v>
      </c>
      <c r="M56" s="1997">
        <f t="shared" si="4"/>
        <v>0</v>
      </c>
      <c r="N56" s="1997">
        <f t="shared" si="5"/>
        <v>0</v>
      </c>
      <c r="O56" s="1998">
        <f t="shared" si="6"/>
        <v>0</v>
      </c>
      <c r="P56" s="1997">
        <f t="shared" si="7"/>
        <v>0</v>
      </c>
      <c r="Q56" s="1997">
        <f t="shared" si="8"/>
        <v>0</v>
      </c>
      <c r="R56" s="1997">
        <f t="shared" si="9"/>
        <v>0</v>
      </c>
      <c r="T56" s="1997"/>
      <c r="U56" s="1997"/>
      <c r="V56" s="1997"/>
      <c r="W56" s="1997"/>
      <c r="X56" s="1997"/>
      <c r="Y56" s="1997"/>
      <c r="Z56" s="1997"/>
      <c r="AA56" s="1998"/>
      <c r="AB56" s="1997"/>
      <c r="AC56" s="1997"/>
      <c r="AD56" s="1997"/>
    </row>
    <row r="57" spans="1:30" ht="14.1" customHeight="1">
      <c r="A57" s="2005" t="s">
        <v>8947</v>
      </c>
      <c r="H57" s="1674">
        <f t="shared" si="10"/>
        <v>0</v>
      </c>
      <c r="I57" s="1674">
        <f t="shared" si="0"/>
        <v>0</v>
      </c>
      <c r="J57" s="1674">
        <f t="shared" si="1"/>
        <v>0</v>
      </c>
      <c r="K57" s="1674">
        <f t="shared" si="2"/>
        <v>0</v>
      </c>
      <c r="L57" s="1674">
        <f t="shared" si="3"/>
        <v>0</v>
      </c>
      <c r="M57" s="1674">
        <f t="shared" si="4"/>
        <v>0</v>
      </c>
      <c r="N57" s="1674">
        <f t="shared" si="5"/>
        <v>0</v>
      </c>
      <c r="O57" s="2001">
        <f t="shared" si="6"/>
        <v>0</v>
      </c>
      <c r="P57" s="1674" t="str">
        <f t="shared" si="7"/>
        <v>Recap Schedules:  B-03, B-06</v>
      </c>
      <c r="Q57" s="1674">
        <f t="shared" si="8"/>
        <v>0</v>
      </c>
      <c r="R57" s="1674">
        <f t="shared" si="9"/>
        <v>0</v>
      </c>
      <c r="AA57" s="2001"/>
      <c r="AB57" s="1674" t="s">
        <v>8948</v>
      </c>
    </row>
    <row r="58" spans="1:30" ht="14.1" customHeight="1" thickBot="1">
      <c r="A58" s="1997" t="s">
        <v>8943</v>
      </c>
      <c r="B58" s="1997"/>
      <c r="C58" s="1997"/>
      <c r="D58" s="1997"/>
      <c r="E58" s="1997"/>
      <c r="F58" s="1997"/>
      <c r="G58" s="1997" t="s">
        <v>2422</v>
      </c>
      <c r="H58" s="1997">
        <f t="shared" si="10"/>
        <v>0</v>
      </c>
      <c r="I58" s="1997">
        <f t="shared" si="0"/>
        <v>0</v>
      </c>
      <c r="J58" s="1997">
        <f t="shared" si="1"/>
        <v>0</v>
      </c>
      <c r="K58" s="1997">
        <f t="shared" si="2"/>
        <v>0</v>
      </c>
      <c r="L58" s="1997">
        <f t="shared" si="3"/>
        <v>0</v>
      </c>
      <c r="M58" s="1997">
        <f t="shared" si="4"/>
        <v>0</v>
      </c>
      <c r="N58" s="1997">
        <f t="shared" si="5"/>
        <v>0</v>
      </c>
      <c r="O58" s="1998">
        <f t="shared" si="6"/>
        <v>0</v>
      </c>
      <c r="P58" s="1997">
        <f t="shared" si="7"/>
        <v>0</v>
      </c>
      <c r="Q58" s="1997">
        <f t="shared" si="8"/>
        <v>0</v>
      </c>
      <c r="R58" s="1997" t="str">
        <f t="shared" si="9"/>
        <v>Page 2 of 10</v>
      </c>
      <c r="T58" s="1997"/>
      <c r="U58" s="1997"/>
      <c r="V58" s="1997"/>
      <c r="W58" s="1997"/>
      <c r="X58" s="1997"/>
      <c r="Y58" s="1997"/>
      <c r="Z58" s="1997"/>
      <c r="AA58" s="1998"/>
      <c r="AB58" s="1997"/>
      <c r="AC58" s="1997"/>
      <c r="AD58" s="1997" t="s">
        <v>2478</v>
      </c>
    </row>
    <row r="59" spans="1:30" ht="14.1" customHeight="1">
      <c r="A59" s="1674" t="s">
        <v>2425</v>
      </c>
      <c r="B59" s="2024"/>
      <c r="E59" s="2001" t="s">
        <v>2426</v>
      </c>
      <c r="F59" s="1674" t="s">
        <v>8155</v>
      </c>
      <c r="H59" s="1674">
        <f t="shared" si="10"/>
        <v>0</v>
      </c>
      <c r="I59" s="1674">
        <f t="shared" si="0"/>
        <v>0</v>
      </c>
      <c r="J59" s="2003">
        <f t="shared" si="1"/>
        <v>0</v>
      </c>
      <c r="K59" s="2003">
        <f t="shared" si="2"/>
        <v>0</v>
      </c>
      <c r="L59" s="1674">
        <f t="shared" si="3"/>
        <v>0</v>
      </c>
      <c r="M59" s="2003">
        <f t="shared" si="4"/>
        <v>0</v>
      </c>
      <c r="N59" s="2003">
        <f t="shared" si="5"/>
        <v>0</v>
      </c>
      <c r="O59" s="2004">
        <f t="shared" si="6"/>
        <v>0</v>
      </c>
      <c r="P59" s="1674" t="str">
        <f t="shared" si="7"/>
        <v>Type of data shown:</v>
      </c>
      <c r="Q59" s="1674">
        <f t="shared" si="8"/>
        <v>0</v>
      </c>
      <c r="R59" s="2005">
        <f t="shared" si="9"/>
        <v>0</v>
      </c>
      <c r="V59" s="2003"/>
      <c r="W59" s="2003"/>
      <c r="Y59" s="2003"/>
      <c r="Z59" s="2003"/>
      <c r="AA59" s="2004"/>
      <c r="AB59" s="1674" t="s">
        <v>2427</v>
      </c>
      <c r="AD59" s="2005"/>
    </row>
    <row r="60" spans="1:30" ht="14.1" customHeight="1">
      <c r="B60" s="2024"/>
      <c r="F60" s="1674" t="s">
        <v>8156</v>
      </c>
      <c r="H60" s="1674">
        <f t="shared" si="10"/>
        <v>0</v>
      </c>
      <c r="I60" s="1674">
        <f t="shared" si="0"/>
        <v>0</v>
      </c>
      <c r="J60" s="2001">
        <f t="shared" si="1"/>
        <v>0</v>
      </c>
      <c r="K60" s="2005">
        <f t="shared" si="2"/>
        <v>0</v>
      </c>
      <c r="L60" s="1674">
        <f t="shared" si="3"/>
        <v>0</v>
      </c>
      <c r="M60" s="1674">
        <f t="shared" si="4"/>
        <v>0</v>
      </c>
      <c r="N60" s="2001">
        <f t="shared" si="5"/>
        <v>0</v>
      </c>
      <c r="O60" s="2001" t="str">
        <f t="shared" si="6"/>
        <v>XX</v>
      </c>
      <c r="P60" s="2005" t="str">
        <f t="shared" si="7"/>
        <v>Projected Test Year Ended 12/31/2025</v>
      </c>
      <c r="Q60" s="1674">
        <f t="shared" si="8"/>
        <v>0</v>
      </c>
      <c r="R60" s="2001">
        <f t="shared" si="9"/>
        <v>0</v>
      </c>
      <c r="V60" s="2001"/>
      <c r="W60" s="2005"/>
      <c r="Z60" s="2001"/>
      <c r="AA60" s="2001" t="s">
        <v>8157</v>
      </c>
      <c r="AB60" s="2005" t="s">
        <v>8944</v>
      </c>
      <c r="AD60" s="2001"/>
    </row>
    <row r="61" spans="1:30" ht="14.1" customHeight="1">
      <c r="A61" s="1674" t="s">
        <v>2428</v>
      </c>
      <c r="B61" s="2024"/>
      <c r="F61" s="1674" t="s">
        <v>2360</v>
      </c>
      <c r="H61" s="1674">
        <f t="shared" si="10"/>
        <v>0</v>
      </c>
      <c r="I61" s="1674">
        <f t="shared" si="0"/>
        <v>0</v>
      </c>
      <c r="J61" s="2001">
        <f t="shared" si="1"/>
        <v>0</v>
      </c>
      <c r="K61" s="2005">
        <f t="shared" si="2"/>
        <v>0</v>
      </c>
      <c r="L61" s="2001">
        <f t="shared" si="3"/>
        <v>0</v>
      </c>
      <c r="M61" s="1674">
        <f t="shared" si="4"/>
        <v>0</v>
      </c>
      <c r="N61" s="1674">
        <f t="shared" si="5"/>
        <v>0</v>
      </c>
      <c r="O61" s="2001" t="str">
        <f t="shared" si="6"/>
        <v/>
      </c>
      <c r="P61" s="2005" t="str">
        <f t="shared" si="7"/>
        <v>Projected Prior Year Ended 12/31/2024</v>
      </c>
      <c r="Q61" s="1674">
        <f t="shared" si="8"/>
        <v>0</v>
      </c>
      <c r="R61" s="2001">
        <f t="shared" si="9"/>
        <v>0</v>
      </c>
      <c r="V61" s="2001"/>
      <c r="W61" s="2005"/>
      <c r="X61" s="2001"/>
      <c r="AA61" s="2001" t="s">
        <v>2360</v>
      </c>
      <c r="AB61" s="2005" t="s">
        <v>8945</v>
      </c>
      <c r="AD61" s="2001"/>
    </row>
    <row r="62" spans="1:30" ht="14.1" customHeight="1">
      <c r="B62" s="2024"/>
      <c r="F62" s="1674" t="s">
        <v>2360</v>
      </c>
      <c r="H62" s="1674">
        <f t="shared" si="10"/>
        <v>0</v>
      </c>
      <c r="I62" s="1674">
        <f t="shared" si="0"/>
        <v>0</v>
      </c>
      <c r="J62" s="2001">
        <f t="shared" si="1"/>
        <v>0</v>
      </c>
      <c r="K62" s="2005">
        <f t="shared" si="2"/>
        <v>0</v>
      </c>
      <c r="L62" s="2001">
        <f t="shared" si="3"/>
        <v>0</v>
      </c>
      <c r="M62" s="1674">
        <f t="shared" si="4"/>
        <v>0</v>
      </c>
      <c r="N62" s="1674">
        <f t="shared" si="5"/>
        <v>0</v>
      </c>
      <c r="O62" s="2001" t="str">
        <f t="shared" si="6"/>
        <v/>
      </c>
      <c r="P62" s="2005" t="str">
        <f t="shared" si="7"/>
        <v>Historical Prior Year Ended 12/31/2023</v>
      </c>
      <c r="Q62" s="1674">
        <f t="shared" si="8"/>
        <v>0</v>
      </c>
      <c r="R62" s="2001">
        <f t="shared" si="9"/>
        <v>0</v>
      </c>
      <c r="V62" s="2001"/>
      <c r="W62" s="2005"/>
      <c r="X62" s="2001"/>
      <c r="AA62" s="2001" t="s">
        <v>2360</v>
      </c>
      <c r="AB62" s="2005" t="s">
        <v>8946</v>
      </c>
      <c r="AD62" s="2001"/>
    </row>
    <row r="63" spans="1:30" ht="14.1" customHeight="1">
      <c r="B63" s="2024"/>
      <c r="H63" s="1674">
        <f t="shared" si="10"/>
        <v>0</v>
      </c>
      <c r="I63" s="1674">
        <f t="shared" si="0"/>
        <v>0</v>
      </c>
      <c r="J63" s="2001">
        <f t="shared" si="1"/>
        <v>0</v>
      </c>
      <c r="K63" s="2005">
        <f t="shared" si="2"/>
        <v>0</v>
      </c>
      <c r="L63" s="2001">
        <f t="shared" si="3"/>
        <v>0</v>
      </c>
      <c r="M63" s="1674">
        <f t="shared" si="4"/>
        <v>0</v>
      </c>
      <c r="N63" s="1674">
        <f t="shared" si="5"/>
        <v>0</v>
      </c>
      <c r="O63" s="2001">
        <f t="shared" si="6"/>
        <v>0</v>
      </c>
      <c r="P63" s="2005" t="str">
        <f t="shared" si="7"/>
        <v>Witness: D. Avellan</v>
      </c>
      <c r="Q63" s="1674">
        <f t="shared" si="8"/>
        <v>0</v>
      </c>
      <c r="R63" s="2001">
        <f t="shared" si="9"/>
        <v>0</v>
      </c>
      <c r="V63" s="2001"/>
      <c r="W63" s="2005"/>
      <c r="X63" s="2001"/>
      <c r="AA63" s="2001"/>
      <c r="AB63" s="2005" t="s">
        <v>8160</v>
      </c>
      <c r="AD63" s="2001"/>
    </row>
    <row r="64" spans="1:30" ht="14.1" customHeight="1" thickBot="1">
      <c r="A64" s="1997" t="s">
        <v>8158</v>
      </c>
      <c r="B64" s="2025"/>
      <c r="C64" s="1997"/>
      <c r="D64" s="1997"/>
      <c r="E64" s="1997"/>
      <c r="F64" s="1997" t="s">
        <v>2360</v>
      </c>
      <c r="G64" s="1997"/>
      <c r="H64" s="2008" t="str">
        <f t="shared" si="10"/>
        <v>(Dollars in cents)</v>
      </c>
      <c r="I64" s="1997">
        <f t="shared" si="0"/>
        <v>0</v>
      </c>
      <c r="J64" s="1997">
        <f t="shared" si="1"/>
        <v>0</v>
      </c>
      <c r="K64" s="1997">
        <f t="shared" si="2"/>
        <v>0</v>
      </c>
      <c r="L64" s="1997">
        <f t="shared" si="3"/>
        <v>0</v>
      </c>
      <c r="M64" s="1997">
        <f t="shared" si="4"/>
        <v>0</v>
      </c>
      <c r="N64" s="1997">
        <f t="shared" si="5"/>
        <v>0</v>
      </c>
      <c r="O64" s="1998">
        <f t="shared" si="6"/>
        <v>0</v>
      </c>
      <c r="P64" s="1997" t="str">
        <f t="shared" si="7"/>
        <v xml:space="preserve"> </v>
      </c>
      <c r="Q64" s="1997">
        <f t="shared" si="8"/>
        <v>0</v>
      </c>
      <c r="R64" s="1997">
        <f t="shared" si="9"/>
        <v>0</v>
      </c>
      <c r="T64" s="2008" t="s">
        <v>8159</v>
      </c>
      <c r="U64" s="1997"/>
      <c r="V64" s="1997"/>
      <c r="W64" s="1997"/>
      <c r="X64" s="1997"/>
      <c r="Y64" s="1997"/>
      <c r="Z64" s="1997"/>
      <c r="AA64" s="1998"/>
      <c r="AB64" s="1997" t="s">
        <v>2477</v>
      </c>
      <c r="AC64" s="1997"/>
      <c r="AD64" s="1997"/>
    </row>
    <row r="65" spans="1:30" ht="14.1" customHeight="1">
      <c r="C65" s="2009"/>
      <c r="D65" s="2009"/>
      <c r="E65" s="2009"/>
      <c r="F65" s="2009"/>
      <c r="G65" s="2009"/>
      <c r="H65" s="2009">
        <f t="shared" si="10"/>
        <v>0</v>
      </c>
      <c r="I65" s="2009">
        <f t="shared" si="0"/>
        <v>0</v>
      </c>
      <c r="J65" s="2009">
        <f t="shared" si="1"/>
        <v>0</v>
      </c>
      <c r="K65" s="2009">
        <f t="shared" si="2"/>
        <v>0</v>
      </c>
      <c r="L65" s="2009">
        <f t="shared" si="3"/>
        <v>0</v>
      </c>
      <c r="M65" s="2009">
        <f t="shared" si="4"/>
        <v>0</v>
      </c>
      <c r="N65" s="2009">
        <f t="shared" si="5"/>
        <v>0</v>
      </c>
      <c r="O65" s="2010">
        <f t="shared" si="6"/>
        <v>0</v>
      </c>
      <c r="P65" s="2009">
        <f t="shared" si="7"/>
        <v>0</v>
      </c>
      <c r="Q65" s="2009">
        <f t="shared" si="8"/>
        <v>0</v>
      </c>
      <c r="R65" s="2009">
        <f t="shared" si="9"/>
        <v>0</v>
      </c>
      <c r="T65" s="2009"/>
      <c r="U65" s="2009"/>
      <c r="V65" s="2009"/>
      <c r="W65" s="2009"/>
      <c r="X65" s="2009"/>
      <c r="Y65" s="2009"/>
      <c r="Z65" s="2009"/>
      <c r="AA65" s="2010"/>
      <c r="AB65" s="2009"/>
      <c r="AC65" s="2009"/>
      <c r="AD65" s="2009"/>
    </row>
    <row r="66" spans="1:30" ht="14.1" customHeight="1">
      <c r="C66" s="2009" t="s">
        <v>2306</v>
      </c>
      <c r="D66" s="2009" t="s">
        <v>2307</v>
      </c>
      <c r="E66" s="2009"/>
      <c r="F66" s="2009" t="s">
        <v>2308</v>
      </c>
      <c r="G66" s="2009"/>
      <c r="H66" s="2009" t="str">
        <f t="shared" si="10"/>
        <v>(4)</v>
      </c>
      <c r="I66" s="2009">
        <f t="shared" si="0"/>
        <v>0</v>
      </c>
      <c r="J66" s="1675" t="str">
        <f t="shared" si="1"/>
        <v>(5)</v>
      </c>
      <c r="K66" s="1675">
        <f t="shared" si="2"/>
        <v>0</v>
      </c>
      <c r="L66" s="2009" t="str">
        <f t="shared" si="3"/>
        <v>(6)</v>
      </c>
      <c r="M66" s="2009">
        <f t="shared" si="4"/>
        <v>0</v>
      </c>
      <c r="N66" s="2009" t="str">
        <f t="shared" si="5"/>
        <v>(7)</v>
      </c>
      <c r="O66" s="2010">
        <f t="shared" si="6"/>
        <v>0</v>
      </c>
      <c r="P66" s="2009" t="str">
        <f t="shared" si="7"/>
        <v>(8)</v>
      </c>
      <c r="Q66" s="2009">
        <f t="shared" si="8"/>
        <v>0</v>
      </c>
      <c r="R66" s="2009" t="str">
        <f t="shared" si="9"/>
        <v>(9)</v>
      </c>
      <c r="T66" s="2009" t="s">
        <v>2309</v>
      </c>
      <c r="U66" s="2009"/>
      <c r="V66" s="1675" t="s">
        <v>2310</v>
      </c>
      <c r="W66" s="1675"/>
      <c r="X66" s="2009" t="s">
        <v>2311</v>
      </c>
      <c r="Y66" s="2009"/>
      <c r="Z66" s="2009" t="s">
        <v>2312</v>
      </c>
      <c r="AA66" s="2010"/>
      <c r="AB66" s="2009" t="s">
        <v>2313</v>
      </c>
      <c r="AC66" s="2009"/>
      <c r="AD66" s="2009" t="s">
        <v>2314</v>
      </c>
    </row>
    <row r="67" spans="1:30" ht="14.1" customHeight="1">
      <c r="C67" s="1675" t="s">
        <v>2429</v>
      </c>
      <c r="D67" s="1675" t="s">
        <v>2429</v>
      </c>
      <c r="F67" s="1675" t="s">
        <v>1537</v>
      </c>
      <c r="G67" s="1675"/>
      <c r="H67" s="2009" t="str">
        <f t="shared" si="10"/>
        <v>Plant</v>
      </c>
      <c r="I67" s="1675">
        <f t="shared" si="0"/>
        <v>0</v>
      </c>
      <c r="J67" s="2009" t="str">
        <f t="shared" si="1"/>
        <v>Total</v>
      </c>
      <c r="K67" s="1675">
        <f t="shared" si="2"/>
        <v>0</v>
      </c>
      <c r="L67" s="1675" t="str">
        <f t="shared" si="3"/>
        <v>Total</v>
      </c>
      <c r="M67" s="1675">
        <f t="shared" si="4"/>
        <v>0</v>
      </c>
      <c r="N67" s="1674">
        <f t="shared" si="5"/>
        <v>0</v>
      </c>
      <c r="O67" s="2001">
        <f t="shared" si="6"/>
        <v>0</v>
      </c>
      <c r="P67" s="1675" t="str">
        <f t="shared" si="7"/>
        <v>Plant</v>
      </c>
      <c r="Q67" s="1674">
        <f t="shared" si="8"/>
        <v>0</v>
      </c>
      <c r="R67" s="1675">
        <f t="shared" si="9"/>
        <v>0</v>
      </c>
      <c r="T67" s="2009" t="s">
        <v>1823</v>
      </c>
      <c r="U67" s="1675"/>
      <c r="V67" s="2009" t="s">
        <v>122</v>
      </c>
      <c r="W67" s="1675"/>
      <c r="X67" s="1675" t="s">
        <v>122</v>
      </c>
      <c r="Y67" s="1675"/>
      <c r="AA67" s="2001"/>
      <c r="AB67" s="1675" t="s">
        <v>1823</v>
      </c>
      <c r="AD67" s="1675"/>
    </row>
    <row r="68" spans="1:30" ht="14.1" customHeight="1">
      <c r="A68" s="1675" t="s">
        <v>2430</v>
      </c>
      <c r="B68" s="1675"/>
      <c r="C68" s="1675" t="s">
        <v>2431</v>
      </c>
      <c r="D68" s="1675" t="s">
        <v>2431</v>
      </c>
      <c r="E68" s="2009"/>
      <c r="F68" s="1675" t="s">
        <v>2432</v>
      </c>
      <c r="G68" s="1675"/>
      <c r="H68" s="1675" t="str">
        <f t="shared" si="10"/>
        <v>Balance</v>
      </c>
      <c r="I68" s="1675">
        <f t="shared" si="0"/>
        <v>0</v>
      </c>
      <c r="J68" s="1675" t="str">
        <f t="shared" si="1"/>
        <v>Plant</v>
      </c>
      <c r="K68" s="2009">
        <f t="shared" si="2"/>
        <v>0</v>
      </c>
      <c r="L68" s="1675" t="str">
        <f t="shared" si="3"/>
        <v>Plant</v>
      </c>
      <c r="M68" s="2005">
        <f t="shared" si="4"/>
        <v>0</v>
      </c>
      <c r="N68" s="1675" t="str">
        <f t="shared" si="5"/>
        <v>Adjustments</v>
      </c>
      <c r="O68" s="2010">
        <f t="shared" si="6"/>
        <v>0</v>
      </c>
      <c r="P68" s="2009" t="str">
        <f t="shared" si="7"/>
        <v>Balance</v>
      </c>
      <c r="Q68" s="2009">
        <f t="shared" si="8"/>
        <v>0</v>
      </c>
      <c r="R68" s="1675" t="str">
        <f t="shared" si="9"/>
        <v>13-Month</v>
      </c>
      <c r="T68" s="1675" t="s">
        <v>2433</v>
      </c>
      <c r="U68" s="1675"/>
      <c r="V68" s="1675" t="s">
        <v>1823</v>
      </c>
      <c r="W68" s="2009"/>
      <c r="X68" s="1675" t="s">
        <v>1823</v>
      </c>
      <c r="Y68" s="2005"/>
      <c r="Z68" s="1675" t="s">
        <v>593</v>
      </c>
      <c r="AA68" s="2010"/>
      <c r="AB68" s="2009" t="s">
        <v>2433</v>
      </c>
      <c r="AC68" s="2009"/>
      <c r="AD68" s="1675" t="s">
        <v>2434</v>
      </c>
    </row>
    <row r="69" spans="1:30" ht="14.1" customHeight="1" thickBot="1">
      <c r="A69" s="2008" t="s">
        <v>2435</v>
      </c>
      <c r="B69" s="2008"/>
      <c r="C69" s="2008" t="s">
        <v>2436</v>
      </c>
      <c r="D69" s="2008" t="s">
        <v>2437</v>
      </c>
      <c r="E69" s="2008"/>
      <c r="F69" s="2011" t="s">
        <v>2438</v>
      </c>
      <c r="G69" s="2011"/>
      <c r="H69" s="2011" t="str">
        <f t="shared" si="10"/>
        <v>Beg. of Year</v>
      </c>
      <c r="I69" s="2012">
        <f t="shared" si="0"/>
        <v>0</v>
      </c>
      <c r="J69" s="2011" t="str">
        <f t="shared" si="1"/>
        <v>Added</v>
      </c>
      <c r="K69" s="2012">
        <f t="shared" si="2"/>
        <v>0</v>
      </c>
      <c r="L69" s="2012" t="str">
        <f t="shared" si="3"/>
        <v>Retired</v>
      </c>
      <c r="M69" s="2013">
        <f t="shared" si="4"/>
        <v>0</v>
      </c>
      <c r="N69" s="2013" t="str">
        <f t="shared" si="5"/>
        <v>or Transfers</v>
      </c>
      <c r="O69" s="2014">
        <f t="shared" si="6"/>
        <v>0</v>
      </c>
      <c r="P69" s="2013" t="str">
        <f t="shared" si="7"/>
        <v>End of Year</v>
      </c>
      <c r="Q69" s="2013">
        <f t="shared" si="8"/>
        <v>0</v>
      </c>
      <c r="R69" s="2013" t="str">
        <f t="shared" si="9"/>
        <v>Average</v>
      </c>
      <c r="T69" s="2011" t="s">
        <v>2439</v>
      </c>
      <c r="U69" s="2012"/>
      <c r="V69" s="2011" t="s">
        <v>2440</v>
      </c>
      <c r="W69" s="2012"/>
      <c r="X69" s="2012" t="s">
        <v>2441</v>
      </c>
      <c r="Y69" s="2013"/>
      <c r="Z69" s="2013" t="s">
        <v>2442</v>
      </c>
      <c r="AA69" s="2014"/>
      <c r="AB69" s="2013" t="s">
        <v>2443</v>
      </c>
      <c r="AC69" s="2013"/>
      <c r="AD69" s="2013" t="s">
        <v>2444</v>
      </c>
    </row>
    <row r="70" spans="1:30" ht="14.1" customHeight="1">
      <c r="A70" s="1675">
        <v>1</v>
      </c>
      <c r="B70" s="1675"/>
      <c r="H70" s="1674">
        <f t="shared" si="10"/>
        <v>0</v>
      </c>
      <c r="I70" s="1674">
        <f t="shared" si="0"/>
        <v>0</v>
      </c>
      <c r="J70" s="1674">
        <f t="shared" si="1"/>
        <v>0</v>
      </c>
      <c r="K70" s="1674">
        <f t="shared" si="2"/>
        <v>0</v>
      </c>
      <c r="L70" s="1674">
        <f t="shared" si="3"/>
        <v>0</v>
      </c>
      <c r="M70" s="1674">
        <f t="shared" si="4"/>
        <v>0</v>
      </c>
      <c r="N70" s="1674">
        <f t="shared" si="5"/>
        <v>0</v>
      </c>
      <c r="O70" s="2001">
        <f t="shared" si="6"/>
        <v>0</v>
      </c>
      <c r="P70" s="1674">
        <f t="shared" si="7"/>
        <v>0</v>
      </c>
      <c r="Q70" s="1674">
        <f t="shared" si="8"/>
        <v>0</v>
      </c>
      <c r="R70" s="1674">
        <f t="shared" si="9"/>
        <v>0</v>
      </c>
      <c r="AA70" s="2001"/>
    </row>
    <row r="71" spans="1:30" ht="14.1" customHeight="1">
      <c r="A71" s="1675">
        <v>2</v>
      </c>
      <c r="B71" s="2015"/>
      <c r="D71" s="2026" t="s">
        <v>2479</v>
      </c>
      <c r="E71" s="1676"/>
      <c r="F71" s="1676"/>
      <c r="G71" s="1676"/>
      <c r="H71" s="1674">
        <f t="shared" si="10"/>
        <v>0</v>
      </c>
      <c r="I71" s="1674">
        <f t="shared" si="0"/>
        <v>0</v>
      </c>
      <c r="J71" s="1674">
        <f t="shared" si="1"/>
        <v>0</v>
      </c>
      <c r="K71" s="1674">
        <f t="shared" si="2"/>
        <v>0</v>
      </c>
      <c r="L71" s="1674">
        <f t="shared" si="3"/>
        <v>0</v>
      </c>
      <c r="M71" s="1674">
        <f t="shared" si="4"/>
        <v>0</v>
      </c>
      <c r="N71" s="1674">
        <f t="shared" si="5"/>
        <v>0</v>
      </c>
      <c r="O71" s="2001">
        <f t="shared" si="6"/>
        <v>0</v>
      </c>
      <c r="P71" s="1674">
        <f t="shared" si="7"/>
        <v>0</v>
      </c>
      <c r="Q71" s="1674">
        <f t="shared" si="8"/>
        <v>0</v>
      </c>
      <c r="R71" s="1674">
        <f t="shared" si="9"/>
        <v>0</v>
      </c>
      <c r="AA71" s="2001"/>
    </row>
    <row r="72" spans="1:30" ht="14.1" customHeight="1">
      <c r="A72" s="1675">
        <v>3</v>
      </c>
      <c r="B72" s="2015"/>
      <c r="C72" s="1675">
        <v>31145</v>
      </c>
      <c r="D72" s="1674" t="s">
        <v>2449</v>
      </c>
      <c r="F72" s="2019">
        <v>3.49</v>
      </c>
      <c r="G72" s="2001"/>
      <c r="H72" s="1876">
        <f t="shared" si="10"/>
        <v>31998.663150000008</v>
      </c>
      <c r="I72" s="1785">
        <f t="shared" si="0"/>
        <v>0</v>
      </c>
      <c r="J72" s="1876">
        <f t="shared" si="1"/>
        <v>0</v>
      </c>
      <c r="K72" s="1786">
        <f t="shared" si="2"/>
        <v>0</v>
      </c>
      <c r="L72" s="1876">
        <f t="shared" si="3"/>
        <v>0</v>
      </c>
      <c r="M72" s="1786">
        <f t="shared" si="4"/>
        <v>0</v>
      </c>
      <c r="N72" s="1876">
        <f t="shared" si="5"/>
        <v>0</v>
      </c>
      <c r="O72" s="1785">
        <f t="shared" si="6"/>
        <v>0</v>
      </c>
      <c r="P72" s="1787">
        <f t="shared" si="7"/>
        <v>31998.663150000008</v>
      </c>
      <c r="Q72" s="1786">
        <f t="shared" si="8"/>
        <v>0</v>
      </c>
      <c r="R72" s="1876">
        <f t="shared" si="9"/>
        <v>31998.66315</v>
      </c>
      <c r="T72" s="1876">
        <v>31998663.150000006</v>
      </c>
      <c r="U72" s="1785"/>
      <c r="V72" s="1876">
        <v>0</v>
      </c>
      <c r="W72" s="1786"/>
      <c r="X72" s="1876">
        <v>0</v>
      </c>
      <c r="Y72" s="1786"/>
      <c r="Z72" s="1876">
        <v>0</v>
      </c>
      <c r="AA72" s="1785"/>
      <c r="AB72" s="1787">
        <v>31998663.150000006</v>
      </c>
      <c r="AC72" s="1786"/>
      <c r="AD72" s="1876">
        <v>31998663.149999999</v>
      </c>
    </row>
    <row r="73" spans="1:30" ht="14.1" customHeight="1">
      <c r="A73" s="1675">
        <v>4</v>
      </c>
      <c r="B73" s="2015"/>
      <c r="C73" s="1675">
        <v>31245</v>
      </c>
      <c r="D73" s="1674" t="s">
        <v>2451</v>
      </c>
      <c r="F73" s="2019">
        <v>5.38</v>
      </c>
      <c r="G73" s="2001"/>
      <c r="H73" s="1876">
        <f t="shared" si="10"/>
        <v>197144.71303999992</v>
      </c>
      <c r="I73" s="1785">
        <f t="shared" si="0"/>
        <v>0</v>
      </c>
      <c r="J73" s="1876">
        <f t="shared" si="1"/>
        <v>575.00288</v>
      </c>
      <c r="K73" s="1786">
        <f t="shared" si="2"/>
        <v>0</v>
      </c>
      <c r="L73" s="1876">
        <f t="shared" si="3"/>
        <v>-115.00058</v>
      </c>
      <c r="M73" s="1786">
        <f t="shared" si="4"/>
        <v>0</v>
      </c>
      <c r="N73" s="1876">
        <f t="shared" si="5"/>
        <v>0</v>
      </c>
      <c r="O73" s="1785">
        <f t="shared" si="6"/>
        <v>0</v>
      </c>
      <c r="P73" s="1787">
        <f t="shared" si="7"/>
        <v>197604.71533999988</v>
      </c>
      <c r="Q73" s="1786">
        <f t="shared" si="8"/>
        <v>0</v>
      </c>
      <c r="R73" s="1876">
        <f t="shared" si="9"/>
        <v>197292.96518</v>
      </c>
      <c r="T73" s="1876">
        <v>197144713.0399999</v>
      </c>
      <c r="U73" s="1785"/>
      <c r="V73" s="1876">
        <v>575002.88</v>
      </c>
      <c r="W73" s="1786"/>
      <c r="X73" s="1876">
        <v>-115000.58</v>
      </c>
      <c r="Y73" s="1786"/>
      <c r="Z73" s="1876">
        <v>0</v>
      </c>
      <c r="AA73" s="1785"/>
      <c r="AB73" s="1787">
        <v>197604715.33999988</v>
      </c>
      <c r="AC73" s="1786"/>
      <c r="AD73" s="1876">
        <v>197292965.18000001</v>
      </c>
    </row>
    <row r="74" spans="1:30" ht="14.1" customHeight="1">
      <c r="A74" s="1675">
        <v>5</v>
      </c>
      <c r="B74" s="2015"/>
      <c r="C74" s="1675">
        <v>31545</v>
      </c>
      <c r="D74" s="1674" t="s">
        <v>2454</v>
      </c>
      <c r="F74" s="2019">
        <v>2.8</v>
      </c>
      <c r="G74" s="2001"/>
      <c r="H74" s="1876">
        <f t="shared" si="10"/>
        <v>26849.743930000001</v>
      </c>
      <c r="I74" s="1785">
        <f t="shared" si="0"/>
        <v>0</v>
      </c>
      <c r="J74" s="1876">
        <f t="shared" si="1"/>
        <v>575.00288</v>
      </c>
      <c r="K74" s="1786">
        <f t="shared" si="2"/>
        <v>0</v>
      </c>
      <c r="L74" s="1876">
        <f t="shared" si="3"/>
        <v>-115.00058</v>
      </c>
      <c r="M74" s="1786">
        <f t="shared" si="4"/>
        <v>0</v>
      </c>
      <c r="N74" s="1876">
        <f t="shared" si="5"/>
        <v>0</v>
      </c>
      <c r="O74" s="1785">
        <f t="shared" si="6"/>
        <v>0</v>
      </c>
      <c r="P74" s="1787">
        <f t="shared" si="7"/>
        <v>27309.746230000001</v>
      </c>
      <c r="Q74" s="1786">
        <f t="shared" si="8"/>
        <v>0</v>
      </c>
      <c r="R74" s="1876">
        <f t="shared" si="9"/>
        <v>26997.996070000001</v>
      </c>
      <c r="T74" s="1876">
        <v>26849743.93</v>
      </c>
      <c r="U74" s="1785"/>
      <c r="V74" s="1876">
        <v>575002.88</v>
      </c>
      <c r="W74" s="1786"/>
      <c r="X74" s="1876">
        <v>-115000.58</v>
      </c>
      <c r="Y74" s="1786"/>
      <c r="Z74" s="1876">
        <v>0</v>
      </c>
      <c r="AA74" s="1785"/>
      <c r="AB74" s="1787">
        <v>27309746.23</v>
      </c>
      <c r="AC74" s="1786"/>
      <c r="AD74" s="1876">
        <v>26997996.07</v>
      </c>
    </row>
    <row r="75" spans="1:30" ht="14.1" customHeight="1">
      <c r="A75" s="1675">
        <v>6</v>
      </c>
      <c r="B75" s="2015"/>
      <c r="C75" s="1675">
        <v>31645</v>
      </c>
      <c r="D75" s="1674" t="s">
        <v>2455</v>
      </c>
      <c r="F75" s="2019">
        <v>1.92</v>
      </c>
      <c r="G75" s="2001"/>
      <c r="H75" s="1876">
        <f t="shared" si="10"/>
        <v>1694.8479500000001</v>
      </c>
      <c r="I75" s="1785">
        <f t="shared" si="0"/>
        <v>0</v>
      </c>
      <c r="J75" s="1876">
        <f t="shared" si="1"/>
        <v>0</v>
      </c>
      <c r="K75" s="1786">
        <f t="shared" si="2"/>
        <v>0</v>
      </c>
      <c r="L75" s="1876">
        <f t="shared" si="3"/>
        <v>0</v>
      </c>
      <c r="M75" s="1786">
        <f t="shared" si="4"/>
        <v>0</v>
      </c>
      <c r="N75" s="1876">
        <f t="shared" si="5"/>
        <v>0</v>
      </c>
      <c r="O75" s="1785">
        <f t="shared" si="6"/>
        <v>0</v>
      </c>
      <c r="P75" s="1787">
        <f t="shared" si="7"/>
        <v>1694.8479500000001</v>
      </c>
      <c r="Q75" s="1786">
        <f t="shared" si="8"/>
        <v>0</v>
      </c>
      <c r="R75" s="1876">
        <f t="shared" si="9"/>
        <v>1694.8479499999999</v>
      </c>
      <c r="T75" s="1876">
        <v>1694847.9500000002</v>
      </c>
      <c r="U75" s="1785"/>
      <c r="V75" s="1876">
        <v>0</v>
      </c>
      <c r="W75" s="1786"/>
      <c r="X75" s="1876">
        <v>0</v>
      </c>
      <c r="Y75" s="1786"/>
      <c r="Z75" s="1876">
        <v>0</v>
      </c>
      <c r="AA75" s="1785"/>
      <c r="AB75" s="1787">
        <v>1694847.9500000002</v>
      </c>
      <c r="AC75" s="1786"/>
      <c r="AD75" s="1876">
        <v>1694847.95</v>
      </c>
    </row>
    <row r="76" spans="1:30" ht="14.1" customHeight="1">
      <c r="A76" s="1675">
        <v>7</v>
      </c>
      <c r="B76" s="1675"/>
      <c r="C76" s="1675"/>
      <c r="D76" s="2026" t="s">
        <v>2480</v>
      </c>
      <c r="E76" s="1676"/>
      <c r="F76" s="2019"/>
      <c r="H76" s="1788">
        <f t="shared" si="10"/>
        <v>257687.96806999992</v>
      </c>
      <c r="I76" s="1790">
        <f t="shared" si="0"/>
        <v>0</v>
      </c>
      <c r="J76" s="1788">
        <f t="shared" si="1"/>
        <v>1150.00576</v>
      </c>
      <c r="K76" s="1790">
        <f t="shared" si="2"/>
        <v>0</v>
      </c>
      <c r="L76" s="1788">
        <f t="shared" si="3"/>
        <v>-230.00116</v>
      </c>
      <c r="M76" s="1790">
        <f t="shared" si="4"/>
        <v>0</v>
      </c>
      <c r="N76" s="1788">
        <f t="shared" si="5"/>
        <v>0</v>
      </c>
      <c r="O76" s="1790">
        <f t="shared" si="6"/>
        <v>0</v>
      </c>
      <c r="P76" s="1788">
        <f t="shared" si="7"/>
        <v>258607.97266999987</v>
      </c>
      <c r="Q76" s="1790">
        <f t="shared" si="8"/>
        <v>0</v>
      </c>
      <c r="R76" s="1788">
        <f t="shared" si="9"/>
        <v>257984.47235</v>
      </c>
      <c r="T76" s="1788">
        <v>257687968.0699999</v>
      </c>
      <c r="U76" s="1790"/>
      <c r="V76" s="1788">
        <v>1150005.76</v>
      </c>
      <c r="W76" s="1790"/>
      <c r="X76" s="1788">
        <v>-230001.16</v>
      </c>
      <c r="Y76" s="1790"/>
      <c r="Z76" s="1788">
        <v>0</v>
      </c>
      <c r="AA76" s="1790"/>
      <c r="AB76" s="1788">
        <v>258607972.66999987</v>
      </c>
      <c r="AC76" s="1790"/>
      <c r="AD76" s="1788">
        <v>257984472.34999999</v>
      </c>
    </row>
    <row r="77" spans="1:30" ht="14.1" customHeight="1">
      <c r="A77" s="1675">
        <v>8</v>
      </c>
      <c r="B77" s="1675"/>
      <c r="F77" s="2020"/>
      <c r="H77" s="1674">
        <f t="shared" si="10"/>
        <v>0</v>
      </c>
      <c r="I77" s="1674">
        <f t="shared" si="0"/>
        <v>0</v>
      </c>
      <c r="J77" s="1674">
        <f t="shared" si="1"/>
        <v>0</v>
      </c>
      <c r="K77" s="1674">
        <f t="shared" si="2"/>
        <v>0</v>
      </c>
      <c r="L77" s="1674">
        <f t="shared" si="3"/>
        <v>0</v>
      </c>
      <c r="M77" s="1674">
        <f t="shared" si="4"/>
        <v>0</v>
      </c>
      <c r="N77" s="1674">
        <f t="shared" si="5"/>
        <v>0</v>
      </c>
      <c r="O77" s="2001">
        <f t="shared" si="6"/>
        <v>0</v>
      </c>
      <c r="P77" s="1674">
        <f t="shared" si="7"/>
        <v>0</v>
      </c>
      <c r="Q77" s="1674">
        <f t="shared" si="8"/>
        <v>0</v>
      </c>
      <c r="R77" s="1674">
        <f t="shared" si="9"/>
        <v>0</v>
      </c>
      <c r="AA77" s="2001"/>
    </row>
    <row r="78" spans="1:30" ht="14.1" customHeight="1">
      <c r="A78" s="1675">
        <v>9</v>
      </c>
      <c r="B78" s="2015"/>
      <c r="C78" s="1675"/>
      <c r="D78" s="1676" t="s">
        <v>2481</v>
      </c>
      <c r="E78" s="1676"/>
      <c r="F78" s="2019"/>
      <c r="G78" s="1676"/>
      <c r="H78" s="1790">
        <f t="shared" si="10"/>
        <v>0</v>
      </c>
      <c r="I78" s="1790">
        <f t="shared" si="0"/>
        <v>0</v>
      </c>
      <c r="J78" s="1790">
        <f t="shared" si="1"/>
        <v>0</v>
      </c>
      <c r="K78" s="1790">
        <f t="shared" si="2"/>
        <v>0</v>
      </c>
      <c r="L78" s="1790">
        <f t="shared" si="3"/>
        <v>0</v>
      </c>
      <c r="M78" s="1790">
        <f t="shared" si="4"/>
        <v>0</v>
      </c>
      <c r="N78" s="1790">
        <f t="shared" si="5"/>
        <v>0</v>
      </c>
      <c r="O78" s="1790">
        <f t="shared" si="6"/>
        <v>0</v>
      </c>
      <c r="P78" s="1790">
        <f t="shared" si="7"/>
        <v>0</v>
      </c>
      <c r="Q78" s="1790">
        <f t="shared" si="8"/>
        <v>0</v>
      </c>
      <c r="R78" s="1790">
        <f t="shared" si="9"/>
        <v>0</v>
      </c>
      <c r="T78" s="1790"/>
      <c r="U78" s="1790"/>
      <c r="V78" s="1790"/>
      <c r="W78" s="1790"/>
      <c r="X78" s="1790"/>
      <c r="Y78" s="1790"/>
      <c r="Z78" s="1790"/>
      <c r="AA78" s="1790"/>
      <c r="AB78" s="1790"/>
      <c r="AC78" s="1790"/>
      <c r="AD78" s="1790"/>
    </row>
    <row r="79" spans="1:30" ht="14.1" customHeight="1">
      <c r="A79" s="1675">
        <v>10</v>
      </c>
      <c r="B79" s="2015"/>
      <c r="C79" s="1675">
        <v>31146</v>
      </c>
      <c r="D79" s="1674" t="s">
        <v>2449</v>
      </c>
      <c r="F79" s="2019">
        <v>0</v>
      </c>
      <c r="G79" s="2001"/>
      <c r="H79" s="1876">
        <f t="shared" si="10"/>
        <v>0</v>
      </c>
      <c r="I79" s="1785">
        <f t="shared" si="0"/>
        <v>0</v>
      </c>
      <c r="J79" s="1876">
        <f t="shared" si="1"/>
        <v>0</v>
      </c>
      <c r="K79" s="1786">
        <f t="shared" si="2"/>
        <v>0</v>
      </c>
      <c r="L79" s="1876">
        <f t="shared" si="3"/>
        <v>0</v>
      </c>
      <c r="M79" s="1786">
        <f t="shared" si="4"/>
        <v>0</v>
      </c>
      <c r="N79" s="1876">
        <f t="shared" si="5"/>
        <v>0</v>
      </c>
      <c r="O79" s="1785">
        <f t="shared" si="6"/>
        <v>0</v>
      </c>
      <c r="P79" s="1787">
        <f t="shared" si="7"/>
        <v>0</v>
      </c>
      <c r="Q79" s="1786">
        <f t="shared" si="8"/>
        <v>0</v>
      </c>
      <c r="R79" s="1876">
        <f t="shared" si="9"/>
        <v>0</v>
      </c>
      <c r="T79" s="1876">
        <v>0</v>
      </c>
      <c r="U79" s="1785"/>
      <c r="V79" s="1876">
        <v>0</v>
      </c>
      <c r="W79" s="1786"/>
      <c r="X79" s="1876">
        <v>0</v>
      </c>
      <c r="Y79" s="1786"/>
      <c r="Z79" s="1876">
        <v>0</v>
      </c>
      <c r="AA79" s="1785"/>
      <c r="AB79" s="1787">
        <v>0</v>
      </c>
      <c r="AC79" s="1786"/>
      <c r="AD79" s="1876">
        <v>0</v>
      </c>
    </row>
    <row r="80" spans="1:30" ht="14.1" customHeight="1">
      <c r="A80" s="1675">
        <v>11</v>
      </c>
      <c r="B80" s="2015"/>
      <c r="C80" s="1675">
        <v>31246</v>
      </c>
      <c r="D80" s="1674" t="s">
        <v>2451</v>
      </c>
      <c r="F80" s="2019">
        <v>0</v>
      </c>
      <c r="G80" s="2001"/>
      <c r="H80" s="1876">
        <f t="shared" si="10"/>
        <v>0</v>
      </c>
      <c r="I80" s="1785">
        <f t="shared" si="0"/>
        <v>0</v>
      </c>
      <c r="J80" s="1876">
        <f t="shared" si="1"/>
        <v>0</v>
      </c>
      <c r="K80" s="1786">
        <f t="shared" si="2"/>
        <v>0</v>
      </c>
      <c r="L80" s="1876">
        <f t="shared" si="3"/>
        <v>0</v>
      </c>
      <c r="M80" s="1786">
        <f t="shared" si="4"/>
        <v>0</v>
      </c>
      <c r="N80" s="1876">
        <f t="shared" si="5"/>
        <v>0</v>
      </c>
      <c r="O80" s="1785">
        <f t="shared" si="6"/>
        <v>0</v>
      </c>
      <c r="P80" s="1787">
        <f t="shared" si="7"/>
        <v>0</v>
      </c>
      <c r="Q80" s="1786">
        <f t="shared" si="8"/>
        <v>0</v>
      </c>
      <c r="R80" s="1876">
        <f t="shared" si="9"/>
        <v>0</v>
      </c>
      <c r="T80" s="1876">
        <v>0</v>
      </c>
      <c r="U80" s="1785"/>
      <c r="V80" s="1876">
        <v>0</v>
      </c>
      <c r="W80" s="1786"/>
      <c r="X80" s="1876">
        <v>0</v>
      </c>
      <c r="Y80" s="1786"/>
      <c r="Z80" s="1876">
        <v>0</v>
      </c>
      <c r="AA80" s="1785"/>
      <c r="AB80" s="1787">
        <v>0</v>
      </c>
      <c r="AC80" s="1786"/>
      <c r="AD80" s="1876">
        <v>0</v>
      </c>
    </row>
    <row r="81" spans="1:30" ht="14.1" customHeight="1">
      <c r="A81" s="1675">
        <v>12</v>
      </c>
      <c r="B81" s="2015"/>
      <c r="C81" s="1675">
        <v>31546</v>
      </c>
      <c r="D81" s="1674" t="s">
        <v>2454</v>
      </c>
      <c r="F81" s="2019">
        <v>0</v>
      </c>
      <c r="G81" s="2001"/>
      <c r="H81" s="1876">
        <f t="shared" si="10"/>
        <v>0</v>
      </c>
      <c r="I81" s="1785">
        <f t="shared" ref="I81:I144" si="11">+IF(ISNUMBER(U81),U81/1000,U81)</f>
        <v>0</v>
      </c>
      <c r="J81" s="1876">
        <f t="shared" ref="J81:J144" si="12">+IF(ISNUMBER(V81),V81/1000,V81)</f>
        <v>0</v>
      </c>
      <c r="K81" s="1786">
        <f t="shared" ref="K81:K144" si="13">+IF(ISNUMBER(W81),W81/1000,W81)</f>
        <v>0</v>
      </c>
      <c r="L81" s="1876">
        <f t="shared" ref="L81:L144" si="14">+IF(ISNUMBER(X81),X81/1000,X81)</f>
        <v>0</v>
      </c>
      <c r="M81" s="1786">
        <f t="shared" ref="M81:M144" si="15">+IF(ISNUMBER(Y81),Y81/1000,Y81)</f>
        <v>0</v>
      </c>
      <c r="N81" s="1876">
        <f t="shared" ref="N81:N144" si="16">+IF(ISNUMBER(Z81),Z81/1000,Z81)</f>
        <v>0</v>
      </c>
      <c r="O81" s="1785">
        <f t="shared" ref="O81:O144" si="17">+IF(ISNUMBER(AA81),AA81/1000,AA81)</f>
        <v>0</v>
      </c>
      <c r="P81" s="1787">
        <f t="shared" ref="P81:P144" si="18">+IF(ISNUMBER(AB81),AB81/1000,AB81)</f>
        <v>0</v>
      </c>
      <c r="Q81" s="1786">
        <f t="shared" ref="Q81:Q144" si="19">+IF(ISNUMBER(AC81),AC81/1000,AC81)</f>
        <v>0</v>
      </c>
      <c r="R81" s="1876">
        <f t="shared" ref="R81:R144" si="20">+IF(ISNUMBER(AD81),AD81/1000,AD81)</f>
        <v>0</v>
      </c>
      <c r="T81" s="1876">
        <v>0</v>
      </c>
      <c r="U81" s="1785"/>
      <c r="V81" s="1876">
        <v>0</v>
      </c>
      <c r="W81" s="1786"/>
      <c r="X81" s="1876">
        <v>0</v>
      </c>
      <c r="Y81" s="1786"/>
      <c r="Z81" s="1876">
        <v>0</v>
      </c>
      <c r="AA81" s="1785"/>
      <c r="AB81" s="1787">
        <v>0</v>
      </c>
      <c r="AC81" s="1786"/>
      <c r="AD81" s="1876">
        <v>0</v>
      </c>
    </row>
    <row r="82" spans="1:30" ht="14.1" customHeight="1">
      <c r="A82" s="1675">
        <v>13</v>
      </c>
      <c r="B82" s="2015"/>
      <c r="C82" s="1675">
        <v>31646</v>
      </c>
      <c r="D82" s="1674" t="s">
        <v>2455</v>
      </c>
      <c r="F82" s="2019">
        <v>0</v>
      </c>
      <c r="G82" s="2001"/>
      <c r="H82" s="1876">
        <f t="shared" ref="H82:H145" si="21">+IF(ISNUMBER(T82),T82/1000,T82)</f>
        <v>0</v>
      </c>
      <c r="I82" s="1785">
        <f t="shared" si="11"/>
        <v>0</v>
      </c>
      <c r="J82" s="1876">
        <f t="shared" si="12"/>
        <v>0</v>
      </c>
      <c r="K82" s="1786">
        <f t="shared" si="13"/>
        <v>0</v>
      </c>
      <c r="L82" s="1876">
        <f t="shared" si="14"/>
        <v>0</v>
      </c>
      <c r="M82" s="1786">
        <f t="shared" si="15"/>
        <v>0</v>
      </c>
      <c r="N82" s="1876">
        <f t="shared" si="16"/>
        <v>0</v>
      </c>
      <c r="O82" s="1785">
        <f t="shared" si="17"/>
        <v>0</v>
      </c>
      <c r="P82" s="1787">
        <f t="shared" si="18"/>
        <v>0</v>
      </c>
      <c r="Q82" s="1786">
        <f t="shared" si="19"/>
        <v>0</v>
      </c>
      <c r="R82" s="1876">
        <f t="shared" si="20"/>
        <v>0</v>
      </c>
      <c r="T82" s="1876">
        <v>0</v>
      </c>
      <c r="U82" s="1785"/>
      <c r="V82" s="1876">
        <v>0</v>
      </c>
      <c r="W82" s="1786"/>
      <c r="X82" s="1876">
        <v>0</v>
      </c>
      <c r="Y82" s="1786"/>
      <c r="Z82" s="1876">
        <v>0</v>
      </c>
      <c r="AA82" s="1785"/>
      <c r="AB82" s="1787">
        <v>0</v>
      </c>
      <c r="AC82" s="1786"/>
      <c r="AD82" s="1876">
        <v>0</v>
      </c>
    </row>
    <row r="83" spans="1:30" ht="14.1" customHeight="1">
      <c r="A83" s="1675">
        <v>14</v>
      </c>
      <c r="B83" s="2015"/>
      <c r="C83" s="1675"/>
      <c r="D83" s="1676" t="s">
        <v>2482</v>
      </c>
      <c r="E83" s="1676"/>
      <c r="F83" s="2019"/>
      <c r="H83" s="1788">
        <f t="shared" si="21"/>
        <v>0</v>
      </c>
      <c r="I83" s="1790">
        <f t="shared" si="11"/>
        <v>0</v>
      </c>
      <c r="J83" s="1788">
        <f t="shared" si="12"/>
        <v>0</v>
      </c>
      <c r="K83" s="1790">
        <f t="shared" si="13"/>
        <v>0</v>
      </c>
      <c r="L83" s="1788">
        <f t="shared" si="14"/>
        <v>0</v>
      </c>
      <c r="M83" s="1790">
        <f t="shared" si="15"/>
        <v>0</v>
      </c>
      <c r="N83" s="1788">
        <f t="shared" si="16"/>
        <v>0</v>
      </c>
      <c r="O83" s="1790">
        <f t="shared" si="17"/>
        <v>0</v>
      </c>
      <c r="P83" s="1788">
        <f t="shared" si="18"/>
        <v>0</v>
      </c>
      <c r="Q83" s="1790">
        <f t="shared" si="19"/>
        <v>0</v>
      </c>
      <c r="R83" s="1788">
        <f t="shared" si="20"/>
        <v>0</v>
      </c>
      <c r="T83" s="1788">
        <v>0</v>
      </c>
      <c r="U83" s="1790"/>
      <c r="V83" s="1788">
        <v>0</v>
      </c>
      <c r="W83" s="1790"/>
      <c r="X83" s="1788">
        <v>0</v>
      </c>
      <c r="Y83" s="1790"/>
      <c r="Z83" s="1788">
        <v>0</v>
      </c>
      <c r="AA83" s="1790"/>
      <c r="AB83" s="1788">
        <v>0</v>
      </c>
      <c r="AC83" s="1790"/>
      <c r="AD83" s="1788">
        <v>0</v>
      </c>
    </row>
    <row r="84" spans="1:30" ht="14.1" customHeight="1">
      <c r="A84" s="1675">
        <v>15</v>
      </c>
      <c r="B84" s="2015"/>
      <c r="F84" s="2020"/>
      <c r="H84" s="1674">
        <f t="shared" si="21"/>
        <v>0</v>
      </c>
      <c r="I84" s="1674">
        <f t="shared" si="11"/>
        <v>0</v>
      </c>
      <c r="J84" s="1674">
        <f t="shared" si="12"/>
        <v>0</v>
      </c>
      <c r="K84" s="1674">
        <f t="shared" si="13"/>
        <v>0</v>
      </c>
      <c r="L84" s="1674">
        <f t="shared" si="14"/>
        <v>0</v>
      </c>
      <c r="M84" s="1674">
        <f t="shared" si="15"/>
        <v>0</v>
      </c>
      <c r="N84" s="1674">
        <f t="shared" si="16"/>
        <v>0</v>
      </c>
      <c r="O84" s="2001">
        <f t="shared" si="17"/>
        <v>0</v>
      </c>
      <c r="P84" s="1674">
        <f t="shared" si="18"/>
        <v>0</v>
      </c>
      <c r="Q84" s="1674">
        <f t="shared" si="19"/>
        <v>0</v>
      </c>
      <c r="R84" s="1674">
        <f t="shared" si="20"/>
        <v>0</v>
      </c>
      <c r="AA84" s="2001"/>
    </row>
    <row r="85" spans="1:30" ht="14.1" customHeight="1">
      <c r="A85" s="1675">
        <v>16</v>
      </c>
      <c r="B85" s="2015"/>
      <c r="C85" s="2010"/>
      <c r="D85" s="2026" t="s">
        <v>1879</v>
      </c>
      <c r="F85" s="2019"/>
      <c r="H85" s="1792">
        <f t="shared" si="21"/>
        <v>0</v>
      </c>
      <c r="I85" s="1790">
        <f t="shared" si="11"/>
        <v>0</v>
      </c>
      <c r="J85" s="1792">
        <f t="shared" si="12"/>
        <v>0</v>
      </c>
      <c r="K85" s="1790">
        <f t="shared" si="13"/>
        <v>0</v>
      </c>
      <c r="L85" s="1792">
        <f t="shared" si="14"/>
        <v>0</v>
      </c>
      <c r="M85" s="1790">
        <f t="shared" si="15"/>
        <v>0</v>
      </c>
      <c r="N85" s="1792">
        <f t="shared" si="16"/>
        <v>0</v>
      </c>
      <c r="O85" s="1790">
        <f t="shared" si="17"/>
        <v>0</v>
      </c>
      <c r="P85" s="1792">
        <f t="shared" si="18"/>
        <v>0</v>
      </c>
      <c r="Q85" s="1790">
        <f t="shared" si="19"/>
        <v>0</v>
      </c>
      <c r="R85" s="1792">
        <f t="shared" si="20"/>
        <v>0</v>
      </c>
      <c r="T85" s="1792"/>
      <c r="U85" s="1790"/>
      <c r="V85" s="1792"/>
      <c r="W85" s="1790"/>
      <c r="X85" s="1792"/>
      <c r="Y85" s="1790"/>
      <c r="Z85" s="1792"/>
      <c r="AA85" s="1790"/>
      <c r="AB85" s="1792"/>
      <c r="AC85" s="1790"/>
      <c r="AD85" s="1792"/>
    </row>
    <row r="86" spans="1:30" ht="14.1" customHeight="1">
      <c r="A86" s="1675">
        <v>17</v>
      </c>
      <c r="B86" s="2015"/>
      <c r="C86" s="1675">
        <v>31151</v>
      </c>
      <c r="D86" s="1674" t="s">
        <v>2449</v>
      </c>
      <c r="F86" s="2019">
        <v>0</v>
      </c>
      <c r="G86" s="2001"/>
      <c r="H86" s="1876">
        <f t="shared" si="21"/>
        <v>0</v>
      </c>
      <c r="I86" s="1785">
        <f t="shared" si="11"/>
        <v>0</v>
      </c>
      <c r="J86" s="1876">
        <f t="shared" si="12"/>
        <v>0</v>
      </c>
      <c r="K86" s="1786">
        <f t="shared" si="13"/>
        <v>0</v>
      </c>
      <c r="L86" s="1876">
        <f t="shared" si="14"/>
        <v>0</v>
      </c>
      <c r="M86" s="1786">
        <f t="shared" si="15"/>
        <v>0</v>
      </c>
      <c r="N86" s="1876">
        <f t="shared" si="16"/>
        <v>0</v>
      </c>
      <c r="O86" s="1785">
        <f t="shared" si="17"/>
        <v>0</v>
      </c>
      <c r="P86" s="1787">
        <f t="shared" si="18"/>
        <v>0</v>
      </c>
      <c r="Q86" s="1786">
        <f t="shared" si="19"/>
        <v>0</v>
      </c>
      <c r="R86" s="1876">
        <f t="shared" si="20"/>
        <v>0</v>
      </c>
      <c r="T86" s="1876">
        <v>0</v>
      </c>
      <c r="U86" s="1785"/>
      <c r="V86" s="1876">
        <v>0</v>
      </c>
      <c r="W86" s="1786"/>
      <c r="X86" s="1876">
        <v>0</v>
      </c>
      <c r="Y86" s="1786"/>
      <c r="Z86" s="1876">
        <v>0</v>
      </c>
      <c r="AA86" s="1785"/>
      <c r="AB86" s="1787">
        <v>0</v>
      </c>
      <c r="AC86" s="1786"/>
      <c r="AD86" s="1876">
        <v>0</v>
      </c>
    </row>
    <row r="87" spans="1:30" ht="14.1" customHeight="1">
      <c r="A87" s="1675">
        <v>18</v>
      </c>
      <c r="B87" s="2015"/>
      <c r="C87" s="1675">
        <v>31251</v>
      </c>
      <c r="D87" s="1674" t="s">
        <v>2451</v>
      </c>
      <c r="F87" s="2019">
        <v>0</v>
      </c>
      <c r="G87" s="2001"/>
      <c r="H87" s="1876">
        <f t="shared" si="21"/>
        <v>0</v>
      </c>
      <c r="I87" s="1785">
        <f t="shared" si="11"/>
        <v>0</v>
      </c>
      <c r="J87" s="1876">
        <f t="shared" si="12"/>
        <v>0</v>
      </c>
      <c r="K87" s="1786">
        <f t="shared" si="13"/>
        <v>0</v>
      </c>
      <c r="L87" s="1876">
        <f t="shared" si="14"/>
        <v>0</v>
      </c>
      <c r="M87" s="1786">
        <f t="shared" si="15"/>
        <v>0</v>
      </c>
      <c r="N87" s="1876">
        <f t="shared" si="16"/>
        <v>0</v>
      </c>
      <c r="O87" s="1785">
        <f t="shared" si="17"/>
        <v>0</v>
      </c>
      <c r="P87" s="1787">
        <f t="shared" si="18"/>
        <v>0</v>
      </c>
      <c r="Q87" s="1786">
        <f t="shared" si="19"/>
        <v>0</v>
      </c>
      <c r="R87" s="1876">
        <f t="shared" si="20"/>
        <v>0</v>
      </c>
      <c r="T87" s="1876">
        <v>0</v>
      </c>
      <c r="U87" s="1785"/>
      <c r="V87" s="1876">
        <v>0</v>
      </c>
      <c r="W87" s="1786"/>
      <c r="X87" s="1876">
        <v>0</v>
      </c>
      <c r="Y87" s="1786"/>
      <c r="Z87" s="1876">
        <v>0</v>
      </c>
      <c r="AA87" s="1785"/>
      <c r="AB87" s="1787">
        <v>0</v>
      </c>
      <c r="AC87" s="1786"/>
      <c r="AD87" s="1876">
        <v>0</v>
      </c>
    </row>
    <row r="88" spans="1:30" ht="14.1" customHeight="1">
      <c r="A88" s="1675">
        <v>19</v>
      </c>
      <c r="B88" s="2015"/>
      <c r="C88" s="1675">
        <v>31551</v>
      </c>
      <c r="D88" s="1674" t="s">
        <v>2454</v>
      </c>
      <c r="F88" s="2019">
        <v>0</v>
      </c>
      <c r="G88" s="2001"/>
      <c r="H88" s="1876">
        <f t="shared" si="21"/>
        <v>0</v>
      </c>
      <c r="I88" s="1785">
        <f t="shared" si="11"/>
        <v>0</v>
      </c>
      <c r="J88" s="1876">
        <f t="shared" si="12"/>
        <v>0</v>
      </c>
      <c r="K88" s="1786">
        <f t="shared" si="13"/>
        <v>0</v>
      </c>
      <c r="L88" s="1876">
        <f t="shared" si="14"/>
        <v>0</v>
      </c>
      <c r="M88" s="1786">
        <f t="shared" si="15"/>
        <v>0</v>
      </c>
      <c r="N88" s="1876">
        <f t="shared" si="16"/>
        <v>0</v>
      </c>
      <c r="O88" s="1785">
        <f t="shared" si="17"/>
        <v>0</v>
      </c>
      <c r="P88" s="1787">
        <f t="shared" si="18"/>
        <v>0</v>
      </c>
      <c r="Q88" s="1786">
        <f t="shared" si="19"/>
        <v>0</v>
      </c>
      <c r="R88" s="1876">
        <f t="shared" si="20"/>
        <v>0</v>
      </c>
      <c r="T88" s="1876">
        <v>0</v>
      </c>
      <c r="U88" s="1785"/>
      <c r="V88" s="1876">
        <v>0</v>
      </c>
      <c r="W88" s="1786"/>
      <c r="X88" s="1876">
        <v>0</v>
      </c>
      <c r="Y88" s="1786"/>
      <c r="Z88" s="1876">
        <v>0</v>
      </c>
      <c r="AA88" s="1785"/>
      <c r="AB88" s="1787">
        <v>0</v>
      </c>
      <c r="AC88" s="1786"/>
      <c r="AD88" s="1876">
        <v>0</v>
      </c>
    </row>
    <row r="89" spans="1:30" ht="14.1" customHeight="1">
      <c r="A89" s="1675">
        <v>20</v>
      </c>
      <c r="B89" s="2015"/>
      <c r="C89" s="1675">
        <v>31651</v>
      </c>
      <c r="D89" s="1674" t="s">
        <v>2483</v>
      </c>
      <c r="F89" s="2019">
        <v>0</v>
      </c>
      <c r="G89" s="2001"/>
      <c r="H89" s="1876">
        <f t="shared" si="21"/>
        <v>0</v>
      </c>
      <c r="I89" s="1785">
        <f t="shared" si="11"/>
        <v>0</v>
      </c>
      <c r="J89" s="1876">
        <f t="shared" si="12"/>
        <v>0</v>
      </c>
      <c r="K89" s="1786">
        <f t="shared" si="13"/>
        <v>0</v>
      </c>
      <c r="L89" s="1876">
        <f t="shared" si="14"/>
        <v>0</v>
      </c>
      <c r="M89" s="1786">
        <f t="shared" si="15"/>
        <v>0</v>
      </c>
      <c r="N89" s="1876">
        <f t="shared" si="16"/>
        <v>0</v>
      </c>
      <c r="O89" s="1785">
        <f t="shared" si="17"/>
        <v>0</v>
      </c>
      <c r="P89" s="1787">
        <f t="shared" si="18"/>
        <v>0</v>
      </c>
      <c r="Q89" s="1786">
        <f t="shared" si="19"/>
        <v>0</v>
      </c>
      <c r="R89" s="1876">
        <f t="shared" si="20"/>
        <v>0</v>
      </c>
      <c r="T89" s="1876">
        <v>0</v>
      </c>
      <c r="U89" s="1785"/>
      <c r="V89" s="1876">
        <v>0</v>
      </c>
      <c r="W89" s="1786"/>
      <c r="X89" s="1876">
        <v>0</v>
      </c>
      <c r="Y89" s="1786"/>
      <c r="Z89" s="1876">
        <v>0</v>
      </c>
      <c r="AA89" s="1785"/>
      <c r="AB89" s="1787">
        <v>0</v>
      </c>
      <c r="AC89" s="1786"/>
      <c r="AD89" s="1876">
        <v>0</v>
      </c>
    </row>
    <row r="90" spans="1:30" ht="14.1" customHeight="1">
      <c r="A90" s="1675">
        <v>21</v>
      </c>
      <c r="B90" s="2015"/>
      <c r="C90" s="1675"/>
      <c r="D90" s="2002" t="s">
        <v>2484</v>
      </c>
      <c r="F90" s="2020"/>
      <c r="H90" s="1788">
        <f t="shared" si="21"/>
        <v>0</v>
      </c>
      <c r="I90" s="1790">
        <f t="shared" si="11"/>
        <v>0</v>
      </c>
      <c r="J90" s="1788">
        <f t="shared" si="12"/>
        <v>0</v>
      </c>
      <c r="K90" s="1790">
        <f t="shared" si="13"/>
        <v>0</v>
      </c>
      <c r="L90" s="1788">
        <f t="shared" si="14"/>
        <v>0</v>
      </c>
      <c r="M90" s="1790">
        <f t="shared" si="15"/>
        <v>0</v>
      </c>
      <c r="N90" s="1788">
        <f t="shared" si="16"/>
        <v>0</v>
      </c>
      <c r="O90" s="1790">
        <f t="shared" si="17"/>
        <v>0</v>
      </c>
      <c r="P90" s="1788">
        <f t="shared" si="18"/>
        <v>0</v>
      </c>
      <c r="Q90" s="1790">
        <f t="shared" si="19"/>
        <v>0</v>
      </c>
      <c r="R90" s="1788">
        <f t="shared" si="20"/>
        <v>0</v>
      </c>
      <c r="T90" s="1788">
        <v>0</v>
      </c>
      <c r="U90" s="1790"/>
      <c r="V90" s="1788">
        <v>0</v>
      </c>
      <c r="W90" s="1790"/>
      <c r="X90" s="1788">
        <v>0</v>
      </c>
      <c r="Y90" s="1790"/>
      <c r="Z90" s="1788">
        <v>0</v>
      </c>
      <c r="AA90" s="1790"/>
      <c r="AB90" s="1788">
        <v>0</v>
      </c>
      <c r="AC90" s="1790"/>
      <c r="AD90" s="1788">
        <v>0</v>
      </c>
    </row>
    <row r="91" spans="1:30" ht="14.1" customHeight="1">
      <c r="A91" s="1675">
        <v>22</v>
      </c>
      <c r="B91" s="2015"/>
      <c r="F91" s="2020"/>
      <c r="H91" s="1674">
        <f t="shared" si="21"/>
        <v>0</v>
      </c>
      <c r="I91" s="1674">
        <f t="shared" si="11"/>
        <v>0</v>
      </c>
      <c r="J91" s="1674">
        <f t="shared" si="12"/>
        <v>0</v>
      </c>
      <c r="K91" s="1674">
        <f t="shared" si="13"/>
        <v>0</v>
      </c>
      <c r="L91" s="1674">
        <f t="shared" si="14"/>
        <v>0</v>
      </c>
      <c r="M91" s="1674">
        <f t="shared" si="15"/>
        <v>0</v>
      </c>
      <c r="N91" s="1674">
        <f t="shared" si="16"/>
        <v>0</v>
      </c>
      <c r="O91" s="2001">
        <f t="shared" si="17"/>
        <v>0</v>
      </c>
      <c r="P91" s="1674">
        <f t="shared" si="18"/>
        <v>0</v>
      </c>
      <c r="Q91" s="1674">
        <f t="shared" si="19"/>
        <v>0</v>
      </c>
      <c r="R91" s="1674">
        <f t="shared" si="20"/>
        <v>0</v>
      </c>
      <c r="AA91" s="2001"/>
    </row>
    <row r="92" spans="1:30" ht="14.1" customHeight="1">
      <c r="A92" s="1675">
        <v>23</v>
      </c>
      <c r="B92" s="2015"/>
      <c r="C92" s="2010"/>
      <c r="D92" s="2026" t="s">
        <v>1880</v>
      </c>
      <c r="E92" s="1676"/>
      <c r="F92" s="2019"/>
      <c r="G92" s="1676"/>
      <c r="H92" s="1790">
        <f t="shared" si="21"/>
        <v>0</v>
      </c>
      <c r="I92" s="1790">
        <f t="shared" si="11"/>
        <v>0</v>
      </c>
      <c r="J92" s="1790">
        <f t="shared" si="12"/>
        <v>0</v>
      </c>
      <c r="K92" s="1790">
        <f t="shared" si="13"/>
        <v>0</v>
      </c>
      <c r="L92" s="1790">
        <f t="shared" si="14"/>
        <v>0</v>
      </c>
      <c r="M92" s="1790">
        <f t="shared" si="15"/>
        <v>0</v>
      </c>
      <c r="N92" s="1789">
        <f t="shared" si="16"/>
        <v>0</v>
      </c>
      <c r="O92" s="1789">
        <f t="shared" si="17"/>
        <v>0</v>
      </c>
      <c r="P92" s="1789">
        <f t="shared" si="18"/>
        <v>0</v>
      </c>
      <c r="Q92" s="1789">
        <f t="shared" si="19"/>
        <v>0</v>
      </c>
      <c r="R92" s="1790">
        <f t="shared" si="20"/>
        <v>0</v>
      </c>
      <c r="T92" s="1790"/>
      <c r="U92" s="1790"/>
      <c r="V92" s="1790"/>
      <c r="W92" s="1790"/>
      <c r="X92" s="1790"/>
      <c r="Y92" s="1790"/>
      <c r="Z92" s="1789"/>
      <c r="AA92" s="1789"/>
      <c r="AB92" s="1789"/>
      <c r="AC92" s="1789"/>
      <c r="AD92" s="1790"/>
    </row>
    <row r="93" spans="1:30" ht="14.1" customHeight="1">
      <c r="A93" s="1675">
        <v>24</v>
      </c>
      <c r="B93" s="2015"/>
      <c r="C93" s="1675">
        <v>31152</v>
      </c>
      <c r="D93" s="1674" t="s">
        <v>2449</v>
      </c>
      <c r="F93" s="2019">
        <v>0</v>
      </c>
      <c r="G93" s="2001"/>
      <c r="H93" s="1876">
        <f t="shared" si="21"/>
        <v>0</v>
      </c>
      <c r="I93" s="1785">
        <f t="shared" si="11"/>
        <v>0</v>
      </c>
      <c r="J93" s="1876">
        <f t="shared" si="12"/>
        <v>0</v>
      </c>
      <c r="K93" s="1786">
        <f t="shared" si="13"/>
        <v>0</v>
      </c>
      <c r="L93" s="1876">
        <f t="shared" si="14"/>
        <v>0</v>
      </c>
      <c r="M93" s="1786">
        <f t="shared" si="15"/>
        <v>0</v>
      </c>
      <c r="N93" s="1876">
        <f t="shared" si="16"/>
        <v>0</v>
      </c>
      <c r="O93" s="1785">
        <f t="shared" si="17"/>
        <v>0</v>
      </c>
      <c r="P93" s="1787">
        <f t="shared" si="18"/>
        <v>0</v>
      </c>
      <c r="Q93" s="1786">
        <f t="shared" si="19"/>
        <v>0</v>
      </c>
      <c r="R93" s="1876">
        <f t="shared" si="20"/>
        <v>0</v>
      </c>
      <c r="T93" s="1876">
        <v>0</v>
      </c>
      <c r="U93" s="1785"/>
      <c r="V93" s="1876">
        <v>0</v>
      </c>
      <c r="W93" s="1786"/>
      <c r="X93" s="1876">
        <v>0</v>
      </c>
      <c r="Y93" s="1786"/>
      <c r="Z93" s="1876">
        <v>0</v>
      </c>
      <c r="AA93" s="1785"/>
      <c r="AB93" s="1787">
        <v>0</v>
      </c>
      <c r="AC93" s="1786"/>
      <c r="AD93" s="1876">
        <v>0</v>
      </c>
    </row>
    <row r="94" spans="1:30" ht="14.1" customHeight="1">
      <c r="A94" s="1675">
        <v>25</v>
      </c>
      <c r="B94" s="2015"/>
      <c r="C94" s="1675">
        <v>31252</v>
      </c>
      <c r="D94" s="1674" t="s">
        <v>2451</v>
      </c>
      <c r="F94" s="2019">
        <v>0</v>
      </c>
      <c r="G94" s="2001"/>
      <c r="H94" s="1876">
        <f t="shared" si="21"/>
        <v>0</v>
      </c>
      <c r="I94" s="1785">
        <f t="shared" si="11"/>
        <v>0</v>
      </c>
      <c r="J94" s="1876">
        <f t="shared" si="12"/>
        <v>0</v>
      </c>
      <c r="K94" s="1786">
        <f t="shared" si="13"/>
        <v>0</v>
      </c>
      <c r="L94" s="1876">
        <f t="shared" si="14"/>
        <v>0</v>
      </c>
      <c r="M94" s="1786">
        <f t="shared" si="15"/>
        <v>0</v>
      </c>
      <c r="N94" s="1876">
        <f t="shared" si="16"/>
        <v>0</v>
      </c>
      <c r="O94" s="1785">
        <f t="shared" si="17"/>
        <v>0</v>
      </c>
      <c r="P94" s="1787">
        <f t="shared" si="18"/>
        <v>0</v>
      </c>
      <c r="Q94" s="1786">
        <f t="shared" si="19"/>
        <v>0</v>
      </c>
      <c r="R94" s="1876">
        <f t="shared" si="20"/>
        <v>0</v>
      </c>
      <c r="T94" s="1876">
        <v>0</v>
      </c>
      <c r="U94" s="1785"/>
      <c r="V94" s="1876">
        <v>0</v>
      </c>
      <c r="W94" s="1786"/>
      <c r="X94" s="1876">
        <v>0</v>
      </c>
      <c r="Y94" s="1786"/>
      <c r="Z94" s="1876">
        <v>0</v>
      </c>
      <c r="AA94" s="1785"/>
      <c r="AB94" s="1787">
        <v>0</v>
      </c>
      <c r="AC94" s="1786"/>
      <c r="AD94" s="1876">
        <v>0</v>
      </c>
    </row>
    <row r="95" spans="1:30" ht="14.1" customHeight="1">
      <c r="A95" s="1675">
        <v>26</v>
      </c>
      <c r="B95" s="2015"/>
      <c r="C95" s="1675">
        <v>31552</v>
      </c>
      <c r="D95" s="1674" t="s">
        <v>2454</v>
      </c>
      <c r="F95" s="2019">
        <v>0</v>
      </c>
      <c r="G95" s="2001"/>
      <c r="H95" s="1876">
        <f t="shared" si="21"/>
        <v>0</v>
      </c>
      <c r="I95" s="1785">
        <f t="shared" si="11"/>
        <v>0</v>
      </c>
      <c r="J95" s="1876">
        <f t="shared" si="12"/>
        <v>0</v>
      </c>
      <c r="K95" s="1786">
        <f t="shared" si="13"/>
        <v>0</v>
      </c>
      <c r="L95" s="1876">
        <f t="shared" si="14"/>
        <v>0</v>
      </c>
      <c r="M95" s="1786">
        <f t="shared" si="15"/>
        <v>0</v>
      </c>
      <c r="N95" s="1876">
        <f t="shared" si="16"/>
        <v>0</v>
      </c>
      <c r="O95" s="1785">
        <f t="shared" si="17"/>
        <v>0</v>
      </c>
      <c r="P95" s="1787">
        <f t="shared" si="18"/>
        <v>0</v>
      </c>
      <c r="Q95" s="1786">
        <f t="shared" si="19"/>
        <v>0</v>
      </c>
      <c r="R95" s="1876">
        <f t="shared" si="20"/>
        <v>0</v>
      </c>
      <c r="T95" s="1876">
        <v>0</v>
      </c>
      <c r="U95" s="1785"/>
      <c r="V95" s="1876">
        <v>0</v>
      </c>
      <c r="W95" s="1786"/>
      <c r="X95" s="1876">
        <v>0</v>
      </c>
      <c r="Y95" s="1786"/>
      <c r="Z95" s="1876">
        <v>0</v>
      </c>
      <c r="AA95" s="1785"/>
      <c r="AB95" s="1787">
        <v>0</v>
      </c>
      <c r="AC95" s="1786"/>
      <c r="AD95" s="1876">
        <v>0</v>
      </c>
    </row>
    <row r="96" spans="1:30" ht="14.1" customHeight="1">
      <c r="A96" s="1675">
        <v>27</v>
      </c>
      <c r="B96" s="2015"/>
      <c r="C96" s="1675">
        <v>31652</v>
      </c>
      <c r="D96" s="1674" t="s">
        <v>2455</v>
      </c>
      <c r="F96" s="2019">
        <v>0</v>
      </c>
      <c r="G96" s="2001"/>
      <c r="H96" s="1876">
        <f t="shared" si="21"/>
        <v>0</v>
      </c>
      <c r="I96" s="1785">
        <f t="shared" si="11"/>
        <v>0</v>
      </c>
      <c r="J96" s="1876">
        <f t="shared" si="12"/>
        <v>0</v>
      </c>
      <c r="K96" s="1786">
        <f t="shared" si="13"/>
        <v>0</v>
      </c>
      <c r="L96" s="1876">
        <f t="shared" si="14"/>
        <v>0</v>
      </c>
      <c r="M96" s="1786">
        <f t="shared" si="15"/>
        <v>0</v>
      </c>
      <c r="N96" s="1876">
        <f t="shared" si="16"/>
        <v>0</v>
      </c>
      <c r="O96" s="1785">
        <f t="shared" si="17"/>
        <v>0</v>
      </c>
      <c r="P96" s="1787">
        <f t="shared" si="18"/>
        <v>0</v>
      </c>
      <c r="Q96" s="1786">
        <f t="shared" si="19"/>
        <v>0</v>
      </c>
      <c r="R96" s="1876">
        <f t="shared" si="20"/>
        <v>0</v>
      </c>
      <c r="T96" s="1876">
        <v>0</v>
      </c>
      <c r="U96" s="1785"/>
      <c r="V96" s="1876">
        <v>0</v>
      </c>
      <c r="W96" s="1786"/>
      <c r="X96" s="1876">
        <v>0</v>
      </c>
      <c r="Y96" s="1786"/>
      <c r="Z96" s="1876">
        <v>0</v>
      </c>
      <c r="AA96" s="1785"/>
      <c r="AB96" s="1787">
        <v>0</v>
      </c>
      <c r="AC96" s="1786"/>
      <c r="AD96" s="1876">
        <v>0</v>
      </c>
    </row>
    <row r="97" spans="1:30" ht="14.1" customHeight="1">
      <c r="A97" s="1675">
        <v>28</v>
      </c>
      <c r="B97" s="2015"/>
      <c r="D97" s="2026" t="s">
        <v>2485</v>
      </c>
      <c r="E97" s="1676"/>
      <c r="F97" s="2019"/>
      <c r="H97" s="1788">
        <f t="shared" si="21"/>
        <v>0</v>
      </c>
      <c r="I97" s="1790">
        <f t="shared" si="11"/>
        <v>0</v>
      </c>
      <c r="J97" s="1788">
        <f t="shared" si="12"/>
        <v>0</v>
      </c>
      <c r="K97" s="1790">
        <f t="shared" si="13"/>
        <v>0</v>
      </c>
      <c r="L97" s="1788">
        <f t="shared" si="14"/>
        <v>0</v>
      </c>
      <c r="M97" s="1790">
        <f t="shared" si="15"/>
        <v>0</v>
      </c>
      <c r="N97" s="1788">
        <f t="shared" si="16"/>
        <v>0</v>
      </c>
      <c r="O97" s="1790">
        <f t="shared" si="17"/>
        <v>0</v>
      </c>
      <c r="P97" s="1788">
        <f t="shared" si="18"/>
        <v>0</v>
      </c>
      <c r="Q97" s="1790">
        <f t="shared" si="19"/>
        <v>0</v>
      </c>
      <c r="R97" s="1788">
        <f t="shared" si="20"/>
        <v>0</v>
      </c>
      <c r="T97" s="1788">
        <v>0</v>
      </c>
      <c r="U97" s="1790"/>
      <c r="V97" s="1788">
        <v>0</v>
      </c>
      <c r="W97" s="1790"/>
      <c r="X97" s="1788">
        <v>0</v>
      </c>
      <c r="Y97" s="1790"/>
      <c r="Z97" s="1788">
        <v>0</v>
      </c>
      <c r="AA97" s="1790"/>
      <c r="AB97" s="1788">
        <v>0</v>
      </c>
      <c r="AC97" s="1790"/>
      <c r="AD97" s="1788">
        <v>0</v>
      </c>
    </row>
    <row r="98" spans="1:30" ht="14.1" customHeight="1">
      <c r="A98" s="1675">
        <v>29</v>
      </c>
      <c r="B98" s="2015"/>
      <c r="F98" s="2020"/>
      <c r="H98" s="1674">
        <f t="shared" si="21"/>
        <v>0</v>
      </c>
      <c r="I98" s="1674">
        <f t="shared" si="11"/>
        <v>0</v>
      </c>
      <c r="J98" s="1674">
        <f t="shared" si="12"/>
        <v>0</v>
      </c>
      <c r="K98" s="1674">
        <f t="shared" si="13"/>
        <v>0</v>
      </c>
      <c r="L98" s="1674">
        <f t="shared" si="14"/>
        <v>0</v>
      </c>
      <c r="M98" s="1674">
        <f t="shared" si="15"/>
        <v>0</v>
      </c>
      <c r="N98" s="1674">
        <f t="shared" si="16"/>
        <v>0</v>
      </c>
      <c r="O98" s="2001">
        <f t="shared" si="17"/>
        <v>0</v>
      </c>
      <c r="P98" s="1674">
        <f t="shared" si="18"/>
        <v>0</v>
      </c>
      <c r="Q98" s="1674">
        <f t="shared" si="19"/>
        <v>0</v>
      </c>
      <c r="R98" s="1674">
        <f t="shared" si="20"/>
        <v>0</v>
      </c>
      <c r="AA98" s="2001"/>
    </row>
    <row r="99" spans="1:30" ht="14.1" customHeight="1">
      <c r="A99" s="1675">
        <v>30</v>
      </c>
      <c r="B99" s="2015"/>
      <c r="C99" s="2010"/>
      <c r="D99" s="2026" t="s">
        <v>1881</v>
      </c>
      <c r="E99" s="1676"/>
      <c r="F99" s="2020"/>
      <c r="G99" s="1676"/>
      <c r="H99" s="1674">
        <f t="shared" si="21"/>
        <v>0</v>
      </c>
      <c r="I99" s="1674">
        <f t="shared" si="11"/>
        <v>0</v>
      </c>
      <c r="J99" s="1674">
        <f t="shared" si="12"/>
        <v>0</v>
      </c>
      <c r="K99" s="1674">
        <f t="shared" si="13"/>
        <v>0</v>
      </c>
      <c r="L99" s="1674">
        <f t="shared" si="14"/>
        <v>0</v>
      </c>
      <c r="M99" s="1674">
        <f t="shared" si="15"/>
        <v>0</v>
      </c>
      <c r="N99" s="1674">
        <f t="shared" si="16"/>
        <v>0</v>
      </c>
      <c r="O99" s="2001">
        <f t="shared" si="17"/>
        <v>0</v>
      </c>
      <c r="P99" s="1674">
        <f t="shared" si="18"/>
        <v>0</v>
      </c>
      <c r="Q99" s="1674">
        <f t="shared" si="19"/>
        <v>0</v>
      </c>
      <c r="R99" s="1674">
        <f t="shared" si="20"/>
        <v>0</v>
      </c>
      <c r="AA99" s="2001"/>
    </row>
    <row r="100" spans="1:30" ht="14.1" customHeight="1">
      <c r="A100" s="1675">
        <v>31</v>
      </c>
      <c r="B100" s="2015"/>
      <c r="C100" s="1675">
        <v>31153</v>
      </c>
      <c r="D100" s="1674" t="s">
        <v>2449</v>
      </c>
      <c r="F100" s="2019">
        <v>0</v>
      </c>
      <c r="G100" s="2001"/>
      <c r="H100" s="1876">
        <f t="shared" si="21"/>
        <v>0</v>
      </c>
      <c r="I100" s="1785">
        <f t="shared" si="11"/>
        <v>0</v>
      </c>
      <c r="J100" s="1876">
        <f t="shared" si="12"/>
        <v>0</v>
      </c>
      <c r="K100" s="1786">
        <f t="shared" si="13"/>
        <v>0</v>
      </c>
      <c r="L100" s="1876">
        <f t="shared" si="14"/>
        <v>0</v>
      </c>
      <c r="M100" s="1786">
        <f t="shared" si="15"/>
        <v>0</v>
      </c>
      <c r="N100" s="1876">
        <f t="shared" si="16"/>
        <v>0</v>
      </c>
      <c r="O100" s="1785">
        <f t="shared" si="17"/>
        <v>0</v>
      </c>
      <c r="P100" s="1787">
        <f t="shared" si="18"/>
        <v>0</v>
      </c>
      <c r="Q100" s="1786">
        <f t="shared" si="19"/>
        <v>0</v>
      </c>
      <c r="R100" s="1876">
        <f t="shared" si="20"/>
        <v>0</v>
      </c>
      <c r="T100" s="1876">
        <v>0</v>
      </c>
      <c r="U100" s="1785"/>
      <c r="V100" s="1876">
        <v>0</v>
      </c>
      <c r="W100" s="1786"/>
      <c r="X100" s="1876">
        <v>0</v>
      </c>
      <c r="Y100" s="1786"/>
      <c r="Z100" s="1876">
        <v>0</v>
      </c>
      <c r="AA100" s="1785"/>
      <c r="AB100" s="1787">
        <v>0</v>
      </c>
      <c r="AC100" s="1786"/>
      <c r="AD100" s="1876">
        <v>0</v>
      </c>
    </row>
    <row r="101" spans="1:30" ht="14.1" customHeight="1">
      <c r="A101" s="1675">
        <v>32</v>
      </c>
      <c r="B101" s="2015"/>
      <c r="C101" s="1675">
        <v>31253</v>
      </c>
      <c r="D101" s="1674" t="s">
        <v>2451</v>
      </c>
      <c r="F101" s="2019">
        <v>0</v>
      </c>
      <c r="G101" s="2001"/>
      <c r="H101" s="1876">
        <f t="shared" si="21"/>
        <v>0</v>
      </c>
      <c r="I101" s="1785">
        <f t="shared" si="11"/>
        <v>0</v>
      </c>
      <c r="J101" s="1876">
        <f t="shared" si="12"/>
        <v>0</v>
      </c>
      <c r="K101" s="1786">
        <f t="shared" si="13"/>
        <v>0</v>
      </c>
      <c r="L101" s="1876">
        <f t="shared" si="14"/>
        <v>0</v>
      </c>
      <c r="M101" s="1786">
        <f t="shared" si="15"/>
        <v>0</v>
      </c>
      <c r="N101" s="1876">
        <f t="shared" si="16"/>
        <v>0</v>
      </c>
      <c r="O101" s="1785">
        <f t="shared" si="17"/>
        <v>0</v>
      </c>
      <c r="P101" s="1787">
        <f t="shared" si="18"/>
        <v>0</v>
      </c>
      <c r="Q101" s="1786">
        <f t="shared" si="19"/>
        <v>0</v>
      </c>
      <c r="R101" s="1876">
        <f t="shared" si="20"/>
        <v>0</v>
      </c>
      <c r="T101" s="1876">
        <v>0</v>
      </c>
      <c r="U101" s="1785"/>
      <c r="V101" s="1876">
        <v>0</v>
      </c>
      <c r="W101" s="1786"/>
      <c r="X101" s="1876">
        <v>0</v>
      </c>
      <c r="Y101" s="1786"/>
      <c r="Z101" s="1876">
        <v>0</v>
      </c>
      <c r="AA101" s="1785"/>
      <c r="AB101" s="1787">
        <v>0</v>
      </c>
      <c r="AC101" s="1786"/>
      <c r="AD101" s="1876">
        <v>0</v>
      </c>
    </row>
    <row r="102" spans="1:30" ht="14.1" customHeight="1">
      <c r="A102" s="1675">
        <v>33</v>
      </c>
      <c r="B102" s="2015"/>
      <c r="C102" s="1675">
        <v>31553</v>
      </c>
      <c r="D102" s="1674" t="s">
        <v>2454</v>
      </c>
      <c r="F102" s="2019">
        <v>0</v>
      </c>
      <c r="G102" s="2001"/>
      <c r="H102" s="1876">
        <f t="shared" si="21"/>
        <v>0</v>
      </c>
      <c r="I102" s="1785">
        <f t="shared" si="11"/>
        <v>0</v>
      </c>
      <c r="J102" s="1876">
        <f t="shared" si="12"/>
        <v>0</v>
      </c>
      <c r="K102" s="1786">
        <f t="shared" si="13"/>
        <v>0</v>
      </c>
      <c r="L102" s="1876">
        <f t="shared" si="14"/>
        <v>0</v>
      </c>
      <c r="M102" s="1786">
        <f t="shared" si="15"/>
        <v>0</v>
      </c>
      <c r="N102" s="1876">
        <f t="shared" si="16"/>
        <v>0</v>
      </c>
      <c r="O102" s="1785">
        <f t="shared" si="17"/>
        <v>0</v>
      </c>
      <c r="P102" s="1787">
        <f t="shared" si="18"/>
        <v>0</v>
      </c>
      <c r="Q102" s="1786">
        <f t="shared" si="19"/>
        <v>0</v>
      </c>
      <c r="R102" s="1876">
        <f t="shared" si="20"/>
        <v>0</v>
      </c>
      <c r="T102" s="1876">
        <v>0</v>
      </c>
      <c r="U102" s="1785"/>
      <c r="V102" s="1876">
        <v>0</v>
      </c>
      <c r="W102" s="1786"/>
      <c r="X102" s="1876">
        <v>0</v>
      </c>
      <c r="Y102" s="1786"/>
      <c r="Z102" s="1876">
        <v>0</v>
      </c>
      <c r="AA102" s="1785"/>
      <c r="AB102" s="1787">
        <v>0</v>
      </c>
      <c r="AC102" s="1786"/>
      <c r="AD102" s="1876">
        <v>0</v>
      </c>
    </row>
    <row r="103" spans="1:30" ht="14.1" customHeight="1">
      <c r="A103" s="1675">
        <v>34</v>
      </c>
      <c r="B103" s="2015"/>
      <c r="C103" s="1675">
        <v>31653</v>
      </c>
      <c r="D103" s="1674" t="s">
        <v>2455</v>
      </c>
      <c r="F103" s="2019">
        <v>0</v>
      </c>
      <c r="G103" s="2001"/>
      <c r="H103" s="1876">
        <f t="shared" si="21"/>
        <v>0</v>
      </c>
      <c r="I103" s="1785">
        <f t="shared" si="11"/>
        <v>0</v>
      </c>
      <c r="J103" s="1876">
        <f t="shared" si="12"/>
        <v>0</v>
      </c>
      <c r="K103" s="1786">
        <f t="shared" si="13"/>
        <v>0</v>
      </c>
      <c r="L103" s="1876">
        <f t="shared" si="14"/>
        <v>0</v>
      </c>
      <c r="M103" s="1786">
        <f t="shared" si="15"/>
        <v>0</v>
      </c>
      <c r="N103" s="1876">
        <f t="shared" si="16"/>
        <v>0</v>
      </c>
      <c r="O103" s="1785">
        <f t="shared" si="17"/>
        <v>0</v>
      </c>
      <c r="P103" s="1787">
        <f t="shared" si="18"/>
        <v>0</v>
      </c>
      <c r="Q103" s="1786">
        <f t="shared" si="19"/>
        <v>0</v>
      </c>
      <c r="R103" s="1876">
        <f t="shared" si="20"/>
        <v>0</v>
      </c>
      <c r="T103" s="1876">
        <v>0</v>
      </c>
      <c r="U103" s="1785"/>
      <c r="V103" s="1876">
        <v>0</v>
      </c>
      <c r="W103" s="1786"/>
      <c r="X103" s="1876">
        <v>0</v>
      </c>
      <c r="Y103" s="1786"/>
      <c r="Z103" s="1876">
        <v>0</v>
      </c>
      <c r="AA103" s="1785"/>
      <c r="AB103" s="1787">
        <v>0</v>
      </c>
      <c r="AC103" s="1786"/>
      <c r="AD103" s="1876">
        <v>0</v>
      </c>
    </row>
    <row r="104" spans="1:30" ht="14.1" customHeight="1">
      <c r="A104" s="1675">
        <v>35</v>
      </c>
      <c r="B104" s="2015"/>
      <c r="C104" s="1675"/>
      <c r="D104" s="2026" t="s">
        <v>2486</v>
      </c>
      <c r="E104" s="1676"/>
      <c r="F104" s="2019"/>
      <c r="H104" s="1788">
        <f t="shared" si="21"/>
        <v>0</v>
      </c>
      <c r="I104" s="1790">
        <f t="shared" si="11"/>
        <v>0</v>
      </c>
      <c r="J104" s="1788">
        <f t="shared" si="12"/>
        <v>0</v>
      </c>
      <c r="K104" s="1790">
        <f t="shared" si="13"/>
        <v>0</v>
      </c>
      <c r="L104" s="1788">
        <f t="shared" si="14"/>
        <v>0</v>
      </c>
      <c r="M104" s="1790">
        <f t="shared" si="15"/>
        <v>0</v>
      </c>
      <c r="N104" s="1788">
        <f t="shared" si="16"/>
        <v>0</v>
      </c>
      <c r="O104" s="1790">
        <f t="shared" si="17"/>
        <v>0</v>
      </c>
      <c r="P104" s="1788">
        <f t="shared" si="18"/>
        <v>0</v>
      </c>
      <c r="Q104" s="1790">
        <f t="shared" si="19"/>
        <v>0</v>
      </c>
      <c r="R104" s="1788">
        <f t="shared" si="20"/>
        <v>0</v>
      </c>
      <c r="T104" s="1788">
        <v>0</v>
      </c>
      <c r="U104" s="1790"/>
      <c r="V104" s="1788">
        <v>0</v>
      </c>
      <c r="W104" s="1790"/>
      <c r="X104" s="1788">
        <v>0</v>
      </c>
      <c r="Y104" s="1790"/>
      <c r="Z104" s="1788">
        <v>0</v>
      </c>
      <c r="AA104" s="1790"/>
      <c r="AB104" s="1788">
        <v>0</v>
      </c>
      <c r="AC104" s="1790"/>
      <c r="AD104" s="1788">
        <v>0</v>
      </c>
    </row>
    <row r="105" spans="1:30" ht="14.1" customHeight="1">
      <c r="A105" s="1675">
        <v>36</v>
      </c>
      <c r="B105" s="2015"/>
      <c r="F105" s="2020"/>
      <c r="H105" s="1674">
        <f t="shared" si="21"/>
        <v>0</v>
      </c>
      <c r="I105" s="1674">
        <f t="shared" si="11"/>
        <v>0</v>
      </c>
      <c r="J105" s="1674">
        <f t="shared" si="12"/>
        <v>0</v>
      </c>
      <c r="K105" s="1674">
        <f t="shared" si="13"/>
        <v>0</v>
      </c>
      <c r="L105" s="1674">
        <f t="shared" si="14"/>
        <v>0</v>
      </c>
      <c r="M105" s="1674">
        <f t="shared" si="15"/>
        <v>0</v>
      </c>
      <c r="N105" s="1674">
        <f t="shared" si="16"/>
        <v>0</v>
      </c>
      <c r="O105" s="2001">
        <f t="shared" si="17"/>
        <v>0</v>
      </c>
      <c r="P105" s="1674">
        <f t="shared" si="18"/>
        <v>0</v>
      </c>
      <c r="Q105" s="1674">
        <f t="shared" si="19"/>
        <v>0</v>
      </c>
      <c r="R105" s="1674">
        <f t="shared" si="20"/>
        <v>0</v>
      </c>
      <c r="AA105" s="2001"/>
    </row>
    <row r="106" spans="1:30" ht="14.1" customHeight="1">
      <c r="A106" s="1675">
        <v>37</v>
      </c>
      <c r="B106" s="2015"/>
      <c r="C106" s="2010"/>
      <c r="D106" s="2026" t="s">
        <v>1882</v>
      </c>
      <c r="E106" s="1676"/>
      <c r="F106" s="2019"/>
      <c r="G106" s="1676"/>
      <c r="H106" s="1790">
        <f t="shared" si="21"/>
        <v>0</v>
      </c>
      <c r="I106" s="1790">
        <f t="shared" si="11"/>
        <v>0</v>
      </c>
      <c r="J106" s="1790">
        <f t="shared" si="12"/>
        <v>0</v>
      </c>
      <c r="K106" s="1790">
        <f t="shared" si="13"/>
        <v>0</v>
      </c>
      <c r="L106" s="1790">
        <f t="shared" si="14"/>
        <v>0</v>
      </c>
      <c r="M106" s="1790">
        <f t="shared" si="15"/>
        <v>0</v>
      </c>
      <c r="N106" s="1790">
        <f t="shared" si="16"/>
        <v>0</v>
      </c>
      <c r="O106" s="1790">
        <f t="shared" si="17"/>
        <v>0</v>
      </c>
      <c r="P106" s="1790">
        <f t="shared" si="18"/>
        <v>0</v>
      </c>
      <c r="Q106" s="1790">
        <f t="shared" si="19"/>
        <v>0</v>
      </c>
      <c r="R106" s="1790">
        <f t="shared" si="20"/>
        <v>0</v>
      </c>
      <c r="T106" s="1790"/>
      <c r="U106" s="1790"/>
      <c r="V106" s="1790"/>
      <c r="W106" s="1790"/>
      <c r="X106" s="1790"/>
      <c r="Y106" s="1790"/>
      <c r="Z106" s="1790"/>
      <c r="AA106" s="1790"/>
      <c r="AB106" s="1790"/>
      <c r="AC106" s="1790"/>
      <c r="AD106" s="1790"/>
    </row>
    <row r="107" spans="1:30" ht="14.1" customHeight="1">
      <c r="A107" s="1675">
        <v>38</v>
      </c>
      <c r="B107" s="2015"/>
      <c r="C107" s="1675">
        <v>31154</v>
      </c>
      <c r="D107" s="1674" t="s">
        <v>2449</v>
      </c>
      <c r="F107" s="2019">
        <v>3.49</v>
      </c>
      <c r="G107" s="2001"/>
      <c r="H107" s="1876">
        <f t="shared" si="21"/>
        <v>16995.428250000001</v>
      </c>
      <c r="I107" s="1785">
        <f t="shared" si="11"/>
        <v>0</v>
      </c>
      <c r="J107" s="1876">
        <f t="shared" si="12"/>
        <v>0</v>
      </c>
      <c r="K107" s="1786">
        <f t="shared" si="13"/>
        <v>0</v>
      </c>
      <c r="L107" s="1876">
        <f t="shared" si="14"/>
        <v>0</v>
      </c>
      <c r="M107" s="1786">
        <f t="shared" si="15"/>
        <v>0</v>
      </c>
      <c r="N107" s="1876">
        <f t="shared" si="16"/>
        <v>0</v>
      </c>
      <c r="O107" s="1785">
        <f t="shared" si="17"/>
        <v>0</v>
      </c>
      <c r="P107" s="1787">
        <f t="shared" si="18"/>
        <v>16995.428250000001</v>
      </c>
      <c r="Q107" s="1786">
        <f t="shared" si="19"/>
        <v>0</v>
      </c>
      <c r="R107" s="1876">
        <f t="shared" si="20"/>
        <v>16995.428250000001</v>
      </c>
      <c r="T107" s="1876">
        <v>16995428.25</v>
      </c>
      <c r="U107" s="1785"/>
      <c r="V107" s="1876">
        <v>0</v>
      </c>
      <c r="W107" s="1786"/>
      <c r="X107" s="1876">
        <v>0</v>
      </c>
      <c r="Y107" s="1786"/>
      <c r="Z107" s="1876">
        <v>0</v>
      </c>
      <c r="AA107" s="1785"/>
      <c r="AB107" s="1787">
        <v>16995428.25</v>
      </c>
      <c r="AC107" s="1786"/>
      <c r="AD107" s="1876">
        <v>16995428.25</v>
      </c>
    </row>
    <row r="108" spans="1:30" ht="14.1" customHeight="1">
      <c r="A108" s="1675">
        <v>39</v>
      </c>
      <c r="B108" s="2015"/>
      <c r="C108" s="1675">
        <v>31254</v>
      </c>
      <c r="D108" s="1674" t="s">
        <v>2451</v>
      </c>
      <c r="F108" s="2019">
        <v>5.38</v>
      </c>
      <c r="G108" s="2001"/>
      <c r="H108" s="1876">
        <f t="shared" si="21"/>
        <v>40267.602585000001</v>
      </c>
      <c r="I108" s="1785">
        <f t="shared" si="11"/>
        <v>0</v>
      </c>
      <c r="J108" s="1876">
        <f t="shared" si="12"/>
        <v>0</v>
      </c>
      <c r="K108" s="1786">
        <f t="shared" si="13"/>
        <v>0</v>
      </c>
      <c r="L108" s="1876">
        <f t="shared" si="14"/>
        <v>0</v>
      </c>
      <c r="M108" s="1786">
        <f t="shared" si="15"/>
        <v>0</v>
      </c>
      <c r="N108" s="1876">
        <f t="shared" si="16"/>
        <v>0</v>
      </c>
      <c r="O108" s="1785">
        <f t="shared" si="17"/>
        <v>0</v>
      </c>
      <c r="P108" s="1787">
        <f t="shared" si="18"/>
        <v>40267.602585000001</v>
      </c>
      <c r="Q108" s="1786">
        <f t="shared" si="19"/>
        <v>0</v>
      </c>
      <c r="R108" s="1876">
        <f t="shared" si="20"/>
        <v>40267.602590000002</v>
      </c>
      <c r="T108" s="1876">
        <v>40267602.585000001</v>
      </c>
      <c r="U108" s="1785"/>
      <c r="V108" s="1876">
        <v>0</v>
      </c>
      <c r="W108" s="1786"/>
      <c r="X108" s="1876">
        <v>0</v>
      </c>
      <c r="Y108" s="1786"/>
      <c r="Z108" s="1876">
        <v>0</v>
      </c>
      <c r="AA108" s="1785"/>
      <c r="AB108" s="1787">
        <v>40267602.585000001</v>
      </c>
      <c r="AC108" s="1786"/>
      <c r="AD108" s="1876">
        <v>40267602.590000004</v>
      </c>
    </row>
    <row r="109" spans="1:30" ht="14.1" customHeight="1">
      <c r="A109" s="1675">
        <v>40</v>
      </c>
      <c r="B109" s="2015"/>
      <c r="C109" s="1675">
        <v>31554</v>
      </c>
      <c r="D109" s="1674" t="s">
        <v>2454</v>
      </c>
      <c r="F109" s="2019">
        <v>2.8</v>
      </c>
      <c r="G109" s="2001"/>
      <c r="H109" s="1876">
        <f t="shared" si="21"/>
        <v>15495.565484999999</v>
      </c>
      <c r="I109" s="1785">
        <f t="shared" si="11"/>
        <v>0</v>
      </c>
      <c r="J109" s="1876">
        <f t="shared" si="12"/>
        <v>0</v>
      </c>
      <c r="K109" s="1786">
        <f t="shared" si="13"/>
        <v>0</v>
      </c>
      <c r="L109" s="1876">
        <f t="shared" si="14"/>
        <v>0</v>
      </c>
      <c r="M109" s="1786">
        <f t="shared" si="15"/>
        <v>0</v>
      </c>
      <c r="N109" s="1876">
        <f t="shared" si="16"/>
        <v>0</v>
      </c>
      <c r="O109" s="1785">
        <f t="shared" si="17"/>
        <v>0</v>
      </c>
      <c r="P109" s="1787">
        <f t="shared" si="18"/>
        <v>15495.565484999999</v>
      </c>
      <c r="Q109" s="1786">
        <f t="shared" si="19"/>
        <v>0</v>
      </c>
      <c r="R109" s="1876">
        <f t="shared" si="20"/>
        <v>15495.565490000001</v>
      </c>
      <c r="T109" s="1876">
        <v>15495565.484999999</v>
      </c>
      <c r="U109" s="1785"/>
      <c r="V109" s="1876">
        <v>0</v>
      </c>
      <c r="W109" s="1786"/>
      <c r="X109" s="1876">
        <v>0</v>
      </c>
      <c r="Y109" s="1786"/>
      <c r="Z109" s="1876">
        <v>0</v>
      </c>
      <c r="AA109" s="1785"/>
      <c r="AB109" s="1787">
        <v>15495565.484999999</v>
      </c>
      <c r="AC109" s="1786"/>
      <c r="AD109" s="1876">
        <v>15495565.49</v>
      </c>
    </row>
    <row r="110" spans="1:30" ht="14.1" customHeight="1">
      <c r="A110" s="1675">
        <v>41</v>
      </c>
      <c r="B110" s="2015"/>
      <c r="C110" s="1675">
        <v>31654</v>
      </c>
      <c r="D110" s="1674" t="s">
        <v>2455</v>
      </c>
      <c r="F110" s="2019">
        <v>1.92</v>
      </c>
      <c r="G110" s="2001"/>
      <c r="H110" s="1876">
        <f t="shared" si="21"/>
        <v>687.93435999999997</v>
      </c>
      <c r="I110" s="1785">
        <f t="shared" si="11"/>
        <v>0</v>
      </c>
      <c r="J110" s="1876">
        <f t="shared" si="12"/>
        <v>0</v>
      </c>
      <c r="K110" s="1786">
        <f t="shared" si="13"/>
        <v>0</v>
      </c>
      <c r="L110" s="1876">
        <f t="shared" si="14"/>
        <v>0</v>
      </c>
      <c r="M110" s="1786">
        <f t="shared" si="15"/>
        <v>0</v>
      </c>
      <c r="N110" s="1876">
        <f t="shared" si="16"/>
        <v>0</v>
      </c>
      <c r="O110" s="1785">
        <f t="shared" si="17"/>
        <v>0</v>
      </c>
      <c r="P110" s="1787">
        <f t="shared" si="18"/>
        <v>687.93435999999997</v>
      </c>
      <c r="Q110" s="1786">
        <f t="shared" si="19"/>
        <v>0</v>
      </c>
      <c r="R110" s="1876">
        <f t="shared" si="20"/>
        <v>687.93435999999997</v>
      </c>
      <c r="T110" s="1876">
        <v>687934.36</v>
      </c>
      <c r="U110" s="1785"/>
      <c r="V110" s="1876">
        <v>0</v>
      </c>
      <c r="W110" s="1786"/>
      <c r="X110" s="1876">
        <v>0</v>
      </c>
      <c r="Y110" s="1786"/>
      <c r="Z110" s="1876">
        <v>0</v>
      </c>
      <c r="AA110" s="1785"/>
      <c r="AB110" s="1787">
        <v>687934.36</v>
      </c>
      <c r="AC110" s="1786"/>
      <c r="AD110" s="1876">
        <v>687934.36</v>
      </c>
    </row>
    <row r="111" spans="1:30" ht="14.1" customHeight="1">
      <c r="A111" s="1675">
        <v>42</v>
      </c>
      <c r="B111" s="2015"/>
      <c r="C111" s="1675"/>
      <c r="D111" s="2026" t="s">
        <v>2488</v>
      </c>
      <c r="E111" s="1676"/>
      <c r="F111" s="2023"/>
      <c r="H111" s="1788">
        <f t="shared" si="21"/>
        <v>73446.530679999996</v>
      </c>
      <c r="I111" s="1790">
        <f t="shared" si="11"/>
        <v>0</v>
      </c>
      <c r="J111" s="1788">
        <f t="shared" si="12"/>
        <v>0</v>
      </c>
      <c r="K111" s="1790">
        <f t="shared" si="13"/>
        <v>0</v>
      </c>
      <c r="L111" s="1788">
        <f t="shared" si="14"/>
        <v>0</v>
      </c>
      <c r="M111" s="1790">
        <f t="shared" si="15"/>
        <v>0</v>
      </c>
      <c r="N111" s="1788">
        <f t="shared" si="16"/>
        <v>0</v>
      </c>
      <c r="O111" s="1790">
        <f t="shared" si="17"/>
        <v>0</v>
      </c>
      <c r="P111" s="1788">
        <f t="shared" si="18"/>
        <v>73446.530679999996</v>
      </c>
      <c r="Q111" s="1790">
        <f t="shared" si="19"/>
        <v>0</v>
      </c>
      <c r="R111" s="1788">
        <f t="shared" si="20"/>
        <v>73446.53069</v>
      </c>
      <c r="T111" s="1788">
        <v>73446530.679999992</v>
      </c>
      <c r="U111" s="1790"/>
      <c r="V111" s="1788">
        <v>0</v>
      </c>
      <c r="W111" s="1790"/>
      <c r="X111" s="1788">
        <v>0</v>
      </c>
      <c r="Y111" s="1790"/>
      <c r="Z111" s="1788">
        <v>0</v>
      </c>
      <c r="AA111" s="1790"/>
      <c r="AB111" s="1788">
        <v>73446530.679999992</v>
      </c>
      <c r="AC111" s="1790"/>
      <c r="AD111" s="1788">
        <v>73446530.689999998</v>
      </c>
    </row>
    <row r="112" spans="1:30" ht="14.1" customHeight="1">
      <c r="A112" s="1675">
        <v>43</v>
      </c>
      <c r="B112" s="2015"/>
      <c r="C112" s="1675"/>
      <c r="F112" s="2001"/>
      <c r="G112" s="2001"/>
      <c r="H112" s="1782">
        <f t="shared" si="21"/>
        <v>0</v>
      </c>
      <c r="I112" s="1790">
        <f t="shared" si="11"/>
        <v>0</v>
      </c>
      <c r="J112" s="1782">
        <f t="shared" si="12"/>
        <v>0</v>
      </c>
      <c r="K112" s="1790">
        <f t="shared" si="13"/>
        <v>0</v>
      </c>
      <c r="L112" s="1782">
        <f t="shared" si="14"/>
        <v>0</v>
      </c>
      <c r="M112" s="1790">
        <f t="shared" si="15"/>
        <v>0</v>
      </c>
      <c r="N112" s="1782">
        <f t="shared" si="16"/>
        <v>0</v>
      </c>
      <c r="O112" s="1790">
        <f t="shared" si="17"/>
        <v>0</v>
      </c>
      <c r="P112" s="1782">
        <f t="shared" si="18"/>
        <v>0</v>
      </c>
      <c r="Q112" s="1790">
        <f t="shared" si="19"/>
        <v>0</v>
      </c>
      <c r="R112" s="1782">
        <f t="shared" si="20"/>
        <v>0</v>
      </c>
      <c r="T112" s="1782"/>
      <c r="U112" s="1790"/>
      <c r="V112" s="1782"/>
      <c r="W112" s="1790"/>
      <c r="X112" s="1782"/>
      <c r="Y112" s="1790"/>
      <c r="Z112" s="1782"/>
      <c r="AA112" s="1790"/>
      <c r="AB112" s="1782"/>
      <c r="AC112" s="1790"/>
      <c r="AD112" s="1782"/>
    </row>
    <row r="113" spans="1:30" ht="14.1" customHeight="1" thickBot="1">
      <c r="A113" s="2008">
        <v>44</v>
      </c>
      <c r="B113" s="1869" t="s">
        <v>2476</v>
      </c>
      <c r="C113" s="1997"/>
      <c r="D113" s="1997"/>
      <c r="E113" s="1997"/>
      <c r="F113" s="1997"/>
      <c r="G113" s="1997"/>
      <c r="H113" s="1997">
        <f t="shared" si="21"/>
        <v>0</v>
      </c>
      <c r="I113" s="1997">
        <f t="shared" si="11"/>
        <v>0</v>
      </c>
      <c r="J113" s="1997">
        <f t="shared" si="12"/>
        <v>0</v>
      </c>
      <c r="K113" s="1997">
        <f t="shared" si="13"/>
        <v>0</v>
      </c>
      <c r="L113" s="1997">
        <f t="shared" si="14"/>
        <v>0</v>
      </c>
      <c r="M113" s="1997">
        <f t="shared" si="15"/>
        <v>0</v>
      </c>
      <c r="N113" s="1997">
        <f t="shared" si="16"/>
        <v>0</v>
      </c>
      <c r="O113" s="1998">
        <f t="shared" si="17"/>
        <v>0</v>
      </c>
      <c r="P113" s="1997">
        <f t="shared" si="18"/>
        <v>0</v>
      </c>
      <c r="Q113" s="1997">
        <f t="shared" si="19"/>
        <v>0</v>
      </c>
      <c r="R113" s="1997">
        <f t="shared" si="20"/>
        <v>0</v>
      </c>
      <c r="T113" s="1997"/>
      <c r="U113" s="1997"/>
      <c r="V113" s="1997"/>
      <c r="W113" s="1997"/>
      <c r="X113" s="1997"/>
      <c r="Y113" s="1997"/>
      <c r="Z113" s="1997"/>
      <c r="AA113" s="1998"/>
      <c r="AB113" s="1997"/>
      <c r="AC113" s="1997"/>
      <c r="AD113" s="1997"/>
    </row>
    <row r="114" spans="1:30" ht="14.1" customHeight="1">
      <c r="A114" s="1674" t="s">
        <v>8947</v>
      </c>
      <c r="H114" s="1674">
        <f t="shared" si="21"/>
        <v>0</v>
      </c>
      <c r="I114" s="1674">
        <f t="shared" si="11"/>
        <v>0</v>
      </c>
      <c r="J114" s="1674">
        <f t="shared" si="12"/>
        <v>0</v>
      </c>
      <c r="K114" s="1674">
        <f t="shared" si="13"/>
        <v>0</v>
      </c>
      <c r="L114" s="1674">
        <f t="shared" si="14"/>
        <v>0</v>
      </c>
      <c r="M114" s="1674">
        <f t="shared" si="15"/>
        <v>0</v>
      </c>
      <c r="N114" s="1674">
        <f t="shared" si="16"/>
        <v>0</v>
      </c>
      <c r="O114" s="2001">
        <f t="shared" si="17"/>
        <v>0</v>
      </c>
      <c r="P114" s="1674" t="str">
        <f t="shared" si="18"/>
        <v>Recap Schedules:  B-03, B-06</v>
      </c>
      <c r="Q114" s="1674">
        <f t="shared" si="19"/>
        <v>0</v>
      </c>
      <c r="R114" s="1674">
        <f t="shared" si="20"/>
        <v>0</v>
      </c>
      <c r="AA114" s="2001"/>
      <c r="AB114" s="1674" t="s">
        <v>8948</v>
      </c>
    </row>
    <row r="115" spans="1:30" ht="14.1" customHeight="1" thickBot="1">
      <c r="A115" s="1997" t="s">
        <v>8943</v>
      </c>
      <c r="B115" s="1997"/>
      <c r="C115" s="1997"/>
      <c r="D115" s="1997"/>
      <c r="E115" s="1997"/>
      <c r="F115" s="1997"/>
      <c r="G115" s="1997" t="s">
        <v>2422</v>
      </c>
      <c r="H115" s="1997">
        <f t="shared" si="21"/>
        <v>0</v>
      </c>
      <c r="I115" s="1997">
        <f t="shared" si="11"/>
        <v>0</v>
      </c>
      <c r="J115" s="1997">
        <f t="shared" si="12"/>
        <v>0</v>
      </c>
      <c r="K115" s="1997">
        <f t="shared" si="13"/>
        <v>0</v>
      </c>
      <c r="L115" s="1997">
        <f t="shared" si="14"/>
        <v>0</v>
      </c>
      <c r="M115" s="1997">
        <f t="shared" si="15"/>
        <v>0</v>
      </c>
      <c r="N115" s="1997">
        <f t="shared" si="16"/>
        <v>0</v>
      </c>
      <c r="O115" s="1998">
        <f t="shared" si="17"/>
        <v>0</v>
      </c>
      <c r="P115" s="1997">
        <f t="shared" si="18"/>
        <v>0</v>
      </c>
      <c r="Q115" s="1997">
        <f t="shared" si="19"/>
        <v>0</v>
      </c>
      <c r="R115" s="1997" t="str">
        <f t="shared" si="20"/>
        <v>Page 3 of 10</v>
      </c>
      <c r="T115" s="1997"/>
      <c r="U115" s="1997"/>
      <c r="V115" s="1997"/>
      <c r="W115" s="1997"/>
      <c r="X115" s="1997"/>
      <c r="Y115" s="1997"/>
      <c r="Z115" s="1997"/>
      <c r="AA115" s="1998"/>
      <c r="AB115" s="1997"/>
      <c r="AC115" s="1997"/>
      <c r="AD115" s="1997" t="s">
        <v>2487</v>
      </c>
    </row>
    <row r="116" spans="1:30" ht="14.1" customHeight="1">
      <c r="A116" s="1674" t="s">
        <v>2425</v>
      </c>
      <c r="B116" s="2024"/>
      <c r="E116" s="2001" t="s">
        <v>2426</v>
      </c>
      <c r="F116" s="1674" t="s">
        <v>8155</v>
      </c>
      <c r="H116" s="1674">
        <f t="shared" si="21"/>
        <v>0</v>
      </c>
      <c r="I116" s="1674">
        <f t="shared" si="11"/>
        <v>0</v>
      </c>
      <c r="J116" s="2003">
        <f t="shared" si="12"/>
        <v>0</v>
      </c>
      <c r="K116" s="2003">
        <f t="shared" si="13"/>
        <v>0</v>
      </c>
      <c r="L116" s="1674">
        <f t="shared" si="14"/>
        <v>0</v>
      </c>
      <c r="M116" s="2003">
        <f t="shared" si="15"/>
        <v>0</v>
      </c>
      <c r="N116" s="2003">
        <f t="shared" si="16"/>
        <v>0</v>
      </c>
      <c r="O116" s="2004">
        <f t="shared" si="17"/>
        <v>0</v>
      </c>
      <c r="P116" s="1674" t="str">
        <f t="shared" si="18"/>
        <v>Type of data shown:</v>
      </c>
      <c r="Q116" s="1674">
        <f t="shared" si="19"/>
        <v>0</v>
      </c>
      <c r="R116" s="2005">
        <f t="shared" si="20"/>
        <v>0</v>
      </c>
      <c r="V116" s="2003"/>
      <c r="W116" s="2003"/>
      <c r="Y116" s="2003"/>
      <c r="Z116" s="2003"/>
      <c r="AA116" s="2004"/>
      <c r="AB116" s="1674" t="s">
        <v>2427</v>
      </c>
      <c r="AD116" s="2005"/>
    </row>
    <row r="117" spans="1:30" ht="14.1" customHeight="1">
      <c r="B117" s="2024"/>
      <c r="F117" s="1674" t="s">
        <v>8156</v>
      </c>
      <c r="H117" s="1674">
        <f t="shared" si="21"/>
        <v>0</v>
      </c>
      <c r="I117" s="1674">
        <f t="shared" si="11"/>
        <v>0</v>
      </c>
      <c r="J117" s="2001">
        <f t="shared" si="12"/>
        <v>0</v>
      </c>
      <c r="K117" s="2005">
        <f t="shared" si="13"/>
        <v>0</v>
      </c>
      <c r="L117" s="1674">
        <f t="shared" si="14"/>
        <v>0</v>
      </c>
      <c r="M117" s="1674">
        <f t="shared" si="15"/>
        <v>0</v>
      </c>
      <c r="N117" s="2001">
        <f t="shared" si="16"/>
        <v>0</v>
      </c>
      <c r="O117" s="2001" t="str">
        <f t="shared" si="17"/>
        <v>XX</v>
      </c>
      <c r="P117" s="2005" t="str">
        <f t="shared" si="18"/>
        <v>Projected Test Year Ended 12/31/2025</v>
      </c>
      <c r="Q117" s="1674">
        <f t="shared" si="19"/>
        <v>0</v>
      </c>
      <c r="R117" s="2001">
        <f t="shared" si="20"/>
        <v>0</v>
      </c>
      <c r="V117" s="2001"/>
      <c r="W117" s="2005"/>
      <c r="Z117" s="2001"/>
      <c r="AA117" s="2001" t="s">
        <v>8157</v>
      </c>
      <c r="AB117" s="2005" t="s">
        <v>8944</v>
      </c>
      <c r="AD117" s="2001"/>
    </row>
    <row r="118" spans="1:30" ht="14.1" customHeight="1">
      <c r="A118" s="1674" t="s">
        <v>2428</v>
      </c>
      <c r="B118" s="2024"/>
      <c r="F118" s="1674" t="s">
        <v>2360</v>
      </c>
      <c r="H118" s="1674">
        <f t="shared" si="21"/>
        <v>0</v>
      </c>
      <c r="I118" s="1674">
        <f t="shared" si="11"/>
        <v>0</v>
      </c>
      <c r="J118" s="2001">
        <f t="shared" si="12"/>
        <v>0</v>
      </c>
      <c r="K118" s="2005">
        <f t="shared" si="13"/>
        <v>0</v>
      </c>
      <c r="L118" s="2001">
        <f t="shared" si="14"/>
        <v>0</v>
      </c>
      <c r="M118" s="1674">
        <f t="shared" si="15"/>
        <v>0</v>
      </c>
      <c r="N118" s="1674">
        <f t="shared" si="16"/>
        <v>0</v>
      </c>
      <c r="O118" s="2001" t="str">
        <f t="shared" si="17"/>
        <v/>
      </c>
      <c r="P118" s="2005" t="str">
        <f t="shared" si="18"/>
        <v>Projected Prior Year Ended 12/31/2024</v>
      </c>
      <c r="Q118" s="1674">
        <f t="shared" si="19"/>
        <v>0</v>
      </c>
      <c r="R118" s="2001">
        <f t="shared" si="20"/>
        <v>0</v>
      </c>
      <c r="V118" s="2001"/>
      <c r="W118" s="2005"/>
      <c r="X118" s="2001"/>
      <c r="AA118" s="2001" t="s">
        <v>2360</v>
      </c>
      <c r="AB118" s="2005" t="s">
        <v>8945</v>
      </c>
      <c r="AD118" s="2001"/>
    </row>
    <row r="119" spans="1:30" ht="14.1" customHeight="1">
      <c r="B119" s="2024"/>
      <c r="F119" s="1674" t="s">
        <v>2360</v>
      </c>
      <c r="H119" s="1674">
        <f t="shared" si="21"/>
        <v>0</v>
      </c>
      <c r="I119" s="1674">
        <f t="shared" si="11"/>
        <v>0</v>
      </c>
      <c r="J119" s="2001">
        <f t="shared" si="12"/>
        <v>0</v>
      </c>
      <c r="K119" s="2005">
        <f t="shared" si="13"/>
        <v>0</v>
      </c>
      <c r="L119" s="2001">
        <f t="shared" si="14"/>
        <v>0</v>
      </c>
      <c r="M119" s="1674">
        <f t="shared" si="15"/>
        <v>0</v>
      </c>
      <c r="N119" s="1674">
        <f t="shared" si="16"/>
        <v>0</v>
      </c>
      <c r="O119" s="2001" t="str">
        <f t="shared" si="17"/>
        <v/>
      </c>
      <c r="P119" s="2005" t="str">
        <f t="shared" si="18"/>
        <v>Historical Prior Year Ended 12/31/2023</v>
      </c>
      <c r="Q119" s="1674">
        <f t="shared" si="19"/>
        <v>0</v>
      </c>
      <c r="R119" s="2001">
        <f t="shared" si="20"/>
        <v>0</v>
      </c>
      <c r="V119" s="2001"/>
      <c r="W119" s="2005"/>
      <c r="X119" s="2001"/>
      <c r="AA119" s="2001" t="s">
        <v>2360</v>
      </c>
      <c r="AB119" s="2005" t="s">
        <v>8946</v>
      </c>
      <c r="AD119" s="2001"/>
    </row>
    <row r="120" spans="1:30" ht="14.1" customHeight="1">
      <c r="B120" s="2024"/>
      <c r="H120" s="1674">
        <f t="shared" si="21"/>
        <v>0</v>
      </c>
      <c r="I120" s="1674">
        <f t="shared" si="11"/>
        <v>0</v>
      </c>
      <c r="J120" s="2001">
        <f t="shared" si="12"/>
        <v>0</v>
      </c>
      <c r="K120" s="2005">
        <f t="shared" si="13"/>
        <v>0</v>
      </c>
      <c r="L120" s="2001">
        <f t="shared" si="14"/>
        <v>0</v>
      </c>
      <c r="M120" s="1674">
        <f t="shared" si="15"/>
        <v>0</v>
      </c>
      <c r="N120" s="1674">
        <f t="shared" si="16"/>
        <v>0</v>
      </c>
      <c r="O120" s="2001">
        <f t="shared" si="17"/>
        <v>0</v>
      </c>
      <c r="P120" s="2005" t="str">
        <f t="shared" si="18"/>
        <v>Witness: D. Avellan</v>
      </c>
      <c r="Q120" s="1674">
        <f t="shared" si="19"/>
        <v>0</v>
      </c>
      <c r="R120" s="2001">
        <f t="shared" si="20"/>
        <v>0</v>
      </c>
      <c r="V120" s="2001"/>
      <c r="W120" s="2005"/>
      <c r="X120" s="2001"/>
      <c r="AA120" s="2001"/>
      <c r="AB120" s="2005" t="s">
        <v>8160</v>
      </c>
      <c r="AD120" s="2001"/>
    </row>
    <row r="121" spans="1:30" ht="14.1" customHeight="1" thickBot="1">
      <c r="A121" s="1997" t="s">
        <v>8158</v>
      </c>
      <c r="B121" s="2025"/>
      <c r="C121" s="1997"/>
      <c r="D121" s="1997"/>
      <c r="E121" s="1997"/>
      <c r="F121" s="1997" t="s">
        <v>2360</v>
      </c>
      <c r="G121" s="1997"/>
      <c r="H121" s="2008" t="str">
        <f t="shared" si="21"/>
        <v>(Dollars in cents)</v>
      </c>
      <c r="I121" s="1997">
        <f t="shared" si="11"/>
        <v>0</v>
      </c>
      <c r="J121" s="1997">
        <f t="shared" si="12"/>
        <v>0</v>
      </c>
      <c r="K121" s="1997">
        <f t="shared" si="13"/>
        <v>0</v>
      </c>
      <c r="L121" s="1997">
        <f t="shared" si="14"/>
        <v>0</v>
      </c>
      <c r="M121" s="1997">
        <f t="shared" si="15"/>
        <v>0</v>
      </c>
      <c r="N121" s="1997">
        <f t="shared" si="16"/>
        <v>0</v>
      </c>
      <c r="O121" s="1998">
        <f t="shared" si="17"/>
        <v>0</v>
      </c>
      <c r="P121" s="1997" t="str">
        <f t="shared" si="18"/>
        <v xml:space="preserve"> </v>
      </c>
      <c r="Q121" s="1997">
        <f t="shared" si="19"/>
        <v>0</v>
      </c>
      <c r="R121" s="1997">
        <f t="shared" si="20"/>
        <v>0</v>
      </c>
      <c r="T121" s="2008" t="s">
        <v>8159</v>
      </c>
      <c r="U121" s="1997"/>
      <c r="V121" s="1997"/>
      <c r="W121" s="1997"/>
      <c r="X121" s="1997"/>
      <c r="Y121" s="1997"/>
      <c r="Z121" s="1997"/>
      <c r="AA121" s="1998"/>
      <c r="AB121" s="1997" t="s">
        <v>2477</v>
      </c>
      <c r="AC121" s="1997"/>
      <c r="AD121" s="1997"/>
    </row>
    <row r="122" spans="1:30" ht="14.1" customHeight="1">
      <c r="C122" s="2009"/>
      <c r="D122" s="2009"/>
      <c r="E122" s="2009"/>
      <c r="F122" s="2009"/>
      <c r="G122" s="2009"/>
      <c r="H122" s="2009">
        <f t="shared" si="21"/>
        <v>0</v>
      </c>
      <c r="I122" s="2009">
        <f t="shared" si="11"/>
        <v>0</v>
      </c>
      <c r="J122" s="2009">
        <f t="shared" si="12"/>
        <v>0</v>
      </c>
      <c r="K122" s="2009">
        <f t="shared" si="13"/>
        <v>0</v>
      </c>
      <c r="L122" s="2009">
        <f t="shared" si="14"/>
        <v>0</v>
      </c>
      <c r="M122" s="2009">
        <f t="shared" si="15"/>
        <v>0</v>
      </c>
      <c r="N122" s="2009">
        <f t="shared" si="16"/>
        <v>0</v>
      </c>
      <c r="O122" s="2010">
        <f t="shared" si="17"/>
        <v>0</v>
      </c>
      <c r="P122" s="2009">
        <f t="shared" si="18"/>
        <v>0</v>
      </c>
      <c r="Q122" s="2009">
        <f t="shared" si="19"/>
        <v>0</v>
      </c>
      <c r="R122" s="2009">
        <f t="shared" si="20"/>
        <v>0</v>
      </c>
      <c r="T122" s="2009"/>
      <c r="U122" s="2009"/>
      <c r="V122" s="2009"/>
      <c r="W122" s="2009"/>
      <c r="X122" s="2009"/>
      <c r="Y122" s="2009"/>
      <c r="Z122" s="2009"/>
      <c r="AA122" s="2010"/>
      <c r="AB122" s="2009"/>
      <c r="AC122" s="2009"/>
      <c r="AD122" s="2009"/>
    </row>
    <row r="123" spans="1:30" ht="14.1" customHeight="1">
      <c r="C123" s="2009" t="s">
        <v>2306</v>
      </c>
      <c r="D123" s="2009" t="s">
        <v>2307</v>
      </c>
      <c r="E123" s="2009"/>
      <c r="F123" s="2009" t="s">
        <v>2308</v>
      </c>
      <c r="G123" s="2009"/>
      <c r="H123" s="2009" t="str">
        <f t="shared" si="21"/>
        <v>(4)</v>
      </c>
      <c r="I123" s="2009">
        <f t="shared" si="11"/>
        <v>0</v>
      </c>
      <c r="J123" s="1675" t="str">
        <f t="shared" si="12"/>
        <v>(5)</v>
      </c>
      <c r="K123" s="1675">
        <f t="shared" si="13"/>
        <v>0</v>
      </c>
      <c r="L123" s="2009" t="str">
        <f t="shared" si="14"/>
        <v>(6)</v>
      </c>
      <c r="M123" s="2009">
        <f t="shared" si="15"/>
        <v>0</v>
      </c>
      <c r="N123" s="2009" t="str">
        <f t="shared" si="16"/>
        <v>(7)</v>
      </c>
      <c r="O123" s="2010">
        <f t="shared" si="17"/>
        <v>0</v>
      </c>
      <c r="P123" s="2009" t="str">
        <f t="shared" si="18"/>
        <v>(8)</v>
      </c>
      <c r="Q123" s="2009">
        <f t="shared" si="19"/>
        <v>0</v>
      </c>
      <c r="R123" s="2009" t="str">
        <f t="shared" si="20"/>
        <v>(9)</v>
      </c>
      <c r="T123" s="2009" t="s">
        <v>2309</v>
      </c>
      <c r="U123" s="2009"/>
      <c r="V123" s="1675" t="s">
        <v>2310</v>
      </c>
      <c r="W123" s="1675"/>
      <c r="X123" s="2009" t="s">
        <v>2311</v>
      </c>
      <c r="Y123" s="2009"/>
      <c r="Z123" s="2009" t="s">
        <v>2312</v>
      </c>
      <c r="AA123" s="2010"/>
      <c r="AB123" s="2009" t="s">
        <v>2313</v>
      </c>
      <c r="AC123" s="2009"/>
      <c r="AD123" s="2009" t="s">
        <v>2314</v>
      </c>
    </row>
    <row r="124" spans="1:30" ht="14.1" customHeight="1">
      <c r="C124" s="1675" t="s">
        <v>2429</v>
      </c>
      <c r="D124" s="1675" t="s">
        <v>2429</v>
      </c>
      <c r="F124" s="1675" t="s">
        <v>1537</v>
      </c>
      <c r="G124" s="1675"/>
      <c r="H124" s="2009" t="str">
        <f t="shared" si="21"/>
        <v>Plant</v>
      </c>
      <c r="I124" s="1675">
        <f t="shared" si="11"/>
        <v>0</v>
      </c>
      <c r="J124" s="2009" t="str">
        <f t="shared" si="12"/>
        <v>Total</v>
      </c>
      <c r="K124" s="1675">
        <f t="shared" si="13"/>
        <v>0</v>
      </c>
      <c r="L124" s="1675" t="str">
        <f t="shared" si="14"/>
        <v>Total</v>
      </c>
      <c r="M124" s="1675">
        <f t="shared" si="15"/>
        <v>0</v>
      </c>
      <c r="N124" s="1674">
        <f t="shared" si="16"/>
        <v>0</v>
      </c>
      <c r="O124" s="2001">
        <f t="shared" si="17"/>
        <v>0</v>
      </c>
      <c r="P124" s="1675" t="str">
        <f t="shared" si="18"/>
        <v>Plant</v>
      </c>
      <c r="Q124" s="1674">
        <f t="shared" si="19"/>
        <v>0</v>
      </c>
      <c r="R124" s="1675">
        <f t="shared" si="20"/>
        <v>0</v>
      </c>
      <c r="T124" s="2009" t="s">
        <v>1823</v>
      </c>
      <c r="U124" s="1675"/>
      <c r="V124" s="2009" t="s">
        <v>122</v>
      </c>
      <c r="W124" s="1675"/>
      <c r="X124" s="1675" t="s">
        <v>122</v>
      </c>
      <c r="Y124" s="1675"/>
      <c r="AA124" s="2001"/>
      <c r="AB124" s="1675" t="s">
        <v>1823</v>
      </c>
      <c r="AD124" s="1675"/>
    </row>
    <row r="125" spans="1:30" ht="14.1" customHeight="1">
      <c r="A125" s="1675" t="s">
        <v>2430</v>
      </c>
      <c r="B125" s="1675"/>
      <c r="C125" s="1675" t="s">
        <v>2431</v>
      </c>
      <c r="D125" s="1675" t="s">
        <v>2431</v>
      </c>
      <c r="E125" s="2009"/>
      <c r="F125" s="1675" t="s">
        <v>2432</v>
      </c>
      <c r="G125" s="1675"/>
      <c r="H125" s="1675" t="str">
        <f t="shared" si="21"/>
        <v>Balance</v>
      </c>
      <c r="I125" s="1675">
        <f t="shared" si="11"/>
        <v>0</v>
      </c>
      <c r="J125" s="1675" t="str">
        <f t="shared" si="12"/>
        <v>Plant</v>
      </c>
      <c r="K125" s="2009">
        <f t="shared" si="13"/>
        <v>0</v>
      </c>
      <c r="L125" s="1675" t="str">
        <f t="shared" si="14"/>
        <v>Plant</v>
      </c>
      <c r="M125" s="2005">
        <f t="shared" si="15"/>
        <v>0</v>
      </c>
      <c r="N125" s="1675" t="str">
        <f t="shared" si="16"/>
        <v>Adjustments</v>
      </c>
      <c r="O125" s="2010">
        <f t="shared" si="17"/>
        <v>0</v>
      </c>
      <c r="P125" s="2009" t="str">
        <f t="shared" si="18"/>
        <v>Balance</v>
      </c>
      <c r="Q125" s="2009">
        <f t="shared" si="19"/>
        <v>0</v>
      </c>
      <c r="R125" s="1675" t="str">
        <f t="shared" si="20"/>
        <v>13-Month</v>
      </c>
      <c r="T125" s="1675" t="s">
        <v>2433</v>
      </c>
      <c r="U125" s="1675"/>
      <c r="V125" s="1675" t="s">
        <v>1823</v>
      </c>
      <c r="W125" s="2009"/>
      <c r="X125" s="1675" t="s">
        <v>1823</v>
      </c>
      <c r="Y125" s="2005"/>
      <c r="Z125" s="1675" t="s">
        <v>593</v>
      </c>
      <c r="AA125" s="2010"/>
      <c r="AB125" s="2009" t="s">
        <v>2433</v>
      </c>
      <c r="AC125" s="2009"/>
      <c r="AD125" s="1675" t="s">
        <v>2434</v>
      </c>
    </row>
    <row r="126" spans="1:30" ht="14.1" customHeight="1" thickBot="1">
      <c r="A126" s="2008" t="s">
        <v>2435</v>
      </c>
      <c r="B126" s="2008"/>
      <c r="C126" s="2008" t="s">
        <v>2436</v>
      </c>
      <c r="D126" s="2008" t="s">
        <v>2437</v>
      </c>
      <c r="E126" s="2008"/>
      <c r="F126" s="2011" t="s">
        <v>2438</v>
      </c>
      <c r="G126" s="2011"/>
      <c r="H126" s="2011" t="str">
        <f t="shared" si="21"/>
        <v>Beg. of Year</v>
      </c>
      <c r="I126" s="2012">
        <f t="shared" si="11"/>
        <v>0</v>
      </c>
      <c r="J126" s="2011" t="str">
        <f t="shared" si="12"/>
        <v>Added</v>
      </c>
      <c r="K126" s="2012">
        <f t="shared" si="13"/>
        <v>0</v>
      </c>
      <c r="L126" s="2012" t="str">
        <f t="shared" si="14"/>
        <v>Retired</v>
      </c>
      <c r="M126" s="2013">
        <f t="shared" si="15"/>
        <v>0</v>
      </c>
      <c r="N126" s="2013" t="str">
        <f t="shared" si="16"/>
        <v>or Transfers</v>
      </c>
      <c r="O126" s="2014">
        <f t="shared" si="17"/>
        <v>0</v>
      </c>
      <c r="P126" s="2013" t="str">
        <f t="shared" si="18"/>
        <v>End of Year</v>
      </c>
      <c r="Q126" s="2013">
        <f t="shared" si="19"/>
        <v>0</v>
      </c>
      <c r="R126" s="2013" t="str">
        <f t="shared" si="20"/>
        <v>Average</v>
      </c>
      <c r="T126" s="2011" t="s">
        <v>2439</v>
      </c>
      <c r="U126" s="2012"/>
      <c r="V126" s="2011" t="s">
        <v>2440</v>
      </c>
      <c r="W126" s="2012"/>
      <c r="X126" s="2012" t="s">
        <v>2441</v>
      </c>
      <c r="Y126" s="2013"/>
      <c r="Z126" s="2013" t="s">
        <v>2442</v>
      </c>
      <c r="AA126" s="2014"/>
      <c r="AB126" s="2013" t="s">
        <v>2443</v>
      </c>
      <c r="AC126" s="2013"/>
      <c r="AD126" s="2013" t="s">
        <v>2444</v>
      </c>
    </row>
    <row r="127" spans="1:30" ht="14.1" customHeight="1">
      <c r="A127" s="1675">
        <v>1</v>
      </c>
      <c r="B127" s="1675"/>
      <c r="H127" s="1674">
        <f t="shared" si="21"/>
        <v>0</v>
      </c>
      <c r="I127" s="1674">
        <f t="shared" si="11"/>
        <v>0</v>
      </c>
      <c r="J127" s="1674">
        <f t="shared" si="12"/>
        <v>0</v>
      </c>
      <c r="K127" s="1674">
        <f t="shared" si="13"/>
        <v>0</v>
      </c>
      <c r="L127" s="1674">
        <f t="shared" si="14"/>
        <v>0</v>
      </c>
      <c r="M127" s="1674">
        <f t="shared" si="15"/>
        <v>0</v>
      </c>
      <c r="N127" s="1674">
        <f t="shared" si="16"/>
        <v>0</v>
      </c>
      <c r="O127" s="2001">
        <f t="shared" si="17"/>
        <v>0</v>
      </c>
      <c r="P127" s="1674">
        <f t="shared" si="18"/>
        <v>0</v>
      </c>
      <c r="Q127" s="1674">
        <f t="shared" si="19"/>
        <v>0</v>
      </c>
      <c r="R127" s="1674">
        <f t="shared" si="20"/>
        <v>0</v>
      </c>
      <c r="AA127" s="2001"/>
    </row>
    <row r="128" spans="1:30" ht="14.1" customHeight="1">
      <c r="A128" s="1675">
        <v>2</v>
      </c>
      <c r="B128" s="2015"/>
      <c r="C128" s="1675">
        <v>31247</v>
      </c>
      <c r="D128" s="1674" t="s">
        <v>2489</v>
      </c>
      <c r="F128" s="2019">
        <v>20</v>
      </c>
      <c r="G128" s="2001"/>
      <c r="H128" s="1876">
        <f t="shared" si="21"/>
        <v>10156.523809999999</v>
      </c>
      <c r="I128" s="1785">
        <f t="shared" si="11"/>
        <v>0</v>
      </c>
      <c r="J128" s="1876">
        <f t="shared" si="12"/>
        <v>0</v>
      </c>
      <c r="K128" s="1786">
        <f t="shared" si="13"/>
        <v>0</v>
      </c>
      <c r="L128" s="1876">
        <f t="shared" si="14"/>
        <v>0</v>
      </c>
      <c r="M128" s="1786">
        <f t="shared" si="15"/>
        <v>0</v>
      </c>
      <c r="N128" s="1876">
        <f t="shared" si="16"/>
        <v>0</v>
      </c>
      <c r="O128" s="1785">
        <f t="shared" si="17"/>
        <v>0</v>
      </c>
      <c r="P128" s="1787">
        <f t="shared" si="18"/>
        <v>10156.523809999999</v>
      </c>
      <c r="Q128" s="1786">
        <f t="shared" si="19"/>
        <v>0</v>
      </c>
      <c r="R128" s="1876">
        <f t="shared" si="20"/>
        <v>10156.523810000001</v>
      </c>
      <c r="T128" s="1876">
        <v>10156523.809999999</v>
      </c>
      <c r="U128" s="1785"/>
      <c r="V128" s="1876">
        <v>0</v>
      </c>
      <c r="W128" s="1786"/>
      <c r="X128" s="1876">
        <v>0</v>
      </c>
      <c r="Y128" s="1786"/>
      <c r="Z128" s="1876">
        <v>0</v>
      </c>
      <c r="AA128" s="1785"/>
      <c r="AB128" s="1787">
        <v>10156523.809999999</v>
      </c>
      <c r="AC128" s="1786"/>
      <c r="AD128" s="1876">
        <v>10156523.810000001</v>
      </c>
    </row>
    <row r="129" spans="1:30" ht="14.1" customHeight="1">
      <c r="A129" s="1675">
        <v>3</v>
      </c>
      <c r="B129" s="2015"/>
      <c r="C129" s="2009">
        <v>31647</v>
      </c>
      <c r="D129" s="1674" t="s">
        <v>8161</v>
      </c>
      <c r="F129" s="2019">
        <v>14.3</v>
      </c>
      <c r="G129" s="2001"/>
      <c r="H129" s="1876">
        <f t="shared" si="21"/>
        <v>765.49425000000019</v>
      </c>
      <c r="I129" s="1785">
        <f t="shared" si="11"/>
        <v>0</v>
      </c>
      <c r="J129" s="1876">
        <f t="shared" si="12"/>
        <v>0</v>
      </c>
      <c r="K129" s="1786">
        <f t="shared" si="13"/>
        <v>0</v>
      </c>
      <c r="L129" s="1876">
        <f t="shared" si="14"/>
        <v>-37.591320000000003</v>
      </c>
      <c r="M129" s="1786">
        <f t="shared" si="15"/>
        <v>0</v>
      </c>
      <c r="N129" s="1876">
        <f t="shared" si="16"/>
        <v>0</v>
      </c>
      <c r="O129" s="1785">
        <f t="shared" si="17"/>
        <v>0</v>
      </c>
      <c r="P129" s="1787">
        <f t="shared" si="18"/>
        <v>727.90293000000031</v>
      </c>
      <c r="Q129" s="1786">
        <f t="shared" si="19"/>
        <v>0</v>
      </c>
      <c r="R129" s="1876">
        <f t="shared" si="20"/>
        <v>736.13936999999999</v>
      </c>
      <c r="T129" s="1876">
        <v>765494.25000000023</v>
      </c>
      <c r="U129" s="1785"/>
      <c r="V129" s="1876">
        <v>0</v>
      </c>
      <c r="W129" s="1786"/>
      <c r="X129" s="1876">
        <v>-37591.32</v>
      </c>
      <c r="Y129" s="1786"/>
      <c r="Z129" s="1876">
        <v>0</v>
      </c>
      <c r="AA129" s="1785"/>
      <c r="AB129" s="1787">
        <v>727902.93000000028</v>
      </c>
      <c r="AC129" s="1786"/>
      <c r="AD129" s="1876">
        <v>736139.37</v>
      </c>
    </row>
    <row r="130" spans="1:30" ht="14.1" customHeight="1">
      <c r="A130" s="1675">
        <v>4</v>
      </c>
      <c r="B130" s="2015"/>
      <c r="C130" s="1675"/>
      <c r="F130" s="2019"/>
      <c r="H130" s="1793">
        <f t="shared" si="21"/>
        <v>0</v>
      </c>
      <c r="I130" s="1790">
        <f t="shared" si="11"/>
        <v>0</v>
      </c>
      <c r="J130" s="1793">
        <f t="shared" si="12"/>
        <v>0</v>
      </c>
      <c r="K130" s="1790">
        <f t="shared" si="13"/>
        <v>0</v>
      </c>
      <c r="L130" s="1793">
        <f t="shared" si="14"/>
        <v>0</v>
      </c>
      <c r="M130" s="1790">
        <f t="shared" si="15"/>
        <v>0</v>
      </c>
      <c r="N130" s="1793">
        <f t="shared" si="16"/>
        <v>0</v>
      </c>
      <c r="O130" s="1790">
        <f t="shared" si="17"/>
        <v>0</v>
      </c>
      <c r="P130" s="1793">
        <f t="shared" si="18"/>
        <v>0</v>
      </c>
      <c r="Q130" s="1790">
        <f t="shared" si="19"/>
        <v>0</v>
      </c>
      <c r="R130" s="1793">
        <f t="shared" si="20"/>
        <v>0</v>
      </c>
      <c r="T130" s="1793"/>
      <c r="U130" s="1790"/>
      <c r="V130" s="1793"/>
      <c r="W130" s="1790"/>
      <c r="X130" s="1793"/>
      <c r="Y130" s="1790"/>
      <c r="Z130" s="1793"/>
      <c r="AA130" s="1790"/>
      <c r="AB130" s="1793"/>
      <c r="AC130" s="1790"/>
      <c r="AD130" s="1793"/>
    </row>
    <row r="131" spans="1:30" ht="14.1" customHeight="1" thickBot="1">
      <c r="A131" s="1675">
        <v>5</v>
      </c>
      <c r="B131" s="2015"/>
      <c r="C131" s="1675"/>
      <c r="D131" s="2002" t="s">
        <v>2490</v>
      </c>
      <c r="F131" s="2019"/>
      <c r="G131" s="2001"/>
      <c r="H131" s="1870">
        <f t="shared" si="21"/>
        <v>1470824.9526399998</v>
      </c>
      <c r="I131" s="1790">
        <f t="shared" si="11"/>
        <v>0</v>
      </c>
      <c r="J131" s="1870">
        <f t="shared" si="12"/>
        <v>18434.255680000002</v>
      </c>
      <c r="K131" s="1790">
        <f t="shared" si="13"/>
        <v>0</v>
      </c>
      <c r="L131" s="1870">
        <f t="shared" si="14"/>
        <v>-3724.4423800000004</v>
      </c>
      <c r="M131" s="1790">
        <f t="shared" si="15"/>
        <v>0</v>
      </c>
      <c r="N131" s="1870">
        <f t="shared" si="16"/>
        <v>0</v>
      </c>
      <c r="O131" s="1790">
        <f t="shared" si="17"/>
        <v>0</v>
      </c>
      <c r="P131" s="1870">
        <f t="shared" si="18"/>
        <v>1485534.7659399996</v>
      </c>
      <c r="Q131" s="1790">
        <f t="shared" si="19"/>
        <v>0</v>
      </c>
      <c r="R131" s="1870">
        <f t="shared" si="20"/>
        <v>1476690.8798599998</v>
      </c>
      <c r="T131" s="1870">
        <v>1470824952.6399999</v>
      </c>
      <c r="U131" s="1790"/>
      <c r="V131" s="1870">
        <v>18434255.680000003</v>
      </c>
      <c r="W131" s="1790"/>
      <c r="X131" s="1870">
        <v>-3724442.3800000004</v>
      </c>
      <c r="Y131" s="1790"/>
      <c r="Z131" s="1870">
        <v>0</v>
      </c>
      <c r="AA131" s="1790"/>
      <c r="AB131" s="1870">
        <v>1485534765.9399996</v>
      </c>
      <c r="AC131" s="1790"/>
      <c r="AD131" s="1870">
        <v>1476690879.8599997</v>
      </c>
    </row>
    <row r="132" spans="1:30" ht="14.1" customHeight="1" thickTop="1">
      <c r="A132" s="1675">
        <v>6</v>
      </c>
      <c r="B132" s="2015"/>
      <c r="C132" s="1675"/>
      <c r="F132" s="2027"/>
      <c r="G132" s="2001"/>
      <c r="H132" s="1782">
        <f t="shared" si="21"/>
        <v>0</v>
      </c>
      <c r="I132" s="1790">
        <f t="shared" si="11"/>
        <v>0</v>
      </c>
      <c r="J132" s="1782">
        <f t="shared" si="12"/>
        <v>0</v>
      </c>
      <c r="K132" s="1790">
        <f t="shared" si="13"/>
        <v>0</v>
      </c>
      <c r="L132" s="1782">
        <f t="shared" si="14"/>
        <v>0</v>
      </c>
      <c r="M132" s="1790">
        <f t="shared" si="15"/>
        <v>0</v>
      </c>
      <c r="N132" s="1782">
        <f t="shared" si="16"/>
        <v>0</v>
      </c>
      <c r="O132" s="1790">
        <f t="shared" si="17"/>
        <v>0</v>
      </c>
      <c r="P132" s="1782">
        <f t="shared" si="18"/>
        <v>0</v>
      </c>
      <c r="Q132" s="1790">
        <f t="shared" si="19"/>
        <v>0</v>
      </c>
      <c r="R132" s="1782">
        <f t="shared" si="20"/>
        <v>0</v>
      </c>
      <c r="T132" s="1782"/>
      <c r="U132" s="1790"/>
      <c r="V132" s="1782"/>
      <c r="W132" s="1790"/>
      <c r="X132" s="1782"/>
      <c r="Y132" s="1790"/>
      <c r="Z132" s="1782"/>
      <c r="AA132" s="1790"/>
      <c r="AB132" s="1782"/>
      <c r="AC132" s="1790"/>
      <c r="AD132" s="1782"/>
    </row>
    <row r="133" spans="1:30" ht="14.1" customHeight="1" thickBot="1">
      <c r="A133" s="1675">
        <v>7</v>
      </c>
      <c r="B133" s="1675"/>
      <c r="C133" s="1675"/>
      <c r="D133" s="1674" t="s">
        <v>2447</v>
      </c>
      <c r="F133" s="2027"/>
      <c r="G133" s="2001"/>
      <c r="H133" s="1870">
        <f t="shared" si="21"/>
        <v>1470824.9526399998</v>
      </c>
      <c r="I133" s="1790">
        <f t="shared" si="11"/>
        <v>0</v>
      </c>
      <c r="J133" s="1870">
        <f t="shared" si="12"/>
        <v>18434.255680000002</v>
      </c>
      <c r="K133" s="1790">
        <f t="shared" si="13"/>
        <v>0</v>
      </c>
      <c r="L133" s="1870">
        <f t="shared" si="14"/>
        <v>-3724.4423800000004</v>
      </c>
      <c r="M133" s="1790">
        <f t="shared" si="15"/>
        <v>0</v>
      </c>
      <c r="N133" s="1870">
        <f t="shared" si="16"/>
        <v>0</v>
      </c>
      <c r="O133" s="1790">
        <f t="shared" si="17"/>
        <v>0</v>
      </c>
      <c r="P133" s="1870">
        <f t="shared" si="18"/>
        <v>1485534.7659399996</v>
      </c>
      <c r="Q133" s="1790">
        <f t="shared" si="19"/>
        <v>0</v>
      </c>
      <c r="R133" s="1870">
        <f t="shared" si="20"/>
        <v>1476690.8798599998</v>
      </c>
      <c r="T133" s="1870">
        <v>1470824952.6399999</v>
      </c>
      <c r="U133" s="1790"/>
      <c r="V133" s="1870">
        <v>18434255.680000003</v>
      </c>
      <c r="W133" s="1790"/>
      <c r="X133" s="1870">
        <v>-3724442.3800000004</v>
      </c>
      <c r="Y133" s="1790"/>
      <c r="Z133" s="1870">
        <v>0</v>
      </c>
      <c r="AA133" s="1790"/>
      <c r="AB133" s="1870">
        <v>1485534765.9399996</v>
      </c>
      <c r="AC133" s="1790"/>
      <c r="AD133" s="1870">
        <v>1476690879.8599997</v>
      </c>
    </row>
    <row r="134" spans="1:30" ht="14.1" customHeight="1" thickTop="1">
      <c r="A134" s="1675">
        <v>8</v>
      </c>
      <c r="B134" s="1675"/>
      <c r="F134" s="2020"/>
      <c r="H134" s="1674">
        <f t="shared" si="21"/>
        <v>0</v>
      </c>
      <c r="I134" s="1674">
        <f t="shared" si="11"/>
        <v>0</v>
      </c>
      <c r="J134" s="1674">
        <f t="shared" si="12"/>
        <v>0</v>
      </c>
      <c r="K134" s="1674">
        <f t="shared" si="13"/>
        <v>0</v>
      </c>
      <c r="L134" s="1674">
        <f t="shared" si="14"/>
        <v>0</v>
      </c>
      <c r="M134" s="1674">
        <f t="shared" si="15"/>
        <v>0</v>
      </c>
      <c r="N134" s="1674">
        <f t="shared" si="16"/>
        <v>0</v>
      </c>
      <c r="O134" s="2001">
        <f t="shared" si="17"/>
        <v>0</v>
      </c>
      <c r="P134" s="1674">
        <f t="shared" si="18"/>
        <v>0</v>
      </c>
      <c r="Q134" s="1674">
        <f t="shared" si="19"/>
        <v>0</v>
      </c>
      <c r="R134" s="1674">
        <f t="shared" si="20"/>
        <v>0</v>
      </c>
      <c r="AA134" s="2001"/>
    </row>
    <row r="135" spans="1:30" ht="14.1" customHeight="1">
      <c r="A135" s="1675">
        <v>9</v>
      </c>
      <c r="B135" s="2015"/>
      <c r="D135" s="1674" t="s">
        <v>2491</v>
      </c>
      <c r="F135" s="2020"/>
      <c r="H135" s="1674">
        <f t="shared" si="21"/>
        <v>0</v>
      </c>
      <c r="I135" s="1674">
        <f t="shared" si="11"/>
        <v>0</v>
      </c>
      <c r="J135" s="1674">
        <f t="shared" si="12"/>
        <v>0</v>
      </c>
      <c r="K135" s="1674">
        <f t="shared" si="13"/>
        <v>0</v>
      </c>
      <c r="L135" s="1674">
        <f t="shared" si="14"/>
        <v>0</v>
      </c>
      <c r="M135" s="1674">
        <f t="shared" si="15"/>
        <v>0</v>
      </c>
      <c r="N135" s="1674">
        <f t="shared" si="16"/>
        <v>0</v>
      </c>
      <c r="O135" s="2001">
        <f t="shared" si="17"/>
        <v>0</v>
      </c>
      <c r="P135" s="1674">
        <f t="shared" si="18"/>
        <v>0</v>
      </c>
      <c r="Q135" s="1674">
        <f t="shared" si="19"/>
        <v>0</v>
      </c>
      <c r="R135" s="1674">
        <f t="shared" si="20"/>
        <v>0</v>
      </c>
      <c r="AA135" s="2001"/>
    </row>
    <row r="136" spans="1:30" ht="14.1" customHeight="1">
      <c r="A136" s="1675">
        <v>10</v>
      </c>
      <c r="B136" s="2015"/>
      <c r="D136" s="1674" t="s">
        <v>2446</v>
      </c>
      <c r="F136" s="2020"/>
      <c r="H136" s="1674">
        <f t="shared" si="21"/>
        <v>0</v>
      </c>
      <c r="I136" s="1674">
        <f t="shared" si="11"/>
        <v>0</v>
      </c>
      <c r="J136" s="1674">
        <f t="shared" si="12"/>
        <v>0</v>
      </c>
      <c r="K136" s="1674">
        <f t="shared" si="13"/>
        <v>0</v>
      </c>
      <c r="L136" s="1674">
        <f t="shared" si="14"/>
        <v>0</v>
      </c>
      <c r="M136" s="1674">
        <f t="shared" si="15"/>
        <v>0</v>
      </c>
      <c r="N136" s="1674">
        <f t="shared" si="16"/>
        <v>0</v>
      </c>
      <c r="O136" s="2001">
        <f t="shared" si="17"/>
        <v>0</v>
      </c>
      <c r="P136" s="1674">
        <f t="shared" si="18"/>
        <v>0</v>
      </c>
      <c r="Q136" s="1674">
        <f t="shared" si="19"/>
        <v>0</v>
      </c>
      <c r="R136" s="1674">
        <f t="shared" si="20"/>
        <v>0</v>
      </c>
      <c r="AA136" s="2001"/>
    </row>
    <row r="137" spans="1:30" ht="14.1" customHeight="1">
      <c r="A137" s="1675">
        <v>11</v>
      </c>
      <c r="B137" s="2015"/>
      <c r="D137" s="1674" t="s">
        <v>8162</v>
      </c>
      <c r="E137" s="1675"/>
      <c r="F137" s="2019"/>
      <c r="G137" s="2028"/>
      <c r="H137" s="1787">
        <f t="shared" si="21"/>
        <v>0</v>
      </c>
      <c r="I137" s="1794">
        <f t="shared" si="11"/>
        <v>0</v>
      </c>
      <c r="J137" s="1787">
        <f t="shared" si="12"/>
        <v>0</v>
      </c>
      <c r="K137" s="1794">
        <f t="shared" si="13"/>
        <v>0</v>
      </c>
      <c r="L137" s="1794">
        <f t="shared" si="14"/>
        <v>0</v>
      </c>
      <c r="M137" s="1794">
        <f t="shared" si="15"/>
        <v>0</v>
      </c>
      <c r="N137" s="1794">
        <f t="shared" si="16"/>
        <v>0</v>
      </c>
      <c r="O137" s="1795">
        <f t="shared" si="17"/>
        <v>0</v>
      </c>
      <c r="P137" s="1794">
        <f t="shared" si="18"/>
        <v>0</v>
      </c>
      <c r="Q137" s="1794">
        <f t="shared" si="19"/>
        <v>0</v>
      </c>
      <c r="R137" s="1794">
        <f t="shared" si="20"/>
        <v>0</v>
      </c>
      <c r="T137" s="1787"/>
      <c r="U137" s="1794"/>
      <c r="V137" s="1787"/>
      <c r="W137" s="1794"/>
      <c r="X137" s="1794"/>
      <c r="Y137" s="1794"/>
      <c r="Z137" s="1794"/>
      <c r="AA137" s="1795"/>
      <c r="AB137" s="1794"/>
      <c r="AC137" s="1794"/>
      <c r="AD137" s="1794"/>
    </row>
    <row r="138" spans="1:30" ht="14.1" customHeight="1">
      <c r="A138" s="1675">
        <v>12</v>
      </c>
      <c r="B138" s="2015"/>
      <c r="C138" s="2009">
        <v>34144</v>
      </c>
      <c r="D138" s="1674" t="s">
        <v>2449</v>
      </c>
      <c r="E138" s="1675"/>
      <c r="F138" s="2019">
        <v>3.38</v>
      </c>
      <c r="G138" s="2001"/>
      <c r="H138" s="1876">
        <f t="shared" si="21"/>
        <v>3335.8825499999998</v>
      </c>
      <c r="I138" s="1785">
        <f t="shared" si="11"/>
        <v>0</v>
      </c>
      <c r="J138" s="1876">
        <f t="shared" si="12"/>
        <v>0</v>
      </c>
      <c r="K138" s="1786">
        <f t="shared" si="13"/>
        <v>0</v>
      </c>
      <c r="L138" s="1876">
        <f t="shared" si="14"/>
        <v>0</v>
      </c>
      <c r="M138" s="1786">
        <f t="shared" si="15"/>
        <v>0</v>
      </c>
      <c r="N138" s="1876">
        <f t="shared" si="16"/>
        <v>0</v>
      </c>
      <c r="O138" s="1785">
        <f t="shared" si="17"/>
        <v>0</v>
      </c>
      <c r="P138" s="1787">
        <f t="shared" si="18"/>
        <v>3335.8825499999998</v>
      </c>
      <c r="Q138" s="1786">
        <f t="shared" si="19"/>
        <v>0</v>
      </c>
      <c r="R138" s="1876">
        <f t="shared" si="20"/>
        <v>3335.8825499999998</v>
      </c>
      <c r="T138" s="1876">
        <v>3335882.55</v>
      </c>
      <c r="U138" s="1785"/>
      <c r="V138" s="1876">
        <v>0</v>
      </c>
      <c r="W138" s="1786"/>
      <c r="X138" s="1876">
        <v>0</v>
      </c>
      <c r="Y138" s="1786"/>
      <c r="Z138" s="1876">
        <v>0</v>
      </c>
      <c r="AA138" s="1785"/>
      <c r="AB138" s="1787">
        <v>3335882.55</v>
      </c>
      <c r="AC138" s="1786"/>
      <c r="AD138" s="1876">
        <v>3335882.55</v>
      </c>
    </row>
    <row r="139" spans="1:30" ht="14.1" customHeight="1">
      <c r="A139" s="1675">
        <v>13</v>
      </c>
      <c r="B139" s="2015"/>
      <c r="C139" s="2009">
        <v>34244</v>
      </c>
      <c r="D139" s="1674" t="s">
        <v>2495</v>
      </c>
      <c r="E139" s="1675"/>
      <c r="F139" s="2019">
        <v>4.45</v>
      </c>
      <c r="G139" s="2001"/>
      <c r="H139" s="1876">
        <f t="shared" si="21"/>
        <v>3722.7413250000009</v>
      </c>
      <c r="I139" s="1785">
        <f t="shared" si="11"/>
        <v>0</v>
      </c>
      <c r="J139" s="1876">
        <f t="shared" si="12"/>
        <v>0</v>
      </c>
      <c r="K139" s="1786">
        <f t="shared" si="13"/>
        <v>0</v>
      </c>
      <c r="L139" s="1876">
        <f t="shared" si="14"/>
        <v>0</v>
      </c>
      <c r="M139" s="1786">
        <f t="shared" si="15"/>
        <v>0</v>
      </c>
      <c r="N139" s="1876">
        <f t="shared" si="16"/>
        <v>0</v>
      </c>
      <c r="O139" s="1785">
        <f t="shared" si="17"/>
        <v>0</v>
      </c>
      <c r="P139" s="1787">
        <f t="shared" si="18"/>
        <v>3722.7413250000009</v>
      </c>
      <c r="Q139" s="1786">
        <f t="shared" si="19"/>
        <v>0</v>
      </c>
      <c r="R139" s="1876">
        <f t="shared" si="20"/>
        <v>3722.7413300000003</v>
      </c>
      <c r="T139" s="1876">
        <v>3722741.3250000007</v>
      </c>
      <c r="U139" s="1785"/>
      <c r="V139" s="1876">
        <v>0</v>
      </c>
      <c r="W139" s="1786"/>
      <c r="X139" s="1876">
        <v>0</v>
      </c>
      <c r="Y139" s="1786"/>
      <c r="Z139" s="1876">
        <v>0</v>
      </c>
      <c r="AA139" s="1785"/>
      <c r="AB139" s="1787">
        <v>3722741.3250000007</v>
      </c>
      <c r="AC139" s="1786"/>
      <c r="AD139" s="1876">
        <v>3722741.33</v>
      </c>
    </row>
    <row r="140" spans="1:30" ht="14.1" customHeight="1">
      <c r="A140" s="1675">
        <v>14</v>
      </c>
      <c r="B140" s="2015"/>
      <c r="C140" s="2009">
        <v>34344</v>
      </c>
      <c r="D140" s="1674" t="s">
        <v>2496</v>
      </c>
      <c r="E140" s="1675"/>
      <c r="F140" s="2019">
        <v>2.72</v>
      </c>
      <c r="G140" s="2001"/>
      <c r="H140" s="1876">
        <f t="shared" si="21"/>
        <v>21710.268795000004</v>
      </c>
      <c r="I140" s="1785">
        <f t="shared" si="11"/>
        <v>0</v>
      </c>
      <c r="J140" s="1876">
        <f t="shared" si="12"/>
        <v>0</v>
      </c>
      <c r="K140" s="1786">
        <f t="shared" si="13"/>
        <v>0</v>
      </c>
      <c r="L140" s="1876">
        <f t="shared" si="14"/>
        <v>0</v>
      </c>
      <c r="M140" s="1786">
        <f t="shared" si="15"/>
        <v>0</v>
      </c>
      <c r="N140" s="1876">
        <f t="shared" si="16"/>
        <v>0</v>
      </c>
      <c r="O140" s="1785">
        <f t="shared" si="17"/>
        <v>0</v>
      </c>
      <c r="P140" s="1787">
        <f t="shared" si="18"/>
        <v>21710.268795000004</v>
      </c>
      <c r="Q140" s="1786">
        <f t="shared" si="19"/>
        <v>0</v>
      </c>
      <c r="R140" s="1876">
        <f t="shared" si="20"/>
        <v>21710.268800000002</v>
      </c>
      <c r="T140" s="1876">
        <v>21710268.795000002</v>
      </c>
      <c r="U140" s="1785"/>
      <c r="V140" s="1876">
        <v>0</v>
      </c>
      <c r="W140" s="1786"/>
      <c r="X140" s="1876">
        <v>0</v>
      </c>
      <c r="Y140" s="1786"/>
      <c r="Z140" s="1876">
        <v>0</v>
      </c>
      <c r="AA140" s="1785"/>
      <c r="AB140" s="1787">
        <v>21710268.795000002</v>
      </c>
      <c r="AC140" s="1786"/>
      <c r="AD140" s="1876">
        <v>21710268.800000001</v>
      </c>
    </row>
    <row r="141" spans="1:30" ht="14.1" customHeight="1">
      <c r="A141" s="1675">
        <v>15</v>
      </c>
      <c r="B141" s="2015"/>
      <c r="C141" s="2009">
        <v>34544</v>
      </c>
      <c r="D141" s="1674" t="s">
        <v>2454</v>
      </c>
      <c r="E141" s="1675"/>
      <c r="F141" s="2019">
        <v>2.42</v>
      </c>
      <c r="G141" s="2001"/>
      <c r="H141" s="1876">
        <f t="shared" si="21"/>
        <v>16328.713470000001</v>
      </c>
      <c r="I141" s="1785">
        <f t="shared" si="11"/>
        <v>0</v>
      </c>
      <c r="J141" s="1876">
        <f t="shared" si="12"/>
        <v>0</v>
      </c>
      <c r="K141" s="1786">
        <f t="shared" si="13"/>
        <v>0</v>
      </c>
      <c r="L141" s="1876">
        <f t="shared" si="14"/>
        <v>0</v>
      </c>
      <c r="M141" s="1786">
        <f t="shared" si="15"/>
        <v>0</v>
      </c>
      <c r="N141" s="1876">
        <f t="shared" si="16"/>
        <v>0</v>
      </c>
      <c r="O141" s="1785">
        <f t="shared" si="17"/>
        <v>0</v>
      </c>
      <c r="P141" s="1787">
        <f t="shared" si="18"/>
        <v>16328.713470000001</v>
      </c>
      <c r="Q141" s="1786">
        <f t="shared" si="19"/>
        <v>0</v>
      </c>
      <c r="R141" s="1876">
        <f t="shared" si="20"/>
        <v>16328.713470000001</v>
      </c>
      <c r="T141" s="1876">
        <v>16328713.470000001</v>
      </c>
      <c r="U141" s="1785"/>
      <c r="V141" s="1876">
        <v>0</v>
      </c>
      <c r="W141" s="1786"/>
      <c r="X141" s="1876">
        <v>0</v>
      </c>
      <c r="Y141" s="1786"/>
      <c r="Z141" s="1876">
        <v>0</v>
      </c>
      <c r="AA141" s="1785"/>
      <c r="AB141" s="1787">
        <v>16328713.470000001</v>
      </c>
      <c r="AC141" s="1786"/>
      <c r="AD141" s="1876">
        <v>16328713.470000001</v>
      </c>
    </row>
    <row r="142" spans="1:30" ht="14.1" customHeight="1">
      <c r="A142" s="1675">
        <v>16</v>
      </c>
      <c r="B142" s="2015"/>
      <c r="C142" s="2009">
        <v>34644</v>
      </c>
      <c r="D142" s="1674" t="s">
        <v>2455</v>
      </c>
      <c r="F142" s="2019">
        <v>3.1300000000000003</v>
      </c>
      <c r="G142" s="2001"/>
      <c r="H142" s="1876">
        <f t="shared" si="21"/>
        <v>510.66471000000001</v>
      </c>
      <c r="I142" s="1785">
        <f t="shared" si="11"/>
        <v>0</v>
      </c>
      <c r="J142" s="1876">
        <f t="shared" si="12"/>
        <v>0</v>
      </c>
      <c r="K142" s="1786">
        <f t="shared" si="13"/>
        <v>0</v>
      </c>
      <c r="L142" s="1876">
        <f t="shared" si="14"/>
        <v>0</v>
      </c>
      <c r="M142" s="1786">
        <f t="shared" si="15"/>
        <v>0</v>
      </c>
      <c r="N142" s="1876">
        <f t="shared" si="16"/>
        <v>0</v>
      </c>
      <c r="O142" s="1785">
        <f t="shared" si="17"/>
        <v>0</v>
      </c>
      <c r="P142" s="1787">
        <f t="shared" si="18"/>
        <v>510.66471000000001</v>
      </c>
      <c r="Q142" s="1786">
        <f t="shared" si="19"/>
        <v>0</v>
      </c>
      <c r="R142" s="1876">
        <f t="shared" si="20"/>
        <v>510.66471000000001</v>
      </c>
      <c r="T142" s="1876">
        <v>510664.71</v>
      </c>
      <c r="U142" s="1785"/>
      <c r="V142" s="1876">
        <v>0</v>
      </c>
      <c r="W142" s="1786"/>
      <c r="X142" s="1876">
        <v>0</v>
      </c>
      <c r="Y142" s="1786"/>
      <c r="Z142" s="1876">
        <v>0</v>
      </c>
      <c r="AA142" s="1785"/>
      <c r="AB142" s="1787">
        <v>510664.71</v>
      </c>
      <c r="AC142" s="1786"/>
      <c r="AD142" s="1876">
        <v>510664.71</v>
      </c>
    </row>
    <row r="143" spans="1:30" ht="14.1" customHeight="1">
      <c r="A143" s="1675">
        <v>17</v>
      </c>
      <c r="B143" s="2015"/>
      <c r="C143" s="2009"/>
      <c r="D143" s="2002" t="s">
        <v>8163</v>
      </c>
      <c r="E143" s="1675"/>
      <c r="F143" s="2019"/>
      <c r="H143" s="1788">
        <f t="shared" si="21"/>
        <v>45608.270850000001</v>
      </c>
      <c r="I143" s="1783">
        <f t="shared" si="11"/>
        <v>0</v>
      </c>
      <c r="J143" s="1788">
        <f t="shared" si="12"/>
        <v>0</v>
      </c>
      <c r="K143" s="1783">
        <f t="shared" si="13"/>
        <v>0</v>
      </c>
      <c r="L143" s="1788">
        <f t="shared" si="14"/>
        <v>0</v>
      </c>
      <c r="M143" s="1783">
        <f t="shared" si="15"/>
        <v>0</v>
      </c>
      <c r="N143" s="1788">
        <f t="shared" si="16"/>
        <v>0</v>
      </c>
      <c r="O143" s="1783">
        <f t="shared" si="17"/>
        <v>0</v>
      </c>
      <c r="P143" s="1788">
        <f t="shared" si="18"/>
        <v>45608.270850000001</v>
      </c>
      <c r="Q143" s="1783">
        <f t="shared" si="19"/>
        <v>0</v>
      </c>
      <c r="R143" s="1788">
        <f t="shared" si="20"/>
        <v>45608.270859999997</v>
      </c>
      <c r="T143" s="1788">
        <v>45608270.850000001</v>
      </c>
      <c r="U143" s="1783"/>
      <c r="V143" s="1788">
        <v>0</v>
      </c>
      <c r="W143" s="1783"/>
      <c r="X143" s="1788">
        <v>0</v>
      </c>
      <c r="Y143" s="1783"/>
      <c r="Z143" s="1788">
        <v>0</v>
      </c>
      <c r="AA143" s="1783"/>
      <c r="AB143" s="1788">
        <v>45608270.850000001</v>
      </c>
      <c r="AC143" s="1783"/>
      <c r="AD143" s="1788">
        <v>45608270.859999999</v>
      </c>
    </row>
    <row r="144" spans="1:30" ht="14.1" customHeight="1">
      <c r="A144" s="1675">
        <v>18</v>
      </c>
      <c r="B144" s="2015"/>
      <c r="F144" s="2020"/>
      <c r="H144" s="1674">
        <f t="shared" si="21"/>
        <v>0</v>
      </c>
      <c r="I144" s="1674">
        <f t="shared" si="11"/>
        <v>0</v>
      </c>
      <c r="J144" s="1674">
        <f t="shared" si="12"/>
        <v>0</v>
      </c>
      <c r="K144" s="1674">
        <f t="shared" si="13"/>
        <v>0</v>
      </c>
      <c r="L144" s="1674">
        <f t="shared" si="14"/>
        <v>0</v>
      </c>
      <c r="M144" s="1674">
        <f t="shared" si="15"/>
        <v>0</v>
      </c>
      <c r="N144" s="1674">
        <f t="shared" si="16"/>
        <v>0</v>
      </c>
      <c r="O144" s="2001">
        <f t="shared" si="17"/>
        <v>0</v>
      </c>
      <c r="P144" s="1674">
        <f t="shared" si="18"/>
        <v>0</v>
      </c>
      <c r="Q144" s="1674">
        <f t="shared" si="19"/>
        <v>0</v>
      </c>
      <c r="R144" s="1674">
        <f t="shared" si="20"/>
        <v>0</v>
      </c>
      <c r="AA144" s="2001"/>
    </row>
    <row r="145" spans="1:30" ht="14.1" customHeight="1">
      <c r="A145" s="1675">
        <v>19</v>
      </c>
      <c r="B145" s="2015"/>
      <c r="C145" s="2009"/>
      <c r="D145" s="1674" t="s">
        <v>8164</v>
      </c>
      <c r="F145" s="2020"/>
      <c r="H145" s="1674">
        <f t="shared" si="21"/>
        <v>0</v>
      </c>
      <c r="I145" s="1674">
        <f t="shared" ref="I145:I208" si="22">+IF(ISNUMBER(U145),U145/1000,U145)</f>
        <v>0</v>
      </c>
      <c r="J145" s="1674">
        <f t="shared" ref="J145:J208" si="23">+IF(ISNUMBER(V145),V145/1000,V145)</f>
        <v>0</v>
      </c>
      <c r="K145" s="1674">
        <f t="shared" ref="K145:K208" si="24">+IF(ISNUMBER(W145),W145/1000,W145)</f>
        <v>0</v>
      </c>
      <c r="L145" s="1674">
        <f t="shared" ref="L145:L208" si="25">+IF(ISNUMBER(X145),X145/1000,X145)</f>
        <v>0</v>
      </c>
      <c r="M145" s="1674">
        <f t="shared" ref="M145:M208" si="26">+IF(ISNUMBER(Y145),Y145/1000,Y145)</f>
        <v>0</v>
      </c>
      <c r="N145" s="1674">
        <f t="shared" ref="N145:N208" si="27">+IF(ISNUMBER(Z145),Z145/1000,Z145)</f>
        <v>0</v>
      </c>
      <c r="O145" s="2001">
        <f t="shared" ref="O145:O208" si="28">+IF(ISNUMBER(AA145),AA145/1000,AA145)</f>
        <v>0</v>
      </c>
      <c r="P145" s="1674">
        <f t="shared" ref="P145:P208" si="29">+IF(ISNUMBER(AB145),AB145/1000,AB145)</f>
        <v>0</v>
      </c>
      <c r="Q145" s="1674">
        <f t="shared" ref="Q145:Q208" si="30">+IF(ISNUMBER(AC145),AC145/1000,AC145)</f>
        <v>0</v>
      </c>
      <c r="R145" s="1674">
        <f t="shared" ref="R145:R208" si="31">+IF(ISNUMBER(AD145),AD145/1000,AD145)</f>
        <v>0</v>
      </c>
      <c r="AA145" s="2001"/>
    </row>
    <row r="146" spans="1:30" ht="14.1" customHeight="1">
      <c r="A146" s="1675">
        <v>20</v>
      </c>
      <c r="B146" s="2015"/>
      <c r="C146" s="2009">
        <v>34145</v>
      </c>
      <c r="D146" s="1674" t="s">
        <v>2449</v>
      </c>
      <c r="F146" s="2019">
        <v>2.2000000000000002</v>
      </c>
      <c r="G146" s="2001"/>
      <c r="H146" s="1876">
        <f t="shared" ref="H146:H209" si="32">+IF(ISNUMBER(T146),T146/1000,T146)</f>
        <v>0</v>
      </c>
      <c r="I146" s="1785">
        <f t="shared" si="22"/>
        <v>0</v>
      </c>
      <c r="J146" s="1876">
        <f t="shared" si="23"/>
        <v>0</v>
      </c>
      <c r="K146" s="1786">
        <f t="shared" si="24"/>
        <v>0</v>
      </c>
      <c r="L146" s="1876">
        <f t="shared" si="25"/>
        <v>0</v>
      </c>
      <c r="M146" s="1786">
        <f t="shared" si="26"/>
        <v>0</v>
      </c>
      <c r="N146" s="1876">
        <f t="shared" si="27"/>
        <v>0</v>
      </c>
      <c r="O146" s="1785">
        <f t="shared" si="28"/>
        <v>0</v>
      </c>
      <c r="P146" s="1787">
        <f t="shared" si="29"/>
        <v>0</v>
      </c>
      <c r="Q146" s="1786">
        <f t="shared" si="30"/>
        <v>0</v>
      </c>
      <c r="R146" s="1876">
        <f t="shared" si="31"/>
        <v>0</v>
      </c>
      <c r="T146" s="1876">
        <v>0</v>
      </c>
      <c r="U146" s="1785"/>
      <c r="V146" s="1876">
        <v>0</v>
      </c>
      <c r="W146" s="1786"/>
      <c r="X146" s="1876">
        <v>0</v>
      </c>
      <c r="Y146" s="1786"/>
      <c r="Z146" s="1876">
        <v>0</v>
      </c>
      <c r="AA146" s="1785"/>
      <c r="AB146" s="1787">
        <v>0</v>
      </c>
      <c r="AC146" s="1786"/>
      <c r="AD146" s="1876">
        <v>0</v>
      </c>
    </row>
    <row r="147" spans="1:30" ht="14.1" customHeight="1">
      <c r="A147" s="1675">
        <v>21</v>
      </c>
      <c r="B147" s="2015"/>
      <c r="C147" s="2009">
        <v>34245</v>
      </c>
      <c r="D147" s="1674" t="s">
        <v>2495</v>
      </c>
      <c r="F147" s="2019">
        <v>3.7800000000000002</v>
      </c>
      <c r="G147" s="2001"/>
      <c r="H147" s="1876">
        <f t="shared" si="32"/>
        <v>307.02813000000003</v>
      </c>
      <c r="I147" s="1785">
        <f t="shared" si="22"/>
        <v>0</v>
      </c>
      <c r="J147" s="1876">
        <f t="shared" si="23"/>
        <v>202.5</v>
      </c>
      <c r="K147" s="1786">
        <f t="shared" si="24"/>
        <v>0</v>
      </c>
      <c r="L147" s="1876">
        <f t="shared" si="25"/>
        <v>0</v>
      </c>
      <c r="M147" s="1786">
        <f t="shared" si="26"/>
        <v>0</v>
      </c>
      <c r="N147" s="1876">
        <f t="shared" si="27"/>
        <v>0</v>
      </c>
      <c r="O147" s="1785">
        <f t="shared" si="28"/>
        <v>0</v>
      </c>
      <c r="P147" s="1787">
        <f t="shared" si="29"/>
        <v>509.52813000000003</v>
      </c>
      <c r="Q147" s="1786">
        <f t="shared" si="30"/>
        <v>0</v>
      </c>
      <c r="R147" s="1876">
        <f t="shared" si="31"/>
        <v>391.83582000000001</v>
      </c>
      <c r="T147" s="1876">
        <v>307028.13</v>
      </c>
      <c r="U147" s="1785"/>
      <c r="V147" s="1876">
        <v>202500</v>
      </c>
      <c r="W147" s="1786"/>
      <c r="X147" s="1876">
        <v>0</v>
      </c>
      <c r="Y147" s="1786"/>
      <c r="Z147" s="1876">
        <v>0</v>
      </c>
      <c r="AA147" s="1785"/>
      <c r="AB147" s="1787">
        <v>509528.13</v>
      </c>
      <c r="AC147" s="1786"/>
      <c r="AD147" s="1876">
        <v>391835.82</v>
      </c>
    </row>
    <row r="148" spans="1:30" ht="14.1" customHeight="1">
      <c r="A148" s="1675">
        <v>22</v>
      </c>
      <c r="B148" s="2015"/>
      <c r="C148" s="2009">
        <v>34345</v>
      </c>
      <c r="D148" s="1674" t="s">
        <v>2496</v>
      </c>
      <c r="F148" s="2019">
        <v>3.5000000000000004</v>
      </c>
      <c r="G148" s="2001"/>
      <c r="H148" s="1876">
        <f t="shared" si="32"/>
        <v>176825.3832500001</v>
      </c>
      <c r="I148" s="1785">
        <f t="shared" si="22"/>
        <v>0</v>
      </c>
      <c r="J148" s="1876">
        <f t="shared" si="23"/>
        <v>202.5</v>
      </c>
      <c r="K148" s="1786">
        <f t="shared" si="24"/>
        <v>0</v>
      </c>
      <c r="L148" s="1876">
        <f t="shared" si="25"/>
        <v>0</v>
      </c>
      <c r="M148" s="1786">
        <f t="shared" si="26"/>
        <v>0</v>
      </c>
      <c r="N148" s="1876">
        <f t="shared" si="27"/>
        <v>0</v>
      </c>
      <c r="O148" s="1785">
        <f t="shared" si="28"/>
        <v>0</v>
      </c>
      <c r="P148" s="1787">
        <f t="shared" si="29"/>
        <v>177027.8832500001</v>
      </c>
      <c r="Q148" s="1786">
        <f t="shared" si="30"/>
        <v>0</v>
      </c>
      <c r="R148" s="1876">
        <f t="shared" si="31"/>
        <v>176910.19094</v>
      </c>
      <c r="T148" s="1876">
        <v>176825383.25000009</v>
      </c>
      <c r="U148" s="1785"/>
      <c r="V148" s="1876">
        <v>202500</v>
      </c>
      <c r="W148" s="1786"/>
      <c r="X148" s="1876">
        <v>0</v>
      </c>
      <c r="Y148" s="1786"/>
      <c r="Z148" s="1876">
        <v>0</v>
      </c>
      <c r="AA148" s="1785"/>
      <c r="AB148" s="1787">
        <v>177027883.25000009</v>
      </c>
      <c r="AC148" s="1786"/>
      <c r="AD148" s="1876">
        <v>176910190.94</v>
      </c>
    </row>
    <row r="149" spans="1:30" ht="14.1" customHeight="1">
      <c r="A149" s="1675">
        <v>23</v>
      </c>
      <c r="B149" s="2015"/>
      <c r="C149" s="2009">
        <v>34545</v>
      </c>
      <c r="D149" s="1674" t="s">
        <v>2454</v>
      </c>
      <c r="F149" s="2019">
        <v>1.8900000000000001</v>
      </c>
      <c r="G149" s="2001"/>
      <c r="H149" s="1876">
        <f t="shared" si="32"/>
        <v>58.769359999999999</v>
      </c>
      <c r="I149" s="1785">
        <f t="shared" si="22"/>
        <v>0</v>
      </c>
      <c r="J149" s="1876">
        <f t="shared" si="23"/>
        <v>0</v>
      </c>
      <c r="K149" s="1786">
        <f t="shared" si="24"/>
        <v>0</v>
      </c>
      <c r="L149" s="1876">
        <f t="shared" si="25"/>
        <v>0</v>
      </c>
      <c r="M149" s="1786">
        <f t="shared" si="26"/>
        <v>0</v>
      </c>
      <c r="N149" s="1876">
        <f t="shared" si="27"/>
        <v>0</v>
      </c>
      <c r="O149" s="1785">
        <f t="shared" si="28"/>
        <v>0</v>
      </c>
      <c r="P149" s="1787">
        <f t="shared" si="29"/>
        <v>58.769359999999999</v>
      </c>
      <c r="Q149" s="1786">
        <f t="shared" si="30"/>
        <v>0</v>
      </c>
      <c r="R149" s="1876">
        <f t="shared" si="31"/>
        <v>58.769359999999999</v>
      </c>
      <c r="T149" s="1876">
        <v>58769.36</v>
      </c>
      <c r="U149" s="1785"/>
      <c r="V149" s="1876">
        <v>0</v>
      </c>
      <c r="W149" s="1786"/>
      <c r="X149" s="1876">
        <v>0</v>
      </c>
      <c r="Y149" s="1786"/>
      <c r="Z149" s="1876">
        <v>0</v>
      </c>
      <c r="AA149" s="1785"/>
      <c r="AB149" s="1787">
        <v>58769.36</v>
      </c>
      <c r="AC149" s="1786"/>
      <c r="AD149" s="1876">
        <v>58769.36</v>
      </c>
    </row>
    <row r="150" spans="1:30" ht="14.1" customHeight="1">
      <c r="A150" s="1675">
        <v>24</v>
      </c>
      <c r="B150" s="2015"/>
      <c r="C150" s="2009">
        <v>34645</v>
      </c>
      <c r="D150" s="1674" t="s">
        <v>2455</v>
      </c>
      <c r="F150" s="2019">
        <v>2.94</v>
      </c>
      <c r="G150" s="2001"/>
      <c r="H150" s="1876">
        <f t="shared" si="32"/>
        <v>0</v>
      </c>
      <c r="I150" s="1785">
        <f t="shared" si="22"/>
        <v>0</v>
      </c>
      <c r="J150" s="1876">
        <f t="shared" si="23"/>
        <v>0</v>
      </c>
      <c r="K150" s="1786">
        <f t="shared" si="24"/>
        <v>0</v>
      </c>
      <c r="L150" s="1876">
        <f t="shared" si="25"/>
        <v>0</v>
      </c>
      <c r="M150" s="1786">
        <f t="shared" si="26"/>
        <v>0</v>
      </c>
      <c r="N150" s="1876">
        <f t="shared" si="27"/>
        <v>0</v>
      </c>
      <c r="O150" s="1785">
        <f t="shared" si="28"/>
        <v>0</v>
      </c>
      <c r="P150" s="1787">
        <f t="shared" si="29"/>
        <v>0</v>
      </c>
      <c r="Q150" s="1786">
        <f t="shared" si="30"/>
        <v>0</v>
      </c>
      <c r="R150" s="1876">
        <f t="shared" si="31"/>
        <v>0</v>
      </c>
      <c r="T150" s="1876">
        <v>0</v>
      </c>
      <c r="U150" s="1785"/>
      <c r="V150" s="1876">
        <v>0</v>
      </c>
      <c r="W150" s="1786"/>
      <c r="X150" s="1876">
        <v>0</v>
      </c>
      <c r="Y150" s="1786"/>
      <c r="Z150" s="1876">
        <v>0</v>
      </c>
      <c r="AA150" s="1785"/>
      <c r="AB150" s="1787">
        <v>0</v>
      </c>
      <c r="AC150" s="1786"/>
      <c r="AD150" s="1876">
        <v>0</v>
      </c>
    </row>
    <row r="151" spans="1:30" ht="14.1" customHeight="1">
      <c r="A151" s="1675">
        <v>25</v>
      </c>
      <c r="B151" s="2015"/>
      <c r="C151" s="2009"/>
      <c r="D151" s="2002" t="s">
        <v>8165</v>
      </c>
      <c r="F151" s="2020"/>
      <c r="H151" s="1788">
        <f t="shared" si="32"/>
        <v>177191.1807400001</v>
      </c>
      <c r="I151" s="1783">
        <f t="shared" si="22"/>
        <v>0</v>
      </c>
      <c r="J151" s="1788">
        <f t="shared" si="23"/>
        <v>405</v>
      </c>
      <c r="K151" s="1783">
        <f t="shared" si="24"/>
        <v>0</v>
      </c>
      <c r="L151" s="1788">
        <f t="shared" si="25"/>
        <v>0</v>
      </c>
      <c r="M151" s="1783">
        <f t="shared" si="26"/>
        <v>0</v>
      </c>
      <c r="N151" s="1788">
        <f t="shared" si="27"/>
        <v>0</v>
      </c>
      <c r="O151" s="1783">
        <f t="shared" si="28"/>
        <v>0</v>
      </c>
      <c r="P151" s="1788">
        <f t="shared" si="29"/>
        <v>177596.1807400001</v>
      </c>
      <c r="Q151" s="1783">
        <f t="shared" si="30"/>
        <v>0</v>
      </c>
      <c r="R151" s="1788">
        <f t="shared" si="31"/>
        <v>177360.79612000001</v>
      </c>
      <c r="T151" s="1788">
        <v>177191180.7400001</v>
      </c>
      <c r="U151" s="1783"/>
      <c r="V151" s="1788">
        <v>405000</v>
      </c>
      <c r="W151" s="1783"/>
      <c r="X151" s="1788">
        <v>0</v>
      </c>
      <c r="Y151" s="1783"/>
      <c r="Z151" s="1788">
        <v>0</v>
      </c>
      <c r="AA151" s="1783"/>
      <c r="AB151" s="1788">
        <v>177596180.7400001</v>
      </c>
      <c r="AC151" s="1783"/>
      <c r="AD151" s="1788">
        <v>177360796.12</v>
      </c>
    </row>
    <row r="152" spans="1:30" ht="14.1" customHeight="1">
      <c r="A152" s="1675">
        <v>26</v>
      </c>
      <c r="B152" s="2015"/>
      <c r="C152" s="1675"/>
      <c r="D152" s="1675"/>
      <c r="E152" s="1675"/>
      <c r="F152" s="2019"/>
      <c r="G152" s="2028"/>
      <c r="H152" s="1787">
        <f t="shared" si="32"/>
        <v>0</v>
      </c>
      <c r="I152" s="1783">
        <f t="shared" si="22"/>
        <v>0</v>
      </c>
      <c r="J152" s="1787">
        <f t="shared" si="23"/>
        <v>0</v>
      </c>
      <c r="K152" s="1783">
        <f t="shared" si="24"/>
        <v>0</v>
      </c>
      <c r="L152" s="1787">
        <f t="shared" si="25"/>
        <v>0</v>
      </c>
      <c r="M152" s="1783">
        <f t="shared" si="26"/>
        <v>0</v>
      </c>
      <c r="N152" s="1787">
        <f t="shared" si="27"/>
        <v>0</v>
      </c>
      <c r="O152" s="1783">
        <f t="shared" si="28"/>
        <v>0</v>
      </c>
      <c r="P152" s="1787">
        <f t="shared" si="29"/>
        <v>0</v>
      </c>
      <c r="Q152" s="1783">
        <f t="shared" si="30"/>
        <v>0</v>
      </c>
      <c r="R152" s="1787">
        <f t="shared" si="31"/>
        <v>0</v>
      </c>
      <c r="T152" s="1787"/>
      <c r="U152" s="1783"/>
      <c r="V152" s="1787"/>
      <c r="W152" s="1783"/>
      <c r="X152" s="1787"/>
      <c r="Y152" s="1783"/>
      <c r="Z152" s="1787"/>
      <c r="AA152" s="1783"/>
      <c r="AB152" s="1787"/>
      <c r="AC152" s="1783"/>
      <c r="AD152" s="1787"/>
    </row>
    <row r="153" spans="1:30" ht="14.1" customHeight="1">
      <c r="A153" s="1675">
        <v>27</v>
      </c>
      <c r="B153" s="2015"/>
      <c r="C153" s="2009"/>
      <c r="D153" s="1674" t="s">
        <v>8166</v>
      </c>
      <c r="F153" s="2020"/>
      <c r="H153" s="1674">
        <f t="shared" si="32"/>
        <v>0</v>
      </c>
      <c r="I153" s="1674">
        <f t="shared" si="22"/>
        <v>0</v>
      </c>
      <c r="J153" s="1674">
        <f t="shared" si="23"/>
        <v>0</v>
      </c>
      <c r="K153" s="1674">
        <f t="shared" si="24"/>
        <v>0</v>
      </c>
      <c r="L153" s="1674">
        <f t="shared" si="25"/>
        <v>0</v>
      </c>
      <c r="M153" s="1674">
        <f t="shared" si="26"/>
        <v>0</v>
      </c>
      <c r="N153" s="1674">
        <f t="shared" si="27"/>
        <v>0</v>
      </c>
      <c r="O153" s="2001">
        <f t="shared" si="28"/>
        <v>0</v>
      </c>
      <c r="P153" s="1674">
        <f t="shared" si="29"/>
        <v>0</v>
      </c>
      <c r="Q153" s="1674">
        <f t="shared" si="30"/>
        <v>0</v>
      </c>
      <c r="R153" s="1674">
        <f t="shared" si="31"/>
        <v>0</v>
      </c>
      <c r="AA153" s="2001"/>
    </row>
    <row r="154" spans="1:30" ht="14.1" customHeight="1">
      <c r="A154" s="1675">
        <v>28</v>
      </c>
      <c r="B154" s="2015"/>
      <c r="C154" s="2009">
        <v>34146</v>
      </c>
      <c r="D154" s="1674" t="s">
        <v>2449</v>
      </c>
      <c r="F154" s="2019">
        <v>2.2000000000000002</v>
      </c>
      <c r="G154" s="2001"/>
      <c r="H154" s="1876">
        <f t="shared" si="32"/>
        <v>0</v>
      </c>
      <c r="I154" s="1785">
        <f t="shared" si="22"/>
        <v>0</v>
      </c>
      <c r="J154" s="1876">
        <f t="shared" si="23"/>
        <v>0</v>
      </c>
      <c r="K154" s="1786">
        <f t="shared" si="24"/>
        <v>0</v>
      </c>
      <c r="L154" s="1876">
        <f t="shared" si="25"/>
        <v>0</v>
      </c>
      <c r="M154" s="1786">
        <f t="shared" si="26"/>
        <v>0</v>
      </c>
      <c r="N154" s="1876">
        <f t="shared" si="27"/>
        <v>0</v>
      </c>
      <c r="O154" s="1785">
        <f t="shared" si="28"/>
        <v>0</v>
      </c>
      <c r="P154" s="1787">
        <f t="shared" si="29"/>
        <v>0</v>
      </c>
      <c r="Q154" s="1786">
        <f t="shared" si="30"/>
        <v>0</v>
      </c>
      <c r="R154" s="1876">
        <f t="shared" si="31"/>
        <v>0</v>
      </c>
      <c r="T154" s="1876">
        <v>0</v>
      </c>
      <c r="U154" s="1785"/>
      <c r="V154" s="1876">
        <v>0</v>
      </c>
      <c r="W154" s="1786"/>
      <c r="X154" s="1876">
        <v>0</v>
      </c>
      <c r="Y154" s="1786"/>
      <c r="Z154" s="1876">
        <v>0</v>
      </c>
      <c r="AA154" s="1785"/>
      <c r="AB154" s="1787">
        <v>0</v>
      </c>
      <c r="AC154" s="1786"/>
      <c r="AD154" s="1876">
        <v>0</v>
      </c>
    </row>
    <row r="155" spans="1:30" ht="14.1" customHeight="1">
      <c r="A155" s="1675">
        <v>29</v>
      </c>
      <c r="B155" s="2015"/>
      <c r="C155" s="2009">
        <v>34246</v>
      </c>
      <c r="D155" s="1674" t="s">
        <v>2495</v>
      </c>
      <c r="F155" s="2019">
        <v>3.65</v>
      </c>
      <c r="G155" s="2001"/>
      <c r="H155" s="1876">
        <f t="shared" si="32"/>
        <v>388.11342500000018</v>
      </c>
      <c r="I155" s="1785">
        <f t="shared" si="22"/>
        <v>0</v>
      </c>
      <c r="J155" s="1876">
        <f t="shared" si="23"/>
        <v>0</v>
      </c>
      <c r="K155" s="1786">
        <f t="shared" si="24"/>
        <v>0</v>
      </c>
      <c r="L155" s="1876">
        <f t="shared" si="25"/>
        <v>0</v>
      </c>
      <c r="M155" s="1786">
        <f t="shared" si="26"/>
        <v>0</v>
      </c>
      <c r="N155" s="1876">
        <f t="shared" si="27"/>
        <v>0</v>
      </c>
      <c r="O155" s="1785">
        <f t="shared" si="28"/>
        <v>0</v>
      </c>
      <c r="P155" s="1787">
        <f t="shared" si="29"/>
        <v>388.11342500000018</v>
      </c>
      <c r="Q155" s="1786">
        <f t="shared" si="30"/>
        <v>0</v>
      </c>
      <c r="R155" s="1876">
        <f t="shared" si="31"/>
        <v>388.11342999999999</v>
      </c>
      <c r="T155" s="1876">
        <v>388113.42500000016</v>
      </c>
      <c r="U155" s="1785"/>
      <c r="V155" s="1876">
        <v>0</v>
      </c>
      <c r="W155" s="1786"/>
      <c r="X155" s="1876">
        <v>0</v>
      </c>
      <c r="Y155" s="1786"/>
      <c r="Z155" s="1876">
        <v>0</v>
      </c>
      <c r="AA155" s="1785"/>
      <c r="AB155" s="1787">
        <v>388113.42500000016</v>
      </c>
      <c r="AC155" s="1786"/>
      <c r="AD155" s="1876">
        <v>388113.43</v>
      </c>
    </row>
    <row r="156" spans="1:30" ht="14.1" customHeight="1">
      <c r="A156" s="1675">
        <v>30</v>
      </c>
      <c r="B156" s="2015"/>
      <c r="C156" s="2009">
        <v>34346</v>
      </c>
      <c r="D156" s="1674" t="s">
        <v>2496</v>
      </c>
      <c r="F156" s="2019">
        <v>3.5000000000000004</v>
      </c>
      <c r="G156" s="2001"/>
      <c r="H156" s="1876">
        <f t="shared" si="32"/>
        <v>175636.43262500013</v>
      </c>
      <c r="I156" s="1785">
        <f t="shared" si="22"/>
        <v>0</v>
      </c>
      <c r="J156" s="1876">
        <f t="shared" si="23"/>
        <v>0</v>
      </c>
      <c r="K156" s="1786">
        <f t="shared" si="24"/>
        <v>0</v>
      </c>
      <c r="L156" s="1876">
        <f t="shared" si="25"/>
        <v>0</v>
      </c>
      <c r="M156" s="1786">
        <f t="shared" si="26"/>
        <v>0</v>
      </c>
      <c r="N156" s="1876">
        <f t="shared" si="27"/>
        <v>0</v>
      </c>
      <c r="O156" s="1785">
        <f t="shared" si="28"/>
        <v>0</v>
      </c>
      <c r="P156" s="1787">
        <f t="shared" si="29"/>
        <v>175636.43262500013</v>
      </c>
      <c r="Q156" s="1786">
        <f t="shared" si="30"/>
        <v>0</v>
      </c>
      <c r="R156" s="1876">
        <f t="shared" si="31"/>
        <v>175636.43263</v>
      </c>
      <c r="T156" s="1876">
        <v>175636432.62500012</v>
      </c>
      <c r="U156" s="1785"/>
      <c r="V156" s="1876">
        <v>0</v>
      </c>
      <c r="W156" s="1786"/>
      <c r="X156" s="1876">
        <v>0</v>
      </c>
      <c r="Y156" s="1786"/>
      <c r="Z156" s="1876">
        <v>0</v>
      </c>
      <c r="AA156" s="1785"/>
      <c r="AB156" s="1787">
        <v>175636432.62500012</v>
      </c>
      <c r="AC156" s="1786"/>
      <c r="AD156" s="1876">
        <v>175636432.63</v>
      </c>
    </row>
    <row r="157" spans="1:30" ht="14.1" customHeight="1">
      <c r="A157" s="1675">
        <v>31</v>
      </c>
      <c r="B157" s="2015"/>
      <c r="C157" s="2009">
        <v>34546</v>
      </c>
      <c r="D157" s="1674" t="s">
        <v>2454</v>
      </c>
      <c r="F157" s="2019">
        <v>1.8900000000000001</v>
      </c>
      <c r="G157" s="2001"/>
      <c r="H157" s="1876">
        <f t="shared" si="32"/>
        <v>19.190819999999999</v>
      </c>
      <c r="I157" s="1785">
        <f t="shared" si="22"/>
        <v>0</v>
      </c>
      <c r="J157" s="1876">
        <f t="shared" si="23"/>
        <v>0</v>
      </c>
      <c r="K157" s="1786">
        <f t="shared" si="24"/>
        <v>0</v>
      </c>
      <c r="L157" s="1876">
        <f t="shared" si="25"/>
        <v>0</v>
      </c>
      <c r="M157" s="1786">
        <f t="shared" si="26"/>
        <v>0</v>
      </c>
      <c r="N157" s="1876">
        <f t="shared" si="27"/>
        <v>0</v>
      </c>
      <c r="O157" s="1785">
        <f t="shared" si="28"/>
        <v>0</v>
      </c>
      <c r="P157" s="1787">
        <f t="shared" si="29"/>
        <v>19.190819999999999</v>
      </c>
      <c r="Q157" s="1786">
        <f t="shared" si="30"/>
        <v>0</v>
      </c>
      <c r="R157" s="1876">
        <f t="shared" si="31"/>
        <v>19.190819999999999</v>
      </c>
      <c r="T157" s="1876">
        <v>19190.82</v>
      </c>
      <c r="U157" s="1785"/>
      <c r="V157" s="1876">
        <v>0</v>
      </c>
      <c r="W157" s="1786"/>
      <c r="X157" s="1876">
        <v>0</v>
      </c>
      <c r="Y157" s="1786"/>
      <c r="Z157" s="1876">
        <v>0</v>
      </c>
      <c r="AA157" s="1785"/>
      <c r="AB157" s="1787">
        <v>19190.82</v>
      </c>
      <c r="AC157" s="1786"/>
      <c r="AD157" s="1876">
        <v>19190.82</v>
      </c>
    </row>
    <row r="158" spans="1:30" ht="14.1" customHeight="1">
      <c r="A158" s="1675">
        <v>32</v>
      </c>
      <c r="B158" s="2015"/>
      <c r="C158" s="2009">
        <v>34646</v>
      </c>
      <c r="D158" s="1674" t="s">
        <v>2455</v>
      </c>
      <c r="F158" s="2019">
        <v>2.94</v>
      </c>
      <c r="G158" s="2001"/>
      <c r="H158" s="1876">
        <f t="shared" si="32"/>
        <v>0</v>
      </c>
      <c r="I158" s="1785">
        <f t="shared" si="22"/>
        <v>0</v>
      </c>
      <c r="J158" s="1876">
        <f t="shared" si="23"/>
        <v>0</v>
      </c>
      <c r="K158" s="1786">
        <f t="shared" si="24"/>
        <v>0</v>
      </c>
      <c r="L158" s="1876">
        <f t="shared" si="25"/>
        <v>0</v>
      </c>
      <c r="M158" s="1786">
        <f t="shared" si="26"/>
        <v>0</v>
      </c>
      <c r="N158" s="1876">
        <f t="shared" si="27"/>
        <v>0</v>
      </c>
      <c r="O158" s="1785">
        <f t="shared" si="28"/>
        <v>0</v>
      </c>
      <c r="P158" s="1787">
        <f t="shared" si="29"/>
        <v>0</v>
      </c>
      <c r="Q158" s="1786">
        <f t="shared" si="30"/>
        <v>0</v>
      </c>
      <c r="R158" s="1876">
        <f t="shared" si="31"/>
        <v>0</v>
      </c>
      <c r="T158" s="1876">
        <v>0</v>
      </c>
      <c r="U158" s="1785"/>
      <c r="V158" s="1876">
        <v>0</v>
      </c>
      <c r="W158" s="1786"/>
      <c r="X158" s="1876">
        <v>0</v>
      </c>
      <c r="Y158" s="1786"/>
      <c r="Z158" s="1876">
        <v>0</v>
      </c>
      <c r="AA158" s="1785"/>
      <c r="AB158" s="1787">
        <v>0</v>
      </c>
      <c r="AC158" s="1786"/>
      <c r="AD158" s="1876">
        <v>0</v>
      </c>
    </row>
    <row r="159" spans="1:30" ht="14.1" customHeight="1">
      <c r="A159" s="1675">
        <v>33</v>
      </c>
      <c r="B159" s="2015"/>
      <c r="D159" s="2002" t="s">
        <v>8167</v>
      </c>
      <c r="F159" s="2020"/>
      <c r="H159" s="1788">
        <f t="shared" si="32"/>
        <v>176043.73687000011</v>
      </c>
      <c r="I159" s="1783">
        <f t="shared" si="22"/>
        <v>0</v>
      </c>
      <c r="J159" s="1788">
        <f t="shared" si="23"/>
        <v>0</v>
      </c>
      <c r="K159" s="1783">
        <f t="shared" si="24"/>
        <v>0</v>
      </c>
      <c r="L159" s="1788">
        <f t="shared" si="25"/>
        <v>0</v>
      </c>
      <c r="M159" s="1783">
        <f t="shared" si="26"/>
        <v>0</v>
      </c>
      <c r="N159" s="1788">
        <f t="shared" si="27"/>
        <v>0</v>
      </c>
      <c r="O159" s="1783">
        <f t="shared" si="28"/>
        <v>0</v>
      </c>
      <c r="P159" s="1788">
        <f t="shared" si="29"/>
        <v>176043.73687000011</v>
      </c>
      <c r="Q159" s="1783">
        <f t="shared" si="30"/>
        <v>0</v>
      </c>
      <c r="R159" s="1788">
        <f t="shared" si="31"/>
        <v>176043.73687999998</v>
      </c>
      <c r="T159" s="1788">
        <v>176043736.87000012</v>
      </c>
      <c r="U159" s="1783"/>
      <c r="V159" s="1788">
        <v>0</v>
      </c>
      <c r="W159" s="1783"/>
      <c r="X159" s="1788">
        <v>0</v>
      </c>
      <c r="Y159" s="1783"/>
      <c r="Z159" s="1788">
        <v>0</v>
      </c>
      <c r="AA159" s="1783"/>
      <c r="AB159" s="1788">
        <v>176043736.87000012</v>
      </c>
      <c r="AC159" s="1783"/>
      <c r="AD159" s="1788">
        <v>176043736.88</v>
      </c>
    </row>
    <row r="160" spans="1:30" ht="14.1" customHeight="1">
      <c r="A160" s="1675">
        <v>34</v>
      </c>
      <c r="B160" s="2015"/>
      <c r="F160" s="2020"/>
      <c r="H160" s="1674">
        <f t="shared" si="32"/>
        <v>0</v>
      </c>
      <c r="I160" s="1674">
        <f t="shared" si="22"/>
        <v>0</v>
      </c>
      <c r="J160" s="1674">
        <f t="shared" si="23"/>
        <v>0</v>
      </c>
      <c r="K160" s="1674">
        <f t="shared" si="24"/>
        <v>0</v>
      </c>
      <c r="L160" s="1674">
        <f t="shared" si="25"/>
        <v>0</v>
      </c>
      <c r="M160" s="1674">
        <f t="shared" si="26"/>
        <v>0</v>
      </c>
      <c r="N160" s="1674">
        <f t="shared" si="27"/>
        <v>0</v>
      </c>
      <c r="O160" s="2001">
        <f t="shared" si="28"/>
        <v>0</v>
      </c>
      <c r="P160" s="1674">
        <f t="shared" si="29"/>
        <v>0</v>
      </c>
      <c r="Q160" s="1674">
        <f t="shared" si="30"/>
        <v>0</v>
      </c>
      <c r="R160" s="1674">
        <f t="shared" si="31"/>
        <v>0</v>
      </c>
      <c r="AA160" s="2001"/>
    </row>
    <row r="161" spans="1:30" ht="14.1" customHeight="1">
      <c r="A161" s="1675">
        <v>35</v>
      </c>
      <c r="B161" s="2015"/>
      <c r="C161" s="2009"/>
      <c r="D161" s="1674" t="s">
        <v>8168</v>
      </c>
      <c r="F161" s="2020"/>
      <c r="H161" s="1674">
        <f t="shared" si="32"/>
        <v>0</v>
      </c>
      <c r="I161" s="1674">
        <f t="shared" si="22"/>
        <v>0</v>
      </c>
      <c r="J161" s="1674">
        <f t="shared" si="23"/>
        <v>0</v>
      </c>
      <c r="K161" s="1674">
        <f t="shared" si="24"/>
        <v>0</v>
      </c>
      <c r="L161" s="1674">
        <f t="shared" si="25"/>
        <v>0</v>
      </c>
      <c r="M161" s="1674">
        <f t="shared" si="26"/>
        <v>0</v>
      </c>
      <c r="N161" s="1674">
        <f t="shared" si="27"/>
        <v>0</v>
      </c>
      <c r="O161" s="2001">
        <f t="shared" si="28"/>
        <v>0</v>
      </c>
      <c r="P161" s="1674">
        <f t="shared" si="29"/>
        <v>0</v>
      </c>
      <c r="Q161" s="1674">
        <f t="shared" si="30"/>
        <v>0</v>
      </c>
      <c r="R161" s="1674">
        <f t="shared" si="31"/>
        <v>0</v>
      </c>
      <c r="AA161" s="2001"/>
    </row>
    <row r="162" spans="1:30" ht="14.1" customHeight="1">
      <c r="A162" s="1675">
        <v>36</v>
      </c>
      <c r="B162" s="2015"/>
      <c r="C162" s="2009">
        <v>34143</v>
      </c>
      <c r="D162" s="1674" t="s">
        <v>2449</v>
      </c>
      <c r="F162" s="2019">
        <v>3.4300000000000006</v>
      </c>
      <c r="G162" s="2001"/>
      <c r="H162" s="1876">
        <f t="shared" si="32"/>
        <v>2290.54898</v>
      </c>
      <c r="I162" s="1785">
        <f t="shared" si="22"/>
        <v>0</v>
      </c>
      <c r="J162" s="1876">
        <f t="shared" si="23"/>
        <v>0</v>
      </c>
      <c r="K162" s="1786">
        <f t="shared" si="24"/>
        <v>0</v>
      </c>
      <c r="L162" s="1876">
        <f t="shared" si="25"/>
        <v>0</v>
      </c>
      <c r="M162" s="1786">
        <f t="shared" si="26"/>
        <v>0</v>
      </c>
      <c r="N162" s="1876">
        <f t="shared" si="27"/>
        <v>0</v>
      </c>
      <c r="O162" s="1785">
        <f t="shared" si="28"/>
        <v>0</v>
      </c>
      <c r="P162" s="1787">
        <f t="shared" si="29"/>
        <v>2290.54898</v>
      </c>
      <c r="Q162" s="1786">
        <f t="shared" si="30"/>
        <v>0</v>
      </c>
      <c r="R162" s="1876">
        <f t="shared" si="31"/>
        <v>2290.54898</v>
      </c>
      <c r="T162" s="1876">
        <v>2290548.98</v>
      </c>
      <c r="U162" s="1785"/>
      <c r="V162" s="1876">
        <v>0</v>
      </c>
      <c r="W162" s="1786"/>
      <c r="X162" s="1876">
        <v>0</v>
      </c>
      <c r="Y162" s="1786"/>
      <c r="Z162" s="1876">
        <v>0</v>
      </c>
      <c r="AA162" s="1785"/>
      <c r="AB162" s="1787">
        <v>2290548.98</v>
      </c>
      <c r="AC162" s="1786"/>
      <c r="AD162" s="1876">
        <v>2290548.98</v>
      </c>
    </row>
    <row r="163" spans="1:30" ht="14.1" customHeight="1">
      <c r="A163" s="1675">
        <v>37</v>
      </c>
      <c r="B163" s="2015"/>
      <c r="C163" s="2009">
        <v>34243</v>
      </c>
      <c r="D163" s="1674" t="s">
        <v>2495</v>
      </c>
      <c r="F163" s="2019">
        <v>2.2200000000000002</v>
      </c>
      <c r="G163" s="2001"/>
      <c r="H163" s="1876">
        <f t="shared" si="32"/>
        <v>3578.3287149999996</v>
      </c>
      <c r="I163" s="1785">
        <f t="shared" si="22"/>
        <v>0</v>
      </c>
      <c r="J163" s="1876">
        <f t="shared" si="23"/>
        <v>22.673639999999999</v>
      </c>
      <c r="K163" s="1786">
        <f t="shared" si="24"/>
        <v>0</v>
      </c>
      <c r="L163" s="1876">
        <f t="shared" si="25"/>
        <v>0</v>
      </c>
      <c r="M163" s="1786">
        <f t="shared" si="26"/>
        <v>0</v>
      </c>
      <c r="N163" s="1876">
        <f t="shared" si="27"/>
        <v>0</v>
      </c>
      <c r="O163" s="1785">
        <f t="shared" si="28"/>
        <v>0</v>
      </c>
      <c r="P163" s="1787">
        <f t="shared" si="29"/>
        <v>3601.0023550000001</v>
      </c>
      <c r="Q163" s="1786">
        <f t="shared" si="30"/>
        <v>0</v>
      </c>
      <c r="R163" s="1876">
        <f t="shared" si="31"/>
        <v>3590.5376000000001</v>
      </c>
      <c r="T163" s="1876">
        <v>3578328.7149999999</v>
      </c>
      <c r="U163" s="1785"/>
      <c r="V163" s="1876">
        <v>22673.64</v>
      </c>
      <c r="W163" s="1786"/>
      <c r="X163" s="1876">
        <v>0</v>
      </c>
      <c r="Y163" s="1786"/>
      <c r="Z163" s="1876">
        <v>0</v>
      </c>
      <c r="AA163" s="1785"/>
      <c r="AB163" s="1787">
        <v>3601002.355</v>
      </c>
      <c r="AC163" s="1786"/>
      <c r="AD163" s="1876">
        <v>3590537.6</v>
      </c>
    </row>
    <row r="164" spans="1:30" ht="14.1" customHeight="1">
      <c r="A164" s="1675">
        <v>38</v>
      </c>
      <c r="B164" s="2015"/>
      <c r="C164" s="2009">
        <v>34343</v>
      </c>
      <c r="D164" s="1674" t="s">
        <v>2496</v>
      </c>
      <c r="F164" s="2019">
        <v>3.64</v>
      </c>
      <c r="G164" s="2001"/>
      <c r="H164" s="1876">
        <f t="shared" si="32"/>
        <v>459235.39642500004</v>
      </c>
      <c r="I164" s="1785">
        <f t="shared" si="22"/>
        <v>0</v>
      </c>
      <c r="J164" s="1876">
        <f t="shared" si="23"/>
        <v>22.673639999999999</v>
      </c>
      <c r="K164" s="1786">
        <f t="shared" si="24"/>
        <v>0</v>
      </c>
      <c r="L164" s="1876">
        <f t="shared" si="25"/>
        <v>0</v>
      </c>
      <c r="M164" s="1786">
        <f t="shared" si="26"/>
        <v>0</v>
      </c>
      <c r="N164" s="1876">
        <f t="shared" si="27"/>
        <v>0</v>
      </c>
      <c r="O164" s="1785">
        <f t="shared" si="28"/>
        <v>0</v>
      </c>
      <c r="P164" s="1787">
        <f t="shared" si="29"/>
        <v>459258.07006500004</v>
      </c>
      <c r="Q164" s="1786">
        <f t="shared" si="30"/>
        <v>0</v>
      </c>
      <c r="R164" s="1876">
        <f t="shared" si="31"/>
        <v>459247.60531000001</v>
      </c>
      <c r="T164" s="1876">
        <v>459235396.42500007</v>
      </c>
      <c r="U164" s="1785"/>
      <c r="V164" s="1876">
        <v>22673.64</v>
      </c>
      <c r="W164" s="1786"/>
      <c r="X164" s="1876">
        <v>0</v>
      </c>
      <c r="Y164" s="1786"/>
      <c r="Z164" s="1876">
        <v>0</v>
      </c>
      <c r="AA164" s="1785"/>
      <c r="AB164" s="1787">
        <v>459258070.06500006</v>
      </c>
      <c r="AC164" s="1786"/>
      <c r="AD164" s="1876">
        <v>459247605.31</v>
      </c>
    </row>
    <row r="165" spans="1:30" ht="14.1" customHeight="1">
      <c r="A165" s="1675">
        <v>39</v>
      </c>
      <c r="B165" s="2015"/>
      <c r="C165" s="2009">
        <v>34543</v>
      </c>
      <c r="D165" s="1674" t="s">
        <v>2454</v>
      </c>
      <c r="F165" s="2019">
        <v>2.92</v>
      </c>
      <c r="G165" s="2001"/>
      <c r="H165" s="1876">
        <f t="shared" si="32"/>
        <v>700.67701999999997</v>
      </c>
      <c r="I165" s="1785">
        <f t="shared" si="22"/>
        <v>0</v>
      </c>
      <c r="J165" s="1876">
        <f t="shared" si="23"/>
        <v>0</v>
      </c>
      <c r="K165" s="1786">
        <f t="shared" si="24"/>
        <v>0</v>
      </c>
      <c r="L165" s="1876">
        <f t="shared" si="25"/>
        <v>0</v>
      </c>
      <c r="M165" s="1786">
        <f t="shared" si="26"/>
        <v>0</v>
      </c>
      <c r="N165" s="1876">
        <f t="shared" si="27"/>
        <v>0</v>
      </c>
      <c r="O165" s="1785">
        <f t="shared" si="28"/>
        <v>0</v>
      </c>
      <c r="P165" s="1787">
        <f t="shared" si="29"/>
        <v>700.67701999999997</v>
      </c>
      <c r="Q165" s="1786">
        <f t="shared" si="30"/>
        <v>0</v>
      </c>
      <c r="R165" s="1876">
        <f t="shared" si="31"/>
        <v>700.67701999999997</v>
      </c>
      <c r="T165" s="1876">
        <v>700677.02</v>
      </c>
      <c r="U165" s="1785"/>
      <c r="V165" s="1876">
        <v>0</v>
      </c>
      <c r="W165" s="1786"/>
      <c r="X165" s="1876">
        <v>0</v>
      </c>
      <c r="Y165" s="1786"/>
      <c r="Z165" s="1876">
        <v>0</v>
      </c>
      <c r="AA165" s="1785"/>
      <c r="AB165" s="1787">
        <v>700677.02</v>
      </c>
      <c r="AC165" s="1786"/>
      <c r="AD165" s="1876">
        <v>700677.02</v>
      </c>
    </row>
    <row r="166" spans="1:30" ht="14.1" customHeight="1">
      <c r="A166" s="1675">
        <v>40</v>
      </c>
      <c r="B166" s="2015"/>
      <c r="C166" s="2009">
        <v>34643</v>
      </c>
      <c r="D166" s="1674" t="s">
        <v>2455</v>
      </c>
      <c r="F166" s="2019">
        <v>2.66</v>
      </c>
      <c r="G166" s="2001"/>
      <c r="H166" s="1876">
        <f t="shared" si="32"/>
        <v>308.52593000000002</v>
      </c>
      <c r="I166" s="1785">
        <f t="shared" si="22"/>
        <v>0</v>
      </c>
      <c r="J166" s="1876">
        <f t="shared" si="23"/>
        <v>0</v>
      </c>
      <c r="K166" s="1786">
        <f t="shared" si="24"/>
        <v>0</v>
      </c>
      <c r="L166" s="1876">
        <f t="shared" si="25"/>
        <v>0</v>
      </c>
      <c r="M166" s="1786">
        <f t="shared" si="26"/>
        <v>0</v>
      </c>
      <c r="N166" s="1876">
        <f t="shared" si="27"/>
        <v>0</v>
      </c>
      <c r="O166" s="1785">
        <f t="shared" si="28"/>
        <v>0</v>
      </c>
      <c r="P166" s="1787">
        <f t="shared" si="29"/>
        <v>308.52593000000002</v>
      </c>
      <c r="Q166" s="1786">
        <f t="shared" si="30"/>
        <v>0</v>
      </c>
      <c r="R166" s="1876">
        <f t="shared" si="31"/>
        <v>308.52593000000002</v>
      </c>
      <c r="T166" s="1876">
        <v>308525.93</v>
      </c>
      <c r="U166" s="1785"/>
      <c r="V166" s="1876">
        <v>0</v>
      </c>
      <c r="W166" s="1786"/>
      <c r="X166" s="1876">
        <v>0</v>
      </c>
      <c r="Y166" s="1786"/>
      <c r="Z166" s="1876">
        <v>0</v>
      </c>
      <c r="AA166" s="1785"/>
      <c r="AB166" s="1787">
        <v>308525.93</v>
      </c>
      <c r="AC166" s="1786"/>
      <c r="AD166" s="1876">
        <v>308525.93</v>
      </c>
    </row>
    <row r="167" spans="1:30" ht="14.1" customHeight="1">
      <c r="A167" s="1675">
        <v>41</v>
      </c>
      <c r="B167" s="2015"/>
      <c r="D167" s="2002" t="s">
        <v>8169</v>
      </c>
      <c r="H167" s="1788">
        <f t="shared" si="32"/>
        <v>466113.47707000008</v>
      </c>
      <c r="I167" s="1783">
        <f t="shared" si="22"/>
        <v>0</v>
      </c>
      <c r="J167" s="1788">
        <f t="shared" si="23"/>
        <v>45.347279999999998</v>
      </c>
      <c r="K167" s="1783">
        <f t="shared" si="24"/>
        <v>0</v>
      </c>
      <c r="L167" s="1788">
        <f t="shared" si="25"/>
        <v>0</v>
      </c>
      <c r="M167" s="1783">
        <f t="shared" si="26"/>
        <v>0</v>
      </c>
      <c r="N167" s="1788">
        <f t="shared" si="27"/>
        <v>0</v>
      </c>
      <c r="O167" s="1783">
        <f t="shared" si="28"/>
        <v>0</v>
      </c>
      <c r="P167" s="1788">
        <f t="shared" si="29"/>
        <v>466158.82435000001</v>
      </c>
      <c r="Q167" s="1783">
        <f t="shared" si="30"/>
        <v>0</v>
      </c>
      <c r="R167" s="1788">
        <f t="shared" si="31"/>
        <v>466137.89483999996</v>
      </c>
      <c r="T167" s="1788">
        <v>466113477.07000005</v>
      </c>
      <c r="U167" s="1783"/>
      <c r="V167" s="1788">
        <v>45347.28</v>
      </c>
      <c r="W167" s="1783"/>
      <c r="X167" s="1788">
        <v>0</v>
      </c>
      <c r="Y167" s="1783"/>
      <c r="Z167" s="1788">
        <v>0</v>
      </c>
      <c r="AA167" s="1783"/>
      <c r="AB167" s="1788">
        <v>466158824.35000002</v>
      </c>
      <c r="AC167" s="1783"/>
      <c r="AD167" s="1788">
        <v>466137894.83999997</v>
      </c>
    </row>
    <row r="168" spans="1:30" ht="14.1" customHeight="1">
      <c r="A168" s="1675">
        <v>42</v>
      </c>
      <c r="B168" s="2015"/>
      <c r="H168" s="2029">
        <f t="shared" si="32"/>
        <v>0</v>
      </c>
      <c r="I168" s="1674">
        <f t="shared" si="22"/>
        <v>0</v>
      </c>
      <c r="J168" s="2029">
        <f t="shared" si="23"/>
        <v>0</v>
      </c>
      <c r="K168" s="1674">
        <f t="shared" si="24"/>
        <v>0</v>
      </c>
      <c r="L168" s="2029">
        <f t="shared" si="25"/>
        <v>0</v>
      </c>
      <c r="M168" s="1674">
        <f t="shared" si="26"/>
        <v>0</v>
      </c>
      <c r="N168" s="2029">
        <f t="shared" si="27"/>
        <v>0</v>
      </c>
      <c r="O168" s="2001">
        <f t="shared" si="28"/>
        <v>0</v>
      </c>
      <c r="P168" s="2029">
        <f t="shared" si="29"/>
        <v>0</v>
      </c>
      <c r="Q168" s="1674">
        <f t="shared" si="30"/>
        <v>0</v>
      </c>
      <c r="R168" s="2029">
        <f t="shared" si="31"/>
        <v>0</v>
      </c>
      <c r="T168" s="2029"/>
      <c r="V168" s="2029"/>
      <c r="X168" s="2029"/>
      <c r="Z168" s="2029"/>
      <c r="AA168" s="2001"/>
      <c r="AB168" s="2029"/>
      <c r="AD168" s="2029"/>
    </row>
    <row r="169" spans="1:30" ht="14.1" customHeight="1" thickBot="1">
      <c r="A169" s="1675">
        <v>43</v>
      </c>
      <c r="B169" s="2015"/>
      <c r="D169" s="2002" t="s">
        <v>2490</v>
      </c>
      <c r="F169" s="2023"/>
      <c r="G169" s="2030"/>
      <c r="H169" s="1870">
        <f t="shared" si="32"/>
        <v>864956.66553000023</v>
      </c>
      <c r="I169" s="1783">
        <f t="shared" si="22"/>
        <v>0</v>
      </c>
      <c r="J169" s="1870">
        <f t="shared" si="23"/>
        <v>450.34728000000001</v>
      </c>
      <c r="K169" s="1783">
        <f t="shared" si="24"/>
        <v>0</v>
      </c>
      <c r="L169" s="1870">
        <f t="shared" si="25"/>
        <v>0</v>
      </c>
      <c r="M169" s="1783">
        <f t="shared" si="26"/>
        <v>0</v>
      </c>
      <c r="N169" s="1870">
        <f t="shared" si="27"/>
        <v>0</v>
      </c>
      <c r="O169" s="1783">
        <f t="shared" si="28"/>
        <v>0</v>
      </c>
      <c r="P169" s="1870">
        <f t="shared" si="29"/>
        <v>865407.01281000022</v>
      </c>
      <c r="Q169" s="1783">
        <f t="shared" si="30"/>
        <v>0</v>
      </c>
      <c r="R169" s="1870">
        <f t="shared" si="31"/>
        <v>865150.69870000007</v>
      </c>
      <c r="T169" s="1870">
        <v>864956665.53000021</v>
      </c>
      <c r="U169" s="1783"/>
      <c r="V169" s="1870">
        <v>450347.28</v>
      </c>
      <c r="W169" s="1783"/>
      <c r="X169" s="1870">
        <v>0</v>
      </c>
      <c r="Y169" s="1783"/>
      <c r="Z169" s="1870">
        <v>0</v>
      </c>
      <c r="AA169" s="1783"/>
      <c r="AB169" s="1870">
        <v>865407012.81000018</v>
      </c>
      <c r="AC169" s="1783"/>
      <c r="AD169" s="1870">
        <v>865150698.70000005</v>
      </c>
    </row>
    <row r="170" spans="1:30" ht="14.1" customHeight="1" thickTop="1" thickBot="1">
      <c r="A170" s="2008">
        <v>44</v>
      </c>
      <c r="B170" s="1869" t="s">
        <v>2476</v>
      </c>
      <c r="C170" s="1997"/>
      <c r="D170" s="1997"/>
      <c r="E170" s="1997"/>
      <c r="F170" s="1997"/>
      <c r="G170" s="1997"/>
      <c r="H170" s="1997">
        <f t="shared" si="32"/>
        <v>0</v>
      </c>
      <c r="I170" s="1997">
        <f t="shared" si="22"/>
        <v>0</v>
      </c>
      <c r="J170" s="1997">
        <f t="shared" si="23"/>
        <v>0</v>
      </c>
      <c r="K170" s="1997">
        <f t="shared" si="24"/>
        <v>0</v>
      </c>
      <c r="L170" s="1997">
        <f t="shared" si="25"/>
        <v>0</v>
      </c>
      <c r="M170" s="1997">
        <f t="shared" si="26"/>
        <v>0</v>
      </c>
      <c r="N170" s="1997">
        <f t="shared" si="27"/>
        <v>0</v>
      </c>
      <c r="O170" s="1998">
        <f t="shared" si="28"/>
        <v>0</v>
      </c>
      <c r="P170" s="1997">
        <f t="shared" si="29"/>
        <v>0</v>
      </c>
      <c r="Q170" s="1997">
        <f t="shared" si="30"/>
        <v>0</v>
      </c>
      <c r="R170" s="1997">
        <f t="shared" si="31"/>
        <v>0</v>
      </c>
      <c r="T170" s="1997"/>
      <c r="U170" s="1997"/>
      <c r="V170" s="1997"/>
      <c r="W170" s="1997"/>
      <c r="X170" s="1997"/>
      <c r="Y170" s="1997"/>
      <c r="Z170" s="1997"/>
      <c r="AA170" s="1998"/>
      <c r="AB170" s="1997"/>
      <c r="AC170" s="1997"/>
      <c r="AD170" s="1997"/>
    </row>
    <row r="171" spans="1:30" ht="14.1" customHeight="1">
      <c r="A171" s="1674" t="s">
        <v>8947</v>
      </c>
      <c r="H171" s="1674">
        <f t="shared" si="32"/>
        <v>0</v>
      </c>
      <c r="I171" s="1674">
        <f t="shared" si="22"/>
        <v>0</v>
      </c>
      <c r="J171" s="1674">
        <f t="shared" si="23"/>
        <v>0</v>
      </c>
      <c r="K171" s="1674">
        <f t="shared" si="24"/>
        <v>0</v>
      </c>
      <c r="L171" s="1674">
        <f t="shared" si="25"/>
        <v>0</v>
      </c>
      <c r="M171" s="1674">
        <f t="shared" si="26"/>
        <v>0</v>
      </c>
      <c r="N171" s="1674">
        <f t="shared" si="27"/>
        <v>0</v>
      </c>
      <c r="O171" s="2001">
        <f t="shared" si="28"/>
        <v>0</v>
      </c>
      <c r="P171" s="1674" t="str">
        <f t="shared" si="29"/>
        <v>Recap Schedules:  B-03, B-06</v>
      </c>
      <c r="Q171" s="1674">
        <f t="shared" si="30"/>
        <v>0</v>
      </c>
      <c r="R171" s="1674">
        <f t="shared" si="31"/>
        <v>0</v>
      </c>
      <c r="AA171" s="2001"/>
      <c r="AB171" s="1674" t="s">
        <v>8948</v>
      </c>
    </row>
    <row r="172" spans="1:30" ht="14.1" customHeight="1" thickBot="1">
      <c r="A172" s="1997" t="s">
        <v>8943</v>
      </c>
      <c r="B172" s="1997"/>
      <c r="C172" s="1997"/>
      <c r="D172" s="1997"/>
      <c r="E172" s="1997"/>
      <c r="F172" s="1997"/>
      <c r="G172" s="1997" t="s">
        <v>2422</v>
      </c>
      <c r="H172" s="1997">
        <f t="shared" si="32"/>
        <v>0</v>
      </c>
      <c r="I172" s="1997">
        <f t="shared" si="22"/>
        <v>0</v>
      </c>
      <c r="J172" s="1997">
        <f t="shared" si="23"/>
        <v>0</v>
      </c>
      <c r="K172" s="1997">
        <f t="shared" si="24"/>
        <v>0</v>
      </c>
      <c r="L172" s="1997">
        <f t="shared" si="25"/>
        <v>0</v>
      </c>
      <c r="M172" s="1997">
        <f t="shared" si="26"/>
        <v>0</v>
      </c>
      <c r="N172" s="1997">
        <f t="shared" si="27"/>
        <v>0</v>
      </c>
      <c r="O172" s="1998">
        <f t="shared" si="28"/>
        <v>0</v>
      </c>
      <c r="P172" s="1997">
        <f t="shared" si="29"/>
        <v>0</v>
      </c>
      <c r="Q172" s="1997">
        <f t="shared" si="30"/>
        <v>0</v>
      </c>
      <c r="R172" s="1997" t="str">
        <f t="shared" si="31"/>
        <v>Page 4 of 10</v>
      </c>
      <c r="T172" s="1997"/>
      <c r="U172" s="1997"/>
      <c r="V172" s="1997"/>
      <c r="W172" s="1997"/>
      <c r="X172" s="1997"/>
      <c r="Y172" s="1997"/>
      <c r="Z172" s="1997"/>
      <c r="AA172" s="1998"/>
      <c r="AB172" s="1997"/>
      <c r="AC172" s="1997"/>
      <c r="AD172" s="1997" t="s">
        <v>2492</v>
      </c>
    </row>
    <row r="173" spans="1:30" ht="14.1" customHeight="1">
      <c r="A173" s="1674" t="s">
        <v>2425</v>
      </c>
      <c r="B173" s="2024"/>
      <c r="E173" s="2001" t="s">
        <v>2426</v>
      </c>
      <c r="F173" s="1674" t="s">
        <v>8155</v>
      </c>
      <c r="H173" s="1674">
        <f t="shared" si="32"/>
        <v>0</v>
      </c>
      <c r="I173" s="1674">
        <f t="shared" si="22"/>
        <v>0</v>
      </c>
      <c r="J173" s="2003">
        <f t="shared" si="23"/>
        <v>0</v>
      </c>
      <c r="K173" s="2003">
        <f t="shared" si="24"/>
        <v>0</v>
      </c>
      <c r="L173" s="1674">
        <f t="shared" si="25"/>
        <v>0</v>
      </c>
      <c r="M173" s="2003">
        <f t="shared" si="26"/>
        <v>0</v>
      </c>
      <c r="N173" s="2003">
        <f t="shared" si="27"/>
        <v>0</v>
      </c>
      <c r="O173" s="2004">
        <f t="shared" si="28"/>
        <v>0</v>
      </c>
      <c r="P173" s="1674" t="str">
        <f t="shared" si="29"/>
        <v>Type of data shown:</v>
      </c>
      <c r="Q173" s="1674">
        <f t="shared" si="30"/>
        <v>0</v>
      </c>
      <c r="R173" s="2005">
        <f t="shared" si="31"/>
        <v>0</v>
      </c>
      <c r="V173" s="2003"/>
      <c r="W173" s="2003"/>
      <c r="Y173" s="2003"/>
      <c r="Z173" s="2003"/>
      <c r="AA173" s="2004"/>
      <c r="AB173" s="1674" t="s">
        <v>2427</v>
      </c>
      <c r="AD173" s="2005"/>
    </row>
    <row r="174" spans="1:30" ht="14.1" customHeight="1">
      <c r="B174" s="2024"/>
      <c r="F174" s="1674" t="s">
        <v>8156</v>
      </c>
      <c r="H174" s="1674">
        <f t="shared" si="32"/>
        <v>0</v>
      </c>
      <c r="I174" s="1674">
        <f t="shared" si="22"/>
        <v>0</v>
      </c>
      <c r="J174" s="2001">
        <f t="shared" si="23"/>
        <v>0</v>
      </c>
      <c r="K174" s="2005">
        <f t="shared" si="24"/>
        <v>0</v>
      </c>
      <c r="L174" s="1674">
        <f t="shared" si="25"/>
        <v>0</v>
      </c>
      <c r="M174" s="1674">
        <f t="shared" si="26"/>
        <v>0</v>
      </c>
      <c r="N174" s="2001">
        <f t="shared" si="27"/>
        <v>0</v>
      </c>
      <c r="O174" s="2001" t="str">
        <f t="shared" si="28"/>
        <v>XX</v>
      </c>
      <c r="P174" s="2005" t="str">
        <f t="shared" si="29"/>
        <v>Projected Test Year Ended 12/31/2025</v>
      </c>
      <c r="Q174" s="1674">
        <f t="shared" si="30"/>
        <v>0</v>
      </c>
      <c r="R174" s="2001">
        <f t="shared" si="31"/>
        <v>0</v>
      </c>
      <c r="V174" s="2001"/>
      <c r="W174" s="2005"/>
      <c r="Z174" s="2001"/>
      <c r="AA174" s="2001" t="s">
        <v>8157</v>
      </c>
      <c r="AB174" s="2005" t="s">
        <v>8944</v>
      </c>
      <c r="AD174" s="2001"/>
    </row>
    <row r="175" spans="1:30" ht="14.1" customHeight="1">
      <c r="A175" s="1674" t="s">
        <v>2428</v>
      </c>
      <c r="B175" s="2024"/>
      <c r="F175" s="1674" t="s">
        <v>2360</v>
      </c>
      <c r="H175" s="1674">
        <f t="shared" si="32"/>
        <v>0</v>
      </c>
      <c r="I175" s="1674">
        <f t="shared" si="22"/>
        <v>0</v>
      </c>
      <c r="J175" s="2001">
        <f t="shared" si="23"/>
        <v>0</v>
      </c>
      <c r="K175" s="2005">
        <f t="shared" si="24"/>
        <v>0</v>
      </c>
      <c r="L175" s="2001">
        <f t="shared" si="25"/>
        <v>0</v>
      </c>
      <c r="M175" s="1674">
        <f t="shared" si="26"/>
        <v>0</v>
      </c>
      <c r="N175" s="1674">
        <f t="shared" si="27"/>
        <v>0</v>
      </c>
      <c r="O175" s="2001" t="str">
        <f t="shared" si="28"/>
        <v/>
      </c>
      <c r="P175" s="2005" t="str">
        <f t="shared" si="29"/>
        <v>Projected Prior Year Ended 12/31/2024</v>
      </c>
      <c r="Q175" s="1674">
        <f t="shared" si="30"/>
        <v>0</v>
      </c>
      <c r="R175" s="2001">
        <f t="shared" si="31"/>
        <v>0</v>
      </c>
      <c r="V175" s="2001"/>
      <c r="W175" s="2005"/>
      <c r="X175" s="2001"/>
      <c r="AA175" s="2001" t="s">
        <v>2360</v>
      </c>
      <c r="AB175" s="2005" t="s">
        <v>8945</v>
      </c>
      <c r="AD175" s="2001"/>
    </row>
    <row r="176" spans="1:30" ht="14.1" customHeight="1">
      <c r="B176" s="2024"/>
      <c r="F176" s="1674" t="s">
        <v>2360</v>
      </c>
      <c r="H176" s="1674">
        <f t="shared" si="32"/>
        <v>0</v>
      </c>
      <c r="I176" s="1674">
        <f t="shared" si="22"/>
        <v>0</v>
      </c>
      <c r="J176" s="2001">
        <f t="shared" si="23"/>
        <v>0</v>
      </c>
      <c r="K176" s="2005">
        <f t="shared" si="24"/>
        <v>0</v>
      </c>
      <c r="L176" s="2001">
        <f t="shared" si="25"/>
        <v>0</v>
      </c>
      <c r="M176" s="1674">
        <f t="shared" si="26"/>
        <v>0</v>
      </c>
      <c r="N176" s="1674">
        <f t="shared" si="27"/>
        <v>0</v>
      </c>
      <c r="O176" s="2001" t="str">
        <f t="shared" si="28"/>
        <v/>
      </c>
      <c r="P176" s="2005" t="str">
        <f t="shared" si="29"/>
        <v>Historical Prior Year Ended 12/31/2023</v>
      </c>
      <c r="Q176" s="1674">
        <f t="shared" si="30"/>
        <v>0</v>
      </c>
      <c r="R176" s="2001">
        <f t="shared" si="31"/>
        <v>0</v>
      </c>
      <c r="V176" s="2001"/>
      <c r="W176" s="2005"/>
      <c r="X176" s="2001"/>
      <c r="AA176" s="2001" t="s">
        <v>2360</v>
      </c>
      <c r="AB176" s="2005" t="s">
        <v>8946</v>
      </c>
      <c r="AD176" s="2001"/>
    </row>
    <row r="177" spans="1:30" ht="14.1" customHeight="1">
      <c r="B177" s="2024"/>
      <c r="H177" s="1674">
        <f t="shared" si="32"/>
        <v>0</v>
      </c>
      <c r="I177" s="1674">
        <f t="shared" si="22"/>
        <v>0</v>
      </c>
      <c r="J177" s="2001">
        <f t="shared" si="23"/>
        <v>0</v>
      </c>
      <c r="K177" s="2005">
        <f t="shared" si="24"/>
        <v>0</v>
      </c>
      <c r="L177" s="2001">
        <f t="shared" si="25"/>
        <v>0</v>
      </c>
      <c r="M177" s="1674">
        <f t="shared" si="26"/>
        <v>0</v>
      </c>
      <c r="N177" s="1674">
        <f t="shared" si="27"/>
        <v>0</v>
      </c>
      <c r="O177" s="2001">
        <f t="shared" si="28"/>
        <v>0</v>
      </c>
      <c r="P177" s="2005" t="str">
        <f t="shared" si="29"/>
        <v>Witness: D. Avellan</v>
      </c>
      <c r="Q177" s="1674">
        <f t="shared" si="30"/>
        <v>0</v>
      </c>
      <c r="R177" s="2001">
        <f t="shared" si="31"/>
        <v>0</v>
      </c>
      <c r="V177" s="2001"/>
      <c r="W177" s="2005"/>
      <c r="X177" s="2001"/>
      <c r="AA177" s="2001"/>
      <c r="AB177" s="2005" t="s">
        <v>8160</v>
      </c>
      <c r="AD177" s="2001"/>
    </row>
    <row r="178" spans="1:30" ht="14.1" customHeight="1" thickBot="1">
      <c r="A178" s="1997" t="s">
        <v>8158</v>
      </c>
      <c r="B178" s="2025"/>
      <c r="C178" s="1997"/>
      <c r="D178" s="1997"/>
      <c r="E178" s="1997"/>
      <c r="F178" s="1997" t="s">
        <v>2360</v>
      </c>
      <c r="G178" s="1997"/>
      <c r="H178" s="2008" t="str">
        <f t="shared" si="32"/>
        <v>(Dollars in cents)</v>
      </c>
      <c r="I178" s="1997">
        <f t="shared" si="22"/>
        <v>0</v>
      </c>
      <c r="J178" s="1997">
        <f t="shared" si="23"/>
        <v>0</v>
      </c>
      <c r="K178" s="1997">
        <f t="shared" si="24"/>
        <v>0</v>
      </c>
      <c r="L178" s="1997">
        <f t="shared" si="25"/>
        <v>0</v>
      </c>
      <c r="M178" s="1997">
        <f t="shared" si="26"/>
        <v>0</v>
      </c>
      <c r="N178" s="1997">
        <f t="shared" si="27"/>
        <v>0</v>
      </c>
      <c r="O178" s="1998">
        <f t="shared" si="28"/>
        <v>0</v>
      </c>
      <c r="P178" s="1997" t="str">
        <f t="shared" si="29"/>
        <v xml:space="preserve"> </v>
      </c>
      <c r="Q178" s="1997">
        <f t="shared" si="30"/>
        <v>0</v>
      </c>
      <c r="R178" s="1997">
        <f t="shared" si="31"/>
        <v>0</v>
      </c>
      <c r="T178" s="2008" t="s">
        <v>8159</v>
      </c>
      <c r="U178" s="1997"/>
      <c r="V178" s="1997"/>
      <c r="W178" s="1997"/>
      <c r="X178" s="1997"/>
      <c r="Y178" s="1997"/>
      <c r="Z178" s="1997"/>
      <c r="AA178" s="1998"/>
      <c r="AB178" s="1997" t="s">
        <v>2477</v>
      </c>
      <c r="AC178" s="1997"/>
      <c r="AD178" s="1997"/>
    </row>
    <row r="179" spans="1:30" ht="14.1" customHeight="1">
      <c r="C179" s="2009"/>
      <c r="D179" s="2009"/>
      <c r="E179" s="2009"/>
      <c r="F179" s="2009"/>
      <c r="G179" s="2009"/>
      <c r="H179" s="2009">
        <f t="shared" si="32"/>
        <v>0</v>
      </c>
      <c r="I179" s="2009">
        <f t="shared" si="22"/>
        <v>0</v>
      </c>
      <c r="J179" s="2009">
        <f t="shared" si="23"/>
        <v>0</v>
      </c>
      <c r="K179" s="2009">
        <f t="shared" si="24"/>
        <v>0</v>
      </c>
      <c r="L179" s="2009">
        <f t="shared" si="25"/>
        <v>0</v>
      </c>
      <c r="M179" s="2009">
        <f t="shared" si="26"/>
        <v>0</v>
      </c>
      <c r="N179" s="2009">
        <f t="shared" si="27"/>
        <v>0</v>
      </c>
      <c r="O179" s="2010">
        <f t="shared" si="28"/>
        <v>0</v>
      </c>
      <c r="P179" s="2009">
        <f t="shared" si="29"/>
        <v>0</v>
      </c>
      <c r="Q179" s="2009">
        <f t="shared" si="30"/>
        <v>0</v>
      </c>
      <c r="R179" s="2009">
        <f t="shared" si="31"/>
        <v>0</v>
      </c>
      <c r="T179" s="2009"/>
      <c r="U179" s="2009"/>
      <c r="V179" s="2009"/>
      <c r="W179" s="2009"/>
      <c r="X179" s="2009"/>
      <c r="Y179" s="2009"/>
      <c r="Z179" s="2009"/>
      <c r="AA179" s="2010"/>
      <c r="AB179" s="2009"/>
      <c r="AC179" s="2009"/>
      <c r="AD179" s="2009"/>
    </row>
    <row r="180" spans="1:30" ht="14.1" customHeight="1">
      <c r="C180" s="2009" t="s">
        <v>2306</v>
      </c>
      <c r="D180" s="2009" t="s">
        <v>2307</v>
      </c>
      <c r="E180" s="2009"/>
      <c r="F180" s="2009" t="s">
        <v>2308</v>
      </c>
      <c r="G180" s="2009"/>
      <c r="H180" s="2009" t="str">
        <f t="shared" si="32"/>
        <v>(4)</v>
      </c>
      <c r="I180" s="2009">
        <f t="shared" si="22"/>
        <v>0</v>
      </c>
      <c r="J180" s="1675" t="str">
        <f t="shared" si="23"/>
        <v>(5)</v>
      </c>
      <c r="K180" s="1675">
        <f t="shared" si="24"/>
        <v>0</v>
      </c>
      <c r="L180" s="2009" t="str">
        <f t="shared" si="25"/>
        <v>(6)</v>
      </c>
      <c r="M180" s="2009">
        <f t="shared" si="26"/>
        <v>0</v>
      </c>
      <c r="N180" s="2009" t="str">
        <f t="shared" si="27"/>
        <v>(7)</v>
      </c>
      <c r="O180" s="2010">
        <f t="shared" si="28"/>
        <v>0</v>
      </c>
      <c r="P180" s="2009" t="str">
        <f t="shared" si="29"/>
        <v>(8)</v>
      </c>
      <c r="Q180" s="2009">
        <f t="shared" si="30"/>
        <v>0</v>
      </c>
      <c r="R180" s="2009" t="str">
        <f t="shared" si="31"/>
        <v>(9)</v>
      </c>
      <c r="T180" s="2009" t="s">
        <v>2309</v>
      </c>
      <c r="U180" s="2009"/>
      <c r="V180" s="1675" t="s">
        <v>2310</v>
      </c>
      <c r="W180" s="1675"/>
      <c r="X180" s="2009" t="s">
        <v>2311</v>
      </c>
      <c r="Y180" s="2009"/>
      <c r="Z180" s="2009" t="s">
        <v>2312</v>
      </c>
      <c r="AA180" s="2010"/>
      <c r="AB180" s="2009" t="s">
        <v>2313</v>
      </c>
      <c r="AC180" s="2009"/>
      <c r="AD180" s="2009" t="s">
        <v>2314</v>
      </c>
    </row>
    <row r="181" spans="1:30" ht="14.1" customHeight="1">
      <c r="C181" s="1675" t="s">
        <v>2429</v>
      </c>
      <c r="D181" s="1675" t="s">
        <v>2429</v>
      </c>
      <c r="F181" s="1675" t="s">
        <v>1537</v>
      </c>
      <c r="G181" s="1675"/>
      <c r="H181" s="2009" t="str">
        <f t="shared" si="32"/>
        <v>Plant</v>
      </c>
      <c r="I181" s="1675">
        <f t="shared" si="22"/>
        <v>0</v>
      </c>
      <c r="J181" s="2009" t="str">
        <f t="shared" si="23"/>
        <v>Total</v>
      </c>
      <c r="K181" s="1675">
        <f t="shared" si="24"/>
        <v>0</v>
      </c>
      <c r="L181" s="1675" t="str">
        <f t="shared" si="25"/>
        <v>Total</v>
      </c>
      <c r="M181" s="1675">
        <f t="shared" si="26"/>
        <v>0</v>
      </c>
      <c r="N181" s="1674">
        <f t="shared" si="27"/>
        <v>0</v>
      </c>
      <c r="O181" s="2001">
        <f t="shared" si="28"/>
        <v>0</v>
      </c>
      <c r="P181" s="1675" t="str">
        <f t="shared" si="29"/>
        <v>Plant</v>
      </c>
      <c r="Q181" s="1674">
        <f t="shared" si="30"/>
        <v>0</v>
      </c>
      <c r="R181" s="1675">
        <f t="shared" si="31"/>
        <v>0</v>
      </c>
      <c r="T181" s="2009" t="s">
        <v>1823</v>
      </c>
      <c r="U181" s="1675"/>
      <c r="V181" s="2009" t="s">
        <v>122</v>
      </c>
      <c r="W181" s="1675"/>
      <c r="X181" s="1675" t="s">
        <v>122</v>
      </c>
      <c r="Y181" s="1675"/>
      <c r="AA181" s="2001"/>
      <c r="AB181" s="1675" t="s">
        <v>1823</v>
      </c>
      <c r="AD181" s="1675"/>
    </row>
    <row r="182" spans="1:30" ht="14.1" customHeight="1">
      <c r="A182" s="1675" t="s">
        <v>2430</v>
      </c>
      <c r="B182" s="1675"/>
      <c r="C182" s="1675" t="s">
        <v>2431</v>
      </c>
      <c r="D182" s="1675" t="s">
        <v>2431</v>
      </c>
      <c r="E182" s="2009"/>
      <c r="F182" s="1675" t="s">
        <v>2432</v>
      </c>
      <c r="G182" s="1675"/>
      <c r="H182" s="1675" t="str">
        <f t="shared" si="32"/>
        <v>Balance</v>
      </c>
      <c r="I182" s="1675">
        <f t="shared" si="22"/>
        <v>0</v>
      </c>
      <c r="J182" s="1675" t="str">
        <f t="shared" si="23"/>
        <v>Plant</v>
      </c>
      <c r="K182" s="2009">
        <f t="shared" si="24"/>
        <v>0</v>
      </c>
      <c r="L182" s="1675" t="str">
        <f t="shared" si="25"/>
        <v>Plant</v>
      </c>
      <c r="M182" s="2005">
        <f t="shared" si="26"/>
        <v>0</v>
      </c>
      <c r="N182" s="1675" t="str">
        <f t="shared" si="27"/>
        <v>Adjustments</v>
      </c>
      <c r="O182" s="2010">
        <f t="shared" si="28"/>
        <v>0</v>
      </c>
      <c r="P182" s="2009" t="str">
        <f t="shared" si="29"/>
        <v>Balance</v>
      </c>
      <c r="Q182" s="2009">
        <f t="shared" si="30"/>
        <v>0</v>
      </c>
      <c r="R182" s="1675" t="str">
        <f t="shared" si="31"/>
        <v>13-Month</v>
      </c>
      <c r="T182" s="1675" t="s">
        <v>2433</v>
      </c>
      <c r="U182" s="1675"/>
      <c r="V182" s="1675" t="s">
        <v>1823</v>
      </c>
      <c r="W182" s="2009"/>
      <c r="X182" s="1675" t="s">
        <v>1823</v>
      </c>
      <c r="Y182" s="2005"/>
      <c r="Z182" s="1675" t="s">
        <v>593</v>
      </c>
      <c r="AA182" s="2010"/>
      <c r="AB182" s="2009" t="s">
        <v>2433</v>
      </c>
      <c r="AC182" s="2009"/>
      <c r="AD182" s="1675" t="s">
        <v>2434</v>
      </c>
    </row>
    <row r="183" spans="1:30" ht="14.1" customHeight="1" thickBot="1">
      <c r="A183" s="2008" t="s">
        <v>2435</v>
      </c>
      <c r="B183" s="2008"/>
      <c r="C183" s="2008" t="s">
        <v>2436</v>
      </c>
      <c r="D183" s="2008" t="s">
        <v>2437</v>
      </c>
      <c r="E183" s="2008"/>
      <c r="F183" s="2011" t="s">
        <v>2438</v>
      </c>
      <c r="G183" s="2011"/>
      <c r="H183" s="2011" t="str">
        <f t="shared" si="32"/>
        <v>Beg. of Year</v>
      </c>
      <c r="I183" s="2012">
        <f t="shared" si="22"/>
        <v>0</v>
      </c>
      <c r="J183" s="2011" t="str">
        <f t="shared" si="23"/>
        <v>Added</v>
      </c>
      <c r="K183" s="2012">
        <f t="shared" si="24"/>
        <v>0</v>
      </c>
      <c r="L183" s="2012" t="str">
        <f t="shared" si="25"/>
        <v>Retired</v>
      </c>
      <c r="M183" s="2013">
        <f t="shared" si="26"/>
        <v>0</v>
      </c>
      <c r="N183" s="2013" t="str">
        <f t="shared" si="27"/>
        <v>or Transfers</v>
      </c>
      <c r="O183" s="2014">
        <f t="shared" si="28"/>
        <v>0</v>
      </c>
      <c r="P183" s="2013" t="str">
        <f t="shared" si="29"/>
        <v>End of Year</v>
      </c>
      <c r="Q183" s="2013">
        <f t="shared" si="30"/>
        <v>0</v>
      </c>
      <c r="R183" s="2013" t="str">
        <f t="shared" si="31"/>
        <v>Average</v>
      </c>
      <c r="T183" s="2011" t="s">
        <v>2439</v>
      </c>
      <c r="U183" s="2012"/>
      <c r="V183" s="2011" t="s">
        <v>2440</v>
      </c>
      <c r="W183" s="2012"/>
      <c r="X183" s="2012" t="s">
        <v>2441</v>
      </c>
      <c r="Y183" s="2013"/>
      <c r="Z183" s="2013" t="s">
        <v>2442</v>
      </c>
      <c r="AA183" s="2014"/>
      <c r="AB183" s="2013" t="s">
        <v>2443</v>
      </c>
      <c r="AC183" s="2013"/>
      <c r="AD183" s="2013" t="s">
        <v>2444</v>
      </c>
    </row>
    <row r="184" spans="1:30" ht="14.1" customHeight="1">
      <c r="A184" s="1675">
        <v>1</v>
      </c>
      <c r="B184" s="1675"/>
      <c r="H184" s="1674">
        <f t="shared" si="32"/>
        <v>0</v>
      </c>
      <c r="I184" s="1674">
        <f t="shared" si="22"/>
        <v>0</v>
      </c>
      <c r="J184" s="1674">
        <f t="shared" si="23"/>
        <v>0</v>
      </c>
      <c r="K184" s="1674">
        <f t="shared" si="24"/>
        <v>0</v>
      </c>
      <c r="L184" s="1674">
        <f t="shared" si="25"/>
        <v>0</v>
      </c>
      <c r="M184" s="1674">
        <f t="shared" si="26"/>
        <v>0</v>
      </c>
      <c r="N184" s="1674">
        <f t="shared" si="27"/>
        <v>0</v>
      </c>
      <c r="O184" s="2001">
        <f t="shared" si="28"/>
        <v>0</v>
      </c>
      <c r="P184" s="1674">
        <f t="shared" si="29"/>
        <v>0</v>
      </c>
      <c r="Q184" s="1674">
        <f t="shared" si="30"/>
        <v>0</v>
      </c>
      <c r="R184" s="1674">
        <f t="shared" si="31"/>
        <v>0</v>
      </c>
      <c r="AA184" s="2001"/>
    </row>
    <row r="185" spans="1:30" ht="14.1" customHeight="1">
      <c r="A185" s="1675">
        <v>2</v>
      </c>
      <c r="B185" s="1675"/>
      <c r="D185" s="1674" t="s">
        <v>2493</v>
      </c>
      <c r="H185" s="1674">
        <f t="shared" si="32"/>
        <v>0</v>
      </c>
      <c r="I185" s="1785">
        <f t="shared" si="22"/>
        <v>0</v>
      </c>
      <c r="J185" s="1674">
        <f t="shared" si="23"/>
        <v>0</v>
      </c>
      <c r="K185" s="1785">
        <f t="shared" si="24"/>
        <v>0</v>
      </c>
      <c r="L185" s="1674">
        <f t="shared" si="25"/>
        <v>0</v>
      </c>
      <c r="M185" s="1785">
        <f t="shared" si="26"/>
        <v>0</v>
      </c>
      <c r="N185" s="1674">
        <f t="shared" si="27"/>
        <v>0</v>
      </c>
      <c r="O185" s="1785">
        <f t="shared" si="28"/>
        <v>0</v>
      </c>
      <c r="P185" s="1674">
        <f t="shared" si="29"/>
        <v>0</v>
      </c>
      <c r="Q185" s="1785">
        <f t="shared" si="30"/>
        <v>0</v>
      </c>
      <c r="R185" s="1674">
        <f t="shared" si="31"/>
        <v>0</v>
      </c>
      <c r="U185" s="1785"/>
      <c r="W185" s="1785"/>
      <c r="Y185" s="1785"/>
      <c r="AA185" s="1785"/>
      <c r="AC185" s="1785"/>
    </row>
    <row r="186" spans="1:30" ht="14.1" customHeight="1">
      <c r="A186" s="1675">
        <v>3</v>
      </c>
      <c r="B186" s="1675"/>
      <c r="C186" s="1675"/>
      <c r="D186" s="2002" t="s">
        <v>2494</v>
      </c>
      <c r="F186" s="2023"/>
      <c r="G186" s="2030"/>
      <c r="H186" s="1790">
        <f t="shared" si="32"/>
        <v>0</v>
      </c>
      <c r="I186" s="1785">
        <f t="shared" si="22"/>
        <v>0</v>
      </c>
      <c r="J186" s="2031">
        <f t="shared" si="23"/>
        <v>0</v>
      </c>
      <c r="K186" s="1785">
        <f t="shared" si="24"/>
        <v>0</v>
      </c>
      <c r="L186" s="2031">
        <f t="shared" si="25"/>
        <v>0</v>
      </c>
      <c r="M186" s="1785">
        <f t="shared" si="26"/>
        <v>0</v>
      </c>
      <c r="N186" s="2031">
        <f t="shared" si="27"/>
        <v>0</v>
      </c>
      <c r="O186" s="1785">
        <f t="shared" si="28"/>
        <v>0</v>
      </c>
      <c r="P186" s="2031">
        <f t="shared" si="29"/>
        <v>0</v>
      </c>
      <c r="Q186" s="1785">
        <f t="shared" si="30"/>
        <v>0</v>
      </c>
      <c r="R186" s="2031">
        <f t="shared" si="31"/>
        <v>0</v>
      </c>
      <c r="T186" s="1790"/>
      <c r="U186" s="1785"/>
      <c r="V186" s="2031"/>
      <c r="W186" s="1785"/>
      <c r="X186" s="2031"/>
      <c r="Y186" s="1785"/>
      <c r="Z186" s="2031"/>
      <c r="AA186" s="1785"/>
      <c r="AB186" s="2031"/>
      <c r="AC186" s="1785"/>
      <c r="AD186" s="2031"/>
    </row>
    <row r="187" spans="1:30" ht="14.1" customHeight="1">
      <c r="A187" s="1675">
        <v>4</v>
      </c>
      <c r="B187" s="1675"/>
      <c r="C187" s="2009">
        <v>34180</v>
      </c>
      <c r="D187" s="1674" t="s">
        <v>2449</v>
      </c>
      <c r="F187" s="2019">
        <v>2.98</v>
      </c>
      <c r="G187" s="2001"/>
      <c r="H187" s="1876">
        <f t="shared" si="32"/>
        <v>193028.87769000002</v>
      </c>
      <c r="I187" s="1785">
        <f t="shared" si="22"/>
        <v>0</v>
      </c>
      <c r="J187" s="1876">
        <f t="shared" si="23"/>
        <v>0</v>
      </c>
      <c r="K187" s="1786">
        <f t="shared" si="24"/>
        <v>0</v>
      </c>
      <c r="L187" s="1876">
        <f t="shared" si="25"/>
        <v>0</v>
      </c>
      <c r="M187" s="1786">
        <f t="shared" si="26"/>
        <v>0</v>
      </c>
      <c r="N187" s="1876">
        <f t="shared" si="27"/>
        <v>0</v>
      </c>
      <c r="O187" s="1785">
        <f t="shared" si="28"/>
        <v>0</v>
      </c>
      <c r="P187" s="1787">
        <f t="shared" si="29"/>
        <v>193028.87769000002</v>
      </c>
      <c r="Q187" s="1786">
        <f t="shared" si="30"/>
        <v>0</v>
      </c>
      <c r="R187" s="1876">
        <f t="shared" si="31"/>
        <v>193028.87768999999</v>
      </c>
      <c r="T187" s="1876">
        <v>193028877.69000003</v>
      </c>
      <c r="U187" s="1785"/>
      <c r="V187" s="1876">
        <v>0</v>
      </c>
      <c r="W187" s="1786"/>
      <c r="X187" s="1876">
        <v>0</v>
      </c>
      <c r="Y187" s="1786"/>
      <c r="Z187" s="1876">
        <v>0</v>
      </c>
      <c r="AA187" s="1785"/>
      <c r="AB187" s="1787">
        <v>193028877.69000003</v>
      </c>
      <c r="AC187" s="1786"/>
      <c r="AD187" s="1876">
        <v>193028877.69</v>
      </c>
    </row>
    <row r="188" spans="1:30" ht="14.1" customHeight="1">
      <c r="A188" s="1675">
        <v>5</v>
      </c>
      <c r="B188" s="1675"/>
      <c r="C188" s="2009">
        <v>34280</v>
      </c>
      <c r="D188" s="1674" t="s">
        <v>2495</v>
      </c>
      <c r="F188" s="2019">
        <v>3.18</v>
      </c>
      <c r="G188" s="2001"/>
      <c r="H188" s="1876">
        <f t="shared" si="32"/>
        <v>12463.388849999996</v>
      </c>
      <c r="I188" s="1785">
        <f t="shared" si="22"/>
        <v>0</v>
      </c>
      <c r="J188" s="1876">
        <f t="shared" si="23"/>
        <v>3094.8429799999999</v>
      </c>
      <c r="K188" s="1786">
        <f t="shared" si="24"/>
        <v>0</v>
      </c>
      <c r="L188" s="1876">
        <f t="shared" si="25"/>
        <v>-618.96858999999995</v>
      </c>
      <c r="M188" s="1786">
        <f t="shared" si="26"/>
        <v>0</v>
      </c>
      <c r="N188" s="1876">
        <f t="shared" si="27"/>
        <v>0</v>
      </c>
      <c r="O188" s="1785">
        <f t="shared" si="28"/>
        <v>0</v>
      </c>
      <c r="P188" s="1787">
        <f t="shared" si="29"/>
        <v>14939.263239999997</v>
      </c>
      <c r="Q188" s="1786">
        <f t="shared" si="30"/>
        <v>0</v>
      </c>
      <c r="R188" s="1876">
        <f t="shared" si="31"/>
        <v>13157.136470000001</v>
      </c>
      <c r="T188" s="1876">
        <v>12463388.849999996</v>
      </c>
      <c r="U188" s="1785"/>
      <c r="V188" s="1876">
        <v>3094842.98</v>
      </c>
      <c r="W188" s="1786"/>
      <c r="X188" s="1876">
        <v>-618968.59</v>
      </c>
      <c r="Y188" s="1786"/>
      <c r="Z188" s="1876">
        <v>0</v>
      </c>
      <c r="AA188" s="1785"/>
      <c r="AB188" s="1787">
        <v>14939263.239999996</v>
      </c>
      <c r="AC188" s="1786"/>
      <c r="AD188" s="1876">
        <v>13157136.470000001</v>
      </c>
    </row>
    <row r="189" spans="1:30" ht="14.1" customHeight="1">
      <c r="A189" s="1675">
        <v>6</v>
      </c>
      <c r="B189" s="1675"/>
      <c r="C189" s="2009">
        <v>34380</v>
      </c>
      <c r="D189" s="1674" t="s">
        <v>2496</v>
      </c>
      <c r="F189" s="2019">
        <v>3.7800000000000002</v>
      </c>
      <c r="G189" s="2001"/>
      <c r="H189" s="1876">
        <f t="shared" si="32"/>
        <v>13374.221219999996</v>
      </c>
      <c r="I189" s="1785">
        <f t="shared" si="22"/>
        <v>0</v>
      </c>
      <c r="J189" s="1876">
        <f t="shared" si="23"/>
        <v>3094.8429799999999</v>
      </c>
      <c r="K189" s="1786">
        <f t="shared" si="24"/>
        <v>0</v>
      </c>
      <c r="L189" s="1876">
        <f t="shared" si="25"/>
        <v>-618.96858999999995</v>
      </c>
      <c r="M189" s="1786">
        <f t="shared" si="26"/>
        <v>0</v>
      </c>
      <c r="N189" s="1876">
        <f t="shared" si="27"/>
        <v>0</v>
      </c>
      <c r="O189" s="1785">
        <f t="shared" si="28"/>
        <v>0</v>
      </c>
      <c r="P189" s="1787">
        <f t="shared" si="29"/>
        <v>15850.095609999995</v>
      </c>
      <c r="Q189" s="1786">
        <f t="shared" si="30"/>
        <v>0</v>
      </c>
      <c r="R189" s="1876">
        <f t="shared" si="31"/>
        <v>14067.96884</v>
      </c>
      <c r="T189" s="1876">
        <v>13374221.219999995</v>
      </c>
      <c r="U189" s="1785"/>
      <c r="V189" s="1876">
        <v>3094842.98</v>
      </c>
      <c r="W189" s="1786"/>
      <c r="X189" s="1876">
        <v>-618968.59</v>
      </c>
      <c r="Y189" s="1786"/>
      <c r="Z189" s="1876">
        <v>0</v>
      </c>
      <c r="AA189" s="1785"/>
      <c r="AB189" s="1787">
        <v>15850095.609999996</v>
      </c>
      <c r="AC189" s="1786"/>
      <c r="AD189" s="1876">
        <v>14067968.84</v>
      </c>
    </row>
    <row r="190" spans="1:30" ht="14.1" customHeight="1">
      <c r="A190" s="1675">
        <v>7</v>
      </c>
      <c r="B190" s="1675"/>
      <c r="C190" s="2009">
        <v>34580</v>
      </c>
      <c r="D190" s="1674" t="s">
        <v>2454</v>
      </c>
      <c r="F190" s="2019">
        <v>2.84</v>
      </c>
      <c r="G190" s="2001"/>
      <c r="H190" s="1876">
        <f t="shared" si="32"/>
        <v>14500.596529999997</v>
      </c>
      <c r="I190" s="1785">
        <f t="shared" si="22"/>
        <v>0</v>
      </c>
      <c r="J190" s="1876">
        <f t="shared" si="23"/>
        <v>0</v>
      </c>
      <c r="K190" s="1786">
        <f t="shared" si="24"/>
        <v>0</v>
      </c>
      <c r="L190" s="1876">
        <f t="shared" si="25"/>
        <v>0</v>
      </c>
      <c r="M190" s="1786">
        <f t="shared" si="26"/>
        <v>0</v>
      </c>
      <c r="N190" s="1876">
        <f t="shared" si="27"/>
        <v>0</v>
      </c>
      <c r="O190" s="1785">
        <f t="shared" si="28"/>
        <v>0</v>
      </c>
      <c r="P190" s="1787">
        <f t="shared" si="29"/>
        <v>14500.596529999997</v>
      </c>
      <c r="Q190" s="1786">
        <f t="shared" si="30"/>
        <v>0</v>
      </c>
      <c r="R190" s="1876">
        <f t="shared" si="31"/>
        <v>14500.596529999999</v>
      </c>
      <c r="T190" s="1876">
        <v>14500596.529999997</v>
      </c>
      <c r="U190" s="1785"/>
      <c r="V190" s="1876">
        <v>0</v>
      </c>
      <c r="W190" s="1786"/>
      <c r="X190" s="1876">
        <v>0</v>
      </c>
      <c r="Y190" s="1786"/>
      <c r="Z190" s="1876">
        <v>0</v>
      </c>
      <c r="AA190" s="1785"/>
      <c r="AB190" s="1787">
        <v>14500596.529999997</v>
      </c>
      <c r="AC190" s="1786"/>
      <c r="AD190" s="1876">
        <v>14500596.529999999</v>
      </c>
    </row>
    <row r="191" spans="1:30" ht="14.1" customHeight="1">
      <c r="A191" s="1675">
        <v>8</v>
      </c>
      <c r="B191" s="1675"/>
      <c r="C191" s="2009">
        <v>34680</v>
      </c>
      <c r="D191" s="1674" t="s">
        <v>2455</v>
      </c>
      <c r="F191" s="2019">
        <v>4.67</v>
      </c>
      <c r="G191" s="2001"/>
      <c r="H191" s="1876">
        <f t="shared" si="32"/>
        <v>1259.5077800000001</v>
      </c>
      <c r="I191" s="1785">
        <f t="shared" si="22"/>
        <v>0</v>
      </c>
      <c r="J191" s="1876">
        <f t="shared" si="23"/>
        <v>0</v>
      </c>
      <c r="K191" s="1786">
        <f t="shared" si="24"/>
        <v>0</v>
      </c>
      <c r="L191" s="1876">
        <f t="shared" si="25"/>
        <v>0</v>
      </c>
      <c r="M191" s="1786">
        <f t="shared" si="26"/>
        <v>0</v>
      </c>
      <c r="N191" s="1876">
        <f t="shared" si="27"/>
        <v>0</v>
      </c>
      <c r="O191" s="1785">
        <f t="shared" si="28"/>
        <v>0</v>
      </c>
      <c r="P191" s="1787">
        <f t="shared" si="29"/>
        <v>1259.5077800000001</v>
      </c>
      <c r="Q191" s="1786">
        <f t="shared" si="30"/>
        <v>0</v>
      </c>
      <c r="R191" s="1876">
        <f t="shared" si="31"/>
        <v>1259.5077800000001</v>
      </c>
      <c r="T191" s="1876">
        <v>1259507.78</v>
      </c>
      <c r="U191" s="1785"/>
      <c r="V191" s="1876">
        <v>0</v>
      </c>
      <c r="W191" s="1786"/>
      <c r="X191" s="1876">
        <v>0</v>
      </c>
      <c r="Y191" s="1786"/>
      <c r="Z191" s="1876">
        <v>0</v>
      </c>
      <c r="AA191" s="1785"/>
      <c r="AB191" s="1787">
        <v>1259507.78</v>
      </c>
      <c r="AC191" s="1786"/>
      <c r="AD191" s="1876">
        <v>1259507.78</v>
      </c>
    </row>
    <row r="192" spans="1:30" ht="14.1" customHeight="1">
      <c r="A192" s="1675">
        <v>9</v>
      </c>
      <c r="B192" s="2015"/>
      <c r="C192" s="1675"/>
      <c r="D192" s="1674" t="s">
        <v>2497</v>
      </c>
      <c r="F192" s="2019"/>
      <c r="H192" s="1788">
        <f t="shared" si="32"/>
        <v>234626.59207000001</v>
      </c>
      <c r="I192" s="1790">
        <f t="shared" si="22"/>
        <v>0</v>
      </c>
      <c r="J192" s="1788">
        <f t="shared" si="23"/>
        <v>6189.6859599999998</v>
      </c>
      <c r="K192" s="1790">
        <f t="shared" si="24"/>
        <v>0</v>
      </c>
      <c r="L192" s="1788">
        <f t="shared" si="25"/>
        <v>-1237.9371799999999</v>
      </c>
      <c r="M192" s="1790">
        <f t="shared" si="26"/>
        <v>0</v>
      </c>
      <c r="N192" s="1788">
        <f t="shared" si="27"/>
        <v>0</v>
      </c>
      <c r="O192" s="1790">
        <f t="shared" si="28"/>
        <v>0</v>
      </c>
      <c r="P192" s="1788">
        <f t="shared" si="29"/>
        <v>239578.34085000004</v>
      </c>
      <c r="Q192" s="1790">
        <f t="shared" si="30"/>
        <v>0</v>
      </c>
      <c r="R192" s="1788">
        <f t="shared" si="31"/>
        <v>236014.08731</v>
      </c>
      <c r="T192" s="1788">
        <v>234626592.07000002</v>
      </c>
      <c r="U192" s="1790"/>
      <c r="V192" s="1788">
        <v>6189685.96</v>
      </c>
      <c r="W192" s="1790"/>
      <c r="X192" s="1788">
        <v>-1237937.18</v>
      </c>
      <c r="Y192" s="1790"/>
      <c r="Z192" s="1788">
        <v>0</v>
      </c>
      <c r="AA192" s="1790"/>
      <c r="AB192" s="1788">
        <v>239578340.85000002</v>
      </c>
      <c r="AC192" s="1790"/>
      <c r="AD192" s="1788">
        <v>236014087.31</v>
      </c>
    </row>
    <row r="193" spans="1:30" ht="14.1" customHeight="1">
      <c r="A193" s="1675">
        <v>10</v>
      </c>
      <c r="B193" s="2015"/>
      <c r="F193" s="2020"/>
      <c r="H193" s="1674">
        <f t="shared" si="32"/>
        <v>0</v>
      </c>
      <c r="I193" s="1674">
        <f t="shared" si="22"/>
        <v>0</v>
      </c>
      <c r="J193" s="1674">
        <f t="shared" si="23"/>
        <v>0</v>
      </c>
      <c r="K193" s="1674">
        <f t="shared" si="24"/>
        <v>0</v>
      </c>
      <c r="L193" s="1674">
        <f t="shared" si="25"/>
        <v>0</v>
      </c>
      <c r="M193" s="1674">
        <f t="shared" si="26"/>
        <v>0</v>
      </c>
      <c r="N193" s="1674">
        <f t="shared" si="27"/>
        <v>0</v>
      </c>
      <c r="O193" s="2001">
        <f t="shared" si="28"/>
        <v>0</v>
      </c>
      <c r="P193" s="1674">
        <f t="shared" si="29"/>
        <v>0</v>
      </c>
      <c r="Q193" s="1674">
        <f t="shared" si="30"/>
        <v>0</v>
      </c>
      <c r="R193" s="1674">
        <f t="shared" si="31"/>
        <v>0</v>
      </c>
      <c r="AA193" s="2001"/>
    </row>
    <row r="194" spans="1:30" ht="14.1" customHeight="1">
      <c r="A194" s="1675">
        <v>11</v>
      </c>
      <c r="B194" s="2015"/>
      <c r="D194" s="1674" t="s">
        <v>2498</v>
      </c>
      <c r="F194" s="2019"/>
      <c r="G194" s="2030"/>
      <c r="H194" s="1789">
        <f t="shared" si="32"/>
        <v>0</v>
      </c>
      <c r="I194" s="1785">
        <f t="shared" si="22"/>
        <v>0</v>
      </c>
      <c r="J194" s="1789">
        <f t="shared" si="23"/>
        <v>0</v>
      </c>
      <c r="K194" s="1785">
        <f t="shared" si="24"/>
        <v>0</v>
      </c>
      <c r="L194" s="1790">
        <f t="shared" si="25"/>
        <v>0</v>
      </c>
      <c r="M194" s="1785">
        <f t="shared" si="26"/>
        <v>0</v>
      </c>
      <c r="N194" s="1790">
        <f t="shared" si="27"/>
        <v>0</v>
      </c>
      <c r="O194" s="1785">
        <f t="shared" si="28"/>
        <v>0</v>
      </c>
      <c r="P194" s="1790">
        <f t="shared" si="29"/>
        <v>0</v>
      </c>
      <c r="Q194" s="1785">
        <f t="shared" si="30"/>
        <v>0</v>
      </c>
      <c r="R194" s="1790">
        <f t="shared" si="31"/>
        <v>0</v>
      </c>
      <c r="T194" s="1789"/>
      <c r="U194" s="1785"/>
      <c r="V194" s="1789"/>
      <c r="W194" s="1785"/>
      <c r="X194" s="1790"/>
      <c r="Y194" s="1785"/>
      <c r="Z194" s="1790"/>
      <c r="AA194" s="1785"/>
      <c r="AB194" s="1790"/>
      <c r="AC194" s="1785"/>
      <c r="AD194" s="1790"/>
    </row>
    <row r="195" spans="1:30" ht="14.1" customHeight="1">
      <c r="A195" s="1675">
        <v>12</v>
      </c>
      <c r="B195" s="2015"/>
      <c r="C195" s="2009">
        <v>34181</v>
      </c>
      <c r="D195" s="1674" t="s">
        <v>2449</v>
      </c>
      <c r="F195" s="2019">
        <v>4.9000000000000004</v>
      </c>
      <c r="G195" s="2001"/>
      <c r="H195" s="1876">
        <f t="shared" si="32"/>
        <v>53101.275780000018</v>
      </c>
      <c r="I195" s="1785">
        <f t="shared" si="22"/>
        <v>0</v>
      </c>
      <c r="J195" s="1876">
        <f t="shared" si="23"/>
        <v>0</v>
      </c>
      <c r="K195" s="1786">
        <f t="shared" si="24"/>
        <v>0</v>
      </c>
      <c r="L195" s="1876">
        <f t="shared" si="25"/>
        <v>0</v>
      </c>
      <c r="M195" s="1786">
        <f t="shared" si="26"/>
        <v>0</v>
      </c>
      <c r="N195" s="1876">
        <f t="shared" si="27"/>
        <v>0</v>
      </c>
      <c r="O195" s="1785">
        <f t="shared" si="28"/>
        <v>0</v>
      </c>
      <c r="P195" s="1787">
        <f t="shared" si="29"/>
        <v>53101.275780000018</v>
      </c>
      <c r="Q195" s="1786">
        <f t="shared" si="30"/>
        <v>0</v>
      </c>
      <c r="R195" s="1876">
        <f t="shared" si="31"/>
        <v>53101.275780000004</v>
      </c>
      <c r="T195" s="1876">
        <v>53101275.780000016</v>
      </c>
      <c r="U195" s="1785"/>
      <c r="V195" s="1876">
        <v>0</v>
      </c>
      <c r="W195" s="1786"/>
      <c r="X195" s="1876">
        <v>0</v>
      </c>
      <c r="Y195" s="1786"/>
      <c r="Z195" s="1876">
        <v>0</v>
      </c>
      <c r="AA195" s="1785"/>
      <c r="AB195" s="1787">
        <v>53101275.780000016</v>
      </c>
      <c r="AC195" s="1786"/>
      <c r="AD195" s="1876">
        <v>53101275.780000001</v>
      </c>
    </row>
    <row r="196" spans="1:30" ht="14.1" customHeight="1">
      <c r="A196" s="1675">
        <v>13</v>
      </c>
      <c r="B196" s="2015"/>
      <c r="C196" s="2009">
        <v>34281</v>
      </c>
      <c r="D196" s="1674" t="s">
        <v>2495</v>
      </c>
      <c r="F196" s="2019">
        <v>3.73</v>
      </c>
      <c r="G196" s="2001"/>
      <c r="H196" s="1876">
        <f t="shared" si="32"/>
        <v>249190.68745500001</v>
      </c>
      <c r="I196" s="1785">
        <f t="shared" si="22"/>
        <v>0</v>
      </c>
      <c r="J196" s="1876">
        <f t="shared" si="23"/>
        <v>41699.077409999998</v>
      </c>
      <c r="K196" s="1786">
        <f t="shared" si="24"/>
        <v>0</v>
      </c>
      <c r="L196" s="1876">
        <f t="shared" si="25"/>
        <v>-282.92578000000003</v>
      </c>
      <c r="M196" s="1786">
        <f t="shared" si="26"/>
        <v>0</v>
      </c>
      <c r="N196" s="1876">
        <f t="shared" si="27"/>
        <v>0</v>
      </c>
      <c r="O196" s="1785">
        <f t="shared" si="28"/>
        <v>0</v>
      </c>
      <c r="P196" s="1787">
        <f t="shared" si="29"/>
        <v>290606.83908500004</v>
      </c>
      <c r="Q196" s="1786">
        <f t="shared" si="30"/>
        <v>0</v>
      </c>
      <c r="R196" s="1876">
        <f t="shared" si="31"/>
        <v>274202.64438000001</v>
      </c>
      <c r="T196" s="1876">
        <v>249190687.45500001</v>
      </c>
      <c r="U196" s="1785"/>
      <c r="V196" s="1876">
        <v>41699077.409999996</v>
      </c>
      <c r="W196" s="1786"/>
      <c r="X196" s="1876">
        <v>-282925.78000000003</v>
      </c>
      <c r="Y196" s="1786"/>
      <c r="Z196" s="1876">
        <v>0</v>
      </c>
      <c r="AA196" s="1785"/>
      <c r="AB196" s="1787">
        <v>290606839.08500004</v>
      </c>
      <c r="AC196" s="1786"/>
      <c r="AD196" s="1876">
        <v>274202644.38</v>
      </c>
    </row>
    <row r="197" spans="1:30" ht="14.1" customHeight="1">
      <c r="A197" s="1675">
        <v>14</v>
      </c>
      <c r="B197" s="2015"/>
      <c r="C197" s="2009">
        <v>34381</v>
      </c>
      <c r="D197" s="1674" t="s">
        <v>2496</v>
      </c>
      <c r="F197" s="2019">
        <v>4.28</v>
      </c>
      <c r="G197" s="2001"/>
      <c r="H197" s="1876">
        <f t="shared" si="32"/>
        <v>164019.28071499991</v>
      </c>
      <c r="I197" s="1785">
        <f t="shared" si="22"/>
        <v>0</v>
      </c>
      <c r="J197" s="1876">
        <f t="shared" si="23"/>
        <v>41699.077409999998</v>
      </c>
      <c r="K197" s="1786">
        <f t="shared" si="24"/>
        <v>0</v>
      </c>
      <c r="L197" s="1876">
        <f t="shared" si="25"/>
        <v>-282.92578000000003</v>
      </c>
      <c r="M197" s="1786">
        <f t="shared" si="26"/>
        <v>0</v>
      </c>
      <c r="N197" s="1876">
        <f t="shared" si="27"/>
        <v>0</v>
      </c>
      <c r="O197" s="1785">
        <f t="shared" si="28"/>
        <v>0</v>
      </c>
      <c r="P197" s="1787">
        <f t="shared" si="29"/>
        <v>205435.43234499992</v>
      </c>
      <c r="Q197" s="1786">
        <f t="shared" si="30"/>
        <v>0</v>
      </c>
      <c r="R197" s="1876">
        <f t="shared" si="31"/>
        <v>189031.23763999998</v>
      </c>
      <c r="T197" s="1876">
        <v>164019280.71499991</v>
      </c>
      <c r="U197" s="1785"/>
      <c r="V197" s="1876">
        <v>41699077.409999996</v>
      </c>
      <c r="W197" s="1786"/>
      <c r="X197" s="1876">
        <v>-282925.78000000003</v>
      </c>
      <c r="Y197" s="1786"/>
      <c r="Z197" s="1876">
        <v>0</v>
      </c>
      <c r="AA197" s="1785"/>
      <c r="AB197" s="1787">
        <v>205435432.34499991</v>
      </c>
      <c r="AC197" s="1786"/>
      <c r="AD197" s="1876">
        <v>189031237.63999999</v>
      </c>
    </row>
    <row r="198" spans="1:30" ht="14.1" customHeight="1">
      <c r="A198" s="1675">
        <v>15</v>
      </c>
      <c r="B198" s="2015"/>
      <c r="C198" s="2009">
        <v>34581</v>
      </c>
      <c r="D198" s="1674" t="s">
        <v>2454</v>
      </c>
      <c r="F198" s="2019">
        <v>2.54</v>
      </c>
      <c r="G198" s="2001"/>
      <c r="H198" s="1876">
        <f t="shared" si="32"/>
        <v>60502.604230000012</v>
      </c>
      <c r="I198" s="1785">
        <f t="shared" si="22"/>
        <v>0</v>
      </c>
      <c r="J198" s="1876">
        <f t="shared" si="23"/>
        <v>0</v>
      </c>
      <c r="K198" s="1786">
        <f t="shared" si="24"/>
        <v>0</v>
      </c>
      <c r="L198" s="1876">
        <f t="shared" si="25"/>
        <v>0</v>
      </c>
      <c r="M198" s="1786">
        <f t="shared" si="26"/>
        <v>0</v>
      </c>
      <c r="N198" s="1876">
        <f t="shared" si="27"/>
        <v>0</v>
      </c>
      <c r="O198" s="1785">
        <f t="shared" si="28"/>
        <v>0</v>
      </c>
      <c r="P198" s="1787">
        <f t="shared" si="29"/>
        <v>60502.604230000012</v>
      </c>
      <c r="Q198" s="1786">
        <f t="shared" si="30"/>
        <v>0</v>
      </c>
      <c r="R198" s="1876">
        <f t="shared" si="31"/>
        <v>60502.604229999997</v>
      </c>
      <c r="T198" s="1876">
        <v>60502604.230000012</v>
      </c>
      <c r="U198" s="1785"/>
      <c r="V198" s="1876">
        <v>0</v>
      </c>
      <c r="W198" s="1786"/>
      <c r="X198" s="1876">
        <v>0</v>
      </c>
      <c r="Y198" s="1786"/>
      <c r="Z198" s="1876">
        <v>0</v>
      </c>
      <c r="AA198" s="1785"/>
      <c r="AB198" s="1787">
        <v>60502604.230000012</v>
      </c>
      <c r="AC198" s="1786"/>
      <c r="AD198" s="1876">
        <v>60502604.229999997</v>
      </c>
    </row>
    <row r="199" spans="1:30" ht="14.1" customHeight="1">
      <c r="A199" s="1675">
        <v>16</v>
      </c>
      <c r="B199" s="2015"/>
      <c r="C199" s="2009">
        <v>34681</v>
      </c>
      <c r="D199" s="1674" t="s">
        <v>2455</v>
      </c>
      <c r="F199" s="2019">
        <v>5.28</v>
      </c>
      <c r="G199" s="2001"/>
      <c r="H199" s="1876">
        <f t="shared" si="32"/>
        <v>6717.0605899999982</v>
      </c>
      <c r="I199" s="1785">
        <f t="shared" si="22"/>
        <v>0</v>
      </c>
      <c r="J199" s="1876">
        <f t="shared" si="23"/>
        <v>0</v>
      </c>
      <c r="K199" s="1786">
        <f t="shared" si="24"/>
        <v>0</v>
      </c>
      <c r="L199" s="1876">
        <f t="shared" si="25"/>
        <v>0</v>
      </c>
      <c r="M199" s="1786">
        <f t="shared" si="26"/>
        <v>0</v>
      </c>
      <c r="N199" s="1876">
        <f t="shared" si="27"/>
        <v>0</v>
      </c>
      <c r="O199" s="1785">
        <f t="shared" si="28"/>
        <v>0</v>
      </c>
      <c r="P199" s="1787">
        <f t="shared" si="29"/>
        <v>6717.0605899999982</v>
      </c>
      <c r="Q199" s="1786">
        <f t="shared" si="30"/>
        <v>0</v>
      </c>
      <c r="R199" s="1876">
        <f t="shared" si="31"/>
        <v>6717.06059</v>
      </c>
      <c r="T199" s="1876">
        <v>6717060.589999998</v>
      </c>
      <c r="U199" s="1785"/>
      <c r="V199" s="1876">
        <v>0</v>
      </c>
      <c r="W199" s="1786"/>
      <c r="X199" s="1876">
        <v>0</v>
      </c>
      <c r="Y199" s="1786"/>
      <c r="Z199" s="1876">
        <v>0</v>
      </c>
      <c r="AA199" s="1785"/>
      <c r="AB199" s="1787">
        <v>6717060.589999998</v>
      </c>
      <c r="AC199" s="1786"/>
      <c r="AD199" s="1876">
        <v>6717060.5899999999</v>
      </c>
    </row>
    <row r="200" spans="1:30" ht="14.1" customHeight="1">
      <c r="A200" s="1675">
        <v>17</v>
      </c>
      <c r="B200" s="2015"/>
      <c r="C200" s="2009"/>
      <c r="D200" s="2002" t="s">
        <v>2499</v>
      </c>
      <c r="F200" s="2019"/>
      <c r="H200" s="1788">
        <f t="shared" si="32"/>
        <v>533530.90876999986</v>
      </c>
      <c r="I200" s="1790">
        <f t="shared" si="22"/>
        <v>0</v>
      </c>
      <c r="J200" s="1788">
        <f t="shared" si="23"/>
        <v>83398.154819999996</v>
      </c>
      <c r="K200" s="1790">
        <f t="shared" si="24"/>
        <v>0</v>
      </c>
      <c r="L200" s="1788">
        <f t="shared" si="25"/>
        <v>-565.85156000000006</v>
      </c>
      <c r="M200" s="1790">
        <f t="shared" si="26"/>
        <v>0</v>
      </c>
      <c r="N200" s="1788">
        <f t="shared" si="27"/>
        <v>0</v>
      </c>
      <c r="O200" s="1790">
        <f t="shared" si="28"/>
        <v>0</v>
      </c>
      <c r="P200" s="1788">
        <f t="shared" si="29"/>
        <v>616363.21203000005</v>
      </c>
      <c r="Q200" s="1790">
        <f t="shared" si="30"/>
        <v>0</v>
      </c>
      <c r="R200" s="1788">
        <f t="shared" si="31"/>
        <v>583554.82261999999</v>
      </c>
      <c r="T200" s="1788">
        <v>533530908.76999992</v>
      </c>
      <c r="U200" s="1790"/>
      <c r="V200" s="1788">
        <v>83398154.819999993</v>
      </c>
      <c r="W200" s="1790"/>
      <c r="X200" s="1788">
        <v>-565851.56000000006</v>
      </c>
      <c r="Y200" s="1790"/>
      <c r="Z200" s="1788">
        <v>0</v>
      </c>
      <c r="AA200" s="1790"/>
      <c r="AB200" s="1788">
        <v>616363212.03000009</v>
      </c>
      <c r="AC200" s="1790"/>
      <c r="AD200" s="1788">
        <v>583554822.62</v>
      </c>
    </row>
    <row r="201" spans="1:30" ht="14.1" customHeight="1">
      <c r="A201" s="1675">
        <v>18</v>
      </c>
      <c r="B201" s="2015"/>
      <c r="F201" s="2020"/>
      <c r="H201" s="1674">
        <f t="shared" si="32"/>
        <v>0</v>
      </c>
      <c r="I201" s="1674">
        <f t="shared" si="22"/>
        <v>0</v>
      </c>
      <c r="J201" s="1674">
        <f t="shared" si="23"/>
        <v>0</v>
      </c>
      <c r="K201" s="1674">
        <f t="shared" si="24"/>
        <v>0</v>
      </c>
      <c r="L201" s="1674">
        <f t="shared" si="25"/>
        <v>0</v>
      </c>
      <c r="M201" s="1674">
        <f t="shared" si="26"/>
        <v>0</v>
      </c>
      <c r="N201" s="1674">
        <f t="shared" si="27"/>
        <v>0</v>
      </c>
      <c r="O201" s="2001">
        <f t="shared" si="28"/>
        <v>0</v>
      </c>
      <c r="P201" s="1674">
        <f t="shared" si="29"/>
        <v>0</v>
      </c>
      <c r="Q201" s="1674">
        <f t="shared" si="30"/>
        <v>0</v>
      </c>
      <c r="R201" s="1674">
        <f t="shared" si="31"/>
        <v>0</v>
      </c>
      <c r="AA201" s="2001"/>
    </row>
    <row r="202" spans="1:30" ht="14.1" customHeight="1">
      <c r="A202" s="1675">
        <v>19</v>
      </c>
      <c r="B202" s="2015"/>
      <c r="C202" s="1675"/>
      <c r="D202" s="2002" t="s">
        <v>2500</v>
      </c>
      <c r="F202" s="2020"/>
      <c r="H202" s="1796">
        <f t="shared" si="32"/>
        <v>0</v>
      </c>
      <c r="I202" s="1785">
        <f t="shared" si="22"/>
        <v>0</v>
      </c>
      <c r="J202" s="2032">
        <f t="shared" si="23"/>
        <v>0</v>
      </c>
      <c r="K202" s="1785">
        <f t="shared" si="24"/>
        <v>0</v>
      </c>
      <c r="L202" s="2032">
        <f t="shared" si="25"/>
        <v>0</v>
      </c>
      <c r="M202" s="1785">
        <f t="shared" si="26"/>
        <v>0</v>
      </c>
      <c r="N202" s="2032">
        <f t="shared" si="27"/>
        <v>0</v>
      </c>
      <c r="O202" s="1785">
        <f t="shared" si="28"/>
        <v>0</v>
      </c>
      <c r="P202" s="2032">
        <f t="shared" si="29"/>
        <v>0</v>
      </c>
      <c r="Q202" s="1785">
        <f t="shared" si="30"/>
        <v>0</v>
      </c>
      <c r="R202" s="2032">
        <f t="shared" si="31"/>
        <v>0</v>
      </c>
      <c r="T202" s="1796"/>
      <c r="U202" s="1785"/>
      <c r="V202" s="2032"/>
      <c r="W202" s="1785"/>
      <c r="X202" s="2032"/>
      <c r="Y202" s="1785"/>
      <c r="Z202" s="2032"/>
      <c r="AA202" s="1785"/>
      <c r="AB202" s="2032"/>
      <c r="AC202" s="1785"/>
      <c r="AD202" s="2032"/>
    </row>
    <row r="203" spans="1:30" ht="14.1" customHeight="1">
      <c r="A203" s="1675">
        <v>20</v>
      </c>
      <c r="B203" s="2015"/>
      <c r="C203" s="2009">
        <v>34182</v>
      </c>
      <c r="D203" s="1674" t="s">
        <v>2449</v>
      </c>
      <c r="F203" s="2019">
        <v>2.2599999999999998</v>
      </c>
      <c r="G203" s="2001"/>
      <c r="H203" s="1876">
        <f t="shared" si="32"/>
        <v>2342.1552899999997</v>
      </c>
      <c r="I203" s="1785">
        <f t="shared" si="22"/>
        <v>0</v>
      </c>
      <c r="J203" s="1876">
        <f t="shared" si="23"/>
        <v>0</v>
      </c>
      <c r="K203" s="1786">
        <f t="shared" si="24"/>
        <v>0</v>
      </c>
      <c r="L203" s="1876">
        <f t="shared" si="25"/>
        <v>0</v>
      </c>
      <c r="M203" s="1786">
        <f t="shared" si="26"/>
        <v>0</v>
      </c>
      <c r="N203" s="1876">
        <f t="shared" si="27"/>
        <v>0</v>
      </c>
      <c r="O203" s="1785">
        <f t="shared" si="28"/>
        <v>0</v>
      </c>
      <c r="P203" s="1787">
        <f t="shared" si="29"/>
        <v>2342.1552899999997</v>
      </c>
      <c r="Q203" s="1786">
        <f t="shared" si="30"/>
        <v>0</v>
      </c>
      <c r="R203" s="1876">
        <f t="shared" si="31"/>
        <v>2342.1552900000002</v>
      </c>
      <c r="T203" s="1876">
        <v>2342155.2899999996</v>
      </c>
      <c r="U203" s="1785"/>
      <c r="V203" s="1876">
        <v>0</v>
      </c>
      <c r="W203" s="1786"/>
      <c r="X203" s="1876">
        <v>0</v>
      </c>
      <c r="Y203" s="1786"/>
      <c r="Z203" s="1876">
        <v>0</v>
      </c>
      <c r="AA203" s="1785"/>
      <c r="AB203" s="1787">
        <v>2342155.2899999996</v>
      </c>
      <c r="AC203" s="1786"/>
      <c r="AD203" s="1876">
        <v>2342155.29</v>
      </c>
    </row>
    <row r="204" spans="1:30" ht="14.1" customHeight="1">
      <c r="A204" s="1675">
        <v>21</v>
      </c>
      <c r="B204" s="2015"/>
      <c r="C204" s="2009">
        <v>34282</v>
      </c>
      <c r="D204" s="1674" t="s">
        <v>2495</v>
      </c>
      <c r="F204" s="2019">
        <v>3.08</v>
      </c>
      <c r="G204" s="2001"/>
      <c r="H204" s="1876">
        <f t="shared" si="32"/>
        <v>3721.2405999999996</v>
      </c>
      <c r="I204" s="1785">
        <f t="shared" si="22"/>
        <v>0</v>
      </c>
      <c r="J204" s="1876">
        <f t="shared" si="23"/>
        <v>5122.4308200000005</v>
      </c>
      <c r="K204" s="1786">
        <f t="shared" si="24"/>
        <v>0</v>
      </c>
      <c r="L204" s="1876">
        <f t="shared" si="25"/>
        <v>-1024.4861899999999</v>
      </c>
      <c r="M204" s="1786">
        <f t="shared" si="26"/>
        <v>0</v>
      </c>
      <c r="N204" s="1876">
        <f t="shared" si="27"/>
        <v>0</v>
      </c>
      <c r="O204" s="1785">
        <f t="shared" si="28"/>
        <v>0</v>
      </c>
      <c r="P204" s="1787">
        <f t="shared" si="29"/>
        <v>7819.18523</v>
      </c>
      <c r="Q204" s="1786">
        <f t="shared" si="30"/>
        <v>0</v>
      </c>
      <c r="R204" s="1876">
        <f t="shared" si="31"/>
        <v>4238.1230599999999</v>
      </c>
      <c r="T204" s="1876">
        <v>3721240.5999999996</v>
      </c>
      <c r="U204" s="1785"/>
      <c r="V204" s="1876">
        <v>5122430.82</v>
      </c>
      <c r="W204" s="1786"/>
      <c r="X204" s="1876">
        <v>-1024486.19</v>
      </c>
      <c r="Y204" s="1786"/>
      <c r="Z204" s="1876">
        <v>0</v>
      </c>
      <c r="AA204" s="1785"/>
      <c r="AB204" s="1787">
        <v>7819185.2300000004</v>
      </c>
      <c r="AC204" s="1786"/>
      <c r="AD204" s="1876">
        <v>4238123.0599999996</v>
      </c>
    </row>
    <row r="205" spans="1:30" ht="14.1" customHeight="1">
      <c r="A205" s="1675">
        <v>22</v>
      </c>
      <c r="B205" s="2015"/>
      <c r="C205" s="2009">
        <v>34382</v>
      </c>
      <c r="D205" s="1674" t="s">
        <v>2496</v>
      </c>
      <c r="F205" s="2019">
        <v>3.92</v>
      </c>
      <c r="G205" s="2001"/>
      <c r="H205" s="1876">
        <f t="shared" si="32"/>
        <v>37467.329220000029</v>
      </c>
      <c r="I205" s="1785">
        <f t="shared" si="22"/>
        <v>0</v>
      </c>
      <c r="J205" s="1876">
        <f t="shared" si="23"/>
        <v>5122.4308200000005</v>
      </c>
      <c r="K205" s="1786">
        <f t="shared" si="24"/>
        <v>0</v>
      </c>
      <c r="L205" s="1876">
        <f t="shared" si="25"/>
        <v>-1024.4861899999999</v>
      </c>
      <c r="M205" s="1786">
        <f t="shared" si="26"/>
        <v>0</v>
      </c>
      <c r="N205" s="1876">
        <f t="shared" si="27"/>
        <v>0</v>
      </c>
      <c r="O205" s="1785">
        <f t="shared" si="28"/>
        <v>0</v>
      </c>
      <c r="P205" s="1787">
        <f t="shared" si="29"/>
        <v>41565.273850000034</v>
      </c>
      <c r="Q205" s="1786">
        <f t="shared" si="30"/>
        <v>0</v>
      </c>
      <c r="R205" s="1876">
        <f t="shared" si="31"/>
        <v>37984.21168</v>
      </c>
      <c r="T205" s="1876">
        <v>37467329.220000029</v>
      </c>
      <c r="U205" s="1785"/>
      <c r="V205" s="1876">
        <v>5122430.82</v>
      </c>
      <c r="W205" s="1786"/>
      <c r="X205" s="1876">
        <v>-1024486.19</v>
      </c>
      <c r="Y205" s="1786"/>
      <c r="Z205" s="1876">
        <v>0</v>
      </c>
      <c r="AA205" s="1785"/>
      <c r="AB205" s="1787">
        <v>41565273.850000031</v>
      </c>
      <c r="AC205" s="1786"/>
      <c r="AD205" s="1876">
        <v>37984211.68</v>
      </c>
    </row>
    <row r="206" spans="1:30" ht="14.1" customHeight="1">
      <c r="A206" s="1675">
        <v>23</v>
      </c>
      <c r="B206" s="2015"/>
      <c r="C206" s="2009">
        <v>34582</v>
      </c>
      <c r="D206" s="1674" t="s">
        <v>2454</v>
      </c>
      <c r="F206" s="2019">
        <v>1.9299999999999997</v>
      </c>
      <c r="G206" s="2001"/>
      <c r="H206" s="1876">
        <f t="shared" si="32"/>
        <v>19218.097860000002</v>
      </c>
      <c r="I206" s="1785">
        <f t="shared" si="22"/>
        <v>0</v>
      </c>
      <c r="J206" s="1876">
        <f t="shared" si="23"/>
        <v>0</v>
      </c>
      <c r="K206" s="1786">
        <f t="shared" si="24"/>
        <v>0</v>
      </c>
      <c r="L206" s="1876">
        <f t="shared" si="25"/>
        <v>0</v>
      </c>
      <c r="M206" s="1786">
        <f t="shared" si="26"/>
        <v>0</v>
      </c>
      <c r="N206" s="1876">
        <f t="shared" si="27"/>
        <v>0</v>
      </c>
      <c r="O206" s="1785">
        <f t="shared" si="28"/>
        <v>0</v>
      </c>
      <c r="P206" s="1787">
        <f t="shared" si="29"/>
        <v>19218.097860000002</v>
      </c>
      <c r="Q206" s="1786">
        <f t="shared" si="30"/>
        <v>0</v>
      </c>
      <c r="R206" s="1876">
        <f t="shared" si="31"/>
        <v>19218.097859999998</v>
      </c>
      <c r="T206" s="1876">
        <v>19218097.860000003</v>
      </c>
      <c r="U206" s="1785"/>
      <c r="V206" s="1876">
        <v>0</v>
      </c>
      <c r="W206" s="1786"/>
      <c r="X206" s="1876">
        <v>0</v>
      </c>
      <c r="Y206" s="1786"/>
      <c r="Z206" s="1876">
        <v>0</v>
      </c>
      <c r="AA206" s="1785"/>
      <c r="AB206" s="1787">
        <v>19218097.860000003</v>
      </c>
      <c r="AC206" s="1786"/>
      <c r="AD206" s="1876">
        <v>19218097.859999999</v>
      </c>
    </row>
    <row r="207" spans="1:30" ht="14.1" customHeight="1">
      <c r="A207" s="1675">
        <v>24</v>
      </c>
      <c r="B207" s="2015"/>
      <c r="C207" s="2009">
        <v>34682</v>
      </c>
      <c r="D207" s="1674" t="s">
        <v>2455</v>
      </c>
      <c r="F207" s="2019">
        <v>1.5</v>
      </c>
      <c r="G207" s="2001"/>
      <c r="H207" s="1876">
        <f t="shared" si="32"/>
        <v>173.20990999999998</v>
      </c>
      <c r="I207" s="1785">
        <f t="shared" si="22"/>
        <v>0</v>
      </c>
      <c r="J207" s="1876">
        <f t="shared" si="23"/>
        <v>0</v>
      </c>
      <c r="K207" s="1786">
        <f t="shared" si="24"/>
        <v>0</v>
      </c>
      <c r="L207" s="1876">
        <f t="shared" si="25"/>
        <v>0</v>
      </c>
      <c r="M207" s="1786">
        <f t="shared" si="26"/>
        <v>0</v>
      </c>
      <c r="N207" s="1876">
        <f t="shared" si="27"/>
        <v>0</v>
      </c>
      <c r="O207" s="1785">
        <f t="shared" si="28"/>
        <v>0</v>
      </c>
      <c r="P207" s="1787">
        <f t="shared" si="29"/>
        <v>173.20990999999998</v>
      </c>
      <c r="Q207" s="1786">
        <f t="shared" si="30"/>
        <v>0</v>
      </c>
      <c r="R207" s="1876">
        <f t="shared" si="31"/>
        <v>173.20991000000001</v>
      </c>
      <c r="T207" s="1876">
        <v>173209.90999999997</v>
      </c>
      <c r="U207" s="1785"/>
      <c r="V207" s="1876">
        <v>0</v>
      </c>
      <c r="W207" s="1786"/>
      <c r="X207" s="1876">
        <v>0</v>
      </c>
      <c r="Y207" s="1786"/>
      <c r="Z207" s="1876">
        <v>0</v>
      </c>
      <c r="AA207" s="1785"/>
      <c r="AB207" s="1787">
        <v>173209.90999999997</v>
      </c>
      <c r="AC207" s="1786"/>
      <c r="AD207" s="1876">
        <v>173209.91</v>
      </c>
    </row>
    <row r="208" spans="1:30" ht="14.1" customHeight="1">
      <c r="A208" s="1675">
        <v>25</v>
      </c>
      <c r="B208" s="2015"/>
      <c r="C208" s="1675"/>
      <c r="D208" s="2002" t="s">
        <v>2501</v>
      </c>
      <c r="F208" s="2019"/>
      <c r="H208" s="1788">
        <f t="shared" si="32"/>
        <v>62922.032880000028</v>
      </c>
      <c r="I208" s="1790">
        <f t="shared" si="22"/>
        <v>0</v>
      </c>
      <c r="J208" s="1788">
        <f t="shared" si="23"/>
        <v>10244.861640000001</v>
      </c>
      <c r="K208" s="1790">
        <f t="shared" si="24"/>
        <v>0</v>
      </c>
      <c r="L208" s="1788">
        <f t="shared" si="25"/>
        <v>-2048.9723799999997</v>
      </c>
      <c r="M208" s="1790">
        <f t="shared" si="26"/>
        <v>0</v>
      </c>
      <c r="N208" s="1788">
        <f t="shared" si="27"/>
        <v>0</v>
      </c>
      <c r="O208" s="1790">
        <f t="shared" si="28"/>
        <v>0</v>
      </c>
      <c r="P208" s="1788">
        <f t="shared" si="29"/>
        <v>71117.922140000024</v>
      </c>
      <c r="Q208" s="1790">
        <f t="shared" si="30"/>
        <v>0</v>
      </c>
      <c r="R208" s="1788">
        <f t="shared" si="31"/>
        <v>63955.7978</v>
      </c>
      <c r="T208" s="1788">
        <v>62922032.880000025</v>
      </c>
      <c r="U208" s="1790"/>
      <c r="V208" s="1788">
        <v>10244861.640000001</v>
      </c>
      <c r="W208" s="1790"/>
      <c r="X208" s="1788">
        <v>-2048972.38</v>
      </c>
      <c r="Y208" s="1790"/>
      <c r="Z208" s="1788">
        <v>0</v>
      </c>
      <c r="AA208" s="1790"/>
      <c r="AB208" s="1788">
        <v>71117922.14000003</v>
      </c>
      <c r="AC208" s="1790"/>
      <c r="AD208" s="1788">
        <v>63955797.799999997</v>
      </c>
    </row>
    <row r="209" spans="1:30" ht="14.1" customHeight="1">
      <c r="A209" s="1675">
        <v>26</v>
      </c>
      <c r="B209" s="2015"/>
      <c r="F209" s="2020"/>
      <c r="H209" s="1674">
        <f t="shared" si="32"/>
        <v>0</v>
      </c>
      <c r="I209" s="1674">
        <f t="shared" ref="I209:I272" si="33">+IF(ISNUMBER(U209),U209/1000,U209)</f>
        <v>0</v>
      </c>
      <c r="J209" s="1674">
        <f t="shared" ref="J209:J272" si="34">+IF(ISNUMBER(V209),V209/1000,V209)</f>
        <v>0</v>
      </c>
      <c r="K209" s="1674">
        <f t="shared" ref="K209:K272" si="35">+IF(ISNUMBER(W209),W209/1000,W209)</f>
        <v>0</v>
      </c>
      <c r="L209" s="1674">
        <f t="shared" ref="L209:L272" si="36">+IF(ISNUMBER(X209),X209/1000,X209)</f>
        <v>0</v>
      </c>
      <c r="M209" s="1674">
        <f t="shared" ref="M209:M272" si="37">+IF(ISNUMBER(Y209),Y209/1000,Y209)</f>
        <v>0</v>
      </c>
      <c r="N209" s="1674">
        <f t="shared" ref="N209:N272" si="38">+IF(ISNUMBER(Z209),Z209/1000,Z209)</f>
        <v>0</v>
      </c>
      <c r="O209" s="2001">
        <f t="shared" ref="O209:O272" si="39">+IF(ISNUMBER(AA209),AA209/1000,AA209)</f>
        <v>0</v>
      </c>
      <c r="P209" s="1674">
        <f t="shared" ref="P209:P272" si="40">+IF(ISNUMBER(AB209),AB209/1000,AB209)</f>
        <v>0</v>
      </c>
      <c r="Q209" s="1674">
        <f t="shared" ref="Q209:Q272" si="41">+IF(ISNUMBER(AC209),AC209/1000,AC209)</f>
        <v>0</v>
      </c>
      <c r="R209" s="1674">
        <f t="shared" ref="R209:R272" si="42">+IF(ISNUMBER(AD209),AD209/1000,AD209)</f>
        <v>0</v>
      </c>
      <c r="AA209" s="2001"/>
    </row>
    <row r="210" spans="1:30" ht="14.1" customHeight="1">
      <c r="A210" s="1675">
        <v>27</v>
      </c>
      <c r="B210" s="2015"/>
      <c r="C210" s="2019"/>
      <c r="D210" s="2002" t="s">
        <v>2502</v>
      </c>
      <c r="F210" s="2019"/>
      <c r="H210" s="1790">
        <f t="shared" ref="H210:H273" si="43">+IF(ISNUMBER(T210),T210/1000,T210)</f>
        <v>0</v>
      </c>
      <c r="I210" s="1790">
        <f t="shared" si="33"/>
        <v>0</v>
      </c>
      <c r="J210" s="1790">
        <f t="shared" si="34"/>
        <v>0</v>
      </c>
      <c r="K210" s="1790">
        <f t="shared" si="35"/>
        <v>0</v>
      </c>
      <c r="L210" s="1790">
        <f t="shared" si="36"/>
        <v>0</v>
      </c>
      <c r="M210" s="1790">
        <f t="shared" si="37"/>
        <v>0</v>
      </c>
      <c r="N210" s="1790">
        <f t="shared" si="38"/>
        <v>0</v>
      </c>
      <c r="O210" s="1790">
        <f t="shared" si="39"/>
        <v>0</v>
      </c>
      <c r="P210" s="1790">
        <f t="shared" si="40"/>
        <v>0</v>
      </c>
      <c r="Q210" s="1790">
        <f t="shared" si="41"/>
        <v>0</v>
      </c>
      <c r="R210" s="1790">
        <f t="shared" si="42"/>
        <v>0</v>
      </c>
      <c r="T210" s="1790"/>
      <c r="U210" s="1790"/>
      <c r="V210" s="1790"/>
      <c r="W210" s="1790"/>
      <c r="X210" s="1790"/>
      <c r="Y210" s="1790"/>
      <c r="Z210" s="1790"/>
      <c r="AA210" s="1790"/>
      <c r="AB210" s="1790"/>
      <c r="AC210" s="1790"/>
      <c r="AD210" s="1790"/>
    </row>
    <row r="211" spans="1:30" ht="14.1" customHeight="1">
      <c r="A211" s="1675">
        <v>28</v>
      </c>
      <c r="B211" s="2015"/>
      <c r="C211" s="2009">
        <v>34183</v>
      </c>
      <c r="D211" s="1674" t="s">
        <v>2449</v>
      </c>
      <c r="F211" s="2019">
        <v>2.27</v>
      </c>
      <c r="G211" s="2001"/>
      <c r="H211" s="1876">
        <f t="shared" si="43"/>
        <v>10708.676690000002</v>
      </c>
      <c r="I211" s="1785">
        <f t="shared" si="33"/>
        <v>0</v>
      </c>
      <c r="J211" s="1876">
        <f t="shared" si="34"/>
        <v>0</v>
      </c>
      <c r="K211" s="1786">
        <f t="shared" si="35"/>
        <v>0</v>
      </c>
      <c r="L211" s="1876">
        <f t="shared" si="36"/>
        <v>0</v>
      </c>
      <c r="M211" s="1786">
        <f t="shared" si="37"/>
        <v>0</v>
      </c>
      <c r="N211" s="1876">
        <f t="shared" si="38"/>
        <v>0</v>
      </c>
      <c r="O211" s="1785">
        <f t="shared" si="39"/>
        <v>0</v>
      </c>
      <c r="P211" s="1787">
        <f t="shared" si="40"/>
        <v>10708.676690000002</v>
      </c>
      <c r="Q211" s="1786">
        <f t="shared" si="41"/>
        <v>0</v>
      </c>
      <c r="R211" s="1876">
        <f t="shared" si="42"/>
        <v>10708.67669</v>
      </c>
      <c r="T211" s="1876">
        <v>10708676.690000001</v>
      </c>
      <c r="U211" s="1785"/>
      <c r="V211" s="1876">
        <v>0</v>
      </c>
      <c r="W211" s="1786"/>
      <c r="X211" s="1876">
        <v>0</v>
      </c>
      <c r="Y211" s="1786"/>
      <c r="Z211" s="1876">
        <v>0</v>
      </c>
      <c r="AA211" s="1785"/>
      <c r="AB211" s="1787">
        <v>10708676.690000001</v>
      </c>
      <c r="AC211" s="1786"/>
      <c r="AD211" s="1876">
        <v>10708676.689999999</v>
      </c>
    </row>
    <row r="212" spans="1:30" ht="14.1" customHeight="1">
      <c r="A212" s="1675">
        <v>29</v>
      </c>
      <c r="B212" s="2015"/>
      <c r="C212" s="2009">
        <v>34283</v>
      </c>
      <c r="D212" s="1674" t="s">
        <v>2495</v>
      </c>
      <c r="F212" s="2019">
        <v>2.56</v>
      </c>
      <c r="G212" s="2001"/>
      <c r="H212" s="1876">
        <f t="shared" si="43"/>
        <v>1847.0910100000001</v>
      </c>
      <c r="I212" s="1785">
        <f t="shared" si="33"/>
        <v>0</v>
      </c>
      <c r="J212" s="1876">
        <f t="shared" si="34"/>
        <v>1949.8017600000001</v>
      </c>
      <c r="K212" s="1786">
        <f t="shared" si="35"/>
        <v>0</v>
      </c>
      <c r="L212" s="1876">
        <f t="shared" si="36"/>
        <v>-389.96034999999995</v>
      </c>
      <c r="M212" s="1786">
        <f t="shared" si="37"/>
        <v>0</v>
      </c>
      <c r="N212" s="1876">
        <f t="shared" si="38"/>
        <v>0</v>
      </c>
      <c r="O212" s="1785">
        <f t="shared" si="39"/>
        <v>0</v>
      </c>
      <c r="P212" s="1787">
        <f t="shared" si="40"/>
        <v>3406.9324200000001</v>
      </c>
      <c r="Q212" s="1786">
        <f t="shared" si="41"/>
        <v>0</v>
      </c>
      <c r="R212" s="1876">
        <f t="shared" si="42"/>
        <v>1967.07881</v>
      </c>
      <c r="T212" s="1876">
        <v>1847091.01</v>
      </c>
      <c r="U212" s="1785"/>
      <c r="V212" s="1876">
        <v>1949801.76</v>
      </c>
      <c r="W212" s="1786"/>
      <c r="X212" s="1876">
        <v>-389960.35</v>
      </c>
      <c r="Y212" s="1786"/>
      <c r="Z212" s="1876">
        <v>0</v>
      </c>
      <c r="AA212" s="1785"/>
      <c r="AB212" s="1787">
        <v>3406932.42</v>
      </c>
      <c r="AC212" s="1786"/>
      <c r="AD212" s="1876">
        <v>1967078.81</v>
      </c>
    </row>
    <row r="213" spans="1:30" ht="14.1" customHeight="1">
      <c r="A213" s="1675">
        <v>30</v>
      </c>
      <c r="B213" s="2015"/>
      <c r="C213" s="2009">
        <v>34383</v>
      </c>
      <c r="D213" s="1674" t="s">
        <v>2496</v>
      </c>
      <c r="F213" s="2019">
        <v>2.2599999999999998</v>
      </c>
      <c r="G213" s="2001"/>
      <c r="H213" s="1876">
        <f t="shared" si="43"/>
        <v>38711.529969999996</v>
      </c>
      <c r="I213" s="1785">
        <f t="shared" si="33"/>
        <v>0</v>
      </c>
      <c r="J213" s="1876">
        <f t="shared" si="34"/>
        <v>1949.8017600000001</v>
      </c>
      <c r="K213" s="1786">
        <f t="shared" si="35"/>
        <v>0</v>
      </c>
      <c r="L213" s="1876">
        <f t="shared" si="36"/>
        <v>-389.96034999999995</v>
      </c>
      <c r="M213" s="1786">
        <f t="shared" si="37"/>
        <v>0</v>
      </c>
      <c r="N213" s="1876">
        <f t="shared" si="38"/>
        <v>0</v>
      </c>
      <c r="O213" s="1785">
        <f t="shared" si="39"/>
        <v>0</v>
      </c>
      <c r="P213" s="1787">
        <f t="shared" si="40"/>
        <v>40271.371379999997</v>
      </c>
      <c r="Q213" s="1786">
        <f t="shared" si="41"/>
        <v>0</v>
      </c>
      <c r="R213" s="1876">
        <f t="shared" si="42"/>
        <v>38831.517770000006</v>
      </c>
      <c r="T213" s="1876">
        <v>38711529.969999999</v>
      </c>
      <c r="U213" s="1785"/>
      <c r="V213" s="1876">
        <v>1949801.76</v>
      </c>
      <c r="W213" s="1786"/>
      <c r="X213" s="1876">
        <v>-389960.35</v>
      </c>
      <c r="Y213" s="1786"/>
      <c r="Z213" s="1876">
        <v>0</v>
      </c>
      <c r="AA213" s="1785"/>
      <c r="AB213" s="1787">
        <v>40271371.379999995</v>
      </c>
      <c r="AC213" s="1786"/>
      <c r="AD213" s="1876">
        <v>38831517.770000003</v>
      </c>
    </row>
    <row r="214" spans="1:30" ht="14.1" customHeight="1">
      <c r="A214" s="1675">
        <v>31</v>
      </c>
      <c r="C214" s="2009">
        <v>34583</v>
      </c>
      <c r="D214" s="1674" t="s">
        <v>2454</v>
      </c>
      <c r="F214" s="2019">
        <v>1.66</v>
      </c>
      <c r="G214" s="2001"/>
      <c r="H214" s="1876">
        <f t="shared" si="43"/>
        <v>9146.6915499999996</v>
      </c>
      <c r="I214" s="1785">
        <f t="shared" si="33"/>
        <v>0</v>
      </c>
      <c r="J214" s="1876">
        <f t="shared" si="34"/>
        <v>0</v>
      </c>
      <c r="K214" s="1786">
        <f t="shared" si="35"/>
        <v>0</v>
      </c>
      <c r="L214" s="1876">
        <f t="shared" si="36"/>
        <v>0</v>
      </c>
      <c r="M214" s="1786">
        <f t="shared" si="37"/>
        <v>0</v>
      </c>
      <c r="N214" s="1876">
        <f t="shared" si="38"/>
        <v>0</v>
      </c>
      <c r="O214" s="1785">
        <f t="shared" si="39"/>
        <v>0</v>
      </c>
      <c r="P214" s="1787">
        <f t="shared" si="40"/>
        <v>9146.6915499999996</v>
      </c>
      <c r="Q214" s="1786">
        <f t="shared" si="41"/>
        <v>0</v>
      </c>
      <c r="R214" s="1876">
        <f t="shared" si="42"/>
        <v>9146.6915500000014</v>
      </c>
      <c r="T214" s="1876">
        <v>9146691.5499999989</v>
      </c>
      <c r="U214" s="1785"/>
      <c r="V214" s="1876">
        <v>0</v>
      </c>
      <c r="W214" s="1786"/>
      <c r="X214" s="1876">
        <v>0</v>
      </c>
      <c r="Y214" s="1786"/>
      <c r="Z214" s="1876">
        <v>0</v>
      </c>
      <c r="AA214" s="1785"/>
      <c r="AB214" s="1787">
        <v>9146691.5499999989</v>
      </c>
      <c r="AC214" s="1786"/>
      <c r="AD214" s="1876">
        <v>9146691.5500000007</v>
      </c>
    </row>
    <row r="215" spans="1:30" ht="14.1" customHeight="1">
      <c r="A215" s="1675">
        <v>32</v>
      </c>
      <c r="C215" s="2009">
        <v>34683</v>
      </c>
      <c r="D215" s="1674" t="s">
        <v>2455</v>
      </c>
      <c r="F215" s="2019">
        <v>2.44</v>
      </c>
      <c r="G215" s="2001"/>
      <c r="H215" s="1876">
        <f t="shared" si="43"/>
        <v>432.91041999999999</v>
      </c>
      <c r="I215" s="1785">
        <f t="shared" si="33"/>
        <v>0</v>
      </c>
      <c r="J215" s="1876">
        <f t="shared" si="34"/>
        <v>0</v>
      </c>
      <c r="K215" s="1786">
        <f t="shared" si="35"/>
        <v>0</v>
      </c>
      <c r="L215" s="1876">
        <f t="shared" si="36"/>
        <v>0</v>
      </c>
      <c r="M215" s="1786">
        <f t="shared" si="37"/>
        <v>0</v>
      </c>
      <c r="N215" s="1876">
        <f t="shared" si="38"/>
        <v>0</v>
      </c>
      <c r="O215" s="1785">
        <f t="shared" si="39"/>
        <v>0</v>
      </c>
      <c r="P215" s="1787">
        <f t="shared" si="40"/>
        <v>432.91041999999999</v>
      </c>
      <c r="Q215" s="1786">
        <f t="shared" si="41"/>
        <v>0</v>
      </c>
      <c r="R215" s="1876">
        <f t="shared" si="42"/>
        <v>432.91041999999999</v>
      </c>
      <c r="T215" s="1876">
        <v>432910.42</v>
      </c>
      <c r="U215" s="1785"/>
      <c r="V215" s="1876">
        <v>0</v>
      </c>
      <c r="W215" s="1786"/>
      <c r="X215" s="1876">
        <v>0</v>
      </c>
      <c r="Y215" s="1786"/>
      <c r="Z215" s="1876">
        <v>0</v>
      </c>
      <c r="AA215" s="1785"/>
      <c r="AB215" s="1787">
        <v>432910.42</v>
      </c>
      <c r="AC215" s="1786"/>
      <c r="AD215" s="1876">
        <v>432910.42</v>
      </c>
    </row>
    <row r="216" spans="1:30" ht="14.1" customHeight="1">
      <c r="A216" s="1675">
        <v>33</v>
      </c>
      <c r="D216" s="2002" t="s">
        <v>2503</v>
      </c>
      <c r="F216" s="2019"/>
      <c r="H216" s="1788">
        <f t="shared" si="43"/>
        <v>60846.899640000003</v>
      </c>
      <c r="I216" s="1790">
        <f t="shared" si="33"/>
        <v>0</v>
      </c>
      <c r="J216" s="1788">
        <f t="shared" si="34"/>
        <v>3899.6035200000001</v>
      </c>
      <c r="K216" s="1790">
        <f t="shared" si="35"/>
        <v>0</v>
      </c>
      <c r="L216" s="1788">
        <f t="shared" si="36"/>
        <v>-779.9206999999999</v>
      </c>
      <c r="M216" s="1790">
        <f t="shared" si="37"/>
        <v>0</v>
      </c>
      <c r="N216" s="1788">
        <f t="shared" si="38"/>
        <v>0</v>
      </c>
      <c r="O216" s="1790">
        <f t="shared" si="39"/>
        <v>0</v>
      </c>
      <c r="P216" s="1788">
        <f t="shared" si="40"/>
        <v>63966.582459999991</v>
      </c>
      <c r="Q216" s="1790">
        <f t="shared" si="41"/>
        <v>0</v>
      </c>
      <c r="R216" s="1788">
        <f t="shared" si="42"/>
        <v>61086.875240000008</v>
      </c>
      <c r="T216" s="1788">
        <v>60846899.640000001</v>
      </c>
      <c r="U216" s="1790"/>
      <c r="V216" s="1788">
        <v>3899603.52</v>
      </c>
      <c r="W216" s="1790"/>
      <c r="X216" s="1788">
        <v>-779920.7</v>
      </c>
      <c r="Y216" s="1790"/>
      <c r="Z216" s="1788">
        <v>0</v>
      </c>
      <c r="AA216" s="1790"/>
      <c r="AB216" s="1788">
        <v>63966582.459999993</v>
      </c>
      <c r="AC216" s="1790"/>
      <c r="AD216" s="1788">
        <v>61086875.24000001</v>
      </c>
    </row>
    <row r="217" spans="1:30" ht="14.1" customHeight="1">
      <c r="A217" s="1675">
        <v>34</v>
      </c>
      <c r="F217" s="2020"/>
      <c r="H217" s="1674">
        <f t="shared" si="43"/>
        <v>0</v>
      </c>
      <c r="I217" s="1790">
        <f t="shared" si="33"/>
        <v>0</v>
      </c>
      <c r="J217" s="1674">
        <f t="shared" si="34"/>
        <v>0</v>
      </c>
      <c r="K217" s="1790">
        <f t="shared" si="35"/>
        <v>0</v>
      </c>
      <c r="L217" s="1674">
        <f t="shared" si="36"/>
        <v>0</v>
      </c>
      <c r="M217" s="1790">
        <f t="shared" si="37"/>
        <v>0</v>
      </c>
      <c r="N217" s="1674">
        <f t="shared" si="38"/>
        <v>0</v>
      </c>
      <c r="O217" s="1790">
        <f t="shared" si="39"/>
        <v>0</v>
      </c>
      <c r="P217" s="1674">
        <f t="shared" si="40"/>
        <v>0</v>
      </c>
      <c r="Q217" s="1790">
        <f t="shared" si="41"/>
        <v>0</v>
      </c>
      <c r="R217" s="1674">
        <f t="shared" si="42"/>
        <v>0</v>
      </c>
      <c r="U217" s="1790"/>
      <c r="W217" s="1790"/>
      <c r="Y217" s="1790"/>
      <c r="AA217" s="1790"/>
      <c r="AC217" s="1790"/>
    </row>
    <row r="218" spans="1:30" ht="14.1" customHeight="1">
      <c r="A218" s="1675">
        <v>35</v>
      </c>
      <c r="C218" s="1675"/>
      <c r="D218" s="2002" t="s">
        <v>2504</v>
      </c>
      <c r="F218" s="2019"/>
      <c r="H218" s="1790">
        <f t="shared" si="43"/>
        <v>0</v>
      </c>
      <c r="I218" s="1790">
        <f t="shared" si="33"/>
        <v>0</v>
      </c>
      <c r="J218" s="1790">
        <f t="shared" si="34"/>
        <v>0</v>
      </c>
      <c r="K218" s="1790">
        <f t="shared" si="35"/>
        <v>0</v>
      </c>
      <c r="L218" s="1790">
        <f t="shared" si="36"/>
        <v>0</v>
      </c>
      <c r="M218" s="1790">
        <f t="shared" si="37"/>
        <v>0</v>
      </c>
      <c r="N218" s="1790">
        <f t="shared" si="38"/>
        <v>0</v>
      </c>
      <c r="O218" s="1790">
        <f t="shared" si="39"/>
        <v>0</v>
      </c>
      <c r="P218" s="1790">
        <f t="shared" si="40"/>
        <v>0</v>
      </c>
      <c r="Q218" s="1790">
        <f t="shared" si="41"/>
        <v>0</v>
      </c>
      <c r="R218" s="1790">
        <f t="shared" si="42"/>
        <v>0</v>
      </c>
      <c r="T218" s="1790"/>
      <c r="U218" s="1790"/>
      <c r="V218" s="1790"/>
      <c r="W218" s="1790"/>
      <c r="X218" s="1790"/>
      <c r="Y218" s="1790"/>
      <c r="Z218" s="1790"/>
      <c r="AA218" s="1790"/>
      <c r="AB218" s="1790"/>
      <c r="AC218" s="1790"/>
      <c r="AD218" s="1790"/>
    </row>
    <row r="219" spans="1:30" ht="14.1" customHeight="1">
      <c r="A219" s="1675">
        <v>36</v>
      </c>
      <c r="C219" s="2009">
        <v>34184</v>
      </c>
      <c r="D219" s="1674" t="s">
        <v>2449</v>
      </c>
      <c r="F219" s="2019">
        <v>2.74</v>
      </c>
      <c r="G219" s="2001"/>
      <c r="H219" s="1876">
        <f t="shared" si="43"/>
        <v>5812.0621499999997</v>
      </c>
      <c r="I219" s="1785">
        <f t="shared" si="33"/>
        <v>0</v>
      </c>
      <c r="J219" s="1876">
        <f t="shared" si="34"/>
        <v>0</v>
      </c>
      <c r="K219" s="1786">
        <f t="shared" si="35"/>
        <v>0</v>
      </c>
      <c r="L219" s="1876">
        <f t="shared" si="36"/>
        <v>0</v>
      </c>
      <c r="M219" s="1786">
        <f t="shared" si="37"/>
        <v>0</v>
      </c>
      <c r="N219" s="1876">
        <f t="shared" si="38"/>
        <v>0</v>
      </c>
      <c r="O219" s="1785">
        <f t="shared" si="39"/>
        <v>0</v>
      </c>
      <c r="P219" s="1787">
        <f t="shared" si="40"/>
        <v>5812.0621499999997</v>
      </c>
      <c r="Q219" s="1786">
        <f t="shared" si="41"/>
        <v>0</v>
      </c>
      <c r="R219" s="1876">
        <f t="shared" si="42"/>
        <v>5812.0621500000007</v>
      </c>
      <c r="T219" s="1876">
        <v>5812062.1499999994</v>
      </c>
      <c r="U219" s="1785"/>
      <c r="V219" s="1876">
        <v>0</v>
      </c>
      <c r="W219" s="1786"/>
      <c r="X219" s="1876">
        <v>0</v>
      </c>
      <c r="Y219" s="1786"/>
      <c r="Z219" s="1876">
        <v>0</v>
      </c>
      <c r="AA219" s="1785"/>
      <c r="AB219" s="1787">
        <v>5812062.1499999994</v>
      </c>
      <c r="AC219" s="1786"/>
      <c r="AD219" s="1876">
        <v>5812062.1500000004</v>
      </c>
    </row>
    <row r="220" spans="1:30" ht="14.1" customHeight="1">
      <c r="A220" s="1675">
        <v>37</v>
      </c>
      <c r="C220" s="2009">
        <v>34284</v>
      </c>
      <c r="D220" s="1674" t="s">
        <v>2495</v>
      </c>
      <c r="F220" s="2019">
        <v>3.88</v>
      </c>
      <c r="G220" s="2001"/>
      <c r="H220" s="1876">
        <f t="shared" si="43"/>
        <v>2710.6655649999989</v>
      </c>
      <c r="I220" s="1785">
        <f t="shared" si="33"/>
        <v>0</v>
      </c>
      <c r="J220" s="1876">
        <f t="shared" si="34"/>
        <v>3206.9106499999998</v>
      </c>
      <c r="K220" s="1786">
        <f t="shared" si="35"/>
        <v>0</v>
      </c>
      <c r="L220" s="1876">
        <f t="shared" si="36"/>
        <v>-641.38212999999996</v>
      </c>
      <c r="M220" s="1786">
        <f t="shared" si="37"/>
        <v>0</v>
      </c>
      <c r="N220" s="1876">
        <f t="shared" si="38"/>
        <v>0</v>
      </c>
      <c r="O220" s="1785">
        <f t="shared" si="39"/>
        <v>0</v>
      </c>
      <c r="P220" s="1787">
        <f t="shared" si="40"/>
        <v>5276.1940849999992</v>
      </c>
      <c r="Q220" s="1786">
        <f t="shared" si="41"/>
        <v>0</v>
      </c>
      <c r="R220" s="1876">
        <f t="shared" si="42"/>
        <v>2908.0139100000001</v>
      </c>
      <c r="T220" s="1876">
        <v>2710665.564999999</v>
      </c>
      <c r="U220" s="1785"/>
      <c r="V220" s="1876">
        <v>3206910.65</v>
      </c>
      <c r="W220" s="1786"/>
      <c r="X220" s="1876">
        <v>-641382.13</v>
      </c>
      <c r="Y220" s="1786"/>
      <c r="Z220" s="1876">
        <v>0</v>
      </c>
      <c r="AA220" s="1785"/>
      <c r="AB220" s="1787">
        <v>5276194.084999999</v>
      </c>
      <c r="AC220" s="1786"/>
      <c r="AD220" s="1876">
        <v>2908013.91</v>
      </c>
    </row>
    <row r="221" spans="1:30" ht="14.4" customHeight="1">
      <c r="A221" s="1675">
        <v>38</v>
      </c>
      <c r="C221" s="2009">
        <v>34384</v>
      </c>
      <c r="D221" s="1674" t="s">
        <v>2496</v>
      </c>
      <c r="F221" s="2019">
        <v>4.08</v>
      </c>
      <c r="G221" s="2001"/>
      <c r="H221" s="1876">
        <f t="shared" si="43"/>
        <v>28730.215395000007</v>
      </c>
      <c r="I221" s="1785">
        <f t="shared" si="33"/>
        <v>0</v>
      </c>
      <c r="J221" s="1876">
        <f t="shared" si="34"/>
        <v>3206.9106499999998</v>
      </c>
      <c r="K221" s="1786">
        <f t="shared" si="35"/>
        <v>0</v>
      </c>
      <c r="L221" s="1876">
        <f t="shared" si="36"/>
        <v>-641.38212999999996</v>
      </c>
      <c r="M221" s="1786">
        <f t="shared" si="37"/>
        <v>0</v>
      </c>
      <c r="N221" s="1876">
        <f t="shared" si="38"/>
        <v>0</v>
      </c>
      <c r="O221" s="1785">
        <f t="shared" si="39"/>
        <v>0</v>
      </c>
      <c r="P221" s="1787">
        <f t="shared" si="40"/>
        <v>31295.743915000006</v>
      </c>
      <c r="Q221" s="1786">
        <f t="shared" si="41"/>
        <v>0</v>
      </c>
      <c r="R221" s="1876">
        <f t="shared" si="42"/>
        <v>28927.563739999998</v>
      </c>
      <c r="T221" s="1876">
        <v>28730215.395000007</v>
      </c>
      <c r="U221" s="1785"/>
      <c r="V221" s="1876">
        <v>3206910.65</v>
      </c>
      <c r="W221" s="1786"/>
      <c r="X221" s="1876">
        <v>-641382.13</v>
      </c>
      <c r="Y221" s="1786"/>
      <c r="Z221" s="1876">
        <v>0</v>
      </c>
      <c r="AA221" s="1785"/>
      <c r="AB221" s="1787">
        <v>31295743.915000007</v>
      </c>
      <c r="AC221" s="1786"/>
      <c r="AD221" s="1876">
        <v>28927563.739999998</v>
      </c>
    </row>
    <row r="222" spans="1:30" ht="14.4" customHeight="1">
      <c r="A222" s="1675">
        <v>39</v>
      </c>
      <c r="C222" s="2009">
        <v>34584</v>
      </c>
      <c r="D222" s="1674" t="s">
        <v>2454</v>
      </c>
      <c r="F222" s="2019">
        <v>1.7500000000000002</v>
      </c>
      <c r="G222" s="2001"/>
      <c r="H222" s="1876">
        <f t="shared" si="43"/>
        <v>5586.7474299999994</v>
      </c>
      <c r="I222" s="1785">
        <f t="shared" si="33"/>
        <v>0</v>
      </c>
      <c r="J222" s="1876">
        <f t="shared" si="34"/>
        <v>0</v>
      </c>
      <c r="K222" s="1786">
        <f t="shared" si="35"/>
        <v>0</v>
      </c>
      <c r="L222" s="1876">
        <f t="shared" si="36"/>
        <v>0</v>
      </c>
      <c r="M222" s="1786">
        <f t="shared" si="37"/>
        <v>0</v>
      </c>
      <c r="N222" s="1876">
        <f t="shared" si="38"/>
        <v>0</v>
      </c>
      <c r="O222" s="1785">
        <f t="shared" si="39"/>
        <v>0</v>
      </c>
      <c r="P222" s="1787">
        <f t="shared" si="40"/>
        <v>5586.7474299999994</v>
      </c>
      <c r="Q222" s="1786">
        <f t="shared" si="41"/>
        <v>0</v>
      </c>
      <c r="R222" s="1876">
        <f t="shared" si="42"/>
        <v>5586.7474299999994</v>
      </c>
      <c r="T222" s="1876">
        <v>5586747.4299999997</v>
      </c>
      <c r="U222" s="1785"/>
      <c r="V222" s="1876">
        <v>0</v>
      </c>
      <c r="W222" s="1786"/>
      <c r="X222" s="1876">
        <v>0</v>
      </c>
      <c r="Y222" s="1786"/>
      <c r="Z222" s="1876">
        <v>0</v>
      </c>
      <c r="AA222" s="1785"/>
      <c r="AB222" s="1787">
        <v>5586747.4299999997</v>
      </c>
      <c r="AC222" s="1786"/>
      <c r="AD222" s="1876">
        <v>5586747.4299999997</v>
      </c>
    </row>
    <row r="223" spans="1:30" ht="14.1" customHeight="1">
      <c r="A223" s="1675">
        <v>40</v>
      </c>
      <c r="C223" s="2009">
        <v>34684</v>
      </c>
      <c r="D223" s="1674" t="s">
        <v>2455</v>
      </c>
      <c r="F223" s="2019">
        <v>2.94</v>
      </c>
      <c r="G223" s="2001"/>
      <c r="H223" s="1876">
        <f t="shared" si="43"/>
        <v>0</v>
      </c>
      <c r="I223" s="1785">
        <f t="shared" si="33"/>
        <v>0</v>
      </c>
      <c r="J223" s="1876">
        <f t="shared" si="34"/>
        <v>0</v>
      </c>
      <c r="K223" s="1786">
        <f t="shared" si="35"/>
        <v>0</v>
      </c>
      <c r="L223" s="1876">
        <f t="shared" si="36"/>
        <v>0</v>
      </c>
      <c r="M223" s="1786">
        <f t="shared" si="37"/>
        <v>0</v>
      </c>
      <c r="N223" s="1876">
        <f t="shared" si="38"/>
        <v>0</v>
      </c>
      <c r="O223" s="1785">
        <f t="shared" si="39"/>
        <v>0</v>
      </c>
      <c r="P223" s="1787">
        <f t="shared" si="40"/>
        <v>0</v>
      </c>
      <c r="Q223" s="1786">
        <f t="shared" si="41"/>
        <v>0</v>
      </c>
      <c r="R223" s="1876">
        <f t="shared" si="42"/>
        <v>0</v>
      </c>
      <c r="T223" s="1876">
        <v>0</v>
      </c>
      <c r="U223" s="1785"/>
      <c r="V223" s="1876">
        <v>0</v>
      </c>
      <c r="W223" s="1786"/>
      <c r="X223" s="1876">
        <v>0</v>
      </c>
      <c r="Y223" s="1786"/>
      <c r="Z223" s="1876">
        <v>0</v>
      </c>
      <c r="AA223" s="1785"/>
      <c r="AB223" s="1787">
        <v>0</v>
      </c>
      <c r="AC223" s="1786"/>
      <c r="AD223" s="1876">
        <v>0</v>
      </c>
    </row>
    <row r="224" spans="1:30" ht="14.1" customHeight="1">
      <c r="A224" s="1675">
        <v>41</v>
      </c>
      <c r="C224" s="1675"/>
      <c r="D224" s="2002" t="s">
        <v>2505</v>
      </c>
      <c r="F224" s="2023"/>
      <c r="H224" s="1788">
        <f t="shared" si="43"/>
        <v>42839.690540000003</v>
      </c>
      <c r="I224" s="1790">
        <f t="shared" si="33"/>
        <v>0</v>
      </c>
      <c r="J224" s="1788">
        <f t="shared" si="34"/>
        <v>6413.8212999999996</v>
      </c>
      <c r="K224" s="1790">
        <f t="shared" si="35"/>
        <v>0</v>
      </c>
      <c r="L224" s="1788">
        <f t="shared" si="36"/>
        <v>-1282.7642599999999</v>
      </c>
      <c r="M224" s="1790">
        <f t="shared" si="37"/>
        <v>0</v>
      </c>
      <c r="N224" s="1788">
        <f t="shared" si="38"/>
        <v>0</v>
      </c>
      <c r="O224" s="1790">
        <f t="shared" si="39"/>
        <v>0</v>
      </c>
      <c r="P224" s="1788">
        <f t="shared" si="40"/>
        <v>47970.747580000003</v>
      </c>
      <c r="Q224" s="1790">
        <f t="shared" si="41"/>
        <v>0</v>
      </c>
      <c r="R224" s="1788">
        <f t="shared" si="42"/>
        <v>43234.38723</v>
      </c>
      <c r="T224" s="1788">
        <v>42839690.540000007</v>
      </c>
      <c r="U224" s="1790"/>
      <c r="V224" s="1788">
        <v>6413821.2999999998</v>
      </c>
      <c r="W224" s="1790"/>
      <c r="X224" s="1788">
        <v>-1282764.26</v>
      </c>
      <c r="Y224" s="1790"/>
      <c r="Z224" s="1788">
        <v>0</v>
      </c>
      <c r="AA224" s="1790"/>
      <c r="AB224" s="1788">
        <v>47970747.580000006</v>
      </c>
      <c r="AC224" s="1790"/>
      <c r="AD224" s="1788">
        <v>43234387.229999997</v>
      </c>
    </row>
    <row r="225" spans="1:30" ht="14.1" customHeight="1">
      <c r="A225" s="1675">
        <v>42</v>
      </c>
      <c r="H225" s="1674">
        <f t="shared" si="43"/>
        <v>0</v>
      </c>
      <c r="I225" s="1674">
        <f t="shared" si="33"/>
        <v>0</v>
      </c>
      <c r="J225" s="1674">
        <f t="shared" si="34"/>
        <v>0</v>
      </c>
      <c r="K225" s="1674">
        <f t="shared" si="35"/>
        <v>0</v>
      </c>
      <c r="L225" s="1674">
        <f t="shared" si="36"/>
        <v>0</v>
      </c>
      <c r="M225" s="1674">
        <f t="shared" si="37"/>
        <v>0</v>
      </c>
      <c r="N225" s="1674">
        <f t="shared" si="38"/>
        <v>0</v>
      </c>
      <c r="O225" s="2001">
        <f t="shared" si="39"/>
        <v>0</v>
      </c>
      <c r="P225" s="1674">
        <f t="shared" si="40"/>
        <v>0</v>
      </c>
      <c r="Q225" s="1674">
        <f t="shared" si="41"/>
        <v>0</v>
      </c>
      <c r="R225" s="1674">
        <f t="shared" si="42"/>
        <v>0</v>
      </c>
      <c r="AA225" s="2001"/>
    </row>
    <row r="226" spans="1:30" ht="14.1" customHeight="1">
      <c r="A226" s="1675">
        <v>43</v>
      </c>
      <c r="H226" s="1674">
        <f t="shared" si="43"/>
        <v>0</v>
      </c>
      <c r="I226" s="1674">
        <f t="shared" si="33"/>
        <v>0</v>
      </c>
      <c r="J226" s="1674">
        <f t="shared" si="34"/>
        <v>0</v>
      </c>
      <c r="K226" s="1674">
        <f t="shared" si="35"/>
        <v>0</v>
      </c>
      <c r="L226" s="1674">
        <f t="shared" si="36"/>
        <v>0</v>
      </c>
      <c r="M226" s="1674">
        <f t="shared" si="37"/>
        <v>0</v>
      </c>
      <c r="N226" s="1674">
        <f t="shared" si="38"/>
        <v>0</v>
      </c>
      <c r="O226" s="2001">
        <f t="shared" si="39"/>
        <v>0</v>
      </c>
      <c r="P226" s="1674">
        <f t="shared" si="40"/>
        <v>0</v>
      </c>
      <c r="Q226" s="1674">
        <f t="shared" si="41"/>
        <v>0</v>
      </c>
      <c r="R226" s="1674">
        <f t="shared" si="42"/>
        <v>0</v>
      </c>
      <c r="AA226" s="2001"/>
    </row>
    <row r="227" spans="1:30" ht="14.1" customHeight="1" thickBot="1">
      <c r="A227" s="2008">
        <v>44</v>
      </c>
      <c r="B227" s="1869" t="s">
        <v>2476</v>
      </c>
      <c r="C227" s="1997"/>
      <c r="D227" s="1997"/>
      <c r="E227" s="1997"/>
      <c r="F227" s="1997"/>
      <c r="G227" s="1997"/>
      <c r="H227" s="1997">
        <f t="shared" si="43"/>
        <v>0</v>
      </c>
      <c r="I227" s="1997">
        <f t="shared" si="33"/>
        <v>0</v>
      </c>
      <c r="J227" s="1997">
        <f t="shared" si="34"/>
        <v>0</v>
      </c>
      <c r="K227" s="1997">
        <f t="shared" si="35"/>
        <v>0</v>
      </c>
      <c r="L227" s="1997">
        <f t="shared" si="36"/>
        <v>0</v>
      </c>
      <c r="M227" s="1997">
        <f t="shared" si="37"/>
        <v>0</v>
      </c>
      <c r="N227" s="1997">
        <f t="shared" si="38"/>
        <v>0</v>
      </c>
      <c r="O227" s="1998">
        <f t="shared" si="39"/>
        <v>0</v>
      </c>
      <c r="P227" s="1997">
        <f t="shared" si="40"/>
        <v>0</v>
      </c>
      <c r="Q227" s="1997">
        <f t="shared" si="41"/>
        <v>0</v>
      </c>
      <c r="R227" s="1997">
        <f t="shared" si="42"/>
        <v>0</v>
      </c>
      <c r="T227" s="1997"/>
      <c r="U227" s="1997"/>
      <c r="V227" s="1997"/>
      <c r="W227" s="1997"/>
      <c r="X227" s="1997"/>
      <c r="Y227" s="1997"/>
      <c r="Z227" s="1997"/>
      <c r="AA227" s="1998"/>
      <c r="AB227" s="1997"/>
      <c r="AC227" s="1997"/>
      <c r="AD227" s="1997"/>
    </row>
    <row r="228" spans="1:30" ht="14.1" customHeight="1">
      <c r="A228" s="1674" t="s">
        <v>8947</v>
      </c>
      <c r="H228" s="1674">
        <f t="shared" si="43"/>
        <v>0</v>
      </c>
      <c r="I228" s="1674">
        <f t="shared" si="33"/>
        <v>0</v>
      </c>
      <c r="J228" s="1674">
        <f t="shared" si="34"/>
        <v>0</v>
      </c>
      <c r="K228" s="1674">
        <f t="shared" si="35"/>
        <v>0</v>
      </c>
      <c r="L228" s="1674">
        <f t="shared" si="36"/>
        <v>0</v>
      </c>
      <c r="M228" s="1674">
        <f t="shared" si="37"/>
        <v>0</v>
      </c>
      <c r="N228" s="1674">
        <f t="shared" si="38"/>
        <v>0</v>
      </c>
      <c r="O228" s="2001">
        <f t="shared" si="39"/>
        <v>0</v>
      </c>
      <c r="P228" s="1674" t="str">
        <f t="shared" si="40"/>
        <v>Recap Schedules:  B-03, B-06</v>
      </c>
      <c r="Q228" s="1674">
        <f t="shared" si="41"/>
        <v>0</v>
      </c>
      <c r="R228" s="1674">
        <f t="shared" si="42"/>
        <v>0</v>
      </c>
      <c r="AA228" s="2001"/>
      <c r="AB228" s="1674" t="s">
        <v>8948</v>
      </c>
    </row>
    <row r="229" spans="1:30" ht="14.1" customHeight="1" thickBot="1">
      <c r="A229" s="1997" t="s">
        <v>8943</v>
      </c>
      <c r="B229" s="1997"/>
      <c r="C229" s="1997"/>
      <c r="D229" s="1997"/>
      <c r="E229" s="1997"/>
      <c r="F229" s="1997"/>
      <c r="G229" s="1997" t="s">
        <v>2422</v>
      </c>
      <c r="H229" s="1997">
        <f t="shared" si="43"/>
        <v>0</v>
      </c>
      <c r="I229" s="1997">
        <f t="shared" si="33"/>
        <v>0</v>
      </c>
      <c r="J229" s="1997">
        <f t="shared" si="34"/>
        <v>0</v>
      </c>
      <c r="K229" s="1997">
        <f t="shared" si="35"/>
        <v>0</v>
      </c>
      <c r="L229" s="1997">
        <f t="shared" si="36"/>
        <v>0</v>
      </c>
      <c r="M229" s="1997">
        <f t="shared" si="37"/>
        <v>0</v>
      </c>
      <c r="N229" s="1997">
        <f t="shared" si="38"/>
        <v>0</v>
      </c>
      <c r="O229" s="1998">
        <f t="shared" si="39"/>
        <v>0</v>
      </c>
      <c r="P229" s="1997">
        <f t="shared" si="40"/>
        <v>0</v>
      </c>
      <c r="Q229" s="1997">
        <f t="shared" si="41"/>
        <v>0</v>
      </c>
      <c r="R229" s="1997" t="str">
        <f t="shared" si="42"/>
        <v>Page 5 of 10</v>
      </c>
      <c r="T229" s="1997"/>
      <c r="U229" s="1997"/>
      <c r="V229" s="1997"/>
      <c r="W229" s="1997"/>
      <c r="X229" s="1997"/>
      <c r="Y229" s="1997"/>
      <c r="Z229" s="1997"/>
      <c r="AA229" s="1998"/>
      <c r="AB229" s="1997"/>
      <c r="AC229" s="1997"/>
      <c r="AD229" s="1997" t="s">
        <v>2506</v>
      </c>
    </row>
    <row r="230" spans="1:30" ht="14.1" customHeight="1">
      <c r="A230" s="1674" t="s">
        <v>2425</v>
      </c>
      <c r="B230" s="2024"/>
      <c r="E230" s="2001" t="s">
        <v>2426</v>
      </c>
      <c r="F230" s="1674" t="s">
        <v>8155</v>
      </c>
      <c r="H230" s="1674">
        <f t="shared" si="43"/>
        <v>0</v>
      </c>
      <c r="I230" s="1674">
        <f t="shared" si="33"/>
        <v>0</v>
      </c>
      <c r="J230" s="2003">
        <f t="shared" si="34"/>
        <v>0</v>
      </c>
      <c r="K230" s="2003">
        <f t="shared" si="35"/>
        <v>0</v>
      </c>
      <c r="L230" s="1674">
        <f t="shared" si="36"/>
        <v>0</v>
      </c>
      <c r="M230" s="2003">
        <f t="shared" si="37"/>
        <v>0</v>
      </c>
      <c r="N230" s="2003">
        <f t="shared" si="38"/>
        <v>0</v>
      </c>
      <c r="O230" s="2004">
        <f t="shared" si="39"/>
        <v>0</v>
      </c>
      <c r="P230" s="1674" t="str">
        <f t="shared" si="40"/>
        <v>Type of data shown:</v>
      </c>
      <c r="Q230" s="1674">
        <f t="shared" si="41"/>
        <v>0</v>
      </c>
      <c r="R230" s="2005">
        <f t="shared" si="42"/>
        <v>0</v>
      </c>
      <c r="V230" s="2003"/>
      <c r="W230" s="2003"/>
      <c r="Y230" s="2003"/>
      <c r="Z230" s="2003"/>
      <c r="AA230" s="2004"/>
      <c r="AB230" s="1674" t="s">
        <v>2427</v>
      </c>
      <c r="AD230" s="2005"/>
    </row>
    <row r="231" spans="1:30" ht="14.1" customHeight="1">
      <c r="B231" s="2024"/>
      <c r="F231" s="1674" t="s">
        <v>8156</v>
      </c>
      <c r="H231" s="1674">
        <f t="shared" si="43"/>
        <v>0</v>
      </c>
      <c r="I231" s="1674">
        <f t="shared" si="33"/>
        <v>0</v>
      </c>
      <c r="J231" s="2001">
        <f t="shared" si="34"/>
        <v>0</v>
      </c>
      <c r="K231" s="2005">
        <f t="shared" si="35"/>
        <v>0</v>
      </c>
      <c r="L231" s="1674">
        <f t="shared" si="36"/>
        <v>0</v>
      </c>
      <c r="M231" s="1674">
        <f t="shared" si="37"/>
        <v>0</v>
      </c>
      <c r="N231" s="2001">
        <f t="shared" si="38"/>
        <v>0</v>
      </c>
      <c r="O231" s="2001" t="str">
        <f t="shared" si="39"/>
        <v>XX</v>
      </c>
      <c r="P231" s="2005" t="str">
        <f t="shared" si="40"/>
        <v>Projected Test Year Ended 12/31/2025</v>
      </c>
      <c r="Q231" s="1674">
        <f t="shared" si="41"/>
        <v>0</v>
      </c>
      <c r="R231" s="2001">
        <f t="shared" si="42"/>
        <v>0</v>
      </c>
      <c r="V231" s="2001"/>
      <c r="W231" s="2005"/>
      <c r="Z231" s="2001"/>
      <c r="AA231" s="2001" t="s">
        <v>8157</v>
      </c>
      <c r="AB231" s="2005" t="s">
        <v>8944</v>
      </c>
      <c r="AD231" s="2001"/>
    </row>
    <row r="232" spans="1:30" ht="14.1" customHeight="1">
      <c r="A232" s="1674" t="s">
        <v>2428</v>
      </c>
      <c r="B232" s="2024"/>
      <c r="F232" s="1674" t="s">
        <v>2360</v>
      </c>
      <c r="H232" s="1674">
        <f t="shared" si="43"/>
        <v>0</v>
      </c>
      <c r="I232" s="1674">
        <f t="shared" si="33"/>
        <v>0</v>
      </c>
      <c r="J232" s="2001">
        <f t="shared" si="34"/>
        <v>0</v>
      </c>
      <c r="K232" s="2005">
        <f t="shared" si="35"/>
        <v>0</v>
      </c>
      <c r="L232" s="2001">
        <f t="shared" si="36"/>
        <v>0</v>
      </c>
      <c r="M232" s="1674">
        <f t="shared" si="37"/>
        <v>0</v>
      </c>
      <c r="N232" s="1674">
        <f t="shared" si="38"/>
        <v>0</v>
      </c>
      <c r="O232" s="2001" t="str">
        <f t="shared" si="39"/>
        <v/>
      </c>
      <c r="P232" s="2005" t="str">
        <f t="shared" si="40"/>
        <v>Projected Prior Year Ended 12/31/2024</v>
      </c>
      <c r="Q232" s="1674">
        <f t="shared" si="41"/>
        <v>0</v>
      </c>
      <c r="R232" s="2001">
        <f t="shared" si="42"/>
        <v>0</v>
      </c>
      <c r="V232" s="2001"/>
      <c r="W232" s="2005"/>
      <c r="X232" s="2001"/>
      <c r="AA232" s="2001" t="s">
        <v>2360</v>
      </c>
      <c r="AB232" s="2005" t="s">
        <v>8945</v>
      </c>
      <c r="AD232" s="2001"/>
    </row>
    <row r="233" spans="1:30" ht="14.1" customHeight="1">
      <c r="B233" s="2024"/>
      <c r="F233" s="1674" t="s">
        <v>2360</v>
      </c>
      <c r="H233" s="1674">
        <f t="shared" si="43"/>
        <v>0</v>
      </c>
      <c r="I233" s="1674">
        <f t="shared" si="33"/>
        <v>0</v>
      </c>
      <c r="J233" s="2001">
        <f t="shared" si="34"/>
        <v>0</v>
      </c>
      <c r="K233" s="2005">
        <f t="shared" si="35"/>
        <v>0</v>
      </c>
      <c r="L233" s="2001">
        <f t="shared" si="36"/>
        <v>0</v>
      </c>
      <c r="M233" s="1674">
        <f t="shared" si="37"/>
        <v>0</v>
      </c>
      <c r="N233" s="1674">
        <f t="shared" si="38"/>
        <v>0</v>
      </c>
      <c r="O233" s="2001" t="str">
        <f t="shared" si="39"/>
        <v/>
      </c>
      <c r="P233" s="2005" t="str">
        <f t="shared" si="40"/>
        <v>Historical Prior Year Ended 12/31/2023</v>
      </c>
      <c r="Q233" s="1674">
        <f t="shared" si="41"/>
        <v>0</v>
      </c>
      <c r="R233" s="2001">
        <f t="shared" si="42"/>
        <v>0</v>
      </c>
      <c r="V233" s="2001"/>
      <c r="W233" s="2005"/>
      <c r="X233" s="2001"/>
      <c r="AA233" s="2001" t="s">
        <v>2360</v>
      </c>
      <c r="AB233" s="2005" t="s">
        <v>8946</v>
      </c>
      <c r="AD233" s="2001"/>
    </row>
    <row r="234" spans="1:30" ht="14.1" customHeight="1">
      <c r="B234" s="2024"/>
      <c r="H234" s="1674">
        <f t="shared" si="43"/>
        <v>0</v>
      </c>
      <c r="I234" s="1674">
        <f t="shared" si="33"/>
        <v>0</v>
      </c>
      <c r="J234" s="2001">
        <f t="shared" si="34"/>
        <v>0</v>
      </c>
      <c r="K234" s="2005">
        <f t="shared" si="35"/>
        <v>0</v>
      </c>
      <c r="L234" s="2001">
        <f t="shared" si="36"/>
        <v>0</v>
      </c>
      <c r="M234" s="1674">
        <f t="shared" si="37"/>
        <v>0</v>
      </c>
      <c r="N234" s="1674">
        <f t="shared" si="38"/>
        <v>0</v>
      </c>
      <c r="O234" s="2001">
        <f t="shared" si="39"/>
        <v>0</v>
      </c>
      <c r="P234" s="2005" t="str">
        <f t="shared" si="40"/>
        <v>Witness: D. Avellan</v>
      </c>
      <c r="Q234" s="1674">
        <f t="shared" si="41"/>
        <v>0</v>
      </c>
      <c r="R234" s="2001">
        <f t="shared" si="42"/>
        <v>0</v>
      </c>
      <c r="V234" s="2001"/>
      <c r="W234" s="2005"/>
      <c r="X234" s="2001"/>
      <c r="AA234" s="2001"/>
      <c r="AB234" s="2005" t="s">
        <v>8160</v>
      </c>
      <c r="AD234" s="2001"/>
    </row>
    <row r="235" spans="1:30" ht="14.1" customHeight="1" thickBot="1">
      <c r="A235" s="1997" t="s">
        <v>8158</v>
      </c>
      <c r="B235" s="2025"/>
      <c r="C235" s="1997"/>
      <c r="D235" s="1997"/>
      <c r="E235" s="1997"/>
      <c r="F235" s="1997" t="s">
        <v>2360</v>
      </c>
      <c r="G235" s="1997"/>
      <c r="H235" s="2008" t="str">
        <f t="shared" si="43"/>
        <v>(Dollars in cents)</v>
      </c>
      <c r="I235" s="1997">
        <f t="shared" si="33"/>
        <v>0</v>
      </c>
      <c r="J235" s="1997">
        <f t="shared" si="34"/>
        <v>0</v>
      </c>
      <c r="K235" s="1997">
        <f t="shared" si="35"/>
        <v>0</v>
      </c>
      <c r="L235" s="1997">
        <f t="shared" si="36"/>
        <v>0</v>
      </c>
      <c r="M235" s="1997">
        <f t="shared" si="37"/>
        <v>0</v>
      </c>
      <c r="N235" s="1997">
        <f t="shared" si="38"/>
        <v>0</v>
      </c>
      <c r="O235" s="1998">
        <f t="shared" si="39"/>
        <v>0</v>
      </c>
      <c r="P235" s="1997" t="str">
        <f t="shared" si="40"/>
        <v xml:space="preserve"> </v>
      </c>
      <c r="Q235" s="1997">
        <f t="shared" si="41"/>
        <v>0</v>
      </c>
      <c r="R235" s="1997">
        <f t="shared" si="42"/>
        <v>0</v>
      </c>
      <c r="T235" s="2008" t="s">
        <v>8159</v>
      </c>
      <c r="U235" s="1997"/>
      <c r="V235" s="1997"/>
      <c r="W235" s="1997"/>
      <c r="X235" s="1997"/>
      <c r="Y235" s="1997"/>
      <c r="Z235" s="1997"/>
      <c r="AA235" s="1998"/>
      <c r="AB235" s="1997" t="s">
        <v>2477</v>
      </c>
      <c r="AC235" s="1997"/>
      <c r="AD235" s="1997"/>
    </row>
    <row r="236" spans="1:30" ht="14.1" customHeight="1">
      <c r="C236" s="2009"/>
      <c r="D236" s="2009"/>
      <c r="E236" s="2009"/>
      <c r="F236" s="2009"/>
      <c r="G236" s="2009"/>
      <c r="H236" s="2009">
        <f t="shared" si="43"/>
        <v>0</v>
      </c>
      <c r="I236" s="2009">
        <f t="shared" si="33"/>
        <v>0</v>
      </c>
      <c r="J236" s="2009">
        <f t="shared" si="34"/>
        <v>0</v>
      </c>
      <c r="K236" s="2009">
        <f t="shared" si="35"/>
        <v>0</v>
      </c>
      <c r="L236" s="2009">
        <f t="shared" si="36"/>
        <v>0</v>
      </c>
      <c r="M236" s="2009">
        <f t="shared" si="37"/>
        <v>0</v>
      </c>
      <c r="N236" s="2009">
        <f t="shared" si="38"/>
        <v>0</v>
      </c>
      <c r="O236" s="2010">
        <f t="shared" si="39"/>
        <v>0</v>
      </c>
      <c r="P236" s="2009">
        <f t="shared" si="40"/>
        <v>0</v>
      </c>
      <c r="Q236" s="2009">
        <f t="shared" si="41"/>
        <v>0</v>
      </c>
      <c r="R236" s="2009">
        <f t="shared" si="42"/>
        <v>0</v>
      </c>
      <c r="T236" s="2009"/>
      <c r="U236" s="2009"/>
      <c r="V236" s="2009"/>
      <c r="W236" s="2009"/>
      <c r="X236" s="2009"/>
      <c r="Y236" s="2009"/>
      <c r="Z236" s="2009"/>
      <c r="AA236" s="2010"/>
      <c r="AB236" s="2009"/>
      <c r="AC236" s="2009"/>
      <c r="AD236" s="2009"/>
    </row>
    <row r="237" spans="1:30" ht="14.1" customHeight="1">
      <c r="C237" s="2009" t="s">
        <v>2306</v>
      </c>
      <c r="D237" s="2009" t="s">
        <v>2307</v>
      </c>
      <c r="E237" s="2009"/>
      <c r="F237" s="2009" t="s">
        <v>2308</v>
      </c>
      <c r="G237" s="2009"/>
      <c r="H237" s="2009" t="str">
        <f t="shared" si="43"/>
        <v>(4)</v>
      </c>
      <c r="I237" s="2009">
        <f t="shared" si="33"/>
        <v>0</v>
      </c>
      <c r="J237" s="1675" t="str">
        <f t="shared" si="34"/>
        <v>(5)</v>
      </c>
      <c r="K237" s="1675">
        <f t="shared" si="35"/>
        <v>0</v>
      </c>
      <c r="L237" s="2009" t="str">
        <f t="shared" si="36"/>
        <v>(6)</v>
      </c>
      <c r="M237" s="2009">
        <f t="shared" si="37"/>
        <v>0</v>
      </c>
      <c r="N237" s="2009" t="str">
        <f t="shared" si="38"/>
        <v>(7)</v>
      </c>
      <c r="O237" s="2010">
        <f t="shared" si="39"/>
        <v>0</v>
      </c>
      <c r="P237" s="2009" t="str">
        <f t="shared" si="40"/>
        <v>(8)</v>
      </c>
      <c r="Q237" s="2009">
        <f t="shared" si="41"/>
        <v>0</v>
      </c>
      <c r="R237" s="2009" t="str">
        <f t="shared" si="42"/>
        <v>(9)</v>
      </c>
      <c r="T237" s="2009" t="s">
        <v>2309</v>
      </c>
      <c r="U237" s="2009"/>
      <c r="V237" s="1675" t="s">
        <v>2310</v>
      </c>
      <c r="W237" s="1675"/>
      <c r="X237" s="2009" t="s">
        <v>2311</v>
      </c>
      <c r="Y237" s="2009"/>
      <c r="Z237" s="2009" t="s">
        <v>2312</v>
      </c>
      <c r="AA237" s="2010"/>
      <c r="AB237" s="2009" t="s">
        <v>2313</v>
      </c>
      <c r="AC237" s="2009"/>
      <c r="AD237" s="2009" t="s">
        <v>2314</v>
      </c>
    </row>
    <row r="238" spans="1:30" ht="14.1" customHeight="1">
      <c r="C238" s="1675" t="s">
        <v>2429</v>
      </c>
      <c r="D238" s="1675" t="s">
        <v>2429</v>
      </c>
      <c r="F238" s="1675" t="s">
        <v>1537</v>
      </c>
      <c r="G238" s="1675"/>
      <c r="H238" s="2009" t="str">
        <f t="shared" si="43"/>
        <v>Plant</v>
      </c>
      <c r="I238" s="1675">
        <f t="shared" si="33"/>
        <v>0</v>
      </c>
      <c r="J238" s="2009" t="str">
        <f t="shared" si="34"/>
        <v>Total</v>
      </c>
      <c r="K238" s="1675">
        <f t="shared" si="35"/>
        <v>0</v>
      </c>
      <c r="L238" s="1675" t="str">
        <f t="shared" si="36"/>
        <v>Total</v>
      </c>
      <c r="M238" s="1675">
        <f t="shared" si="37"/>
        <v>0</v>
      </c>
      <c r="N238" s="1674">
        <f t="shared" si="38"/>
        <v>0</v>
      </c>
      <c r="O238" s="2001">
        <f t="shared" si="39"/>
        <v>0</v>
      </c>
      <c r="P238" s="1675" t="str">
        <f t="shared" si="40"/>
        <v>Plant</v>
      </c>
      <c r="Q238" s="1674">
        <f t="shared" si="41"/>
        <v>0</v>
      </c>
      <c r="R238" s="1675">
        <f t="shared" si="42"/>
        <v>0</v>
      </c>
      <c r="T238" s="2009" t="s">
        <v>1823</v>
      </c>
      <c r="U238" s="1675"/>
      <c r="V238" s="2009" t="s">
        <v>122</v>
      </c>
      <c r="W238" s="1675"/>
      <c r="X238" s="1675" t="s">
        <v>122</v>
      </c>
      <c r="Y238" s="1675"/>
      <c r="AA238" s="2001"/>
      <c r="AB238" s="1675" t="s">
        <v>1823</v>
      </c>
      <c r="AD238" s="1675"/>
    </row>
    <row r="239" spans="1:30" ht="14.1" customHeight="1">
      <c r="A239" s="1675" t="s">
        <v>2430</v>
      </c>
      <c r="B239" s="1675"/>
      <c r="C239" s="1675" t="s">
        <v>2431</v>
      </c>
      <c r="D239" s="1675" t="s">
        <v>2431</v>
      </c>
      <c r="E239" s="2009"/>
      <c r="F239" s="1675" t="s">
        <v>2432</v>
      </c>
      <c r="G239" s="1675"/>
      <c r="H239" s="1675" t="str">
        <f t="shared" si="43"/>
        <v>Balance</v>
      </c>
      <c r="I239" s="1675">
        <f t="shared" si="33"/>
        <v>0</v>
      </c>
      <c r="J239" s="1675" t="str">
        <f t="shared" si="34"/>
        <v>Plant</v>
      </c>
      <c r="K239" s="2009">
        <f t="shared" si="35"/>
        <v>0</v>
      </c>
      <c r="L239" s="1675" t="str">
        <f t="shared" si="36"/>
        <v>Plant</v>
      </c>
      <c r="M239" s="2005">
        <f t="shared" si="37"/>
        <v>0</v>
      </c>
      <c r="N239" s="1675" t="str">
        <f t="shared" si="38"/>
        <v>Adjustments</v>
      </c>
      <c r="O239" s="2010">
        <f t="shared" si="39"/>
        <v>0</v>
      </c>
      <c r="P239" s="2009" t="str">
        <f t="shared" si="40"/>
        <v>Balance</v>
      </c>
      <c r="Q239" s="2009">
        <f t="shared" si="41"/>
        <v>0</v>
      </c>
      <c r="R239" s="1675" t="str">
        <f t="shared" si="42"/>
        <v>13-Month</v>
      </c>
      <c r="T239" s="1675" t="s">
        <v>2433</v>
      </c>
      <c r="U239" s="1675"/>
      <c r="V239" s="1675" t="s">
        <v>1823</v>
      </c>
      <c r="W239" s="2009"/>
      <c r="X239" s="1675" t="s">
        <v>1823</v>
      </c>
      <c r="Y239" s="2005"/>
      <c r="Z239" s="1675" t="s">
        <v>593</v>
      </c>
      <c r="AA239" s="2010"/>
      <c r="AB239" s="2009" t="s">
        <v>2433</v>
      </c>
      <c r="AC239" s="2009"/>
      <c r="AD239" s="1675" t="s">
        <v>2434</v>
      </c>
    </row>
    <row r="240" spans="1:30" ht="14.1" customHeight="1" thickBot="1">
      <c r="A240" s="2008" t="s">
        <v>2435</v>
      </c>
      <c r="B240" s="2008"/>
      <c r="C240" s="2008" t="s">
        <v>2436</v>
      </c>
      <c r="D240" s="2008" t="s">
        <v>2437</v>
      </c>
      <c r="E240" s="2008"/>
      <c r="F240" s="2011" t="s">
        <v>2438</v>
      </c>
      <c r="G240" s="2011"/>
      <c r="H240" s="2011" t="str">
        <f t="shared" si="43"/>
        <v>Beg. of Year</v>
      </c>
      <c r="I240" s="2012">
        <f t="shared" si="33"/>
        <v>0</v>
      </c>
      <c r="J240" s="2011" t="str">
        <f t="shared" si="34"/>
        <v>Added</v>
      </c>
      <c r="K240" s="2012">
        <f t="shared" si="35"/>
        <v>0</v>
      </c>
      <c r="L240" s="2012" t="str">
        <f t="shared" si="36"/>
        <v>Retired</v>
      </c>
      <c r="M240" s="2013">
        <f t="shared" si="37"/>
        <v>0</v>
      </c>
      <c r="N240" s="2013" t="str">
        <f t="shared" si="38"/>
        <v>or Transfers</v>
      </c>
      <c r="O240" s="2014">
        <f t="shared" si="39"/>
        <v>0</v>
      </c>
      <c r="P240" s="2013" t="str">
        <f t="shared" si="40"/>
        <v>End of Year</v>
      </c>
      <c r="Q240" s="2013">
        <f t="shared" si="41"/>
        <v>0</v>
      </c>
      <c r="R240" s="2013" t="str">
        <f t="shared" si="42"/>
        <v>Average</v>
      </c>
      <c r="T240" s="2011" t="s">
        <v>2439</v>
      </c>
      <c r="U240" s="2012"/>
      <c r="V240" s="2011" t="s">
        <v>2440</v>
      </c>
      <c r="W240" s="2012"/>
      <c r="X240" s="2012" t="s">
        <v>2441</v>
      </c>
      <c r="Y240" s="2013"/>
      <c r="Z240" s="2013" t="s">
        <v>2442</v>
      </c>
      <c r="AA240" s="2014"/>
      <c r="AB240" s="2013" t="s">
        <v>2443</v>
      </c>
      <c r="AC240" s="2013"/>
      <c r="AD240" s="2013" t="s">
        <v>2444</v>
      </c>
    </row>
    <row r="241" spans="1:30" ht="14.1" customHeight="1">
      <c r="A241" s="1675">
        <v>1</v>
      </c>
      <c r="B241" s="1675"/>
      <c r="H241" s="1674">
        <f t="shared" si="43"/>
        <v>0</v>
      </c>
      <c r="I241" s="1674">
        <f t="shared" si="33"/>
        <v>0</v>
      </c>
      <c r="J241" s="1674">
        <f t="shared" si="34"/>
        <v>0</v>
      </c>
      <c r="K241" s="1674">
        <f t="shared" si="35"/>
        <v>0</v>
      </c>
      <c r="L241" s="1674">
        <f t="shared" si="36"/>
        <v>0</v>
      </c>
      <c r="M241" s="1674">
        <f t="shared" si="37"/>
        <v>0</v>
      </c>
      <c r="N241" s="1674">
        <f t="shared" si="38"/>
        <v>0</v>
      </c>
      <c r="O241" s="2001">
        <f t="shared" si="39"/>
        <v>0</v>
      </c>
      <c r="P241" s="1674">
        <f t="shared" si="40"/>
        <v>0</v>
      </c>
      <c r="Q241" s="1674">
        <f t="shared" si="41"/>
        <v>0</v>
      </c>
      <c r="R241" s="1674">
        <f t="shared" si="42"/>
        <v>0</v>
      </c>
      <c r="AA241" s="2001"/>
    </row>
    <row r="242" spans="1:30" ht="14.1" customHeight="1">
      <c r="A242" s="1675">
        <v>2</v>
      </c>
      <c r="B242" s="2015"/>
      <c r="C242" s="1675"/>
      <c r="D242" s="2002" t="s">
        <v>2507</v>
      </c>
      <c r="F242" s="2023"/>
      <c r="H242" s="1790">
        <f t="shared" si="43"/>
        <v>0</v>
      </c>
      <c r="I242" s="1790">
        <f t="shared" si="33"/>
        <v>0</v>
      </c>
      <c r="J242" s="1790">
        <f t="shared" si="34"/>
        <v>0</v>
      </c>
      <c r="K242" s="1790">
        <f t="shared" si="35"/>
        <v>0</v>
      </c>
      <c r="L242" s="1790">
        <f t="shared" si="36"/>
        <v>0</v>
      </c>
      <c r="M242" s="1790">
        <f t="shared" si="37"/>
        <v>0</v>
      </c>
      <c r="N242" s="1790">
        <f t="shared" si="38"/>
        <v>0</v>
      </c>
      <c r="O242" s="1790">
        <f t="shared" si="39"/>
        <v>0</v>
      </c>
      <c r="P242" s="1790">
        <f t="shared" si="40"/>
        <v>0</v>
      </c>
      <c r="Q242" s="1790">
        <f t="shared" si="41"/>
        <v>0</v>
      </c>
      <c r="R242" s="1790">
        <f t="shared" si="42"/>
        <v>0</v>
      </c>
      <c r="T242" s="1790"/>
      <c r="U242" s="1790"/>
      <c r="V242" s="1790"/>
      <c r="W242" s="1790"/>
      <c r="X242" s="1790"/>
      <c r="Y242" s="1790"/>
      <c r="Z242" s="1790"/>
      <c r="AA242" s="1790"/>
      <c r="AB242" s="1790"/>
      <c r="AC242" s="1790"/>
      <c r="AD242" s="1790"/>
    </row>
    <row r="243" spans="1:30" ht="14.1" customHeight="1">
      <c r="A243" s="1675">
        <v>3</v>
      </c>
      <c r="B243" s="2015"/>
      <c r="C243" s="2009">
        <v>34185</v>
      </c>
      <c r="D243" s="1674" t="s">
        <v>2449</v>
      </c>
      <c r="F243" s="2019">
        <v>2.72</v>
      </c>
      <c r="G243" s="2001"/>
      <c r="H243" s="1876">
        <f t="shared" si="43"/>
        <v>5746.5801100000008</v>
      </c>
      <c r="I243" s="1785">
        <f t="shared" si="33"/>
        <v>0</v>
      </c>
      <c r="J243" s="1876">
        <f t="shared" si="34"/>
        <v>0</v>
      </c>
      <c r="K243" s="1786">
        <f t="shared" si="35"/>
        <v>0</v>
      </c>
      <c r="L243" s="1876">
        <f t="shared" si="36"/>
        <v>0</v>
      </c>
      <c r="M243" s="1786">
        <f t="shared" si="37"/>
        <v>0</v>
      </c>
      <c r="N243" s="1876">
        <f t="shared" si="38"/>
        <v>0</v>
      </c>
      <c r="O243" s="1785">
        <f t="shared" si="39"/>
        <v>0</v>
      </c>
      <c r="P243" s="1787">
        <f t="shared" si="40"/>
        <v>5746.5801100000008</v>
      </c>
      <c r="Q243" s="1786">
        <f t="shared" si="41"/>
        <v>0</v>
      </c>
      <c r="R243" s="1876">
        <f t="shared" si="42"/>
        <v>5746.5801100000008</v>
      </c>
      <c r="T243" s="1876">
        <v>5746580.1100000003</v>
      </c>
      <c r="U243" s="1785"/>
      <c r="V243" s="1876">
        <v>0</v>
      </c>
      <c r="W243" s="1786"/>
      <c r="X243" s="1876">
        <v>0</v>
      </c>
      <c r="Y243" s="1786"/>
      <c r="Z243" s="1876">
        <v>0</v>
      </c>
      <c r="AA243" s="1785"/>
      <c r="AB243" s="1787">
        <v>5746580.1100000003</v>
      </c>
      <c r="AC243" s="1786"/>
      <c r="AD243" s="1876">
        <v>5746580.1100000003</v>
      </c>
    </row>
    <row r="244" spans="1:30" s="2000" customFormat="1" ht="14.1" customHeight="1">
      <c r="A244" s="1675">
        <v>4</v>
      </c>
      <c r="B244" s="2015"/>
      <c r="C244" s="2009">
        <v>34285</v>
      </c>
      <c r="D244" s="1674" t="s">
        <v>2495</v>
      </c>
      <c r="E244" s="1674"/>
      <c r="F244" s="2019">
        <v>3.1300000000000003</v>
      </c>
      <c r="G244" s="2001"/>
      <c r="H244" s="1876">
        <f t="shared" si="43"/>
        <v>3090.9542100000003</v>
      </c>
      <c r="I244" s="1785">
        <f t="shared" si="33"/>
        <v>0</v>
      </c>
      <c r="J244" s="1876">
        <f t="shared" si="34"/>
        <v>3543.0645299999996</v>
      </c>
      <c r="K244" s="1786">
        <f t="shared" si="35"/>
        <v>0</v>
      </c>
      <c r="L244" s="1876">
        <f t="shared" si="36"/>
        <v>-708.61291000000006</v>
      </c>
      <c r="M244" s="1786">
        <f t="shared" si="37"/>
        <v>0</v>
      </c>
      <c r="N244" s="1876">
        <f t="shared" si="38"/>
        <v>0</v>
      </c>
      <c r="O244" s="1785">
        <f t="shared" si="39"/>
        <v>0</v>
      </c>
      <c r="P244" s="1787">
        <f t="shared" si="40"/>
        <v>5925.4058299999997</v>
      </c>
      <c r="Q244" s="1786">
        <f t="shared" si="41"/>
        <v>0</v>
      </c>
      <c r="R244" s="1876">
        <f t="shared" si="42"/>
        <v>3437.80512</v>
      </c>
      <c r="T244" s="1876">
        <v>3090954.2100000004</v>
      </c>
      <c r="U244" s="1785"/>
      <c r="V244" s="1876">
        <v>3543064.53</v>
      </c>
      <c r="W244" s="1786"/>
      <c r="X244" s="1876">
        <v>-708612.91</v>
      </c>
      <c r="Y244" s="1786"/>
      <c r="Z244" s="1876">
        <v>0</v>
      </c>
      <c r="AA244" s="1785"/>
      <c r="AB244" s="1787">
        <v>5925405.8300000001</v>
      </c>
      <c r="AC244" s="1786"/>
      <c r="AD244" s="1876">
        <v>3437805.12</v>
      </c>
    </row>
    <row r="245" spans="1:30" ht="14.1" customHeight="1">
      <c r="A245" s="1675">
        <v>5</v>
      </c>
      <c r="B245" s="2015"/>
      <c r="C245" s="2009">
        <v>34385</v>
      </c>
      <c r="D245" s="1674" t="s">
        <v>2496</v>
      </c>
      <c r="F245" s="2019">
        <v>4.18</v>
      </c>
      <c r="G245" s="2001"/>
      <c r="H245" s="1876">
        <f t="shared" si="43"/>
        <v>25537.597419999995</v>
      </c>
      <c r="I245" s="1785">
        <f t="shared" si="33"/>
        <v>0</v>
      </c>
      <c r="J245" s="1876">
        <f t="shared" si="34"/>
        <v>3543.0645299999996</v>
      </c>
      <c r="K245" s="1786">
        <f t="shared" si="35"/>
        <v>0</v>
      </c>
      <c r="L245" s="1876">
        <f t="shared" si="36"/>
        <v>-708.61291000000006</v>
      </c>
      <c r="M245" s="1786">
        <f t="shared" si="37"/>
        <v>0</v>
      </c>
      <c r="N245" s="1876">
        <f t="shared" si="38"/>
        <v>0</v>
      </c>
      <c r="O245" s="1785">
        <f t="shared" si="39"/>
        <v>0</v>
      </c>
      <c r="P245" s="1787">
        <f t="shared" si="40"/>
        <v>28372.049039999994</v>
      </c>
      <c r="Q245" s="1786">
        <f t="shared" si="41"/>
        <v>0</v>
      </c>
      <c r="R245" s="1876">
        <f t="shared" si="42"/>
        <v>25884.448329999999</v>
      </c>
      <c r="T245" s="1876">
        <v>25537597.419999994</v>
      </c>
      <c r="U245" s="1785"/>
      <c r="V245" s="1876">
        <v>3543064.53</v>
      </c>
      <c r="W245" s="1786"/>
      <c r="X245" s="1876">
        <v>-708612.91</v>
      </c>
      <c r="Y245" s="1786"/>
      <c r="Z245" s="1876">
        <v>0</v>
      </c>
      <c r="AA245" s="1785"/>
      <c r="AB245" s="1787">
        <v>28372049.039999995</v>
      </c>
      <c r="AC245" s="1786"/>
      <c r="AD245" s="1876">
        <v>25884448.329999998</v>
      </c>
    </row>
    <row r="246" spans="1:30" ht="14.1" customHeight="1">
      <c r="A246" s="1675">
        <v>6</v>
      </c>
      <c r="B246" s="2015"/>
      <c r="C246" s="2009">
        <v>34585</v>
      </c>
      <c r="D246" s="1674" t="s">
        <v>2454</v>
      </c>
      <c r="F246" s="2019">
        <v>1.71</v>
      </c>
      <c r="G246" s="2001"/>
      <c r="H246" s="1876">
        <f t="shared" si="43"/>
        <v>5489.2689800000016</v>
      </c>
      <c r="I246" s="1785">
        <f t="shared" si="33"/>
        <v>0</v>
      </c>
      <c r="J246" s="1876">
        <f t="shared" si="34"/>
        <v>0</v>
      </c>
      <c r="K246" s="1786">
        <f t="shared" si="35"/>
        <v>0</v>
      </c>
      <c r="L246" s="1876">
        <f t="shared" si="36"/>
        <v>0</v>
      </c>
      <c r="M246" s="1786">
        <f t="shared" si="37"/>
        <v>0</v>
      </c>
      <c r="N246" s="1876">
        <f t="shared" si="38"/>
        <v>0</v>
      </c>
      <c r="O246" s="1785">
        <f t="shared" si="39"/>
        <v>0</v>
      </c>
      <c r="P246" s="1787">
        <f t="shared" si="40"/>
        <v>5489.2689800000016</v>
      </c>
      <c r="Q246" s="1786">
        <f t="shared" si="41"/>
        <v>0</v>
      </c>
      <c r="R246" s="1876">
        <f t="shared" si="42"/>
        <v>5489.2689800000007</v>
      </c>
      <c r="T246" s="1876">
        <v>5489268.9800000014</v>
      </c>
      <c r="U246" s="1785"/>
      <c r="V246" s="1876">
        <v>0</v>
      </c>
      <c r="W246" s="1786"/>
      <c r="X246" s="1876">
        <v>0</v>
      </c>
      <c r="Y246" s="1786"/>
      <c r="Z246" s="1876">
        <v>0</v>
      </c>
      <c r="AA246" s="1785"/>
      <c r="AB246" s="1787">
        <v>5489268.9800000014</v>
      </c>
      <c r="AC246" s="1786"/>
      <c r="AD246" s="1876">
        <v>5489268.9800000004</v>
      </c>
    </row>
    <row r="247" spans="1:30" ht="14.1" customHeight="1">
      <c r="A247" s="1675">
        <v>7</v>
      </c>
      <c r="B247" s="1675"/>
      <c r="C247" s="2009">
        <v>34685</v>
      </c>
      <c r="D247" s="1674" t="s">
        <v>2455</v>
      </c>
      <c r="F247" s="2019">
        <v>2.94</v>
      </c>
      <c r="G247" s="2001"/>
      <c r="H247" s="1876">
        <f t="shared" si="43"/>
        <v>0</v>
      </c>
      <c r="I247" s="1785">
        <f t="shared" si="33"/>
        <v>0</v>
      </c>
      <c r="J247" s="1876">
        <f t="shared" si="34"/>
        <v>0</v>
      </c>
      <c r="K247" s="1786">
        <f t="shared" si="35"/>
        <v>0</v>
      </c>
      <c r="L247" s="1876">
        <f t="shared" si="36"/>
        <v>0</v>
      </c>
      <c r="M247" s="1786">
        <f t="shared" si="37"/>
        <v>0</v>
      </c>
      <c r="N247" s="1876">
        <f t="shared" si="38"/>
        <v>0</v>
      </c>
      <c r="O247" s="1785">
        <f t="shared" si="39"/>
        <v>0</v>
      </c>
      <c r="P247" s="1787">
        <f t="shared" si="40"/>
        <v>0</v>
      </c>
      <c r="Q247" s="1786">
        <f t="shared" si="41"/>
        <v>0</v>
      </c>
      <c r="R247" s="1876">
        <f t="shared" si="42"/>
        <v>0</v>
      </c>
      <c r="T247" s="1876">
        <v>0</v>
      </c>
      <c r="U247" s="1785"/>
      <c r="V247" s="1876">
        <v>0</v>
      </c>
      <c r="W247" s="1786"/>
      <c r="X247" s="1876">
        <v>0</v>
      </c>
      <c r="Y247" s="1786"/>
      <c r="Z247" s="1876">
        <v>0</v>
      </c>
      <c r="AA247" s="1785"/>
      <c r="AB247" s="1787">
        <v>0</v>
      </c>
      <c r="AC247" s="1786"/>
      <c r="AD247" s="1876">
        <v>0</v>
      </c>
    </row>
    <row r="248" spans="1:30" ht="14.1" customHeight="1">
      <c r="A248" s="1675">
        <v>8</v>
      </c>
      <c r="B248" s="1675"/>
      <c r="C248" s="1675"/>
      <c r="D248" s="2002" t="s">
        <v>2508</v>
      </c>
      <c r="F248" s="2019"/>
      <c r="H248" s="1788">
        <f t="shared" si="43"/>
        <v>39864.400719999998</v>
      </c>
      <c r="I248" s="1790">
        <f t="shared" si="33"/>
        <v>0</v>
      </c>
      <c r="J248" s="1788">
        <f t="shared" si="34"/>
        <v>7086.1290599999993</v>
      </c>
      <c r="K248" s="1790">
        <f t="shared" si="35"/>
        <v>0</v>
      </c>
      <c r="L248" s="1788">
        <f t="shared" si="36"/>
        <v>-1417.2258200000001</v>
      </c>
      <c r="M248" s="1790">
        <f t="shared" si="37"/>
        <v>0</v>
      </c>
      <c r="N248" s="1788">
        <f t="shared" si="38"/>
        <v>0</v>
      </c>
      <c r="O248" s="1790">
        <f t="shared" si="39"/>
        <v>0</v>
      </c>
      <c r="P248" s="1788">
        <f t="shared" si="40"/>
        <v>45533.303959999997</v>
      </c>
      <c r="Q248" s="1790">
        <f t="shared" si="41"/>
        <v>0</v>
      </c>
      <c r="R248" s="1788">
        <f t="shared" si="42"/>
        <v>40558.102540000007</v>
      </c>
      <c r="T248" s="1788">
        <v>39864400.719999999</v>
      </c>
      <c r="U248" s="1790"/>
      <c r="V248" s="1788">
        <v>7086129.0599999996</v>
      </c>
      <c r="W248" s="1790"/>
      <c r="X248" s="1788">
        <v>-1417225.82</v>
      </c>
      <c r="Y248" s="1790"/>
      <c r="Z248" s="1788">
        <v>0</v>
      </c>
      <c r="AA248" s="1790"/>
      <c r="AB248" s="1788">
        <v>45533303.960000001</v>
      </c>
      <c r="AC248" s="1790"/>
      <c r="AD248" s="1788">
        <v>40558102.540000007</v>
      </c>
    </row>
    <row r="249" spans="1:30" ht="14.1" customHeight="1">
      <c r="A249" s="1675">
        <v>9</v>
      </c>
      <c r="B249" s="1675"/>
      <c r="F249" s="2020"/>
      <c r="H249" s="1674">
        <f t="shared" si="43"/>
        <v>0</v>
      </c>
      <c r="I249" s="1674">
        <f t="shared" si="33"/>
        <v>0</v>
      </c>
      <c r="J249" s="1674">
        <f t="shared" si="34"/>
        <v>0</v>
      </c>
      <c r="K249" s="1674">
        <f t="shared" si="35"/>
        <v>0</v>
      </c>
      <c r="L249" s="1674">
        <f t="shared" si="36"/>
        <v>0</v>
      </c>
      <c r="M249" s="1674">
        <f t="shared" si="37"/>
        <v>0</v>
      </c>
      <c r="N249" s="1674">
        <f t="shared" si="38"/>
        <v>0</v>
      </c>
      <c r="O249" s="2001">
        <f t="shared" si="39"/>
        <v>0</v>
      </c>
      <c r="P249" s="1674">
        <f t="shared" si="40"/>
        <v>0</v>
      </c>
      <c r="Q249" s="1674">
        <f t="shared" si="41"/>
        <v>0</v>
      </c>
      <c r="R249" s="1674">
        <f t="shared" si="42"/>
        <v>0</v>
      </c>
      <c r="AA249" s="2001"/>
    </row>
    <row r="250" spans="1:30" ht="14.1" customHeight="1">
      <c r="A250" s="1675">
        <v>10</v>
      </c>
      <c r="B250" s="1675"/>
      <c r="C250" s="1675"/>
      <c r="D250" s="2002" t="s">
        <v>8170</v>
      </c>
      <c r="F250" s="2019"/>
      <c r="H250" s="1790">
        <f t="shared" si="43"/>
        <v>0</v>
      </c>
      <c r="I250" s="1790">
        <f t="shared" si="33"/>
        <v>0</v>
      </c>
      <c r="J250" s="1790">
        <f t="shared" si="34"/>
        <v>0</v>
      </c>
      <c r="K250" s="1790">
        <f t="shared" si="35"/>
        <v>0</v>
      </c>
      <c r="L250" s="1790">
        <f t="shared" si="36"/>
        <v>0</v>
      </c>
      <c r="M250" s="1790">
        <f t="shared" si="37"/>
        <v>0</v>
      </c>
      <c r="N250" s="1790">
        <f t="shared" si="38"/>
        <v>0</v>
      </c>
      <c r="O250" s="1790">
        <f t="shared" si="39"/>
        <v>0</v>
      </c>
      <c r="P250" s="1790">
        <f t="shared" si="40"/>
        <v>0</v>
      </c>
      <c r="Q250" s="1790">
        <f t="shared" si="41"/>
        <v>0</v>
      </c>
      <c r="R250" s="1790">
        <f t="shared" si="42"/>
        <v>0</v>
      </c>
      <c r="T250" s="1790"/>
      <c r="U250" s="1790"/>
      <c r="V250" s="1790"/>
      <c r="W250" s="1790"/>
      <c r="X250" s="1790"/>
      <c r="Y250" s="1790"/>
      <c r="Z250" s="1790"/>
      <c r="AA250" s="1790"/>
      <c r="AB250" s="1790"/>
      <c r="AC250" s="1790"/>
      <c r="AD250" s="1790"/>
    </row>
    <row r="251" spans="1:30" ht="14.1" customHeight="1">
      <c r="A251" s="1675">
        <v>11</v>
      </c>
      <c r="B251" s="1675"/>
      <c r="C251" s="2009">
        <v>34186</v>
      </c>
      <c r="D251" s="1674" t="s">
        <v>2449</v>
      </c>
      <c r="F251" s="2019">
        <v>2.93</v>
      </c>
      <c r="G251" s="2001"/>
      <c r="H251" s="1876">
        <f t="shared" si="43"/>
        <v>13374.554050000001</v>
      </c>
      <c r="I251" s="1785">
        <f t="shared" si="33"/>
        <v>0</v>
      </c>
      <c r="J251" s="1876">
        <f t="shared" si="34"/>
        <v>1291.1110700000002</v>
      </c>
      <c r="K251" s="1786">
        <f t="shared" si="35"/>
        <v>0</v>
      </c>
      <c r="L251" s="1876">
        <f t="shared" si="36"/>
        <v>-258.22221999999999</v>
      </c>
      <c r="M251" s="1786">
        <f t="shared" si="37"/>
        <v>0</v>
      </c>
      <c r="N251" s="1876">
        <f t="shared" si="38"/>
        <v>0</v>
      </c>
      <c r="O251" s="1785">
        <f t="shared" si="39"/>
        <v>0</v>
      </c>
      <c r="P251" s="1787">
        <f t="shared" si="40"/>
        <v>14407.4429</v>
      </c>
      <c r="Q251" s="1786">
        <f t="shared" si="41"/>
        <v>0</v>
      </c>
      <c r="R251" s="1876">
        <f t="shared" si="42"/>
        <v>13593.04977</v>
      </c>
      <c r="T251" s="1876">
        <v>13374554.050000001</v>
      </c>
      <c r="U251" s="1785"/>
      <c r="V251" s="1876">
        <v>1291111.07</v>
      </c>
      <c r="W251" s="1786"/>
      <c r="X251" s="1876">
        <v>-258222.22</v>
      </c>
      <c r="Y251" s="1786"/>
      <c r="Z251" s="1876">
        <v>0</v>
      </c>
      <c r="AA251" s="1785"/>
      <c r="AB251" s="1787">
        <v>14407442.9</v>
      </c>
      <c r="AC251" s="1786"/>
      <c r="AD251" s="1876">
        <v>13593049.77</v>
      </c>
    </row>
    <row r="252" spans="1:30" ht="14.1" customHeight="1">
      <c r="A252" s="1675">
        <v>12</v>
      </c>
      <c r="B252" s="2015"/>
      <c r="C252" s="2009">
        <v>34286</v>
      </c>
      <c r="D252" s="1674" t="s">
        <v>2495</v>
      </c>
      <c r="F252" s="2019">
        <v>3.37</v>
      </c>
      <c r="G252" s="2001"/>
      <c r="H252" s="1876">
        <f t="shared" si="43"/>
        <v>215270.34614499996</v>
      </c>
      <c r="I252" s="1785">
        <f t="shared" si="33"/>
        <v>0</v>
      </c>
      <c r="J252" s="1876">
        <f t="shared" si="34"/>
        <v>3629.3581400000003</v>
      </c>
      <c r="K252" s="1786">
        <f t="shared" si="35"/>
        <v>0</v>
      </c>
      <c r="L252" s="1876">
        <f t="shared" si="36"/>
        <v>-725.87164000000007</v>
      </c>
      <c r="M252" s="1786">
        <f t="shared" si="37"/>
        <v>0</v>
      </c>
      <c r="N252" s="1876">
        <f t="shared" si="38"/>
        <v>0</v>
      </c>
      <c r="O252" s="1785">
        <f t="shared" si="39"/>
        <v>0</v>
      </c>
      <c r="P252" s="1787">
        <f t="shared" si="40"/>
        <v>218173.83264499996</v>
      </c>
      <c r="Q252" s="1786">
        <f t="shared" si="41"/>
        <v>0</v>
      </c>
      <c r="R252" s="1876">
        <f t="shared" si="42"/>
        <v>215839.67416999998</v>
      </c>
      <c r="T252" s="1876">
        <v>215270346.14499995</v>
      </c>
      <c r="U252" s="1785"/>
      <c r="V252" s="1876">
        <v>3629358.14</v>
      </c>
      <c r="W252" s="1786"/>
      <c r="X252" s="1876">
        <v>-725871.64</v>
      </c>
      <c r="Y252" s="1786"/>
      <c r="Z252" s="1876">
        <v>0</v>
      </c>
      <c r="AA252" s="1785"/>
      <c r="AB252" s="1787">
        <v>218173832.64499995</v>
      </c>
      <c r="AC252" s="1786"/>
      <c r="AD252" s="1876">
        <v>215839674.16999999</v>
      </c>
    </row>
    <row r="253" spans="1:30" ht="14.1" customHeight="1">
      <c r="A253" s="1675">
        <v>13</v>
      </c>
      <c r="B253" s="2015"/>
      <c r="C253" s="2009">
        <v>34386</v>
      </c>
      <c r="D253" s="1674" t="s">
        <v>2496</v>
      </c>
      <c r="F253" s="2019">
        <v>3.4800000000000004</v>
      </c>
      <c r="G253" s="2001"/>
      <c r="H253" s="1876">
        <f t="shared" si="43"/>
        <v>225351.01547500005</v>
      </c>
      <c r="I253" s="1785">
        <f t="shared" si="33"/>
        <v>0</v>
      </c>
      <c r="J253" s="1876">
        <f t="shared" si="34"/>
        <v>3629.3581400000003</v>
      </c>
      <c r="K253" s="1786">
        <f t="shared" si="35"/>
        <v>0</v>
      </c>
      <c r="L253" s="1876">
        <f t="shared" si="36"/>
        <v>-725.87164000000007</v>
      </c>
      <c r="M253" s="1786">
        <f t="shared" si="37"/>
        <v>0</v>
      </c>
      <c r="N253" s="1876">
        <f t="shared" si="38"/>
        <v>0</v>
      </c>
      <c r="O253" s="1785">
        <f t="shared" si="39"/>
        <v>0</v>
      </c>
      <c r="P253" s="1787">
        <f t="shared" si="40"/>
        <v>228254.50197500005</v>
      </c>
      <c r="Q253" s="1786">
        <f t="shared" si="41"/>
        <v>0</v>
      </c>
      <c r="R253" s="1876">
        <f t="shared" si="42"/>
        <v>225920.34349999999</v>
      </c>
      <c r="T253" s="1876">
        <v>225351015.47500005</v>
      </c>
      <c r="U253" s="1785"/>
      <c r="V253" s="1876">
        <v>3629358.14</v>
      </c>
      <c r="W253" s="1786"/>
      <c r="X253" s="1876">
        <v>-725871.64</v>
      </c>
      <c r="Y253" s="1786"/>
      <c r="Z253" s="1876">
        <v>0</v>
      </c>
      <c r="AA253" s="1785"/>
      <c r="AB253" s="1787">
        <v>228254501.97500005</v>
      </c>
      <c r="AC253" s="1786"/>
      <c r="AD253" s="1876">
        <v>225920343.5</v>
      </c>
    </row>
    <row r="254" spans="1:30" ht="14.1" customHeight="1">
      <c r="A254" s="1675">
        <v>14</v>
      </c>
      <c r="B254" s="2015"/>
      <c r="C254" s="2009">
        <v>34586</v>
      </c>
      <c r="D254" s="1674" t="s">
        <v>2454</v>
      </c>
      <c r="F254" s="2019">
        <v>3.04</v>
      </c>
      <c r="G254" s="2001"/>
      <c r="H254" s="1876">
        <f t="shared" si="43"/>
        <v>18338.595009999997</v>
      </c>
      <c r="I254" s="1785">
        <f t="shared" si="33"/>
        <v>0</v>
      </c>
      <c r="J254" s="1876">
        <f t="shared" si="34"/>
        <v>0</v>
      </c>
      <c r="K254" s="1786">
        <f t="shared" si="35"/>
        <v>0</v>
      </c>
      <c r="L254" s="1876">
        <f t="shared" si="36"/>
        <v>0</v>
      </c>
      <c r="M254" s="1786">
        <f t="shared" si="37"/>
        <v>0</v>
      </c>
      <c r="N254" s="1876">
        <f t="shared" si="38"/>
        <v>0</v>
      </c>
      <c r="O254" s="1785">
        <f t="shared" si="39"/>
        <v>0</v>
      </c>
      <c r="P254" s="1787">
        <f t="shared" si="40"/>
        <v>18338.595009999997</v>
      </c>
      <c r="Q254" s="1786">
        <f t="shared" si="41"/>
        <v>0</v>
      </c>
      <c r="R254" s="1876">
        <f t="shared" si="42"/>
        <v>18338.595010000001</v>
      </c>
      <c r="T254" s="1876">
        <v>18338595.009999998</v>
      </c>
      <c r="U254" s="1785"/>
      <c r="V254" s="1876">
        <v>0</v>
      </c>
      <c r="W254" s="1786"/>
      <c r="X254" s="1876">
        <v>0</v>
      </c>
      <c r="Y254" s="1786"/>
      <c r="Z254" s="1876">
        <v>0</v>
      </c>
      <c r="AA254" s="1785"/>
      <c r="AB254" s="1787">
        <v>18338595.009999998</v>
      </c>
      <c r="AC254" s="1786"/>
      <c r="AD254" s="1876">
        <v>18338595.010000002</v>
      </c>
    </row>
    <row r="255" spans="1:30" ht="14.1" customHeight="1">
      <c r="A255" s="1675">
        <v>15</v>
      </c>
      <c r="B255" s="2015"/>
      <c r="C255" s="2009">
        <v>34686</v>
      </c>
      <c r="D255" s="1674" t="s">
        <v>2455</v>
      </c>
      <c r="F255" s="2019">
        <v>3.71</v>
      </c>
      <c r="G255" s="2001"/>
      <c r="H255" s="1876">
        <f t="shared" si="43"/>
        <v>141.62640999999999</v>
      </c>
      <c r="I255" s="1785">
        <f t="shared" si="33"/>
        <v>0</v>
      </c>
      <c r="J255" s="1876">
        <f t="shared" si="34"/>
        <v>0</v>
      </c>
      <c r="K255" s="1786">
        <f t="shared" si="35"/>
        <v>0</v>
      </c>
      <c r="L255" s="1876">
        <f t="shared" si="36"/>
        <v>0</v>
      </c>
      <c r="M255" s="1786">
        <f t="shared" si="37"/>
        <v>0</v>
      </c>
      <c r="N255" s="1876">
        <f t="shared" si="38"/>
        <v>0</v>
      </c>
      <c r="O255" s="1785">
        <f t="shared" si="39"/>
        <v>0</v>
      </c>
      <c r="P255" s="1787">
        <f t="shared" si="40"/>
        <v>141.62640999999999</v>
      </c>
      <c r="Q255" s="1786">
        <f t="shared" si="41"/>
        <v>0</v>
      </c>
      <c r="R255" s="1876">
        <f t="shared" si="42"/>
        <v>141.62640999999999</v>
      </c>
      <c r="T255" s="1876">
        <v>141626.41</v>
      </c>
      <c r="U255" s="1785"/>
      <c r="V255" s="1876">
        <v>0</v>
      </c>
      <c r="W255" s="1786"/>
      <c r="X255" s="1876">
        <v>0</v>
      </c>
      <c r="Y255" s="1786"/>
      <c r="Z255" s="1876">
        <v>0</v>
      </c>
      <c r="AA255" s="1785"/>
      <c r="AB255" s="1787">
        <v>141626.41</v>
      </c>
      <c r="AC255" s="1786"/>
      <c r="AD255" s="1876">
        <v>141626.41</v>
      </c>
    </row>
    <row r="256" spans="1:30" ht="14.1" customHeight="1">
      <c r="A256" s="1675">
        <v>16</v>
      </c>
      <c r="B256" s="2015"/>
      <c r="C256" s="2009"/>
      <c r="D256" s="2002" t="s">
        <v>8171</v>
      </c>
      <c r="F256" s="2019"/>
      <c r="H256" s="1788">
        <f t="shared" si="43"/>
        <v>472476.13709000003</v>
      </c>
      <c r="I256" s="1790">
        <f t="shared" si="33"/>
        <v>0</v>
      </c>
      <c r="J256" s="1788">
        <f t="shared" si="34"/>
        <v>8549.8273499999996</v>
      </c>
      <c r="K256" s="1790">
        <f t="shared" si="35"/>
        <v>0</v>
      </c>
      <c r="L256" s="1788">
        <f t="shared" si="36"/>
        <v>-1709.9655</v>
      </c>
      <c r="M256" s="1790">
        <f t="shared" si="37"/>
        <v>0</v>
      </c>
      <c r="N256" s="1788">
        <f t="shared" si="38"/>
        <v>0</v>
      </c>
      <c r="O256" s="1790">
        <f t="shared" si="39"/>
        <v>0</v>
      </c>
      <c r="P256" s="1788">
        <f t="shared" si="40"/>
        <v>479315.99894000002</v>
      </c>
      <c r="Q256" s="1790">
        <f t="shared" si="41"/>
        <v>0</v>
      </c>
      <c r="R256" s="1788">
        <f t="shared" si="42"/>
        <v>473833.28886000003</v>
      </c>
      <c r="T256" s="1788">
        <v>472476137.09000003</v>
      </c>
      <c r="U256" s="1790"/>
      <c r="V256" s="1788">
        <v>8549827.3499999996</v>
      </c>
      <c r="W256" s="1790"/>
      <c r="X256" s="1788">
        <v>-1709965.5</v>
      </c>
      <c r="Y256" s="1790"/>
      <c r="Z256" s="1788">
        <v>0</v>
      </c>
      <c r="AA256" s="1790"/>
      <c r="AB256" s="1788">
        <v>479315998.94</v>
      </c>
      <c r="AC256" s="1790"/>
      <c r="AD256" s="1788">
        <v>473833288.86000001</v>
      </c>
    </row>
    <row r="257" spans="1:30" ht="14.1" customHeight="1">
      <c r="A257" s="1675">
        <v>17</v>
      </c>
      <c r="B257" s="2015"/>
      <c r="F257" s="2020"/>
      <c r="H257" s="1674">
        <f t="shared" si="43"/>
        <v>0</v>
      </c>
      <c r="I257" s="1674">
        <f t="shared" si="33"/>
        <v>0</v>
      </c>
      <c r="J257" s="1674">
        <f t="shared" si="34"/>
        <v>0</v>
      </c>
      <c r="K257" s="1674">
        <f t="shared" si="35"/>
        <v>0</v>
      </c>
      <c r="L257" s="1674">
        <f t="shared" si="36"/>
        <v>0</v>
      </c>
      <c r="M257" s="1674">
        <f t="shared" si="37"/>
        <v>0</v>
      </c>
      <c r="N257" s="1674">
        <f t="shared" si="38"/>
        <v>0</v>
      </c>
      <c r="O257" s="2001">
        <f t="shared" si="39"/>
        <v>0</v>
      </c>
      <c r="P257" s="1674">
        <f t="shared" si="40"/>
        <v>0</v>
      </c>
      <c r="Q257" s="1674">
        <f t="shared" si="41"/>
        <v>0</v>
      </c>
      <c r="R257" s="1674">
        <f t="shared" si="42"/>
        <v>0</v>
      </c>
      <c r="AA257" s="2001"/>
    </row>
    <row r="258" spans="1:30" ht="14.1" customHeight="1">
      <c r="A258" s="1675">
        <v>18</v>
      </c>
      <c r="B258" s="2015"/>
      <c r="C258" s="2009">
        <v>34287</v>
      </c>
      <c r="D258" s="2002" t="s">
        <v>2509</v>
      </c>
      <c r="F258" s="2019">
        <v>20</v>
      </c>
      <c r="G258" s="2001"/>
      <c r="H258" s="1876">
        <f t="shared" si="43"/>
        <v>0</v>
      </c>
      <c r="I258" s="1785">
        <f t="shared" si="33"/>
        <v>0</v>
      </c>
      <c r="J258" s="1876">
        <f t="shared" si="34"/>
        <v>0</v>
      </c>
      <c r="K258" s="1786">
        <f t="shared" si="35"/>
        <v>0</v>
      </c>
      <c r="L258" s="1876">
        <f t="shared" si="36"/>
        <v>0</v>
      </c>
      <c r="M258" s="1786">
        <f t="shared" si="37"/>
        <v>0</v>
      </c>
      <c r="N258" s="1876">
        <f t="shared" si="38"/>
        <v>0</v>
      </c>
      <c r="O258" s="1785">
        <f t="shared" si="39"/>
        <v>0</v>
      </c>
      <c r="P258" s="1787">
        <f t="shared" si="40"/>
        <v>0</v>
      </c>
      <c r="Q258" s="1786">
        <f t="shared" si="41"/>
        <v>0</v>
      </c>
      <c r="R258" s="1876">
        <f t="shared" si="42"/>
        <v>0</v>
      </c>
      <c r="T258" s="1876">
        <v>0</v>
      </c>
      <c r="U258" s="1785"/>
      <c r="V258" s="1876">
        <v>0</v>
      </c>
      <c r="W258" s="1786"/>
      <c r="X258" s="1876">
        <v>0</v>
      </c>
      <c r="Y258" s="1786"/>
      <c r="Z258" s="1876">
        <v>0</v>
      </c>
      <c r="AA258" s="1785"/>
      <c r="AB258" s="1787">
        <v>0</v>
      </c>
      <c r="AC258" s="1786"/>
      <c r="AD258" s="1876">
        <v>0</v>
      </c>
    </row>
    <row r="259" spans="1:30" ht="14.1" customHeight="1">
      <c r="A259" s="1675">
        <v>19</v>
      </c>
      <c r="B259" s="2015"/>
      <c r="C259" s="2009">
        <v>34687</v>
      </c>
      <c r="D259" s="1674" t="s">
        <v>8172</v>
      </c>
      <c r="F259" s="2019">
        <v>14.3</v>
      </c>
      <c r="G259" s="2001"/>
      <c r="H259" s="1876">
        <f t="shared" si="43"/>
        <v>2111.9599400000002</v>
      </c>
      <c r="I259" s="1785">
        <f t="shared" si="33"/>
        <v>0</v>
      </c>
      <c r="J259" s="1876">
        <f t="shared" si="34"/>
        <v>0</v>
      </c>
      <c r="K259" s="1786">
        <f t="shared" si="35"/>
        <v>0</v>
      </c>
      <c r="L259" s="1876">
        <f t="shared" si="36"/>
        <v>0</v>
      </c>
      <c r="M259" s="1786">
        <f t="shared" si="37"/>
        <v>0</v>
      </c>
      <c r="N259" s="1876">
        <f t="shared" si="38"/>
        <v>0</v>
      </c>
      <c r="O259" s="1785">
        <f t="shared" si="39"/>
        <v>0</v>
      </c>
      <c r="P259" s="1787">
        <f t="shared" si="40"/>
        <v>2111.9599400000002</v>
      </c>
      <c r="Q259" s="1786">
        <f t="shared" si="41"/>
        <v>0</v>
      </c>
      <c r="R259" s="1876">
        <f t="shared" si="42"/>
        <v>2111.9599399999997</v>
      </c>
      <c r="T259" s="1876">
        <v>2111959.9400000004</v>
      </c>
      <c r="U259" s="1785"/>
      <c r="V259" s="1876">
        <v>0</v>
      </c>
      <c r="W259" s="1786"/>
      <c r="X259" s="1876">
        <v>0</v>
      </c>
      <c r="Y259" s="1786"/>
      <c r="Z259" s="1876">
        <v>0</v>
      </c>
      <c r="AA259" s="1785"/>
      <c r="AB259" s="1787">
        <v>2111959.9400000004</v>
      </c>
      <c r="AC259" s="1786"/>
      <c r="AD259" s="1876">
        <v>2111959.94</v>
      </c>
    </row>
    <row r="260" spans="1:30" ht="14.1" customHeight="1">
      <c r="A260" s="1675">
        <v>20</v>
      </c>
      <c r="B260" s="2015"/>
      <c r="C260" s="1675"/>
      <c r="F260" s="2019"/>
      <c r="H260" s="1788">
        <f t="shared" si="43"/>
        <v>0</v>
      </c>
      <c r="I260" s="1790">
        <f t="shared" si="33"/>
        <v>0</v>
      </c>
      <c r="J260" s="1788">
        <f t="shared" si="34"/>
        <v>0</v>
      </c>
      <c r="K260" s="1790">
        <f t="shared" si="35"/>
        <v>0</v>
      </c>
      <c r="L260" s="1788">
        <f t="shared" si="36"/>
        <v>0</v>
      </c>
      <c r="M260" s="1790">
        <f t="shared" si="37"/>
        <v>0</v>
      </c>
      <c r="N260" s="1788">
        <f t="shared" si="38"/>
        <v>0</v>
      </c>
      <c r="O260" s="1790">
        <f t="shared" si="39"/>
        <v>0</v>
      </c>
      <c r="P260" s="1788">
        <f t="shared" si="40"/>
        <v>0</v>
      </c>
      <c r="Q260" s="1790">
        <f t="shared" si="41"/>
        <v>0</v>
      </c>
      <c r="R260" s="1788">
        <f t="shared" si="42"/>
        <v>0</v>
      </c>
      <c r="T260" s="1788"/>
      <c r="U260" s="1790"/>
      <c r="V260" s="1788"/>
      <c r="W260" s="1790"/>
      <c r="X260" s="1788"/>
      <c r="Y260" s="1790"/>
      <c r="Z260" s="1788"/>
      <c r="AA260" s="1790"/>
      <c r="AB260" s="1788"/>
      <c r="AC260" s="1790"/>
      <c r="AD260" s="1788"/>
    </row>
    <row r="261" spans="1:30" ht="14.1" customHeight="1" thickBot="1">
      <c r="A261" s="1675">
        <v>21</v>
      </c>
      <c r="B261" s="2015"/>
      <c r="C261" s="1675"/>
      <c r="D261" s="1674" t="s">
        <v>2510</v>
      </c>
      <c r="F261" s="2019"/>
      <c r="H261" s="1870">
        <f t="shared" si="43"/>
        <v>1449218.6216500001</v>
      </c>
      <c r="I261" s="1790">
        <f t="shared" si="33"/>
        <v>0</v>
      </c>
      <c r="J261" s="1870">
        <f t="shared" si="34"/>
        <v>125782.08364999997</v>
      </c>
      <c r="K261" s="1790">
        <f t="shared" si="35"/>
        <v>0</v>
      </c>
      <c r="L261" s="1870">
        <f t="shared" si="36"/>
        <v>-9042.6373999999996</v>
      </c>
      <c r="M261" s="1790">
        <f t="shared" si="37"/>
        <v>0</v>
      </c>
      <c r="N261" s="1870">
        <f t="shared" si="38"/>
        <v>0</v>
      </c>
      <c r="O261" s="1790">
        <f t="shared" si="39"/>
        <v>0</v>
      </c>
      <c r="P261" s="1870">
        <f t="shared" si="40"/>
        <v>1565958.0679000004</v>
      </c>
      <c r="Q261" s="1790">
        <f t="shared" si="41"/>
        <v>0</v>
      </c>
      <c r="R261" s="1870">
        <f t="shared" si="42"/>
        <v>1504349.3215399999</v>
      </c>
      <c r="T261" s="1870">
        <v>1449218621.6500001</v>
      </c>
      <c r="U261" s="1790"/>
      <c r="V261" s="1870">
        <v>125782083.64999998</v>
      </c>
      <c r="W261" s="1790"/>
      <c r="X261" s="1870">
        <v>-9042637.4000000004</v>
      </c>
      <c r="Y261" s="1790"/>
      <c r="Z261" s="1870">
        <v>0</v>
      </c>
      <c r="AA261" s="1790"/>
      <c r="AB261" s="1870">
        <v>1565958067.9000003</v>
      </c>
      <c r="AC261" s="1790"/>
      <c r="AD261" s="1870">
        <v>1504349321.54</v>
      </c>
    </row>
    <row r="262" spans="1:30" ht="14.1" customHeight="1" thickTop="1">
      <c r="A262" s="1675">
        <v>22</v>
      </c>
      <c r="B262" s="2015"/>
      <c r="F262" s="2020"/>
      <c r="H262" s="1674">
        <f t="shared" si="43"/>
        <v>0</v>
      </c>
      <c r="I262" s="1674">
        <f t="shared" si="33"/>
        <v>0</v>
      </c>
      <c r="J262" s="1674">
        <f t="shared" si="34"/>
        <v>0</v>
      </c>
      <c r="K262" s="1674">
        <f t="shared" si="35"/>
        <v>0</v>
      </c>
      <c r="L262" s="1674">
        <f t="shared" si="36"/>
        <v>0</v>
      </c>
      <c r="M262" s="1674">
        <f t="shared" si="37"/>
        <v>0</v>
      </c>
      <c r="N262" s="1674">
        <f t="shared" si="38"/>
        <v>0</v>
      </c>
      <c r="O262" s="2001">
        <f t="shared" si="39"/>
        <v>0</v>
      </c>
      <c r="P262" s="1674">
        <f t="shared" si="40"/>
        <v>0</v>
      </c>
      <c r="Q262" s="1674">
        <f t="shared" si="41"/>
        <v>0</v>
      </c>
      <c r="R262" s="1674">
        <f t="shared" si="42"/>
        <v>0</v>
      </c>
      <c r="AA262" s="2001"/>
    </row>
    <row r="263" spans="1:30" ht="14.1" customHeight="1">
      <c r="A263" s="1675">
        <v>23</v>
      </c>
      <c r="B263" s="2015"/>
      <c r="F263" s="2020"/>
      <c r="H263" s="1674">
        <f t="shared" si="43"/>
        <v>0</v>
      </c>
      <c r="I263" s="1674">
        <f t="shared" si="33"/>
        <v>0</v>
      </c>
      <c r="J263" s="1674">
        <f t="shared" si="34"/>
        <v>0</v>
      </c>
      <c r="K263" s="1674">
        <f t="shared" si="35"/>
        <v>0</v>
      </c>
      <c r="L263" s="1674">
        <f t="shared" si="36"/>
        <v>0</v>
      </c>
      <c r="M263" s="1674">
        <f t="shared" si="37"/>
        <v>0</v>
      </c>
      <c r="N263" s="1674">
        <f t="shared" si="38"/>
        <v>0</v>
      </c>
      <c r="O263" s="2001">
        <f t="shared" si="39"/>
        <v>0</v>
      </c>
      <c r="P263" s="1674">
        <f t="shared" si="40"/>
        <v>0</v>
      </c>
      <c r="Q263" s="1674">
        <f t="shared" si="41"/>
        <v>0</v>
      </c>
      <c r="R263" s="1674">
        <f t="shared" si="42"/>
        <v>0</v>
      </c>
      <c r="AA263" s="2001"/>
    </row>
    <row r="264" spans="1:30" ht="14.1" customHeight="1">
      <c r="A264" s="1675">
        <v>24</v>
      </c>
      <c r="B264" s="2015"/>
      <c r="F264" s="2020"/>
      <c r="H264" s="1674">
        <f t="shared" si="43"/>
        <v>0</v>
      </c>
      <c r="I264" s="1674">
        <f t="shared" si="33"/>
        <v>0</v>
      </c>
      <c r="J264" s="1674">
        <f t="shared" si="34"/>
        <v>0</v>
      </c>
      <c r="K264" s="1674">
        <f t="shared" si="35"/>
        <v>0</v>
      </c>
      <c r="L264" s="1674">
        <f t="shared" si="36"/>
        <v>0</v>
      </c>
      <c r="M264" s="1674">
        <f t="shared" si="37"/>
        <v>0</v>
      </c>
      <c r="N264" s="1674">
        <f t="shared" si="38"/>
        <v>0</v>
      </c>
      <c r="O264" s="2001">
        <f t="shared" si="39"/>
        <v>0</v>
      </c>
      <c r="P264" s="1674">
        <f t="shared" si="40"/>
        <v>0</v>
      </c>
      <c r="Q264" s="1674">
        <f t="shared" si="41"/>
        <v>0</v>
      </c>
      <c r="R264" s="1674">
        <f t="shared" si="42"/>
        <v>0</v>
      </c>
      <c r="AA264" s="2001"/>
    </row>
    <row r="265" spans="1:30" ht="14.1" customHeight="1">
      <c r="A265" s="1675">
        <v>25</v>
      </c>
      <c r="B265" s="2015"/>
      <c r="D265" s="1674" t="s">
        <v>2511</v>
      </c>
      <c r="F265" s="2020"/>
      <c r="H265" s="1674">
        <f t="shared" si="43"/>
        <v>0</v>
      </c>
      <c r="I265" s="1674">
        <f t="shared" si="33"/>
        <v>0</v>
      </c>
      <c r="J265" s="1674">
        <f t="shared" si="34"/>
        <v>0</v>
      </c>
      <c r="K265" s="1674">
        <f t="shared" si="35"/>
        <v>0</v>
      </c>
      <c r="L265" s="1674">
        <f t="shared" si="36"/>
        <v>0</v>
      </c>
      <c r="M265" s="1674">
        <f t="shared" si="37"/>
        <v>0</v>
      </c>
      <c r="N265" s="1674">
        <f t="shared" si="38"/>
        <v>0</v>
      </c>
      <c r="O265" s="2001">
        <f t="shared" si="39"/>
        <v>0</v>
      </c>
      <c r="P265" s="1674">
        <f t="shared" si="40"/>
        <v>0</v>
      </c>
      <c r="Q265" s="1674">
        <f t="shared" si="41"/>
        <v>0</v>
      </c>
      <c r="R265" s="1674">
        <f t="shared" si="42"/>
        <v>0</v>
      </c>
      <c r="AA265" s="2001"/>
    </row>
    <row r="266" spans="1:30" ht="14.1" customHeight="1">
      <c r="A266" s="1675">
        <v>26</v>
      </c>
      <c r="B266" s="2022"/>
      <c r="D266" s="2002" t="s">
        <v>2512</v>
      </c>
      <c r="F266" s="2019"/>
      <c r="H266" s="2031">
        <f t="shared" si="43"/>
        <v>0</v>
      </c>
      <c r="I266" s="1790">
        <f t="shared" si="33"/>
        <v>0</v>
      </c>
      <c r="J266" s="2031">
        <f t="shared" si="34"/>
        <v>0</v>
      </c>
      <c r="K266" s="1790">
        <f t="shared" si="35"/>
        <v>0</v>
      </c>
      <c r="L266" s="2031">
        <f t="shared" si="36"/>
        <v>0</v>
      </c>
      <c r="M266" s="1790">
        <f t="shared" si="37"/>
        <v>0</v>
      </c>
      <c r="N266" s="2031">
        <f t="shared" si="38"/>
        <v>0</v>
      </c>
      <c r="O266" s="1790">
        <f t="shared" si="39"/>
        <v>0</v>
      </c>
      <c r="P266" s="2031">
        <f t="shared" si="40"/>
        <v>0</v>
      </c>
      <c r="Q266" s="1790">
        <f t="shared" si="41"/>
        <v>0</v>
      </c>
      <c r="R266" s="2031">
        <f t="shared" si="42"/>
        <v>0</v>
      </c>
      <c r="T266" s="2031"/>
      <c r="U266" s="1790"/>
      <c r="V266" s="2031"/>
      <c r="W266" s="1790"/>
      <c r="X266" s="2031"/>
      <c r="Y266" s="1790"/>
      <c r="Z266" s="2031"/>
      <c r="AA266" s="1790"/>
      <c r="AB266" s="2031"/>
      <c r="AC266" s="1790"/>
      <c r="AD266" s="2031"/>
    </row>
    <row r="267" spans="1:30" ht="14.1" customHeight="1">
      <c r="A267" s="1675">
        <v>27</v>
      </c>
      <c r="B267" s="2022"/>
      <c r="C267" s="1675">
        <v>34130</v>
      </c>
      <c r="D267" s="1674" t="s">
        <v>2449</v>
      </c>
      <c r="F267" s="2019">
        <v>3.7000000000000006</v>
      </c>
      <c r="G267" s="2001"/>
      <c r="H267" s="1876">
        <f t="shared" si="43"/>
        <v>112232.11392</v>
      </c>
      <c r="I267" s="1785">
        <f t="shared" si="33"/>
        <v>0</v>
      </c>
      <c r="J267" s="1876">
        <f t="shared" si="34"/>
        <v>0</v>
      </c>
      <c r="K267" s="1786">
        <f t="shared" si="35"/>
        <v>0</v>
      </c>
      <c r="L267" s="1876">
        <f t="shared" si="36"/>
        <v>0</v>
      </c>
      <c r="M267" s="1786">
        <f t="shared" si="37"/>
        <v>0</v>
      </c>
      <c r="N267" s="1876">
        <f t="shared" si="38"/>
        <v>0</v>
      </c>
      <c r="O267" s="1785">
        <f t="shared" si="39"/>
        <v>0</v>
      </c>
      <c r="P267" s="1787">
        <f t="shared" si="40"/>
        <v>112232.11392</v>
      </c>
      <c r="Q267" s="1786">
        <f t="shared" si="41"/>
        <v>0</v>
      </c>
      <c r="R267" s="1876">
        <f t="shared" si="42"/>
        <v>112232.11392</v>
      </c>
      <c r="T267" s="1876">
        <v>112232113.92</v>
      </c>
      <c r="U267" s="1785"/>
      <c r="V267" s="1876">
        <v>0</v>
      </c>
      <c r="W267" s="1786"/>
      <c r="X267" s="1876">
        <v>0</v>
      </c>
      <c r="Y267" s="1786"/>
      <c r="Z267" s="1876">
        <v>0</v>
      </c>
      <c r="AA267" s="1785"/>
      <c r="AB267" s="1787">
        <v>112232113.92</v>
      </c>
      <c r="AC267" s="1786"/>
      <c r="AD267" s="1876">
        <v>112232113.92</v>
      </c>
    </row>
    <row r="268" spans="1:30" ht="14.1" customHeight="1">
      <c r="A268" s="1675">
        <v>28</v>
      </c>
      <c r="B268" s="2022"/>
      <c r="C268" s="1675">
        <v>34230</v>
      </c>
      <c r="D268" s="1674" t="s">
        <v>2495</v>
      </c>
      <c r="F268" s="2019">
        <v>4.26</v>
      </c>
      <c r="G268" s="2001"/>
      <c r="H268" s="1876">
        <f t="shared" si="43"/>
        <v>41315.289069999999</v>
      </c>
      <c r="I268" s="1785">
        <f t="shared" si="33"/>
        <v>0</v>
      </c>
      <c r="J268" s="1876">
        <f t="shared" si="34"/>
        <v>8972.4303900000014</v>
      </c>
      <c r="K268" s="1786">
        <f t="shared" si="35"/>
        <v>0</v>
      </c>
      <c r="L268" s="1876">
        <f t="shared" si="36"/>
        <v>-1794.4860800000001</v>
      </c>
      <c r="M268" s="1786">
        <f t="shared" si="37"/>
        <v>0</v>
      </c>
      <c r="N268" s="1876">
        <f t="shared" si="38"/>
        <v>0</v>
      </c>
      <c r="O268" s="1785">
        <f t="shared" si="39"/>
        <v>0</v>
      </c>
      <c r="P268" s="1787">
        <f t="shared" si="40"/>
        <v>48493.233380000005</v>
      </c>
      <c r="Q268" s="1786">
        <f t="shared" si="41"/>
        <v>0</v>
      </c>
      <c r="R268" s="1876">
        <f t="shared" si="42"/>
        <v>45243.593820000002</v>
      </c>
      <c r="T268" s="1876">
        <v>41315289.07</v>
      </c>
      <c r="U268" s="1785"/>
      <c r="V268" s="1876">
        <v>8972430.3900000006</v>
      </c>
      <c r="W268" s="1786"/>
      <c r="X268" s="1876">
        <v>-1794486.08</v>
      </c>
      <c r="Y268" s="1786"/>
      <c r="Z268" s="1876">
        <v>0</v>
      </c>
      <c r="AA268" s="1785"/>
      <c r="AB268" s="1787">
        <v>48493233.380000003</v>
      </c>
      <c r="AC268" s="1786"/>
      <c r="AD268" s="1876">
        <v>45243593.82</v>
      </c>
    </row>
    <row r="269" spans="1:30" ht="14.1" customHeight="1">
      <c r="A269" s="1675">
        <v>29</v>
      </c>
      <c r="B269" s="2015"/>
      <c r="C269" s="1675">
        <v>34330</v>
      </c>
      <c r="D269" s="1674" t="s">
        <v>2496</v>
      </c>
      <c r="F269" s="2019">
        <v>5.47</v>
      </c>
      <c r="G269" s="2001"/>
      <c r="H269" s="1876">
        <f t="shared" si="43"/>
        <v>56329.274839999998</v>
      </c>
      <c r="I269" s="1785">
        <f t="shared" si="33"/>
        <v>0</v>
      </c>
      <c r="J269" s="1876">
        <f t="shared" si="34"/>
        <v>8972.4303900000014</v>
      </c>
      <c r="K269" s="1786">
        <f t="shared" si="35"/>
        <v>0</v>
      </c>
      <c r="L269" s="1876">
        <f t="shared" si="36"/>
        <v>-1794.4860800000001</v>
      </c>
      <c r="M269" s="1786">
        <f t="shared" si="37"/>
        <v>0</v>
      </c>
      <c r="N269" s="1876">
        <f t="shared" si="38"/>
        <v>0</v>
      </c>
      <c r="O269" s="1785">
        <f t="shared" si="39"/>
        <v>0</v>
      </c>
      <c r="P269" s="1787">
        <f t="shared" si="40"/>
        <v>63507.219149999997</v>
      </c>
      <c r="Q269" s="1786">
        <f t="shared" si="41"/>
        <v>0</v>
      </c>
      <c r="R269" s="1876">
        <f t="shared" si="42"/>
        <v>60257.579590000001</v>
      </c>
      <c r="T269" s="1876">
        <v>56329274.839999996</v>
      </c>
      <c r="U269" s="1785"/>
      <c r="V269" s="1876">
        <v>8972430.3900000006</v>
      </c>
      <c r="W269" s="1786"/>
      <c r="X269" s="1876">
        <v>-1794486.08</v>
      </c>
      <c r="Y269" s="1786"/>
      <c r="Z269" s="1876">
        <v>0</v>
      </c>
      <c r="AA269" s="1785"/>
      <c r="AB269" s="1787">
        <v>63507219.149999999</v>
      </c>
      <c r="AC269" s="1786"/>
      <c r="AD269" s="1876">
        <v>60257579.590000004</v>
      </c>
    </row>
    <row r="270" spans="1:30" ht="14.1" customHeight="1">
      <c r="A270" s="1675">
        <v>30</v>
      </c>
      <c r="B270" s="2015"/>
      <c r="C270" s="1675">
        <v>34530</v>
      </c>
      <c r="D270" s="1674" t="s">
        <v>2454</v>
      </c>
      <c r="F270" s="2019">
        <v>2.46</v>
      </c>
      <c r="G270" s="2001"/>
      <c r="H270" s="1876">
        <f t="shared" si="43"/>
        <v>32858.830609999997</v>
      </c>
      <c r="I270" s="1785">
        <f t="shared" si="33"/>
        <v>0</v>
      </c>
      <c r="J270" s="1876">
        <f t="shared" si="34"/>
        <v>0</v>
      </c>
      <c r="K270" s="1786">
        <f t="shared" si="35"/>
        <v>0</v>
      </c>
      <c r="L270" s="1876">
        <f t="shared" si="36"/>
        <v>0</v>
      </c>
      <c r="M270" s="1786">
        <f t="shared" si="37"/>
        <v>0</v>
      </c>
      <c r="N270" s="1876">
        <f t="shared" si="38"/>
        <v>0</v>
      </c>
      <c r="O270" s="1785">
        <f t="shared" si="39"/>
        <v>0</v>
      </c>
      <c r="P270" s="1787">
        <f t="shared" si="40"/>
        <v>32858.830609999997</v>
      </c>
      <c r="Q270" s="1786">
        <f t="shared" si="41"/>
        <v>0</v>
      </c>
      <c r="R270" s="1876">
        <f t="shared" si="42"/>
        <v>32858.830609999997</v>
      </c>
      <c r="T270" s="1876">
        <v>32858830.609999999</v>
      </c>
      <c r="U270" s="1785"/>
      <c r="V270" s="1876">
        <v>0</v>
      </c>
      <c r="W270" s="1786"/>
      <c r="X270" s="1876">
        <v>0</v>
      </c>
      <c r="Y270" s="1786"/>
      <c r="Z270" s="1876">
        <v>0</v>
      </c>
      <c r="AA270" s="1785"/>
      <c r="AB270" s="1787">
        <v>32858830.609999999</v>
      </c>
      <c r="AC270" s="1786"/>
      <c r="AD270" s="1876">
        <v>32858830.609999999</v>
      </c>
    </row>
    <row r="271" spans="1:30" ht="14.1" customHeight="1">
      <c r="A271" s="1675">
        <v>31</v>
      </c>
      <c r="B271" s="2015"/>
      <c r="C271" s="1675">
        <v>34630</v>
      </c>
      <c r="D271" s="1674" t="s">
        <v>2455</v>
      </c>
      <c r="F271" s="2019">
        <v>3.26</v>
      </c>
      <c r="G271" s="2001"/>
      <c r="H271" s="1876">
        <f t="shared" si="43"/>
        <v>11491.776410000002</v>
      </c>
      <c r="I271" s="1785">
        <f t="shared" si="33"/>
        <v>0</v>
      </c>
      <c r="J271" s="1876">
        <f t="shared" si="34"/>
        <v>0</v>
      </c>
      <c r="K271" s="1786">
        <f t="shared" si="35"/>
        <v>0</v>
      </c>
      <c r="L271" s="1876">
        <f t="shared" si="36"/>
        <v>0</v>
      </c>
      <c r="M271" s="1786">
        <f t="shared" si="37"/>
        <v>0</v>
      </c>
      <c r="N271" s="1876">
        <f t="shared" si="38"/>
        <v>0</v>
      </c>
      <c r="O271" s="1785">
        <f t="shared" si="39"/>
        <v>0</v>
      </c>
      <c r="P271" s="1787">
        <f t="shared" si="40"/>
        <v>11491.776410000002</v>
      </c>
      <c r="Q271" s="1786">
        <f t="shared" si="41"/>
        <v>0</v>
      </c>
      <c r="R271" s="1876">
        <f t="shared" si="42"/>
        <v>11491.77641</v>
      </c>
      <c r="T271" s="1876">
        <v>11491776.410000002</v>
      </c>
      <c r="U271" s="1785"/>
      <c r="V271" s="1876">
        <v>0</v>
      </c>
      <c r="W271" s="1786"/>
      <c r="X271" s="1876">
        <v>0</v>
      </c>
      <c r="Y271" s="1786"/>
      <c r="Z271" s="1876">
        <v>0</v>
      </c>
      <c r="AA271" s="1785"/>
      <c r="AB271" s="1787">
        <v>11491776.410000002</v>
      </c>
      <c r="AC271" s="1786"/>
      <c r="AD271" s="1876">
        <v>11491776.41</v>
      </c>
    </row>
    <row r="272" spans="1:30" ht="14.1" customHeight="1">
      <c r="A272" s="1675">
        <v>32</v>
      </c>
      <c r="B272" s="2015"/>
      <c r="C272" s="1675"/>
      <c r="D272" s="2002" t="s">
        <v>2513</v>
      </c>
      <c r="F272" s="2019"/>
      <c r="H272" s="1788">
        <f t="shared" si="43"/>
        <v>254227.28485</v>
      </c>
      <c r="I272" s="1790">
        <f t="shared" si="33"/>
        <v>0</v>
      </c>
      <c r="J272" s="1788">
        <f t="shared" si="34"/>
        <v>17944.860780000003</v>
      </c>
      <c r="K272" s="1790">
        <f t="shared" si="35"/>
        <v>0</v>
      </c>
      <c r="L272" s="1788">
        <f t="shared" si="36"/>
        <v>-3588.9721600000003</v>
      </c>
      <c r="M272" s="1790">
        <f t="shared" si="37"/>
        <v>0</v>
      </c>
      <c r="N272" s="1788">
        <f t="shared" si="38"/>
        <v>0</v>
      </c>
      <c r="O272" s="1790">
        <f t="shared" si="39"/>
        <v>0</v>
      </c>
      <c r="P272" s="1788">
        <f t="shared" si="40"/>
        <v>268583.17347000004</v>
      </c>
      <c r="Q272" s="1790">
        <f t="shared" si="41"/>
        <v>0</v>
      </c>
      <c r="R272" s="1788">
        <f t="shared" si="42"/>
        <v>262083.89434999999</v>
      </c>
      <c r="T272" s="1788">
        <v>254227284.84999999</v>
      </c>
      <c r="U272" s="1790"/>
      <c r="V272" s="1788">
        <v>17944860.780000001</v>
      </c>
      <c r="W272" s="1790"/>
      <c r="X272" s="1788">
        <v>-3588972.16</v>
      </c>
      <c r="Y272" s="1790"/>
      <c r="Z272" s="1788">
        <v>0</v>
      </c>
      <c r="AA272" s="1790"/>
      <c r="AB272" s="1788">
        <v>268583173.47000003</v>
      </c>
      <c r="AC272" s="1790"/>
      <c r="AD272" s="1788">
        <v>262083894.34999999</v>
      </c>
    </row>
    <row r="273" spans="1:30" ht="14.1" customHeight="1">
      <c r="A273" s="1675">
        <v>33</v>
      </c>
      <c r="B273" s="2015"/>
      <c r="F273" s="2020"/>
      <c r="H273" s="1674">
        <f t="shared" si="43"/>
        <v>0</v>
      </c>
      <c r="I273" s="1674">
        <f t="shared" ref="I273:I336" si="44">+IF(ISNUMBER(U273),U273/1000,U273)</f>
        <v>0</v>
      </c>
      <c r="J273" s="1674">
        <f t="shared" ref="J273:J336" si="45">+IF(ISNUMBER(V273),V273/1000,V273)</f>
        <v>0</v>
      </c>
      <c r="K273" s="1674">
        <f t="shared" ref="K273:K336" si="46">+IF(ISNUMBER(W273),W273/1000,W273)</f>
        <v>0</v>
      </c>
      <c r="L273" s="1674">
        <f t="shared" ref="L273:L336" si="47">+IF(ISNUMBER(X273),X273/1000,X273)</f>
        <v>0</v>
      </c>
      <c r="M273" s="1674">
        <f t="shared" ref="M273:M336" si="48">+IF(ISNUMBER(Y273),Y273/1000,Y273)</f>
        <v>0</v>
      </c>
      <c r="N273" s="1674">
        <f t="shared" ref="N273:N336" si="49">+IF(ISNUMBER(Z273),Z273/1000,Z273)</f>
        <v>0</v>
      </c>
      <c r="O273" s="2001">
        <f t="shared" ref="O273:O336" si="50">+IF(ISNUMBER(AA273),AA273/1000,AA273)</f>
        <v>0</v>
      </c>
      <c r="P273" s="1674">
        <f t="shared" ref="P273:P336" si="51">+IF(ISNUMBER(AB273),AB273/1000,AB273)</f>
        <v>0</v>
      </c>
      <c r="Q273" s="1674">
        <f t="shared" ref="Q273:Q336" si="52">+IF(ISNUMBER(AC273),AC273/1000,AC273)</f>
        <v>0</v>
      </c>
      <c r="R273" s="1674">
        <f t="shared" ref="R273:R336" si="53">+IF(ISNUMBER(AD273),AD273/1000,AD273)</f>
        <v>0</v>
      </c>
      <c r="AA273" s="2001"/>
    </row>
    <row r="274" spans="1:30" ht="14.1" customHeight="1">
      <c r="A274" s="1675">
        <v>34</v>
      </c>
      <c r="D274" s="2002" t="s">
        <v>2514</v>
      </c>
      <c r="F274" s="2020"/>
      <c r="H274" s="1797">
        <f t="shared" ref="H274:H337" si="54">+IF(ISNUMBER(T274),T274/1000,T274)</f>
        <v>0</v>
      </c>
      <c r="I274" s="1797">
        <f t="shared" si="44"/>
        <v>0</v>
      </c>
      <c r="J274" s="1797">
        <f t="shared" si="45"/>
        <v>0</v>
      </c>
      <c r="K274" s="1797">
        <f t="shared" si="46"/>
        <v>0</v>
      </c>
      <c r="L274" s="2032">
        <f t="shared" si="47"/>
        <v>0</v>
      </c>
      <c r="M274" s="2032">
        <f t="shared" si="48"/>
        <v>0</v>
      </c>
      <c r="N274" s="2032">
        <f t="shared" si="49"/>
        <v>0</v>
      </c>
      <c r="O274" s="2033">
        <f t="shared" si="50"/>
        <v>0</v>
      </c>
      <c r="P274" s="1797">
        <f t="shared" si="51"/>
        <v>0</v>
      </c>
      <c r="Q274" s="1797">
        <f t="shared" si="52"/>
        <v>0</v>
      </c>
      <c r="R274" s="1797">
        <f t="shared" si="53"/>
        <v>0</v>
      </c>
      <c r="T274" s="1797"/>
      <c r="U274" s="1797"/>
      <c r="V274" s="1797"/>
      <c r="W274" s="1797"/>
      <c r="X274" s="2032"/>
      <c r="Y274" s="2032"/>
      <c r="Z274" s="2032"/>
      <c r="AA274" s="2033"/>
      <c r="AB274" s="1797"/>
      <c r="AC274" s="1797"/>
      <c r="AD274" s="1797"/>
    </row>
    <row r="275" spans="1:30" ht="14.1" customHeight="1">
      <c r="A275" s="1675">
        <v>35</v>
      </c>
      <c r="C275" s="2009">
        <v>34131</v>
      </c>
      <c r="D275" s="1674" t="s">
        <v>2449</v>
      </c>
      <c r="F275" s="2019">
        <v>4.9000000000000004</v>
      </c>
      <c r="G275" s="2001"/>
      <c r="H275" s="1876">
        <f t="shared" si="54"/>
        <v>21253.120770000005</v>
      </c>
      <c r="I275" s="1785">
        <f t="shared" si="44"/>
        <v>0</v>
      </c>
      <c r="J275" s="1876">
        <f t="shared" si="45"/>
        <v>0</v>
      </c>
      <c r="K275" s="1786">
        <f t="shared" si="46"/>
        <v>0</v>
      </c>
      <c r="L275" s="1876">
        <f t="shared" si="47"/>
        <v>0</v>
      </c>
      <c r="M275" s="1786">
        <f t="shared" si="48"/>
        <v>0</v>
      </c>
      <c r="N275" s="1876">
        <f t="shared" si="49"/>
        <v>0</v>
      </c>
      <c r="O275" s="1785">
        <f t="shared" si="50"/>
        <v>0</v>
      </c>
      <c r="P275" s="1787">
        <f t="shared" si="51"/>
        <v>21253.120770000005</v>
      </c>
      <c r="Q275" s="1786">
        <f t="shared" si="52"/>
        <v>0</v>
      </c>
      <c r="R275" s="1876">
        <f t="shared" si="53"/>
        <v>21253.120770000001</v>
      </c>
      <c r="T275" s="1876">
        <v>21253120.770000003</v>
      </c>
      <c r="U275" s="1785"/>
      <c r="V275" s="1876">
        <v>0</v>
      </c>
      <c r="W275" s="1786"/>
      <c r="X275" s="1876">
        <v>0</v>
      </c>
      <c r="Y275" s="1786"/>
      <c r="Z275" s="1876">
        <v>0</v>
      </c>
      <c r="AA275" s="1785"/>
      <c r="AB275" s="1787">
        <v>21253120.770000003</v>
      </c>
      <c r="AC275" s="1786"/>
      <c r="AD275" s="1876">
        <v>21253120.77</v>
      </c>
    </row>
    <row r="276" spans="1:30" ht="14.1" customHeight="1">
      <c r="A276" s="1675">
        <v>36</v>
      </c>
      <c r="C276" s="2009">
        <v>34231</v>
      </c>
      <c r="D276" s="1674" t="s">
        <v>2495</v>
      </c>
      <c r="F276" s="2019">
        <v>4.71</v>
      </c>
      <c r="G276" s="2001"/>
      <c r="H276" s="1876">
        <f t="shared" si="54"/>
        <v>90649.036199999973</v>
      </c>
      <c r="I276" s="1785">
        <f t="shared" si="44"/>
        <v>0</v>
      </c>
      <c r="J276" s="1876">
        <f t="shared" si="45"/>
        <v>17523.903679999999</v>
      </c>
      <c r="K276" s="1786">
        <f t="shared" si="46"/>
        <v>0</v>
      </c>
      <c r="L276" s="1876">
        <f t="shared" si="47"/>
        <v>-3504.7807400000002</v>
      </c>
      <c r="M276" s="1786">
        <f t="shared" si="48"/>
        <v>0</v>
      </c>
      <c r="N276" s="1876">
        <f t="shared" si="49"/>
        <v>0</v>
      </c>
      <c r="O276" s="1785">
        <f t="shared" si="50"/>
        <v>0</v>
      </c>
      <c r="P276" s="1787">
        <f t="shared" si="51"/>
        <v>104668.15913999997</v>
      </c>
      <c r="Q276" s="1786">
        <f t="shared" si="52"/>
        <v>0</v>
      </c>
      <c r="R276" s="1876">
        <f t="shared" si="53"/>
        <v>97775.274160000001</v>
      </c>
      <c r="T276" s="1876">
        <v>90649036.199999973</v>
      </c>
      <c r="U276" s="1785"/>
      <c r="V276" s="1876">
        <v>17523903.68</v>
      </c>
      <c r="W276" s="1786"/>
      <c r="X276" s="1876">
        <v>-3504780.74</v>
      </c>
      <c r="Y276" s="1786"/>
      <c r="Z276" s="1876">
        <v>0</v>
      </c>
      <c r="AA276" s="1785"/>
      <c r="AB276" s="1787">
        <v>104668159.13999997</v>
      </c>
      <c r="AC276" s="1786"/>
      <c r="AD276" s="1876">
        <v>97775274.159999996</v>
      </c>
    </row>
    <row r="277" spans="1:30" ht="14.1" customHeight="1">
      <c r="A277" s="1675">
        <v>37</v>
      </c>
      <c r="C277" s="2009">
        <v>34331</v>
      </c>
      <c r="D277" s="1674" t="s">
        <v>2496</v>
      </c>
      <c r="F277" s="2019">
        <v>5.17</v>
      </c>
      <c r="G277" s="2001"/>
      <c r="H277" s="1876">
        <f t="shared" si="54"/>
        <v>257142.96082999994</v>
      </c>
      <c r="I277" s="1785">
        <f t="shared" si="44"/>
        <v>0</v>
      </c>
      <c r="J277" s="1876">
        <f t="shared" si="45"/>
        <v>17523.903679999999</v>
      </c>
      <c r="K277" s="1786">
        <f t="shared" si="46"/>
        <v>0</v>
      </c>
      <c r="L277" s="1876">
        <f t="shared" si="47"/>
        <v>-3504.7807400000002</v>
      </c>
      <c r="M277" s="1786">
        <f t="shared" si="48"/>
        <v>0</v>
      </c>
      <c r="N277" s="1876">
        <f t="shared" si="49"/>
        <v>0</v>
      </c>
      <c r="O277" s="1785">
        <f t="shared" si="50"/>
        <v>0</v>
      </c>
      <c r="P277" s="1787">
        <f t="shared" si="51"/>
        <v>271162.08376999991</v>
      </c>
      <c r="Q277" s="1786">
        <f t="shared" si="52"/>
        <v>0</v>
      </c>
      <c r="R277" s="1876">
        <f t="shared" si="53"/>
        <v>264269.19878999999</v>
      </c>
      <c r="T277" s="1876">
        <v>257142960.82999992</v>
      </c>
      <c r="U277" s="1785"/>
      <c r="V277" s="1876">
        <v>17523903.68</v>
      </c>
      <c r="W277" s="1786"/>
      <c r="X277" s="1876">
        <v>-3504780.74</v>
      </c>
      <c r="Y277" s="1786"/>
      <c r="Z277" s="1876">
        <v>0</v>
      </c>
      <c r="AA277" s="1785"/>
      <c r="AB277" s="1787">
        <v>271162083.76999992</v>
      </c>
      <c r="AC277" s="1786"/>
      <c r="AD277" s="1876">
        <v>264269198.78999999</v>
      </c>
    </row>
    <row r="278" spans="1:30" ht="14.1" customHeight="1">
      <c r="A278" s="1675">
        <v>38</v>
      </c>
      <c r="C278" s="2009">
        <v>34531</v>
      </c>
      <c r="D278" s="1674" t="s">
        <v>2454</v>
      </c>
      <c r="F278" s="2019">
        <v>3.36</v>
      </c>
      <c r="G278" s="2001"/>
      <c r="H278" s="1876">
        <f t="shared" si="54"/>
        <v>40601.976499999997</v>
      </c>
      <c r="I278" s="1785">
        <f t="shared" si="44"/>
        <v>0</v>
      </c>
      <c r="J278" s="1876">
        <f t="shared" si="45"/>
        <v>0</v>
      </c>
      <c r="K278" s="1786">
        <f t="shared" si="46"/>
        <v>0</v>
      </c>
      <c r="L278" s="1876">
        <f t="shared" si="47"/>
        <v>0</v>
      </c>
      <c r="M278" s="1786">
        <f t="shared" si="48"/>
        <v>0</v>
      </c>
      <c r="N278" s="1876">
        <f t="shared" si="49"/>
        <v>0</v>
      </c>
      <c r="O278" s="1785">
        <f t="shared" si="50"/>
        <v>0</v>
      </c>
      <c r="P278" s="1787">
        <f t="shared" si="51"/>
        <v>40601.976499999997</v>
      </c>
      <c r="Q278" s="1786">
        <f t="shared" si="52"/>
        <v>0</v>
      </c>
      <c r="R278" s="1876">
        <f t="shared" si="53"/>
        <v>40601.976499999997</v>
      </c>
      <c r="T278" s="1876">
        <v>40601976.5</v>
      </c>
      <c r="U278" s="1785"/>
      <c r="V278" s="1876">
        <v>0</v>
      </c>
      <c r="W278" s="1786"/>
      <c r="X278" s="1876">
        <v>0</v>
      </c>
      <c r="Y278" s="1786"/>
      <c r="Z278" s="1876">
        <v>0</v>
      </c>
      <c r="AA278" s="1785"/>
      <c r="AB278" s="1787">
        <v>40601976.5</v>
      </c>
      <c r="AC278" s="1786"/>
      <c r="AD278" s="1876">
        <v>40601976.5</v>
      </c>
    </row>
    <row r="279" spans="1:30" ht="14.1" customHeight="1">
      <c r="A279" s="1675">
        <v>39</v>
      </c>
      <c r="C279" s="2009">
        <v>34631</v>
      </c>
      <c r="D279" s="1674" t="s">
        <v>2455</v>
      </c>
      <c r="F279" s="2019">
        <v>4.29</v>
      </c>
      <c r="G279" s="2001"/>
      <c r="H279" s="1876">
        <f t="shared" si="54"/>
        <v>1175.7052099999999</v>
      </c>
      <c r="I279" s="1785">
        <f t="shared" si="44"/>
        <v>0</v>
      </c>
      <c r="J279" s="1876">
        <f t="shared" si="45"/>
        <v>0</v>
      </c>
      <c r="K279" s="1786">
        <f t="shared" si="46"/>
        <v>0</v>
      </c>
      <c r="L279" s="1876">
        <f t="shared" si="47"/>
        <v>0</v>
      </c>
      <c r="M279" s="1786">
        <f t="shared" si="48"/>
        <v>0</v>
      </c>
      <c r="N279" s="1876">
        <f t="shared" si="49"/>
        <v>0</v>
      </c>
      <c r="O279" s="1785">
        <f t="shared" si="50"/>
        <v>0</v>
      </c>
      <c r="P279" s="1787">
        <f t="shared" si="51"/>
        <v>1175.7052099999999</v>
      </c>
      <c r="Q279" s="1786">
        <f t="shared" si="52"/>
        <v>0</v>
      </c>
      <c r="R279" s="1876">
        <f t="shared" si="53"/>
        <v>1175.7052099999999</v>
      </c>
      <c r="T279" s="1876">
        <v>1175705.21</v>
      </c>
      <c r="U279" s="1785"/>
      <c r="V279" s="1876">
        <v>0</v>
      </c>
      <c r="W279" s="1786"/>
      <c r="X279" s="1876">
        <v>0</v>
      </c>
      <c r="Y279" s="1786"/>
      <c r="Z279" s="1876">
        <v>0</v>
      </c>
      <c r="AA279" s="1785"/>
      <c r="AB279" s="1787">
        <v>1175705.21</v>
      </c>
      <c r="AC279" s="1786"/>
      <c r="AD279" s="1876">
        <v>1175705.21</v>
      </c>
    </row>
    <row r="280" spans="1:30" ht="14.1" customHeight="1">
      <c r="A280" s="1675">
        <v>40</v>
      </c>
      <c r="C280" s="1675"/>
      <c r="D280" s="2002" t="s">
        <v>2515</v>
      </c>
      <c r="F280" s="2023"/>
      <c r="H280" s="1788">
        <f t="shared" si="54"/>
        <v>410822.79950999987</v>
      </c>
      <c r="I280" s="1790">
        <f t="shared" si="44"/>
        <v>0</v>
      </c>
      <c r="J280" s="1788">
        <f t="shared" si="45"/>
        <v>35047.807359999999</v>
      </c>
      <c r="K280" s="1790">
        <f t="shared" si="46"/>
        <v>0</v>
      </c>
      <c r="L280" s="1788">
        <f t="shared" si="47"/>
        <v>-7009.5614800000003</v>
      </c>
      <c r="M280" s="1790">
        <f t="shared" si="48"/>
        <v>0</v>
      </c>
      <c r="N280" s="1788">
        <f t="shared" si="49"/>
        <v>0</v>
      </c>
      <c r="O280" s="1790">
        <f t="shared" si="50"/>
        <v>0</v>
      </c>
      <c r="P280" s="1788">
        <f t="shared" si="51"/>
        <v>438861.04538999987</v>
      </c>
      <c r="Q280" s="1790">
        <f t="shared" si="52"/>
        <v>0</v>
      </c>
      <c r="R280" s="1788">
        <f t="shared" si="53"/>
        <v>425075.27542999992</v>
      </c>
      <c r="T280" s="1788">
        <v>410822799.50999987</v>
      </c>
      <c r="U280" s="1790"/>
      <c r="V280" s="1788">
        <v>35047807.359999999</v>
      </c>
      <c r="W280" s="1790"/>
      <c r="X280" s="1788">
        <v>-7009561.4800000004</v>
      </c>
      <c r="Y280" s="1790"/>
      <c r="Z280" s="1788">
        <v>0</v>
      </c>
      <c r="AA280" s="1790"/>
      <c r="AB280" s="1788">
        <v>438861045.38999987</v>
      </c>
      <c r="AC280" s="1790"/>
      <c r="AD280" s="1788">
        <v>425075275.42999995</v>
      </c>
    </row>
    <row r="281" spans="1:30" ht="14.1" customHeight="1">
      <c r="A281" s="1675">
        <v>41</v>
      </c>
      <c r="H281" s="1674">
        <f t="shared" si="54"/>
        <v>0</v>
      </c>
      <c r="I281" s="1674">
        <f t="shared" si="44"/>
        <v>0</v>
      </c>
      <c r="J281" s="1674">
        <f t="shared" si="45"/>
        <v>0</v>
      </c>
      <c r="K281" s="1674">
        <f t="shared" si="46"/>
        <v>0</v>
      </c>
      <c r="L281" s="1674">
        <f t="shared" si="47"/>
        <v>0</v>
      </c>
      <c r="M281" s="1674">
        <f t="shared" si="48"/>
        <v>0</v>
      </c>
      <c r="N281" s="1674">
        <f t="shared" si="49"/>
        <v>0</v>
      </c>
      <c r="O281" s="2001">
        <f t="shared" si="50"/>
        <v>0</v>
      </c>
      <c r="P281" s="1674">
        <f t="shared" si="51"/>
        <v>0</v>
      </c>
      <c r="Q281" s="1674">
        <f t="shared" si="52"/>
        <v>0</v>
      </c>
      <c r="R281" s="1674">
        <f t="shared" si="53"/>
        <v>0</v>
      </c>
      <c r="AA281" s="2001"/>
    </row>
    <row r="282" spans="1:30" ht="14.1" customHeight="1">
      <c r="A282" s="1675">
        <v>42</v>
      </c>
      <c r="H282" s="1674">
        <f t="shared" si="54"/>
        <v>0</v>
      </c>
      <c r="I282" s="1674">
        <f t="shared" si="44"/>
        <v>0</v>
      </c>
      <c r="J282" s="1674">
        <f t="shared" si="45"/>
        <v>0</v>
      </c>
      <c r="K282" s="1674">
        <f t="shared" si="46"/>
        <v>0</v>
      </c>
      <c r="L282" s="1674">
        <f t="shared" si="47"/>
        <v>0</v>
      </c>
      <c r="M282" s="1674">
        <f t="shared" si="48"/>
        <v>0</v>
      </c>
      <c r="N282" s="1674">
        <f t="shared" si="49"/>
        <v>0</v>
      </c>
      <c r="O282" s="2001">
        <f t="shared" si="50"/>
        <v>0</v>
      </c>
      <c r="P282" s="1674">
        <f t="shared" si="51"/>
        <v>0</v>
      </c>
      <c r="Q282" s="1674">
        <f t="shared" si="52"/>
        <v>0</v>
      </c>
      <c r="R282" s="1674">
        <f t="shared" si="53"/>
        <v>0</v>
      </c>
      <c r="AA282" s="2001"/>
    </row>
    <row r="283" spans="1:30" ht="14.1" customHeight="1">
      <c r="A283" s="1675">
        <v>43</v>
      </c>
      <c r="H283" s="1674">
        <f t="shared" si="54"/>
        <v>0</v>
      </c>
      <c r="I283" s="1674">
        <f t="shared" si="44"/>
        <v>0</v>
      </c>
      <c r="J283" s="1674">
        <f t="shared" si="45"/>
        <v>0</v>
      </c>
      <c r="K283" s="1674">
        <f t="shared" si="46"/>
        <v>0</v>
      </c>
      <c r="L283" s="1674">
        <f t="shared" si="47"/>
        <v>0</v>
      </c>
      <c r="M283" s="1674">
        <f t="shared" si="48"/>
        <v>0</v>
      </c>
      <c r="N283" s="1674">
        <f t="shared" si="49"/>
        <v>0</v>
      </c>
      <c r="O283" s="2001">
        <f t="shared" si="50"/>
        <v>0</v>
      </c>
      <c r="P283" s="1674">
        <f t="shared" si="51"/>
        <v>0</v>
      </c>
      <c r="Q283" s="1674">
        <f t="shared" si="52"/>
        <v>0</v>
      </c>
      <c r="R283" s="1674">
        <f t="shared" si="53"/>
        <v>0</v>
      </c>
      <c r="AA283" s="2001"/>
    </row>
    <row r="284" spans="1:30" ht="14.1" customHeight="1" thickBot="1">
      <c r="A284" s="2008">
        <v>44</v>
      </c>
      <c r="B284" s="1869" t="s">
        <v>2476</v>
      </c>
      <c r="C284" s="1997"/>
      <c r="D284" s="1997"/>
      <c r="E284" s="1997"/>
      <c r="F284" s="1997"/>
      <c r="G284" s="1997"/>
      <c r="H284" s="1997">
        <f t="shared" si="54"/>
        <v>0</v>
      </c>
      <c r="I284" s="1997">
        <f t="shared" si="44"/>
        <v>0</v>
      </c>
      <c r="J284" s="1997">
        <f t="shared" si="45"/>
        <v>0</v>
      </c>
      <c r="K284" s="1997">
        <f t="shared" si="46"/>
        <v>0</v>
      </c>
      <c r="L284" s="1997">
        <f t="shared" si="47"/>
        <v>0</v>
      </c>
      <c r="M284" s="1997">
        <f t="shared" si="48"/>
        <v>0</v>
      </c>
      <c r="N284" s="1997">
        <f t="shared" si="49"/>
        <v>0</v>
      </c>
      <c r="O284" s="1998">
        <f t="shared" si="50"/>
        <v>0</v>
      </c>
      <c r="P284" s="1997">
        <f t="shared" si="51"/>
        <v>0</v>
      </c>
      <c r="Q284" s="1997">
        <f t="shared" si="52"/>
        <v>0</v>
      </c>
      <c r="R284" s="1997">
        <f t="shared" si="53"/>
        <v>0</v>
      </c>
      <c r="T284" s="1997"/>
      <c r="U284" s="1997"/>
      <c r="V284" s="1997"/>
      <c r="W284" s="1997"/>
      <c r="X284" s="1997"/>
      <c r="Y284" s="1997"/>
      <c r="Z284" s="1997"/>
      <c r="AA284" s="1998"/>
      <c r="AB284" s="1997"/>
      <c r="AC284" s="1997"/>
      <c r="AD284" s="1997"/>
    </row>
    <row r="285" spans="1:30" ht="14.1" customHeight="1">
      <c r="A285" s="1674" t="s">
        <v>8947</v>
      </c>
      <c r="H285" s="1674">
        <f t="shared" si="54"/>
        <v>0</v>
      </c>
      <c r="I285" s="1674">
        <f t="shared" si="44"/>
        <v>0</v>
      </c>
      <c r="J285" s="1674">
        <f t="shared" si="45"/>
        <v>0</v>
      </c>
      <c r="K285" s="1674">
        <f t="shared" si="46"/>
        <v>0</v>
      </c>
      <c r="L285" s="1674">
        <f t="shared" si="47"/>
        <v>0</v>
      </c>
      <c r="M285" s="1674">
        <f t="shared" si="48"/>
        <v>0</v>
      </c>
      <c r="N285" s="1674">
        <f t="shared" si="49"/>
        <v>0</v>
      </c>
      <c r="O285" s="2001">
        <f t="shared" si="50"/>
        <v>0</v>
      </c>
      <c r="P285" s="1674" t="str">
        <f t="shared" si="51"/>
        <v>Recap Schedules:  B-03, B-06</v>
      </c>
      <c r="Q285" s="1674">
        <f t="shared" si="52"/>
        <v>0</v>
      </c>
      <c r="R285" s="1674">
        <f t="shared" si="53"/>
        <v>0</v>
      </c>
      <c r="AA285" s="2001"/>
      <c r="AB285" s="1674" t="s">
        <v>8948</v>
      </c>
    </row>
    <row r="286" spans="1:30" ht="14.1" customHeight="1" thickBot="1">
      <c r="A286" s="1997" t="s">
        <v>8943</v>
      </c>
      <c r="B286" s="1997"/>
      <c r="C286" s="1997"/>
      <c r="D286" s="1997"/>
      <c r="E286" s="1997"/>
      <c r="F286" s="1997"/>
      <c r="G286" s="1997" t="s">
        <v>2422</v>
      </c>
      <c r="H286" s="1997">
        <f t="shared" si="54"/>
        <v>0</v>
      </c>
      <c r="I286" s="1997">
        <f t="shared" si="44"/>
        <v>0</v>
      </c>
      <c r="J286" s="1997">
        <f t="shared" si="45"/>
        <v>0</v>
      </c>
      <c r="K286" s="1997">
        <f t="shared" si="46"/>
        <v>0</v>
      </c>
      <c r="L286" s="1997">
        <f t="shared" si="47"/>
        <v>0</v>
      </c>
      <c r="M286" s="1997">
        <f t="shared" si="48"/>
        <v>0</v>
      </c>
      <c r="N286" s="1997">
        <f t="shared" si="49"/>
        <v>0</v>
      </c>
      <c r="O286" s="1998">
        <f t="shared" si="50"/>
        <v>0</v>
      </c>
      <c r="P286" s="1997">
        <f t="shared" si="51"/>
        <v>0</v>
      </c>
      <c r="Q286" s="1997">
        <f t="shared" si="52"/>
        <v>0</v>
      </c>
      <c r="R286" s="1997" t="str">
        <f t="shared" si="53"/>
        <v>Page 6 of 10</v>
      </c>
      <c r="T286" s="1997"/>
      <c r="U286" s="1997"/>
      <c r="V286" s="1997"/>
      <c r="W286" s="1997"/>
      <c r="X286" s="1997"/>
      <c r="Y286" s="1997"/>
      <c r="Z286" s="1997"/>
      <c r="AA286" s="1998"/>
      <c r="AB286" s="1997"/>
      <c r="AC286" s="1997"/>
      <c r="AD286" s="1997" t="s">
        <v>2516</v>
      </c>
    </row>
    <row r="287" spans="1:30" ht="14.1" customHeight="1">
      <c r="A287" s="1674" t="s">
        <v>2425</v>
      </c>
      <c r="B287" s="2024"/>
      <c r="E287" s="2001" t="s">
        <v>2426</v>
      </c>
      <c r="F287" s="1674" t="s">
        <v>8155</v>
      </c>
      <c r="H287" s="1674">
        <f t="shared" si="54"/>
        <v>0</v>
      </c>
      <c r="I287" s="1674">
        <f t="shared" si="44"/>
        <v>0</v>
      </c>
      <c r="J287" s="2003">
        <f t="shared" si="45"/>
        <v>0</v>
      </c>
      <c r="K287" s="2003">
        <f t="shared" si="46"/>
        <v>0</v>
      </c>
      <c r="L287" s="1674">
        <f t="shared" si="47"/>
        <v>0</v>
      </c>
      <c r="M287" s="2003">
        <f t="shared" si="48"/>
        <v>0</v>
      </c>
      <c r="N287" s="2003">
        <f t="shared" si="49"/>
        <v>0</v>
      </c>
      <c r="O287" s="2004">
        <f t="shared" si="50"/>
        <v>0</v>
      </c>
      <c r="P287" s="1674" t="str">
        <f t="shared" si="51"/>
        <v>Type of data shown:</v>
      </c>
      <c r="Q287" s="1674">
        <f t="shared" si="52"/>
        <v>0</v>
      </c>
      <c r="R287" s="2005">
        <f t="shared" si="53"/>
        <v>0</v>
      </c>
      <c r="V287" s="2003"/>
      <c r="W287" s="2003"/>
      <c r="Y287" s="2003"/>
      <c r="Z287" s="2003"/>
      <c r="AA287" s="2004"/>
      <c r="AB287" s="1674" t="s">
        <v>2427</v>
      </c>
      <c r="AD287" s="2005"/>
    </row>
    <row r="288" spans="1:30" ht="14.1" customHeight="1">
      <c r="B288" s="2024"/>
      <c r="F288" s="1674" t="s">
        <v>8156</v>
      </c>
      <c r="H288" s="1674">
        <f t="shared" si="54"/>
        <v>0</v>
      </c>
      <c r="I288" s="1674">
        <f t="shared" si="44"/>
        <v>0</v>
      </c>
      <c r="J288" s="2001">
        <f t="shared" si="45"/>
        <v>0</v>
      </c>
      <c r="K288" s="2005">
        <f t="shared" si="46"/>
        <v>0</v>
      </c>
      <c r="L288" s="1674">
        <f t="shared" si="47"/>
        <v>0</v>
      </c>
      <c r="M288" s="1674">
        <f t="shared" si="48"/>
        <v>0</v>
      </c>
      <c r="N288" s="2001">
        <f t="shared" si="49"/>
        <v>0</v>
      </c>
      <c r="O288" s="2001" t="str">
        <f t="shared" si="50"/>
        <v>XX</v>
      </c>
      <c r="P288" s="2005" t="str">
        <f t="shared" si="51"/>
        <v>Projected Test Year Ended 12/31/2025</v>
      </c>
      <c r="Q288" s="1674">
        <f t="shared" si="52"/>
        <v>0</v>
      </c>
      <c r="R288" s="2001">
        <f t="shared" si="53"/>
        <v>0</v>
      </c>
      <c r="V288" s="2001"/>
      <c r="W288" s="2005"/>
      <c r="Z288" s="2001"/>
      <c r="AA288" s="2001" t="s">
        <v>8157</v>
      </c>
      <c r="AB288" s="2005" t="s">
        <v>8944</v>
      </c>
      <c r="AD288" s="2001"/>
    </row>
    <row r="289" spans="1:30" ht="14.1" customHeight="1">
      <c r="A289" s="1674" t="s">
        <v>2428</v>
      </c>
      <c r="B289" s="2024"/>
      <c r="F289" s="1674" t="s">
        <v>2360</v>
      </c>
      <c r="H289" s="1674">
        <f t="shared" si="54"/>
        <v>0</v>
      </c>
      <c r="I289" s="1674">
        <f t="shared" si="44"/>
        <v>0</v>
      </c>
      <c r="J289" s="2001">
        <f t="shared" si="45"/>
        <v>0</v>
      </c>
      <c r="K289" s="2005">
        <f t="shared" si="46"/>
        <v>0</v>
      </c>
      <c r="L289" s="2001">
        <f t="shared" si="47"/>
        <v>0</v>
      </c>
      <c r="M289" s="1674">
        <f t="shared" si="48"/>
        <v>0</v>
      </c>
      <c r="N289" s="1674">
        <f t="shared" si="49"/>
        <v>0</v>
      </c>
      <c r="O289" s="2001" t="str">
        <f t="shared" si="50"/>
        <v/>
      </c>
      <c r="P289" s="2005" t="str">
        <f t="shared" si="51"/>
        <v>Projected Prior Year Ended 12/31/2024</v>
      </c>
      <c r="Q289" s="1674">
        <f t="shared" si="52"/>
        <v>0</v>
      </c>
      <c r="R289" s="2001">
        <f t="shared" si="53"/>
        <v>0</v>
      </c>
      <c r="V289" s="2001"/>
      <c r="W289" s="2005"/>
      <c r="X289" s="2001"/>
      <c r="AA289" s="2001" t="s">
        <v>2360</v>
      </c>
      <c r="AB289" s="2005" t="s">
        <v>8945</v>
      </c>
      <c r="AD289" s="2001"/>
    </row>
    <row r="290" spans="1:30" ht="14.1" customHeight="1">
      <c r="B290" s="2024"/>
      <c r="F290" s="1674" t="s">
        <v>2360</v>
      </c>
      <c r="H290" s="1674">
        <f t="shared" si="54"/>
        <v>0</v>
      </c>
      <c r="I290" s="1674">
        <f t="shared" si="44"/>
        <v>0</v>
      </c>
      <c r="J290" s="2001">
        <f t="shared" si="45"/>
        <v>0</v>
      </c>
      <c r="K290" s="2005">
        <f t="shared" si="46"/>
        <v>0</v>
      </c>
      <c r="L290" s="2001">
        <f t="shared" si="47"/>
        <v>0</v>
      </c>
      <c r="M290" s="1674">
        <f t="shared" si="48"/>
        <v>0</v>
      </c>
      <c r="N290" s="1674">
        <f t="shared" si="49"/>
        <v>0</v>
      </c>
      <c r="O290" s="2001" t="str">
        <f t="shared" si="50"/>
        <v/>
      </c>
      <c r="P290" s="2005" t="str">
        <f t="shared" si="51"/>
        <v>Historical Prior Year Ended 12/31/2023</v>
      </c>
      <c r="Q290" s="1674">
        <f t="shared" si="52"/>
        <v>0</v>
      </c>
      <c r="R290" s="2001">
        <f t="shared" si="53"/>
        <v>0</v>
      </c>
      <c r="V290" s="2001"/>
      <c r="W290" s="2005"/>
      <c r="X290" s="2001"/>
      <c r="AA290" s="2001" t="s">
        <v>2360</v>
      </c>
      <c r="AB290" s="2005" t="s">
        <v>8946</v>
      </c>
      <c r="AD290" s="2001"/>
    </row>
    <row r="291" spans="1:30" ht="14.1" customHeight="1">
      <c r="B291" s="2024"/>
      <c r="H291" s="1674">
        <f t="shared" si="54"/>
        <v>0</v>
      </c>
      <c r="I291" s="1674">
        <f t="shared" si="44"/>
        <v>0</v>
      </c>
      <c r="J291" s="2001">
        <f t="shared" si="45"/>
        <v>0</v>
      </c>
      <c r="K291" s="2005">
        <f t="shared" si="46"/>
        <v>0</v>
      </c>
      <c r="L291" s="2001">
        <f t="shared" si="47"/>
        <v>0</v>
      </c>
      <c r="M291" s="1674">
        <f t="shared" si="48"/>
        <v>0</v>
      </c>
      <c r="N291" s="1674">
        <f t="shared" si="49"/>
        <v>0</v>
      </c>
      <c r="O291" s="2001">
        <f t="shared" si="50"/>
        <v>0</v>
      </c>
      <c r="P291" s="2005" t="str">
        <f t="shared" si="51"/>
        <v>Witness: D. Avellan</v>
      </c>
      <c r="Q291" s="1674">
        <f t="shared" si="52"/>
        <v>0</v>
      </c>
      <c r="R291" s="2001">
        <f t="shared" si="53"/>
        <v>0</v>
      </c>
      <c r="V291" s="2001"/>
      <c r="W291" s="2005"/>
      <c r="X291" s="2001"/>
      <c r="AA291" s="2001"/>
      <c r="AB291" s="2005" t="s">
        <v>8160</v>
      </c>
      <c r="AD291" s="2001"/>
    </row>
    <row r="292" spans="1:30" ht="14.1" customHeight="1" thickBot="1">
      <c r="A292" s="1997" t="s">
        <v>8158</v>
      </c>
      <c r="B292" s="2025"/>
      <c r="C292" s="1997"/>
      <c r="D292" s="1997"/>
      <c r="E292" s="1997"/>
      <c r="F292" s="1997" t="s">
        <v>2360</v>
      </c>
      <c r="G292" s="1997"/>
      <c r="H292" s="2008" t="str">
        <f t="shared" si="54"/>
        <v>(Dollars in cents)</v>
      </c>
      <c r="I292" s="1997">
        <f t="shared" si="44"/>
        <v>0</v>
      </c>
      <c r="J292" s="1997">
        <f t="shared" si="45"/>
        <v>0</v>
      </c>
      <c r="K292" s="1997">
        <f t="shared" si="46"/>
        <v>0</v>
      </c>
      <c r="L292" s="1997">
        <f t="shared" si="47"/>
        <v>0</v>
      </c>
      <c r="M292" s="1997">
        <f t="shared" si="48"/>
        <v>0</v>
      </c>
      <c r="N292" s="1997">
        <f t="shared" si="49"/>
        <v>0</v>
      </c>
      <c r="O292" s="1998">
        <f t="shared" si="50"/>
        <v>0</v>
      </c>
      <c r="P292" s="1997" t="str">
        <f t="shared" si="51"/>
        <v xml:space="preserve"> </v>
      </c>
      <c r="Q292" s="1997">
        <f t="shared" si="52"/>
        <v>0</v>
      </c>
      <c r="R292" s="1997">
        <f t="shared" si="53"/>
        <v>0</v>
      </c>
      <c r="T292" s="2008" t="s">
        <v>8159</v>
      </c>
      <c r="U292" s="1997"/>
      <c r="V292" s="1997"/>
      <c r="W292" s="1997"/>
      <c r="X292" s="1997"/>
      <c r="Y292" s="1997"/>
      <c r="Z292" s="1997"/>
      <c r="AA292" s="1998"/>
      <c r="AB292" s="1997" t="s">
        <v>2477</v>
      </c>
      <c r="AC292" s="1997"/>
      <c r="AD292" s="1997"/>
    </row>
    <row r="293" spans="1:30" ht="14.1" customHeight="1">
      <c r="C293" s="2009"/>
      <c r="D293" s="2009"/>
      <c r="E293" s="2009"/>
      <c r="F293" s="2009"/>
      <c r="G293" s="2009"/>
      <c r="H293" s="2009">
        <f t="shared" si="54"/>
        <v>0</v>
      </c>
      <c r="I293" s="2009">
        <f t="shared" si="44"/>
        <v>0</v>
      </c>
      <c r="J293" s="2009">
        <f t="shared" si="45"/>
        <v>0</v>
      </c>
      <c r="K293" s="2009">
        <f t="shared" si="46"/>
        <v>0</v>
      </c>
      <c r="L293" s="2009">
        <f t="shared" si="47"/>
        <v>0</v>
      </c>
      <c r="M293" s="2009">
        <f t="shared" si="48"/>
        <v>0</v>
      </c>
      <c r="N293" s="2009">
        <f t="shared" si="49"/>
        <v>0</v>
      </c>
      <c r="O293" s="2010">
        <f t="shared" si="50"/>
        <v>0</v>
      </c>
      <c r="P293" s="2009">
        <f t="shared" si="51"/>
        <v>0</v>
      </c>
      <c r="Q293" s="2009">
        <f t="shared" si="52"/>
        <v>0</v>
      </c>
      <c r="R293" s="2009">
        <f t="shared" si="53"/>
        <v>0</v>
      </c>
      <c r="T293" s="2009"/>
      <c r="U293" s="2009"/>
      <c r="V293" s="2009"/>
      <c r="W293" s="2009"/>
      <c r="X293" s="2009"/>
      <c r="Y293" s="2009"/>
      <c r="Z293" s="2009"/>
      <c r="AA293" s="2010"/>
      <c r="AB293" s="2009"/>
      <c r="AC293" s="2009"/>
      <c r="AD293" s="2009"/>
    </row>
    <row r="294" spans="1:30" ht="14.1" customHeight="1">
      <c r="C294" s="2009" t="s">
        <v>2306</v>
      </c>
      <c r="D294" s="2009" t="s">
        <v>2307</v>
      </c>
      <c r="E294" s="2009"/>
      <c r="F294" s="2009" t="s">
        <v>2308</v>
      </c>
      <c r="G294" s="2009"/>
      <c r="H294" s="2009" t="str">
        <f t="shared" si="54"/>
        <v>(4)</v>
      </c>
      <c r="I294" s="2009">
        <f t="shared" si="44"/>
        <v>0</v>
      </c>
      <c r="J294" s="1675" t="str">
        <f t="shared" si="45"/>
        <v>(5)</v>
      </c>
      <c r="K294" s="1675">
        <f t="shared" si="46"/>
        <v>0</v>
      </c>
      <c r="L294" s="2009" t="str">
        <f t="shared" si="47"/>
        <v>(6)</v>
      </c>
      <c r="M294" s="2009">
        <f t="shared" si="48"/>
        <v>0</v>
      </c>
      <c r="N294" s="2009" t="str">
        <f t="shared" si="49"/>
        <v>(7)</v>
      </c>
      <c r="O294" s="2010">
        <f t="shared" si="50"/>
        <v>0</v>
      </c>
      <c r="P294" s="2009" t="str">
        <f t="shared" si="51"/>
        <v>(8)</v>
      </c>
      <c r="Q294" s="2009">
        <f t="shared" si="52"/>
        <v>0</v>
      </c>
      <c r="R294" s="2009" t="str">
        <f t="shared" si="53"/>
        <v>(9)</v>
      </c>
      <c r="T294" s="2009" t="s">
        <v>2309</v>
      </c>
      <c r="U294" s="2009"/>
      <c r="V294" s="1675" t="s">
        <v>2310</v>
      </c>
      <c r="W294" s="1675"/>
      <c r="X294" s="2009" t="s">
        <v>2311</v>
      </c>
      <c r="Y294" s="2009"/>
      <c r="Z294" s="2009" t="s">
        <v>2312</v>
      </c>
      <c r="AA294" s="2010"/>
      <c r="AB294" s="2009" t="s">
        <v>2313</v>
      </c>
      <c r="AC294" s="2009"/>
      <c r="AD294" s="2009" t="s">
        <v>2314</v>
      </c>
    </row>
    <row r="295" spans="1:30" ht="14.1" customHeight="1">
      <c r="C295" s="1675" t="s">
        <v>2429</v>
      </c>
      <c r="D295" s="1675" t="s">
        <v>2429</v>
      </c>
      <c r="F295" s="1675" t="s">
        <v>1537</v>
      </c>
      <c r="G295" s="1675"/>
      <c r="H295" s="2009" t="str">
        <f t="shared" si="54"/>
        <v>Plant</v>
      </c>
      <c r="I295" s="1675">
        <f t="shared" si="44"/>
        <v>0</v>
      </c>
      <c r="J295" s="2009" t="str">
        <f t="shared" si="45"/>
        <v>Total</v>
      </c>
      <c r="K295" s="1675">
        <f t="shared" si="46"/>
        <v>0</v>
      </c>
      <c r="L295" s="1675" t="str">
        <f t="shared" si="47"/>
        <v>Total</v>
      </c>
      <c r="M295" s="1675">
        <f t="shared" si="48"/>
        <v>0</v>
      </c>
      <c r="N295" s="1674">
        <f t="shared" si="49"/>
        <v>0</v>
      </c>
      <c r="O295" s="2001">
        <f t="shared" si="50"/>
        <v>0</v>
      </c>
      <c r="P295" s="1675" t="str">
        <f t="shared" si="51"/>
        <v>Plant</v>
      </c>
      <c r="Q295" s="1674">
        <f t="shared" si="52"/>
        <v>0</v>
      </c>
      <c r="R295" s="1675">
        <f t="shared" si="53"/>
        <v>0</v>
      </c>
      <c r="T295" s="2009" t="s">
        <v>1823</v>
      </c>
      <c r="U295" s="1675"/>
      <c r="V295" s="2009" t="s">
        <v>122</v>
      </c>
      <c r="W295" s="1675"/>
      <c r="X295" s="1675" t="s">
        <v>122</v>
      </c>
      <c r="Y295" s="1675"/>
      <c r="AA295" s="2001"/>
      <c r="AB295" s="1675" t="s">
        <v>1823</v>
      </c>
      <c r="AD295" s="1675"/>
    </row>
    <row r="296" spans="1:30" ht="14.1" customHeight="1">
      <c r="A296" s="1675" t="s">
        <v>2430</v>
      </c>
      <c r="B296" s="1675"/>
      <c r="C296" s="1675" t="s">
        <v>2431</v>
      </c>
      <c r="D296" s="1675" t="s">
        <v>2431</v>
      </c>
      <c r="E296" s="2009"/>
      <c r="F296" s="1675" t="s">
        <v>2432</v>
      </c>
      <c r="G296" s="1675"/>
      <c r="H296" s="1675" t="str">
        <f t="shared" si="54"/>
        <v>Balance</v>
      </c>
      <c r="I296" s="1675">
        <f t="shared" si="44"/>
        <v>0</v>
      </c>
      <c r="J296" s="1675" t="str">
        <f t="shared" si="45"/>
        <v>Plant</v>
      </c>
      <c r="K296" s="2009">
        <f t="shared" si="46"/>
        <v>0</v>
      </c>
      <c r="L296" s="1675" t="str">
        <f t="shared" si="47"/>
        <v>Plant</v>
      </c>
      <c r="M296" s="2005">
        <f t="shared" si="48"/>
        <v>0</v>
      </c>
      <c r="N296" s="1675" t="str">
        <f t="shared" si="49"/>
        <v>Adjustments</v>
      </c>
      <c r="O296" s="2010">
        <f t="shared" si="50"/>
        <v>0</v>
      </c>
      <c r="P296" s="2009" t="str">
        <f t="shared" si="51"/>
        <v>Balance</v>
      </c>
      <c r="Q296" s="2009">
        <f t="shared" si="52"/>
        <v>0</v>
      </c>
      <c r="R296" s="1675" t="str">
        <f t="shared" si="53"/>
        <v>13-Month</v>
      </c>
      <c r="T296" s="1675" t="s">
        <v>2433</v>
      </c>
      <c r="U296" s="1675"/>
      <c r="V296" s="1675" t="s">
        <v>1823</v>
      </c>
      <c r="W296" s="2009"/>
      <c r="X296" s="1675" t="s">
        <v>1823</v>
      </c>
      <c r="Y296" s="2005"/>
      <c r="Z296" s="1675" t="s">
        <v>593</v>
      </c>
      <c r="AA296" s="2010"/>
      <c r="AB296" s="2009" t="s">
        <v>2433</v>
      </c>
      <c r="AC296" s="2009"/>
      <c r="AD296" s="1675" t="s">
        <v>2434</v>
      </c>
    </row>
    <row r="297" spans="1:30" ht="14.1" customHeight="1" thickBot="1">
      <c r="A297" s="2008" t="s">
        <v>2435</v>
      </c>
      <c r="B297" s="2008"/>
      <c r="C297" s="2008" t="s">
        <v>2436</v>
      </c>
      <c r="D297" s="2008" t="s">
        <v>2437</v>
      </c>
      <c r="E297" s="2008"/>
      <c r="F297" s="2011" t="s">
        <v>2438</v>
      </c>
      <c r="G297" s="2011"/>
      <c r="H297" s="2011" t="str">
        <f t="shared" si="54"/>
        <v>Beg. of Year</v>
      </c>
      <c r="I297" s="2012">
        <f t="shared" si="44"/>
        <v>0</v>
      </c>
      <c r="J297" s="2011" t="str">
        <f t="shared" si="45"/>
        <v>Added</v>
      </c>
      <c r="K297" s="2012">
        <f t="shared" si="46"/>
        <v>0</v>
      </c>
      <c r="L297" s="2012" t="str">
        <f t="shared" si="47"/>
        <v>Retired</v>
      </c>
      <c r="M297" s="2013">
        <f t="shared" si="48"/>
        <v>0</v>
      </c>
      <c r="N297" s="2013" t="str">
        <f t="shared" si="49"/>
        <v>or Transfers</v>
      </c>
      <c r="O297" s="2014">
        <f t="shared" si="50"/>
        <v>0</v>
      </c>
      <c r="P297" s="2013" t="str">
        <f t="shared" si="51"/>
        <v>End of Year</v>
      </c>
      <c r="Q297" s="2013">
        <f t="shared" si="52"/>
        <v>0</v>
      </c>
      <c r="R297" s="2013" t="str">
        <f t="shared" si="53"/>
        <v>Average</v>
      </c>
      <c r="T297" s="2011" t="s">
        <v>2439</v>
      </c>
      <c r="U297" s="2012"/>
      <c r="V297" s="2011" t="s">
        <v>2440</v>
      </c>
      <c r="W297" s="2012"/>
      <c r="X297" s="2012" t="s">
        <v>2441</v>
      </c>
      <c r="Y297" s="2013"/>
      <c r="Z297" s="2013" t="s">
        <v>2442</v>
      </c>
      <c r="AA297" s="2014"/>
      <c r="AB297" s="2013" t="s">
        <v>2443</v>
      </c>
      <c r="AC297" s="2013"/>
      <c r="AD297" s="2013" t="s">
        <v>2444</v>
      </c>
    </row>
    <row r="298" spans="1:30" ht="14.1" customHeight="1">
      <c r="A298" s="1675">
        <v>1</v>
      </c>
      <c r="B298" s="2015"/>
      <c r="H298" s="1674">
        <f t="shared" si="54"/>
        <v>0</v>
      </c>
      <c r="I298" s="1674">
        <f t="shared" si="44"/>
        <v>0</v>
      </c>
      <c r="J298" s="1674">
        <f t="shared" si="45"/>
        <v>0</v>
      </c>
      <c r="K298" s="1674">
        <f t="shared" si="46"/>
        <v>0</v>
      </c>
      <c r="L298" s="1674">
        <f t="shared" si="47"/>
        <v>0</v>
      </c>
      <c r="M298" s="1674">
        <f t="shared" si="48"/>
        <v>0</v>
      </c>
      <c r="N298" s="1674">
        <f t="shared" si="49"/>
        <v>0</v>
      </c>
      <c r="O298" s="2001">
        <f t="shared" si="50"/>
        <v>0</v>
      </c>
      <c r="P298" s="1674">
        <f t="shared" si="51"/>
        <v>0</v>
      </c>
      <c r="Q298" s="1674">
        <f t="shared" si="52"/>
        <v>0</v>
      </c>
      <c r="R298" s="1674">
        <f t="shared" si="53"/>
        <v>0</v>
      </c>
      <c r="AA298" s="2001"/>
    </row>
    <row r="299" spans="1:30" ht="14.1" customHeight="1">
      <c r="A299" s="1675">
        <v>2</v>
      </c>
      <c r="B299" s="2015"/>
      <c r="C299" s="1675"/>
      <c r="D299" s="2002" t="s">
        <v>2517</v>
      </c>
      <c r="F299" s="2023"/>
      <c r="H299" s="1789">
        <f t="shared" si="54"/>
        <v>0</v>
      </c>
      <c r="I299" s="1790">
        <f t="shared" si="44"/>
        <v>0</v>
      </c>
      <c r="J299" s="1790">
        <f t="shared" si="45"/>
        <v>0</v>
      </c>
      <c r="K299" s="1790">
        <f t="shared" si="46"/>
        <v>0</v>
      </c>
      <c r="L299" s="1790">
        <f t="shared" si="47"/>
        <v>0</v>
      </c>
      <c r="M299" s="1790">
        <f t="shared" si="48"/>
        <v>0</v>
      </c>
      <c r="N299" s="1790">
        <f t="shared" si="49"/>
        <v>0</v>
      </c>
      <c r="O299" s="1790">
        <f t="shared" si="50"/>
        <v>0</v>
      </c>
      <c r="P299" s="1783">
        <f t="shared" si="51"/>
        <v>0</v>
      </c>
      <c r="Q299" s="1790">
        <f t="shared" si="52"/>
        <v>0</v>
      </c>
      <c r="R299" s="1790">
        <f t="shared" si="53"/>
        <v>0</v>
      </c>
      <c r="T299" s="1789"/>
      <c r="U299" s="1790"/>
      <c r="V299" s="1790"/>
      <c r="W299" s="1790"/>
      <c r="X299" s="1790"/>
      <c r="Y299" s="1790"/>
      <c r="Z299" s="1790"/>
      <c r="AA299" s="1790"/>
      <c r="AB299" s="1783"/>
      <c r="AC299" s="1790"/>
      <c r="AD299" s="1790"/>
    </row>
    <row r="300" spans="1:30" ht="14.1" customHeight="1">
      <c r="A300" s="1675">
        <v>3</v>
      </c>
      <c r="B300" s="2015"/>
      <c r="C300" s="2009">
        <v>34132</v>
      </c>
      <c r="D300" s="1674" t="s">
        <v>2449</v>
      </c>
      <c r="F300" s="2019">
        <v>4.24</v>
      </c>
      <c r="G300" s="2001"/>
      <c r="H300" s="1876">
        <f t="shared" si="54"/>
        <v>27131.136169999998</v>
      </c>
      <c r="I300" s="1785">
        <f t="shared" si="44"/>
        <v>0</v>
      </c>
      <c r="J300" s="1876">
        <f t="shared" si="45"/>
        <v>0</v>
      </c>
      <c r="K300" s="1786">
        <f t="shared" si="46"/>
        <v>0</v>
      </c>
      <c r="L300" s="1876">
        <f t="shared" si="47"/>
        <v>0</v>
      </c>
      <c r="M300" s="1786">
        <f t="shared" si="48"/>
        <v>0</v>
      </c>
      <c r="N300" s="1876">
        <f t="shared" si="49"/>
        <v>0</v>
      </c>
      <c r="O300" s="1785">
        <f t="shared" si="50"/>
        <v>0</v>
      </c>
      <c r="P300" s="1787">
        <f t="shared" si="51"/>
        <v>27131.136169999998</v>
      </c>
      <c r="Q300" s="1786">
        <f t="shared" si="52"/>
        <v>0</v>
      </c>
      <c r="R300" s="1876">
        <f t="shared" si="53"/>
        <v>27131.136170000002</v>
      </c>
      <c r="T300" s="1876">
        <v>27131136.169999998</v>
      </c>
      <c r="U300" s="1785"/>
      <c r="V300" s="1876">
        <v>0</v>
      </c>
      <c r="W300" s="1786"/>
      <c r="X300" s="1876">
        <v>0</v>
      </c>
      <c r="Y300" s="1786"/>
      <c r="Z300" s="1876">
        <v>0</v>
      </c>
      <c r="AA300" s="1785"/>
      <c r="AB300" s="1787">
        <v>27131136.169999998</v>
      </c>
      <c r="AC300" s="1786"/>
      <c r="AD300" s="1876">
        <v>27131136.170000002</v>
      </c>
    </row>
    <row r="301" spans="1:30" ht="14.1" customHeight="1">
      <c r="A301" s="1675">
        <v>4</v>
      </c>
      <c r="B301" s="2015"/>
      <c r="C301" s="2009">
        <v>34232</v>
      </c>
      <c r="D301" s="1674" t="s">
        <v>2495</v>
      </c>
      <c r="F301" s="2019">
        <v>5.6</v>
      </c>
      <c r="G301" s="2001"/>
      <c r="H301" s="1876">
        <f t="shared" si="54"/>
        <v>142690.12431499999</v>
      </c>
      <c r="I301" s="1785">
        <f t="shared" si="44"/>
        <v>0</v>
      </c>
      <c r="J301" s="1876">
        <f t="shared" si="45"/>
        <v>5985.4894999999997</v>
      </c>
      <c r="K301" s="1786">
        <f t="shared" si="46"/>
        <v>0</v>
      </c>
      <c r="L301" s="1876">
        <f t="shared" si="47"/>
        <v>-1197.0979</v>
      </c>
      <c r="M301" s="1786">
        <f t="shared" si="48"/>
        <v>0</v>
      </c>
      <c r="N301" s="1876">
        <f t="shared" si="49"/>
        <v>0</v>
      </c>
      <c r="O301" s="1785">
        <f t="shared" si="50"/>
        <v>0</v>
      </c>
      <c r="P301" s="1787">
        <f t="shared" si="51"/>
        <v>147478.515915</v>
      </c>
      <c r="Q301" s="1786">
        <f t="shared" si="52"/>
        <v>0</v>
      </c>
      <c r="R301" s="1876">
        <f t="shared" si="53"/>
        <v>144286.02987999999</v>
      </c>
      <c r="T301" s="1876">
        <v>142690124.315</v>
      </c>
      <c r="U301" s="1785"/>
      <c r="V301" s="1876">
        <v>5985489.5</v>
      </c>
      <c r="W301" s="1786"/>
      <c r="X301" s="1876">
        <v>-1197097.8999999999</v>
      </c>
      <c r="Y301" s="1786"/>
      <c r="Z301" s="1876">
        <v>0</v>
      </c>
      <c r="AA301" s="1785"/>
      <c r="AB301" s="1787">
        <v>147478515.91499999</v>
      </c>
      <c r="AC301" s="1786"/>
      <c r="AD301" s="1876">
        <v>144286029.88</v>
      </c>
    </row>
    <row r="302" spans="1:30" ht="14.1" customHeight="1">
      <c r="A302" s="1675">
        <v>5</v>
      </c>
      <c r="B302" s="2015"/>
      <c r="C302" s="2009">
        <v>34332</v>
      </c>
      <c r="D302" s="1674" t="s">
        <v>2496</v>
      </c>
      <c r="F302" s="2019">
        <v>5.4</v>
      </c>
      <c r="G302" s="2001"/>
      <c r="H302" s="1876">
        <f t="shared" si="54"/>
        <v>325379.58298500016</v>
      </c>
      <c r="I302" s="1785">
        <f t="shared" si="44"/>
        <v>0</v>
      </c>
      <c r="J302" s="1876">
        <f t="shared" si="45"/>
        <v>5985.4894999999997</v>
      </c>
      <c r="K302" s="1786">
        <f t="shared" si="46"/>
        <v>0</v>
      </c>
      <c r="L302" s="1876">
        <f t="shared" si="47"/>
        <v>-1197.0979</v>
      </c>
      <c r="M302" s="1786">
        <f t="shared" si="48"/>
        <v>0</v>
      </c>
      <c r="N302" s="1876">
        <f t="shared" si="49"/>
        <v>0</v>
      </c>
      <c r="O302" s="1785">
        <f t="shared" si="50"/>
        <v>0</v>
      </c>
      <c r="P302" s="1787">
        <f t="shared" si="51"/>
        <v>330167.97458500013</v>
      </c>
      <c r="Q302" s="1786">
        <f t="shared" si="52"/>
        <v>0</v>
      </c>
      <c r="R302" s="1876">
        <f t="shared" si="53"/>
        <v>326975.48855000001</v>
      </c>
      <c r="T302" s="1876">
        <v>325379582.98500013</v>
      </c>
      <c r="U302" s="1785"/>
      <c r="V302" s="1876">
        <v>5985489.5</v>
      </c>
      <c r="W302" s="1786"/>
      <c r="X302" s="1876">
        <v>-1197097.8999999999</v>
      </c>
      <c r="Y302" s="1786"/>
      <c r="Z302" s="1876">
        <v>0</v>
      </c>
      <c r="AA302" s="1785"/>
      <c r="AB302" s="1787">
        <v>330167974.58500016</v>
      </c>
      <c r="AC302" s="1786"/>
      <c r="AD302" s="1876">
        <v>326975488.55000001</v>
      </c>
    </row>
    <row r="303" spans="1:30" ht="14.1" customHeight="1">
      <c r="A303" s="1675">
        <v>6</v>
      </c>
      <c r="B303" s="2015"/>
      <c r="C303" s="2009">
        <v>34532</v>
      </c>
      <c r="D303" s="1674" t="s">
        <v>2454</v>
      </c>
      <c r="F303" s="2019">
        <v>3.58</v>
      </c>
      <c r="G303" s="2001"/>
      <c r="H303" s="1876">
        <f t="shared" si="54"/>
        <v>44698.672580000006</v>
      </c>
      <c r="I303" s="1785">
        <f t="shared" si="44"/>
        <v>0</v>
      </c>
      <c r="J303" s="1876">
        <f t="shared" si="45"/>
        <v>0</v>
      </c>
      <c r="K303" s="1786">
        <f t="shared" si="46"/>
        <v>0</v>
      </c>
      <c r="L303" s="1876">
        <f t="shared" si="47"/>
        <v>0</v>
      </c>
      <c r="M303" s="1786">
        <f t="shared" si="48"/>
        <v>0</v>
      </c>
      <c r="N303" s="1876">
        <f t="shared" si="49"/>
        <v>0</v>
      </c>
      <c r="O303" s="1785">
        <f t="shared" si="50"/>
        <v>0</v>
      </c>
      <c r="P303" s="1787">
        <f t="shared" si="51"/>
        <v>44698.672580000006</v>
      </c>
      <c r="Q303" s="1786">
        <f t="shared" si="52"/>
        <v>0</v>
      </c>
      <c r="R303" s="1876">
        <f t="shared" si="53"/>
        <v>44698.672579999999</v>
      </c>
      <c r="T303" s="1876">
        <v>44698672.580000006</v>
      </c>
      <c r="U303" s="1785"/>
      <c r="V303" s="1876">
        <v>0</v>
      </c>
      <c r="W303" s="1786"/>
      <c r="X303" s="1876">
        <v>0</v>
      </c>
      <c r="Y303" s="1786"/>
      <c r="Z303" s="1876">
        <v>0</v>
      </c>
      <c r="AA303" s="1785"/>
      <c r="AB303" s="1787">
        <v>44698672.580000006</v>
      </c>
      <c r="AC303" s="1786"/>
      <c r="AD303" s="1876">
        <v>44698672.579999998</v>
      </c>
    </row>
    <row r="304" spans="1:30" ht="14.1" customHeight="1">
      <c r="A304" s="1675">
        <v>7</v>
      </c>
      <c r="B304" s="2015"/>
      <c r="C304" s="2009">
        <v>34632</v>
      </c>
      <c r="D304" s="1674" t="s">
        <v>2455</v>
      </c>
      <c r="F304" s="2019">
        <v>4.1399999999999997</v>
      </c>
      <c r="G304" s="2001"/>
      <c r="H304" s="1876">
        <f t="shared" si="54"/>
        <v>1455.5923500000001</v>
      </c>
      <c r="I304" s="1785">
        <f t="shared" si="44"/>
        <v>0</v>
      </c>
      <c r="J304" s="1876">
        <f t="shared" si="45"/>
        <v>0</v>
      </c>
      <c r="K304" s="1786">
        <f t="shared" si="46"/>
        <v>0</v>
      </c>
      <c r="L304" s="1876">
        <f t="shared" si="47"/>
        <v>0</v>
      </c>
      <c r="M304" s="1786">
        <f t="shared" si="48"/>
        <v>0</v>
      </c>
      <c r="N304" s="1876">
        <f t="shared" si="49"/>
        <v>0</v>
      </c>
      <c r="O304" s="1785">
        <f t="shared" si="50"/>
        <v>0</v>
      </c>
      <c r="P304" s="1787">
        <f t="shared" si="51"/>
        <v>1455.5923500000001</v>
      </c>
      <c r="Q304" s="1786">
        <f t="shared" si="52"/>
        <v>0</v>
      </c>
      <c r="R304" s="1876">
        <f t="shared" si="53"/>
        <v>1455.5923500000001</v>
      </c>
      <c r="T304" s="1876">
        <v>1455592.35</v>
      </c>
      <c r="U304" s="1785"/>
      <c r="V304" s="1876">
        <v>0</v>
      </c>
      <c r="W304" s="1786"/>
      <c r="X304" s="1876">
        <v>0</v>
      </c>
      <c r="Y304" s="1786"/>
      <c r="Z304" s="1876">
        <v>0</v>
      </c>
      <c r="AA304" s="1785"/>
      <c r="AB304" s="1787">
        <v>1455592.35</v>
      </c>
      <c r="AC304" s="1786"/>
      <c r="AD304" s="1876">
        <v>1455592.35</v>
      </c>
    </row>
    <row r="305" spans="1:30" ht="14.1" customHeight="1">
      <c r="A305" s="1675">
        <v>8</v>
      </c>
      <c r="B305" s="2015"/>
      <c r="C305" s="1675"/>
      <c r="D305" s="2002" t="s">
        <v>2518</v>
      </c>
      <c r="F305" s="2019"/>
      <c r="H305" s="1788">
        <f t="shared" si="54"/>
        <v>541355.10840000026</v>
      </c>
      <c r="I305" s="1790">
        <f t="shared" si="44"/>
        <v>0</v>
      </c>
      <c r="J305" s="1788">
        <f t="shared" si="45"/>
        <v>11970.978999999999</v>
      </c>
      <c r="K305" s="1790">
        <f t="shared" si="46"/>
        <v>0</v>
      </c>
      <c r="L305" s="1788">
        <f t="shared" si="47"/>
        <v>-2394.1958</v>
      </c>
      <c r="M305" s="1790">
        <f t="shared" si="48"/>
        <v>0</v>
      </c>
      <c r="N305" s="1788">
        <f t="shared" si="49"/>
        <v>0</v>
      </c>
      <c r="O305" s="1790">
        <f t="shared" si="50"/>
        <v>0</v>
      </c>
      <c r="P305" s="1788">
        <f t="shared" si="51"/>
        <v>550931.89160000009</v>
      </c>
      <c r="Q305" s="1790">
        <f t="shared" si="52"/>
        <v>0</v>
      </c>
      <c r="R305" s="1788">
        <f t="shared" si="53"/>
        <v>544546.91953000007</v>
      </c>
      <c r="T305" s="1788">
        <v>541355108.40000021</v>
      </c>
      <c r="U305" s="1790"/>
      <c r="V305" s="1788">
        <v>11970979</v>
      </c>
      <c r="W305" s="1790"/>
      <c r="X305" s="1788">
        <v>-2394195.7999999998</v>
      </c>
      <c r="Y305" s="1790"/>
      <c r="Z305" s="1788">
        <v>0</v>
      </c>
      <c r="AA305" s="1790"/>
      <c r="AB305" s="1788">
        <v>550931891.60000014</v>
      </c>
      <c r="AC305" s="1790"/>
      <c r="AD305" s="1788">
        <v>544546919.53000009</v>
      </c>
    </row>
    <row r="306" spans="1:30" ht="14.1" customHeight="1">
      <c r="A306" s="1675">
        <v>9</v>
      </c>
      <c r="B306" s="2015"/>
      <c r="F306" s="2020"/>
      <c r="H306" s="1674">
        <f t="shared" si="54"/>
        <v>0</v>
      </c>
      <c r="I306" s="1674">
        <f t="shared" si="44"/>
        <v>0</v>
      </c>
      <c r="J306" s="1674">
        <f t="shared" si="45"/>
        <v>0</v>
      </c>
      <c r="K306" s="1674">
        <f t="shared" si="46"/>
        <v>0</v>
      </c>
      <c r="L306" s="1674">
        <f t="shared" si="47"/>
        <v>0</v>
      </c>
      <c r="M306" s="1674">
        <f t="shared" si="48"/>
        <v>0</v>
      </c>
      <c r="N306" s="1674">
        <f t="shared" si="49"/>
        <v>0</v>
      </c>
      <c r="O306" s="2001">
        <f t="shared" si="50"/>
        <v>0</v>
      </c>
      <c r="P306" s="1674">
        <f t="shared" si="51"/>
        <v>0</v>
      </c>
      <c r="Q306" s="1674">
        <f t="shared" si="52"/>
        <v>0</v>
      </c>
      <c r="R306" s="1674">
        <f t="shared" si="53"/>
        <v>0</v>
      </c>
      <c r="AA306" s="2001"/>
    </row>
    <row r="307" spans="1:30" ht="14.1" customHeight="1">
      <c r="A307" s="1675">
        <v>10</v>
      </c>
      <c r="B307" s="2015"/>
      <c r="C307" s="1675"/>
      <c r="D307" s="2002" t="s">
        <v>2519</v>
      </c>
      <c r="F307" s="2020"/>
      <c r="H307" s="1674">
        <f t="shared" si="54"/>
        <v>0</v>
      </c>
      <c r="I307" s="1790">
        <f t="shared" si="44"/>
        <v>0</v>
      </c>
      <c r="J307" s="1674">
        <f t="shared" si="45"/>
        <v>0</v>
      </c>
      <c r="K307" s="1790">
        <f t="shared" si="46"/>
        <v>0</v>
      </c>
      <c r="L307" s="1674">
        <f t="shared" si="47"/>
        <v>0</v>
      </c>
      <c r="M307" s="1790">
        <f t="shared" si="48"/>
        <v>0</v>
      </c>
      <c r="N307" s="1674">
        <f t="shared" si="49"/>
        <v>0</v>
      </c>
      <c r="O307" s="1790">
        <f t="shared" si="50"/>
        <v>0</v>
      </c>
      <c r="P307" s="1674">
        <f t="shared" si="51"/>
        <v>0</v>
      </c>
      <c r="Q307" s="1790">
        <f t="shared" si="52"/>
        <v>0</v>
      </c>
      <c r="R307" s="1674">
        <f t="shared" si="53"/>
        <v>0</v>
      </c>
      <c r="U307" s="1790"/>
      <c r="W307" s="1790"/>
      <c r="Y307" s="1790"/>
      <c r="AA307" s="1790"/>
      <c r="AC307" s="1790"/>
    </row>
    <row r="308" spans="1:30" ht="14.1" customHeight="1">
      <c r="A308" s="1675">
        <v>11</v>
      </c>
      <c r="B308" s="2015"/>
      <c r="C308" s="2009">
        <v>34133</v>
      </c>
      <c r="D308" s="1674" t="s">
        <v>2449</v>
      </c>
      <c r="F308" s="2019">
        <v>4.24</v>
      </c>
      <c r="G308" s="2001"/>
      <c r="H308" s="1876">
        <f t="shared" si="54"/>
        <v>656.34929</v>
      </c>
      <c r="I308" s="1785">
        <f t="shared" si="44"/>
        <v>0</v>
      </c>
      <c r="J308" s="1876">
        <f t="shared" si="45"/>
        <v>0</v>
      </c>
      <c r="K308" s="1786">
        <f t="shared" si="46"/>
        <v>0</v>
      </c>
      <c r="L308" s="1876">
        <f t="shared" si="47"/>
        <v>0</v>
      </c>
      <c r="M308" s="1786">
        <f t="shared" si="48"/>
        <v>0</v>
      </c>
      <c r="N308" s="1876">
        <f t="shared" si="49"/>
        <v>0</v>
      </c>
      <c r="O308" s="1785">
        <f t="shared" si="50"/>
        <v>0</v>
      </c>
      <c r="P308" s="1787">
        <f t="shared" si="51"/>
        <v>656.34929</v>
      </c>
      <c r="Q308" s="1786">
        <f t="shared" si="52"/>
        <v>0</v>
      </c>
      <c r="R308" s="1876">
        <f t="shared" si="53"/>
        <v>656.34929</v>
      </c>
      <c r="T308" s="1876">
        <v>656349.29</v>
      </c>
      <c r="U308" s="1785"/>
      <c r="V308" s="1876">
        <v>0</v>
      </c>
      <c r="W308" s="1786"/>
      <c r="X308" s="1876">
        <v>0</v>
      </c>
      <c r="Y308" s="1786"/>
      <c r="Z308" s="1876">
        <v>0</v>
      </c>
      <c r="AA308" s="1785"/>
      <c r="AB308" s="1787">
        <v>656349.29</v>
      </c>
      <c r="AC308" s="1786"/>
      <c r="AD308" s="1876">
        <v>656349.29</v>
      </c>
    </row>
    <row r="309" spans="1:30" ht="14.1" customHeight="1">
      <c r="A309" s="1675">
        <v>12</v>
      </c>
      <c r="B309" s="2015"/>
      <c r="C309" s="2009">
        <v>34233</v>
      </c>
      <c r="D309" s="1674" t="s">
        <v>2495</v>
      </c>
      <c r="F309" s="2019">
        <v>3.2300000000000004</v>
      </c>
      <c r="G309" s="2001"/>
      <c r="H309" s="1876">
        <f t="shared" si="54"/>
        <v>4701.026284999999</v>
      </c>
      <c r="I309" s="1785">
        <f t="shared" si="44"/>
        <v>0</v>
      </c>
      <c r="J309" s="1876">
        <f t="shared" si="45"/>
        <v>0</v>
      </c>
      <c r="K309" s="1786">
        <f t="shared" si="46"/>
        <v>0</v>
      </c>
      <c r="L309" s="1876">
        <f t="shared" si="47"/>
        <v>0</v>
      </c>
      <c r="M309" s="1786">
        <f t="shared" si="48"/>
        <v>0</v>
      </c>
      <c r="N309" s="1876">
        <f t="shared" si="49"/>
        <v>0</v>
      </c>
      <c r="O309" s="1785">
        <f t="shared" si="50"/>
        <v>0</v>
      </c>
      <c r="P309" s="1787">
        <f t="shared" si="51"/>
        <v>4701.026284999999</v>
      </c>
      <c r="Q309" s="1786">
        <f t="shared" si="52"/>
        <v>0</v>
      </c>
      <c r="R309" s="1876">
        <f t="shared" si="53"/>
        <v>4701.0262899999998</v>
      </c>
      <c r="T309" s="1876">
        <v>4701026.2849999992</v>
      </c>
      <c r="U309" s="1785"/>
      <c r="V309" s="1876">
        <v>0</v>
      </c>
      <c r="W309" s="1786"/>
      <c r="X309" s="1876">
        <v>0</v>
      </c>
      <c r="Y309" s="1786"/>
      <c r="Z309" s="1876">
        <v>0</v>
      </c>
      <c r="AA309" s="1785"/>
      <c r="AB309" s="1787">
        <v>4701026.2849999992</v>
      </c>
      <c r="AC309" s="1786"/>
      <c r="AD309" s="1876">
        <v>4701026.29</v>
      </c>
    </row>
    <row r="310" spans="1:30" ht="14.1" customHeight="1">
      <c r="A310" s="1675">
        <v>13</v>
      </c>
      <c r="B310" s="2015"/>
      <c r="C310" s="2009">
        <v>34333</v>
      </c>
      <c r="D310" s="1674" t="s">
        <v>2496</v>
      </c>
      <c r="F310" s="2019">
        <v>2.12</v>
      </c>
      <c r="G310" s="2001"/>
      <c r="H310" s="1876">
        <f t="shared" si="54"/>
        <v>16800.143014999994</v>
      </c>
      <c r="I310" s="1785">
        <f t="shared" si="44"/>
        <v>0</v>
      </c>
      <c r="J310" s="1876">
        <f t="shared" si="45"/>
        <v>0</v>
      </c>
      <c r="K310" s="1786">
        <f t="shared" si="46"/>
        <v>0</v>
      </c>
      <c r="L310" s="1876">
        <f t="shared" si="47"/>
        <v>0</v>
      </c>
      <c r="M310" s="1786">
        <f t="shared" si="48"/>
        <v>0</v>
      </c>
      <c r="N310" s="1876">
        <f t="shared" si="49"/>
        <v>0</v>
      </c>
      <c r="O310" s="1785">
        <f t="shared" si="50"/>
        <v>0</v>
      </c>
      <c r="P310" s="1787">
        <f t="shared" si="51"/>
        <v>16800.143014999994</v>
      </c>
      <c r="Q310" s="1786">
        <f t="shared" si="52"/>
        <v>0</v>
      </c>
      <c r="R310" s="1876">
        <f t="shared" si="53"/>
        <v>16800.14302</v>
      </c>
      <c r="T310" s="1876">
        <v>16800143.014999993</v>
      </c>
      <c r="U310" s="1785"/>
      <c r="V310" s="1876">
        <v>0</v>
      </c>
      <c r="W310" s="1786"/>
      <c r="X310" s="1876">
        <v>0</v>
      </c>
      <c r="Y310" s="1786"/>
      <c r="Z310" s="1876">
        <v>0</v>
      </c>
      <c r="AA310" s="1785"/>
      <c r="AB310" s="1787">
        <v>16800143.014999993</v>
      </c>
      <c r="AC310" s="1786"/>
      <c r="AD310" s="1876">
        <v>16800143.02</v>
      </c>
    </row>
    <row r="311" spans="1:30" ht="14.1" customHeight="1">
      <c r="A311" s="1675">
        <v>14</v>
      </c>
      <c r="B311" s="2015"/>
      <c r="C311" s="2009">
        <v>34533</v>
      </c>
      <c r="D311" s="1674" t="s">
        <v>2454</v>
      </c>
      <c r="F311" s="2019">
        <v>2.57</v>
      </c>
      <c r="G311" s="2001"/>
      <c r="H311" s="1876">
        <f t="shared" si="54"/>
        <v>14174.190639999999</v>
      </c>
      <c r="I311" s="1785">
        <f t="shared" si="44"/>
        <v>0</v>
      </c>
      <c r="J311" s="1876">
        <f t="shared" si="45"/>
        <v>0</v>
      </c>
      <c r="K311" s="1786">
        <f t="shared" si="46"/>
        <v>0</v>
      </c>
      <c r="L311" s="1876">
        <f t="shared" si="47"/>
        <v>0</v>
      </c>
      <c r="M311" s="1786">
        <f t="shared" si="48"/>
        <v>0</v>
      </c>
      <c r="N311" s="1876">
        <f t="shared" si="49"/>
        <v>0</v>
      </c>
      <c r="O311" s="1785">
        <f t="shared" si="50"/>
        <v>0</v>
      </c>
      <c r="P311" s="1787">
        <f t="shared" si="51"/>
        <v>14174.190639999999</v>
      </c>
      <c r="Q311" s="1786">
        <f t="shared" si="52"/>
        <v>0</v>
      </c>
      <c r="R311" s="1876">
        <f t="shared" si="53"/>
        <v>14174.190640000001</v>
      </c>
      <c r="T311" s="1876">
        <v>14174190.639999999</v>
      </c>
      <c r="U311" s="1785"/>
      <c r="V311" s="1876">
        <v>0</v>
      </c>
      <c r="W311" s="1786"/>
      <c r="X311" s="1876">
        <v>0</v>
      </c>
      <c r="Y311" s="1786"/>
      <c r="Z311" s="1876">
        <v>0</v>
      </c>
      <c r="AA311" s="1785"/>
      <c r="AB311" s="1787">
        <v>14174190.639999999</v>
      </c>
      <c r="AC311" s="1786"/>
      <c r="AD311" s="1876">
        <v>14174190.640000001</v>
      </c>
    </row>
    <row r="312" spans="1:30" ht="14.1" customHeight="1">
      <c r="A312" s="1675">
        <v>15</v>
      </c>
      <c r="B312" s="2015"/>
      <c r="C312" s="2009">
        <v>34633</v>
      </c>
      <c r="D312" s="1674" t="s">
        <v>2455</v>
      </c>
      <c r="F312" s="2019">
        <v>2.87</v>
      </c>
      <c r="G312" s="2001"/>
      <c r="H312" s="1876">
        <f t="shared" si="54"/>
        <v>0.90461000000000003</v>
      </c>
      <c r="I312" s="1785">
        <f t="shared" si="44"/>
        <v>0</v>
      </c>
      <c r="J312" s="1876">
        <f t="shared" si="45"/>
        <v>0</v>
      </c>
      <c r="K312" s="1786">
        <f t="shared" si="46"/>
        <v>0</v>
      </c>
      <c r="L312" s="1876">
        <f t="shared" si="47"/>
        <v>0</v>
      </c>
      <c r="M312" s="1786">
        <f t="shared" si="48"/>
        <v>0</v>
      </c>
      <c r="N312" s="1876">
        <f t="shared" si="49"/>
        <v>0</v>
      </c>
      <c r="O312" s="1785">
        <f t="shared" si="50"/>
        <v>0</v>
      </c>
      <c r="P312" s="1787">
        <f t="shared" si="51"/>
        <v>0.90461000000000003</v>
      </c>
      <c r="Q312" s="1786">
        <f t="shared" si="52"/>
        <v>0</v>
      </c>
      <c r="R312" s="1876">
        <f t="shared" si="53"/>
        <v>0.90461000000000003</v>
      </c>
      <c r="T312" s="1876">
        <v>904.61</v>
      </c>
      <c r="U312" s="1785"/>
      <c r="V312" s="1876">
        <v>0</v>
      </c>
      <c r="W312" s="1786"/>
      <c r="X312" s="1876">
        <v>0</v>
      </c>
      <c r="Y312" s="1786"/>
      <c r="Z312" s="1876">
        <v>0</v>
      </c>
      <c r="AA312" s="1785"/>
      <c r="AB312" s="1787">
        <v>904.61</v>
      </c>
      <c r="AC312" s="1786"/>
      <c r="AD312" s="1876">
        <v>904.61</v>
      </c>
    </row>
    <row r="313" spans="1:30" ht="14.1" customHeight="1">
      <c r="A313" s="1675">
        <v>16</v>
      </c>
      <c r="B313" s="2015"/>
      <c r="D313" s="2002" t="s">
        <v>2520</v>
      </c>
      <c r="F313" s="2019"/>
      <c r="H313" s="1788">
        <f t="shared" si="54"/>
        <v>36332.613839999991</v>
      </c>
      <c r="I313" s="1790">
        <f t="shared" si="44"/>
        <v>0</v>
      </c>
      <c r="J313" s="1788">
        <f t="shared" si="45"/>
        <v>0</v>
      </c>
      <c r="K313" s="1790">
        <f t="shared" si="46"/>
        <v>0</v>
      </c>
      <c r="L313" s="1788">
        <f t="shared" si="47"/>
        <v>0</v>
      </c>
      <c r="M313" s="1790">
        <f t="shared" si="48"/>
        <v>0</v>
      </c>
      <c r="N313" s="1788">
        <f t="shared" si="49"/>
        <v>0</v>
      </c>
      <c r="O313" s="1790">
        <f t="shared" si="50"/>
        <v>0</v>
      </c>
      <c r="P313" s="1788">
        <f t="shared" si="51"/>
        <v>36332.613839999991</v>
      </c>
      <c r="Q313" s="1790">
        <f t="shared" si="52"/>
        <v>0</v>
      </c>
      <c r="R313" s="1788">
        <f t="shared" si="53"/>
        <v>36332.613850000002</v>
      </c>
      <c r="T313" s="1788">
        <v>36332613.839999989</v>
      </c>
      <c r="U313" s="1790"/>
      <c r="V313" s="1788">
        <v>0</v>
      </c>
      <c r="W313" s="1790"/>
      <c r="X313" s="1788">
        <v>0</v>
      </c>
      <c r="Y313" s="1790"/>
      <c r="Z313" s="1788">
        <v>0</v>
      </c>
      <c r="AA313" s="1790"/>
      <c r="AB313" s="1788">
        <v>36332613.839999989</v>
      </c>
      <c r="AC313" s="1790"/>
      <c r="AD313" s="1788">
        <v>36332613.850000001</v>
      </c>
    </row>
    <row r="314" spans="1:30" ht="14.1" customHeight="1">
      <c r="A314" s="1675">
        <v>17</v>
      </c>
      <c r="B314" s="2015"/>
      <c r="F314" s="2020"/>
      <c r="H314" s="1674">
        <f t="shared" si="54"/>
        <v>0</v>
      </c>
      <c r="I314" s="1674">
        <f t="shared" si="44"/>
        <v>0</v>
      </c>
      <c r="J314" s="1674">
        <f t="shared" si="45"/>
        <v>0</v>
      </c>
      <c r="K314" s="1674">
        <f t="shared" si="46"/>
        <v>0</v>
      </c>
      <c r="L314" s="1674">
        <f t="shared" si="47"/>
        <v>0</v>
      </c>
      <c r="M314" s="1674">
        <f t="shared" si="48"/>
        <v>0</v>
      </c>
      <c r="N314" s="1674">
        <f t="shared" si="49"/>
        <v>0</v>
      </c>
      <c r="O314" s="2001">
        <f t="shared" si="50"/>
        <v>0</v>
      </c>
      <c r="P314" s="1674">
        <f t="shared" si="51"/>
        <v>0</v>
      </c>
      <c r="Q314" s="1674">
        <f t="shared" si="52"/>
        <v>0</v>
      </c>
      <c r="R314" s="1674">
        <f t="shared" si="53"/>
        <v>0</v>
      </c>
      <c r="AA314" s="2001"/>
    </row>
    <row r="315" spans="1:30" ht="14.1" customHeight="1">
      <c r="A315" s="1675">
        <v>18</v>
      </c>
      <c r="B315" s="2015"/>
      <c r="C315" s="1675"/>
      <c r="D315" s="2002" t="s">
        <v>2521</v>
      </c>
      <c r="F315" s="2020"/>
      <c r="H315" s="1674">
        <f t="shared" si="54"/>
        <v>0</v>
      </c>
      <c r="I315" s="1790">
        <f t="shared" si="44"/>
        <v>0</v>
      </c>
      <c r="J315" s="1674">
        <f t="shared" si="45"/>
        <v>0</v>
      </c>
      <c r="K315" s="1790">
        <f t="shared" si="46"/>
        <v>0</v>
      </c>
      <c r="L315" s="1674">
        <f t="shared" si="47"/>
        <v>0</v>
      </c>
      <c r="M315" s="1790">
        <f t="shared" si="48"/>
        <v>0</v>
      </c>
      <c r="N315" s="1674">
        <f t="shared" si="49"/>
        <v>0</v>
      </c>
      <c r="O315" s="1790">
        <f t="shared" si="50"/>
        <v>0</v>
      </c>
      <c r="P315" s="1674">
        <f t="shared" si="51"/>
        <v>0</v>
      </c>
      <c r="Q315" s="1790">
        <f t="shared" si="52"/>
        <v>0</v>
      </c>
      <c r="R315" s="1674">
        <f t="shared" si="53"/>
        <v>0</v>
      </c>
      <c r="U315" s="1790"/>
      <c r="W315" s="1790"/>
      <c r="Y315" s="1790"/>
      <c r="AA315" s="1790"/>
      <c r="AC315" s="1790"/>
    </row>
    <row r="316" spans="1:30" ht="14.1" customHeight="1">
      <c r="A316" s="1675">
        <v>19</v>
      </c>
      <c r="B316" s="2015"/>
      <c r="C316" s="2009">
        <v>34134</v>
      </c>
      <c r="D316" s="1674" t="s">
        <v>2449</v>
      </c>
      <c r="F316" s="2019">
        <v>6.05</v>
      </c>
      <c r="G316" s="2001"/>
      <c r="H316" s="1876">
        <f t="shared" si="54"/>
        <v>242.33395999999999</v>
      </c>
      <c r="I316" s="1785">
        <f t="shared" si="44"/>
        <v>0</v>
      </c>
      <c r="J316" s="1876">
        <f t="shared" si="45"/>
        <v>0</v>
      </c>
      <c r="K316" s="1786">
        <f t="shared" si="46"/>
        <v>0</v>
      </c>
      <c r="L316" s="1876">
        <f t="shared" si="47"/>
        <v>0</v>
      </c>
      <c r="M316" s="1786">
        <f t="shared" si="48"/>
        <v>0</v>
      </c>
      <c r="N316" s="1876">
        <f t="shared" si="49"/>
        <v>0</v>
      </c>
      <c r="O316" s="1785">
        <f t="shared" si="50"/>
        <v>0</v>
      </c>
      <c r="P316" s="1787">
        <f t="shared" si="51"/>
        <v>242.33395999999999</v>
      </c>
      <c r="Q316" s="1786">
        <f t="shared" si="52"/>
        <v>0</v>
      </c>
      <c r="R316" s="1876">
        <f t="shared" si="53"/>
        <v>242.33395999999999</v>
      </c>
      <c r="T316" s="1876">
        <v>242333.96</v>
      </c>
      <c r="U316" s="1785"/>
      <c r="V316" s="1876">
        <v>0</v>
      </c>
      <c r="W316" s="1786"/>
      <c r="X316" s="1876">
        <v>0</v>
      </c>
      <c r="Y316" s="1786"/>
      <c r="Z316" s="1876">
        <v>0</v>
      </c>
      <c r="AA316" s="1785"/>
      <c r="AB316" s="1787">
        <v>242333.96</v>
      </c>
      <c r="AC316" s="1786"/>
      <c r="AD316" s="1876">
        <v>242333.96</v>
      </c>
    </row>
    <row r="317" spans="1:30" ht="14.1" customHeight="1">
      <c r="A317" s="1675">
        <v>20</v>
      </c>
      <c r="B317" s="2015"/>
      <c r="C317" s="2009">
        <v>34234</v>
      </c>
      <c r="D317" s="1674" t="s">
        <v>2495</v>
      </c>
      <c r="F317" s="2019">
        <v>2.81</v>
      </c>
      <c r="G317" s="2001"/>
      <c r="H317" s="1876">
        <f t="shared" si="54"/>
        <v>3384.0975599999997</v>
      </c>
      <c r="I317" s="1785">
        <f t="shared" si="44"/>
        <v>0</v>
      </c>
      <c r="J317" s="1876">
        <f t="shared" si="45"/>
        <v>0</v>
      </c>
      <c r="K317" s="1786">
        <f t="shared" si="46"/>
        <v>0</v>
      </c>
      <c r="L317" s="1876">
        <f t="shared" si="47"/>
        <v>0</v>
      </c>
      <c r="M317" s="1786">
        <f t="shared" si="48"/>
        <v>0</v>
      </c>
      <c r="N317" s="1876">
        <f t="shared" si="49"/>
        <v>0</v>
      </c>
      <c r="O317" s="1785">
        <f t="shared" si="50"/>
        <v>0</v>
      </c>
      <c r="P317" s="1787">
        <f t="shared" si="51"/>
        <v>3384.0975599999997</v>
      </c>
      <c r="Q317" s="1786">
        <f t="shared" si="52"/>
        <v>0</v>
      </c>
      <c r="R317" s="1876">
        <f t="shared" si="53"/>
        <v>3384.0975600000002</v>
      </c>
      <c r="T317" s="1876">
        <v>3384097.5599999996</v>
      </c>
      <c r="U317" s="1785"/>
      <c r="V317" s="1876">
        <v>0</v>
      </c>
      <c r="W317" s="1786"/>
      <c r="X317" s="1876">
        <v>0</v>
      </c>
      <c r="Y317" s="1786"/>
      <c r="Z317" s="1876">
        <v>0</v>
      </c>
      <c r="AA317" s="1785"/>
      <c r="AB317" s="1787">
        <v>3384097.5599999996</v>
      </c>
      <c r="AC317" s="1786"/>
      <c r="AD317" s="1876">
        <v>3384097.56</v>
      </c>
    </row>
    <row r="318" spans="1:30" ht="14.1" customHeight="1">
      <c r="A318" s="1675">
        <v>21</v>
      </c>
      <c r="B318" s="2015"/>
      <c r="C318" s="2009">
        <v>34334</v>
      </c>
      <c r="D318" s="1674" t="s">
        <v>2496</v>
      </c>
      <c r="F318" s="2019">
        <v>2.0499999999999998</v>
      </c>
      <c r="G318" s="2001"/>
      <c r="H318" s="1876">
        <f t="shared" si="54"/>
        <v>16052.10497</v>
      </c>
      <c r="I318" s="1785">
        <f t="shared" si="44"/>
        <v>0</v>
      </c>
      <c r="J318" s="1876">
        <f t="shared" si="45"/>
        <v>0</v>
      </c>
      <c r="K318" s="1786">
        <f t="shared" si="46"/>
        <v>0</v>
      </c>
      <c r="L318" s="1876">
        <f t="shared" si="47"/>
        <v>0</v>
      </c>
      <c r="M318" s="1786">
        <f t="shared" si="48"/>
        <v>0</v>
      </c>
      <c r="N318" s="1876">
        <f t="shared" si="49"/>
        <v>0</v>
      </c>
      <c r="O318" s="1785">
        <f t="shared" si="50"/>
        <v>0</v>
      </c>
      <c r="P318" s="1787">
        <f t="shared" si="51"/>
        <v>16052.10497</v>
      </c>
      <c r="Q318" s="1786">
        <f t="shared" si="52"/>
        <v>0</v>
      </c>
      <c r="R318" s="1876">
        <f t="shared" si="53"/>
        <v>16052.10497</v>
      </c>
      <c r="T318" s="1876">
        <v>16052104.970000001</v>
      </c>
      <c r="U318" s="1785"/>
      <c r="V318" s="1876">
        <v>0</v>
      </c>
      <c r="W318" s="1786"/>
      <c r="X318" s="1876">
        <v>0</v>
      </c>
      <c r="Y318" s="1786"/>
      <c r="Z318" s="1876">
        <v>0</v>
      </c>
      <c r="AA318" s="1785"/>
      <c r="AB318" s="1787">
        <v>16052104.970000001</v>
      </c>
      <c r="AC318" s="1786"/>
      <c r="AD318" s="1876">
        <v>16052104.970000001</v>
      </c>
    </row>
    <row r="319" spans="1:30" ht="14.1" customHeight="1">
      <c r="A319" s="1675">
        <v>22</v>
      </c>
      <c r="B319" s="2015"/>
      <c r="C319" s="2009">
        <v>34534</v>
      </c>
      <c r="D319" s="1674" t="s">
        <v>2454</v>
      </c>
      <c r="F319" s="2019">
        <v>2.4300000000000002</v>
      </c>
      <c r="G319" s="2001"/>
      <c r="H319" s="1876">
        <f t="shared" si="54"/>
        <v>4189.43102</v>
      </c>
      <c r="I319" s="1785">
        <f t="shared" si="44"/>
        <v>0</v>
      </c>
      <c r="J319" s="1876">
        <f t="shared" si="45"/>
        <v>0</v>
      </c>
      <c r="K319" s="1786">
        <f t="shared" si="46"/>
        <v>0</v>
      </c>
      <c r="L319" s="1876">
        <f t="shared" si="47"/>
        <v>0</v>
      </c>
      <c r="M319" s="1786">
        <f t="shared" si="48"/>
        <v>0</v>
      </c>
      <c r="N319" s="1876">
        <f t="shared" si="49"/>
        <v>0</v>
      </c>
      <c r="O319" s="1785">
        <f t="shared" si="50"/>
        <v>0</v>
      </c>
      <c r="P319" s="1787">
        <f t="shared" si="51"/>
        <v>4189.43102</v>
      </c>
      <c r="Q319" s="1786">
        <f t="shared" si="52"/>
        <v>0</v>
      </c>
      <c r="R319" s="1876">
        <f t="shared" si="53"/>
        <v>4189.43102</v>
      </c>
      <c r="T319" s="1876">
        <v>4189431.02</v>
      </c>
      <c r="U319" s="1785"/>
      <c r="V319" s="1876">
        <v>0</v>
      </c>
      <c r="W319" s="1786"/>
      <c r="X319" s="1876">
        <v>0</v>
      </c>
      <c r="Y319" s="1786"/>
      <c r="Z319" s="1876">
        <v>0</v>
      </c>
      <c r="AA319" s="1785"/>
      <c r="AB319" s="1787">
        <v>4189431.02</v>
      </c>
      <c r="AC319" s="1786"/>
      <c r="AD319" s="1876">
        <v>4189431.02</v>
      </c>
    </row>
    <row r="320" spans="1:30" ht="14.1" customHeight="1">
      <c r="A320" s="1675">
        <v>23</v>
      </c>
      <c r="B320" s="2015"/>
      <c r="C320" s="2009">
        <v>34634</v>
      </c>
      <c r="D320" s="1674" t="s">
        <v>2455</v>
      </c>
      <c r="F320" s="2019">
        <v>2.87</v>
      </c>
      <c r="G320" s="2001"/>
      <c r="H320" s="1876">
        <f t="shared" si="54"/>
        <v>0.90461000000000003</v>
      </c>
      <c r="I320" s="1785">
        <f t="shared" si="44"/>
        <v>0</v>
      </c>
      <c r="J320" s="1876">
        <f t="shared" si="45"/>
        <v>0</v>
      </c>
      <c r="K320" s="1786">
        <f t="shared" si="46"/>
        <v>0</v>
      </c>
      <c r="L320" s="1876">
        <f t="shared" si="47"/>
        <v>0</v>
      </c>
      <c r="M320" s="1786">
        <f t="shared" si="48"/>
        <v>0</v>
      </c>
      <c r="N320" s="1876">
        <f t="shared" si="49"/>
        <v>0</v>
      </c>
      <c r="O320" s="1785">
        <f t="shared" si="50"/>
        <v>0</v>
      </c>
      <c r="P320" s="1787">
        <f t="shared" si="51"/>
        <v>0.90461000000000003</v>
      </c>
      <c r="Q320" s="1786">
        <f t="shared" si="52"/>
        <v>0</v>
      </c>
      <c r="R320" s="1876">
        <f t="shared" si="53"/>
        <v>0.90461000000000003</v>
      </c>
      <c r="T320" s="1876">
        <v>904.61</v>
      </c>
      <c r="U320" s="1785"/>
      <c r="V320" s="1876">
        <v>0</v>
      </c>
      <c r="W320" s="1786"/>
      <c r="X320" s="1876">
        <v>0</v>
      </c>
      <c r="Y320" s="1786"/>
      <c r="Z320" s="1876">
        <v>0</v>
      </c>
      <c r="AA320" s="1785"/>
      <c r="AB320" s="1787">
        <v>904.61</v>
      </c>
      <c r="AC320" s="1786"/>
      <c r="AD320" s="1876">
        <v>904.61</v>
      </c>
    </row>
    <row r="321" spans="1:30" ht="14.1" customHeight="1">
      <c r="A321" s="1675">
        <v>24</v>
      </c>
      <c r="B321" s="2015"/>
      <c r="C321" s="1675"/>
      <c r="D321" s="2002" t="s">
        <v>2522</v>
      </c>
      <c r="F321" s="2019"/>
      <c r="H321" s="1788">
        <f t="shared" si="54"/>
        <v>23868.87212</v>
      </c>
      <c r="I321" s="1790">
        <f t="shared" si="44"/>
        <v>0</v>
      </c>
      <c r="J321" s="1788">
        <f t="shared" si="45"/>
        <v>0</v>
      </c>
      <c r="K321" s="1790">
        <f t="shared" si="46"/>
        <v>0</v>
      </c>
      <c r="L321" s="1788">
        <f t="shared" si="47"/>
        <v>0</v>
      </c>
      <c r="M321" s="1790">
        <f t="shared" si="48"/>
        <v>0</v>
      </c>
      <c r="N321" s="1788">
        <f t="shared" si="49"/>
        <v>0</v>
      </c>
      <c r="O321" s="1790">
        <f t="shared" si="50"/>
        <v>0</v>
      </c>
      <c r="P321" s="1788">
        <f t="shared" si="51"/>
        <v>23868.87212</v>
      </c>
      <c r="Q321" s="1790">
        <f t="shared" si="52"/>
        <v>0</v>
      </c>
      <c r="R321" s="1788">
        <f t="shared" si="53"/>
        <v>23868.87212</v>
      </c>
      <c r="T321" s="1788">
        <v>23868872.120000001</v>
      </c>
      <c r="U321" s="1790"/>
      <c r="V321" s="1788">
        <v>0</v>
      </c>
      <c r="W321" s="1790"/>
      <c r="X321" s="1788">
        <v>0</v>
      </c>
      <c r="Y321" s="1790"/>
      <c r="Z321" s="1788">
        <v>0</v>
      </c>
      <c r="AA321" s="1790"/>
      <c r="AB321" s="1788">
        <v>23868872.120000001</v>
      </c>
      <c r="AC321" s="1790"/>
      <c r="AD321" s="1788">
        <v>23868872.120000001</v>
      </c>
    </row>
    <row r="322" spans="1:30" ht="14.1" customHeight="1">
      <c r="A322" s="1675">
        <v>25</v>
      </c>
      <c r="B322" s="2015"/>
      <c r="F322" s="2020"/>
      <c r="H322" s="1674">
        <f t="shared" si="54"/>
        <v>0</v>
      </c>
      <c r="I322" s="1674">
        <f t="shared" si="44"/>
        <v>0</v>
      </c>
      <c r="J322" s="1674">
        <f t="shared" si="45"/>
        <v>0</v>
      </c>
      <c r="K322" s="1674">
        <f t="shared" si="46"/>
        <v>0</v>
      </c>
      <c r="L322" s="1674">
        <f t="shared" si="47"/>
        <v>0</v>
      </c>
      <c r="M322" s="1674">
        <f t="shared" si="48"/>
        <v>0</v>
      </c>
      <c r="N322" s="1674">
        <f t="shared" si="49"/>
        <v>0</v>
      </c>
      <c r="O322" s="2001">
        <f t="shared" si="50"/>
        <v>0</v>
      </c>
      <c r="P322" s="1674">
        <f t="shared" si="51"/>
        <v>0</v>
      </c>
      <c r="Q322" s="1674">
        <f t="shared" si="52"/>
        <v>0</v>
      </c>
      <c r="R322" s="1674">
        <f t="shared" si="53"/>
        <v>0</v>
      </c>
      <c r="AA322" s="2001"/>
    </row>
    <row r="323" spans="1:30" ht="14.1" customHeight="1">
      <c r="A323" s="1675">
        <v>26</v>
      </c>
      <c r="B323" s="2015"/>
      <c r="C323" s="2019"/>
      <c r="D323" s="2002" t="s">
        <v>2523</v>
      </c>
      <c r="E323" s="1675"/>
      <c r="F323" s="2019"/>
      <c r="G323" s="2028"/>
      <c r="H323" s="2028">
        <f t="shared" si="54"/>
        <v>0</v>
      </c>
      <c r="I323" s="2034">
        <f t="shared" si="44"/>
        <v>0</v>
      </c>
      <c r="J323" s="2028">
        <f t="shared" si="45"/>
        <v>0</v>
      </c>
      <c r="K323" s="2034">
        <f t="shared" si="46"/>
        <v>0</v>
      </c>
      <c r="L323" s="2034">
        <f t="shared" si="47"/>
        <v>0</v>
      </c>
      <c r="M323" s="2009">
        <f t="shared" si="48"/>
        <v>0</v>
      </c>
      <c r="N323" s="2009">
        <f t="shared" si="49"/>
        <v>0</v>
      </c>
      <c r="O323" s="2010">
        <f t="shared" si="50"/>
        <v>0</v>
      </c>
      <c r="P323" s="2009">
        <f t="shared" si="51"/>
        <v>0</v>
      </c>
      <c r="Q323" s="2009">
        <f t="shared" si="52"/>
        <v>0</v>
      </c>
      <c r="R323" s="2009">
        <f t="shared" si="53"/>
        <v>0</v>
      </c>
      <c r="T323" s="2028"/>
      <c r="U323" s="2034"/>
      <c r="V323" s="2028"/>
      <c r="W323" s="2034"/>
      <c r="X323" s="2034"/>
      <c r="Y323" s="2009"/>
      <c r="Z323" s="2009"/>
      <c r="AA323" s="2010"/>
      <c r="AB323" s="2009"/>
      <c r="AC323" s="2009"/>
      <c r="AD323" s="2009"/>
    </row>
    <row r="324" spans="1:30" ht="14.1" customHeight="1">
      <c r="A324" s="1675">
        <v>27</v>
      </c>
      <c r="B324" s="2015"/>
      <c r="C324" s="2009">
        <v>34135</v>
      </c>
      <c r="D324" s="1674" t="s">
        <v>2449</v>
      </c>
      <c r="E324" s="1675"/>
      <c r="F324" s="2019">
        <v>4.8600000000000003</v>
      </c>
      <c r="G324" s="2001"/>
      <c r="H324" s="1876">
        <f t="shared" si="54"/>
        <v>793.11426000000006</v>
      </c>
      <c r="I324" s="1785">
        <f t="shared" si="44"/>
        <v>0</v>
      </c>
      <c r="J324" s="1876">
        <f t="shared" si="45"/>
        <v>0</v>
      </c>
      <c r="K324" s="1786">
        <f t="shared" si="46"/>
        <v>0</v>
      </c>
      <c r="L324" s="1876">
        <f t="shared" si="47"/>
        <v>0</v>
      </c>
      <c r="M324" s="1786">
        <f t="shared" si="48"/>
        <v>0</v>
      </c>
      <c r="N324" s="1876">
        <f t="shared" si="49"/>
        <v>0</v>
      </c>
      <c r="O324" s="1785">
        <f t="shared" si="50"/>
        <v>0</v>
      </c>
      <c r="P324" s="1787">
        <f t="shared" si="51"/>
        <v>793.11426000000006</v>
      </c>
      <c r="Q324" s="1786">
        <f t="shared" si="52"/>
        <v>0</v>
      </c>
      <c r="R324" s="1876">
        <f t="shared" si="53"/>
        <v>793.11426000000006</v>
      </c>
      <c r="T324" s="1876">
        <v>793114.26</v>
      </c>
      <c r="U324" s="1785"/>
      <c r="V324" s="1876">
        <v>0</v>
      </c>
      <c r="W324" s="1786"/>
      <c r="X324" s="1876">
        <v>0</v>
      </c>
      <c r="Y324" s="1786"/>
      <c r="Z324" s="1876">
        <v>0</v>
      </c>
      <c r="AA324" s="1785"/>
      <c r="AB324" s="1787">
        <v>793114.26</v>
      </c>
      <c r="AC324" s="1786"/>
      <c r="AD324" s="1876">
        <v>793114.26</v>
      </c>
    </row>
    <row r="325" spans="1:30" ht="14.1" customHeight="1">
      <c r="A325" s="1675">
        <v>28</v>
      </c>
      <c r="B325" s="2015"/>
      <c r="C325" s="2009">
        <v>34235</v>
      </c>
      <c r="D325" s="1674" t="s">
        <v>2495</v>
      </c>
      <c r="E325" s="1675"/>
      <c r="F325" s="2019">
        <v>3.05</v>
      </c>
      <c r="G325" s="2001"/>
      <c r="H325" s="1876">
        <f t="shared" si="54"/>
        <v>2224.6556949999999</v>
      </c>
      <c r="I325" s="1785">
        <f t="shared" si="44"/>
        <v>0</v>
      </c>
      <c r="J325" s="1876">
        <f t="shared" si="45"/>
        <v>0</v>
      </c>
      <c r="K325" s="1786">
        <f t="shared" si="46"/>
        <v>0</v>
      </c>
      <c r="L325" s="1876">
        <f t="shared" si="47"/>
        <v>0</v>
      </c>
      <c r="M325" s="1786">
        <f t="shared" si="48"/>
        <v>0</v>
      </c>
      <c r="N325" s="1876">
        <f t="shared" si="49"/>
        <v>0</v>
      </c>
      <c r="O325" s="1785">
        <f t="shared" si="50"/>
        <v>0</v>
      </c>
      <c r="P325" s="1787">
        <f t="shared" si="51"/>
        <v>2224.6556949999999</v>
      </c>
      <c r="Q325" s="1786">
        <f t="shared" si="52"/>
        <v>0</v>
      </c>
      <c r="R325" s="1876">
        <f t="shared" si="53"/>
        <v>2224.6557000000003</v>
      </c>
      <c r="T325" s="1876">
        <v>2224655.6949999998</v>
      </c>
      <c r="U325" s="1785"/>
      <c r="V325" s="1876">
        <v>0</v>
      </c>
      <c r="W325" s="1786"/>
      <c r="X325" s="1876">
        <v>0</v>
      </c>
      <c r="Y325" s="1786"/>
      <c r="Z325" s="1876">
        <v>0</v>
      </c>
      <c r="AA325" s="1785"/>
      <c r="AB325" s="1787">
        <v>2224655.6949999998</v>
      </c>
      <c r="AC325" s="1786"/>
      <c r="AD325" s="1876">
        <v>2224655.7000000002</v>
      </c>
    </row>
    <row r="326" spans="1:30" ht="14.1" customHeight="1">
      <c r="A326" s="1675">
        <v>29</v>
      </c>
      <c r="B326" s="2015"/>
      <c r="C326" s="2009">
        <v>34335</v>
      </c>
      <c r="D326" s="1674" t="s">
        <v>2496</v>
      </c>
      <c r="E326" s="1675"/>
      <c r="F326" s="2019">
        <v>2.0699999999999998</v>
      </c>
      <c r="G326" s="2001"/>
      <c r="H326" s="1876">
        <f t="shared" si="54"/>
        <v>18801.752445000002</v>
      </c>
      <c r="I326" s="1785">
        <f t="shared" si="44"/>
        <v>0</v>
      </c>
      <c r="J326" s="1876">
        <f t="shared" si="45"/>
        <v>0</v>
      </c>
      <c r="K326" s="1786">
        <f t="shared" si="46"/>
        <v>0</v>
      </c>
      <c r="L326" s="1876">
        <f t="shared" si="47"/>
        <v>0</v>
      </c>
      <c r="M326" s="1786">
        <f t="shared" si="48"/>
        <v>0</v>
      </c>
      <c r="N326" s="1876">
        <f t="shared" si="49"/>
        <v>0</v>
      </c>
      <c r="O326" s="1785">
        <f t="shared" si="50"/>
        <v>0</v>
      </c>
      <c r="P326" s="1787">
        <f t="shared" si="51"/>
        <v>18801.752445000002</v>
      </c>
      <c r="Q326" s="1786">
        <f t="shared" si="52"/>
        <v>0</v>
      </c>
      <c r="R326" s="1876">
        <f t="shared" si="53"/>
        <v>18801.75245</v>
      </c>
      <c r="T326" s="1876">
        <v>18801752.445</v>
      </c>
      <c r="U326" s="1785"/>
      <c r="V326" s="1876">
        <v>0</v>
      </c>
      <c r="W326" s="1786"/>
      <c r="X326" s="1876">
        <v>0</v>
      </c>
      <c r="Y326" s="1786"/>
      <c r="Z326" s="1876">
        <v>0</v>
      </c>
      <c r="AA326" s="1785"/>
      <c r="AB326" s="1787">
        <v>18801752.445</v>
      </c>
      <c r="AC326" s="1786"/>
      <c r="AD326" s="1876">
        <v>18801752.449999999</v>
      </c>
    </row>
    <row r="327" spans="1:30" s="2000" customFormat="1" ht="14.1" customHeight="1">
      <c r="A327" s="1675">
        <v>30</v>
      </c>
      <c r="B327" s="2015"/>
      <c r="C327" s="2009">
        <v>34535</v>
      </c>
      <c r="D327" s="1674" t="s">
        <v>2454</v>
      </c>
      <c r="E327" s="1675"/>
      <c r="F327" s="2019">
        <v>1.76</v>
      </c>
      <c r="G327" s="2001"/>
      <c r="H327" s="1876">
        <f t="shared" si="54"/>
        <v>10408.627609999998</v>
      </c>
      <c r="I327" s="1785">
        <f t="shared" si="44"/>
        <v>0</v>
      </c>
      <c r="J327" s="1876">
        <f t="shared" si="45"/>
        <v>0</v>
      </c>
      <c r="K327" s="1786">
        <f t="shared" si="46"/>
        <v>0</v>
      </c>
      <c r="L327" s="1876">
        <f t="shared" si="47"/>
        <v>0</v>
      </c>
      <c r="M327" s="1786">
        <f t="shared" si="48"/>
        <v>0</v>
      </c>
      <c r="N327" s="1876">
        <f t="shared" si="49"/>
        <v>0</v>
      </c>
      <c r="O327" s="1785">
        <f t="shared" si="50"/>
        <v>0</v>
      </c>
      <c r="P327" s="1787">
        <f t="shared" si="51"/>
        <v>10408.627609999998</v>
      </c>
      <c r="Q327" s="1786">
        <f t="shared" si="52"/>
        <v>0</v>
      </c>
      <c r="R327" s="1876">
        <f t="shared" si="53"/>
        <v>10408.62761</v>
      </c>
      <c r="T327" s="1876">
        <v>10408627.609999998</v>
      </c>
      <c r="U327" s="1785"/>
      <c r="V327" s="1876">
        <v>0</v>
      </c>
      <c r="W327" s="1786"/>
      <c r="X327" s="1876">
        <v>0</v>
      </c>
      <c r="Y327" s="1786"/>
      <c r="Z327" s="1876">
        <v>0</v>
      </c>
      <c r="AA327" s="1785"/>
      <c r="AB327" s="1787">
        <v>10408627.609999998</v>
      </c>
      <c r="AC327" s="1786"/>
      <c r="AD327" s="1876">
        <v>10408627.609999999</v>
      </c>
    </row>
    <row r="328" spans="1:30" ht="14.1" customHeight="1">
      <c r="A328" s="1675">
        <v>31</v>
      </c>
      <c r="B328" s="2015"/>
      <c r="C328" s="2009">
        <v>34635</v>
      </c>
      <c r="D328" s="1674" t="s">
        <v>2455</v>
      </c>
      <c r="F328" s="2019">
        <v>2.94</v>
      </c>
      <c r="G328" s="2001"/>
      <c r="H328" s="1876">
        <f t="shared" si="54"/>
        <v>0</v>
      </c>
      <c r="I328" s="1785">
        <f t="shared" si="44"/>
        <v>0</v>
      </c>
      <c r="J328" s="1876">
        <f t="shared" si="45"/>
        <v>0</v>
      </c>
      <c r="K328" s="1786">
        <f t="shared" si="46"/>
        <v>0</v>
      </c>
      <c r="L328" s="1876">
        <f t="shared" si="47"/>
        <v>0</v>
      </c>
      <c r="M328" s="1786">
        <f t="shared" si="48"/>
        <v>0</v>
      </c>
      <c r="N328" s="1876">
        <f t="shared" si="49"/>
        <v>0</v>
      </c>
      <c r="O328" s="1785">
        <f t="shared" si="50"/>
        <v>0</v>
      </c>
      <c r="P328" s="1787">
        <f t="shared" si="51"/>
        <v>0</v>
      </c>
      <c r="Q328" s="1786">
        <f t="shared" si="52"/>
        <v>0</v>
      </c>
      <c r="R328" s="1876">
        <f t="shared" si="53"/>
        <v>0</v>
      </c>
      <c r="T328" s="1876">
        <v>0</v>
      </c>
      <c r="U328" s="1785"/>
      <c r="V328" s="1876">
        <v>0</v>
      </c>
      <c r="W328" s="1786"/>
      <c r="X328" s="1876">
        <v>0</v>
      </c>
      <c r="Y328" s="1786"/>
      <c r="Z328" s="1876">
        <v>0</v>
      </c>
      <c r="AA328" s="1785"/>
      <c r="AB328" s="1787">
        <v>0</v>
      </c>
      <c r="AC328" s="1786"/>
      <c r="AD328" s="1876">
        <v>0</v>
      </c>
    </row>
    <row r="329" spans="1:30" ht="14.1" customHeight="1">
      <c r="A329" s="1675">
        <v>32</v>
      </c>
      <c r="B329" s="2015"/>
      <c r="C329" s="1675"/>
      <c r="D329" s="2002" t="s">
        <v>2524</v>
      </c>
      <c r="E329" s="1675"/>
      <c r="F329" s="2019"/>
      <c r="H329" s="1788">
        <f t="shared" si="54"/>
        <v>32228.150009999998</v>
      </c>
      <c r="I329" s="1790">
        <f t="shared" si="44"/>
        <v>0</v>
      </c>
      <c r="J329" s="1788">
        <f t="shared" si="45"/>
        <v>0</v>
      </c>
      <c r="K329" s="1790">
        <f t="shared" si="46"/>
        <v>0</v>
      </c>
      <c r="L329" s="1788">
        <f t="shared" si="47"/>
        <v>0</v>
      </c>
      <c r="M329" s="1790">
        <f t="shared" si="48"/>
        <v>0</v>
      </c>
      <c r="N329" s="1788">
        <f t="shared" si="49"/>
        <v>0</v>
      </c>
      <c r="O329" s="1790">
        <f t="shared" si="50"/>
        <v>0</v>
      </c>
      <c r="P329" s="1788">
        <f t="shared" si="51"/>
        <v>32228.150009999998</v>
      </c>
      <c r="Q329" s="1790">
        <f t="shared" si="52"/>
        <v>0</v>
      </c>
      <c r="R329" s="1788">
        <f t="shared" si="53"/>
        <v>32228.150020000001</v>
      </c>
      <c r="T329" s="1788">
        <v>32228150.009999998</v>
      </c>
      <c r="U329" s="1790"/>
      <c r="V329" s="1788">
        <v>0</v>
      </c>
      <c r="W329" s="1790"/>
      <c r="X329" s="1788">
        <v>0</v>
      </c>
      <c r="Y329" s="1790"/>
      <c r="Z329" s="1788">
        <v>0</v>
      </c>
      <c r="AA329" s="1790"/>
      <c r="AB329" s="1788">
        <v>32228150.009999998</v>
      </c>
      <c r="AC329" s="1790"/>
      <c r="AD329" s="1788">
        <v>32228150.02</v>
      </c>
    </row>
    <row r="330" spans="1:30" ht="14.1" customHeight="1">
      <c r="A330" s="1675">
        <v>33</v>
      </c>
      <c r="B330" s="2015"/>
      <c r="F330" s="2020"/>
      <c r="H330" s="1674">
        <f t="shared" si="54"/>
        <v>0</v>
      </c>
      <c r="I330" s="1674">
        <f t="shared" si="44"/>
        <v>0</v>
      </c>
      <c r="J330" s="1674">
        <f t="shared" si="45"/>
        <v>0</v>
      </c>
      <c r="K330" s="1674">
        <f t="shared" si="46"/>
        <v>0</v>
      </c>
      <c r="L330" s="1674">
        <f t="shared" si="47"/>
        <v>0</v>
      </c>
      <c r="M330" s="1674">
        <f t="shared" si="48"/>
        <v>0</v>
      </c>
      <c r="N330" s="1674">
        <f t="shared" si="49"/>
        <v>0</v>
      </c>
      <c r="O330" s="2001">
        <f t="shared" si="50"/>
        <v>0</v>
      </c>
      <c r="P330" s="1674">
        <f t="shared" si="51"/>
        <v>0</v>
      </c>
      <c r="Q330" s="1674">
        <f t="shared" si="52"/>
        <v>0</v>
      </c>
      <c r="R330" s="1674">
        <f t="shared" si="53"/>
        <v>0</v>
      </c>
      <c r="AA330" s="2001"/>
    </row>
    <row r="331" spans="1:30" ht="14.1" customHeight="1">
      <c r="A331" s="1675">
        <v>34</v>
      </c>
      <c r="B331" s="2015"/>
      <c r="C331" s="1675"/>
      <c r="D331" s="2002" t="s">
        <v>2526</v>
      </c>
      <c r="F331" s="2020"/>
      <c r="H331" s="1674">
        <f t="shared" si="54"/>
        <v>0</v>
      </c>
      <c r="I331" s="1790">
        <f t="shared" si="44"/>
        <v>0</v>
      </c>
      <c r="J331" s="1674">
        <f t="shared" si="45"/>
        <v>0</v>
      </c>
      <c r="K331" s="1790">
        <f t="shared" si="46"/>
        <v>0</v>
      </c>
      <c r="L331" s="1674">
        <f t="shared" si="47"/>
        <v>0</v>
      </c>
      <c r="M331" s="1790">
        <f t="shared" si="48"/>
        <v>0</v>
      </c>
      <c r="N331" s="1674">
        <f t="shared" si="49"/>
        <v>0</v>
      </c>
      <c r="O331" s="1790">
        <f t="shared" si="50"/>
        <v>0</v>
      </c>
      <c r="P331" s="1674">
        <f t="shared" si="51"/>
        <v>0</v>
      </c>
      <c r="Q331" s="1790">
        <f t="shared" si="52"/>
        <v>0</v>
      </c>
      <c r="R331" s="1674">
        <f t="shared" si="53"/>
        <v>0</v>
      </c>
      <c r="U331" s="1790"/>
      <c r="W331" s="1790"/>
      <c r="Y331" s="1790"/>
      <c r="AA331" s="1790"/>
      <c r="AC331" s="1790"/>
    </row>
    <row r="332" spans="1:30" ht="14.1" customHeight="1">
      <c r="A332" s="1675">
        <v>35</v>
      </c>
      <c r="B332" s="2015"/>
      <c r="C332" s="2009">
        <v>34136</v>
      </c>
      <c r="D332" s="1674" t="s">
        <v>2449</v>
      </c>
      <c r="F332" s="2019">
        <v>3.62</v>
      </c>
      <c r="G332" s="2001"/>
      <c r="H332" s="1876">
        <f t="shared" si="54"/>
        <v>2656.2315400000002</v>
      </c>
      <c r="I332" s="1785">
        <f t="shared" si="44"/>
        <v>0</v>
      </c>
      <c r="J332" s="1876">
        <f t="shared" si="45"/>
        <v>0</v>
      </c>
      <c r="K332" s="1786">
        <f t="shared" si="46"/>
        <v>0</v>
      </c>
      <c r="L332" s="1876">
        <f t="shared" si="47"/>
        <v>0</v>
      </c>
      <c r="M332" s="1786">
        <f t="shared" si="48"/>
        <v>0</v>
      </c>
      <c r="N332" s="1876">
        <f t="shared" si="49"/>
        <v>0</v>
      </c>
      <c r="O332" s="1785">
        <f t="shared" si="50"/>
        <v>0</v>
      </c>
      <c r="P332" s="1787">
        <f t="shared" si="51"/>
        <v>2656.2315400000002</v>
      </c>
      <c r="Q332" s="1786">
        <f t="shared" si="52"/>
        <v>0</v>
      </c>
      <c r="R332" s="1876">
        <f t="shared" si="53"/>
        <v>2656.2315400000002</v>
      </c>
      <c r="T332" s="1876">
        <v>2656231.54</v>
      </c>
      <c r="U332" s="1785"/>
      <c r="V332" s="1876">
        <v>0</v>
      </c>
      <c r="W332" s="1786"/>
      <c r="X332" s="1876">
        <v>0</v>
      </c>
      <c r="Y332" s="1786"/>
      <c r="Z332" s="1876">
        <v>0</v>
      </c>
      <c r="AA332" s="1785"/>
      <c r="AB332" s="1787">
        <v>2656231.54</v>
      </c>
      <c r="AC332" s="1786"/>
      <c r="AD332" s="1876">
        <v>2656231.54</v>
      </c>
    </row>
    <row r="333" spans="1:30" ht="14.1" customHeight="1">
      <c r="A333" s="1675">
        <v>36</v>
      </c>
      <c r="B333" s="2015"/>
      <c r="C333" s="2009">
        <v>34236</v>
      </c>
      <c r="D333" s="1674" t="s">
        <v>2495</v>
      </c>
      <c r="F333" s="2019">
        <v>2.84</v>
      </c>
      <c r="G333" s="2001"/>
      <c r="H333" s="1876">
        <f t="shared" si="54"/>
        <v>1562.8909699999999</v>
      </c>
      <c r="I333" s="1785">
        <f t="shared" si="44"/>
        <v>0</v>
      </c>
      <c r="J333" s="1876">
        <f t="shared" si="45"/>
        <v>0</v>
      </c>
      <c r="K333" s="1786">
        <f t="shared" si="46"/>
        <v>0</v>
      </c>
      <c r="L333" s="1876">
        <f t="shared" si="47"/>
        <v>0</v>
      </c>
      <c r="M333" s="1786">
        <f t="shared" si="48"/>
        <v>0</v>
      </c>
      <c r="N333" s="1876">
        <f t="shared" si="49"/>
        <v>0</v>
      </c>
      <c r="O333" s="1785">
        <f t="shared" si="50"/>
        <v>0</v>
      </c>
      <c r="P333" s="1787">
        <f t="shared" si="51"/>
        <v>1562.8909699999999</v>
      </c>
      <c r="Q333" s="1786">
        <f t="shared" si="52"/>
        <v>0</v>
      </c>
      <c r="R333" s="1876">
        <f t="shared" si="53"/>
        <v>1562.8909699999999</v>
      </c>
      <c r="T333" s="1876">
        <v>1562890.97</v>
      </c>
      <c r="U333" s="1785"/>
      <c r="V333" s="1876">
        <v>0</v>
      </c>
      <c r="W333" s="1786"/>
      <c r="X333" s="1876">
        <v>0</v>
      </c>
      <c r="Y333" s="1786"/>
      <c r="Z333" s="1876">
        <v>0</v>
      </c>
      <c r="AA333" s="1785"/>
      <c r="AB333" s="1787">
        <v>1562890.97</v>
      </c>
      <c r="AC333" s="1786"/>
      <c r="AD333" s="1876">
        <v>1562890.97</v>
      </c>
    </row>
    <row r="334" spans="1:30" ht="14.1" customHeight="1">
      <c r="A334" s="1675">
        <v>37</v>
      </c>
      <c r="B334" s="2015"/>
      <c r="C334" s="2009">
        <v>34336</v>
      </c>
      <c r="D334" s="1674" t="s">
        <v>2496</v>
      </c>
      <c r="F334" s="2019">
        <v>1.8000000000000003</v>
      </c>
      <c r="G334" s="2001"/>
      <c r="H334" s="1876">
        <f t="shared" si="54"/>
        <v>17542.092239999998</v>
      </c>
      <c r="I334" s="1785">
        <f t="shared" si="44"/>
        <v>0</v>
      </c>
      <c r="J334" s="1876">
        <f t="shared" si="45"/>
        <v>0</v>
      </c>
      <c r="K334" s="1786">
        <f t="shared" si="46"/>
        <v>0</v>
      </c>
      <c r="L334" s="1876">
        <f t="shared" si="47"/>
        <v>0</v>
      </c>
      <c r="M334" s="1786">
        <f t="shared" si="48"/>
        <v>0</v>
      </c>
      <c r="N334" s="1876">
        <f t="shared" si="49"/>
        <v>0</v>
      </c>
      <c r="O334" s="1785">
        <f t="shared" si="50"/>
        <v>0</v>
      </c>
      <c r="P334" s="1787">
        <f t="shared" si="51"/>
        <v>17542.092239999998</v>
      </c>
      <c r="Q334" s="1786">
        <f t="shared" si="52"/>
        <v>0</v>
      </c>
      <c r="R334" s="1876">
        <f t="shared" si="53"/>
        <v>17542.092239999998</v>
      </c>
      <c r="T334" s="1876">
        <v>17542092.239999998</v>
      </c>
      <c r="U334" s="1785"/>
      <c r="V334" s="1876">
        <v>0</v>
      </c>
      <c r="W334" s="1786"/>
      <c r="X334" s="1876">
        <v>0</v>
      </c>
      <c r="Y334" s="1786"/>
      <c r="Z334" s="1876">
        <v>0</v>
      </c>
      <c r="AA334" s="1785"/>
      <c r="AB334" s="1787">
        <v>17542092.239999998</v>
      </c>
      <c r="AC334" s="1786"/>
      <c r="AD334" s="1876">
        <v>17542092.239999998</v>
      </c>
    </row>
    <row r="335" spans="1:30" ht="14.1" customHeight="1">
      <c r="A335" s="1675">
        <v>38</v>
      </c>
      <c r="B335" s="2015"/>
      <c r="C335" s="2009">
        <v>34536</v>
      </c>
      <c r="D335" s="1674" t="s">
        <v>2454</v>
      </c>
      <c r="F335" s="2019">
        <v>2.41</v>
      </c>
      <c r="G335" s="2001"/>
      <c r="H335" s="1876">
        <f t="shared" si="54"/>
        <v>14353.367069999998</v>
      </c>
      <c r="I335" s="1785">
        <f t="shared" si="44"/>
        <v>0</v>
      </c>
      <c r="J335" s="1876">
        <f t="shared" si="45"/>
        <v>0</v>
      </c>
      <c r="K335" s="1786">
        <f t="shared" si="46"/>
        <v>0</v>
      </c>
      <c r="L335" s="1876">
        <f t="shared" si="47"/>
        <v>0</v>
      </c>
      <c r="M335" s="1786">
        <f t="shared" si="48"/>
        <v>0</v>
      </c>
      <c r="N335" s="1876">
        <f t="shared" si="49"/>
        <v>0</v>
      </c>
      <c r="O335" s="1785">
        <f t="shared" si="50"/>
        <v>0</v>
      </c>
      <c r="P335" s="1787">
        <f t="shared" si="51"/>
        <v>14353.367069999998</v>
      </c>
      <c r="Q335" s="1786">
        <f t="shared" si="52"/>
        <v>0</v>
      </c>
      <c r="R335" s="1876">
        <f t="shared" si="53"/>
        <v>14353.36707</v>
      </c>
      <c r="T335" s="1876">
        <v>14353367.069999998</v>
      </c>
      <c r="U335" s="1785"/>
      <c r="V335" s="1876">
        <v>0</v>
      </c>
      <c r="W335" s="1786"/>
      <c r="X335" s="1876">
        <v>0</v>
      </c>
      <c r="Y335" s="1786"/>
      <c r="Z335" s="1876">
        <v>0</v>
      </c>
      <c r="AA335" s="1785"/>
      <c r="AB335" s="1787">
        <v>14353367.069999998</v>
      </c>
      <c r="AC335" s="1786"/>
      <c r="AD335" s="1876">
        <v>14353367.07</v>
      </c>
    </row>
    <row r="336" spans="1:30" ht="14.1" customHeight="1">
      <c r="A336" s="1675">
        <v>39</v>
      </c>
      <c r="B336" s="2015"/>
      <c r="C336" s="2009">
        <v>34636</v>
      </c>
      <c r="D336" s="1674" t="s">
        <v>2455</v>
      </c>
      <c r="F336" s="2019">
        <v>3.1</v>
      </c>
      <c r="G336" s="2001"/>
      <c r="H336" s="1876">
        <f t="shared" si="54"/>
        <v>11.73648</v>
      </c>
      <c r="I336" s="1785">
        <f t="shared" si="44"/>
        <v>0</v>
      </c>
      <c r="J336" s="1876">
        <f t="shared" si="45"/>
        <v>0</v>
      </c>
      <c r="K336" s="1786">
        <f t="shared" si="46"/>
        <v>0</v>
      </c>
      <c r="L336" s="1876">
        <f t="shared" si="47"/>
        <v>0</v>
      </c>
      <c r="M336" s="1786">
        <f t="shared" si="48"/>
        <v>0</v>
      </c>
      <c r="N336" s="1876">
        <f t="shared" si="49"/>
        <v>0</v>
      </c>
      <c r="O336" s="1785">
        <f t="shared" si="50"/>
        <v>0</v>
      </c>
      <c r="P336" s="1787">
        <f t="shared" si="51"/>
        <v>11.73648</v>
      </c>
      <c r="Q336" s="1786">
        <f t="shared" si="52"/>
        <v>0</v>
      </c>
      <c r="R336" s="1876">
        <f t="shared" si="53"/>
        <v>11.73648</v>
      </c>
      <c r="T336" s="1876">
        <v>11736.48</v>
      </c>
      <c r="U336" s="1785"/>
      <c r="V336" s="1876">
        <v>0</v>
      </c>
      <c r="W336" s="1786"/>
      <c r="X336" s="1876">
        <v>0</v>
      </c>
      <c r="Y336" s="1786"/>
      <c r="Z336" s="1876">
        <v>0</v>
      </c>
      <c r="AA336" s="1785"/>
      <c r="AB336" s="1787">
        <v>11736.48</v>
      </c>
      <c r="AC336" s="1786"/>
      <c r="AD336" s="1876">
        <v>11736.48</v>
      </c>
    </row>
    <row r="337" spans="1:30" ht="14.1" customHeight="1">
      <c r="A337" s="1675">
        <v>40</v>
      </c>
      <c r="B337" s="2015"/>
      <c r="C337" s="1675"/>
      <c r="D337" s="2002" t="s">
        <v>2527</v>
      </c>
      <c r="F337" s="2019"/>
      <c r="H337" s="1788">
        <f t="shared" si="54"/>
        <v>36126.318299999999</v>
      </c>
      <c r="I337" s="1790">
        <f t="shared" ref="I337:I400" si="55">+IF(ISNUMBER(U337),U337/1000,U337)</f>
        <v>0</v>
      </c>
      <c r="J337" s="1788">
        <f t="shared" ref="J337:J400" si="56">+IF(ISNUMBER(V337),V337/1000,V337)</f>
        <v>0</v>
      </c>
      <c r="K337" s="1790">
        <f t="shared" ref="K337:K400" si="57">+IF(ISNUMBER(W337),W337/1000,W337)</f>
        <v>0</v>
      </c>
      <c r="L337" s="1788">
        <f t="shared" ref="L337:L400" si="58">+IF(ISNUMBER(X337),X337/1000,X337)</f>
        <v>0</v>
      </c>
      <c r="M337" s="1790">
        <f t="shared" ref="M337:M400" si="59">+IF(ISNUMBER(Y337),Y337/1000,Y337)</f>
        <v>0</v>
      </c>
      <c r="N337" s="1788">
        <f t="shared" ref="N337:N400" si="60">+IF(ISNUMBER(Z337),Z337/1000,Z337)</f>
        <v>0</v>
      </c>
      <c r="O337" s="1790">
        <f t="shared" ref="O337:O400" si="61">+IF(ISNUMBER(AA337),AA337/1000,AA337)</f>
        <v>0</v>
      </c>
      <c r="P337" s="1788">
        <f t="shared" ref="P337:P400" si="62">+IF(ISNUMBER(AB337),AB337/1000,AB337)</f>
        <v>36126.318299999999</v>
      </c>
      <c r="Q337" s="1790">
        <f t="shared" ref="Q337:Q400" si="63">+IF(ISNUMBER(AC337),AC337/1000,AC337)</f>
        <v>0</v>
      </c>
      <c r="R337" s="1788">
        <f t="shared" ref="R337:R400" si="64">+IF(ISNUMBER(AD337),AD337/1000,AD337)</f>
        <v>36126.318299999999</v>
      </c>
      <c r="T337" s="1788">
        <v>36126318.299999997</v>
      </c>
      <c r="U337" s="1790"/>
      <c r="V337" s="1788">
        <v>0</v>
      </c>
      <c r="W337" s="1790"/>
      <c r="X337" s="1788">
        <v>0</v>
      </c>
      <c r="Y337" s="1790"/>
      <c r="Z337" s="1788">
        <v>0</v>
      </c>
      <c r="AA337" s="1790"/>
      <c r="AB337" s="1788">
        <v>36126318.299999997</v>
      </c>
      <c r="AC337" s="1790"/>
      <c r="AD337" s="1788">
        <v>36126318.299999997</v>
      </c>
    </row>
    <row r="338" spans="1:30" ht="14.1" customHeight="1">
      <c r="A338" s="1675">
        <v>41</v>
      </c>
      <c r="B338" s="2015"/>
      <c r="F338" s="2020"/>
      <c r="H338" s="2035">
        <f t="shared" ref="H338:H401" si="65">+IF(ISNUMBER(T338),T338/1000,T338)</f>
        <v>0</v>
      </c>
      <c r="I338" s="1674">
        <f t="shared" si="55"/>
        <v>0</v>
      </c>
      <c r="J338" s="1674">
        <f t="shared" si="56"/>
        <v>0</v>
      </c>
      <c r="K338" s="1674">
        <f t="shared" si="57"/>
        <v>0</v>
      </c>
      <c r="L338" s="1674">
        <f t="shared" si="58"/>
        <v>0</v>
      </c>
      <c r="M338" s="1674">
        <f t="shared" si="59"/>
        <v>0</v>
      </c>
      <c r="N338" s="1674">
        <f t="shared" si="60"/>
        <v>0</v>
      </c>
      <c r="O338" s="2001">
        <f t="shared" si="61"/>
        <v>0</v>
      </c>
      <c r="P338" s="1674">
        <f t="shared" si="62"/>
        <v>0</v>
      </c>
      <c r="Q338" s="1674">
        <f t="shared" si="63"/>
        <v>0</v>
      </c>
      <c r="R338" s="1674">
        <f t="shared" si="64"/>
        <v>0</v>
      </c>
      <c r="T338" s="2035"/>
      <c r="AA338" s="2001"/>
    </row>
    <row r="339" spans="1:30" ht="14.1" customHeight="1">
      <c r="A339" s="1675">
        <v>42</v>
      </c>
      <c r="B339" s="2015"/>
      <c r="C339" s="2009">
        <v>34637</v>
      </c>
      <c r="D339" s="2002" t="s">
        <v>8173</v>
      </c>
      <c r="F339" s="2019">
        <v>14.3</v>
      </c>
      <c r="G339" s="2001"/>
      <c r="H339" s="1876">
        <f t="shared" si="65"/>
        <v>268.32619999999991</v>
      </c>
      <c r="I339" s="1785">
        <f t="shared" si="55"/>
        <v>0</v>
      </c>
      <c r="J339" s="1876">
        <f t="shared" si="56"/>
        <v>0</v>
      </c>
      <c r="K339" s="1786">
        <f t="shared" si="57"/>
        <v>0</v>
      </c>
      <c r="L339" s="1876">
        <f t="shared" si="58"/>
        <v>-47.209019999999995</v>
      </c>
      <c r="M339" s="1786">
        <f t="shared" si="59"/>
        <v>0</v>
      </c>
      <c r="N339" s="1876">
        <f t="shared" si="60"/>
        <v>0</v>
      </c>
      <c r="O339" s="1785">
        <f t="shared" si="61"/>
        <v>0</v>
      </c>
      <c r="P339" s="1787">
        <f t="shared" si="62"/>
        <v>221.11717999999991</v>
      </c>
      <c r="Q339" s="1786">
        <f t="shared" si="63"/>
        <v>0</v>
      </c>
      <c r="R339" s="1876">
        <f t="shared" si="64"/>
        <v>253.80035000000001</v>
      </c>
      <c r="T339" s="1876">
        <v>268326.1999999999</v>
      </c>
      <c r="U339" s="1785"/>
      <c r="V339" s="1876">
        <v>0</v>
      </c>
      <c r="W339" s="1786"/>
      <c r="X339" s="1876">
        <v>-47209.02</v>
      </c>
      <c r="Y339" s="1786"/>
      <c r="Z339" s="1876">
        <v>0</v>
      </c>
      <c r="AA339" s="1785"/>
      <c r="AB339" s="1787">
        <v>221117.17999999991</v>
      </c>
      <c r="AC339" s="1786"/>
      <c r="AD339" s="1876">
        <v>253800.35</v>
      </c>
    </row>
    <row r="340" spans="1:30" ht="14.1" customHeight="1" thickBot="1">
      <c r="A340" s="1675">
        <v>43</v>
      </c>
      <c r="B340" s="2015"/>
      <c r="D340" s="1674" t="s">
        <v>2528</v>
      </c>
      <c r="F340" s="2023"/>
      <c r="H340" s="1798">
        <f t="shared" si="65"/>
        <v>1335229.4732300001</v>
      </c>
      <c r="I340" s="1790">
        <f t="shared" si="55"/>
        <v>0</v>
      </c>
      <c r="J340" s="1798">
        <f t="shared" si="56"/>
        <v>64963.647140000001</v>
      </c>
      <c r="K340" s="1790">
        <f t="shared" si="57"/>
        <v>0</v>
      </c>
      <c r="L340" s="1798">
        <f t="shared" si="58"/>
        <v>-13039.938460000001</v>
      </c>
      <c r="M340" s="1790">
        <f t="shared" si="59"/>
        <v>0</v>
      </c>
      <c r="N340" s="1798">
        <f t="shared" si="60"/>
        <v>0</v>
      </c>
      <c r="O340" s="1790">
        <f t="shared" si="61"/>
        <v>0</v>
      </c>
      <c r="P340" s="1798">
        <f t="shared" si="62"/>
        <v>1387153.1819099998</v>
      </c>
      <c r="Q340" s="1790">
        <f t="shared" si="63"/>
        <v>0</v>
      </c>
      <c r="R340" s="1798">
        <f t="shared" si="64"/>
        <v>1360515.8439499997</v>
      </c>
      <c r="T340" s="1798">
        <v>1335229473.23</v>
      </c>
      <c r="U340" s="1790"/>
      <c r="V340" s="1798">
        <v>64963647.140000001</v>
      </c>
      <c r="W340" s="1790"/>
      <c r="X340" s="1798">
        <v>-13039938.460000001</v>
      </c>
      <c r="Y340" s="1790"/>
      <c r="Z340" s="1798">
        <v>0</v>
      </c>
      <c r="AA340" s="1790"/>
      <c r="AB340" s="1798">
        <v>1387153181.9099998</v>
      </c>
      <c r="AC340" s="1790"/>
      <c r="AD340" s="1798">
        <v>1360515843.9499996</v>
      </c>
    </row>
    <row r="341" spans="1:30" ht="14.1" customHeight="1" thickTop="1" thickBot="1">
      <c r="A341" s="2008">
        <v>44</v>
      </c>
      <c r="B341" s="1869" t="s">
        <v>2476</v>
      </c>
      <c r="C341" s="1997"/>
      <c r="D341" s="1997"/>
      <c r="E341" s="1997"/>
      <c r="F341" s="1997"/>
      <c r="G341" s="1997"/>
      <c r="H341" s="1997">
        <f t="shared" si="65"/>
        <v>0</v>
      </c>
      <c r="I341" s="1997">
        <f t="shared" si="55"/>
        <v>0</v>
      </c>
      <c r="J341" s="1997">
        <f t="shared" si="56"/>
        <v>0</v>
      </c>
      <c r="K341" s="1997">
        <f t="shared" si="57"/>
        <v>0</v>
      </c>
      <c r="L341" s="1997">
        <f t="shared" si="58"/>
        <v>0</v>
      </c>
      <c r="M341" s="1997">
        <f t="shared" si="59"/>
        <v>0</v>
      </c>
      <c r="N341" s="1997">
        <f t="shared" si="60"/>
        <v>0</v>
      </c>
      <c r="O341" s="1998">
        <f t="shared" si="61"/>
        <v>0</v>
      </c>
      <c r="P341" s="1997">
        <f t="shared" si="62"/>
        <v>0</v>
      </c>
      <c r="Q341" s="1997">
        <f t="shared" si="63"/>
        <v>0</v>
      </c>
      <c r="R341" s="1997">
        <f t="shared" si="64"/>
        <v>0</v>
      </c>
      <c r="T341" s="1997"/>
      <c r="U341" s="1997"/>
      <c r="V341" s="1997"/>
      <c r="W341" s="1997"/>
      <c r="X341" s="1997"/>
      <c r="Y341" s="1997"/>
      <c r="Z341" s="1997"/>
      <c r="AA341" s="1998"/>
      <c r="AB341" s="1997"/>
      <c r="AC341" s="1997"/>
      <c r="AD341" s="1997"/>
    </row>
    <row r="342" spans="1:30" ht="14.1" customHeight="1">
      <c r="A342" s="1674" t="s">
        <v>8947</v>
      </c>
      <c r="H342" s="1674">
        <f t="shared" si="65"/>
        <v>0</v>
      </c>
      <c r="I342" s="1674">
        <f t="shared" si="55"/>
        <v>0</v>
      </c>
      <c r="J342" s="1674">
        <f t="shared" si="56"/>
        <v>0</v>
      </c>
      <c r="K342" s="1674">
        <f t="shared" si="57"/>
        <v>0</v>
      </c>
      <c r="L342" s="1674">
        <f t="shared" si="58"/>
        <v>0</v>
      </c>
      <c r="M342" s="1674">
        <f t="shared" si="59"/>
        <v>0</v>
      </c>
      <c r="N342" s="1674">
        <f t="shared" si="60"/>
        <v>0</v>
      </c>
      <c r="O342" s="2001">
        <f t="shared" si="61"/>
        <v>0</v>
      </c>
      <c r="P342" s="1674" t="str">
        <f t="shared" si="62"/>
        <v>Recap Schedules:  B-03, B-06</v>
      </c>
      <c r="Q342" s="1674">
        <f t="shared" si="63"/>
        <v>0</v>
      </c>
      <c r="R342" s="1674">
        <f t="shared" si="64"/>
        <v>0</v>
      </c>
      <c r="AA342" s="2001"/>
      <c r="AB342" s="1674" t="s">
        <v>8948</v>
      </c>
    </row>
    <row r="343" spans="1:30" ht="14.1" customHeight="1" thickBot="1">
      <c r="A343" s="1997" t="s">
        <v>8943</v>
      </c>
      <c r="B343" s="1997"/>
      <c r="C343" s="1997"/>
      <c r="D343" s="1997"/>
      <c r="E343" s="1997"/>
      <c r="F343" s="1997"/>
      <c r="G343" s="1997" t="s">
        <v>2422</v>
      </c>
      <c r="H343" s="1997">
        <f t="shared" si="65"/>
        <v>0</v>
      </c>
      <c r="I343" s="1997">
        <f t="shared" si="55"/>
        <v>0</v>
      </c>
      <c r="J343" s="1997">
        <f t="shared" si="56"/>
        <v>0</v>
      </c>
      <c r="K343" s="1997">
        <f t="shared" si="57"/>
        <v>0</v>
      </c>
      <c r="L343" s="1997">
        <f t="shared" si="58"/>
        <v>0</v>
      </c>
      <c r="M343" s="1997">
        <f t="shared" si="59"/>
        <v>0</v>
      </c>
      <c r="N343" s="1997">
        <f t="shared" si="60"/>
        <v>0</v>
      </c>
      <c r="O343" s="1998">
        <f t="shared" si="61"/>
        <v>0</v>
      </c>
      <c r="P343" s="1997">
        <f t="shared" si="62"/>
        <v>0</v>
      </c>
      <c r="Q343" s="1997">
        <f t="shared" si="63"/>
        <v>0</v>
      </c>
      <c r="R343" s="1997" t="str">
        <f t="shared" si="64"/>
        <v>Page 7 of 10</v>
      </c>
      <c r="T343" s="1997"/>
      <c r="U343" s="1997"/>
      <c r="V343" s="1997"/>
      <c r="W343" s="1997"/>
      <c r="X343" s="1997"/>
      <c r="Y343" s="1997"/>
      <c r="Z343" s="1997"/>
      <c r="AA343" s="1998"/>
      <c r="AB343" s="1997"/>
      <c r="AC343" s="1997"/>
      <c r="AD343" s="1997" t="s">
        <v>2525</v>
      </c>
    </row>
    <row r="344" spans="1:30" ht="14.1" customHeight="1">
      <c r="A344" s="1674" t="s">
        <v>2425</v>
      </c>
      <c r="B344" s="2024"/>
      <c r="E344" s="2001" t="s">
        <v>2426</v>
      </c>
      <c r="F344" s="1674" t="s">
        <v>8155</v>
      </c>
      <c r="H344" s="1674">
        <f t="shared" si="65"/>
        <v>0</v>
      </c>
      <c r="I344" s="1674">
        <f t="shared" si="55"/>
        <v>0</v>
      </c>
      <c r="J344" s="2003">
        <f t="shared" si="56"/>
        <v>0</v>
      </c>
      <c r="K344" s="2003">
        <f t="shared" si="57"/>
        <v>0</v>
      </c>
      <c r="L344" s="1674">
        <f t="shared" si="58"/>
        <v>0</v>
      </c>
      <c r="M344" s="2003">
        <f t="shared" si="59"/>
        <v>0</v>
      </c>
      <c r="N344" s="2003">
        <f t="shared" si="60"/>
        <v>0</v>
      </c>
      <c r="O344" s="2004">
        <f t="shared" si="61"/>
        <v>0</v>
      </c>
      <c r="P344" s="1674" t="str">
        <f t="shared" si="62"/>
        <v>Type of data shown:</v>
      </c>
      <c r="Q344" s="1674">
        <f t="shared" si="63"/>
        <v>0</v>
      </c>
      <c r="R344" s="2005">
        <f t="shared" si="64"/>
        <v>0</v>
      </c>
      <c r="V344" s="2003"/>
      <c r="W344" s="2003"/>
      <c r="Y344" s="2003"/>
      <c r="Z344" s="2003"/>
      <c r="AA344" s="2004"/>
      <c r="AB344" s="1674" t="s">
        <v>2427</v>
      </c>
      <c r="AD344" s="2005"/>
    </row>
    <row r="345" spans="1:30" ht="14.1" customHeight="1">
      <c r="B345" s="2024"/>
      <c r="F345" s="1674" t="s">
        <v>8156</v>
      </c>
      <c r="H345" s="1674">
        <f t="shared" si="65"/>
        <v>0</v>
      </c>
      <c r="I345" s="1674">
        <f t="shared" si="55"/>
        <v>0</v>
      </c>
      <c r="J345" s="2001">
        <f t="shared" si="56"/>
        <v>0</v>
      </c>
      <c r="K345" s="2005">
        <f t="shared" si="57"/>
        <v>0</v>
      </c>
      <c r="L345" s="1674">
        <f t="shared" si="58"/>
        <v>0</v>
      </c>
      <c r="M345" s="1674">
        <f t="shared" si="59"/>
        <v>0</v>
      </c>
      <c r="N345" s="2001">
        <f t="shared" si="60"/>
        <v>0</v>
      </c>
      <c r="O345" s="2001" t="str">
        <f t="shared" si="61"/>
        <v>XX</v>
      </c>
      <c r="P345" s="2005" t="str">
        <f t="shared" si="62"/>
        <v>Projected Test Year Ended 12/31/2025</v>
      </c>
      <c r="Q345" s="1674">
        <f t="shared" si="63"/>
        <v>0</v>
      </c>
      <c r="R345" s="2001">
        <f t="shared" si="64"/>
        <v>0</v>
      </c>
      <c r="V345" s="2001"/>
      <c r="W345" s="2005"/>
      <c r="Z345" s="2001"/>
      <c r="AA345" s="2001" t="s">
        <v>8157</v>
      </c>
      <c r="AB345" s="2005" t="s">
        <v>8944</v>
      </c>
      <c r="AD345" s="2001"/>
    </row>
    <row r="346" spans="1:30" ht="14.1" customHeight="1">
      <c r="A346" s="1674" t="s">
        <v>2428</v>
      </c>
      <c r="B346" s="2024"/>
      <c r="F346" s="1674" t="s">
        <v>2360</v>
      </c>
      <c r="H346" s="1674">
        <f t="shared" si="65"/>
        <v>0</v>
      </c>
      <c r="I346" s="1674">
        <f t="shared" si="55"/>
        <v>0</v>
      </c>
      <c r="J346" s="2001">
        <f t="shared" si="56"/>
        <v>0</v>
      </c>
      <c r="K346" s="2005">
        <f t="shared" si="57"/>
        <v>0</v>
      </c>
      <c r="L346" s="2001">
        <f t="shared" si="58"/>
        <v>0</v>
      </c>
      <c r="M346" s="1674">
        <f t="shared" si="59"/>
        <v>0</v>
      </c>
      <c r="N346" s="1674">
        <f t="shared" si="60"/>
        <v>0</v>
      </c>
      <c r="O346" s="2001" t="str">
        <f t="shared" si="61"/>
        <v/>
      </c>
      <c r="P346" s="2005" t="str">
        <f t="shared" si="62"/>
        <v>Projected Prior Year Ended 12/31/2024</v>
      </c>
      <c r="Q346" s="1674">
        <f t="shared" si="63"/>
        <v>0</v>
      </c>
      <c r="R346" s="2001">
        <f t="shared" si="64"/>
        <v>0</v>
      </c>
      <c r="V346" s="2001"/>
      <c r="W346" s="2005"/>
      <c r="X346" s="2001"/>
      <c r="AA346" s="2001" t="s">
        <v>2360</v>
      </c>
      <c r="AB346" s="2005" t="s">
        <v>8945</v>
      </c>
      <c r="AD346" s="2001"/>
    </row>
    <row r="347" spans="1:30" ht="14.1" customHeight="1">
      <c r="B347" s="2024"/>
      <c r="F347" s="1674" t="s">
        <v>2360</v>
      </c>
      <c r="H347" s="1674">
        <f t="shared" si="65"/>
        <v>0</v>
      </c>
      <c r="I347" s="1674">
        <f t="shared" si="55"/>
        <v>0</v>
      </c>
      <c r="J347" s="2001">
        <f t="shared" si="56"/>
        <v>0</v>
      </c>
      <c r="K347" s="2005">
        <f t="shared" si="57"/>
        <v>0</v>
      </c>
      <c r="L347" s="2001">
        <f t="shared" si="58"/>
        <v>0</v>
      </c>
      <c r="M347" s="1674">
        <f t="shared" si="59"/>
        <v>0</v>
      </c>
      <c r="N347" s="1674">
        <f t="shared" si="60"/>
        <v>0</v>
      </c>
      <c r="O347" s="2001" t="str">
        <f t="shared" si="61"/>
        <v/>
      </c>
      <c r="P347" s="2005" t="str">
        <f t="shared" si="62"/>
        <v>Historical Prior Year Ended 12/31/2023</v>
      </c>
      <c r="Q347" s="1674">
        <f t="shared" si="63"/>
        <v>0</v>
      </c>
      <c r="R347" s="2001">
        <f t="shared" si="64"/>
        <v>0</v>
      </c>
      <c r="V347" s="2001"/>
      <c r="W347" s="2005"/>
      <c r="X347" s="2001"/>
      <c r="AA347" s="2001" t="s">
        <v>2360</v>
      </c>
      <c r="AB347" s="2005" t="s">
        <v>8946</v>
      </c>
      <c r="AD347" s="2001"/>
    </row>
    <row r="348" spans="1:30" ht="14.1" customHeight="1">
      <c r="B348" s="2024"/>
      <c r="H348" s="1674">
        <f t="shared" si="65"/>
        <v>0</v>
      </c>
      <c r="I348" s="1674">
        <f t="shared" si="55"/>
        <v>0</v>
      </c>
      <c r="J348" s="2001">
        <f t="shared" si="56"/>
        <v>0</v>
      </c>
      <c r="K348" s="2005">
        <f t="shared" si="57"/>
        <v>0</v>
      </c>
      <c r="L348" s="2001">
        <f t="shared" si="58"/>
        <v>0</v>
      </c>
      <c r="M348" s="1674">
        <f t="shared" si="59"/>
        <v>0</v>
      </c>
      <c r="N348" s="1674">
        <f t="shared" si="60"/>
        <v>0</v>
      </c>
      <c r="O348" s="2001">
        <f t="shared" si="61"/>
        <v>0</v>
      </c>
      <c r="P348" s="2005" t="str">
        <f t="shared" si="62"/>
        <v>Witness: D. Avellan</v>
      </c>
      <c r="Q348" s="1674">
        <f t="shared" si="63"/>
        <v>0</v>
      </c>
      <c r="R348" s="2001">
        <f t="shared" si="64"/>
        <v>0</v>
      </c>
      <c r="V348" s="2001"/>
      <c r="W348" s="2005"/>
      <c r="X348" s="2001"/>
      <c r="AA348" s="2001"/>
      <c r="AB348" s="2005" t="s">
        <v>8160</v>
      </c>
      <c r="AD348" s="2001"/>
    </row>
    <row r="349" spans="1:30" ht="14.1" customHeight="1" thickBot="1">
      <c r="A349" s="1997" t="s">
        <v>8158</v>
      </c>
      <c r="B349" s="2025"/>
      <c r="C349" s="1997"/>
      <c r="D349" s="1997"/>
      <c r="E349" s="1997"/>
      <c r="F349" s="1997" t="s">
        <v>2360</v>
      </c>
      <c r="G349" s="1997"/>
      <c r="H349" s="2008" t="str">
        <f t="shared" si="65"/>
        <v>(Dollars in cents)</v>
      </c>
      <c r="I349" s="1997">
        <f t="shared" si="55"/>
        <v>0</v>
      </c>
      <c r="J349" s="1997">
        <f t="shared" si="56"/>
        <v>0</v>
      </c>
      <c r="K349" s="1997">
        <f t="shared" si="57"/>
        <v>0</v>
      </c>
      <c r="L349" s="1997">
        <f t="shared" si="58"/>
        <v>0</v>
      </c>
      <c r="M349" s="1997">
        <f t="shared" si="59"/>
        <v>0</v>
      </c>
      <c r="N349" s="1997">
        <f t="shared" si="60"/>
        <v>0</v>
      </c>
      <c r="O349" s="1998">
        <f t="shared" si="61"/>
        <v>0</v>
      </c>
      <c r="P349" s="1997" t="str">
        <f t="shared" si="62"/>
        <v xml:space="preserve"> </v>
      </c>
      <c r="Q349" s="1997">
        <f t="shared" si="63"/>
        <v>0</v>
      </c>
      <c r="R349" s="1997">
        <f t="shared" si="64"/>
        <v>0</v>
      </c>
      <c r="T349" s="2008" t="s">
        <v>8159</v>
      </c>
      <c r="U349" s="1997"/>
      <c r="V349" s="1997"/>
      <c r="W349" s="1997"/>
      <c r="X349" s="1997"/>
      <c r="Y349" s="1997"/>
      <c r="Z349" s="1997"/>
      <c r="AA349" s="1998"/>
      <c r="AB349" s="1997" t="s">
        <v>2477</v>
      </c>
      <c r="AC349" s="1997"/>
      <c r="AD349" s="1997"/>
    </row>
    <row r="350" spans="1:30" ht="14.1" customHeight="1">
      <c r="C350" s="2009"/>
      <c r="D350" s="2009"/>
      <c r="E350" s="2009"/>
      <c r="F350" s="2009"/>
      <c r="G350" s="2009"/>
      <c r="H350" s="2009">
        <f t="shared" si="65"/>
        <v>0</v>
      </c>
      <c r="I350" s="2009">
        <f t="shared" si="55"/>
        <v>0</v>
      </c>
      <c r="J350" s="2009">
        <f t="shared" si="56"/>
        <v>0</v>
      </c>
      <c r="K350" s="2009">
        <f t="shared" si="57"/>
        <v>0</v>
      </c>
      <c r="L350" s="2009">
        <f t="shared" si="58"/>
        <v>0</v>
      </c>
      <c r="M350" s="2009">
        <f t="shared" si="59"/>
        <v>0</v>
      </c>
      <c r="N350" s="2009">
        <f t="shared" si="60"/>
        <v>0</v>
      </c>
      <c r="O350" s="2010">
        <f t="shared" si="61"/>
        <v>0</v>
      </c>
      <c r="P350" s="2009">
        <f t="shared" si="62"/>
        <v>0</v>
      </c>
      <c r="Q350" s="2009">
        <f t="shared" si="63"/>
        <v>0</v>
      </c>
      <c r="R350" s="2009">
        <f t="shared" si="64"/>
        <v>0</v>
      </c>
      <c r="T350" s="2009"/>
      <c r="U350" s="2009"/>
      <c r="V350" s="2009"/>
      <c r="W350" s="2009"/>
      <c r="X350" s="2009"/>
      <c r="Y350" s="2009"/>
      <c r="Z350" s="2009"/>
      <c r="AA350" s="2010"/>
      <c r="AB350" s="2009"/>
      <c r="AC350" s="2009"/>
      <c r="AD350" s="2009"/>
    </row>
    <row r="351" spans="1:30" ht="14.1" customHeight="1">
      <c r="C351" s="2009" t="s">
        <v>2306</v>
      </c>
      <c r="D351" s="2009" t="s">
        <v>2307</v>
      </c>
      <c r="E351" s="2009"/>
      <c r="F351" s="2009" t="s">
        <v>2308</v>
      </c>
      <c r="G351" s="2009"/>
      <c r="H351" s="2009" t="str">
        <f t="shared" si="65"/>
        <v>(4)</v>
      </c>
      <c r="I351" s="2009">
        <f t="shared" si="55"/>
        <v>0</v>
      </c>
      <c r="J351" s="1675" t="str">
        <f t="shared" si="56"/>
        <v>(5)</v>
      </c>
      <c r="K351" s="1675">
        <f t="shared" si="57"/>
        <v>0</v>
      </c>
      <c r="L351" s="2009" t="str">
        <f t="shared" si="58"/>
        <v>(6)</v>
      </c>
      <c r="M351" s="2009">
        <f t="shared" si="59"/>
        <v>0</v>
      </c>
      <c r="N351" s="2009" t="str">
        <f t="shared" si="60"/>
        <v>(7)</v>
      </c>
      <c r="O351" s="2010">
        <f t="shared" si="61"/>
        <v>0</v>
      </c>
      <c r="P351" s="2009" t="str">
        <f t="shared" si="62"/>
        <v>(8)</v>
      </c>
      <c r="Q351" s="2009">
        <f t="shared" si="63"/>
        <v>0</v>
      </c>
      <c r="R351" s="2009" t="str">
        <f t="shared" si="64"/>
        <v>(9)</v>
      </c>
      <c r="T351" s="2009" t="s">
        <v>2309</v>
      </c>
      <c r="U351" s="2009"/>
      <c r="V351" s="1675" t="s">
        <v>2310</v>
      </c>
      <c r="W351" s="1675"/>
      <c r="X351" s="2009" t="s">
        <v>2311</v>
      </c>
      <c r="Y351" s="2009"/>
      <c r="Z351" s="2009" t="s">
        <v>2312</v>
      </c>
      <c r="AA351" s="2010"/>
      <c r="AB351" s="2009" t="s">
        <v>2313</v>
      </c>
      <c r="AC351" s="2009"/>
      <c r="AD351" s="2009" t="s">
        <v>2314</v>
      </c>
    </row>
    <row r="352" spans="1:30" ht="14.1" customHeight="1">
      <c r="C352" s="1675" t="s">
        <v>2429</v>
      </c>
      <c r="D352" s="1675" t="s">
        <v>2429</v>
      </c>
      <c r="F352" s="1675" t="s">
        <v>1537</v>
      </c>
      <c r="G352" s="1675"/>
      <c r="H352" s="2009" t="str">
        <f t="shared" si="65"/>
        <v>Plant</v>
      </c>
      <c r="I352" s="1675">
        <f t="shared" si="55"/>
        <v>0</v>
      </c>
      <c r="J352" s="2009" t="str">
        <f t="shared" si="56"/>
        <v>Total</v>
      </c>
      <c r="K352" s="1675">
        <f t="shared" si="57"/>
        <v>0</v>
      </c>
      <c r="L352" s="1675" t="str">
        <f t="shared" si="58"/>
        <v>Total</v>
      </c>
      <c r="M352" s="1675">
        <f t="shared" si="59"/>
        <v>0</v>
      </c>
      <c r="N352" s="1674">
        <f t="shared" si="60"/>
        <v>0</v>
      </c>
      <c r="O352" s="2001">
        <f t="shared" si="61"/>
        <v>0</v>
      </c>
      <c r="P352" s="1675" t="str">
        <f t="shared" si="62"/>
        <v>Plant</v>
      </c>
      <c r="Q352" s="1674">
        <f t="shared" si="63"/>
        <v>0</v>
      </c>
      <c r="R352" s="1675">
        <f t="shared" si="64"/>
        <v>0</v>
      </c>
      <c r="T352" s="2009" t="s">
        <v>1823</v>
      </c>
      <c r="U352" s="1675"/>
      <c r="V352" s="2009" t="s">
        <v>122</v>
      </c>
      <c r="W352" s="1675"/>
      <c r="X352" s="1675" t="s">
        <v>122</v>
      </c>
      <c r="Y352" s="1675"/>
      <c r="AA352" s="2001"/>
      <c r="AB352" s="1675" t="s">
        <v>1823</v>
      </c>
      <c r="AD352" s="1675"/>
    </row>
    <row r="353" spans="1:30" ht="14.1" customHeight="1">
      <c r="A353" s="1675" t="s">
        <v>2430</v>
      </c>
      <c r="B353" s="1675"/>
      <c r="C353" s="1675" t="s">
        <v>2431</v>
      </c>
      <c r="D353" s="1675" t="s">
        <v>2431</v>
      </c>
      <c r="E353" s="2009"/>
      <c r="F353" s="1675" t="s">
        <v>2432</v>
      </c>
      <c r="G353" s="1675"/>
      <c r="H353" s="1675" t="str">
        <f t="shared" si="65"/>
        <v>Balance</v>
      </c>
      <c r="I353" s="1675">
        <f t="shared" si="55"/>
        <v>0</v>
      </c>
      <c r="J353" s="1675" t="str">
        <f t="shared" si="56"/>
        <v>Plant</v>
      </c>
      <c r="K353" s="2009">
        <f t="shared" si="57"/>
        <v>0</v>
      </c>
      <c r="L353" s="1675" t="str">
        <f t="shared" si="58"/>
        <v>Plant</v>
      </c>
      <c r="M353" s="2005">
        <f t="shared" si="59"/>
        <v>0</v>
      </c>
      <c r="N353" s="1675" t="str">
        <f t="shared" si="60"/>
        <v>Adjustments</v>
      </c>
      <c r="O353" s="2010">
        <f t="shared" si="61"/>
        <v>0</v>
      </c>
      <c r="P353" s="2009" t="str">
        <f t="shared" si="62"/>
        <v>Balance</v>
      </c>
      <c r="Q353" s="2009">
        <f t="shared" si="63"/>
        <v>0</v>
      </c>
      <c r="R353" s="1675" t="str">
        <f t="shared" si="64"/>
        <v>13-Month</v>
      </c>
      <c r="T353" s="1675" t="s">
        <v>2433</v>
      </c>
      <c r="U353" s="1675"/>
      <c r="V353" s="1675" t="s">
        <v>1823</v>
      </c>
      <c r="W353" s="2009"/>
      <c r="X353" s="1675" t="s">
        <v>1823</v>
      </c>
      <c r="Y353" s="2005"/>
      <c r="Z353" s="1675" t="s">
        <v>593</v>
      </c>
      <c r="AA353" s="2010"/>
      <c r="AB353" s="2009" t="s">
        <v>2433</v>
      </c>
      <c r="AC353" s="2009"/>
      <c r="AD353" s="1675" t="s">
        <v>2434</v>
      </c>
    </row>
    <row r="354" spans="1:30" ht="14.1" customHeight="1" thickBot="1">
      <c r="A354" s="2008" t="s">
        <v>2435</v>
      </c>
      <c r="B354" s="2008"/>
      <c r="C354" s="2008" t="s">
        <v>2436</v>
      </c>
      <c r="D354" s="2008" t="s">
        <v>2437</v>
      </c>
      <c r="E354" s="2008"/>
      <c r="F354" s="2011" t="s">
        <v>2438</v>
      </c>
      <c r="G354" s="2011"/>
      <c r="H354" s="2011" t="str">
        <f t="shared" si="65"/>
        <v>Beg. of Year</v>
      </c>
      <c r="I354" s="2012">
        <f t="shared" si="55"/>
        <v>0</v>
      </c>
      <c r="J354" s="2011" t="str">
        <f t="shared" si="56"/>
        <v>Added</v>
      </c>
      <c r="K354" s="2012">
        <f t="shared" si="57"/>
        <v>0</v>
      </c>
      <c r="L354" s="2012" t="str">
        <f t="shared" si="58"/>
        <v>Retired</v>
      </c>
      <c r="M354" s="2013">
        <f t="shared" si="59"/>
        <v>0</v>
      </c>
      <c r="N354" s="2013" t="str">
        <f t="shared" si="60"/>
        <v>or Transfers</v>
      </c>
      <c r="O354" s="2014">
        <f t="shared" si="61"/>
        <v>0</v>
      </c>
      <c r="P354" s="2013" t="str">
        <f t="shared" si="62"/>
        <v>End of Year</v>
      </c>
      <c r="Q354" s="2013">
        <f t="shared" si="63"/>
        <v>0</v>
      </c>
      <c r="R354" s="2013" t="str">
        <f t="shared" si="64"/>
        <v>Average</v>
      </c>
      <c r="T354" s="2011" t="s">
        <v>2439</v>
      </c>
      <c r="U354" s="2012"/>
      <c r="V354" s="2011" t="s">
        <v>2440</v>
      </c>
      <c r="W354" s="2012"/>
      <c r="X354" s="2012" t="s">
        <v>2441</v>
      </c>
      <c r="Y354" s="2013"/>
      <c r="Z354" s="2013" t="s">
        <v>2442</v>
      </c>
      <c r="AA354" s="2014"/>
      <c r="AB354" s="2013" t="s">
        <v>2443</v>
      </c>
      <c r="AC354" s="2013"/>
      <c r="AD354" s="2013" t="s">
        <v>2444</v>
      </c>
    </row>
    <row r="355" spans="1:30" ht="14.1" customHeight="1">
      <c r="A355" s="1675">
        <v>1</v>
      </c>
      <c r="B355" s="2015"/>
      <c r="H355" s="1674">
        <f t="shared" si="65"/>
        <v>0</v>
      </c>
      <c r="I355" s="1674">
        <f t="shared" si="55"/>
        <v>0</v>
      </c>
      <c r="J355" s="1674">
        <f t="shared" si="56"/>
        <v>0</v>
      </c>
      <c r="K355" s="1674">
        <f t="shared" si="57"/>
        <v>0</v>
      </c>
      <c r="L355" s="1674">
        <f t="shared" si="58"/>
        <v>0</v>
      </c>
      <c r="M355" s="1674">
        <f t="shared" si="59"/>
        <v>0</v>
      </c>
      <c r="N355" s="1674">
        <f t="shared" si="60"/>
        <v>0</v>
      </c>
      <c r="O355" s="2001">
        <f t="shared" si="61"/>
        <v>0</v>
      </c>
      <c r="P355" s="1674">
        <f t="shared" si="62"/>
        <v>0</v>
      </c>
      <c r="Q355" s="1674">
        <f t="shared" si="63"/>
        <v>0</v>
      </c>
      <c r="R355" s="1674">
        <f t="shared" si="64"/>
        <v>0</v>
      </c>
      <c r="AA355" s="2001"/>
    </row>
    <row r="356" spans="1:30" ht="14.1" customHeight="1">
      <c r="A356" s="1675">
        <v>2</v>
      </c>
      <c r="B356" s="2015"/>
      <c r="D356" s="1674" t="s">
        <v>8174</v>
      </c>
      <c r="H356" s="1674">
        <f t="shared" si="65"/>
        <v>0</v>
      </c>
      <c r="I356" s="1790">
        <f t="shared" si="55"/>
        <v>0</v>
      </c>
      <c r="J356" s="1674">
        <f t="shared" si="56"/>
        <v>0</v>
      </c>
      <c r="K356" s="1790">
        <f t="shared" si="57"/>
        <v>0</v>
      </c>
      <c r="L356" s="1674">
        <f t="shared" si="58"/>
        <v>0</v>
      </c>
      <c r="M356" s="1790">
        <f t="shared" si="59"/>
        <v>0</v>
      </c>
      <c r="N356" s="1674">
        <f t="shared" si="60"/>
        <v>0</v>
      </c>
      <c r="O356" s="1790">
        <f t="shared" si="61"/>
        <v>0</v>
      </c>
      <c r="P356" s="1674">
        <f t="shared" si="62"/>
        <v>0</v>
      </c>
      <c r="Q356" s="1790">
        <f t="shared" si="63"/>
        <v>0</v>
      </c>
      <c r="R356" s="1674">
        <f t="shared" si="64"/>
        <v>0</v>
      </c>
      <c r="U356" s="1790"/>
      <c r="W356" s="1790"/>
      <c r="Y356" s="1790"/>
      <c r="AA356" s="1790"/>
      <c r="AC356" s="1790"/>
    </row>
    <row r="357" spans="1:30" ht="14.1" customHeight="1">
      <c r="A357" s="1675">
        <v>3</v>
      </c>
      <c r="B357" s="2015"/>
      <c r="C357" s="2009">
        <v>34199</v>
      </c>
      <c r="D357" s="1674" t="s">
        <v>2449</v>
      </c>
      <c r="F357" s="2019">
        <v>3.37</v>
      </c>
      <c r="G357" s="2001"/>
      <c r="H357" s="1876">
        <f t="shared" si="65"/>
        <v>470718.92008000007</v>
      </c>
      <c r="I357" s="1785">
        <f t="shared" si="55"/>
        <v>0</v>
      </c>
      <c r="J357" s="1876">
        <f t="shared" si="56"/>
        <v>0</v>
      </c>
      <c r="K357" s="1786">
        <f t="shared" si="57"/>
        <v>0</v>
      </c>
      <c r="L357" s="1876">
        <f t="shared" si="58"/>
        <v>0</v>
      </c>
      <c r="M357" s="1786">
        <f t="shared" si="59"/>
        <v>0</v>
      </c>
      <c r="N357" s="1876">
        <f t="shared" si="60"/>
        <v>0</v>
      </c>
      <c r="O357" s="1785">
        <f t="shared" si="61"/>
        <v>0</v>
      </c>
      <c r="P357" s="1787">
        <f t="shared" si="62"/>
        <v>470718.92008000007</v>
      </c>
      <c r="Q357" s="1786">
        <f t="shared" si="63"/>
        <v>0</v>
      </c>
      <c r="R357" s="1876">
        <f t="shared" si="64"/>
        <v>470718.92008000001</v>
      </c>
      <c r="T357" s="1876">
        <v>470718920.08000004</v>
      </c>
      <c r="U357" s="1785"/>
      <c r="V357" s="1876">
        <v>0</v>
      </c>
      <c r="W357" s="1786"/>
      <c r="X357" s="1876">
        <v>0</v>
      </c>
      <c r="Y357" s="1786"/>
      <c r="Z357" s="1876">
        <v>0</v>
      </c>
      <c r="AA357" s="1785"/>
      <c r="AB357" s="1787">
        <v>470718920.08000004</v>
      </c>
      <c r="AC357" s="1786"/>
      <c r="AD357" s="1876">
        <v>470718920.07999998</v>
      </c>
    </row>
    <row r="358" spans="1:30" ht="14.1" customHeight="1">
      <c r="A358" s="1675">
        <v>4</v>
      </c>
      <c r="B358" s="2015"/>
      <c r="C358" s="1675">
        <v>34399</v>
      </c>
      <c r="D358" s="1674" t="s">
        <v>2496</v>
      </c>
      <c r="F358" s="2019">
        <v>3.39</v>
      </c>
      <c r="G358" s="2001"/>
      <c r="H358" s="1876">
        <f t="shared" si="65"/>
        <v>960796.15264999995</v>
      </c>
      <c r="I358" s="1785">
        <f t="shared" si="55"/>
        <v>0</v>
      </c>
      <c r="J358" s="1876">
        <f t="shared" si="56"/>
        <v>222493.91577000002</v>
      </c>
      <c r="K358" s="1786">
        <f t="shared" si="57"/>
        <v>0</v>
      </c>
      <c r="L358" s="1876">
        <f t="shared" si="58"/>
        <v>0</v>
      </c>
      <c r="M358" s="1786">
        <f t="shared" si="59"/>
        <v>0</v>
      </c>
      <c r="N358" s="1876">
        <f t="shared" si="60"/>
        <v>0</v>
      </c>
      <c r="O358" s="1785">
        <f t="shared" si="61"/>
        <v>0</v>
      </c>
      <c r="P358" s="1787">
        <f t="shared" si="62"/>
        <v>1183290.0684200001</v>
      </c>
      <c r="Q358" s="1786">
        <f t="shared" si="63"/>
        <v>0</v>
      </c>
      <c r="R358" s="1876">
        <f t="shared" si="64"/>
        <v>988809.30215999996</v>
      </c>
      <c r="T358" s="1876">
        <v>960796152.64999998</v>
      </c>
      <c r="U358" s="1785"/>
      <c r="V358" s="1876">
        <v>222493915.77000001</v>
      </c>
      <c r="W358" s="1786"/>
      <c r="X358" s="1876">
        <v>0</v>
      </c>
      <c r="Y358" s="1786"/>
      <c r="Z358" s="1876">
        <v>0</v>
      </c>
      <c r="AA358" s="1785"/>
      <c r="AB358" s="1787">
        <v>1183290068.4200001</v>
      </c>
      <c r="AC358" s="1786"/>
      <c r="AD358" s="1876">
        <v>988809302.15999997</v>
      </c>
    </row>
    <row r="359" spans="1:30" ht="14.1" customHeight="1">
      <c r="A359" s="1675">
        <v>5</v>
      </c>
      <c r="B359" s="2015"/>
      <c r="C359" s="1675">
        <v>34599</v>
      </c>
      <c r="D359" s="1674" t="s">
        <v>2454</v>
      </c>
      <c r="F359" s="2019">
        <v>3.38</v>
      </c>
      <c r="G359" s="2001"/>
      <c r="H359" s="1876">
        <f t="shared" si="65"/>
        <v>324613.47578000015</v>
      </c>
      <c r="I359" s="1785">
        <f t="shared" si="55"/>
        <v>0</v>
      </c>
      <c r="J359" s="1876">
        <f t="shared" si="56"/>
        <v>0</v>
      </c>
      <c r="K359" s="1786">
        <f t="shared" si="57"/>
        <v>0</v>
      </c>
      <c r="L359" s="1876">
        <f t="shared" si="58"/>
        <v>0</v>
      </c>
      <c r="M359" s="1786">
        <f t="shared" si="59"/>
        <v>0</v>
      </c>
      <c r="N359" s="1876">
        <f t="shared" si="60"/>
        <v>0</v>
      </c>
      <c r="O359" s="1785">
        <f t="shared" si="61"/>
        <v>0</v>
      </c>
      <c r="P359" s="1787">
        <f t="shared" si="62"/>
        <v>324613.47578000015</v>
      </c>
      <c r="Q359" s="1786">
        <f t="shared" si="63"/>
        <v>0</v>
      </c>
      <c r="R359" s="1876">
        <f t="shared" si="64"/>
        <v>324613.47577999998</v>
      </c>
      <c r="T359" s="1876">
        <v>324613475.78000015</v>
      </c>
      <c r="U359" s="1785"/>
      <c r="V359" s="1876">
        <v>0</v>
      </c>
      <c r="W359" s="1786"/>
      <c r="X359" s="1876">
        <v>0</v>
      </c>
      <c r="Y359" s="1786"/>
      <c r="Z359" s="1876">
        <v>0</v>
      </c>
      <c r="AA359" s="1785"/>
      <c r="AB359" s="1787">
        <v>324613475.78000015</v>
      </c>
      <c r="AC359" s="1786"/>
      <c r="AD359" s="1876">
        <v>324613475.77999997</v>
      </c>
    </row>
    <row r="360" spans="1:30" ht="14.1" customHeight="1">
      <c r="A360" s="1675">
        <v>6</v>
      </c>
      <c r="B360" s="2015"/>
      <c r="C360" s="2009">
        <v>34899</v>
      </c>
      <c r="D360" s="1674" t="s">
        <v>8175</v>
      </c>
      <c r="F360" s="2019">
        <v>10.28</v>
      </c>
      <c r="G360" s="2001"/>
      <c r="H360" s="1876">
        <f t="shared" si="65"/>
        <v>28009.837169999999</v>
      </c>
      <c r="I360" s="1785">
        <f t="shared" si="55"/>
        <v>0</v>
      </c>
      <c r="J360" s="1876">
        <f t="shared" si="56"/>
        <v>115229.27585999999</v>
      </c>
      <c r="K360" s="1786">
        <f t="shared" si="57"/>
        <v>0</v>
      </c>
      <c r="L360" s="1876">
        <f t="shared" si="58"/>
        <v>0</v>
      </c>
      <c r="M360" s="1786">
        <f t="shared" si="59"/>
        <v>0</v>
      </c>
      <c r="N360" s="1876">
        <f t="shared" si="60"/>
        <v>0</v>
      </c>
      <c r="O360" s="1785">
        <f t="shared" si="61"/>
        <v>0</v>
      </c>
      <c r="P360" s="1787">
        <f t="shared" si="62"/>
        <v>143239.11303000001</v>
      </c>
      <c r="Q360" s="1786">
        <f t="shared" si="63"/>
        <v>0</v>
      </c>
      <c r="R360" s="1876">
        <f t="shared" si="64"/>
        <v>108541.76938</v>
      </c>
      <c r="T360" s="1876">
        <v>28009837.169999998</v>
      </c>
      <c r="U360" s="1785"/>
      <c r="V360" s="1876">
        <v>115229275.86</v>
      </c>
      <c r="W360" s="1786"/>
      <c r="X360" s="1876">
        <v>0</v>
      </c>
      <c r="Y360" s="1786"/>
      <c r="Z360" s="1876">
        <v>0</v>
      </c>
      <c r="AA360" s="1785"/>
      <c r="AB360" s="1787">
        <v>143239113.03</v>
      </c>
      <c r="AC360" s="1786"/>
      <c r="AD360" s="1876">
        <v>108541769.38</v>
      </c>
    </row>
    <row r="361" spans="1:30" ht="14.1" customHeight="1" thickBot="1">
      <c r="A361" s="1675">
        <v>7</v>
      </c>
      <c r="B361" s="2015"/>
      <c r="C361" s="1675"/>
      <c r="D361" s="1674" t="s">
        <v>8176</v>
      </c>
      <c r="F361" s="2019"/>
      <c r="H361" s="1799">
        <f t="shared" si="65"/>
        <v>1784138.3856800003</v>
      </c>
      <c r="I361" s="1787">
        <f t="shared" si="55"/>
        <v>0</v>
      </c>
      <c r="J361" s="1799">
        <f t="shared" si="56"/>
        <v>337723.19163000002</v>
      </c>
      <c r="K361" s="1783">
        <f t="shared" si="57"/>
        <v>0</v>
      </c>
      <c r="L361" s="1799">
        <f t="shared" si="58"/>
        <v>0</v>
      </c>
      <c r="M361" s="1783">
        <f t="shared" si="59"/>
        <v>0</v>
      </c>
      <c r="N361" s="1799">
        <f t="shared" si="60"/>
        <v>0</v>
      </c>
      <c r="O361" s="1783">
        <f t="shared" si="61"/>
        <v>0</v>
      </c>
      <c r="P361" s="1799">
        <f t="shared" si="62"/>
        <v>2121861.5773100001</v>
      </c>
      <c r="Q361" s="1783">
        <f t="shared" si="63"/>
        <v>0</v>
      </c>
      <c r="R361" s="1799">
        <f t="shared" si="64"/>
        <v>1892683.4674000002</v>
      </c>
      <c r="T361" s="1799">
        <v>1784138385.6800003</v>
      </c>
      <c r="U361" s="1787"/>
      <c r="V361" s="1799">
        <v>337723191.63</v>
      </c>
      <c r="W361" s="1783"/>
      <c r="X361" s="1799">
        <v>0</v>
      </c>
      <c r="Y361" s="1783"/>
      <c r="Z361" s="1799">
        <v>0</v>
      </c>
      <c r="AA361" s="1783"/>
      <c r="AB361" s="1799">
        <v>2121861577.3100002</v>
      </c>
      <c r="AC361" s="1783"/>
      <c r="AD361" s="1799">
        <v>1892683467.4000001</v>
      </c>
    </row>
    <row r="362" spans="1:30" ht="14.1" customHeight="1" thickTop="1">
      <c r="A362" s="1675">
        <v>8</v>
      </c>
      <c r="B362" s="2015"/>
      <c r="F362" s="2020"/>
      <c r="H362" s="1674">
        <f t="shared" si="65"/>
        <v>0</v>
      </c>
      <c r="I362" s="1674">
        <f t="shared" si="55"/>
        <v>0</v>
      </c>
      <c r="J362" s="1674">
        <f t="shared" si="56"/>
        <v>0</v>
      </c>
      <c r="K362" s="1674">
        <f t="shared" si="57"/>
        <v>0</v>
      </c>
      <c r="L362" s="1674">
        <f t="shared" si="58"/>
        <v>0</v>
      </c>
      <c r="M362" s="1674">
        <f t="shared" si="59"/>
        <v>0</v>
      </c>
      <c r="N362" s="1674">
        <f t="shared" si="60"/>
        <v>0</v>
      </c>
      <c r="O362" s="2001">
        <f t="shared" si="61"/>
        <v>0</v>
      </c>
      <c r="P362" s="1674">
        <f t="shared" si="62"/>
        <v>0</v>
      </c>
      <c r="Q362" s="1674">
        <f t="shared" si="63"/>
        <v>0</v>
      </c>
      <c r="R362" s="1674">
        <f t="shared" si="64"/>
        <v>0</v>
      </c>
      <c r="AA362" s="2001"/>
    </row>
    <row r="363" spans="1:30" ht="14.1" customHeight="1">
      <c r="A363" s="1675">
        <v>9</v>
      </c>
      <c r="B363" s="2015"/>
      <c r="D363" s="1674" t="s">
        <v>8177</v>
      </c>
      <c r="F363" s="2020"/>
      <c r="H363" s="1674">
        <f t="shared" si="65"/>
        <v>0</v>
      </c>
      <c r="I363" s="1790">
        <f t="shared" si="55"/>
        <v>0</v>
      </c>
      <c r="J363" s="1674">
        <f t="shared" si="56"/>
        <v>0</v>
      </c>
      <c r="K363" s="1790">
        <f t="shared" si="57"/>
        <v>0</v>
      </c>
      <c r="L363" s="1674">
        <f t="shared" si="58"/>
        <v>0</v>
      </c>
      <c r="M363" s="1790">
        <f t="shared" si="59"/>
        <v>0</v>
      </c>
      <c r="N363" s="1674">
        <f t="shared" si="60"/>
        <v>0</v>
      </c>
      <c r="O363" s="1790">
        <f t="shared" si="61"/>
        <v>0</v>
      </c>
      <c r="P363" s="1674">
        <f t="shared" si="62"/>
        <v>0</v>
      </c>
      <c r="Q363" s="1790">
        <f t="shared" si="63"/>
        <v>0</v>
      </c>
      <c r="R363" s="1674">
        <f t="shared" si="64"/>
        <v>0</v>
      </c>
      <c r="U363" s="1790"/>
      <c r="W363" s="1790"/>
      <c r="Y363" s="1790"/>
      <c r="AA363" s="1790"/>
      <c r="AC363" s="1790"/>
    </row>
    <row r="364" spans="1:30" ht="14.1" customHeight="1">
      <c r="A364" s="1675">
        <v>10</v>
      </c>
      <c r="B364" s="2015"/>
      <c r="C364" s="2009">
        <v>34198</v>
      </c>
      <c r="D364" s="1674" t="s">
        <v>2449</v>
      </c>
      <c r="F364" s="2019"/>
      <c r="G364" s="2001"/>
      <c r="H364" s="1876">
        <f t="shared" si="65"/>
        <v>0</v>
      </c>
      <c r="I364" s="1785">
        <f t="shared" si="55"/>
        <v>0</v>
      </c>
      <c r="J364" s="1876">
        <f t="shared" si="56"/>
        <v>0</v>
      </c>
      <c r="K364" s="1786">
        <f t="shared" si="57"/>
        <v>0</v>
      </c>
      <c r="L364" s="1876">
        <f t="shared" si="58"/>
        <v>0</v>
      </c>
      <c r="M364" s="1786">
        <f t="shared" si="59"/>
        <v>0</v>
      </c>
      <c r="N364" s="1876">
        <f t="shared" si="60"/>
        <v>0</v>
      </c>
      <c r="O364" s="1785">
        <f t="shared" si="61"/>
        <v>0</v>
      </c>
      <c r="P364" s="1787">
        <f t="shared" si="62"/>
        <v>0</v>
      </c>
      <c r="Q364" s="1786">
        <f t="shared" si="63"/>
        <v>0</v>
      </c>
      <c r="R364" s="1876">
        <f t="shared" si="64"/>
        <v>0</v>
      </c>
      <c r="T364" s="1876">
        <v>0</v>
      </c>
      <c r="U364" s="1785"/>
      <c r="V364" s="1876">
        <v>0</v>
      </c>
      <c r="W364" s="1786"/>
      <c r="X364" s="1876">
        <v>0</v>
      </c>
      <c r="Y364" s="1786"/>
      <c r="Z364" s="1876">
        <v>0</v>
      </c>
      <c r="AA364" s="1785"/>
      <c r="AB364" s="1787">
        <v>0</v>
      </c>
      <c r="AC364" s="1786"/>
      <c r="AD364" s="1876">
        <v>0</v>
      </c>
    </row>
    <row r="365" spans="1:30" ht="14.1" customHeight="1">
      <c r="A365" s="1675">
        <v>11</v>
      </c>
      <c r="B365" s="2015"/>
      <c r="C365" s="1675">
        <v>34398</v>
      </c>
      <c r="D365" s="1674" t="s">
        <v>2496</v>
      </c>
      <c r="F365" s="2019">
        <v>3.4099999999999997</v>
      </c>
      <c r="G365" s="2001"/>
      <c r="H365" s="1876">
        <f t="shared" si="65"/>
        <v>940.67219000000023</v>
      </c>
      <c r="I365" s="1785">
        <f t="shared" si="55"/>
        <v>0</v>
      </c>
      <c r="J365" s="1876">
        <f t="shared" si="56"/>
        <v>0</v>
      </c>
      <c r="K365" s="1786">
        <f t="shared" si="57"/>
        <v>0</v>
      </c>
      <c r="L365" s="1876">
        <f t="shared" si="58"/>
        <v>0</v>
      </c>
      <c r="M365" s="1786">
        <f t="shared" si="59"/>
        <v>0</v>
      </c>
      <c r="N365" s="1876">
        <f t="shared" si="60"/>
        <v>0</v>
      </c>
      <c r="O365" s="1785">
        <f t="shared" si="61"/>
        <v>0</v>
      </c>
      <c r="P365" s="1787">
        <f t="shared" si="62"/>
        <v>940.67219000000023</v>
      </c>
      <c r="Q365" s="1786">
        <f t="shared" si="63"/>
        <v>0</v>
      </c>
      <c r="R365" s="1876">
        <f t="shared" si="64"/>
        <v>940.67219</v>
      </c>
      <c r="T365" s="1876">
        <v>940672.19000000018</v>
      </c>
      <c r="U365" s="1785"/>
      <c r="V365" s="1876">
        <v>0</v>
      </c>
      <c r="W365" s="1786"/>
      <c r="X365" s="1876">
        <v>0</v>
      </c>
      <c r="Y365" s="1786"/>
      <c r="Z365" s="1876">
        <v>0</v>
      </c>
      <c r="AA365" s="1785"/>
      <c r="AB365" s="1787">
        <v>940672.19000000018</v>
      </c>
      <c r="AC365" s="1786"/>
      <c r="AD365" s="1876">
        <v>940672.19</v>
      </c>
    </row>
    <row r="366" spans="1:30" ht="14.1" customHeight="1">
      <c r="A366" s="1675">
        <v>12</v>
      </c>
      <c r="B366" s="2015"/>
      <c r="C366" s="1675">
        <v>34598</v>
      </c>
      <c r="D366" s="1674" t="s">
        <v>2454</v>
      </c>
      <c r="F366" s="2019">
        <v>3.3300000000000005</v>
      </c>
      <c r="G366" s="2001"/>
      <c r="H366" s="1876">
        <f t="shared" si="65"/>
        <v>0</v>
      </c>
      <c r="I366" s="1785">
        <f t="shared" si="55"/>
        <v>0</v>
      </c>
      <c r="J366" s="1876">
        <f t="shared" si="56"/>
        <v>0</v>
      </c>
      <c r="K366" s="1786">
        <f t="shared" si="57"/>
        <v>0</v>
      </c>
      <c r="L366" s="1876">
        <f t="shared" si="58"/>
        <v>0</v>
      </c>
      <c r="M366" s="1786">
        <f t="shared" si="59"/>
        <v>0</v>
      </c>
      <c r="N366" s="1876">
        <f t="shared" si="60"/>
        <v>0</v>
      </c>
      <c r="O366" s="1785">
        <f t="shared" si="61"/>
        <v>0</v>
      </c>
      <c r="P366" s="1787">
        <f t="shared" si="62"/>
        <v>0</v>
      </c>
      <c r="Q366" s="1786">
        <f t="shared" si="63"/>
        <v>0</v>
      </c>
      <c r="R366" s="1876">
        <f t="shared" si="64"/>
        <v>0</v>
      </c>
      <c r="T366" s="1876">
        <v>0</v>
      </c>
      <c r="U366" s="1785"/>
      <c r="V366" s="1876">
        <v>0</v>
      </c>
      <c r="W366" s="1786"/>
      <c r="X366" s="1876">
        <v>0</v>
      </c>
      <c r="Y366" s="1786"/>
      <c r="Z366" s="1876">
        <v>0</v>
      </c>
      <c r="AA366" s="1785"/>
      <c r="AB366" s="1787">
        <v>0</v>
      </c>
      <c r="AC366" s="1786"/>
      <c r="AD366" s="1876">
        <v>0</v>
      </c>
    </row>
    <row r="367" spans="1:30" ht="14.1" customHeight="1">
      <c r="A367" s="1675">
        <v>13</v>
      </c>
      <c r="B367" s="2015"/>
      <c r="C367" s="2009">
        <v>34898</v>
      </c>
      <c r="D367" s="1674" t="s">
        <v>8175</v>
      </c>
      <c r="F367" s="2019">
        <v>10.73</v>
      </c>
      <c r="G367" s="2001"/>
      <c r="H367" s="1876">
        <f t="shared" si="65"/>
        <v>9.2370299999999972</v>
      </c>
      <c r="I367" s="1785">
        <f t="shared" si="55"/>
        <v>0</v>
      </c>
      <c r="J367" s="1876">
        <f t="shared" si="56"/>
        <v>0</v>
      </c>
      <c r="K367" s="1786">
        <f t="shared" si="57"/>
        <v>0</v>
      </c>
      <c r="L367" s="1876">
        <f t="shared" si="58"/>
        <v>0</v>
      </c>
      <c r="M367" s="1786">
        <f t="shared" si="59"/>
        <v>0</v>
      </c>
      <c r="N367" s="1876">
        <f t="shared" si="60"/>
        <v>0</v>
      </c>
      <c r="O367" s="1785">
        <f t="shared" si="61"/>
        <v>0</v>
      </c>
      <c r="P367" s="1787">
        <f t="shared" si="62"/>
        <v>9.2370299999999972</v>
      </c>
      <c r="Q367" s="1786">
        <f t="shared" si="63"/>
        <v>0</v>
      </c>
      <c r="R367" s="1876">
        <f t="shared" si="64"/>
        <v>9.2370300000000007</v>
      </c>
      <c r="T367" s="1876">
        <v>9237.029999999997</v>
      </c>
      <c r="U367" s="1785"/>
      <c r="V367" s="1876">
        <v>0</v>
      </c>
      <c r="W367" s="1786"/>
      <c r="X367" s="1876">
        <v>0</v>
      </c>
      <c r="Y367" s="1786"/>
      <c r="Z367" s="1876">
        <v>0</v>
      </c>
      <c r="AA367" s="1785"/>
      <c r="AB367" s="1787">
        <v>9237.029999999997</v>
      </c>
      <c r="AC367" s="1786"/>
      <c r="AD367" s="1876">
        <v>9237.0300000000007</v>
      </c>
    </row>
    <row r="368" spans="1:30" ht="14.1" customHeight="1" thickBot="1">
      <c r="A368" s="1675">
        <v>14</v>
      </c>
      <c r="B368" s="2015"/>
      <c r="C368" s="1675"/>
      <c r="D368" s="1674" t="s">
        <v>8178</v>
      </c>
      <c r="F368" s="2019"/>
      <c r="H368" s="1799">
        <f t="shared" si="65"/>
        <v>949.90922000000023</v>
      </c>
      <c r="I368" s="1787">
        <f t="shared" si="55"/>
        <v>0</v>
      </c>
      <c r="J368" s="1799">
        <f t="shared" si="56"/>
        <v>0</v>
      </c>
      <c r="K368" s="1783">
        <f t="shared" si="57"/>
        <v>0</v>
      </c>
      <c r="L368" s="1799">
        <f t="shared" si="58"/>
        <v>0</v>
      </c>
      <c r="M368" s="1783">
        <f t="shared" si="59"/>
        <v>0</v>
      </c>
      <c r="N368" s="1799">
        <f t="shared" si="60"/>
        <v>0</v>
      </c>
      <c r="O368" s="1783">
        <f t="shared" si="61"/>
        <v>0</v>
      </c>
      <c r="P368" s="1799">
        <f t="shared" si="62"/>
        <v>949.90922000000023</v>
      </c>
      <c r="Q368" s="1783">
        <f t="shared" si="63"/>
        <v>0</v>
      </c>
      <c r="R368" s="1799">
        <f t="shared" si="64"/>
        <v>949.90922</v>
      </c>
      <c r="T368" s="1799">
        <v>949909.2200000002</v>
      </c>
      <c r="U368" s="1787"/>
      <c r="V368" s="1799">
        <v>0</v>
      </c>
      <c r="W368" s="1783"/>
      <c r="X368" s="1799">
        <v>0</v>
      </c>
      <c r="Y368" s="1783"/>
      <c r="Z368" s="1799">
        <v>0</v>
      </c>
      <c r="AA368" s="1783"/>
      <c r="AB368" s="1799">
        <v>949909.2200000002</v>
      </c>
      <c r="AC368" s="1783"/>
      <c r="AD368" s="1799">
        <v>949909.22</v>
      </c>
    </row>
    <row r="369" spans="1:30" ht="14.1" customHeight="1" thickTop="1">
      <c r="A369" s="1675">
        <v>15</v>
      </c>
      <c r="B369" s="2015"/>
      <c r="F369" s="2020"/>
      <c r="H369" s="1674">
        <f t="shared" si="65"/>
        <v>0</v>
      </c>
      <c r="I369" s="1674">
        <f t="shared" si="55"/>
        <v>0</v>
      </c>
      <c r="J369" s="1674">
        <f t="shared" si="56"/>
        <v>0</v>
      </c>
      <c r="K369" s="1674">
        <f t="shared" si="57"/>
        <v>0</v>
      </c>
      <c r="L369" s="1674">
        <f t="shared" si="58"/>
        <v>0</v>
      </c>
      <c r="M369" s="1674">
        <f t="shared" si="59"/>
        <v>0</v>
      </c>
      <c r="N369" s="1674">
        <f t="shared" si="60"/>
        <v>0</v>
      </c>
      <c r="O369" s="2001">
        <f t="shared" si="61"/>
        <v>0</v>
      </c>
      <c r="P369" s="1674">
        <f t="shared" si="62"/>
        <v>0</v>
      </c>
      <c r="Q369" s="1674">
        <f t="shared" si="63"/>
        <v>0</v>
      </c>
      <c r="R369" s="1674">
        <f t="shared" si="64"/>
        <v>0</v>
      </c>
      <c r="AA369" s="2001"/>
    </row>
    <row r="370" spans="1:30" ht="14.1" customHeight="1">
      <c r="A370" s="1675">
        <v>16</v>
      </c>
      <c r="B370" s="2015"/>
      <c r="C370" s="2019"/>
      <c r="D370" s="2002" t="s">
        <v>8949</v>
      </c>
      <c r="F370" s="2020"/>
      <c r="H370" s="1674">
        <f t="shared" si="65"/>
        <v>0</v>
      </c>
      <c r="I370" s="1674">
        <f t="shared" si="55"/>
        <v>0</v>
      </c>
      <c r="J370" s="1674">
        <f t="shared" si="56"/>
        <v>0</v>
      </c>
      <c r="K370" s="1674">
        <f t="shared" si="57"/>
        <v>0</v>
      </c>
      <c r="L370" s="1674">
        <f t="shared" si="58"/>
        <v>0</v>
      </c>
      <c r="M370" s="1674">
        <f t="shared" si="59"/>
        <v>0</v>
      </c>
      <c r="N370" s="1674">
        <f t="shared" si="60"/>
        <v>0</v>
      </c>
      <c r="O370" s="2001">
        <f t="shared" si="61"/>
        <v>0</v>
      </c>
      <c r="P370" s="1674">
        <f t="shared" si="62"/>
        <v>0</v>
      </c>
      <c r="Q370" s="1674">
        <f t="shared" si="63"/>
        <v>0</v>
      </c>
      <c r="R370" s="1674">
        <f t="shared" si="64"/>
        <v>0</v>
      </c>
      <c r="AA370" s="2001"/>
    </row>
    <row r="371" spans="1:30" ht="14.1" customHeight="1">
      <c r="A371" s="1675">
        <v>17</v>
      </c>
      <c r="B371" s="2015"/>
      <c r="C371" s="2009">
        <v>34120</v>
      </c>
      <c r="D371" s="1674" t="s">
        <v>2449</v>
      </c>
      <c r="F371" s="2019">
        <v>2.2000000000000002</v>
      </c>
      <c r="G371" s="2001"/>
      <c r="H371" s="1876">
        <f t="shared" si="65"/>
        <v>0</v>
      </c>
      <c r="I371" s="1785">
        <f t="shared" si="55"/>
        <v>0</v>
      </c>
      <c r="J371" s="1876">
        <f t="shared" si="56"/>
        <v>0</v>
      </c>
      <c r="K371" s="1786">
        <f t="shared" si="57"/>
        <v>0</v>
      </c>
      <c r="L371" s="1876">
        <f t="shared" si="58"/>
        <v>0</v>
      </c>
      <c r="M371" s="1786">
        <f t="shared" si="59"/>
        <v>0</v>
      </c>
      <c r="N371" s="1876">
        <f t="shared" si="60"/>
        <v>0</v>
      </c>
      <c r="O371" s="1785">
        <f t="shared" si="61"/>
        <v>0</v>
      </c>
      <c r="P371" s="1787">
        <f t="shared" si="62"/>
        <v>0</v>
      </c>
      <c r="Q371" s="1786">
        <f t="shared" si="63"/>
        <v>0</v>
      </c>
      <c r="R371" s="1876">
        <f t="shared" si="64"/>
        <v>0</v>
      </c>
      <c r="T371" s="1876">
        <v>0</v>
      </c>
      <c r="U371" s="1785"/>
      <c r="V371" s="1876">
        <v>0</v>
      </c>
      <c r="W371" s="1786"/>
      <c r="X371" s="1876">
        <v>0</v>
      </c>
      <c r="Y371" s="1786"/>
      <c r="Z371" s="1876">
        <v>0</v>
      </c>
      <c r="AA371" s="1785"/>
      <c r="AB371" s="1787">
        <v>0</v>
      </c>
      <c r="AC371" s="1786"/>
      <c r="AD371" s="1876">
        <v>0</v>
      </c>
    </row>
    <row r="372" spans="1:30" ht="14.1" customHeight="1">
      <c r="A372" s="1675">
        <v>18</v>
      </c>
      <c r="B372" s="2022"/>
      <c r="C372" s="2009">
        <v>34220</v>
      </c>
      <c r="D372" s="1674" t="s">
        <v>2495</v>
      </c>
      <c r="F372" s="2019">
        <v>2.2000000000000002</v>
      </c>
      <c r="G372" s="2001"/>
      <c r="H372" s="1876">
        <f t="shared" si="65"/>
        <v>0</v>
      </c>
      <c r="I372" s="1785">
        <f t="shared" si="55"/>
        <v>0</v>
      </c>
      <c r="J372" s="1876">
        <f t="shared" si="56"/>
        <v>53790.116170000001</v>
      </c>
      <c r="K372" s="1786">
        <f t="shared" si="57"/>
        <v>0</v>
      </c>
      <c r="L372" s="1876">
        <f t="shared" si="58"/>
        <v>0</v>
      </c>
      <c r="M372" s="1786">
        <f t="shared" si="59"/>
        <v>0</v>
      </c>
      <c r="N372" s="1876">
        <f t="shared" si="60"/>
        <v>0</v>
      </c>
      <c r="O372" s="1785">
        <f t="shared" si="61"/>
        <v>0</v>
      </c>
      <c r="P372" s="1787">
        <f t="shared" si="62"/>
        <v>53790.116170000001</v>
      </c>
      <c r="Q372" s="1786">
        <f t="shared" si="63"/>
        <v>0</v>
      </c>
      <c r="R372" s="1876">
        <f t="shared" si="64"/>
        <v>36099.210570000003</v>
      </c>
      <c r="T372" s="1876">
        <v>0</v>
      </c>
      <c r="U372" s="1785"/>
      <c r="V372" s="1876">
        <v>53790116.170000002</v>
      </c>
      <c r="W372" s="1786"/>
      <c r="X372" s="1876">
        <v>0</v>
      </c>
      <c r="Y372" s="1786"/>
      <c r="Z372" s="1876">
        <v>0</v>
      </c>
      <c r="AA372" s="1785"/>
      <c r="AB372" s="1787">
        <v>53790116.170000002</v>
      </c>
      <c r="AC372" s="1786"/>
      <c r="AD372" s="1876">
        <v>36099210.57</v>
      </c>
    </row>
    <row r="373" spans="1:30" ht="14.1" customHeight="1">
      <c r="A373" s="1675">
        <v>19</v>
      </c>
      <c r="B373" s="2022"/>
      <c r="C373" s="2009">
        <v>34320</v>
      </c>
      <c r="D373" s="1674" t="s">
        <v>2496</v>
      </c>
      <c r="F373" s="2019">
        <v>2.08</v>
      </c>
      <c r="G373" s="2001"/>
      <c r="H373" s="1876">
        <f t="shared" si="65"/>
        <v>0</v>
      </c>
      <c r="I373" s="1785">
        <f t="shared" si="55"/>
        <v>0</v>
      </c>
      <c r="J373" s="1876">
        <f t="shared" si="56"/>
        <v>53790.116170000001</v>
      </c>
      <c r="K373" s="1786">
        <f t="shared" si="57"/>
        <v>0</v>
      </c>
      <c r="L373" s="1876">
        <f t="shared" si="58"/>
        <v>0</v>
      </c>
      <c r="M373" s="1786">
        <f t="shared" si="59"/>
        <v>0</v>
      </c>
      <c r="N373" s="1876">
        <f t="shared" si="60"/>
        <v>0</v>
      </c>
      <c r="O373" s="1785">
        <f t="shared" si="61"/>
        <v>0</v>
      </c>
      <c r="P373" s="1787">
        <f t="shared" si="62"/>
        <v>53790.116170000001</v>
      </c>
      <c r="Q373" s="1786">
        <f t="shared" si="63"/>
        <v>0</v>
      </c>
      <c r="R373" s="1876">
        <f t="shared" si="64"/>
        <v>36099.210570000003</v>
      </c>
      <c r="T373" s="1876">
        <v>0</v>
      </c>
      <c r="U373" s="1785"/>
      <c r="V373" s="1876">
        <v>53790116.170000002</v>
      </c>
      <c r="W373" s="1786"/>
      <c r="X373" s="1876">
        <v>0</v>
      </c>
      <c r="Y373" s="1786"/>
      <c r="Z373" s="1876">
        <v>0</v>
      </c>
      <c r="AA373" s="1785"/>
      <c r="AB373" s="1787">
        <v>53790116.170000002</v>
      </c>
      <c r="AC373" s="1786"/>
      <c r="AD373" s="1876">
        <v>36099210.57</v>
      </c>
    </row>
    <row r="374" spans="1:30" ht="14.1" customHeight="1">
      <c r="A374" s="1675">
        <v>20</v>
      </c>
      <c r="B374" s="2015"/>
      <c r="C374" s="2009">
        <v>34520</v>
      </c>
      <c r="D374" s="1674" t="s">
        <v>2454</v>
      </c>
      <c r="F374" s="2019">
        <v>1.8900000000000001</v>
      </c>
      <c r="G374" s="2001"/>
      <c r="H374" s="1876">
        <f t="shared" si="65"/>
        <v>0</v>
      </c>
      <c r="I374" s="1785">
        <f t="shared" si="55"/>
        <v>0</v>
      </c>
      <c r="J374" s="1876">
        <f t="shared" si="56"/>
        <v>0</v>
      </c>
      <c r="K374" s="1786">
        <f t="shared" si="57"/>
        <v>0</v>
      </c>
      <c r="L374" s="1876">
        <f t="shared" si="58"/>
        <v>0</v>
      </c>
      <c r="M374" s="1786">
        <f t="shared" si="59"/>
        <v>0</v>
      </c>
      <c r="N374" s="1876">
        <f t="shared" si="60"/>
        <v>0</v>
      </c>
      <c r="O374" s="1785">
        <f t="shared" si="61"/>
        <v>0</v>
      </c>
      <c r="P374" s="1787">
        <f t="shared" si="62"/>
        <v>0</v>
      </c>
      <c r="Q374" s="1786">
        <f t="shared" si="63"/>
        <v>0</v>
      </c>
      <c r="R374" s="1876">
        <f t="shared" si="64"/>
        <v>0</v>
      </c>
      <c r="T374" s="1876">
        <v>0</v>
      </c>
      <c r="U374" s="1785"/>
      <c r="V374" s="1876">
        <v>0</v>
      </c>
      <c r="W374" s="1786"/>
      <c r="X374" s="1876">
        <v>0</v>
      </c>
      <c r="Y374" s="1786"/>
      <c r="Z374" s="1876">
        <v>0</v>
      </c>
      <c r="AA374" s="1785"/>
      <c r="AB374" s="1787">
        <v>0</v>
      </c>
      <c r="AC374" s="1786"/>
      <c r="AD374" s="1876">
        <v>0</v>
      </c>
    </row>
    <row r="375" spans="1:30" ht="14.1" customHeight="1">
      <c r="A375" s="1675">
        <v>21</v>
      </c>
      <c r="B375" s="2015"/>
      <c r="C375" s="2009">
        <v>34620</v>
      </c>
      <c r="D375" s="1674" t="s">
        <v>2455</v>
      </c>
      <c r="F375" s="2019">
        <v>2.97</v>
      </c>
      <c r="G375" s="2001"/>
      <c r="H375" s="1876">
        <f t="shared" si="65"/>
        <v>0</v>
      </c>
      <c r="I375" s="1785">
        <f t="shared" si="55"/>
        <v>0</v>
      </c>
      <c r="J375" s="1876">
        <f t="shared" si="56"/>
        <v>0</v>
      </c>
      <c r="K375" s="1786">
        <f t="shared" si="57"/>
        <v>0</v>
      </c>
      <c r="L375" s="1876">
        <f t="shared" si="58"/>
        <v>0</v>
      </c>
      <c r="M375" s="1786">
        <f t="shared" si="59"/>
        <v>0</v>
      </c>
      <c r="N375" s="1876">
        <f t="shared" si="60"/>
        <v>0</v>
      </c>
      <c r="O375" s="1785">
        <f t="shared" si="61"/>
        <v>0</v>
      </c>
      <c r="P375" s="1787">
        <f t="shared" si="62"/>
        <v>0</v>
      </c>
      <c r="Q375" s="1786">
        <f t="shared" si="63"/>
        <v>0</v>
      </c>
      <c r="R375" s="1876">
        <f t="shared" si="64"/>
        <v>0</v>
      </c>
      <c r="T375" s="1876">
        <v>0</v>
      </c>
      <c r="U375" s="1785"/>
      <c r="V375" s="1876">
        <v>0</v>
      </c>
      <c r="W375" s="1786"/>
      <c r="X375" s="1876">
        <v>0</v>
      </c>
      <c r="Y375" s="1786"/>
      <c r="Z375" s="1876">
        <v>0</v>
      </c>
      <c r="AA375" s="1785"/>
      <c r="AB375" s="1787">
        <v>0</v>
      </c>
      <c r="AC375" s="1786"/>
      <c r="AD375" s="1876">
        <v>0</v>
      </c>
    </row>
    <row r="376" spans="1:30" ht="14.1" customHeight="1">
      <c r="A376" s="1675">
        <v>22</v>
      </c>
      <c r="B376" s="2015"/>
      <c r="C376" s="2009">
        <v>34820</v>
      </c>
      <c r="D376" s="1674" t="s">
        <v>8175</v>
      </c>
      <c r="F376" s="2019">
        <v>10</v>
      </c>
      <c r="G376" s="2001"/>
      <c r="H376" s="1876">
        <f t="shared" si="65"/>
        <v>0</v>
      </c>
      <c r="I376" s="1785">
        <f t="shared" si="55"/>
        <v>0</v>
      </c>
      <c r="J376" s="1876">
        <f t="shared" si="56"/>
        <v>32203.86548</v>
      </c>
      <c r="K376" s="1786">
        <f t="shared" si="57"/>
        <v>0</v>
      </c>
      <c r="L376" s="1876">
        <f t="shared" si="58"/>
        <v>0</v>
      </c>
      <c r="M376" s="1786">
        <f t="shared" si="59"/>
        <v>0</v>
      </c>
      <c r="N376" s="1876">
        <f t="shared" si="60"/>
        <v>0</v>
      </c>
      <c r="O376" s="1785">
        <f t="shared" si="61"/>
        <v>0</v>
      </c>
      <c r="P376" s="1787">
        <f t="shared" si="62"/>
        <v>32203.86548</v>
      </c>
      <c r="Q376" s="1786">
        <f t="shared" si="63"/>
        <v>0</v>
      </c>
      <c r="R376" s="1876">
        <f t="shared" si="64"/>
        <v>20609.769649999998</v>
      </c>
      <c r="T376" s="1876">
        <v>0</v>
      </c>
      <c r="U376" s="1785"/>
      <c r="V376" s="1876">
        <v>32203865.48</v>
      </c>
      <c r="W376" s="1786"/>
      <c r="X376" s="1876">
        <v>0</v>
      </c>
      <c r="Y376" s="1786"/>
      <c r="Z376" s="1876">
        <v>0</v>
      </c>
      <c r="AA376" s="1785"/>
      <c r="AB376" s="1787">
        <v>32203865.48</v>
      </c>
      <c r="AC376" s="1786"/>
      <c r="AD376" s="1876">
        <v>20609769.649999999</v>
      </c>
    </row>
    <row r="377" spans="1:30" ht="14.1" customHeight="1" thickBot="1">
      <c r="A377" s="1675">
        <v>23</v>
      </c>
      <c r="B377" s="2015"/>
      <c r="D377" s="2002" t="s">
        <v>8950</v>
      </c>
      <c r="F377" s="2020"/>
      <c r="H377" s="1799">
        <f t="shared" si="65"/>
        <v>0</v>
      </c>
      <c r="I377" s="1787">
        <f t="shared" si="55"/>
        <v>0</v>
      </c>
      <c r="J377" s="1799">
        <f t="shared" si="56"/>
        <v>139784.09782</v>
      </c>
      <c r="K377" s="1783">
        <f t="shared" si="57"/>
        <v>0</v>
      </c>
      <c r="L377" s="1799">
        <f t="shared" si="58"/>
        <v>0</v>
      </c>
      <c r="M377" s="1783">
        <f t="shared" si="59"/>
        <v>0</v>
      </c>
      <c r="N377" s="1799">
        <f t="shared" si="60"/>
        <v>0</v>
      </c>
      <c r="O377" s="1783">
        <f t="shared" si="61"/>
        <v>0</v>
      </c>
      <c r="P377" s="1799">
        <f t="shared" si="62"/>
        <v>139784.09782</v>
      </c>
      <c r="Q377" s="1786">
        <f t="shared" si="63"/>
        <v>0</v>
      </c>
      <c r="R377" s="1799">
        <f t="shared" si="64"/>
        <v>92808.190789999993</v>
      </c>
      <c r="T377" s="1799">
        <v>0</v>
      </c>
      <c r="U377" s="1787"/>
      <c r="V377" s="1799">
        <v>139784097.81999999</v>
      </c>
      <c r="W377" s="1783"/>
      <c r="X377" s="1799">
        <v>0</v>
      </c>
      <c r="Y377" s="1783"/>
      <c r="Z377" s="1799">
        <v>0</v>
      </c>
      <c r="AA377" s="1783"/>
      <c r="AB377" s="1799">
        <v>139784097.81999999</v>
      </c>
      <c r="AC377" s="1786"/>
      <c r="AD377" s="1799">
        <v>92808190.789999992</v>
      </c>
    </row>
    <row r="378" spans="1:30" ht="14.1" customHeight="1" thickTop="1">
      <c r="A378" s="1675">
        <v>24</v>
      </c>
      <c r="B378" s="2015"/>
      <c r="F378" s="2020"/>
      <c r="H378" s="1674">
        <f t="shared" si="65"/>
        <v>0</v>
      </c>
      <c r="I378" s="1674">
        <f t="shared" si="55"/>
        <v>0</v>
      </c>
      <c r="J378" s="1674">
        <f t="shared" si="56"/>
        <v>0</v>
      </c>
      <c r="K378" s="1674">
        <f t="shared" si="57"/>
        <v>0</v>
      </c>
      <c r="L378" s="1674">
        <f t="shared" si="58"/>
        <v>0</v>
      </c>
      <c r="M378" s="1674">
        <f t="shared" si="59"/>
        <v>0</v>
      </c>
      <c r="N378" s="1674">
        <f t="shared" si="60"/>
        <v>0</v>
      </c>
      <c r="O378" s="1674">
        <f t="shared" si="61"/>
        <v>0</v>
      </c>
      <c r="P378" s="1674">
        <f t="shared" si="62"/>
        <v>0</v>
      </c>
      <c r="Q378" s="1674">
        <f t="shared" si="63"/>
        <v>0</v>
      </c>
      <c r="R378" s="1674">
        <f t="shared" si="64"/>
        <v>0</v>
      </c>
    </row>
    <row r="379" spans="1:30" ht="14.1" customHeight="1" thickBot="1">
      <c r="A379" s="1675">
        <v>25</v>
      </c>
      <c r="B379" s="2015"/>
      <c r="C379" s="1675"/>
      <c r="D379" s="1674" t="s">
        <v>2450</v>
      </c>
      <c r="F379" s="2020"/>
      <c r="H379" s="1871">
        <f t="shared" si="65"/>
        <v>5434493.0553100007</v>
      </c>
      <c r="I379" s="1790">
        <f t="shared" si="55"/>
        <v>0</v>
      </c>
      <c r="J379" s="1871">
        <f t="shared" si="56"/>
        <v>668703.36751999997</v>
      </c>
      <c r="K379" s="1790">
        <f t="shared" si="57"/>
        <v>0</v>
      </c>
      <c r="L379" s="1871">
        <f t="shared" si="58"/>
        <v>-22082.575860000001</v>
      </c>
      <c r="M379" s="1790">
        <f t="shared" si="59"/>
        <v>0</v>
      </c>
      <c r="N379" s="1871">
        <f t="shared" si="60"/>
        <v>0</v>
      </c>
      <c r="O379" s="1790">
        <f t="shared" si="61"/>
        <v>0</v>
      </c>
      <c r="P379" s="1871">
        <f t="shared" si="62"/>
        <v>6081113.8469700003</v>
      </c>
      <c r="Q379" s="1790">
        <f t="shared" si="63"/>
        <v>0</v>
      </c>
      <c r="R379" s="1871">
        <f t="shared" si="64"/>
        <v>5716457.4316000007</v>
      </c>
      <c r="T379" s="1871">
        <v>5434493055.3100004</v>
      </c>
      <c r="U379" s="1790"/>
      <c r="V379" s="1871">
        <v>668703367.51999998</v>
      </c>
      <c r="W379" s="1790"/>
      <c r="X379" s="1871">
        <v>-22082575.859999999</v>
      </c>
      <c r="Y379" s="1790"/>
      <c r="Z379" s="1871">
        <v>0</v>
      </c>
      <c r="AA379" s="1790"/>
      <c r="AB379" s="1871">
        <v>6081113846.9700003</v>
      </c>
      <c r="AC379" s="1790"/>
      <c r="AD379" s="1871">
        <v>5716457431.6000004</v>
      </c>
    </row>
    <row r="380" spans="1:30" ht="14.1" customHeight="1" thickTop="1">
      <c r="A380" s="1675">
        <v>26</v>
      </c>
      <c r="C380" s="2009"/>
      <c r="F380" s="2020"/>
      <c r="H380" s="2031">
        <f t="shared" si="65"/>
        <v>0</v>
      </c>
      <c r="I380" s="1790">
        <f t="shared" si="55"/>
        <v>0</v>
      </c>
      <c r="J380" s="2031">
        <f t="shared" si="56"/>
        <v>0</v>
      </c>
      <c r="K380" s="1790">
        <f t="shared" si="57"/>
        <v>0</v>
      </c>
      <c r="L380" s="2031">
        <f t="shared" si="58"/>
        <v>0</v>
      </c>
      <c r="M380" s="1790">
        <f t="shared" si="59"/>
        <v>0</v>
      </c>
      <c r="N380" s="2031">
        <f t="shared" si="60"/>
        <v>0</v>
      </c>
      <c r="O380" s="1790">
        <f t="shared" si="61"/>
        <v>0</v>
      </c>
      <c r="P380" s="2031">
        <f t="shared" si="62"/>
        <v>0</v>
      </c>
      <c r="Q380" s="1790">
        <f t="shared" si="63"/>
        <v>0</v>
      </c>
      <c r="R380" s="2031">
        <f t="shared" si="64"/>
        <v>0</v>
      </c>
      <c r="T380" s="2031"/>
      <c r="U380" s="1790"/>
      <c r="V380" s="2031"/>
      <c r="W380" s="1790"/>
      <c r="X380" s="2031"/>
      <c r="Y380" s="1790"/>
      <c r="Z380" s="2031"/>
      <c r="AA380" s="1790"/>
      <c r="AB380" s="2031"/>
      <c r="AC380" s="1790"/>
      <c r="AD380" s="2031"/>
    </row>
    <row r="381" spans="1:30" ht="14.1" customHeight="1" thickBot="1">
      <c r="A381" s="1675">
        <v>27</v>
      </c>
      <c r="C381" s="2009"/>
      <c r="D381" s="1674" t="s">
        <v>2453</v>
      </c>
      <c r="F381" s="2020"/>
      <c r="H381" s="1870">
        <f t="shared" si="65"/>
        <v>6905318.0079500005</v>
      </c>
      <c r="I381" s="1790">
        <f t="shared" si="55"/>
        <v>0</v>
      </c>
      <c r="J381" s="1870">
        <f t="shared" si="56"/>
        <v>687137.62319999991</v>
      </c>
      <c r="K381" s="1790">
        <f t="shared" si="57"/>
        <v>0</v>
      </c>
      <c r="L381" s="1870">
        <f t="shared" si="58"/>
        <v>-25807.018239999998</v>
      </c>
      <c r="M381" s="1790">
        <f t="shared" si="59"/>
        <v>0</v>
      </c>
      <c r="N381" s="1870">
        <f t="shared" si="60"/>
        <v>0</v>
      </c>
      <c r="O381" s="1790">
        <f t="shared" si="61"/>
        <v>0</v>
      </c>
      <c r="P381" s="1870">
        <f t="shared" si="62"/>
        <v>7566648.6129099997</v>
      </c>
      <c r="Q381" s="1790">
        <f t="shared" si="63"/>
        <v>0</v>
      </c>
      <c r="R381" s="1870">
        <f t="shared" si="64"/>
        <v>7193148.3114600005</v>
      </c>
      <c r="T381" s="1870">
        <v>6905318007.9500008</v>
      </c>
      <c r="U381" s="1790"/>
      <c r="V381" s="1870">
        <v>687137623.19999993</v>
      </c>
      <c r="W381" s="1790"/>
      <c r="X381" s="1870">
        <v>-25807018.239999998</v>
      </c>
      <c r="Y381" s="1790"/>
      <c r="Z381" s="1870">
        <v>0</v>
      </c>
      <c r="AA381" s="1790"/>
      <c r="AB381" s="1870">
        <v>7566648612.9099998</v>
      </c>
      <c r="AC381" s="1790"/>
      <c r="AD381" s="1870">
        <v>7193148311.46</v>
      </c>
    </row>
    <row r="382" spans="1:30" ht="14.1" customHeight="1" thickTop="1">
      <c r="A382" s="1675">
        <v>28</v>
      </c>
      <c r="B382" s="2015"/>
      <c r="F382" s="2020"/>
      <c r="H382" s="1674">
        <f t="shared" si="65"/>
        <v>0</v>
      </c>
      <c r="I382" s="1674">
        <f t="shared" si="55"/>
        <v>0</v>
      </c>
      <c r="J382" s="1674">
        <f t="shared" si="56"/>
        <v>0</v>
      </c>
      <c r="K382" s="1674">
        <f t="shared" si="57"/>
        <v>0</v>
      </c>
      <c r="L382" s="1674">
        <f t="shared" si="58"/>
        <v>0</v>
      </c>
      <c r="M382" s="1674">
        <f t="shared" si="59"/>
        <v>0</v>
      </c>
      <c r="N382" s="1674">
        <f t="shared" si="60"/>
        <v>0</v>
      </c>
      <c r="O382" s="2001">
        <f t="shared" si="61"/>
        <v>0</v>
      </c>
      <c r="P382" s="1674">
        <f t="shared" si="62"/>
        <v>0</v>
      </c>
      <c r="Q382" s="1674">
        <f t="shared" si="63"/>
        <v>0</v>
      </c>
      <c r="R382" s="1674">
        <f t="shared" si="64"/>
        <v>0</v>
      </c>
      <c r="AA382" s="2001"/>
    </row>
    <row r="383" spans="1:30" ht="14.1" customHeight="1">
      <c r="A383" s="1675">
        <v>29</v>
      </c>
      <c r="B383" s="2015"/>
      <c r="C383" s="1675"/>
      <c r="D383" s="2021" t="s">
        <v>2531</v>
      </c>
      <c r="E383" s="2021"/>
      <c r="F383" s="2020"/>
      <c r="H383" s="1790">
        <f t="shared" si="65"/>
        <v>0</v>
      </c>
      <c r="I383" s="1790">
        <f t="shared" si="55"/>
        <v>0</v>
      </c>
      <c r="J383" s="2036">
        <f t="shared" si="56"/>
        <v>0</v>
      </c>
      <c r="K383" s="2036">
        <f t="shared" si="57"/>
        <v>0</v>
      </c>
      <c r="L383" s="2037">
        <f t="shared" si="58"/>
        <v>0</v>
      </c>
      <c r="M383" s="2036">
        <f t="shared" si="59"/>
        <v>0</v>
      </c>
      <c r="N383" s="2036">
        <f t="shared" si="60"/>
        <v>0</v>
      </c>
      <c r="O383" s="2031">
        <f t="shared" si="61"/>
        <v>0</v>
      </c>
      <c r="P383" s="2036">
        <f t="shared" si="62"/>
        <v>0</v>
      </c>
      <c r="Q383" s="2036">
        <f t="shared" si="63"/>
        <v>0</v>
      </c>
      <c r="R383" s="2036">
        <f t="shared" si="64"/>
        <v>0</v>
      </c>
      <c r="T383" s="1790"/>
      <c r="U383" s="1790"/>
      <c r="V383" s="2036"/>
      <c r="W383" s="2036"/>
      <c r="X383" s="2037"/>
      <c r="Y383" s="2036"/>
      <c r="Z383" s="2036"/>
      <c r="AA383" s="2031"/>
      <c r="AB383" s="2036"/>
      <c r="AC383" s="2036"/>
      <c r="AD383" s="2036"/>
    </row>
    <row r="384" spans="1:30" ht="14.1" customHeight="1">
      <c r="A384" s="1675">
        <v>30</v>
      </c>
      <c r="B384" s="2015"/>
      <c r="C384" s="2009">
        <v>35001</v>
      </c>
      <c r="D384" s="2038" t="s">
        <v>2532</v>
      </c>
      <c r="F384" s="2019">
        <v>1.54</v>
      </c>
      <c r="G384" s="2001"/>
      <c r="H384" s="1876">
        <f t="shared" si="65"/>
        <v>12162.254090000002</v>
      </c>
      <c r="I384" s="1785">
        <f t="shared" si="55"/>
        <v>0</v>
      </c>
      <c r="J384" s="1876">
        <f t="shared" si="56"/>
        <v>0</v>
      </c>
      <c r="K384" s="1786">
        <f t="shared" si="57"/>
        <v>0</v>
      </c>
      <c r="L384" s="1876">
        <f t="shared" si="58"/>
        <v>0</v>
      </c>
      <c r="M384" s="1786">
        <f t="shared" si="59"/>
        <v>0</v>
      </c>
      <c r="N384" s="1876">
        <f t="shared" si="60"/>
        <v>0</v>
      </c>
      <c r="O384" s="1785">
        <f t="shared" si="61"/>
        <v>0</v>
      </c>
      <c r="P384" s="1787">
        <f t="shared" si="62"/>
        <v>12162.254090000002</v>
      </c>
      <c r="Q384" s="1786">
        <f t="shared" si="63"/>
        <v>0</v>
      </c>
      <c r="R384" s="1876">
        <f t="shared" si="64"/>
        <v>12162.25409</v>
      </c>
      <c r="T384" s="1876">
        <v>12162254.090000002</v>
      </c>
      <c r="U384" s="1785"/>
      <c r="V384" s="1876">
        <v>0</v>
      </c>
      <c r="W384" s="1786"/>
      <c r="X384" s="1876">
        <v>0</v>
      </c>
      <c r="Y384" s="1786"/>
      <c r="Z384" s="1876">
        <v>0</v>
      </c>
      <c r="AA384" s="1785"/>
      <c r="AB384" s="1787">
        <v>12162254.090000002</v>
      </c>
      <c r="AC384" s="1786"/>
      <c r="AD384" s="1876">
        <v>12162254.09</v>
      </c>
    </row>
    <row r="385" spans="1:30" ht="14.1" customHeight="1">
      <c r="A385" s="1675">
        <v>31</v>
      </c>
      <c r="B385" s="2015"/>
      <c r="C385" s="1675">
        <v>35100</v>
      </c>
      <c r="D385" s="1674" t="s">
        <v>8179</v>
      </c>
      <c r="F385" s="2019">
        <v>10</v>
      </c>
      <c r="G385" s="2001"/>
      <c r="H385" s="1876">
        <f t="shared" si="65"/>
        <v>0</v>
      </c>
      <c r="I385" s="1785">
        <f t="shared" si="55"/>
        <v>0</v>
      </c>
      <c r="J385" s="1876">
        <f t="shared" si="56"/>
        <v>0</v>
      </c>
      <c r="K385" s="1786">
        <f t="shared" si="57"/>
        <v>0</v>
      </c>
      <c r="L385" s="1876">
        <f t="shared" si="58"/>
        <v>0</v>
      </c>
      <c r="M385" s="1786">
        <f t="shared" si="59"/>
        <v>0</v>
      </c>
      <c r="N385" s="1876">
        <f t="shared" si="60"/>
        <v>0</v>
      </c>
      <c r="O385" s="1785">
        <f t="shared" si="61"/>
        <v>0</v>
      </c>
      <c r="P385" s="1787">
        <f t="shared" si="62"/>
        <v>0</v>
      </c>
      <c r="Q385" s="1786">
        <f t="shared" si="63"/>
        <v>0</v>
      </c>
      <c r="R385" s="1876">
        <f t="shared" si="64"/>
        <v>0</v>
      </c>
      <c r="T385" s="1876">
        <v>0</v>
      </c>
      <c r="U385" s="1785"/>
      <c r="V385" s="1876">
        <v>0</v>
      </c>
      <c r="W385" s="1786"/>
      <c r="X385" s="1876">
        <v>0</v>
      </c>
      <c r="Y385" s="1786"/>
      <c r="Z385" s="1876">
        <v>0</v>
      </c>
      <c r="AA385" s="1785"/>
      <c r="AB385" s="1787">
        <v>0</v>
      </c>
      <c r="AC385" s="1786"/>
      <c r="AD385" s="1876">
        <v>0</v>
      </c>
    </row>
    <row r="386" spans="1:30" ht="14.1" customHeight="1">
      <c r="A386" s="1675">
        <v>32</v>
      </c>
      <c r="B386" s="2015"/>
      <c r="C386" s="2009">
        <v>35200</v>
      </c>
      <c r="D386" s="2038" t="s">
        <v>2533</v>
      </c>
      <c r="F386" s="2019">
        <v>2.17</v>
      </c>
      <c r="G386" s="2001"/>
      <c r="H386" s="1876">
        <f t="shared" si="65"/>
        <v>76277.379719999997</v>
      </c>
      <c r="I386" s="1785">
        <f t="shared" si="55"/>
        <v>0</v>
      </c>
      <c r="J386" s="1876">
        <f t="shared" si="56"/>
        <v>0</v>
      </c>
      <c r="K386" s="1786">
        <f t="shared" si="57"/>
        <v>0</v>
      </c>
      <c r="L386" s="1876">
        <f t="shared" si="58"/>
        <v>0</v>
      </c>
      <c r="M386" s="1786">
        <f t="shared" si="59"/>
        <v>0</v>
      </c>
      <c r="N386" s="1876">
        <f t="shared" si="60"/>
        <v>0</v>
      </c>
      <c r="O386" s="1785">
        <f t="shared" si="61"/>
        <v>0</v>
      </c>
      <c r="P386" s="1787">
        <f t="shared" si="62"/>
        <v>76277.379719999997</v>
      </c>
      <c r="Q386" s="1786">
        <f t="shared" si="63"/>
        <v>0</v>
      </c>
      <c r="R386" s="1876">
        <f t="shared" si="64"/>
        <v>76277.379719999997</v>
      </c>
      <c r="T386" s="1876">
        <v>76277379.719999999</v>
      </c>
      <c r="U386" s="1785"/>
      <c r="V386" s="1876">
        <v>0</v>
      </c>
      <c r="W386" s="1786"/>
      <c r="X386" s="1876">
        <v>0</v>
      </c>
      <c r="Y386" s="1786"/>
      <c r="Z386" s="1876">
        <v>0</v>
      </c>
      <c r="AA386" s="1785"/>
      <c r="AB386" s="1787">
        <v>76277379.719999999</v>
      </c>
      <c r="AC386" s="1786"/>
      <c r="AD386" s="1876">
        <v>76277379.719999999</v>
      </c>
    </row>
    <row r="387" spans="1:30" ht="14.1" customHeight="1">
      <c r="A387" s="1675">
        <v>33</v>
      </c>
      <c r="B387" s="2015"/>
      <c r="C387" s="2009">
        <v>35300</v>
      </c>
      <c r="D387" s="2039" t="s">
        <v>2534</v>
      </c>
      <c r="E387" s="2021"/>
      <c r="F387" s="2019">
        <v>2.36</v>
      </c>
      <c r="G387" s="2001"/>
      <c r="H387" s="1876">
        <f t="shared" si="65"/>
        <v>449281.37164640031</v>
      </c>
      <c r="I387" s="1785">
        <f t="shared" si="55"/>
        <v>0</v>
      </c>
      <c r="J387" s="1876">
        <f t="shared" si="56"/>
        <v>36762.021990000001</v>
      </c>
      <c r="K387" s="1786">
        <f t="shared" si="57"/>
        <v>0</v>
      </c>
      <c r="L387" s="1876">
        <f t="shared" si="58"/>
        <v>-5514.3032800000001</v>
      </c>
      <c r="M387" s="1786">
        <f t="shared" si="59"/>
        <v>0</v>
      </c>
      <c r="N387" s="1876">
        <f t="shared" si="60"/>
        <v>0</v>
      </c>
      <c r="O387" s="1785">
        <f t="shared" si="61"/>
        <v>0</v>
      </c>
      <c r="P387" s="1787">
        <f t="shared" si="62"/>
        <v>480529.09035640035</v>
      </c>
      <c r="Q387" s="1786">
        <f t="shared" si="63"/>
        <v>0</v>
      </c>
      <c r="R387" s="1876">
        <f t="shared" si="64"/>
        <v>458449.85130000004</v>
      </c>
      <c r="T387" s="1876">
        <v>449281371.64640033</v>
      </c>
      <c r="U387" s="1785"/>
      <c r="V387" s="1876">
        <v>36762021.990000002</v>
      </c>
      <c r="W387" s="1786"/>
      <c r="X387" s="1876">
        <v>-5514303.2800000003</v>
      </c>
      <c r="Y387" s="1786"/>
      <c r="Z387" s="1876">
        <v>0</v>
      </c>
      <c r="AA387" s="1785"/>
      <c r="AB387" s="1787">
        <v>480529090.35640037</v>
      </c>
      <c r="AC387" s="1786"/>
      <c r="AD387" s="1876">
        <v>458449851.30000001</v>
      </c>
    </row>
    <row r="388" spans="1:30" ht="14.1" customHeight="1">
      <c r="A388" s="1675">
        <v>34</v>
      </c>
      <c r="B388" s="2015"/>
      <c r="C388" s="2009">
        <v>35400</v>
      </c>
      <c r="D388" s="2039" t="s">
        <v>2535</v>
      </c>
      <c r="E388" s="2021"/>
      <c r="F388" s="2019">
        <v>1.29</v>
      </c>
      <c r="G388" s="2001"/>
      <c r="H388" s="1876">
        <f t="shared" si="65"/>
        <v>5092.0605500000001</v>
      </c>
      <c r="I388" s="1785">
        <f t="shared" si="55"/>
        <v>0</v>
      </c>
      <c r="J388" s="1876">
        <f t="shared" si="56"/>
        <v>0</v>
      </c>
      <c r="K388" s="1786">
        <f t="shared" si="57"/>
        <v>0</v>
      </c>
      <c r="L388" s="1876">
        <f t="shared" si="58"/>
        <v>0</v>
      </c>
      <c r="M388" s="1786">
        <f t="shared" si="59"/>
        <v>0</v>
      </c>
      <c r="N388" s="1876">
        <f t="shared" si="60"/>
        <v>0</v>
      </c>
      <c r="O388" s="1785">
        <f t="shared" si="61"/>
        <v>0</v>
      </c>
      <c r="P388" s="1787">
        <f t="shared" si="62"/>
        <v>5092.0605500000001</v>
      </c>
      <c r="Q388" s="1786">
        <f t="shared" si="63"/>
        <v>0</v>
      </c>
      <c r="R388" s="1876">
        <f t="shared" si="64"/>
        <v>5092.0605500000001</v>
      </c>
      <c r="T388" s="1876">
        <v>5092060.55</v>
      </c>
      <c r="U388" s="1785"/>
      <c r="V388" s="1876">
        <v>0</v>
      </c>
      <c r="W388" s="1786"/>
      <c r="X388" s="1876">
        <v>0</v>
      </c>
      <c r="Y388" s="1786"/>
      <c r="Z388" s="1876">
        <v>0</v>
      </c>
      <c r="AA388" s="1785"/>
      <c r="AB388" s="1787">
        <v>5092060.55</v>
      </c>
      <c r="AC388" s="1786"/>
      <c r="AD388" s="1876">
        <v>5092060.55</v>
      </c>
    </row>
    <row r="389" spans="1:30" ht="14.1" customHeight="1">
      <c r="A389" s="1675">
        <v>35</v>
      </c>
      <c r="B389" s="2015"/>
      <c r="C389" s="2009">
        <v>35500</v>
      </c>
      <c r="D389" s="2038" t="s">
        <v>2536</v>
      </c>
      <c r="F389" s="2019">
        <v>2.85</v>
      </c>
      <c r="G389" s="2001"/>
      <c r="H389" s="1876">
        <f t="shared" si="65"/>
        <v>502089.08843919996</v>
      </c>
      <c r="I389" s="1785">
        <f t="shared" si="55"/>
        <v>0</v>
      </c>
      <c r="J389" s="1876">
        <f t="shared" si="56"/>
        <v>98503.789409999998</v>
      </c>
      <c r="K389" s="1786">
        <f t="shared" si="57"/>
        <v>0</v>
      </c>
      <c r="L389" s="1876">
        <f t="shared" si="58"/>
        <v>-5910.2273800000003</v>
      </c>
      <c r="M389" s="1786">
        <f t="shared" si="59"/>
        <v>0</v>
      </c>
      <c r="N389" s="1876">
        <f t="shared" si="60"/>
        <v>0</v>
      </c>
      <c r="O389" s="1785">
        <f t="shared" si="61"/>
        <v>0</v>
      </c>
      <c r="P389" s="1787">
        <f t="shared" si="62"/>
        <v>594682.65046919999</v>
      </c>
      <c r="Q389" s="1786">
        <f t="shared" si="63"/>
        <v>0</v>
      </c>
      <c r="R389" s="1876">
        <f t="shared" si="64"/>
        <v>534134.81267999997</v>
      </c>
      <c r="T389" s="1876">
        <v>502089088.43919998</v>
      </c>
      <c r="U389" s="1785"/>
      <c r="V389" s="1876">
        <v>98503789.409999996</v>
      </c>
      <c r="W389" s="1786"/>
      <c r="X389" s="1876">
        <v>-5910227.3799999999</v>
      </c>
      <c r="Y389" s="1786"/>
      <c r="Z389" s="1876">
        <v>0</v>
      </c>
      <c r="AA389" s="1785"/>
      <c r="AB389" s="1787">
        <v>594682650.46920002</v>
      </c>
      <c r="AC389" s="1786"/>
      <c r="AD389" s="1876">
        <v>534134812.68000001</v>
      </c>
    </row>
    <row r="390" spans="1:30" ht="14.1" customHeight="1">
      <c r="A390" s="1675">
        <v>36</v>
      </c>
      <c r="B390" s="2015"/>
      <c r="C390" s="2009">
        <v>35600</v>
      </c>
      <c r="D390" s="2038" t="s">
        <v>2537</v>
      </c>
      <c r="F390" s="2019">
        <v>2.99</v>
      </c>
      <c r="G390" s="2001"/>
      <c r="H390" s="1876">
        <f t="shared" si="65"/>
        <v>186194.17188119996</v>
      </c>
      <c r="I390" s="1785">
        <f t="shared" si="55"/>
        <v>0</v>
      </c>
      <c r="J390" s="1876">
        <f t="shared" si="56"/>
        <v>22784.901959999999</v>
      </c>
      <c r="K390" s="1786">
        <f t="shared" si="57"/>
        <v>0</v>
      </c>
      <c r="L390" s="1876">
        <f t="shared" si="58"/>
        <v>-5696.2254899999998</v>
      </c>
      <c r="M390" s="1786">
        <f t="shared" si="59"/>
        <v>0</v>
      </c>
      <c r="N390" s="1876">
        <f t="shared" si="60"/>
        <v>0</v>
      </c>
      <c r="O390" s="1785">
        <f t="shared" si="61"/>
        <v>0</v>
      </c>
      <c r="P390" s="1787">
        <f t="shared" si="62"/>
        <v>203282.84835119997</v>
      </c>
      <c r="Q390" s="1786">
        <f t="shared" si="63"/>
        <v>0</v>
      </c>
      <c r="R390" s="1876">
        <f t="shared" si="64"/>
        <v>191363.14815999998</v>
      </c>
      <c r="T390" s="1876">
        <v>186194171.88119996</v>
      </c>
      <c r="U390" s="1785"/>
      <c r="V390" s="1876">
        <v>22784901.960000001</v>
      </c>
      <c r="W390" s="1786"/>
      <c r="X390" s="1876">
        <v>-5696225.4900000002</v>
      </c>
      <c r="Y390" s="1786"/>
      <c r="Z390" s="1876">
        <v>0</v>
      </c>
      <c r="AA390" s="1785"/>
      <c r="AB390" s="1787">
        <v>203282848.35119995</v>
      </c>
      <c r="AC390" s="1786"/>
      <c r="AD390" s="1876">
        <v>191363148.16</v>
      </c>
    </row>
    <row r="391" spans="1:30" ht="14.1" customHeight="1">
      <c r="A391" s="1675">
        <v>37</v>
      </c>
      <c r="B391" s="2015"/>
      <c r="C391" s="2009">
        <v>35601</v>
      </c>
      <c r="D391" s="2038" t="s">
        <v>2538</v>
      </c>
      <c r="F391" s="2019">
        <v>1.02</v>
      </c>
      <c r="G391" s="2001"/>
      <c r="H391" s="1876">
        <f t="shared" si="65"/>
        <v>2110.61013</v>
      </c>
      <c r="I391" s="1785">
        <f t="shared" si="55"/>
        <v>0</v>
      </c>
      <c r="J391" s="1876">
        <f t="shared" si="56"/>
        <v>0</v>
      </c>
      <c r="K391" s="1786">
        <f t="shared" si="57"/>
        <v>0</v>
      </c>
      <c r="L391" s="1876">
        <f t="shared" si="58"/>
        <v>0</v>
      </c>
      <c r="M391" s="1786">
        <f t="shared" si="59"/>
        <v>0</v>
      </c>
      <c r="N391" s="1876">
        <f t="shared" si="60"/>
        <v>0</v>
      </c>
      <c r="O391" s="1785">
        <f t="shared" si="61"/>
        <v>0</v>
      </c>
      <c r="P391" s="1787">
        <f t="shared" si="62"/>
        <v>2110.61013</v>
      </c>
      <c r="Q391" s="1786">
        <f t="shared" si="63"/>
        <v>0</v>
      </c>
      <c r="R391" s="1876">
        <f t="shared" si="64"/>
        <v>2110.61013</v>
      </c>
      <c r="T391" s="1876">
        <v>2110610.13</v>
      </c>
      <c r="U391" s="1785"/>
      <c r="V391" s="1876">
        <v>0</v>
      </c>
      <c r="W391" s="1786"/>
      <c r="X391" s="1876">
        <v>0</v>
      </c>
      <c r="Y391" s="1786"/>
      <c r="Z391" s="1876">
        <v>0</v>
      </c>
      <c r="AA391" s="1785"/>
      <c r="AB391" s="1787">
        <v>2110610.13</v>
      </c>
      <c r="AC391" s="1786"/>
      <c r="AD391" s="1876">
        <v>2110610.13</v>
      </c>
    </row>
    <row r="392" spans="1:30" ht="14.1" customHeight="1">
      <c r="A392" s="1675">
        <v>38</v>
      </c>
      <c r="B392" s="2015"/>
      <c r="C392" s="2009">
        <v>35700</v>
      </c>
      <c r="D392" s="2038" t="s">
        <v>2539</v>
      </c>
      <c r="F392" s="2019">
        <v>1.82</v>
      </c>
      <c r="G392" s="2001"/>
      <c r="H392" s="1876">
        <f t="shared" si="65"/>
        <v>4322.8605300000008</v>
      </c>
      <c r="I392" s="1785">
        <f t="shared" si="55"/>
        <v>0</v>
      </c>
      <c r="J392" s="1876">
        <f t="shared" si="56"/>
        <v>0</v>
      </c>
      <c r="K392" s="1786">
        <f t="shared" si="57"/>
        <v>0</v>
      </c>
      <c r="L392" s="1876">
        <f t="shared" si="58"/>
        <v>0</v>
      </c>
      <c r="M392" s="1786">
        <f t="shared" si="59"/>
        <v>0</v>
      </c>
      <c r="N392" s="1876">
        <f t="shared" si="60"/>
        <v>0</v>
      </c>
      <c r="O392" s="1785">
        <f t="shared" si="61"/>
        <v>0</v>
      </c>
      <c r="P392" s="1787">
        <f t="shared" si="62"/>
        <v>4322.8605300000008</v>
      </c>
      <c r="Q392" s="1786">
        <f t="shared" si="63"/>
        <v>0</v>
      </c>
      <c r="R392" s="1876">
        <f t="shared" si="64"/>
        <v>4322.8605299999999</v>
      </c>
      <c r="T392" s="1876">
        <v>4322860.5300000012</v>
      </c>
      <c r="U392" s="1785"/>
      <c r="V392" s="1876">
        <v>0</v>
      </c>
      <c r="W392" s="1786"/>
      <c r="X392" s="1876">
        <v>0</v>
      </c>
      <c r="Y392" s="1786"/>
      <c r="Z392" s="1876">
        <v>0</v>
      </c>
      <c r="AA392" s="1785"/>
      <c r="AB392" s="1787">
        <v>4322860.5300000012</v>
      </c>
      <c r="AC392" s="1786"/>
      <c r="AD392" s="1876">
        <v>4322860.53</v>
      </c>
    </row>
    <row r="393" spans="1:30" ht="14.1" customHeight="1">
      <c r="A393" s="1675">
        <v>39</v>
      </c>
      <c r="B393" s="2015"/>
      <c r="C393" s="2009">
        <v>35800</v>
      </c>
      <c r="D393" s="2038" t="s">
        <v>2540</v>
      </c>
      <c r="F393" s="2019">
        <v>2.8</v>
      </c>
      <c r="G393" s="2001"/>
      <c r="H393" s="1876">
        <f t="shared" si="65"/>
        <v>12363.044739999998</v>
      </c>
      <c r="I393" s="1785">
        <f t="shared" si="55"/>
        <v>0</v>
      </c>
      <c r="J393" s="1876">
        <f t="shared" si="56"/>
        <v>0</v>
      </c>
      <c r="K393" s="1786">
        <f t="shared" si="57"/>
        <v>0</v>
      </c>
      <c r="L393" s="1876">
        <f t="shared" si="58"/>
        <v>0</v>
      </c>
      <c r="M393" s="1786">
        <f t="shared" si="59"/>
        <v>0</v>
      </c>
      <c r="N393" s="1876">
        <f t="shared" si="60"/>
        <v>0</v>
      </c>
      <c r="O393" s="1785">
        <f t="shared" si="61"/>
        <v>0</v>
      </c>
      <c r="P393" s="1787">
        <f t="shared" si="62"/>
        <v>12363.044739999998</v>
      </c>
      <c r="Q393" s="1786">
        <f t="shared" si="63"/>
        <v>0</v>
      </c>
      <c r="R393" s="1876">
        <f t="shared" si="64"/>
        <v>12363.044739999999</v>
      </c>
      <c r="T393" s="1876">
        <v>12363044.739999998</v>
      </c>
      <c r="U393" s="1785"/>
      <c r="V393" s="1876">
        <v>0</v>
      </c>
      <c r="W393" s="1786"/>
      <c r="X393" s="1876">
        <v>0</v>
      </c>
      <c r="Y393" s="1786"/>
      <c r="Z393" s="1876">
        <v>0</v>
      </c>
      <c r="AA393" s="1785"/>
      <c r="AB393" s="1787">
        <v>12363044.739999998</v>
      </c>
      <c r="AC393" s="1786"/>
      <c r="AD393" s="1876">
        <v>12363044.74</v>
      </c>
    </row>
    <row r="394" spans="1:30" ht="14.1" customHeight="1">
      <c r="A394" s="1675">
        <v>40</v>
      </c>
      <c r="B394" s="2015"/>
      <c r="C394" s="2009">
        <v>35900</v>
      </c>
      <c r="D394" s="2040" t="s">
        <v>2541</v>
      </c>
      <c r="E394" s="1676"/>
      <c r="F394" s="2019">
        <v>1.77</v>
      </c>
      <c r="G394" s="2001"/>
      <c r="H394" s="1876">
        <f t="shared" si="65"/>
        <v>19815.799533199995</v>
      </c>
      <c r="I394" s="1785">
        <f t="shared" si="55"/>
        <v>0</v>
      </c>
      <c r="J394" s="1876">
        <f t="shared" si="56"/>
        <v>1361.55637</v>
      </c>
      <c r="K394" s="1786">
        <f t="shared" si="57"/>
        <v>0</v>
      </c>
      <c r="L394" s="1876">
        <f t="shared" si="58"/>
        <v>13.61556</v>
      </c>
      <c r="M394" s="1786">
        <f t="shared" si="59"/>
        <v>0</v>
      </c>
      <c r="N394" s="1876">
        <f t="shared" si="60"/>
        <v>0</v>
      </c>
      <c r="O394" s="1785">
        <f t="shared" si="61"/>
        <v>0</v>
      </c>
      <c r="P394" s="1787">
        <f t="shared" si="62"/>
        <v>21190.971463199996</v>
      </c>
      <c r="Q394" s="1786">
        <f t="shared" si="63"/>
        <v>0</v>
      </c>
      <c r="R394" s="1876">
        <f t="shared" si="64"/>
        <v>20219.292530000002</v>
      </c>
      <c r="T394" s="1876">
        <v>19815799.533199996</v>
      </c>
      <c r="U394" s="1785"/>
      <c r="V394" s="1876">
        <v>1361556.37</v>
      </c>
      <c r="W394" s="1786"/>
      <c r="X394" s="1876">
        <v>13615.56</v>
      </c>
      <c r="Y394" s="1786"/>
      <c r="Z394" s="1876">
        <v>0</v>
      </c>
      <c r="AA394" s="1785"/>
      <c r="AB394" s="1787">
        <v>21190971.463199995</v>
      </c>
      <c r="AC394" s="1786"/>
      <c r="AD394" s="1876">
        <v>20219292.530000001</v>
      </c>
    </row>
    <row r="395" spans="1:30" ht="14.1" customHeight="1" thickBot="1">
      <c r="A395" s="1675">
        <v>41</v>
      </c>
      <c r="B395" s="2015"/>
      <c r="C395" s="2009"/>
      <c r="D395" s="1676" t="s">
        <v>2456</v>
      </c>
      <c r="E395" s="1676"/>
      <c r="F395" s="2023"/>
      <c r="G395" s="2001"/>
      <c r="H395" s="1798">
        <f t="shared" si="65"/>
        <v>1269708.6412600004</v>
      </c>
      <c r="I395" s="1790">
        <f t="shared" si="55"/>
        <v>0</v>
      </c>
      <c r="J395" s="1798">
        <f t="shared" si="56"/>
        <v>159412.26973000003</v>
      </c>
      <c r="K395" s="1790">
        <f t="shared" si="57"/>
        <v>0</v>
      </c>
      <c r="L395" s="1798">
        <f t="shared" si="58"/>
        <v>-17107.140589999999</v>
      </c>
      <c r="M395" s="1790">
        <f t="shared" si="59"/>
        <v>0</v>
      </c>
      <c r="N395" s="1798">
        <f t="shared" si="60"/>
        <v>0</v>
      </c>
      <c r="O395" s="1790">
        <f t="shared" si="61"/>
        <v>0</v>
      </c>
      <c r="P395" s="1798">
        <f t="shared" si="62"/>
        <v>1412013.7704000003</v>
      </c>
      <c r="Q395" s="1790">
        <f t="shared" si="63"/>
        <v>0</v>
      </c>
      <c r="R395" s="1798">
        <f t="shared" si="64"/>
        <v>1316495.31443</v>
      </c>
      <c r="T395" s="1798">
        <v>1269708641.2600005</v>
      </c>
      <c r="U395" s="1790"/>
      <c r="V395" s="1798">
        <v>159412269.73000002</v>
      </c>
      <c r="W395" s="1790"/>
      <c r="X395" s="1798">
        <v>-17107140.59</v>
      </c>
      <c r="Y395" s="1790"/>
      <c r="Z395" s="1798">
        <v>0</v>
      </c>
      <c r="AA395" s="1790"/>
      <c r="AB395" s="1798">
        <v>1412013770.4000003</v>
      </c>
      <c r="AC395" s="1790"/>
      <c r="AD395" s="1798">
        <v>1316495314.4300001</v>
      </c>
    </row>
    <row r="396" spans="1:30" ht="14.1" customHeight="1" thickTop="1">
      <c r="A396" s="1675">
        <v>42</v>
      </c>
      <c r="B396" s="2015"/>
      <c r="C396" s="1675"/>
      <c r="H396" s="1674">
        <f t="shared" si="65"/>
        <v>0</v>
      </c>
      <c r="I396" s="1674">
        <f t="shared" si="55"/>
        <v>0</v>
      </c>
      <c r="J396" s="1674">
        <f t="shared" si="56"/>
        <v>0</v>
      </c>
      <c r="K396" s="1674">
        <f t="shared" si="57"/>
        <v>0</v>
      </c>
      <c r="L396" s="1674">
        <f t="shared" si="58"/>
        <v>0</v>
      </c>
      <c r="M396" s="1674">
        <f t="shared" si="59"/>
        <v>0</v>
      </c>
      <c r="N396" s="1674">
        <f t="shared" si="60"/>
        <v>0</v>
      </c>
      <c r="O396" s="2001">
        <f t="shared" si="61"/>
        <v>0</v>
      </c>
      <c r="P396" s="1674">
        <f t="shared" si="62"/>
        <v>0</v>
      </c>
      <c r="Q396" s="1674">
        <f t="shared" si="63"/>
        <v>0</v>
      </c>
      <c r="R396" s="1674">
        <f t="shared" si="64"/>
        <v>0</v>
      </c>
      <c r="AA396" s="2001"/>
    </row>
    <row r="397" spans="1:30" ht="14.1" customHeight="1">
      <c r="A397" s="1675">
        <v>43</v>
      </c>
      <c r="B397" s="2015"/>
      <c r="H397" s="1674">
        <f t="shared" si="65"/>
        <v>0</v>
      </c>
      <c r="I397" s="1674">
        <f t="shared" si="55"/>
        <v>0</v>
      </c>
      <c r="J397" s="1674">
        <f t="shared" si="56"/>
        <v>0</v>
      </c>
      <c r="K397" s="1674">
        <f t="shared" si="57"/>
        <v>0</v>
      </c>
      <c r="L397" s="1674">
        <f t="shared" si="58"/>
        <v>0</v>
      </c>
      <c r="M397" s="1674">
        <f t="shared" si="59"/>
        <v>0</v>
      </c>
      <c r="N397" s="1674">
        <f t="shared" si="60"/>
        <v>0</v>
      </c>
      <c r="O397" s="2001">
        <f t="shared" si="61"/>
        <v>0</v>
      </c>
      <c r="P397" s="1674">
        <f t="shared" si="62"/>
        <v>0</v>
      </c>
      <c r="Q397" s="1674">
        <f t="shared" si="63"/>
        <v>0</v>
      </c>
      <c r="R397" s="1674">
        <f t="shared" si="64"/>
        <v>0</v>
      </c>
      <c r="AA397" s="2001"/>
    </row>
    <row r="398" spans="1:30" ht="14.1" customHeight="1" thickBot="1">
      <c r="A398" s="2008">
        <v>44</v>
      </c>
      <c r="B398" s="1869" t="s">
        <v>2476</v>
      </c>
      <c r="C398" s="1997"/>
      <c r="D398" s="1997"/>
      <c r="E398" s="1997"/>
      <c r="F398" s="1997"/>
      <c r="G398" s="1997"/>
      <c r="H398" s="1997">
        <f t="shared" si="65"/>
        <v>0</v>
      </c>
      <c r="I398" s="1997">
        <f t="shared" si="55"/>
        <v>0</v>
      </c>
      <c r="J398" s="1997">
        <f t="shared" si="56"/>
        <v>0</v>
      </c>
      <c r="K398" s="1997">
        <f t="shared" si="57"/>
        <v>0</v>
      </c>
      <c r="L398" s="1997">
        <f t="shared" si="58"/>
        <v>0</v>
      </c>
      <c r="M398" s="1997">
        <f t="shared" si="59"/>
        <v>0</v>
      </c>
      <c r="N398" s="1997">
        <f t="shared" si="60"/>
        <v>0</v>
      </c>
      <c r="O398" s="1998">
        <f t="shared" si="61"/>
        <v>0</v>
      </c>
      <c r="P398" s="1997">
        <f t="shared" si="62"/>
        <v>0</v>
      </c>
      <c r="Q398" s="1997">
        <f t="shared" si="63"/>
        <v>0</v>
      </c>
      <c r="R398" s="1997">
        <f t="shared" si="64"/>
        <v>0</v>
      </c>
      <c r="T398" s="1997"/>
      <c r="U398" s="1997"/>
      <c r="V398" s="1997"/>
      <c r="W398" s="1997"/>
      <c r="X398" s="1997"/>
      <c r="Y398" s="1997"/>
      <c r="Z398" s="1997"/>
      <c r="AA398" s="1998"/>
      <c r="AB398" s="1997"/>
      <c r="AC398" s="1997"/>
      <c r="AD398" s="1997"/>
    </row>
    <row r="399" spans="1:30" ht="14.1" customHeight="1">
      <c r="A399" s="1674" t="s">
        <v>8947</v>
      </c>
      <c r="H399" s="1674">
        <f t="shared" si="65"/>
        <v>0</v>
      </c>
      <c r="I399" s="1674">
        <f t="shared" si="55"/>
        <v>0</v>
      </c>
      <c r="J399" s="1674">
        <f t="shared" si="56"/>
        <v>0</v>
      </c>
      <c r="K399" s="1674">
        <f t="shared" si="57"/>
        <v>0</v>
      </c>
      <c r="L399" s="1674">
        <f t="shared" si="58"/>
        <v>0</v>
      </c>
      <c r="M399" s="1674">
        <f t="shared" si="59"/>
        <v>0</v>
      </c>
      <c r="N399" s="1674">
        <f t="shared" si="60"/>
        <v>0</v>
      </c>
      <c r="O399" s="2001">
        <f t="shared" si="61"/>
        <v>0</v>
      </c>
      <c r="P399" s="1674" t="str">
        <f t="shared" si="62"/>
        <v>Recap Schedules:  B-03, B-06</v>
      </c>
      <c r="Q399" s="1674">
        <f t="shared" si="63"/>
        <v>0</v>
      </c>
      <c r="R399" s="1674">
        <f t="shared" si="64"/>
        <v>0</v>
      </c>
      <c r="AA399" s="2001"/>
      <c r="AB399" s="1674" t="s">
        <v>8948</v>
      </c>
    </row>
    <row r="400" spans="1:30" ht="14.1" customHeight="1" thickBot="1">
      <c r="A400" s="1997" t="s">
        <v>8943</v>
      </c>
      <c r="B400" s="1997"/>
      <c r="C400" s="1997"/>
      <c r="D400" s="1997"/>
      <c r="E400" s="1997"/>
      <c r="F400" s="1997"/>
      <c r="G400" s="1997" t="s">
        <v>2422</v>
      </c>
      <c r="H400" s="1997">
        <f t="shared" si="65"/>
        <v>0</v>
      </c>
      <c r="I400" s="1997">
        <f t="shared" si="55"/>
        <v>0</v>
      </c>
      <c r="J400" s="1997">
        <f t="shared" si="56"/>
        <v>0</v>
      </c>
      <c r="K400" s="1997">
        <f t="shared" si="57"/>
        <v>0</v>
      </c>
      <c r="L400" s="1997">
        <f t="shared" si="58"/>
        <v>0</v>
      </c>
      <c r="M400" s="1997">
        <f t="shared" si="59"/>
        <v>0</v>
      </c>
      <c r="N400" s="1997">
        <f t="shared" si="60"/>
        <v>0</v>
      </c>
      <c r="O400" s="1998">
        <f t="shared" si="61"/>
        <v>0</v>
      </c>
      <c r="P400" s="1997">
        <f t="shared" si="62"/>
        <v>0</v>
      </c>
      <c r="Q400" s="1997">
        <f t="shared" si="63"/>
        <v>0</v>
      </c>
      <c r="R400" s="1997" t="str">
        <f t="shared" si="64"/>
        <v>Page 8 of 10</v>
      </c>
      <c r="T400" s="1997"/>
      <c r="U400" s="1997"/>
      <c r="V400" s="1997"/>
      <c r="W400" s="1997"/>
      <c r="X400" s="1997"/>
      <c r="Y400" s="1997"/>
      <c r="Z400" s="1997"/>
      <c r="AA400" s="1998"/>
      <c r="AB400" s="1997"/>
      <c r="AC400" s="1997"/>
      <c r="AD400" s="1997" t="s">
        <v>2542</v>
      </c>
    </row>
    <row r="401" spans="1:30" ht="14.1" customHeight="1">
      <c r="A401" s="1674" t="s">
        <v>2425</v>
      </c>
      <c r="B401" s="2024"/>
      <c r="E401" s="2001" t="s">
        <v>2426</v>
      </c>
      <c r="F401" s="1674" t="s">
        <v>8155</v>
      </c>
      <c r="H401" s="1674">
        <f t="shared" si="65"/>
        <v>0</v>
      </c>
      <c r="I401" s="1674">
        <f t="shared" ref="I401:I464" si="66">+IF(ISNUMBER(U401),U401/1000,U401)</f>
        <v>0</v>
      </c>
      <c r="J401" s="2003">
        <f t="shared" ref="J401:J464" si="67">+IF(ISNUMBER(V401),V401/1000,V401)</f>
        <v>0</v>
      </c>
      <c r="K401" s="2003">
        <f t="shared" ref="K401:K464" si="68">+IF(ISNUMBER(W401),W401/1000,W401)</f>
        <v>0</v>
      </c>
      <c r="L401" s="1674">
        <f t="shared" ref="L401:L464" si="69">+IF(ISNUMBER(X401),X401/1000,X401)</f>
        <v>0</v>
      </c>
      <c r="M401" s="2003">
        <f t="shared" ref="M401:M464" si="70">+IF(ISNUMBER(Y401),Y401/1000,Y401)</f>
        <v>0</v>
      </c>
      <c r="N401" s="2003">
        <f t="shared" ref="N401:N464" si="71">+IF(ISNUMBER(Z401),Z401/1000,Z401)</f>
        <v>0</v>
      </c>
      <c r="O401" s="2004">
        <f t="shared" ref="O401:O464" si="72">+IF(ISNUMBER(AA401),AA401/1000,AA401)</f>
        <v>0</v>
      </c>
      <c r="P401" s="1674" t="str">
        <f t="shared" ref="P401:P464" si="73">+IF(ISNUMBER(AB401),AB401/1000,AB401)</f>
        <v>Type of data shown:</v>
      </c>
      <c r="Q401" s="1674">
        <f t="shared" ref="Q401:Q464" si="74">+IF(ISNUMBER(AC401),AC401/1000,AC401)</f>
        <v>0</v>
      </c>
      <c r="R401" s="2005">
        <f t="shared" ref="R401:R464" si="75">+IF(ISNUMBER(AD401),AD401/1000,AD401)</f>
        <v>0</v>
      </c>
      <c r="V401" s="2003"/>
      <c r="W401" s="2003"/>
      <c r="Y401" s="2003"/>
      <c r="Z401" s="2003"/>
      <c r="AA401" s="2004"/>
      <c r="AB401" s="1674" t="s">
        <v>2427</v>
      </c>
      <c r="AD401" s="2005"/>
    </row>
    <row r="402" spans="1:30" ht="14.1" customHeight="1">
      <c r="B402" s="2024"/>
      <c r="F402" s="1674" t="s">
        <v>8156</v>
      </c>
      <c r="H402" s="1674">
        <f t="shared" ref="H402:H465" si="76">+IF(ISNUMBER(T402),T402/1000,T402)</f>
        <v>0</v>
      </c>
      <c r="I402" s="1674">
        <f t="shared" si="66"/>
        <v>0</v>
      </c>
      <c r="J402" s="2001">
        <f t="shared" si="67"/>
        <v>0</v>
      </c>
      <c r="K402" s="2005">
        <f t="shared" si="68"/>
        <v>0</v>
      </c>
      <c r="L402" s="1674">
        <f t="shared" si="69"/>
        <v>0</v>
      </c>
      <c r="M402" s="1674">
        <f t="shared" si="70"/>
        <v>0</v>
      </c>
      <c r="N402" s="2001">
        <f t="shared" si="71"/>
        <v>0</v>
      </c>
      <c r="O402" s="2001" t="str">
        <f t="shared" si="72"/>
        <v>XX</v>
      </c>
      <c r="P402" s="2005" t="str">
        <f t="shared" si="73"/>
        <v>Projected Test Year Ended 12/31/2025</v>
      </c>
      <c r="Q402" s="1674">
        <f t="shared" si="74"/>
        <v>0</v>
      </c>
      <c r="R402" s="2001">
        <f t="shared" si="75"/>
        <v>0</v>
      </c>
      <c r="V402" s="2001"/>
      <c r="W402" s="2005"/>
      <c r="Z402" s="2001"/>
      <c r="AA402" s="2001" t="s">
        <v>8157</v>
      </c>
      <c r="AB402" s="2005" t="s">
        <v>8944</v>
      </c>
      <c r="AD402" s="2001"/>
    </row>
    <row r="403" spans="1:30" ht="14.1" customHeight="1">
      <c r="A403" s="1674" t="s">
        <v>2428</v>
      </c>
      <c r="B403" s="2024"/>
      <c r="F403" s="1674" t="s">
        <v>2360</v>
      </c>
      <c r="H403" s="1674">
        <f t="shared" si="76"/>
        <v>0</v>
      </c>
      <c r="I403" s="1674">
        <f t="shared" si="66"/>
        <v>0</v>
      </c>
      <c r="J403" s="2001">
        <f t="shared" si="67"/>
        <v>0</v>
      </c>
      <c r="K403" s="2005">
        <f t="shared" si="68"/>
        <v>0</v>
      </c>
      <c r="L403" s="2001">
        <f t="shared" si="69"/>
        <v>0</v>
      </c>
      <c r="M403" s="1674">
        <f t="shared" si="70"/>
        <v>0</v>
      </c>
      <c r="N403" s="1674">
        <f t="shared" si="71"/>
        <v>0</v>
      </c>
      <c r="O403" s="2001" t="str">
        <f t="shared" si="72"/>
        <v/>
      </c>
      <c r="P403" s="2005" t="str">
        <f t="shared" si="73"/>
        <v>Projected Prior Year Ended 12/31/2024</v>
      </c>
      <c r="Q403" s="1674">
        <f t="shared" si="74"/>
        <v>0</v>
      </c>
      <c r="R403" s="2001">
        <f t="shared" si="75"/>
        <v>0</v>
      </c>
      <c r="V403" s="2001"/>
      <c r="W403" s="2005"/>
      <c r="X403" s="2001"/>
      <c r="AA403" s="2001" t="s">
        <v>2360</v>
      </c>
      <c r="AB403" s="2005" t="s">
        <v>8945</v>
      </c>
      <c r="AD403" s="2001"/>
    </row>
    <row r="404" spans="1:30" ht="14.1" customHeight="1">
      <c r="B404" s="2024"/>
      <c r="F404" s="1674" t="s">
        <v>2360</v>
      </c>
      <c r="H404" s="1674">
        <f t="shared" si="76"/>
        <v>0</v>
      </c>
      <c r="I404" s="1674">
        <f t="shared" si="66"/>
        <v>0</v>
      </c>
      <c r="J404" s="2001">
        <f t="shared" si="67"/>
        <v>0</v>
      </c>
      <c r="K404" s="2005">
        <f t="shared" si="68"/>
        <v>0</v>
      </c>
      <c r="L404" s="2001">
        <f t="shared" si="69"/>
        <v>0</v>
      </c>
      <c r="M404" s="1674">
        <f t="shared" si="70"/>
        <v>0</v>
      </c>
      <c r="N404" s="1674">
        <f t="shared" si="71"/>
        <v>0</v>
      </c>
      <c r="O404" s="2001" t="str">
        <f t="shared" si="72"/>
        <v/>
      </c>
      <c r="P404" s="2005" t="str">
        <f t="shared" si="73"/>
        <v>Historical Prior Year Ended 12/31/2023</v>
      </c>
      <c r="Q404" s="1674">
        <f t="shared" si="74"/>
        <v>0</v>
      </c>
      <c r="R404" s="2001">
        <f t="shared" si="75"/>
        <v>0</v>
      </c>
      <c r="V404" s="2001"/>
      <c r="W404" s="2005"/>
      <c r="X404" s="2001"/>
      <c r="AA404" s="2001" t="s">
        <v>2360</v>
      </c>
      <c r="AB404" s="2005" t="s">
        <v>8946</v>
      </c>
      <c r="AD404" s="2001"/>
    </row>
    <row r="405" spans="1:30" ht="14.1" customHeight="1">
      <c r="B405" s="2024"/>
      <c r="H405" s="1674">
        <f t="shared" si="76"/>
        <v>0</v>
      </c>
      <c r="I405" s="1674">
        <f t="shared" si="66"/>
        <v>0</v>
      </c>
      <c r="J405" s="2001">
        <f t="shared" si="67"/>
        <v>0</v>
      </c>
      <c r="K405" s="2005">
        <f t="shared" si="68"/>
        <v>0</v>
      </c>
      <c r="L405" s="2001">
        <f t="shared" si="69"/>
        <v>0</v>
      </c>
      <c r="M405" s="1674">
        <f t="shared" si="70"/>
        <v>0</v>
      </c>
      <c r="N405" s="1674">
        <f t="shared" si="71"/>
        <v>0</v>
      </c>
      <c r="O405" s="2001">
        <f t="shared" si="72"/>
        <v>0</v>
      </c>
      <c r="P405" s="2005" t="str">
        <f t="shared" si="73"/>
        <v>Witness: D. Avellan</v>
      </c>
      <c r="Q405" s="1674">
        <f t="shared" si="74"/>
        <v>0</v>
      </c>
      <c r="R405" s="2001">
        <f t="shared" si="75"/>
        <v>0</v>
      </c>
      <c r="V405" s="2001"/>
      <c r="W405" s="2005"/>
      <c r="X405" s="2001"/>
      <c r="AA405" s="2001"/>
      <c r="AB405" s="2005" t="s">
        <v>8160</v>
      </c>
      <c r="AD405" s="2001"/>
    </row>
    <row r="406" spans="1:30" ht="14.1" customHeight="1" thickBot="1">
      <c r="A406" s="1997" t="s">
        <v>8158</v>
      </c>
      <c r="B406" s="2025"/>
      <c r="C406" s="1997"/>
      <c r="D406" s="1997"/>
      <c r="E406" s="1997"/>
      <c r="F406" s="1997" t="s">
        <v>2360</v>
      </c>
      <c r="G406" s="1997"/>
      <c r="H406" s="2008" t="str">
        <f t="shared" si="76"/>
        <v>(Dollars in cents)</v>
      </c>
      <c r="I406" s="1997">
        <f t="shared" si="66"/>
        <v>0</v>
      </c>
      <c r="J406" s="1997">
        <f t="shared" si="67"/>
        <v>0</v>
      </c>
      <c r="K406" s="1997">
        <f t="shared" si="68"/>
        <v>0</v>
      </c>
      <c r="L406" s="1997">
        <f t="shared" si="69"/>
        <v>0</v>
      </c>
      <c r="M406" s="1997">
        <f t="shared" si="70"/>
        <v>0</v>
      </c>
      <c r="N406" s="1997">
        <f t="shared" si="71"/>
        <v>0</v>
      </c>
      <c r="O406" s="1998">
        <f t="shared" si="72"/>
        <v>0</v>
      </c>
      <c r="P406" s="1997" t="str">
        <f t="shared" si="73"/>
        <v xml:space="preserve"> </v>
      </c>
      <c r="Q406" s="1997">
        <f t="shared" si="74"/>
        <v>0</v>
      </c>
      <c r="R406" s="1997">
        <f t="shared" si="75"/>
        <v>0</v>
      </c>
      <c r="T406" s="2008" t="s">
        <v>8159</v>
      </c>
      <c r="U406" s="1997"/>
      <c r="V406" s="1997"/>
      <c r="W406" s="1997"/>
      <c r="X406" s="1997"/>
      <c r="Y406" s="1997"/>
      <c r="Z406" s="1997"/>
      <c r="AA406" s="1998"/>
      <c r="AB406" s="1997" t="s">
        <v>2477</v>
      </c>
      <c r="AC406" s="1997"/>
      <c r="AD406" s="1997"/>
    </row>
    <row r="407" spans="1:30" ht="14.1" customHeight="1">
      <c r="C407" s="2009"/>
      <c r="D407" s="2009"/>
      <c r="E407" s="2009"/>
      <c r="F407" s="2009"/>
      <c r="G407" s="2009"/>
      <c r="H407" s="2009">
        <f t="shared" si="76"/>
        <v>0</v>
      </c>
      <c r="I407" s="2009">
        <f t="shared" si="66"/>
        <v>0</v>
      </c>
      <c r="J407" s="2009">
        <f t="shared" si="67"/>
        <v>0</v>
      </c>
      <c r="K407" s="2009">
        <f t="shared" si="68"/>
        <v>0</v>
      </c>
      <c r="L407" s="2009">
        <f t="shared" si="69"/>
        <v>0</v>
      </c>
      <c r="M407" s="2009">
        <f t="shared" si="70"/>
        <v>0</v>
      </c>
      <c r="N407" s="2009">
        <f t="shared" si="71"/>
        <v>0</v>
      </c>
      <c r="O407" s="2010">
        <f t="shared" si="72"/>
        <v>0</v>
      </c>
      <c r="P407" s="2009">
        <f t="shared" si="73"/>
        <v>0</v>
      </c>
      <c r="Q407" s="2009">
        <f t="shared" si="74"/>
        <v>0</v>
      </c>
      <c r="R407" s="2009">
        <f t="shared" si="75"/>
        <v>0</v>
      </c>
      <c r="T407" s="2009"/>
      <c r="U407" s="2009"/>
      <c r="V407" s="2009"/>
      <c r="W407" s="2009"/>
      <c r="X407" s="2009"/>
      <c r="Y407" s="2009"/>
      <c r="Z407" s="2009"/>
      <c r="AA407" s="2010"/>
      <c r="AB407" s="2009"/>
      <c r="AC407" s="2009"/>
      <c r="AD407" s="2009"/>
    </row>
    <row r="408" spans="1:30" ht="14.1" customHeight="1">
      <c r="C408" s="2009" t="s">
        <v>2306</v>
      </c>
      <c r="D408" s="2009" t="s">
        <v>2307</v>
      </c>
      <c r="E408" s="2009"/>
      <c r="F408" s="2009" t="s">
        <v>2308</v>
      </c>
      <c r="G408" s="2009"/>
      <c r="H408" s="2009" t="str">
        <f t="shared" si="76"/>
        <v>(4)</v>
      </c>
      <c r="I408" s="2009">
        <f t="shared" si="66"/>
        <v>0</v>
      </c>
      <c r="J408" s="1675" t="str">
        <f t="shared" si="67"/>
        <v>(5)</v>
      </c>
      <c r="K408" s="1675">
        <f t="shared" si="68"/>
        <v>0</v>
      </c>
      <c r="L408" s="2009" t="str">
        <f t="shared" si="69"/>
        <v>(6)</v>
      </c>
      <c r="M408" s="2009">
        <f t="shared" si="70"/>
        <v>0</v>
      </c>
      <c r="N408" s="2009" t="str">
        <f t="shared" si="71"/>
        <v>(7)</v>
      </c>
      <c r="O408" s="2010">
        <f t="shared" si="72"/>
        <v>0</v>
      </c>
      <c r="P408" s="2009" t="str">
        <f t="shared" si="73"/>
        <v>(8)</v>
      </c>
      <c r="Q408" s="2009">
        <f t="shared" si="74"/>
        <v>0</v>
      </c>
      <c r="R408" s="2009" t="str">
        <f t="shared" si="75"/>
        <v>(9)</v>
      </c>
      <c r="T408" s="2009" t="s">
        <v>2309</v>
      </c>
      <c r="U408" s="2009"/>
      <c r="V408" s="1675" t="s">
        <v>2310</v>
      </c>
      <c r="W408" s="1675"/>
      <c r="X408" s="2009" t="s">
        <v>2311</v>
      </c>
      <c r="Y408" s="2009"/>
      <c r="Z408" s="2009" t="s">
        <v>2312</v>
      </c>
      <c r="AA408" s="2010"/>
      <c r="AB408" s="2009" t="s">
        <v>2313</v>
      </c>
      <c r="AC408" s="2009"/>
      <c r="AD408" s="2009" t="s">
        <v>2314</v>
      </c>
    </row>
    <row r="409" spans="1:30" ht="14.1" customHeight="1">
      <c r="C409" s="1675" t="s">
        <v>2429</v>
      </c>
      <c r="D409" s="1675" t="s">
        <v>2429</v>
      </c>
      <c r="F409" s="1675" t="s">
        <v>1537</v>
      </c>
      <c r="G409" s="1675"/>
      <c r="H409" s="2009" t="str">
        <f t="shared" si="76"/>
        <v>Plant</v>
      </c>
      <c r="I409" s="1675">
        <f t="shared" si="66"/>
        <v>0</v>
      </c>
      <c r="J409" s="2009" t="str">
        <f t="shared" si="67"/>
        <v>Total</v>
      </c>
      <c r="K409" s="1675">
        <f t="shared" si="68"/>
        <v>0</v>
      </c>
      <c r="L409" s="1675" t="str">
        <f t="shared" si="69"/>
        <v>Total</v>
      </c>
      <c r="M409" s="1675">
        <f t="shared" si="70"/>
        <v>0</v>
      </c>
      <c r="N409" s="1674">
        <f t="shared" si="71"/>
        <v>0</v>
      </c>
      <c r="O409" s="2001">
        <f t="shared" si="72"/>
        <v>0</v>
      </c>
      <c r="P409" s="1675" t="str">
        <f t="shared" si="73"/>
        <v>Plant</v>
      </c>
      <c r="Q409" s="1674">
        <f t="shared" si="74"/>
        <v>0</v>
      </c>
      <c r="R409" s="1675">
        <f t="shared" si="75"/>
        <v>0</v>
      </c>
      <c r="T409" s="2009" t="s">
        <v>1823</v>
      </c>
      <c r="U409" s="1675"/>
      <c r="V409" s="2009" t="s">
        <v>122</v>
      </c>
      <c r="W409" s="1675"/>
      <c r="X409" s="1675" t="s">
        <v>122</v>
      </c>
      <c r="Y409" s="1675"/>
      <c r="AA409" s="2001"/>
      <c r="AB409" s="1675" t="s">
        <v>1823</v>
      </c>
      <c r="AD409" s="1675"/>
    </row>
    <row r="410" spans="1:30" ht="14.1" customHeight="1">
      <c r="A410" s="1675" t="s">
        <v>2430</v>
      </c>
      <c r="B410" s="1675"/>
      <c r="C410" s="1675" t="s">
        <v>2431</v>
      </c>
      <c r="D410" s="1675" t="s">
        <v>2431</v>
      </c>
      <c r="E410" s="2009"/>
      <c r="F410" s="1675" t="s">
        <v>2432</v>
      </c>
      <c r="G410" s="1675"/>
      <c r="H410" s="1675" t="str">
        <f t="shared" si="76"/>
        <v>Balance</v>
      </c>
      <c r="I410" s="1675">
        <f t="shared" si="66"/>
        <v>0</v>
      </c>
      <c r="J410" s="1675" t="str">
        <f t="shared" si="67"/>
        <v>Plant</v>
      </c>
      <c r="K410" s="2009">
        <f t="shared" si="68"/>
        <v>0</v>
      </c>
      <c r="L410" s="1675" t="str">
        <f t="shared" si="69"/>
        <v>Plant</v>
      </c>
      <c r="M410" s="2005">
        <f t="shared" si="70"/>
        <v>0</v>
      </c>
      <c r="N410" s="1675" t="str">
        <f t="shared" si="71"/>
        <v>Adjustments</v>
      </c>
      <c r="O410" s="2010">
        <f t="shared" si="72"/>
        <v>0</v>
      </c>
      <c r="P410" s="2009" t="str">
        <f t="shared" si="73"/>
        <v>Balance</v>
      </c>
      <c r="Q410" s="2009">
        <f t="shared" si="74"/>
        <v>0</v>
      </c>
      <c r="R410" s="1675" t="str">
        <f t="shared" si="75"/>
        <v>13-Month</v>
      </c>
      <c r="T410" s="1675" t="s">
        <v>2433</v>
      </c>
      <c r="U410" s="1675"/>
      <c r="V410" s="1675" t="s">
        <v>1823</v>
      </c>
      <c r="W410" s="2009"/>
      <c r="X410" s="1675" t="s">
        <v>1823</v>
      </c>
      <c r="Y410" s="2005"/>
      <c r="Z410" s="1675" t="s">
        <v>593</v>
      </c>
      <c r="AA410" s="2010"/>
      <c r="AB410" s="2009" t="s">
        <v>2433</v>
      </c>
      <c r="AC410" s="2009"/>
      <c r="AD410" s="1675" t="s">
        <v>2434</v>
      </c>
    </row>
    <row r="411" spans="1:30" ht="14.1" customHeight="1" thickBot="1">
      <c r="A411" s="2008" t="s">
        <v>2435</v>
      </c>
      <c r="B411" s="2008"/>
      <c r="C411" s="2008" t="s">
        <v>2436</v>
      </c>
      <c r="D411" s="2008" t="s">
        <v>2437</v>
      </c>
      <c r="E411" s="2008"/>
      <c r="F411" s="2011" t="s">
        <v>2438</v>
      </c>
      <c r="G411" s="2011"/>
      <c r="H411" s="2011" t="str">
        <f t="shared" si="76"/>
        <v>Beg. of Year</v>
      </c>
      <c r="I411" s="2012">
        <f t="shared" si="66"/>
        <v>0</v>
      </c>
      <c r="J411" s="2011" t="str">
        <f t="shared" si="67"/>
        <v>Added</v>
      </c>
      <c r="K411" s="2012">
        <f t="shared" si="68"/>
        <v>0</v>
      </c>
      <c r="L411" s="2012" t="str">
        <f t="shared" si="69"/>
        <v>Retired</v>
      </c>
      <c r="M411" s="2013">
        <f t="shared" si="70"/>
        <v>0</v>
      </c>
      <c r="N411" s="2013" t="str">
        <f t="shared" si="71"/>
        <v>or Transfers</v>
      </c>
      <c r="O411" s="2014">
        <f t="shared" si="72"/>
        <v>0</v>
      </c>
      <c r="P411" s="2013" t="str">
        <f t="shared" si="73"/>
        <v>End of Year</v>
      </c>
      <c r="Q411" s="2013">
        <f t="shared" si="74"/>
        <v>0</v>
      </c>
      <c r="R411" s="2013" t="str">
        <f t="shared" si="75"/>
        <v>Average</v>
      </c>
      <c r="T411" s="2011" t="s">
        <v>2439</v>
      </c>
      <c r="U411" s="2012"/>
      <c r="V411" s="2011" t="s">
        <v>2440</v>
      </c>
      <c r="W411" s="2012"/>
      <c r="X411" s="2012" t="s">
        <v>2441</v>
      </c>
      <c r="Y411" s="2013"/>
      <c r="Z411" s="2013" t="s">
        <v>2442</v>
      </c>
      <c r="AA411" s="2014"/>
      <c r="AB411" s="2013" t="s">
        <v>2443</v>
      </c>
      <c r="AC411" s="2013"/>
      <c r="AD411" s="2013" t="s">
        <v>2444</v>
      </c>
    </row>
    <row r="412" spans="1:30" ht="14.1" customHeight="1">
      <c r="A412" s="1675">
        <v>1</v>
      </c>
      <c r="B412" s="1675"/>
      <c r="H412" s="1674">
        <f t="shared" si="76"/>
        <v>0</v>
      </c>
      <c r="I412" s="1674">
        <f t="shared" si="66"/>
        <v>0</v>
      </c>
      <c r="J412" s="1674">
        <f t="shared" si="67"/>
        <v>0</v>
      </c>
      <c r="K412" s="1674">
        <f t="shared" si="68"/>
        <v>0</v>
      </c>
      <c r="L412" s="1674">
        <f t="shared" si="69"/>
        <v>0</v>
      </c>
      <c r="M412" s="1674">
        <f t="shared" si="70"/>
        <v>0</v>
      </c>
      <c r="N412" s="1674">
        <f t="shared" si="71"/>
        <v>0</v>
      </c>
      <c r="O412" s="2001">
        <f t="shared" si="72"/>
        <v>0</v>
      </c>
      <c r="P412" s="1674">
        <f t="shared" si="73"/>
        <v>0</v>
      </c>
      <c r="Q412" s="1674">
        <f t="shared" si="74"/>
        <v>0</v>
      </c>
      <c r="R412" s="1674">
        <f t="shared" si="75"/>
        <v>0</v>
      </c>
      <c r="AA412" s="2001"/>
    </row>
    <row r="413" spans="1:30" ht="14.1" customHeight="1">
      <c r="A413" s="1675">
        <v>2</v>
      </c>
      <c r="B413" s="2015"/>
      <c r="C413" s="2019"/>
      <c r="D413" s="1674" t="s">
        <v>2543</v>
      </c>
      <c r="F413" s="2023"/>
      <c r="H413" s="2041">
        <f t="shared" si="76"/>
        <v>0</v>
      </c>
      <c r="I413" s="2041">
        <f t="shared" si="66"/>
        <v>0</v>
      </c>
      <c r="J413" s="2041">
        <f t="shared" si="67"/>
        <v>0</v>
      </c>
      <c r="K413" s="2041">
        <f t="shared" si="68"/>
        <v>0</v>
      </c>
      <c r="L413" s="2041">
        <f t="shared" si="69"/>
        <v>0</v>
      </c>
      <c r="M413" s="2041">
        <f t="shared" si="70"/>
        <v>0</v>
      </c>
      <c r="N413" s="2041">
        <f t="shared" si="71"/>
        <v>0</v>
      </c>
      <c r="O413" s="2042">
        <f t="shared" si="72"/>
        <v>0</v>
      </c>
      <c r="P413" s="2041">
        <f t="shared" si="73"/>
        <v>0</v>
      </c>
      <c r="Q413" s="2041">
        <f t="shared" si="74"/>
        <v>0</v>
      </c>
      <c r="R413" s="1800">
        <f t="shared" si="75"/>
        <v>0</v>
      </c>
      <c r="T413" s="2041"/>
      <c r="U413" s="2041"/>
      <c r="V413" s="2041"/>
      <c r="W413" s="2041"/>
      <c r="X413" s="2041"/>
      <c r="Y413" s="2041"/>
      <c r="Z413" s="2041"/>
      <c r="AA413" s="2042"/>
      <c r="AB413" s="2041"/>
      <c r="AC413" s="2041"/>
      <c r="AD413" s="1800"/>
    </row>
    <row r="414" spans="1:30" ht="14.1" customHeight="1">
      <c r="A414" s="1675">
        <v>3</v>
      </c>
      <c r="B414" s="2015"/>
      <c r="C414" s="1675">
        <v>36001</v>
      </c>
      <c r="D414" s="2040" t="s">
        <v>2532</v>
      </c>
      <c r="E414" s="1676"/>
      <c r="F414" s="2023"/>
      <c r="G414" s="2001"/>
      <c r="H414" s="1787">
        <f t="shared" si="76"/>
        <v>0</v>
      </c>
      <c r="I414" s="1790">
        <f t="shared" si="66"/>
        <v>0</v>
      </c>
      <c r="J414" s="1787">
        <f t="shared" si="67"/>
        <v>0</v>
      </c>
      <c r="K414" s="1790">
        <f t="shared" si="68"/>
        <v>0</v>
      </c>
      <c r="L414" s="1787">
        <f t="shared" si="69"/>
        <v>0</v>
      </c>
      <c r="M414" s="1790">
        <f t="shared" si="70"/>
        <v>0</v>
      </c>
      <c r="N414" s="1787">
        <f t="shared" si="71"/>
        <v>0</v>
      </c>
      <c r="O414" s="1790">
        <f t="shared" si="72"/>
        <v>0</v>
      </c>
      <c r="P414" s="1787">
        <f t="shared" si="73"/>
        <v>0</v>
      </c>
      <c r="Q414" s="1790">
        <f t="shared" si="74"/>
        <v>0</v>
      </c>
      <c r="R414" s="1787">
        <f t="shared" si="75"/>
        <v>0</v>
      </c>
      <c r="T414" s="1787"/>
      <c r="U414" s="1790"/>
      <c r="V414" s="1787"/>
      <c r="W414" s="1790"/>
      <c r="X414" s="1787"/>
      <c r="Y414" s="1790"/>
      <c r="Z414" s="1787"/>
      <c r="AA414" s="1790"/>
      <c r="AB414" s="1787"/>
      <c r="AC414" s="1790"/>
      <c r="AD414" s="1787"/>
    </row>
    <row r="415" spans="1:30" ht="14.1" customHeight="1">
      <c r="A415" s="1675">
        <v>4</v>
      </c>
      <c r="B415" s="2015"/>
      <c r="C415" s="1675">
        <v>36100</v>
      </c>
      <c r="D415" s="2038" t="s">
        <v>2533</v>
      </c>
      <c r="F415" s="2019">
        <v>2.58</v>
      </c>
      <c r="G415" s="2001"/>
      <c r="H415" s="1876">
        <f t="shared" si="76"/>
        <v>34138.496829999982</v>
      </c>
      <c r="I415" s="1785">
        <f t="shared" si="66"/>
        <v>0</v>
      </c>
      <c r="J415" s="1876">
        <f t="shared" si="67"/>
        <v>0</v>
      </c>
      <c r="K415" s="1786">
        <f t="shared" si="68"/>
        <v>0</v>
      </c>
      <c r="L415" s="1876">
        <f t="shared" si="69"/>
        <v>0</v>
      </c>
      <c r="M415" s="1786">
        <f t="shared" si="70"/>
        <v>0</v>
      </c>
      <c r="N415" s="1876">
        <f t="shared" si="71"/>
        <v>0</v>
      </c>
      <c r="O415" s="1785">
        <f t="shared" si="72"/>
        <v>0</v>
      </c>
      <c r="P415" s="1787">
        <f t="shared" si="73"/>
        <v>34138.496829999982</v>
      </c>
      <c r="Q415" s="1786">
        <f t="shared" si="74"/>
        <v>0</v>
      </c>
      <c r="R415" s="1876">
        <f t="shared" si="75"/>
        <v>34138.496829999996</v>
      </c>
      <c r="T415" s="1876">
        <v>34138496.829999983</v>
      </c>
      <c r="U415" s="1785"/>
      <c r="V415" s="1876">
        <v>0</v>
      </c>
      <c r="W415" s="1786"/>
      <c r="X415" s="1876">
        <v>0</v>
      </c>
      <c r="Y415" s="1786"/>
      <c r="Z415" s="1876">
        <v>0</v>
      </c>
      <c r="AA415" s="1785"/>
      <c r="AB415" s="1787">
        <v>34138496.829999983</v>
      </c>
      <c r="AC415" s="1786"/>
      <c r="AD415" s="1876">
        <v>34138496.829999998</v>
      </c>
    </row>
    <row r="416" spans="1:30" ht="14.1" customHeight="1">
      <c r="A416" s="1675">
        <v>5</v>
      </c>
      <c r="B416" s="2015"/>
      <c r="C416" s="1675">
        <v>36200</v>
      </c>
      <c r="D416" s="2038" t="s">
        <v>2534</v>
      </c>
      <c r="F416" s="2019">
        <v>2.76</v>
      </c>
      <c r="G416" s="2001"/>
      <c r="H416" s="1876">
        <f t="shared" si="76"/>
        <v>324446.83412040013</v>
      </c>
      <c r="I416" s="1785">
        <f t="shared" si="66"/>
        <v>0</v>
      </c>
      <c r="J416" s="1876">
        <f t="shared" si="67"/>
        <v>20542.987850000001</v>
      </c>
      <c r="K416" s="1786">
        <f t="shared" si="68"/>
        <v>0</v>
      </c>
      <c r="L416" s="1876">
        <f t="shared" si="69"/>
        <v>-1848.8689099999999</v>
      </c>
      <c r="M416" s="1786">
        <f t="shared" si="70"/>
        <v>0</v>
      </c>
      <c r="N416" s="1876">
        <f t="shared" si="71"/>
        <v>0</v>
      </c>
      <c r="O416" s="1785">
        <f t="shared" si="72"/>
        <v>0</v>
      </c>
      <c r="P416" s="1787">
        <f t="shared" si="73"/>
        <v>343140.95306040015</v>
      </c>
      <c r="Q416" s="1786">
        <f t="shared" si="74"/>
        <v>0</v>
      </c>
      <c r="R416" s="1876">
        <f t="shared" si="75"/>
        <v>331220.24722000002</v>
      </c>
      <c r="T416" s="1876">
        <v>324446834.12040013</v>
      </c>
      <c r="U416" s="1785"/>
      <c r="V416" s="1876">
        <v>20542987.850000001</v>
      </c>
      <c r="W416" s="1786"/>
      <c r="X416" s="1876">
        <v>-1848868.91</v>
      </c>
      <c r="Y416" s="1786"/>
      <c r="Z416" s="1876">
        <v>0</v>
      </c>
      <c r="AA416" s="1785"/>
      <c r="AB416" s="1787">
        <v>343140953.06040013</v>
      </c>
      <c r="AC416" s="1786"/>
      <c r="AD416" s="1876">
        <v>331220247.22000003</v>
      </c>
    </row>
    <row r="417" spans="1:30" ht="14.1" customHeight="1">
      <c r="A417" s="1675">
        <v>6</v>
      </c>
      <c r="B417" s="2015"/>
      <c r="C417" s="1675">
        <v>36300</v>
      </c>
      <c r="D417" s="1674" t="s">
        <v>8179</v>
      </c>
      <c r="F417" s="2019">
        <v>10</v>
      </c>
      <c r="G417" s="2001"/>
      <c r="H417" s="1876">
        <f t="shared" si="76"/>
        <v>0</v>
      </c>
      <c r="I417" s="1785">
        <f t="shared" si="66"/>
        <v>0</v>
      </c>
      <c r="J417" s="1876">
        <f t="shared" si="67"/>
        <v>0</v>
      </c>
      <c r="K417" s="1786">
        <f t="shared" si="68"/>
        <v>0</v>
      </c>
      <c r="L417" s="1876">
        <f t="shared" si="69"/>
        <v>0</v>
      </c>
      <c r="M417" s="1786">
        <f t="shared" si="70"/>
        <v>0</v>
      </c>
      <c r="N417" s="1876">
        <f t="shared" si="71"/>
        <v>0</v>
      </c>
      <c r="O417" s="1785">
        <f t="shared" si="72"/>
        <v>0</v>
      </c>
      <c r="P417" s="1787">
        <f t="shared" si="73"/>
        <v>0</v>
      </c>
      <c r="Q417" s="1786">
        <f t="shared" si="74"/>
        <v>0</v>
      </c>
      <c r="R417" s="1876">
        <f t="shared" si="75"/>
        <v>0</v>
      </c>
      <c r="T417" s="1876">
        <v>0</v>
      </c>
      <c r="U417" s="1785"/>
      <c r="V417" s="1876">
        <v>0</v>
      </c>
      <c r="W417" s="1786"/>
      <c r="X417" s="1876">
        <v>0</v>
      </c>
      <c r="Y417" s="1786"/>
      <c r="Z417" s="1876">
        <v>0</v>
      </c>
      <c r="AA417" s="1785"/>
      <c r="AB417" s="1787">
        <v>0</v>
      </c>
      <c r="AC417" s="1786"/>
      <c r="AD417" s="1876">
        <v>0</v>
      </c>
    </row>
    <row r="418" spans="1:30" ht="14.1" customHeight="1">
      <c r="A418" s="1675">
        <v>7</v>
      </c>
      <c r="B418" s="1675"/>
      <c r="C418" s="1675">
        <v>36400</v>
      </c>
      <c r="D418" s="2038" t="s">
        <v>2544</v>
      </c>
      <c r="F418" s="2019">
        <v>5.31</v>
      </c>
      <c r="G418" s="2001"/>
      <c r="H418" s="1876">
        <f t="shared" si="76"/>
        <v>463677.26934720023</v>
      </c>
      <c r="I418" s="1785">
        <f t="shared" si="66"/>
        <v>0</v>
      </c>
      <c r="J418" s="1876">
        <f t="shared" si="67"/>
        <v>86227.910329999999</v>
      </c>
      <c r="K418" s="1786">
        <f t="shared" si="68"/>
        <v>0</v>
      </c>
      <c r="L418" s="1876">
        <f t="shared" si="69"/>
        <v>-12934.18655</v>
      </c>
      <c r="M418" s="1786">
        <f t="shared" si="70"/>
        <v>0</v>
      </c>
      <c r="N418" s="1876">
        <f t="shared" si="71"/>
        <v>0</v>
      </c>
      <c r="O418" s="1785">
        <f t="shared" si="72"/>
        <v>0</v>
      </c>
      <c r="P418" s="1787">
        <f t="shared" si="73"/>
        <v>536970.99312720029</v>
      </c>
      <c r="Q418" s="1786">
        <f t="shared" si="74"/>
        <v>0</v>
      </c>
      <c r="R418" s="1876">
        <f t="shared" si="75"/>
        <v>499219.43348000001</v>
      </c>
      <c r="T418" s="1876">
        <v>463677269.34720021</v>
      </c>
      <c r="U418" s="1785"/>
      <c r="V418" s="1876">
        <v>86227910.329999998</v>
      </c>
      <c r="W418" s="1786"/>
      <c r="X418" s="1876">
        <v>-12934186.550000001</v>
      </c>
      <c r="Y418" s="1786"/>
      <c r="Z418" s="1876">
        <v>0</v>
      </c>
      <c r="AA418" s="1785"/>
      <c r="AB418" s="1787">
        <v>536970993.12720025</v>
      </c>
      <c r="AC418" s="1786"/>
      <c r="AD418" s="1876">
        <v>499219433.48000002</v>
      </c>
    </row>
    <row r="419" spans="1:30" ht="14.1" customHeight="1">
      <c r="A419" s="1675">
        <v>8</v>
      </c>
      <c r="B419" s="1675"/>
      <c r="C419" s="1675">
        <v>36500</v>
      </c>
      <c r="D419" s="2038" t="s">
        <v>2537</v>
      </c>
      <c r="F419" s="2019">
        <v>2.33</v>
      </c>
      <c r="G419" s="2001"/>
      <c r="H419" s="1876">
        <f t="shared" si="76"/>
        <v>295008.85825520003</v>
      </c>
      <c r="I419" s="1785">
        <f t="shared" si="66"/>
        <v>0</v>
      </c>
      <c r="J419" s="1876">
        <f t="shared" si="67"/>
        <v>24715.640429999999</v>
      </c>
      <c r="K419" s="1786">
        <f t="shared" si="68"/>
        <v>0</v>
      </c>
      <c r="L419" s="1876">
        <f t="shared" si="69"/>
        <v>-7909.0049200000003</v>
      </c>
      <c r="M419" s="1786">
        <f t="shared" si="70"/>
        <v>0</v>
      </c>
      <c r="N419" s="1876">
        <f t="shared" si="71"/>
        <v>0</v>
      </c>
      <c r="O419" s="1785">
        <f t="shared" si="72"/>
        <v>0</v>
      </c>
      <c r="P419" s="1787">
        <f t="shared" si="73"/>
        <v>311815.49376520002</v>
      </c>
      <c r="Q419" s="1786">
        <f t="shared" si="74"/>
        <v>0</v>
      </c>
      <c r="R419" s="1876">
        <f t="shared" si="75"/>
        <v>303327.78304000001</v>
      </c>
      <c r="T419" s="1876">
        <v>295008858.25520003</v>
      </c>
      <c r="U419" s="1785"/>
      <c r="V419" s="1876">
        <v>24715640.43</v>
      </c>
      <c r="W419" s="1786"/>
      <c r="X419" s="1876">
        <v>-7909004.9199999999</v>
      </c>
      <c r="Y419" s="1786"/>
      <c r="Z419" s="1876">
        <v>0</v>
      </c>
      <c r="AA419" s="1785"/>
      <c r="AB419" s="1787">
        <v>311815493.76520002</v>
      </c>
      <c r="AC419" s="1786"/>
      <c r="AD419" s="1876">
        <v>303327783.04000002</v>
      </c>
    </row>
    <row r="420" spans="1:30" ht="14.1" customHeight="1">
      <c r="A420" s="1675">
        <v>9</v>
      </c>
      <c r="B420" s="1675"/>
      <c r="C420" s="1675">
        <v>36600</v>
      </c>
      <c r="D420" s="2038" t="s">
        <v>2539</v>
      </c>
      <c r="F420" s="2019">
        <v>1.76</v>
      </c>
      <c r="G420" s="2001"/>
      <c r="H420" s="1876">
        <f t="shared" si="76"/>
        <v>453436.7942944002</v>
      </c>
      <c r="I420" s="1785">
        <f t="shared" si="66"/>
        <v>0</v>
      </c>
      <c r="J420" s="1876">
        <f t="shared" si="67"/>
        <v>23499.55387</v>
      </c>
      <c r="K420" s="1786">
        <f t="shared" si="68"/>
        <v>0</v>
      </c>
      <c r="L420" s="1876">
        <f t="shared" si="69"/>
        <v>-234.99553</v>
      </c>
      <c r="M420" s="1786">
        <f t="shared" si="70"/>
        <v>0</v>
      </c>
      <c r="N420" s="1876">
        <f t="shared" si="71"/>
        <v>0</v>
      </c>
      <c r="O420" s="1785">
        <f t="shared" si="72"/>
        <v>0</v>
      </c>
      <c r="P420" s="1787">
        <f t="shared" si="73"/>
        <v>476701.35263440025</v>
      </c>
      <c r="Q420" s="1786">
        <f t="shared" si="74"/>
        <v>0</v>
      </c>
      <c r="R420" s="1876">
        <f t="shared" si="75"/>
        <v>464182.17016000004</v>
      </c>
      <c r="T420" s="1876">
        <v>453436794.29440022</v>
      </c>
      <c r="U420" s="1785"/>
      <c r="V420" s="1876">
        <v>23499553.870000001</v>
      </c>
      <c r="W420" s="1786"/>
      <c r="X420" s="1876">
        <v>-234995.53</v>
      </c>
      <c r="Y420" s="1786"/>
      <c r="Z420" s="1876">
        <v>0</v>
      </c>
      <c r="AA420" s="1785"/>
      <c r="AB420" s="1787">
        <v>476701352.63440025</v>
      </c>
      <c r="AC420" s="1786"/>
      <c r="AD420" s="1876">
        <v>464182170.16000003</v>
      </c>
    </row>
    <row r="421" spans="1:30" ht="14.1" customHeight="1">
      <c r="A421" s="1675">
        <v>10</v>
      </c>
      <c r="B421" s="2015"/>
      <c r="C421" s="1675">
        <v>36700</v>
      </c>
      <c r="D421" s="2038" t="s">
        <v>2540</v>
      </c>
      <c r="F421" s="2019">
        <v>3.58</v>
      </c>
      <c r="G421" s="2001"/>
      <c r="H421" s="1876">
        <f t="shared" si="76"/>
        <v>710559.61338919995</v>
      </c>
      <c r="I421" s="1785">
        <f t="shared" si="66"/>
        <v>0</v>
      </c>
      <c r="J421" s="1876">
        <f t="shared" si="67"/>
        <v>164552.21768999999</v>
      </c>
      <c r="K421" s="1786">
        <f t="shared" si="68"/>
        <v>0</v>
      </c>
      <c r="L421" s="1876">
        <f t="shared" si="69"/>
        <v>-16455.22178</v>
      </c>
      <c r="M421" s="1786">
        <f t="shared" si="70"/>
        <v>0</v>
      </c>
      <c r="N421" s="1876">
        <f t="shared" si="71"/>
        <v>0</v>
      </c>
      <c r="O421" s="1785">
        <f t="shared" si="72"/>
        <v>0</v>
      </c>
      <c r="P421" s="1787">
        <f t="shared" si="73"/>
        <v>858656.6092992</v>
      </c>
      <c r="Q421" s="1786">
        <f t="shared" si="74"/>
        <v>0</v>
      </c>
      <c r="R421" s="1876">
        <f t="shared" si="75"/>
        <v>784983.49221000005</v>
      </c>
      <c r="T421" s="1876">
        <v>710559613.38919997</v>
      </c>
      <c r="U421" s="1785"/>
      <c r="V421" s="1876">
        <v>164552217.69</v>
      </c>
      <c r="W421" s="1786"/>
      <c r="X421" s="1876">
        <v>-16455221.779999999</v>
      </c>
      <c r="Y421" s="1786"/>
      <c r="Z421" s="1876">
        <v>0</v>
      </c>
      <c r="AA421" s="1785"/>
      <c r="AB421" s="1787">
        <v>858656609.29920006</v>
      </c>
      <c r="AC421" s="1786"/>
      <c r="AD421" s="1876">
        <v>784983492.21000004</v>
      </c>
    </row>
    <row r="422" spans="1:30" ht="14.1" customHeight="1">
      <c r="A422" s="1675">
        <v>11</v>
      </c>
      <c r="B422" s="2015"/>
      <c r="C422" s="1675">
        <v>36800</v>
      </c>
      <c r="D422" s="2038" t="s">
        <v>2545</v>
      </c>
      <c r="F422" s="2019">
        <v>3.92</v>
      </c>
      <c r="G422" s="2001"/>
      <c r="H422" s="1876">
        <f t="shared" si="76"/>
        <v>1012768.5889443998</v>
      </c>
      <c r="I422" s="1785">
        <f t="shared" si="66"/>
        <v>0</v>
      </c>
      <c r="J422" s="1876">
        <f t="shared" si="67"/>
        <v>68691.003629999992</v>
      </c>
      <c r="K422" s="1786">
        <f t="shared" si="68"/>
        <v>0</v>
      </c>
      <c r="L422" s="1876">
        <f t="shared" si="69"/>
        <v>-8242.9204300000001</v>
      </c>
      <c r="M422" s="1786">
        <f t="shared" si="70"/>
        <v>0</v>
      </c>
      <c r="N422" s="1876">
        <f t="shared" si="71"/>
        <v>0</v>
      </c>
      <c r="O422" s="1785">
        <f t="shared" si="72"/>
        <v>0</v>
      </c>
      <c r="P422" s="1787">
        <f t="shared" si="73"/>
        <v>1073216.6721444</v>
      </c>
      <c r="Q422" s="1786">
        <f t="shared" si="74"/>
        <v>0</v>
      </c>
      <c r="R422" s="1876">
        <f t="shared" si="75"/>
        <v>1040688.1980399999</v>
      </c>
      <c r="T422" s="1876">
        <v>1012768588.9443998</v>
      </c>
      <c r="U422" s="1785"/>
      <c r="V422" s="1876">
        <v>68691003.629999995</v>
      </c>
      <c r="W422" s="1786"/>
      <c r="X422" s="1876">
        <v>-8242920.4299999997</v>
      </c>
      <c r="Y422" s="1786"/>
      <c r="Z422" s="1876">
        <v>0</v>
      </c>
      <c r="AA422" s="1785"/>
      <c r="AB422" s="1787">
        <v>1073216672.1444</v>
      </c>
      <c r="AC422" s="1786"/>
      <c r="AD422" s="1876">
        <v>1040688198.04</v>
      </c>
    </row>
    <row r="423" spans="1:30" ht="14.1" customHeight="1">
      <c r="A423" s="1675">
        <v>12</v>
      </c>
      <c r="B423" s="2015"/>
      <c r="C423" s="1675">
        <v>36900</v>
      </c>
      <c r="D423" s="2038" t="s">
        <v>2546</v>
      </c>
      <c r="F423" s="2019">
        <v>2.34</v>
      </c>
      <c r="G423" s="2001"/>
      <c r="H423" s="1876">
        <f t="shared" si="76"/>
        <v>84517.203168800057</v>
      </c>
      <c r="I423" s="1785">
        <f t="shared" si="66"/>
        <v>0</v>
      </c>
      <c r="J423" s="1876">
        <f t="shared" si="67"/>
        <v>1807.6579899999999</v>
      </c>
      <c r="K423" s="1786">
        <f t="shared" si="68"/>
        <v>0</v>
      </c>
      <c r="L423" s="1876">
        <f t="shared" si="69"/>
        <v>-180.76579999999998</v>
      </c>
      <c r="M423" s="1786">
        <f t="shared" si="70"/>
        <v>0</v>
      </c>
      <c r="N423" s="1876">
        <f t="shared" si="71"/>
        <v>0</v>
      </c>
      <c r="O423" s="1785">
        <f t="shared" si="72"/>
        <v>0</v>
      </c>
      <c r="P423" s="1787">
        <f t="shared" si="73"/>
        <v>86144.095358800056</v>
      </c>
      <c r="Q423" s="1786">
        <f t="shared" si="74"/>
        <v>0</v>
      </c>
      <c r="R423" s="1876">
        <f t="shared" si="75"/>
        <v>85268.628049999999</v>
      </c>
      <c r="T423" s="1876">
        <v>84517203.168800056</v>
      </c>
      <c r="U423" s="1785"/>
      <c r="V423" s="1876">
        <v>1807657.99</v>
      </c>
      <c r="W423" s="1786"/>
      <c r="X423" s="1876">
        <v>-180765.8</v>
      </c>
      <c r="Y423" s="1786"/>
      <c r="Z423" s="1876">
        <v>0</v>
      </c>
      <c r="AA423" s="1785"/>
      <c r="AB423" s="1787">
        <v>86144095.358800054</v>
      </c>
      <c r="AC423" s="1786"/>
      <c r="AD423" s="1876">
        <v>85268628.049999997</v>
      </c>
    </row>
    <row r="424" spans="1:30" ht="14.1" customHeight="1">
      <c r="A424" s="1675">
        <v>13</v>
      </c>
      <c r="B424" s="2015"/>
      <c r="C424" s="1675">
        <v>36902</v>
      </c>
      <c r="D424" s="2038" t="s">
        <v>2547</v>
      </c>
      <c r="F424" s="2019">
        <v>2.64</v>
      </c>
      <c r="G424" s="2001"/>
      <c r="H424" s="1876">
        <f t="shared" si="76"/>
        <v>152450.52402760001</v>
      </c>
      <c r="I424" s="1785">
        <f t="shared" si="66"/>
        <v>0</v>
      </c>
      <c r="J424" s="1876">
        <f t="shared" si="67"/>
        <v>3615.3159799999999</v>
      </c>
      <c r="K424" s="1786">
        <f t="shared" si="68"/>
        <v>0</v>
      </c>
      <c r="L424" s="1876">
        <f t="shared" si="69"/>
        <v>-108.45947</v>
      </c>
      <c r="M424" s="1786">
        <f t="shared" si="70"/>
        <v>0</v>
      </c>
      <c r="N424" s="1876">
        <f t="shared" si="71"/>
        <v>0</v>
      </c>
      <c r="O424" s="1785">
        <f t="shared" si="72"/>
        <v>0</v>
      </c>
      <c r="P424" s="1787">
        <f t="shared" si="73"/>
        <v>155957.38053760002</v>
      </c>
      <c r="Q424" s="1786">
        <f t="shared" si="74"/>
        <v>0</v>
      </c>
      <c r="R424" s="1876">
        <f t="shared" si="75"/>
        <v>154070.26212</v>
      </c>
      <c r="T424" s="1876">
        <v>152450524.02760002</v>
      </c>
      <c r="U424" s="1785"/>
      <c r="V424" s="1876">
        <v>3615315.98</v>
      </c>
      <c r="W424" s="1786"/>
      <c r="X424" s="1876">
        <v>-108459.47</v>
      </c>
      <c r="Y424" s="1786"/>
      <c r="Z424" s="1876">
        <v>0</v>
      </c>
      <c r="AA424" s="1785"/>
      <c r="AB424" s="1787">
        <v>155957380.53760001</v>
      </c>
      <c r="AC424" s="1786"/>
      <c r="AD424" s="1876">
        <v>154070262.12</v>
      </c>
    </row>
    <row r="425" spans="1:30" ht="14.1" customHeight="1">
      <c r="A425" s="1675">
        <v>14</v>
      </c>
      <c r="B425" s="2015"/>
      <c r="C425" s="1675">
        <v>37000</v>
      </c>
      <c r="D425" s="2038" t="s">
        <v>8506</v>
      </c>
      <c r="F425" s="2019">
        <v>7.3</v>
      </c>
      <c r="G425" s="2001"/>
      <c r="H425" s="1876">
        <f t="shared" si="76"/>
        <v>18799.459209999972</v>
      </c>
      <c r="I425" s="1785">
        <f t="shared" si="66"/>
        <v>0</v>
      </c>
      <c r="J425" s="1876">
        <f t="shared" si="67"/>
        <v>0</v>
      </c>
      <c r="K425" s="1786">
        <f t="shared" si="68"/>
        <v>0</v>
      </c>
      <c r="L425" s="1876">
        <f t="shared" si="69"/>
        <v>0</v>
      </c>
      <c r="M425" s="1786">
        <f t="shared" si="70"/>
        <v>0</v>
      </c>
      <c r="N425" s="1876">
        <f t="shared" si="71"/>
        <v>0</v>
      </c>
      <c r="O425" s="1785">
        <f t="shared" si="72"/>
        <v>0</v>
      </c>
      <c r="P425" s="1787">
        <f t="shared" si="73"/>
        <v>18799.459209999972</v>
      </c>
      <c r="Q425" s="1786">
        <f t="shared" si="74"/>
        <v>0</v>
      </c>
      <c r="R425" s="1876">
        <f t="shared" si="75"/>
        <v>18799.459210000001</v>
      </c>
      <c r="T425" s="1876">
        <v>18799459.209999971</v>
      </c>
      <c r="U425" s="1785"/>
      <c r="V425" s="1876">
        <v>0</v>
      </c>
      <c r="W425" s="1786"/>
      <c r="X425" s="1876">
        <v>0</v>
      </c>
      <c r="Y425" s="1786"/>
      <c r="Z425" s="1876">
        <v>0</v>
      </c>
      <c r="AA425" s="1785"/>
      <c r="AB425" s="1787">
        <v>18799459.209999971</v>
      </c>
      <c r="AC425" s="1786"/>
      <c r="AD425" s="1876">
        <v>18799459.210000001</v>
      </c>
    </row>
    <row r="426" spans="1:30" ht="14.1" customHeight="1">
      <c r="A426" s="1675">
        <v>15</v>
      </c>
      <c r="B426" s="1675"/>
      <c r="C426" s="1675">
        <v>37001</v>
      </c>
      <c r="D426" s="2038" t="s">
        <v>2549</v>
      </c>
      <c r="F426" s="2019">
        <v>10.78</v>
      </c>
      <c r="G426" s="2001"/>
      <c r="H426" s="1876">
        <f t="shared" si="76"/>
        <v>121027.74979279995</v>
      </c>
      <c r="I426" s="1785">
        <f t="shared" si="66"/>
        <v>0</v>
      </c>
      <c r="J426" s="1876">
        <f t="shared" si="67"/>
        <v>14637.40194</v>
      </c>
      <c r="K426" s="1786">
        <f t="shared" si="68"/>
        <v>0</v>
      </c>
      <c r="L426" s="1876">
        <f t="shared" si="69"/>
        <v>-7318.7009600000001</v>
      </c>
      <c r="M426" s="1786">
        <f t="shared" si="70"/>
        <v>0</v>
      </c>
      <c r="N426" s="1876">
        <f t="shared" si="71"/>
        <v>0</v>
      </c>
      <c r="O426" s="1785">
        <f t="shared" si="72"/>
        <v>0</v>
      </c>
      <c r="P426" s="1787">
        <f t="shared" si="73"/>
        <v>128346.45077279996</v>
      </c>
      <c r="Q426" s="1786">
        <f t="shared" si="74"/>
        <v>0</v>
      </c>
      <c r="R426" s="1876">
        <f t="shared" si="75"/>
        <v>124480.36342000001</v>
      </c>
      <c r="T426" s="1876">
        <v>121027749.79279995</v>
      </c>
      <c r="U426" s="1785"/>
      <c r="V426" s="1876">
        <v>14637401.939999999</v>
      </c>
      <c r="W426" s="1786"/>
      <c r="X426" s="1876">
        <v>-7318700.96</v>
      </c>
      <c r="Y426" s="1786"/>
      <c r="Z426" s="1876">
        <v>0</v>
      </c>
      <c r="AA426" s="1785"/>
      <c r="AB426" s="1787">
        <v>128346450.77279995</v>
      </c>
      <c r="AC426" s="1786"/>
      <c r="AD426" s="1876">
        <v>124480363.42</v>
      </c>
    </row>
    <row r="427" spans="1:30" s="2000" customFormat="1" ht="14.1" customHeight="1">
      <c r="A427" s="1675">
        <v>16</v>
      </c>
      <c r="B427" s="1675"/>
      <c r="C427" s="1675">
        <v>37010</v>
      </c>
      <c r="D427" s="2038" t="s">
        <v>8951</v>
      </c>
      <c r="E427" s="1674"/>
      <c r="F427" s="2019">
        <v>10.050000000000001</v>
      </c>
      <c r="G427" s="2001"/>
      <c r="H427" s="1876">
        <f t="shared" si="76"/>
        <v>4959.7853200000009</v>
      </c>
      <c r="I427" s="1785">
        <f t="shared" si="66"/>
        <v>0</v>
      </c>
      <c r="J427" s="1876">
        <f t="shared" si="67"/>
        <v>3208.5756900000001</v>
      </c>
      <c r="K427" s="1786">
        <f t="shared" si="68"/>
        <v>0</v>
      </c>
      <c r="L427" s="1876">
        <f t="shared" si="69"/>
        <v>0</v>
      </c>
      <c r="M427" s="1786">
        <f t="shared" si="70"/>
        <v>0</v>
      </c>
      <c r="N427" s="1876">
        <f t="shared" si="71"/>
        <v>0</v>
      </c>
      <c r="O427" s="1785">
        <f t="shared" si="72"/>
        <v>0</v>
      </c>
      <c r="P427" s="1787">
        <f t="shared" si="73"/>
        <v>8168.3610100000014</v>
      </c>
      <c r="Q427" s="1786">
        <f t="shared" si="74"/>
        <v>0</v>
      </c>
      <c r="R427" s="1876">
        <f t="shared" si="75"/>
        <v>6574.5695800000003</v>
      </c>
      <c r="T427" s="1876">
        <v>4959785.3200000012</v>
      </c>
      <c r="U427" s="1785"/>
      <c r="V427" s="1876">
        <v>3208575.69</v>
      </c>
      <c r="W427" s="1786"/>
      <c r="X427" s="1876">
        <v>0</v>
      </c>
      <c r="Y427" s="1786"/>
      <c r="Z427" s="1876">
        <v>0</v>
      </c>
      <c r="AA427" s="1785"/>
      <c r="AB427" s="1787">
        <v>8168361.0100000016</v>
      </c>
      <c r="AC427" s="1786"/>
      <c r="AD427" s="1876">
        <v>6574569.5800000001</v>
      </c>
    </row>
    <row r="428" spans="1:30" ht="14.1" customHeight="1">
      <c r="A428" s="1675">
        <v>17</v>
      </c>
      <c r="B428" s="1675"/>
      <c r="C428" s="1675">
        <v>37300</v>
      </c>
      <c r="D428" s="2038" t="s">
        <v>2550</v>
      </c>
      <c r="F428" s="2019">
        <v>3.65</v>
      </c>
      <c r="G428" s="2001"/>
      <c r="H428" s="1876">
        <f t="shared" si="76"/>
        <v>389454.09140999976</v>
      </c>
      <c r="I428" s="1785">
        <f t="shared" si="66"/>
        <v>0</v>
      </c>
      <c r="J428" s="1876">
        <f t="shared" si="67"/>
        <v>14546.12131</v>
      </c>
      <c r="K428" s="1786">
        <f t="shared" si="68"/>
        <v>0</v>
      </c>
      <c r="L428" s="1876">
        <f t="shared" si="69"/>
        <v>-5091.1424699999998</v>
      </c>
      <c r="M428" s="1786">
        <f t="shared" si="70"/>
        <v>0</v>
      </c>
      <c r="N428" s="1876">
        <f t="shared" si="71"/>
        <v>0</v>
      </c>
      <c r="O428" s="1785">
        <f t="shared" si="72"/>
        <v>0</v>
      </c>
      <c r="P428" s="1787">
        <f t="shared" si="73"/>
        <v>398909.07024999976</v>
      </c>
      <c r="Q428" s="1786">
        <f t="shared" si="74"/>
        <v>0</v>
      </c>
      <c r="R428" s="1876">
        <f t="shared" si="75"/>
        <v>394175.87526</v>
      </c>
      <c r="T428" s="1876">
        <v>389454091.40999979</v>
      </c>
      <c r="U428" s="1785"/>
      <c r="V428" s="1876">
        <v>14546121.310000001</v>
      </c>
      <c r="W428" s="1786"/>
      <c r="X428" s="1876">
        <v>-5091142.47</v>
      </c>
      <c r="Y428" s="1786"/>
      <c r="Z428" s="1876">
        <v>0</v>
      </c>
      <c r="AA428" s="1785"/>
      <c r="AB428" s="1787">
        <v>398909070.24999976</v>
      </c>
      <c r="AC428" s="1786"/>
      <c r="AD428" s="1876">
        <v>394175875.25999999</v>
      </c>
    </row>
    <row r="429" spans="1:30" ht="14.1" customHeight="1">
      <c r="A429" s="1675">
        <v>18</v>
      </c>
      <c r="B429" s="1675"/>
      <c r="C429" s="1675">
        <v>37302</v>
      </c>
      <c r="D429" s="2038" t="s">
        <v>8180</v>
      </c>
      <c r="F429" s="2019">
        <v>4.08</v>
      </c>
      <c r="G429" s="2001"/>
      <c r="H429" s="1876">
        <f t="shared" si="76"/>
        <v>22121.80429</v>
      </c>
      <c r="I429" s="1785">
        <f t="shared" si="66"/>
        <v>0</v>
      </c>
      <c r="J429" s="1876">
        <f t="shared" si="67"/>
        <v>0</v>
      </c>
      <c r="K429" s="1786">
        <f t="shared" si="68"/>
        <v>0</v>
      </c>
      <c r="L429" s="1876">
        <f t="shared" si="69"/>
        <v>0</v>
      </c>
      <c r="M429" s="1786">
        <f t="shared" si="70"/>
        <v>0</v>
      </c>
      <c r="N429" s="1876">
        <f t="shared" si="71"/>
        <v>0</v>
      </c>
      <c r="O429" s="1785">
        <f t="shared" si="72"/>
        <v>0</v>
      </c>
      <c r="P429" s="1787">
        <f t="shared" si="73"/>
        <v>22121.80429</v>
      </c>
      <c r="Q429" s="1786">
        <f t="shared" si="74"/>
        <v>0</v>
      </c>
      <c r="R429" s="1876">
        <f t="shared" si="75"/>
        <v>22121.80429</v>
      </c>
      <c r="T429" s="1876">
        <v>22121804.289999999</v>
      </c>
      <c r="U429" s="1785"/>
      <c r="V429" s="1876">
        <v>0</v>
      </c>
      <c r="W429" s="1786"/>
      <c r="X429" s="1876">
        <v>0</v>
      </c>
      <c r="Y429" s="1786"/>
      <c r="Z429" s="1876">
        <v>0</v>
      </c>
      <c r="AA429" s="1785"/>
      <c r="AB429" s="1787">
        <v>22121804.289999999</v>
      </c>
      <c r="AC429" s="1786"/>
      <c r="AD429" s="1876">
        <v>22121804.289999999</v>
      </c>
    </row>
    <row r="430" spans="1:30" ht="14.1" customHeight="1" thickBot="1">
      <c r="A430" s="1675">
        <v>19</v>
      </c>
      <c r="B430" s="2015"/>
      <c r="D430" s="1674" t="s">
        <v>2458</v>
      </c>
      <c r="F430" s="2019"/>
      <c r="G430" s="2001"/>
      <c r="H430" s="1798">
        <f t="shared" si="76"/>
        <v>4087367.0723999999</v>
      </c>
      <c r="I430" s="1790">
        <f t="shared" si="66"/>
        <v>0</v>
      </c>
      <c r="J430" s="1798">
        <f t="shared" si="67"/>
        <v>426044.38671000005</v>
      </c>
      <c r="K430" s="1790">
        <f t="shared" si="68"/>
        <v>0</v>
      </c>
      <c r="L430" s="1798">
        <f t="shared" si="69"/>
        <v>-60324.266819999997</v>
      </c>
      <c r="M430" s="1790">
        <f t="shared" si="70"/>
        <v>0</v>
      </c>
      <c r="N430" s="1798">
        <f t="shared" si="71"/>
        <v>0</v>
      </c>
      <c r="O430" s="1790">
        <f t="shared" si="72"/>
        <v>0</v>
      </c>
      <c r="P430" s="1798">
        <f t="shared" si="73"/>
        <v>4453087.1922900006</v>
      </c>
      <c r="Q430" s="1790">
        <f t="shared" si="74"/>
        <v>0</v>
      </c>
      <c r="R430" s="1798">
        <f t="shared" si="75"/>
        <v>4263250.7829099996</v>
      </c>
      <c r="T430" s="1798">
        <v>4087367072.4000001</v>
      </c>
      <c r="U430" s="1790"/>
      <c r="V430" s="1798">
        <v>426044386.71000004</v>
      </c>
      <c r="W430" s="1790"/>
      <c r="X430" s="1798">
        <v>-60324266.82</v>
      </c>
      <c r="Y430" s="1790"/>
      <c r="Z430" s="1798">
        <v>0</v>
      </c>
      <c r="AA430" s="1790"/>
      <c r="AB430" s="1798">
        <v>4453087192.2900009</v>
      </c>
      <c r="AC430" s="1790"/>
      <c r="AD430" s="1798">
        <v>4263250782.9099998</v>
      </c>
    </row>
    <row r="431" spans="1:30" ht="14.1" customHeight="1" thickTop="1">
      <c r="A431" s="1675">
        <v>20</v>
      </c>
      <c r="B431" s="1675"/>
      <c r="F431" s="2020"/>
      <c r="H431" s="1674">
        <f t="shared" si="76"/>
        <v>0</v>
      </c>
      <c r="I431" s="1674">
        <f t="shared" si="66"/>
        <v>0</v>
      </c>
      <c r="J431" s="1674">
        <f t="shared" si="67"/>
        <v>0</v>
      </c>
      <c r="K431" s="1674">
        <f t="shared" si="68"/>
        <v>0</v>
      </c>
      <c r="L431" s="1674">
        <f t="shared" si="69"/>
        <v>0</v>
      </c>
      <c r="M431" s="1674">
        <f t="shared" si="70"/>
        <v>0</v>
      </c>
      <c r="N431" s="1674">
        <f t="shared" si="71"/>
        <v>0</v>
      </c>
      <c r="O431" s="2001">
        <f t="shared" si="72"/>
        <v>0</v>
      </c>
      <c r="P431" s="1674">
        <f t="shared" si="73"/>
        <v>0</v>
      </c>
      <c r="Q431" s="1674">
        <f t="shared" si="74"/>
        <v>0</v>
      </c>
      <c r="R431" s="1674">
        <f t="shared" si="75"/>
        <v>0</v>
      </c>
      <c r="AA431" s="2001"/>
    </row>
    <row r="432" spans="1:30" ht="14.1" customHeight="1">
      <c r="A432" s="1675">
        <v>21</v>
      </c>
      <c r="B432" s="1675"/>
      <c r="D432" s="2021" t="s">
        <v>2551</v>
      </c>
      <c r="E432" s="2021"/>
      <c r="F432" s="2019"/>
      <c r="H432" s="1790">
        <f t="shared" si="76"/>
        <v>0</v>
      </c>
      <c r="I432" s="1790">
        <f t="shared" si="66"/>
        <v>0</v>
      </c>
      <c r="J432" s="1790">
        <f t="shared" si="67"/>
        <v>0</v>
      </c>
      <c r="K432" s="1790">
        <f t="shared" si="68"/>
        <v>0</v>
      </c>
      <c r="L432" s="2031">
        <f t="shared" si="69"/>
        <v>0</v>
      </c>
      <c r="M432" s="1790">
        <f t="shared" si="70"/>
        <v>0</v>
      </c>
      <c r="N432" s="2031">
        <f t="shared" si="71"/>
        <v>0</v>
      </c>
      <c r="O432" s="1790">
        <f t="shared" si="72"/>
        <v>0</v>
      </c>
      <c r="P432" s="2031">
        <f t="shared" si="73"/>
        <v>0</v>
      </c>
      <c r="Q432" s="1790">
        <f t="shared" si="74"/>
        <v>0</v>
      </c>
      <c r="R432" s="2031">
        <f t="shared" si="75"/>
        <v>0</v>
      </c>
      <c r="T432" s="1790"/>
      <c r="U432" s="1790"/>
      <c r="V432" s="1790"/>
      <c r="W432" s="1790"/>
      <c r="X432" s="2031"/>
      <c r="Y432" s="1790"/>
      <c r="Z432" s="2031"/>
      <c r="AA432" s="1790"/>
      <c r="AB432" s="2031"/>
      <c r="AC432" s="1790"/>
      <c r="AD432" s="2031"/>
    </row>
    <row r="433" spans="1:30" ht="14.1" customHeight="1">
      <c r="A433" s="1675">
        <v>22</v>
      </c>
      <c r="B433" s="1675"/>
      <c r="C433" s="1675">
        <v>39000</v>
      </c>
      <c r="D433" s="2038" t="s">
        <v>2533</v>
      </c>
      <c r="F433" s="2019">
        <v>1.7000000000000002</v>
      </c>
      <c r="G433" s="2001"/>
      <c r="H433" s="1876">
        <f t="shared" si="76"/>
        <v>178441.38223999989</v>
      </c>
      <c r="I433" s="1785">
        <f t="shared" si="66"/>
        <v>0</v>
      </c>
      <c r="J433" s="1876">
        <f t="shared" si="67"/>
        <v>485649.51786999998</v>
      </c>
      <c r="K433" s="1786">
        <f t="shared" si="68"/>
        <v>0</v>
      </c>
      <c r="L433" s="1876">
        <f t="shared" si="69"/>
        <v>-15499.278039999999</v>
      </c>
      <c r="M433" s="1786">
        <f t="shared" si="70"/>
        <v>0</v>
      </c>
      <c r="N433" s="1876">
        <f t="shared" si="71"/>
        <v>0</v>
      </c>
      <c r="O433" s="1785">
        <f t="shared" si="72"/>
        <v>0</v>
      </c>
      <c r="P433" s="1787">
        <f t="shared" si="73"/>
        <v>648591.62206999992</v>
      </c>
      <c r="Q433" s="1786">
        <f t="shared" si="74"/>
        <v>0</v>
      </c>
      <c r="R433" s="1876">
        <f t="shared" si="75"/>
        <v>440479.47823000001</v>
      </c>
      <c r="T433" s="1876">
        <v>178441382.23999989</v>
      </c>
      <c r="U433" s="1785"/>
      <c r="V433" s="1876">
        <v>485649517.87</v>
      </c>
      <c r="W433" s="1786"/>
      <c r="X433" s="1876">
        <v>-15499278.039999999</v>
      </c>
      <c r="Y433" s="1786"/>
      <c r="Z433" s="1876">
        <v>0</v>
      </c>
      <c r="AA433" s="1785"/>
      <c r="AB433" s="1787">
        <v>648591622.06999993</v>
      </c>
      <c r="AC433" s="1786"/>
      <c r="AD433" s="1876">
        <v>440479478.23000002</v>
      </c>
    </row>
    <row r="434" spans="1:30" ht="14.1" customHeight="1">
      <c r="A434" s="1675">
        <v>23</v>
      </c>
      <c r="B434" s="1675"/>
      <c r="C434" s="1675">
        <v>39101</v>
      </c>
      <c r="D434" s="1674" t="s">
        <v>2552</v>
      </c>
      <c r="F434" s="2019">
        <v>14.3</v>
      </c>
      <c r="G434" s="2001"/>
      <c r="H434" s="1876">
        <f t="shared" si="76"/>
        <v>6802.2552699999969</v>
      </c>
      <c r="I434" s="1785">
        <f t="shared" si="66"/>
        <v>0</v>
      </c>
      <c r="J434" s="1876">
        <f t="shared" si="67"/>
        <v>321.64202</v>
      </c>
      <c r="K434" s="1786">
        <f t="shared" si="68"/>
        <v>0</v>
      </c>
      <c r="L434" s="1876">
        <f t="shared" si="69"/>
        <v>-674.91144999999995</v>
      </c>
      <c r="M434" s="1786">
        <f t="shared" si="70"/>
        <v>0</v>
      </c>
      <c r="N434" s="1876">
        <f t="shared" si="71"/>
        <v>0</v>
      </c>
      <c r="O434" s="1785">
        <f t="shared" si="72"/>
        <v>0</v>
      </c>
      <c r="P434" s="1787">
        <f t="shared" si="73"/>
        <v>6448.9858399999966</v>
      </c>
      <c r="Q434" s="1786">
        <f t="shared" si="74"/>
        <v>0</v>
      </c>
      <c r="R434" s="1876">
        <f t="shared" si="75"/>
        <v>6522.1111700000001</v>
      </c>
      <c r="T434" s="1876">
        <v>6802255.2699999968</v>
      </c>
      <c r="U434" s="1785"/>
      <c r="V434" s="1876">
        <v>321642.02</v>
      </c>
      <c r="W434" s="1786"/>
      <c r="X434" s="1876">
        <v>-674911.45</v>
      </c>
      <c r="Y434" s="1786"/>
      <c r="Z434" s="1876">
        <v>0</v>
      </c>
      <c r="AA434" s="1785"/>
      <c r="AB434" s="1787">
        <v>6448985.8399999971</v>
      </c>
      <c r="AC434" s="1786"/>
      <c r="AD434" s="1876">
        <v>6522111.1699999999</v>
      </c>
    </row>
    <row r="435" spans="1:30" ht="14.1" customHeight="1">
      <c r="A435" s="1675">
        <v>24</v>
      </c>
      <c r="B435" s="1675"/>
      <c r="C435" s="1675">
        <v>39102</v>
      </c>
      <c r="D435" s="1674" t="s">
        <v>2553</v>
      </c>
      <c r="F435" s="2019">
        <v>25</v>
      </c>
      <c r="G435" s="2001"/>
      <c r="H435" s="1876">
        <f t="shared" si="76"/>
        <v>13056.303310000001</v>
      </c>
      <c r="I435" s="1785">
        <f t="shared" si="66"/>
        <v>0</v>
      </c>
      <c r="J435" s="1876">
        <f t="shared" si="67"/>
        <v>2847.88067</v>
      </c>
      <c r="K435" s="1786">
        <f t="shared" si="68"/>
        <v>0</v>
      </c>
      <c r="L435" s="1876">
        <f t="shared" si="69"/>
        <v>-891.36275999999998</v>
      </c>
      <c r="M435" s="1786">
        <f t="shared" si="70"/>
        <v>0</v>
      </c>
      <c r="N435" s="1876">
        <f t="shared" si="71"/>
        <v>0</v>
      </c>
      <c r="O435" s="1785">
        <f t="shared" si="72"/>
        <v>0</v>
      </c>
      <c r="P435" s="1787">
        <f t="shared" si="73"/>
        <v>15012.82122</v>
      </c>
      <c r="Q435" s="1786">
        <f t="shared" si="74"/>
        <v>0</v>
      </c>
      <c r="R435" s="1876">
        <f t="shared" si="75"/>
        <v>13313.638630000001</v>
      </c>
      <c r="T435" s="1876">
        <v>13056303.310000001</v>
      </c>
      <c r="U435" s="1785"/>
      <c r="V435" s="1876">
        <v>2847880.67</v>
      </c>
      <c r="W435" s="1786"/>
      <c r="X435" s="1876">
        <v>-891362.76</v>
      </c>
      <c r="Y435" s="1786"/>
      <c r="Z435" s="1876">
        <v>0</v>
      </c>
      <c r="AA435" s="1785"/>
      <c r="AB435" s="1787">
        <v>15012821.220000001</v>
      </c>
      <c r="AC435" s="1786"/>
      <c r="AD435" s="1876">
        <v>13313638.630000001</v>
      </c>
    </row>
    <row r="436" spans="1:30" s="2000" customFormat="1" ht="14.1" customHeight="1">
      <c r="A436" s="1675">
        <v>25</v>
      </c>
      <c r="B436" s="1675"/>
      <c r="C436" s="1675">
        <v>39103</v>
      </c>
      <c r="D436" s="1674" t="s">
        <v>2554</v>
      </c>
      <c r="E436" s="1674"/>
      <c r="F436" s="2019">
        <v>0</v>
      </c>
      <c r="G436" s="2001"/>
      <c r="H436" s="1876">
        <f t="shared" si="76"/>
        <v>0</v>
      </c>
      <c r="I436" s="1785">
        <f t="shared" si="66"/>
        <v>0</v>
      </c>
      <c r="J436" s="1876">
        <f t="shared" si="67"/>
        <v>0</v>
      </c>
      <c r="K436" s="1786">
        <f t="shared" si="68"/>
        <v>0</v>
      </c>
      <c r="L436" s="1876">
        <f t="shared" si="69"/>
        <v>0</v>
      </c>
      <c r="M436" s="1786">
        <f t="shared" si="70"/>
        <v>0</v>
      </c>
      <c r="N436" s="1876">
        <f t="shared" si="71"/>
        <v>0</v>
      </c>
      <c r="O436" s="1785">
        <f t="shared" si="72"/>
        <v>0</v>
      </c>
      <c r="P436" s="1787">
        <f t="shared" si="73"/>
        <v>0</v>
      </c>
      <c r="Q436" s="1786">
        <f t="shared" si="74"/>
        <v>0</v>
      </c>
      <c r="R436" s="1876">
        <f t="shared" si="75"/>
        <v>0</v>
      </c>
      <c r="T436" s="1876">
        <v>0</v>
      </c>
      <c r="U436" s="1785"/>
      <c r="V436" s="1876">
        <v>0</v>
      </c>
      <c r="W436" s="1786"/>
      <c r="X436" s="1876">
        <v>0</v>
      </c>
      <c r="Y436" s="1786"/>
      <c r="Z436" s="1876">
        <v>0</v>
      </c>
      <c r="AA436" s="1785"/>
      <c r="AB436" s="1787">
        <v>0</v>
      </c>
      <c r="AC436" s="1786"/>
      <c r="AD436" s="1876">
        <v>0</v>
      </c>
    </row>
    <row r="437" spans="1:30" ht="14.1" customHeight="1">
      <c r="A437" s="1675">
        <v>26</v>
      </c>
      <c r="B437" s="1675"/>
      <c r="C437" s="1675">
        <v>39104</v>
      </c>
      <c r="D437" s="1674" t="s">
        <v>2555</v>
      </c>
      <c r="F437" s="2019">
        <v>20</v>
      </c>
      <c r="G437" s="2001"/>
      <c r="H437" s="1876">
        <f t="shared" si="76"/>
        <v>55362.003109999976</v>
      </c>
      <c r="I437" s="1785">
        <f t="shared" si="66"/>
        <v>0</v>
      </c>
      <c r="J437" s="1876">
        <f t="shared" si="67"/>
        <v>13376.933220000001</v>
      </c>
      <c r="K437" s="1786">
        <f t="shared" si="68"/>
        <v>0</v>
      </c>
      <c r="L437" s="1876">
        <f t="shared" si="69"/>
        <v>-4172.4964399999999</v>
      </c>
      <c r="M437" s="1786">
        <f t="shared" si="70"/>
        <v>0</v>
      </c>
      <c r="N437" s="1876">
        <f t="shared" si="71"/>
        <v>0</v>
      </c>
      <c r="O437" s="1785">
        <f t="shared" si="72"/>
        <v>0</v>
      </c>
      <c r="P437" s="1787">
        <f t="shared" si="73"/>
        <v>64566.439889999987</v>
      </c>
      <c r="Q437" s="1786">
        <f t="shared" si="74"/>
        <v>0</v>
      </c>
      <c r="R437" s="1876">
        <f t="shared" si="75"/>
        <v>53762.035640000002</v>
      </c>
      <c r="T437" s="1876">
        <v>55362003.109999977</v>
      </c>
      <c r="U437" s="1785"/>
      <c r="V437" s="1876">
        <v>13376933.220000001</v>
      </c>
      <c r="W437" s="1786"/>
      <c r="X437" s="1876">
        <v>-4172496.44</v>
      </c>
      <c r="Y437" s="1786"/>
      <c r="Z437" s="1876">
        <v>0</v>
      </c>
      <c r="AA437" s="1785"/>
      <c r="AB437" s="1787">
        <v>64566439.889999986</v>
      </c>
      <c r="AC437" s="1786"/>
      <c r="AD437" s="1876">
        <v>53762035.640000001</v>
      </c>
    </row>
    <row r="438" spans="1:30" s="2000" customFormat="1" ht="14.1" customHeight="1">
      <c r="A438" s="1675">
        <v>27</v>
      </c>
      <c r="B438" s="1675"/>
      <c r="C438" s="1675">
        <v>39202</v>
      </c>
      <c r="D438" s="2002" t="s">
        <v>2556</v>
      </c>
      <c r="E438" s="1674"/>
      <c r="F438" s="2019">
        <v>6.97</v>
      </c>
      <c r="G438" s="2001"/>
      <c r="H438" s="1876">
        <f t="shared" si="76"/>
        <v>31038.759249999992</v>
      </c>
      <c r="I438" s="1785">
        <f t="shared" si="66"/>
        <v>0</v>
      </c>
      <c r="J438" s="1876">
        <f t="shared" si="67"/>
        <v>130</v>
      </c>
      <c r="K438" s="1786">
        <f t="shared" si="68"/>
        <v>0</v>
      </c>
      <c r="L438" s="1876">
        <f t="shared" si="69"/>
        <v>-19.5</v>
      </c>
      <c r="M438" s="1786">
        <f t="shared" si="70"/>
        <v>0</v>
      </c>
      <c r="N438" s="1876">
        <f t="shared" si="71"/>
        <v>0</v>
      </c>
      <c r="O438" s="1785">
        <f t="shared" si="72"/>
        <v>0</v>
      </c>
      <c r="P438" s="1787">
        <f t="shared" si="73"/>
        <v>31149.259249999992</v>
      </c>
      <c r="Q438" s="1786">
        <f t="shared" si="74"/>
        <v>0</v>
      </c>
      <c r="R438" s="1876">
        <f t="shared" si="75"/>
        <v>31088.615020000001</v>
      </c>
      <c r="T438" s="1876">
        <v>31038759.249999993</v>
      </c>
      <c r="U438" s="1785"/>
      <c r="V438" s="1876">
        <v>130000</v>
      </c>
      <c r="W438" s="1786"/>
      <c r="X438" s="1876">
        <v>-19500</v>
      </c>
      <c r="Y438" s="1786"/>
      <c r="Z438" s="1876">
        <v>0</v>
      </c>
      <c r="AA438" s="1785"/>
      <c r="AB438" s="1787">
        <v>31149259.249999993</v>
      </c>
      <c r="AC438" s="1786"/>
      <c r="AD438" s="1876">
        <v>31088615.02</v>
      </c>
    </row>
    <row r="439" spans="1:30" ht="14.1" customHeight="1">
      <c r="A439" s="1675">
        <v>28</v>
      </c>
      <c r="B439" s="1675"/>
      <c r="C439" s="1675">
        <v>39203</v>
      </c>
      <c r="D439" s="2002" t="s">
        <v>2557</v>
      </c>
      <c r="F439" s="2019">
        <v>4.17</v>
      </c>
      <c r="G439" s="2001"/>
      <c r="H439" s="1876">
        <f t="shared" si="76"/>
        <v>80730.762210000015</v>
      </c>
      <c r="I439" s="1785">
        <f t="shared" si="66"/>
        <v>0</v>
      </c>
      <c r="J439" s="1876">
        <f t="shared" si="67"/>
        <v>0</v>
      </c>
      <c r="K439" s="1786">
        <f t="shared" si="68"/>
        <v>0</v>
      </c>
      <c r="L439" s="1876">
        <f t="shared" si="69"/>
        <v>0</v>
      </c>
      <c r="M439" s="1786">
        <f t="shared" si="70"/>
        <v>0</v>
      </c>
      <c r="N439" s="1876">
        <f t="shared" si="71"/>
        <v>0</v>
      </c>
      <c r="O439" s="1785">
        <f t="shared" si="72"/>
        <v>0</v>
      </c>
      <c r="P439" s="1787">
        <f t="shared" si="73"/>
        <v>80730.762210000015</v>
      </c>
      <c r="Q439" s="1786">
        <f t="shared" si="74"/>
        <v>0</v>
      </c>
      <c r="R439" s="1876">
        <f t="shared" si="75"/>
        <v>80730.762209999986</v>
      </c>
      <c r="T439" s="1876">
        <v>80730762.210000008</v>
      </c>
      <c r="U439" s="1785"/>
      <c r="V439" s="1876">
        <v>0</v>
      </c>
      <c r="W439" s="1786"/>
      <c r="X439" s="1876">
        <v>0</v>
      </c>
      <c r="Y439" s="1786"/>
      <c r="Z439" s="1876">
        <v>0</v>
      </c>
      <c r="AA439" s="1785"/>
      <c r="AB439" s="1787">
        <v>80730762.210000008</v>
      </c>
      <c r="AC439" s="1786"/>
      <c r="AD439" s="1876">
        <v>80730762.209999993</v>
      </c>
    </row>
    <row r="440" spans="1:30" ht="14.1" customHeight="1">
      <c r="A440" s="1675">
        <v>29</v>
      </c>
      <c r="B440" s="2015"/>
      <c r="C440" s="1675">
        <v>39204</v>
      </c>
      <c r="D440" s="2026" t="s">
        <v>2558</v>
      </c>
      <c r="E440" s="1676"/>
      <c r="F440" s="2019">
        <v>0</v>
      </c>
      <c r="G440" s="2001"/>
      <c r="H440" s="1876">
        <f t="shared" si="76"/>
        <v>0</v>
      </c>
      <c r="I440" s="1785">
        <f t="shared" si="66"/>
        <v>0</v>
      </c>
      <c r="J440" s="1876">
        <f t="shared" si="67"/>
        <v>0</v>
      </c>
      <c r="K440" s="1786">
        <f t="shared" si="68"/>
        <v>0</v>
      </c>
      <c r="L440" s="1876">
        <f t="shared" si="69"/>
        <v>0</v>
      </c>
      <c r="M440" s="1786">
        <f t="shared" si="70"/>
        <v>0</v>
      </c>
      <c r="N440" s="1876">
        <f t="shared" si="71"/>
        <v>0</v>
      </c>
      <c r="O440" s="1785">
        <f t="shared" si="72"/>
        <v>0</v>
      </c>
      <c r="P440" s="1787">
        <f t="shared" si="73"/>
        <v>0</v>
      </c>
      <c r="Q440" s="1786">
        <f t="shared" si="74"/>
        <v>0</v>
      </c>
      <c r="R440" s="1876">
        <f t="shared" si="75"/>
        <v>0</v>
      </c>
      <c r="T440" s="1876">
        <v>0</v>
      </c>
      <c r="U440" s="1785"/>
      <c r="V440" s="1876">
        <v>0</v>
      </c>
      <c r="W440" s="1786"/>
      <c r="X440" s="1876">
        <v>0</v>
      </c>
      <c r="Y440" s="1786"/>
      <c r="Z440" s="1876">
        <v>0</v>
      </c>
      <c r="AA440" s="1785"/>
      <c r="AB440" s="1787">
        <v>0</v>
      </c>
      <c r="AC440" s="1786"/>
      <c r="AD440" s="1876">
        <v>0</v>
      </c>
    </row>
    <row r="441" spans="1:30" ht="14.1" customHeight="1">
      <c r="A441" s="1675">
        <v>30</v>
      </c>
      <c r="B441" s="2015"/>
      <c r="C441" s="1675">
        <v>39212</v>
      </c>
      <c r="D441" s="1674" t="s">
        <v>2559</v>
      </c>
      <c r="F441" s="2019">
        <v>5.67</v>
      </c>
      <c r="G441" s="2001"/>
      <c r="H441" s="1876">
        <f t="shared" si="76"/>
        <v>6411.7383199999995</v>
      </c>
      <c r="I441" s="1785">
        <f t="shared" si="66"/>
        <v>0</v>
      </c>
      <c r="J441" s="1876">
        <f t="shared" si="67"/>
        <v>0</v>
      </c>
      <c r="K441" s="1786">
        <f t="shared" si="68"/>
        <v>0</v>
      </c>
      <c r="L441" s="1876">
        <f t="shared" si="69"/>
        <v>0</v>
      </c>
      <c r="M441" s="1786">
        <f t="shared" si="70"/>
        <v>0</v>
      </c>
      <c r="N441" s="1876">
        <f t="shared" si="71"/>
        <v>0</v>
      </c>
      <c r="O441" s="1785">
        <f t="shared" si="72"/>
        <v>0</v>
      </c>
      <c r="P441" s="1787">
        <f t="shared" si="73"/>
        <v>6411.7383199999995</v>
      </c>
      <c r="Q441" s="1786">
        <f t="shared" si="74"/>
        <v>0</v>
      </c>
      <c r="R441" s="1876">
        <f t="shared" si="75"/>
        <v>6411.7383200000004</v>
      </c>
      <c r="T441" s="1876">
        <v>6411738.3199999994</v>
      </c>
      <c r="U441" s="1785"/>
      <c r="V441" s="1876">
        <v>0</v>
      </c>
      <c r="W441" s="1786"/>
      <c r="X441" s="1876">
        <v>0</v>
      </c>
      <c r="Y441" s="1786"/>
      <c r="Z441" s="1876">
        <v>0</v>
      </c>
      <c r="AA441" s="1785"/>
      <c r="AB441" s="1787">
        <v>6411738.3199999994</v>
      </c>
      <c r="AC441" s="1786"/>
      <c r="AD441" s="1876">
        <v>6411738.3200000003</v>
      </c>
    </row>
    <row r="442" spans="1:30" ht="14.1" customHeight="1">
      <c r="A442" s="1675">
        <v>31</v>
      </c>
      <c r="B442" s="2015"/>
      <c r="C442" s="1675">
        <v>39213</v>
      </c>
      <c r="D442" s="1674" t="s">
        <v>2560</v>
      </c>
      <c r="F442" s="2019">
        <v>6.03</v>
      </c>
      <c r="G442" s="2001"/>
      <c r="H442" s="1876">
        <f t="shared" si="76"/>
        <v>1071.1473900000001</v>
      </c>
      <c r="I442" s="1785">
        <f t="shared" si="66"/>
        <v>0</v>
      </c>
      <c r="J442" s="1876">
        <f t="shared" si="67"/>
        <v>0</v>
      </c>
      <c r="K442" s="1786">
        <f t="shared" si="68"/>
        <v>0</v>
      </c>
      <c r="L442" s="1876">
        <f t="shared" si="69"/>
        <v>0</v>
      </c>
      <c r="M442" s="1786">
        <f t="shared" si="70"/>
        <v>0</v>
      </c>
      <c r="N442" s="1876">
        <f t="shared" si="71"/>
        <v>0</v>
      </c>
      <c r="O442" s="1785">
        <f t="shared" si="72"/>
        <v>0</v>
      </c>
      <c r="P442" s="1787">
        <f t="shared" si="73"/>
        <v>1071.1473900000001</v>
      </c>
      <c r="Q442" s="1786">
        <f t="shared" si="74"/>
        <v>0</v>
      </c>
      <c r="R442" s="1876">
        <f t="shared" si="75"/>
        <v>1071.1473899999999</v>
      </c>
      <c r="T442" s="1876">
        <v>1071147.3900000001</v>
      </c>
      <c r="U442" s="1785"/>
      <c r="V442" s="1876">
        <v>0</v>
      </c>
      <c r="W442" s="1786"/>
      <c r="X442" s="1876">
        <v>0</v>
      </c>
      <c r="Y442" s="1786"/>
      <c r="Z442" s="1876">
        <v>0</v>
      </c>
      <c r="AA442" s="1785"/>
      <c r="AB442" s="1787">
        <v>1071147.3900000001</v>
      </c>
      <c r="AC442" s="1786"/>
      <c r="AD442" s="1876">
        <v>1071147.3899999999</v>
      </c>
    </row>
    <row r="443" spans="1:30" ht="14.1" customHeight="1">
      <c r="A443" s="1675">
        <v>32</v>
      </c>
      <c r="B443" s="2015"/>
      <c r="C443" s="1675">
        <v>39214</v>
      </c>
      <c r="D443" s="1676" t="s">
        <v>2561</v>
      </c>
      <c r="E443" s="1676"/>
      <c r="F443" s="2019">
        <v>0</v>
      </c>
      <c r="G443" s="2001"/>
      <c r="H443" s="1876">
        <f t="shared" si="76"/>
        <v>0</v>
      </c>
      <c r="I443" s="1785">
        <f t="shared" si="66"/>
        <v>0</v>
      </c>
      <c r="J443" s="1876">
        <f t="shared" si="67"/>
        <v>0</v>
      </c>
      <c r="K443" s="1786">
        <f t="shared" si="68"/>
        <v>0</v>
      </c>
      <c r="L443" s="1876">
        <f t="shared" si="69"/>
        <v>0</v>
      </c>
      <c r="M443" s="1786">
        <f t="shared" si="70"/>
        <v>0</v>
      </c>
      <c r="N443" s="1876">
        <f t="shared" si="71"/>
        <v>0</v>
      </c>
      <c r="O443" s="1785">
        <f t="shared" si="72"/>
        <v>0</v>
      </c>
      <c r="P443" s="1787">
        <f t="shared" si="73"/>
        <v>0</v>
      </c>
      <c r="Q443" s="1786">
        <f t="shared" si="74"/>
        <v>0</v>
      </c>
      <c r="R443" s="1876">
        <f t="shared" si="75"/>
        <v>0</v>
      </c>
      <c r="T443" s="1876">
        <v>0</v>
      </c>
      <c r="U443" s="1785"/>
      <c r="V443" s="1876">
        <v>0</v>
      </c>
      <c r="W443" s="1786"/>
      <c r="X443" s="1876">
        <v>0</v>
      </c>
      <c r="Y443" s="1786"/>
      <c r="Z443" s="1876">
        <v>0</v>
      </c>
      <c r="AA443" s="1785"/>
      <c r="AB443" s="1787">
        <v>0</v>
      </c>
      <c r="AC443" s="1786"/>
      <c r="AD443" s="1876">
        <v>0</v>
      </c>
    </row>
    <row r="444" spans="1:30" ht="14.1" customHeight="1">
      <c r="A444" s="1675">
        <v>33</v>
      </c>
      <c r="B444" s="2015"/>
      <c r="C444" s="1675">
        <v>39300</v>
      </c>
      <c r="D444" s="1676" t="s">
        <v>2562</v>
      </c>
      <c r="E444" s="1676"/>
      <c r="F444" s="2019">
        <v>14.3</v>
      </c>
      <c r="G444" s="2001"/>
      <c r="H444" s="1876">
        <f t="shared" si="76"/>
        <v>0</v>
      </c>
      <c r="I444" s="1785">
        <f t="shared" si="66"/>
        <v>0</v>
      </c>
      <c r="J444" s="1876">
        <f t="shared" si="67"/>
        <v>0</v>
      </c>
      <c r="K444" s="1786">
        <f t="shared" si="68"/>
        <v>0</v>
      </c>
      <c r="L444" s="1876">
        <f t="shared" si="69"/>
        <v>0</v>
      </c>
      <c r="M444" s="1786">
        <f t="shared" si="70"/>
        <v>0</v>
      </c>
      <c r="N444" s="1876">
        <f t="shared" si="71"/>
        <v>0</v>
      </c>
      <c r="O444" s="1785">
        <f t="shared" si="72"/>
        <v>0</v>
      </c>
      <c r="P444" s="1787">
        <f t="shared" si="73"/>
        <v>0</v>
      </c>
      <c r="Q444" s="1786">
        <f t="shared" si="74"/>
        <v>0</v>
      </c>
      <c r="R444" s="1876">
        <f t="shared" si="75"/>
        <v>0</v>
      </c>
      <c r="T444" s="1876">
        <v>0</v>
      </c>
      <c r="U444" s="1785"/>
      <c r="V444" s="1876">
        <v>0</v>
      </c>
      <c r="W444" s="1786"/>
      <c r="X444" s="1876">
        <v>0</v>
      </c>
      <c r="Y444" s="1786"/>
      <c r="Z444" s="1876">
        <v>0</v>
      </c>
      <c r="AA444" s="1785"/>
      <c r="AB444" s="1787">
        <v>0</v>
      </c>
      <c r="AC444" s="1786"/>
      <c r="AD444" s="1876">
        <v>0</v>
      </c>
    </row>
    <row r="445" spans="1:30" ht="14.1" customHeight="1">
      <c r="A445" s="1675">
        <v>34</v>
      </c>
      <c r="B445" s="2015"/>
      <c r="C445" s="1675">
        <v>39400</v>
      </c>
      <c r="D445" s="1676" t="s">
        <v>2563</v>
      </c>
      <c r="E445" s="1676"/>
      <c r="F445" s="2019">
        <v>14.3</v>
      </c>
      <c r="G445" s="2001"/>
      <c r="H445" s="1876">
        <f t="shared" si="76"/>
        <v>16145.975260000001</v>
      </c>
      <c r="I445" s="1785">
        <f t="shared" si="66"/>
        <v>0</v>
      </c>
      <c r="J445" s="1876">
        <f t="shared" si="67"/>
        <v>2799.7423900000003</v>
      </c>
      <c r="K445" s="1786">
        <f t="shared" si="68"/>
        <v>0</v>
      </c>
      <c r="L445" s="1876">
        <f t="shared" si="69"/>
        <v>-2311.6172000000001</v>
      </c>
      <c r="M445" s="1786">
        <f t="shared" si="70"/>
        <v>0</v>
      </c>
      <c r="N445" s="1876">
        <f t="shared" si="71"/>
        <v>0</v>
      </c>
      <c r="O445" s="1785">
        <f t="shared" si="72"/>
        <v>0</v>
      </c>
      <c r="P445" s="1787">
        <f t="shared" si="73"/>
        <v>16634.100450000002</v>
      </c>
      <c r="Q445" s="1786">
        <f t="shared" si="74"/>
        <v>0</v>
      </c>
      <c r="R445" s="1876">
        <f t="shared" si="75"/>
        <v>15905.80265</v>
      </c>
      <c r="T445" s="1876">
        <v>16145975.260000002</v>
      </c>
      <c r="U445" s="1785"/>
      <c r="V445" s="1876">
        <v>2799742.39</v>
      </c>
      <c r="W445" s="1786"/>
      <c r="X445" s="1876">
        <v>-2311617.2000000002</v>
      </c>
      <c r="Y445" s="1786"/>
      <c r="Z445" s="1876">
        <v>0</v>
      </c>
      <c r="AA445" s="1785"/>
      <c r="AB445" s="1787">
        <v>16634100.450000003</v>
      </c>
      <c r="AC445" s="1786"/>
      <c r="AD445" s="1876">
        <v>15905802.65</v>
      </c>
    </row>
    <row r="446" spans="1:30" ht="14.1" customHeight="1">
      <c r="A446" s="1675">
        <v>35</v>
      </c>
      <c r="B446" s="2015"/>
      <c r="C446" s="1675">
        <v>39401</v>
      </c>
      <c r="D446" s="1674" t="s">
        <v>2564</v>
      </c>
      <c r="F446" s="2019">
        <v>20</v>
      </c>
      <c r="G446" s="2001"/>
      <c r="H446" s="1876">
        <f t="shared" si="76"/>
        <v>4188.5334300000004</v>
      </c>
      <c r="I446" s="1785">
        <f t="shared" si="66"/>
        <v>0</v>
      </c>
      <c r="J446" s="1876">
        <f t="shared" si="67"/>
        <v>0</v>
      </c>
      <c r="K446" s="1786">
        <f t="shared" si="68"/>
        <v>0</v>
      </c>
      <c r="L446" s="1876">
        <f t="shared" si="69"/>
        <v>0</v>
      </c>
      <c r="M446" s="1786">
        <f t="shared" si="70"/>
        <v>0</v>
      </c>
      <c r="N446" s="1876">
        <f t="shared" si="71"/>
        <v>0</v>
      </c>
      <c r="O446" s="1785">
        <f t="shared" si="72"/>
        <v>0</v>
      </c>
      <c r="P446" s="1787">
        <f t="shared" si="73"/>
        <v>4188.5334300000004</v>
      </c>
      <c r="Q446" s="1786">
        <f t="shared" si="74"/>
        <v>0</v>
      </c>
      <c r="R446" s="1876">
        <f t="shared" si="75"/>
        <v>4188.5334300000004</v>
      </c>
      <c r="T446" s="1876">
        <v>4188533.43</v>
      </c>
      <c r="U446" s="1785"/>
      <c r="V446" s="1876">
        <v>0</v>
      </c>
      <c r="W446" s="1786"/>
      <c r="X446" s="1876">
        <v>0</v>
      </c>
      <c r="Y446" s="1786"/>
      <c r="Z446" s="1876">
        <v>0</v>
      </c>
      <c r="AA446" s="1785"/>
      <c r="AB446" s="1787">
        <v>4188533.43</v>
      </c>
      <c r="AC446" s="1786"/>
      <c r="AD446" s="1876">
        <v>4188533.43</v>
      </c>
    </row>
    <row r="447" spans="1:30" ht="14.1" customHeight="1">
      <c r="A447" s="1675">
        <v>36</v>
      </c>
      <c r="B447" s="2015"/>
      <c r="C447" s="1675">
        <v>39500</v>
      </c>
      <c r="D447" s="1674" t="s">
        <v>2565</v>
      </c>
      <c r="F447" s="2019">
        <v>14.3</v>
      </c>
      <c r="G447" s="2001"/>
      <c r="H447" s="1876">
        <f t="shared" si="76"/>
        <v>12803.54198</v>
      </c>
      <c r="I447" s="1785">
        <f t="shared" si="66"/>
        <v>0</v>
      </c>
      <c r="J447" s="1876">
        <f t="shared" si="67"/>
        <v>8613.3410000000003</v>
      </c>
      <c r="K447" s="1786">
        <f t="shared" si="68"/>
        <v>0</v>
      </c>
      <c r="L447" s="1876">
        <f t="shared" si="69"/>
        <v>-457.52873</v>
      </c>
      <c r="M447" s="1786">
        <f t="shared" si="70"/>
        <v>0</v>
      </c>
      <c r="N447" s="1876">
        <f t="shared" si="71"/>
        <v>0</v>
      </c>
      <c r="O447" s="1785">
        <f t="shared" si="72"/>
        <v>0</v>
      </c>
      <c r="P447" s="1787">
        <f t="shared" si="73"/>
        <v>20959.35425</v>
      </c>
      <c r="Q447" s="1786">
        <f t="shared" si="74"/>
        <v>0</v>
      </c>
      <c r="R447" s="1876">
        <f t="shared" si="75"/>
        <v>17773.39487</v>
      </c>
      <c r="T447" s="1876">
        <v>12803541.98</v>
      </c>
      <c r="U447" s="1785"/>
      <c r="V447" s="1876">
        <v>8613341</v>
      </c>
      <c r="W447" s="1786"/>
      <c r="X447" s="1876">
        <v>-457528.73</v>
      </c>
      <c r="Y447" s="1786"/>
      <c r="Z447" s="1876">
        <v>0</v>
      </c>
      <c r="AA447" s="1785"/>
      <c r="AB447" s="1787">
        <v>20959354.25</v>
      </c>
      <c r="AC447" s="1786"/>
      <c r="AD447" s="1876">
        <v>17773394.870000001</v>
      </c>
    </row>
    <row r="448" spans="1:30" ht="14.1" customHeight="1">
      <c r="A448" s="1675">
        <v>37</v>
      </c>
      <c r="B448" s="2015"/>
      <c r="C448" s="1675">
        <v>39600</v>
      </c>
      <c r="D448" s="1674" t="s">
        <v>2566</v>
      </c>
      <c r="F448" s="2019">
        <v>14.3</v>
      </c>
      <c r="G448" s="2001"/>
      <c r="H448" s="1876">
        <f t="shared" si="76"/>
        <v>0</v>
      </c>
      <c r="I448" s="1785">
        <f t="shared" si="66"/>
        <v>0</v>
      </c>
      <c r="J448" s="1876">
        <f t="shared" si="67"/>
        <v>0</v>
      </c>
      <c r="K448" s="1786">
        <f t="shared" si="68"/>
        <v>0</v>
      </c>
      <c r="L448" s="1876">
        <f t="shared" si="69"/>
        <v>0</v>
      </c>
      <c r="M448" s="1786">
        <f t="shared" si="70"/>
        <v>0</v>
      </c>
      <c r="N448" s="1876">
        <f t="shared" si="71"/>
        <v>0</v>
      </c>
      <c r="O448" s="1785">
        <f t="shared" si="72"/>
        <v>0</v>
      </c>
      <c r="P448" s="1787">
        <f t="shared" si="73"/>
        <v>0</v>
      </c>
      <c r="Q448" s="1786">
        <f t="shared" si="74"/>
        <v>0</v>
      </c>
      <c r="R448" s="1876">
        <f t="shared" si="75"/>
        <v>0</v>
      </c>
      <c r="T448" s="1876">
        <v>0</v>
      </c>
      <c r="U448" s="1785"/>
      <c r="V448" s="1876">
        <v>0</v>
      </c>
      <c r="W448" s="1786"/>
      <c r="X448" s="1876">
        <v>0</v>
      </c>
      <c r="Y448" s="1786"/>
      <c r="Z448" s="1876">
        <v>0</v>
      </c>
      <c r="AA448" s="1785"/>
      <c r="AB448" s="1787">
        <v>0</v>
      </c>
      <c r="AC448" s="1786"/>
      <c r="AD448" s="1876">
        <v>0</v>
      </c>
    </row>
    <row r="449" spans="1:30" ht="14.1" customHeight="1">
      <c r="A449" s="1675">
        <v>38</v>
      </c>
      <c r="B449" s="2015"/>
      <c r="C449" s="1675">
        <v>39700</v>
      </c>
      <c r="D449" s="1676" t="s">
        <v>2567</v>
      </c>
      <c r="E449" s="1676"/>
      <c r="F449" s="2019">
        <v>14.3</v>
      </c>
      <c r="G449" s="2001"/>
      <c r="H449" s="1876">
        <f t="shared" si="76"/>
        <v>46193.295790000026</v>
      </c>
      <c r="I449" s="1785">
        <f t="shared" si="66"/>
        <v>0</v>
      </c>
      <c r="J449" s="1876">
        <f t="shared" si="67"/>
        <v>6480.1028099999994</v>
      </c>
      <c r="K449" s="1786">
        <f t="shared" si="68"/>
        <v>0</v>
      </c>
      <c r="L449" s="1876">
        <f t="shared" si="69"/>
        <v>-13200.6661</v>
      </c>
      <c r="M449" s="1786">
        <f t="shared" si="70"/>
        <v>0</v>
      </c>
      <c r="N449" s="1876">
        <f t="shared" si="71"/>
        <v>0</v>
      </c>
      <c r="O449" s="1785">
        <f t="shared" si="72"/>
        <v>0</v>
      </c>
      <c r="P449" s="1787">
        <f t="shared" si="73"/>
        <v>39472.732500000027</v>
      </c>
      <c r="Q449" s="1786">
        <f t="shared" si="74"/>
        <v>0</v>
      </c>
      <c r="R449" s="1876">
        <f t="shared" si="75"/>
        <v>45249.965670000005</v>
      </c>
      <c r="T449" s="1876">
        <v>46193295.790000029</v>
      </c>
      <c r="U449" s="1785"/>
      <c r="V449" s="1876">
        <v>6480102.8099999996</v>
      </c>
      <c r="W449" s="1786"/>
      <c r="X449" s="1876">
        <v>-13200666.1</v>
      </c>
      <c r="Y449" s="1786"/>
      <c r="Z449" s="1876">
        <v>0</v>
      </c>
      <c r="AA449" s="1785"/>
      <c r="AB449" s="1787">
        <v>39472732.50000003</v>
      </c>
      <c r="AC449" s="1786"/>
      <c r="AD449" s="1876">
        <v>45249965.670000002</v>
      </c>
    </row>
    <row r="450" spans="1:30" s="2000" customFormat="1" ht="14.1" customHeight="1">
      <c r="A450" s="1675">
        <v>39</v>
      </c>
      <c r="B450" s="2015"/>
      <c r="C450" s="2009">
        <v>39725</v>
      </c>
      <c r="D450" s="1676" t="s">
        <v>2568</v>
      </c>
      <c r="E450" s="1676"/>
      <c r="F450" s="2019">
        <v>2.87</v>
      </c>
      <c r="G450" s="2001"/>
      <c r="H450" s="1876">
        <f t="shared" si="76"/>
        <v>51778.218330000011</v>
      </c>
      <c r="I450" s="1785">
        <f t="shared" si="66"/>
        <v>0</v>
      </c>
      <c r="J450" s="1876">
        <f t="shared" si="67"/>
        <v>37340.104920000005</v>
      </c>
      <c r="K450" s="1786">
        <f t="shared" si="68"/>
        <v>0</v>
      </c>
      <c r="L450" s="1876">
        <f t="shared" si="69"/>
        <v>-4244.7310099999995</v>
      </c>
      <c r="M450" s="1786">
        <f t="shared" si="70"/>
        <v>0</v>
      </c>
      <c r="N450" s="1876">
        <f t="shared" si="71"/>
        <v>0</v>
      </c>
      <c r="O450" s="1785">
        <f t="shared" si="72"/>
        <v>0</v>
      </c>
      <c r="P450" s="1787">
        <f t="shared" si="73"/>
        <v>84873.592240000013</v>
      </c>
      <c r="Q450" s="1786">
        <f t="shared" si="74"/>
        <v>0</v>
      </c>
      <c r="R450" s="1876">
        <f t="shared" si="75"/>
        <v>64751.054149999996</v>
      </c>
      <c r="T450" s="1876">
        <v>51778218.330000013</v>
      </c>
      <c r="U450" s="1785"/>
      <c r="V450" s="1876">
        <v>37340104.920000002</v>
      </c>
      <c r="W450" s="1786"/>
      <c r="X450" s="1876">
        <v>-4244731.01</v>
      </c>
      <c r="Y450" s="1786"/>
      <c r="Z450" s="1876">
        <v>0</v>
      </c>
      <c r="AA450" s="1785"/>
      <c r="AB450" s="1787">
        <v>84873592.24000001</v>
      </c>
      <c r="AC450" s="1786"/>
      <c r="AD450" s="1876">
        <v>64751054.149999999</v>
      </c>
    </row>
    <row r="451" spans="1:30" ht="14.1" customHeight="1">
      <c r="A451" s="1675">
        <v>40</v>
      </c>
      <c r="B451" s="2015"/>
      <c r="C451" s="2009">
        <v>39800</v>
      </c>
      <c r="D451" s="1676" t="s">
        <v>2569</v>
      </c>
      <c r="E451" s="1676"/>
      <c r="F451" s="2019">
        <v>14.3</v>
      </c>
      <c r="G451" s="2001"/>
      <c r="H451" s="1876">
        <f t="shared" si="76"/>
        <v>5268.6870399999989</v>
      </c>
      <c r="I451" s="1785">
        <f t="shared" si="66"/>
        <v>0</v>
      </c>
      <c r="J451" s="1876">
        <f t="shared" si="67"/>
        <v>910</v>
      </c>
      <c r="K451" s="1786">
        <f t="shared" si="68"/>
        <v>0</v>
      </c>
      <c r="L451" s="1876">
        <f t="shared" si="69"/>
        <v>-692.5711</v>
      </c>
      <c r="M451" s="1786">
        <f t="shared" si="70"/>
        <v>0</v>
      </c>
      <c r="N451" s="1876">
        <f t="shared" si="71"/>
        <v>0</v>
      </c>
      <c r="O451" s="1785">
        <f t="shared" si="72"/>
        <v>0</v>
      </c>
      <c r="P451" s="1787">
        <f t="shared" si="73"/>
        <v>5486.1159399999997</v>
      </c>
      <c r="Q451" s="1786">
        <f t="shared" si="74"/>
        <v>0</v>
      </c>
      <c r="R451" s="1876">
        <f t="shared" si="75"/>
        <v>4972.84512</v>
      </c>
      <c r="T451" s="1876">
        <v>5268687.0399999991</v>
      </c>
      <c r="U451" s="1785"/>
      <c r="V451" s="1876">
        <v>910000</v>
      </c>
      <c r="W451" s="1786"/>
      <c r="X451" s="1876">
        <v>-692571.1</v>
      </c>
      <c r="Y451" s="1786"/>
      <c r="Z451" s="1876">
        <v>0</v>
      </c>
      <c r="AA451" s="1785"/>
      <c r="AB451" s="1787">
        <v>5486115.9399999995</v>
      </c>
      <c r="AC451" s="1786"/>
      <c r="AD451" s="1876">
        <v>4972845.12</v>
      </c>
    </row>
    <row r="452" spans="1:30" ht="14.1" customHeight="1" thickBot="1">
      <c r="A452" s="1675">
        <v>41</v>
      </c>
      <c r="B452" s="2015"/>
      <c r="C452" s="2009"/>
      <c r="D452" s="1676" t="s">
        <v>2460</v>
      </c>
      <c r="E452" s="1676"/>
      <c r="H452" s="1798">
        <f t="shared" si="76"/>
        <v>509292.60292999988</v>
      </c>
      <c r="I452" s="1790">
        <f t="shared" si="66"/>
        <v>0</v>
      </c>
      <c r="J452" s="1798">
        <f t="shared" si="67"/>
        <v>558469.26489999995</v>
      </c>
      <c r="K452" s="1790">
        <f t="shared" si="68"/>
        <v>0</v>
      </c>
      <c r="L452" s="1798">
        <f t="shared" si="69"/>
        <v>-42164.662830000001</v>
      </c>
      <c r="M452" s="1790">
        <f t="shared" si="70"/>
        <v>0</v>
      </c>
      <c r="N452" s="1798">
        <f t="shared" si="71"/>
        <v>0</v>
      </c>
      <c r="O452" s="1790">
        <f t="shared" si="72"/>
        <v>0</v>
      </c>
      <c r="P452" s="1798">
        <f t="shared" si="73"/>
        <v>1025597.2050000001</v>
      </c>
      <c r="Q452" s="1790">
        <f t="shared" si="74"/>
        <v>0</v>
      </c>
      <c r="R452" s="1798">
        <f t="shared" si="75"/>
        <v>786221.12250000006</v>
      </c>
      <c r="T452" s="1798">
        <v>509292602.92999989</v>
      </c>
      <c r="U452" s="1790"/>
      <c r="V452" s="1798">
        <v>558469264.89999998</v>
      </c>
      <c r="W452" s="1790"/>
      <c r="X452" s="1798">
        <v>-42164662.829999998</v>
      </c>
      <c r="Y452" s="1790"/>
      <c r="Z452" s="1798">
        <v>0</v>
      </c>
      <c r="AA452" s="1790"/>
      <c r="AB452" s="1798">
        <v>1025597205.0000001</v>
      </c>
      <c r="AC452" s="1790"/>
      <c r="AD452" s="1798">
        <v>786221122.5</v>
      </c>
    </row>
    <row r="453" spans="1:30" ht="14.1" customHeight="1" thickTop="1">
      <c r="A453" s="1675">
        <v>42</v>
      </c>
      <c r="B453" s="2015"/>
      <c r="C453" s="2019"/>
      <c r="H453" s="1674">
        <f t="shared" si="76"/>
        <v>0</v>
      </c>
      <c r="I453" s="1674">
        <f t="shared" si="66"/>
        <v>0</v>
      </c>
      <c r="J453" s="1674">
        <f t="shared" si="67"/>
        <v>0</v>
      </c>
      <c r="K453" s="1674">
        <f t="shared" si="68"/>
        <v>0</v>
      </c>
      <c r="L453" s="1674">
        <f t="shared" si="69"/>
        <v>0</v>
      </c>
      <c r="M453" s="1674">
        <f t="shared" si="70"/>
        <v>0</v>
      </c>
      <c r="N453" s="1674">
        <f t="shared" si="71"/>
        <v>0</v>
      </c>
      <c r="O453" s="2001">
        <f t="shared" si="72"/>
        <v>0</v>
      </c>
      <c r="P453" s="1674">
        <f t="shared" si="73"/>
        <v>0</v>
      </c>
      <c r="Q453" s="1674">
        <f t="shared" si="74"/>
        <v>0</v>
      </c>
      <c r="R453" s="1674">
        <f t="shared" si="75"/>
        <v>0</v>
      </c>
      <c r="AA453" s="2001"/>
    </row>
    <row r="454" spans="1:30" ht="14.1" customHeight="1" thickBot="1">
      <c r="A454" s="1675">
        <v>43</v>
      </c>
      <c r="B454" s="2015"/>
      <c r="C454" s="2019"/>
      <c r="D454" s="2026" t="s">
        <v>2461</v>
      </c>
      <c r="E454" s="1676"/>
      <c r="F454" s="2043"/>
      <c r="G454" s="2043"/>
      <c r="H454" s="1872">
        <f t="shared" si="76"/>
        <v>12771686.32454</v>
      </c>
      <c r="I454" s="1790">
        <f t="shared" si="66"/>
        <v>0</v>
      </c>
      <c r="J454" s="1872">
        <f t="shared" si="67"/>
        <v>1831063.5445399999</v>
      </c>
      <c r="K454" s="1790">
        <f t="shared" si="68"/>
        <v>0</v>
      </c>
      <c r="L454" s="1872">
        <f t="shared" si="69"/>
        <v>-145403.08848000001</v>
      </c>
      <c r="M454" s="1790">
        <f t="shared" si="70"/>
        <v>0</v>
      </c>
      <c r="N454" s="1872">
        <f t="shared" si="71"/>
        <v>0</v>
      </c>
      <c r="O454" s="1790">
        <f t="shared" si="72"/>
        <v>0</v>
      </c>
      <c r="P454" s="1872">
        <f t="shared" si="73"/>
        <v>14457346.7806</v>
      </c>
      <c r="Q454" s="1790">
        <f t="shared" si="74"/>
        <v>0</v>
      </c>
      <c r="R454" s="1872">
        <f t="shared" si="75"/>
        <v>13559115.531299999</v>
      </c>
      <c r="T454" s="1872">
        <v>12771686324.540001</v>
      </c>
      <c r="U454" s="1790"/>
      <c r="V454" s="1872">
        <v>1831063544.54</v>
      </c>
      <c r="W454" s="1790"/>
      <c r="X454" s="1872">
        <v>-145403088.48000002</v>
      </c>
      <c r="Y454" s="1790"/>
      <c r="Z454" s="1872">
        <v>0</v>
      </c>
      <c r="AA454" s="1790"/>
      <c r="AB454" s="1872">
        <v>14457346780.6</v>
      </c>
      <c r="AC454" s="1790"/>
      <c r="AD454" s="1872">
        <v>13559115531.299999</v>
      </c>
    </row>
    <row r="455" spans="1:30" ht="14.1" customHeight="1" thickTop="1" thickBot="1">
      <c r="A455" s="2008">
        <v>44</v>
      </c>
      <c r="B455" s="1869" t="s">
        <v>2476</v>
      </c>
      <c r="C455" s="1997"/>
      <c r="D455" s="1997"/>
      <c r="E455" s="1997"/>
      <c r="F455" s="1997"/>
      <c r="G455" s="1997"/>
      <c r="H455" s="1997">
        <f t="shared" si="76"/>
        <v>0</v>
      </c>
      <c r="I455" s="1997">
        <f t="shared" si="66"/>
        <v>0</v>
      </c>
      <c r="J455" s="1997">
        <f t="shared" si="67"/>
        <v>0</v>
      </c>
      <c r="K455" s="1997">
        <f t="shared" si="68"/>
        <v>0</v>
      </c>
      <c r="L455" s="1997">
        <f t="shared" si="69"/>
        <v>0</v>
      </c>
      <c r="M455" s="1997">
        <f t="shared" si="70"/>
        <v>0</v>
      </c>
      <c r="N455" s="1997">
        <f t="shared" si="71"/>
        <v>0</v>
      </c>
      <c r="O455" s="1998">
        <f t="shared" si="72"/>
        <v>0</v>
      </c>
      <c r="P455" s="1997">
        <f t="shared" si="73"/>
        <v>0</v>
      </c>
      <c r="Q455" s="1997">
        <f t="shared" si="74"/>
        <v>0</v>
      </c>
      <c r="R455" s="1997">
        <f t="shared" si="75"/>
        <v>0</v>
      </c>
      <c r="T455" s="1997"/>
      <c r="U455" s="1997"/>
      <c r="V455" s="1997"/>
      <c r="W455" s="1997"/>
      <c r="X455" s="1997"/>
      <c r="Y455" s="1997"/>
      <c r="Z455" s="1997"/>
      <c r="AA455" s="1998"/>
      <c r="AB455" s="1997"/>
      <c r="AC455" s="1997"/>
      <c r="AD455" s="1997"/>
    </row>
    <row r="456" spans="1:30" ht="14.1" customHeight="1">
      <c r="A456" s="1674" t="s">
        <v>8947</v>
      </c>
      <c r="H456" s="1674">
        <f t="shared" si="76"/>
        <v>0</v>
      </c>
      <c r="I456" s="1674">
        <f t="shared" si="66"/>
        <v>0</v>
      </c>
      <c r="J456" s="1674">
        <f t="shared" si="67"/>
        <v>0</v>
      </c>
      <c r="K456" s="1674">
        <f t="shared" si="68"/>
        <v>0</v>
      </c>
      <c r="L456" s="1674">
        <f t="shared" si="69"/>
        <v>0</v>
      </c>
      <c r="M456" s="1674">
        <f t="shared" si="70"/>
        <v>0</v>
      </c>
      <c r="N456" s="1674">
        <f t="shared" si="71"/>
        <v>0</v>
      </c>
      <c r="O456" s="2001">
        <f t="shared" si="72"/>
        <v>0</v>
      </c>
      <c r="P456" s="1674" t="str">
        <f t="shared" si="73"/>
        <v>Recap Schedules:  B-03, B-06</v>
      </c>
      <c r="Q456" s="1674">
        <f t="shared" si="74"/>
        <v>0</v>
      </c>
      <c r="R456" s="1674">
        <f t="shared" si="75"/>
        <v>0</v>
      </c>
      <c r="AA456" s="2001"/>
      <c r="AB456" s="1674" t="s">
        <v>8948</v>
      </c>
    </row>
    <row r="457" spans="1:30" ht="14.1" customHeight="1" thickBot="1">
      <c r="A457" s="1997" t="s">
        <v>8943</v>
      </c>
      <c r="B457" s="1997"/>
      <c r="C457" s="1997"/>
      <c r="D457" s="1997"/>
      <c r="E457" s="1997"/>
      <c r="F457" s="1997"/>
      <c r="G457" s="1997" t="s">
        <v>2422</v>
      </c>
      <c r="H457" s="1997">
        <f t="shared" si="76"/>
        <v>0</v>
      </c>
      <c r="I457" s="1997">
        <f t="shared" si="66"/>
        <v>0</v>
      </c>
      <c r="J457" s="1997">
        <f t="shared" si="67"/>
        <v>0</v>
      </c>
      <c r="K457" s="1997">
        <f t="shared" si="68"/>
        <v>0</v>
      </c>
      <c r="L457" s="1997">
        <f t="shared" si="69"/>
        <v>0</v>
      </c>
      <c r="M457" s="1997">
        <f t="shared" si="70"/>
        <v>0</v>
      </c>
      <c r="N457" s="1997">
        <f t="shared" si="71"/>
        <v>0</v>
      </c>
      <c r="O457" s="1998">
        <f t="shared" si="72"/>
        <v>0</v>
      </c>
      <c r="P457" s="1997">
        <f t="shared" si="73"/>
        <v>0</v>
      </c>
      <c r="Q457" s="1997">
        <f t="shared" si="74"/>
        <v>0</v>
      </c>
      <c r="R457" s="1997" t="str">
        <f t="shared" si="75"/>
        <v>Page 9 of 10</v>
      </c>
      <c r="T457" s="1997"/>
      <c r="U457" s="1997"/>
      <c r="V457" s="1997"/>
      <c r="W457" s="1997"/>
      <c r="X457" s="1997"/>
      <c r="Y457" s="1997"/>
      <c r="Z457" s="1997"/>
      <c r="AA457" s="1998"/>
      <c r="AB457" s="1997"/>
      <c r="AC457" s="1997"/>
      <c r="AD457" s="1997" t="s">
        <v>2570</v>
      </c>
    </row>
    <row r="458" spans="1:30" ht="14.1" customHeight="1">
      <c r="A458" s="1674" t="s">
        <v>2425</v>
      </c>
      <c r="B458" s="2024"/>
      <c r="E458" s="2001" t="s">
        <v>2426</v>
      </c>
      <c r="F458" s="1674" t="s">
        <v>8155</v>
      </c>
      <c r="H458" s="1674">
        <f t="shared" si="76"/>
        <v>0</v>
      </c>
      <c r="I458" s="1674">
        <f t="shared" si="66"/>
        <v>0</v>
      </c>
      <c r="J458" s="2003">
        <f t="shared" si="67"/>
        <v>0</v>
      </c>
      <c r="K458" s="2003">
        <f t="shared" si="68"/>
        <v>0</v>
      </c>
      <c r="L458" s="1674">
        <f t="shared" si="69"/>
        <v>0</v>
      </c>
      <c r="M458" s="2003">
        <f t="shared" si="70"/>
        <v>0</v>
      </c>
      <c r="N458" s="2003">
        <f t="shared" si="71"/>
        <v>0</v>
      </c>
      <c r="O458" s="2004">
        <f t="shared" si="72"/>
        <v>0</v>
      </c>
      <c r="P458" s="1674" t="str">
        <f t="shared" si="73"/>
        <v>Type of data shown:</v>
      </c>
      <c r="Q458" s="1674">
        <f t="shared" si="74"/>
        <v>0</v>
      </c>
      <c r="R458" s="2005">
        <f t="shared" si="75"/>
        <v>0</v>
      </c>
      <c r="V458" s="2003"/>
      <c r="W458" s="2003"/>
      <c r="Y458" s="2003"/>
      <c r="Z458" s="2003"/>
      <c r="AA458" s="2004"/>
      <c r="AB458" s="1674" t="s">
        <v>2427</v>
      </c>
      <c r="AD458" s="2005"/>
    </row>
    <row r="459" spans="1:30" ht="14.1" customHeight="1">
      <c r="B459" s="2024"/>
      <c r="F459" s="1674" t="s">
        <v>8156</v>
      </c>
      <c r="H459" s="1674">
        <f t="shared" si="76"/>
        <v>0</v>
      </c>
      <c r="I459" s="1674">
        <f t="shared" si="66"/>
        <v>0</v>
      </c>
      <c r="J459" s="2001">
        <f t="shared" si="67"/>
        <v>0</v>
      </c>
      <c r="K459" s="2005">
        <f t="shared" si="68"/>
        <v>0</v>
      </c>
      <c r="L459" s="1674">
        <f t="shared" si="69"/>
        <v>0</v>
      </c>
      <c r="M459" s="1674">
        <f t="shared" si="70"/>
        <v>0</v>
      </c>
      <c r="N459" s="2001">
        <f t="shared" si="71"/>
        <v>0</v>
      </c>
      <c r="O459" s="2001" t="str">
        <f t="shared" si="72"/>
        <v>XX</v>
      </c>
      <c r="P459" s="2005" t="str">
        <f t="shared" si="73"/>
        <v>Projected Test Year Ended 12/31/2025</v>
      </c>
      <c r="Q459" s="1674">
        <f t="shared" si="74"/>
        <v>0</v>
      </c>
      <c r="R459" s="2001">
        <f t="shared" si="75"/>
        <v>0</v>
      </c>
      <c r="V459" s="2001"/>
      <c r="W459" s="2005"/>
      <c r="Z459" s="2001"/>
      <c r="AA459" s="2001" t="s">
        <v>8157</v>
      </c>
      <c r="AB459" s="2005" t="s">
        <v>8944</v>
      </c>
      <c r="AD459" s="2001"/>
    </row>
    <row r="460" spans="1:30" ht="14.1" customHeight="1">
      <c r="A460" s="1674" t="s">
        <v>2428</v>
      </c>
      <c r="B460" s="2024"/>
      <c r="F460" s="1674" t="s">
        <v>2360</v>
      </c>
      <c r="H460" s="1674">
        <f t="shared" si="76"/>
        <v>0</v>
      </c>
      <c r="I460" s="1674">
        <f t="shared" si="66"/>
        <v>0</v>
      </c>
      <c r="J460" s="2001">
        <f t="shared" si="67"/>
        <v>0</v>
      </c>
      <c r="K460" s="2005">
        <f t="shared" si="68"/>
        <v>0</v>
      </c>
      <c r="L460" s="2001">
        <f t="shared" si="69"/>
        <v>0</v>
      </c>
      <c r="M460" s="1674">
        <f t="shared" si="70"/>
        <v>0</v>
      </c>
      <c r="N460" s="1674">
        <f t="shared" si="71"/>
        <v>0</v>
      </c>
      <c r="O460" s="2001" t="str">
        <f t="shared" si="72"/>
        <v/>
      </c>
      <c r="P460" s="2005" t="str">
        <f t="shared" si="73"/>
        <v>Projected Prior Year Ended 12/31/2024</v>
      </c>
      <c r="Q460" s="1674">
        <f t="shared" si="74"/>
        <v>0</v>
      </c>
      <c r="R460" s="2001">
        <f t="shared" si="75"/>
        <v>0</v>
      </c>
      <c r="V460" s="2001"/>
      <c r="W460" s="2005"/>
      <c r="X460" s="2001"/>
      <c r="AA460" s="2001" t="s">
        <v>2360</v>
      </c>
      <c r="AB460" s="2005" t="s">
        <v>8945</v>
      </c>
      <c r="AD460" s="2001"/>
    </row>
    <row r="461" spans="1:30" ht="14.1" customHeight="1">
      <c r="B461" s="2024"/>
      <c r="F461" s="1674" t="s">
        <v>2360</v>
      </c>
      <c r="H461" s="1674">
        <f t="shared" si="76"/>
        <v>0</v>
      </c>
      <c r="I461" s="1674">
        <f t="shared" si="66"/>
        <v>0</v>
      </c>
      <c r="J461" s="2001">
        <f t="shared" si="67"/>
        <v>0</v>
      </c>
      <c r="K461" s="2005">
        <f t="shared" si="68"/>
        <v>0</v>
      </c>
      <c r="L461" s="2001">
        <f t="shared" si="69"/>
        <v>0</v>
      </c>
      <c r="M461" s="1674">
        <f t="shared" si="70"/>
        <v>0</v>
      </c>
      <c r="N461" s="1674">
        <f t="shared" si="71"/>
        <v>0</v>
      </c>
      <c r="O461" s="2001" t="str">
        <f t="shared" si="72"/>
        <v/>
      </c>
      <c r="P461" s="2005" t="str">
        <f t="shared" si="73"/>
        <v>Historical Prior Year Ended 12/31/2023</v>
      </c>
      <c r="Q461" s="1674">
        <f t="shared" si="74"/>
        <v>0</v>
      </c>
      <c r="R461" s="2001">
        <f t="shared" si="75"/>
        <v>0</v>
      </c>
      <c r="V461" s="2001"/>
      <c r="W461" s="2005"/>
      <c r="X461" s="2001"/>
      <c r="AA461" s="2001" t="s">
        <v>2360</v>
      </c>
      <c r="AB461" s="2005" t="s">
        <v>8946</v>
      </c>
      <c r="AD461" s="2001"/>
    </row>
    <row r="462" spans="1:30" ht="14.1" customHeight="1">
      <c r="B462" s="2024"/>
      <c r="H462" s="1674">
        <f t="shared" si="76"/>
        <v>0</v>
      </c>
      <c r="I462" s="1674">
        <f t="shared" si="66"/>
        <v>0</v>
      </c>
      <c r="J462" s="2001">
        <f t="shared" si="67"/>
        <v>0</v>
      </c>
      <c r="K462" s="2005">
        <f t="shared" si="68"/>
        <v>0</v>
      </c>
      <c r="L462" s="2001">
        <f t="shared" si="69"/>
        <v>0</v>
      </c>
      <c r="M462" s="1674">
        <f t="shared" si="70"/>
        <v>0</v>
      </c>
      <c r="N462" s="1674">
        <f t="shared" si="71"/>
        <v>0</v>
      </c>
      <c r="O462" s="2001">
        <f t="shared" si="72"/>
        <v>0</v>
      </c>
      <c r="P462" s="2005" t="str">
        <f t="shared" si="73"/>
        <v>Witness: D. Avellan</v>
      </c>
      <c r="Q462" s="1674">
        <f t="shared" si="74"/>
        <v>0</v>
      </c>
      <c r="R462" s="2001">
        <f t="shared" si="75"/>
        <v>0</v>
      </c>
      <c r="V462" s="2001"/>
      <c r="W462" s="2005"/>
      <c r="X462" s="2001"/>
      <c r="AA462" s="2001"/>
      <c r="AB462" s="2005" t="s">
        <v>8160</v>
      </c>
      <c r="AD462" s="2001"/>
    </row>
    <row r="463" spans="1:30" ht="14.1" customHeight="1" thickBot="1">
      <c r="A463" s="1997" t="s">
        <v>8158</v>
      </c>
      <c r="B463" s="2025"/>
      <c r="C463" s="1997"/>
      <c r="D463" s="1997"/>
      <c r="E463" s="1997"/>
      <c r="F463" s="1997" t="s">
        <v>2360</v>
      </c>
      <c r="G463" s="1997"/>
      <c r="H463" s="2008" t="str">
        <f t="shared" si="76"/>
        <v>(Dollars in cents)</v>
      </c>
      <c r="I463" s="1997">
        <f t="shared" si="66"/>
        <v>0</v>
      </c>
      <c r="J463" s="1997">
        <f t="shared" si="67"/>
        <v>0</v>
      </c>
      <c r="K463" s="1997">
        <f t="shared" si="68"/>
        <v>0</v>
      </c>
      <c r="L463" s="1997">
        <f t="shared" si="69"/>
        <v>0</v>
      </c>
      <c r="M463" s="1997">
        <f t="shared" si="70"/>
        <v>0</v>
      </c>
      <c r="N463" s="1997">
        <f t="shared" si="71"/>
        <v>0</v>
      </c>
      <c r="O463" s="1998">
        <f t="shared" si="72"/>
        <v>0</v>
      </c>
      <c r="P463" s="1997" t="str">
        <f t="shared" si="73"/>
        <v xml:space="preserve"> </v>
      </c>
      <c r="Q463" s="1997">
        <f t="shared" si="74"/>
        <v>0</v>
      </c>
      <c r="R463" s="1997">
        <f t="shared" si="75"/>
        <v>0</v>
      </c>
      <c r="T463" s="2008" t="s">
        <v>8159</v>
      </c>
      <c r="U463" s="1997"/>
      <c r="V463" s="1997"/>
      <c r="W463" s="1997"/>
      <c r="X463" s="1997"/>
      <c r="Y463" s="1997"/>
      <c r="Z463" s="1997"/>
      <c r="AA463" s="1998"/>
      <c r="AB463" s="1997" t="s">
        <v>2477</v>
      </c>
      <c r="AC463" s="1997"/>
      <c r="AD463" s="1997"/>
    </row>
    <row r="464" spans="1:30" ht="14.1" customHeight="1">
      <c r="C464" s="2009"/>
      <c r="D464" s="2009"/>
      <c r="E464" s="2009"/>
      <c r="F464" s="2009"/>
      <c r="G464" s="2009"/>
      <c r="H464" s="2009">
        <f t="shared" si="76"/>
        <v>0</v>
      </c>
      <c r="I464" s="2009">
        <f t="shared" si="66"/>
        <v>0</v>
      </c>
      <c r="J464" s="2009">
        <f t="shared" si="67"/>
        <v>0</v>
      </c>
      <c r="K464" s="2009">
        <f t="shared" si="68"/>
        <v>0</v>
      </c>
      <c r="L464" s="2009">
        <f t="shared" si="69"/>
        <v>0</v>
      </c>
      <c r="M464" s="2009">
        <f t="shared" si="70"/>
        <v>0</v>
      </c>
      <c r="N464" s="2009">
        <f t="shared" si="71"/>
        <v>0</v>
      </c>
      <c r="O464" s="2010">
        <f t="shared" si="72"/>
        <v>0</v>
      </c>
      <c r="P464" s="2009">
        <f t="shared" si="73"/>
        <v>0</v>
      </c>
      <c r="Q464" s="2009">
        <f t="shared" si="74"/>
        <v>0</v>
      </c>
      <c r="R464" s="2009">
        <f t="shared" si="75"/>
        <v>0</v>
      </c>
      <c r="T464" s="2009"/>
      <c r="U464" s="2009"/>
      <c r="V464" s="2009"/>
      <c r="W464" s="2009"/>
      <c r="X464" s="2009"/>
      <c r="Y464" s="2009"/>
      <c r="Z464" s="2009"/>
      <c r="AA464" s="2010"/>
      <c r="AB464" s="2009"/>
      <c r="AC464" s="2009"/>
      <c r="AD464" s="2009"/>
    </row>
    <row r="465" spans="1:30" s="2000" customFormat="1" ht="14.1" customHeight="1">
      <c r="A465" s="1674"/>
      <c r="B465" s="1674"/>
      <c r="C465" s="2009" t="s">
        <v>2306</v>
      </c>
      <c r="D465" s="2009" t="s">
        <v>2307</v>
      </c>
      <c r="E465" s="2009"/>
      <c r="F465" s="2009" t="s">
        <v>2308</v>
      </c>
      <c r="G465" s="2009"/>
      <c r="H465" s="2009" t="str">
        <f t="shared" si="76"/>
        <v>(4)</v>
      </c>
      <c r="I465" s="2009">
        <f t="shared" ref="I465:I528" si="77">+IF(ISNUMBER(U465),U465/1000,U465)</f>
        <v>0</v>
      </c>
      <c r="J465" s="1675" t="str">
        <f t="shared" ref="J465:J528" si="78">+IF(ISNUMBER(V465),V465/1000,V465)</f>
        <v>(5)</v>
      </c>
      <c r="K465" s="1675">
        <f t="shared" ref="K465:K528" si="79">+IF(ISNUMBER(W465),W465/1000,W465)</f>
        <v>0</v>
      </c>
      <c r="L465" s="2009" t="str">
        <f t="shared" ref="L465:L528" si="80">+IF(ISNUMBER(X465),X465/1000,X465)</f>
        <v>(6)</v>
      </c>
      <c r="M465" s="2009">
        <f t="shared" ref="M465:M528" si="81">+IF(ISNUMBER(Y465),Y465/1000,Y465)</f>
        <v>0</v>
      </c>
      <c r="N465" s="2009" t="str">
        <f t="shared" ref="N465:N528" si="82">+IF(ISNUMBER(Z465),Z465/1000,Z465)</f>
        <v>(7)</v>
      </c>
      <c r="O465" s="2010">
        <f t="shared" ref="O465:O528" si="83">+IF(ISNUMBER(AA465),AA465/1000,AA465)</f>
        <v>0</v>
      </c>
      <c r="P465" s="2009" t="str">
        <f t="shared" ref="P465:P528" si="84">+IF(ISNUMBER(AB465),AB465/1000,AB465)</f>
        <v>(8)</v>
      </c>
      <c r="Q465" s="2009">
        <f t="shared" ref="Q465:Q528" si="85">+IF(ISNUMBER(AC465),AC465/1000,AC465)</f>
        <v>0</v>
      </c>
      <c r="R465" s="2009" t="str">
        <f t="shared" ref="R465:R528" si="86">+IF(ISNUMBER(AD465),AD465/1000,AD465)</f>
        <v>(9)</v>
      </c>
      <c r="T465" s="2009" t="s">
        <v>2309</v>
      </c>
      <c r="U465" s="2009"/>
      <c r="V465" s="1675" t="s">
        <v>2310</v>
      </c>
      <c r="W465" s="1675"/>
      <c r="X465" s="2009" t="s">
        <v>2311</v>
      </c>
      <c r="Y465" s="2009"/>
      <c r="Z465" s="2009" t="s">
        <v>2312</v>
      </c>
      <c r="AA465" s="2010"/>
      <c r="AB465" s="2009" t="s">
        <v>2313</v>
      </c>
      <c r="AC465" s="2009"/>
      <c r="AD465" s="2009" t="s">
        <v>2314</v>
      </c>
    </row>
    <row r="466" spans="1:30" ht="14.1" customHeight="1">
      <c r="C466" s="1675" t="s">
        <v>2429</v>
      </c>
      <c r="D466" s="1675" t="s">
        <v>2429</v>
      </c>
      <c r="F466" s="1675" t="s">
        <v>1537</v>
      </c>
      <c r="G466" s="1675"/>
      <c r="H466" s="2009" t="str">
        <f t="shared" ref="H466:H529" si="87">+IF(ISNUMBER(T466),T466/1000,T466)</f>
        <v>Plant</v>
      </c>
      <c r="I466" s="1675">
        <f t="shared" si="77"/>
        <v>0</v>
      </c>
      <c r="J466" s="2009" t="str">
        <f t="shared" si="78"/>
        <v>Total</v>
      </c>
      <c r="K466" s="1675">
        <f t="shared" si="79"/>
        <v>0</v>
      </c>
      <c r="L466" s="1675" t="str">
        <f t="shared" si="80"/>
        <v>Total</v>
      </c>
      <c r="M466" s="1675">
        <f t="shared" si="81"/>
        <v>0</v>
      </c>
      <c r="N466" s="1674">
        <f t="shared" si="82"/>
        <v>0</v>
      </c>
      <c r="O466" s="2001">
        <f t="shared" si="83"/>
        <v>0</v>
      </c>
      <c r="P466" s="1675" t="str">
        <f t="shared" si="84"/>
        <v>Plant</v>
      </c>
      <c r="Q466" s="1674">
        <f t="shared" si="85"/>
        <v>0</v>
      </c>
      <c r="R466" s="1675">
        <f t="shared" si="86"/>
        <v>0</v>
      </c>
      <c r="T466" s="2009" t="s">
        <v>1823</v>
      </c>
      <c r="U466" s="1675"/>
      <c r="V466" s="2009" t="s">
        <v>122</v>
      </c>
      <c r="W466" s="1675"/>
      <c r="X466" s="1675" t="s">
        <v>122</v>
      </c>
      <c r="Y466" s="1675"/>
      <c r="AA466" s="2001"/>
      <c r="AB466" s="1675" t="s">
        <v>1823</v>
      </c>
      <c r="AD466" s="1675"/>
    </row>
    <row r="467" spans="1:30" ht="14.1" customHeight="1">
      <c r="A467" s="1675" t="s">
        <v>2430</v>
      </c>
      <c r="B467" s="1675"/>
      <c r="C467" s="1675" t="s">
        <v>2431</v>
      </c>
      <c r="D467" s="1675" t="s">
        <v>2431</v>
      </c>
      <c r="E467" s="2009"/>
      <c r="F467" s="1675" t="s">
        <v>2432</v>
      </c>
      <c r="G467" s="1675"/>
      <c r="H467" s="1675" t="str">
        <f t="shared" si="87"/>
        <v>Balance</v>
      </c>
      <c r="I467" s="1675">
        <f t="shared" si="77"/>
        <v>0</v>
      </c>
      <c r="J467" s="1675" t="str">
        <f t="shared" si="78"/>
        <v>Plant</v>
      </c>
      <c r="K467" s="2009">
        <f t="shared" si="79"/>
        <v>0</v>
      </c>
      <c r="L467" s="1675" t="str">
        <f t="shared" si="80"/>
        <v>Plant</v>
      </c>
      <c r="M467" s="2005">
        <f t="shared" si="81"/>
        <v>0</v>
      </c>
      <c r="N467" s="1675" t="str">
        <f t="shared" si="82"/>
        <v>Adjustments</v>
      </c>
      <c r="O467" s="2010">
        <f t="shared" si="83"/>
        <v>0</v>
      </c>
      <c r="P467" s="2009" t="str">
        <f t="shared" si="84"/>
        <v>Balance</v>
      </c>
      <c r="Q467" s="2009">
        <f t="shared" si="85"/>
        <v>0</v>
      </c>
      <c r="R467" s="1675" t="str">
        <f t="shared" si="86"/>
        <v>13-Month</v>
      </c>
      <c r="T467" s="1675" t="s">
        <v>2433</v>
      </c>
      <c r="U467" s="1675"/>
      <c r="V467" s="1675" t="s">
        <v>1823</v>
      </c>
      <c r="W467" s="2009"/>
      <c r="X467" s="1675" t="s">
        <v>1823</v>
      </c>
      <c r="Y467" s="2005"/>
      <c r="Z467" s="1675" t="s">
        <v>593</v>
      </c>
      <c r="AA467" s="2010"/>
      <c r="AB467" s="2009" t="s">
        <v>2433</v>
      </c>
      <c r="AC467" s="2009"/>
      <c r="AD467" s="1675" t="s">
        <v>2434</v>
      </c>
    </row>
    <row r="468" spans="1:30" ht="14.1" customHeight="1" thickBot="1">
      <c r="A468" s="2008" t="s">
        <v>2435</v>
      </c>
      <c r="B468" s="2008"/>
      <c r="C468" s="2008" t="s">
        <v>2436</v>
      </c>
      <c r="D468" s="2008" t="s">
        <v>2437</v>
      </c>
      <c r="E468" s="2008"/>
      <c r="F468" s="2011" t="s">
        <v>2438</v>
      </c>
      <c r="G468" s="2011"/>
      <c r="H468" s="2011" t="str">
        <f t="shared" si="87"/>
        <v>Beg. of Year</v>
      </c>
      <c r="I468" s="2012">
        <f t="shared" si="77"/>
        <v>0</v>
      </c>
      <c r="J468" s="2011" t="str">
        <f t="shared" si="78"/>
        <v>Added</v>
      </c>
      <c r="K468" s="2012">
        <f t="shared" si="79"/>
        <v>0</v>
      </c>
      <c r="L468" s="2012" t="str">
        <f t="shared" si="80"/>
        <v>Retired</v>
      </c>
      <c r="M468" s="2013">
        <f t="shared" si="81"/>
        <v>0</v>
      </c>
      <c r="N468" s="2013" t="str">
        <f t="shared" si="82"/>
        <v>or Transfers</v>
      </c>
      <c r="O468" s="2014">
        <f t="shared" si="83"/>
        <v>0</v>
      </c>
      <c r="P468" s="2013" t="str">
        <f t="shared" si="84"/>
        <v>End of Year</v>
      </c>
      <c r="Q468" s="2013">
        <f t="shared" si="85"/>
        <v>0</v>
      </c>
      <c r="R468" s="2013" t="str">
        <f t="shared" si="86"/>
        <v>Average</v>
      </c>
      <c r="T468" s="2011" t="s">
        <v>2439</v>
      </c>
      <c r="U468" s="2012"/>
      <c r="V468" s="2011" t="s">
        <v>2440</v>
      </c>
      <c r="W468" s="2012"/>
      <c r="X468" s="2012" t="s">
        <v>2441</v>
      </c>
      <c r="Y468" s="2013"/>
      <c r="Z468" s="2013" t="s">
        <v>2442</v>
      </c>
      <c r="AA468" s="2014"/>
      <c r="AB468" s="2013" t="s">
        <v>2443</v>
      </c>
      <c r="AC468" s="2013"/>
      <c r="AD468" s="2013" t="s">
        <v>2444</v>
      </c>
    </row>
    <row r="469" spans="1:30" ht="14.1" customHeight="1">
      <c r="A469" s="1675">
        <v>1</v>
      </c>
      <c r="B469" s="2015"/>
      <c r="H469" s="1674">
        <f t="shared" si="87"/>
        <v>0</v>
      </c>
      <c r="I469" s="1674">
        <f t="shared" si="77"/>
        <v>0</v>
      </c>
      <c r="J469" s="1674">
        <f t="shared" si="78"/>
        <v>0</v>
      </c>
      <c r="K469" s="1674">
        <f t="shared" si="79"/>
        <v>0</v>
      </c>
      <c r="L469" s="1674">
        <f t="shared" si="80"/>
        <v>0</v>
      </c>
      <c r="M469" s="1674">
        <f t="shared" si="81"/>
        <v>0</v>
      </c>
      <c r="N469" s="1674">
        <f t="shared" si="82"/>
        <v>0</v>
      </c>
      <c r="O469" s="2001">
        <f t="shared" si="83"/>
        <v>0</v>
      </c>
      <c r="P469" s="1674">
        <f t="shared" si="84"/>
        <v>0</v>
      </c>
      <c r="Q469" s="1674">
        <f t="shared" si="85"/>
        <v>0</v>
      </c>
      <c r="R469" s="1674">
        <f t="shared" si="86"/>
        <v>0</v>
      </c>
      <c r="AA469" s="2001"/>
    </row>
    <row r="470" spans="1:30" ht="14.1" customHeight="1">
      <c r="A470" s="1675">
        <v>2</v>
      </c>
      <c r="B470" s="2015"/>
      <c r="C470" s="2019"/>
      <c r="D470" s="1674" t="s">
        <v>2571</v>
      </c>
      <c r="H470" s="2041">
        <f t="shared" si="87"/>
        <v>0</v>
      </c>
      <c r="I470" s="2041">
        <f t="shared" si="77"/>
        <v>0</v>
      </c>
      <c r="J470" s="2041">
        <f t="shared" si="78"/>
        <v>0</v>
      </c>
      <c r="K470" s="2041">
        <f t="shared" si="79"/>
        <v>0</v>
      </c>
      <c r="L470" s="2041">
        <f t="shared" si="80"/>
        <v>0</v>
      </c>
      <c r="M470" s="2041">
        <f t="shared" si="81"/>
        <v>0</v>
      </c>
      <c r="N470" s="2041">
        <f t="shared" si="82"/>
        <v>0</v>
      </c>
      <c r="O470" s="2042">
        <f t="shared" si="83"/>
        <v>0</v>
      </c>
      <c r="P470" s="2041">
        <f t="shared" si="84"/>
        <v>0</v>
      </c>
      <c r="Q470" s="2041">
        <f t="shared" si="85"/>
        <v>0</v>
      </c>
      <c r="R470" s="2041">
        <f t="shared" si="86"/>
        <v>0</v>
      </c>
      <c r="T470" s="2041"/>
      <c r="U470" s="2041"/>
      <c r="V470" s="2041"/>
      <c r="W470" s="2041"/>
      <c r="X470" s="2041"/>
      <c r="Y470" s="2041"/>
      <c r="Z470" s="2041"/>
      <c r="AA470" s="2042"/>
      <c r="AB470" s="2041"/>
      <c r="AC470" s="2041"/>
      <c r="AD470" s="2041"/>
    </row>
    <row r="471" spans="1:30" ht="14.1" customHeight="1">
      <c r="A471" s="1675">
        <v>3</v>
      </c>
      <c r="B471" s="2015"/>
      <c r="C471" s="1675" t="s">
        <v>2572</v>
      </c>
      <c r="D471" s="1801" t="s">
        <v>2573</v>
      </c>
      <c r="E471" s="1781"/>
      <c r="F471" s="2019">
        <v>0</v>
      </c>
      <c r="G471" s="2001"/>
      <c r="H471" s="1876">
        <f t="shared" si="87"/>
        <v>6923.6285099999996</v>
      </c>
      <c r="I471" s="1785">
        <f t="shared" si="77"/>
        <v>0</v>
      </c>
      <c r="J471" s="1876">
        <f t="shared" si="78"/>
        <v>0</v>
      </c>
      <c r="K471" s="1786">
        <f t="shared" si="79"/>
        <v>0</v>
      </c>
      <c r="L471" s="1876">
        <f t="shared" si="80"/>
        <v>0</v>
      </c>
      <c r="M471" s="1786">
        <f t="shared" si="81"/>
        <v>0</v>
      </c>
      <c r="N471" s="1876">
        <f t="shared" si="82"/>
        <v>0</v>
      </c>
      <c r="O471" s="1785">
        <f t="shared" si="83"/>
        <v>0</v>
      </c>
      <c r="P471" s="1787">
        <f t="shared" si="84"/>
        <v>6923.6285099999996</v>
      </c>
      <c r="Q471" s="1786">
        <f t="shared" si="85"/>
        <v>0</v>
      </c>
      <c r="R471" s="1876">
        <f t="shared" si="86"/>
        <v>6923.6285099999996</v>
      </c>
      <c r="T471" s="1876">
        <v>6923628.5099999998</v>
      </c>
      <c r="U471" s="1785"/>
      <c r="V471" s="1876">
        <v>0</v>
      </c>
      <c r="W471" s="1786"/>
      <c r="X471" s="1876">
        <v>0</v>
      </c>
      <c r="Y471" s="1786"/>
      <c r="Z471" s="1876">
        <v>0</v>
      </c>
      <c r="AA471" s="1785"/>
      <c r="AB471" s="1787">
        <v>6923628.5099999998</v>
      </c>
      <c r="AC471" s="1786"/>
      <c r="AD471" s="1876">
        <v>6923628.5099999998</v>
      </c>
    </row>
    <row r="472" spans="1:30" ht="14.1" customHeight="1">
      <c r="A472" s="1675">
        <v>4</v>
      </c>
      <c r="B472" s="2015"/>
      <c r="C472" s="1675" t="s">
        <v>2574</v>
      </c>
      <c r="D472" s="1802" t="s">
        <v>2575</v>
      </c>
      <c r="E472" s="1803"/>
      <c r="F472" s="2019">
        <v>0</v>
      </c>
      <c r="G472" s="2001"/>
      <c r="H472" s="1876">
        <f t="shared" si="87"/>
        <v>193953.60046000002</v>
      </c>
      <c r="I472" s="1785">
        <f t="shared" si="77"/>
        <v>0</v>
      </c>
      <c r="J472" s="1876">
        <f t="shared" si="78"/>
        <v>15362.126259999999</v>
      </c>
      <c r="K472" s="1786">
        <f t="shared" si="79"/>
        <v>0</v>
      </c>
      <c r="L472" s="1876">
        <f t="shared" si="80"/>
        <v>0</v>
      </c>
      <c r="M472" s="1786">
        <f t="shared" si="81"/>
        <v>0</v>
      </c>
      <c r="N472" s="1876">
        <f t="shared" si="82"/>
        <v>0</v>
      </c>
      <c r="O472" s="1785">
        <f t="shared" si="83"/>
        <v>0</v>
      </c>
      <c r="P472" s="1787">
        <f t="shared" si="84"/>
        <v>209315.72672000001</v>
      </c>
      <c r="Q472" s="1786">
        <f t="shared" si="85"/>
        <v>0</v>
      </c>
      <c r="R472" s="1876">
        <f t="shared" si="86"/>
        <v>195135.30248000001</v>
      </c>
      <c r="T472" s="1876">
        <v>193953600.46000001</v>
      </c>
      <c r="U472" s="1785"/>
      <c r="V472" s="1876">
        <v>15362126.26</v>
      </c>
      <c r="W472" s="1786"/>
      <c r="X472" s="1876">
        <v>0</v>
      </c>
      <c r="Y472" s="1786"/>
      <c r="Z472" s="1876">
        <v>0</v>
      </c>
      <c r="AA472" s="1785"/>
      <c r="AB472" s="1787">
        <v>209315726.72</v>
      </c>
      <c r="AC472" s="1786"/>
      <c r="AD472" s="1876">
        <v>195135302.48000002</v>
      </c>
    </row>
    <row r="473" spans="1:30" ht="14.1" customHeight="1">
      <c r="A473" s="1675">
        <v>5</v>
      </c>
      <c r="B473" s="2015"/>
      <c r="C473" s="1675">
        <v>35000</v>
      </c>
      <c r="D473" s="1804" t="s">
        <v>2576</v>
      </c>
      <c r="E473" s="1805"/>
      <c r="F473" s="2019">
        <v>0</v>
      </c>
      <c r="G473" s="2001"/>
      <c r="H473" s="1876">
        <f t="shared" si="87"/>
        <v>17799.99856</v>
      </c>
      <c r="I473" s="1785">
        <f t="shared" si="77"/>
        <v>0</v>
      </c>
      <c r="J473" s="1876">
        <f t="shared" si="78"/>
        <v>0</v>
      </c>
      <c r="K473" s="1786">
        <f t="shared" si="79"/>
        <v>0</v>
      </c>
      <c r="L473" s="1876">
        <f t="shared" si="80"/>
        <v>0</v>
      </c>
      <c r="M473" s="1786">
        <f t="shared" si="81"/>
        <v>0</v>
      </c>
      <c r="N473" s="1876">
        <f t="shared" si="82"/>
        <v>0</v>
      </c>
      <c r="O473" s="1785">
        <f t="shared" si="83"/>
        <v>0</v>
      </c>
      <c r="P473" s="1787">
        <f t="shared" si="84"/>
        <v>17799.99856</v>
      </c>
      <c r="Q473" s="1786">
        <f t="shared" si="85"/>
        <v>0</v>
      </c>
      <c r="R473" s="1876">
        <f t="shared" si="86"/>
        <v>17799.99856</v>
      </c>
      <c r="T473" s="1876">
        <v>17799998.559999999</v>
      </c>
      <c r="U473" s="1785"/>
      <c r="V473" s="1876">
        <v>0</v>
      </c>
      <c r="W473" s="1786"/>
      <c r="X473" s="1876">
        <v>0</v>
      </c>
      <c r="Y473" s="1786"/>
      <c r="Z473" s="1876">
        <v>0</v>
      </c>
      <c r="AA473" s="1785"/>
      <c r="AB473" s="1787">
        <v>17799998.559999999</v>
      </c>
      <c r="AC473" s="1786"/>
      <c r="AD473" s="1876">
        <v>17799998.559999999</v>
      </c>
    </row>
    <row r="474" spans="1:30" ht="14.1" customHeight="1">
      <c r="A474" s="1675">
        <v>6</v>
      </c>
      <c r="B474" s="2015"/>
      <c r="C474" s="1675">
        <v>36000</v>
      </c>
      <c r="D474" s="1804" t="s">
        <v>2577</v>
      </c>
      <c r="E474" s="1805"/>
      <c r="F474" s="2019">
        <v>0</v>
      </c>
      <c r="G474" s="2001"/>
      <c r="H474" s="1876">
        <f t="shared" si="87"/>
        <v>10119.782539999998</v>
      </c>
      <c r="I474" s="1785">
        <f t="shared" si="77"/>
        <v>0</v>
      </c>
      <c r="J474" s="1876">
        <f t="shared" si="78"/>
        <v>0</v>
      </c>
      <c r="K474" s="1786">
        <f t="shared" si="79"/>
        <v>0</v>
      </c>
      <c r="L474" s="1876">
        <f t="shared" si="80"/>
        <v>0</v>
      </c>
      <c r="M474" s="1786">
        <f t="shared" si="81"/>
        <v>0</v>
      </c>
      <c r="N474" s="1876">
        <f t="shared" si="82"/>
        <v>0</v>
      </c>
      <c r="O474" s="1785">
        <f t="shared" si="83"/>
        <v>0</v>
      </c>
      <c r="P474" s="1787">
        <f t="shared" si="84"/>
        <v>10119.782539999998</v>
      </c>
      <c r="Q474" s="1786">
        <f t="shared" si="85"/>
        <v>0</v>
      </c>
      <c r="R474" s="1876">
        <f t="shared" si="86"/>
        <v>10119.782539999998</v>
      </c>
      <c r="T474" s="1876">
        <v>10119782.539999999</v>
      </c>
      <c r="U474" s="1785"/>
      <c r="V474" s="1876">
        <v>0</v>
      </c>
      <c r="W474" s="1786"/>
      <c r="X474" s="1876">
        <v>0</v>
      </c>
      <c r="Y474" s="1786"/>
      <c r="Z474" s="1876">
        <v>0</v>
      </c>
      <c r="AA474" s="1785"/>
      <c r="AB474" s="1787">
        <v>10119782.539999999</v>
      </c>
      <c r="AC474" s="1786"/>
      <c r="AD474" s="1876">
        <v>10119782.539999999</v>
      </c>
    </row>
    <row r="475" spans="1:30" ht="14.1" customHeight="1">
      <c r="A475" s="1675">
        <v>7</v>
      </c>
      <c r="B475" s="2015"/>
      <c r="C475" s="1675">
        <v>38900</v>
      </c>
      <c r="D475" s="1804" t="s">
        <v>2578</v>
      </c>
      <c r="E475" s="1805"/>
      <c r="F475" s="2019">
        <v>0</v>
      </c>
      <c r="G475" s="2001"/>
      <c r="H475" s="1876">
        <f t="shared" si="87"/>
        <v>3286.63042</v>
      </c>
      <c r="I475" s="1785">
        <f t="shared" si="77"/>
        <v>0</v>
      </c>
      <c r="J475" s="1876">
        <f t="shared" si="78"/>
        <v>23298.939879999998</v>
      </c>
      <c r="K475" s="1786">
        <f t="shared" si="79"/>
        <v>0</v>
      </c>
      <c r="L475" s="1876">
        <f t="shared" si="80"/>
        <v>0</v>
      </c>
      <c r="M475" s="1786">
        <f t="shared" si="81"/>
        <v>0</v>
      </c>
      <c r="N475" s="1876">
        <f t="shared" si="82"/>
        <v>0</v>
      </c>
      <c r="O475" s="1785">
        <f t="shared" si="83"/>
        <v>0</v>
      </c>
      <c r="P475" s="1787">
        <f t="shared" si="84"/>
        <v>26585.570299999996</v>
      </c>
      <c r="Q475" s="1786">
        <f t="shared" si="85"/>
        <v>0</v>
      </c>
      <c r="R475" s="1876">
        <f t="shared" si="86"/>
        <v>16600.915820000002</v>
      </c>
      <c r="T475" s="1876">
        <v>3286630.42</v>
      </c>
      <c r="U475" s="1785"/>
      <c r="V475" s="1876">
        <v>23298939.879999999</v>
      </c>
      <c r="W475" s="1786"/>
      <c r="X475" s="1876">
        <v>0</v>
      </c>
      <c r="Y475" s="1786"/>
      <c r="Z475" s="1876">
        <v>0</v>
      </c>
      <c r="AA475" s="1785"/>
      <c r="AB475" s="1787">
        <v>26585570.299999997</v>
      </c>
      <c r="AC475" s="1786"/>
      <c r="AD475" s="1876">
        <v>16600915.82</v>
      </c>
    </row>
    <row r="476" spans="1:30" ht="14.1" customHeight="1" thickBot="1">
      <c r="A476" s="1675">
        <v>8</v>
      </c>
      <c r="B476" s="2015"/>
      <c r="C476" s="1675"/>
      <c r="D476" s="1802" t="s">
        <v>8181</v>
      </c>
      <c r="E476" s="1803"/>
      <c r="F476" s="1873"/>
      <c r="G476" s="1803"/>
      <c r="H476" s="1806">
        <f t="shared" si="87"/>
        <v>232083.64048999999</v>
      </c>
      <c r="I476" s="1790">
        <f t="shared" si="77"/>
        <v>0</v>
      </c>
      <c r="J476" s="1806">
        <f t="shared" si="78"/>
        <v>38661.066140000003</v>
      </c>
      <c r="K476" s="1790">
        <f t="shared" si="79"/>
        <v>0</v>
      </c>
      <c r="L476" s="1806">
        <f t="shared" si="80"/>
        <v>0</v>
      </c>
      <c r="M476" s="1790">
        <f t="shared" si="81"/>
        <v>0</v>
      </c>
      <c r="N476" s="1806">
        <f t="shared" si="82"/>
        <v>0</v>
      </c>
      <c r="O476" s="1790">
        <f t="shared" si="83"/>
        <v>0</v>
      </c>
      <c r="P476" s="1806">
        <f t="shared" si="84"/>
        <v>270744.70662999997</v>
      </c>
      <c r="Q476" s="1790">
        <f t="shared" si="85"/>
        <v>0</v>
      </c>
      <c r="R476" s="1806">
        <f t="shared" si="86"/>
        <v>246579.62791000001</v>
      </c>
      <c r="T476" s="1806">
        <v>232083640.48999998</v>
      </c>
      <c r="U476" s="1790"/>
      <c r="V476" s="1806">
        <v>38661066.140000001</v>
      </c>
      <c r="W476" s="1790"/>
      <c r="X476" s="1806">
        <v>0</v>
      </c>
      <c r="Y476" s="1790"/>
      <c r="Z476" s="1806">
        <v>0</v>
      </c>
      <c r="AA476" s="1790"/>
      <c r="AB476" s="1806">
        <v>270744706.63</v>
      </c>
      <c r="AC476" s="1790"/>
      <c r="AD476" s="1806">
        <v>246579627.91</v>
      </c>
    </row>
    <row r="477" spans="1:30" ht="14.1" customHeight="1" thickTop="1">
      <c r="A477" s="1675">
        <v>9</v>
      </c>
      <c r="B477" s="2015"/>
      <c r="F477" s="2020"/>
      <c r="H477" s="1674">
        <f t="shared" si="87"/>
        <v>0</v>
      </c>
      <c r="I477" s="1674">
        <f t="shared" si="77"/>
        <v>0</v>
      </c>
      <c r="J477" s="1674">
        <f t="shared" si="78"/>
        <v>0</v>
      </c>
      <c r="K477" s="1674">
        <f t="shared" si="79"/>
        <v>0</v>
      </c>
      <c r="L477" s="1674">
        <f t="shared" si="80"/>
        <v>0</v>
      </c>
      <c r="M477" s="1674">
        <f t="shared" si="81"/>
        <v>0</v>
      </c>
      <c r="N477" s="1674">
        <f t="shared" si="82"/>
        <v>0</v>
      </c>
      <c r="O477" s="2001">
        <f t="shared" si="83"/>
        <v>0</v>
      </c>
      <c r="P477" s="1674">
        <f t="shared" si="84"/>
        <v>0</v>
      </c>
      <c r="Q477" s="1674">
        <f t="shared" si="85"/>
        <v>0</v>
      </c>
      <c r="R477" s="1674">
        <f t="shared" si="86"/>
        <v>0</v>
      </c>
      <c r="AA477" s="2001"/>
    </row>
    <row r="478" spans="1:30" ht="14.1" customHeight="1">
      <c r="A478" s="1675">
        <v>10</v>
      </c>
      <c r="B478" s="2015"/>
      <c r="C478" s="1675"/>
      <c r="D478" s="1807" t="s">
        <v>2579</v>
      </c>
      <c r="E478" s="1781"/>
      <c r="F478" s="1874"/>
      <c r="G478" s="1781"/>
      <c r="H478" s="1790">
        <f t="shared" si="87"/>
        <v>0</v>
      </c>
      <c r="I478" s="1790">
        <f t="shared" si="77"/>
        <v>0</v>
      </c>
      <c r="J478" s="2031">
        <f t="shared" si="78"/>
        <v>0</v>
      </c>
      <c r="K478" s="1790">
        <f t="shared" si="79"/>
        <v>0</v>
      </c>
      <c r="L478" s="2031">
        <f t="shared" si="80"/>
        <v>0</v>
      </c>
      <c r="M478" s="1790">
        <f t="shared" si="81"/>
        <v>0</v>
      </c>
      <c r="N478" s="2031">
        <f t="shared" si="82"/>
        <v>0</v>
      </c>
      <c r="O478" s="1790">
        <f t="shared" si="83"/>
        <v>0</v>
      </c>
      <c r="P478" s="2031">
        <f t="shared" si="84"/>
        <v>0</v>
      </c>
      <c r="Q478" s="1790">
        <f t="shared" si="85"/>
        <v>0</v>
      </c>
      <c r="R478" s="2031">
        <f t="shared" si="86"/>
        <v>0</v>
      </c>
      <c r="T478" s="1790"/>
      <c r="U478" s="1790"/>
      <c r="V478" s="2031"/>
      <c r="W478" s="1790"/>
      <c r="X478" s="2031"/>
      <c r="Y478" s="1790"/>
      <c r="Z478" s="2031"/>
      <c r="AA478" s="1790"/>
      <c r="AB478" s="2031"/>
      <c r="AC478" s="1790"/>
      <c r="AD478" s="2031"/>
    </row>
    <row r="479" spans="1:30" s="2000" customFormat="1" ht="14.1" customHeight="1">
      <c r="A479" s="1675">
        <v>11</v>
      </c>
      <c r="B479" s="2015"/>
      <c r="C479" s="1675">
        <v>30315</v>
      </c>
      <c r="D479" s="1808" t="s">
        <v>2580</v>
      </c>
      <c r="E479" s="1674"/>
      <c r="F479" s="2019">
        <v>6.7</v>
      </c>
      <c r="G479" s="2001"/>
      <c r="H479" s="1876">
        <f t="shared" si="87"/>
        <v>577595.31785000011</v>
      </c>
      <c r="I479" s="1785">
        <f t="shared" si="77"/>
        <v>0</v>
      </c>
      <c r="J479" s="1876">
        <f t="shared" si="78"/>
        <v>83861.887680000014</v>
      </c>
      <c r="K479" s="1786">
        <f t="shared" si="79"/>
        <v>0</v>
      </c>
      <c r="L479" s="1876">
        <f t="shared" si="80"/>
        <v>-4800.4783099999995</v>
      </c>
      <c r="M479" s="1786">
        <f t="shared" si="81"/>
        <v>0</v>
      </c>
      <c r="N479" s="1876">
        <f t="shared" si="82"/>
        <v>0</v>
      </c>
      <c r="O479" s="1785">
        <f t="shared" si="83"/>
        <v>0</v>
      </c>
      <c r="P479" s="1787">
        <f t="shared" si="84"/>
        <v>656656.72722000023</v>
      </c>
      <c r="Q479" s="1786">
        <f t="shared" si="85"/>
        <v>0</v>
      </c>
      <c r="R479" s="1876">
        <f t="shared" si="86"/>
        <v>596630.12151999993</v>
      </c>
      <c r="T479" s="1876">
        <v>577595317.85000014</v>
      </c>
      <c r="U479" s="1785"/>
      <c r="V479" s="1876">
        <v>83861887.680000007</v>
      </c>
      <c r="W479" s="1786"/>
      <c r="X479" s="1876">
        <v>-4800478.3099999996</v>
      </c>
      <c r="Y479" s="1786"/>
      <c r="Z479" s="1876">
        <v>0</v>
      </c>
      <c r="AA479" s="1785"/>
      <c r="AB479" s="1787">
        <v>656656727.22000027</v>
      </c>
      <c r="AC479" s="1786"/>
      <c r="AD479" s="1876">
        <v>596630121.51999998</v>
      </c>
    </row>
    <row r="480" spans="1:30" ht="14.1" customHeight="1">
      <c r="A480" s="1675">
        <v>12</v>
      </c>
      <c r="B480" s="2015"/>
      <c r="C480" s="1675">
        <v>30302</v>
      </c>
      <c r="D480" s="1674" t="s">
        <v>2581</v>
      </c>
      <c r="F480" s="2019">
        <v>0</v>
      </c>
      <c r="G480" s="2001"/>
      <c r="H480" s="1876">
        <f t="shared" si="87"/>
        <v>0</v>
      </c>
      <c r="I480" s="1785">
        <f t="shared" si="77"/>
        <v>0</v>
      </c>
      <c r="J480" s="1876">
        <f t="shared" si="78"/>
        <v>0</v>
      </c>
      <c r="K480" s="1786">
        <f t="shared" si="79"/>
        <v>0</v>
      </c>
      <c r="L480" s="1876">
        <f t="shared" si="80"/>
        <v>0</v>
      </c>
      <c r="M480" s="1786">
        <f t="shared" si="81"/>
        <v>0</v>
      </c>
      <c r="N480" s="1876">
        <f t="shared" si="82"/>
        <v>0</v>
      </c>
      <c r="O480" s="1785">
        <f t="shared" si="83"/>
        <v>0</v>
      </c>
      <c r="P480" s="1787">
        <f t="shared" si="84"/>
        <v>0</v>
      </c>
      <c r="Q480" s="1786">
        <f t="shared" si="85"/>
        <v>0</v>
      </c>
      <c r="R480" s="1876">
        <f t="shared" si="86"/>
        <v>0</v>
      </c>
      <c r="T480" s="1876">
        <v>0</v>
      </c>
      <c r="U480" s="1785"/>
      <c r="V480" s="1876">
        <v>0</v>
      </c>
      <c r="W480" s="1786"/>
      <c r="X480" s="1876">
        <v>0</v>
      </c>
      <c r="Y480" s="1786"/>
      <c r="Z480" s="1876">
        <v>0</v>
      </c>
      <c r="AA480" s="1785"/>
      <c r="AB480" s="1787">
        <v>0</v>
      </c>
      <c r="AC480" s="1786"/>
      <c r="AD480" s="1876">
        <v>0</v>
      </c>
    </row>
    <row r="481" spans="1:30" s="2000" customFormat="1" ht="14.1" customHeight="1">
      <c r="A481" s="1675">
        <v>13</v>
      </c>
      <c r="B481" s="2015"/>
      <c r="C481" s="1675">
        <v>30399</v>
      </c>
      <c r="D481" s="1674" t="s">
        <v>2582</v>
      </c>
      <c r="E481" s="1674"/>
      <c r="F481" s="2019">
        <v>3.3000000000000003</v>
      </c>
      <c r="G481" s="2001"/>
      <c r="H481" s="1876">
        <f t="shared" si="87"/>
        <v>4620.0860300000004</v>
      </c>
      <c r="I481" s="1785">
        <f t="shared" si="77"/>
        <v>0</v>
      </c>
      <c r="J481" s="1876">
        <f t="shared" si="78"/>
        <v>0</v>
      </c>
      <c r="K481" s="1786">
        <f t="shared" si="79"/>
        <v>0</v>
      </c>
      <c r="L481" s="1876">
        <f t="shared" si="80"/>
        <v>0</v>
      </c>
      <c r="M481" s="1786">
        <f t="shared" si="81"/>
        <v>0</v>
      </c>
      <c r="N481" s="1876">
        <f t="shared" si="82"/>
        <v>0</v>
      </c>
      <c r="O481" s="1785">
        <f t="shared" si="83"/>
        <v>0</v>
      </c>
      <c r="P481" s="1787">
        <f t="shared" si="84"/>
        <v>4620.0860300000004</v>
      </c>
      <c r="Q481" s="1786">
        <f t="shared" si="85"/>
        <v>0</v>
      </c>
      <c r="R481" s="1876">
        <f t="shared" si="86"/>
        <v>4620.0860300000004</v>
      </c>
      <c r="T481" s="1876">
        <v>4620086.03</v>
      </c>
      <c r="U481" s="1785"/>
      <c r="V481" s="1876">
        <v>0</v>
      </c>
      <c r="W481" s="1786"/>
      <c r="X481" s="1876">
        <v>0</v>
      </c>
      <c r="Y481" s="1786"/>
      <c r="Z481" s="1876">
        <v>0</v>
      </c>
      <c r="AA481" s="1785"/>
      <c r="AB481" s="1787">
        <v>4620086.03</v>
      </c>
      <c r="AC481" s="1786"/>
      <c r="AD481" s="1876">
        <v>4620086.03</v>
      </c>
    </row>
    <row r="482" spans="1:30" ht="14.1" customHeight="1" thickBot="1">
      <c r="A482" s="1675">
        <v>14</v>
      </c>
      <c r="D482" s="1802" t="s">
        <v>2464</v>
      </c>
      <c r="E482" s="1809"/>
      <c r="F482" s="1873"/>
      <c r="G482" s="1809"/>
      <c r="H482" s="1806">
        <f t="shared" si="87"/>
        <v>582215.40388000011</v>
      </c>
      <c r="I482" s="1790">
        <f t="shared" si="77"/>
        <v>0</v>
      </c>
      <c r="J482" s="1806">
        <f t="shared" si="78"/>
        <v>83861.887680000014</v>
      </c>
      <c r="K482" s="1790">
        <f t="shared" si="79"/>
        <v>0</v>
      </c>
      <c r="L482" s="1806">
        <f t="shared" si="80"/>
        <v>-4800.4783099999995</v>
      </c>
      <c r="M482" s="1790">
        <f t="shared" si="81"/>
        <v>0</v>
      </c>
      <c r="N482" s="1806">
        <f t="shared" si="82"/>
        <v>0</v>
      </c>
      <c r="O482" s="1790">
        <f t="shared" si="83"/>
        <v>0</v>
      </c>
      <c r="P482" s="1806">
        <f t="shared" si="84"/>
        <v>661276.81325000024</v>
      </c>
      <c r="Q482" s="1790">
        <f t="shared" si="85"/>
        <v>0</v>
      </c>
      <c r="R482" s="1806">
        <f t="shared" si="86"/>
        <v>601250.20754999993</v>
      </c>
      <c r="T482" s="1806">
        <v>582215403.88000011</v>
      </c>
      <c r="U482" s="1790"/>
      <c r="V482" s="1806">
        <v>83861887.680000007</v>
      </c>
      <c r="W482" s="1790"/>
      <c r="X482" s="1806">
        <v>-4800478.3099999996</v>
      </c>
      <c r="Y482" s="1790"/>
      <c r="Z482" s="1806">
        <v>0</v>
      </c>
      <c r="AA482" s="1790"/>
      <c r="AB482" s="1806">
        <v>661276813.25000024</v>
      </c>
      <c r="AC482" s="1790"/>
      <c r="AD482" s="1806">
        <v>601250207.54999995</v>
      </c>
    </row>
    <row r="483" spans="1:30" ht="14.1" customHeight="1" thickTop="1">
      <c r="A483" s="1675">
        <v>15</v>
      </c>
      <c r="F483" s="2020"/>
      <c r="H483" s="1674">
        <f t="shared" si="87"/>
        <v>0</v>
      </c>
      <c r="I483" s="1674">
        <f t="shared" si="77"/>
        <v>0</v>
      </c>
      <c r="J483" s="1674">
        <f t="shared" si="78"/>
        <v>0</v>
      </c>
      <c r="K483" s="1674">
        <f t="shared" si="79"/>
        <v>0</v>
      </c>
      <c r="L483" s="1674">
        <f t="shared" si="80"/>
        <v>0</v>
      </c>
      <c r="M483" s="1674">
        <f t="shared" si="81"/>
        <v>0</v>
      </c>
      <c r="N483" s="1674">
        <f t="shared" si="82"/>
        <v>0</v>
      </c>
      <c r="O483" s="2001">
        <f t="shared" si="83"/>
        <v>0</v>
      </c>
      <c r="P483" s="1674">
        <f t="shared" si="84"/>
        <v>0</v>
      </c>
      <c r="Q483" s="1674">
        <f t="shared" si="85"/>
        <v>0</v>
      </c>
      <c r="R483" s="1674">
        <f t="shared" si="86"/>
        <v>0</v>
      </c>
      <c r="AA483" s="2001"/>
    </row>
    <row r="484" spans="1:30" ht="14.1" customHeight="1">
      <c r="A484" s="1675">
        <v>16</v>
      </c>
      <c r="D484" s="2044" t="s">
        <v>2583</v>
      </c>
      <c r="F484" s="2020"/>
      <c r="H484" s="1674">
        <f t="shared" si="87"/>
        <v>0</v>
      </c>
      <c r="I484" s="1674">
        <f t="shared" si="77"/>
        <v>0</v>
      </c>
      <c r="J484" s="1674">
        <f t="shared" si="78"/>
        <v>0</v>
      </c>
      <c r="K484" s="1674">
        <f t="shared" si="79"/>
        <v>0</v>
      </c>
      <c r="L484" s="1674">
        <f t="shared" si="80"/>
        <v>0</v>
      </c>
      <c r="M484" s="1674">
        <f t="shared" si="81"/>
        <v>0</v>
      </c>
      <c r="N484" s="1674">
        <f t="shared" si="82"/>
        <v>0</v>
      </c>
      <c r="O484" s="2001">
        <f t="shared" si="83"/>
        <v>0</v>
      </c>
      <c r="P484" s="1674">
        <f t="shared" si="84"/>
        <v>0</v>
      </c>
      <c r="Q484" s="1674">
        <f t="shared" si="85"/>
        <v>0</v>
      </c>
      <c r="R484" s="1674">
        <f t="shared" si="86"/>
        <v>0</v>
      </c>
      <c r="AA484" s="2001"/>
    </row>
    <row r="485" spans="1:30" ht="14.1" customHeight="1">
      <c r="A485" s="1675">
        <v>17</v>
      </c>
      <c r="C485" s="1675">
        <v>31700</v>
      </c>
      <c r="D485" s="1674" t="s">
        <v>2584</v>
      </c>
      <c r="F485" s="2019">
        <v>2.8</v>
      </c>
      <c r="G485" s="2001"/>
      <c r="H485" s="1876">
        <f t="shared" si="87"/>
        <v>5602.9184799999966</v>
      </c>
      <c r="I485" s="1785">
        <f t="shared" si="77"/>
        <v>0</v>
      </c>
      <c r="J485" s="1876">
        <f t="shared" si="78"/>
        <v>0</v>
      </c>
      <c r="K485" s="1786">
        <f t="shared" si="79"/>
        <v>0</v>
      </c>
      <c r="L485" s="1876">
        <f t="shared" si="80"/>
        <v>0</v>
      </c>
      <c r="M485" s="1786">
        <f t="shared" si="81"/>
        <v>0</v>
      </c>
      <c r="N485" s="1876">
        <f t="shared" si="82"/>
        <v>0</v>
      </c>
      <c r="O485" s="1785">
        <f t="shared" si="83"/>
        <v>0</v>
      </c>
      <c r="P485" s="1787">
        <f t="shared" si="84"/>
        <v>5602.9184799999966</v>
      </c>
      <c r="Q485" s="1786">
        <f t="shared" si="85"/>
        <v>0</v>
      </c>
      <c r="R485" s="1876">
        <f t="shared" si="86"/>
        <v>5602.9184800000003</v>
      </c>
      <c r="T485" s="1876">
        <v>5602918.4799999967</v>
      </c>
      <c r="U485" s="1785"/>
      <c r="V485" s="1876">
        <v>0</v>
      </c>
      <c r="W485" s="1786"/>
      <c r="X485" s="1876">
        <v>0</v>
      </c>
      <c r="Y485" s="1786"/>
      <c r="Z485" s="1876">
        <v>0</v>
      </c>
      <c r="AA485" s="1785"/>
      <c r="AB485" s="1787">
        <v>5602918.4799999967</v>
      </c>
      <c r="AC485" s="1786"/>
      <c r="AD485" s="1876">
        <v>5602918.4800000004</v>
      </c>
    </row>
    <row r="486" spans="1:30" ht="14.1" customHeight="1">
      <c r="A486" s="1675">
        <v>18</v>
      </c>
      <c r="C486" s="1675">
        <v>34700</v>
      </c>
      <c r="D486" s="1674" t="s">
        <v>2585</v>
      </c>
      <c r="F486" s="2019">
        <v>3.4000000000000004</v>
      </c>
      <c r="G486" s="2001"/>
      <c r="H486" s="1876">
        <f t="shared" si="87"/>
        <v>12376.233219999998</v>
      </c>
      <c r="I486" s="1785">
        <f t="shared" si="77"/>
        <v>0</v>
      </c>
      <c r="J486" s="1876">
        <f t="shared" si="78"/>
        <v>0</v>
      </c>
      <c r="K486" s="1786">
        <f t="shared" si="79"/>
        <v>0</v>
      </c>
      <c r="L486" s="1876">
        <f t="shared" si="80"/>
        <v>0</v>
      </c>
      <c r="M486" s="1786">
        <f t="shared" si="81"/>
        <v>0</v>
      </c>
      <c r="N486" s="1876">
        <f t="shared" si="82"/>
        <v>0</v>
      </c>
      <c r="O486" s="1785">
        <f t="shared" si="83"/>
        <v>0</v>
      </c>
      <c r="P486" s="1787">
        <f t="shared" si="84"/>
        <v>12376.233219999998</v>
      </c>
      <c r="Q486" s="1786">
        <f t="shared" si="85"/>
        <v>0</v>
      </c>
      <c r="R486" s="1876">
        <f t="shared" si="86"/>
        <v>12376.23322</v>
      </c>
      <c r="T486" s="1876">
        <v>12376233.219999999</v>
      </c>
      <c r="U486" s="1785"/>
      <c r="V486" s="1876">
        <v>0</v>
      </c>
      <c r="W486" s="1786"/>
      <c r="X486" s="1876">
        <v>0</v>
      </c>
      <c r="Y486" s="1786"/>
      <c r="Z486" s="1876">
        <v>0</v>
      </c>
      <c r="AA486" s="1785"/>
      <c r="AB486" s="1787">
        <v>12376233.219999999</v>
      </c>
      <c r="AC486" s="1786"/>
      <c r="AD486" s="1876">
        <v>12376233.220000001</v>
      </c>
    </row>
    <row r="487" spans="1:30" ht="14.1" customHeight="1">
      <c r="A487" s="1675">
        <v>19</v>
      </c>
      <c r="B487" s="2015"/>
      <c r="C487" s="1675">
        <v>37400</v>
      </c>
      <c r="D487" s="1674" t="s">
        <v>2586</v>
      </c>
      <c r="F487" s="2019">
        <v>1.4</v>
      </c>
      <c r="G487" s="2001"/>
      <c r="H487" s="1876">
        <f t="shared" si="87"/>
        <v>7160.1822599999996</v>
      </c>
      <c r="I487" s="1785">
        <f t="shared" si="77"/>
        <v>0</v>
      </c>
      <c r="J487" s="1876">
        <f t="shared" si="78"/>
        <v>0</v>
      </c>
      <c r="K487" s="1786">
        <f t="shared" si="79"/>
        <v>0</v>
      </c>
      <c r="L487" s="1876">
        <f t="shared" si="80"/>
        <v>0</v>
      </c>
      <c r="M487" s="1786">
        <f t="shared" si="81"/>
        <v>0</v>
      </c>
      <c r="N487" s="1876">
        <f t="shared" si="82"/>
        <v>0</v>
      </c>
      <c r="O487" s="1785">
        <f t="shared" si="83"/>
        <v>0</v>
      </c>
      <c r="P487" s="1787">
        <f t="shared" si="84"/>
        <v>7160.1822599999996</v>
      </c>
      <c r="Q487" s="1786">
        <f t="shared" si="85"/>
        <v>0</v>
      </c>
      <c r="R487" s="1876">
        <f t="shared" si="86"/>
        <v>7160.1822599999996</v>
      </c>
      <c r="T487" s="1876">
        <v>7160182.2599999998</v>
      </c>
      <c r="U487" s="1785"/>
      <c r="V487" s="1876">
        <v>0</v>
      </c>
      <c r="W487" s="1786"/>
      <c r="X487" s="1876">
        <v>0</v>
      </c>
      <c r="Y487" s="1786"/>
      <c r="Z487" s="1876">
        <v>0</v>
      </c>
      <c r="AA487" s="1785"/>
      <c r="AB487" s="1787">
        <v>7160182.2599999998</v>
      </c>
      <c r="AC487" s="1786"/>
      <c r="AD487" s="1876">
        <v>7160182.2599999998</v>
      </c>
    </row>
    <row r="488" spans="1:30" ht="14.1" customHeight="1">
      <c r="A488" s="1675">
        <v>20</v>
      </c>
      <c r="B488" s="2015"/>
      <c r="C488" s="1675">
        <v>39910</v>
      </c>
      <c r="D488" s="1674" t="s">
        <v>2587</v>
      </c>
      <c r="F488" s="2019">
        <v>4.3</v>
      </c>
      <c r="G488" s="2001"/>
      <c r="H488" s="1876">
        <f t="shared" si="87"/>
        <v>269.18751000000003</v>
      </c>
      <c r="I488" s="1785">
        <f t="shared" si="77"/>
        <v>0</v>
      </c>
      <c r="J488" s="1876">
        <f t="shared" si="78"/>
        <v>0</v>
      </c>
      <c r="K488" s="1786">
        <f t="shared" si="79"/>
        <v>0</v>
      </c>
      <c r="L488" s="1876">
        <f t="shared" si="80"/>
        <v>0</v>
      </c>
      <c r="M488" s="1786">
        <f t="shared" si="81"/>
        <v>0</v>
      </c>
      <c r="N488" s="1876">
        <f t="shared" si="82"/>
        <v>0</v>
      </c>
      <c r="O488" s="1785">
        <f t="shared" si="83"/>
        <v>0</v>
      </c>
      <c r="P488" s="1787">
        <f t="shared" si="84"/>
        <v>269.18751000000003</v>
      </c>
      <c r="Q488" s="1786">
        <f t="shared" si="85"/>
        <v>0</v>
      </c>
      <c r="R488" s="1876">
        <f t="shared" si="86"/>
        <v>269.18751000000003</v>
      </c>
      <c r="T488" s="1876">
        <v>269187.51</v>
      </c>
      <c r="U488" s="1785"/>
      <c r="V488" s="1876">
        <v>0</v>
      </c>
      <c r="W488" s="1786"/>
      <c r="X488" s="1876">
        <v>0</v>
      </c>
      <c r="Y488" s="1786"/>
      <c r="Z488" s="1876">
        <v>0</v>
      </c>
      <c r="AA488" s="1785"/>
      <c r="AB488" s="1787">
        <v>269187.51</v>
      </c>
      <c r="AC488" s="1786"/>
      <c r="AD488" s="1876">
        <v>269187.51</v>
      </c>
    </row>
    <row r="489" spans="1:30" ht="14.1" customHeight="1" thickBot="1">
      <c r="A489" s="1675">
        <v>21</v>
      </c>
      <c r="B489" s="2015"/>
      <c r="D489" s="2044" t="s">
        <v>2588</v>
      </c>
      <c r="F489" s="2020"/>
      <c r="H489" s="2045">
        <f t="shared" si="87"/>
        <v>25408.521469999996</v>
      </c>
      <c r="I489" s="1674">
        <f t="shared" si="77"/>
        <v>0</v>
      </c>
      <c r="J489" s="2045">
        <f t="shared" si="78"/>
        <v>0</v>
      </c>
      <c r="K489" s="1674">
        <f t="shared" si="79"/>
        <v>0</v>
      </c>
      <c r="L489" s="2045">
        <f t="shared" si="80"/>
        <v>0</v>
      </c>
      <c r="M489" s="1674">
        <f t="shared" si="81"/>
        <v>0</v>
      </c>
      <c r="N489" s="2045">
        <f t="shared" si="82"/>
        <v>0</v>
      </c>
      <c r="O489" s="2001">
        <f t="shared" si="83"/>
        <v>0</v>
      </c>
      <c r="P489" s="2045">
        <f t="shared" si="84"/>
        <v>25408.521469999996</v>
      </c>
      <c r="Q489" s="1674">
        <f t="shared" si="85"/>
        <v>0</v>
      </c>
      <c r="R489" s="2045">
        <f t="shared" si="86"/>
        <v>25408.521470000003</v>
      </c>
      <c r="T489" s="2045">
        <v>25408521.469999995</v>
      </c>
      <c r="V489" s="2045">
        <v>0</v>
      </c>
      <c r="X489" s="2045">
        <v>0</v>
      </c>
      <c r="Z489" s="2045">
        <v>0</v>
      </c>
      <c r="AA489" s="2001"/>
      <c r="AB489" s="2045">
        <v>25408521.469999995</v>
      </c>
      <c r="AD489" s="2045">
        <v>25408521.470000003</v>
      </c>
    </row>
    <row r="490" spans="1:30" ht="14.1" customHeight="1" thickTop="1">
      <c r="A490" s="1675">
        <v>22</v>
      </c>
      <c r="B490" s="2015"/>
      <c r="D490" s="2044"/>
      <c r="F490" s="2020"/>
      <c r="H490" s="2035">
        <f t="shared" si="87"/>
        <v>0</v>
      </c>
      <c r="I490" s="1674">
        <f t="shared" si="77"/>
        <v>0</v>
      </c>
      <c r="J490" s="2035">
        <f t="shared" si="78"/>
        <v>0</v>
      </c>
      <c r="K490" s="1674">
        <f t="shared" si="79"/>
        <v>0</v>
      </c>
      <c r="L490" s="2035">
        <f t="shared" si="80"/>
        <v>0</v>
      </c>
      <c r="M490" s="1674">
        <f t="shared" si="81"/>
        <v>0</v>
      </c>
      <c r="N490" s="2035">
        <f t="shared" si="82"/>
        <v>0</v>
      </c>
      <c r="O490" s="2001">
        <f t="shared" si="83"/>
        <v>0</v>
      </c>
      <c r="P490" s="2035">
        <f t="shared" si="84"/>
        <v>0</v>
      </c>
      <c r="Q490" s="1674">
        <f t="shared" si="85"/>
        <v>0</v>
      </c>
      <c r="R490" s="2035">
        <f t="shared" si="86"/>
        <v>0</v>
      </c>
      <c r="T490" s="2035"/>
      <c r="V490" s="2035"/>
      <c r="X490" s="2035"/>
      <c r="Z490" s="2035"/>
      <c r="AA490" s="2001"/>
      <c r="AB490" s="2035"/>
      <c r="AD490" s="2035"/>
    </row>
    <row r="491" spans="1:30" ht="14.1" customHeight="1">
      <c r="A491" s="1675">
        <v>23</v>
      </c>
      <c r="B491" s="2015"/>
      <c r="D491" s="1674" t="s">
        <v>8182</v>
      </c>
      <c r="F491" s="2020"/>
      <c r="H491" s="1674">
        <f t="shared" si="87"/>
        <v>0</v>
      </c>
      <c r="I491" s="1674">
        <f t="shared" si="77"/>
        <v>0</v>
      </c>
      <c r="J491" s="1674">
        <f t="shared" si="78"/>
        <v>0</v>
      </c>
      <c r="K491" s="1674">
        <f t="shared" si="79"/>
        <v>0</v>
      </c>
      <c r="L491" s="1674">
        <f t="shared" si="80"/>
        <v>0</v>
      </c>
      <c r="M491" s="1674">
        <f t="shared" si="81"/>
        <v>0</v>
      </c>
      <c r="N491" s="1674">
        <f t="shared" si="82"/>
        <v>0</v>
      </c>
      <c r="O491" s="2001">
        <f t="shared" si="83"/>
        <v>0</v>
      </c>
      <c r="P491" s="1674">
        <f t="shared" si="84"/>
        <v>0</v>
      </c>
      <c r="Q491" s="1674">
        <f t="shared" si="85"/>
        <v>0</v>
      </c>
      <c r="R491" s="1674">
        <f t="shared" si="86"/>
        <v>0</v>
      </c>
      <c r="AA491" s="2001"/>
    </row>
    <row r="492" spans="1:30" ht="14.1" customHeight="1">
      <c r="A492" s="1675">
        <v>24</v>
      </c>
      <c r="B492" s="2015"/>
      <c r="C492" s="1675">
        <v>10110</v>
      </c>
      <c r="D492" s="1674" t="s">
        <v>8183</v>
      </c>
      <c r="F492" s="2019">
        <v>0</v>
      </c>
      <c r="G492" s="2001"/>
      <c r="H492" s="1876">
        <f t="shared" si="87"/>
        <v>3026.1061099999997</v>
      </c>
      <c r="I492" s="1785">
        <f t="shared" si="77"/>
        <v>0</v>
      </c>
      <c r="J492" s="1876">
        <f t="shared" si="78"/>
        <v>0</v>
      </c>
      <c r="K492" s="1786">
        <f t="shared" si="79"/>
        <v>0</v>
      </c>
      <c r="L492" s="1876">
        <f t="shared" si="80"/>
        <v>0</v>
      </c>
      <c r="M492" s="1786">
        <f t="shared" si="81"/>
        <v>0</v>
      </c>
      <c r="N492" s="1876">
        <f t="shared" si="82"/>
        <v>-453.91591000000011</v>
      </c>
      <c r="O492" s="1785">
        <f t="shared" si="83"/>
        <v>0</v>
      </c>
      <c r="P492" s="1787">
        <f t="shared" si="84"/>
        <v>2572.1901999999995</v>
      </c>
      <c r="Q492" s="1786">
        <f t="shared" si="85"/>
        <v>0</v>
      </c>
      <c r="R492" s="1876">
        <f t="shared" si="86"/>
        <v>2799.14815</v>
      </c>
      <c r="T492" s="1876">
        <v>3026106.11</v>
      </c>
      <c r="U492" s="1785"/>
      <c r="V492" s="1876">
        <v>0</v>
      </c>
      <c r="W492" s="1786"/>
      <c r="X492" s="1876">
        <v>0</v>
      </c>
      <c r="Y492" s="1786"/>
      <c r="Z492" s="1876">
        <v>-453915.91000000009</v>
      </c>
      <c r="AA492" s="1785"/>
      <c r="AB492" s="1787">
        <v>2572190.1999999997</v>
      </c>
      <c r="AC492" s="1786"/>
      <c r="AD492" s="1876">
        <v>2799148.15</v>
      </c>
    </row>
    <row r="493" spans="1:30" ht="14.1" customHeight="1">
      <c r="A493" s="1675">
        <v>25</v>
      </c>
      <c r="B493" s="2015"/>
      <c r="C493" s="1675">
        <v>10112</v>
      </c>
      <c r="D493" s="1674" t="s">
        <v>2589</v>
      </c>
      <c r="F493" s="2019">
        <v>0</v>
      </c>
      <c r="H493" s="1876">
        <f t="shared" si="87"/>
        <v>29713.612089999999</v>
      </c>
      <c r="I493" s="1785">
        <f t="shared" si="77"/>
        <v>0</v>
      </c>
      <c r="J493" s="1876">
        <f t="shared" si="78"/>
        <v>0</v>
      </c>
      <c r="K493" s="1786">
        <f t="shared" si="79"/>
        <v>0</v>
      </c>
      <c r="L493" s="1876">
        <f t="shared" si="80"/>
        <v>0</v>
      </c>
      <c r="M493" s="1786">
        <f t="shared" si="81"/>
        <v>0</v>
      </c>
      <c r="N493" s="1876">
        <f t="shared" si="82"/>
        <v>-1721.8484300000002</v>
      </c>
      <c r="O493" s="1785">
        <f t="shared" si="83"/>
        <v>0</v>
      </c>
      <c r="P493" s="1787">
        <f t="shared" si="84"/>
        <v>27991.763660000001</v>
      </c>
      <c r="Q493" s="1786">
        <f t="shared" si="85"/>
        <v>0</v>
      </c>
      <c r="R493" s="1876">
        <f t="shared" si="86"/>
        <v>28697.538619999999</v>
      </c>
      <c r="T493" s="1876">
        <v>29713612.09</v>
      </c>
      <c r="U493" s="1785"/>
      <c r="V493" s="1876">
        <v>0</v>
      </c>
      <c r="W493" s="1786"/>
      <c r="X493" s="1876">
        <v>0</v>
      </c>
      <c r="Y493" s="1786"/>
      <c r="Z493" s="1876">
        <v>-1721848.4300000002</v>
      </c>
      <c r="AA493" s="1785"/>
      <c r="AB493" s="1787">
        <v>27991763.66</v>
      </c>
      <c r="AC493" s="1786"/>
      <c r="AD493" s="1876">
        <v>28697538.620000001</v>
      </c>
    </row>
    <row r="494" spans="1:30" ht="14.1" customHeight="1" thickBot="1">
      <c r="A494" s="1675">
        <v>26</v>
      </c>
      <c r="B494" s="2015"/>
      <c r="C494" s="1675"/>
      <c r="D494" s="1674" t="s">
        <v>2466</v>
      </c>
      <c r="F494" s="2019"/>
      <c r="H494" s="1806">
        <f t="shared" si="87"/>
        <v>32739.718199999999</v>
      </c>
      <c r="I494" s="1790">
        <f t="shared" si="77"/>
        <v>0</v>
      </c>
      <c r="J494" s="1806">
        <f t="shared" si="78"/>
        <v>0</v>
      </c>
      <c r="K494" s="1790">
        <f t="shared" si="79"/>
        <v>0</v>
      </c>
      <c r="L494" s="1806">
        <f t="shared" si="80"/>
        <v>0</v>
      </c>
      <c r="M494" s="1790">
        <f t="shared" si="81"/>
        <v>0</v>
      </c>
      <c r="N494" s="1806">
        <f t="shared" si="82"/>
        <v>-2175.7643400000002</v>
      </c>
      <c r="O494" s="1790">
        <f t="shared" si="83"/>
        <v>0</v>
      </c>
      <c r="P494" s="1806">
        <f t="shared" si="84"/>
        <v>30563.953859999998</v>
      </c>
      <c r="Q494" s="1790">
        <f t="shared" si="85"/>
        <v>0</v>
      </c>
      <c r="R494" s="1806">
        <f t="shared" si="86"/>
        <v>31496.68677</v>
      </c>
      <c r="S494" s="2046"/>
      <c r="T494" s="1806">
        <v>32739718.199999999</v>
      </c>
      <c r="U494" s="1790"/>
      <c r="V494" s="1806">
        <v>0</v>
      </c>
      <c r="W494" s="1790"/>
      <c r="X494" s="1806">
        <v>0</v>
      </c>
      <c r="Y494" s="1790"/>
      <c r="Z494" s="1806">
        <v>-2175764.3400000003</v>
      </c>
      <c r="AA494" s="1790"/>
      <c r="AB494" s="1806">
        <v>30563953.859999999</v>
      </c>
      <c r="AC494" s="1790"/>
      <c r="AD494" s="1806">
        <v>31496686.77</v>
      </c>
    </row>
    <row r="495" spans="1:30" ht="14.1" customHeight="1" thickTop="1">
      <c r="A495" s="1675">
        <v>27</v>
      </c>
      <c r="B495" s="2015"/>
      <c r="F495" s="2020"/>
      <c r="H495" s="1674">
        <f t="shared" si="87"/>
        <v>0</v>
      </c>
      <c r="I495" s="1674">
        <f t="shared" si="77"/>
        <v>0</v>
      </c>
      <c r="J495" s="1674">
        <f t="shared" si="78"/>
        <v>0</v>
      </c>
      <c r="K495" s="1674">
        <f t="shared" si="79"/>
        <v>0</v>
      </c>
      <c r="L495" s="1674">
        <f t="shared" si="80"/>
        <v>0</v>
      </c>
      <c r="M495" s="1674">
        <f t="shared" si="81"/>
        <v>0</v>
      </c>
      <c r="N495" s="1674">
        <f t="shared" si="82"/>
        <v>0</v>
      </c>
      <c r="O495" s="2001">
        <f t="shared" si="83"/>
        <v>0</v>
      </c>
      <c r="P495" s="1674">
        <f t="shared" si="84"/>
        <v>0</v>
      </c>
      <c r="Q495" s="1674">
        <f t="shared" si="85"/>
        <v>0</v>
      </c>
      <c r="R495" s="1674">
        <f t="shared" si="86"/>
        <v>0</v>
      </c>
      <c r="AA495" s="2001"/>
    </row>
    <row r="496" spans="1:30" ht="14.1" customHeight="1" thickBot="1">
      <c r="A496" s="1675">
        <v>28</v>
      </c>
      <c r="B496" s="2015"/>
      <c r="D496" s="2005" t="s">
        <v>8184</v>
      </c>
      <c r="F496" s="2020"/>
      <c r="H496" s="1872">
        <f t="shared" si="87"/>
        <v>13644133.608580003</v>
      </c>
      <c r="I496" s="1782">
        <f t="shared" si="77"/>
        <v>0</v>
      </c>
      <c r="J496" s="1872">
        <f t="shared" si="78"/>
        <v>1953586.4983599999</v>
      </c>
      <c r="K496" s="1782">
        <f t="shared" si="79"/>
        <v>0</v>
      </c>
      <c r="L496" s="1872">
        <f t="shared" si="80"/>
        <v>-150203.56679000001</v>
      </c>
      <c r="M496" s="1782">
        <f t="shared" si="81"/>
        <v>0</v>
      </c>
      <c r="N496" s="1872">
        <f t="shared" si="82"/>
        <v>-2175.7643400000002</v>
      </c>
      <c r="O496" s="1783">
        <f t="shared" si="83"/>
        <v>0</v>
      </c>
      <c r="P496" s="1872">
        <f t="shared" si="84"/>
        <v>15445340.775810001</v>
      </c>
      <c r="Q496" s="1782">
        <f t="shared" si="85"/>
        <v>0</v>
      </c>
      <c r="R496" s="1872">
        <f t="shared" si="86"/>
        <v>14463850.574999997</v>
      </c>
      <c r="T496" s="1872">
        <v>13644133608.580002</v>
      </c>
      <c r="U496" s="1782"/>
      <c r="V496" s="1872">
        <v>1953586498.3599999</v>
      </c>
      <c r="W496" s="1782"/>
      <c r="X496" s="1872">
        <v>-150203566.79000002</v>
      </c>
      <c r="Y496" s="1782"/>
      <c r="Z496" s="1872">
        <v>-2175764.3400000003</v>
      </c>
      <c r="AA496" s="1783"/>
      <c r="AB496" s="1872">
        <v>15445340775.810001</v>
      </c>
      <c r="AC496" s="1782"/>
      <c r="AD496" s="1872">
        <v>14463850574.999998</v>
      </c>
    </row>
    <row r="497" spans="1:30" ht="14.1" customHeight="1" thickTop="1">
      <c r="A497" s="1675">
        <v>29</v>
      </c>
      <c r="B497" s="2015"/>
      <c r="F497" s="2020"/>
      <c r="H497" s="1674">
        <f t="shared" si="87"/>
        <v>0</v>
      </c>
      <c r="I497" s="1674">
        <f t="shared" si="77"/>
        <v>0</v>
      </c>
      <c r="J497" s="1674">
        <f t="shared" si="78"/>
        <v>0</v>
      </c>
      <c r="K497" s="1674">
        <f t="shared" si="79"/>
        <v>0</v>
      </c>
      <c r="L497" s="1674">
        <f t="shared" si="80"/>
        <v>0</v>
      </c>
      <c r="M497" s="1674">
        <f t="shared" si="81"/>
        <v>0</v>
      </c>
      <c r="N497" s="1674">
        <f t="shared" si="82"/>
        <v>0</v>
      </c>
      <c r="O497" s="2001">
        <f t="shared" si="83"/>
        <v>0</v>
      </c>
      <c r="P497" s="1674">
        <f t="shared" si="84"/>
        <v>0</v>
      </c>
      <c r="Q497" s="1674">
        <f t="shared" si="85"/>
        <v>0</v>
      </c>
      <c r="R497" s="1674">
        <f t="shared" si="86"/>
        <v>0</v>
      </c>
      <c r="AA497" s="2001"/>
    </row>
    <row r="498" spans="1:30" ht="14.1" customHeight="1">
      <c r="A498" s="1675">
        <v>30</v>
      </c>
      <c r="B498" s="2015"/>
      <c r="D498" s="2002" t="s">
        <v>2590</v>
      </c>
      <c r="F498" s="2020"/>
      <c r="H498" s="1674">
        <f t="shared" si="87"/>
        <v>0</v>
      </c>
      <c r="I498" s="1674">
        <f t="shared" si="77"/>
        <v>0</v>
      </c>
      <c r="J498" s="1674">
        <f t="shared" si="78"/>
        <v>0</v>
      </c>
      <c r="K498" s="1674">
        <f t="shared" si="79"/>
        <v>0</v>
      </c>
      <c r="L498" s="1674">
        <f t="shared" si="80"/>
        <v>0</v>
      </c>
      <c r="M498" s="1674">
        <f t="shared" si="81"/>
        <v>0</v>
      </c>
      <c r="N498" s="1674">
        <f t="shared" si="82"/>
        <v>0</v>
      </c>
      <c r="O498" s="2001">
        <f t="shared" si="83"/>
        <v>0</v>
      </c>
      <c r="P498" s="1674">
        <f t="shared" si="84"/>
        <v>0</v>
      </c>
      <c r="Q498" s="1674">
        <f t="shared" si="85"/>
        <v>0</v>
      </c>
      <c r="R498" s="1674">
        <f t="shared" si="86"/>
        <v>0</v>
      </c>
      <c r="AA498" s="2001"/>
    </row>
    <row r="499" spans="1:30" ht="14.1" customHeight="1">
      <c r="A499" s="1675">
        <v>31</v>
      </c>
      <c r="B499" s="2015"/>
      <c r="C499" s="1675">
        <v>11401</v>
      </c>
      <c r="D499" s="2002" t="s">
        <v>2591</v>
      </c>
      <c r="F499" s="2019">
        <v>3.0042864005201499</v>
      </c>
      <c r="G499" s="2001"/>
      <c r="H499" s="1876">
        <f t="shared" si="87"/>
        <v>6182.81</v>
      </c>
      <c r="I499" s="1785">
        <f t="shared" si="77"/>
        <v>0</v>
      </c>
      <c r="J499" s="1876">
        <f t="shared" si="78"/>
        <v>0</v>
      </c>
      <c r="K499" s="1786">
        <f t="shared" si="79"/>
        <v>0</v>
      </c>
      <c r="L499" s="1876">
        <f t="shared" si="80"/>
        <v>0</v>
      </c>
      <c r="M499" s="1786">
        <f t="shared" si="81"/>
        <v>0</v>
      </c>
      <c r="N499" s="1876">
        <f t="shared" si="82"/>
        <v>0</v>
      </c>
      <c r="O499" s="1785">
        <f t="shared" si="83"/>
        <v>0</v>
      </c>
      <c r="P499" s="1787">
        <f t="shared" si="84"/>
        <v>6182.81</v>
      </c>
      <c r="Q499" s="1786">
        <f t="shared" si="85"/>
        <v>0</v>
      </c>
      <c r="R499" s="1876">
        <f t="shared" si="86"/>
        <v>6182.81</v>
      </c>
      <c r="T499" s="1876">
        <v>6182810</v>
      </c>
      <c r="U499" s="1785"/>
      <c r="V499" s="1876">
        <v>0</v>
      </c>
      <c r="W499" s="1786"/>
      <c r="X499" s="1876">
        <v>0</v>
      </c>
      <c r="Y499" s="1786"/>
      <c r="Z499" s="1876">
        <v>0</v>
      </c>
      <c r="AA499" s="1785"/>
      <c r="AB499" s="1787">
        <v>6182810</v>
      </c>
      <c r="AC499" s="1786"/>
      <c r="AD499" s="1876">
        <v>6182810</v>
      </c>
    </row>
    <row r="500" spans="1:30" ht="14.1" customHeight="1">
      <c r="A500" s="1675">
        <v>32</v>
      </c>
      <c r="B500" s="2015"/>
      <c r="C500" s="1675">
        <v>11402</v>
      </c>
      <c r="D500" s="2002" t="s">
        <v>2592</v>
      </c>
      <c r="F500" s="2019">
        <v>4.3644641465684195</v>
      </c>
      <c r="G500" s="2001"/>
      <c r="H500" s="1876">
        <f t="shared" si="87"/>
        <v>960.04088000000002</v>
      </c>
      <c r="I500" s="1785">
        <f t="shared" si="77"/>
        <v>0</v>
      </c>
      <c r="J500" s="1876">
        <f t="shared" si="78"/>
        <v>0</v>
      </c>
      <c r="K500" s="1786">
        <f t="shared" si="79"/>
        <v>0</v>
      </c>
      <c r="L500" s="1876">
        <f t="shared" si="80"/>
        <v>0</v>
      </c>
      <c r="M500" s="1786">
        <f t="shared" si="81"/>
        <v>0</v>
      </c>
      <c r="N500" s="1876">
        <f t="shared" si="82"/>
        <v>0</v>
      </c>
      <c r="O500" s="1785">
        <f t="shared" si="83"/>
        <v>0</v>
      </c>
      <c r="P500" s="1787">
        <f t="shared" si="84"/>
        <v>960.04088000000002</v>
      </c>
      <c r="Q500" s="1786">
        <f t="shared" si="85"/>
        <v>0</v>
      </c>
      <c r="R500" s="1876">
        <f t="shared" si="86"/>
        <v>960.04088000000002</v>
      </c>
      <c r="T500" s="1876">
        <v>960040.88</v>
      </c>
      <c r="U500" s="1785"/>
      <c r="V500" s="1876">
        <v>0</v>
      </c>
      <c r="W500" s="1786"/>
      <c r="X500" s="1876">
        <v>0</v>
      </c>
      <c r="Y500" s="1786"/>
      <c r="Z500" s="1876">
        <v>0</v>
      </c>
      <c r="AA500" s="1785"/>
      <c r="AB500" s="1787">
        <v>960040.88</v>
      </c>
      <c r="AC500" s="1786"/>
      <c r="AD500" s="1876">
        <v>960040.88</v>
      </c>
    </row>
    <row r="501" spans="1:30" s="2000" customFormat="1" ht="14.1" customHeight="1">
      <c r="A501" s="1675">
        <v>33</v>
      </c>
      <c r="B501" s="2015"/>
      <c r="C501" s="1675">
        <v>11403</v>
      </c>
      <c r="D501" s="1674" t="s">
        <v>2593</v>
      </c>
      <c r="E501" s="1674"/>
      <c r="F501" s="2019">
        <v>2.64898973564727</v>
      </c>
      <c r="G501" s="2001"/>
      <c r="H501" s="1876">
        <f t="shared" si="87"/>
        <v>341.97188</v>
      </c>
      <c r="I501" s="1785">
        <f t="shared" si="77"/>
        <v>0</v>
      </c>
      <c r="J501" s="1876">
        <f t="shared" si="78"/>
        <v>0</v>
      </c>
      <c r="K501" s="1786">
        <f t="shared" si="79"/>
        <v>0</v>
      </c>
      <c r="L501" s="1876">
        <f t="shared" si="80"/>
        <v>0</v>
      </c>
      <c r="M501" s="1786">
        <f t="shared" si="81"/>
        <v>0</v>
      </c>
      <c r="N501" s="1876">
        <f t="shared" si="82"/>
        <v>0</v>
      </c>
      <c r="O501" s="1785">
        <f t="shared" si="83"/>
        <v>0</v>
      </c>
      <c r="P501" s="1787">
        <f t="shared" si="84"/>
        <v>341.97188</v>
      </c>
      <c r="Q501" s="1786">
        <f t="shared" si="85"/>
        <v>0</v>
      </c>
      <c r="R501" s="1876">
        <f t="shared" si="86"/>
        <v>341.97188</v>
      </c>
      <c r="T501" s="1876">
        <v>341971.88</v>
      </c>
      <c r="U501" s="1785"/>
      <c r="V501" s="1876">
        <v>0</v>
      </c>
      <c r="W501" s="1786"/>
      <c r="X501" s="1876">
        <v>0</v>
      </c>
      <c r="Y501" s="1786"/>
      <c r="Z501" s="1876">
        <v>0</v>
      </c>
      <c r="AA501" s="1785"/>
      <c r="AB501" s="1787">
        <v>341971.88</v>
      </c>
      <c r="AC501" s="1786"/>
      <c r="AD501" s="1876">
        <v>341971.88</v>
      </c>
    </row>
    <row r="502" spans="1:30" ht="14.1" customHeight="1" thickBot="1">
      <c r="A502" s="1675">
        <v>34</v>
      </c>
      <c r="B502" s="2015"/>
      <c r="D502" s="2002" t="s">
        <v>2468</v>
      </c>
      <c r="F502" s="2020"/>
      <c r="H502" s="1806">
        <f t="shared" si="87"/>
        <v>7484.82276</v>
      </c>
      <c r="I502" s="1790">
        <f t="shared" si="77"/>
        <v>0</v>
      </c>
      <c r="J502" s="1806">
        <f t="shared" si="78"/>
        <v>0</v>
      </c>
      <c r="K502" s="1790">
        <f t="shared" si="79"/>
        <v>0</v>
      </c>
      <c r="L502" s="1806">
        <f t="shared" si="80"/>
        <v>0</v>
      </c>
      <c r="M502" s="1790">
        <f t="shared" si="81"/>
        <v>0</v>
      </c>
      <c r="N502" s="1806">
        <f t="shared" si="82"/>
        <v>0</v>
      </c>
      <c r="O502" s="1790">
        <f t="shared" si="83"/>
        <v>0</v>
      </c>
      <c r="P502" s="1806">
        <f t="shared" si="84"/>
        <v>7484.82276</v>
      </c>
      <c r="Q502" s="1790">
        <f t="shared" si="85"/>
        <v>0</v>
      </c>
      <c r="R502" s="1806">
        <f t="shared" si="86"/>
        <v>7484.82276</v>
      </c>
      <c r="T502" s="1806">
        <v>7484822.7599999998</v>
      </c>
      <c r="U502" s="1790"/>
      <c r="V502" s="1806">
        <v>0</v>
      </c>
      <c r="W502" s="1790"/>
      <c r="X502" s="1806">
        <v>0</v>
      </c>
      <c r="Y502" s="1790"/>
      <c r="Z502" s="1806">
        <v>0</v>
      </c>
      <c r="AA502" s="1790"/>
      <c r="AB502" s="1806">
        <v>7484822.7599999998</v>
      </c>
      <c r="AC502" s="1790"/>
      <c r="AD502" s="1806">
        <v>7484822.7599999998</v>
      </c>
    </row>
    <row r="503" spans="1:30" s="2000" customFormat="1" ht="14.1" customHeight="1" thickTop="1">
      <c r="A503" s="1675">
        <v>35</v>
      </c>
      <c r="B503" s="2015"/>
      <c r="C503" s="1674"/>
      <c r="D503" s="1674"/>
      <c r="E503" s="1674"/>
      <c r="F503" s="2020"/>
      <c r="G503" s="1674"/>
      <c r="H503" s="1674">
        <f t="shared" si="87"/>
        <v>0</v>
      </c>
      <c r="I503" s="1674">
        <f t="shared" si="77"/>
        <v>0</v>
      </c>
      <c r="J503" s="1674">
        <f t="shared" si="78"/>
        <v>0</v>
      </c>
      <c r="K503" s="1674">
        <f t="shared" si="79"/>
        <v>0</v>
      </c>
      <c r="L503" s="1674">
        <f t="shared" si="80"/>
        <v>0</v>
      </c>
      <c r="M503" s="1674">
        <f t="shared" si="81"/>
        <v>0</v>
      </c>
      <c r="N503" s="1674">
        <f t="shared" si="82"/>
        <v>0</v>
      </c>
      <c r="O503" s="2001">
        <f t="shared" si="83"/>
        <v>0</v>
      </c>
      <c r="P503" s="1674">
        <f t="shared" si="84"/>
        <v>0</v>
      </c>
      <c r="Q503" s="1674">
        <f t="shared" si="85"/>
        <v>0</v>
      </c>
      <c r="R503" s="1674">
        <f t="shared" si="86"/>
        <v>0</v>
      </c>
      <c r="T503" s="1674"/>
      <c r="U503" s="1674"/>
      <c r="V503" s="1674"/>
      <c r="W503" s="1674"/>
      <c r="X503" s="1674"/>
      <c r="Y503" s="1674"/>
      <c r="Z503" s="1674"/>
      <c r="AA503" s="2001"/>
      <c r="AB503" s="1674"/>
      <c r="AC503" s="1674"/>
      <c r="AD503" s="1674"/>
    </row>
    <row r="504" spans="1:30" s="2000" customFormat="1" ht="14.1" customHeight="1">
      <c r="A504" s="1675">
        <v>36</v>
      </c>
      <c r="B504" s="2015"/>
      <c r="C504" s="1675">
        <v>10200</v>
      </c>
      <c r="D504" s="1808" t="s">
        <v>2470</v>
      </c>
      <c r="E504" s="1674"/>
      <c r="F504" s="2019">
        <v>0</v>
      </c>
      <c r="G504" s="2001"/>
      <c r="H504" s="1876">
        <f t="shared" si="87"/>
        <v>0</v>
      </c>
      <c r="I504" s="1785">
        <f t="shared" si="77"/>
        <v>0</v>
      </c>
      <c r="J504" s="1876">
        <f t="shared" si="78"/>
        <v>0</v>
      </c>
      <c r="K504" s="1786">
        <f t="shared" si="79"/>
        <v>0</v>
      </c>
      <c r="L504" s="1876">
        <f t="shared" si="80"/>
        <v>0</v>
      </c>
      <c r="M504" s="1786">
        <f t="shared" si="81"/>
        <v>0</v>
      </c>
      <c r="N504" s="1876">
        <f t="shared" si="82"/>
        <v>0</v>
      </c>
      <c r="O504" s="1785">
        <f t="shared" si="83"/>
        <v>0</v>
      </c>
      <c r="P504" s="1787">
        <f t="shared" si="84"/>
        <v>0</v>
      </c>
      <c r="Q504" s="1786">
        <f t="shared" si="85"/>
        <v>0</v>
      </c>
      <c r="R504" s="1876">
        <f t="shared" si="86"/>
        <v>0</v>
      </c>
      <c r="T504" s="1876">
        <v>0</v>
      </c>
      <c r="U504" s="1785"/>
      <c r="V504" s="1876">
        <v>0</v>
      </c>
      <c r="W504" s="1786"/>
      <c r="X504" s="1876">
        <v>0</v>
      </c>
      <c r="Y504" s="1786"/>
      <c r="Z504" s="1876">
        <v>0</v>
      </c>
      <c r="AA504" s="1785"/>
      <c r="AB504" s="1787">
        <v>0</v>
      </c>
      <c r="AC504" s="1786"/>
      <c r="AD504" s="1876">
        <v>0</v>
      </c>
    </row>
    <row r="505" spans="1:30" s="2000" customFormat="1" ht="14.1" customHeight="1">
      <c r="A505" s="1675">
        <v>37</v>
      </c>
      <c r="B505" s="2015"/>
      <c r="C505" s="1675">
        <v>10501</v>
      </c>
      <c r="D505" s="1810" t="s">
        <v>2471</v>
      </c>
      <c r="E505" s="1674"/>
      <c r="F505" s="2019">
        <v>0</v>
      </c>
      <c r="G505" s="2001"/>
      <c r="H505" s="1876">
        <f t="shared" si="87"/>
        <v>64262.399530000002</v>
      </c>
      <c r="I505" s="1785">
        <f t="shared" si="77"/>
        <v>0</v>
      </c>
      <c r="J505" s="1876">
        <f t="shared" si="78"/>
        <v>6502.5527400000001</v>
      </c>
      <c r="K505" s="1786">
        <f t="shared" si="79"/>
        <v>0</v>
      </c>
      <c r="L505" s="1876">
        <f t="shared" si="80"/>
        <v>0</v>
      </c>
      <c r="M505" s="1786">
        <f t="shared" si="81"/>
        <v>0</v>
      </c>
      <c r="N505" s="1876">
        <f t="shared" si="82"/>
        <v>0</v>
      </c>
      <c r="O505" s="1785">
        <f t="shared" si="83"/>
        <v>0</v>
      </c>
      <c r="P505" s="1787">
        <f t="shared" si="84"/>
        <v>70764.952269999994</v>
      </c>
      <c r="Q505" s="1786">
        <f t="shared" si="85"/>
        <v>0</v>
      </c>
      <c r="R505" s="1876">
        <f t="shared" si="86"/>
        <v>69494.543310000008</v>
      </c>
      <c r="T505" s="1876">
        <v>64262399.530000001</v>
      </c>
      <c r="U505" s="1785"/>
      <c r="V505" s="1876">
        <v>6502552.7400000002</v>
      </c>
      <c r="W505" s="1786"/>
      <c r="X505" s="1876">
        <v>0</v>
      </c>
      <c r="Y505" s="1786"/>
      <c r="Z505" s="1876">
        <v>0</v>
      </c>
      <c r="AA505" s="1785"/>
      <c r="AB505" s="1787">
        <v>70764952.269999996</v>
      </c>
      <c r="AC505" s="1786"/>
      <c r="AD505" s="1876">
        <v>69494543.310000002</v>
      </c>
    </row>
    <row r="506" spans="1:30" s="2000" customFormat="1" ht="14.1" customHeight="1">
      <c r="A506" s="1675">
        <v>38</v>
      </c>
      <c r="B506" s="2015"/>
      <c r="C506" s="1674"/>
      <c r="D506" s="1674"/>
      <c r="E506" s="1674"/>
      <c r="F506" s="2020"/>
      <c r="G506" s="1674"/>
      <c r="H506" s="1674">
        <f t="shared" si="87"/>
        <v>0</v>
      </c>
      <c r="I506" s="1674">
        <f t="shared" si="77"/>
        <v>0</v>
      </c>
      <c r="J506" s="1674">
        <f t="shared" si="78"/>
        <v>0</v>
      </c>
      <c r="K506" s="1674">
        <f t="shared" si="79"/>
        <v>0</v>
      </c>
      <c r="L506" s="1674">
        <f t="shared" si="80"/>
        <v>0</v>
      </c>
      <c r="M506" s="1674">
        <f t="shared" si="81"/>
        <v>0</v>
      </c>
      <c r="N506" s="1674">
        <f t="shared" si="82"/>
        <v>0</v>
      </c>
      <c r="O506" s="2001">
        <f t="shared" si="83"/>
        <v>0</v>
      </c>
      <c r="P506" s="1674">
        <f t="shared" si="84"/>
        <v>0</v>
      </c>
      <c r="Q506" s="1674">
        <f t="shared" si="85"/>
        <v>0</v>
      </c>
      <c r="R506" s="1674">
        <f t="shared" si="86"/>
        <v>0</v>
      </c>
      <c r="T506" s="1674"/>
      <c r="U506" s="1674"/>
      <c r="V506" s="1674"/>
      <c r="W506" s="1674"/>
      <c r="X506" s="1674"/>
      <c r="Y506" s="1674"/>
      <c r="Z506" s="1674"/>
      <c r="AA506" s="2001"/>
      <c r="AB506" s="1674"/>
      <c r="AC506" s="1674"/>
      <c r="AD506" s="1674"/>
    </row>
    <row r="507" spans="1:30" ht="14.1" customHeight="1">
      <c r="A507" s="1675">
        <v>39</v>
      </c>
      <c r="B507" s="2015"/>
      <c r="C507" s="1675">
        <v>10803</v>
      </c>
      <c r="D507" s="1674" t="s">
        <v>2602</v>
      </c>
      <c r="F507" s="2019">
        <v>0</v>
      </c>
      <c r="G507" s="2001"/>
      <c r="H507" s="1876">
        <f t="shared" si="87"/>
        <v>0</v>
      </c>
      <c r="I507" s="1785">
        <f t="shared" si="77"/>
        <v>0</v>
      </c>
      <c r="J507" s="1876">
        <f t="shared" si="78"/>
        <v>0</v>
      </c>
      <c r="K507" s="1786">
        <f t="shared" si="79"/>
        <v>0</v>
      </c>
      <c r="L507" s="1876">
        <f t="shared" si="80"/>
        <v>0</v>
      </c>
      <c r="M507" s="1786">
        <f t="shared" si="81"/>
        <v>0</v>
      </c>
      <c r="N507" s="1876">
        <f t="shared" si="82"/>
        <v>0</v>
      </c>
      <c r="O507" s="1785">
        <f t="shared" si="83"/>
        <v>0</v>
      </c>
      <c r="P507" s="1787">
        <f t="shared" si="84"/>
        <v>0</v>
      </c>
      <c r="Q507" s="1786">
        <f t="shared" si="85"/>
        <v>0</v>
      </c>
      <c r="R507" s="1876">
        <f t="shared" si="86"/>
        <v>0</v>
      </c>
      <c r="T507" s="1876">
        <v>0</v>
      </c>
      <c r="U507" s="1785"/>
      <c r="V507" s="1876">
        <v>0</v>
      </c>
      <c r="W507" s="1786"/>
      <c r="X507" s="1876">
        <v>0</v>
      </c>
      <c r="Y507" s="1786"/>
      <c r="Z507" s="1876">
        <v>0</v>
      </c>
      <c r="AA507" s="1785"/>
      <c r="AB507" s="1787">
        <v>0</v>
      </c>
      <c r="AC507" s="1786"/>
      <c r="AD507" s="1876">
        <v>0</v>
      </c>
    </row>
    <row r="508" spans="1:30" ht="14.1" customHeight="1">
      <c r="A508" s="1675">
        <v>40</v>
      </c>
      <c r="B508" s="2015"/>
      <c r="D508" s="1674" t="s">
        <v>2603</v>
      </c>
      <c r="F508" s="2019">
        <v>0</v>
      </c>
      <c r="G508" s="2001"/>
      <c r="H508" s="1876">
        <f t="shared" si="87"/>
        <v>0</v>
      </c>
      <c r="I508" s="1785">
        <f t="shared" si="77"/>
        <v>0</v>
      </c>
      <c r="J508" s="1876">
        <f t="shared" si="78"/>
        <v>0</v>
      </c>
      <c r="K508" s="1786">
        <f t="shared" si="79"/>
        <v>0</v>
      </c>
      <c r="L508" s="1876">
        <f t="shared" si="80"/>
        <v>0</v>
      </c>
      <c r="M508" s="1786">
        <f t="shared" si="81"/>
        <v>0</v>
      </c>
      <c r="N508" s="1876">
        <f t="shared" si="82"/>
        <v>0</v>
      </c>
      <c r="O508" s="1785">
        <f t="shared" si="83"/>
        <v>0</v>
      </c>
      <c r="P508" s="1787">
        <f t="shared" si="84"/>
        <v>0</v>
      </c>
      <c r="Q508" s="1786">
        <f t="shared" si="85"/>
        <v>0</v>
      </c>
      <c r="R508" s="1876">
        <f t="shared" si="86"/>
        <v>0</v>
      </c>
      <c r="T508" s="1876">
        <v>0</v>
      </c>
      <c r="U508" s="1785"/>
      <c r="V508" s="1876">
        <v>0</v>
      </c>
      <c r="W508" s="1786"/>
      <c r="X508" s="1876">
        <v>0</v>
      </c>
      <c r="Y508" s="1786"/>
      <c r="Z508" s="1876">
        <v>0</v>
      </c>
      <c r="AA508" s="1785"/>
      <c r="AB508" s="1787">
        <v>0</v>
      </c>
      <c r="AC508" s="1786"/>
      <c r="AD508" s="1876">
        <v>0</v>
      </c>
    </row>
    <row r="509" spans="1:30" ht="14.1" customHeight="1" thickBot="1">
      <c r="A509" s="1675">
        <v>41</v>
      </c>
      <c r="B509" s="2015"/>
      <c r="D509" s="1674" t="s">
        <v>2604</v>
      </c>
      <c r="H509" s="2045">
        <f t="shared" si="87"/>
        <v>0</v>
      </c>
      <c r="I509" s="1674">
        <f t="shared" si="77"/>
        <v>0</v>
      </c>
      <c r="J509" s="2045">
        <f t="shared" si="78"/>
        <v>0</v>
      </c>
      <c r="K509" s="1674">
        <f t="shared" si="79"/>
        <v>0</v>
      </c>
      <c r="L509" s="2045">
        <f t="shared" si="80"/>
        <v>0</v>
      </c>
      <c r="M509" s="1674">
        <f t="shared" si="81"/>
        <v>0</v>
      </c>
      <c r="N509" s="2045">
        <f t="shared" si="82"/>
        <v>0</v>
      </c>
      <c r="O509" s="2001">
        <f t="shared" si="83"/>
        <v>0</v>
      </c>
      <c r="P509" s="2045">
        <f t="shared" si="84"/>
        <v>0</v>
      </c>
      <c r="Q509" s="1674">
        <f t="shared" si="85"/>
        <v>0</v>
      </c>
      <c r="R509" s="2045">
        <f t="shared" si="86"/>
        <v>0</v>
      </c>
      <c r="T509" s="2045">
        <v>0</v>
      </c>
      <c r="V509" s="2045">
        <v>0</v>
      </c>
      <c r="X509" s="2045">
        <v>0</v>
      </c>
      <c r="Z509" s="2045">
        <v>0</v>
      </c>
      <c r="AA509" s="2001"/>
      <c r="AB509" s="2045">
        <v>0</v>
      </c>
      <c r="AD509" s="2045">
        <v>0</v>
      </c>
    </row>
    <row r="510" spans="1:30" ht="14.1" customHeight="1" thickTop="1">
      <c r="A510" s="1675">
        <v>42</v>
      </c>
      <c r="B510" s="2015"/>
      <c r="H510" s="1674">
        <f t="shared" si="87"/>
        <v>0</v>
      </c>
      <c r="I510" s="1674">
        <f t="shared" si="77"/>
        <v>0</v>
      </c>
      <c r="J510" s="1674">
        <f t="shared" si="78"/>
        <v>0</v>
      </c>
      <c r="K510" s="1674">
        <f t="shared" si="79"/>
        <v>0</v>
      </c>
      <c r="L510" s="1674">
        <f t="shared" si="80"/>
        <v>0</v>
      </c>
      <c r="M510" s="1674">
        <f t="shared" si="81"/>
        <v>0</v>
      </c>
      <c r="N510" s="1674">
        <f t="shared" si="82"/>
        <v>0</v>
      </c>
      <c r="O510" s="2001">
        <f t="shared" si="83"/>
        <v>0</v>
      </c>
      <c r="P510" s="1674">
        <f t="shared" si="84"/>
        <v>0</v>
      </c>
      <c r="Q510" s="1674">
        <f t="shared" si="85"/>
        <v>0</v>
      </c>
      <c r="R510" s="1674">
        <f t="shared" si="86"/>
        <v>0</v>
      </c>
      <c r="AA510" s="2001"/>
    </row>
    <row r="511" spans="1:30" ht="14.1" customHeight="1" thickBot="1">
      <c r="A511" s="1675">
        <v>43</v>
      </c>
      <c r="B511" s="2015"/>
      <c r="D511" s="2021" t="s">
        <v>2472</v>
      </c>
      <c r="E511" s="2021"/>
      <c r="H511" s="1872">
        <f t="shared" si="87"/>
        <v>13715880.830870003</v>
      </c>
      <c r="I511" s="1674">
        <f t="shared" si="77"/>
        <v>0</v>
      </c>
      <c r="J511" s="1872">
        <f t="shared" si="78"/>
        <v>1960089.0510999998</v>
      </c>
      <c r="K511" s="1783">
        <f t="shared" si="79"/>
        <v>0</v>
      </c>
      <c r="L511" s="1872">
        <f t="shared" si="80"/>
        <v>-150203.56679000001</v>
      </c>
      <c r="M511" s="1783">
        <f t="shared" si="81"/>
        <v>0</v>
      </c>
      <c r="N511" s="1872">
        <f t="shared" si="82"/>
        <v>-2175.7643400000002</v>
      </c>
      <c r="O511" s="1783">
        <f t="shared" si="83"/>
        <v>0</v>
      </c>
      <c r="P511" s="1872">
        <f t="shared" si="84"/>
        <v>15523590.550840002</v>
      </c>
      <c r="Q511" s="1783">
        <f t="shared" si="85"/>
        <v>0</v>
      </c>
      <c r="R511" s="1872">
        <f t="shared" si="86"/>
        <v>14540829.941069998</v>
      </c>
      <c r="T511" s="1872">
        <v>13715880830.870003</v>
      </c>
      <c r="V511" s="1872">
        <v>1960089051.0999999</v>
      </c>
      <c r="W511" s="1783"/>
      <c r="X511" s="1872">
        <v>-150203566.79000002</v>
      </c>
      <c r="Y511" s="1783"/>
      <c r="Z511" s="1872">
        <v>-2175764.3400000003</v>
      </c>
      <c r="AA511" s="1783"/>
      <c r="AB511" s="1872">
        <v>15523590550.840002</v>
      </c>
      <c r="AC511" s="1783"/>
      <c r="AD511" s="1872">
        <v>14540829941.069998</v>
      </c>
    </row>
    <row r="512" spans="1:30" ht="14.1" customHeight="1" thickTop="1" thickBot="1">
      <c r="A512" s="2008">
        <v>44</v>
      </c>
      <c r="B512" s="1869" t="s">
        <v>2476</v>
      </c>
      <c r="C512" s="1997"/>
      <c r="D512" s="1997"/>
      <c r="E512" s="1997"/>
      <c r="F512" s="1997"/>
      <c r="G512" s="1997"/>
      <c r="H512" s="1997">
        <f t="shared" si="87"/>
        <v>0</v>
      </c>
      <c r="I512" s="1997">
        <f t="shared" si="77"/>
        <v>0</v>
      </c>
      <c r="J512" s="1997">
        <f t="shared" si="78"/>
        <v>0</v>
      </c>
      <c r="K512" s="1997">
        <f t="shared" si="79"/>
        <v>0</v>
      </c>
      <c r="L512" s="1997">
        <f t="shared" si="80"/>
        <v>0</v>
      </c>
      <c r="M512" s="1997">
        <f t="shared" si="81"/>
        <v>0</v>
      </c>
      <c r="N512" s="1997">
        <f t="shared" si="82"/>
        <v>0</v>
      </c>
      <c r="O512" s="1998">
        <f t="shared" si="83"/>
        <v>0</v>
      </c>
      <c r="P512" s="1997">
        <f t="shared" si="84"/>
        <v>0</v>
      </c>
      <c r="Q512" s="1997">
        <f t="shared" si="85"/>
        <v>0</v>
      </c>
      <c r="R512" s="1997">
        <f t="shared" si="86"/>
        <v>0</v>
      </c>
      <c r="T512" s="1997"/>
      <c r="U512" s="1997"/>
      <c r="V512" s="1997"/>
      <c r="W512" s="1997"/>
      <c r="X512" s="1997"/>
      <c r="Y512" s="1997"/>
      <c r="Z512" s="1997"/>
      <c r="AA512" s="1998"/>
      <c r="AB512" s="1997"/>
      <c r="AC512" s="1997"/>
      <c r="AD512" s="1997"/>
    </row>
    <row r="513" spans="1:30" ht="14.1" customHeight="1">
      <c r="A513" s="1674" t="s">
        <v>8947</v>
      </c>
      <c r="H513" s="1674">
        <f t="shared" si="87"/>
        <v>0</v>
      </c>
      <c r="I513" s="1674">
        <f t="shared" si="77"/>
        <v>0</v>
      </c>
      <c r="J513" s="1674">
        <f t="shared" si="78"/>
        <v>0</v>
      </c>
      <c r="K513" s="1674">
        <f t="shared" si="79"/>
        <v>0</v>
      </c>
      <c r="L513" s="1674">
        <f t="shared" si="80"/>
        <v>0</v>
      </c>
      <c r="M513" s="1674">
        <f t="shared" si="81"/>
        <v>0</v>
      </c>
      <c r="N513" s="1674">
        <f t="shared" si="82"/>
        <v>0</v>
      </c>
      <c r="O513" s="2001">
        <f t="shared" si="83"/>
        <v>0</v>
      </c>
      <c r="P513" s="1674" t="str">
        <f t="shared" si="84"/>
        <v>Recap Schedules:  B-03, B-06</v>
      </c>
      <c r="Q513" s="1674">
        <f t="shared" si="85"/>
        <v>0</v>
      </c>
      <c r="R513" s="1674">
        <f t="shared" si="86"/>
        <v>0</v>
      </c>
      <c r="AA513" s="2001"/>
      <c r="AB513" s="1674" t="s">
        <v>8948</v>
      </c>
    </row>
    <row r="514" spans="1:30" ht="14.1" customHeight="1" thickBot="1">
      <c r="A514" s="1997" t="s">
        <v>8943</v>
      </c>
      <c r="B514" s="1997"/>
      <c r="C514" s="1997"/>
      <c r="D514" s="1997"/>
      <c r="E514" s="1997"/>
      <c r="F514" s="1997"/>
      <c r="G514" s="1997" t="s">
        <v>2422</v>
      </c>
      <c r="H514" s="1997">
        <f t="shared" si="87"/>
        <v>0</v>
      </c>
      <c r="I514" s="1997">
        <f t="shared" si="77"/>
        <v>0</v>
      </c>
      <c r="J514" s="1997">
        <f t="shared" si="78"/>
        <v>0</v>
      </c>
      <c r="K514" s="1997">
        <f t="shared" si="79"/>
        <v>0</v>
      </c>
      <c r="L514" s="1997">
        <f t="shared" si="80"/>
        <v>0</v>
      </c>
      <c r="M514" s="1997">
        <f t="shared" si="81"/>
        <v>0</v>
      </c>
      <c r="N514" s="1997">
        <f t="shared" si="82"/>
        <v>0</v>
      </c>
      <c r="O514" s="1998">
        <f t="shared" si="83"/>
        <v>0</v>
      </c>
      <c r="P514" s="1997">
        <f t="shared" si="84"/>
        <v>0</v>
      </c>
      <c r="Q514" s="1997">
        <f t="shared" si="85"/>
        <v>0</v>
      </c>
      <c r="R514" s="1997" t="str">
        <f t="shared" si="86"/>
        <v>Page 10 of 10</v>
      </c>
      <c r="T514" s="1997"/>
      <c r="U514" s="1997"/>
      <c r="V514" s="1997"/>
      <c r="W514" s="1997"/>
      <c r="X514" s="1997"/>
      <c r="Y514" s="1997"/>
      <c r="Z514" s="1997"/>
      <c r="AA514" s="1998"/>
      <c r="AB514" s="1997"/>
      <c r="AC514" s="1997"/>
      <c r="AD514" s="1997" t="s">
        <v>2424</v>
      </c>
    </row>
    <row r="515" spans="1:30" ht="14.1" customHeight="1">
      <c r="A515" s="1674" t="s">
        <v>2425</v>
      </c>
      <c r="B515" s="2024"/>
      <c r="E515" s="2001" t="s">
        <v>2426</v>
      </c>
      <c r="F515" s="1674" t="s">
        <v>8155</v>
      </c>
      <c r="H515" s="1674">
        <f t="shared" si="87"/>
        <v>0</v>
      </c>
      <c r="I515" s="1674">
        <f t="shared" si="77"/>
        <v>0</v>
      </c>
      <c r="J515" s="2003">
        <f t="shared" si="78"/>
        <v>0</v>
      </c>
      <c r="K515" s="2003">
        <f t="shared" si="79"/>
        <v>0</v>
      </c>
      <c r="L515" s="1674">
        <f t="shared" si="80"/>
        <v>0</v>
      </c>
      <c r="M515" s="2003">
        <f t="shared" si="81"/>
        <v>0</v>
      </c>
      <c r="N515" s="2003">
        <f t="shared" si="82"/>
        <v>0</v>
      </c>
      <c r="O515" s="2004">
        <f t="shared" si="83"/>
        <v>0</v>
      </c>
      <c r="P515" s="1674" t="str">
        <f t="shared" si="84"/>
        <v>Type of data shown:</v>
      </c>
      <c r="Q515" s="1674">
        <f t="shared" si="85"/>
        <v>0</v>
      </c>
      <c r="R515" s="2005">
        <f t="shared" si="86"/>
        <v>0</v>
      </c>
      <c r="V515" s="2003"/>
      <c r="W515" s="2003"/>
      <c r="Y515" s="2003"/>
      <c r="Z515" s="2003"/>
      <c r="AA515" s="2004"/>
      <c r="AB515" s="1674" t="s">
        <v>2427</v>
      </c>
      <c r="AD515" s="2005"/>
    </row>
    <row r="516" spans="1:30" ht="14.1" customHeight="1">
      <c r="B516" s="2024"/>
      <c r="F516" s="1674" t="s">
        <v>8156</v>
      </c>
      <c r="H516" s="1674">
        <f t="shared" si="87"/>
        <v>0</v>
      </c>
      <c r="I516" s="1674">
        <f t="shared" si="77"/>
        <v>0</v>
      </c>
      <c r="J516" s="2001">
        <f t="shared" si="78"/>
        <v>0</v>
      </c>
      <c r="K516" s="2005">
        <f t="shared" si="79"/>
        <v>0</v>
      </c>
      <c r="L516" s="1674">
        <f t="shared" si="80"/>
        <v>0</v>
      </c>
      <c r="M516" s="1674">
        <f t="shared" si="81"/>
        <v>0</v>
      </c>
      <c r="N516" s="2001">
        <f t="shared" si="82"/>
        <v>0</v>
      </c>
      <c r="O516" s="2001" t="str">
        <f t="shared" si="83"/>
        <v>XX</v>
      </c>
      <c r="P516" s="2005" t="str">
        <f t="shared" si="84"/>
        <v>Projected Test Year Ended 12/31/2025</v>
      </c>
      <c r="Q516" s="1674">
        <f t="shared" si="85"/>
        <v>0</v>
      </c>
      <c r="R516" s="2001">
        <f t="shared" si="86"/>
        <v>0</v>
      </c>
      <c r="V516" s="2001"/>
      <c r="W516" s="2005"/>
      <c r="Z516" s="2001"/>
      <c r="AA516" s="2001" t="s">
        <v>8157</v>
      </c>
      <c r="AB516" s="2005" t="s">
        <v>8944</v>
      </c>
      <c r="AD516" s="2001"/>
    </row>
    <row r="517" spans="1:30" ht="14.1" customHeight="1">
      <c r="A517" s="1674" t="s">
        <v>2428</v>
      </c>
      <c r="B517" s="2024"/>
      <c r="F517" s="1674" t="s">
        <v>2360</v>
      </c>
      <c r="H517" s="1674">
        <f t="shared" si="87"/>
        <v>0</v>
      </c>
      <c r="I517" s="1674">
        <f t="shared" si="77"/>
        <v>0</v>
      </c>
      <c r="J517" s="2001">
        <f t="shared" si="78"/>
        <v>0</v>
      </c>
      <c r="K517" s="2005">
        <f t="shared" si="79"/>
        <v>0</v>
      </c>
      <c r="L517" s="2001">
        <f t="shared" si="80"/>
        <v>0</v>
      </c>
      <c r="M517" s="1674">
        <f t="shared" si="81"/>
        <v>0</v>
      </c>
      <c r="N517" s="1674">
        <f t="shared" si="82"/>
        <v>0</v>
      </c>
      <c r="O517" s="2001" t="str">
        <f t="shared" si="83"/>
        <v/>
      </c>
      <c r="P517" s="2005" t="str">
        <f t="shared" si="84"/>
        <v>Projected Prior Year Ended 12/31/2024</v>
      </c>
      <c r="Q517" s="1674">
        <f t="shared" si="85"/>
        <v>0</v>
      </c>
      <c r="R517" s="2001">
        <f t="shared" si="86"/>
        <v>0</v>
      </c>
      <c r="V517" s="2001"/>
      <c r="W517" s="2005"/>
      <c r="X517" s="2001"/>
      <c r="AA517" s="2001" t="s">
        <v>2360</v>
      </c>
      <c r="AB517" s="2005" t="s">
        <v>8945</v>
      </c>
      <c r="AD517" s="2001"/>
    </row>
    <row r="518" spans="1:30" ht="14.1" customHeight="1">
      <c r="B518" s="2024"/>
      <c r="F518" s="1674" t="s">
        <v>2360</v>
      </c>
      <c r="H518" s="1674">
        <f t="shared" si="87"/>
        <v>0</v>
      </c>
      <c r="I518" s="1674">
        <f t="shared" si="77"/>
        <v>0</v>
      </c>
      <c r="J518" s="2001">
        <f t="shared" si="78"/>
        <v>0</v>
      </c>
      <c r="K518" s="2005">
        <f t="shared" si="79"/>
        <v>0</v>
      </c>
      <c r="L518" s="2001">
        <f t="shared" si="80"/>
        <v>0</v>
      </c>
      <c r="M518" s="1674">
        <f t="shared" si="81"/>
        <v>0</v>
      </c>
      <c r="N518" s="1674">
        <f t="shared" si="82"/>
        <v>0</v>
      </c>
      <c r="O518" s="2001" t="str">
        <f t="shared" si="83"/>
        <v/>
      </c>
      <c r="P518" s="2005" t="str">
        <f t="shared" si="84"/>
        <v>Historical Prior Year Ended 12/31/2023</v>
      </c>
      <c r="Q518" s="1674">
        <f t="shared" si="85"/>
        <v>0</v>
      </c>
      <c r="R518" s="2001">
        <f t="shared" si="86"/>
        <v>0</v>
      </c>
      <c r="V518" s="2001"/>
      <c r="W518" s="2005"/>
      <c r="X518" s="2001"/>
      <c r="AA518" s="2001" t="s">
        <v>2360</v>
      </c>
      <c r="AB518" s="2005" t="s">
        <v>8946</v>
      </c>
      <c r="AD518" s="2001"/>
    </row>
    <row r="519" spans="1:30" ht="14.1" customHeight="1">
      <c r="B519" s="2024"/>
      <c r="H519" s="1674">
        <f t="shared" si="87"/>
        <v>0</v>
      </c>
      <c r="I519" s="1674">
        <f t="shared" si="77"/>
        <v>0</v>
      </c>
      <c r="J519" s="2001">
        <f t="shared" si="78"/>
        <v>0</v>
      </c>
      <c r="K519" s="2005">
        <f t="shared" si="79"/>
        <v>0</v>
      </c>
      <c r="L519" s="2001">
        <f t="shared" si="80"/>
        <v>0</v>
      </c>
      <c r="M519" s="1674">
        <f t="shared" si="81"/>
        <v>0</v>
      </c>
      <c r="N519" s="1674">
        <f t="shared" si="82"/>
        <v>0</v>
      </c>
      <c r="O519" s="2001">
        <f t="shared" si="83"/>
        <v>0</v>
      </c>
      <c r="P519" s="2005" t="str">
        <f t="shared" si="84"/>
        <v>Witness: D. Avellan</v>
      </c>
      <c r="Q519" s="1674">
        <f t="shared" si="85"/>
        <v>0</v>
      </c>
      <c r="R519" s="2001">
        <f t="shared" si="86"/>
        <v>0</v>
      </c>
      <c r="V519" s="2001"/>
      <c r="W519" s="2005"/>
      <c r="X519" s="2001"/>
      <c r="AA519" s="2001"/>
      <c r="AB519" s="2005" t="s">
        <v>8160</v>
      </c>
      <c r="AD519" s="2001"/>
    </row>
    <row r="520" spans="1:30" ht="14.1" customHeight="1" thickBot="1">
      <c r="A520" s="1997" t="s">
        <v>8158</v>
      </c>
      <c r="B520" s="2025"/>
      <c r="C520" s="1997"/>
      <c r="D520" s="1997"/>
      <c r="E520" s="1997"/>
      <c r="F520" s="1997" t="s">
        <v>2360</v>
      </c>
      <c r="G520" s="1997"/>
      <c r="H520" s="2008" t="str">
        <f t="shared" si="87"/>
        <v>(Dollars in cents)</v>
      </c>
      <c r="I520" s="1997">
        <f t="shared" si="77"/>
        <v>0</v>
      </c>
      <c r="J520" s="1997">
        <f t="shared" si="78"/>
        <v>0</v>
      </c>
      <c r="K520" s="1997">
        <f t="shared" si="79"/>
        <v>0</v>
      </c>
      <c r="L520" s="1997">
        <f t="shared" si="80"/>
        <v>0</v>
      </c>
      <c r="M520" s="1997">
        <f t="shared" si="81"/>
        <v>0</v>
      </c>
      <c r="N520" s="1997">
        <f t="shared" si="82"/>
        <v>0</v>
      </c>
      <c r="O520" s="1998">
        <f t="shared" si="83"/>
        <v>0</v>
      </c>
      <c r="P520" s="1997" t="str">
        <f t="shared" si="84"/>
        <v xml:space="preserve"> </v>
      </c>
      <c r="Q520" s="1997">
        <f t="shared" si="85"/>
        <v>0</v>
      </c>
      <c r="R520" s="1997">
        <f t="shared" si="86"/>
        <v>0</v>
      </c>
      <c r="T520" s="2008" t="s">
        <v>8159</v>
      </c>
      <c r="U520" s="1997"/>
      <c r="V520" s="1997"/>
      <c r="W520" s="1997"/>
      <c r="X520" s="1997"/>
      <c r="Y520" s="1997"/>
      <c r="Z520" s="1997"/>
      <c r="AA520" s="1998"/>
      <c r="AB520" s="1997" t="s">
        <v>2477</v>
      </c>
      <c r="AC520" s="1997"/>
      <c r="AD520" s="1997"/>
    </row>
    <row r="521" spans="1:30" ht="14.1" customHeight="1">
      <c r="C521" s="2009"/>
      <c r="D521" s="2009"/>
      <c r="E521" s="2009"/>
      <c r="F521" s="2009"/>
      <c r="G521" s="2009"/>
      <c r="H521" s="2009">
        <f t="shared" si="87"/>
        <v>0</v>
      </c>
      <c r="I521" s="2009">
        <f t="shared" si="77"/>
        <v>0</v>
      </c>
      <c r="J521" s="2009">
        <f t="shared" si="78"/>
        <v>0</v>
      </c>
      <c r="K521" s="2009">
        <f t="shared" si="79"/>
        <v>0</v>
      </c>
      <c r="L521" s="2009">
        <f t="shared" si="80"/>
        <v>0</v>
      </c>
      <c r="M521" s="2009">
        <f t="shared" si="81"/>
        <v>0</v>
      </c>
      <c r="N521" s="2009">
        <f t="shared" si="82"/>
        <v>0</v>
      </c>
      <c r="O521" s="2010">
        <f t="shared" si="83"/>
        <v>0</v>
      </c>
      <c r="P521" s="2009">
        <f t="shared" si="84"/>
        <v>0</v>
      </c>
      <c r="Q521" s="2009">
        <f t="shared" si="85"/>
        <v>0</v>
      </c>
      <c r="R521" s="2009">
        <f t="shared" si="86"/>
        <v>0</v>
      </c>
      <c r="T521" s="2009"/>
      <c r="U521" s="2009"/>
      <c r="V521" s="2009"/>
      <c r="W521" s="2009"/>
      <c r="X521" s="2009"/>
      <c r="Y521" s="2009"/>
      <c r="Z521" s="2009"/>
      <c r="AA521" s="2010"/>
      <c r="AB521" s="2009"/>
      <c r="AC521" s="2009"/>
      <c r="AD521" s="2009"/>
    </row>
    <row r="522" spans="1:30" ht="14.1" customHeight="1">
      <c r="C522" s="2009" t="s">
        <v>2306</v>
      </c>
      <c r="D522" s="2009" t="s">
        <v>2307</v>
      </c>
      <c r="E522" s="2009"/>
      <c r="F522" s="2009" t="s">
        <v>2308</v>
      </c>
      <c r="G522" s="2009"/>
      <c r="H522" s="2009" t="str">
        <f t="shared" si="87"/>
        <v>(4)</v>
      </c>
      <c r="I522" s="2009">
        <f t="shared" si="77"/>
        <v>0</v>
      </c>
      <c r="J522" s="1675" t="str">
        <f t="shared" si="78"/>
        <v>(5)</v>
      </c>
      <c r="K522" s="1675">
        <f t="shared" si="79"/>
        <v>0</v>
      </c>
      <c r="L522" s="2009" t="str">
        <f t="shared" si="80"/>
        <v>(6)</v>
      </c>
      <c r="M522" s="2009">
        <f t="shared" si="81"/>
        <v>0</v>
      </c>
      <c r="N522" s="2009" t="str">
        <f t="shared" si="82"/>
        <v>(7)</v>
      </c>
      <c r="O522" s="2010">
        <f t="shared" si="83"/>
        <v>0</v>
      </c>
      <c r="P522" s="2009" t="str">
        <f t="shared" si="84"/>
        <v>(8)</v>
      </c>
      <c r="Q522" s="2009">
        <f t="shared" si="85"/>
        <v>0</v>
      </c>
      <c r="R522" s="2009" t="str">
        <f t="shared" si="86"/>
        <v>(9)</v>
      </c>
      <c r="T522" s="2009" t="s">
        <v>2309</v>
      </c>
      <c r="U522" s="2009"/>
      <c r="V522" s="1675" t="s">
        <v>2310</v>
      </c>
      <c r="W522" s="1675"/>
      <c r="X522" s="2009" t="s">
        <v>2311</v>
      </c>
      <c r="Y522" s="2009"/>
      <c r="Z522" s="2009" t="s">
        <v>2312</v>
      </c>
      <c r="AA522" s="2010"/>
      <c r="AB522" s="2009" t="s">
        <v>2313</v>
      </c>
      <c r="AC522" s="2009"/>
      <c r="AD522" s="2009" t="s">
        <v>2314</v>
      </c>
    </row>
    <row r="523" spans="1:30" ht="14.1" customHeight="1">
      <c r="C523" s="1675" t="s">
        <v>2429</v>
      </c>
      <c r="D523" s="1675" t="s">
        <v>2429</v>
      </c>
      <c r="F523" s="1675" t="s">
        <v>1537</v>
      </c>
      <c r="G523" s="1675"/>
      <c r="H523" s="2009" t="str">
        <f t="shared" si="87"/>
        <v>Plant</v>
      </c>
      <c r="I523" s="1675">
        <f t="shared" si="77"/>
        <v>0</v>
      </c>
      <c r="J523" s="2009" t="str">
        <f t="shared" si="78"/>
        <v>Total</v>
      </c>
      <c r="K523" s="1675">
        <f t="shared" si="79"/>
        <v>0</v>
      </c>
      <c r="L523" s="1675" t="str">
        <f t="shared" si="80"/>
        <v>Total</v>
      </c>
      <c r="M523" s="1675">
        <f t="shared" si="81"/>
        <v>0</v>
      </c>
      <c r="N523" s="1674">
        <f t="shared" si="82"/>
        <v>0</v>
      </c>
      <c r="O523" s="2001">
        <f t="shared" si="83"/>
        <v>0</v>
      </c>
      <c r="P523" s="1675" t="str">
        <f t="shared" si="84"/>
        <v>Plant</v>
      </c>
      <c r="Q523" s="1674">
        <f t="shared" si="85"/>
        <v>0</v>
      </c>
      <c r="R523" s="1675">
        <f t="shared" si="86"/>
        <v>0</v>
      </c>
      <c r="T523" s="2009" t="s">
        <v>1823</v>
      </c>
      <c r="U523" s="1675"/>
      <c r="V523" s="2009" t="s">
        <v>122</v>
      </c>
      <c r="W523" s="1675"/>
      <c r="X523" s="1675" t="s">
        <v>122</v>
      </c>
      <c r="Y523" s="1675"/>
      <c r="AA523" s="2001"/>
      <c r="AB523" s="1675" t="s">
        <v>1823</v>
      </c>
      <c r="AD523" s="1675"/>
    </row>
    <row r="524" spans="1:30" ht="14.1" customHeight="1">
      <c r="A524" s="1675" t="s">
        <v>2430</v>
      </c>
      <c r="B524" s="1675"/>
      <c r="C524" s="1675" t="s">
        <v>2431</v>
      </c>
      <c r="D524" s="1675" t="s">
        <v>2431</v>
      </c>
      <c r="E524" s="2009"/>
      <c r="F524" s="1675" t="s">
        <v>2432</v>
      </c>
      <c r="G524" s="1675"/>
      <c r="H524" s="1675" t="str">
        <f t="shared" si="87"/>
        <v>Balance</v>
      </c>
      <c r="I524" s="1675">
        <f t="shared" si="77"/>
        <v>0</v>
      </c>
      <c r="J524" s="1675" t="str">
        <f t="shared" si="78"/>
        <v>Plant</v>
      </c>
      <c r="K524" s="2009">
        <f t="shared" si="79"/>
        <v>0</v>
      </c>
      <c r="L524" s="1675" t="str">
        <f t="shared" si="80"/>
        <v>Plant</v>
      </c>
      <c r="M524" s="2005">
        <f t="shared" si="81"/>
        <v>0</v>
      </c>
      <c r="N524" s="1675" t="str">
        <f t="shared" si="82"/>
        <v>Adjustments</v>
      </c>
      <c r="O524" s="2010">
        <f t="shared" si="83"/>
        <v>0</v>
      </c>
      <c r="P524" s="2009" t="str">
        <f t="shared" si="84"/>
        <v>Balance</v>
      </c>
      <c r="Q524" s="2009">
        <f t="shared" si="85"/>
        <v>0</v>
      </c>
      <c r="R524" s="1675" t="str">
        <f t="shared" si="86"/>
        <v>13-Month</v>
      </c>
      <c r="T524" s="1675" t="s">
        <v>2433</v>
      </c>
      <c r="U524" s="1675"/>
      <c r="V524" s="1675" t="s">
        <v>1823</v>
      </c>
      <c r="W524" s="2009"/>
      <c r="X524" s="1675" t="s">
        <v>1823</v>
      </c>
      <c r="Y524" s="2005"/>
      <c r="Z524" s="1675" t="s">
        <v>593</v>
      </c>
      <c r="AA524" s="2010"/>
      <c r="AB524" s="2009" t="s">
        <v>2433</v>
      </c>
      <c r="AC524" s="2009"/>
      <c r="AD524" s="1675" t="s">
        <v>2434</v>
      </c>
    </row>
    <row r="525" spans="1:30" ht="14.1" customHeight="1" thickBot="1">
      <c r="A525" s="2008" t="s">
        <v>2435</v>
      </c>
      <c r="B525" s="2008"/>
      <c r="C525" s="2008" t="s">
        <v>2436</v>
      </c>
      <c r="D525" s="2008" t="s">
        <v>2437</v>
      </c>
      <c r="E525" s="2008"/>
      <c r="F525" s="2011" t="s">
        <v>2438</v>
      </c>
      <c r="G525" s="2011"/>
      <c r="H525" s="2011" t="str">
        <f t="shared" si="87"/>
        <v>Beg. of Year</v>
      </c>
      <c r="I525" s="2012">
        <f t="shared" si="77"/>
        <v>0</v>
      </c>
      <c r="J525" s="2011" t="str">
        <f t="shared" si="78"/>
        <v>Added</v>
      </c>
      <c r="K525" s="2012">
        <f t="shared" si="79"/>
        <v>0</v>
      </c>
      <c r="L525" s="2012" t="str">
        <f t="shared" si="80"/>
        <v>Retired</v>
      </c>
      <c r="M525" s="2013">
        <f t="shared" si="81"/>
        <v>0</v>
      </c>
      <c r="N525" s="2013" t="str">
        <f t="shared" si="82"/>
        <v>or Transfers</v>
      </c>
      <c r="O525" s="2014">
        <f t="shared" si="83"/>
        <v>0</v>
      </c>
      <c r="P525" s="2013" t="str">
        <f t="shared" si="84"/>
        <v>End of Year</v>
      </c>
      <c r="Q525" s="2013">
        <f t="shared" si="85"/>
        <v>0</v>
      </c>
      <c r="R525" s="2013" t="str">
        <f t="shared" si="86"/>
        <v>Average</v>
      </c>
      <c r="T525" s="2011" t="s">
        <v>2439</v>
      </c>
      <c r="U525" s="2012"/>
      <c r="V525" s="2011" t="s">
        <v>2440</v>
      </c>
      <c r="W525" s="2012"/>
      <c r="X525" s="2012" t="s">
        <v>2441</v>
      </c>
      <c r="Y525" s="2013"/>
      <c r="Z525" s="2013" t="s">
        <v>2442</v>
      </c>
      <c r="AA525" s="2014"/>
      <c r="AB525" s="2013" t="s">
        <v>2443</v>
      </c>
      <c r="AC525" s="2013"/>
      <c r="AD525" s="2013" t="s">
        <v>2444</v>
      </c>
    </row>
    <row r="526" spans="1:30" ht="14.1" customHeight="1">
      <c r="A526" s="1675">
        <v>1</v>
      </c>
      <c r="B526" s="2015"/>
      <c r="H526" s="1674">
        <f t="shared" si="87"/>
        <v>0</v>
      </c>
      <c r="I526" s="1674">
        <f t="shared" si="77"/>
        <v>0</v>
      </c>
      <c r="J526" s="1674">
        <f t="shared" si="78"/>
        <v>0</v>
      </c>
      <c r="K526" s="1674">
        <f t="shared" si="79"/>
        <v>0</v>
      </c>
      <c r="L526" s="1674">
        <f t="shared" si="80"/>
        <v>0</v>
      </c>
      <c r="M526" s="1674">
        <f t="shared" si="81"/>
        <v>0</v>
      </c>
      <c r="N526" s="1674">
        <f t="shared" si="82"/>
        <v>0</v>
      </c>
      <c r="O526" s="2001">
        <f t="shared" si="83"/>
        <v>0</v>
      </c>
      <c r="P526" s="1674">
        <f t="shared" si="84"/>
        <v>0</v>
      </c>
      <c r="Q526" s="1674">
        <f t="shared" si="85"/>
        <v>0</v>
      </c>
      <c r="R526" s="1674">
        <f t="shared" si="86"/>
        <v>0</v>
      </c>
      <c r="AA526" s="2001"/>
    </row>
    <row r="527" spans="1:30" ht="14.1" customHeight="1">
      <c r="A527" s="1675">
        <v>2</v>
      </c>
      <c r="B527" s="2015"/>
      <c r="H527" s="1674">
        <f t="shared" si="87"/>
        <v>0</v>
      </c>
      <c r="I527" s="1674">
        <f t="shared" si="77"/>
        <v>0</v>
      </c>
      <c r="J527" s="1674">
        <f t="shared" si="78"/>
        <v>0</v>
      </c>
      <c r="K527" s="1674">
        <f t="shared" si="79"/>
        <v>0</v>
      </c>
      <c r="L527" s="1674">
        <f t="shared" si="80"/>
        <v>0</v>
      </c>
      <c r="M527" s="1674">
        <f t="shared" si="81"/>
        <v>0</v>
      </c>
      <c r="N527" s="1674">
        <f t="shared" si="82"/>
        <v>0</v>
      </c>
      <c r="O527" s="2001">
        <f t="shared" si="83"/>
        <v>0</v>
      </c>
      <c r="P527" s="1674">
        <f t="shared" si="84"/>
        <v>0</v>
      </c>
      <c r="Q527" s="1674">
        <f t="shared" si="85"/>
        <v>0</v>
      </c>
      <c r="R527" s="1674">
        <f t="shared" si="86"/>
        <v>0</v>
      </c>
      <c r="AA527" s="2001"/>
    </row>
    <row r="528" spans="1:30" ht="14.1" customHeight="1">
      <c r="A528" s="1675">
        <v>3</v>
      </c>
      <c r="B528" s="2015"/>
      <c r="D528" s="1674" t="s">
        <v>2447</v>
      </c>
      <c r="F528" s="1782"/>
      <c r="G528" s="1782"/>
      <c r="H528" s="1782">
        <f t="shared" si="87"/>
        <v>1470824.9526399998</v>
      </c>
      <c r="I528" s="1782">
        <f t="shared" si="77"/>
        <v>0</v>
      </c>
      <c r="J528" s="1782">
        <f t="shared" si="78"/>
        <v>18434.255680000002</v>
      </c>
      <c r="K528" s="1782">
        <f t="shared" si="79"/>
        <v>0</v>
      </c>
      <c r="L528" s="1782">
        <f t="shared" si="80"/>
        <v>-3724.4423800000004</v>
      </c>
      <c r="M528" s="1782">
        <f t="shared" si="81"/>
        <v>0</v>
      </c>
      <c r="N528" s="1782">
        <f t="shared" si="82"/>
        <v>0</v>
      </c>
      <c r="O528" s="1783">
        <f t="shared" si="83"/>
        <v>0</v>
      </c>
      <c r="P528" s="1782">
        <f t="shared" si="84"/>
        <v>1485534.7659399996</v>
      </c>
      <c r="Q528" s="1782">
        <f t="shared" si="85"/>
        <v>0</v>
      </c>
      <c r="R528" s="1782">
        <f t="shared" si="86"/>
        <v>1476690.8798599998</v>
      </c>
      <c r="T528" s="1782">
        <v>1470824952.6399999</v>
      </c>
      <c r="U528" s="1782"/>
      <c r="V528" s="1782">
        <v>18434255.680000003</v>
      </c>
      <c r="W528" s="1782"/>
      <c r="X528" s="1782">
        <v>-3724442.3800000004</v>
      </c>
      <c r="Y528" s="1782"/>
      <c r="Z528" s="1782">
        <v>0</v>
      </c>
      <c r="AA528" s="1783"/>
      <c r="AB528" s="1782">
        <v>1485534765.9399996</v>
      </c>
      <c r="AC528" s="1782"/>
      <c r="AD528" s="1782">
        <v>1476690879.8599997</v>
      </c>
    </row>
    <row r="529" spans="1:30" ht="14.1" customHeight="1">
      <c r="A529" s="1675">
        <v>4</v>
      </c>
      <c r="B529" s="2015"/>
      <c r="F529" s="1782"/>
      <c r="G529" s="1782"/>
      <c r="H529" s="1782">
        <f t="shared" si="87"/>
        <v>0</v>
      </c>
      <c r="I529" s="1782">
        <f t="shared" ref="I529:I562" si="88">+IF(ISNUMBER(U529),U529/1000,U529)</f>
        <v>0</v>
      </c>
      <c r="J529" s="1782">
        <f t="shared" ref="J529:J562" si="89">+IF(ISNUMBER(V529),V529/1000,V529)</f>
        <v>0</v>
      </c>
      <c r="K529" s="1782">
        <f t="shared" ref="K529:K562" si="90">+IF(ISNUMBER(W529),W529/1000,W529)</f>
        <v>0</v>
      </c>
      <c r="L529" s="1782">
        <f t="shared" ref="L529:L562" si="91">+IF(ISNUMBER(X529),X529/1000,X529)</f>
        <v>0</v>
      </c>
      <c r="M529" s="1782">
        <f t="shared" ref="M529:M562" si="92">+IF(ISNUMBER(Y529),Y529/1000,Y529)</f>
        <v>0</v>
      </c>
      <c r="N529" s="1782">
        <f t="shared" ref="N529:N562" si="93">+IF(ISNUMBER(Z529),Z529/1000,Z529)</f>
        <v>0</v>
      </c>
      <c r="O529" s="1783">
        <f t="shared" ref="O529:O562" si="94">+IF(ISNUMBER(AA529),AA529/1000,AA529)</f>
        <v>0</v>
      </c>
      <c r="P529" s="1782">
        <f t="shared" ref="P529:P562" si="95">+IF(ISNUMBER(AB529),AB529/1000,AB529)</f>
        <v>0</v>
      </c>
      <c r="Q529" s="1782">
        <f t="shared" ref="Q529:Q562" si="96">+IF(ISNUMBER(AC529),AC529/1000,AC529)</f>
        <v>0</v>
      </c>
      <c r="R529" s="1782">
        <f t="shared" ref="R529:R562" si="97">+IF(ISNUMBER(AD529),AD529/1000,AD529)</f>
        <v>0</v>
      </c>
      <c r="T529" s="1782"/>
      <c r="U529" s="1782"/>
      <c r="V529" s="1782"/>
      <c r="W529" s="1782"/>
      <c r="X529" s="1782"/>
      <c r="Y529" s="1782"/>
      <c r="Z529" s="1782"/>
      <c r="AA529" s="1783"/>
      <c r="AB529" s="1782"/>
      <c r="AC529" s="1782"/>
      <c r="AD529" s="1782"/>
    </row>
    <row r="530" spans="1:30" ht="14.1" customHeight="1">
      <c r="A530" s="1675">
        <v>5</v>
      </c>
      <c r="B530" s="2015"/>
      <c r="D530" s="1674" t="s">
        <v>2450</v>
      </c>
      <c r="F530" s="1782"/>
      <c r="G530" s="1782"/>
      <c r="H530" s="1811">
        <f t="shared" ref="H530:H562" si="98">+IF(ISNUMBER(T530),T530/1000,T530)</f>
        <v>5434493.0553100007</v>
      </c>
      <c r="I530" s="1782">
        <f t="shared" si="88"/>
        <v>0</v>
      </c>
      <c r="J530" s="1811">
        <f t="shared" si="89"/>
        <v>668703.36751999997</v>
      </c>
      <c r="K530" s="1782">
        <f t="shared" si="90"/>
        <v>0</v>
      </c>
      <c r="L530" s="1811">
        <f t="shared" si="91"/>
        <v>-22082.575860000001</v>
      </c>
      <c r="M530" s="1782">
        <f t="shared" si="92"/>
        <v>0</v>
      </c>
      <c r="N530" s="1811">
        <f t="shared" si="93"/>
        <v>0</v>
      </c>
      <c r="O530" s="1783">
        <f t="shared" si="94"/>
        <v>0</v>
      </c>
      <c r="P530" s="1811">
        <f t="shared" si="95"/>
        <v>6081113.8469700003</v>
      </c>
      <c r="Q530" s="1782">
        <f t="shared" si="96"/>
        <v>0</v>
      </c>
      <c r="R530" s="1811">
        <f t="shared" si="97"/>
        <v>5716457.4316000007</v>
      </c>
      <c r="T530" s="1811">
        <v>5434493055.3100004</v>
      </c>
      <c r="U530" s="1782"/>
      <c r="V530" s="1811">
        <v>668703367.51999998</v>
      </c>
      <c r="W530" s="1782"/>
      <c r="X530" s="1811">
        <v>-22082575.859999999</v>
      </c>
      <c r="Y530" s="1782"/>
      <c r="Z530" s="1811">
        <v>0</v>
      </c>
      <c r="AA530" s="1783"/>
      <c r="AB530" s="1811">
        <v>6081113846.9700003</v>
      </c>
      <c r="AC530" s="1782"/>
      <c r="AD530" s="1811">
        <v>5716457431.6000004</v>
      </c>
    </row>
    <row r="531" spans="1:30" ht="14.1" customHeight="1">
      <c r="A531" s="1675">
        <v>6</v>
      </c>
      <c r="B531" s="2015"/>
      <c r="F531" s="1782"/>
      <c r="G531" s="1782"/>
      <c r="H531" s="1812">
        <f t="shared" si="98"/>
        <v>0</v>
      </c>
      <c r="I531" s="1782">
        <f t="shared" si="88"/>
        <v>0</v>
      </c>
      <c r="J531" s="1812">
        <f t="shared" si="89"/>
        <v>0</v>
      </c>
      <c r="K531" s="1782">
        <f t="shared" si="90"/>
        <v>0</v>
      </c>
      <c r="L531" s="1812">
        <f t="shared" si="91"/>
        <v>0</v>
      </c>
      <c r="M531" s="1782">
        <f t="shared" si="92"/>
        <v>0</v>
      </c>
      <c r="N531" s="1812">
        <f t="shared" si="93"/>
        <v>0</v>
      </c>
      <c r="O531" s="1783">
        <f t="shared" si="94"/>
        <v>0</v>
      </c>
      <c r="P531" s="1812">
        <f t="shared" si="95"/>
        <v>0</v>
      </c>
      <c r="Q531" s="1782">
        <f t="shared" si="96"/>
        <v>0</v>
      </c>
      <c r="R531" s="1812">
        <f t="shared" si="97"/>
        <v>0</v>
      </c>
      <c r="T531" s="1812"/>
      <c r="U531" s="1782"/>
      <c r="V531" s="1812"/>
      <c r="W531" s="1782"/>
      <c r="X531" s="1812"/>
      <c r="Y531" s="1782"/>
      <c r="Z531" s="1812"/>
      <c r="AA531" s="1783"/>
      <c r="AB531" s="1812"/>
      <c r="AC531" s="1782"/>
      <c r="AD531" s="1812"/>
    </row>
    <row r="532" spans="1:30" ht="14.1" customHeight="1" thickBot="1">
      <c r="A532" s="1675">
        <v>7</v>
      </c>
      <c r="B532" s="2015"/>
      <c r="D532" s="1674" t="s">
        <v>2453</v>
      </c>
      <c r="F532" s="1782"/>
      <c r="G532" s="1782"/>
      <c r="H532" s="1870">
        <f t="shared" si="98"/>
        <v>6905318.0079500005</v>
      </c>
      <c r="I532" s="1782">
        <f t="shared" si="88"/>
        <v>0</v>
      </c>
      <c r="J532" s="1870">
        <f t="shared" si="89"/>
        <v>687137.62319999991</v>
      </c>
      <c r="K532" s="1782">
        <f t="shared" si="90"/>
        <v>0</v>
      </c>
      <c r="L532" s="1870">
        <f t="shared" si="91"/>
        <v>-25807.018239999998</v>
      </c>
      <c r="M532" s="1782">
        <f t="shared" si="92"/>
        <v>0</v>
      </c>
      <c r="N532" s="1870">
        <f t="shared" si="93"/>
        <v>0</v>
      </c>
      <c r="O532" s="1783">
        <f t="shared" si="94"/>
        <v>0</v>
      </c>
      <c r="P532" s="1870">
        <f t="shared" si="95"/>
        <v>7566648.6129099997</v>
      </c>
      <c r="Q532" s="1782">
        <f t="shared" si="96"/>
        <v>0</v>
      </c>
      <c r="R532" s="1870">
        <f t="shared" si="97"/>
        <v>7193148.3114600005</v>
      </c>
      <c r="T532" s="1870">
        <v>6905318007.9500008</v>
      </c>
      <c r="U532" s="1782"/>
      <c r="V532" s="1870">
        <v>687137623.19999993</v>
      </c>
      <c r="W532" s="1782"/>
      <c r="X532" s="1870">
        <v>-25807018.239999998</v>
      </c>
      <c r="Y532" s="1782"/>
      <c r="Z532" s="1870">
        <v>0</v>
      </c>
      <c r="AA532" s="1783"/>
      <c r="AB532" s="1870">
        <v>7566648612.9099998</v>
      </c>
      <c r="AC532" s="1782"/>
      <c r="AD532" s="1870">
        <v>7193148311.46</v>
      </c>
    </row>
    <row r="533" spans="1:30" ht="14.1" customHeight="1" thickTop="1">
      <c r="A533" s="1675">
        <v>8</v>
      </c>
      <c r="B533" s="2015"/>
      <c r="F533" s="1782"/>
      <c r="G533" s="1782"/>
      <c r="H533" s="1782">
        <f t="shared" si="98"/>
        <v>0</v>
      </c>
      <c r="I533" s="1782">
        <f t="shared" si="88"/>
        <v>0</v>
      </c>
      <c r="J533" s="1782">
        <f t="shared" si="89"/>
        <v>0</v>
      </c>
      <c r="K533" s="1782">
        <f t="shared" si="90"/>
        <v>0</v>
      </c>
      <c r="L533" s="1782">
        <f t="shared" si="91"/>
        <v>0</v>
      </c>
      <c r="M533" s="1782">
        <f t="shared" si="92"/>
        <v>0</v>
      </c>
      <c r="N533" s="1782">
        <f t="shared" si="93"/>
        <v>0</v>
      </c>
      <c r="O533" s="1783">
        <f t="shared" si="94"/>
        <v>0</v>
      </c>
      <c r="P533" s="1782">
        <f t="shared" si="95"/>
        <v>0</v>
      </c>
      <c r="Q533" s="1782">
        <f t="shared" si="96"/>
        <v>0</v>
      </c>
      <c r="R533" s="1782">
        <f t="shared" si="97"/>
        <v>0</v>
      </c>
      <c r="T533" s="1782"/>
      <c r="U533" s="1782"/>
      <c r="V533" s="1782"/>
      <c r="W533" s="1782"/>
      <c r="X533" s="1782"/>
      <c r="Y533" s="1782"/>
      <c r="Z533" s="1782"/>
      <c r="AA533" s="1783"/>
      <c r="AB533" s="1782"/>
      <c r="AC533" s="1782"/>
      <c r="AD533" s="1782"/>
    </row>
    <row r="534" spans="1:30" ht="14.1" customHeight="1">
      <c r="A534" s="1675">
        <v>9</v>
      </c>
      <c r="B534" s="2015"/>
      <c r="D534" s="1674" t="s">
        <v>2456</v>
      </c>
      <c r="F534" s="1782"/>
      <c r="G534" s="1782"/>
      <c r="H534" s="1782">
        <f t="shared" si="98"/>
        <v>1269708.6412600004</v>
      </c>
      <c r="I534" s="1782">
        <f t="shared" si="88"/>
        <v>0</v>
      </c>
      <c r="J534" s="1782">
        <f t="shared" si="89"/>
        <v>159412.26973000003</v>
      </c>
      <c r="K534" s="1782">
        <f t="shared" si="90"/>
        <v>0</v>
      </c>
      <c r="L534" s="1782">
        <f t="shared" si="91"/>
        <v>-17107.140589999999</v>
      </c>
      <c r="M534" s="1782">
        <f t="shared" si="92"/>
        <v>0</v>
      </c>
      <c r="N534" s="1782">
        <f t="shared" si="93"/>
        <v>0</v>
      </c>
      <c r="O534" s="1783">
        <f t="shared" si="94"/>
        <v>0</v>
      </c>
      <c r="P534" s="1782">
        <f t="shared" si="95"/>
        <v>1412013.7704000003</v>
      </c>
      <c r="Q534" s="1782">
        <f t="shared" si="96"/>
        <v>0</v>
      </c>
      <c r="R534" s="1782">
        <f t="shared" si="97"/>
        <v>1316495.31443</v>
      </c>
      <c r="T534" s="1782">
        <v>1269708641.2600005</v>
      </c>
      <c r="U534" s="1782"/>
      <c r="V534" s="1782">
        <v>159412269.73000002</v>
      </c>
      <c r="W534" s="1782"/>
      <c r="X534" s="1782">
        <v>-17107140.59</v>
      </c>
      <c r="Y534" s="1782"/>
      <c r="Z534" s="1782">
        <v>0</v>
      </c>
      <c r="AA534" s="1783"/>
      <c r="AB534" s="1782">
        <v>1412013770.4000003</v>
      </c>
      <c r="AC534" s="1782"/>
      <c r="AD534" s="1782">
        <v>1316495314.4300001</v>
      </c>
    </row>
    <row r="535" spans="1:30" ht="14.1" customHeight="1">
      <c r="A535" s="1675">
        <v>10</v>
      </c>
      <c r="B535" s="2015"/>
      <c r="F535" s="1782"/>
      <c r="G535" s="1782"/>
      <c r="H535" s="1782">
        <f t="shared" si="98"/>
        <v>0</v>
      </c>
      <c r="I535" s="1782">
        <f t="shared" si="88"/>
        <v>0</v>
      </c>
      <c r="J535" s="1782">
        <f t="shared" si="89"/>
        <v>0</v>
      </c>
      <c r="K535" s="1782">
        <f t="shared" si="90"/>
        <v>0</v>
      </c>
      <c r="L535" s="1782">
        <f t="shared" si="91"/>
        <v>0</v>
      </c>
      <c r="M535" s="1782">
        <f t="shared" si="92"/>
        <v>0</v>
      </c>
      <c r="N535" s="1782">
        <f t="shared" si="93"/>
        <v>0</v>
      </c>
      <c r="O535" s="1783">
        <f t="shared" si="94"/>
        <v>0</v>
      </c>
      <c r="P535" s="1782">
        <f t="shared" si="95"/>
        <v>0</v>
      </c>
      <c r="Q535" s="1782">
        <f t="shared" si="96"/>
        <v>0</v>
      </c>
      <c r="R535" s="1782">
        <f t="shared" si="97"/>
        <v>0</v>
      </c>
      <c r="T535" s="1782"/>
      <c r="U535" s="1782"/>
      <c r="V535" s="1782"/>
      <c r="W535" s="1782"/>
      <c r="X535" s="1782"/>
      <c r="Y535" s="1782"/>
      <c r="Z535" s="1782"/>
      <c r="AA535" s="1783"/>
      <c r="AB535" s="1782"/>
      <c r="AC535" s="1782"/>
      <c r="AD535" s="1782"/>
    </row>
    <row r="536" spans="1:30" ht="14.1" customHeight="1">
      <c r="A536" s="1675">
        <v>11</v>
      </c>
      <c r="B536" s="2015"/>
      <c r="D536" s="1674" t="s">
        <v>2458</v>
      </c>
      <c r="F536" s="1782"/>
      <c r="G536" s="1782"/>
      <c r="H536" s="1782">
        <f t="shared" si="98"/>
        <v>4087367.0723999999</v>
      </c>
      <c r="I536" s="1782">
        <f t="shared" si="88"/>
        <v>0</v>
      </c>
      <c r="J536" s="1782">
        <f t="shared" si="89"/>
        <v>426044.38671000005</v>
      </c>
      <c r="K536" s="1782">
        <f t="shared" si="90"/>
        <v>0</v>
      </c>
      <c r="L536" s="1782">
        <f t="shared" si="91"/>
        <v>-60324.266819999997</v>
      </c>
      <c r="M536" s="1782">
        <f t="shared" si="92"/>
        <v>0</v>
      </c>
      <c r="N536" s="1782">
        <f t="shared" si="93"/>
        <v>0</v>
      </c>
      <c r="O536" s="1783">
        <f t="shared" si="94"/>
        <v>0</v>
      </c>
      <c r="P536" s="1782">
        <f t="shared" si="95"/>
        <v>4453087.1922900006</v>
      </c>
      <c r="Q536" s="1782">
        <f t="shared" si="96"/>
        <v>0</v>
      </c>
      <c r="R536" s="1782">
        <f t="shared" si="97"/>
        <v>4263250.7829099996</v>
      </c>
      <c r="T536" s="1782">
        <v>4087367072.4000001</v>
      </c>
      <c r="U536" s="1782"/>
      <c r="V536" s="1782">
        <v>426044386.71000004</v>
      </c>
      <c r="W536" s="1782"/>
      <c r="X536" s="1782">
        <v>-60324266.82</v>
      </c>
      <c r="Y536" s="1782"/>
      <c r="Z536" s="1782">
        <v>0</v>
      </c>
      <c r="AA536" s="1783"/>
      <c r="AB536" s="1782">
        <v>4453087192.2900009</v>
      </c>
      <c r="AC536" s="1782"/>
      <c r="AD536" s="1782">
        <v>4263250782.9099998</v>
      </c>
    </row>
    <row r="537" spans="1:30" ht="14.1" customHeight="1">
      <c r="A537" s="1675">
        <v>12</v>
      </c>
      <c r="B537" s="2015"/>
      <c r="F537" s="1782"/>
      <c r="G537" s="1782"/>
      <c r="H537" s="1782">
        <f t="shared" si="98"/>
        <v>0</v>
      </c>
      <c r="I537" s="1782">
        <f t="shared" si="88"/>
        <v>0</v>
      </c>
      <c r="J537" s="1782">
        <f t="shared" si="89"/>
        <v>0</v>
      </c>
      <c r="K537" s="1782">
        <f t="shared" si="90"/>
        <v>0</v>
      </c>
      <c r="L537" s="1782">
        <f t="shared" si="91"/>
        <v>0</v>
      </c>
      <c r="M537" s="1782">
        <f t="shared" si="92"/>
        <v>0</v>
      </c>
      <c r="N537" s="1782">
        <f t="shared" si="93"/>
        <v>0</v>
      </c>
      <c r="O537" s="1783">
        <f t="shared" si="94"/>
        <v>0</v>
      </c>
      <c r="P537" s="1782">
        <f t="shared" si="95"/>
        <v>0</v>
      </c>
      <c r="Q537" s="1782">
        <f t="shared" si="96"/>
        <v>0</v>
      </c>
      <c r="R537" s="1782">
        <f t="shared" si="97"/>
        <v>0</v>
      </c>
      <c r="T537" s="1782"/>
      <c r="U537" s="1782"/>
      <c r="V537" s="1782"/>
      <c r="W537" s="1782"/>
      <c r="X537" s="1782"/>
      <c r="Y537" s="1782"/>
      <c r="Z537" s="1782"/>
      <c r="AA537" s="1783"/>
      <c r="AB537" s="1782"/>
      <c r="AC537" s="1782"/>
      <c r="AD537" s="1782"/>
    </row>
    <row r="538" spans="1:30" ht="14.1" customHeight="1">
      <c r="A538" s="1675">
        <v>13</v>
      </c>
      <c r="B538" s="2015"/>
      <c r="D538" s="1674" t="s">
        <v>2460</v>
      </c>
      <c r="F538" s="1782"/>
      <c r="G538" s="1782"/>
      <c r="H538" s="1811">
        <f t="shared" si="98"/>
        <v>509292.60292999988</v>
      </c>
      <c r="I538" s="1782">
        <f t="shared" si="88"/>
        <v>0</v>
      </c>
      <c r="J538" s="1811">
        <f t="shared" si="89"/>
        <v>558469.26489999995</v>
      </c>
      <c r="K538" s="1782">
        <f t="shared" si="90"/>
        <v>0</v>
      </c>
      <c r="L538" s="1811">
        <f t="shared" si="91"/>
        <v>-42164.662830000001</v>
      </c>
      <c r="M538" s="1782">
        <f t="shared" si="92"/>
        <v>0</v>
      </c>
      <c r="N538" s="1811">
        <f t="shared" si="93"/>
        <v>0</v>
      </c>
      <c r="O538" s="1783">
        <f t="shared" si="94"/>
        <v>0</v>
      </c>
      <c r="P538" s="1811">
        <f t="shared" si="95"/>
        <v>1025597.2050000001</v>
      </c>
      <c r="Q538" s="1782">
        <f t="shared" si="96"/>
        <v>0</v>
      </c>
      <c r="R538" s="1811">
        <f t="shared" si="97"/>
        <v>786221.12250000006</v>
      </c>
      <c r="T538" s="1811">
        <v>509292602.92999989</v>
      </c>
      <c r="U538" s="1782"/>
      <c r="V538" s="1811">
        <v>558469264.89999998</v>
      </c>
      <c r="W538" s="1782"/>
      <c r="X538" s="1811">
        <v>-42164662.829999998</v>
      </c>
      <c r="Y538" s="1782"/>
      <c r="Z538" s="1811">
        <v>0</v>
      </c>
      <c r="AA538" s="1783"/>
      <c r="AB538" s="1811">
        <v>1025597205.0000001</v>
      </c>
      <c r="AC538" s="1782"/>
      <c r="AD538" s="1811">
        <v>786221122.5</v>
      </c>
    </row>
    <row r="539" spans="1:30" ht="14.1" customHeight="1">
      <c r="A539" s="1675">
        <v>14</v>
      </c>
      <c r="B539" s="2015"/>
      <c r="F539" s="1782"/>
      <c r="G539" s="1782"/>
      <c r="H539" s="1812">
        <f t="shared" si="98"/>
        <v>0</v>
      </c>
      <c r="I539" s="1782">
        <f t="shared" si="88"/>
        <v>0</v>
      </c>
      <c r="J539" s="1812">
        <f t="shared" si="89"/>
        <v>0</v>
      </c>
      <c r="K539" s="1782">
        <f t="shared" si="90"/>
        <v>0</v>
      </c>
      <c r="L539" s="1812">
        <f t="shared" si="91"/>
        <v>0</v>
      </c>
      <c r="M539" s="1782">
        <f t="shared" si="92"/>
        <v>0</v>
      </c>
      <c r="N539" s="1812">
        <f t="shared" si="93"/>
        <v>0</v>
      </c>
      <c r="O539" s="1783">
        <f t="shared" si="94"/>
        <v>0</v>
      </c>
      <c r="P539" s="1812">
        <f t="shared" si="95"/>
        <v>0</v>
      </c>
      <c r="Q539" s="1782">
        <f t="shared" si="96"/>
        <v>0</v>
      </c>
      <c r="R539" s="1812">
        <f t="shared" si="97"/>
        <v>0</v>
      </c>
      <c r="T539" s="1812"/>
      <c r="U539" s="1782"/>
      <c r="V539" s="1812"/>
      <c r="W539" s="1782"/>
      <c r="X539" s="1812"/>
      <c r="Y539" s="1782"/>
      <c r="Z539" s="1812"/>
      <c r="AA539" s="1783"/>
      <c r="AB539" s="1812"/>
      <c r="AC539" s="1782"/>
      <c r="AD539" s="1812"/>
    </row>
    <row r="540" spans="1:30" ht="13.8" thickBot="1">
      <c r="A540" s="1675">
        <v>15</v>
      </c>
      <c r="B540" s="2015"/>
      <c r="D540" s="2002" t="s">
        <v>2461</v>
      </c>
      <c r="F540" s="1782"/>
      <c r="G540" s="1782"/>
      <c r="H540" s="1870">
        <f t="shared" si="98"/>
        <v>12771686.32454</v>
      </c>
      <c r="I540" s="1782">
        <f t="shared" si="88"/>
        <v>0</v>
      </c>
      <c r="J540" s="1870">
        <f t="shared" si="89"/>
        <v>1831063.5445399999</v>
      </c>
      <c r="K540" s="1782">
        <f t="shared" si="90"/>
        <v>0</v>
      </c>
      <c r="L540" s="1870">
        <f t="shared" si="91"/>
        <v>-145403.08848000001</v>
      </c>
      <c r="M540" s="1782">
        <f t="shared" si="92"/>
        <v>0</v>
      </c>
      <c r="N540" s="1870">
        <f t="shared" si="93"/>
        <v>0</v>
      </c>
      <c r="O540" s="1783">
        <f t="shared" si="94"/>
        <v>0</v>
      </c>
      <c r="P540" s="1870">
        <f t="shared" si="95"/>
        <v>14457346.7806</v>
      </c>
      <c r="Q540" s="1782">
        <f t="shared" si="96"/>
        <v>0</v>
      </c>
      <c r="R540" s="1870">
        <f t="shared" si="97"/>
        <v>13559115.531299999</v>
      </c>
      <c r="T540" s="1870">
        <v>12771686324.540001</v>
      </c>
      <c r="U540" s="1782"/>
      <c r="V540" s="1870">
        <v>1831063544.54</v>
      </c>
      <c r="W540" s="1782"/>
      <c r="X540" s="1870">
        <v>-145403088.48000002</v>
      </c>
      <c r="Y540" s="1782"/>
      <c r="Z540" s="1870">
        <v>0</v>
      </c>
      <c r="AA540" s="1783"/>
      <c r="AB540" s="1870">
        <v>14457346780.6</v>
      </c>
      <c r="AC540" s="1782"/>
      <c r="AD540" s="1870">
        <v>13559115531.299999</v>
      </c>
    </row>
    <row r="541" spans="1:30" ht="14.1" customHeight="1" thickTop="1">
      <c r="A541" s="1675">
        <v>16</v>
      </c>
      <c r="B541" s="2015"/>
      <c r="F541" s="1782"/>
      <c r="G541" s="1782"/>
      <c r="H541" s="1782">
        <f t="shared" si="98"/>
        <v>0</v>
      </c>
      <c r="I541" s="1782">
        <f t="shared" si="88"/>
        <v>0</v>
      </c>
      <c r="J541" s="1782">
        <f t="shared" si="89"/>
        <v>0</v>
      </c>
      <c r="K541" s="1782">
        <f t="shared" si="90"/>
        <v>0</v>
      </c>
      <c r="L541" s="1782">
        <f t="shared" si="91"/>
        <v>0</v>
      </c>
      <c r="M541" s="1782">
        <f t="shared" si="92"/>
        <v>0</v>
      </c>
      <c r="N541" s="1782">
        <f t="shared" si="93"/>
        <v>0</v>
      </c>
      <c r="O541" s="1783">
        <f t="shared" si="94"/>
        <v>0</v>
      </c>
      <c r="P541" s="1782">
        <f t="shared" si="95"/>
        <v>0</v>
      </c>
      <c r="Q541" s="1782">
        <f t="shared" si="96"/>
        <v>0</v>
      </c>
      <c r="R541" s="1782">
        <f t="shared" si="97"/>
        <v>0</v>
      </c>
      <c r="T541" s="1782"/>
      <c r="U541" s="1782"/>
      <c r="V541" s="1782"/>
      <c r="W541" s="1782"/>
      <c r="X541" s="1782"/>
      <c r="Y541" s="1782"/>
      <c r="Z541" s="1782"/>
      <c r="AA541" s="1783"/>
      <c r="AB541" s="1782"/>
      <c r="AC541" s="1782"/>
      <c r="AD541" s="1782"/>
    </row>
    <row r="542" spans="1:30" ht="14.1" customHeight="1">
      <c r="A542" s="1675">
        <v>17</v>
      </c>
      <c r="B542" s="2015"/>
      <c r="D542" s="1802" t="s">
        <v>8181</v>
      </c>
      <c r="F542" s="1782"/>
      <c r="G542" s="1782"/>
      <c r="H542" s="1782">
        <f t="shared" si="98"/>
        <v>232083.64048999999</v>
      </c>
      <c r="I542" s="1782">
        <f t="shared" si="88"/>
        <v>0</v>
      </c>
      <c r="J542" s="1782">
        <f t="shared" si="89"/>
        <v>38661.066140000003</v>
      </c>
      <c r="K542" s="1782">
        <f t="shared" si="90"/>
        <v>0</v>
      </c>
      <c r="L542" s="1782">
        <f t="shared" si="91"/>
        <v>0</v>
      </c>
      <c r="M542" s="1782">
        <f t="shared" si="92"/>
        <v>0</v>
      </c>
      <c r="N542" s="1782">
        <f t="shared" si="93"/>
        <v>0</v>
      </c>
      <c r="O542" s="1783">
        <f t="shared" si="94"/>
        <v>0</v>
      </c>
      <c r="P542" s="1782">
        <f t="shared" si="95"/>
        <v>270744.70662999997</v>
      </c>
      <c r="Q542" s="1782">
        <f t="shared" si="96"/>
        <v>0</v>
      </c>
      <c r="R542" s="1782">
        <f t="shared" si="97"/>
        <v>246579.62791000001</v>
      </c>
      <c r="T542" s="1782">
        <v>232083640.48999998</v>
      </c>
      <c r="U542" s="1782"/>
      <c r="V542" s="1782">
        <v>38661066.140000001</v>
      </c>
      <c r="W542" s="1782"/>
      <c r="X542" s="1782">
        <v>0</v>
      </c>
      <c r="Y542" s="1782"/>
      <c r="Z542" s="1782">
        <v>0</v>
      </c>
      <c r="AA542" s="1783"/>
      <c r="AB542" s="1782">
        <v>270744706.63</v>
      </c>
      <c r="AC542" s="1782"/>
      <c r="AD542" s="1782">
        <v>246579627.91</v>
      </c>
    </row>
    <row r="543" spans="1:30" ht="14.1" customHeight="1">
      <c r="A543" s="1675">
        <v>18</v>
      </c>
      <c r="B543" s="2015"/>
      <c r="F543" s="1782"/>
      <c r="G543" s="1782"/>
      <c r="H543" s="1782">
        <f t="shared" si="98"/>
        <v>0</v>
      </c>
      <c r="I543" s="1782">
        <f t="shared" si="88"/>
        <v>0</v>
      </c>
      <c r="J543" s="1782">
        <f t="shared" si="89"/>
        <v>0</v>
      </c>
      <c r="K543" s="1782">
        <f t="shared" si="90"/>
        <v>0</v>
      </c>
      <c r="L543" s="1782">
        <f t="shared" si="91"/>
        <v>0</v>
      </c>
      <c r="M543" s="1782">
        <f t="shared" si="92"/>
        <v>0</v>
      </c>
      <c r="N543" s="1782">
        <f t="shared" si="93"/>
        <v>0</v>
      </c>
      <c r="O543" s="1783">
        <f t="shared" si="94"/>
        <v>0</v>
      </c>
      <c r="P543" s="1782">
        <f t="shared" si="95"/>
        <v>0</v>
      </c>
      <c r="Q543" s="1782">
        <f t="shared" si="96"/>
        <v>0</v>
      </c>
      <c r="R543" s="1782">
        <f t="shared" si="97"/>
        <v>0</v>
      </c>
      <c r="T543" s="1782"/>
      <c r="U543" s="1782"/>
      <c r="V543" s="1782"/>
      <c r="W543" s="1782"/>
      <c r="X543" s="1782"/>
      <c r="Y543" s="1782"/>
      <c r="Z543" s="1782"/>
      <c r="AA543" s="1783"/>
      <c r="AB543" s="1782"/>
      <c r="AC543" s="1782"/>
      <c r="AD543" s="1782"/>
    </row>
    <row r="544" spans="1:30">
      <c r="A544" s="1675">
        <v>19</v>
      </c>
      <c r="B544" s="2015"/>
      <c r="D544" s="2002" t="s">
        <v>2464</v>
      </c>
      <c r="F544" s="1782"/>
      <c r="G544" s="1782"/>
      <c r="H544" s="1813">
        <f t="shared" si="98"/>
        <v>582215.40388000011</v>
      </c>
      <c r="I544" s="1813">
        <f t="shared" si="88"/>
        <v>0</v>
      </c>
      <c r="J544" s="1813">
        <f t="shared" si="89"/>
        <v>83861.887680000014</v>
      </c>
      <c r="K544" s="1813">
        <f t="shared" si="90"/>
        <v>0</v>
      </c>
      <c r="L544" s="1813">
        <f t="shared" si="91"/>
        <v>-4800.4783099999995</v>
      </c>
      <c r="M544" s="1813">
        <f t="shared" si="92"/>
        <v>0</v>
      </c>
      <c r="N544" s="1813">
        <f t="shared" si="93"/>
        <v>0</v>
      </c>
      <c r="O544" s="1814">
        <f t="shared" si="94"/>
        <v>0</v>
      </c>
      <c r="P544" s="1813">
        <f t="shared" si="95"/>
        <v>661276.81325000024</v>
      </c>
      <c r="Q544" s="1813">
        <f t="shared" si="96"/>
        <v>0</v>
      </c>
      <c r="R544" s="1813">
        <f t="shared" si="97"/>
        <v>601250.20754999993</v>
      </c>
      <c r="T544" s="1813">
        <v>582215403.88000011</v>
      </c>
      <c r="U544" s="1813"/>
      <c r="V544" s="1813">
        <v>83861887.680000007</v>
      </c>
      <c r="W544" s="1813"/>
      <c r="X544" s="1813">
        <v>-4800478.3099999996</v>
      </c>
      <c r="Y544" s="1813"/>
      <c r="Z544" s="1813">
        <v>0</v>
      </c>
      <c r="AA544" s="1814"/>
      <c r="AB544" s="1813">
        <v>661276813.25000024</v>
      </c>
      <c r="AC544" s="1813"/>
      <c r="AD544" s="1813">
        <v>601250207.54999995</v>
      </c>
    </row>
    <row r="545" spans="1:30">
      <c r="A545" s="1675">
        <v>20</v>
      </c>
      <c r="B545" s="2015"/>
      <c r="D545" s="2002"/>
      <c r="F545" s="1782"/>
      <c r="G545" s="1782"/>
      <c r="H545" s="1813">
        <f t="shared" si="98"/>
        <v>0</v>
      </c>
      <c r="I545" s="1782">
        <f t="shared" si="88"/>
        <v>0</v>
      </c>
      <c r="J545" s="1813">
        <f t="shared" si="89"/>
        <v>0</v>
      </c>
      <c r="K545" s="1782">
        <f t="shared" si="90"/>
        <v>0</v>
      </c>
      <c r="L545" s="1813">
        <f t="shared" si="91"/>
        <v>0</v>
      </c>
      <c r="M545" s="1782">
        <f t="shared" si="92"/>
        <v>0</v>
      </c>
      <c r="N545" s="1813">
        <f t="shared" si="93"/>
        <v>0</v>
      </c>
      <c r="O545" s="1783">
        <f t="shared" si="94"/>
        <v>0</v>
      </c>
      <c r="P545" s="1813">
        <f t="shared" si="95"/>
        <v>0</v>
      </c>
      <c r="Q545" s="1782">
        <f t="shared" si="96"/>
        <v>0</v>
      </c>
      <c r="R545" s="1813">
        <f t="shared" si="97"/>
        <v>0</v>
      </c>
      <c r="T545" s="1813"/>
      <c r="U545" s="1782"/>
      <c r="V545" s="1813"/>
      <c r="W545" s="1782"/>
      <c r="X545" s="1813"/>
      <c r="Y545" s="1782"/>
      <c r="Z545" s="1813"/>
      <c r="AA545" s="1783"/>
      <c r="AB545" s="1813"/>
      <c r="AC545" s="1782"/>
      <c r="AD545" s="1813"/>
    </row>
    <row r="546" spans="1:30">
      <c r="A546" s="1675">
        <v>21</v>
      </c>
      <c r="B546" s="2015"/>
      <c r="D546" s="2044" t="s">
        <v>2588</v>
      </c>
      <c r="H546" s="1813">
        <f t="shared" si="98"/>
        <v>25408.521469999996</v>
      </c>
      <c r="I546" s="1813">
        <f t="shared" si="88"/>
        <v>0</v>
      </c>
      <c r="J546" s="1813">
        <f t="shared" si="89"/>
        <v>0</v>
      </c>
      <c r="K546" s="1813">
        <f t="shared" si="90"/>
        <v>0</v>
      </c>
      <c r="L546" s="1813">
        <f t="shared" si="91"/>
        <v>0</v>
      </c>
      <c r="M546" s="1813">
        <f t="shared" si="92"/>
        <v>0</v>
      </c>
      <c r="N546" s="1813">
        <f t="shared" si="93"/>
        <v>0</v>
      </c>
      <c r="O546" s="1814">
        <f t="shared" si="94"/>
        <v>0</v>
      </c>
      <c r="P546" s="1813">
        <f t="shared" si="95"/>
        <v>25408.521469999996</v>
      </c>
      <c r="Q546" s="1813">
        <f t="shared" si="96"/>
        <v>0</v>
      </c>
      <c r="R546" s="1813">
        <f t="shared" si="97"/>
        <v>25408.521470000003</v>
      </c>
      <c r="T546" s="1813">
        <v>25408521.469999995</v>
      </c>
      <c r="U546" s="1813"/>
      <c r="V546" s="1813">
        <v>0</v>
      </c>
      <c r="W546" s="1813"/>
      <c r="X546" s="1813">
        <v>0</v>
      </c>
      <c r="Y546" s="1813"/>
      <c r="Z546" s="1813">
        <v>0</v>
      </c>
      <c r="AA546" s="1814"/>
      <c r="AB546" s="1813">
        <v>25408521.469999995</v>
      </c>
      <c r="AC546" s="1813"/>
      <c r="AD546" s="1813">
        <v>25408521.470000003</v>
      </c>
    </row>
    <row r="547" spans="1:30">
      <c r="A547" s="1675">
        <v>22</v>
      </c>
      <c r="B547" s="2015"/>
      <c r="H547" s="1674">
        <f t="shared" si="98"/>
        <v>0</v>
      </c>
      <c r="I547" s="1674">
        <f t="shared" si="88"/>
        <v>0</v>
      </c>
      <c r="J547" s="1674">
        <f t="shared" si="89"/>
        <v>0</v>
      </c>
      <c r="K547" s="1674">
        <f t="shared" si="90"/>
        <v>0</v>
      </c>
      <c r="L547" s="1674">
        <f t="shared" si="91"/>
        <v>0</v>
      </c>
      <c r="M547" s="1674">
        <f t="shared" si="92"/>
        <v>0</v>
      </c>
      <c r="N547" s="1674">
        <f t="shared" si="93"/>
        <v>0</v>
      </c>
      <c r="O547" s="2001">
        <f t="shared" si="94"/>
        <v>0</v>
      </c>
      <c r="P547" s="1674">
        <f t="shared" si="95"/>
        <v>0</v>
      </c>
      <c r="Q547" s="1674">
        <f t="shared" si="96"/>
        <v>0</v>
      </c>
      <c r="R547" s="1674">
        <f t="shared" si="97"/>
        <v>0</v>
      </c>
      <c r="AA547" s="2001"/>
    </row>
    <row r="548" spans="1:30">
      <c r="A548" s="1675">
        <v>23</v>
      </c>
      <c r="B548" s="2015"/>
      <c r="D548" s="1674" t="s">
        <v>2466</v>
      </c>
      <c r="F548" s="1782"/>
      <c r="G548" s="1782"/>
      <c r="H548" s="1811">
        <f t="shared" si="98"/>
        <v>32739.718199999999</v>
      </c>
      <c r="I548" s="1782">
        <f t="shared" si="88"/>
        <v>0</v>
      </c>
      <c r="J548" s="1811">
        <f t="shared" si="89"/>
        <v>0</v>
      </c>
      <c r="K548" s="1782">
        <f t="shared" si="90"/>
        <v>0</v>
      </c>
      <c r="L548" s="1811">
        <f t="shared" si="91"/>
        <v>0</v>
      </c>
      <c r="M548" s="1782">
        <f t="shared" si="92"/>
        <v>0</v>
      </c>
      <c r="N548" s="1811">
        <f t="shared" si="93"/>
        <v>-2175.7643400000002</v>
      </c>
      <c r="O548" s="1783">
        <f t="shared" si="94"/>
        <v>0</v>
      </c>
      <c r="P548" s="1811">
        <f t="shared" si="95"/>
        <v>30563.953859999998</v>
      </c>
      <c r="Q548" s="1782">
        <f t="shared" si="96"/>
        <v>0</v>
      </c>
      <c r="R548" s="1811">
        <f t="shared" si="97"/>
        <v>31496.68677</v>
      </c>
      <c r="T548" s="1811">
        <v>32739718.199999999</v>
      </c>
      <c r="U548" s="1782"/>
      <c r="V548" s="1811">
        <v>0</v>
      </c>
      <c r="W548" s="1782"/>
      <c r="X548" s="1811">
        <v>0</v>
      </c>
      <c r="Y548" s="1782"/>
      <c r="Z548" s="1811">
        <v>-2175764.3400000003</v>
      </c>
      <c r="AA548" s="1783"/>
      <c r="AB548" s="1811">
        <v>30563953.859999999</v>
      </c>
      <c r="AC548" s="1782"/>
      <c r="AD548" s="1811">
        <v>31496686.77</v>
      </c>
    </row>
    <row r="549" spans="1:30">
      <c r="A549" s="1675">
        <v>24</v>
      </c>
      <c r="B549" s="2015"/>
      <c r="H549" s="2029">
        <f t="shared" si="98"/>
        <v>0</v>
      </c>
      <c r="I549" s="1674">
        <f t="shared" si="88"/>
        <v>0</v>
      </c>
      <c r="J549" s="2029">
        <f t="shared" si="89"/>
        <v>0</v>
      </c>
      <c r="K549" s="1674">
        <f t="shared" si="90"/>
        <v>0</v>
      </c>
      <c r="L549" s="2029">
        <f t="shared" si="91"/>
        <v>0</v>
      </c>
      <c r="M549" s="1674">
        <f t="shared" si="92"/>
        <v>0</v>
      </c>
      <c r="N549" s="2029">
        <f t="shared" si="93"/>
        <v>0</v>
      </c>
      <c r="O549" s="2001">
        <f t="shared" si="94"/>
        <v>0</v>
      </c>
      <c r="P549" s="2029">
        <f t="shared" si="95"/>
        <v>0</v>
      </c>
      <c r="Q549" s="1674">
        <f t="shared" si="96"/>
        <v>0</v>
      </c>
      <c r="R549" s="2029">
        <f t="shared" si="97"/>
        <v>0</v>
      </c>
      <c r="T549" s="2029"/>
      <c r="V549" s="2029"/>
      <c r="X549" s="2029"/>
      <c r="Z549" s="2029"/>
      <c r="AA549" s="2001"/>
      <c r="AB549" s="2029"/>
      <c r="AD549" s="2029"/>
    </row>
    <row r="550" spans="1:30" ht="13.8" thickBot="1">
      <c r="A550" s="1675">
        <v>25</v>
      </c>
      <c r="B550" s="2015"/>
      <c r="D550" s="2005" t="s">
        <v>8184</v>
      </c>
      <c r="F550" s="1782"/>
      <c r="G550" s="1782"/>
      <c r="H550" s="1870">
        <f t="shared" si="98"/>
        <v>13644133.608580001</v>
      </c>
      <c r="I550" s="1782">
        <f t="shared" si="88"/>
        <v>0</v>
      </c>
      <c r="J550" s="1870">
        <f t="shared" si="89"/>
        <v>1953586.4983600001</v>
      </c>
      <c r="K550" s="1782">
        <f t="shared" si="90"/>
        <v>0</v>
      </c>
      <c r="L550" s="1870">
        <f t="shared" si="91"/>
        <v>-150203.56679000001</v>
      </c>
      <c r="M550" s="1782">
        <f t="shared" si="92"/>
        <v>0</v>
      </c>
      <c r="N550" s="1870">
        <f t="shared" si="93"/>
        <v>-2175.7643400000002</v>
      </c>
      <c r="O550" s="1783">
        <f t="shared" si="94"/>
        <v>0</v>
      </c>
      <c r="P550" s="1870">
        <f t="shared" si="95"/>
        <v>15445340.77581</v>
      </c>
      <c r="Q550" s="1782">
        <f t="shared" si="96"/>
        <v>0</v>
      </c>
      <c r="R550" s="1870">
        <f t="shared" si="97"/>
        <v>14463850.574999997</v>
      </c>
      <c r="T550" s="1870">
        <v>13644133608.58</v>
      </c>
      <c r="U550" s="1782"/>
      <c r="V550" s="1870">
        <v>1953586498.3600001</v>
      </c>
      <c r="W550" s="1782"/>
      <c r="X550" s="1870">
        <v>-150203566.79000002</v>
      </c>
      <c r="Y550" s="1782"/>
      <c r="Z550" s="1870">
        <v>-2175764.3400000003</v>
      </c>
      <c r="AA550" s="1783"/>
      <c r="AB550" s="1870">
        <v>15445340775.809999</v>
      </c>
      <c r="AC550" s="1782"/>
      <c r="AD550" s="1870">
        <v>14463850574.999998</v>
      </c>
    </row>
    <row r="551" spans="1:30" ht="13.8" thickTop="1">
      <c r="A551" s="1675">
        <v>26</v>
      </c>
      <c r="B551" s="2015"/>
      <c r="H551" s="1674">
        <f t="shared" si="98"/>
        <v>0</v>
      </c>
      <c r="I551" s="1674">
        <f t="shared" si="88"/>
        <v>0</v>
      </c>
      <c r="J551" s="1674">
        <f t="shared" si="89"/>
        <v>0</v>
      </c>
      <c r="K551" s="1674">
        <f t="shared" si="90"/>
        <v>0</v>
      </c>
      <c r="L551" s="1674">
        <f t="shared" si="91"/>
        <v>0</v>
      </c>
      <c r="M551" s="1674">
        <f t="shared" si="92"/>
        <v>0</v>
      </c>
      <c r="N551" s="1674">
        <f t="shared" si="93"/>
        <v>0</v>
      </c>
      <c r="O551" s="2001">
        <f t="shared" si="94"/>
        <v>0</v>
      </c>
      <c r="P551" s="1674">
        <f t="shared" si="95"/>
        <v>0</v>
      </c>
      <c r="Q551" s="1674">
        <f t="shared" si="96"/>
        <v>0</v>
      </c>
      <c r="R551" s="1674">
        <f t="shared" si="97"/>
        <v>0</v>
      </c>
      <c r="AA551" s="2001"/>
    </row>
    <row r="552" spans="1:30">
      <c r="A552" s="1675">
        <v>27</v>
      </c>
      <c r="B552" s="2015"/>
      <c r="D552" s="2002" t="s">
        <v>2468</v>
      </c>
      <c r="H552" s="2047">
        <f t="shared" si="98"/>
        <v>7484.82276</v>
      </c>
      <c r="I552" s="1674">
        <f t="shared" si="88"/>
        <v>0</v>
      </c>
      <c r="J552" s="2047">
        <f t="shared" si="89"/>
        <v>0</v>
      </c>
      <c r="K552" s="1782">
        <f t="shared" si="90"/>
        <v>0</v>
      </c>
      <c r="L552" s="2047">
        <f t="shared" si="91"/>
        <v>0</v>
      </c>
      <c r="M552" s="1782">
        <f t="shared" si="92"/>
        <v>0</v>
      </c>
      <c r="N552" s="2047">
        <f t="shared" si="93"/>
        <v>0</v>
      </c>
      <c r="O552" s="1783">
        <f t="shared" si="94"/>
        <v>0</v>
      </c>
      <c r="P552" s="2047">
        <f t="shared" si="95"/>
        <v>7484.82276</v>
      </c>
      <c r="Q552" s="1782">
        <f t="shared" si="96"/>
        <v>0</v>
      </c>
      <c r="R552" s="2047">
        <f t="shared" si="97"/>
        <v>7484.82276</v>
      </c>
      <c r="T552" s="2047">
        <v>7484822.7599999998</v>
      </c>
      <c r="V552" s="2047">
        <v>0</v>
      </c>
      <c r="W552" s="1782"/>
      <c r="X552" s="2047">
        <v>0</v>
      </c>
      <c r="Y552" s="1782"/>
      <c r="Z552" s="2047">
        <v>0</v>
      </c>
      <c r="AA552" s="1783"/>
      <c r="AB552" s="2047">
        <v>7484822.7599999998</v>
      </c>
      <c r="AC552" s="1782"/>
      <c r="AD552" s="2047">
        <v>7484822.7599999998</v>
      </c>
    </row>
    <row r="553" spans="1:30">
      <c r="A553" s="1675">
        <v>28</v>
      </c>
      <c r="B553" s="2015"/>
      <c r="F553" s="1782"/>
      <c r="G553" s="1782"/>
      <c r="H553" s="1782">
        <f t="shared" si="98"/>
        <v>0</v>
      </c>
      <c r="I553" s="1782">
        <f t="shared" si="88"/>
        <v>0</v>
      </c>
      <c r="J553" s="1782">
        <f t="shared" si="89"/>
        <v>0</v>
      </c>
      <c r="K553" s="1782">
        <f t="shared" si="90"/>
        <v>0</v>
      </c>
      <c r="L553" s="1782">
        <f t="shared" si="91"/>
        <v>0</v>
      </c>
      <c r="M553" s="1782">
        <f t="shared" si="92"/>
        <v>0</v>
      </c>
      <c r="N553" s="1782">
        <f t="shared" si="93"/>
        <v>0</v>
      </c>
      <c r="O553" s="1783">
        <f t="shared" si="94"/>
        <v>0</v>
      </c>
      <c r="P553" s="1782">
        <f t="shared" si="95"/>
        <v>0</v>
      </c>
      <c r="Q553" s="1782">
        <f t="shared" si="96"/>
        <v>0</v>
      </c>
      <c r="R553" s="1782">
        <f t="shared" si="97"/>
        <v>0</v>
      </c>
      <c r="T553" s="1782"/>
      <c r="U553" s="1782"/>
      <c r="V553" s="1782"/>
      <c r="W553" s="1782"/>
      <c r="X553" s="1782"/>
      <c r="Y553" s="1782"/>
      <c r="Z553" s="1782"/>
      <c r="AA553" s="1783"/>
      <c r="AB553" s="1782"/>
      <c r="AC553" s="1782"/>
      <c r="AD553" s="1782"/>
    </row>
    <row r="554" spans="1:30">
      <c r="A554" s="1675">
        <v>29</v>
      </c>
      <c r="B554" s="2015"/>
      <c r="D554" s="1808" t="s">
        <v>2470</v>
      </c>
      <c r="F554" s="1782"/>
      <c r="G554" s="1782"/>
      <c r="H554" s="1782">
        <f t="shared" si="98"/>
        <v>0</v>
      </c>
      <c r="I554" s="1782">
        <f t="shared" si="88"/>
        <v>0</v>
      </c>
      <c r="J554" s="1782">
        <f t="shared" si="89"/>
        <v>0</v>
      </c>
      <c r="K554" s="1782">
        <f t="shared" si="90"/>
        <v>0</v>
      </c>
      <c r="L554" s="1782">
        <f t="shared" si="91"/>
        <v>0</v>
      </c>
      <c r="M554" s="1782">
        <f t="shared" si="92"/>
        <v>0</v>
      </c>
      <c r="N554" s="1782">
        <f t="shared" si="93"/>
        <v>0</v>
      </c>
      <c r="O554" s="1783">
        <f t="shared" si="94"/>
        <v>0</v>
      </c>
      <c r="P554" s="1782">
        <f t="shared" si="95"/>
        <v>0</v>
      </c>
      <c r="Q554" s="1782">
        <f t="shared" si="96"/>
        <v>0</v>
      </c>
      <c r="R554" s="1782">
        <f t="shared" si="97"/>
        <v>0</v>
      </c>
      <c r="T554" s="1782">
        <v>0</v>
      </c>
      <c r="U554" s="1782"/>
      <c r="V554" s="1782">
        <v>0</v>
      </c>
      <c r="W554" s="1782"/>
      <c r="X554" s="1782">
        <v>0</v>
      </c>
      <c r="Y554" s="1782"/>
      <c r="Z554" s="1782">
        <v>0</v>
      </c>
      <c r="AA554" s="1783"/>
      <c r="AB554" s="1782">
        <v>0</v>
      </c>
      <c r="AC554" s="1782"/>
      <c r="AD554" s="1782">
        <v>0</v>
      </c>
    </row>
    <row r="555" spans="1:30">
      <c r="A555" s="1675">
        <v>30</v>
      </c>
      <c r="B555" s="2015"/>
      <c r="H555" s="1674">
        <f t="shared" si="98"/>
        <v>0</v>
      </c>
      <c r="I555" s="1674">
        <f t="shared" si="88"/>
        <v>0</v>
      </c>
      <c r="J555" s="1674">
        <f t="shared" si="89"/>
        <v>0</v>
      </c>
      <c r="K555" s="1674">
        <f t="shared" si="90"/>
        <v>0</v>
      </c>
      <c r="L555" s="1674">
        <f t="shared" si="91"/>
        <v>0</v>
      </c>
      <c r="M555" s="1674">
        <f t="shared" si="92"/>
        <v>0</v>
      </c>
      <c r="N555" s="1674">
        <f t="shared" si="93"/>
        <v>0</v>
      </c>
      <c r="O555" s="2001">
        <f t="shared" si="94"/>
        <v>0</v>
      </c>
      <c r="P555" s="1674">
        <f t="shared" si="95"/>
        <v>0</v>
      </c>
      <c r="Q555" s="1674">
        <f t="shared" si="96"/>
        <v>0</v>
      </c>
      <c r="R555" s="1674">
        <f t="shared" si="97"/>
        <v>0</v>
      </c>
      <c r="AA555" s="2001"/>
    </row>
    <row r="556" spans="1:30">
      <c r="A556" s="1675">
        <v>31</v>
      </c>
      <c r="B556" s="2015"/>
      <c r="D556" s="1674" t="s">
        <v>2471</v>
      </c>
      <c r="H556" s="1782">
        <f t="shared" si="98"/>
        <v>64262.399530000002</v>
      </c>
      <c r="I556" s="1674">
        <f t="shared" si="88"/>
        <v>0</v>
      </c>
      <c r="J556" s="1782">
        <f t="shared" si="89"/>
        <v>6502.5527400000001</v>
      </c>
      <c r="K556" s="1674">
        <f t="shared" si="90"/>
        <v>0</v>
      </c>
      <c r="L556" s="1782">
        <f t="shared" si="91"/>
        <v>0</v>
      </c>
      <c r="M556" s="1674">
        <f t="shared" si="92"/>
        <v>0</v>
      </c>
      <c r="N556" s="1782">
        <f t="shared" si="93"/>
        <v>0</v>
      </c>
      <c r="O556" s="2001">
        <f t="shared" si="94"/>
        <v>0</v>
      </c>
      <c r="P556" s="1782">
        <f t="shared" si="95"/>
        <v>70764.952269999994</v>
      </c>
      <c r="Q556" s="1674">
        <f t="shared" si="96"/>
        <v>0</v>
      </c>
      <c r="R556" s="1782">
        <f t="shared" si="97"/>
        <v>69494.543310000008</v>
      </c>
      <c r="T556" s="1782">
        <v>64262399.530000001</v>
      </c>
      <c r="V556" s="1782">
        <v>6502552.7400000002</v>
      </c>
      <c r="X556" s="1782">
        <v>0</v>
      </c>
      <c r="Z556" s="1782">
        <v>0</v>
      </c>
      <c r="AA556" s="2001"/>
      <c r="AB556" s="1782">
        <v>70764952.269999996</v>
      </c>
      <c r="AD556" s="1782">
        <v>69494543.310000002</v>
      </c>
    </row>
    <row r="557" spans="1:30">
      <c r="A557" s="1675">
        <v>32</v>
      </c>
      <c r="B557" s="2015"/>
      <c r="H557" s="1674">
        <f t="shared" si="98"/>
        <v>0</v>
      </c>
      <c r="I557" s="1674">
        <f t="shared" si="88"/>
        <v>0</v>
      </c>
      <c r="J557" s="1674">
        <f t="shared" si="89"/>
        <v>0</v>
      </c>
      <c r="K557" s="1674">
        <f t="shared" si="90"/>
        <v>0</v>
      </c>
      <c r="L557" s="1674">
        <f t="shared" si="91"/>
        <v>0</v>
      </c>
      <c r="M557" s="1674">
        <f t="shared" si="92"/>
        <v>0</v>
      </c>
      <c r="N557" s="1674">
        <f t="shared" si="93"/>
        <v>0</v>
      </c>
      <c r="O557" s="2001">
        <f t="shared" si="94"/>
        <v>0</v>
      </c>
      <c r="P557" s="1674">
        <f t="shared" si="95"/>
        <v>0</v>
      </c>
      <c r="Q557" s="1674">
        <f t="shared" si="96"/>
        <v>0</v>
      </c>
      <c r="R557" s="1674">
        <f t="shared" si="97"/>
        <v>0</v>
      </c>
      <c r="AA557" s="2001"/>
    </row>
    <row r="558" spans="1:30">
      <c r="A558" s="1675">
        <v>33</v>
      </c>
      <c r="B558" s="2015"/>
      <c r="D558" s="1674" t="s">
        <v>2604</v>
      </c>
      <c r="H558" s="2035">
        <f t="shared" si="98"/>
        <v>0</v>
      </c>
      <c r="I558" s="1674">
        <f t="shared" si="88"/>
        <v>0</v>
      </c>
      <c r="J558" s="2035">
        <f t="shared" si="89"/>
        <v>0</v>
      </c>
      <c r="K558" s="1674">
        <f t="shared" si="90"/>
        <v>0</v>
      </c>
      <c r="L558" s="2035">
        <f t="shared" si="91"/>
        <v>0</v>
      </c>
      <c r="M558" s="1674">
        <f t="shared" si="92"/>
        <v>0</v>
      </c>
      <c r="N558" s="2035">
        <f t="shared" si="93"/>
        <v>0</v>
      </c>
      <c r="O558" s="2001">
        <f t="shared" si="94"/>
        <v>0</v>
      </c>
      <c r="P558" s="2035">
        <f t="shared" si="95"/>
        <v>0</v>
      </c>
      <c r="Q558" s="1674">
        <f t="shared" si="96"/>
        <v>0</v>
      </c>
      <c r="R558" s="2035">
        <f t="shared" si="97"/>
        <v>0</v>
      </c>
      <c r="T558" s="2035">
        <v>0</v>
      </c>
      <c r="V558" s="2035">
        <v>0</v>
      </c>
      <c r="X558" s="2035">
        <v>0</v>
      </c>
      <c r="Z558" s="2035">
        <v>0</v>
      </c>
      <c r="AA558" s="2001"/>
      <c r="AB558" s="2035">
        <v>0</v>
      </c>
      <c r="AD558" s="2035">
        <v>0</v>
      </c>
    </row>
    <row r="559" spans="1:30">
      <c r="A559" s="1675">
        <v>34</v>
      </c>
      <c r="B559" s="2015"/>
      <c r="F559" s="1782"/>
      <c r="G559" s="1782"/>
      <c r="H559" s="1812">
        <f t="shared" si="98"/>
        <v>0</v>
      </c>
      <c r="I559" s="1782">
        <f t="shared" si="88"/>
        <v>0</v>
      </c>
      <c r="J559" s="1812">
        <f t="shared" si="89"/>
        <v>0</v>
      </c>
      <c r="K559" s="1782">
        <f t="shared" si="90"/>
        <v>0</v>
      </c>
      <c r="L559" s="1812">
        <f t="shared" si="91"/>
        <v>0</v>
      </c>
      <c r="M559" s="1782">
        <f t="shared" si="92"/>
        <v>0</v>
      </c>
      <c r="N559" s="1812">
        <f t="shared" si="93"/>
        <v>0</v>
      </c>
      <c r="O559" s="1783">
        <f t="shared" si="94"/>
        <v>0</v>
      </c>
      <c r="P559" s="1812">
        <f t="shared" si="95"/>
        <v>0</v>
      </c>
      <c r="Q559" s="1782">
        <f t="shared" si="96"/>
        <v>0</v>
      </c>
      <c r="R559" s="1812">
        <f t="shared" si="97"/>
        <v>0</v>
      </c>
      <c r="T559" s="1812"/>
      <c r="U559" s="1782"/>
      <c r="V559" s="1812"/>
      <c r="W559" s="1782"/>
      <c r="X559" s="1812"/>
      <c r="Y559" s="1782"/>
      <c r="Z559" s="1812"/>
      <c r="AA559" s="1783"/>
      <c r="AB559" s="1812"/>
      <c r="AC559" s="1782"/>
      <c r="AD559" s="1812"/>
    </row>
    <row r="560" spans="1:30" ht="13.8" thickBot="1">
      <c r="A560" s="1675">
        <v>35</v>
      </c>
      <c r="B560" s="2015"/>
      <c r="D560" s="1674" t="s">
        <v>2472</v>
      </c>
      <c r="F560" s="1782"/>
      <c r="G560" s="1782"/>
      <c r="H560" s="1870">
        <f t="shared" si="98"/>
        <v>13715880.830870001</v>
      </c>
      <c r="I560" s="1782">
        <f t="shared" si="88"/>
        <v>0</v>
      </c>
      <c r="J560" s="1870">
        <f t="shared" si="89"/>
        <v>1960089.0511</v>
      </c>
      <c r="K560" s="1674">
        <f t="shared" si="90"/>
        <v>0</v>
      </c>
      <c r="L560" s="1870">
        <f t="shared" si="91"/>
        <v>-150203.56679000001</v>
      </c>
      <c r="M560" s="1674">
        <f t="shared" si="92"/>
        <v>0</v>
      </c>
      <c r="N560" s="1870">
        <f t="shared" si="93"/>
        <v>-2175.7643400000002</v>
      </c>
      <c r="O560" s="2001">
        <f t="shared" si="94"/>
        <v>0</v>
      </c>
      <c r="P560" s="1870">
        <f t="shared" si="95"/>
        <v>15523590.55084</v>
      </c>
      <c r="Q560" s="1674">
        <f t="shared" si="96"/>
        <v>0</v>
      </c>
      <c r="R560" s="1870">
        <f t="shared" si="97"/>
        <v>14540829.941069998</v>
      </c>
      <c r="T560" s="1870">
        <v>13715880830.870001</v>
      </c>
      <c r="U560" s="1782"/>
      <c r="V560" s="1870">
        <v>1960089051.1000001</v>
      </c>
      <c r="X560" s="1870">
        <v>-150203566.79000002</v>
      </c>
      <c r="Z560" s="1870">
        <v>-2175764.3400000003</v>
      </c>
      <c r="AA560" s="2001"/>
      <c r="AB560" s="1870">
        <v>15523590550.84</v>
      </c>
      <c r="AD560" s="1870">
        <v>14540829941.069998</v>
      </c>
    </row>
    <row r="561" spans="1:30" ht="13.8" thickTop="1">
      <c r="A561" s="1675">
        <v>36</v>
      </c>
      <c r="B561" s="2015"/>
      <c r="H561" s="2035">
        <f t="shared" si="98"/>
        <v>0</v>
      </c>
      <c r="I561" s="1674">
        <f t="shared" si="88"/>
        <v>0</v>
      </c>
      <c r="J561" s="2035">
        <f t="shared" si="89"/>
        <v>0</v>
      </c>
      <c r="K561" s="1674">
        <f t="shared" si="90"/>
        <v>0</v>
      </c>
      <c r="L561" s="2035">
        <f t="shared" si="91"/>
        <v>0</v>
      </c>
      <c r="M561" s="1674">
        <f t="shared" si="92"/>
        <v>0</v>
      </c>
      <c r="N561" s="2035">
        <f t="shared" si="93"/>
        <v>0</v>
      </c>
      <c r="O561" s="2001">
        <f t="shared" si="94"/>
        <v>0</v>
      </c>
      <c r="P561" s="2035">
        <f t="shared" si="95"/>
        <v>0</v>
      </c>
      <c r="Q561" s="1674">
        <f t="shared" si="96"/>
        <v>0</v>
      </c>
      <c r="R561" s="2035">
        <f t="shared" si="97"/>
        <v>0</v>
      </c>
      <c r="T561" s="2035">
        <v>0</v>
      </c>
      <c r="V561" s="2035">
        <v>0</v>
      </c>
      <c r="X561" s="2035">
        <v>0</v>
      </c>
      <c r="Z561" s="2035">
        <v>0</v>
      </c>
      <c r="AA561" s="2001"/>
      <c r="AB561" s="2035">
        <v>0</v>
      </c>
      <c r="AD561" s="2035">
        <v>0</v>
      </c>
    </row>
    <row r="562" spans="1:30">
      <c r="A562" s="1675">
        <v>37</v>
      </c>
      <c r="B562" s="2015"/>
      <c r="H562" s="2035">
        <f t="shared" si="98"/>
        <v>0</v>
      </c>
      <c r="I562" s="1674">
        <f t="shared" si="88"/>
        <v>0</v>
      </c>
      <c r="J562" s="2035">
        <f t="shared" si="89"/>
        <v>0</v>
      </c>
      <c r="K562" s="1674">
        <f t="shared" si="90"/>
        <v>0</v>
      </c>
      <c r="L562" s="2035">
        <f t="shared" si="91"/>
        <v>0</v>
      </c>
      <c r="M562" s="1674">
        <f t="shared" si="92"/>
        <v>0</v>
      </c>
      <c r="N562" s="2035">
        <f t="shared" si="93"/>
        <v>0</v>
      </c>
      <c r="O562" s="2001">
        <f t="shared" si="94"/>
        <v>0</v>
      </c>
      <c r="P562" s="2035">
        <f t="shared" si="95"/>
        <v>0</v>
      </c>
      <c r="Q562" s="1674">
        <f t="shared" si="96"/>
        <v>0</v>
      </c>
      <c r="R562" s="2035">
        <f t="shared" si="97"/>
        <v>0</v>
      </c>
      <c r="T562" s="2035">
        <v>0</v>
      </c>
      <c r="V562" s="2035">
        <v>0</v>
      </c>
      <c r="X562" s="2035">
        <v>0</v>
      </c>
      <c r="Z562" s="2035">
        <v>0</v>
      </c>
      <c r="AA562" s="2001"/>
      <c r="AB562" s="2035">
        <v>0</v>
      </c>
      <c r="AD562" s="2035">
        <v>0</v>
      </c>
    </row>
    <row r="563" spans="1:30">
      <c r="A563" s="1675">
        <v>38</v>
      </c>
      <c r="B563" s="2015"/>
      <c r="O563" s="2001"/>
      <c r="AA563" s="2001"/>
    </row>
    <row r="564" spans="1:30">
      <c r="A564" s="1675">
        <v>39</v>
      </c>
      <c r="B564" s="2022"/>
      <c r="O564" s="2001"/>
      <c r="AA564" s="2001"/>
    </row>
    <row r="565" spans="1:30">
      <c r="A565" s="1675">
        <v>40</v>
      </c>
      <c r="B565" s="2022"/>
      <c r="O565" s="2001"/>
      <c r="AA565" s="2001"/>
    </row>
    <row r="566" spans="1:30">
      <c r="A566" s="1675">
        <v>41</v>
      </c>
      <c r="B566" s="2022"/>
      <c r="O566" s="2001"/>
      <c r="AA566" s="2001"/>
    </row>
    <row r="567" spans="1:30">
      <c r="A567" s="1675">
        <v>42</v>
      </c>
      <c r="B567" s="2022"/>
      <c r="O567" s="2001"/>
      <c r="AA567" s="2001"/>
    </row>
    <row r="568" spans="1:30">
      <c r="A568" s="1675">
        <v>43</v>
      </c>
      <c r="B568" s="2022"/>
      <c r="O568" s="2001"/>
      <c r="AA568" s="2001"/>
    </row>
    <row r="569" spans="1:30" ht="13.8" thickBot="1">
      <c r="A569" s="2008">
        <v>44</v>
      </c>
      <c r="B569" s="1869" t="s">
        <v>2476</v>
      </c>
      <c r="C569" s="1997"/>
      <c r="D569" s="1997"/>
      <c r="E569" s="1997"/>
      <c r="F569" s="1997"/>
      <c r="G569" s="1997"/>
      <c r="H569" s="1997"/>
      <c r="I569" s="1997"/>
      <c r="J569" s="1997"/>
      <c r="K569" s="1997"/>
      <c r="L569" s="1997"/>
      <c r="M569" s="1997"/>
      <c r="N569" s="1997"/>
      <c r="O569" s="1998"/>
      <c r="P569" s="1997"/>
      <c r="Q569" s="1997"/>
      <c r="R569" s="1997"/>
      <c r="T569" s="1997"/>
      <c r="U569" s="1997"/>
      <c r="V569" s="1997"/>
      <c r="W569" s="1997"/>
      <c r="X569" s="1997"/>
      <c r="Y569" s="1997"/>
      <c r="Z569" s="1997"/>
      <c r="AA569" s="1998"/>
      <c r="AB569" s="1997"/>
      <c r="AC569" s="1997"/>
      <c r="AD569" s="1997"/>
    </row>
    <row r="570" spans="1:30">
      <c r="A570" s="1674" t="s">
        <v>8947</v>
      </c>
      <c r="O570" s="2001"/>
      <c r="P570" s="1674" t="s">
        <v>8948</v>
      </c>
      <c r="AA570" s="2001"/>
      <c r="AB570" s="1674" t="s">
        <v>8948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B1:J102"/>
  <sheetViews>
    <sheetView tabSelected="1" showOutlineSymbols="0"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2107" t="s">
        <v>116</v>
      </c>
    </row>
    <row r="3" spans="2:10">
      <c r="B3" s="962" t="s">
        <v>2173</v>
      </c>
      <c r="C3" s="957"/>
      <c r="D3" s="957"/>
      <c r="E3" s="957"/>
      <c r="F3" s="957"/>
      <c r="G3" s="963"/>
      <c r="I3" t="s">
        <v>8413</v>
      </c>
    </row>
    <row r="4" spans="2:10">
      <c r="B4" s="353" t="s">
        <v>5053</v>
      </c>
      <c r="G4" s="296"/>
      <c r="I4" t="s">
        <v>8485</v>
      </c>
      <c r="J4" s="2394">
        <f>+'Surv Report Sched 2 pg 1'!R49/1000</f>
        <v>86969.812999999995</v>
      </c>
    </row>
    <row r="5" spans="2:10">
      <c r="B5" s="2552" t="s">
        <v>9263</v>
      </c>
      <c r="C5" s="1962"/>
      <c r="D5" s="1962"/>
      <c r="E5" s="2262"/>
      <c r="F5" s="2262"/>
      <c r="G5" s="2649"/>
      <c r="I5" t="s">
        <v>8486</v>
      </c>
      <c r="J5" s="2517">
        <f>+E19</f>
        <v>606832.55767903023</v>
      </c>
    </row>
    <row r="6" spans="2:10">
      <c r="B6" s="357"/>
      <c r="C6" s="297"/>
      <c r="D6" s="297"/>
      <c r="G6" s="298"/>
      <c r="J6" s="516">
        <f>+J4-J5</f>
        <v>-519862.74467903026</v>
      </c>
    </row>
    <row r="7" spans="2:10">
      <c r="B7" s="616"/>
      <c r="C7" s="1005" t="s">
        <v>5054</v>
      </c>
      <c r="D7" s="1021"/>
      <c r="E7" s="1021"/>
      <c r="F7" s="1021"/>
      <c r="G7" s="1022"/>
      <c r="I7" t="s">
        <v>8487</v>
      </c>
      <c r="J7" s="2394">
        <f>-E27</f>
        <v>519673.8701603642</v>
      </c>
    </row>
    <row r="8" spans="2:10">
      <c r="B8" s="522" t="s">
        <v>2182</v>
      </c>
      <c r="C8" s="514" t="s">
        <v>1918</v>
      </c>
      <c r="D8" s="77" t="s">
        <v>5055</v>
      </c>
      <c r="E8" s="77" t="s">
        <v>5056</v>
      </c>
      <c r="F8" s="77" t="s">
        <v>5057</v>
      </c>
      <c r="G8" s="364" t="s">
        <v>5058</v>
      </c>
      <c r="I8" s="297" t="s">
        <v>9430</v>
      </c>
      <c r="J8" s="2517">
        <f>+-'Surv Report Sched 2 pg 1'!R27/1000</f>
        <v>188.876</v>
      </c>
    </row>
    <row r="9" spans="2:10">
      <c r="B9" s="354" t="s">
        <v>2175</v>
      </c>
      <c r="C9" s="2750" t="s">
        <v>2176</v>
      </c>
      <c r="D9" s="2750" t="s">
        <v>2177</v>
      </c>
      <c r="E9" s="2750" t="s">
        <v>2178</v>
      </c>
      <c r="F9" s="2750" t="s">
        <v>2179</v>
      </c>
      <c r="G9" s="2751" t="s">
        <v>2625</v>
      </c>
      <c r="J9" s="2521">
        <f>+SUM(J6:J8)</f>
        <v>1.4813339328441089E-3</v>
      </c>
    </row>
    <row r="10" spans="2:10">
      <c r="B10" s="365">
        <v>1</v>
      </c>
      <c r="C10" s="328" t="s">
        <v>5059</v>
      </c>
      <c r="D10" s="548">
        <v>131</v>
      </c>
      <c r="E10" s="1011">
        <v>0</v>
      </c>
      <c r="F10" s="2752">
        <v>0</v>
      </c>
      <c r="G10" s="838">
        <f>+SUM(E10:F10)</f>
        <v>0</v>
      </c>
    </row>
    <row r="11" spans="2:10">
      <c r="B11" s="365">
        <v>2</v>
      </c>
      <c r="C11" s="328" t="s">
        <v>5060</v>
      </c>
      <c r="D11" s="548">
        <v>136</v>
      </c>
      <c r="E11" s="1011">
        <f>+SUMIFS('100s and 200s FERC Accounts'!E:E,'100s and 200s FERC Accounts'!B:B,'Working Capital'!D11)/1000</f>
        <v>0</v>
      </c>
      <c r="F11" s="2752">
        <v>0</v>
      </c>
      <c r="G11" s="838">
        <f t="shared" ref="G11:G17" si="0">+SUM(E11:F11)</f>
        <v>0</v>
      </c>
    </row>
    <row r="12" spans="2:10">
      <c r="B12" s="365">
        <v>3</v>
      </c>
      <c r="C12" s="328" t="s">
        <v>5061</v>
      </c>
      <c r="D12" s="548">
        <v>151</v>
      </c>
      <c r="E12" s="1011">
        <f>+SUMIFS('100s and 200s FERC Accounts'!E:E,'100s and 200s FERC Accounts'!B:B,'Working Capital'!D12)/1000</f>
        <v>36823.692307692305</v>
      </c>
      <c r="F12" s="837">
        <f>+'Surv Report Sched 2 pg 3'!D26/1000</f>
        <v>-188.876</v>
      </c>
      <c r="G12" s="838">
        <f t="shared" si="0"/>
        <v>36634.816307692308</v>
      </c>
    </row>
    <row r="13" spans="2:10">
      <c r="B13" s="365">
        <v>4</v>
      </c>
      <c r="C13" s="328" t="s">
        <v>5062</v>
      </c>
      <c r="D13" s="548">
        <v>152</v>
      </c>
      <c r="E13" s="1011">
        <f>+SUMIFS('100s and 200s FERC Accounts'!E:E,'100s and 200s FERC Accounts'!B:B,'Working Capital'!D13)/1000</f>
        <v>0</v>
      </c>
      <c r="F13" s="2752">
        <v>0</v>
      </c>
      <c r="G13" s="838">
        <f t="shared" si="0"/>
        <v>0</v>
      </c>
    </row>
    <row r="14" spans="2:10">
      <c r="B14" s="365">
        <v>5</v>
      </c>
      <c r="C14" s="328" t="s">
        <v>5063</v>
      </c>
      <c r="D14" s="548">
        <v>154</v>
      </c>
      <c r="E14" s="1011">
        <f>+SUMIFS('100s and 200s FERC Accounts'!E:E,'100s and 200s FERC Accounts'!B:B,'Working Capital'!D14)/1000</f>
        <v>162822.14999999997</v>
      </c>
      <c r="F14" s="2752">
        <v>0</v>
      </c>
      <c r="G14" s="838">
        <f t="shared" si="0"/>
        <v>162822.14999999997</v>
      </c>
    </row>
    <row r="15" spans="2:10">
      <c r="B15" s="365">
        <v>6</v>
      </c>
      <c r="C15" s="328" t="s">
        <v>5064</v>
      </c>
      <c r="D15" s="548">
        <v>163</v>
      </c>
      <c r="E15" s="1011">
        <f>+SUMIFS('100s and 200s FERC Accounts'!E:E,'100s and 200s FERC Accounts'!B:B,'Working Capital'!D15)/1000</f>
        <v>0</v>
      </c>
      <c r="F15" s="2752">
        <v>0</v>
      </c>
      <c r="G15" s="838">
        <f t="shared" si="0"/>
        <v>0</v>
      </c>
    </row>
    <row r="16" spans="2:10">
      <c r="B16" s="365">
        <v>7</v>
      </c>
      <c r="C16" s="2753" t="s">
        <v>5065</v>
      </c>
      <c r="D16" s="798"/>
      <c r="E16" s="839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839">
        <v>0</v>
      </c>
      <c r="G16" s="840">
        <f t="shared" si="0"/>
        <v>1127765.0553354439</v>
      </c>
    </row>
    <row r="17" spans="2:7">
      <c r="B17" s="365">
        <v>8</v>
      </c>
      <c r="C17" s="328" t="s">
        <v>5066</v>
      </c>
      <c r="D17" s="290" t="s">
        <v>5067</v>
      </c>
      <c r="E17" s="837">
        <f>+SUM(E10:E16)</f>
        <v>1327410.8976431363</v>
      </c>
      <c r="F17" s="837">
        <f>+SUM(F10:F16)</f>
        <v>-188.876</v>
      </c>
      <c r="G17" s="838">
        <f t="shared" si="0"/>
        <v>1327222.0216431364</v>
      </c>
    </row>
    <row r="18" spans="2:7">
      <c r="B18" s="365">
        <v>9</v>
      </c>
      <c r="C18" s="2754" t="s">
        <v>5068</v>
      </c>
      <c r="D18" s="797"/>
      <c r="E18" s="837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837"/>
      <c r="G18" s="838">
        <f>+E18</f>
        <v>720578.3399641061</v>
      </c>
    </row>
    <row r="19" spans="2:7">
      <c r="B19" s="365">
        <v>10</v>
      </c>
      <c r="C19" s="2755" t="s">
        <v>5069</v>
      </c>
      <c r="D19" s="1023" t="s">
        <v>5070</v>
      </c>
      <c r="E19" s="1304">
        <f>+E17-E18</f>
        <v>606832.55767903023</v>
      </c>
      <c r="F19" s="1304"/>
      <c r="G19" s="1300">
        <f>+E19</f>
        <v>606832.55767903023</v>
      </c>
    </row>
    <row r="20" spans="2:7">
      <c r="B20" s="365">
        <f>+B19+1</f>
        <v>11</v>
      </c>
      <c r="C20" s="293" t="s">
        <v>8373</v>
      </c>
      <c r="D20" s="60"/>
      <c r="E20" s="837">
        <f>+SUMIFS('Working Capital Transpose'!E:E,'Working Capital Transpose'!C:C,"Working Capital")/1000</f>
        <v>-532747.01350130839</v>
      </c>
      <c r="F20" s="766"/>
      <c r="G20" s="1588"/>
    </row>
    <row r="21" spans="2:7">
      <c r="B21" s="365">
        <f t="shared" ref="B21:B28" si="1">+B20+1</f>
        <v>12</v>
      </c>
      <c r="C21" s="96" t="s">
        <v>5071</v>
      </c>
      <c r="D21" s="328"/>
      <c r="E21" s="837">
        <f>+SUMIFS('Working Capital Transpose'!F:F,'Working Capital Transpose'!C:C,"Working Capital")/1000</f>
        <v>-1000</v>
      </c>
      <c r="F21" s="837"/>
      <c r="G21" s="838"/>
    </row>
    <row r="22" spans="2:7">
      <c r="B22" s="365">
        <f t="shared" si="1"/>
        <v>13</v>
      </c>
      <c r="C22" s="96" t="s">
        <v>5072</v>
      </c>
      <c r="D22" s="328"/>
      <c r="E22" s="837">
        <f>+SUMIFS('Working Capital Transpose'!G:G,'Working Capital Transpose'!C:C,"Working Capital")/1000</f>
        <v>-17272.815748461544</v>
      </c>
      <c r="F22" s="837"/>
      <c r="G22" s="838"/>
    </row>
    <row r="23" spans="2:7">
      <c r="B23" s="365">
        <f t="shared" si="1"/>
        <v>14</v>
      </c>
      <c r="C23" s="96" t="s">
        <v>8374</v>
      </c>
      <c r="D23" s="328"/>
      <c r="E23" s="837">
        <f>+SUMIFS('Working Capital Transpose'!H:H,'Working Capital Transpose'!C:C,"Working Capital")/1000</f>
        <v>33124.850294533928</v>
      </c>
      <c r="F23" s="837"/>
      <c r="G23" s="838"/>
    </row>
    <row r="24" spans="2:7">
      <c r="B24" s="365">
        <f t="shared" si="1"/>
        <v>15</v>
      </c>
      <c r="C24" s="96" t="s">
        <v>5073</v>
      </c>
      <c r="D24" s="328"/>
      <c r="E24" s="837">
        <f>+SUMIFS('Working Capital Transpose'!I:I,'Working Capital Transpose'!C:C,"Working Capital")/1000</f>
        <v>0</v>
      </c>
      <c r="F24" s="837"/>
      <c r="G24" s="838"/>
    </row>
    <row r="25" spans="2:7">
      <c r="B25" s="365">
        <f t="shared" si="1"/>
        <v>16</v>
      </c>
      <c r="C25" s="96" t="s">
        <v>8375</v>
      </c>
      <c r="D25" s="328"/>
      <c r="E25" s="837">
        <f>+SUMIFS('Working Capital Transpose'!J:J,'Working Capital Transpose'!C:C,"Working Capital")/1000</f>
        <v>-1778.891205128238</v>
      </c>
      <c r="F25" s="837"/>
      <c r="G25" s="838"/>
    </row>
    <row r="26" spans="2:7">
      <c r="B26" s="365">
        <f t="shared" si="1"/>
        <v>17</v>
      </c>
      <c r="C26" s="96" t="s">
        <v>8376</v>
      </c>
      <c r="D26" s="328"/>
      <c r="E26" s="839">
        <f>+SUMIFS('Working Capital Transpose'!K:K,'Working Capital Transpose'!C:C,"Working Capital")/1000</f>
        <v>0</v>
      </c>
      <c r="F26" s="837"/>
      <c r="G26" s="838"/>
    </row>
    <row r="27" spans="2:7">
      <c r="B27" s="365">
        <f t="shared" si="1"/>
        <v>18</v>
      </c>
      <c r="C27" s="385" t="s">
        <v>5074</v>
      </c>
      <c r="D27" s="797"/>
      <c r="E27" s="837">
        <f>+SUM(E20:E26)</f>
        <v>-519673.8701603642</v>
      </c>
      <c r="F27" s="837"/>
      <c r="G27" s="838">
        <f>+E27</f>
        <v>-519673.8701603642</v>
      </c>
    </row>
    <row r="28" spans="2:7" ht="15" thickBot="1">
      <c r="B28" s="365">
        <f t="shared" si="1"/>
        <v>19</v>
      </c>
      <c r="C28" s="2418" t="s">
        <v>5075</v>
      </c>
      <c r="D28" s="407" t="s">
        <v>5076</v>
      </c>
      <c r="E28" s="446">
        <f>+E19+E27</f>
        <v>87158.687518666033</v>
      </c>
      <c r="F28" s="446">
        <f>+F17+F26</f>
        <v>-188.876</v>
      </c>
      <c r="G28" s="447">
        <f>+G19+G27</f>
        <v>87158.687518666033</v>
      </c>
    </row>
    <row r="29" spans="2:7" ht="15" thickTop="1">
      <c r="B29" s="365"/>
      <c r="C29" s="2754"/>
      <c r="D29" s="797"/>
      <c r="E29" s="837"/>
      <c r="F29" s="837"/>
      <c r="G29" s="1301"/>
    </row>
    <row r="30" spans="2:7">
      <c r="B30" s="365">
        <f>+B28+1</f>
        <v>20</v>
      </c>
      <c r="C30" s="2756" t="s">
        <v>5077</v>
      </c>
      <c r="D30" s="2757"/>
      <c r="E30" s="2757"/>
      <c r="F30" s="328"/>
      <c r="G30" s="536"/>
    </row>
    <row r="31" spans="2:7">
      <c r="B31" s="365">
        <f>+B30+1</f>
        <v>21</v>
      </c>
      <c r="C31" s="1021"/>
      <c r="D31" s="1023" t="s">
        <v>4187</v>
      </c>
      <c r="E31" s="1023" t="s">
        <v>5078</v>
      </c>
      <c r="F31" s="1023" t="s">
        <v>5079</v>
      </c>
      <c r="G31" s="536"/>
    </row>
    <row r="32" spans="2:7">
      <c r="B32" s="365">
        <f t="shared" ref="B32:B95" si="2">+B31+1</f>
        <v>22</v>
      </c>
      <c r="C32" s="418" t="s">
        <v>2254</v>
      </c>
      <c r="D32" s="42">
        <f>+REPORTS!F1439</f>
        <v>7225506.9599943599</v>
      </c>
      <c r="E32" s="2758">
        <f>+D32/$D$40</f>
        <v>0.53279144238762954</v>
      </c>
      <c r="F32" s="795">
        <f>+$E$27*E32</f>
        <v>-276877.79085390217</v>
      </c>
      <c r="G32" s="536"/>
    </row>
    <row r="33" spans="2:7">
      <c r="B33" s="365">
        <f t="shared" si="2"/>
        <v>23</v>
      </c>
      <c r="C33" s="418" t="s">
        <v>2255</v>
      </c>
      <c r="D33" s="42">
        <f>+REPORTS!F1440</f>
        <v>680548.35013101739</v>
      </c>
      <c r="E33" s="2758">
        <f t="shared" ref="E33:E39" si="3">+D33/$D$40</f>
        <v>5.0181992639186296E-2</v>
      </c>
      <c r="F33" s="795">
        <f t="shared" ref="F33:F39" si="4">+$E$27*E33</f>
        <v>-26078.27032716485</v>
      </c>
      <c r="G33" s="536"/>
    </row>
    <row r="34" spans="2:7">
      <c r="B34" s="365">
        <f t="shared" si="2"/>
        <v>24</v>
      </c>
      <c r="C34" s="418" t="s">
        <v>2246</v>
      </c>
      <c r="D34" s="42">
        <f>+REPORTS!F1441</f>
        <v>570453.0494615928</v>
      </c>
      <c r="E34" s="2758">
        <f t="shared" si="3"/>
        <v>4.2063830914544034E-2</v>
      </c>
      <c r="F34" s="795">
        <f t="shared" si="4"/>
        <v>-21859.473805132271</v>
      </c>
      <c r="G34" s="536"/>
    </row>
    <row r="35" spans="2:7">
      <c r="B35" s="365">
        <f t="shared" si="2"/>
        <v>25</v>
      </c>
      <c r="C35" s="418" t="s">
        <v>2247</v>
      </c>
      <c r="D35" s="42">
        <f>+REPORTS!F1442</f>
        <v>594794.14105170744</v>
      </c>
      <c r="E35" s="2758">
        <f t="shared" si="3"/>
        <v>4.3858684254163081E-2</v>
      </c>
      <c r="F35" s="795">
        <f t="shared" si="4"/>
        <v>-22792.212186502355</v>
      </c>
      <c r="G35" s="536"/>
    </row>
    <row r="36" spans="2:7">
      <c r="B36" s="365">
        <f t="shared" si="2"/>
        <v>26</v>
      </c>
      <c r="C36" s="418" t="s">
        <v>2249</v>
      </c>
      <c r="D36" s="42">
        <f>+REPORTS!F1443</f>
        <v>2159330.6161561045</v>
      </c>
      <c r="E36" s="2758">
        <f t="shared" si="3"/>
        <v>0.15922382746891409</v>
      </c>
      <c r="F36" s="795">
        <f t="shared" si="4"/>
        <v>-82744.462642516693</v>
      </c>
      <c r="G36" s="536"/>
    </row>
    <row r="37" spans="2:7">
      <c r="B37" s="365">
        <f t="shared" si="2"/>
        <v>27</v>
      </c>
      <c r="C37" s="418" t="s">
        <v>2250</v>
      </c>
      <c r="D37" s="42">
        <f>+REPORTS!F1444</f>
        <v>1074798.1721466575</v>
      </c>
      <c r="E37" s="2758">
        <f t="shared" si="3"/>
        <v>7.9253022879110541E-2</v>
      </c>
      <c r="F37" s="795">
        <f t="shared" si="4"/>
        <v>-41185.725121495263</v>
      </c>
      <c r="G37" s="536"/>
    </row>
    <row r="38" spans="2:7">
      <c r="B38" s="365">
        <f t="shared" si="2"/>
        <v>28</v>
      </c>
      <c r="C38" s="418" t="s">
        <v>2256</v>
      </c>
      <c r="D38" s="42">
        <f>+REPORTS!F1445</f>
        <v>1011029.5953512132</v>
      </c>
      <c r="E38" s="2758">
        <f t="shared" si="3"/>
        <v>7.4550881950043113E-2</v>
      </c>
      <c r="F38" s="795">
        <f t="shared" si="4"/>
        <v>-38742.145346847341</v>
      </c>
      <c r="G38" s="536"/>
    </row>
    <row r="39" spans="2:7">
      <c r="B39" s="365">
        <f t="shared" si="2"/>
        <v>29</v>
      </c>
      <c r="C39" s="418" t="s">
        <v>2257</v>
      </c>
      <c r="D39" s="42">
        <f>+REPORTS!F1446</f>
        <v>245143.87349825987</v>
      </c>
      <c r="E39" s="2758">
        <f t="shared" si="3"/>
        <v>1.8076317506409326E-2</v>
      </c>
      <c r="F39" s="795">
        <f t="shared" si="4"/>
        <v>-9393.7898768032774</v>
      </c>
      <c r="G39" s="536"/>
    </row>
    <row r="40" spans="2:7">
      <c r="B40" s="365">
        <f t="shared" si="2"/>
        <v>30</v>
      </c>
      <c r="C40" s="2663" t="s">
        <v>5080</v>
      </c>
      <c r="D40" s="1057">
        <f>+SUM(D32:D39)</f>
        <v>13561604.757790912</v>
      </c>
      <c r="E40" s="1059">
        <f>+SUM(E32:E39)</f>
        <v>1</v>
      </c>
      <c r="F40" s="1057">
        <f>+SUM(F32:F39)</f>
        <v>-519673.87016036425</v>
      </c>
      <c r="G40" s="536"/>
    </row>
    <row r="41" spans="2:7">
      <c r="B41" s="365">
        <f t="shared" si="2"/>
        <v>31</v>
      </c>
      <c r="C41" s="328"/>
      <c r="D41" s="328"/>
      <c r="E41" s="328"/>
      <c r="F41" s="328"/>
      <c r="G41" s="536"/>
    </row>
    <row r="42" spans="2:7">
      <c r="B42" s="365">
        <f t="shared" si="2"/>
        <v>32</v>
      </c>
      <c r="C42" s="328"/>
      <c r="D42" s="328"/>
      <c r="E42" s="328"/>
      <c r="F42" s="328"/>
      <c r="G42" s="536"/>
    </row>
    <row r="43" spans="2:7">
      <c r="B43" s="365">
        <f t="shared" si="2"/>
        <v>33</v>
      </c>
      <c r="C43" s="1005" t="s">
        <v>5081</v>
      </c>
      <c r="D43" s="1021"/>
      <c r="E43" s="1021"/>
      <c r="F43" s="1022"/>
      <c r="G43" s="536"/>
    </row>
    <row r="44" spans="2:7">
      <c r="B44" s="365">
        <f t="shared" si="2"/>
        <v>34</v>
      </c>
      <c r="C44" s="2497" t="s">
        <v>5061</v>
      </c>
      <c r="D44" s="1023"/>
      <c r="E44" s="1023"/>
      <c r="F44" s="1302" t="s">
        <v>5082</v>
      </c>
      <c r="G44" s="536"/>
    </row>
    <row r="45" spans="2:7">
      <c r="B45" s="365">
        <f t="shared" si="2"/>
        <v>35</v>
      </c>
      <c r="C45" s="2759" t="s">
        <v>2255</v>
      </c>
      <c r="D45" s="1021"/>
      <c r="E45" s="1021"/>
      <c r="F45" s="1300">
        <f>+G12</f>
        <v>36634.816307692308</v>
      </c>
      <c r="G45" s="536"/>
    </row>
    <row r="46" spans="2:7">
      <c r="B46" s="365">
        <f t="shared" si="2"/>
        <v>36</v>
      </c>
      <c r="C46" s="328"/>
      <c r="D46" s="328"/>
      <c r="E46" s="328"/>
      <c r="F46" s="328"/>
      <c r="G46" s="536"/>
    </row>
    <row r="47" spans="2:7">
      <c r="B47" s="365">
        <f t="shared" si="2"/>
        <v>37</v>
      </c>
      <c r="C47" s="328"/>
      <c r="D47" s="328"/>
      <c r="E47" s="328"/>
      <c r="F47" s="328"/>
      <c r="G47" s="536"/>
    </row>
    <row r="48" spans="2:7">
      <c r="B48" s="365">
        <f t="shared" si="2"/>
        <v>38</v>
      </c>
      <c r="C48" s="328"/>
      <c r="D48" s="328"/>
      <c r="E48" s="328"/>
      <c r="F48" s="328"/>
      <c r="G48" s="536"/>
    </row>
    <row r="49" spans="2:7">
      <c r="B49" s="365">
        <f t="shared" si="2"/>
        <v>39</v>
      </c>
      <c r="C49" s="1005" t="s">
        <v>5083</v>
      </c>
      <c r="D49" s="2760"/>
      <c r="E49" s="2760"/>
      <c r="F49" s="1302"/>
      <c r="G49" s="536"/>
    </row>
    <row r="50" spans="2:7">
      <c r="B50" s="365">
        <f t="shared" si="2"/>
        <v>40</v>
      </c>
      <c r="C50" s="2761" t="s">
        <v>5084</v>
      </c>
      <c r="D50" s="1023" t="s">
        <v>5085</v>
      </c>
      <c r="E50" s="1023" t="s">
        <v>5086</v>
      </c>
      <c r="F50" s="60" t="s">
        <v>5087</v>
      </c>
      <c r="G50" s="536"/>
    </row>
    <row r="51" spans="2:7" ht="15" thickBot="1">
      <c r="B51" s="365">
        <f t="shared" si="2"/>
        <v>41</v>
      </c>
      <c r="C51" s="328"/>
      <c r="D51" s="328"/>
      <c r="E51" s="60"/>
      <c r="F51" s="447">
        <f>+SUM(G14:G15)</f>
        <v>162822.14999999997</v>
      </c>
      <c r="G51" s="536"/>
    </row>
    <row r="52" spans="2:7" ht="15" thickTop="1">
      <c r="B52" s="365">
        <f t="shared" si="2"/>
        <v>42</v>
      </c>
      <c r="C52" s="418" t="s">
        <v>2254</v>
      </c>
      <c r="D52" s="42">
        <f>+REPORTS!F943</f>
        <v>6754474.9084089035</v>
      </c>
      <c r="E52" s="2758">
        <f>+D52/$D$60</f>
        <v>0.55947527082796111</v>
      </c>
      <c r="F52" s="838">
        <f>+$F$51*E52</f>
        <v>91094.96646804089</v>
      </c>
      <c r="G52" s="536"/>
    </row>
    <row r="53" spans="2:7">
      <c r="B53" s="365">
        <f t="shared" si="2"/>
        <v>43</v>
      </c>
      <c r="C53" s="418" t="s">
        <v>2255</v>
      </c>
      <c r="D53" s="42">
        <f>+REPORTS!F944</f>
        <v>570339.73520400003</v>
      </c>
      <c r="E53" s="2758">
        <f t="shared" ref="E53:E59" si="5">+D53/$D$60</f>
        <v>4.7241418784450144E-2</v>
      </c>
      <c r="F53" s="838">
        <f t="shared" ref="F53:F59" si="6">+$F$51*E53</f>
        <v>7691.9493755345575</v>
      </c>
      <c r="G53" s="536"/>
    </row>
    <row r="54" spans="2:7">
      <c r="B54" s="365">
        <f t="shared" si="2"/>
        <v>44</v>
      </c>
      <c r="C54" s="418" t="s">
        <v>2246</v>
      </c>
      <c r="D54" s="42">
        <f>+REPORTS!F945</f>
        <v>534187.1509608163</v>
      </c>
      <c r="E54" s="2758">
        <f t="shared" si="5"/>
        <v>4.4246888915754477E-2</v>
      </c>
      <c r="F54" s="838">
        <f t="shared" si="6"/>
        <v>7204.3735840743111</v>
      </c>
      <c r="G54" s="536"/>
    </row>
    <row r="55" spans="2:7">
      <c r="B55" s="365">
        <f t="shared" si="2"/>
        <v>45</v>
      </c>
      <c r="C55" s="418" t="s">
        <v>2247</v>
      </c>
      <c r="D55" s="42">
        <f>+REPORTS!F946</f>
        <v>524998.04585628002</v>
      </c>
      <c r="E55" s="2758">
        <f t="shared" si="5"/>
        <v>4.3485752463737058E-2</v>
      </c>
      <c r="F55" s="838">
        <f t="shared" si="6"/>
        <v>7080.443710513463</v>
      </c>
      <c r="G55" s="536"/>
    </row>
    <row r="56" spans="2:7">
      <c r="B56" s="365">
        <f t="shared" si="2"/>
        <v>46</v>
      </c>
      <c r="C56" s="418" t="s">
        <v>2249</v>
      </c>
      <c r="D56" s="42">
        <f>+REPORTS!F947</f>
        <v>1838573.1984126705</v>
      </c>
      <c r="E56" s="2758">
        <f t="shared" si="5"/>
        <v>0.15228959350169041</v>
      </c>
      <c r="F56" s="838">
        <f t="shared" si="6"/>
        <v>24796.119036571257</v>
      </c>
      <c r="G56" s="536"/>
    </row>
    <row r="57" spans="2:7">
      <c r="B57" s="365">
        <f t="shared" si="2"/>
        <v>47</v>
      </c>
      <c r="C57" s="418" t="s">
        <v>2250</v>
      </c>
      <c r="D57" s="42">
        <f>+REPORTS!F948</f>
        <v>1020055.1022166597</v>
      </c>
      <c r="E57" s="2758">
        <f t="shared" si="5"/>
        <v>8.4491483395937789E-2</v>
      </c>
      <c r="F57" s="838">
        <f t="shared" si="6"/>
        <v>13757.084983215889</v>
      </c>
      <c r="G57" s="536"/>
    </row>
    <row r="58" spans="2:7">
      <c r="B58" s="365">
        <f t="shared" si="2"/>
        <v>48</v>
      </c>
      <c r="C58" s="418" t="s">
        <v>2256</v>
      </c>
      <c r="D58" s="42">
        <f>+REPORTS!F949</f>
        <v>830246.67682678136</v>
      </c>
      <c r="E58" s="2758">
        <f t="shared" si="5"/>
        <v>6.8769592110469069E-2</v>
      </c>
      <c r="F58" s="838">
        <f t="shared" si="6"/>
        <v>11197.212842049608</v>
      </c>
      <c r="G58" s="536"/>
    </row>
    <row r="59" spans="2:7">
      <c r="B59" s="365">
        <f t="shared" si="2"/>
        <v>49</v>
      </c>
      <c r="C59" s="418" t="s">
        <v>2257</v>
      </c>
      <c r="D59" s="42">
        <f>+REPORTS!F950</f>
        <v>0</v>
      </c>
      <c r="E59" s="2758">
        <f t="shared" si="5"/>
        <v>0</v>
      </c>
      <c r="F59" s="838">
        <f t="shared" si="6"/>
        <v>0</v>
      </c>
      <c r="G59" s="536"/>
    </row>
    <row r="60" spans="2:7">
      <c r="B60" s="365">
        <f t="shared" si="2"/>
        <v>50</v>
      </c>
      <c r="C60" s="2663" t="s">
        <v>5088</v>
      </c>
      <c r="D60" s="1057">
        <f>+SUM(D52:D59)</f>
        <v>12072874.81788611</v>
      </c>
      <c r="E60" s="1059">
        <f>+SUM(E52:E59)</f>
        <v>1</v>
      </c>
      <c r="F60" s="2665">
        <f>+SUM(F52:F59)</f>
        <v>162822.15</v>
      </c>
      <c r="G60" s="536"/>
    </row>
    <row r="61" spans="2:7">
      <c r="B61" s="365">
        <f t="shared" si="2"/>
        <v>51</v>
      </c>
      <c r="C61" s="1049"/>
      <c r="D61" s="1296"/>
      <c r="E61" s="1297"/>
      <c r="F61" s="2762"/>
      <c r="G61" s="536"/>
    </row>
    <row r="62" spans="2:7">
      <c r="B62" s="365">
        <f t="shared" si="2"/>
        <v>52</v>
      </c>
      <c r="C62" s="436"/>
      <c r="D62" s="439"/>
      <c r="E62" s="1298"/>
      <c r="F62" s="2763"/>
      <c r="G62" s="536"/>
    </row>
    <row r="63" spans="2:7">
      <c r="B63" s="365">
        <f t="shared" si="2"/>
        <v>53</v>
      </c>
      <c r="C63" s="1005" t="s">
        <v>5089</v>
      </c>
      <c r="D63" s="1021"/>
      <c r="E63" s="1021"/>
      <c r="F63" s="1022"/>
      <c r="G63" s="536"/>
    </row>
    <row r="64" spans="2:7">
      <c r="B64" s="365">
        <f t="shared" si="2"/>
        <v>54</v>
      </c>
      <c r="C64" s="2761" t="s">
        <v>5090</v>
      </c>
      <c r="D64" s="1023" t="s">
        <v>4187</v>
      </c>
      <c r="E64" s="1023" t="s">
        <v>5078</v>
      </c>
      <c r="F64" s="1302" t="s">
        <v>5087</v>
      </c>
      <c r="G64" s="536"/>
    </row>
    <row r="65" spans="2:7" ht="15" thickBot="1">
      <c r="B65" s="365">
        <f t="shared" si="2"/>
        <v>55</v>
      </c>
      <c r="C65" s="328"/>
      <c r="D65" s="328"/>
      <c r="E65" s="60"/>
      <c r="F65" s="1303">
        <f>+G16</f>
        <v>1127765.0553354439</v>
      </c>
      <c r="G65" s="536"/>
    </row>
    <row r="66" spans="2:7" ht="15" thickTop="1">
      <c r="B66" s="365">
        <f t="shared" si="2"/>
        <v>56</v>
      </c>
      <c r="C66" s="328"/>
      <c r="D66" s="328"/>
      <c r="E66" s="328"/>
      <c r="F66" s="1015"/>
      <c r="G66" s="536"/>
    </row>
    <row r="67" spans="2:7">
      <c r="B67" s="365">
        <f t="shared" si="2"/>
        <v>57</v>
      </c>
      <c r="C67" s="418" t="s">
        <v>2254</v>
      </c>
      <c r="D67" s="42">
        <f>+REPORTS!F1439</f>
        <v>7225506.9599943599</v>
      </c>
      <c r="E67" s="1579">
        <f>+D67/$D$75</f>
        <v>0.53279144238762954</v>
      </c>
      <c r="F67" s="838">
        <f>+$F$65*E67</f>
        <v>600863.57050653605</v>
      </c>
      <c r="G67" s="536"/>
    </row>
    <row r="68" spans="2:7">
      <c r="B68" s="365">
        <f t="shared" si="2"/>
        <v>58</v>
      </c>
      <c r="C68" s="418" t="s">
        <v>2255</v>
      </c>
      <c r="D68" s="42">
        <f>+REPORTS!F1440</f>
        <v>680548.35013101739</v>
      </c>
      <c r="E68" s="1579">
        <f t="shared" ref="E68:E74" si="7">+D68/$D$75</f>
        <v>5.0181992639186296E-2</v>
      </c>
      <c r="F68" s="838">
        <f t="shared" ref="F68:F74" si="8">+$F$65*E68</f>
        <v>56593.497705574773</v>
      </c>
      <c r="G68" s="536"/>
    </row>
    <row r="69" spans="2:7">
      <c r="B69" s="365">
        <f t="shared" si="2"/>
        <v>59</v>
      </c>
      <c r="C69" s="418" t="s">
        <v>2246</v>
      </c>
      <c r="D69" s="42">
        <f>+REPORTS!F1441</f>
        <v>570453.0494615928</v>
      </c>
      <c r="E69" s="1579">
        <f t="shared" si="7"/>
        <v>4.2063830914544034E-2</v>
      </c>
      <c r="F69" s="838">
        <f t="shared" si="8"/>
        <v>47438.118598961511</v>
      </c>
      <c r="G69" s="536"/>
    </row>
    <row r="70" spans="2:7">
      <c r="B70" s="365">
        <f t="shared" si="2"/>
        <v>60</v>
      </c>
      <c r="C70" s="418" t="s">
        <v>2247</v>
      </c>
      <c r="D70" s="42">
        <f>+REPORTS!F1442</f>
        <v>594794.14105170744</v>
      </c>
      <c r="E70" s="1579">
        <f t="shared" si="7"/>
        <v>4.3858684254163081E-2</v>
      </c>
      <c r="F70" s="838">
        <f t="shared" si="8"/>
        <v>49462.291474835991</v>
      </c>
      <c r="G70" s="536"/>
    </row>
    <row r="71" spans="2:7">
      <c r="B71" s="365">
        <f t="shared" si="2"/>
        <v>61</v>
      </c>
      <c r="C71" s="418" t="s">
        <v>2249</v>
      </c>
      <c r="D71" s="42">
        <f>+REPORTS!F1443</f>
        <v>2159330.6161561045</v>
      </c>
      <c r="E71" s="1579">
        <f t="shared" si="7"/>
        <v>0.15922382746891409</v>
      </c>
      <c r="F71" s="838">
        <f t="shared" si="8"/>
        <v>179567.06859620108</v>
      </c>
      <c r="G71" s="536"/>
    </row>
    <row r="72" spans="2:7">
      <c r="B72" s="365">
        <f t="shared" si="2"/>
        <v>62</v>
      </c>
      <c r="C72" s="418" t="s">
        <v>2250</v>
      </c>
      <c r="D72" s="42">
        <f>+REPORTS!F1444</f>
        <v>1074798.1721466575</v>
      </c>
      <c r="E72" s="1579">
        <f t="shared" si="7"/>
        <v>7.9253022879110541E-2</v>
      </c>
      <c r="F72" s="838">
        <f t="shared" si="8"/>
        <v>89378.789732761303</v>
      </c>
      <c r="G72" s="536"/>
    </row>
    <row r="73" spans="2:7">
      <c r="B73" s="365">
        <f t="shared" si="2"/>
        <v>63</v>
      </c>
      <c r="C73" s="418" t="s">
        <v>2256</v>
      </c>
      <c r="D73" s="42">
        <f>+REPORTS!F1445</f>
        <v>1011029.5953512132</v>
      </c>
      <c r="E73" s="1579">
        <f t="shared" si="7"/>
        <v>7.4550881950043113E-2</v>
      </c>
      <c r="F73" s="838">
        <f t="shared" si="8"/>
        <v>84075.879507696518</v>
      </c>
      <c r="G73" s="536"/>
    </row>
    <row r="74" spans="2:7">
      <c r="B74" s="365">
        <f t="shared" si="2"/>
        <v>64</v>
      </c>
      <c r="C74" s="418" t="s">
        <v>2257</v>
      </c>
      <c r="D74" s="42">
        <f>+REPORTS!F1446</f>
        <v>245143.87349825987</v>
      </c>
      <c r="E74" s="1579">
        <f t="shared" si="7"/>
        <v>1.8076317506409326E-2</v>
      </c>
      <c r="F74" s="838">
        <f t="shared" si="8"/>
        <v>20385.839212876766</v>
      </c>
      <c r="G74" s="536"/>
    </row>
    <row r="75" spans="2:7">
      <c r="B75" s="365">
        <f t="shared" si="2"/>
        <v>65</v>
      </c>
      <c r="C75" s="2663" t="s">
        <v>5066</v>
      </c>
      <c r="D75" s="1057">
        <f>+SUM(D67:D74)</f>
        <v>13561604.757790912</v>
      </c>
      <c r="E75" s="1059">
        <f>+SUM(E67:E74)</f>
        <v>1</v>
      </c>
      <c r="F75" s="2665">
        <f>+SUM(F67:F74)</f>
        <v>1127765.0553354439</v>
      </c>
      <c r="G75" s="536"/>
    </row>
    <row r="76" spans="2:7">
      <c r="B76" s="365">
        <f t="shared" si="2"/>
        <v>66</v>
      </c>
      <c r="C76" s="328"/>
      <c r="D76" s="328"/>
      <c r="E76" s="328"/>
      <c r="F76" s="536"/>
      <c r="G76" s="536"/>
    </row>
    <row r="77" spans="2:7">
      <c r="B77" s="365">
        <f t="shared" si="2"/>
        <v>67</v>
      </c>
      <c r="C77" s="1005" t="s">
        <v>5091</v>
      </c>
      <c r="D77" s="1021"/>
      <c r="E77" s="1021"/>
      <c r="F77" s="1022"/>
      <c r="G77" s="536"/>
    </row>
    <row r="78" spans="2:7">
      <c r="B78" s="365">
        <f t="shared" si="2"/>
        <v>68</v>
      </c>
      <c r="C78" s="2761" t="s">
        <v>5092</v>
      </c>
      <c r="D78" s="1023" t="s">
        <v>4187</v>
      </c>
      <c r="E78" s="1023" t="s">
        <v>5078</v>
      </c>
      <c r="F78" s="1302" t="s">
        <v>5087</v>
      </c>
      <c r="G78" s="536"/>
    </row>
    <row r="79" spans="2:7" ht="15" thickBot="1">
      <c r="B79" s="365">
        <f t="shared" si="2"/>
        <v>69</v>
      </c>
      <c r="C79" s="328"/>
      <c r="D79" s="328"/>
      <c r="E79" s="60"/>
      <c r="F79" s="1303">
        <f>+G18</f>
        <v>720578.3399641061</v>
      </c>
      <c r="G79" s="536"/>
    </row>
    <row r="80" spans="2:7" ht="15" thickTop="1">
      <c r="B80" s="365">
        <f t="shared" si="2"/>
        <v>70</v>
      </c>
      <c r="C80" s="328"/>
      <c r="D80" s="328"/>
      <c r="E80" s="328"/>
      <c r="F80" s="1015"/>
      <c r="G80" s="536"/>
    </row>
    <row r="81" spans="2:7">
      <c r="B81" s="365">
        <f t="shared" si="2"/>
        <v>71</v>
      </c>
      <c r="C81" s="418" t="s">
        <v>2254</v>
      </c>
      <c r="D81" s="42">
        <f>+REPORTS!F1439</f>
        <v>7225506.9599943599</v>
      </c>
      <c r="E81" s="2758">
        <f>+D81/$D$89</f>
        <v>0.53279144238762954</v>
      </c>
      <c r="F81" s="838">
        <f>+$F$79*E81</f>
        <v>383917.97310275974</v>
      </c>
      <c r="G81" s="536"/>
    </row>
    <row r="82" spans="2:7">
      <c r="B82" s="365">
        <f t="shared" si="2"/>
        <v>72</v>
      </c>
      <c r="C82" s="418" t="s">
        <v>2255</v>
      </c>
      <c r="D82" s="42">
        <f>+REPORTS!F1440</f>
        <v>680548.35013101739</v>
      </c>
      <c r="E82" s="2758">
        <f t="shared" ref="E82:E88" si="9">+D82/$D$89</f>
        <v>5.0181992639186296E-2</v>
      </c>
      <c r="F82" s="838">
        <f t="shared" ref="F82:F88" si="10">+$F$79*E82</f>
        <v>36160.056952035855</v>
      </c>
      <c r="G82" s="536"/>
    </row>
    <row r="83" spans="2:7">
      <c r="B83" s="365">
        <f t="shared" si="2"/>
        <v>73</v>
      </c>
      <c r="C83" s="418" t="s">
        <v>2246</v>
      </c>
      <c r="D83" s="42">
        <f>+REPORTS!F1441</f>
        <v>570453.0494615928</v>
      </c>
      <c r="E83" s="2758">
        <f t="shared" si="9"/>
        <v>4.2063830914544034E-2</v>
      </c>
      <c r="F83" s="838">
        <f t="shared" si="10"/>
        <v>30310.285452932985</v>
      </c>
      <c r="G83" s="536"/>
    </row>
    <row r="84" spans="2:7">
      <c r="B84" s="365">
        <f t="shared" si="2"/>
        <v>74</v>
      </c>
      <c r="C84" s="418" t="s">
        <v>2247</v>
      </c>
      <c r="D84" s="42">
        <f>+REPORTS!F1442</f>
        <v>594794.14105170744</v>
      </c>
      <c r="E84" s="2758">
        <f t="shared" si="9"/>
        <v>4.3858684254163081E-2</v>
      </c>
      <c r="F84" s="838">
        <f t="shared" si="10"/>
        <v>31603.61789287471</v>
      </c>
      <c r="G84" s="536"/>
    </row>
    <row r="85" spans="2:7">
      <c r="B85" s="365">
        <f t="shared" si="2"/>
        <v>75</v>
      </c>
      <c r="C85" s="418" t="s">
        <v>2249</v>
      </c>
      <c r="D85" s="42">
        <f>+REPORTS!F1443</f>
        <v>2159330.6161561045</v>
      </c>
      <c r="E85" s="2758">
        <f t="shared" si="9"/>
        <v>0.15922382746891409</v>
      </c>
      <c r="F85" s="838">
        <f t="shared" si="10"/>
        <v>114733.24128028135</v>
      </c>
      <c r="G85" s="536"/>
    </row>
    <row r="86" spans="2:7">
      <c r="B86" s="365">
        <f t="shared" si="2"/>
        <v>76</v>
      </c>
      <c r="C86" s="418" t="s">
        <v>2250</v>
      </c>
      <c r="D86" s="42">
        <f>+REPORTS!F1444</f>
        <v>1074798.1721466575</v>
      </c>
      <c r="E86" s="2758">
        <f t="shared" si="9"/>
        <v>7.9253022879110541E-2</v>
      </c>
      <c r="F86" s="838">
        <f t="shared" si="10"/>
        <v>57108.011663366793</v>
      </c>
      <c r="G86" s="536"/>
    </row>
    <row r="87" spans="2:7">
      <c r="B87" s="365">
        <f t="shared" si="2"/>
        <v>77</v>
      </c>
      <c r="C87" s="418" t="s">
        <v>2256</v>
      </c>
      <c r="D87" s="42">
        <f>+REPORTS!F1445</f>
        <v>1011029.5953512132</v>
      </c>
      <c r="E87" s="2758">
        <f t="shared" si="9"/>
        <v>7.4550881950043113E-2</v>
      </c>
      <c r="F87" s="838">
        <f t="shared" si="10"/>
        <v>53719.750758422109</v>
      </c>
      <c r="G87" s="536"/>
    </row>
    <row r="88" spans="2:7">
      <c r="B88" s="365">
        <f t="shared" si="2"/>
        <v>78</v>
      </c>
      <c r="C88" s="418" t="s">
        <v>2257</v>
      </c>
      <c r="D88" s="42">
        <f>+REPORTS!F1446</f>
        <v>245143.87349825987</v>
      </c>
      <c r="E88" s="2758">
        <f t="shared" si="9"/>
        <v>1.8076317506409326E-2</v>
      </c>
      <c r="F88" s="838">
        <f t="shared" si="10"/>
        <v>13025.402861432542</v>
      </c>
      <c r="G88" s="536"/>
    </row>
    <row r="89" spans="2:7">
      <c r="B89" s="365">
        <f t="shared" si="2"/>
        <v>79</v>
      </c>
      <c r="C89" s="2663" t="s">
        <v>5093</v>
      </c>
      <c r="D89" s="1057">
        <f>+SUM(D81:D88)</f>
        <v>13561604.757790912</v>
      </c>
      <c r="E89" s="1059">
        <f>+SUM(E81:E88)</f>
        <v>1</v>
      </c>
      <c r="F89" s="2665">
        <f>+SUM(F81:F88)</f>
        <v>720578.3399641061</v>
      </c>
      <c r="G89" s="536"/>
    </row>
    <row r="90" spans="2:7">
      <c r="B90" s="365">
        <f t="shared" si="2"/>
        <v>80</v>
      </c>
      <c r="C90" s="328"/>
      <c r="D90" s="328"/>
      <c r="E90" s="328"/>
      <c r="F90" s="536"/>
      <c r="G90" s="536"/>
    </row>
    <row r="91" spans="2:7">
      <c r="B91" s="365">
        <f t="shared" si="2"/>
        <v>81</v>
      </c>
      <c r="C91" s="1005" t="s">
        <v>5094</v>
      </c>
      <c r="D91" s="1021"/>
      <c r="E91" s="1021"/>
      <c r="F91" s="1022"/>
      <c r="G91" s="536"/>
    </row>
    <row r="92" spans="2:7">
      <c r="B92" s="365">
        <f t="shared" si="2"/>
        <v>82</v>
      </c>
      <c r="C92" s="2761" t="s">
        <v>5095</v>
      </c>
      <c r="D92" s="1023"/>
      <c r="E92" s="1023"/>
      <c r="F92" s="1302" t="s">
        <v>115</v>
      </c>
      <c r="G92" s="536"/>
    </row>
    <row r="93" spans="2:7">
      <c r="B93" s="365">
        <f t="shared" si="2"/>
        <v>83</v>
      </c>
      <c r="C93" s="418" t="s">
        <v>2254</v>
      </c>
      <c r="D93" s="328"/>
      <c r="E93" s="328"/>
      <c r="F93" s="838">
        <f>+F32+F52+F67-F81</f>
        <v>31162.773017915024</v>
      </c>
      <c r="G93" s="536"/>
    </row>
    <row r="94" spans="2:7">
      <c r="B94" s="365">
        <f t="shared" si="2"/>
        <v>84</v>
      </c>
      <c r="C94" s="418" t="s">
        <v>2255</v>
      </c>
      <c r="D94" s="328"/>
      <c r="E94" s="328"/>
      <c r="F94" s="838">
        <f>+F33+F45+F53+F68-F82</f>
        <v>38681.936109600938</v>
      </c>
      <c r="G94" s="536"/>
    </row>
    <row r="95" spans="2:7">
      <c r="B95" s="365">
        <f t="shared" si="2"/>
        <v>85</v>
      </c>
      <c r="C95" s="418" t="s">
        <v>2246</v>
      </c>
      <c r="D95" s="328"/>
      <c r="E95" s="2684"/>
      <c r="F95" s="838">
        <f t="shared" ref="F95:F100" si="11">+F34+F54+F69-F83</f>
        <v>2472.7329249705654</v>
      </c>
      <c r="G95" s="536"/>
    </row>
    <row r="96" spans="2:7">
      <c r="B96" s="365">
        <f t="shared" ref="B96:B101" si="12">+B95+1</f>
        <v>86</v>
      </c>
      <c r="C96" s="418" t="s">
        <v>2247</v>
      </c>
      <c r="D96" s="328"/>
      <c r="E96" s="2684"/>
      <c r="F96" s="838">
        <f t="shared" si="11"/>
        <v>2146.9051059723861</v>
      </c>
      <c r="G96" s="536"/>
    </row>
    <row r="97" spans="2:7">
      <c r="B97" s="365">
        <f t="shared" si="12"/>
        <v>87</v>
      </c>
      <c r="C97" s="418" t="s">
        <v>2249</v>
      </c>
      <c r="D97" s="328"/>
      <c r="E97" s="2684"/>
      <c r="F97" s="838">
        <f t="shared" si="11"/>
        <v>6885.4837099742872</v>
      </c>
      <c r="G97" s="536"/>
    </row>
    <row r="98" spans="2:7">
      <c r="B98" s="365">
        <f t="shared" si="12"/>
        <v>88</v>
      </c>
      <c r="C98" s="418" t="s">
        <v>2250</v>
      </c>
      <c r="D98" s="328"/>
      <c r="E98" s="2684"/>
      <c r="F98" s="838">
        <f t="shared" si="11"/>
        <v>4842.1379311151395</v>
      </c>
      <c r="G98" s="536"/>
    </row>
    <row r="99" spans="2:7">
      <c r="B99" s="365">
        <f t="shared" si="12"/>
        <v>89</v>
      </c>
      <c r="C99" s="418" t="s">
        <v>2256</v>
      </c>
      <c r="D99" s="328"/>
      <c r="E99" s="2684"/>
      <c r="F99" s="838">
        <f t="shared" si="11"/>
        <v>2811.1962444766759</v>
      </c>
      <c r="G99" s="536"/>
    </row>
    <row r="100" spans="2:7">
      <c r="B100" s="365">
        <f t="shared" si="12"/>
        <v>90</v>
      </c>
      <c r="C100" s="418" t="s">
        <v>2257</v>
      </c>
      <c r="D100" s="328"/>
      <c r="E100" s="328"/>
      <c r="F100" s="838">
        <f t="shared" si="11"/>
        <v>-2033.3535253590526</v>
      </c>
      <c r="G100" s="536"/>
    </row>
    <row r="101" spans="2:7" ht="15" thickBot="1">
      <c r="B101" s="365">
        <f t="shared" si="12"/>
        <v>91</v>
      </c>
      <c r="C101" s="1027" t="s">
        <v>5095</v>
      </c>
      <c r="D101" s="695"/>
      <c r="E101" s="1299"/>
      <c r="F101" s="1029">
        <f>+SUM(F93:F100)</f>
        <v>86969.811518665971</v>
      </c>
      <c r="G101" s="536"/>
    </row>
    <row r="102" spans="2:7" ht="15" thickTop="1">
      <c r="B102" s="462"/>
      <c r="C102" s="546"/>
      <c r="D102" s="546"/>
      <c r="E102" s="546"/>
      <c r="F102" s="547"/>
      <c r="G102" s="785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/>
  <dimension ref="B1:J102"/>
  <sheetViews>
    <sheetView tabSelected="1" showOutlineSymbols="0" workbookViewId="0"/>
  </sheetViews>
  <sheetFormatPr defaultRowHeight="14.4"/>
  <cols>
    <col min="3" max="3" width="30" customWidth="1"/>
    <col min="4" max="4" width="17.44140625" bestFit="1" customWidth="1"/>
    <col min="5" max="5" width="16" bestFit="1" customWidth="1"/>
    <col min="6" max="6" width="19" bestFit="1" customWidth="1"/>
    <col min="7" max="7" width="12" bestFit="1" customWidth="1"/>
    <col min="9" max="10" width="16.6640625" customWidth="1"/>
  </cols>
  <sheetData>
    <row r="1" spans="2:10">
      <c r="C1" s="2107" t="s">
        <v>116</v>
      </c>
    </row>
    <row r="3" spans="2:10">
      <c r="B3" s="962" t="s">
        <v>2173</v>
      </c>
      <c r="C3" s="957"/>
      <c r="D3" s="957"/>
      <c r="E3" s="957"/>
      <c r="F3" s="957"/>
      <c r="G3" s="963"/>
      <c r="I3" t="s">
        <v>8413</v>
      </c>
    </row>
    <row r="4" spans="2:10">
      <c r="B4" s="353" t="s">
        <v>5053</v>
      </c>
      <c r="G4" s="296"/>
      <c r="I4" t="s">
        <v>8485</v>
      </c>
      <c r="J4" s="2394">
        <f>+'Surv Report Sched 2 pg 1'!R49/1000</f>
        <v>86969.812999999995</v>
      </c>
    </row>
    <row r="5" spans="2:10">
      <c r="B5" s="2552" t="s">
        <v>9263</v>
      </c>
      <c r="C5" s="1962"/>
      <c r="D5" s="1962"/>
      <c r="E5" s="2262"/>
      <c r="F5" s="2262"/>
      <c r="G5" s="2649"/>
      <c r="I5" t="s">
        <v>8486</v>
      </c>
      <c r="J5" s="2517">
        <f>+E19</f>
        <v>606832.55767903023</v>
      </c>
    </row>
    <row r="6" spans="2:10">
      <c r="B6" s="357"/>
      <c r="C6" s="297"/>
      <c r="D6" s="297"/>
      <c r="G6" s="298"/>
      <c r="J6" s="516">
        <f>+J4-J5</f>
        <v>-519862.74467903026</v>
      </c>
    </row>
    <row r="7" spans="2:10">
      <c r="B7" s="616"/>
      <c r="C7" s="1005" t="s">
        <v>5054</v>
      </c>
      <c r="D7" s="1021"/>
      <c r="E7" s="1021"/>
      <c r="F7" s="1021"/>
      <c r="G7" s="1022"/>
      <c r="I7" t="s">
        <v>8487</v>
      </c>
      <c r="J7" s="2394">
        <f>-E27</f>
        <v>519673.8701603642</v>
      </c>
    </row>
    <row r="8" spans="2:10">
      <c r="B8" s="522" t="s">
        <v>2182</v>
      </c>
      <c r="C8" s="514" t="s">
        <v>1918</v>
      </c>
      <c r="D8" s="77" t="s">
        <v>5055</v>
      </c>
      <c r="E8" s="77" t="s">
        <v>5056</v>
      </c>
      <c r="F8" s="77" t="s">
        <v>5057</v>
      </c>
      <c r="G8" s="364" t="s">
        <v>5058</v>
      </c>
      <c r="I8" s="297" t="s">
        <v>9430</v>
      </c>
      <c r="J8" s="2517">
        <f>+-'Surv Report Sched 2 pg 1'!R27/1000</f>
        <v>188.876</v>
      </c>
    </row>
    <row r="9" spans="2:10">
      <c r="B9" s="354" t="s">
        <v>2175</v>
      </c>
      <c r="C9" s="2750" t="s">
        <v>2176</v>
      </c>
      <c r="D9" s="2750" t="s">
        <v>2177</v>
      </c>
      <c r="E9" s="2750" t="s">
        <v>2178</v>
      </c>
      <c r="F9" s="2750" t="s">
        <v>2179</v>
      </c>
      <c r="G9" s="2751" t="s">
        <v>2625</v>
      </c>
      <c r="J9" s="2521">
        <f>+SUM(J6:J8)</f>
        <v>1.4813339328441089E-3</v>
      </c>
    </row>
    <row r="10" spans="2:10">
      <c r="B10" s="365">
        <v>1</v>
      </c>
      <c r="C10" s="328" t="s">
        <v>5059</v>
      </c>
      <c r="D10" s="548">
        <v>131</v>
      </c>
      <c r="E10" s="1011">
        <v>0</v>
      </c>
      <c r="F10" s="2752">
        <v>0</v>
      </c>
      <c r="G10" s="838">
        <f>+SUM(E10:F10)</f>
        <v>0</v>
      </c>
    </row>
    <row r="11" spans="2:10">
      <c r="B11" s="365">
        <v>2</v>
      </c>
      <c r="C11" s="328" t="s">
        <v>5060</v>
      </c>
      <c r="D11" s="548">
        <v>136</v>
      </c>
      <c r="E11" s="1011">
        <f>+SUMIFS('100s and 200s FERC Accounts'!E:E,'100s and 200s FERC Accounts'!B:B,'0 MDS Working Capital'!D11)/1000</f>
        <v>0</v>
      </c>
      <c r="F11" s="2752">
        <v>0</v>
      </c>
      <c r="G11" s="838">
        <f t="shared" ref="G11:G17" si="0">+SUM(E11:F11)</f>
        <v>0</v>
      </c>
    </row>
    <row r="12" spans="2:10">
      <c r="B12" s="365">
        <v>3</v>
      </c>
      <c r="C12" s="328" t="s">
        <v>5061</v>
      </c>
      <c r="D12" s="548">
        <v>151</v>
      </c>
      <c r="E12" s="1011">
        <f>+SUMIFS('100s and 200s FERC Accounts'!E:E,'100s and 200s FERC Accounts'!B:B,'0 MDS Working Capital'!D12)/1000</f>
        <v>36823.692307692305</v>
      </c>
      <c r="F12" s="837">
        <f>+'Surv Report Sched 2 pg 3'!D26/1000</f>
        <v>-188.876</v>
      </c>
      <c r="G12" s="838">
        <f t="shared" si="0"/>
        <v>36634.816307692308</v>
      </c>
    </row>
    <row r="13" spans="2:10">
      <c r="B13" s="365">
        <v>4</v>
      </c>
      <c r="C13" s="328" t="s">
        <v>5062</v>
      </c>
      <c r="D13" s="548">
        <v>152</v>
      </c>
      <c r="E13" s="1011">
        <f>+SUMIFS('100s and 200s FERC Accounts'!E:E,'100s and 200s FERC Accounts'!B:B,'0 MDS Working Capital'!D13)/1000</f>
        <v>0</v>
      </c>
      <c r="F13" s="2752">
        <v>0</v>
      </c>
      <c r="G13" s="838">
        <f t="shared" si="0"/>
        <v>0</v>
      </c>
    </row>
    <row r="14" spans="2:10">
      <c r="B14" s="365">
        <v>5</v>
      </c>
      <c r="C14" s="328" t="s">
        <v>5063</v>
      </c>
      <c r="D14" s="548">
        <v>154</v>
      </c>
      <c r="E14" s="1011">
        <f>+SUMIFS('100s and 200s FERC Accounts'!E:E,'100s and 200s FERC Accounts'!B:B,'0 MDS Working Capital'!D14)/1000</f>
        <v>162822.14999999997</v>
      </c>
      <c r="F14" s="2752">
        <v>0</v>
      </c>
      <c r="G14" s="838">
        <f t="shared" si="0"/>
        <v>162822.14999999997</v>
      </c>
    </row>
    <row r="15" spans="2:10">
      <c r="B15" s="365">
        <v>6</v>
      </c>
      <c r="C15" s="328" t="s">
        <v>5064</v>
      </c>
      <c r="D15" s="548">
        <v>163</v>
      </c>
      <c r="E15" s="1011">
        <f>+SUMIFS('100s and 200s FERC Accounts'!E:E,'100s and 200s FERC Accounts'!B:B,'0 MDS Working Capital'!D15)/1000</f>
        <v>0</v>
      </c>
      <c r="F15" s="2752">
        <v>0</v>
      </c>
      <c r="G15" s="838">
        <f t="shared" si="0"/>
        <v>0</v>
      </c>
    </row>
    <row r="16" spans="2:10">
      <c r="B16" s="365">
        <v>7</v>
      </c>
      <c r="C16" s="2753" t="s">
        <v>5065</v>
      </c>
      <c r="D16" s="798"/>
      <c r="E16" s="839">
        <f>((+SUMIFS('Working Capital Transpose'!D:D,'Working Capital Transpose'!C:C,"Total Current Assets")+SUMIFS('Working Capital Transpose'!D:D,'Working Capital Transpose'!C:C,"Total Deferred Debits"))/1000)-SUM(E10:E15)</f>
        <v>1127765.0553354439</v>
      </c>
      <c r="F16" s="839">
        <v>0</v>
      </c>
      <c r="G16" s="840">
        <f t="shared" si="0"/>
        <v>1127765.0553354439</v>
      </c>
    </row>
    <row r="17" spans="2:7">
      <c r="B17" s="365">
        <v>8</v>
      </c>
      <c r="C17" s="328" t="s">
        <v>5066</v>
      </c>
      <c r="D17" s="290" t="s">
        <v>5067</v>
      </c>
      <c r="E17" s="837">
        <f>+SUM(E10:E16)</f>
        <v>1327410.8976431363</v>
      </c>
      <c r="F17" s="837">
        <f>+SUM(F10:F16)</f>
        <v>-188.876</v>
      </c>
      <c r="G17" s="838">
        <f t="shared" si="0"/>
        <v>1327222.0216431364</v>
      </c>
    </row>
    <row r="18" spans="2:7">
      <c r="B18" s="365">
        <v>9</v>
      </c>
      <c r="C18" s="2754" t="s">
        <v>5068</v>
      </c>
      <c r="D18" s="797"/>
      <c r="E18" s="837">
        <f>((+SUMIFS('Working Capital Transpose'!D:D,'Working Capital Transpose'!C:C,"Total Current Liabilities")+SUMIFS('Working Capital Transpose'!D:D,'Working Capital Transpose'!C:C,"Total Deferred Credits &amp; Oper. Res."))/1000)</f>
        <v>720578.3399641061</v>
      </c>
      <c r="F18" s="837"/>
      <c r="G18" s="838">
        <f>+E18</f>
        <v>720578.3399641061</v>
      </c>
    </row>
    <row r="19" spans="2:7">
      <c r="B19" s="365">
        <v>10</v>
      </c>
      <c r="C19" s="2755" t="s">
        <v>5069</v>
      </c>
      <c r="D19" s="1023" t="s">
        <v>5070</v>
      </c>
      <c r="E19" s="1304">
        <f>+E17-E18</f>
        <v>606832.55767903023</v>
      </c>
      <c r="F19" s="1304"/>
      <c r="G19" s="1300">
        <f>+E19</f>
        <v>606832.55767903023</v>
      </c>
    </row>
    <row r="20" spans="2:7">
      <c r="B20" s="365">
        <f>+B19+1</f>
        <v>11</v>
      </c>
      <c r="C20" s="293" t="s">
        <v>8373</v>
      </c>
      <c r="D20" s="60"/>
      <c r="E20" s="837">
        <f>+SUMIFS('Working Capital Transpose'!E:E,'Working Capital Transpose'!C:C,"Working Capital")/1000</f>
        <v>-532747.01350130839</v>
      </c>
      <c r="F20" s="766"/>
      <c r="G20" s="1588"/>
    </row>
    <row r="21" spans="2:7">
      <c r="B21" s="365">
        <f t="shared" ref="B21:B28" si="1">+B20+1</f>
        <v>12</v>
      </c>
      <c r="C21" s="96" t="s">
        <v>5071</v>
      </c>
      <c r="D21" s="328"/>
      <c r="E21" s="837">
        <f>+SUMIFS('Working Capital Transpose'!F:F,'Working Capital Transpose'!C:C,"Working Capital")/1000</f>
        <v>-1000</v>
      </c>
      <c r="F21" s="837"/>
      <c r="G21" s="838"/>
    </row>
    <row r="22" spans="2:7">
      <c r="B22" s="365">
        <f t="shared" si="1"/>
        <v>13</v>
      </c>
      <c r="C22" s="96" t="s">
        <v>5072</v>
      </c>
      <c r="D22" s="328"/>
      <c r="E22" s="837">
        <f>+SUMIFS('Working Capital Transpose'!G:G,'Working Capital Transpose'!C:C,"Working Capital")/1000</f>
        <v>-17272.815748461544</v>
      </c>
      <c r="F22" s="837"/>
      <c r="G22" s="838"/>
    </row>
    <row r="23" spans="2:7">
      <c r="B23" s="365">
        <f t="shared" si="1"/>
        <v>14</v>
      </c>
      <c r="C23" s="96" t="s">
        <v>8374</v>
      </c>
      <c r="D23" s="328"/>
      <c r="E23" s="837">
        <f>+SUMIFS('Working Capital Transpose'!H:H,'Working Capital Transpose'!C:C,"Working Capital")/1000</f>
        <v>33124.850294533928</v>
      </c>
      <c r="F23" s="837"/>
      <c r="G23" s="838"/>
    </row>
    <row r="24" spans="2:7">
      <c r="B24" s="365">
        <f t="shared" si="1"/>
        <v>15</v>
      </c>
      <c r="C24" s="96" t="s">
        <v>5073</v>
      </c>
      <c r="D24" s="328"/>
      <c r="E24" s="837">
        <f>+SUMIFS('Working Capital Transpose'!I:I,'Working Capital Transpose'!C:C,"Working Capital")/1000</f>
        <v>0</v>
      </c>
      <c r="F24" s="837"/>
      <c r="G24" s="838"/>
    </row>
    <row r="25" spans="2:7">
      <c r="B25" s="365">
        <f t="shared" si="1"/>
        <v>16</v>
      </c>
      <c r="C25" s="96" t="s">
        <v>8375</v>
      </c>
      <c r="D25" s="328"/>
      <c r="E25" s="837">
        <f>+SUMIFS('Working Capital Transpose'!J:J,'Working Capital Transpose'!C:C,"Working Capital")/1000</f>
        <v>-1778.891205128238</v>
      </c>
      <c r="F25" s="837"/>
      <c r="G25" s="838"/>
    </row>
    <row r="26" spans="2:7">
      <c r="B26" s="365">
        <f t="shared" si="1"/>
        <v>17</v>
      </c>
      <c r="C26" s="96" t="s">
        <v>8376</v>
      </c>
      <c r="D26" s="328"/>
      <c r="E26" s="839">
        <f>+SUMIFS('Working Capital Transpose'!K:K,'Working Capital Transpose'!C:C,"Working Capital")/1000</f>
        <v>0</v>
      </c>
      <c r="F26" s="837"/>
      <c r="G26" s="838"/>
    </row>
    <row r="27" spans="2:7">
      <c r="B27" s="365">
        <f t="shared" si="1"/>
        <v>18</v>
      </c>
      <c r="C27" s="385" t="s">
        <v>5074</v>
      </c>
      <c r="D27" s="797"/>
      <c r="E27" s="837">
        <f>+SUM(E20:E26)</f>
        <v>-519673.8701603642</v>
      </c>
      <c r="F27" s="837"/>
      <c r="G27" s="838">
        <f>+E27</f>
        <v>-519673.8701603642</v>
      </c>
    </row>
    <row r="28" spans="2:7" ht="15" thickBot="1">
      <c r="B28" s="365">
        <f t="shared" si="1"/>
        <v>19</v>
      </c>
      <c r="C28" s="2418" t="s">
        <v>5075</v>
      </c>
      <c r="D28" s="407" t="s">
        <v>5076</v>
      </c>
      <c r="E28" s="446">
        <f>+E19+E27</f>
        <v>87158.687518666033</v>
      </c>
      <c r="F28" s="446">
        <f>+F17+F26</f>
        <v>-188.876</v>
      </c>
      <c r="G28" s="447">
        <f>+G19+G27</f>
        <v>87158.687518666033</v>
      </c>
    </row>
    <row r="29" spans="2:7" ht="15" thickTop="1">
      <c r="B29" s="365"/>
      <c r="C29" s="2754"/>
      <c r="D29" s="797"/>
      <c r="E29" s="837"/>
      <c r="F29" s="837"/>
      <c r="G29" s="1301"/>
    </row>
    <row r="30" spans="2:7">
      <c r="B30" s="365">
        <f>+B28+1</f>
        <v>20</v>
      </c>
      <c r="C30" s="2756" t="s">
        <v>5077</v>
      </c>
      <c r="D30" s="2757"/>
      <c r="E30" s="2757"/>
      <c r="F30" s="328"/>
      <c r="G30" s="536"/>
    </row>
    <row r="31" spans="2:7">
      <c r="B31" s="365">
        <f>+B30+1</f>
        <v>21</v>
      </c>
      <c r="C31" s="1021"/>
      <c r="D31" s="1023" t="s">
        <v>4187</v>
      </c>
      <c r="E31" s="1023" t="s">
        <v>5078</v>
      </c>
      <c r="F31" s="1023" t="s">
        <v>5079</v>
      </c>
      <c r="G31" s="536"/>
    </row>
    <row r="32" spans="2:7">
      <c r="B32" s="365">
        <f t="shared" ref="B32:B95" si="2">+B31+1</f>
        <v>22</v>
      </c>
      <c r="C32" s="418" t="s">
        <v>2254</v>
      </c>
      <c r="D32" s="42">
        <f>+'0 MDS REPORTS'!F1439</f>
        <v>7225506.9599943599</v>
      </c>
      <c r="E32" s="2758">
        <f>+D32/$D$40</f>
        <v>0.53279144238762954</v>
      </c>
      <c r="F32" s="795">
        <f>+$E$27*E32</f>
        <v>-276877.79085390217</v>
      </c>
      <c r="G32" s="536"/>
    </row>
    <row r="33" spans="2:7">
      <c r="B33" s="365">
        <f t="shared" si="2"/>
        <v>23</v>
      </c>
      <c r="C33" s="418" t="s">
        <v>2255</v>
      </c>
      <c r="D33" s="42">
        <f>+'0 MDS REPORTS'!F1440</f>
        <v>680548.35013101739</v>
      </c>
      <c r="E33" s="2758">
        <f t="shared" ref="E33:E39" si="3">+D33/$D$40</f>
        <v>5.0181992639186296E-2</v>
      </c>
      <c r="F33" s="795">
        <f t="shared" ref="F33:F39" si="4">+$E$27*E33</f>
        <v>-26078.27032716485</v>
      </c>
      <c r="G33" s="536"/>
    </row>
    <row r="34" spans="2:7">
      <c r="B34" s="365">
        <f t="shared" si="2"/>
        <v>24</v>
      </c>
      <c r="C34" s="418" t="s">
        <v>2246</v>
      </c>
      <c r="D34" s="42">
        <f>+'0 MDS REPORTS'!F1441</f>
        <v>570453.0494615928</v>
      </c>
      <c r="E34" s="2758">
        <f t="shared" si="3"/>
        <v>4.2063830914544034E-2</v>
      </c>
      <c r="F34" s="795">
        <f t="shared" si="4"/>
        <v>-21859.473805132271</v>
      </c>
      <c r="G34" s="536"/>
    </row>
    <row r="35" spans="2:7">
      <c r="B35" s="365">
        <f t="shared" si="2"/>
        <v>25</v>
      </c>
      <c r="C35" s="418" t="s">
        <v>2247</v>
      </c>
      <c r="D35" s="42">
        <f>+'0 MDS REPORTS'!F1442</f>
        <v>594794.14105170744</v>
      </c>
      <c r="E35" s="2758">
        <f t="shared" si="3"/>
        <v>4.3858684254163081E-2</v>
      </c>
      <c r="F35" s="795">
        <f t="shared" si="4"/>
        <v>-22792.212186502355</v>
      </c>
      <c r="G35" s="536"/>
    </row>
    <row r="36" spans="2:7">
      <c r="B36" s="365">
        <f t="shared" si="2"/>
        <v>26</v>
      </c>
      <c r="C36" s="418" t="s">
        <v>2249</v>
      </c>
      <c r="D36" s="42">
        <f>+'0 MDS REPORTS'!F1443</f>
        <v>2159330.6162942359</v>
      </c>
      <c r="E36" s="2758">
        <f t="shared" si="3"/>
        <v>0.15922382747909955</v>
      </c>
      <c r="F36" s="795">
        <f t="shared" si="4"/>
        <v>-82744.462647809807</v>
      </c>
      <c r="G36" s="536"/>
    </row>
    <row r="37" spans="2:7">
      <c r="B37" s="365">
        <f t="shared" si="2"/>
        <v>27</v>
      </c>
      <c r="C37" s="418" t="s">
        <v>2250</v>
      </c>
      <c r="D37" s="42">
        <f>+'0 MDS REPORTS'!F1444</f>
        <v>1074798.1722257815</v>
      </c>
      <c r="E37" s="2758">
        <f t="shared" si="3"/>
        <v>7.9253022884944957E-2</v>
      </c>
      <c r="F37" s="795">
        <f t="shared" si="4"/>
        <v>-41185.725124527256</v>
      </c>
      <c r="G37" s="536"/>
    </row>
    <row r="38" spans="2:7">
      <c r="B38" s="365">
        <f t="shared" si="2"/>
        <v>28</v>
      </c>
      <c r="C38" s="418" t="s">
        <v>2256</v>
      </c>
      <c r="D38" s="42">
        <f>+'0 MDS REPORTS'!F1445</f>
        <v>1011029.595133958</v>
      </c>
      <c r="E38" s="2758">
        <f t="shared" si="3"/>
        <v>7.4550881934023233E-2</v>
      </c>
      <c r="F38" s="795">
        <f t="shared" si="4"/>
        <v>-38742.145338522234</v>
      </c>
      <c r="G38" s="536"/>
    </row>
    <row r="39" spans="2:7">
      <c r="B39" s="365">
        <f t="shared" si="2"/>
        <v>29</v>
      </c>
      <c r="C39" s="418" t="s">
        <v>2257</v>
      </c>
      <c r="D39" s="42">
        <f>+'0 MDS REPORTS'!F1446</f>
        <v>245143.87349825987</v>
      </c>
      <c r="E39" s="2758">
        <f t="shared" si="3"/>
        <v>1.8076317506409326E-2</v>
      </c>
      <c r="F39" s="795">
        <f t="shared" si="4"/>
        <v>-9393.7898768032774</v>
      </c>
      <c r="G39" s="536"/>
    </row>
    <row r="40" spans="2:7">
      <c r="B40" s="365">
        <f t="shared" si="2"/>
        <v>30</v>
      </c>
      <c r="C40" s="2663" t="s">
        <v>5080</v>
      </c>
      <c r="D40" s="1057">
        <f>+SUM(D32:D39)</f>
        <v>13561604.757790912</v>
      </c>
      <c r="E40" s="1059">
        <f>+SUM(E32:E39)</f>
        <v>1</v>
      </c>
      <c r="F40" s="1057">
        <f>+SUM(F32:F39)</f>
        <v>-519673.8701603642</v>
      </c>
      <c r="G40" s="536"/>
    </row>
    <row r="41" spans="2:7">
      <c r="B41" s="365">
        <f t="shared" si="2"/>
        <v>31</v>
      </c>
      <c r="C41" s="328"/>
      <c r="D41" s="328"/>
      <c r="E41" s="328"/>
      <c r="F41" s="328"/>
      <c r="G41" s="536"/>
    </row>
    <row r="42" spans="2:7">
      <c r="B42" s="365">
        <f t="shared" si="2"/>
        <v>32</v>
      </c>
      <c r="C42" s="328"/>
      <c r="D42" s="328"/>
      <c r="E42" s="328"/>
      <c r="F42" s="328"/>
      <c r="G42" s="536"/>
    </row>
    <row r="43" spans="2:7">
      <c r="B43" s="365">
        <f t="shared" si="2"/>
        <v>33</v>
      </c>
      <c r="C43" s="1005" t="s">
        <v>5081</v>
      </c>
      <c r="D43" s="1021"/>
      <c r="E43" s="1021"/>
      <c r="F43" s="1022"/>
      <c r="G43" s="536"/>
    </row>
    <row r="44" spans="2:7">
      <c r="B44" s="365">
        <f t="shared" si="2"/>
        <v>34</v>
      </c>
      <c r="C44" s="2497" t="s">
        <v>5061</v>
      </c>
      <c r="D44" s="1023"/>
      <c r="E44" s="1023"/>
      <c r="F44" s="1302" t="s">
        <v>5082</v>
      </c>
      <c r="G44" s="536"/>
    </row>
    <row r="45" spans="2:7">
      <c r="B45" s="365">
        <f t="shared" si="2"/>
        <v>35</v>
      </c>
      <c r="C45" s="2759" t="s">
        <v>2255</v>
      </c>
      <c r="D45" s="1021"/>
      <c r="E45" s="1021"/>
      <c r="F45" s="1300">
        <f>+G12</f>
        <v>36634.816307692308</v>
      </c>
      <c r="G45" s="536"/>
    </row>
    <row r="46" spans="2:7">
      <c r="B46" s="365">
        <f t="shared" si="2"/>
        <v>36</v>
      </c>
      <c r="C46" s="328"/>
      <c r="D46" s="328"/>
      <c r="E46" s="328"/>
      <c r="F46" s="328"/>
      <c r="G46" s="536"/>
    </row>
    <row r="47" spans="2:7">
      <c r="B47" s="365">
        <f t="shared" si="2"/>
        <v>37</v>
      </c>
      <c r="C47" s="328"/>
      <c r="D47" s="328"/>
      <c r="E47" s="328"/>
      <c r="F47" s="328"/>
      <c r="G47" s="536"/>
    </row>
    <row r="48" spans="2:7">
      <c r="B48" s="365">
        <f t="shared" si="2"/>
        <v>38</v>
      </c>
      <c r="C48" s="328"/>
      <c r="D48" s="328"/>
      <c r="E48" s="328"/>
      <c r="F48" s="328"/>
      <c r="G48" s="536"/>
    </row>
    <row r="49" spans="2:7">
      <c r="B49" s="365">
        <f t="shared" si="2"/>
        <v>39</v>
      </c>
      <c r="C49" s="1005" t="s">
        <v>5083</v>
      </c>
      <c r="D49" s="2760"/>
      <c r="E49" s="2760"/>
      <c r="F49" s="1302"/>
      <c r="G49" s="536"/>
    </row>
    <row r="50" spans="2:7">
      <c r="B50" s="365">
        <f t="shared" si="2"/>
        <v>40</v>
      </c>
      <c r="C50" s="2761" t="s">
        <v>5084</v>
      </c>
      <c r="D50" s="1023" t="s">
        <v>5085</v>
      </c>
      <c r="E50" s="1023" t="s">
        <v>5086</v>
      </c>
      <c r="F50" s="60" t="s">
        <v>5087</v>
      </c>
      <c r="G50" s="536"/>
    </row>
    <row r="51" spans="2:7" ht="15" thickBot="1">
      <c r="B51" s="365">
        <f t="shared" si="2"/>
        <v>41</v>
      </c>
      <c r="C51" s="328"/>
      <c r="D51" s="328"/>
      <c r="E51" s="60"/>
      <c r="F51" s="447">
        <f>+SUM(G14:G15)</f>
        <v>162822.14999999997</v>
      </c>
      <c r="G51" s="536"/>
    </row>
    <row r="52" spans="2:7" ht="15" thickTop="1">
      <c r="B52" s="365">
        <f t="shared" si="2"/>
        <v>42</v>
      </c>
      <c r="C52" s="418" t="s">
        <v>2254</v>
      </c>
      <c r="D52" s="42">
        <f>+'0 MDS REPORTS'!F943</f>
        <v>6754474.9084089035</v>
      </c>
      <c r="E52" s="2758">
        <f>+D52/$D$60</f>
        <v>0.55947527082796111</v>
      </c>
      <c r="F52" s="838">
        <f>+$F$51*E52</f>
        <v>91094.96646804089</v>
      </c>
      <c r="G52" s="536"/>
    </row>
    <row r="53" spans="2:7">
      <c r="B53" s="365">
        <f t="shared" si="2"/>
        <v>43</v>
      </c>
      <c r="C53" s="418" t="s">
        <v>2255</v>
      </c>
      <c r="D53" s="42">
        <f>+'0 MDS REPORTS'!F944</f>
        <v>570339.73520400003</v>
      </c>
      <c r="E53" s="2758">
        <f t="shared" ref="E53:E59" si="5">+D53/$D$60</f>
        <v>4.7241418784450144E-2</v>
      </c>
      <c r="F53" s="838">
        <f t="shared" ref="F53:F59" si="6">+$F$51*E53</f>
        <v>7691.9493755345575</v>
      </c>
      <c r="G53" s="536"/>
    </row>
    <row r="54" spans="2:7">
      <c r="B54" s="365">
        <f t="shared" si="2"/>
        <v>44</v>
      </c>
      <c r="C54" s="418" t="s">
        <v>2246</v>
      </c>
      <c r="D54" s="42">
        <f>+'0 MDS REPORTS'!F945</f>
        <v>534187.1509608163</v>
      </c>
      <c r="E54" s="2758">
        <f t="shared" si="5"/>
        <v>4.4246888915754477E-2</v>
      </c>
      <c r="F54" s="838">
        <f t="shared" si="6"/>
        <v>7204.3735840743111</v>
      </c>
      <c r="G54" s="536"/>
    </row>
    <row r="55" spans="2:7">
      <c r="B55" s="365">
        <f t="shared" si="2"/>
        <v>45</v>
      </c>
      <c r="C55" s="418" t="s">
        <v>2247</v>
      </c>
      <c r="D55" s="42">
        <f>+'0 MDS REPORTS'!F946</f>
        <v>524998.04585628002</v>
      </c>
      <c r="E55" s="2758">
        <f t="shared" si="5"/>
        <v>4.3485752463737058E-2</v>
      </c>
      <c r="F55" s="838">
        <f t="shared" si="6"/>
        <v>7080.443710513463</v>
      </c>
      <c r="G55" s="536"/>
    </row>
    <row r="56" spans="2:7">
      <c r="B56" s="365">
        <f t="shared" si="2"/>
        <v>46</v>
      </c>
      <c r="C56" s="418" t="s">
        <v>2249</v>
      </c>
      <c r="D56" s="42">
        <f>+'0 MDS REPORTS'!F947</f>
        <v>1838573.1984126705</v>
      </c>
      <c r="E56" s="2758">
        <f t="shared" si="5"/>
        <v>0.15228959350169041</v>
      </c>
      <c r="F56" s="838">
        <f t="shared" si="6"/>
        <v>24796.119036571257</v>
      </c>
      <c r="G56" s="536"/>
    </row>
    <row r="57" spans="2:7">
      <c r="B57" s="365">
        <f t="shared" si="2"/>
        <v>47</v>
      </c>
      <c r="C57" s="418" t="s">
        <v>2250</v>
      </c>
      <c r="D57" s="42">
        <f>+'0 MDS REPORTS'!F948</f>
        <v>1020055.1022166597</v>
      </c>
      <c r="E57" s="2758">
        <f t="shared" si="5"/>
        <v>8.4491483395937789E-2</v>
      </c>
      <c r="F57" s="838">
        <f t="shared" si="6"/>
        <v>13757.084983215889</v>
      </c>
      <c r="G57" s="536"/>
    </row>
    <row r="58" spans="2:7">
      <c r="B58" s="365">
        <f t="shared" si="2"/>
        <v>48</v>
      </c>
      <c r="C58" s="418" t="s">
        <v>2256</v>
      </c>
      <c r="D58" s="42">
        <f>+'0 MDS REPORTS'!F949</f>
        <v>830246.67682678136</v>
      </c>
      <c r="E58" s="2758">
        <f t="shared" si="5"/>
        <v>6.8769592110469069E-2</v>
      </c>
      <c r="F58" s="838">
        <f t="shared" si="6"/>
        <v>11197.212842049608</v>
      </c>
      <c r="G58" s="536"/>
    </row>
    <row r="59" spans="2:7">
      <c r="B59" s="365">
        <f t="shared" si="2"/>
        <v>49</v>
      </c>
      <c r="C59" s="418" t="s">
        <v>2257</v>
      </c>
      <c r="D59" s="42">
        <f>+'0 MDS REPORTS'!F950</f>
        <v>0</v>
      </c>
      <c r="E59" s="2758">
        <f t="shared" si="5"/>
        <v>0</v>
      </c>
      <c r="F59" s="838">
        <f t="shared" si="6"/>
        <v>0</v>
      </c>
      <c r="G59" s="536"/>
    </row>
    <row r="60" spans="2:7">
      <c r="B60" s="365">
        <f t="shared" si="2"/>
        <v>50</v>
      </c>
      <c r="C60" s="2663" t="s">
        <v>5088</v>
      </c>
      <c r="D60" s="1057">
        <f>+SUM(D52:D59)</f>
        <v>12072874.81788611</v>
      </c>
      <c r="E60" s="1059">
        <f>+SUM(E52:E59)</f>
        <v>1</v>
      </c>
      <c r="F60" s="2665">
        <f>+SUM(F52:F59)</f>
        <v>162822.15</v>
      </c>
      <c r="G60" s="536"/>
    </row>
    <row r="61" spans="2:7">
      <c r="B61" s="365">
        <f t="shared" si="2"/>
        <v>51</v>
      </c>
      <c r="C61" s="1049"/>
      <c r="D61" s="1296"/>
      <c r="E61" s="1297"/>
      <c r="F61" s="2762"/>
      <c r="G61" s="536"/>
    </row>
    <row r="62" spans="2:7">
      <c r="B62" s="365">
        <f t="shared" si="2"/>
        <v>52</v>
      </c>
      <c r="C62" s="436"/>
      <c r="D62" s="439"/>
      <c r="E62" s="1298"/>
      <c r="F62" s="2763"/>
      <c r="G62" s="536"/>
    </row>
    <row r="63" spans="2:7">
      <c r="B63" s="365">
        <f t="shared" si="2"/>
        <v>53</v>
      </c>
      <c r="C63" s="1005" t="s">
        <v>5089</v>
      </c>
      <c r="D63" s="1021"/>
      <c r="E63" s="1021"/>
      <c r="F63" s="1022"/>
      <c r="G63" s="536"/>
    </row>
    <row r="64" spans="2:7">
      <c r="B64" s="365">
        <f t="shared" si="2"/>
        <v>54</v>
      </c>
      <c r="C64" s="2761" t="s">
        <v>5090</v>
      </c>
      <c r="D64" s="1023" t="s">
        <v>4187</v>
      </c>
      <c r="E64" s="1023" t="s">
        <v>5078</v>
      </c>
      <c r="F64" s="1302" t="s">
        <v>5087</v>
      </c>
      <c r="G64" s="536"/>
    </row>
    <row r="65" spans="2:7" ht="15" thickBot="1">
      <c r="B65" s="365">
        <f t="shared" si="2"/>
        <v>55</v>
      </c>
      <c r="C65" s="328"/>
      <c r="D65" s="328"/>
      <c r="E65" s="60"/>
      <c r="F65" s="1303">
        <f>+G16</f>
        <v>1127765.0553354439</v>
      </c>
      <c r="G65" s="536"/>
    </row>
    <row r="66" spans="2:7" ht="15" thickTop="1">
      <c r="B66" s="365">
        <f t="shared" si="2"/>
        <v>56</v>
      </c>
      <c r="C66" s="328"/>
      <c r="D66" s="328"/>
      <c r="E66" s="328"/>
      <c r="F66" s="1015"/>
      <c r="G66" s="536"/>
    </row>
    <row r="67" spans="2:7">
      <c r="B67" s="365">
        <f t="shared" si="2"/>
        <v>57</v>
      </c>
      <c r="C67" s="418" t="s">
        <v>2254</v>
      </c>
      <c r="D67" s="42">
        <f>+'0 MDS REPORTS'!F1439</f>
        <v>7225506.9599943599</v>
      </c>
      <c r="E67" s="1579">
        <f>+D67/$D$75</f>
        <v>0.53279144238762954</v>
      </c>
      <c r="F67" s="838">
        <f>+$F$65*E67</f>
        <v>600863.57050653605</v>
      </c>
      <c r="G67" s="536"/>
    </row>
    <row r="68" spans="2:7">
      <c r="B68" s="365">
        <f t="shared" si="2"/>
        <v>58</v>
      </c>
      <c r="C68" s="418" t="s">
        <v>2255</v>
      </c>
      <c r="D68" s="42">
        <f>+'0 MDS REPORTS'!F1440</f>
        <v>680548.35013101739</v>
      </c>
      <c r="E68" s="1579">
        <f t="shared" ref="E68:E74" si="7">+D68/$D$75</f>
        <v>5.0181992639186296E-2</v>
      </c>
      <c r="F68" s="838">
        <f t="shared" ref="F68:F74" si="8">+$F$65*E68</f>
        <v>56593.497705574773</v>
      </c>
      <c r="G68" s="536"/>
    </row>
    <row r="69" spans="2:7">
      <c r="B69" s="365">
        <f t="shared" si="2"/>
        <v>59</v>
      </c>
      <c r="C69" s="418" t="s">
        <v>2246</v>
      </c>
      <c r="D69" s="42">
        <f>+'0 MDS REPORTS'!F1441</f>
        <v>570453.0494615928</v>
      </c>
      <c r="E69" s="1579">
        <f t="shared" si="7"/>
        <v>4.2063830914544034E-2</v>
      </c>
      <c r="F69" s="838">
        <f t="shared" si="8"/>
        <v>47438.118598961511</v>
      </c>
      <c r="G69" s="536"/>
    </row>
    <row r="70" spans="2:7">
      <c r="B70" s="365">
        <f t="shared" si="2"/>
        <v>60</v>
      </c>
      <c r="C70" s="418" t="s">
        <v>2247</v>
      </c>
      <c r="D70" s="42">
        <f>+'0 MDS REPORTS'!F1442</f>
        <v>594794.14105170744</v>
      </c>
      <c r="E70" s="1579">
        <f t="shared" si="7"/>
        <v>4.3858684254163081E-2</v>
      </c>
      <c r="F70" s="838">
        <f t="shared" si="8"/>
        <v>49462.291474835991</v>
      </c>
      <c r="G70" s="536"/>
    </row>
    <row r="71" spans="2:7">
      <c r="B71" s="365">
        <f t="shared" si="2"/>
        <v>61</v>
      </c>
      <c r="C71" s="418" t="s">
        <v>2249</v>
      </c>
      <c r="D71" s="42">
        <f>+'0 MDS REPORTS'!F1443</f>
        <v>2159330.6162942359</v>
      </c>
      <c r="E71" s="1579">
        <f t="shared" si="7"/>
        <v>0.15922382747909955</v>
      </c>
      <c r="F71" s="838">
        <f t="shared" si="8"/>
        <v>179567.06860768789</v>
      </c>
      <c r="G71" s="536"/>
    </row>
    <row r="72" spans="2:7">
      <c r="B72" s="365">
        <f t="shared" si="2"/>
        <v>62</v>
      </c>
      <c r="C72" s="418" t="s">
        <v>2250</v>
      </c>
      <c r="D72" s="42">
        <f>+'0 MDS REPORTS'!F1444</f>
        <v>1074798.1722257815</v>
      </c>
      <c r="E72" s="1579">
        <f t="shared" si="7"/>
        <v>7.9253022884944957E-2</v>
      </c>
      <c r="F72" s="838">
        <f t="shared" si="8"/>
        <v>89378.789739341155</v>
      </c>
      <c r="G72" s="536"/>
    </row>
    <row r="73" spans="2:7">
      <c r="B73" s="365">
        <f t="shared" si="2"/>
        <v>63</v>
      </c>
      <c r="C73" s="418" t="s">
        <v>2256</v>
      </c>
      <c r="D73" s="42">
        <f>+'0 MDS REPORTS'!F1445</f>
        <v>1011029.595133958</v>
      </c>
      <c r="E73" s="1579">
        <f t="shared" si="7"/>
        <v>7.4550881934023233E-2</v>
      </c>
      <c r="F73" s="838">
        <f t="shared" si="8"/>
        <v>84075.879489629864</v>
      </c>
      <c r="G73" s="536"/>
    </row>
    <row r="74" spans="2:7">
      <c r="B74" s="365">
        <f t="shared" si="2"/>
        <v>64</v>
      </c>
      <c r="C74" s="418" t="s">
        <v>2257</v>
      </c>
      <c r="D74" s="42">
        <f>+'0 MDS REPORTS'!F1446</f>
        <v>245143.87349825987</v>
      </c>
      <c r="E74" s="1579">
        <f t="shared" si="7"/>
        <v>1.8076317506409326E-2</v>
      </c>
      <c r="F74" s="838">
        <f t="shared" si="8"/>
        <v>20385.839212876766</v>
      </c>
      <c r="G74" s="536"/>
    </row>
    <row r="75" spans="2:7">
      <c r="B75" s="365">
        <f t="shared" si="2"/>
        <v>65</v>
      </c>
      <c r="C75" s="2663" t="s">
        <v>5066</v>
      </c>
      <c r="D75" s="1057">
        <f>+SUM(D67:D74)</f>
        <v>13561604.757790912</v>
      </c>
      <c r="E75" s="1059">
        <f>+SUM(E67:E74)</f>
        <v>1</v>
      </c>
      <c r="F75" s="2665">
        <f>+SUM(F67:F74)</f>
        <v>1127765.0553354439</v>
      </c>
      <c r="G75" s="536"/>
    </row>
    <row r="76" spans="2:7">
      <c r="B76" s="365">
        <f t="shared" si="2"/>
        <v>66</v>
      </c>
      <c r="C76" s="328"/>
      <c r="D76" s="328"/>
      <c r="E76" s="328"/>
      <c r="F76" s="536"/>
      <c r="G76" s="536"/>
    </row>
    <row r="77" spans="2:7">
      <c r="B77" s="365">
        <f t="shared" si="2"/>
        <v>67</v>
      </c>
      <c r="C77" s="1005" t="s">
        <v>5091</v>
      </c>
      <c r="D77" s="1021"/>
      <c r="E77" s="1021"/>
      <c r="F77" s="1022"/>
      <c r="G77" s="536"/>
    </row>
    <row r="78" spans="2:7">
      <c r="B78" s="365">
        <f t="shared" si="2"/>
        <v>68</v>
      </c>
      <c r="C78" s="2761" t="s">
        <v>5092</v>
      </c>
      <c r="D78" s="1023" t="s">
        <v>4187</v>
      </c>
      <c r="E78" s="1023" t="s">
        <v>5078</v>
      </c>
      <c r="F78" s="1302" t="s">
        <v>5087</v>
      </c>
      <c r="G78" s="536"/>
    </row>
    <row r="79" spans="2:7" ht="15" thickBot="1">
      <c r="B79" s="365">
        <f t="shared" si="2"/>
        <v>69</v>
      </c>
      <c r="C79" s="328"/>
      <c r="D79" s="328"/>
      <c r="E79" s="60"/>
      <c r="F79" s="1303">
        <f>+G18</f>
        <v>720578.3399641061</v>
      </c>
      <c r="G79" s="536"/>
    </row>
    <row r="80" spans="2:7" ht="15" thickTop="1">
      <c r="B80" s="365">
        <f t="shared" si="2"/>
        <v>70</v>
      </c>
      <c r="C80" s="328"/>
      <c r="D80" s="328"/>
      <c r="E80" s="328"/>
      <c r="F80" s="1015"/>
      <c r="G80" s="536"/>
    </row>
    <row r="81" spans="2:7">
      <c r="B81" s="365">
        <f t="shared" si="2"/>
        <v>71</v>
      </c>
      <c r="C81" s="418" t="s">
        <v>2254</v>
      </c>
      <c r="D81" s="42">
        <f>+'0 MDS REPORTS'!F1439</f>
        <v>7225506.9599943599</v>
      </c>
      <c r="E81" s="2758">
        <f>+D81/$D$89</f>
        <v>0.53279144238762954</v>
      </c>
      <c r="F81" s="838">
        <f>+$F$79*E81</f>
        <v>383917.97310275974</v>
      </c>
      <c r="G81" s="536"/>
    </row>
    <row r="82" spans="2:7">
      <c r="B82" s="365">
        <f t="shared" si="2"/>
        <v>72</v>
      </c>
      <c r="C82" s="418" t="s">
        <v>2255</v>
      </c>
      <c r="D82" s="42">
        <f>+'0 MDS REPORTS'!F1440</f>
        <v>680548.35013101739</v>
      </c>
      <c r="E82" s="2758">
        <f t="shared" ref="E82:E88" si="9">+D82/$D$89</f>
        <v>5.0181992639186296E-2</v>
      </c>
      <c r="F82" s="838">
        <f t="shared" ref="F82:F88" si="10">+$F$79*E82</f>
        <v>36160.056952035855</v>
      </c>
      <c r="G82" s="536"/>
    </row>
    <row r="83" spans="2:7">
      <c r="B83" s="365">
        <f t="shared" si="2"/>
        <v>73</v>
      </c>
      <c r="C83" s="418" t="s">
        <v>2246</v>
      </c>
      <c r="D83" s="42">
        <f>+'0 MDS REPORTS'!F1441</f>
        <v>570453.0494615928</v>
      </c>
      <c r="E83" s="2758">
        <f t="shared" si="9"/>
        <v>4.2063830914544034E-2</v>
      </c>
      <c r="F83" s="838">
        <f t="shared" si="10"/>
        <v>30310.285452932985</v>
      </c>
      <c r="G83" s="536"/>
    </row>
    <row r="84" spans="2:7">
      <c r="B84" s="365">
        <f t="shared" si="2"/>
        <v>74</v>
      </c>
      <c r="C84" s="418" t="s">
        <v>2247</v>
      </c>
      <c r="D84" s="42">
        <f>+'0 MDS REPORTS'!F1442</f>
        <v>594794.14105170744</v>
      </c>
      <c r="E84" s="2758">
        <f t="shared" si="9"/>
        <v>4.3858684254163081E-2</v>
      </c>
      <c r="F84" s="838">
        <f t="shared" si="10"/>
        <v>31603.61789287471</v>
      </c>
      <c r="G84" s="536"/>
    </row>
    <row r="85" spans="2:7">
      <c r="B85" s="365">
        <f t="shared" si="2"/>
        <v>75</v>
      </c>
      <c r="C85" s="418" t="s">
        <v>2249</v>
      </c>
      <c r="D85" s="42">
        <f>+'0 MDS REPORTS'!F1443</f>
        <v>2159330.6162942359</v>
      </c>
      <c r="E85" s="2758">
        <f t="shared" si="9"/>
        <v>0.15922382747909955</v>
      </c>
      <c r="F85" s="838">
        <f t="shared" si="10"/>
        <v>114733.24128762077</v>
      </c>
      <c r="G85" s="536"/>
    </row>
    <row r="86" spans="2:7">
      <c r="B86" s="365">
        <f t="shared" si="2"/>
        <v>76</v>
      </c>
      <c r="C86" s="418" t="s">
        <v>2250</v>
      </c>
      <c r="D86" s="42">
        <f>+'0 MDS REPORTS'!F1444</f>
        <v>1074798.1722257815</v>
      </c>
      <c r="E86" s="2758">
        <f t="shared" si="9"/>
        <v>7.9253022884944957E-2</v>
      </c>
      <c r="F86" s="838">
        <f t="shared" si="10"/>
        <v>57108.011667570951</v>
      </c>
      <c r="G86" s="536"/>
    </row>
    <row r="87" spans="2:7">
      <c r="B87" s="365">
        <f t="shared" si="2"/>
        <v>77</v>
      </c>
      <c r="C87" s="418" t="s">
        <v>2256</v>
      </c>
      <c r="D87" s="42">
        <f>+'0 MDS REPORTS'!F1445</f>
        <v>1011029.595133958</v>
      </c>
      <c r="E87" s="2758">
        <f t="shared" si="9"/>
        <v>7.4550881934023233E-2</v>
      </c>
      <c r="F87" s="838">
        <f t="shared" si="10"/>
        <v>53719.750746878526</v>
      </c>
      <c r="G87" s="536"/>
    </row>
    <row r="88" spans="2:7">
      <c r="B88" s="365">
        <f t="shared" si="2"/>
        <v>78</v>
      </c>
      <c r="C88" s="418" t="s">
        <v>2257</v>
      </c>
      <c r="D88" s="42">
        <f>+'0 MDS REPORTS'!F1446</f>
        <v>245143.87349825987</v>
      </c>
      <c r="E88" s="2758">
        <f t="shared" si="9"/>
        <v>1.8076317506409326E-2</v>
      </c>
      <c r="F88" s="838">
        <f t="shared" si="10"/>
        <v>13025.402861432542</v>
      </c>
      <c r="G88" s="536"/>
    </row>
    <row r="89" spans="2:7">
      <c r="B89" s="365">
        <f t="shared" si="2"/>
        <v>79</v>
      </c>
      <c r="C89" s="2663" t="s">
        <v>5093</v>
      </c>
      <c r="D89" s="1057">
        <f>+SUM(D81:D88)</f>
        <v>13561604.757790912</v>
      </c>
      <c r="E89" s="1059">
        <f>+SUM(E81:E88)</f>
        <v>1</v>
      </c>
      <c r="F89" s="2665">
        <f>+SUM(F81:F88)</f>
        <v>720578.3399641061</v>
      </c>
      <c r="G89" s="536"/>
    </row>
    <row r="90" spans="2:7">
      <c r="B90" s="365">
        <f t="shared" si="2"/>
        <v>80</v>
      </c>
      <c r="C90" s="328"/>
      <c r="D90" s="328"/>
      <c r="E90" s="328"/>
      <c r="F90" s="536"/>
      <c r="G90" s="536"/>
    </row>
    <row r="91" spans="2:7">
      <c r="B91" s="365">
        <f t="shared" si="2"/>
        <v>81</v>
      </c>
      <c r="C91" s="1005" t="s">
        <v>5094</v>
      </c>
      <c r="D91" s="1021"/>
      <c r="E91" s="1021"/>
      <c r="F91" s="1022"/>
      <c r="G91" s="536"/>
    </row>
    <row r="92" spans="2:7">
      <c r="B92" s="365">
        <f t="shared" si="2"/>
        <v>82</v>
      </c>
      <c r="C92" s="2761" t="s">
        <v>5095</v>
      </c>
      <c r="D92" s="1023"/>
      <c r="E92" s="1023"/>
      <c r="F92" s="1302" t="s">
        <v>115</v>
      </c>
      <c r="G92" s="536"/>
    </row>
    <row r="93" spans="2:7">
      <c r="B93" s="365">
        <f t="shared" si="2"/>
        <v>83</v>
      </c>
      <c r="C93" s="418" t="s">
        <v>2254</v>
      </c>
      <c r="D93" s="328"/>
      <c r="E93" s="328"/>
      <c r="F93" s="838">
        <f>+F32+F52+F67-F81</f>
        <v>31162.773017915024</v>
      </c>
      <c r="G93" s="536"/>
    </row>
    <row r="94" spans="2:7">
      <c r="B94" s="365">
        <f t="shared" si="2"/>
        <v>84</v>
      </c>
      <c r="C94" s="418" t="s">
        <v>2255</v>
      </c>
      <c r="D94" s="328"/>
      <c r="E94" s="328"/>
      <c r="F94" s="838">
        <f>+F33+F45+F53+F68-F82</f>
        <v>38681.936109600938</v>
      </c>
      <c r="G94" s="536"/>
    </row>
    <row r="95" spans="2:7">
      <c r="B95" s="365">
        <f t="shared" si="2"/>
        <v>85</v>
      </c>
      <c r="C95" s="418" t="s">
        <v>2246</v>
      </c>
      <c r="D95" s="328"/>
      <c r="E95" s="2684"/>
      <c r="F95" s="838">
        <f t="shared" ref="F95:F100" si="11">+F34+F54+F69-F83</f>
        <v>2472.7329249705654</v>
      </c>
      <c r="G95" s="536"/>
    </row>
    <row r="96" spans="2:7">
      <c r="B96" s="365">
        <f t="shared" ref="B96:B101" si="12">+B95+1</f>
        <v>86</v>
      </c>
      <c r="C96" s="418" t="s">
        <v>2247</v>
      </c>
      <c r="D96" s="328"/>
      <c r="E96" s="2684"/>
      <c r="F96" s="838">
        <f t="shared" si="11"/>
        <v>2146.9051059723861</v>
      </c>
      <c r="G96" s="536"/>
    </row>
    <row r="97" spans="2:7">
      <c r="B97" s="365">
        <f t="shared" si="12"/>
        <v>87</v>
      </c>
      <c r="C97" s="418" t="s">
        <v>2249</v>
      </c>
      <c r="D97" s="328"/>
      <c r="E97" s="2684"/>
      <c r="F97" s="838">
        <f t="shared" si="11"/>
        <v>6885.4837088285713</v>
      </c>
      <c r="G97" s="536"/>
    </row>
    <row r="98" spans="2:7">
      <c r="B98" s="365">
        <f t="shared" si="12"/>
        <v>88</v>
      </c>
      <c r="C98" s="418" t="s">
        <v>2250</v>
      </c>
      <c r="D98" s="328"/>
      <c r="E98" s="2684"/>
      <c r="F98" s="838">
        <f t="shared" si="11"/>
        <v>4842.1379304588409</v>
      </c>
      <c r="G98" s="536"/>
    </row>
    <row r="99" spans="2:7">
      <c r="B99" s="365">
        <f t="shared" si="12"/>
        <v>89</v>
      </c>
      <c r="C99" s="418" t="s">
        <v>2256</v>
      </c>
      <c r="D99" s="328"/>
      <c r="E99" s="2684"/>
      <c r="F99" s="838">
        <f t="shared" si="11"/>
        <v>2811.1962462787124</v>
      </c>
      <c r="G99" s="536"/>
    </row>
    <row r="100" spans="2:7">
      <c r="B100" s="365">
        <f t="shared" si="12"/>
        <v>90</v>
      </c>
      <c r="C100" s="418" t="s">
        <v>2257</v>
      </c>
      <c r="D100" s="328"/>
      <c r="E100" s="328"/>
      <c r="F100" s="838">
        <f t="shared" si="11"/>
        <v>-2033.3535253590526</v>
      </c>
      <c r="G100" s="536"/>
    </row>
    <row r="101" spans="2:7" ht="15" thickBot="1">
      <c r="B101" s="365">
        <f t="shared" si="12"/>
        <v>91</v>
      </c>
      <c r="C101" s="1027" t="s">
        <v>5095</v>
      </c>
      <c r="D101" s="695"/>
      <c r="E101" s="1299"/>
      <c r="F101" s="1029">
        <f>+SUM(F93:F100)</f>
        <v>86969.811518665971</v>
      </c>
      <c r="G101" s="536"/>
    </row>
    <row r="102" spans="2:7" ht="15" thickTop="1">
      <c r="B102" s="462"/>
      <c r="C102" s="546"/>
      <c r="D102" s="546"/>
      <c r="E102" s="546"/>
      <c r="F102" s="547"/>
      <c r="G102" s="785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C1:O78"/>
  <sheetViews>
    <sheetView tabSelected="1" showOutlineSymbols="0" workbookViewId="0"/>
  </sheetViews>
  <sheetFormatPr defaultRowHeight="14.4"/>
  <cols>
    <col min="3" max="3" width="28.33203125" customWidth="1"/>
    <col min="4" max="4" width="25.6640625" bestFit="1" customWidth="1"/>
    <col min="5" max="5" width="32.6640625" customWidth="1"/>
    <col min="6" max="6" width="27.5546875" bestFit="1" customWidth="1"/>
    <col min="7" max="7" width="11.5546875" bestFit="1" customWidth="1"/>
    <col min="8" max="8" width="10.5546875" bestFit="1" customWidth="1"/>
  </cols>
  <sheetData>
    <row r="1" spans="3:8">
      <c r="D1" s="2107" t="s">
        <v>116</v>
      </c>
    </row>
    <row r="2" spans="3:8" ht="15" thickBot="1"/>
    <row r="3" spans="3:8" ht="15" thickBot="1">
      <c r="C3" s="113" t="s">
        <v>35</v>
      </c>
      <c r="D3" s="116" t="s">
        <v>4536</v>
      </c>
      <c r="F3" s="1549" t="s">
        <v>6152</v>
      </c>
      <c r="G3" s="2383" t="s">
        <v>6148</v>
      </c>
      <c r="H3" s="56" t="s">
        <v>6149</v>
      </c>
    </row>
    <row r="4" spans="3:8">
      <c r="C4" s="118" t="s">
        <v>4532</v>
      </c>
      <c r="D4" s="2764">
        <v>100000</v>
      </c>
      <c r="F4" s="1550">
        <v>548</v>
      </c>
      <c r="G4" s="2765">
        <v>0</v>
      </c>
      <c r="H4" s="2766">
        <v>0</v>
      </c>
    </row>
    <row r="5" spans="3:8">
      <c r="C5" s="118" t="s">
        <v>4533</v>
      </c>
      <c r="D5" s="2255">
        <v>0</v>
      </c>
      <c r="F5" s="1551">
        <v>549</v>
      </c>
      <c r="G5" s="2767">
        <v>0</v>
      </c>
      <c r="H5" s="2766">
        <v>0</v>
      </c>
    </row>
    <row r="6" spans="3:8">
      <c r="C6" s="118" t="s">
        <v>4534</v>
      </c>
      <c r="D6" s="2255">
        <v>2060</v>
      </c>
      <c r="F6" s="1551">
        <v>552</v>
      </c>
      <c r="G6" s="2767">
        <v>0</v>
      </c>
      <c r="H6" s="2766">
        <v>0</v>
      </c>
    </row>
    <row r="7" spans="3:8" ht="15" thickBot="1">
      <c r="C7" s="118" t="s">
        <v>4535</v>
      </c>
      <c r="D7" s="2255">
        <v>0</v>
      </c>
      <c r="F7" s="1552">
        <v>553</v>
      </c>
      <c r="G7" s="2768">
        <v>0</v>
      </c>
      <c r="H7" s="2766">
        <v>0</v>
      </c>
    </row>
    <row r="8" spans="3:8" ht="15" thickBot="1">
      <c r="C8" s="118" t="s">
        <v>4597</v>
      </c>
      <c r="D8" s="2255">
        <v>232592.85</v>
      </c>
      <c r="F8" s="2769" t="s">
        <v>6150</v>
      </c>
      <c r="G8" s="2770">
        <f>+SUM(G4:G7)</f>
        <v>0</v>
      </c>
      <c r="H8" s="2771">
        <f>+SUM(H4:H7)</f>
        <v>0</v>
      </c>
    </row>
    <row r="9" spans="3:8" ht="15" thickBot="1">
      <c r="C9" s="118" t="s">
        <v>4598</v>
      </c>
      <c r="D9" s="2255">
        <v>463964</v>
      </c>
      <c r="F9" s="2772" t="s">
        <v>6151</v>
      </c>
      <c r="G9" s="2772"/>
      <c r="H9" s="2773">
        <f>+G8+H8</f>
        <v>0</v>
      </c>
    </row>
    <row r="10" spans="3:8">
      <c r="C10" s="38"/>
      <c r="D10" s="38"/>
    </row>
    <row r="11" spans="3:8" ht="15" thickBot="1"/>
    <row r="12" spans="3:8">
      <c r="C12" s="2774" t="s">
        <v>9484</v>
      </c>
      <c r="D12" s="2775"/>
    </row>
    <row r="13" spans="3:8" ht="15" thickBot="1">
      <c r="C13" s="2776"/>
      <c r="D13" s="2777" t="s">
        <v>4593</v>
      </c>
    </row>
    <row r="14" spans="3:8" ht="27" thickBot="1">
      <c r="C14" s="2778" t="s">
        <v>4594</v>
      </c>
      <c r="D14" s="2779" t="s">
        <v>4595</v>
      </c>
    </row>
    <row r="15" spans="3:8">
      <c r="C15" s="693">
        <v>501</v>
      </c>
      <c r="D15" s="909">
        <f>+SUMIFS('ECRC O&amp;M'!$R:$R,'ECRC O&amp;M'!$E:$E,C15)</f>
        <v>0</v>
      </c>
      <c r="E15" s="2394"/>
    </row>
    <row r="16" spans="3:8">
      <c r="C16" s="2780" t="s">
        <v>9333</v>
      </c>
      <c r="D16" s="909">
        <f>+SUMIFS('ECRC O&amp;M'!$R:$R,'ECRC O&amp;M'!$E:$E,C16)</f>
        <v>514973.22</v>
      </c>
      <c r="E16" s="2781">
        <f t="shared" ref="E16:E26" si="0">+_xlfn.SINGLE(_xlfn.XLOOKUP(C16,D:D,G:G))*1000</f>
        <v>6905814.4222127004</v>
      </c>
      <c r="F16" s="2782">
        <f>+E16+D16+D4</f>
        <v>7520787.6422127001</v>
      </c>
      <c r="G16" s="46">
        <f>+'500s FERC Accounts'!E6-F16</f>
        <v>0</v>
      </c>
    </row>
    <row r="17" spans="3:7">
      <c r="C17" s="2780" t="s">
        <v>4450</v>
      </c>
      <c r="D17" s="909">
        <f>+SUMIFS('ECRC O&amp;M'!$R:$R,'ECRC O&amp;M'!$E:$E,C17)</f>
        <v>0</v>
      </c>
      <c r="E17" s="2394">
        <f t="shared" si="0"/>
        <v>2242779.1811436</v>
      </c>
      <c r="F17" s="2394">
        <f>+G48*1000</f>
        <v>2242779.1811436</v>
      </c>
      <c r="G17" s="46"/>
    </row>
    <row r="18" spans="3:7">
      <c r="C18" s="2780" t="s">
        <v>4452</v>
      </c>
      <c r="D18" s="909">
        <f>+SUMIFS('ECRC O&amp;M'!$R:$R,'ECRC O&amp;M'!$E:$E,C18)</f>
        <v>277070</v>
      </c>
      <c r="E18" s="2394">
        <f t="shared" si="0"/>
        <v>4698773.0325934002</v>
      </c>
      <c r="G18" s="46">
        <f>+'500s FERC Accounts'!E8-F18</f>
        <v>2242779.1811436</v>
      </c>
    </row>
    <row r="19" spans="3:7">
      <c r="C19" s="2780" t="s">
        <v>4456</v>
      </c>
      <c r="D19" s="909">
        <f>+SUMIFS('ECRC O&amp;M'!$R:$R,'ECRC O&amp;M'!$E:$E,C19)</f>
        <v>0</v>
      </c>
      <c r="E19" s="2394">
        <f t="shared" si="0"/>
        <v>0</v>
      </c>
      <c r="G19" s="46">
        <f>+'500s FERC Accounts'!E9-F19</f>
        <v>4975843.0325933993</v>
      </c>
    </row>
    <row r="20" spans="3:7">
      <c r="C20" s="2780" t="s">
        <v>4459</v>
      </c>
      <c r="D20" s="909">
        <f>+SUMIFS('ECRC O&amp;M'!$R:$R,'ECRC O&amp;M'!$E:$E,C20)</f>
        <v>0</v>
      </c>
      <c r="E20" s="2394">
        <f t="shared" si="0"/>
        <v>3809898.5669689002</v>
      </c>
      <c r="G20" s="46">
        <f>+'500s FERC Accounts'!E10-F20</f>
        <v>24000</v>
      </c>
    </row>
    <row r="21" spans="3:7">
      <c r="C21" s="2780" t="s">
        <v>4461</v>
      </c>
      <c r="D21" s="909">
        <f>+SUMIFS('ECRC O&amp;M'!$R:$R,'ECRC O&amp;M'!$E:$E,C21)</f>
        <v>934236.77999999991</v>
      </c>
      <c r="E21" s="2394">
        <f t="shared" si="0"/>
        <v>19376890.856226802</v>
      </c>
      <c r="G21" s="46">
        <f>+'500s FERC Accounts'!E11-F21</f>
        <v>10030</v>
      </c>
    </row>
    <row r="22" spans="3:7">
      <c r="C22" s="2780" t="s">
        <v>4463</v>
      </c>
      <c r="D22" s="909">
        <f>+SUMIFS('ECRC O&amp;M'!$R:$R,'ECRC O&amp;M'!$E:$E,C22)</f>
        <v>0</v>
      </c>
      <c r="E22" s="2394">
        <f t="shared" si="0"/>
        <v>2015892.7262215</v>
      </c>
      <c r="G22" s="46">
        <f>+'500s FERC Accounts'!E12-F22</f>
        <v>0</v>
      </c>
    </row>
    <row r="23" spans="3:7">
      <c r="C23" s="2780" t="s">
        <v>4465</v>
      </c>
      <c r="D23" s="909">
        <f>+SUMIFS('ECRC O&amp;M'!$R:$R,'ECRC O&amp;M'!$E:$E,C23)</f>
        <v>0</v>
      </c>
      <c r="E23" s="2394">
        <f t="shared" si="0"/>
        <v>2015892.7262215</v>
      </c>
      <c r="G23" s="46">
        <f>+'500s FERC Accounts'!E13-F23</f>
        <v>3809898.5669689002</v>
      </c>
    </row>
    <row r="24" spans="3:7">
      <c r="C24" s="2780" t="s">
        <v>4469</v>
      </c>
      <c r="D24" s="909">
        <f>+SUMIFS('ECRC O&amp;M'!$R:$R,'ECRC O&amp;M'!$E:$E,C24)</f>
        <v>338639.74349999998</v>
      </c>
      <c r="E24" s="2394">
        <f t="shared" si="0"/>
        <v>28929502.963342298</v>
      </c>
      <c r="G24" s="46">
        <f>+'500s FERC Accounts'!E14-F24</f>
        <v>20311127.636226799</v>
      </c>
    </row>
    <row r="25" spans="3:7">
      <c r="C25" s="2780" t="s">
        <v>4471</v>
      </c>
      <c r="D25" s="909">
        <f>+SUMIFS('ECRC O&amp;M'!$R:$R,'ECRC O&amp;M'!$E:$E,C25)</f>
        <v>11845</v>
      </c>
      <c r="E25" s="2394">
        <f t="shared" si="0"/>
        <v>9314839.2781143002</v>
      </c>
      <c r="G25" s="46">
        <f>+'500s FERC Accounts'!E15-F25</f>
        <v>2015892.7262215</v>
      </c>
    </row>
    <row r="26" spans="3:7">
      <c r="C26" s="2780" t="s">
        <v>4475</v>
      </c>
      <c r="D26" s="909">
        <f>+SUMIFS('ECRC O&amp;M'!$R:$R,'ECRC O&amp;M'!$E:$E,C26)</f>
        <v>0</v>
      </c>
      <c r="E26" s="2394">
        <f t="shared" si="0"/>
        <v>1878519.7654971001</v>
      </c>
      <c r="G26" s="46">
        <f>+'500s FERC Accounts'!E16-F26</f>
        <v>2015892.7262215</v>
      </c>
    </row>
    <row r="27" spans="3:7">
      <c r="C27" s="2780"/>
      <c r="D27" s="910"/>
      <c r="E27" s="2394"/>
      <c r="G27" s="46">
        <f>+'500s FERC Accounts'!E17-F27</f>
        <v>0</v>
      </c>
    </row>
    <row r="28" spans="3:7">
      <c r="C28" s="535"/>
      <c r="D28" s="911">
        <f>+SUM(D15:D27)</f>
        <v>2076764.7434999999</v>
      </c>
      <c r="G28" s="46">
        <f>+'500s FERC Accounts'!E18-F28</f>
        <v>670558862.80952358</v>
      </c>
    </row>
    <row r="29" spans="3:7">
      <c r="C29" s="639"/>
      <c r="D29" s="670"/>
    </row>
    <row r="30" spans="3:7">
      <c r="C30" s="637" t="s">
        <v>4596</v>
      </c>
      <c r="D30" s="908">
        <f>+D28-D27</f>
        <v>2076764.7434999999</v>
      </c>
    </row>
    <row r="33" spans="3:15">
      <c r="C33" s="352" t="s">
        <v>2173</v>
      </c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460"/>
    </row>
    <row r="34" spans="3:15">
      <c r="C34" s="353" t="s">
        <v>4514</v>
      </c>
      <c r="G34" s="3152"/>
      <c r="H34" s="3152"/>
      <c r="I34" s="3152"/>
      <c r="O34" s="296"/>
    </row>
    <row r="35" spans="3:15">
      <c r="C35" s="461" t="s">
        <v>9263</v>
      </c>
      <c r="D35" s="297"/>
      <c r="E35" s="297"/>
      <c r="F35" s="297"/>
      <c r="G35" s="3153"/>
      <c r="H35" s="3153"/>
      <c r="I35" s="3153"/>
      <c r="J35" s="297"/>
      <c r="K35" s="297"/>
      <c r="L35" s="297"/>
      <c r="M35" s="297"/>
      <c r="N35" s="297"/>
      <c r="O35" s="298"/>
    </row>
    <row r="36" spans="3:15">
      <c r="C36" s="357"/>
      <c r="G36" s="352"/>
      <c r="H36" s="518"/>
      <c r="I36" s="2783"/>
      <c r="J36" s="2784"/>
      <c r="K36" s="2784"/>
      <c r="L36" s="2785"/>
      <c r="M36" s="2784"/>
      <c r="N36" s="2784"/>
      <c r="O36" s="2785"/>
    </row>
    <row r="37" spans="3:15">
      <c r="C37" s="357"/>
      <c r="G37" s="363"/>
      <c r="H37" s="60" t="s">
        <v>115</v>
      </c>
      <c r="I37" s="767"/>
      <c r="J37" s="110"/>
      <c r="K37" s="60" t="s">
        <v>4438</v>
      </c>
      <c r="L37" s="2786"/>
      <c r="M37" s="110"/>
      <c r="N37" s="60" t="s">
        <v>4439</v>
      </c>
      <c r="O37" s="2786"/>
    </row>
    <row r="38" spans="3:15">
      <c r="C38" s="357"/>
      <c r="G38" s="522"/>
      <c r="H38" s="77" t="s">
        <v>2620</v>
      </c>
      <c r="I38" s="364"/>
      <c r="J38" s="514"/>
      <c r="K38" s="77" t="s">
        <v>2621</v>
      </c>
      <c r="L38" s="2518"/>
      <c r="M38" s="514"/>
      <c r="N38" s="77" t="s">
        <v>4440</v>
      </c>
      <c r="O38" s="2518"/>
    </row>
    <row r="39" spans="3:15">
      <c r="C39" s="353"/>
      <c r="D39" s="62"/>
      <c r="E39" s="62"/>
      <c r="F39" s="62"/>
      <c r="G39" s="353"/>
      <c r="H39" s="62"/>
      <c r="I39" s="622"/>
      <c r="J39" s="353"/>
      <c r="K39" s="2787" t="s">
        <v>4442</v>
      </c>
      <c r="L39" s="2788" t="s">
        <v>4443</v>
      </c>
      <c r="M39" s="353"/>
      <c r="N39" s="62"/>
      <c r="O39" s="622"/>
    </row>
    <row r="40" spans="3:15" ht="15" thickBot="1">
      <c r="C40" s="363" t="s">
        <v>2182</v>
      </c>
      <c r="D40" s="62"/>
      <c r="E40" s="62"/>
      <c r="F40" s="60" t="s">
        <v>113</v>
      </c>
      <c r="G40" s="353"/>
      <c r="H40" s="62"/>
      <c r="I40" s="622"/>
      <c r="J40" s="353"/>
      <c r="K40" s="2789">
        <v>0</v>
      </c>
      <c r="L40" s="2790">
        <v>0</v>
      </c>
      <c r="M40" s="353"/>
      <c r="N40" s="62"/>
      <c r="O40" s="622"/>
    </row>
    <row r="41" spans="3:15">
      <c r="C41" s="363" t="s">
        <v>4515</v>
      </c>
      <c r="D41" s="60" t="s">
        <v>3174</v>
      </c>
      <c r="E41" s="60" t="s">
        <v>2052</v>
      </c>
      <c r="F41" s="364" t="s">
        <v>4444</v>
      </c>
      <c r="G41" s="363" t="s">
        <v>115</v>
      </c>
      <c r="H41" s="60" t="s">
        <v>119</v>
      </c>
      <c r="I41" s="767" t="s">
        <v>120</v>
      </c>
      <c r="J41" s="363" t="s">
        <v>115</v>
      </c>
      <c r="K41" s="60" t="s">
        <v>119</v>
      </c>
      <c r="L41" s="767" t="s">
        <v>120</v>
      </c>
      <c r="M41" s="363" t="s">
        <v>115</v>
      </c>
      <c r="N41" s="60" t="s">
        <v>119</v>
      </c>
      <c r="O41" s="767" t="s">
        <v>120</v>
      </c>
    </row>
    <row r="42" spans="3:15">
      <c r="C42" s="2791" t="s">
        <v>2175</v>
      </c>
      <c r="D42" s="2792" t="s">
        <v>2176</v>
      </c>
      <c r="E42" s="2792" t="s">
        <v>2177</v>
      </c>
      <c r="F42" s="2793" t="s">
        <v>2178</v>
      </c>
      <c r="G42" s="2792" t="s">
        <v>2179</v>
      </c>
      <c r="H42" s="2792" t="s">
        <v>2625</v>
      </c>
      <c r="I42" s="2793" t="s">
        <v>2626</v>
      </c>
      <c r="J42" s="2792" t="s">
        <v>2627</v>
      </c>
      <c r="K42" s="2792" t="s">
        <v>2628</v>
      </c>
      <c r="L42" s="2793" t="s">
        <v>2629</v>
      </c>
      <c r="M42" s="2792" t="s">
        <v>2630</v>
      </c>
      <c r="N42" s="2792" t="s">
        <v>4061</v>
      </c>
      <c r="O42" s="2793" t="s">
        <v>4062</v>
      </c>
    </row>
    <row r="43" spans="3:15">
      <c r="C43" s="357"/>
      <c r="G43" s="357" t="s">
        <v>9335</v>
      </c>
      <c r="I43" s="296"/>
      <c r="J43" s="357"/>
      <c r="L43" s="296"/>
      <c r="M43" s="357"/>
      <c r="O43" s="296"/>
    </row>
    <row r="44" spans="3:15">
      <c r="C44" s="526">
        <v>1</v>
      </c>
      <c r="E44" s="361" t="s">
        <v>4516</v>
      </c>
      <c r="G44" s="357"/>
      <c r="I44" s="296"/>
      <c r="J44" s="357"/>
      <c r="L44" s="296"/>
      <c r="M44" s="357"/>
      <c r="O44" s="296"/>
    </row>
    <row r="45" spans="3:15">
      <c r="C45" s="365">
        <v>2</v>
      </c>
      <c r="D45" t="s">
        <v>4446</v>
      </c>
      <c r="E45" t="s">
        <v>4505</v>
      </c>
      <c r="F45" s="33" t="s">
        <v>4067</v>
      </c>
      <c r="G45" s="620">
        <f>+SUMIFS('500s FERC Accounts'!E:E,'500s FERC Accounts'!C:C,500)/1000</f>
        <v>5637.3487871983998</v>
      </c>
      <c r="H45" s="513">
        <f>+G45</f>
        <v>5637.3487871983998</v>
      </c>
      <c r="I45" s="2588">
        <v>0</v>
      </c>
      <c r="J45" s="891">
        <f t="shared" ref="J45:J50" si="1">+SUM(K45:L45)</f>
        <v>0</v>
      </c>
      <c r="K45" s="513">
        <f t="shared" ref="K45:K50" si="2">+H45*$K$40</f>
        <v>0</v>
      </c>
      <c r="L45" s="513">
        <f t="shared" ref="L45:L50" si="3">+I45*$L$40</f>
        <v>0</v>
      </c>
      <c r="M45" s="891">
        <f t="shared" ref="M45:M50" si="4">+SUM(N45:O45)</f>
        <v>5637.3487871983998</v>
      </c>
      <c r="N45" s="513">
        <f t="shared" ref="N45:O50" si="5">+H45-K45</f>
        <v>5637.3487871983998</v>
      </c>
      <c r="O45" s="892">
        <f t="shared" si="5"/>
        <v>0</v>
      </c>
    </row>
    <row r="46" spans="3:15">
      <c r="C46" s="365">
        <v>3</v>
      </c>
      <c r="D46" s="2794" t="s">
        <v>9333</v>
      </c>
      <c r="E46" t="s">
        <v>4517</v>
      </c>
      <c r="F46" s="33" t="s">
        <v>4448</v>
      </c>
      <c r="G46" s="620">
        <f>+(SUMIFS('500s FERC Accounts'!E:E,'500s FERC Accounts'!C:C,502)/1000)-(SUMIFS($D$15:$D$27,$C$15:$C$27,502)/1000)-(D4/1000)</f>
        <v>6905.8144222127003</v>
      </c>
      <c r="H46" s="513">
        <f>+G46-I46</f>
        <v>4845.8144222127003</v>
      </c>
      <c r="I46" s="893">
        <f>+D6</f>
        <v>2060</v>
      </c>
      <c r="J46" s="891">
        <f t="shared" si="1"/>
        <v>0</v>
      </c>
      <c r="K46" s="513">
        <f t="shared" si="2"/>
        <v>0</v>
      </c>
      <c r="L46" s="513">
        <f t="shared" si="3"/>
        <v>0</v>
      </c>
      <c r="M46" s="891">
        <f t="shared" si="4"/>
        <v>6905.8144222127003</v>
      </c>
      <c r="N46" s="513">
        <f t="shared" si="5"/>
        <v>4845.8144222127003</v>
      </c>
      <c r="O46" s="892">
        <f t="shared" si="5"/>
        <v>2060</v>
      </c>
    </row>
    <row r="47" spans="3:15">
      <c r="C47" s="365">
        <v>4</v>
      </c>
      <c r="D47" s="2794" t="s">
        <v>9334</v>
      </c>
      <c r="E47" t="s">
        <v>4518</v>
      </c>
      <c r="F47" s="33" t="s">
        <v>2067</v>
      </c>
      <c r="G47" s="620">
        <f>+(SUMIFS('500s FERC Accounts'!E:E,'500s FERC Accounts'!C:C,503)/1000)-(SUMIFS($D$15:$D$27,$C$15:$C$27,503)/1000)</f>
        <v>0</v>
      </c>
      <c r="H47" s="2587">
        <v>0</v>
      </c>
      <c r="I47" s="892">
        <f>+G47</f>
        <v>0</v>
      </c>
      <c r="J47" s="891">
        <f t="shared" si="1"/>
        <v>0</v>
      </c>
      <c r="K47" s="513">
        <f t="shared" si="2"/>
        <v>0</v>
      </c>
      <c r="L47" s="513">
        <f t="shared" si="3"/>
        <v>0</v>
      </c>
      <c r="M47" s="891">
        <f t="shared" si="4"/>
        <v>0</v>
      </c>
      <c r="N47" s="513">
        <f t="shared" si="5"/>
        <v>0</v>
      </c>
      <c r="O47" s="892">
        <f t="shared" si="5"/>
        <v>0</v>
      </c>
    </row>
    <row r="48" spans="3:15">
      <c r="C48" s="365">
        <v>5</v>
      </c>
      <c r="D48" t="s">
        <v>4450</v>
      </c>
      <c r="E48" t="s">
        <v>4519</v>
      </c>
      <c r="F48" s="33" t="s">
        <v>4067</v>
      </c>
      <c r="G48" s="620">
        <f>+(SUMIFS('500s FERC Accounts'!E:E,'500s FERC Accounts'!C:C,505)/1000)-(SUMIFS($D$15:$D$27,$C$15:$C$27,505)/1000)</f>
        <v>2242.7791811436</v>
      </c>
      <c r="H48" s="513">
        <f>+G48</f>
        <v>2242.7791811436</v>
      </c>
      <c r="I48" s="2588">
        <v>0</v>
      </c>
      <c r="J48" s="891">
        <f t="shared" si="1"/>
        <v>0</v>
      </c>
      <c r="K48" s="513">
        <f t="shared" si="2"/>
        <v>0</v>
      </c>
      <c r="L48" s="513">
        <f t="shared" si="3"/>
        <v>0</v>
      </c>
      <c r="M48" s="891">
        <f t="shared" si="4"/>
        <v>2242.7791811436</v>
      </c>
      <c r="N48" s="513">
        <f t="shared" si="5"/>
        <v>2242.7791811436</v>
      </c>
      <c r="O48" s="892">
        <f t="shared" si="5"/>
        <v>0</v>
      </c>
    </row>
    <row r="49" spans="3:15">
      <c r="C49" s="365">
        <v>6</v>
      </c>
      <c r="D49" t="s">
        <v>4452</v>
      </c>
      <c r="E49" t="s">
        <v>4520</v>
      </c>
      <c r="F49" s="33" t="s">
        <v>4067</v>
      </c>
      <c r="G49" s="620">
        <f>+(SUMIFS('500s FERC Accounts'!E:E,'500s FERC Accounts'!C:C,506)/1000)-(SUMIFS($D$15:$D$27,$C$15:$C$27,506)/1000)</f>
        <v>4698.7730325933999</v>
      </c>
      <c r="H49" s="513">
        <f>+G49</f>
        <v>4698.7730325933999</v>
      </c>
      <c r="I49" s="2588">
        <v>0</v>
      </c>
      <c r="J49" s="891">
        <f t="shared" si="1"/>
        <v>0</v>
      </c>
      <c r="K49" s="513">
        <f t="shared" si="2"/>
        <v>0</v>
      </c>
      <c r="L49" s="513">
        <f t="shared" si="3"/>
        <v>0</v>
      </c>
      <c r="M49" s="891">
        <f t="shared" si="4"/>
        <v>4698.7730325933999</v>
      </c>
      <c r="N49" s="513">
        <f t="shared" si="5"/>
        <v>4698.7730325933999</v>
      </c>
      <c r="O49" s="892">
        <f t="shared" si="5"/>
        <v>0</v>
      </c>
    </row>
    <row r="50" spans="3:15">
      <c r="C50" s="365">
        <v>7</v>
      </c>
      <c r="D50" t="s">
        <v>4454</v>
      </c>
      <c r="E50" t="s">
        <v>4508</v>
      </c>
      <c r="F50" s="33" t="s">
        <v>4067</v>
      </c>
      <c r="G50" s="620">
        <f>+(SUMIFS('500s FERC Accounts'!E:E,'500s FERC Accounts'!C:C,507)/1000)-(SUMIFS($D$15:$D$27,$C$15:$C$27,507)/1000)</f>
        <v>24</v>
      </c>
      <c r="H50" s="513">
        <f>+G50</f>
        <v>24</v>
      </c>
      <c r="I50" s="2588">
        <v>0</v>
      </c>
      <c r="J50" s="891">
        <f t="shared" si="1"/>
        <v>0</v>
      </c>
      <c r="K50" s="513">
        <f t="shared" si="2"/>
        <v>0</v>
      </c>
      <c r="L50" s="513">
        <f t="shared" si="3"/>
        <v>0</v>
      </c>
      <c r="M50" s="891">
        <f t="shared" si="4"/>
        <v>24</v>
      </c>
      <c r="N50" s="1867">
        <f t="shared" si="5"/>
        <v>24</v>
      </c>
      <c r="O50" s="892">
        <f t="shared" si="5"/>
        <v>0</v>
      </c>
    </row>
    <row r="51" spans="3:15">
      <c r="C51" s="365">
        <v>8</v>
      </c>
      <c r="F51" s="33"/>
      <c r="G51" s="620"/>
      <c r="H51" s="513"/>
      <c r="I51" s="892"/>
      <c r="J51" s="891"/>
      <c r="K51" s="513"/>
      <c r="L51" s="513"/>
      <c r="M51" s="891"/>
      <c r="N51" s="513"/>
      <c r="O51" s="892"/>
    </row>
    <row r="52" spans="3:15">
      <c r="C52" s="365">
        <v>9</v>
      </c>
      <c r="E52" s="361" t="s">
        <v>4521</v>
      </c>
      <c r="F52" s="33"/>
      <c r="G52" s="894"/>
      <c r="H52" s="513"/>
      <c r="I52" s="892"/>
      <c r="J52" s="891"/>
      <c r="K52" s="513"/>
      <c r="L52" s="513"/>
      <c r="M52" s="891"/>
      <c r="N52" s="513"/>
      <c r="O52" s="892"/>
    </row>
    <row r="53" spans="3:15">
      <c r="C53" s="365">
        <v>10</v>
      </c>
      <c r="D53" t="s">
        <v>4456</v>
      </c>
      <c r="E53" t="s">
        <v>4509</v>
      </c>
      <c r="F53" s="290" t="s">
        <v>4458</v>
      </c>
      <c r="G53" s="620">
        <f>+(SUMIFS('500s FERC Accounts'!E:E,'500s FERC Accounts'!C:C,510)/1000)-(SUMIFS($D$15:$D$27,$C$15:$C$27,510)/1000)</f>
        <v>0</v>
      </c>
      <c r="H53" s="513">
        <f>+G53*$H$77</f>
        <v>0</v>
      </c>
      <c r="I53" s="892">
        <f>+G53*I77</f>
        <v>0</v>
      </c>
      <c r="J53" s="891">
        <f>+SUM(K53:L53)</f>
        <v>0</v>
      </c>
      <c r="K53" s="513">
        <f>+H53*$K$40</f>
        <v>0</v>
      </c>
      <c r="L53" s="513">
        <f>+I53*$L$40</f>
        <v>0</v>
      </c>
      <c r="M53" s="891">
        <f>+SUM(N53:O53)</f>
        <v>0</v>
      </c>
      <c r="N53" s="513">
        <f t="shared" ref="N53:O57" si="6">+H53-K53</f>
        <v>0</v>
      </c>
      <c r="O53" s="892">
        <f t="shared" si="6"/>
        <v>0</v>
      </c>
    </row>
    <row r="54" spans="3:15">
      <c r="C54" s="365">
        <v>11</v>
      </c>
      <c r="D54" t="s">
        <v>4459</v>
      </c>
      <c r="E54" t="s">
        <v>4510</v>
      </c>
      <c r="F54" s="33" t="s">
        <v>4067</v>
      </c>
      <c r="G54" s="620">
        <f>+(SUMIFS('500s FERC Accounts'!E:E,'500s FERC Accounts'!C:C,511)/1000)-(SUMIFS($D$15:$D$27,$C$15:$C$27,511)/1000)</f>
        <v>3809.8985669689</v>
      </c>
      <c r="H54" s="513">
        <f>+G54</f>
        <v>3809.8985669689</v>
      </c>
      <c r="I54" s="2588">
        <v>0</v>
      </c>
      <c r="J54" s="891">
        <f>+SUM(K54:L54)</f>
        <v>0</v>
      </c>
      <c r="K54" s="513">
        <f>+H54*$K$40</f>
        <v>0</v>
      </c>
      <c r="L54" s="513">
        <f>+I54*$L$40</f>
        <v>0</v>
      </c>
      <c r="M54" s="891">
        <f>+SUM(N54:O54)</f>
        <v>3809.8985669689</v>
      </c>
      <c r="N54" s="513">
        <f t="shared" si="6"/>
        <v>3809.8985669689</v>
      </c>
      <c r="O54" s="892">
        <f t="shared" si="6"/>
        <v>0</v>
      </c>
    </row>
    <row r="55" spans="3:15">
      <c r="C55" s="365">
        <v>12</v>
      </c>
      <c r="D55" t="s">
        <v>4461</v>
      </c>
      <c r="E55" t="s">
        <v>4522</v>
      </c>
      <c r="F55" s="33" t="s">
        <v>2067</v>
      </c>
      <c r="G55" s="620">
        <f>+(SUMIFS('500s FERC Accounts'!E:E,'500s FERC Accounts'!C:C,512)/1000)-(SUMIFS($D$15:$D$27,$C$15:$C$27,512)/1000)</f>
        <v>19376.890856226801</v>
      </c>
      <c r="H55" s="2587">
        <v>0</v>
      </c>
      <c r="I55" s="892">
        <f>+G55</f>
        <v>19376.890856226801</v>
      </c>
      <c r="J55" s="891">
        <f>+SUM(K55:L55)</f>
        <v>0</v>
      </c>
      <c r="K55" s="513">
        <f>+H55*$K$40</f>
        <v>0</v>
      </c>
      <c r="L55" s="513">
        <f>+I55*$L$40</f>
        <v>0</v>
      </c>
      <c r="M55" s="891">
        <f>+SUM(N55:O55)</f>
        <v>19376.890856226801</v>
      </c>
      <c r="N55" s="513">
        <f t="shared" si="6"/>
        <v>0</v>
      </c>
      <c r="O55" s="892">
        <f t="shared" si="6"/>
        <v>19376.890856226801</v>
      </c>
    </row>
    <row r="56" spans="3:15">
      <c r="C56" s="365">
        <v>13</v>
      </c>
      <c r="D56" t="s">
        <v>4463</v>
      </c>
      <c r="E56" t="s">
        <v>4523</v>
      </c>
      <c r="F56" s="33" t="s">
        <v>2067</v>
      </c>
      <c r="G56" s="620">
        <f>+(SUMIFS('500s FERC Accounts'!E:E,'500s FERC Accounts'!C:C,513)/1000)-(SUMIFS($D$15:$D$27,$C$15:$C$27,513)/1000)</f>
        <v>2015.8927262215</v>
      </c>
      <c r="H56" s="2587">
        <v>0</v>
      </c>
      <c r="I56" s="892">
        <f>+G56</f>
        <v>2015.8927262215</v>
      </c>
      <c r="J56" s="891">
        <f>+SUM(K56:L56)</f>
        <v>0</v>
      </c>
      <c r="K56" s="513">
        <f>+H56*$K$40</f>
        <v>0</v>
      </c>
      <c r="L56" s="513">
        <f>+I56*$L$40</f>
        <v>0</v>
      </c>
      <c r="M56" s="891">
        <f>+SUM(N56:O56)</f>
        <v>2015.8927262215</v>
      </c>
      <c r="N56" s="513">
        <f t="shared" si="6"/>
        <v>0</v>
      </c>
      <c r="O56" s="892">
        <f t="shared" si="6"/>
        <v>2015.8927262215</v>
      </c>
    </row>
    <row r="57" spans="3:15">
      <c r="C57" s="365">
        <v>14</v>
      </c>
      <c r="D57" t="s">
        <v>4465</v>
      </c>
      <c r="E57" t="s">
        <v>4524</v>
      </c>
      <c r="F57" s="33" t="s">
        <v>2067</v>
      </c>
      <c r="G57" s="620">
        <f>+(SUMIFS('500s FERC Accounts'!E:E,'500s FERC Accounts'!C:C,514)/1000)-(SUMIFS($D$15:$D$27,$C$15:$C$27,514)/1000)</f>
        <v>2015.8927262215</v>
      </c>
      <c r="H57" s="2587">
        <v>0</v>
      </c>
      <c r="I57" s="892">
        <f>+G57</f>
        <v>2015.8927262215</v>
      </c>
      <c r="J57" s="891">
        <f>+SUM(K57:L57)</f>
        <v>0</v>
      </c>
      <c r="K57" s="513">
        <f>+H57*$K$40</f>
        <v>0</v>
      </c>
      <c r="L57" s="513">
        <f>+I57*$L$40</f>
        <v>0</v>
      </c>
      <c r="M57" s="891">
        <f>+SUM(N57:O57)</f>
        <v>2015.8927262215</v>
      </c>
      <c r="N57" s="513">
        <f t="shared" si="6"/>
        <v>0</v>
      </c>
      <c r="O57" s="892">
        <f t="shared" si="6"/>
        <v>2015.8927262215</v>
      </c>
    </row>
    <row r="58" spans="3:15">
      <c r="C58" s="365">
        <v>15</v>
      </c>
      <c r="E58" s="62" t="s">
        <v>4525</v>
      </c>
      <c r="F58" s="33"/>
      <c r="G58" s="895">
        <f t="shared" ref="G58:O58" si="7">+SUM(G45:G57)</f>
        <v>46727.2902987868</v>
      </c>
      <c r="H58" s="896">
        <f t="shared" si="7"/>
        <v>21258.613990116999</v>
      </c>
      <c r="I58" s="896">
        <f t="shared" si="7"/>
        <v>25468.676308669801</v>
      </c>
      <c r="J58" s="895">
        <f t="shared" si="7"/>
        <v>0</v>
      </c>
      <c r="K58" s="896">
        <f t="shared" si="7"/>
        <v>0</v>
      </c>
      <c r="L58" s="896">
        <f t="shared" si="7"/>
        <v>0</v>
      </c>
      <c r="M58" s="895">
        <f t="shared" si="7"/>
        <v>46727.2902987868</v>
      </c>
      <c r="N58" s="896">
        <f t="shared" si="7"/>
        <v>21258.613990116999</v>
      </c>
      <c r="O58" s="897">
        <f t="shared" si="7"/>
        <v>25468.676308669801</v>
      </c>
    </row>
    <row r="59" spans="3:15">
      <c r="C59" s="365">
        <v>16</v>
      </c>
      <c r="E59" s="62"/>
      <c r="F59" s="33"/>
      <c r="G59" s="898"/>
      <c r="H59" s="758"/>
      <c r="I59" s="758"/>
      <c r="J59" s="898"/>
      <c r="K59" s="758"/>
      <c r="L59" s="758"/>
      <c r="M59" s="898"/>
      <c r="N59" s="758"/>
      <c r="O59" s="899"/>
    </row>
    <row r="60" spans="3:15">
      <c r="C60" s="365">
        <v>17</v>
      </c>
      <c r="E60" s="361" t="s">
        <v>4526</v>
      </c>
      <c r="F60" s="33"/>
      <c r="G60" s="900"/>
      <c r="H60" s="901"/>
      <c r="I60" s="892"/>
      <c r="J60" s="891"/>
      <c r="K60" s="513"/>
      <c r="L60" s="892"/>
      <c r="M60" s="891"/>
      <c r="N60" s="513"/>
      <c r="O60" s="892"/>
    </row>
    <row r="61" spans="3:15">
      <c r="C61" s="365">
        <v>18</v>
      </c>
      <c r="D61" t="s">
        <v>4468</v>
      </c>
      <c r="E61" t="s">
        <v>4505</v>
      </c>
      <c r="F61" s="33" t="s">
        <v>4448</v>
      </c>
      <c r="G61" s="620">
        <f>+(SUMIFS('500s FERC Accounts'!E:E,'500s FERC Accounts'!C:C,546)/1000)-(SUMIFS($D$15:$D$27,$C$15:$C$27,546)/1000)</f>
        <v>0</v>
      </c>
      <c r="H61" s="513">
        <f>+G61-I61</f>
        <v>0</v>
      </c>
      <c r="I61" s="2588">
        <v>0</v>
      </c>
      <c r="J61" s="891">
        <f t="shared" ref="J61:J69" si="8">+SUM(K61:L61)</f>
        <v>0</v>
      </c>
      <c r="K61" s="513">
        <f t="shared" ref="K61:K69" si="9">+H61*$K$40</f>
        <v>0</v>
      </c>
      <c r="L61" s="513">
        <f t="shared" ref="L61:L69" si="10">+I61*$L$40</f>
        <v>0</v>
      </c>
      <c r="M61" s="891">
        <f t="shared" ref="M61:M69" si="11">+SUM(N61:O61)</f>
        <v>0</v>
      </c>
      <c r="N61" s="513">
        <f t="shared" ref="N61:N69" si="12">+H61-K61</f>
        <v>0</v>
      </c>
      <c r="O61" s="892">
        <f t="shared" ref="O61:O69" si="13">+I61-L61</f>
        <v>0</v>
      </c>
    </row>
    <row r="62" spans="3:15">
      <c r="C62" s="365">
        <v>19</v>
      </c>
      <c r="D62" s="945" t="s">
        <v>4469</v>
      </c>
      <c r="E62" t="s">
        <v>4506</v>
      </c>
      <c r="F62" s="33" t="s">
        <v>4448</v>
      </c>
      <c r="G62" s="620">
        <f>+(SUMIFS('500s FERC Accounts'!E:E,'500s FERC Accounts'!C:C,548)/1000)-(SUMIFS($D$15:$D$27,$C$15:$C$27,548)/1000)</f>
        <v>28929.502963342296</v>
      </c>
      <c r="H62" s="513">
        <f t="shared" ref="H62:H69" si="14">+G62-I62</f>
        <v>28929.502963342296</v>
      </c>
      <c r="I62" s="2588">
        <v>0</v>
      </c>
      <c r="J62" s="891">
        <f t="shared" si="8"/>
        <v>0</v>
      </c>
      <c r="K62" s="513">
        <f t="shared" si="9"/>
        <v>0</v>
      </c>
      <c r="L62" s="513">
        <f t="shared" si="10"/>
        <v>0</v>
      </c>
      <c r="M62" s="891">
        <f t="shared" si="11"/>
        <v>28929.502963342296</v>
      </c>
      <c r="N62" s="513">
        <f t="shared" si="12"/>
        <v>28929.502963342296</v>
      </c>
      <c r="O62" s="892">
        <f t="shared" si="13"/>
        <v>0</v>
      </c>
    </row>
    <row r="63" spans="3:15">
      <c r="C63" s="365">
        <v>20</v>
      </c>
      <c r="D63" s="945" t="s">
        <v>4471</v>
      </c>
      <c r="E63" t="s">
        <v>4507</v>
      </c>
      <c r="F63" s="33" t="s">
        <v>4448</v>
      </c>
      <c r="G63" s="620">
        <f>+(SUMIFS('500s FERC Accounts'!E:E,'500s FERC Accounts'!C:C,549)/1000)-(SUMIFS($D$15:$D$27,$C$15:$C$27,549)/1000)</f>
        <v>9314.8392781143011</v>
      </c>
      <c r="H63" s="513">
        <f t="shared" si="14"/>
        <v>9314.8392781143011</v>
      </c>
      <c r="I63" s="2588">
        <v>0</v>
      </c>
      <c r="J63" s="891">
        <f t="shared" si="8"/>
        <v>0</v>
      </c>
      <c r="K63" s="513">
        <f t="shared" si="9"/>
        <v>0</v>
      </c>
      <c r="L63" s="513">
        <f t="shared" si="10"/>
        <v>0</v>
      </c>
      <c r="M63" s="891">
        <f t="shared" si="11"/>
        <v>9314.8392781143011</v>
      </c>
      <c r="N63" s="513">
        <f t="shared" si="12"/>
        <v>9314.8392781143011</v>
      </c>
      <c r="O63" s="892">
        <f t="shared" si="13"/>
        <v>0</v>
      </c>
    </row>
    <row r="64" spans="3:15">
      <c r="C64" s="365">
        <v>21</v>
      </c>
      <c r="D64" t="s">
        <v>4473</v>
      </c>
      <c r="E64" t="s">
        <v>4508</v>
      </c>
      <c r="F64" s="33" t="s">
        <v>4067</v>
      </c>
      <c r="G64" s="620">
        <f>+(SUMIFS('500s FERC Accounts'!E:E,'500s FERC Accounts'!C:C,550)/1000)-(SUMIFS($D$15:$D$27,$C$15:$C$27,550)/1000)</f>
        <v>0</v>
      </c>
      <c r="H64" s="513">
        <f t="shared" si="14"/>
        <v>0</v>
      </c>
      <c r="I64" s="2588">
        <v>0</v>
      </c>
      <c r="J64" s="891">
        <f t="shared" si="8"/>
        <v>0</v>
      </c>
      <c r="K64" s="513">
        <f t="shared" si="9"/>
        <v>0</v>
      </c>
      <c r="L64" s="513">
        <f t="shared" si="10"/>
        <v>0</v>
      </c>
      <c r="M64" s="891">
        <f t="shared" si="11"/>
        <v>0</v>
      </c>
      <c r="N64" s="513">
        <f t="shared" si="12"/>
        <v>0</v>
      </c>
      <c r="O64" s="892">
        <f t="shared" si="13"/>
        <v>0</v>
      </c>
    </row>
    <row r="65" spans="3:15">
      <c r="C65" s="365">
        <v>22</v>
      </c>
      <c r="D65" t="s">
        <v>4474</v>
      </c>
      <c r="E65" t="s">
        <v>4509</v>
      </c>
      <c r="F65" s="33" t="s">
        <v>2067</v>
      </c>
      <c r="G65" s="620">
        <f>+(SUMIFS('500s FERC Accounts'!E:E,'500s FERC Accounts'!C:C,551)/1000)-(SUMIFS($D$15:$D$27,$C$15:$C$27,551)/1000)</f>
        <v>0</v>
      </c>
      <c r="H65" s="513">
        <f>+G65-I65</f>
        <v>0</v>
      </c>
      <c r="I65" s="902">
        <f>+G65</f>
        <v>0</v>
      </c>
      <c r="J65" s="891">
        <f t="shared" si="8"/>
        <v>0</v>
      </c>
      <c r="K65" s="513">
        <f t="shared" si="9"/>
        <v>0</v>
      </c>
      <c r="L65" s="513">
        <f t="shared" si="10"/>
        <v>0</v>
      </c>
      <c r="M65" s="891">
        <f t="shared" si="11"/>
        <v>0</v>
      </c>
      <c r="N65" s="513">
        <f t="shared" si="12"/>
        <v>0</v>
      </c>
      <c r="O65" s="892">
        <f t="shared" si="13"/>
        <v>0</v>
      </c>
    </row>
    <row r="66" spans="3:15">
      <c r="C66" s="365">
        <v>23</v>
      </c>
      <c r="D66" s="945" t="s">
        <v>4475</v>
      </c>
      <c r="E66" t="s">
        <v>4510</v>
      </c>
      <c r="F66" s="33" t="s">
        <v>2067</v>
      </c>
      <c r="G66" s="620">
        <f>+(SUMIFS('500s FERC Accounts'!E:E,'500s FERC Accounts'!C:C,552)/1000)-(SUMIFS($D$15:$D$27,$C$15:$C$27,552)/1000)</f>
        <v>1878.5197654971</v>
      </c>
      <c r="H66" s="513">
        <f>+G66-I66</f>
        <v>0</v>
      </c>
      <c r="I66" s="902">
        <f>+G66</f>
        <v>1878.5197654971</v>
      </c>
      <c r="J66" s="891">
        <f t="shared" si="8"/>
        <v>0</v>
      </c>
      <c r="K66" s="513">
        <f t="shared" si="9"/>
        <v>0</v>
      </c>
      <c r="L66" s="513">
        <f t="shared" si="10"/>
        <v>0</v>
      </c>
      <c r="M66" s="891">
        <f t="shared" si="11"/>
        <v>1878.5197654971</v>
      </c>
      <c r="N66" s="513">
        <f t="shared" si="12"/>
        <v>0</v>
      </c>
      <c r="O66" s="892">
        <f t="shared" si="13"/>
        <v>1878.5197654971</v>
      </c>
    </row>
    <row r="67" spans="3:15">
      <c r="C67" s="365">
        <v>24</v>
      </c>
      <c r="D67" t="s">
        <v>4477</v>
      </c>
      <c r="E67" t="s">
        <v>4511</v>
      </c>
      <c r="F67" s="33" t="s">
        <v>4448</v>
      </c>
      <c r="G67" s="620">
        <f>+(SUMIFS('500s FERC Accounts'!E:E,'500s FERC Accounts'!C:C,553)/1000)-(SUMIFS($D$15:$D$27,$C$15:$C$27,553)/1000)</f>
        <v>37241.383476004899</v>
      </c>
      <c r="H67" s="513">
        <f t="shared" si="14"/>
        <v>36544.826626004899</v>
      </c>
      <c r="I67" s="902">
        <f>+(D8+D9)/1000</f>
        <v>696.55684999999994</v>
      </c>
      <c r="J67" s="891">
        <f t="shared" si="8"/>
        <v>0</v>
      </c>
      <c r="K67" s="513">
        <f t="shared" si="9"/>
        <v>0</v>
      </c>
      <c r="L67" s="513">
        <f t="shared" si="10"/>
        <v>0</v>
      </c>
      <c r="M67" s="891">
        <f t="shared" si="11"/>
        <v>37241.383476004899</v>
      </c>
      <c r="N67" s="513">
        <f t="shared" si="12"/>
        <v>36544.826626004899</v>
      </c>
      <c r="O67" s="892">
        <f t="shared" si="13"/>
        <v>696.55684999999994</v>
      </c>
    </row>
    <row r="68" spans="3:15">
      <c r="C68" s="365">
        <v>25</v>
      </c>
      <c r="D68" t="s">
        <v>4479</v>
      </c>
      <c r="E68" t="s">
        <v>4512</v>
      </c>
      <c r="F68" s="33" t="s">
        <v>2067</v>
      </c>
      <c r="G68" s="620">
        <f>+(SUMIFS('500s FERC Accounts'!E:E,'500s FERC Accounts'!C:C,554)/1000)-(SUMIFS($D$15:$D$27,$C$15:$C$27,554)/1000)</f>
        <v>1266.4336845978</v>
      </c>
      <c r="H68" s="513">
        <f t="shared" si="14"/>
        <v>0</v>
      </c>
      <c r="I68" s="902">
        <f>+G68</f>
        <v>1266.4336845978</v>
      </c>
      <c r="J68" s="891">
        <f t="shared" si="8"/>
        <v>0</v>
      </c>
      <c r="K68" s="513">
        <f t="shared" si="9"/>
        <v>0</v>
      </c>
      <c r="L68" s="513">
        <f t="shared" si="10"/>
        <v>0</v>
      </c>
      <c r="M68" s="891">
        <f t="shared" si="11"/>
        <v>1266.4336845978</v>
      </c>
      <c r="N68" s="513">
        <f t="shared" si="12"/>
        <v>0</v>
      </c>
      <c r="O68" s="892">
        <f t="shared" si="13"/>
        <v>1266.4336845978</v>
      </c>
    </row>
    <row r="69" spans="3:15">
      <c r="C69" s="365">
        <v>26</v>
      </c>
      <c r="D69" t="s">
        <v>4481</v>
      </c>
      <c r="E69" t="s">
        <v>4513</v>
      </c>
      <c r="F69" s="33" t="s">
        <v>4067</v>
      </c>
      <c r="G69" s="620">
        <f>+(SUMIFS('500s FERC Accounts'!E:E,'500s FERC Accounts'!C:C,556)/1000)-(SUMIFS($D$15:$D$27,$C$15:$C$27,556)/1000)</f>
        <v>-955.7101773034999</v>
      </c>
      <c r="H69" s="513">
        <f t="shared" si="14"/>
        <v>-955.7101773034999</v>
      </c>
      <c r="I69" s="2588">
        <v>0</v>
      </c>
      <c r="J69" s="891">
        <f t="shared" si="8"/>
        <v>0</v>
      </c>
      <c r="K69" s="513">
        <f t="shared" si="9"/>
        <v>0</v>
      </c>
      <c r="L69" s="513">
        <f t="shared" si="10"/>
        <v>0</v>
      </c>
      <c r="M69" s="891">
        <f t="shared" si="11"/>
        <v>-955.7101773034999</v>
      </c>
      <c r="N69" s="513">
        <f t="shared" si="12"/>
        <v>-955.7101773034999</v>
      </c>
      <c r="O69" s="892">
        <f t="shared" si="13"/>
        <v>0</v>
      </c>
    </row>
    <row r="70" spans="3:15">
      <c r="C70" s="365">
        <v>27</v>
      </c>
      <c r="E70" s="62" t="s">
        <v>4527</v>
      </c>
      <c r="G70" s="895">
        <f t="shared" ref="G70:O70" si="15">+SUM(G61:G69)</f>
        <v>77674.968990252892</v>
      </c>
      <c r="H70" s="896">
        <f t="shared" si="15"/>
        <v>73833.458690158004</v>
      </c>
      <c r="I70" s="897">
        <f t="shared" si="15"/>
        <v>3841.5103000948998</v>
      </c>
      <c r="J70" s="895">
        <f t="shared" si="15"/>
        <v>0</v>
      </c>
      <c r="K70" s="896">
        <f t="shared" si="15"/>
        <v>0</v>
      </c>
      <c r="L70" s="897">
        <f t="shared" si="15"/>
        <v>0</v>
      </c>
      <c r="M70" s="895">
        <f t="shared" si="15"/>
        <v>77674.968990252892</v>
      </c>
      <c r="N70" s="896">
        <f t="shared" si="15"/>
        <v>73833.458690158004</v>
      </c>
      <c r="O70" s="897">
        <f t="shared" si="15"/>
        <v>3841.5103000948998</v>
      </c>
    </row>
    <row r="71" spans="3:15">
      <c r="C71" s="365">
        <v>28</v>
      </c>
      <c r="D71" t="s">
        <v>4195</v>
      </c>
      <c r="G71" s="898"/>
      <c r="H71" s="2795"/>
      <c r="I71" s="899"/>
      <c r="J71" s="898"/>
      <c r="K71" s="758"/>
      <c r="L71" s="899"/>
      <c r="M71" s="891"/>
      <c r="N71" s="513"/>
      <c r="O71" s="892"/>
    </row>
    <row r="72" spans="3:15">
      <c r="C72" s="365">
        <v>29</v>
      </c>
      <c r="E72" s="62" t="s">
        <v>4528</v>
      </c>
      <c r="G72" s="2796">
        <f t="shared" ref="G72:O72" si="16">+G58+G70</f>
        <v>124402.25928903969</v>
      </c>
      <c r="H72" s="2797">
        <f t="shared" si="16"/>
        <v>95092.072680275</v>
      </c>
      <c r="I72" s="2798">
        <f t="shared" si="16"/>
        <v>29310.186608764699</v>
      </c>
      <c r="J72" s="2796">
        <f t="shared" si="16"/>
        <v>0</v>
      </c>
      <c r="K72" s="2797">
        <f t="shared" si="16"/>
        <v>0</v>
      </c>
      <c r="L72" s="2798">
        <f t="shared" si="16"/>
        <v>0</v>
      </c>
      <c r="M72" s="2796">
        <f t="shared" si="16"/>
        <v>124402.25928903969</v>
      </c>
      <c r="N72" s="2797">
        <f t="shared" si="16"/>
        <v>95092.072680275</v>
      </c>
      <c r="O72" s="2798">
        <f t="shared" si="16"/>
        <v>29310.186608764699</v>
      </c>
    </row>
    <row r="73" spans="3:15" ht="15" thickBot="1">
      <c r="C73" s="365">
        <v>30</v>
      </c>
      <c r="J73" s="854"/>
      <c r="K73" s="854"/>
      <c r="L73" s="854"/>
      <c r="M73" s="854"/>
      <c r="N73" s="854"/>
      <c r="O73" s="904"/>
    </row>
    <row r="74" spans="3:15">
      <c r="C74" s="365">
        <v>31</v>
      </c>
      <c r="E74" s="2799" t="s">
        <v>4529</v>
      </c>
      <c r="F74" s="2800"/>
      <c r="G74" s="2801"/>
      <c r="H74" s="2802" t="s">
        <v>4486</v>
      </c>
      <c r="I74" s="2802" t="s">
        <v>4486</v>
      </c>
      <c r="J74" s="905"/>
      <c r="K74" s="905"/>
      <c r="L74" s="905"/>
      <c r="M74" s="905"/>
      <c r="N74" s="906"/>
      <c r="O74" s="858"/>
    </row>
    <row r="75" spans="3:15">
      <c r="C75" s="365">
        <v>32</v>
      </c>
      <c r="E75" s="98" t="s">
        <v>4487</v>
      </c>
      <c r="G75" s="290" t="s">
        <v>122</v>
      </c>
      <c r="H75" s="290" t="s">
        <v>2623</v>
      </c>
      <c r="I75" s="290" t="s">
        <v>2624</v>
      </c>
      <c r="J75" s="854"/>
      <c r="K75" s="854"/>
      <c r="L75" s="854"/>
      <c r="M75" s="854"/>
      <c r="N75" s="857"/>
      <c r="O75" s="858"/>
    </row>
    <row r="76" spans="3:15">
      <c r="C76" s="365">
        <v>33</v>
      </c>
      <c r="E76" s="98" t="s">
        <v>4530</v>
      </c>
      <c r="G76" s="162">
        <f>+SUM(H76:I76)</f>
        <v>27218.5748756387</v>
      </c>
      <c r="H76" s="162">
        <f>+G54</f>
        <v>3809.8985669689</v>
      </c>
      <c r="I76" s="162">
        <f>+SUM(G55:G57)</f>
        <v>23408.676308669801</v>
      </c>
      <c r="J76" s="854"/>
      <c r="K76" s="854"/>
      <c r="L76" s="854"/>
      <c r="M76" s="854"/>
      <c r="N76" s="857"/>
      <c r="O76" s="858"/>
    </row>
    <row r="77" spans="3:15" ht="15" thickBot="1">
      <c r="C77" s="365">
        <v>34</v>
      </c>
      <c r="E77" s="2803" t="s">
        <v>4531</v>
      </c>
      <c r="F77" s="41" t="s">
        <v>4458</v>
      </c>
      <c r="G77" s="2804">
        <f>+SUM(H77:I77)</f>
        <v>1</v>
      </c>
      <c r="H77" s="2805">
        <f>+H76/G76</f>
        <v>0.13997421188935405</v>
      </c>
      <c r="I77" s="2805">
        <f>+I76/G76</f>
        <v>0.86002578811064601</v>
      </c>
      <c r="J77" s="861"/>
      <c r="K77" s="861"/>
      <c r="L77" s="861"/>
      <c r="M77" s="861"/>
      <c r="N77" s="862"/>
      <c r="O77" s="858"/>
    </row>
    <row r="78" spans="3:15">
      <c r="C78" s="462"/>
      <c r="D78" s="297"/>
      <c r="E78" s="297"/>
      <c r="F78" s="297"/>
      <c r="G78" s="297"/>
      <c r="H78" s="297"/>
      <c r="I78" s="297"/>
      <c r="J78" s="297"/>
      <c r="K78" s="297"/>
      <c r="L78" s="297"/>
      <c r="M78" s="297"/>
      <c r="N78" s="297"/>
      <c r="O78" s="298"/>
    </row>
  </sheetData>
  <mergeCells count="2">
    <mergeCell ref="G34:I34"/>
    <mergeCell ref="G35:I3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C2:AA273"/>
  <sheetViews>
    <sheetView tabSelected="1" showOutlineSymbols="0"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1962" t="s">
        <v>116</v>
      </c>
    </row>
    <row r="3" spans="3:7" ht="15" thickBot="1">
      <c r="C3" s="1962"/>
    </row>
    <row r="4" spans="3:7" ht="15" thickBot="1">
      <c r="C4" s="2806" t="s">
        <v>35</v>
      </c>
      <c r="D4" s="2514" t="s">
        <v>4536</v>
      </c>
    </row>
    <row r="5" spans="3:7">
      <c r="C5" s="2806" t="s">
        <v>4490</v>
      </c>
      <c r="D5" s="2807">
        <f>3672087.8731209</f>
        <v>3672087.8731208998</v>
      </c>
    </row>
    <row r="6" spans="3:7">
      <c r="C6" s="117" t="s">
        <v>6892</v>
      </c>
      <c r="D6" s="2705">
        <f>+'Prod O&amp;M'!G4</f>
        <v>0</v>
      </c>
    </row>
    <row r="7" spans="3:7">
      <c r="C7" s="117" t="s">
        <v>6893</v>
      </c>
      <c r="D7" s="2705">
        <f>+'Prod O&amp;M'!G5</f>
        <v>0</v>
      </c>
    </row>
    <row r="8" spans="3:7">
      <c r="C8" s="117" t="s">
        <v>6894</v>
      </c>
      <c r="D8" s="2705">
        <f>+'Prod O&amp;M'!G6</f>
        <v>0</v>
      </c>
    </row>
    <row r="9" spans="3:7">
      <c r="C9" s="117" t="s">
        <v>6895</v>
      </c>
      <c r="D9" s="2705">
        <f>+'Prod O&amp;M'!G7</f>
        <v>0</v>
      </c>
    </row>
    <row r="10" spans="3:7">
      <c r="C10" s="117" t="s">
        <v>6896</v>
      </c>
      <c r="D10" s="2255">
        <v>0</v>
      </c>
    </row>
    <row r="11" spans="3:7" ht="15" thickBot="1">
      <c r="C11" s="2515" t="s">
        <v>6897</v>
      </c>
      <c r="D11" s="2648">
        <v>0</v>
      </c>
    </row>
    <row r="12" spans="3:7">
      <c r="C12" s="50"/>
      <c r="D12" s="2301"/>
    </row>
    <row r="13" spans="3:7">
      <c r="C13" s="50"/>
      <c r="D13" s="2301"/>
    </row>
    <row r="14" spans="3:7">
      <c r="C14" s="352" t="s">
        <v>2173</v>
      </c>
      <c r="D14" s="518"/>
      <c r="E14" s="294"/>
      <c r="F14" s="460"/>
    </row>
    <row r="15" spans="3:7">
      <c r="C15" s="353" t="s">
        <v>4491</v>
      </c>
      <c r="D15" s="62"/>
      <c r="F15" s="296"/>
      <c r="G15" s="62"/>
    </row>
    <row r="16" spans="3:7">
      <c r="C16" s="2552" t="s">
        <v>9263</v>
      </c>
      <c r="D16" s="2262"/>
      <c r="E16" s="1962"/>
      <c r="F16" s="296"/>
      <c r="G16" s="62"/>
    </row>
    <row r="17" spans="3:12">
      <c r="C17" s="357"/>
      <c r="F17" s="296"/>
    </row>
    <row r="18" spans="3:12">
      <c r="C18" s="352" t="s">
        <v>4492</v>
      </c>
      <c r="D18" s="518"/>
      <c r="E18" s="294"/>
      <c r="F18" s="460"/>
      <c r="J18" s="352" t="s">
        <v>4493</v>
      </c>
      <c r="K18" s="294"/>
      <c r="L18" s="460"/>
    </row>
    <row r="19" spans="3:12">
      <c r="C19" s="769"/>
      <c r="D19" s="514"/>
      <c r="E19" s="514"/>
      <c r="F19" s="2518"/>
      <c r="G19" s="62"/>
      <c r="J19" s="769" t="s">
        <v>4494</v>
      </c>
      <c r="K19" s="297"/>
      <c r="L19" s="298"/>
    </row>
    <row r="20" spans="3:12">
      <c r="C20" s="520" t="s">
        <v>4495</v>
      </c>
      <c r="D20" s="2808" t="s">
        <v>4496</v>
      </c>
      <c r="E20" s="2808" t="s">
        <v>4497</v>
      </c>
      <c r="F20" s="2809"/>
      <c r="J20" s="520" t="s">
        <v>4495</v>
      </c>
      <c r="K20" s="2808" t="s">
        <v>4496</v>
      </c>
      <c r="L20" s="2809" t="s">
        <v>4497</v>
      </c>
    </row>
    <row r="21" spans="3:12">
      <c r="C21" s="354" t="s">
        <v>2175</v>
      </c>
      <c r="D21" s="355" t="s">
        <v>2176</v>
      </c>
      <c r="E21" s="355" t="s">
        <v>2177</v>
      </c>
      <c r="F21" s="356"/>
      <c r="J21" s="354" t="s">
        <v>2175</v>
      </c>
      <c r="K21" s="355" t="s">
        <v>2176</v>
      </c>
      <c r="L21" s="356" t="s">
        <v>2177</v>
      </c>
    </row>
    <row r="22" spans="3:12">
      <c r="C22" s="2810" t="s">
        <v>4498</v>
      </c>
      <c r="D22" s="644">
        <f>+I108+H266</f>
        <v>32335.923285079385</v>
      </c>
      <c r="E22" s="877">
        <f>+D22/$D$30</f>
        <v>0.33393991748117813</v>
      </c>
      <c r="F22" s="903"/>
      <c r="J22" s="2811" t="s">
        <v>2246</v>
      </c>
      <c r="K22" s="2812">
        <f t="shared" ref="K22:K27" si="0">+D24</f>
        <v>1370.2007609755603</v>
      </c>
      <c r="L22" s="2813">
        <f t="shared" ref="L22:L27" si="1">+K22/$K$28</f>
        <v>2.4485903868455117E-2</v>
      </c>
    </row>
    <row r="23" spans="3:12">
      <c r="C23" s="2810" t="s">
        <v>2255</v>
      </c>
      <c r="D23" s="42">
        <f>+I266</f>
        <v>8536.8794286847842</v>
      </c>
      <c r="E23" s="877">
        <f t="shared" ref="E23:E29" si="2">+D23/$D$30</f>
        <v>8.8162159058473452E-2</v>
      </c>
      <c r="F23" s="903"/>
      <c r="J23" s="2810" t="s">
        <v>2247</v>
      </c>
      <c r="K23" s="2662">
        <f t="shared" si="0"/>
        <v>3852.3647224962351</v>
      </c>
      <c r="L23" s="2814">
        <f t="shared" si="1"/>
        <v>6.8842927947368945E-2</v>
      </c>
    </row>
    <row r="24" spans="3:12">
      <c r="C24" s="2810" t="s">
        <v>4499</v>
      </c>
      <c r="D24" s="2815">
        <f>+J108+M108</f>
        <v>1370.2007609755603</v>
      </c>
      <c r="E24" s="877">
        <f t="shared" si="2"/>
        <v>1.4150352999629922E-2</v>
      </c>
      <c r="F24" s="2816"/>
      <c r="J24" s="2810" t="s">
        <v>2249</v>
      </c>
      <c r="K24" s="2662">
        <f t="shared" si="0"/>
        <v>18918.831641502202</v>
      </c>
      <c r="L24" s="2814">
        <f t="shared" si="1"/>
        <v>0.33808526901378105</v>
      </c>
    </row>
    <row r="25" spans="3:12">
      <c r="C25" s="2810" t="s">
        <v>2247</v>
      </c>
      <c r="D25" s="42">
        <f>+G108-I108-J108-M108</f>
        <v>3852.3647224962351</v>
      </c>
      <c r="E25" s="877">
        <f t="shared" si="2"/>
        <v>3.9784185105714888E-2</v>
      </c>
      <c r="F25" s="903"/>
      <c r="J25" s="2810" t="s">
        <v>2250</v>
      </c>
      <c r="K25" s="2662">
        <f t="shared" si="0"/>
        <v>3263.6378914827483</v>
      </c>
      <c r="L25" s="2814">
        <f t="shared" si="1"/>
        <v>5.832220062073043E-2</v>
      </c>
    </row>
    <row r="26" spans="3:12">
      <c r="C26" s="2810" t="s">
        <v>2249</v>
      </c>
      <c r="D26" s="2815">
        <f>+H157+J157+O157+T157</f>
        <v>18918.831641502202</v>
      </c>
      <c r="E26" s="877">
        <f t="shared" si="2"/>
        <v>0.19537877491559733</v>
      </c>
      <c r="F26" s="2816"/>
      <c r="J26" s="2810" t="s">
        <v>2256</v>
      </c>
      <c r="K26" s="2662">
        <f t="shared" si="0"/>
        <v>12127.177482167837</v>
      </c>
      <c r="L26" s="2814">
        <f t="shared" si="1"/>
        <v>0.21671634586791164</v>
      </c>
    </row>
    <row r="27" spans="3:12">
      <c r="C27" s="2810" t="s">
        <v>2250</v>
      </c>
      <c r="D27" s="2815">
        <f>+L157+Q157+V157</f>
        <v>3263.6378914827483</v>
      </c>
      <c r="E27" s="877">
        <f t="shared" si="2"/>
        <v>3.3704278630357951E-2</v>
      </c>
      <c r="F27" s="2816"/>
      <c r="J27" s="2810" t="s">
        <v>2257</v>
      </c>
      <c r="K27" s="2817">
        <f t="shared" si="0"/>
        <v>16426.545174224604</v>
      </c>
      <c r="L27" s="2814">
        <f t="shared" si="1"/>
        <v>0.29354735268175286</v>
      </c>
    </row>
    <row r="28" spans="3:12">
      <c r="C28" s="2810" t="s">
        <v>2256</v>
      </c>
      <c r="D28" s="2815">
        <f>+I157+K157+M157+N157+P157+R157+S157+U157+W157+X157+Y157+Z157+AA157</f>
        <v>12127.177482167837</v>
      </c>
      <c r="E28" s="877">
        <f t="shared" si="2"/>
        <v>0.12523992625698077</v>
      </c>
      <c r="F28" s="2816"/>
      <c r="J28" s="2415" t="s">
        <v>115</v>
      </c>
      <c r="K28" s="2662">
        <f>+SUM(K22:K27)</f>
        <v>55958.757672849184</v>
      </c>
      <c r="L28" s="2818">
        <f>+SUM(L22:L27)</f>
        <v>1</v>
      </c>
    </row>
    <row r="29" spans="3:12">
      <c r="C29" s="2810" t="s">
        <v>4500</v>
      </c>
      <c r="D29" s="2819">
        <f>+H67</f>
        <v>16426.545174224604</v>
      </c>
      <c r="E29" s="877">
        <f t="shared" si="2"/>
        <v>0.1696404055520675</v>
      </c>
      <c r="F29" s="2816"/>
      <c r="J29" s="535"/>
      <c r="K29" s="328"/>
      <c r="L29" s="536"/>
    </row>
    <row r="30" spans="3:12">
      <c r="C30" s="2820" t="s">
        <v>115</v>
      </c>
      <c r="D30" s="2821">
        <f>+SUM(D22:D29)</f>
        <v>96831.560386613361</v>
      </c>
      <c r="E30" s="2822">
        <f>+SUM(E22:E29)</f>
        <v>1</v>
      </c>
      <c r="F30" s="2823"/>
      <c r="J30" s="2415" t="s">
        <v>4501</v>
      </c>
      <c r="K30" s="328"/>
      <c r="L30" s="536"/>
    </row>
    <row r="31" spans="3:12">
      <c r="C31" s="357"/>
      <c r="F31" s="296"/>
      <c r="G31" s="844"/>
      <c r="J31" s="2417" t="s">
        <v>4502</v>
      </c>
      <c r="K31" s="546"/>
      <c r="L31" s="547"/>
    </row>
    <row r="32" spans="3:12">
      <c r="C32" s="2415" t="s">
        <v>4503</v>
      </c>
      <c r="D32" s="96"/>
      <c r="E32" s="162"/>
      <c r="F32" s="295"/>
      <c r="G32" s="844"/>
    </row>
    <row r="33" spans="3:8">
      <c r="C33" s="2415" t="s">
        <v>4504</v>
      </c>
      <c r="D33" s="96"/>
      <c r="F33" s="296"/>
      <c r="G33" s="844"/>
    </row>
    <row r="34" spans="3:8">
      <c r="C34" s="616"/>
      <c r="D34" s="297"/>
      <c r="E34" s="530"/>
      <c r="F34" s="2416"/>
    </row>
    <row r="35" spans="3:8">
      <c r="C35" s="50"/>
      <c r="D35" s="2301"/>
    </row>
    <row r="37" spans="3:8">
      <c r="C37" s="352" t="s">
        <v>2173</v>
      </c>
      <c r="D37" s="518"/>
      <c r="E37" s="518"/>
      <c r="F37" s="518"/>
      <c r="G37" s="518"/>
      <c r="H37" s="460"/>
    </row>
    <row r="38" spans="3:8">
      <c r="C38" s="353" t="s">
        <v>4213</v>
      </c>
      <c r="D38" s="62"/>
      <c r="E38" s="62"/>
      <c r="F38" s="62"/>
      <c r="G38" s="62"/>
      <c r="H38" s="296"/>
    </row>
    <row r="39" spans="3:8">
      <c r="C39" s="2495" t="s">
        <v>9263</v>
      </c>
      <c r="D39" s="2264"/>
      <c r="E39" s="2264"/>
      <c r="F39" s="2264"/>
      <c r="G39" s="514"/>
      <c r="H39" s="298"/>
    </row>
    <row r="40" spans="3:8">
      <c r="C40" s="353"/>
      <c r="D40" s="62"/>
      <c r="E40" s="62" t="s">
        <v>2477</v>
      </c>
      <c r="F40" s="60"/>
      <c r="G40" s="60"/>
      <c r="H40" s="767" t="s">
        <v>4214</v>
      </c>
    </row>
    <row r="41" spans="3:8">
      <c r="C41" s="363" t="s">
        <v>2182</v>
      </c>
      <c r="D41" s="62"/>
      <c r="E41" s="62"/>
      <c r="F41" s="60" t="s">
        <v>4215</v>
      </c>
      <c r="G41" s="60" t="s">
        <v>4216</v>
      </c>
      <c r="H41" s="767" t="s">
        <v>4215</v>
      </c>
    </row>
    <row r="42" spans="3:8">
      <c r="C42" s="522" t="s">
        <v>3216</v>
      </c>
      <c r="D42" s="77" t="s">
        <v>3174</v>
      </c>
      <c r="E42" s="77" t="s">
        <v>1918</v>
      </c>
      <c r="F42" s="77" t="s">
        <v>111</v>
      </c>
      <c r="G42" s="77" t="s">
        <v>111</v>
      </c>
      <c r="H42" s="364" t="s">
        <v>111</v>
      </c>
    </row>
    <row r="43" spans="3:8">
      <c r="C43" s="354" t="s">
        <v>2175</v>
      </c>
      <c r="D43" s="355" t="s">
        <v>2176</v>
      </c>
      <c r="E43" s="355" t="s">
        <v>2177</v>
      </c>
      <c r="F43" s="355" t="s">
        <v>2178</v>
      </c>
      <c r="G43" s="355" t="s">
        <v>2179</v>
      </c>
      <c r="H43" s="356" t="s">
        <v>2625</v>
      </c>
    </row>
    <row r="44" spans="3:8">
      <c r="C44" s="357"/>
      <c r="H44" s="296"/>
    </row>
    <row r="45" spans="3:8">
      <c r="C45" s="526">
        <v>1</v>
      </c>
      <c r="E45" s="531" t="s">
        <v>4217</v>
      </c>
      <c r="H45" s="296"/>
    </row>
    <row r="46" spans="3:8">
      <c r="C46" s="365">
        <v>2</v>
      </c>
      <c r="D46" s="33" t="s">
        <v>4218</v>
      </c>
      <c r="E46" t="s">
        <v>4219</v>
      </c>
      <c r="F46" s="42">
        <f>+SUMIFS('Labor Input'!C:C,'Labor Input'!A:A,9901000)/1000</f>
        <v>0</v>
      </c>
      <c r="G46" s="2285">
        <v>0</v>
      </c>
      <c r="H46" s="892">
        <f>+F46-G46</f>
        <v>0</v>
      </c>
    </row>
    <row r="47" spans="3:8">
      <c r="C47" s="365">
        <v>3</v>
      </c>
      <c r="D47" s="33" t="s">
        <v>4220</v>
      </c>
      <c r="E47" t="s">
        <v>4221</v>
      </c>
      <c r="F47" s="42">
        <f>+SUMIFS('Labor Input'!C:C,'Labor Input'!A:A,9902000)/1000</f>
        <v>0</v>
      </c>
      <c r="G47" s="2285">
        <v>0</v>
      </c>
      <c r="H47" s="892">
        <f>+F47-G47</f>
        <v>0</v>
      </c>
    </row>
    <row r="48" spans="3:8">
      <c r="C48" s="365">
        <v>4</v>
      </c>
      <c r="D48" s="33" t="s">
        <v>4222</v>
      </c>
      <c r="E48" t="s">
        <v>4223</v>
      </c>
      <c r="F48" s="42">
        <f>+SUMIFS('Labor Input'!C:C,'Labor Input'!A:A,9903000)/1000</f>
        <v>14760.42895844442</v>
      </c>
      <c r="G48" s="2285">
        <v>0</v>
      </c>
      <c r="H48" s="892">
        <f>+F48-G48</f>
        <v>14760.42895844442</v>
      </c>
    </row>
    <row r="49" spans="3:11">
      <c r="C49" s="365">
        <v>5</v>
      </c>
      <c r="D49" s="33" t="s">
        <v>4224</v>
      </c>
      <c r="E49" t="s">
        <v>4225</v>
      </c>
      <c r="F49" s="42">
        <f>+SUMIFS('Labor Input'!C:C,'Labor Input'!A:A,9904000)/1000</f>
        <v>0</v>
      </c>
      <c r="G49" s="2285">
        <v>0</v>
      </c>
      <c r="H49" s="892">
        <f>+F49-G49</f>
        <v>0</v>
      </c>
    </row>
    <row r="50" spans="3:11">
      <c r="C50" s="365">
        <v>6</v>
      </c>
      <c r="D50" s="33" t="s">
        <v>4226</v>
      </c>
      <c r="E50" t="s">
        <v>4227</v>
      </c>
      <c r="F50" s="439">
        <f>+SUMIFS('Labor Input'!C:C,'Labor Input'!A:A,9905000)/1000</f>
        <v>0</v>
      </c>
      <c r="G50" s="2824">
        <v>0</v>
      </c>
      <c r="H50" s="892">
        <f>+F50-G50</f>
        <v>0</v>
      </c>
    </row>
    <row r="51" spans="3:11">
      <c r="C51" s="365">
        <v>7</v>
      </c>
      <c r="D51" s="33"/>
      <c r="E51" t="s">
        <v>4228</v>
      </c>
      <c r="F51" s="506">
        <f>+SUM(F46:F50)</f>
        <v>14760.42895844442</v>
      </c>
      <c r="G51" s="506">
        <f>+SUM(G46:G50)</f>
        <v>0</v>
      </c>
      <c r="H51" s="2825">
        <f>+SUM(H46:H50)</f>
        <v>14760.42895844442</v>
      </c>
    </row>
    <row r="52" spans="3:11">
      <c r="C52" s="365">
        <v>8</v>
      </c>
      <c r="D52" s="33"/>
      <c r="F52" s="46"/>
      <c r="G52" s="46"/>
      <c r="H52" s="2569"/>
    </row>
    <row r="53" spans="3:11">
      <c r="C53" s="365">
        <v>9</v>
      </c>
      <c r="D53" s="33"/>
      <c r="E53" s="531" t="s">
        <v>4229</v>
      </c>
      <c r="F53" s="46"/>
      <c r="G53" s="46"/>
      <c r="H53" s="2569"/>
    </row>
    <row r="54" spans="3:11">
      <c r="C54" s="365">
        <v>10</v>
      </c>
      <c r="D54" s="33" t="s">
        <v>4230</v>
      </c>
      <c r="E54" t="s">
        <v>4219</v>
      </c>
      <c r="F54" s="42">
        <f>+SUMIFS('Labor Input'!C:C,'Labor Input'!A:A,9907000)/1000</f>
        <v>0</v>
      </c>
      <c r="G54" s="2285">
        <v>0</v>
      </c>
      <c r="H54" s="892">
        <f>+F54+G54</f>
        <v>0</v>
      </c>
    </row>
    <row r="55" spans="3:11">
      <c r="C55" s="365">
        <v>11</v>
      </c>
      <c r="D55" s="33" t="s">
        <v>4231</v>
      </c>
      <c r="E55" t="s">
        <v>4232</v>
      </c>
      <c r="F55" s="42">
        <f>+SUMIFS('Labor Input'!C:C,'Labor Input'!A:A,9908000)/1000</f>
        <v>5338.2040889010859</v>
      </c>
      <c r="G55" s="42">
        <f>-D5/1000</f>
        <v>-3672.0878731209</v>
      </c>
      <c r="H55" s="892">
        <f>+F55+G55</f>
        <v>1666.1162157801859</v>
      </c>
      <c r="J55" s="849"/>
    </row>
    <row r="56" spans="3:11">
      <c r="C56" s="365">
        <v>12</v>
      </c>
      <c r="D56" s="33" t="s">
        <v>4233</v>
      </c>
      <c r="E56" t="s">
        <v>4234</v>
      </c>
      <c r="F56" s="42">
        <f>+SUMIFS('Labor Input'!C:C,'Labor Input'!A:A,9909000)/1000</f>
        <v>0</v>
      </c>
      <c r="G56" s="2285">
        <v>0</v>
      </c>
      <c r="H56" s="892">
        <f>+F56+G56</f>
        <v>0</v>
      </c>
      <c r="J56" s="849"/>
    </row>
    <row r="57" spans="3:11">
      <c r="C57" s="365">
        <v>13</v>
      </c>
      <c r="D57" s="33" t="s">
        <v>4235</v>
      </c>
      <c r="E57" t="s">
        <v>4236</v>
      </c>
      <c r="F57" s="439">
        <f>+SUMIFS('Labor Input'!C:C,'Labor Input'!A:A,9910000)/1000</f>
        <v>0</v>
      </c>
      <c r="G57" s="2824">
        <v>0</v>
      </c>
      <c r="H57" s="892">
        <f>+F57+G57</f>
        <v>0</v>
      </c>
      <c r="J57" s="849"/>
      <c r="K57" s="849"/>
    </row>
    <row r="58" spans="3:11">
      <c r="C58" s="365">
        <v>14</v>
      </c>
      <c r="D58" s="33"/>
      <c r="E58" t="s">
        <v>4228</v>
      </c>
      <c r="F58" s="506">
        <f>+SUM(F54:F57)</f>
        <v>5338.2040889010859</v>
      </c>
      <c r="G58" s="506">
        <f>+SUM(G54:G57)</f>
        <v>-3672.0878731209</v>
      </c>
      <c r="H58" s="2825">
        <f>+SUM(H54:H57)</f>
        <v>1666.1162157801859</v>
      </c>
      <c r="J58" s="849"/>
      <c r="K58" s="849"/>
    </row>
    <row r="59" spans="3:11">
      <c r="C59" s="365">
        <v>15</v>
      </c>
      <c r="D59" s="33"/>
      <c r="F59" s="513"/>
      <c r="G59" s="513"/>
      <c r="H59" s="892"/>
      <c r="J59" s="96"/>
    </row>
    <row r="60" spans="3:11">
      <c r="C60" s="365">
        <v>16</v>
      </c>
      <c r="D60" s="33"/>
      <c r="E60" s="531" t="s">
        <v>4237</v>
      </c>
      <c r="F60" s="513"/>
      <c r="G60" s="513"/>
      <c r="H60" s="892"/>
      <c r="J60" s="849"/>
    </row>
    <row r="61" spans="3:11">
      <c r="C61" s="365">
        <v>17</v>
      </c>
      <c r="D61" s="33" t="s">
        <v>4238</v>
      </c>
      <c r="E61" t="s">
        <v>4219</v>
      </c>
      <c r="F61" s="42">
        <f>+SUMIFS('Labor Input'!C:C,'Labor Input'!A:A,9911000)/1000</f>
        <v>0</v>
      </c>
      <c r="G61" s="2285">
        <v>0</v>
      </c>
      <c r="H61" s="892">
        <f>+F61+G61</f>
        <v>0</v>
      </c>
      <c r="J61" s="849"/>
    </row>
    <row r="62" spans="3:11">
      <c r="C62" s="365">
        <v>18</v>
      </c>
      <c r="D62" s="33" t="s">
        <v>4239</v>
      </c>
      <c r="E62" t="s">
        <v>4240</v>
      </c>
      <c r="F62" s="42">
        <f>+SUMIFS('Labor Input'!C:C,'Labor Input'!A:A,9912000)/1000</f>
        <v>0</v>
      </c>
      <c r="G62" s="2285">
        <v>0</v>
      </c>
      <c r="H62" s="892">
        <f>+F62+G62</f>
        <v>0</v>
      </c>
      <c r="J62" s="849"/>
    </row>
    <row r="63" spans="3:11">
      <c r="C63" s="365">
        <v>19</v>
      </c>
      <c r="D63" s="33" t="s">
        <v>4241</v>
      </c>
      <c r="E63" t="s">
        <v>4242</v>
      </c>
      <c r="F63" s="42">
        <f>+SUMIFS('Labor Input'!C:C,'Labor Input'!A:A,9913000)/1000</f>
        <v>0</v>
      </c>
      <c r="G63" s="2285">
        <v>0</v>
      </c>
      <c r="H63" s="892">
        <f>+F63+G63</f>
        <v>0</v>
      </c>
    </row>
    <row r="64" spans="3:11">
      <c r="C64" s="365">
        <v>20</v>
      </c>
      <c r="D64" s="33" t="s">
        <v>4243</v>
      </c>
      <c r="E64" t="s">
        <v>4244</v>
      </c>
      <c r="F64" s="439">
        <f>+SUMIFS('Labor Input'!C:C,'Labor Input'!A:A,9914000)/1000</f>
        <v>0</v>
      </c>
      <c r="G64" s="2824">
        <v>0</v>
      </c>
      <c r="H64" s="892">
        <f>+F64+G64</f>
        <v>0</v>
      </c>
    </row>
    <row r="65" spans="3:17">
      <c r="C65" s="365">
        <v>21</v>
      </c>
      <c r="E65" t="s">
        <v>4228</v>
      </c>
      <c r="F65" s="506">
        <f>+SUM(F61:F64)</f>
        <v>0</v>
      </c>
      <c r="G65" s="506">
        <f>+SUM(G61:G64)</f>
        <v>0</v>
      </c>
      <c r="H65" s="2825">
        <f>+SUM(H61:H64)</f>
        <v>0</v>
      </c>
    </row>
    <row r="66" spans="3:17">
      <c r="C66" s="365">
        <v>22</v>
      </c>
      <c r="D66" s="62"/>
      <c r="F66" s="513"/>
      <c r="G66" s="513"/>
      <c r="H66" s="892"/>
    </row>
    <row r="67" spans="3:17" ht="15" thickBot="1">
      <c r="C67" s="365">
        <v>23</v>
      </c>
      <c r="E67" s="96" t="s">
        <v>4245</v>
      </c>
      <c r="F67" s="2826">
        <f>+F51+F58+F65</f>
        <v>20098.633047345505</v>
      </c>
      <c r="G67" s="2826">
        <f>+G51+G58+G65</f>
        <v>-3672.0878731209</v>
      </c>
      <c r="H67" s="2827">
        <f>+H51+H58+H65</f>
        <v>16426.545174224604</v>
      </c>
    </row>
    <row r="68" spans="3:17" ht="15" thickTop="1">
      <c r="C68" s="616"/>
      <c r="D68" s="297"/>
      <c r="E68" s="297"/>
      <c r="F68" s="297"/>
      <c r="G68" s="297"/>
      <c r="H68" s="298"/>
    </row>
    <row r="71" spans="3:17">
      <c r="C71" s="2828"/>
      <c r="D71" s="2828"/>
    </row>
    <row r="72" spans="3:17">
      <c r="C72" s="352" t="s">
        <v>2173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460"/>
      <c r="O72" s="460"/>
    </row>
    <row r="73" spans="3:17">
      <c r="C73" s="353" t="s">
        <v>4246</v>
      </c>
      <c r="N73" s="296"/>
      <c r="O73" s="296"/>
    </row>
    <row r="74" spans="3:17">
      <c r="C74" s="2829" t="s">
        <v>9263</v>
      </c>
      <c r="D74" s="2830"/>
      <c r="E74" s="2830"/>
      <c r="F74" s="385"/>
      <c r="G74" s="385"/>
      <c r="N74" s="296"/>
      <c r="O74" s="296"/>
    </row>
    <row r="75" spans="3:17">
      <c r="C75" s="616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8"/>
      <c r="O75" s="298"/>
    </row>
    <row r="76" spans="3:17">
      <c r="C76" s="353"/>
      <c r="D76" s="62"/>
      <c r="E76" s="62"/>
      <c r="G76" s="2831"/>
      <c r="H76" s="3159" t="s">
        <v>4247</v>
      </c>
      <c r="I76" s="3160"/>
      <c r="J76" s="3160"/>
      <c r="K76" s="3161"/>
      <c r="L76" s="3159" t="s">
        <v>3465</v>
      </c>
      <c r="M76" s="3160"/>
      <c r="N76" s="3161"/>
      <c r="O76" s="2832"/>
      <c r="P76" s="60"/>
      <c r="Q76" s="33"/>
    </row>
    <row r="77" spans="3:17">
      <c r="C77" s="363" t="s">
        <v>2182</v>
      </c>
      <c r="D77" s="62"/>
      <c r="E77" s="62"/>
      <c r="G77" s="521" t="s">
        <v>115</v>
      </c>
      <c r="H77" s="2833" t="s">
        <v>3121</v>
      </c>
      <c r="I77" s="60" t="s">
        <v>4248</v>
      </c>
      <c r="J77" s="60" t="s">
        <v>4249</v>
      </c>
      <c r="K77" s="754" t="s">
        <v>4250</v>
      </c>
      <c r="L77" s="521" t="s">
        <v>3465</v>
      </c>
      <c r="M77" s="60" t="s">
        <v>4249</v>
      </c>
      <c r="N77" s="754" t="s">
        <v>4250</v>
      </c>
      <c r="O77" s="754"/>
    </row>
    <row r="78" spans="3:17">
      <c r="C78" s="522" t="s">
        <v>3216</v>
      </c>
      <c r="D78" s="77" t="s">
        <v>3174</v>
      </c>
      <c r="E78" s="77" t="s">
        <v>1918</v>
      </c>
      <c r="F78" s="60" t="s">
        <v>4251</v>
      </c>
      <c r="G78" s="280" t="s">
        <v>4249</v>
      </c>
      <c r="H78" s="280" t="s">
        <v>115</v>
      </c>
      <c r="I78" s="60" t="s">
        <v>4252</v>
      </c>
      <c r="J78" s="60" t="s">
        <v>3116</v>
      </c>
      <c r="K78" s="60" t="s">
        <v>3117</v>
      </c>
      <c r="L78" s="280" t="s">
        <v>115</v>
      </c>
      <c r="M78" s="60" t="s">
        <v>3116</v>
      </c>
      <c r="N78" s="767" t="s">
        <v>3117</v>
      </c>
      <c r="O78" s="767"/>
    </row>
    <row r="79" spans="3:17">
      <c r="C79" s="354" t="s">
        <v>2175</v>
      </c>
      <c r="D79" s="355" t="s">
        <v>2176</v>
      </c>
      <c r="E79" s="355" t="s">
        <v>2177</v>
      </c>
      <c r="F79" s="2834" t="s">
        <v>2178</v>
      </c>
      <c r="G79" s="525" t="s">
        <v>2179</v>
      </c>
      <c r="H79" s="525" t="s">
        <v>2625</v>
      </c>
      <c r="I79" s="2835" t="s">
        <v>2626</v>
      </c>
      <c r="J79" s="2835" t="s">
        <v>2627</v>
      </c>
      <c r="K79" s="2835" t="s">
        <v>2628</v>
      </c>
      <c r="L79" s="525" t="s">
        <v>2629</v>
      </c>
      <c r="M79" s="2835" t="s">
        <v>2630</v>
      </c>
      <c r="N79" s="2834" t="s">
        <v>4061</v>
      </c>
      <c r="O79" s="2834"/>
    </row>
    <row r="80" spans="3:17">
      <c r="C80" s="526">
        <v>1</v>
      </c>
      <c r="G80" s="36"/>
      <c r="H80" s="36"/>
      <c r="L80" s="36"/>
      <c r="N80" s="296"/>
      <c r="O80" s="296"/>
    </row>
    <row r="81" spans="3:18">
      <c r="C81" s="365">
        <v>2</v>
      </c>
      <c r="E81" s="531" t="s">
        <v>4253</v>
      </c>
      <c r="G81" s="36"/>
      <c r="H81" s="142"/>
      <c r="I81" s="33"/>
      <c r="K81" s="33"/>
      <c r="L81" s="36"/>
      <c r="N81" s="296"/>
      <c r="O81" s="296"/>
    </row>
    <row r="82" spans="3:18">
      <c r="C82" s="365">
        <v>3</v>
      </c>
      <c r="D82" s="33" t="s">
        <v>4254</v>
      </c>
      <c r="E82" t="s">
        <v>4255</v>
      </c>
      <c r="G82" s="879">
        <f>+SUMIFS('Labor Input'!C:C,'Labor Input'!G:G,D82)/1000</f>
        <v>2479.7281768532557</v>
      </c>
      <c r="H82" s="36"/>
      <c r="L82" s="36"/>
      <c r="N82" s="296"/>
      <c r="O82" s="296"/>
    </row>
    <row r="83" spans="3:18">
      <c r="C83" s="365">
        <v>4</v>
      </c>
      <c r="D83" s="33" t="s">
        <v>4256</v>
      </c>
      <c r="E83" t="s">
        <v>4257</v>
      </c>
      <c r="G83" s="879">
        <f>+SUMIFS('Labor Input'!C:C,'Labor Input'!G:G,D83)/1000</f>
        <v>1278.6014770803874</v>
      </c>
      <c r="H83" s="36"/>
      <c r="L83" s="36"/>
      <c r="N83" s="296"/>
      <c r="O83" s="296"/>
      <c r="Q83" s="2381"/>
      <c r="R83" s="2381"/>
    </row>
    <row r="84" spans="3:18">
      <c r="C84" s="365">
        <v>5</v>
      </c>
      <c r="D84" s="33"/>
      <c r="E84" s="96" t="s">
        <v>4258</v>
      </c>
      <c r="F84" s="290" t="s">
        <v>3152</v>
      </c>
      <c r="G84" s="2836">
        <f>+SUM(G82:G83)</f>
        <v>3758.3296539336434</v>
      </c>
      <c r="H84" s="2836">
        <f>+SUM(I84:K84)</f>
        <v>3758.3296539336429</v>
      </c>
      <c r="I84" s="2837">
        <f>+G84*I113</f>
        <v>1329.6333496380096</v>
      </c>
      <c r="J84" s="2837">
        <f>+G84*J113</f>
        <v>760.00814252364705</v>
      </c>
      <c r="K84" s="2837">
        <f>+G84*K113</f>
        <v>1668.6881617719864</v>
      </c>
      <c r="L84" s="2836"/>
      <c r="M84" s="2837"/>
      <c r="N84" s="2838"/>
      <c r="O84" s="2838"/>
    </row>
    <row r="85" spans="3:18">
      <c r="C85" s="365">
        <v>6</v>
      </c>
      <c r="D85" s="33"/>
      <c r="F85" s="96"/>
      <c r="G85" s="2839"/>
      <c r="H85" s="880"/>
      <c r="I85" s="852"/>
      <c r="J85" s="852"/>
      <c r="K85" s="852"/>
      <c r="L85" s="36"/>
      <c r="N85" s="296"/>
      <c r="O85" s="296"/>
    </row>
    <row r="86" spans="3:18">
      <c r="C86" s="365">
        <v>7</v>
      </c>
      <c r="D86" s="33" t="s">
        <v>4259</v>
      </c>
      <c r="E86" t="s">
        <v>4260</v>
      </c>
      <c r="F86" s="96"/>
      <c r="G86" s="879">
        <f>+SUMIFS('Labor Input'!C:C,'Labor Input'!G:G,D86)/1000</f>
        <v>0</v>
      </c>
      <c r="H86" s="36"/>
      <c r="L86" s="36"/>
      <c r="N86" s="296"/>
      <c r="O86" s="296"/>
    </row>
    <row r="87" spans="3:18">
      <c r="C87" s="365">
        <v>8</v>
      </c>
      <c r="D87" s="33" t="s">
        <v>4261</v>
      </c>
      <c r="E87" t="s">
        <v>4262</v>
      </c>
      <c r="F87" s="96"/>
      <c r="G87" s="879">
        <f>+SUMIFS('Labor Input'!C:C,'Labor Input'!G:G,D87)/1000</f>
        <v>0</v>
      </c>
      <c r="H87" s="36"/>
      <c r="L87" s="36"/>
      <c r="N87" s="296"/>
      <c r="O87" s="296"/>
    </row>
    <row r="88" spans="3:18">
      <c r="C88" s="365">
        <v>9</v>
      </c>
      <c r="D88" s="33"/>
      <c r="E88" s="96" t="s">
        <v>4258</v>
      </c>
      <c r="F88" s="290" t="s">
        <v>3161</v>
      </c>
      <c r="G88" s="2836">
        <f>+SUM(G86:G87)</f>
        <v>0</v>
      </c>
      <c r="H88" s="2836"/>
      <c r="I88" s="2837"/>
      <c r="J88" s="2837"/>
      <c r="K88" s="2837"/>
      <c r="L88" s="2836">
        <f>+SUM(M88:N88)</f>
        <v>0</v>
      </c>
      <c r="M88" s="2837">
        <f>+G88*M116</f>
        <v>0</v>
      </c>
      <c r="N88" s="2838">
        <f>+G88*N116</f>
        <v>0</v>
      </c>
      <c r="O88" s="2838"/>
      <c r="Q88" s="33"/>
      <c r="R88" s="33"/>
    </row>
    <row r="89" spans="3:18">
      <c r="C89" s="365">
        <v>10</v>
      </c>
      <c r="D89" s="33"/>
      <c r="F89" s="96"/>
      <c r="G89" s="2839"/>
      <c r="H89" s="36"/>
      <c r="L89" s="881"/>
      <c r="M89" s="856"/>
      <c r="N89" s="860"/>
      <c r="O89" s="860"/>
      <c r="Q89" s="33"/>
      <c r="R89" s="33"/>
    </row>
    <row r="90" spans="3:18">
      <c r="C90" s="365">
        <v>11</v>
      </c>
      <c r="D90" s="33">
        <v>565</v>
      </c>
      <c r="E90" t="s">
        <v>4263</v>
      </c>
      <c r="F90" s="290" t="s">
        <v>4264</v>
      </c>
      <c r="G90" s="879">
        <f>+SUMIFS('Labor Input'!C:C,'Labor Input'!G:G,D90)/1000</f>
        <v>0</v>
      </c>
      <c r="H90" s="36"/>
      <c r="L90" s="2840"/>
      <c r="M90" s="513"/>
      <c r="N90" s="860"/>
      <c r="O90" s="860"/>
      <c r="Q90" s="33"/>
      <c r="R90" s="33"/>
    </row>
    <row r="91" spans="3:18">
      <c r="C91" s="365">
        <v>12</v>
      </c>
      <c r="D91" s="33"/>
      <c r="F91" s="96"/>
      <c r="G91" s="2841"/>
      <c r="H91" s="36"/>
      <c r="L91" s="36"/>
      <c r="N91" s="860"/>
      <c r="O91" s="860"/>
    </row>
    <row r="92" spans="3:18">
      <c r="C92" s="365">
        <v>13</v>
      </c>
      <c r="D92" s="33" t="s">
        <v>4265</v>
      </c>
      <c r="E92" t="s">
        <v>4266</v>
      </c>
      <c r="F92" s="96"/>
      <c r="G92" s="879">
        <f>+SUMIFS('Labor Input'!C:C,'Labor Input'!G:G,D92)/1000</f>
        <v>706.53205174643415</v>
      </c>
      <c r="H92" s="36"/>
      <c r="L92" s="36"/>
      <c r="N92" s="296"/>
      <c r="O92" s="296"/>
    </row>
    <row r="93" spans="3:18">
      <c r="C93" s="365">
        <v>14</v>
      </c>
      <c r="D93" s="33" t="s">
        <v>4267</v>
      </c>
      <c r="E93" t="s">
        <v>4268</v>
      </c>
      <c r="F93" s="96"/>
      <c r="G93" s="879">
        <f>+SUMIFS('Labor Input'!C:C,'Labor Input'!G:G,D93)/1000</f>
        <v>1257.322207584341</v>
      </c>
      <c r="H93" s="36"/>
      <c r="L93" s="36"/>
      <c r="N93" s="296"/>
      <c r="O93" s="296"/>
    </row>
    <row r="94" spans="3:18">
      <c r="C94" s="365">
        <v>15</v>
      </c>
      <c r="D94" s="33" t="s">
        <v>4269</v>
      </c>
      <c r="E94" t="s">
        <v>4270</v>
      </c>
      <c r="F94" s="96"/>
      <c r="G94" s="879">
        <f>+SUMIFS('Labor Input'!C:C,'Labor Input'!G:G,D94)/1000</f>
        <v>0</v>
      </c>
      <c r="H94" s="36"/>
      <c r="L94" s="36"/>
      <c r="N94" s="296"/>
      <c r="O94" s="296"/>
      <c r="Q94" s="2381"/>
    </row>
    <row r="95" spans="3:18">
      <c r="C95" s="365">
        <v>16</v>
      </c>
      <c r="D95" s="33"/>
      <c r="E95" s="96" t="s">
        <v>4258</v>
      </c>
      <c r="F95" s="290" t="s">
        <v>4271</v>
      </c>
      <c r="G95" s="2836">
        <f>+SUM(G92:G94)</f>
        <v>1963.8542593307752</v>
      </c>
      <c r="H95" s="2836">
        <f>+SUM(I95:K95)</f>
        <v>1903.3093507386125</v>
      </c>
      <c r="I95" s="2837">
        <f>+G95*I120</f>
        <v>664.93955273229096</v>
      </c>
      <c r="J95" s="2837">
        <f>+G95*J120</f>
        <v>387.52112739477536</v>
      </c>
      <c r="K95" s="2837">
        <f>+G95*K120</f>
        <v>850.84867061154603</v>
      </c>
      <c r="L95" s="2842">
        <f>+SUM(M95:N95)</f>
        <v>60.54490859216299</v>
      </c>
      <c r="M95" s="2837">
        <f>+G95*M120</f>
        <v>36.270233608887082</v>
      </c>
      <c r="N95" s="2838">
        <f>+G95*N120</f>
        <v>24.274674983275908</v>
      </c>
      <c r="O95" s="2838"/>
      <c r="Q95" s="33"/>
      <c r="R95" s="33"/>
    </row>
    <row r="96" spans="3:18">
      <c r="C96" s="365">
        <v>17</v>
      </c>
      <c r="D96" s="33"/>
      <c r="F96" s="96"/>
      <c r="G96" s="2843"/>
      <c r="H96" s="882"/>
      <c r="I96" s="853"/>
      <c r="K96" s="853"/>
      <c r="L96" s="881"/>
      <c r="M96" s="853"/>
      <c r="N96" s="883"/>
      <c r="O96" s="883"/>
    </row>
    <row r="97" spans="3:18">
      <c r="C97" s="365">
        <v>18</v>
      </c>
      <c r="D97" s="33"/>
      <c r="E97" s="531" t="s">
        <v>4272</v>
      </c>
      <c r="F97" s="96"/>
      <c r="G97" s="2844"/>
      <c r="H97" s="36"/>
      <c r="L97" s="36"/>
      <c r="N97" s="296"/>
      <c r="O97" s="296"/>
    </row>
    <row r="98" spans="3:18">
      <c r="C98" s="365">
        <v>19</v>
      </c>
      <c r="D98" s="33" t="s">
        <v>4273</v>
      </c>
      <c r="E98" t="s">
        <v>4274</v>
      </c>
      <c r="F98" s="96"/>
      <c r="G98" s="879">
        <f>+SUMIFS('Labor Input'!C:C,'Labor Input'!G:G,D98)/1000</f>
        <v>899.28711093945731</v>
      </c>
      <c r="H98" s="36"/>
      <c r="L98" s="2845">
        <f>+SUM(M98:N98)</f>
        <v>899.28711093945731</v>
      </c>
      <c r="N98" s="295">
        <f>+G98</f>
        <v>899.28711093945731</v>
      </c>
      <c r="O98" s="295"/>
    </row>
    <row r="99" spans="3:18">
      <c r="C99" s="365">
        <v>20</v>
      </c>
      <c r="D99" s="33" t="s">
        <v>4275</v>
      </c>
      <c r="E99" t="s">
        <v>4276</v>
      </c>
      <c r="F99" s="96"/>
      <c r="G99" s="879">
        <f>+SUMIFS('Labor Input'!C:C,'Labor Input'!G:G,D99)/1000</f>
        <v>0</v>
      </c>
      <c r="H99" s="36"/>
      <c r="L99" s="2845">
        <f>+SUM(M99:N99)</f>
        <v>0</v>
      </c>
      <c r="N99" s="295">
        <f>+G99</f>
        <v>0</v>
      </c>
      <c r="O99" s="296"/>
    </row>
    <row r="100" spans="3:18">
      <c r="C100" s="365">
        <v>21</v>
      </c>
      <c r="D100" s="33"/>
      <c r="E100" s="96" t="s">
        <v>4258</v>
      </c>
      <c r="F100" s="290" t="s">
        <v>4277</v>
      </c>
      <c r="G100" s="2836">
        <f>+SUM(G98:G99)</f>
        <v>899.28711093945731</v>
      </c>
      <c r="H100" s="2836"/>
      <c r="I100" s="2837"/>
      <c r="J100" s="2837"/>
      <c r="K100" s="2837"/>
      <c r="L100" s="2836">
        <f>+SUM(L98:L99)</f>
        <v>899.28711093945731</v>
      </c>
      <c r="M100" s="2846">
        <f>+SUM(M98:M99)</f>
        <v>0</v>
      </c>
      <c r="N100" s="2838">
        <f>+SUM(N98:N99)</f>
        <v>899.28711093945731</v>
      </c>
      <c r="O100" s="2838"/>
    </row>
    <row r="101" spans="3:18">
      <c r="C101" s="365">
        <v>22</v>
      </c>
      <c r="D101" s="33"/>
      <c r="F101" s="96"/>
      <c r="G101" s="2839"/>
      <c r="H101" s="36"/>
      <c r="L101" s="884"/>
      <c r="M101" s="885"/>
      <c r="N101" s="886"/>
      <c r="O101" s="886"/>
    </row>
    <row r="102" spans="3:18">
      <c r="C102" s="365">
        <v>23</v>
      </c>
      <c r="D102" s="33" t="s">
        <v>4278</v>
      </c>
      <c r="E102" t="s">
        <v>4279</v>
      </c>
      <c r="F102" s="96"/>
      <c r="G102" s="879">
        <f>+SUMIFS('Labor Input'!C:C,'Labor Input'!G:G,D102)/1000</f>
        <v>0</v>
      </c>
      <c r="H102" s="36"/>
      <c r="L102" s="36"/>
      <c r="N102" s="296"/>
      <c r="O102" s="296"/>
    </row>
    <row r="103" spans="3:18">
      <c r="C103" s="365">
        <v>24</v>
      </c>
      <c r="D103" s="33" t="s">
        <v>4280</v>
      </c>
      <c r="E103" t="s">
        <v>4281</v>
      </c>
      <c r="F103" s="96"/>
      <c r="G103" s="879">
        <f>+SUMIFS('Labor Input'!C:C,'Labor Input'!G:G,D103)/1000</f>
        <v>135.27391615837206</v>
      </c>
      <c r="H103" s="36"/>
      <c r="L103" s="36"/>
      <c r="N103" s="296"/>
      <c r="O103" s="296"/>
    </row>
    <row r="104" spans="3:18">
      <c r="C104" s="365">
        <v>25</v>
      </c>
      <c r="D104" s="33" t="s">
        <v>4282</v>
      </c>
      <c r="E104" t="s">
        <v>4283</v>
      </c>
      <c r="F104" s="96"/>
      <c r="G104" s="879">
        <f>+SUMIFS('Labor Input'!C:C,'Labor Input'!G:G,D104)/1000</f>
        <v>786.50222570248047</v>
      </c>
      <c r="H104" s="36"/>
      <c r="I104" s="2381"/>
      <c r="L104" s="36"/>
      <c r="N104" s="296"/>
      <c r="O104" s="296"/>
    </row>
    <row r="105" spans="3:18">
      <c r="C105" s="365">
        <v>26</v>
      </c>
      <c r="D105" s="33">
        <v>573</v>
      </c>
      <c r="E105" t="s">
        <v>4284</v>
      </c>
      <c r="F105" s="96"/>
      <c r="G105" s="879">
        <f>+SUMIFS('Labor Input'!C:C,'Labor Input'!G:G,D105)/1000</f>
        <v>0</v>
      </c>
      <c r="H105" s="36"/>
      <c r="I105" s="2381"/>
      <c r="L105" s="36"/>
      <c r="N105" s="296"/>
      <c r="O105" s="296"/>
    </row>
    <row r="106" spans="3:18">
      <c r="C106" s="365">
        <v>27</v>
      </c>
      <c r="E106" s="96" t="s">
        <v>4258</v>
      </c>
      <c r="F106" s="290" t="s">
        <v>3152</v>
      </c>
      <c r="G106" s="2836">
        <f>+SUM(G102:G105)</f>
        <v>921.77614186085248</v>
      </c>
      <c r="H106" s="2836">
        <f>+SUM(I106:K106)</f>
        <v>921.77614186085248</v>
      </c>
      <c r="I106" s="2837">
        <f>+G106*I113</f>
        <v>326.10878022263182</v>
      </c>
      <c r="J106" s="2837">
        <f>+G106*J113</f>
        <v>186.40125744825076</v>
      </c>
      <c r="K106" s="2837">
        <f>+G106*K113</f>
        <v>409.26610418996984</v>
      </c>
      <c r="L106" s="2836"/>
      <c r="M106" s="2837"/>
      <c r="N106" s="2838"/>
      <c r="O106" s="2838"/>
    </row>
    <row r="107" spans="3:18">
      <c r="C107" s="365">
        <v>28</v>
      </c>
      <c r="G107" s="2839"/>
      <c r="H107" s="887"/>
      <c r="I107" s="854"/>
      <c r="J107" s="854"/>
      <c r="K107" s="854"/>
      <c r="L107" s="2832"/>
      <c r="N107" s="296"/>
      <c r="O107" s="296"/>
    </row>
    <row r="108" spans="3:18" ht="15" thickBot="1">
      <c r="C108" s="365">
        <v>29</v>
      </c>
      <c r="E108" s="96" t="s">
        <v>4285</v>
      </c>
      <c r="G108" s="2847">
        <f t="shared" ref="G108:N108" si="3">+G84+G88+G90+G95+G100+G106</f>
        <v>7543.2471660647279</v>
      </c>
      <c r="H108" s="2847">
        <f t="shared" si="3"/>
        <v>6583.4151465331079</v>
      </c>
      <c r="I108" s="2848">
        <f t="shared" si="3"/>
        <v>2320.6816825929327</v>
      </c>
      <c r="J108" s="2849">
        <f t="shared" si="3"/>
        <v>1333.9305273666732</v>
      </c>
      <c r="K108" s="2849">
        <f t="shared" si="3"/>
        <v>2928.8029365735019</v>
      </c>
      <c r="L108" s="2847">
        <f t="shared" si="3"/>
        <v>959.83201953162029</v>
      </c>
      <c r="M108" s="2848">
        <f t="shared" si="3"/>
        <v>36.270233608887082</v>
      </c>
      <c r="N108" s="2849">
        <f t="shared" si="3"/>
        <v>923.56178592273318</v>
      </c>
      <c r="O108" s="2850"/>
    </row>
    <row r="109" spans="3:18" ht="15" thickTop="1">
      <c r="C109" s="365">
        <v>30</v>
      </c>
      <c r="E109" s="62"/>
      <c r="N109" s="384"/>
      <c r="O109" s="384"/>
    </row>
    <row r="110" spans="3:18" ht="15" thickBot="1">
      <c r="C110" s="365">
        <v>31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855"/>
      <c r="O110" s="855"/>
    </row>
    <row r="111" spans="3:18">
      <c r="C111" s="365">
        <v>32</v>
      </c>
      <c r="E111" s="2799" t="s">
        <v>4286</v>
      </c>
      <c r="F111" s="2800"/>
      <c r="G111" s="2800"/>
      <c r="H111" s="2851" t="s">
        <v>2181</v>
      </c>
      <c r="I111" s="38"/>
      <c r="J111" s="38"/>
      <c r="K111" s="38"/>
      <c r="L111" s="2852"/>
      <c r="M111" s="38"/>
      <c r="N111" s="34"/>
      <c r="O111" s="296"/>
      <c r="Q111" s="2381"/>
      <c r="R111" s="2381"/>
    </row>
    <row r="112" spans="3:18">
      <c r="C112" s="365">
        <v>33</v>
      </c>
      <c r="E112" s="30" t="s">
        <v>4287</v>
      </c>
      <c r="G112" s="2815">
        <f>+SUM(I112:K112)</f>
        <v>542612.32704822207</v>
      </c>
      <c r="I112" s="890">
        <f>+Transmission!G64</f>
        <v>191967.04717290375</v>
      </c>
      <c r="J112" s="890">
        <f>+Transmission!H64</f>
        <v>109726.87996081624</v>
      </c>
      <c r="K112" s="890">
        <f>+Transmission!J64</f>
        <v>240918.39991450205</v>
      </c>
      <c r="L112" s="2853"/>
      <c r="M112" s="2381"/>
      <c r="N112" s="2854"/>
      <c r="O112" s="2855"/>
      <c r="Q112" s="2381"/>
      <c r="R112" s="2381"/>
    </row>
    <row r="113" spans="3:27">
      <c r="C113" s="365">
        <v>34</v>
      </c>
      <c r="E113" s="30" t="s">
        <v>4288</v>
      </c>
      <c r="F113" s="60" t="s">
        <v>3152</v>
      </c>
      <c r="G113" s="2856">
        <f>+SUM(I113:K113)</f>
        <v>0.99999999999999989</v>
      </c>
      <c r="H113" s="854"/>
      <c r="I113" s="854">
        <f>+I112/G112</f>
        <v>0.35378305579084934</v>
      </c>
      <c r="J113" s="854">
        <f>+J112/G112</f>
        <v>0.20221965939794212</v>
      </c>
      <c r="K113" s="854">
        <f>+K112/G112</f>
        <v>0.44399728481120848</v>
      </c>
      <c r="L113" s="2853"/>
      <c r="M113" s="2381"/>
      <c r="N113" s="2854"/>
      <c r="O113" s="2855"/>
      <c r="Q113" s="2381"/>
      <c r="R113" s="2381"/>
    </row>
    <row r="114" spans="3:27">
      <c r="C114" s="365">
        <v>35</v>
      </c>
      <c r="E114" s="30"/>
      <c r="F114" s="62"/>
      <c r="G114" s="2857"/>
      <c r="H114" s="2857"/>
      <c r="I114" s="2857"/>
      <c r="K114" s="856"/>
      <c r="L114" s="2381"/>
      <c r="M114" s="2381"/>
      <c r="N114" s="2854"/>
      <c r="O114" s="2855"/>
    </row>
    <row r="115" spans="3:27">
      <c r="C115" s="365">
        <v>36</v>
      </c>
      <c r="E115" s="98" t="s">
        <v>3162</v>
      </c>
      <c r="F115" s="62"/>
      <c r="G115" s="2815">
        <f>+SUM(M115:N115)</f>
        <v>708539.91694177792</v>
      </c>
      <c r="H115" s="2381"/>
      <c r="I115" s="2381"/>
      <c r="K115" s="2381"/>
      <c r="L115" s="2815"/>
      <c r="M115" s="2815">
        <f>+Transmission!I40+Transmission!I56</f>
        <v>424460.27100000001</v>
      </c>
      <c r="N115" s="2858">
        <f>+Transmission!J38+Transmission!J56</f>
        <v>284079.64594177791</v>
      </c>
      <c r="O115" s="2816"/>
    </row>
    <row r="116" spans="3:27">
      <c r="C116" s="365">
        <v>37</v>
      </c>
      <c r="E116" s="98" t="s">
        <v>4289</v>
      </c>
      <c r="F116" s="60" t="s">
        <v>3161</v>
      </c>
      <c r="G116" s="2856"/>
      <c r="H116" s="2856"/>
      <c r="I116" s="2856"/>
      <c r="J116" s="2856"/>
      <c r="K116" s="2856"/>
      <c r="L116" s="854"/>
      <c r="M116" s="854">
        <f>+M115/G115</f>
        <v>0.59906331436070481</v>
      </c>
      <c r="N116" s="857">
        <f>+N115/G115</f>
        <v>0.40093668563929513</v>
      </c>
      <c r="O116" s="858"/>
    </row>
    <row r="117" spans="3:27">
      <c r="C117" s="365">
        <v>38</v>
      </c>
      <c r="E117" s="98"/>
      <c r="F117" s="60"/>
      <c r="G117" s="2856"/>
      <c r="H117" s="2859"/>
      <c r="I117" s="2856"/>
      <c r="J117" s="2856"/>
      <c r="K117" s="2856"/>
      <c r="L117" s="854"/>
      <c r="M117" s="854"/>
      <c r="N117" s="857"/>
      <c r="O117" s="858"/>
    </row>
    <row r="118" spans="3:27">
      <c r="C118" s="365">
        <v>39</v>
      </c>
      <c r="E118" s="2860" t="s">
        <v>4290</v>
      </c>
      <c r="F118" s="2479"/>
      <c r="G118" s="2861"/>
      <c r="H118" s="364" t="s">
        <v>2181</v>
      </c>
      <c r="I118" s="2381"/>
      <c r="K118" s="2381"/>
      <c r="L118" s="856"/>
      <c r="M118" s="856"/>
      <c r="N118" s="859"/>
      <c r="O118" s="860"/>
    </row>
    <row r="119" spans="3:27">
      <c r="C119" s="365">
        <v>40</v>
      </c>
      <c r="E119" s="98" t="s">
        <v>4291</v>
      </c>
      <c r="G119" s="2815">
        <f>+SUM(I119:N119)</f>
        <v>4218.1866361108005</v>
      </c>
      <c r="H119" s="2815"/>
      <c r="I119" s="2815">
        <f>+'Transmission O&amp;M'!I60</f>
        <v>1428.2318159966976</v>
      </c>
      <c r="J119" s="2815">
        <f>+'Transmission O&amp;M'!J60</f>
        <v>832.36137968011394</v>
      </c>
      <c r="K119" s="2815">
        <f>+'Transmission O&amp;M'!K60</f>
        <v>1827.5482891226889</v>
      </c>
      <c r="L119" s="2815"/>
      <c r="M119" s="2815">
        <f>+'Transmission O&amp;M'!M60</f>
        <v>77.905279361086812</v>
      </c>
      <c r="N119" s="2858">
        <f>+'Transmission O&amp;M'!N60</f>
        <v>52.139871950213305</v>
      </c>
      <c r="O119" s="2816"/>
    </row>
    <row r="120" spans="3:27" ht="15" thickBot="1">
      <c r="C120" s="365">
        <v>41</v>
      </c>
      <c r="E120" s="2803" t="s">
        <v>4292</v>
      </c>
      <c r="F120" s="41" t="s">
        <v>4271</v>
      </c>
      <c r="G120" s="2862"/>
      <c r="H120" s="861"/>
      <c r="I120" s="861">
        <f>+I119/$G$119</f>
        <v>0.33858905240701676</v>
      </c>
      <c r="J120" s="861">
        <f>+J119/$G$119</f>
        <v>0.19732682583423036</v>
      </c>
      <c r="K120" s="861">
        <f>+K119/$G$119</f>
        <v>0.43325448747988593</v>
      </c>
      <c r="L120" s="861"/>
      <c r="M120" s="861">
        <f>+M119/$G$119</f>
        <v>1.8468902891626452E-2</v>
      </c>
      <c r="N120" s="956">
        <f>+N119/$G$119</f>
        <v>1.2360731387240526E-2</v>
      </c>
      <c r="O120" s="858"/>
    </row>
    <row r="121" spans="3:27">
      <c r="C121" s="462">
        <v>42</v>
      </c>
      <c r="D121" s="297"/>
      <c r="E121" s="297"/>
      <c r="F121" s="297"/>
      <c r="G121" s="297"/>
      <c r="H121" s="297"/>
      <c r="I121" s="297"/>
      <c r="J121" s="297"/>
      <c r="K121" s="297"/>
      <c r="L121" s="297"/>
      <c r="M121" s="297"/>
      <c r="N121" s="298"/>
      <c r="O121" s="298"/>
    </row>
    <row r="124" spans="3:27">
      <c r="C124" s="352" t="s">
        <v>2173</v>
      </c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957"/>
      <c r="T124" s="957"/>
      <c r="U124" s="957"/>
      <c r="V124" s="294"/>
      <c r="W124" s="294"/>
      <c r="X124" s="294"/>
      <c r="Y124" s="294"/>
      <c r="Z124" s="294"/>
      <c r="AA124" s="460"/>
    </row>
    <row r="125" spans="3:27">
      <c r="C125" s="353" t="s">
        <v>4293</v>
      </c>
      <c r="AA125" s="296"/>
    </row>
    <row r="126" spans="3:27">
      <c r="C126" s="2829" t="s">
        <v>9263</v>
      </c>
      <c r="D126" s="2830"/>
      <c r="E126" s="2830"/>
      <c r="F126" s="385"/>
      <c r="AA126" s="296"/>
    </row>
    <row r="127" spans="3:27">
      <c r="C127" s="616"/>
      <c r="D127" s="297" t="s">
        <v>2477</v>
      </c>
      <c r="E127" s="297"/>
      <c r="F127" s="297"/>
      <c r="G127" s="297"/>
      <c r="H127" s="529"/>
      <c r="I127" s="529"/>
      <c r="J127" s="529"/>
      <c r="K127" s="529"/>
      <c r="L127" s="529"/>
      <c r="M127" s="529"/>
      <c r="N127" s="529"/>
      <c r="O127" s="529"/>
      <c r="P127" s="529"/>
      <c r="Q127" s="529"/>
      <c r="R127" s="297"/>
      <c r="X127" s="297"/>
      <c r="Y127" s="297"/>
      <c r="Z127" s="297"/>
      <c r="AA127" s="298"/>
    </row>
    <row r="128" spans="3:27">
      <c r="C128" s="353"/>
      <c r="D128" s="62"/>
      <c r="E128" s="62"/>
      <c r="G128" s="62"/>
      <c r="H128" s="280" t="s">
        <v>3717</v>
      </c>
      <c r="I128" s="3134" t="s">
        <v>4165</v>
      </c>
      <c r="J128" s="3135"/>
      <c r="K128" s="3135"/>
      <c r="L128" s="3135"/>
      <c r="M128" s="3136"/>
      <c r="N128" s="3134" t="s">
        <v>4168</v>
      </c>
      <c r="O128" s="3135"/>
      <c r="P128" s="3135"/>
      <c r="Q128" s="3135"/>
      <c r="R128" s="3136"/>
      <c r="S128" s="3134" t="s">
        <v>4156</v>
      </c>
      <c r="T128" s="3154"/>
      <c r="U128" s="3154"/>
      <c r="V128" s="3154"/>
      <c r="W128" s="3155"/>
      <c r="X128" s="637" t="s">
        <v>4294</v>
      </c>
      <c r="Y128" s="414" t="s">
        <v>4295</v>
      </c>
      <c r="Z128" s="414" t="s">
        <v>2548</v>
      </c>
      <c r="AA128" s="1961" t="s">
        <v>4296</v>
      </c>
    </row>
    <row r="129" spans="3:27" ht="53.4">
      <c r="C129" s="2863" t="s">
        <v>4297</v>
      </c>
      <c r="D129" s="77" t="s">
        <v>3174</v>
      </c>
      <c r="E129" s="77" t="s">
        <v>1918</v>
      </c>
      <c r="F129" s="77" t="s">
        <v>4251</v>
      </c>
      <c r="G129" s="60" t="s">
        <v>115</v>
      </c>
      <c r="H129" s="280" t="s">
        <v>1915</v>
      </c>
      <c r="I129" s="2864" t="s">
        <v>4298</v>
      </c>
      <c r="J129" s="2716" t="s">
        <v>4299</v>
      </c>
      <c r="K129" s="2716" t="s">
        <v>4300</v>
      </c>
      <c r="L129" s="2716" t="s">
        <v>4301</v>
      </c>
      <c r="M129" s="2717" t="s">
        <v>4302</v>
      </c>
      <c r="N129" s="2716" t="s">
        <v>4298</v>
      </c>
      <c r="O129" s="2716" t="s">
        <v>4299</v>
      </c>
      <c r="P129" s="2716" t="s">
        <v>4300</v>
      </c>
      <c r="Q129" s="2716" t="s">
        <v>4301</v>
      </c>
      <c r="R129" s="2717" t="s">
        <v>4302</v>
      </c>
      <c r="S129" s="863" t="s">
        <v>4298</v>
      </c>
      <c r="T129" s="2718" t="s">
        <v>4303</v>
      </c>
      <c r="U129" s="2718" t="s">
        <v>4304</v>
      </c>
      <c r="V129" s="2718" t="s">
        <v>4301</v>
      </c>
      <c r="W129" s="2723" t="s">
        <v>4302</v>
      </c>
      <c r="X129" s="60" t="s">
        <v>118</v>
      </c>
      <c r="Y129" s="60" t="s">
        <v>118</v>
      </c>
      <c r="Z129" s="60" t="s">
        <v>118</v>
      </c>
      <c r="AA129" s="2717" t="s">
        <v>4305</v>
      </c>
    </row>
    <row r="130" spans="3:27">
      <c r="C130" s="2791" t="s">
        <v>2175</v>
      </c>
      <c r="D130" s="2792" t="s">
        <v>2176</v>
      </c>
      <c r="E130" s="2792" t="s">
        <v>2177</v>
      </c>
      <c r="F130" s="355" t="s">
        <v>2178</v>
      </c>
      <c r="G130" s="356" t="s">
        <v>2179</v>
      </c>
      <c r="H130" s="356" t="s">
        <v>2625</v>
      </c>
      <c r="I130" s="355" t="s">
        <v>2626</v>
      </c>
      <c r="J130" s="355" t="s">
        <v>2627</v>
      </c>
      <c r="K130" s="355" t="s">
        <v>2628</v>
      </c>
      <c r="L130" s="355" t="s">
        <v>2629</v>
      </c>
      <c r="M130" s="356" t="s">
        <v>2630</v>
      </c>
      <c r="N130" s="355" t="s">
        <v>4061</v>
      </c>
      <c r="O130" s="355" t="s">
        <v>4062</v>
      </c>
      <c r="P130" s="355" t="s">
        <v>4063</v>
      </c>
      <c r="Q130" s="355" t="s">
        <v>4064</v>
      </c>
      <c r="R130" s="356" t="s">
        <v>4065</v>
      </c>
      <c r="S130" s="355" t="s">
        <v>4178</v>
      </c>
      <c r="T130" s="355" t="s">
        <v>4306</v>
      </c>
      <c r="U130" s="355" t="s">
        <v>4307</v>
      </c>
      <c r="V130" s="356" t="s">
        <v>4308</v>
      </c>
      <c r="W130" s="2865" t="s">
        <v>4309</v>
      </c>
      <c r="X130" s="354" t="s">
        <v>4310</v>
      </c>
      <c r="Y130" s="355" t="s">
        <v>4311</v>
      </c>
      <c r="Z130" s="355" t="s">
        <v>4312</v>
      </c>
      <c r="AA130" s="356" t="s">
        <v>4313</v>
      </c>
    </row>
    <row r="131" spans="3:27">
      <c r="C131" s="357"/>
      <c r="G131" s="296"/>
      <c r="H131" s="296"/>
      <c r="M131" s="460"/>
      <c r="R131" s="460"/>
      <c r="S131" s="357"/>
      <c r="U131" s="294"/>
      <c r="W131" s="460"/>
      <c r="AA131" s="296"/>
    </row>
    <row r="132" spans="3:27">
      <c r="C132" s="526">
        <v>1</v>
      </c>
      <c r="E132" s="531" t="s">
        <v>4253</v>
      </c>
      <c r="G132" s="296"/>
      <c r="H132" s="296"/>
      <c r="M132" s="296"/>
      <c r="R132" s="296"/>
      <c r="S132" s="357"/>
      <c r="W132" s="296"/>
      <c r="AA132" s="296"/>
    </row>
    <row r="133" spans="3:27">
      <c r="C133" s="365">
        <v>2</v>
      </c>
      <c r="D133" s="33" t="s">
        <v>4314</v>
      </c>
      <c r="E133" s="96" t="s">
        <v>4315</v>
      </c>
      <c r="F133" s="290" t="s">
        <v>4316</v>
      </c>
      <c r="G133" s="2855">
        <f>+SUMIFS('Labor Input'!C:C,'Labor Input'!G:G,'Labor O&amp;M'!D133)/1000</f>
        <v>947.79897956480636</v>
      </c>
      <c r="H133" s="2866">
        <f>+G133*H177</f>
        <v>91.300657549776105</v>
      </c>
      <c r="I133" s="2381">
        <f t="shared" ref="I133:AA133" si="4">+$G$133*I177</f>
        <v>22.150666097516478</v>
      </c>
      <c r="J133" s="2381">
        <f t="shared" si="4"/>
        <v>334.36383033469008</v>
      </c>
      <c r="K133" s="2381">
        <f t="shared" si="4"/>
        <v>0</v>
      </c>
      <c r="L133" s="2381">
        <f t="shared" si="4"/>
        <v>77.849620673191524</v>
      </c>
      <c r="M133" s="2855">
        <f t="shared" si="4"/>
        <v>0</v>
      </c>
      <c r="N133" s="2381">
        <f t="shared" si="4"/>
        <v>5.5463045083379542E-2</v>
      </c>
      <c r="O133" s="2381">
        <f t="shared" si="4"/>
        <v>108.30672505268038</v>
      </c>
      <c r="P133" s="2381">
        <f t="shared" si="4"/>
        <v>0</v>
      </c>
      <c r="Q133" s="2381">
        <f t="shared" si="4"/>
        <v>8.2579877155753767</v>
      </c>
      <c r="R133" s="2855">
        <f t="shared" si="4"/>
        <v>0</v>
      </c>
      <c r="S133" s="2381">
        <f t="shared" si="4"/>
        <v>0</v>
      </c>
      <c r="T133" s="2381">
        <f t="shared" si="4"/>
        <v>0.87510235550252047</v>
      </c>
      <c r="U133" s="2381">
        <f t="shared" si="4"/>
        <v>0</v>
      </c>
      <c r="V133" s="2381">
        <f t="shared" si="4"/>
        <v>4.4457674798192031</v>
      </c>
      <c r="W133" s="2855">
        <f t="shared" si="4"/>
        <v>0</v>
      </c>
      <c r="X133" s="2381">
        <f t="shared" si="4"/>
        <v>82.303913986323508</v>
      </c>
      <c r="Y133" s="2381">
        <f t="shared" si="4"/>
        <v>60.363406709833541</v>
      </c>
      <c r="Z133" s="2381">
        <f t="shared" si="4"/>
        <v>157.52583856481425</v>
      </c>
      <c r="AA133" s="2855">
        <f t="shared" si="4"/>
        <v>0</v>
      </c>
    </row>
    <row r="134" spans="3:27">
      <c r="C134" s="365">
        <v>3</v>
      </c>
      <c r="D134" s="33">
        <v>581</v>
      </c>
      <c r="E134" s="96" t="s">
        <v>4317</v>
      </c>
      <c r="F134" s="290" t="s">
        <v>4316</v>
      </c>
      <c r="G134" s="2855">
        <f>+SUMIFS('Labor Input'!C:C,'Labor Input'!G:G,'Labor O&amp;M'!D134)/1000</f>
        <v>661.90838291806187</v>
      </c>
      <c r="H134" s="2866">
        <f>+$G$134*H177</f>
        <v>63.761063159064008</v>
      </c>
      <c r="I134" s="2381">
        <f t="shared" ref="I134:AA134" si="5">+$G$134*I177</f>
        <v>15.469220682108325</v>
      </c>
      <c r="J134" s="2381">
        <f t="shared" si="5"/>
        <v>233.5075548875827</v>
      </c>
      <c r="K134" s="2381">
        <f t="shared" si="5"/>
        <v>0</v>
      </c>
      <c r="L134" s="2381">
        <f t="shared" si="5"/>
        <v>54.367347551098909</v>
      </c>
      <c r="M134" s="2855">
        <f t="shared" si="5"/>
        <v>0</v>
      </c>
      <c r="N134" s="2381">
        <f t="shared" si="5"/>
        <v>3.8733376247891547E-2</v>
      </c>
      <c r="O134" s="2381">
        <f t="shared" si="5"/>
        <v>75.637483036421671</v>
      </c>
      <c r="P134" s="2381">
        <f t="shared" si="5"/>
        <v>0</v>
      </c>
      <c r="Q134" s="2381">
        <f t="shared" si="5"/>
        <v>5.7670786873852862</v>
      </c>
      <c r="R134" s="2855">
        <f t="shared" si="5"/>
        <v>0</v>
      </c>
      <c r="S134" s="2381">
        <f t="shared" si="5"/>
        <v>0</v>
      </c>
      <c r="T134" s="2381">
        <f t="shared" si="5"/>
        <v>0.61113970104127391</v>
      </c>
      <c r="U134" s="2381">
        <f t="shared" si="5"/>
        <v>0</v>
      </c>
      <c r="V134" s="2381">
        <f t="shared" si="5"/>
        <v>3.1047625359841695</v>
      </c>
      <c r="W134" s="2855">
        <f t="shared" si="5"/>
        <v>0</v>
      </c>
      <c r="X134" s="2381">
        <f t="shared" si="5"/>
        <v>57.478064219407301</v>
      </c>
      <c r="Y134" s="2381">
        <f t="shared" si="5"/>
        <v>42.155610824857668</v>
      </c>
      <c r="Z134" s="2381">
        <f t="shared" si="5"/>
        <v>110.01032425686263</v>
      </c>
      <c r="AA134" s="2855">
        <f t="shared" si="5"/>
        <v>0</v>
      </c>
    </row>
    <row r="135" spans="3:27">
      <c r="C135" s="365">
        <v>4</v>
      </c>
      <c r="D135" s="33" t="s">
        <v>4318</v>
      </c>
      <c r="E135" s="96" t="s">
        <v>4319</v>
      </c>
      <c r="F135" s="290" t="s">
        <v>4123</v>
      </c>
      <c r="G135" s="2855">
        <f>+SUMIFS('Labor Input'!C:C,'Labor Input'!G:G,'Labor O&amp;M'!D135)/1000</f>
        <v>435.83206715837213</v>
      </c>
      <c r="H135" s="2866">
        <f>+G135*H167</f>
        <v>435.83206715837213</v>
      </c>
      <c r="K135" s="2381"/>
      <c r="L135" s="2381"/>
      <c r="M135" s="2855"/>
      <c r="P135" s="2381"/>
      <c r="Q135" s="2381"/>
      <c r="R135" s="2855"/>
      <c r="W135" s="2855"/>
      <c r="AA135" s="2867">
        <f>+G135*AA167</f>
        <v>0</v>
      </c>
    </row>
    <row r="136" spans="3:27">
      <c r="C136" s="365">
        <v>5</v>
      </c>
      <c r="D136" s="33" t="s">
        <v>4320</v>
      </c>
      <c r="E136" s="96" t="s">
        <v>4321</v>
      </c>
      <c r="F136" s="290" t="s">
        <v>4109</v>
      </c>
      <c r="G136" s="2855">
        <f>+SUMIFS('Labor Input'!C:C,'Labor Input'!G:G,'Labor O&amp;M'!D136)/1000</f>
        <v>3616.8197414265883</v>
      </c>
      <c r="H136" s="296"/>
      <c r="I136" s="2381">
        <f>+$G$136*I161</f>
        <v>160.47135948650995</v>
      </c>
      <c r="J136" s="2381">
        <f>+$G$136*J161</f>
        <v>2422.3117345866331</v>
      </c>
      <c r="K136" s="2381">
        <f>+$G$136*K161</f>
        <v>0</v>
      </c>
      <c r="L136" s="2381">
        <f>+$G$136*L161</f>
        <v>563.98459576512789</v>
      </c>
      <c r="M136" s="2855">
        <f>+$G$136*M161</f>
        <v>0</v>
      </c>
      <c r="P136" s="2381"/>
      <c r="Q136" s="2381"/>
      <c r="R136" s="2855"/>
      <c r="W136" s="2855"/>
      <c r="X136" s="2381">
        <f>+G136*X161</f>
        <v>470.05205158831762</v>
      </c>
      <c r="AA136" s="2868"/>
    </row>
    <row r="137" spans="3:27">
      <c r="C137" s="365">
        <v>6</v>
      </c>
      <c r="D137" s="33" t="s">
        <v>4322</v>
      </c>
      <c r="E137" s="96" t="s">
        <v>4323</v>
      </c>
      <c r="F137" s="290" t="s">
        <v>4120</v>
      </c>
      <c r="G137" s="2855">
        <f>+SUMIFS('Labor Input'!C:C,'Labor Input'!G:G,'Labor O&amp;M'!D137)/1000</f>
        <v>0</v>
      </c>
      <c r="H137" s="296"/>
      <c r="K137" s="2381"/>
      <c r="L137" s="2381"/>
      <c r="M137" s="2855"/>
      <c r="N137" s="2381">
        <f>+$G$137*N164</f>
        <v>0</v>
      </c>
      <c r="O137" s="2381">
        <f>+$G$137*O164</f>
        <v>0</v>
      </c>
      <c r="P137" s="2381">
        <f>+$G$137*P164</f>
        <v>0</v>
      </c>
      <c r="Q137" s="2381">
        <f>+$G$137*Q164</f>
        <v>0</v>
      </c>
      <c r="R137" s="2855">
        <f>+$G$137*R164</f>
        <v>0</v>
      </c>
      <c r="W137" s="2855"/>
      <c r="X137" s="2381">
        <f>+G137*X164</f>
        <v>0</v>
      </c>
      <c r="AA137" s="296"/>
    </row>
    <row r="138" spans="3:27">
      <c r="C138" s="365">
        <v>7</v>
      </c>
      <c r="D138" s="33" t="s">
        <v>4324</v>
      </c>
      <c r="E138" s="96" t="s">
        <v>4325</v>
      </c>
      <c r="F138" s="290" t="s">
        <v>4326</v>
      </c>
      <c r="G138" s="2855">
        <f>+SUMIFS('Labor Input'!C:C,'Labor Input'!G:G,'Labor O&amp;M'!D138)/1000</f>
        <v>1475.2809850902324</v>
      </c>
      <c r="H138" s="296"/>
      <c r="K138" s="2381"/>
      <c r="L138" s="2381"/>
      <c r="M138" s="2855"/>
      <c r="P138" s="2381"/>
      <c r="Q138" s="2381"/>
      <c r="R138" s="2855"/>
      <c r="W138" s="2855"/>
      <c r="Y138" s="2381">
        <f>+G138</f>
        <v>1475.2809850902324</v>
      </c>
      <c r="AA138" s="296"/>
    </row>
    <row r="139" spans="3:27">
      <c r="C139" s="365">
        <v>8</v>
      </c>
      <c r="D139" s="33" t="s">
        <v>4327</v>
      </c>
      <c r="E139" s="96" t="s">
        <v>4328</v>
      </c>
      <c r="F139" s="290" t="s">
        <v>4326</v>
      </c>
      <c r="G139" s="2855">
        <f>+SUMIFS('Labor Input'!C:C,'Labor Input'!G:G,'Labor O&amp;M'!D139)/1000</f>
        <v>4209.3376616344194</v>
      </c>
      <c r="H139" s="296"/>
      <c r="K139" s="2381"/>
      <c r="L139" s="2381"/>
      <c r="M139" s="2855"/>
      <c r="P139" s="2381"/>
      <c r="Q139" s="2381"/>
      <c r="R139" s="2855"/>
      <c r="W139" s="2855"/>
      <c r="Z139" s="2381">
        <f>+G139</f>
        <v>4209.3376616344194</v>
      </c>
      <c r="AA139" s="296"/>
    </row>
    <row r="140" spans="3:27">
      <c r="C140" s="365">
        <v>9</v>
      </c>
      <c r="D140" s="33" t="s">
        <v>4329</v>
      </c>
      <c r="E140" s="96" t="s">
        <v>4330</v>
      </c>
      <c r="F140" s="290" t="s">
        <v>4326</v>
      </c>
      <c r="G140" s="2855">
        <f>+SUMIFS('Labor Input'!C:C,'Labor Input'!G:G,'Labor O&amp;M'!D140)/1000</f>
        <v>0</v>
      </c>
      <c r="H140" s="296"/>
      <c r="K140" s="2381"/>
      <c r="L140" s="2381"/>
      <c r="M140" s="2855"/>
      <c r="P140" s="2381"/>
      <c r="Q140" s="2381"/>
      <c r="R140" s="2855"/>
      <c r="W140" s="2855"/>
      <c r="X140" s="162">
        <f>+G140</f>
        <v>0</v>
      </c>
      <c r="AA140" s="2855"/>
    </row>
    <row r="141" spans="3:27">
      <c r="C141" s="365">
        <v>10</v>
      </c>
      <c r="D141" s="33" t="s">
        <v>4331</v>
      </c>
      <c r="E141" s="96" t="s">
        <v>4332</v>
      </c>
      <c r="F141" s="290" t="s">
        <v>4316</v>
      </c>
      <c r="G141" s="2855">
        <f>+SUMIFS('Labor Input'!C:C,'Labor Input'!G:G,'Labor O&amp;M'!D141)/1000</f>
        <v>6974.0904751129447</v>
      </c>
      <c r="H141" s="2866">
        <f>+$G$141*H177</f>
        <v>671.80811534721101</v>
      </c>
      <c r="I141" s="2381">
        <f t="shared" ref="I141:AA141" si="6">+$G$141*I177</f>
        <v>162.9889383495946</v>
      </c>
      <c r="J141" s="2381">
        <f t="shared" si="6"/>
        <v>2460.3145336051698</v>
      </c>
      <c r="K141" s="2381">
        <f t="shared" si="6"/>
        <v>0</v>
      </c>
      <c r="L141" s="2381">
        <f t="shared" si="6"/>
        <v>572.83275223334169</v>
      </c>
      <c r="M141" s="2855">
        <f t="shared" si="6"/>
        <v>0</v>
      </c>
      <c r="N141" s="2381">
        <f t="shared" si="6"/>
        <v>0.40810794564725433</v>
      </c>
      <c r="O141" s="2381">
        <f t="shared" si="6"/>
        <v>796.9420899011717</v>
      </c>
      <c r="P141" s="2381">
        <f t="shared" si="6"/>
        <v>0</v>
      </c>
      <c r="Q141" s="2381">
        <f t="shared" si="6"/>
        <v>60.763890563838757</v>
      </c>
      <c r="R141" s="2855">
        <f t="shared" si="6"/>
        <v>0</v>
      </c>
      <c r="S141" s="2381">
        <f t="shared" si="6"/>
        <v>0</v>
      </c>
      <c r="T141" s="2381">
        <f t="shared" si="6"/>
        <v>6.4391744809234943</v>
      </c>
      <c r="U141" s="2381">
        <f t="shared" si="6"/>
        <v>0</v>
      </c>
      <c r="V141" s="2381">
        <f t="shared" si="6"/>
        <v>32.71282761858469</v>
      </c>
      <c r="W141" s="2855">
        <f t="shared" si="6"/>
        <v>0</v>
      </c>
      <c r="X141" s="2381">
        <f t="shared" si="6"/>
        <v>605.60831460283987</v>
      </c>
      <c r="Y141" s="2381">
        <f t="shared" si="6"/>
        <v>444.16576600843888</v>
      </c>
      <c r="Z141" s="2381">
        <f t="shared" si="6"/>
        <v>1159.1059644561824</v>
      </c>
      <c r="AA141" s="2855">
        <f t="shared" si="6"/>
        <v>0</v>
      </c>
    </row>
    <row r="142" spans="3:27">
      <c r="C142" s="365">
        <v>11</v>
      </c>
      <c r="D142" s="33" t="s">
        <v>4333</v>
      </c>
      <c r="E142" s="96" t="s">
        <v>4270</v>
      </c>
      <c r="F142" s="290" t="s">
        <v>4334</v>
      </c>
      <c r="G142" s="2855">
        <f>+SUMIFS('Labor Input'!C:C,'Labor Input'!G:G,'Labor O&amp;M'!D142)/1000</f>
        <v>0</v>
      </c>
      <c r="H142" s="296"/>
      <c r="I142" s="297"/>
      <c r="J142" s="297"/>
      <c r="K142" s="2869"/>
      <c r="L142" s="2869"/>
      <c r="M142" s="2870"/>
      <c r="N142" s="297"/>
      <c r="O142" s="297"/>
      <c r="P142" s="2869"/>
      <c r="Q142" s="2869"/>
      <c r="R142" s="2870"/>
      <c r="S142" s="297"/>
      <c r="T142" s="297"/>
      <c r="U142" s="297"/>
      <c r="V142" s="297"/>
      <c r="W142" s="2870"/>
      <c r="X142" s="297"/>
      <c r="Y142" s="297"/>
      <c r="Z142" s="297"/>
      <c r="AA142" s="298"/>
    </row>
    <row r="143" spans="3:27">
      <c r="C143" s="365">
        <v>12</v>
      </c>
      <c r="D143" s="33"/>
      <c r="E143" s="96" t="s">
        <v>4335</v>
      </c>
      <c r="G143" s="2871">
        <f>+SUM(G133:G142)</f>
        <v>18321.068292905424</v>
      </c>
      <c r="H143" s="2872">
        <f>+SUM(H133:H142)</f>
        <v>1262.7019032144233</v>
      </c>
      <c r="I143" s="2869">
        <f t="shared" ref="I143:AA143" si="7">+SUM(I133:I142)</f>
        <v>361.08018461572937</v>
      </c>
      <c r="J143" s="2869">
        <f t="shared" si="7"/>
        <v>5450.4976534140751</v>
      </c>
      <c r="K143" s="2869">
        <f t="shared" si="7"/>
        <v>0</v>
      </c>
      <c r="L143" s="2869">
        <f t="shared" si="7"/>
        <v>1269.03431622276</v>
      </c>
      <c r="M143" s="2870">
        <f t="shared" si="7"/>
        <v>0</v>
      </c>
      <c r="N143" s="2869">
        <f t="shared" si="7"/>
        <v>0.50230436697852543</v>
      </c>
      <c r="O143" s="2869">
        <f t="shared" si="7"/>
        <v>980.88629799027376</v>
      </c>
      <c r="P143" s="2869">
        <f t="shared" si="7"/>
        <v>0</v>
      </c>
      <c r="Q143" s="2869">
        <f t="shared" si="7"/>
        <v>74.788956966799418</v>
      </c>
      <c r="R143" s="2870">
        <f t="shared" si="7"/>
        <v>0</v>
      </c>
      <c r="S143" s="2869">
        <f t="shared" si="7"/>
        <v>0</v>
      </c>
      <c r="T143" s="2869">
        <f t="shared" si="7"/>
        <v>7.9254165374672887</v>
      </c>
      <c r="U143" s="2869">
        <f t="shared" si="7"/>
        <v>0</v>
      </c>
      <c r="V143" s="2869">
        <f t="shared" si="7"/>
        <v>40.263357634388065</v>
      </c>
      <c r="W143" s="2870">
        <f t="shared" si="7"/>
        <v>0</v>
      </c>
      <c r="X143" s="2869">
        <f>+SUM(X133:X142)</f>
        <v>1215.4423443968883</v>
      </c>
      <c r="Y143" s="2869">
        <f t="shared" si="7"/>
        <v>2021.9657686333626</v>
      </c>
      <c r="Z143" s="2869">
        <f t="shared" si="7"/>
        <v>5635.9797889122783</v>
      </c>
      <c r="AA143" s="2873">
        <f t="shared" si="7"/>
        <v>0</v>
      </c>
    </row>
    <row r="144" spans="3:27">
      <c r="C144" s="365">
        <v>13</v>
      </c>
      <c r="D144" s="33"/>
      <c r="G144" s="296"/>
      <c r="H144" s="296"/>
      <c r="K144" s="2381"/>
      <c r="L144" s="2381"/>
      <c r="M144" s="2855"/>
      <c r="P144" s="2381"/>
      <c r="Q144" s="2381"/>
      <c r="R144" s="2855"/>
      <c r="W144" s="2855"/>
      <c r="AA144" s="296"/>
    </row>
    <row r="145" spans="3:27">
      <c r="C145" s="365">
        <v>14</v>
      </c>
      <c r="D145" s="33"/>
      <c r="E145" s="531" t="s">
        <v>4272</v>
      </c>
      <c r="G145" s="296"/>
      <c r="H145" s="296"/>
      <c r="K145" s="2381"/>
      <c r="L145" s="2381"/>
      <c r="M145" s="2855"/>
      <c r="P145" s="2381"/>
      <c r="Q145" s="2381"/>
      <c r="R145" s="2855"/>
      <c r="W145" s="2855"/>
      <c r="AA145" s="296"/>
    </row>
    <row r="146" spans="3:27">
      <c r="C146" s="365">
        <v>15</v>
      </c>
      <c r="D146" s="33" t="s">
        <v>4336</v>
      </c>
      <c r="E146" s="96" t="s">
        <v>4279</v>
      </c>
      <c r="F146" s="290" t="s">
        <v>4337</v>
      </c>
      <c r="G146" s="2855">
        <f>+SUMIFS('Labor Input'!C:C,'Labor Input'!G:G,'Labor O&amp;M'!D146)/1000</f>
        <v>0</v>
      </c>
      <c r="H146" s="296">
        <f>+$G$146*H171</f>
        <v>0</v>
      </c>
      <c r="I146">
        <f t="shared" ref="I146:AA146" si="8">+$G$146*I171</f>
        <v>0</v>
      </c>
      <c r="J146">
        <f t="shared" si="8"/>
        <v>0</v>
      </c>
      <c r="K146" s="2381">
        <f t="shared" si="8"/>
        <v>0</v>
      </c>
      <c r="L146" s="2381">
        <f t="shared" si="8"/>
        <v>0</v>
      </c>
      <c r="M146" s="2855">
        <f t="shared" si="8"/>
        <v>0</v>
      </c>
      <c r="N146">
        <f t="shared" si="8"/>
        <v>0</v>
      </c>
      <c r="O146">
        <f t="shared" si="8"/>
        <v>0</v>
      </c>
      <c r="P146" s="2381">
        <f t="shared" si="8"/>
        <v>0</v>
      </c>
      <c r="Q146" s="2381">
        <f t="shared" si="8"/>
        <v>0</v>
      </c>
      <c r="R146" s="2855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2855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296">
        <f t="shared" si="8"/>
        <v>0</v>
      </c>
    </row>
    <row r="147" spans="3:27">
      <c r="C147" s="365">
        <v>16</v>
      </c>
      <c r="D147" s="33" t="s">
        <v>4338</v>
      </c>
      <c r="E147" s="96" t="s">
        <v>4339</v>
      </c>
      <c r="F147" s="290" t="s">
        <v>4334</v>
      </c>
      <c r="G147" s="2855">
        <f>+SUMIFS('Labor Input'!C:C,'Labor Input'!G:G,'Labor O&amp;M'!D147)/1000</f>
        <v>118.18418573713177</v>
      </c>
      <c r="H147" s="2866">
        <f>+G147</f>
        <v>118.18418573713177</v>
      </c>
      <c r="K147" s="2381"/>
      <c r="L147" s="2381"/>
      <c r="M147" s="2855"/>
      <c r="P147" s="2381"/>
      <c r="Q147" s="2381"/>
      <c r="R147" s="2855"/>
      <c r="W147" s="2855"/>
      <c r="AA147" s="296"/>
    </row>
    <row r="148" spans="3:27">
      <c r="C148" s="365">
        <v>17</v>
      </c>
      <c r="D148" s="33" t="s">
        <v>4340</v>
      </c>
      <c r="E148" s="96" t="s">
        <v>4341</v>
      </c>
      <c r="F148" s="290" t="s">
        <v>4123</v>
      </c>
      <c r="G148" s="2855">
        <f>+SUMIFS('Labor Input'!C:C,'Labor Input'!G:G,'Labor O&amp;M'!D148)/1000</f>
        <v>1729.4598107459692</v>
      </c>
      <c r="H148" s="2866">
        <f>+G148*H167</f>
        <v>1729.4598107459692</v>
      </c>
      <c r="K148" s="2381"/>
      <c r="L148" s="2381"/>
      <c r="M148" s="2855"/>
      <c r="P148" s="2381"/>
      <c r="Q148" s="2381"/>
      <c r="R148" s="2855"/>
      <c r="W148" s="2855"/>
      <c r="AA148" s="2867">
        <f>+G148*AA167</f>
        <v>0</v>
      </c>
    </row>
    <row r="149" spans="3:27">
      <c r="C149" s="365">
        <v>18</v>
      </c>
      <c r="D149" s="33" t="s">
        <v>4342</v>
      </c>
      <c r="E149" s="96" t="s">
        <v>4343</v>
      </c>
      <c r="F149" s="290" t="s">
        <v>4109</v>
      </c>
      <c r="G149" s="2855">
        <f>+SUMIFS('Labor Input'!C:C,'Labor Input'!G:G,'Labor O&amp;M'!D149)/1000</f>
        <v>9516.0588996931001</v>
      </c>
      <c r="H149" s="2866"/>
      <c r="I149" s="2381">
        <f>+$G$149*I161</f>
        <v>422.20929373304489</v>
      </c>
      <c r="J149" s="2381">
        <f>+$G$149*J161</f>
        <v>6373.2402463198705</v>
      </c>
      <c r="K149" s="2381">
        <f>+$G$149*K161</f>
        <v>0</v>
      </c>
      <c r="L149" s="2381">
        <f>+$G$149*L161</f>
        <v>1483.8756187787453</v>
      </c>
      <c r="M149" s="2855">
        <f>+$G$149*M161</f>
        <v>0</v>
      </c>
      <c r="P149" s="2381"/>
      <c r="Q149" s="2381"/>
      <c r="R149" s="2855"/>
      <c r="W149" s="2855"/>
      <c r="X149" s="2381">
        <f>+G149*X161</f>
        <v>1236.7337408614399</v>
      </c>
      <c r="Y149" s="2381"/>
      <c r="AA149" s="2867"/>
    </row>
    <row r="150" spans="3:27">
      <c r="C150" s="365">
        <v>19</v>
      </c>
      <c r="D150" s="33" t="s">
        <v>4344</v>
      </c>
      <c r="E150" s="96" t="s">
        <v>4345</v>
      </c>
      <c r="F150" s="290" t="s">
        <v>4120</v>
      </c>
      <c r="G150" s="2855">
        <f>+SUMIFS('Labor Input'!C:C,'Labor Input'!G:G,'Labor O&amp;M'!D150)/1000</f>
        <v>3666.4083323287596</v>
      </c>
      <c r="H150" s="2866"/>
      <c r="K150" s="2381"/>
      <c r="L150" s="2381"/>
      <c r="M150" s="2855"/>
      <c r="N150" s="2381">
        <f>+$G$150*N164</f>
        <v>1.5170806432370798</v>
      </c>
      <c r="O150" s="2381">
        <f>+$G$150*O164</f>
        <v>2962.5137938749822</v>
      </c>
      <c r="P150" s="2381">
        <f>+$G$150*P164</f>
        <v>0</v>
      </c>
      <c r="Q150" s="2381">
        <f>+$G$150*Q164</f>
        <v>225.88073367690438</v>
      </c>
      <c r="R150" s="2855">
        <f>+$G$150*R164</f>
        <v>0</v>
      </c>
      <c r="W150" s="2855"/>
      <c r="X150" s="2381">
        <f>+G150*X164</f>
        <v>476.49672413363652</v>
      </c>
      <c r="AA150" s="296"/>
    </row>
    <row r="151" spans="3:27">
      <c r="C151" s="365">
        <v>20</v>
      </c>
      <c r="D151" s="33" t="s">
        <v>4346</v>
      </c>
      <c r="E151" s="96" t="s">
        <v>4347</v>
      </c>
      <c r="F151" s="290" t="s">
        <v>4326</v>
      </c>
      <c r="G151" s="2855">
        <f>+SUMIFS('Labor Input'!C:C,'Labor Input'!G:G,'Labor O&amp;M'!D151)/1000</f>
        <v>203.21724187116277</v>
      </c>
      <c r="H151" s="2866"/>
      <c r="K151" s="2381"/>
      <c r="L151" s="2381"/>
      <c r="M151" s="2855"/>
      <c r="P151" s="2381"/>
      <c r="Q151" s="2381"/>
      <c r="R151" s="2855"/>
      <c r="S151" s="2381">
        <f>+IF($G$151&gt;0,$G$151*('Distribution O&amp;M'!R38/'Distribution O&amp;M'!$F$38),0)</f>
        <v>0</v>
      </c>
      <c r="T151" s="2381">
        <f>+IF($G$151&gt;0,$G$151*('Distribution O&amp;M'!S38/'Distribution O&amp;M'!$F$38),0)</f>
        <v>33.422333668011483</v>
      </c>
      <c r="U151" s="2381">
        <f>+IF($G$151&gt;0,$G$151*('Distribution O&amp;M'!T38/'Distribution O&amp;M'!$F$38),0)</f>
        <v>0</v>
      </c>
      <c r="V151" s="2381">
        <f>+IF($G$151&gt;0,$G$151*('Distribution O&amp;M'!U38/'Distribution O&amp;M'!$F$38),0)</f>
        <v>169.79490820315129</v>
      </c>
      <c r="W151" s="2855">
        <f>+IF($G$151&gt;0,$G$151*('Distribution O&amp;M'!V38/'Distribution O&amp;M'!$F$38),0)</f>
        <v>0</v>
      </c>
      <c r="AA151" s="296"/>
    </row>
    <row r="152" spans="3:27">
      <c r="C152" s="365">
        <v>21</v>
      </c>
      <c r="D152" s="33" t="s">
        <v>4348</v>
      </c>
      <c r="E152" s="96" t="s">
        <v>4349</v>
      </c>
      <c r="F152" s="290" t="s">
        <v>4326</v>
      </c>
      <c r="G152" s="2855">
        <f>+SUMIFS('Labor Input'!C:C,'Labor Input'!G:G,'Labor O&amp;M'!D152)/1000</f>
        <v>0</v>
      </c>
      <c r="H152" s="2866"/>
      <c r="K152" s="2381"/>
      <c r="L152" s="2381"/>
      <c r="M152" s="2855"/>
      <c r="P152" s="2381"/>
      <c r="Q152" s="2381"/>
      <c r="R152" s="2855"/>
      <c r="W152" s="2855"/>
      <c r="Y152" s="2381">
        <f>+G152</f>
        <v>0</v>
      </c>
      <c r="AA152" s="296"/>
    </row>
    <row r="153" spans="3:27">
      <c r="C153" s="365">
        <v>22</v>
      </c>
      <c r="D153" s="33" t="s">
        <v>4350</v>
      </c>
      <c r="E153" s="96" t="s">
        <v>4351</v>
      </c>
      <c r="F153" s="290" t="s">
        <v>4326</v>
      </c>
      <c r="G153" s="2855">
        <f>+SUMIFS('Labor Input'!C:C,'Labor Input'!G:G,'Labor O&amp;M'!D153)/1000</f>
        <v>755.25025187124038</v>
      </c>
      <c r="H153" s="2866"/>
      <c r="K153" s="2381"/>
      <c r="L153" s="2381"/>
      <c r="M153" s="2855"/>
      <c r="P153" s="2381"/>
      <c r="Q153" s="2381"/>
      <c r="R153" s="2855"/>
      <c r="W153" s="2855"/>
      <c r="Z153" s="2381">
        <f>+G153</f>
        <v>755.25025187124038</v>
      </c>
      <c r="AA153" s="296"/>
    </row>
    <row r="154" spans="3:27">
      <c r="C154" s="365">
        <v>23</v>
      </c>
      <c r="D154" s="33" t="s">
        <v>4352</v>
      </c>
      <c r="E154" s="96" t="s">
        <v>4353</v>
      </c>
      <c r="F154" s="290" t="s">
        <v>4337</v>
      </c>
      <c r="G154" s="2855">
        <f>+SUMIFS('Labor Input'!C:C,'Labor Input'!G:G,'Labor O&amp;M'!D154)/1000</f>
        <v>0</v>
      </c>
      <c r="H154" s="2866">
        <f>+$G$154*H171</f>
        <v>0</v>
      </c>
      <c r="I154">
        <f t="shared" ref="I154:AA154" si="9">+$G$154*I171</f>
        <v>0</v>
      </c>
      <c r="J154">
        <f t="shared" si="9"/>
        <v>0</v>
      </c>
      <c r="K154" s="2381">
        <f t="shared" si="9"/>
        <v>0</v>
      </c>
      <c r="L154" s="2381">
        <f t="shared" si="9"/>
        <v>0</v>
      </c>
      <c r="M154" s="2855">
        <f t="shared" si="9"/>
        <v>0</v>
      </c>
      <c r="N154">
        <f t="shared" si="9"/>
        <v>0</v>
      </c>
      <c r="O154">
        <f t="shared" si="9"/>
        <v>0</v>
      </c>
      <c r="P154" s="2381">
        <f t="shared" si="9"/>
        <v>0</v>
      </c>
      <c r="Q154" s="2381">
        <f t="shared" si="9"/>
        <v>0</v>
      </c>
      <c r="R154" s="2855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2855">
        <f t="shared" si="9"/>
        <v>0</v>
      </c>
      <c r="X154">
        <f t="shared" si="9"/>
        <v>0</v>
      </c>
      <c r="Y154">
        <f t="shared" si="9"/>
        <v>0</v>
      </c>
      <c r="Z154" s="2381">
        <f t="shared" si="9"/>
        <v>0</v>
      </c>
      <c r="AA154" s="296">
        <f t="shared" si="9"/>
        <v>0</v>
      </c>
    </row>
    <row r="155" spans="3:27">
      <c r="C155" s="365">
        <v>24</v>
      </c>
      <c r="E155" s="96" t="s">
        <v>4354</v>
      </c>
      <c r="G155" s="2871">
        <f>+SUM(G146:G154)</f>
        <v>15988.578722247365</v>
      </c>
      <c r="H155" s="2871">
        <f t="shared" ref="H155:AA155" si="10">+SUM(H146:H154)</f>
        <v>1847.6439964831011</v>
      </c>
      <c r="I155" s="2874">
        <f t="shared" si="10"/>
        <v>422.20929373304489</v>
      </c>
      <c r="J155" s="2874">
        <f t="shared" si="10"/>
        <v>6373.2402463198705</v>
      </c>
      <c r="K155" s="2874">
        <f t="shared" si="10"/>
        <v>0</v>
      </c>
      <c r="L155" s="2874">
        <f t="shared" si="10"/>
        <v>1483.8756187787453</v>
      </c>
      <c r="M155" s="2871">
        <f t="shared" si="10"/>
        <v>0</v>
      </c>
      <c r="N155" s="2874">
        <f t="shared" si="10"/>
        <v>1.5170806432370798</v>
      </c>
      <c r="O155" s="2874">
        <f t="shared" si="10"/>
        <v>2962.5137938749822</v>
      </c>
      <c r="P155" s="2874">
        <f t="shared" si="10"/>
        <v>0</v>
      </c>
      <c r="Q155" s="2874">
        <f t="shared" si="10"/>
        <v>225.88073367690438</v>
      </c>
      <c r="R155" s="2871">
        <f t="shared" si="10"/>
        <v>0</v>
      </c>
      <c r="S155" s="2874">
        <f t="shared" si="10"/>
        <v>0</v>
      </c>
      <c r="T155" s="2874">
        <f t="shared" si="10"/>
        <v>33.422333668011483</v>
      </c>
      <c r="U155" s="2874">
        <f t="shared" si="10"/>
        <v>0</v>
      </c>
      <c r="V155" s="2874">
        <f t="shared" si="10"/>
        <v>169.79490820315129</v>
      </c>
      <c r="W155" s="2871">
        <f t="shared" si="10"/>
        <v>0</v>
      </c>
      <c r="X155" s="2875">
        <f t="shared" si="10"/>
        <v>1713.2304649950763</v>
      </c>
      <c r="Y155" s="2874">
        <f t="shared" si="10"/>
        <v>0</v>
      </c>
      <c r="Z155" s="2874">
        <f t="shared" si="10"/>
        <v>755.25025187124038</v>
      </c>
      <c r="AA155" s="2871">
        <f t="shared" si="10"/>
        <v>0</v>
      </c>
    </row>
    <row r="156" spans="3:27">
      <c r="C156" s="365">
        <v>25</v>
      </c>
      <c r="G156" s="296"/>
      <c r="H156" s="2866"/>
      <c r="M156" s="296"/>
      <c r="R156" s="296"/>
      <c r="W156" s="296"/>
      <c r="AA156" s="296"/>
    </row>
    <row r="157" spans="3:27">
      <c r="C157" s="365">
        <v>26</v>
      </c>
      <c r="E157" s="96" t="s">
        <v>4355</v>
      </c>
      <c r="G157" s="2870">
        <f>+G143+G155</f>
        <v>34309.64701515279</v>
      </c>
      <c r="H157" s="2870">
        <f t="shared" ref="H157:AA157" si="11">+H143+H155</f>
        <v>3110.3458996975241</v>
      </c>
      <c r="I157" s="2869">
        <f t="shared" si="11"/>
        <v>783.28947834877431</v>
      </c>
      <c r="J157" s="2869">
        <f t="shared" si="11"/>
        <v>11823.737899733946</v>
      </c>
      <c r="K157" s="2869">
        <f t="shared" si="11"/>
        <v>0</v>
      </c>
      <c r="L157" s="2869">
        <f t="shared" si="11"/>
        <v>2752.9099350015053</v>
      </c>
      <c r="M157" s="2870">
        <f t="shared" si="11"/>
        <v>0</v>
      </c>
      <c r="N157" s="2869">
        <f t="shared" si="11"/>
        <v>2.019385010215605</v>
      </c>
      <c r="O157" s="2869">
        <f t="shared" si="11"/>
        <v>3943.4000918652559</v>
      </c>
      <c r="P157" s="2869">
        <f t="shared" si="11"/>
        <v>0</v>
      </c>
      <c r="Q157" s="2869">
        <f t="shared" si="11"/>
        <v>300.6696906437038</v>
      </c>
      <c r="R157" s="2870">
        <f t="shared" si="11"/>
        <v>0</v>
      </c>
      <c r="S157" s="2869">
        <f t="shared" si="11"/>
        <v>0</v>
      </c>
      <c r="T157" s="2869">
        <f t="shared" si="11"/>
        <v>41.347750205478775</v>
      </c>
      <c r="U157" s="2869">
        <f t="shared" si="11"/>
        <v>0</v>
      </c>
      <c r="V157" s="2869">
        <f t="shared" si="11"/>
        <v>210.05826583753935</v>
      </c>
      <c r="W157" s="2870">
        <f t="shared" si="11"/>
        <v>0</v>
      </c>
      <c r="X157" s="2876">
        <f t="shared" si="11"/>
        <v>2928.6728093919646</v>
      </c>
      <c r="Y157" s="2869">
        <f t="shared" si="11"/>
        <v>2021.9657686333626</v>
      </c>
      <c r="Z157" s="2869">
        <f t="shared" si="11"/>
        <v>6391.2300407835191</v>
      </c>
      <c r="AA157" s="2870">
        <f t="shared" si="11"/>
        <v>0</v>
      </c>
    </row>
    <row r="158" spans="3:27" ht="15" thickBot="1">
      <c r="C158" s="365">
        <v>27</v>
      </c>
      <c r="D158" s="32"/>
      <c r="E158" s="35"/>
      <c r="F158" s="32"/>
      <c r="G158" s="2877"/>
      <c r="H158" s="2878"/>
      <c r="I158" s="2877"/>
      <c r="J158" s="2877"/>
      <c r="K158" s="2877"/>
      <c r="L158" s="2877"/>
      <c r="M158" s="2877"/>
      <c r="N158" s="2877"/>
      <c r="O158" s="2877"/>
      <c r="P158" s="2877"/>
      <c r="Q158" s="2877"/>
      <c r="R158" s="2877"/>
      <c r="S158" s="2877"/>
      <c r="T158" s="2877"/>
      <c r="U158" s="2877"/>
      <c r="V158" s="2877"/>
      <c r="W158" s="2877"/>
      <c r="X158" s="2877"/>
      <c r="Y158" s="2877"/>
      <c r="Z158" s="2877"/>
      <c r="AA158" s="2879"/>
    </row>
    <row r="159" spans="3:27">
      <c r="C159" s="365">
        <v>28</v>
      </c>
      <c r="D159" s="2880" t="s">
        <v>4356</v>
      </c>
      <c r="E159" s="2518"/>
      <c r="F159" s="297"/>
      <c r="G159" s="297"/>
      <c r="H159" s="364" t="s">
        <v>2181</v>
      </c>
      <c r="AA159" s="296"/>
    </row>
    <row r="160" spans="3:27">
      <c r="C160" s="365">
        <v>29</v>
      </c>
      <c r="D160" s="96" t="s">
        <v>4357</v>
      </c>
      <c r="F160" s="866"/>
      <c r="G160" s="866">
        <f>+Distribution!E75</f>
        <v>825308.13575929042</v>
      </c>
      <c r="H160" s="866"/>
      <c r="I160" s="866">
        <f>+Distribution!F75</f>
        <v>36617.34009678143</v>
      </c>
      <c r="J160" s="866">
        <f>+Distribution!G75</f>
        <v>552737.96451658872</v>
      </c>
      <c r="K160" s="866">
        <f>+Distribution!H75</f>
        <v>0</v>
      </c>
      <c r="L160" s="866">
        <f>+Distribution!I75</f>
        <v>128693.46790954034</v>
      </c>
      <c r="M160" s="866">
        <f>+Distribution!J75</f>
        <v>0</v>
      </c>
      <c r="N160" s="96"/>
      <c r="O160" s="96"/>
      <c r="P160" s="96"/>
      <c r="Q160" s="96"/>
      <c r="R160" s="96"/>
      <c r="T160" s="96"/>
      <c r="U160" s="96"/>
      <c r="V160" s="96"/>
      <c r="W160" s="96"/>
      <c r="X160" s="2881">
        <f>+Distribution!K75</f>
        <v>107259.36323637994</v>
      </c>
      <c r="Y160" s="96"/>
      <c r="Z160" s="96"/>
      <c r="AA160" s="2882">
        <f>+Distribution!L75</f>
        <v>0</v>
      </c>
    </row>
    <row r="161" spans="3:27">
      <c r="C161" s="365">
        <v>30</v>
      </c>
      <c r="D161" s="96" t="s">
        <v>4358</v>
      </c>
      <c r="E161" s="290"/>
      <c r="F161" s="60" t="s">
        <v>4109</v>
      </c>
      <c r="G161" s="867">
        <f>+SUM(I161:AA161)</f>
        <v>1</v>
      </c>
      <c r="H161" s="2883"/>
      <c r="I161" s="867">
        <f>+I160/$G$160</f>
        <v>4.4368083277275788E-2</v>
      </c>
      <c r="J161" s="867">
        <f>+J160/$G$160</f>
        <v>0.6697352668262081</v>
      </c>
      <c r="K161" s="867">
        <f>+K160/$G$160</f>
        <v>0</v>
      </c>
      <c r="L161" s="867">
        <f>+L160/$G$160</f>
        <v>0.15593384135386146</v>
      </c>
      <c r="M161" s="867">
        <f>+M160/$G$160</f>
        <v>0</v>
      </c>
      <c r="N161" s="2856"/>
      <c r="O161" s="2856"/>
      <c r="Q161" s="2856"/>
      <c r="T161" s="2856"/>
      <c r="V161" s="2856"/>
      <c r="X161" s="867">
        <f>+X160/G160</f>
        <v>0.12996280854265471</v>
      </c>
      <c r="AA161" s="868">
        <f>+AA160/G160</f>
        <v>0</v>
      </c>
    </row>
    <row r="162" spans="3:27">
      <c r="C162" s="365">
        <v>31</v>
      </c>
      <c r="D162" s="33"/>
      <c r="F162" s="62"/>
      <c r="I162" s="2884"/>
      <c r="J162" s="2884"/>
      <c r="K162" s="2884"/>
      <c r="L162" s="2884"/>
      <c r="M162" s="2884"/>
      <c r="N162" s="866"/>
      <c r="O162" s="866"/>
      <c r="Q162" s="866"/>
      <c r="T162" s="866"/>
      <c r="X162" s="2884"/>
      <c r="AA162" s="2885"/>
    </row>
    <row r="163" spans="3:27">
      <c r="C163" s="365">
        <v>32</v>
      </c>
      <c r="D163" s="96" t="s">
        <v>4359</v>
      </c>
      <c r="F163" s="869"/>
      <c r="G163" s="866">
        <f>+SUM(H163:AA163)</f>
        <v>932218.26530362002</v>
      </c>
      <c r="N163" s="654">
        <f>+Distribution!F83</f>
        <v>385.73180000000002</v>
      </c>
      <c r="O163" s="654">
        <f>+Distribution!G83</f>
        <v>753246.56163162598</v>
      </c>
      <c r="P163" s="654">
        <f>+Distribution!H83</f>
        <v>0</v>
      </c>
      <c r="Q163" s="654">
        <f>+Distribution!I83</f>
        <v>57432.267938374134</v>
      </c>
      <c r="R163" s="654">
        <f>+Distribution!J83</f>
        <v>0</v>
      </c>
      <c r="S163" s="654"/>
      <c r="T163" s="654"/>
      <c r="U163" s="654"/>
      <c r="V163" s="849"/>
      <c r="W163" s="849"/>
      <c r="X163" s="630">
        <f>+Distribution!K83</f>
        <v>121153.70393362005</v>
      </c>
      <c r="AA163" s="296"/>
    </row>
    <row r="164" spans="3:27">
      <c r="C164" s="365">
        <v>33</v>
      </c>
      <c r="D164" s="96" t="s">
        <v>4360</v>
      </c>
      <c r="E164" s="290"/>
      <c r="F164" s="60" t="s">
        <v>4120</v>
      </c>
      <c r="G164" s="854"/>
      <c r="N164" s="867">
        <f>+N163/$G$163</f>
        <v>4.1377841902118126E-4</v>
      </c>
      <c r="O164" s="867">
        <f>+O163/$G$163</f>
        <v>0.80801523598799729</v>
      </c>
      <c r="P164" s="867">
        <f>+P163/$G$163</f>
        <v>0</v>
      </c>
      <c r="Q164" s="867">
        <f>+Q163/$G$163</f>
        <v>6.1608177050327007E-2</v>
      </c>
      <c r="R164" s="867">
        <f>+R163/$G$163</f>
        <v>0</v>
      </c>
      <c r="S164" s="867"/>
      <c r="T164" s="867"/>
      <c r="U164" s="867"/>
      <c r="V164" s="2856"/>
      <c r="W164" s="2856"/>
      <c r="X164" s="867">
        <f>+X163/$G$163</f>
        <v>0.12996280854265471</v>
      </c>
      <c r="AA164" s="296"/>
    </row>
    <row r="165" spans="3:27">
      <c r="C165" s="365">
        <v>34</v>
      </c>
      <c r="D165" s="33"/>
      <c r="F165" s="62"/>
      <c r="G165" s="854"/>
      <c r="N165" s="2884"/>
      <c r="O165" s="2884"/>
      <c r="P165" s="2884"/>
      <c r="Q165" s="2884"/>
      <c r="R165" s="2884"/>
      <c r="S165" s="2884"/>
      <c r="T165" s="2884"/>
      <c r="U165" s="2884"/>
      <c r="V165" s="2856"/>
      <c r="W165" s="2856"/>
      <c r="X165" s="2884"/>
      <c r="AA165" s="296"/>
    </row>
    <row r="166" spans="3:27">
      <c r="C166" s="365">
        <v>35</v>
      </c>
      <c r="D166" s="96" t="s">
        <v>4361</v>
      </c>
      <c r="F166" s="62"/>
      <c r="G166" s="866">
        <f>+SUM(H166:AA166)</f>
        <v>368438.48759000003</v>
      </c>
      <c r="H166" s="64">
        <f>+Distribution!E89</f>
        <v>368438.48759000003</v>
      </c>
      <c r="X166" s="162"/>
      <c r="AA166" s="2866">
        <f>+Distribution!F89</f>
        <v>0</v>
      </c>
    </row>
    <row r="167" spans="3:27">
      <c r="C167" s="365">
        <v>36</v>
      </c>
      <c r="D167" s="96" t="s">
        <v>4362</v>
      </c>
      <c r="E167" s="290"/>
      <c r="F167" s="60" t="s">
        <v>4123</v>
      </c>
      <c r="G167" s="854"/>
      <c r="H167" s="867">
        <f>+H166/G166</f>
        <v>1</v>
      </c>
      <c r="X167" s="162"/>
      <c r="AA167" s="868">
        <f>+AA166/G166</f>
        <v>0</v>
      </c>
    </row>
    <row r="168" spans="3:27">
      <c r="C168" s="365">
        <v>37</v>
      </c>
      <c r="D168" s="33"/>
      <c r="H168" s="2571"/>
      <c r="I168" s="297"/>
      <c r="J168" s="297"/>
      <c r="K168" s="297"/>
      <c r="L168" s="297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530"/>
      <c r="Y168" s="297"/>
      <c r="Z168" s="297"/>
      <c r="AA168" s="298"/>
    </row>
    <row r="169" spans="3:27">
      <c r="C169" s="365">
        <v>38</v>
      </c>
      <c r="D169" s="2886" t="s">
        <v>4363</v>
      </c>
      <c r="E169" s="638"/>
      <c r="F169" s="2479"/>
      <c r="G169" s="2479"/>
      <c r="H169" s="364" t="s">
        <v>2181</v>
      </c>
      <c r="X169" s="162"/>
      <c r="AA169" s="296"/>
    </row>
    <row r="170" spans="3:27">
      <c r="C170" s="365">
        <v>39</v>
      </c>
      <c r="D170" s="96" t="s">
        <v>4364</v>
      </c>
      <c r="E170" s="96"/>
      <c r="F170" s="329"/>
      <c r="G170" s="866">
        <f>+SUM(H170:AA170)</f>
        <v>22452.581695721597</v>
      </c>
      <c r="H170" s="64">
        <f>+'Distribution O&amp;M'!G57</f>
        <v>2334.6293453197995</v>
      </c>
      <c r="I170" s="64">
        <f>+'Distribution O&amp;M'!H57</f>
        <v>612.90886184866349</v>
      </c>
      <c r="J170" s="64">
        <f>+'Distribution O&amp;M'!I57</f>
        <v>9251.8461427564762</v>
      </c>
      <c r="K170" s="64">
        <f>+'Distribution O&amp;M'!J57</f>
        <v>0</v>
      </c>
      <c r="L170" s="64">
        <f>+'Distribution O&amp;M'!K57</f>
        <v>2154.0987612785939</v>
      </c>
      <c r="M170" s="64">
        <f>+'Distribution O&amp;M'!L57</f>
        <v>0</v>
      </c>
      <c r="N170" s="64">
        <f>+'Distribution O&amp;M'!M57</f>
        <v>1.9039686993190259</v>
      </c>
      <c r="O170" s="64">
        <f>+'Distribution O&amp;M'!N57</f>
        <v>3718.0182609167705</v>
      </c>
      <c r="P170" s="64">
        <f>+'Distribution O&amp;M'!O57</f>
        <v>0</v>
      </c>
      <c r="Q170" s="64">
        <f>+'Distribution O&amp;M'!P57</f>
        <v>283.48515856242085</v>
      </c>
      <c r="R170" s="64">
        <f>+'Distribution O&amp;M'!Q57</f>
        <v>0</v>
      </c>
      <c r="S170" s="64">
        <f>+'Distribution O&amp;M'!R57</f>
        <v>0</v>
      </c>
      <c r="T170" s="64">
        <f>+'Distribution O&amp;M'!S57</f>
        <v>35.926822423073602</v>
      </c>
      <c r="U170" s="64">
        <f>+'Distribution O&amp;M'!T57</f>
        <v>0</v>
      </c>
      <c r="V170" s="64">
        <f>+'Distribution O&amp;M'!U57</f>
        <v>182.51841944822641</v>
      </c>
      <c r="W170" s="64">
        <f>+'Distribution O&amp;M'!V57</f>
        <v>0</v>
      </c>
      <c r="X170" s="64">
        <f>+'Distribution O&amp;M'!W57</f>
        <v>2393.3437320051539</v>
      </c>
      <c r="Y170" s="64">
        <f>+'Distribution O&amp;M'!X57</f>
        <v>620.65197059160005</v>
      </c>
      <c r="Z170" s="64">
        <f>+'Distribution O&amp;M'!Y57</f>
        <v>863.25025187149981</v>
      </c>
      <c r="AA170" s="2866">
        <f>+'Distribution O&amp;M'!Z57</f>
        <v>0</v>
      </c>
    </row>
    <row r="171" spans="3:27">
      <c r="C171" s="365">
        <v>40</v>
      </c>
      <c r="D171" s="96" t="s">
        <v>4365</v>
      </c>
      <c r="E171" s="96"/>
      <c r="F171" s="60" t="s">
        <v>4337</v>
      </c>
      <c r="G171" s="867">
        <f>+SUM(H171:AA171)</f>
        <v>1</v>
      </c>
      <c r="H171" s="867">
        <f>+H170/$G$170</f>
        <v>0.10398044095591331</v>
      </c>
      <c r="I171" s="867">
        <f t="shared" ref="I171:Z171" si="12">+I170/$G$170</f>
        <v>2.729792369335661E-2</v>
      </c>
      <c r="J171" s="867">
        <f t="shared" si="12"/>
        <v>0.41206157350356915</v>
      </c>
      <c r="K171" s="867">
        <f t="shared" si="12"/>
        <v>0</v>
      </c>
      <c r="L171" s="867">
        <f t="shared" si="12"/>
        <v>9.5939914192097714E-2</v>
      </c>
      <c r="M171" s="867">
        <f t="shared" si="12"/>
        <v>0</v>
      </c>
      <c r="N171" s="867">
        <f t="shared" si="12"/>
        <v>8.4799544440888612E-5</v>
      </c>
      <c r="O171" s="867">
        <f t="shared" si="12"/>
        <v>0.16559424262668418</v>
      </c>
      <c r="P171" s="867">
        <f t="shared" si="12"/>
        <v>0</v>
      </c>
      <c r="Q171" s="867">
        <f t="shared" si="12"/>
        <v>1.2625949318622889E-2</v>
      </c>
      <c r="R171" s="867">
        <f t="shared" si="12"/>
        <v>0</v>
      </c>
      <c r="S171" s="867">
        <f t="shared" si="12"/>
        <v>0</v>
      </c>
      <c r="T171" s="867">
        <f t="shared" si="12"/>
        <v>1.6001198842055459E-3</v>
      </c>
      <c r="U171" s="867">
        <f t="shared" si="12"/>
        <v>0</v>
      </c>
      <c r="V171" s="867">
        <f t="shared" si="12"/>
        <v>8.1290615895189371E-3</v>
      </c>
      <c r="W171" s="867">
        <f t="shared" si="12"/>
        <v>0</v>
      </c>
      <c r="X171" s="867">
        <f t="shared" si="12"/>
        <v>0.10659548039685843</v>
      </c>
      <c r="Y171" s="867">
        <f t="shared" si="12"/>
        <v>2.7642788655785941E-2</v>
      </c>
      <c r="Z171" s="867">
        <f t="shared" si="12"/>
        <v>3.8447705638946394E-2</v>
      </c>
      <c r="AA171" s="868">
        <f>+AA170/$G$170</f>
        <v>0</v>
      </c>
    </row>
    <row r="172" spans="3:27">
      <c r="C172" s="365">
        <v>41</v>
      </c>
      <c r="D172" s="96"/>
      <c r="E172" s="96"/>
      <c r="F172" s="870"/>
      <c r="H172" s="64"/>
      <c r="X172" s="162"/>
      <c r="AA172" s="296"/>
    </row>
    <row r="173" spans="3:27">
      <c r="C173" s="365">
        <v>42</v>
      </c>
      <c r="D173" s="96" t="s">
        <v>4366</v>
      </c>
      <c r="E173" s="96"/>
      <c r="F173" s="870"/>
      <c r="G173" s="866">
        <f>+SUM(H173:AA173)</f>
        <v>16458.758694902099</v>
      </c>
      <c r="H173" s="64">
        <f>+'Distribution O&amp;M'!G60</f>
        <v>1413.6664857627998</v>
      </c>
      <c r="I173" s="64">
        <f>+'Distribution O&amp;M'!H60</f>
        <v>296.47395769738591</v>
      </c>
      <c r="J173" s="64">
        <f>+'Distribution O&amp;M'!I60</f>
        <v>4475.2680417722177</v>
      </c>
      <c r="K173" s="64">
        <f>+'Distribution O&amp;M'!J60</f>
        <v>0</v>
      </c>
      <c r="L173" s="64">
        <f>+'Distribution O&amp;M'!K60</f>
        <v>1041.9725097480966</v>
      </c>
      <c r="M173" s="64">
        <f>+'Distribution O&amp;M'!L60</f>
        <v>0</v>
      </c>
      <c r="N173" s="64">
        <f>+'Distribution O&amp;M'!M60</f>
        <v>0.3730346240342306</v>
      </c>
      <c r="O173" s="64">
        <f>+'Distribution O&amp;M'!N60</f>
        <v>728.45186195001418</v>
      </c>
      <c r="P173" s="64">
        <f>+'Distribution O&amp;M'!O60</f>
        <v>0</v>
      </c>
      <c r="Q173" s="64">
        <f>+'Distribution O&amp;M'!P60</f>
        <v>55.541763675757586</v>
      </c>
      <c r="R173" s="64">
        <f>+'Distribution O&amp;M'!Q60</f>
        <v>0</v>
      </c>
      <c r="S173" s="64">
        <f>+'Distribution O&amp;M'!R60</f>
        <v>0</v>
      </c>
      <c r="T173" s="64">
        <f>+'Distribution O&amp;M'!S60</f>
        <v>0</v>
      </c>
      <c r="U173" s="64">
        <f>+'Distribution O&amp;M'!T60</f>
        <v>0</v>
      </c>
      <c r="V173" s="64">
        <f>+'Distribution O&amp;M'!U60</f>
        <v>0</v>
      </c>
      <c r="W173" s="64">
        <f>+'Distribution O&amp;M'!V60</f>
        <v>0</v>
      </c>
      <c r="X173" s="64">
        <f>+'Distribution O&amp;M'!W60</f>
        <v>985.59598163849421</v>
      </c>
      <c r="Y173" s="64">
        <f>+'Distribution O&amp;M'!X60</f>
        <v>1857.5328726781001</v>
      </c>
      <c r="Z173" s="64">
        <f>+'Distribution O&amp;M'!Y60</f>
        <v>5603.8821853551999</v>
      </c>
      <c r="AA173" s="2866">
        <f>+'Distribution O&amp;M'!Z60</f>
        <v>0</v>
      </c>
    </row>
    <row r="174" spans="3:27">
      <c r="C174" s="365">
        <v>43</v>
      </c>
      <c r="D174" s="96" t="s">
        <v>4367</v>
      </c>
      <c r="E174" s="96"/>
      <c r="F174" s="60" t="s">
        <v>4368</v>
      </c>
      <c r="G174" s="867">
        <f>+SUM(H174:AA174)</f>
        <v>1</v>
      </c>
      <c r="H174" s="867">
        <f>+H173/$G$173</f>
        <v>8.5891440051348814E-2</v>
      </c>
      <c r="I174" s="867">
        <f t="shared" ref="I174:Z174" si="13">+I173/$G$173</f>
        <v>1.8013142011081014E-2</v>
      </c>
      <c r="J174" s="867">
        <f t="shared" si="13"/>
        <v>0.27190799286451522</v>
      </c>
      <c r="K174" s="867">
        <f t="shared" si="13"/>
        <v>0</v>
      </c>
      <c r="L174" s="867">
        <f t="shared" si="13"/>
        <v>6.3308085929398489E-2</v>
      </c>
      <c r="M174" s="867">
        <f t="shared" si="13"/>
        <v>0</v>
      </c>
      <c r="N174" s="867">
        <f t="shared" si="13"/>
        <v>2.2664809111623562E-5</v>
      </c>
      <c r="O174" s="867">
        <f t="shared" si="13"/>
        <v>4.4259222427001331E-2</v>
      </c>
      <c r="P174" s="867">
        <f t="shared" si="13"/>
        <v>0</v>
      </c>
      <c r="Q174" s="867">
        <f t="shared" si="13"/>
        <v>3.3746022227642827E-3</v>
      </c>
      <c r="R174" s="867">
        <f t="shared" si="13"/>
        <v>0</v>
      </c>
      <c r="S174" s="867">
        <f t="shared" si="13"/>
        <v>0</v>
      </c>
      <c r="T174" s="867">
        <f t="shared" si="13"/>
        <v>0</v>
      </c>
      <c r="U174" s="867">
        <f t="shared" si="13"/>
        <v>0</v>
      </c>
      <c r="V174" s="867">
        <f t="shared" si="13"/>
        <v>0</v>
      </c>
      <c r="W174" s="867">
        <f t="shared" si="13"/>
        <v>0</v>
      </c>
      <c r="X174" s="867">
        <f t="shared" si="13"/>
        <v>5.988276515310785E-2</v>
      </c>
      <c r="Y174" s="867">
        <f t="shared" si="13"/>
        <v>0.11285983998619825</v>
      </c>
      <c r="Z174" s="867">
        <f t="shared" si="13"/>
        <v>0.34048024454547321</v>
      </c>
      <c r="AA174" s="868">
        <f>+AA173/G173</f>
        <v>0</v>
      </c>
    </row>
    <row r="175" spans="3:27">
      <c r="C175" s="365">
        <v>44</v>
      </c>
      <c r="D175" s="96"/>
      <c r="E175" s="96"/>
      <c r="F175" s="62"/>
      <c r="H175" s="64"/>
      <c r="X175" s="162"/>
      <c r="AA175" s="296"/>
    </row>
    <row r="176" spans="3:27">
      <c r="C176" s="365">
        <v>45</v>
      </c>
      <c r="D176" s="96" t="s">
        <v>4369</v>
      </c>
      <c r="E176" s="96"/>
      <c r="F176" s="62"/>
      <c r="G176" s="866">
        <f>+SUM(H176:AA176)</f>
        <v>38911.3403906237</v>
      </c>
      <c r="H176" s="64">
        <f>+'Distribution O&amp;M'!G63</f>
        <v>3748.2958310825993</v>
      </c>
      <c r="I176" s="64">
        <f>+'Distribution O&amp;M'!H63</f>
        <v>909.3828195460494</v>
      </c>
      <c r="J176" s="64">
        <f>+'Distribution O&amp;M'!I63</f>
        <v>13727.114184528695</v>
      </c>
      <c r="K176" s="64">
        <f>+'Distribution O&amp;M'!J63</f>
        <v>0</v>
      </c>
      <c r="L176" s="64">
        <f>+'Distribution O&amp;M'!K63</f>
        <v>3196.0712710266907</v>
      </c>
      <c r="M176" s="64">
        <f>+'Distribution O&amp;M'!L63</f>
        <v>0</v>
      </c>
      <c r="N176" s="64">
        <f>+'Distribution O&amp;M'!M63</f>
        <v>2.2770033233532567</v>
      </c>
      <c r="O176" s="64">
        <f>+'Distribution O&amp;M'!N63</f>
        <v>4446.4701228667845</v>
      </c>
      <c r="P176" s="64">
        <f>+'Distribution O&amp;M'!O63</f>
        <v>0</v>
      </c>
      <c r="Q176" s="64">
        <f>+'Distribution O&amp;M'!P63</f>
        <v>339.02692223817843</v>
      </c>
      <c r="R176" s="64">
        <f>+'Distribution O&amp;M'!Q63</f>
        <v>0</v>
      </c>
      <c r="S176" s="64">
        <f>+'Distribution O&amp;M'!R63</f>
        <v>0</v>
      </c>
      <c r="T176" s="64">
        <f>+'Distribution O&amp;M'!S63</f>
        <v>35.926822423073602</v>
      </c>
      <c r="U176" s="64">
        <f>+'Distribution O&amp;M'!T63</f>
        <v>0</v>
      </c>
      <c r="V176" s="64">
        <f>+'Distribution O&amp;M'!U63</f>
        <v>182.51841944822641</v>
      </c>
      <c r="W176" s="64">
        <f>+'Distribution O&amp;M'!V63</f>
        <v>0</v>
      </c>
      <c r="X176" s="64">
        <f>+'Distribution O&amp;M'!W63</f>
        <v>3378.9397136436482</v>
      </c>
      <c r="Y176" s="64">
        <f>+'Distribution O&amp;M'!X63</f>
        <v>2478.1848432697002</v>
      </c>
      <c r="Z176" s="64">
        <f>+'Distribution O&amp;M'!Y63</f>
        <v>6467.1324372266999</v>
      </c>
      <c r="AA176" s="2866">
        <f>+'Distribution O&amp;M'!Z63</f>
        <v>0</v>
      </c>
    </row>
    <row r="177" spans="3:27">
      <c r="C177" s="365">
        <v>46</v>
      </c>
      <c r="D177" s="96" t="s">
        <v>4370</v>
      </c>
      <c r="E177" s="96"/>
      <c r="F177" s="60" t="s">
        <v>4316</v>
      </c>
      <c r="G177" s="867">
        <f>+SUM(H177:AA177)</f>
        <v>1</v>
      </c>
      <c r="H177" s="867">
        <f>+H176/$G$176</f>
        <v>9.6329136787737343E-2</v>
      </c>
      <c r="I177" s="867">
        <f t="shared" ref="I177:AA177" si="14">+I176/$G$176</f>
        <v>2.3370637207994496E-2</v>
      </c>
      <c r="J177" s="867">
        <f t="shared" si="14"/>
        <v>0.35277926811887617</v>
      </c>
      <c r="K177" s="867">
        <f t="shared" si="14"/>
        <v>0</v>
      </c>
      <c r="L177" s="867">
        <f t="shared" si="14"/>
        <v>8.2137269982013636E-2</v>
      </c>
      <c r="M177" s="867">
        <f t="shared" si="14"/>
        <v>0</v>
      </c>
      <c r="N177" s="867">
        <f t="shared" si="14"/>
        <v>5.8517730319614912E-5</v>
      </c>
      <c r="O177" s="867">
        <f t="shared" si="14"/>
        <v>0.11427183125097977</v>
      </c>
      <c r="P177" s="867">
        <f t="shared" si="14"/>
        <v>0</v>
      </c>
      <c r="Q177" s="867">
        <f t="shared" si="14"/>
        <v>8.7128050289388727E-3</v>
      </c>
      <c r="R177" s="867">
        <f t="shared" si="14"/>
        <v>0</v>
      </c>
      <c r="S177" s="867">
        <f t="shared" si="14"/>
        <v>0</v>
      </c>
      <c r="T177" s="867">
        <f t="shared" si="14"/>
        <v>9.2329953330856564E-4</v>
      </c>
      <c r="U177" s="867">
        <f t="shared" si="14"/>
        <v>0</v>
      </c>
      <c r="V177" s="867">
        <f t="shared" si="14"/>
        <v>4.6906227751590665E-3</v>
      </c>
      <c r="W177" s="867">
        <f t="shared" si="14"/>
        <v>0</v>
      </c>
      <c r="X177" s="867">
        <f t="shared" si="14"/>
        <v>8.6836888159675343E-2</v>
      </c>
      <c r="Y177" s="867">
        <f t="shared" si="14"/>
        <v>6.3687984489654278E-2</v>
      </c>
      <c r="Z177" s="867">
        <f t="shared" si="14"/>
        <v>0.16620173893534279</v>
      </c>
      <c r="AA177" s="868">
        <f t="shared" si="14"/>
        <v>0</v>
      </c>
    </row>
    <row r="178" spans="3:27">
      <c r="C178" s="365">
        <v>47</v>
      </c>
      <c r="AA178" s="296"/>
    </row>
    <row r="179" spans="3:27">
      <c r="C179" s="462">
        <v>48</v>
      </c>
      <c r="D179" s="297"/>
      <c r="E179" s="297"/>
      <c r="F179" s="297"/>
      <c r="G179" s="297"/>
      <c r="H179" s="2887"/>
      <c r="I179" s="297"/>
      <c r="J179" s="297"/>
      <c r="K179" s="297"/>
      <c r="L179" s="297"/>
      <c r="M179" s="297"/>
      <c r="N179" s="297"/>
      <c r="O179" s="297"/>
      <c r="P179" s="297"/>
      <c r="Q179" s="297"/>
      <c r="R179" s="297"/>
      <c r="S179" s="297"/>
      <c r="T179" s="297"/>
      <c r="U179" s="297"/>
      <c r="V179" s="297"/>
      <c r="W179" s="297"/>
      <c r="X179" s="297"/>
      <c r="Y179" s="297"/>
      <c r="Z179" s="297"/>
      <c r="AA179" s="2888"/>
    </row>
    <row r="180" spans="3:27">
      <c r="C180" s="33"/>
    </row>
    <row r="182" spans="3:27">
      <c r="C182" s="352" t="s">
        <v>2173</v>
      </c>
      <c r="D182" s="518"/>
      <c r="E182" s="402"/>
      <c r="F182" s="402"/>
      <c r="G182" s="402"/>
      <c r="H182" s="402"/>
      <c r="I182" s="402"/>
      <c r="J182" s="402"/>
      <c r="K182" s="402"/>
      <c r="L182" s="402"/>
      <c r="M182" s="402"/>
      <c r="N182" s="402"/>
      <c r="O182" s="402"/>
      <c r="P182" s="402"/>
      <c r="Q182" s="402"/>
      <c r="R182" s="402"/>
      <c r="S182" s="402"/>
      <c r="T182" s="402"/>
      <c r="U182" s="2889"/>
    </row>
    <row r="183" spans="3:27">
      <c r="C183" s="353" t="s">
        <v>4371</v>
      </c>
      <c r="D183" s="62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2530"/>
    </row>
    <row r="184" spans="3:27">
      <c r="C184" s="2552" t="s">
        <v>9263</v>
      </c>
      <c r="D184" s="2262"/>
      <c r="E184" s="1973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2530"/>
    </row>
    <row r="185" spans="3:27">
      <c r="C185" s="462"/>
      <c r="D185" s="545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2577"/>
    </row>
    <row r="186" spans="3:27">
      <c r="C186" s="2509"/>
      <c r="F186" s="296"/>
      <c r="G186" s="3123" t="s">
        <v>2131</v>
      </c>
      <c r="H186" s="3123"/>
      <c r="I186" s="3124"/>
      <c r="J186" s="3134" t="s">
        <v>4372</v>
      </c>
      <c r="K186" s="3135"/>
      <c r="L186" s="3136"/>
      <c r="M186" s="3134" t="s">
        <v>4184</v>
      </c>
      <c r="N186" s="3135"/>
      <c r="O186" s="3136"/>
      <c r="P186" s="3134" t="s">
        <v>4185</v>
      </c>
      <c r="Q186" s="3135"/>
      <c r="R186" s="3135"/>
      <c r="S186" s="3135"/>
      <c r="T186" s="3136"/>
      <c r="U186" s="266" t="s">
        <v>2161</v>
      </c>
    </row>
    <row r="187" spans="3:27">
      <c r="C187" s="363" t="s">
        <v>2182</v>
      </c>
      <c r="D187" s="62"/>
      <c r="E187" s="60"/>
      <c r="F187" s="622"/>
      <c r="G187" s="60" t="s">
        <v>115</v>
      </c>
      <c r="H187" s="60" t="s">
        <v>115</v>
      </c>
      <c r="I187" s="767" t="s">
        <v>4373</v>
      </c>
      <c r="J187" s="521" t="s">
        <v>115</v>
      </c>
      <c r="K187" s="290"/>
      <c r="L187" s="2554"/>
      <c r="M187" s="521" t="s">
        <v>115</v>
      </c>
      <c r="N187" s="60" t="s">
        <v>4374</v>
      </c>
      <c r="O187" s="60" t="s">
        <v>4374</v>
      </c>
      <c r="P187" s="521" t="s">
        <v>115</v>
      </c>
      <c r="Q187" s="60" t="s">
        <v>4374</v>
      </c>
      <c r="R187" s="60"/>
      <c r="S187" s="60"/>
      <c r="T187" s="767" t="s">
        <v>4375</v>
      </c>
      <c r="U187" s="280" t="s">
        <v>2161</v>
      </c>
    </row>
    <row r="188" spans="3:27">
      <c r="C188" s="522" t="s">
        <v>3216</v>
      </c>
      <c r="D188" s="60" t="s">
        <v>3174</v>
      </c>
      <c r="E188" s="77" t="s">
        <v>2052</v>
      </c>
      <c r="F188" s="364" t="s">
        <v>4251</v>
      </c>
      <c r="G188" s="60" t="s">
        <v>2620</v>
      </c>
      <c r="H188" s="60" t="s">
        <v>4216</v>
      </c>
      <c r="I188" s="767" t="s">
        <v>2620</v>
      </c>
      <c r="J188" s="2890" t="s">
        <v>4376</v>
      </c>
      <c r="K188" s="60" t="s">
        <v>119</v>
      </c>
      <c r="L188" s="767" t="s">
        <v>120</v>
      </c>
      <c r="M188" s="280" t="s">
        <v>4249</v>
      </c>
      <c r="N188" s="60" t="s">
        <v>4377</v>
      </c>
      <c r="O188" s="60" t="s">
        <v>4378</v>
      </c>
      <c r="P188" s="280" t="s">
        <v>4379</v>
      </c>
      <c r="Q188" s="60" t="s">
        <v>119</v>
      </c>
      <c r="R188" s="60" t="s">
        <v>4380</v>
      </c>
      <c r="S188" s="60" t="s">
        <v>4381</v>
      </c>
      <c r="T188" s="767" t="s">
        <v>4071</v>
      </c>
      <c r="U188" s="280" t="s">
        <v>4071</v>
      </c>
    </row>
    <row r="189" spans="3:27">
      <c r="C189" s="2791" t="s">
        <v>2175</v>
      </c>
      <c r="D189" s="2792" t="s">
        <v>2176</v>
      </c>
      <c r="E189" s="2891" t="s">
        <v>2177</v>
      </c>
      <c r="F189" s="2892" t="s">
        <v>2178</v>
      </c>
      <c r="G189" s="2792" t="s">
        <v>2179</v>
      </c>
      <c r="H189" s="2792" t="s">
        <v>2625</v>
      </c>
      <c r="I189" s="2792" t="s">
        <v>2626</v>
      </c>
      <c r="J189" s="525" t="s">
        <v>2627</v>
      </c>
      <c r="K189" s="2792" t="s">
        <v>2628</v>
      </c>
      <c r="L189" s="2792" t="s">
        <v>2629</v>
      </c>
      <c r="M189" s="525" t="s">
        <v>2630</v>
      </c>
      <c r="N189" s="2792" t="s">
        <v>4061</v>
      </c>
      <c r="O189" s="2792" t="s">
        <v>4062</v>
      </c>
      <c r="P189" s="525" t="s">
        <v>4063</v>
      </c>
      <c r="Q189" s="2792" t="s">
        <v>4064</v>
      </c>
      <c r="R189" s="2835" t="s">
        <v>4065</v>
      </c>
      <c r="S189" s="2835" t="s">
        <v>4178</v>
      </c>
      <c r="T189" s="2834" t="s">
        <v>4306</v>
      </c>
      <c r="U189" s="525" t="s">
        <v>4306</v>
      </c>
    </row>
    <row r="190" spans="3:27">
      <c r="C190" s="526">
        <v>1</v>
      </c>
      <c r="D190" s="96"/>
      <c r="E190" s="531" t="s">
        <v>4382</v>
      </c>
      <c r="F190" s="296"/>
      <c r="G190" s="96"/>
      <c r="H190" s="96"/>
      <c r="I190" s="2530"/>
      <c r="J190" s="631"/>
      <c r="K190" s="96"/>
      <c r="L190" s="2530"/>
      <c r="M190" s="631"/>
      <c r="N190" s="96"/>
      <c r="O190" s="96"/>
      <c r="P190" s="631"/>
      <c r="Q190" s="96"/>
      <c r="R190" s="96"/>
      <c r="S190" s="96"/>
      <c r="T190" s="2530"/>
      <c r="U190" s="631"/>
    </row>
    <row r="191" spans="3:27">
      <c r="C191" s="365">
        <v>2</v>
      </c>
      <c r="D191" s="290" t="s">
        <v>4383</v>
      </c>
      <c r="E191" s="96" t="s">
        <v>104</v>
      </c>
      <c r="F191" s="296"/>
      <c r="G191" s="42">
        <f>+SUMIFS('Labor Input'!C:C,'Labor Input'!G:G,'Labor O&amp;M'!D191)/1000</f>
        <v>0</v>
      </c>
      <c r="H191" s="2285">
        <v>0</v>
      </c>
      <c r="I191" s="903">
        <f>+J191+M191+P191+U191</f>
        <v>0</v>
      </c>
      <c r="J191" s="617"/>
      <c r="K191" s="42"/>
      <c r="L191" s="903"/>
      <c r="M191" s="617"/>
      <c r="N191" s="79"/>
      <c r="O191" s="79"/>
      <c r="P191" s="617"/>
      <c r="Q191" s="42"/>
      <c r="R191" s="42"/>
      <c r="S191" s="42"/>
      <c r="T191" s="903"/>
      <c r="U191" s="617"/>
    </row>
    <row r="192" spans="3:27">
      <c r="C192" s="365">
        <v>3</v>
      </c>
      <c r="D192" s="290" t="s">
        <v>4384</v>
      </c>
      <c r="E192" s="96" t="s">
        <v>4270</v>
      </c>
      <c r="F192" s="296"/>
      <c r="G192" s="42">
        <f>+SUMIFS('Labor Input'!C:C,'Labor Input'!G:G,'Labor O&amp;M'!D192)/1000</f>
        <v>0</v>
      </c>
      <c r="H192" s="2285">
        <v>0</v>
      </c>
      <c r="I192" s="903">
        <f>+SUM(G192:H192)</f>
        <v>0</v>
      </c>
      <c r="J192" s="617"/>
      <c r="K192" s="42"/>
      <c r="L192" s="903"/>
      <c r="M192" s="617"/>
      <c r="N192" s="79"/>
      <c r="O192" s="79"/>
      <c r="P192" s="617"/>
      <c r="Q192" s="42"/>
      <c r="R192" s="42"/>
      <c r="S192" s="42"/>
      <c r="T192" s="903"/>
      <c r="U192" s="617"/>
    </row>
    <row r="193" spans="3:22">
      <c r="C193" s="365">
        <v>4</v>
      </c>
      <c r="D193" s="290" t="s">
        <v>4385</v>
      </c>
      <c r="E193" s="96" t="s">
        <v>4386</v>
      </c>
      <c r="F193" s="296"/>
      <c r="G193" s="42">
        <f>(+SUMIFS('Labor Input'!C:C,'Labor Input'!G:G,'Labor O&amp;M'!D193)+SUMIFS('Labor Input'!C:C,'Labor Input'!G:G,935))/1000</f>
        <v>957.78659950131782</v>
      </c>
      <c r="H193" s="2285">
        <v>0</v>
      </c>
      <c r="I193" s="903">
        <f>+SUM(G193:H193)</f>
        <v>957.78659950131782</v>
      </c>
      <c r="J193" s="621"/>
      <c r="K193" s="439"/>
      <c r="L193" s="911"/>
      <c r="M193" s="621"/>
      <c r="N193" s="439"/>
      <c r="O193" s="439"/>
      <c r="P193" s="621"/>
      <c r="Q193" s="439"/>
      <c r="R193" s="439"/>
      <c r="S193" s="439"/>
      <c r="T193" s="911"/>
      <c r="U193" s="621"/>
    </row>
    <row r="194" spans="3:22">
      <c r="C194" s="365">
        <v>5</v>
      </c>
      <c r="D194" s="290"/>
      <c r="E194" s="96" t="s">
        <v>4387</v>
      </c>
      <c r="F194" s="2554" t="s">
        <v>4388</v>
      </c>
      <c r="G194" s="874">
        <f>+SUM(G191:G193)</f>
        <v>957.78659950131782</v>
      </c>
      <c r="H194" s="872">
        <f>+SUM(H191:H193)</f>
        <v>0</v>
      </c>
      <c r="I194" s="873">
        <f>+SUM(I191:I193)</f>
        <v>957.78659950131782</v>
      </c>
      <c r="J194" s="621">
        <f>+I194*J195</f>
        <v>559.36934500069947</v>
      </c>
      <c r="K194" s="439">
        <f>+J194*K195</f>
        <v>511.05814091983956</v>
      </c>
      <c r="L194" s="911">
        <f>+J194*L195</f>
        <v>48.31120408085998</v>
      </c>
      <c r="M194" s="621">
        <f>+I194*M195</f>
        <v>81.118479891604693</v>
      </c>
      <c r="N194" s="439">
        <f>+M194*N195</f>
        <v>39.688325270820556</v>
      </c>
      <c r="O194" s="439">
        <f>+M194*O195</f>
        <v>41.430154620784137</v>
      </c>
      <c r="P194" s="621">
        <f>+I194*P195</f>
        <v>299.89634361426221</v>
      </c>
      <c r="Q194" s="439">
        <f>+P194*Q195</f>
        <v>228.12472429669509</v>
      </c>
      <c r="R194" s="439">
        <f>+P194*R195</f>
        <v>199.59318503074675</v>
      </c>
      <c r="S194" s="439">
        <f>+P194*S195</f>
        <v>100.30315858351544</v>
      </c>
      <c r="T194" s="911">
        <f>+P194*T195</f>
        <v>71.771619317567101</v>
      </c>
      <c r="U194" s="621">
        <f>+I194*U195</f>
        <v>17.402430994751416</v>
      </c>
    </row>
    <row r="195" spans="3:22">
      <c r="C195" s="365">
        <v>6</v>
      </c>
      <c r="D195" s="290"/>
      <c r="E195" s="96"/>
      <c r="F195" s="2554" t="s">
        <v>4389</v>
      </c>
      <c r="G195" s="538"/>
      <c r="H195" s="538"/>
      <c r="I195" s="950">
        <f>+J195+M195+P195+U195</f>
        <v>1</v>
      </c>
      <c r="J195" s="949">
        <f>+J215</f>
        <v>0.584022939235046</v>
      </c>
      <c r="K195" s="877">
        <f>+K216</f>
        <v>0.91363272851357358</v>
      </c>
      <c r="L195" s="950">
        <f>+L216</f>
        <v>8.6367271486426506E-2</v>
      </c>
      <c r="M195" s="949">
        <f>+M215</f>
        <v>8.4693688483259144E-2</v>
      </c>
      <c r="N195" s="960">
        <f>+N216</f>
        <v>0.48926367116166924</v>
      </c>
      <c r="O195" s="960">
        <f>+O216</f>
        <v>0.51073632883833076</v>
      </c>
      <c r="P195" s="949">
        <f>+P215</f>
        <v>0.31311394810744536</v>
      </c>
      <c r="Q195" s="877">
        <f>+Q216</f>
        <v>0.76067857829609808</v>
      </c>
      <c r="R195" s="877">
        <f>+R216</f>
        <v>0.66554057520444765</v>
      </c>
      <c r="S195" s="877">
        <f>+S216</f>
        <v>0.3344594247955523</v>
      </c>
      <c r="T195" s="950">
        <f>+T216</f>
        <v>0.23932142170390186</v>
      </c>
      <c r="U195" s="949">
        <f>+U215</f>
        <v>1.8169424174249445E-2</v>
      </c>
    </row>
    <row r="196" spans="3:22">
      <c r="C196" s="365">
        <v>7</v>
      </c>
      <c r="D196" s="33"/>
      <c r="E196" s="96"/>
      <c r="F196" s="2530"/>
      <c r="G196" s="538"/>
      <c r="H196" s="538"/>
      <c r="I196" s="2565"/>
      <c r="J196" s="2893"/>
      <c r="K196" s="538"/>
      <c r="L196" s="2565"/>
      <c r="M196" s="2893"/>
      <c r="N196" s="538"/>
      <c r="O196" s="538"/>
      <c r="P196" s="2893"/>
      <c r="Q196" s="538"/>
      <c r="R196" s="538"/>
      <c r="S196" s="538"/>
      <c r="T196" s="2565"/>
      <c r="U196" s="2893"/>
    </row>
    <row r="197" spans="3:22">
      <c r="C197" s="365">
        <v>8</v>
      </c>
      <c r="D197" s="290"/>
      <c r="E197" s="531" t="s">
        <v>4390</v>
      </c>
      <c r="F197" s="2530"/>
      <c r="G197" s="538"/>
      <c r="H197" s="538"/>
      <c r="I197" s="2565"/>
      <c r="J197" s="2893"/>
      <c r="K197" s="538"/>
      <c r="L197" s="2565"/>
      <c r="M197" s="2893"/>
      <c r="N197" s="538"/>
      <c r="O197" s="538"/>
      <c r="P197" s="2893"/>
      <c r="Q197" s="538"/>
      <c r="R197" s="538"/>
      <c r="S197" s="538"/>
      <c r="T197" s="2565"/>
      <c r="U197" s="2893"/>
    </row>
    <row r="198" spans="3:22">
      <c r="C198" s="365">
        <v>9</v>
      </c>
      <c r="D198" s="290" t="s">
        <v>4391</v>
      </c>
      <c r="E198" s="96" t="s">
        <v>4392</v>
      </c>
      <c r="F198" s="2530"/>
      <c r="G198" s="42">
        <f>+SUMIFS('Labor Input'!C:C,'Labor Input'!G:G,'Labor O&amp;M'!D198)/1000</f>
        <v>73042.403672304397</v>
      </c>
      <c r="H198" s="2285">
        <v>0</v>
      </c>
      <c r="I198" s="903">
        <f>+SUM(G198:H198)</f>
        <v>73042.403672304397</v>
      </c>
      <c r="J198" s="617"/>
      <c r="K198" s="42"/>
      <c r="L198" s="903"/>
      <c r="M198" s="617"/>
      <c r="N198" s="79"/>
      <c r="O198" s="79"/>
      <c r="P198" s="617"/>
      <c r="Q198" s="42"/>
      <c r="R198" s="42"/>
      <c r="S198" s="42"/>
      <c r="T198" s="903"/>
      <c r="U198" s="617"/>
    </row>
    <row r="199" spans="3:22">
      <c r="C199" s="365">
        <v>10</v>
      </c>
      <c r="D199" s="290" t="s">
        <v>4393</v>
      </c>
      <c r="E199" s="96" t="s">
        <v>101</v>
      </c>
      <c r="F199" s="2530"/>
      <c r="G199" s="42">
        <f>+SUMIFS('Labor Input'!C:C,'Labor Input'!G:G,'Labor O&amp;M'!D199)/1000</f>
        <v>0</v>
      </c>
      <c r="H199" s="2285">
        <v>0</v>
      </c>
      <c r="I199" s="903">
        <f t="shared" ref="I199:I205" si="15">+SUM(G199:H199)</f>
        <v>0</v>
      </c>
      <c r="J199" s="617"/>
      <c r="K199" s="42"/>
      <c r="L199" s="903"/>
      <c r="M199" s="617"/>
      <c r="N199" s="79"/>
      <c r="O199" s="79"/>
      <c r="P199" s="617"/>
      <c r="Q199" s="42"/>
      <c r="R199" s="42"/>
      <c r="S199" s="42"/>
      <c r="T199" s="903"/>
      <c r="U199" s="617"/>
    </row>
    <row r="200" spans="3:22">
      <c r="C200" s="365">
        <v>11</v>
      </c>
      <c r="D200" s="290" t="s">
        <v>4394</v>
      </c>
      <c r="E200" s="96" t="s">
        <v>4395</v>
      </c>
      <c r="F200" s="2530"/>
      <c r="G200" s="42">
        <f>+SUMIFS('Labor Input'!C:C,'Labor Input'!G:G,'Labor O&amp;M'!D200)/1000</f>
        <v>0</v>
      </c>
      <c r="H200" s="2285">
        <v>0</v>
      </c>
      <c r="I200" s="903">
        <f t="shared" si="15"/>
        <v>0</v>
      </c>
      <c r="J200" s="617"/>
      <c r="K200" s="42"/>
      <c r="L200" s="903"/>
      <c r="M200" s="617"/>
      <c r="N200" s="79"/>
      <c r="O200" s="79"/>
      <c r="P200" s="617"/>
      <c r="Q200" s="42"/>
      <c r="R200" s="42"/>
      <c r="S200" s="42"/>
      <c r="T200" s="903"/>
      <c r="U200" s="617"/>
    </row>
    <row r="201" spans="3:22">
      <c r="C201" s="365">
        <v>12</v>
      </c>
      <c r="D201" s="290" t="s">
        <v>4396</v>
      </c>
      <c r="E201" s="96" t="s">
        <v>103</v>
      </c>
      <c r="F201" s="2530"/>
      <c r="G201" s="42">
        <f>+SUMIFS('Labor Input'!C:C,'Labor Input'!G:G,'Labor O&amp;M'!D201)/1000</f>
        <v>0</v>
      </c>
      <c r="H201" s="2285">
        <v>0</v>
      </c>
      <c r="I201" s="903">
        <f t="shared" si="15"/>
        <v>0</v>
      </c>
      <c r="J201" s="617"/>
      <c r="K201" s="42"/>
      <c r="L201" s="903"/>
      <c r="M201" s="617"/>
      <c r="N201" s="79"/>
      <c r="O201" s="79"/>
      <c r="P201" s="617"/>
      <c r="Q201" s="42"/>
      <c r="R201" s="42"/>
      <c r="S201" s="42"/>
      <c r="T201" s="903"/>
      <c r="U201" s="617"/>
    </row>
    <row r="202" spans="3:22">
      <c r="C202" s="365">
        <v>13</v>
      </c>
      <c r="D202" s="290" t="s">
        <v>4397</v>
      </c>
      <c r="E202" s="96" t="s">
        <v>4398</v>
      </c>
      <c r="F202" s="2530"/>
      <c r="G202" s="42">
        <f>+SUMIFS('Labor Input'!C:C,'Labor Input'!G:G,'Labor O&amp;M'!D202)/1000</f>
        <v>0</v>
      </c>
      <c r="H202" s="2285">
        <v>0</v>
      </c>
      <c r="I202" s="903">
        <f t="shared" si="15"/>
        <v>0</v>
      </c>
      <c r="J202" s="617"/>
      <c r="K202" s="42"/>
      <c r="L202" s="903"/>
      <c r="M202" s="617"/>
      <c r="N202" s="79"/>
      <c r="O202" s="79"/>
      <c r="P202" s="617"/>
      <c r="Q202" s="42"/>
      <c r="R202" s="42"/>
      <c r="S202" s="42"/>
      <c r="T202" s="903"/>
      <c r="U202" s="617"/>
    </row>
    <row r="203" spans="3:22">
      <c r="C203" s="365">
        <v>14</v>
      </c>
      <c r="D203" s="290" t="s">
        <v>4399</v>
      </c>
      <c r="E203" s="96" t="s">
        <v>4400</v>
      </c>
      <c r="F203" s="2530"/>
      <c r="G203" s="42">
        <f>+SUMIFS('Labor Input'!C:C,'Labor Input'!G:G,'Labor O&amp;M'!D203)/1000</f>
        <v>0</v>
      </c>
      <c r="H203" s="2285">
        <v>0</v>
      </c>
      <c r="I203" s="903">
        <f t="shared" si="15"/>
        <v>0</v>
      </c>
      <c r="J203" s="617"/>
      <c r="K203" s="42"/>
      <c r="L203" s="903"/>
      <c r="M203" s="617"/>
      <c r="N203" s="79"/>
      <c r="O203" s="79"/>
      <c r="P203" s="617"/>
      <c r="Q203" s="42"/>
      <c r="R203" s="42"/>
      <c r="S203" s="42"/>
      <c r="T203" s="903"/>
      <c r="U203" s="617"/>
    </row>
    <row r="204" spans="3:22">
      <c r="C204" s="365">
        <v>15</v>
      </c>
      <c r="D204" s="290" t="s">
        <v>4401</v>
      </c>
      <c r="E204" s="96" t="s">
        <v>4402</v>
      </c>
      <c r="F204" s="2530"/>
      <c r="G204" s="42">
        <f>+SUMIFS('Labor Input'!C:C,'Labor Input'!G:G,'Labor O&amp;M'!D204)/1000</f>
        <v>0</v>
      </c>
      <c r="H204" s="2285">
        <v>0</v>
      </c>
      <c r="I204" s="903">
        <f t="shared" si="15"/>
        <v>0</v>
      </c>
      <c r="J204" s="617"/>
      <c r="K204" s="42"/>
      <c r="L204" s="903"/>
      <c r="M204" s="617"/>
      <c r="N204" s="79"/>
      <c r="O204" s="79"/>
      <c r="P204" s="617"/>
      <c r="Q204" s="42"/>
      <c r="R204" s="42"/>
      <c r="S204" s="42"/>
      <c r="T204" s="903"/>
      <c r="U204" s="617"/>
    </row>
    <row r="205" spans="3:22">
      <c r="C205" s="365">
        <v>16</v>
      </c>
      <c r="D205" s="290" t="s">
        <v>4403</v>
      </c>
      <c r="E205" s="96" t="s">
        <v>4404</v>
      </c>
      <c r="F205" s="2530"/>
      <c r="G205" s="42">
        <f>+SUMIFS('Labor Input'!C:C,'Labor Input'!G:G,'Labor O&amp;M'!D205)/1000</f>
        <v>1432.324610655814</v>
      </c>
      <c r="H205" s="2285">
        <v>0</v>
      </c>
      <c r="I205" s="903">
        <f t="shared" si="15"/>
        <v>1432.324610655814</v>
      </c>
      <c r="J205" s="617"/>
      <c r="K205" s="42"/>
      <c r="L205" s="903"/>
      <c r="M205" s="617"/>
      <c r="N205" s="79"/>
      <c r="O205" s="79"/>
      <c r="P205" s="617"/>
      <c r="Q205" s="42"/>
      <c r="R205" s="42"/>
      <c r="S205" s="42"/>
      <c r="T205" s="903"/>
      <c r="U205" s="617"/>
    </row>
    <row r="206" spans="3:22">
      <c r="C206" s="365">
        <v>17</v>
      </c>
      <c r="D206" s="96"/>
      <c r="E206" s="96" t="s">
        <v>4405</v>
      </c>
      <c r="F206" s="2554" t="s">
        <v>4406</v>
      </c>
      <c r="G206" s="872">
        <f>+SUM(G198:G205)</f>
        <v>74474.728282960205</v>
      </c>
      <c r="H206" s="872">
        <f>+SUM(H198:H205)</f>
        <v>0</v>
      </c>
      <c r="I206" s="873">
        <f>+SUM(I198:I205)</f>
        <v>74474.728282960205</v>
      </c>
      <c r="J206" s="618">
        <f>+I206*J207</f>
        <v>31448.710425409485</v>
      </c>
      <c r="K206" s="872">
        <f>+J206*K207</f>
        <v>24880.189764629529</v>
      </c>
      <c r="L206" s="873">
        <f>+J206*L207</f>
        <v>6568.5206607799546</v>
      </c>
      <c r="M206" s="618">
        <f>+I206*M207</f>
        <v>4018.3921498520908</v>
      </c>
      <c r="N206" s="872">
        <f>+M206*N207</f>
        <v>1054.2718897543314</v>
      </c>
      <c r="O206" s="872">
        <f>+M206*O207</f>
        <v>2964.1202600977599</v>
      </c>
      <c r="P206" s="618">
        <f>+I206*P207</f>
        <v>26368.569215980944</v>
      </c>
      <c r="Q206" s="872">
        <f>+P206*Q207</f>
        <v>17037.569930585491</v>
      </c>
      <c r="R206" s="872">
        <f>+Q206*R207</f>
        <v>14524.879260550439</v>
      </c>
      <c r="S206" s="872">
        <f>+Q206*S207</f>
        <v>2512.6906700350523</v>
      </c>
      <c r="T206" s="873">
        <f>+P206*T207</f>
        <v>9330.9992853954518</v>
      </c>
      <c r="U206" s="618">
        <f>+I206*U207</f>
        <v>12639.056491717682</v>
      </c>
      <c r="V206" s="657"/>
    </row>
    <row r="207" spans="3:22">
      <c r="C207" s="365">
        <v>18</v>
      </c>
      <c r="D207" s="96"/>
      <c r="E207" s="96"/>
      <c r="F207" s="2554" t="s">
        <v>4407</v>
      </c>
      <c r="G207" s="538"/>
      <c r="H207" s="538"/>
      <c r="I207" s="950">
        <f>+J207+M207+P207+U207</f>
        <v>0.99999999999999989</v>
      </c>
      <c r="J207" s="949">
        <f>+J220</f>
        <v>0.42227358394545417</v>
      </c>
      <c r="K207" s="877">
        <f>+K221</f>
        <v>0.79113545287145337</v>
      </c>
      <c r="L207" s="950">
        <f>+L221</f>
        <v>0.2088645471285466</v>
      </c>
      <c r="M207" s="949">
        <f>+M220</f>
        <v>5.3956452645044395E-2</v>
      </c>
      <c r="N207" s="960">
        <f>+N221</f>
        <v>0.26236162386320039</v>
      </c>
      <c r="O207" s="960">
        <f>+O221</f>
        <v>0.73763837613679972</v>
      </c>
      <c r="P207" s="949">
        <f>+P220</f>
        <v>0.35406063001392735</v>
      </c>
      <c r="Q207" s="877">
        <f>+Q221</f>
        <v>0.64613175599454575</v>
      </c>
      <c r="R207" s="877">
        <f>+R221</f>
        <v>0.85252059535061264</v>
      </c>
      <c r="S207" s="877">
        <f>+S221</f>
        <v>0.14747940464938739</v>
      </c>
      <c r="T207" s="950">
        <f>+T221</f>
        <v>0.35386824400545419</v>
      </c>
      <c r="U207" s="949">
        <f>+U220</f>
        <v>0.16970933339557406</v>
      </c>
    </row>
    <row r="208" spans="3:22">
      <c r="C208" s="365">
        <v>19</v>
      </c>
      <c r="E208" s="96" t="s">
        <v>4408</v>
      </c>
      <c r="F208" s="296"/>
      <c r="G208" s="874">
        <f t="shared" ref="G208:U208" si="16">+G194+G206</f>
        <v>75432.514882461517</v>
      </c>
      <c r="H208" s="872">
        <f t="shared" si="16"/>
        <v>0</v>
      </c>
      <c r="I208" s="873">
        <f t="shared" si="16"/>
        <v>75432.514882461517</v>
      </c>
      <c r="J208" s="618">
        <f t="shared" si="16"/>
        <v>32008.079770410186</v>
      </c>
      <c r="K208" s="872">
        <f t="shared" si="16"/>
        <v>25391.247905549368</v>
      </c>
      <c r="L208" s="873">
        <f t="shared" si="16"/>
        <v>6616.8318648608147</v>
      </c>
      <c r="M208" s="618">
        <f t="shared" si="16"/>
        <v>4099.510629743696</v>
      </c>
      <c r="N208" s="872">
        <f t="shared" si="16"/>
        <v>1093.9602150251519</v>
      </c>
      <c r="O208" s="872">
        <f t="shared" si="16"/>
        <v>3005.5504147185438</v>
      </c>
      <c r="P208" s="618">
        <f t="shared" si="16"/>
        <v>26668.465559595206</v>
      </c>
      <c r="Q208" s="872">
        <f t="shared" si="16"/>
        <v>17265.694654882187</v>
      </c>
      <c r="R208" s="872">
        <f t="shared" si="16"/>
        <v>14724.472445581185</v>
      </c>
      <c r="S208" s="872">
        <f t="shared" si="16"/>
        <v>2612.9938286185679</v>
      </c>
      <c r="T208" s="873">
        <f t="shared" si="16"/>
        <v>9402.7709047130193</v>
      </c>
      <c r="U208" s="618">
        <f t="shared" si="16"/>
        <v>12656.458922712432</v>
      </c>
    </row>
    <row r="209" spans="3:21">
      <c r="C209" s="365">
        <v>20</v>
      </c>
      <c r="D209" s="62"/>
      <c r="E209" s="96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  <c r="Q209" s="538"/>
      <c r="R209" s="538"/>
      <c r="S209" s="538"/>
      <c r="T209" s="538"/>
      <c r="U209" s="2565"/>
    </row>
    <row r="210" spans="3:21">
      <c r="C210" s="365">
        <v>21</v>
      </c>
      <c r="E210" s="293"/>
      <c r="G210" s="538"/>
      <c r="H210" s="538"/>
      <c r="I210" s="538"/>
      <c r="J210" s="538"/>
      <c r="K210" s="538"/>
      <c r="L210" s="538"/>
      <c r="M210" s="538"/>
      <c r="N210" s="538"/>
      <c r="O210" s="538"/>
      <c r="P210" s="538"/>
      <c r="Q210" s="538"/>
      <c r="R210" s="538"/>
      <c r="S210" s="538"/>
      <c r="T210" s="538"/>
      <c r="U210" s="2565"/>
    </row>
    <row r="211" spans="3:21">
      <c r="C211" s="365">
        <v>22</v>
      </c>
      <c r="E211" s="293" t="s">
        <v>4409</v>
      </c>
      <c r="G211" s="538"/>
      <c r="H211" s="538"/>
      <c r="I211" s="538"/>
      <c r="J211" s="538"/>
      <c r="K211" s="538"/>
      <c r="L211" s="538"/>
      <c r="M211" s="538"/>
      <c r="N211" s="538"/>
      <c r="O211" s="538"/>
      <c r="P211" s="538"/>
      <c r="Q211" s="538"/>
      <c r="R211" s="538"/>
      <c r="S211" s="538"/>
      <c r="T211" s="538"/>
      <c r="U211" s="2565"/>
    </row>
    <row r="212" spans="3:21" ht="15" thickBot="1">
      <c r="C212" s="365">
        <v>23</v>
      </c>
      <c r="D212" s="430"/>
      <c r="E212" s="430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2530"/>
    </row>
    <row r="213" spans="3:21" ht="31.8">
      <c r="C213" s="365">
        <v>24</v>
      </c>
      <c r="D213" s="430"/>
      <c r="E213" s="2533" t="s">
        <v>4410</v>
      </c>
      <c r="F213" s="2851"/>
      <c r="G213" s="961"/>
      <c r="H213" s="38"/>
      <c r="I213" s="2894" t="s">
        <v>4411</v>
      </c>
      <c r="J213" s="2894" t="s">
        <v>4412</v>
      </c>
      <c r="K213" s="2894" t="s">
        <v>4413</v>
      </c>
      <c r="L213" s="2894" t="s">
        <v>4414</v>
      </c>
      <c r="M213" s="2894" t="s">
        <v>4415</v>
      </c>
      <c r="N213" s="2894" t="s">
        <v>4416</v>
      </c>
      <c r="O213" s="2894" t="s">
        <v>4417</v>
      </c>
      <c r="P213" s="2894" t="s">
        <v>4418</v>
      </c>
      <c r="Q213" s="2894" t="s">
        <v>4419</v>
      </c>
      <c r="R213" s="2894" t="s">
        <v>4420</v>
      </c>
      <c r="S213" s="2894" t="s">
        <v>4421</v>
      </c>
      <c r="T213" s="2894" t="s">
        <v>4422</v>
      </c>
      <c r="U213" s="2895" t="s">
        <v>4423</v>
      </c>
    </row>
    <row r="214" spans="3:21">
      <c r="C214" s="365">
        <v>25</v>
      </c>
      <c r="D214" s="430"/>
      <c r="E214" s="875" t="s">
        <v>4424</v>
      </c>
      <c r="G214" s="290"/>
      <c r="H214" s="290" t="s">
        <v>4425</v>
      </c>
      <c r="I214" s="42">
        <f>+J214+M214+P214+U214</f>
        <v>13492110.214790912</v>
      </c>
      <c r="J214" s="42">
        <f>+SUM(K214:L214)</f>
        <v>7879701.8641253766</v>
      </c>
      <c r="K214" s="764">
        <f>+REPORTS!F1006</f>
        <v>7199153.5139943594</v>
      </c>
      <c r="L214" s="764">
        <f>+REPORTS!F1007</f>
        <v>680548.35013101739</v>
      </c>
      <c r="M214" s="42">
        <f>+SUM(N214:O214)</f>
        <v>1142696.5795133002</v>
      </c>
      <c r="N214" s="764">
        <f>+REPORTS!F1008</f>
        <v>559079.92351655953</v>
      </c>
      <c r="O214" s="764">
        <f>+REPORTS!F1009</f>
        <v>583616.65599674068</v>
      </c>
      <c r="P214" s="42">
        <f>+SUM(R214:T214)</f>
        <v>4224567.8976539755</v>
      </c>
      <c r="Q214" s="42">
        <f>+SUM(R214:S214)</f>
        <v>3213538.3023027619</v>
      </c>
      <c r="R214" s="764">
        <f>+REPORTS!F1010</f>
        <v>2138740.1301561045</v>
      </c>
      <c r="S214" s="764">
        <f>+REPORTS!F1011</f>
        <v>1074798.1721466575</v>
      </c>
      <c r="T214" s="764">
        <f>+REPORTS!F1012</f>
        <v>1011029.5953512132</v>
      </c>
      <c r="U214" s="876">
        <f>+REPORTS!F1013</f>
        <v>245143.87349825987</v>
      </c>
    </row>
    <row r="215" spans="3:21">
      <c r="C215" s="365">
        <v>26</v>
      </c>
      <c r="D215" s="430"/>
      <c r="E215" s="875" t="s">
        <v>4426</v>
      </c>
      <c r="F215" s="60" t="s">
        <v>4427</v>
      </c>
      <c r="G215" s="290" t="s">
        <v>121</v>
      </c>
      <c r="H215" s="290" t="s">
        <v>3179</v>
      </c>
      <c r="I215" s="2758">
        <f>+SUM(J215:U215)</f>
        <v>1</v>
      </c>
      <c r="J215" s="877">
        <f>+J214/I214</f>
        <v>0.584022939235046</v>
      </c>
      <c r="M215" s="877">
        <f>+M214/I214</f>
        <v>8.4693688483259144E-2</v>
      </c>
      <c r="P215" s="877">
        <f>+P214/I214</f>
        <v>0.31311394810744536</v>
      </c>
      <c r="U215" s="878">
        <f>+U214/I214</f>
        <v>1.8169424174249445E-2</v>
      </c>
    </row>
    <row r="216" spans="3:21">
      <c r="C216" s="365">
        <v>27</v>
      </c>
      <c r="D216" s="430"/>
      <c r="E216" s="875" t="s">
        <v>4428</v>
      </c>
      <c r="F216" s="60" t="s">
        <v>4389</v>
      </c>
      <c r="G216" s="290" t="s">
        <v>4429</v>
      </c>
      <c r="H216" s="290" t="s">
        <v>3179</v>
      </c>
      <c r="I216" s="96"/>
      <c r="J216" s="2896">
        <f>+SUM(K216:L216)</f>
        <v>1</v>
      </c>
      <c r="K216" s="877">
        <f>+K214/J214</f>
        <v>0.91363272851357358</v>
      </c>
      <c r="L216" s="877">
        <f>+L214/J214</f>
        <v>8.6367271486426506E-2</v>
      </c>
      <c r="M216" s="2896">
        <f>+SUM(N216:O216)</f>
        <v>1</v>
      </c>
      <c r="N216" s="877">
        <f>+N214/M214</f>
        <v>0.48926367116166924</v>
      </c>
      <c r="O216" s="877">
        <f>+O214/M214</f>
        <v>0.51073632883833076</v>
      </c>
      <c r="P216" s="2896">
        <f>+SUM(Q216,T216)</f>
        <v>1</v>
      </c>
      <c r="Q216" s="877">
        <f>+Q214/P214</f>
        <v>0.76067857829609808</v>
      </c>
      <c r="R216" s="877">
        <f>+R214/Q214</f>
        <v>0.66554057520444765</v>
      </c>
      <c r="S216" s="877">
        <f>+S214/Q214</f>
        <v>0.3344594247955523</v>
      </c>
      <c r="T216" s="877">
        <f>+T214/P214</f>
        <v>0.23932142170390186</v>
      </c>
      <c r="U216" s="2062"/>
    </row>
    <row r="217" spans="3:21">
      <c r="C217" s="365">
        <v>28</v>
      </c>
      <c r="D217" s="430"/>
      <c r="E217" s="2897"/>
      <c r="G217" s="290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T217" s="96"/>
      <c r="U217" s="97"/>
    </row>
    <row r="218" spans="3:21">
      <c r="C218" s="365">
        <v>29</v>
      </c>
      <c r="D218" s="430"/>
      <c r="E218" s="2897"/>
      <c r="G218" s="290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7"/>
    </row>
    <row r="219" spans="3:21">
      <c r="C219" s="365">
        <v>30</v>
      </c>
      <c r="D219" s="430"/>
      <c r="E219" s="778" t="s">
        <v>4430</v>
      </c>
      <c r="F219" s="1961"/>
      <c r="G219" s="290"/>
      <c r="H219" s="290" t="s">
        <v>4425</v>
      </c>
      <c r="I219" s="42">
        <f>+J219+M219+P219+U219</f>
        <v>96792.232021418095</v>
      </c>
      <c r="J219" s="42">
        <f>+SUM(K219:L219)</f>
        <v>40872.802713764169</v>
      </c>
      <c r="K219" s="764">
        <f>+H266+I108</f>
        <v>32335.923285079385</v>
      </c>
      <c r="L219" s="764">
        <f>+I266</f>
        <v>8536.8794286847842</v>
      </c>
      <c r="M219" s="42">
        <f>+SUM(N219:O219)</f>
        <v>5222.5654834717952</v>
      </c>
      <c r="N219" s="764">
        <f>+J108+M108</f>
        <v>1370.2007609755603</v>
      </c>
      <c r="O219" s="764">
        <f>+G108-I108-J108-M108</f>
        <v>3852.3647224962351</v>
      </c>
      <c r="P219" s="42">
        <f>+SUM(R219:T219)</f>
        <v>34270.318649957524</v>
      </c>
      <c r="Q219" s="2881">
        <f>+R219+S219</f>
        <v>22143.141167789687</v>
      </c>
      <c r="R219" s="2881">
        <f>+H157+J157+O157</f>
        <v>18877.483891296724</v>
      </c>
      <c r="S219" s="2881">
        <f>+L157+N157+Q157+V157</f>
        <v>3265.6572764929638</v>
      </c>
      <c r="T219" s="2881">
        <f>+I157+K157+M157+N157+P157+R157+W157+X157+Y157+Z157+AA157</f>
        <v>12127.177482167837</v>
      </c>
      <c r="U219" s="2898">
        <f>+H67</f>
        <v>16426.545174224604</v>
      </c>
    </row>
    <row r="220" spans="3:21">
      <c r="C220" s="365">
        <v>31</v>
      </c>
      <c r="D220" s="430"/>
      <c r="E220" s="98" t="s">
        <v>4431</v>
      </c>
      <c r="F220" s="60" t="s">
        <v>4432</v>
      </c>
      <c r="G220" s="290" t="s">
        <v>4433</v>
      </c>
      <c r="H220" s="290" t="s">
        <v>3179</v>
      </c>
      <c r="I220" s="877">
        <f>+SUM(J220:U220)</f>
        <v>0.99999999999999989</v>
      </c>
      <c r="J220" s="877">
        <f>+J219/$I$219</f>
        <v>0.42227358394545417</v>
      </c>
      <c r="K220" s="2758"/>
      <c r="L220" s="2758"/>
      <c r="M220" s="877">
        <f>+M219/$I$219</f>
        <v>5.3956452645044395E-2</v>
      </c>
      <c r="N220" s="96"/>
      <c r="O220" s="538"/>
      <c r="P220" s="877">
        <f>+P219/$I$219</f>
        <v>0.35406063001392735</v>
      </c>
      <c r="Q220" s="96"/>
      <c r="S220" s="96"/>
      <c r="T220" s="96"/>
      <c r="U220" s="878">
        <f>+U219/$I$219</f>
        <v>0.16970933339557406</v>
      </c>
    </row>
    <row r="221" spans="3:21">
      <c r="C221" s="365">
        <v>32</v>
      </c>
      <c r="D221" s="430"/>
      <c r="E221" s="98" t="s">
        <v>4434</v>
      </c>
      <c r="F221" s="60" t="s">
        <v>4407</v>
      </c>
      <c r="G221" s="290" t="s">
        <v>4429</v>
      </c>
      <c r="H221" s="290" t="s">
        <v>3179</v>
      </c>
      <c r="I221" s="2856"/>
      <c r="J221" s="2896">
        <f>+SUM(K221:L221)</f>
        <v>1</v>
      </c>
      <c r="K221" s="877">
        <f>+K219/$J$219</f>
        <v>0.79113545287145337</v>
      </c>
      <c r="L221" s="877">
        <f>+L219/$J$219</f>
        <v>0.2088645471285466</v>
      </c>
      <c r="M221" s="2896">
        <f>+SUM(N221:O221)</f>
        <v>1</v>
      </c>
      <c r="N221" s="877">
        <f>+N219/M219</f>
        <v>0.26236162386320039</v>
      </c>
      <c r="O221" s="877">
        <f>+O219/M219</f>
        <v>0.73763837613679972</v>
      </c>
      <c r="P221" s="2896">
        <f>+SUM(Q221,T221)</f>
        <v>1</v>
      </c>
      <c r="Q221" s="877">
        <f>+Q219/P219</f>
        <v>0.64613175599454575</v>
      </c>
      <c r="R221" s="877">
        <f>+R219/Q219</f>
        <v>0.85252059535061264</v>
      </c>
      <c r="S221" s="877">
        <f>+S219/Q219</f>
        <v>0.14747940464938739</v>
      </c>
      <c r="T221" s="877">
        <f>+T219/P219</f>
        <v>0.35386824400545419</v>
      </c>
      <c r="U221" s="97"/>
    </row>
    <row r="222" spans="3:21">
      <c r="C222" s="365">
        <v>33</v>
      </c>
      <c r="D222" s="430"/>
      <c r="E222" s="30"/>
      <c r="G222" s="96"/>
      <c r="H222" s="96"/>
      <c r="K222" s="96"/>
      <c r="L222" s="538"/>
      <c r="M222" s="933"/>
      <c r="N222" s="96"/>
      <c r="O222" s="538"/>
      <c r="T222" s="96"/>
      <c r="U222" s="97"/>
    </row>
    <row r="223" spans="3:21" ht="15" thickBot="1">
      <c r="C223" s="365">
        <v>34</v>
      </c>
      <c r="D223" s="430"/>
      <c r="E223" s="2803" t="s">
        <v>4435</v>
      </c>
      <c r="F223" s="32"/>
      <c r="G223" s="2899"/>
      <c r="H223" s="2899"/>
      <c r="I223" s="2899"/>
      <c r="J223" s="2899"/>
      <c r="K223" s="2899"/>
      <c r="L223" s="2899"/>
      <c r="M223" s="2899"/>
      <c r="N223" s="2899"/>
      <c r="O223" s="2899"/>
      <c r="P223" s="32"/>
      <c r="Q223" s="2899"/>
      <c r="R223" s="2899"/>
      <c r="S223" s="2899"/>
      <c r="T223" s="2899"/>
      <c r="U223" s="2900"/>
    </row>
    <row r="224" spans="3:21">
      <c r="C224" s="462"/>
      <c r="D224" s="545"/>
      <c r="E224" s="2657"/>
      <c r="F224" s="297"/>
      <c r="G224" s="2657"/>
      <c r="H224" s="2657"/>
      <c r="I224" s="2657"/>
      <c r="J224" s="2657"/>
      <c r="K224" s="2657"/>
      <c r="L224" s="2657"/>
      <c r="M224" s="2657"/>
      <c r="N224" s="2657"/>
      <c r="O224" s="2657"/>
      <c r="P224" s="297"/>
      <c r="Q224" s="2657"/>
      <c r="R224" s="545"/>
      <c r="S224" s="545"/>
      <c r="T224" s="545"/>
      <c r="U224" s="2577"/>
    </row>
    <row r="227" spans="3:15">
      <c r="C227" s="2828" t="s">
        <v>4436</v>
      </c>
      <c r="D227" s="2828"/>
    </row>
    <row r="228" spans="3:15">
      <c r="C228" s="2901" t="s">
        <v>2173</v>
      </c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460"/>
    </row>
    <row r="229" spans="3:15">
      <c r="C229" s="2902" t="s">
        <v>4437</v>
      </c>
      <c r="L229" s="2551"/>
      <c r="O229" s="296"/>
    </row>
    <row r="230" spans="3:15">
      <c r="C230" s="2495" t="s">
        <v>9263</v>
      </c>
      <c r="D230" s="673"/>
      <c r="E230" s="673"/>
      <c r="F230" s="297"/>
      <c r="G230" s="297"/>
      <c r="H230" s="297"/>
      <c r="I230" s="297"/>
      <c r="J230" s="297"/>
      <c r="K230" s="297"/>
      <c r="L230" s="297"/>
      <c r="M230" s="297"/>
      <c r="N230" s="297"/>
      <c r="O230" s="298"/>
    </row>
    <row r="231" spans="3:15">
      <c r="C231" s="2902"/>
      <c r="D231" s="62"/>
      <c r="E231" s="62"/>
      <c r="F231" s="62"/>
      <c r="G231" s="352"/>
      <c r="H231" s="753" t="s">
        <v>115</v>
      </c>
      <c r="I231" s="2783"/>
      <c r="J231" s="352"/>
      <c r="K231" s="753" t="s">
        <v>4438</v>
      </c>
      <c r="L231" s="2783"/>
      <c r="M231" s="352"/>
      <c r="N231" s="753" t="s">
        <v>4439</v>
      </c>
      <c r="O231" s="2783"/>
    </row>
    <row r="232" spans="3:15" ht="15" thickBot="1">
      <c r="C232" s="353"/>
      <c r="D232" s="62"/>
      <c r="E232" s="62"/>
      <c r="F232" s="62"/>
      <c r="G232" s="353"/>
      <c r="H232" s="60" t="s">
        <v>2620</v>
      </c>
      <c r="I232" s="622"/>
      <c r="J232" s="353"/>
      <c r="K232" s="60" t="s">
        <v>2621</v>
      </c>
      <c r="L232" s="622"/>
      <c r="M232" s="353"/>
      <c r="N232" s="60" t="s">
        <v>4440</v>
      </c>
      <c r="O232" s="622"/>
    </row>
    <row r="233" spans="3:15">
      <c r="C233" s="353"/>
      <c r="D233" s="62"/>
      <c r="E233" s="62" t="s">
        <v>2477</v>
      </c>
      <c r="F233" s="62"/>
      <c r="G233" s="3156" t="s">
        <v>4441</v>
      </c>
      <c r="H233" s="3157"/>
      <c r="I233" s="3158"/>
      <c r="J233" s="353"/>
      <c r="K233" s="2903" t="s">
        <v>4442</v>
      </c>
      <c r="L233" s="2904" t="s">
        <v>4443</v>
      </c>
      <c r="M233" s="353"/>
      <c r="N233" s="62"/>
      <c r="O233" s="622"/>
    </row>
    <row r="234" spans="3:15" ht="15" thickBot="1">
      <c r="C234" s="363" t="s">
        <v>2182</v>
      </c>
      <c r="D234" s="60"/>
      <c r="E234" s="60"/>
      <c r="F234" s="60" t="s">
        <v>113</v>
      </c>
      <c r="G234" s="353"/>
      <c r="H234" s="62"/>
      <c r="I234" s="622"/>
      <c r="J234" s="353"/>
      <c r="K234" s="2789">
        <v>0</v>
      </c>
      <c r="L234" s="2790">
        <v>0</v>
      </c>
      <c r="M234" s="353"/>
      <c r="N234" s="62"/>
      <c r="O234" s="622"/>
    </row>
    <row r="235" spans="3:15">
      <c r="C235" s="522" t="s">
        <v>3216</v>
      </c>
      <c r="D235" s="77" t="s">
        <v>3174</v>
      </c>
      <c r="E235" s="77" t="s">
        <v>2052</v>
      </c>
      <c r="F235" s="364" t="s">
        <v>4444</v>
      </c>
      <c r="G235" s="363" t="s">
        <v>115</v>
      </c>
      <c r="H235" s="60" t="s">
        <v>119</v>
      </c>
      <c r="I235" s="767" t="s">
        <v>120</v>
      </c>
      <c r="J235" s="363" t="s">
        <v>115</v>
      </c>
      <c r="K235" s="60" t="s">
        <v>119</v>
      </c>
      <c r="L235" s="767" t="s">
        <v>120</v>
      </c>
      <c r="M235" s="363" t="s">
        <v>115</v>
      </c>
      <c r="N235" s="60" t="s">
        <v>119</v>
      </c>
      <c r="O235" s="767" t="s">
        <v>120</v>
      </c>
    </row>
    <row r="236" spans="3:15">
      <c r="C236" s="2791" t="s">
        <v>2175</v>
      </c>
      <c r="D236" s="2792" t="s">
        <v>2176</v>
      </c>
      <c r="E236" s="2792" t="s">
        <v>2177</v>
      </c>
      <c r="F236" s="2793" t="s">
        <v>2178</v>
      </c>
      <c r="G236" s="2792" t="s">
        <v>2179</v>
      </c>
      <c r="H236" s="2792" t="s">
        <v>2625</v>
      </c>
      <c r="I236" s="2793" t="s">
        <v>2626</v>
      </c>
      <c r="J236" s="2792" t="s">
        <v>2627</v>
      </c>
      <c r="K236" s="2792" t="s">
        <v>2628</v>
      </c>
      <c r="L236" s="2793" t="s">
        <v>2629</v>
      </c>
      <c r="M236" s="2792" t="s">
        <v>2630</v>
      </c>
      <c r="N236" s="2792" t="s">
        <v>4061</v>
      </c>
      <c r="O236" s="2793" t="s">
        <v>4062</v>
      </c>
    </row>
    <row r="237" spans="3:15">
      <c r="C237" s="357"/>
      <c r="G237" s="357"/>
      <c r="I237" s="296"/>
      <c r="J237" s="357"/>
      <c r="L237" s="296"/>
      <c r="M237" s="357"/>
      <c r="O237" s="296"/>
    </row>
    <row r="238" spans="3:15">
      <c r="C238" s="526">
        <v>1</v>
      </c>
      <c r="E238" s="531" t="s">
        <v>4445</v>
      </c>
      <c r="G238" s="357"/>
      <c r="I238" s="296"/>
      <c r="J238" s="357"/>
      <c r="L238" s="296"/>
      <c r="M238" s="357"/>
      <c r="O238" s="296"/>
    </row>
    <row r="239" spans="3:15">
      <c r="C239" s="365">
        <v>2</v>
      </c>
      <c r="D239" s="33" t="s">
        <v>4446</v>
      </c>
      <c r="E239" t="s">
        <v>4315</v>
      </c>
      <c r="F239" s="290" t="s">
        <v>4067</v>
      </c>
      <c r="G239" s="620">
        <f>+SUMIFS('Labor Input'!C:C,'Labor Input'!G:G,'Labor O&amp;M'!D239)/1000</f>
        <v>2539.8197231102326</v>
      </c>
      <c r="H239" s="764">
        <f>+IF('Prod O&amp;M'!G45&lt;&gt;0,('Prod O&amp;M'!H45/'Prod O&amp;M'!G45)*'Labor O&amp;M'!G239,0)</f>
        <v>2539.8197231102326</v>
      </c>
      <c r="I239" s="764">
        <f>+IF('Prod O&amp;M'!G45&lt;&gt;0,('Prod O&amp;M'!I45/'Prod O&amp;M'!G45)*'Labor O&amp;M'!G239,0)</f>
        <v>0</v>
      </c>
      <c r="J239" s="891">
        <f t="shared" ref="J239:J244" si="17">+SUM(K239:L239)</f>
        <v>0</v>
      </c>
      <c r="K239" s="445">
        <f t="shared" ref="K239:K244" si="18">+H239*$K$234</f>
        <v>0</v>
      </c>
      <c r="L239" s="2905">
        <f t="shared" ref="L239:L244" si="19">+I239*$L$234</f>
        <v>0</v>
      </c>
      <c r="M239" s="891">
        <f t="shared" ref="M239:O244" si="20">+G239-J239</f>
        <v>2539.8197231102326</v>
      </c>
      <c r="N239" s="513">
        <f t="shared" si="20"/>
        <v>2539.8197231102326</v>
      </c>
      <c r="O239" s="892">
        <f t="shared" si="20"/>
        <v>0</v>
      </c>
    </row>
    <row r="240" spans="3:15">
      <c r="C240" s="365">
        <v>3</v>
      </c>
      <c r="D240" s="33">
        <v>502</v>
      </c>
      <c r="E240" t="s">
        <v>4447</v>
      </c>
      <c r="F240" s="290" t="s">
        <v>4448</v>
      </c>
      <c r="G240" s="620">
        <f>+SUMIFS('Labor Input'!C:C,'Labor Input'!G:G,'Labor O&amp;M'!D240)/1000</f>
        <v>10112.351417302401</v>
      </c>
      <c r="H240" s="764">
        <f>+IF('Prod O&amp;M'!G46&lt;&gt;0,('Prod O&amp;M'!H46/'Prod O&amp;M'!G46)*'Labor O&amp;M'!G240,0)</f>
        <v>7095.8434942632075</v>
      </c>
      <c r="I240" s="764">
        <f>+IF('Prod O&amp;M'!G46&lt;&gt;0,('Prod O&amp;M'!I46/'Prod O&amp;M'!G46)*'Labor O&amp;M'!G240,0)</f>
        <v>3016.5079230391943</v>
      </c>
      <c r="J240" s="891">
        <f t="shared" si="17"/>
        <v>0</v>
      </c>
      <c r="K240" s="445">
        <f t="shared" si="18"/>
        <v>0</v>
      </c>
      <c r="L240" s="2905">
        <f t="shared" si="19"/>
        <v>0</v>
      </c>
      <c r="M240" s="891">
        <f t="shared" si="20"/>
        <v>10112.351417302401</v>
      </c>
      <c r="N240" s="513">
        <f t="shared" si="20"/>
        <v>7095.8434942632075</v>
      </c>
      <c r="O240" s="892">
        <f t="shared" si="20"/>
        <v>3016.5079230391943</v>
      </c>
    </row>
    <row r="241" spans="3:15">
      <c r="C241" s="365">
        <v>4</v>
      </c>
      <c r="D241" s="33">
        <v>503</v>
      </c>
      <c r="E241" t="s">
        <v>4449</v>
      </c>
      <c r="F241" s="290" t="s">
        <v>2067</v>
      </c>
      <c r="G241" s="620">
        <f>+SUMIFS('Labor Input'!C:C,'Labor Input'!G:G,'Labor O&amp;M'!D241)/1000</f>
        <v>0</v>
      </c>
      <c r="H241" s="764">
        <f>+IF('Prod O&amp;M'!G47&lt;&gt;0,('Prod O&amp;M'!H47/'Prod O&amp;M'!G47)*'Labor O&amp;M'!G241,0)</f>
        <v>0</v>
      </c>
      <c r="I241" s="764">
        <f>+IF('Prod O&amp;M'!G47&lt;&gt;0,('Prod O&amp;M'!I47/'Prod O&amp;M'!G47)*'Labor O&amp;M'!G241,0)</f>
        <v>0</v>
      </c>
      <c r="J241" s="891">
        <f t="shared" si="17"/>
        <v>0</v>
      </c>
      <c r="K241" s="445">
        <f t="shared" si="18"/>
        <v>0</v>
      </c>
      <c r="L241" s="2905">
        <f t="shared" si="19"/>
        <v>0</v>
      </c>
      <c r="M241" s="891">
        <f t="shared" si="20"/>
        <v>0</v>
      </c>
      <c r="N241" s="513">
        <f t="shared" si="20"/>
        <v>0</v>
      </c>
      <c r="O241" s="892">
        <f t="shared" si="20"/>
        <v>0</v>
      </c>
    </row>
    <row r="242" spans="3:15">
      <c r="C242" s="365">
        <v>5</v>
      </c>
      <c r="D242" s="33" t="s">
        <v>4450</v>
      </c>
      <c r="E242" t="s">
        <v>4451</v>
      </c>
      <c r="F242" s="290" t="s">
        <v>4067</v>
      </c>
      <c r="G242" s="620">
        <f>+SUMIFS('Labor Input'!C:C,'Labor Input'!G:G,'Labor O&amp;M'!D242)/1000</f>
        <v>0</v>
      </c>
      <c r="H242" s="764">
        <f>+IF('Prod O&amp;M'!G48&lt;&gt;0,('Prod O&amp;M'!H48/'Prod O&amp;M'!G48)*'Labor O&amp;M'!G242,0)</f>
        <v>0</v>
      </c>
      <c r="I242" s="764">
        <f>+IF('Prod O&amp;M'!G48&lt;&gt;0,('Prod O&amp;M'!I48/'Prod O&amp;M'!G48)*'Labor O&amp;M'!G242,0)</f>
        <v>0</v>
      </c>
      <c r="J242" s="891">
        <f t="shared" si="17"/>
        <v>0</v>
      </c>
      <c r="K242" s="445">
        <f t="shared" si="18"/>
        <v>0</v>
      </c>
      <c r="L242" s="2905">
        <f t="shared" si="19"/>
        <v>0</v>
      </c>
      <c r="M242" s="891">
        <f t="shared" si="20"/>
        <v>0</v>
      </c>
      <c r="N242" s="513">
        <f t="shared" si="20"/>
        <v>0</v>
      </c>
      <c r="O242" s="892">
        <f t="shared" si="20"/>
        <v>0</v>
      </c>
    </row>
    <row r="243" spans="3:15">
      <c r="C243" s="365">
        <v>6</v>
      </c>
      <c r="D243" s="33" t="s">
        <v>4452</v>
      </c>
      <c r="E243" t="s">
        <v>4453</v>
      </c>
      <c r="F243" s="290" t="s">
        <v>4067</v>
      </c>
      <c r="G243" s="620">
        <f>+SUMIFS('Labor Input'!C:C,'Labor Input'!G:G,'Labor O&amp;M'!D243)/1000</f>
        <v>935.69106737945742</v>
      </c>
      <c r="H243" s="764">
        <f>+IF('Prod O&amp;M'!G49&lt;&gt;0,('Prod O&amp;M'!H49/'Prod O&amp;M'!G49)*'Labor O&amp;M'!G243,0)</f>
        <v>935.69106737945742</v>
      </c>
      <c r="I243" s="764">
        <f>+IF('Prod O&amp;M'!G49&lt;&gt;0,('Prod O&amp;M'!I49/'Prod O&amp;M'!G49)*'Labor O&amp;M'!G243,0)</f>
        <v>0</v>
      </c>
      <c r="J243" s="891">
        <f t="shared" si="17"/>
        <v>0</v>
      </c>
      <c r="K243" s="445">
        <f t="shared" si="18"/>
        <v>0</v>
      </c>
      <c r="L243" s="2905">
        <f t="shared" si="19"/>
        <v>0</v>
      </c>
      <c r="M243" s="891">
        <f t="shared" si="20"/>
        <v>935.69106737945742</v>
      </c>
      <c r="N243" s="513">
        <f t="shared" si="20"/>
        <v>935.69106737945742</v>
      </c>
      <c r="O243" s="892">
        <f t="shared" si="20"/>
        <v>0</v>
      </c>
    </row>
    <row r="244" spans="3:15">
      <c r="C244" s="365">
        <v>7</v>
      </c>
      <c r="D244" s="33" t="s">
        <v>4454</v>
      </c>
      <c r="E244" t="s">
        <v>4270</v>
      </c>
      <c r="F244" s="290" t="s">
        <v>4067</v>
      </c>
      <c r="G244" s="620">
        <f>+SUMIFS('Labor Input'!C:C,'Labor Input'!G:G,'Labor O&amp;M'!D244)/1000</f>
        <v>0</v>
      </c>
      <c r="H244" s="764">
        <f>+IF('Prod O&amp;M'!G50&lt;&gt;0,('Prod O&amp;M'!H50/'Prod O&amp;M'!G50)*'Labor O&amp;M'!G244,0)</f>
        <v>0</v>
      </c>
      <c r="I244" s="764">
        <f>+IF('Prod O&amp;M'!G50&lt;&gt;0,('Prod O&amp;M'!I50/'Prod O&amp;M'!G50)*'Labor O&amp;M'!G244,0)</f>
        <v>0</v>
      </c>
      <c r="J244" s="891">
        <f t="shared" si="17"/>
        <v>0</v>
      </c>
      <c r="K244" s="445">
        <f t="shared" si="18"/>
        <v>0</v>
      </c>
      <c r="L244" s="2905">
        <f t="shared" si="19"/>
        <v>0</v>
      </c>
      <c r="M244" s="891">
        <f t="shared" si="20"/>
        <v>0</v>
      </c>
      <c r="N244" s="513">
        <f t="shared" si="20"/>
        <v>0</v>
      </c>
      <c r="O244" s="892">
        <f t="shared" si="20"/>
        <v>0</v>
      </c>
    </row>
    <row r="245" spans="3:15">
      <c r="C245" s="365">
        <v>8</v>
      </c>
      <c r="D245" s="33"/>
      <c r="E245" t="s">
        <v>2360</v>
      </c>
      <c r="F245" s="290"/>
      <c r="G245" s="620"/>
      <c r="H245" s="764"/>
      <c r="I245" s="764"/>
      <c r="J245" s="891"/>
      <c r="K245" s="445"/>
      <c r="L245" s="2905"/>
      <c r="M245" s="891"/>
      <c r="N245" s="513"/>
      <c r="O245" s="892"/>
    </row>
    <row r="246" spans="3:15">
      <c r="C246" s="365">
        <v>9</v>
      </c>
      <c r="D246" s="33"/>
      <c r="E246" s="531" t="s">
        <v>4455</v>
      </c>
      <c r="F246" s="290"/>
      <c r="G246" s="900"/>
      <c r="H246" s="764"/>
      <c r="I246" s="377"/>
      <c r="J246" s="891"/>
      <c r="K246" s="445">
        <f t="shared" ref="K246:K251" si="21">+H246*$K$234</f>
        <v>0</v>
      </c>
      <c r="L246" s="2905">
        <f t="shared" ref="L246:L251" si="22">+I246*$L$234</f>
        <v>0</v>
      </c>
      <c r="M246" s="891">
        <f t="shared" ref="M246:M251" si="23">+G246-J246</f>
        <v>0</v>
      </c>
      <c r="N246" s="513">
        <f t="shared" ref="N246:N251" si="24">+H246-K246</f>
        <v>0</v>
      </c>
      <c r="O246" s="892">
        <f t="shared" ref="O246:O251" si="25">+I246-L246</f>
        <v>0</v>
      </c>
    </row>
    <row r="247" spans="3:15">
      <c r="C247" s="365">
        <v>10</v>
      </c>
      <c r="D247" s="33" t="s">
        <v>4456</v>
      </c>
      <c r="E247" t="s">
        <v>4457</v>
      </c>
      <c r="F247" s="290" t="s">
        <v>4458</v>
      </c>
      <c r="G247" s="620">
        <f>+SUMIFS('Labor Input'!C:C,'Labor Input'!G:G,'Labor O&amp;M'!D247)/1000</f>
        <v>0</v>
      </c>
      <c r="H247" s="764">
        <f>+IF('Prod O&amp;M'!G53&lt;&gt;0,('Prod O&amp;M'!H53/'Prod O&amp;M'!G53)*'Labor O&amp;M'!G247,0)</f>
        <v>0</v>
      </c>
      <c r="I247" s="764">
        <f>+IF('Prod O&amp;M'!G53&lt;&gt;0,('Prod O&amp;M'!I53/'Prod O&amp;M'!G53)*'Labor O&amp;M'!G247,0)</f>
        <v>0</v>
      </c>
      <c r="J247" s="891">
        <f>+SUM(K247:L247)</f>
        <v>0</v>
      </c>
      <c r="K247" s="445">
        <f t="shared" si="21"/>
        <v>0</v>
      </c>
      <c r="L247" s="2905">
        <f t="shared" si="22"/>
        <v>0</v>
      </c>
      <c r="M247" s="891">
        <f t="shared" si="23"/>
        <v>0</v>
      </c>
      <c r="N247" s="513">
        <f t="shared" si="24"/>
        <v>0</v>
      </c>
      <c r="O247" s="892">
        <f t="shared" si="25"/>
        <v>0</v>
      </c>
    </row>
    <row r="248" spans="3:15">
      <c r="C248" s="365">
        <v>11</v>
      </c>
      <c r="D248" s="33" t="s">
        <v>4459</v>
      </c>
      <c r="E248" t="s">
        <v>4460</v>
      </c>
      <c r="F248" s="290" t="s">
        <v>4067</v>
      </c>
      <c r="G248" s="620">
        <f>+SUMIFS('Labor Input'!C:C,'Labor Input'!G:G,'Labor O&amp;M'!D248)/1000</f>
        <v>1247.8985669689921</v>
      </c>
      <c r="H248" s="764">
        <f>+IF('Prod O&amp;M'!G54&lt;&gt;0,('Prod O&amp;M'!H54/'Prod O&amp;M'!G54)*'Labor O&amp;M'!G248,0)</f>
        <v>1247.8985669689921</v>
      </c>
      <c r="I248" s="764">
        <f>+IF('Prod O&amp;M'!G54&lt;&gt;0,('Prod O&amp;M'!I54/'Prod O&amp;M'!G54)*'Labor O&amp;M'!G248,0)</f>
        <v>0</v>
      </c>
      <c r="J248" s="891">
        <f>+SUM(K248:L248)</f>
        <v>0</v>
      </c>
      <c r="K248" s="445">
        <f t="shared" si="21"/>
        <v>0</v>
      </c>
      <c r="L248" s="2905">
        <f t="shared" si="22"/>
        <v>0</v>
      </c>
      <c r="M248" s="891">
        <f t="shared" si="23"/>
        <v>1247.8985669689921</v>
      </c>
      <c r="N248" s="513">
        <f t="shared" si="24"/>
        <v>1247.8985669689921</v>
      </c>
      <c r="O248" s="892">
        <f t="shared" si="25"/>
        <v>0</v>
      </c>
    </row>
    <row r="249" spans="3:15">
      <c r="C249" s="365">
        <v>12</v>
      </c>
      <c r="D249" s="33" t="s">
        <v>4461</v>
      </c>
      <c r="E249" t="s">
        <v>4462</v>
      </c>
      <c r="F249" s="290" t="s">
        <v>2067</v>
      </c>
      <c r="G249" s="620">
        <f>+SUMIFS('Labor Input'!C:C,'Labor Input'!G:G,'Labor O&amp;M'!D249)/1000</f>
        <v>3406.9676362274413</v>
      </c>
      <c r="H249" s="764">
        <f>+IF('Prod O&amp;M'!G55&lt;&gt;0,('Prod O&amp;M'!H55/'Prod O&amp;M'!G55)*'Labor O&amp;M'!G249,0)</f>
        <v>0</v>
      </c>
      <c r="I249" s="764">
        <f>+IF('Prod O&amp;M'!G55&lt;&gt;0,('Prod O&amp;M'!I55/'Prod O&amp;M'!G55)*'Labor O&amp;M'!G249,0)</f>
        <v>3406.9676362274413</v>
      </c>
      <c r="J249" s="891">
        <f>+SUM(K249:L249)</f>
        <v>0</v>
      </c>
      <c r="K249" s="445">
        <f t="shared" si="21"/>
        <v>0</v>
      </c>
      <c r="L249" s="2905">
        <f t="shared" si="22"/>
        <v>0</v>
      </c>
      <c r="M249" s="891">
        <f t="shared" si="23"/>
        <v>3406.9676362274413</v>
      </c>
      <c r="N249" s="513">
        <f t="shared" si="24"/>
        <v>0</v>
      </c>
      <c r="O249" s="892">
        <f t="shared" si="25"/>
        <v>3406.9676362274413</v>
      </c>
    </row>
    <row r="250" spans="3:15">
      <c r="C250" s="365">
        <v>13</v>
      </c>
      <c r="D250" s="33" t="s">
        <v>4463</v>
      </c>
      <c r="E250" t="s">
        <v>4464</v>
      </c>
      <c r="F250" s="290" t="s">
        <v>2067</v>
      </c>
      <c r="G250" s="620">
        <f>+SUMIFS('Labor Input'!C:C,'Labor Input'!G:G,'Labor O&amp;M'!D250)/1000</f>
        <v>15.892726221085274</v>
      </c>
      <c r="H250" s="764">
        <f>+IF('Prod O&amp;M'!G56&lt;&gt;0,('Prod O&amp;M'!H56/'Prod O&amp;M'!G56)*'Labor O&amp;M'!G250,0)</f>
        <v>0</v>
      </c>
      <c r="I250" s="764">
        <f>+IF('Prod O&amp;M'!G56&lt;&gt;0,('Prod O&amp;M'!I56/'Prod O&amp;M'!G56)*'Labor O&amp;M'!G250,0)</f>
        <v>15.892726221085274</v>
      </c>
      <c r="J250" s="891">
        <f>+SUM(K250:L250)</f>
        <v>0</v>
      </c>
      <c r="K250" s="445">
        <f t="shared" si="21"/>
        <v>0</v>
      </c>
      <c r="L250" s="2905">
        <f t="shared" si="22"/>
        <v>0</v>
      </c>
      <c r="M250" s="891">
        <f t="shared" si="23"/>
        <v>15.892726221085274</v>
      </c>
      <c r="N250" s="513">
        <f t="shared" si="24"/>
        <v>0</v>
      </c>
      <c r="O250" s="892">
        <f t="shared" si="25"/>
        <v>15.892726221085274</v>
      </c>
    </row>
    <row r="251" spans="3:15">
      <c r="C251" s="365">
        <v>14</v>
      </c>
      <c r="D251" s="33" t="s">
        <v>4465</v>
      </c>
      <c r="E251" t="s">
        <v>4466</v>
      </c>
      <c r="F251" s="290" t="s">
        <v>2067</v>
      </c>
      <c r="G251" s="620">
        <f>+SUMIFS('Labor Input'!C:C,'Labor Input'!G:G,'Labor O&amp;M'!D251)/1000</f>
        <v>15.892711546046517</v>
      </c>
      <c r="H251" s="764">
        <f>+IF('Prod O&amp;M'!G57&lt;&gt;0,('Prod O&amp;M'!H57/'Prod O&amp;M'!G57)*'Labor O&amp;M'!G251,0)</f>
        <v>0</v>
      </c>
      <c r="I251" s="764">
        <f>+IF('Prod O&amp;M'!G57&lt;&gt;0,('Prod O&amp;M'!I57/'Prod O&amp;M'!G57)*'Labor O&amp;M'!G251,0)</f>
        <v>15.892711546046517</v>
      </c>
      <c r="J251" s="891">
        <f>+SUM(K251:L251)</f>
        <v>0</v>
      </c>
      <c r="K251" s="445">
        <f t="shared" si="21"/>
        <v>0</v>
      </c>
      <c r="L251" s="2905">
        <f t="shared" si="22"/>
        <v>0</v>
      </c>
      <c r="M251" s="891">
        <f t="shared" si="23"/>
        <v>15.892711546046517</v>
      </c>
      <c r="N251" s="513">
        <f t="shared" si="24"/>
        <v>0</v>
      </c>
      <c r="O251" s="892">
        <f t="shared" si="25"/>
        <v>15.892711546046517</v>
      </c>
    </row>
    <row r="252" spans="3:15">
      <c r="C252" s="365">
        <v>15</v>
      </c>
      <c r="D252" s="33"/>
      <c r="E252" s="96" t="s">
        <v>4467</v>
      </c>
      <c r="F252" s="290"/>
      <c r="G252" s="874">
        <f t="shared" ref="G252:O252" si="26">+SUM(G239:G251)</f>
        <v>18274.513848755658</v>
      </c>
      <c r="H252" s="2906">
        <f t="shared" si="26"/>
        <v>11819.252851721889</v>
      </c>
      <c r="I252" s="2906">
        <f t="shared" si="26"/>
        <v>6455.2609970337671</v>
      </c>
      <c r="J252" s="874">
        <f t="shared" si="26"/>
        <v>0</v>
      </c>
      <c r="K252" s="872">
        <f t="shared" si="26"/>
        <v>0</v>
      </c>
      <c r="L252" s="872">
        <f t="shared" si="26"/>
        <v>0</v>
      </c>
      <c r="M252" s="874">
        <f t="shared" si="26"/>
        <v>18274.513848755658</v>
      </c>
      <c r="N252" s="872">
        <f t="shared" si="26"/>
        <v>11819.252851721889</v>
      </c>
      <c r="O252" s="873">
        <f t="shared" si="26"/>
        <v>6455.2609970337671</v>
      </c>
    </row>
    <row r="253" spans="3:15">
      <c r="C253" s="365">
        <v>16</v>
      </c>
      <c r="D253" s="33"/>
      <c r="E253" s="62" t="s">
        <v>2360</v>
      </c>
      <c r="F253" s="290"/>
      <c r="G253" s="2907"/>
      <c r="H253" s="2908"/>
      <c r="I253" s="2908"/>
      <c r="J253" s="2907"/>
      <c r="K253" s="538"/>
      <c r="L253" s="538"/>
      <c r="M253" s="2907"/>
      <c r="N253" s="538"/>
      <c r="O253" s="2565"/>
    </row>
    <row r="254" spans="3:15">
      <c r="C254" s="365">
        <v>17</v>
      </c>
      <c r="D254" s="33"/>
      <c r="E254" s="531" t="s">
        <v>2491</v>
      </c>
      <c r="F254" s="290"/>
      <c r="G254" s="2909"/>
      <c r="H254" s="2910"/>
      <c r="I254" s="2911"/>
      <c r="J254" s="2912"/>
      <c r="K254" s="46"/>
      <c r="L254" s="2569"/>
      <c r="M254" s="2912"/>
      <c r="N254" s="46"/>
      <c r="O254" s="2569"/>
    </row>
    <row r="255" spans="3:15">
      <c r="C255" s="365">
        <v>18</v>
      </c>
      <c r="D255" s="33" t="s">
        <v>4468</v>
      </c>
      <c r="E255" t="s">
        <v>4315</v>
      </c>
      <c r="F255" s="290" t="s">
        <v>4448</v>
      </c>
      <c r="G255" s="620">
        <f>+SUMIFS('Labor Input'!C:C,'Labor Input'!G:G,'Labor O&amp;M'!D255)/1000</f>
        <v>0</v>
      </c>
      <c r="H255" s="764">
        <f>+IF('Prod O&amp;M'!G61&lt;&gt;0,('Prod O&amp;M'!H61/'Prod O&amp;M'!G61)*'Labor O&amp;M'!G255,0)</f>
        <v>0</v>
      </c>
      <c r="I255" s="764">
        <f>+IF('Prod O&amp;M'!G61&lt;&gt;0,('Prod O&amp;M'!I61/'Prod O&amp;M'!G61)*'Labor O&amp;M'!G255,0)</f>
        <v>0</v>
      </c>
      <c r="J255" s="891">
        <f t="shared" ref="J255:J263" si="27">+SUM(K255:L255)</f>
        <v>0</v>
      </c>
      <c r="K255" s="445">
        <f t="shared" ref="K255:K263" si="28">+H255*$K$234</f>
        <v>0</v>
      </c>
      <c r="L255" s="2905">
        <f t="shared" ref="L255:L263" si="29">+I255*$L$234</f>
        <v>0</v>
      </c>
      <c r="M255" s="891">
        <f t="shared" ref="M255:M263" si="30">+G255-J255</f>
        <v>0</v>
      </c>
      <c r="N255" s="513">
        <f t="shared" ref="N255:N263" si="31">+H255-K255</f>
        <v>0</v>
      </c>
      <c r="O255" s="892">
        <f t="shared" ref="O255:O263" si="32">+I255-L255</f>
        <v>0</v>
      </c>
    </row>
    <row r="256" spans="3:15">
      <c r="C256" s="365">
        <v>19</v>
      </c>
      <c r="D256" s="33" t="s">
        <v>4469</v>
      </c>
      <c r="E256" t="s">
        <v>4470</v>
      </c>
      <c r="F256" s="290" t="s">
        <v>4448</v>
      </c>
      <c r="G256" s="620">
        <f>+SUMIFS('Labor Input'!C:C,'Labor Input'!G:G,'Labor O&amp;M'!D256)/1000</f>
        <v>9743.8309216275939</v>
      </c>
      <c r="H256" s="764">
        <f>+IF('Prod O&amp;M'!G62&lt;&gt;0,('Prod O&amp;M'!H62/'Prod O&amp;M'!G62)*'Labor O&amp;M'!G256,0)</f>
        <v>9743.8309216275939</v>
      </c>
      <c r="I256" s="764">
        <f>+IF('Prod O&amp;M'!G62&lt;&gt;0,('Prod O&amp;M'!I62/'Prod O&amp;M'!G62)*'Labor O&amp;M'!G256,0)</f>
        <v>0</v>
      </c>
      <c r="J256" s="891">
        <f t="shared" si="27"/>
        <v>0</v>
      </c>
      <c r="K256" s="445">
        <f t="shared" si="28"/>
        <v>0</v>
      </c>
      <c r="L256" s="2905">
        <f t="shared" si="29"/>
        <v>0</v>
      </c>
      <c r="M256" s="891">
        <f t="shared" si="30"/>
        <v>9743.8309216275939</v>
      </c>
      <c r="N256" s="513">
        <f t="shared" si="31"/>
        <v>9743.8309216275939</v>
      </c>
      <c r="O256" s="892">
        <f t="shared" si="32"/>
        <v>0</v>
      </c>
    </row>
    <row r="257" spans="3:15">
      <c r="C257" s="365">
        <v>20</v>
      </c>
      <c r="D257" s="33" t="s">
        <v>4471</v>
      </c>
      <c r="E257" t="s">
        <v>4472</v>
      </c>
      <c r="F257" s="290" t="s">
        <v>4448</v>
      </c>
      <c r="G257" s="620">
        <f>+SUMIFS('Labor Input'!C:C,'Labor Input'!G:G,'Labor O&amp;M'!D257)/1000</f>
        <v>3108.5043455310074</v>
      </c>
      <c r="H257" s="764">
        <f>+IF('Prod O&amp;M'!G63&lt;&gt;0,('Prod O&amp;M'!H63/'Prod O&amp;M'!G63)*'Labor O&amp;M'!G257,0)</f>
        <v>3108.5043455310074</v>
      </c>
      <c r="I257" s="764">
        <f>+IF('Prod O&amp;M'!G63&lt;&gt;0,('Prod O&amp;M'!I63/'Prod O&amp;M'!G63)*'Labor O&amp;M'!G257,0)</f>
        <v>0</v>
      </c>
      <c r="J257" s="891">
        <f t="shared" si="27"/>
        <v>0</v>
      </c>
      <c r="K257" s="445">
        <f t="shared" si="28"/>
        <v>0</v>
      </c>
      <c r="L257" s="2905">
        <f t="shared" si="29"/>
        <v>0</v>
      </c>
      <c r="M257" s="891">
        <f t="shared" si="30"/>
        <v>3108.5043455310074</v>
      </c>
      <c r="N257" s="513">
        <f t="shared" si="31"/>
        <v>3108.5043455310074</v>
      </c>
      <c r="O257" s="892">
        <f t="shared" si="32"/>
        <v>0</v>
      </c>
    </row>
    <row r="258" spans="3:15">
      <c r="C258" s="365">
        <v>21</v>
      </c>
      <c r="D258" s="33" t="s">
        <v>4473</v>
      </c>
      <c r="E258" t="s">
        <v>4270</v>
      </c>
      <c r="F258" s="290" t="s">
        <v>4067</v>
      </c>
      <c r="G258" s="620">
        <f>+SUMIFS('Labor Input'!C:C,'Labor Input'!G:G,'Labor O&amp;M'!D258)/1000</f>
        <v>0</v>
      </c>
      <c r="H258" s="764">
        <f>+IF('Prod O&amp;M'!G64&lt;&gt;0,('Prod O&amp;M'!H64/'Prod O&amp;M'!G64)*'Labor O&amp;M'!G258,0)</f>
        <v>0</v>
      </c>
      <c r="I258" s="764">
        <f>+IF('Prod O&amp;M'!G64&lt;&gt;0,('Prod O&amp;M'!I64/'Prod O&amp;M'!G64)*'Labor O&amp;M'!G258,0)</f>
        <v>0</v>
      </c>
      <c r="J258" s="891">
        <f t="shared" si="27"/>
        <v>0</v>
      </c>
      <c r="K258" s="445">
        <f t="shared" si="28"/>
        <v>0</v>
      </c>
      <c r="L258" s="2905">
        <f t="shared" si="29"/>
        <v>0</v>
      </c>
      <c r="M258" s="891">
        <f t="shared" si="30"/>
        <v>0</v>
      </c>
      <c r="N258" s="513">
        <f t="shared" si="31"/>
        <v>0</v>
      </c>
      <c r="O258" s="892">
        <f t="shared" si="32"/>
        <v>0</v>
      </c>
    </row>
    <row r="259" spans="3:15">
      <c r="C259" s="365">
        <v>22</v>
      </c>
      <c r="D259" s="33" t="s">
        <v>4474</v>
      </c>
      <c r="E259" t="s">
        <v>4457</v>
      </c>
      <c r="F259" s="290" t="s">
        <v>2067</v>
      </c>
      <c r="G259" s="620">
        <f>+SUMIFS('Labor Input'!C:C,'Labor Input'!G:G,'Labor O&amp;M'!D259)/1000</f>
        <v>0</v>
      </c>
      <c r="H259" s="764">
        <f>+IF('Prod O&amp;M'!G65&lt;&gt;0,('Prod O&amp;M'!H65/'Prod O&amp;M'!G65)*'Labor O&amp;M'!G259,0)</f>
        <v>0</v>
      </c>
      <c r="I259" s="764">
        <f>+IF('Prod O&amp;M'!G65&lt;&gt;0,('Prod O&amp;M'!I65/'Prod O&amp;M'!G65)*'Labor O&amp;M'!G259,0)</f>
        <v>0</v>
      </c>
      <c r="J259" s="891">
        <f t="shared" si="27"/>
        <v>0</v>
      </c>
      <c r="K259" s="445">
        <f t="shared" si="28"/>
        <v>0</v>
      </c>
      <c r="L259" s="2905">
        <f t="shared" si="29"/>
        <v>0</v>
      </c>
      <c r="M259" s="891">
        <f t="shared" si="30"/>
        <v>0</v>
      </c>
      <c r="N259" s="513">
        <f t="shared" si="31"/>
        <v>0</v>
      </c>
      <c r="O259" s="892">
        <f t="shared" si="32"/>
        <v>0</v>
      </c>
    </row>
    <row r="260" spans="3:15">
      <c r="C260" s="365">
        <v>23</v>
      </c>
      <c r="D260" s="33" t="s">
        <v>4475</v>
      </c>
      <c r="E260" t="s">
        <v>4476</v>
      </c>
      <c r="F260" s="290" t="s">
        <v>2067</v>
      </c>
      <c r="G260" s="620">
        <f>+SUMIFS('Labor Input'!C:C,'Labor Input'!G:G,'Labor O&amp;M'!D260)/1000</f>
        <v>1878.5197654972094</v>
      </c>
      <c r="H260" s="764">
        <f>+IF('Prod O&amp;M'!G66&lt;&gt;0,('Prod O&amp;M'!H66/'Prod O&amp;M'!G66)*'Labor O&amp;M'!G260,0)</f>
        <v>0</v>
      </c>
      <c r="I260" s="764">
        <f>+IF('Prod O&amp;M'!G66&lt;&gt;0,('Prod O&amp;M'!I66/'Prod O&amp;M'!G66)*'Labor O&amp;M'!G260,0)</f>
        <v>1878.5197654972094</v>
      </c>
      <c r="J260" s="891">
        <f t="shared" si="27"/>
        <v>0</v>
      </c>
      <c r="K260" s="445">
        <f t="shared" si="28"/>
        <v>0</v>
      </c>
      <c r="L260" s="2905">
        <f t="shared" si="29"/>
        <v>0</v>
      </c>
      <c r="M260" s="891">
        <f t="shared" si="30"/>
        <v>1878.5197654972094</v>
      </c>
      <c r="N260" s="513">
        <f t="shared" si="31"/>
        <v>0</v>
      </c>
      <c r="O260" s="892">
        <f t="shared" si="32"/>
        <v>1878.5197654972094</v>
      </c>
    </row>
    <row r="261" spans="3:15">
      <c r="C261" s="365">
        <v>24</v>
      </c>
      <c r="D261" s="33" t="s">
        <v>4477</v>
      </c>
      <c r="E261" t="s">
        <v>4478</v>
      </c>
      <c r="F261" s="290" t="s">
        <v>4448</v>
      </c>
      <c r="G261" s="620">
        <f>+SUMIFS('Labor Input'!C:C,'Labor Input'!G:G,'Labor O&amp;M'!D261)/1000</f>
        <v>6454.5782426973656</v>
      </c>
      <c r="H261" s="764">
        <f>+IF('Prod O&amp;M'!G67&lt;&gt;0,('Prod O&amp;M'!H67/'Prod O&amp;M'!G67)*'Labor O&amp;M'!G261,0)</f>
        <v>6333.8528488164256</v>
      </c>
      <c r="I261" s="764">
        <f>+IF('Prod O&amp;M'!G67&lt;&gt;0,('Prod O&amp;M'!I67/'Prod O&amp;M'!G67)*'Labor O&amp;M'!G261,0)</f>
        <v>120.72539388093973</v>
      </c>
      <c r="J261" s="891">
        <f t="shared" si="27"/>
        <v>0</v>
      </c>
      <c r="K261" s="445">
        <f t="shared" si="28"/>
        <v>0</v>
      </c>
      <c r="L261" s="2905">
        <f t="shared" si="29"/>
        <v>0</v>
      </c>
      <c r="M261" s="891">
        <f t="shared" si="30"/>
        <v>6454.5782426973656</v>
      </c>
      <c r="N261" s="513">
        <f t="shared" si="31"/>
        <v>6333.8528488164256</v>
      </c>
      <c r="O261" s="892">
        <f t="shared" si="32"/>
        <v>120.72539388093973</v>
      </c>
    </row>
    <row r="262" spans="3:15">
      <c r="C262" s="365">
        <v>25</v>
      </c>
      <c r="D262" s="33" t="s">
        <v>4479</v>
      </c>
      <c r="E262" t="s">
        <v>4480</v>
      </c>
      <c r="F262" s="290" t="s">
        <v>2067</v>
      </c>
      <c r="G262" s="620">
        <f>+SUMIFS('Labor Input'!C:C,'Labor Input'!G:G,'Labor O&amp;M'!D262)/1000</f>
        <v>82.373272272868206</v>
      </c>
      <c r="H262" s="764">
        <f>+IF('Prod O&amp;M'!G68&lt;&gt;0,('Prod O&amp;M'!H68/'Prod O&amp;M'!G68)*'Labor O&amp;M'!G262,0)</f>
        <v>0</v>
      </c>
      <c r="I262" s="764">
        <f>+IF('Prod O&amp;M'!G68&lt;&gt;0,('Prod O&amp;M'!I68/'Prod O&amp;M'!G68)*'Labor O&amp;M'!G262,0)</f>
        <v>82.373272272868206</v>
      </c>
      <c r="J262" s="891">
        <f t="shared" si="27"/>
        <v>0</v>
      </c>
      <c r="K262" s="445">
        <f t="shared" si="28"/>
        <v>0</v>
      </c>
      <c r="L262" s="2905">
        <f t="shared" si="29"/>
        <v>0</v>
      </c>
      <c r="M262" s="891">
        <f t="shared" si="30"/>
        <v>82.373272272868206</v>
      </c>
      <c r="N262" s="513">
        <f t="shared" si="31"/>
        <v>0</v>
      </c>
      <c r="O262" s="892">
        <f t="shared" si="32"/>
        <v>82.373272272868206</v>
      </c>
    </row>
    <row r="263" spans="3:15">
      <c r="C263" s="365">
        <v>26</v>
      </c>
      <c r="D263" s="33" t="s">
        <v>4481</v>
      </c>
      <c r="E263" t="s">
        <v>4482</v>
      </c>
      <c r="F263" s="290" t="s">
        <v>4067</v>
      </c>
      <c r="G263" s="620">
        <f>+SUMIFS('Labor Input'!C:C,'Labor Input'!G:G,'Labor O&amp;M'!D263)/1000</f>
        <v>-990.19936521046509</v>
      </c>
      <c r="H263" s="764">
        <f>+IF('Prod O&amp;M'!G69&lt;&gt;0,('Prod O&amp;M'!H69/'Prod O&amp;M'!G69)*'Labor O&amp;M'!G263,0)</f>
        <v>-990.19936521046509</v>
      </c>
      <c r="I263" s="764">
        <f>+IF('Prod O&amp;M'!G69&lt;&gt;0,('Prod O&amp;M'!I69/'Prod O&amp;M'!G69)*'Labor O&amp;M'!G263,0)</f>
        <v>0</v>
      </c>
      <c r="J263" s="891">
        <f t="shared" si="27"/>
        <v>0</v>
      </c>
      <c r="K263" s="445">
        <f t="shared" si="28"/>
        <v>0</v>
      </c>
      <c r="L263" s="2905">
        <f t="shared" si="29"/>
        <v>0</v>
      </c>
      <c r="M263" s="891">
        <f t="shared" si="30"/>
        <v>-990.19936521046509</v>
      </c>
      <c r="N263" s="513">
        <f t="shared" si="31"/>
        <v>-990.19936521046509</v>
      </c>
      <c r="O263" s="892">
        <f t="shared" si="32"/>
        <v>0</v>
      </c>
    </row>
    <row r="264" spans="3:15">
      <c r="C264" s="365">
        <v>27</v>
      </c>
      <c r="E264" s="96" t="s">
        <v>4483</v>
      </c>
      <c r="G264" s="2913">
        <f t="shared" ref="G264:O264" si="33">+SUM(G255:G263)</f>
        <v>20277.607182415581</v>
      </c>
      <c r="H264" s="917">
        <f t="shared" si="33"/>
        <v>18195.988750764562</v>
      </c>
      <c r="I264" s="2825">
        <f t="shared" si="33"/>
        <v>2081.6184316510171</v>
      </c>
      <c r="J264" s="2913">
        <f t="shared" si="33"/>
        <v>0</v>
      </c>
      <c r="K264" s="917">
        <f t="shared" si="33"/>
        <v>0</v>
      </c>
      <c r="L264" s="2825">
        <f t="shared" si="33"/>
        <v>0</v>
      </c>
      <c r="M264" s="2913">
        <f t="shared" si="33"/>
        <v>20277.607182415581</v>
      </c>
      <c r="N264" s="917">
        <f t="shared" si="33"/>
        <v>18195.988750764562</v>
      </c>
      <c r="O264" s="2825">
        <f t="shared" si="33"/>
        <v>2081.6184316510171</v>
      </c>
    </row>
    <row r="265" spans="3:15">
      <c r="C265" s="365">
        <v>28</v>
      </c>
      <c r="G265" s="891"/>
      <c r="H265" s="513"/>
      <c r="I265" s="892"/>
      <c r="J265" s="891"/>
      <c r="K265" s="513"/>
      <c r="L265" s="892"/>
      <c r="M265" s="891"/>
      <c r="N265" s="513"/>
      <c r="O265" s="892"/>
    </row>
    <row r="266" spans="3:15">
      <c r="C266" s="365">
        <v>29</v>
      </c>
      <c r="E266" s="96" t="s">
        <v>4484</v>
      </c>
      <c r="G266" s="2914">
        <f t="shared" ref="G266:O266" si="34">+G252+G264</f>
        <v>38552.121031171235</v>
      </c>
      <c r="H266" s="506">
        <f t="shared" si="34"/>
        <v>30015.241602486451</v>
      </c>
      <c r="I266" s="2915">
        <f t="shared" si="34"/>
        <v>8536.8794286847842</v>
      </c>
      <c r="J266" s="2914">
        <f t="shared" si="34"/>
        <v>0</v>
      </c>
      <c r="K266" s="506">
        <f t="shared" si="34"/>
        <v>0</v>
      </c>
      <c r="L266" s="2915">
        <f t="shared" si="34"/>
        <v>0</v>
      </c>
      <c r="M266" s="2914">
        <f t="shared" si="34"/>
        <v>38552.121031171235</v>
      </c>
      <c r="N266" s="506">
        <f t="shared" si="34"/>
        <v>30015.241602486451</v>
      </c>
      <c r="O266" s="2915">
        <f t="shared" si="34"/>
        <v>8536.8794286847842</v>
      </c>
    </row>
    <row r="267" spans="3:15">
      <c r="C267" s="365">
        <v>30</v>
      </c>
      <c r="E267" s="62"/>
      <c r="G267" s="46"/>
      <c r="H267" s="46"/>
      <c r="I267" s="46"/>
      <c r="J267" s="2381"/>
      <c r="K267" s="2381"/>
      <c r="L267" s="2381"/>
      <c r="M267" s="2381"/>
      <c r="N267" s="2381"/>
      <c r="O267" s="2855"/>
    </row>
    <row r="268" spans="3:15" ht="15" thickBot="1">
      <c r="C268" s="365">
        <v>31</v>
      </c>
      <c r="E268" s="35"/>
      <c r="F268" s="32"/>
      <c r="G268" s="2387"/>
      <c r="H268" s="2387"/>
      <c r="I268" s="2387"/>
      <c r="J268" s="2877"/>
      <c r="K268" s="2877"/>
      <c r="L268" s="2877"/>
      <c r="M268" s="2877"/>
      <c r="N268" s="2381"/>
      <c r="O268" s="2855"/>
    </row>
    <row r="269" spans="3:15">
      <c r="C269" s="365">
        <v>32</v>
      </c>
      <c r="E269" s="2799" t="s">
        <v>4485</v>
      </c>
      <c r="F269" s="2800"/>
      <c r="G269" s="2916"/>
      <c r="H269" s="2802" t="s">
        <v>4486</v>
      </c>
      <c r="I269" s="2802" t="s">
        <v>4486</v>
      </c>
      <c r="J269" s="2852"/>
      <c r="K269" s="2852"/>
      <c r="L269" s="2852"/>
      <c r="M269" s="2917"/>
      <c r="N269" s="2381"/>
      <c r="O269" s="2855"/>
    </row>
    <row r="270" spans="3:15">
      <c r="C270" s="365">
        <v>33</v>
      </c>
      <c r="E270" s="98" t="s">
        <v>4487</v>
      </c>
      <c r="G270" s="48" t="s">
        <v>122</v>
      </c>
      <c r="H270" s="290" t="s">
        <v>2623</v>
      </c>
      <c r="I270" s="290" t="s">
        <v>2624</v>
      </c>
      <c r="J270" s="2381"/>
      <c r="K270" s="2381"/>
      <c r="L270" s="2381"/>
      <c r="M270" s="2854"/>
      <c r="N270" s="2381"/>
      <c r="O270" s="2855"/>
    </row>
    <row r="271" spans="3:15">
      <c r="C271" s="365">
        <v>34</v>
      </c>
      <c r="E271" s="98" t="s">
        <v>4488</v>
      </c>
      <c r="G271" s="46">
        <f>+'Prod O&amp;M'!G76</f>
        <v>27218.5748756387</v>
      </c>
      <c r="H271" s="46">
        <f>+'Prod O&amp;M'!H76</f>
        <v>3809.8985669689</v>
      </c>
      <c r="I271" s="46">
        <f>+'Prod O&amp;M'!I76</f>
        <v>23408.676308669801</v>
      </c>
      <c r="J271" s="2381"/>
      <c r="K271" s="2381"/>
      <c r="L271" s="2381"/>
      <c r="M271" s="2854"/>
      <c r="N271" s="2381"/>
      <c r="O271" s="2855"/>
    </row>
    <row r="272" spans="3:15" ht="15" thickBot="1">
      <c r="C272" s="365">
        <v>35</v>
      </c>
      <c r="E272" s="2803" t="s">
        <v>4489</v>
      </c>
      <c r="F272" s="41" t="s">
        <v>4458</v>
      </c>
      <c r="G272" s="2805">
        <f>+SUM(H272:I272)</f>
        <v>1</v>
      </c>
      <c r="H272" s="2805">
        <f>+'Prod O&amp;M'!H77</f>
        <v>0.13997421188935405</v>
      </c>
      <c r="I272" s="2805">
        <f>+'Prod O&amp;M'!I77</f>
        <v>0.86002578811064601</v>
      </c>
      <c r="J272" s="2877"/>
      <c r="K272" s="2877"/>
      <c r="L272" s="2877"/>
      <c r="M272" s="2918"/>
      <c r="N272" s="2381"/>
      <c r="O272" s="2855"/>
    </row>
    <row r="273" spans="3:15">
      <c r="C273" s="462"/>
      <c r="D273" s="297"/>
      <c r="E273" s="297"/>
      <c r="F273" s="297"/>
      <c r="G273" s="297"/>
      <c r="H273" s="297"/>
      <c r="I273" s="297"/>
      <c r="J273" s="1568"/>
      <c r="K273" s="1568"/>
      <c r="L273" s="1568"/>
      <c r="M273" s="1568"/>
      <c r="N273" s="1568"/>
      <c r="O273" s="2507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honeticPr fontId="13" type="noConversion"/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theme="2" tint="-0.499984740745262"/>
  </sheetPr>
  <dimension ref="C2:AA273"/>
  <sheetViews>
    <sheetView tabSelected="1" showOutlineSymbols="0" workbookViewId="0"/>
  </sheetViews>
  <sheetFormatPr defaultRowHeight="14.4"/>
  <cols>
    <col min="3" max="3" width="27.33203125" customWidth="1"/>
    <col min="4" max="4" width="14.6640625" customWidth="1"/>
    <col min="5" max="5" width="38.44140625" customWidth="1"/>
    <col min="6" max="6" width="15.44140625" bestFit="1" customWidth="1"/>
    <col min="7" max="7" width="15.6640625" bestFit="1" customWidth="1"/>
    <col min="8" max="8" width="13.33203125" bestFit="1" customWidth="1"/>
    <col min="9" max="9" width="11.88671875" bestFit="1" customWidth="1"/>
    <col min="10" max="10" width="36.6640625" customWidth="1"/>
    <col min="11" max="11" width="14.44140625" bestFit="1" customWidth="1"/>
    <col min="12" max="12" width="10.5546875" bestFit="1" customWidth="1"/>
    <col min="13" max="13" width="10.33203125" bestFit="1" customWidth="1"/>
    <col min="14" max="14" width="11" customWidth="1"/>
    <col min="16" max="16" width="10.33203125" bestFit="1" customWidth="1"/>
    <col min="17" max="17" width="11" bestFit="1" customWidth="1"/>
    <col min="20" max="20" width="10.33203125" bestFit="1" customWidth="1"/>
  </cols>
  <sheetData>
    <row r="2" spans="3:7">
      <c r="C2" s="1962" t="s">
        <v>116</v>
      </c>
    </row>
    <row r="3" spans="3:7" ht="15" thickBot="1">
      <c r="C3" s="1962"/>
    </row>
    <row r="4" spans="3:7" ht="15" thickBot="1">
      <c r="C4" s="2806" t="s">
        <v>35</v>
      </c>
      <c r="D4" s="2514" t="s">
        <v>4536</v>
      </c>
    </row>
    <row r="5" spans="3:7">
      <c r="C5" s="2806" t="s">
        <v>4490</v>
      </c>
      <c r="D5" s="2807">
        <v>3672087.8731209002</v>
      </c>
    </row>
    <row r="6" spans="3:7">
      <c r="C6" s="117" t="s">
        <v>6892</v>
      </c>
      <c r="D6" s="2705">
        <f>+'Prod O&amp;M'!G4</f>
        <v>0</v>
      </c>
    </row>
    <row r="7" spans="3:7">
      <c r="C7" s="117" t="s">
        <v>6893</v>
      </c>
      <c r="D7" s="2705">
        <f>+'Prod O&amp;M'!G5</f>
        <v>0</v>
      </c>
    </row>
    <row r="8" spans="3:7">
      <c r="C8" s="117" t="s">
        <v>6894</v>
      </c>
      <c r="D8" s="2705">
        <f>+'Prod O&amp;M'!G6</f>
        <v>0</v>
      </c>
    </row>
    <row r="9" spans="3:7">
      <c r="C9" s="117" t="s">
        <v>6895</v>
      </c>
      <c r="D9" s="2705">
        <f>+'Prod O&amp;M'!G7</f>
        <v>0</v>
      </c>
    </row>
    <row r="10" spans="3:7">
      <c r="C10" s="117" t="s">
        <v>6896</v>
      </c>
      <c r="D10" s="2255">
        <v>0</v>
      </c>
    </row>
    <row r="11" spans="3:7" ht="15" thickBot="1">
      <c r="C11" s="2515" t="s">
        <v>6897</v>
      </c>
      <c r="D11" s="2648">
        <v>0</v>
      </c>
    </row>
    <row r="12" spans="3:7">
      <c r="C12" s="50"/>
      <c r="D12" s="2301"/>
    </row>
    <row r="13" spans="3:7">
      <c r="C13" s="50"/>
      <c r="D13" s="2301"/>
    </row>
    <row r="14" spans="3:7">
      <c r="C14" s="352" t="s">
        <v>2173</v>
      </c>
      <c r="D14" s="518"/>
      <c r="E14" s="294"/>
      <c r="F14" s="460"/>
    </row>
    <row r="15" spans="3:7">
      <c r="C15" s="353" t="s">
        <v>4491</v>
      </c>
      <c r="D15" s="62"/>
      <c r="F15" s="296"/>
      <c r="G15" s="62"/>
    </row>
    <row r="16" spans="3:7">
      <c r="C16" s="2552" t="s">
        <v>9263</v>
      </c>
      <c r="D16" s="2262"/>
      <c r="E16" s="1962"/>
      <c r="F16" s="296"/>
      <c r="G16" s="62"/>
    </row>
    <row r="17" spans="3:12">
      <c r="C17" s="357"/>
      <c r="F17" s="296"/>
    </row>
    <row r="18" spans="3:12">
      <c r="C18" s="352" t="s">
        <v>4492</v>
      </c>
      <c r="D18" s="518"/>
      <c r="E18" s="294"/>
      <c r="F18" s="460"/>
      <c r="J18" s="352" t="s">
        <v>4493</v>
      </c>
      <c r="K18" s="294"/>
      <c r="L18" s="460"/>
    </row>
    <row r="19" spans="3:12">
      <c r="C19" s="769"/>
      <c r="D19" s="514"/>
      <c r="E19" s="514"/>
      <c r="F19" s="2518"/>
      <c r="G19" s="62"/>
      <c r="J19" s="769" t="s">
        <v>4494</v>
      </c>
      <c r="K19" s="297"/>
      <c r="L19" s="298"/>
    </row>
    <row r="20" spans="3:12">
      <c r="C20" s="520" t="s">
        <v>4495</v>
      </c>
      <c r="D20" s="2808" t="s">
        <v>4496</v>
      </c>
      <c r="E20" s="2808" t="s">
        <v>4497</v>
      </c>
      <c r="F20" s="2809"/>
      <c r="J20" s="520" t="s">
        <v>4495</v>
      </c>
      <c r="K20" s="2808" t="s">
        <v>4496</v>
      </c>
      <c r="L20" s="2809" t="s">
        <v>4497</v>
      </c>
    </row>
    <row r="21" spans="3:12">
      <c r="C21" s="354" t="s">
        <v>2175</v>
      </c>
      <c r="D21" s="355" t="s">
        <v>2176</v>
      </c>
      <c r="E21" s="355" t="s">
        <v>2177</v>
      </c>
      <c r="F21" s="356"/>
      <c r="J21" s="354" t="s">
        <v>2175</v>
      </c>
      <c r="K21" s="355" t="s">
        <v>2176</v>
      </c>
      <c r="L21" s="356" t="s">
        <v>2177</v>
      </c>
    </row>
    <row r="22" spans="3:12">
      <c r="C22" s="2810" t="s">
        <v>4498</v>
      </c>
      <c r="D22" s="644">
        <f>+I108+H266</f>
        <v>32335.923285079385</v>
      </c>
      <c r="E22" s="877">
        <f>+D22/$D$30</f>
        <v>0.33393991748117813</v>
      </c>
      <c r="F22" s="903"/>
      <c r="J22" s="2811" t="s">
        <v>2246</v>
      </c>
      <c r="K22" s="2812">
        <f t="shared" ref="K22:K27" si="0">+D24</f>
        <v>1370.2007609755603</v>
      </c>
      <c r="L22" s="2813">
        <f t="shared" ref="L22:L27" si="1">+K22/$K$28</f>
        <v>2.448590386845511E-2</v>
      </c>
    </row>
    <row r="23" spans="3:12">
      <c r="C23" s="2810" t="s">
        <v>2255</v>
      </c>
      <c r="D23" s="42">
        <f>+I266</f>
        <v>8536.8794286847842</v>
      </c>
      <c r="E23" s="877">
        <f t="shared" ref="E23:E29" si="2">+D23/$D$30</f>
        <v>8.8162159058473452E-2</v>
      </c>
      <c r="F23" s="903"/>
      <c r="J23" s="2810" t="s">
        <v>2247</v>
      </c>
      <c r="K23" s="2662">
        <f t="shared" si="0"/>
        <v>3852.3647224962351</v>
      </c>
      <c r="L23" s="2814">
        <f t="shared" si="1"/>
        <v>6.8842927947368918E-2</v>
      </c>
    </row>
    <row r="24" spans="3:12">
      <c r="C24" s="2810" t="s">
        <v>4499</v>
      </c>
      <c r="D24" s="2815">
        <f>+J108+M108</f>
        <v>1370.2007609755603</v>
      </c>
      <c r="E24" s="877">
        <f t="shared" si="2"/>
        <v>1.4150352999629922E-2</v>
      </c>
      <c r="F24" s="2816"/>
      <c r="J24" s="2810" t="s">
        <v>2249</v>
      </c>
      <c r="K24" s="2662">
        <f t="shared" si="0"/>
        <v>18918.831650768243</v>
      </c>
      <c r="L24" s="2814">
        <f t="shared" si="1"/>
        <v>0.33808526917936793</v>
      </c>
    </row>
    <row r="25" spans="3:12">
      <c r="C25" s="2810" t="s">
        <v>2247</v>
      </c>
      <c r="D25" s="42">
        <f>+G108-I108-J108-M108</f>
        <v>3852.3647224962351</v>
      </c>
      <c r="E25" s="877">
        <f t="shared" si="2"/>
        <v>3.9784185105714888E-2</v>
      </c>
      <c r="F25" s="903"/>
      <c r="J25" s="2810" t="s">
        <v>2250</v>
      </c>
      <c r="K25" s="2662">
        <f t="shared" si="0"/>
        <v>3263.6378967904961</v>
      </c>
      <c r="L25" s="2814">
        <f t="shared" si="1"/>
        <v>5.8322200715581481E-2</v>
      </c>
    </row>
    <row r="26" spans="3:12">
      <c r="C26" s="2810" t="s">
        <v>2249</v>
      </c>
      <c r="D26" s="2815">
        <f>+H157+J157+O157+T157</f>
        <v>18918.831650768243</v>
      </c>
      <c r="E26" s="877">
        <f t="shared" si="2"/>
        <v>0.1953787750112897</v>
      </c>
      <c r="F26" s="2816"/>
      <c r="J26" s="2810" t="s">
        <v>2256</v>
      </c>
      <c r="K26" s="2662">
        <f t="shared" si="0"/>
        <v>12127.177467594054</v>
      </c>
      <c r="L26" s="2814">
        <f t="shared" si="1"/>
        <v>0.21671634560747363</v>
      </c>
    </row>
    <row r="27" spans="3:12">
      <c r="C27" s="2810" t="s">
        <v>2250</v>
      </c>
      <c r="D27" s="2815">
        <f>+L157+Q157+V157</f>
        <v>3263.6378967904961</v>
      </c>
      <c r="E27" s="877">
        <f t="shared" si="2"/>
        <v>3.3704278685172187E-2</v>
      </c>
      <c r="F27" s="2816"/>
      <c r="J27" s="2810" t="s">
        <v>2257</v>
      </c>
      <c r="K27" s="2817">
        <f t="shared" si="0"/>
        <v>16426.545174224604</v>
      </c>
      <c r="L27" s="2814">
        <f t="shared" si="1"/>
        <v>0.2935473526817528</v>
      </c>
    </row>
    <row r="28" spans="3:12">
      <c r="C28" s="2810" t="s">
        <v>2256</v>
      </c>
      <c r="D28" s="2815">
        <f>+I157+K157+M157+N157+P157+R157+S157+U157+W157+X157+Y157+Z157+AA157</f>
        <v>12127.177467594054</v>
      </c>
      <c r="E28" s="877">
        <f t="shared" si="2"/>
        <v>0.12523992610647422</v>
      </c>
      <c r="F28" s="2816"/>
      <c r="J28" s="2415" t="s">
        <v>115</v>
      </c>
      <c r="K28" s="2662">
        <f>+SUM(K22:K27)</f>
        <v>55958.757672849199</v>
      </c>
      <c r="L28" s="2818">
        <f>+SUM(L22:L27)</f>
        <v>0.99999999999999989</v>
      </c>
    </row>
    <row r="29" spans="3:12">
      <c r="C29" s="2810" t="s">
        <v>4500</v>
      </c>
      <c r="D29" s="2819">
        <f>+H67</f>
        <v>16426.545174224604</v>
      </c>
      <c r="E29" s="877">
        <f t="shared" si="2"/>
        <v>0.1696404055520675</v>
      </c>
      <c r="F29" s="2816"/>
      <c r="J29" s="535"/>
      <c r="K29" s="328"/>
      <c r="L29" s="536"/>
    </row>
    <row r="30" spans="3:12">
      <c r="C30" s="2820" t="s">
        <v>115</v>
      </c>
      <c r="D30" s="2821">
        <f>+SUM(D22:D29)</f>
        <v>96831.560386613361</v>
      </c>
      <c r="E30" s="2822">
        <f>+SUM(E22:E29)</f>
        <v>1</v>
      </c>
      <c r="F30" s="2823"/>
      <c r="J30" s="2415" t="s">
        <v>4501</v>
      </c>
      <c r="K30" s="328"/>
      <c r="L30" s="536"/>
    </row>
    <row r="31" spans="3:12">
      <c r="C31" s="357"/>
      <c r="F31" s="296"/>
      <c r="G31" s="844"/>
      <c r="J31" s="2417" t="s">
        <v>4502</v>
      </c>
      <c r="K31" s="546"/>
      <c r="L31" s="547"/>
    </row>
    <row r="32" spans="3:12">
      <c r="C32" s="2415" t="s">
        <v>4503</v>
      </c>
      <c r="D32" s="96"/>
      <c r="E32" s="162"/>
      <c r="F32" s="295"/>
      <c r="G32" s="844"/>
    </row>
    <row r="33" spans="3:8">
      <c r="C33" s="2415" t="s">
        <v>4504</v>
      </c>
      <c r="D33" s="96"/>
      <c r="F33" s="296"/>
      <c r="G33" s="844"/>
    </row>
    <row r="34" spans="3:8">
      <c r="C34" s="616"/>
      <c r="D34" s="297"/>
      <c r="E34" s="530"/>
      <c r="F34" s="2416"/>
    </row>
    <row r="35" spans="3:8">
      <c r="C35" s="50"/>
      <c r="D35" s="2301"/>
    </row>
    <row r="37" spans="3:8">
      <c r="C37" s="352" t="s">
        <v>2173</v>
      </c>
      <c r="D37" s="518"/>
      <c r="E37" s="518"/>
      <c r="F37" s="518"/>
      <c r="G37" s="518"/>
      <c r="H37" s="460"/>
    </row>
    <row r="38" spans="3:8">
      <c r="C38" s="353" t="s">
        <v>4213</v>
      </c>
      <c r="D38" s="62"/>
      <c r="E38" s="62"/>
      <c r="F38" s="62"/>
      <c r="G38" s="62"/>
      <c r="H38" s="296"/>
    </row>
    <row r="39" spans="3:8">
      <c r="C39" s="2495" t="s">
        <v>9263</v>
      </c>
      <c r="D39" s="2264"/>
      <c r="E39" s="2264"/>
      <c r="F39" s="2264"/>
      <c r="G39" s="514"/>
      <c r="H39" s="298"/>
    </row>
    <row r="40" spans="3:8">
      <c r="C40" s="353"/>
      <c r="D40" s="62"/>
      <c r="E40" s="62" t="s">
        <v>2477</v>
      </c>
      <c r="F40" s="60"/>
      <c r="G40" s="60"/>
      <c r="H40" s="767" t="s">
        <v>4214</v>
      </c>
    </row>
    <row r="41" spans="3:8">
      <c r="C41" s="363" t="s">
        <v>2182</v>
      </c>
      <c r="D41" s="62"/>
      <c r="E41" s="62"/>
      <c r="F41" s="60" t="s">
        <v>4215</v>
      </c>
      <c r="G41" s="60" t="s">
        <v>4216</v>
      </c>
      <c r="H41" s="767" t="s">
        <v>4215</v>
      </c>
    </row>
    <row r="42" spans="3:8">
      <c r="C42" s="522" t="s">
        <v>3216</v>
      </c>
      <c r="D42" s="77" t="s">
        <v>3174</v>
      </c>
      <c r="E42" s="77" t="s">
        <v>1918</v>
      </c>
      <c r="F42" s="77" t="s">
        <v>111</v>
      </c>
      <c r="G42" s="77" t="s">
        <v>111</v>
      </c>
      <c r="H42" s="364" t="s">
        <v>111</v>
      </c>
    </row>
    <row r="43" spans="3:8">
      <c r="C43" s="354" t="s">
        <v>2175</v>
      </c>
      <c r="D43" s="355" t="s">
        <v>2176</v>
      </c>
      <c r="E43" s="355" t="s">
        <v>2177</v>
      </c>
      <c r="F43" s="355" t="s">
        <v>2178</v>
      </c>
      <c r="G43" s="355" t="s">
        <v>2179</v>
      </c>
      <c r="H43" s="356" t="s">
        <v>2625</v>
      </c>
    </row>
    <row r="44" spans="3:8">
      <c r="C44" s="357"/>
      <c r="H44" s="296"/>
    </row>
    <row r="45" spans="3:8">
      <c r="C45" s="526">
        <v>1</v>
      </c>
      <c r="E45" s="531" t="s">
        <v>4217</v>
      </c>
      <c r="H45" s="296"/>
    </row>
    <row r="46" spans="3:8">
      <c r="C46" s="365">
        <v>2</v>
      </c>
      <c r="D46" s="33" t="s">
        <v>4218</v>
      </c>
      <c r="E46" t="s">
        <v>4219</v>
      </c>
      <c r="F46" s="42">
        <f>+SUMIFS('Labor Input'!C:C,'Labor Input'!A:A,9901000)/1000</f>
        <v>0</v>
      </c>
      <c r="G46" s="2285">
        <v>0</v>
      </c>
      <c r="H46" s="892">
        <f>+F46-G46</f>
        <v>0</v>
      </c>
    </row>
    <row r="47" spans="3:8">
      <c r="C47" s="365">
        <v>3</v>
      </c>
      <c r="D47" s="33" t="s">
        <v>4220</v>
      </c>
      <c r="E47" t="s">
        <v>4221</v>
      </c>
      <c r="F47" s="42">
        <f>+SUMIFS('Labor Input'!C:C,'Labor Input'!A:A,9902000)/1000</f>
        <v>0</v>
      </c>
      <c r="G47" s="2285">
        <v>0</v>
      </c>
      <c r="H47" s="892">
        <f>+F47-G47</f>
        <v>0</v>
      </c>
    </row>
    <row r="48" spans="3:8">
      <c r="C48" s="365">
        <v>4</v>
      </c>
      <c r="D48" s="33" t="s">
        <v>4222</v>
      </c>
      <c r="E48" t="s">
        <v>4223</v>
      </c>
      <c r="F48" s="42">
        <f>+SUMIFS('Labor Input'!C:C,'Labor Input'!A:A,9903000)/1000</f>
        <v>14760.42895844442</v>
      </c>
      <c r="G48" s="2285">
        <v>0</v>
      </c>
      <c r="H48" s="892">
        <f>+F48-G48</f>
        <v>14760.42895844442</v>
      </c>
    </row>
    <row r="49" spans="3:11">
      <c r="C49" s="365">
        <v>5</v>
      </c>
      <c r="D49" s="33" t="s">
        <v>4224</v>
      </c>
      <c r="E49" t="s">
        <v>4225</v>
      </c>
      <c r="F49" s="42">
        <f>+SUMIFS('Labor Input'!C:C,'Labor Input'!A:A,9904000)/1000</f>
        <v>0</v>
      </c>
      <c r="G49" s="2285">
        <v>0</v>
      </c>
      <c r="H49" s="892">
        <f>+F49-G49</f>
        <v>0</v>
      </c>
    </row>
    <row r="50" spans="3:11">
      <c r="C50" s="365">
        <v>6</v>
      </c>
      <c r="D50" s="33" t="s">
        <v>4226</v>
      </c>
      <c r="E50" t="s">
        <v>4227</v>
      </c>
      <c r="F50" s="439">
        <f>+SUMIFS('Labor Input'!C:C,'Labor Input'!A:A,9905000)/1000</f>
        <v>0</v>
      </c>
      <c r="G50" s="2824">
        <v>0</v>
      </c>
      <c r="H50" s="892">
        <f>+F50-G50</f>
        <v>0</v>
      </c>
    </row>
    <row r="51" spans="3:11">
      <c r="C51" s="365">
        <v>7</v>
      </c>
      <c r="D51" s="33"/>
      <c r="E51" t="s">
        <v>4228</v>
      </c>
      <c r="F51" s="506">
        <f>+SUM(F46:F50)</f>
        <v>14760.42895844442</v>
      </c>
      <c r="G51" s="506">
        <f>+SUM(G46:G50)</f>
        <v>0</v>
      </c>
      <c r="H51" s="2825">
        <f>+SUM(H46:H50)</f>
        <v>14760.42895844442</v>
      </c>
    </row>
    <row r="52" spans="3:11">
      <c r="C52" s="365">
        <v>8</v>
      </c>
      <c r="D52" s="33"/>
      <c r="F52" s="46"/>
      <c r="G52" s="46"/>
      <c r="H52" s="2569"/>
    </row>
    <row r="53" spans="3:11">
      <c r="C53" s="365">
        <v>9</v>
      </c>
      <c r="D53" s="33"/>
      <c r="E53" s="531" t="s">
        <v>4229</v>
      </c>
      <c r="F53" s="46"/>
      <c r="G53" s="46"/>
      <c r="H53" s="2569"/>
    </row>
    <row r="54" spans="3:11">
      <c r="C54" s="365">
        <v>10</v>
      </c>
      <c r="D54" s="33" t="s">
        <v>4230</v>
      </c>
      <c r="E54" t="s">
        <v>4219</v>
      </c>
      <c r="F54" s="42">
        <f>+SUMIFS('Labor Input'!C:C,'Labor Input'!A:A,9907000)/1000</f>
        <v>0</v>
      </c>
      <c r="G54" s="2285">
        <v>0</v>
      </c>
      <c r="H54" s="892">
        <f>+F54+G54</f>
        <v>0</v>
      </c>
    </row>
    <row r="55" spans="3:11">
      <c r="C55" s="365">
        <v>11</v>
      </c>
      <c r="D55" s="33" t="s">
        <v>4231</v>
      </c>
      <c r="E55" t="s">
        <v>4232</v>
      </c>
      <c r="F55" s="42">
        <f>+SUMIFS('Labor Input'!C:C,'Labor Input'!A:A,9908000)/1000</f>
        <v>5338.2040889010859</v>
      </c>
      <c r="G55" s="42">
        <f>-D5/1000</f>
        <v>-3672.0878731209004</v>
      </c>
      <c r="H55" s="892">
        <f>+F55+G55</f>
        <v>1666.1162157801855</v>
      </c>
      <c r="J55" s="849"/>
    </row>
    <row r="56" spans="3:11">
      <c r="C56" s="365">
        <v>12</v>
      </c>
      <c r="D56" s="33" t="s">
        <v>4233</v>
      </c>
      <c r="E56" t="s">
        <v>4234</v>
      </c>
      <c r="F56" s="42">
        <f>+SUMIFS('Labor Input'!C:C,'Labor Input'!A:A,9909000)/1000</f>
        <v>0</v>
      </c>
      <c r="G56" s="2285">
        <v>0</v>
      </c>
      <c r="H56" s="892">
        <f>+F56+G56</f>
        <v>0</v>
      </c>
      <c r="J56" s="849"/>
    </row>
    <row r="57" spans="3:11">
      <c r="C57" s="365">
        <v>13</v>
      </c>
      <c r="D57" s="33" t="s">
        <v>4235</v>
      </c>
      <c r="E57" t="s">
        <v>4236</v>
      </c>
      <c r="F57" s="439">
        <f>+SUMIFS('Labor Input'!C:C,'Labor Input'!A:A,9910000)/1000</f>
        <v>0</v>
      </c>
      <c r="G57" s="2824">
        <v>0</v>
      </c>
      <c r="H57" s="892">
        <f>+F57+G57</f>
        <v>0</v>
      </c>
      <c r="J57" s="849"/>
      <c r="K57" s="849"/>
    </row>
    <row r="58" spans="3:11">
      <c r="C58" s="365">
        <v>14</v>
      </c>
      <c r="D58" s="33"/>
      <c r="E58" t="s">
        <v>4228</v>
      </c>
      <c r="F58" s="506">
        <f>+SUM(F54:F57)</f>
        <v>5338.2040889010859</v>
      </c>
      <c r="G58" s="506">
        <f>+SUM(G54:G57)</f>
        <v>-3672.0878731209004</v>
      </c>
      <c r="H58" s="2825">
        <f>+SUM(H54:H57)</f>
        <v>1666.1162157801855</v>
      </c>
      <c r="J58" s="849"/>
      <c r="K58" s="849"/>
    </row>
    <row r="59" spans="3:11">
      <c r="C59" s="365">
        <v>15</v>
      </c>
      <c r="D59" s="33"/>
      <c r="F59" s="513"/>
      <c r="G59" s="513"/>
      <c r="H59" s="892"/>
      <c r="J59" s="96"/>
    </row>
    <row r="60" spans="3:11">
      <c r="C60" s="365">
        <v>16</v>
      </c>
      <c r="D60" s="33"/>
      <c r="E60" s="531" t="s">
        <v>4237</v>
      </c>
      <c r="F60" s="513"/>
      <c r="G60" s="513"/>
      <c r="H60" s="892"/>
      <c r="J60" s="849"/>
    </row>
    <row r="61" spans="3:11">
      <c r="C61" s="365">
        <v>17</v>
      </c>
      <c r="D61" s="33" t="s">
        <v>4238</v>
      </c>
      <c r="E61" t="s">
        <v>4219</v>
      </c>
      <c r="F61" s="42">
        <f>+SUMIFS('Labor Input'!C:C,'Labor Input'!A:A,9911000)/1000</f>
        <v>0</v>
      </c>
      <c r="G61" s="2285">
        <v>0</v>
      </c>
      <c r="H61" s="892">
        <f>+F61+G61</f>
        <v>0</v>
      </c>
      <c r="J61" s="849"/>
    </row>
    <row r="62" spans="3:11">
      <c r="C62" s="365">
        <v>18</v>
      </c>
      <c r="D62" s="33" t="s">
        <v>4239</v>
      </c>
      <c r="E62" t="s">
        <v>4240</v>
      </c>
      <c r="F62" s="42">
        <f>+SUMIFS('Labor Input'!C:C,'Labor Input'!A:A,9912000)/1000</f>
        <v>0</v>
      </c>
      <c r="G62" s="2285">
        <v>0</v>
      </c>
      <c r="H62" s="892">
        <f>+F62+G62</f>
        <v>0</v>
      </c>
      <c r="J62" s="849"/>
    </row>
    <row r="63" spans="3:11">
      <c r="C63" s="365">
        <v>19</v>
      </c>
      <c r="D63" s="33" t="s">
        <v>4241</v>
      </c>
      <c r="E63" t="s">
        <v>4242</v>
      </c>
      <c r="F63" s="42">
        <f>+SUMIFS('Labor Input'!C:C,'Labor Input'!A:A,9913000)/1000</f>
        <v>0</v>
      </c>
      <c r="G63" s="2285">
        <v>0</v>
      </c>
      <c r="H63" s="892">
        <f>+F63+G63</f>
        <v>0</v>
      </c>
    </row>
    <row r="64" spans="3:11">
      <c r="C64" s="365">
        <v>20</v>
      </c>
      <c r="D64" s="33" t="s">
        <v>4243</v>
      </c>
      <c r="E64" t="s">
        <v>4244</v>
      </c>
      <c r="F64" s="439">
        <f>+SUMIFS('Labor Input'!C:C,'Labor Input'!A:A,9914000)/1000</f>
        <v>0</v>
      </c>
      <c r="G64" s="2824">
        <v>0</v>
      </c>
      <c r="H64" s="892">
        <f>+F64+G64</f>
        <v>0</v>
      </c>
    </row>
    <row r="65" spans="3:17">
      <c r="C65" s="365">
        <v>21</v>
      </c>
      <c r="E65" t="s">
        <v>4228</v>
      </c>
      <c r="F65" s="506">
        <f>+SUM(F61:F64)</f>
        <v>0</v>
      </c>
      <c r="G65" s="506">
        <f>+SUM(G61:G64)</f>
        <v>0</v>
      </c>
      <c r="H65" s="2825">
        <f>+SUM(H61:H64)</f>
        <v>0</v>
      </c>
    </row>
    <row r="66" spans="3:17">
      <c r="C66" s="365">
        <v>22</v>
      </c>
      <c r="D66" s="62"/>
      <c r="F66" s="513"/>
      <c r="G66" s="513"/>
      <c r="H66" s="892"/>
    </row>
    <row r="67" spans="3:17" ht="15" thickBot="1">
      <c r="C67" s="365">
        <v>23</v>
      </c>
      <c r="E67" s="96" t="s">
        <v>4245</v>
      </c>
      <c r="F67" s="2826">
        <f>+F51+F58+F65</f>
        <v>20098.633047345505</v>
      </c>
      <c r="G67" s="2826">
        <f>+G51+G58+G65</f>
        <v>-3672.0878731209004</v>
      </c>
      <c r="H67" s="2827">
        <f>+H51+H58+H65</f>
        <v>16426.545174224604</v>
      </c>
    </row>
    <row r="68" spans="3:17" ht="15" thickTop="1">
      <c r="C68" s="616"/>
      <c r="D68" s="297"/>
      <c r="E68" s="297"/>
      <c r="F68" s="297"/>
      <c r="G68" s="297"/>
      <c r="H68" s="298"/>
    </row>
    <row r="71" spans="3:17">
      <c r="C71" s="2828"/>
      <c r="D71" s="2828"/>
    </row>
    <row r="72" spans="3:17">
      <c r="C72" s="352" t="s">
        <v>2173</v>
      </c>
      <c r="D72" s="294"/>
      <c r="E72" s="294"/>
      <c r="F72" s="294"/>
      <c r="G72" s="294"/>
      <c r="H72" s="294"/>
      <c r="I72" s="294"/>
      <c r="J72" s="294"/>
      <c r="K72" s="294"/>
      <c r="L72" s="294"/>
      <c r="M72" s="294"/>
      <c r="N72" s="460"/>
      <c r="O72" s="460"/>
    </row>
    <row r="73" spans="3:17">
      <c r="C73" s="353" t="s">
        <v>4246</v>
      </c>
      <c r="N73" s="296"/>
      <c r="O73" s="296"/>
    </row>
    <row r="74" spans="3:17">
      <c r="C74" s="2829" t="s">
        <v>9263</v>
      </c>
      <c r="D74" s="2830"/>
      <c r="E74" s="2830"/>
      <c r="F74" s="385"/>
      <c r="G74" s="385"/>
      <c r="N74" s="296"/>
      <c r="O74" s="296"/>
    </row>
    <row r="75" spans="3:17">
      <c r="C75" s="616"/>
      <c r="D75" s="297"/>
      <c r="E75" s="297"/>
      <c r="F75" s="297"/>
      <c r="G75" s="297"/>
      <c r="H75" s="297"/>
      <c r="I75" s="297"/>
      <c r="J75" s="297"/>
      <c r="K75" s="297"/>
      <c r="L75" s="297"/>
      <c r="M75" s="297"/>
      <c r="N75" s="298"/>
      <c r="O75" s="298"/>
    </row>
    <row r="76" spans="3:17">
      <c r="C76" s="353"/>
      <c r="D76" s="62"/>
      <c r="E76" s="62"/>
      <c r="G76" s="2831"/>
      <c r="H76" s="3159" t="s">
        <v>4247</v>
      </c>
      <c r="I76" s="3160"/>
      <c r="J76" s="3160"/>
      <c r="K76" s="3161"/>
      <c r="L76" s="3159" t="s">
        <v>3465</v>
      </c>
      <c r="M76" s="3160"/>
      <c r="N76" s="3161"/>
      <c r="O76" s="2832"/>
      <c r="P76" s="60"/>
      <c r="Q76" s="33"/>
    </row>
    <row r="77" spans="3:17">
      <c r="C77" s="363" t="s">
        <v>2182</v>
      </c>
      <c r="D77" s="62"/>
      <c r="E77" s="62"/>
      <c r="G77" s="521" t="s">
        <v>115</v>
      </c>
      <c r="H77" s="2833" t="s">
        <v>3121</v>
      </c>
      <c r="I77" s="60" t="s">
        <v>4248</v>
      </c>
      <c r="J77" s="60" t="s">
        <v>4249</v>
      </c>
      <c r="K77" s="754" t="s">
        <v>4250</v>
      </c>
      <c r="L77" s="521" t="s">
        <v>3465</v>
      </c>
      <c r="M77" s="60" t="s">
        <v>4249</v>
      </c>
      <c r="N77" s="754" t="s">
        <v>4250</v>
      </c>
      <c r="O77" s="754"/>
    </row>
    <row r="78" spans="3:17">
      <c r="C78" s="522" t="s">
        <v>3216</v>
      </c>
      <c r="D78" s="77" t="s">
        <v>3174</v>
      </c>
      <c r="E78" s="77" t="s">
        <v>1918</v>
      </c>
      <c r="F78" s="60" t="s">
        <v>4251</v>
      </c>
      <c r="G78" s="280" t="s">
        <v>4249</v>
      </c>
      <c r="H78" s="280" t="s">
        <v>115</v>
      </c>
      <c r="I78" s="60" t="s">
        <v>4252</v>
      </c>
      <c r="J78" s="60" t="s">
        <v>3116</v>
      </c>
      <c r="K78" s="60" t="s">
        <v>3117</v>
      </c>
      <c r="L78" s="280" t="s">
        <v>115</v>
      </c>
      <c r="M78" s="60" t="s">
        <v>3116</v>
      </c>
      <c r="N78" s="767" t="s">
        <v>3117</v>
      </c>
      <c r="O78" s="767"/>
    </row>
    <row r="79" spans="3:17">
      <c r="C79" s="354" t="s">
        <v>2175</v>
      </c>
      <c r="D79" s="355" t="s">
        <v>2176</v>
      </c>
      <c r="E79" s="355" t="s">
        <v>2177</v>
      </c>
      <c r="F79" s="2834" t="s">
        <v>2178</v>
      </c>
      <c r="G79" s="525" t="s">
        <v>2179</v>
      </c>
      <c r="H79" s="525" t="s">
        <v>2625</v>
      </c>
      <c r="I79" s="2835" t="s">
        <v>2626</v>
      </c>
      <c r="J79" s="2835" t="s">
        <v>2627</v>
      </c>
      <c r="K79" s="2835" t="s">
        <v>2628</v>
      </c>
      <c r="L79" s="525" t="s">
        <v>2629</v>
      </c>
      <c r="M79" s="2835" t="s">
        <v>2630</v>
      </c>
      <c r="N79" s="2834" t="s">
        <v>4061</v>
      </c>
      <c r="O79" s="2834"/>
    </row>
    <row r="80" spans="3:17">
      <c r="C80" s="526">
        <v>1</v>
      </c>
      <c r="G80" s="36"/>
      <c r="H80" s="36"/>
      <c r="L80" s="36"/>
      <c r="N80" s="296"/>
      <c r="O80" s="296"/>
    </row>
    <row r="81" spans="3:18">
      <c r="C81" s="365">
        <v>2</v>
      </c>
      <c r="E81" s="531" t="s">
        <v>4253</v>
      </c>
      <c r="G81" s="36"/>
      <c r="H81" s="142"/>
      <c r="I81" s="33"/>
      <c r="K81" s="33"/>
      <c r="L81" s="36"/>
      <c r="N81" s="296"/>
      <c r="O81" s="296"/>
    </row>
    <row r="82" spans="3:18">
      <c r="C82" s="365">
        <v>3</v>
      </c>
      <c r="D82" s="33" t="s">
        <v>4254</v>
      </c>
      <c r="E82" t="s">
        <v>4255</v>
      </c>
      <c r="G82" s="879">
        <f>+SUMIFS('Labor Input'!C:C,'Labor Input'!G:G,D82)/1000</f>
        <v>2479.7281768532557</v>
      </c>
      <c r="H82" s="36"/>
      <c r="L82" s="36"/>
      <c r="N82" s="296"/>
      <c r="O82" s="296"/>
    </row>
    <row r="83" spans="3:18">
      <c r="C83" s="365">
        <v>4</v>
      </c>
      <c r="D83" s="33" t="s">
        <v>4256</v>
      </c>
      <c r="E83" t="s">
        <v>4257</v>
      </c>
      <c r="G83" s="879">
        <f>+SUMIFS('Labor Input'!C:C,'Labor Input'!G:G,D83)/1000</f>
        <v>1278.6014770803874</v>
      </c>
      <c r="H83" s="36"/>
      <c r="L83" s="36"/>
      <c r="N83" s="296"/>
      <c r="O83" s="296"/>
      <c r="Q83" s="2381"/>
      <c r="R83" s="2381"/>
    </row>
    <row r="84" spans="3:18">
      <c r="C84" s="365">
        <v>5</v>
      </c>
      <c r="D84" s="33"/>
      <c r="E84" s="96" t="s">
        <v>4258</v>
      </c>
      <c r="F84" s="290" t="s">
        <v>3152</v>
      </c>
      <c r="G84" s="2836">
        <f>+SUM(G82:G83)</f>
        <v>3758.3296539336434</v>
      </c>
      <c r="H84" s="2836">
        <f>+SUM(I84:K84)</f>
        <v>3758.3296539336429</v>
      </c>
      <c r="I84" s="2837">
        <f>+G84*I113</f>
        <v>1329.6333496380096</v>
      </c>
      <c r="J84" s="2837">
        <f>+G84*J113</f>
        <v>760.00814252364705</v>
      </c>
      <c r="K84" s="2837">
        <f>+G84*K113</f>
        <v>1668.6881617719864</v>
      </c>
      <c r="L84" s="2836"/>
      <c r="M84" s="2837"/>
      <c r="N84" s="2838"/>
      <c r="O84" s="2838"/>
    </row>
    <row r="85" spans="3:18">
      <c r="C85" s="365">
        <v>6</v>
      </c>
      <c r="D85" s="33"/>
      <c r="F85" s="96"/>
      <c r="G85" s="2839"/>
      <c r="H85" s="880"/>
      <c r="I85" s="852"/>
      <c r="J85" s="852"/>
      <c r="K85" s="852"/>
      <c r="L85" s="36"/>
      <c r="N85" s="296"/>
      <c r="O85" s="296"/>
    </row>
    <row r="86" spans="3:18">
      <c r="C86" s="365">
        <v>7</v>
      </c>
      <c r="D86" s="33" t="s">
        <v>4259</v>
      </c>
      <c r="E86" t="s">
        <v>4260</v>
      </c>
      <c r="F86" s="96"/>
      <c r="G86" s="879">
        <f>+SUMIFS('Labor Input'!C:C,'Labor Input'!G:G,D86)/1000</f>
        <v>0</v>
      </c>
      <c r="H86" s="36"/>
      <c r="L86" s="36"/>
      <c r="N86" s="296"/>
      <c r="O86" s="296"/>
    </row>
    <row r="87" spans="3:18">
      <c r="C87" s="365">
        <v>8</v>
      </c>
      <c r="D87" s="33" t="s">
        <v>4261</v>
      </c>
      <c r="E87" t="s">
        <v>4262</v>
      </c>
      <c r="F87" s="96"/>
      <c r="G87" s="879">
        <f>+SUMIFS('Labor Input'!C:C,'Labor Input'!G:G,D87)/1000</f>
        <v>0</v>
      </c>
      <c r="H87" s="36"/>
      <c r="L87" s="36"/>
      <c r="N87" s="296"/>
      <c r="O87" s="296"/>
    </row>
    <row r="88" spans="3:18">
      <c r="C88" s="365">
        <v>9</v>
      </c>
      <c r="D88" s="33"/>
      <c r="E88" s="96" t="s">
        <v>4258</v>
      </c>
      <c r="F88" s="290" t="s">
        <v>3161</v>
      </c>
      <c r="G88" s="2836">
        <f>+SUM(G86:G87)</f>
        <v>0</v>
      </c>
      <c r="H88" s="2836"/>
      <c r="I88" s="2837"/>
      <c r="J88" s="2837"/>
      <c r="K88" s="2837"/>
      <c r="L88" s="2836">
        <f>+SUM(M88:N88)</f>
        <v>0</v>
      </c>
      <c r="M88" s="2837">
        <f>+G88*M116</f>
        <v>0</v>
      </c>
      <c r="N88" s="2838">
        <f>+G88*N116</f>
        <v>0</v>
      </c>
      <c r="O88" s="2838"/>
      <c r="Q88" s="33"/>
      <c r="R88" s="33"/>
    </row>
    <row r="89" spans="3:18">
      <c r="C89" s="365">
        <v>10</v>
      </c>
      <c r="D89" s="33"/>
      <c r="F89" s="96"/>
      <c r="G89" s="2839"/>
      <c r="H89" s="36"/>
      <c r="L89" s="881"/>
      <c r="M89" s="856"/>
      <c r="N89" s="860"/>
      <c r="O89" s="860"/>
      <c r="Q89" s="33"/>
      <c r="R89" s="33"/>
    </row>
    <row r="90" spans="3:18">
      <c r="C90" s="365">
        <v>11</v>
      </c>
      <c r="D90" s="33">
        <v>565</v>
      </c>
      <c r="E90" t="s">
        <v>4263</v>
      </c>
      <c r="F90" s="290" t="s">
        <v>4264</v>
      </c>
      <c r="G90" s="879">
        <f>+SUMIFS('Labor Input'!C:C,'Labor Input'!G:G,D90)/1000</f>
        <v>0</v>
      </c>
      <c r="H90" s="36"/>
      <c r="L90" s="2840"/>
      <c r="M90" s="513"/>
      <c r="N90" s="860"/>
      <c r="O90" s="860"/>
      <c r="Q90" s="33"/>
      <c r="R90" s="33"/>
    </row>
    <row r="91" spans="3:18">
      <c r="C91" s="365">
        <v>12</v>
      </c>
      <c r="D91" s="33"/>
      <c r="F91" s="96"/>
      <c r="G91" s="2841"/>
      <c r="H91" s="36"/>
      <c r="L91" s="36"/>
      <c r="N91" s="860"/>
      <c r="O91" s="860"/>
    </row>
    <row r="92" spans="3:18">
      <c r="C92" s="365">
        <v>13</v>
      </c>
      <c r="D92" s="33" t="s">
        <v>4265</v>
      </c>
      <c r="E92" t="s">
        <v>4266</v>
      </c>
      <c r="F92" s="96"/>
      <c r="G92" s="879">
        <f>+SUMIFS('Labor Input'!C:C,'Labor Input'!G:G,D92)/1000</f>
        <v>706.53205174643415</v>
      </c>
      <c r="H92" s="36"/>
      <c r="L92" s="36"/>
      <c r="N92" s="296"/>
      <c r="O92" s="296"/>
    </row>
    <row r="93" spans="3:18">
      <c r="C93" s="365">
        <v>14</v>
      </c>
      <c r="D93" s="33" t="s">
        <v>4267</v>
      </c>
      <c r="E93" t="s">
        <v>4268</v>
      </c>
      <c r="F93" s="96"/>
      <c r="G93" s="879">
        <f>+SUMIFS('Labor Input'!C:C,'Labor Input'!G:G,D93)/1000</f>
        <v>1257.322207584341</v>
      </c>
      <c r="H93" s="36"/>
      <c r="L93" s="36"/>
      <c r="N93" s="296"/>
      <c r="O93" s="296"/>
    </row>
    <row r="94" spans="3:18">
      <c r="C94" s="365">
        <v>15</v>
      </c>
      <c r="D94" s="33" t="s">
        <v>4269</v>
      </c>
      <c r="E94" t="s">
        <v>4270</v>
      </c>
      <c r="F94" s="96"/>
      <c r="G94" s="879">
        <f>+SUMIFS('Labor Input'!C:C,'Labor Input'!G:G,D94)/1000</f>
        <v>0</v>
      </c>
      <c r="H94" s="36"/>
      <c r="L94" s="36"/>
      <c r="N94" s="296"/>
      <c r="O94" s="296"/>
      <c r="Q94" s="2381"/>
    </row>
    <row r="95" spans="3:18">
      <c r="C95" s="365">
        <v>16</v>
      </c>
      <c r="D95" s="33"/>
      <c r="E95" s="96" t="s">
        <v>4258</v>
      </c>
      <c r="F95" s="290" t="s">
        <v>4271</v>
      </c>
      <c r="G95" s="2836">
        <f>+SUM(G92:G94)</f>
        <v>1963.8542593307752</v>
      </c>
      <c r="H95" s="2836">
        <f>+SUM(I95:K95)</f>
        <v>1903.3093507386125</v>
      </c>
      <c r="I95" s="2837">
        <f>+G95*I120</f>
        <v>664.93955273229096</v>
      </c>
      <c r="J95" s="2837">
        <f>+G95*J120</f>
        <v>387.52112739477536</v>
      </c>
      <c r="K95" s="2837">
        <f>+G95*K120</f>
        <v>850.84867061154603</v>
      </c>
      <c r="L95" s="2842">
        <f>+SUM(M95:N95)</f>
        <v>60.54490859216299</v>
      </c>
      <c r="M95" s="2837">
        <f>+G95*M120</f>
        <v>36.270233608887082</v>
      </c>
      <c r="N95" s="2838">
        <f>+G95*N120</f>
        <v>24.274674983275908</v>
      </c>
      <c r="O95" s="2838"/>
      <c r="Q95" s="33"/>
      <c r="R95" s="33"/>
    </row>
    <row r="96" spans="3:18">
      <c r="C96" s="365">
        <v>17</v>
      </c>
      <c r="D96" s="33"/>
      <c r="F96" s="96"/>
      <c r="G96" s="2843"/>
      <c r="H96" s="882"/>
      <c r="I96" s="853"/>
      <c r="K96" s="853"/>
      <c r="L96" s="881"/>
      <c r="M96" s="853"/>
      <c r="N96" s="883"/>
      <c r="O96" s="883"/>
    </row>
    <row r="97" spans="3:18">
      <c r="C97" s="365">
        <v>18</v>
      </c>
      <c r="D97" s="33"/>
      <c r="E97" s="531" t="s">
        <v>4272</v>
      </c>
      <c r="F97" s="96"/>
      <c r="G97" s="2844"/>
      <c r="H97" s="36"/>
      <c r="L97" s="36"/>
      <c r="N97" s="296"/>
      <c r="O97" s="296"/>
    </row>
    <row r="98" spans="3:18">
      <c r="C98" s="365">
        <v>19</v>
      </c>
      <c r="D98" s="33" t="s">
        <v>4273</v>
      </c>
      <c r="E98" t="s">
        <v>4274</v>
      </c>
      <c r="F98" s="96"/>
      <c r="G98" s="879">
        <f>+SUMIFS('Labor Input'!C:C,'Labor Input'!G:G,D98)/1000</f>
        <v>899.28711093945731</v>
      </c>
      <c r="H98" s="36"/>
      <c r="L98" s="2845">
        <f>+SUM(M98:N98)</f>
        <v>899.28711093945731</v>
      </c>
      <c r="N98" s="295">
        <f>+G98</f>
        <v>899.28711093945731</v>
      </c>
      <c r="O98" s="295"/>
    </row>
    <row r="99" spans="3:18">
      <c r="C99" s="365">
        <v>20</v>
      </c>
      <c r="D99" s="33" t="s">
        <v>4275</v>
      </c>
      <c r="E99" t="s">
        <v>4276</v>
      </c>
      <c r="F99" s="96"/>
      <c r="G99" s="879">
        <f>+SUMIFS('Labor Input'!C:C,'Labor Input'!G:G,D99)/1000</f>
        <v>0</v>
      </c>
      <c r="H99" s="36"/>
      <c r="L99" s="2845">
        <f>+SUM(M99:N99)</f>
        <v>0</v>
      </c>
      <c r="N99" s="295">
        <f>+G99</f>
        <v>0</v>
      </c>
      <c r="O99" s="296"/>
    </row>
    <row r="100" spans="3:18">
      <c r="C100" s="365">
        <v>21</v>
      </c>
      <c r="D100" s="33"/>
      <c r="E100" s="96" t="s">
        <v>4258</v>
      </c>
      <c r="F100" s="290" t="s">
        <v>4277</v>
      </c>
      <c r="G100" s="2836">
        <f>+SUM(G98:G99)</f>
        <v>899.28711093945731</v>
      </c>
      <c r="H100" s="2836"/>
      <c r="I100" s="2837"/>
      <c r="J100" s="2837"/>
      <c r="K100" s="2837"/>
      <c r="L100" s="2836">
        <f>+SUM(L98:L99)</f>
        <v>899.28711093945731</v>
      </c>
      <c r="M100" s="2846">
        <f>+SUM(M98:M99)</f>
        <v>0</v>
      </c>
      <c r="N100" s="2838">
        <f>+SUM(N98:N99)</f>
        <v>899.28711093945731</v>
      </c>
      <c r="O100" s="2838"/>
    </row>
    <row r="101" spans="3:18">
      <c r="C101" s="365">
        <v>22</v>
      </c>
      <c r="D101" s="33"/>
      <c r="F101" s="96"/>
      <c r="G101" s="2839"/>
      <c r="H101" s="36"/>
      <c r="L101" s="884"/>
      <c r="M101" s="885"/>
      <c r="N101" s="886"/>
      <c r="O101" s="886"/>
    </row>
    <row r="102" spans="3:18">
      <c r="C102" s="365">
        <v>23</v>
      </c>
      <c r="D102" s="33" t="s">
        <v>4278</v>
      </c>
      <c r="E102" t="s">
        <v>4279</v>
      </c>
      <c r="F102" s="96"/>
      <c r="G102" s="879">
        <f>+SUMIFS('Labor Input'!C:C,'Labor Input'!G:G,D102)/1000</f>
        <v>0</v>
      </c>
      <c r="H102" s="36"/>
      <c r="L102" s="36"/>
      <c r="N102" s="296"/>
      <c r="O102" s="296"/>
    </row>
    <row r="103" spans="3:18">
      <c r="C103" s="365">
        <v>24</v>
      </c>
      <c r="D103" s="33" t="s">
        <v>4280</v>
      </c>
      <c r="E103" t="s">
        <v>4281</v>
      </c>
      <c r="F103" s="96"/>
      <c r="G103" s="879">
        <f>+SUMIFS('Labor Input'!C:C,'Labor Input'!G:G,D103)/1000</f>
        <v>135.27391615837206</v>
      </c>
      <c r="H103" s="36"/>
      <c r="L103" s="36"/>
      <c r="N103" s="296"/>
      <c r="O103" s="296"/>
    </row>
    <row r="104" spans="3:18">
      <c r="C104" s="365">
        <v>25</v>
      </c>
      <c r="D104" s="33" t="s">
        <v>4282</v>
      </c>
      <c r="E104" t="s">
        <v>4283</v>
      </c>
      <c r="F104" s="96"/>
      <c r="G104" s="879">
        <f>+SUMIFS('Labor Input'!C:C,'Labor Input'!G:G,D104)/1000</f>
        <v>786.50222570248047</v>
      </c>
      <c r="H104" s="36"/>
      <c r="I104" s="2381"/>
      <c r="L104" s="36"/>
      <c r="N104" s="296"/>
      <c r="O104" s="296"/>
    </row>
    <row r="105" spans="3:18">
      <c r="C105" s="365">
        <v>26</v>
      </c>
      <c r="D105" s="33">
        <v>573</v>
      </c>
      <c r="E105" t="s">
        <v>4284</v>
      </c>
      <c r="F105" s="96"/>
      <c r="G105" s="879">
        <f>+SUMIFS('Labor Input'!C:C,'Labor Input'!G:G,D105)/1000</f>
        <v>0</v>
      </c>
      <c r="H105" s="36"/>
      <c r="I105" s="2381"/>
      <c r="L105" s="36"/>
      <c r="N105" s="296"/>
      <c r="O105" s="296"/>
    </row>
    <row r="106" spans="3:18">
      <c r="C106" s="365">
        <v>27</v>
      </c>
      <c r="E106" s="96" t="s">
        <v>4258</v>
      </c>
      <c r="F106" s="290" t="s">
        <v>3152</v>
      </c>
      <c r="G106" s="2836">
        <f>+SUM(G102:G105)</f>
        <v>921.77614186085248</v>
      </c>
      <c r="H106" s="2836">
        <f>+SUM(I106:K106)</f>
        <v>921.77614186085248</v>
      </c>
      <c r="I106" s="2837">
        <f>+G106*I113</f>
        <v>326.10878022263182</v>
      </c>
      <c r="J106" s="2837">
        <f>+G106*J113</f>
        <v>186.40125744825076</v>
      </c>
      <c r="K106" s="2837">
        <f>+G106*K113</f>
        <v>409.26610418996984</v>
      </c>
      <c r="L106" s="2836"/>
      <c r="M106" s="2837"/>
      <c r="N106" s="2838"/>
      <c r="O106" s="2838"/>
    </row>
    <row r="107" spans="3:18">
      <c r="C107" s="365">
        <v>28</v>
      </c>
      <c r="G107" s="2839"/>
      <c r="H107" s="887"/>
      <c r="I107" s="854"/>
      <c r="J107" s="854"/>
      <c r="K107" s="854"/>
      <c r="L107" s="2832"/>
      <c r="N107" s="296"/>
      <c r="O107" s="296"/>
    </row>
    <row r="108" spans="3:18" ht="15" thickBot="1">
      <c r="C108" s="365">
        <v>29</v>
      </c>
      <c r="E108" s="96" t="s">
        <v>4285</v>
      </c>
      <c r="G108" s="2847">
        <f t="shared" ref="G108:N108" si="3">+G84+G88+G90+G95+G100+G106</f>
        <v>7543.2471660647279</v>
      </c>
      <c r="H108" s="2847">
        <f t="shared" si="3"/>
        <v>6583.4151465331079</v>
      </c>
      <c r="I108" s="2848">
        <f t="shared" si="3"/>
        <v>2320.6816825929327</v>
      </c>
      <c r="J108" s="2849">
        <f t="shared" si="3"/>
        <v>1333.9305273666732</v>
      </c>
      <c r="K108" s="2849">
        <f t="shared" si="3"/>
        <v>2928.8029365735019</v>
      </c>
      <c r="L108" s="2847">
        <f t="shared" si="3"/>
        <v>959.83201953162029</v>
      </c>
      <c r="M108" s="2848">
        <f t="shared" si="3"/>
        <v>36.270233608887082</v>
      </c>
      <c r="N108" s="2849">
        <f t="shared" si="3"/>
        <v>923.56178592273318</v>
      </c>
      <c r="O108" s="2850"/>
    </row>
    <row r="109" spans="3:18" ht="15" thickTop="1">
      <c r="C109" s="365">
        <v>30</v>
      </c>
      <c r="E109" s="62"/>
      <c r="N109" s="384"/>
      <c r="O109" s="384"/>
    </row>
    <row r="110" spans="3:18" ht="15" thickBot="1">
      <c r="C110" s="365">
        <v>31</v>
      </c>
      <c r="E110" s="32"/>
      <c r="F110" s="32"/>
      <c r="G110" s="32"/>
      <c r="H110" s="32"/>
      <c r="I110" s="32"/>
      <c r="J110" s="32"/>
      <c r="K110" s="32"/>
      <c r="L110" s="32"/>
      <c r="M110" s="32"/>
      <c r="N110" s="855"/>
      <c r="O110" s="855"/>
    </row>
    <row r="111" spans="3:18">
      <c r="C111" s="365">
        <v>32</v>
      </c>
      <c r="E111" s="2799" t="s">
        <v>4286</v>
      </c>
      <c r="F111" s="2800"/>
      <c r="G111" s="2800"/>
      <c r="H111" s="2851" t="s">
        <v>2181</v>
      </c>
      <c r="I111" s="38"/>
      <c r="J111" s="38"/>
      <c r="K111" s="38"/>
      <c r="L111" s="2852"/>
      <c r="M111" s="38"/>
      <c r="N111" s="34"/>
      <c r="O111" s="296"/>
      <c r="Q111" s="2381"/>
      <c r="R111" s="2381"/>
    </row>
    <row r="112" spans="3:18">
      <c r="C112" s="365">
        <v>33</v>
      </c>
      <c r="E112" s="30" t="s">
        <v>4287</v>
      </c>
      <c r="G112" s="2815">
        <f>+SUM(I112:K112)</f>
        <v>542612.32704822207</v>
      </c>
      <c r="I112" s="890">
        <f>+Transmission!G64</f>
        <v>191967.04717290375</v>
      </c>
      <c r="J112" s="890">
        <f>+Transmission!H64</f>
        <v>109726.87996081624</v>
      </c>
      <c r="K112" s="890">
        <f>+Transmission!J64</f>
        <v>240918.39991450205</v>
      </c>
      <c r="L112" s="2853"/>
      <c r="M112" s="2381"/>
      <c r="N112" s="2854"/>
      <c r="O112" s="2855"/>
      <c r="Q112" s="2381"/>
      <c r="R112" s="2381"/>
    </row>
    <row r="113" spans="3:27">
      <c r="C113" s="365">
        <v>34</v>
      </c>
      <c r="E113" s="30" t="s">
        <v>4288</v>
      </c>
      <c r="F113" s="60" t="s">
        <v>3152</v>
      </c>
      <c r="G113" s="2856">
        <f>+SUM(I113:K113)</f>
        <v>0.99999999999999989</v>
      </c>
      <c r="H113" s="854"/>
      <c r="I113" s="854">
        <f>+I112/G112</f>
        <v>0.35378305579084934</v>
      </c>
      <c r="J113" s="854">
        <f>+J112/G112</f>
        <v>0.20221965939794212</v>
      </c>
      <c r="K113" s="854">
        <f>+K112/G112</f>
        <v>0.44399728481120848</v>
      </c>
      <c r="L113" s="2853"/>
      <c r="M113" s="2381"/>
      <c r="N113" s="2854"/>
      <c r="O113" s="2855"/>
      <c r="Q113" s="2381"/>
      <c r="R113" s="2381"/>
    </row>
    <row r="114" spans="3:27">
      <c r="C114" s="365">
        <v>35</v>
      </c>
      <c r="E114" s="30"/>
      <c r="F114" s="62"/>
      <c r="G114" s="2857"/>
      <c r="H114" s="2857"/>
      <c r="I114" s="2857"/>
      <c r="K114" s="856"/>
      <c r="L114" s="2381"/>
      <c r="M114" s="2381"/>
      <c r="N114" s="2854"/>
      <c r="O114" s="2855"/>
    </row>
    <row r="115" spans="3:27">
      <c r="C115" s="365">
        <v>36</v>
      </c>
      <c r="E115" s="98" t="s">
        <v>3162</v>
      </c>
      <c r="F115" s="62"/>
      <c r="G115" s="2815">
        <f>+SUM(M115:N115)</f>
        <v>708539.91694177792</v>
      </c>
      <c r="H115" s="2381"/>
      <c r="I115" s="2381"/>
      <c r="K115" s="2381"/>
      <c r="L115" s="2815"/>
      <c r="M115" s="2815">
        <f>+Transmission!I40+Transmission!I56</f>
        <v>424460.27100000001</v>
      </c>
      <c r="N115" s="2858">
        <f>+Transmission!J38+Transmission!J56</f>
        <v>284079.64594177791</v>
      </c>
      <c r="O115" s="2816"/>
    </row>
    <row r="116" spans="3:27">
      <c r="C116" s="365">
        <v>37</v>
      </c>
      <c r="E116" s="98" t="s">
        <v>4289</v>
      </c>
      <c r="F116" s="60" t="s">
        <v>3161</v>
      </c>
      <c r="G116" s="2856"/>
      <c r="H116" s="2856"/>
      <c r="I116" s="2856"/>
      <c r="J116" s="2856"/>
      <c r="K116" s="2856"/>
      <c r="L116" s="854"/>
      <c r="M116" s="854">
        <f>+M115/G115</f>
        <v>0.59906331436070481</v>
      </c>
      <c r="N116" s="857">
        <f>+N115/G115</f>
        <v>0.40093668563929513</v>
      </c>
      <c r="O116" s="858"/>
    </row>
    <row r="117" spans="3:27">
      <c r="C117" s="365">
        <v>38</v>
      </c>
      <c r="E117" s="98"/>
      <c r="F117" s="60"/>
      <c r="G117" s="2856"/>
      <c r="H117" s="2859"/>
      <c r="I117" s="2856"/>
      <c r="J117" s="2856"/>
      <c r="K117" s="2856"/>
      <c r="L117" s="854"/>
      <c r="M117" s="854"/>
      <c r="N117" s="857"/>
      <c r="O117" s="858"/>
    </row>
    <row r="118" spans="3:27">
      <c r="C118" s="365">
        <v>39</v>
      </c>
      <c r="E118" s="2860" t="s">
        <v>4290</v>
      </c>
      <c r="F118" s="2479"/>
      <c r="G118" s="2861"/>
      <c r="H118" s="364" t="s">
        <v>2181</v>
      </c>
      <c r="I118" s="2381"/>
      <c r="K118" s="2381"/>
      <c r="L118" s="856"/>
      <c r="M118" s="856"/>
      <c r="N118" s="859"/>
      <c r="O118" s="860"/>
    </row>
    <row r="119" spans="3:27">
      <c r="C119" s="365">
        <v>40</v>
      </c>
      <c r="E119" s="98" t="s">
        <v>4291</v>
      </c>
      <c r="G119" s="2815">
        <f>+SUM(I119:N119)</f>
        <v>4218.1866361108005</v>
      </c>
      <c r="H119" s="2815"/>
      <c r="I119" s="2815">
        <f>+'Transmission O&amp;M'!I60</f>
        <v>1428.2318159966976</v>
      </c>
      <c r="J119" s="2815">
        <f>+'Transmission O&amp;M'!J60</f>
        <v>832.36137968011394</v>
      </c>
      <c r="K119" s="2815">
        <f>+'Transmission O&amp;M'!K60</f>
        <v>1827.5482891226889</v>
      </c>
      <c r="L119" s="2815"/>
      <c r="M119" s="2815">
        <f>+'Transmission O&amp;M'!M60</f>
        <v>77.905279361086812</v>
      </c>
      <c r="N119" s="2858">
        <f>+'Transmission O&amp;M'!N60</f>
        <v>52.139871950213305</v>
      </c>
      <c r="O119" s="2816"/>
    </row>
    <row r="120" spans="3:27" ht="15" thickBot="1">
      <c r="C120" s="365">
        <v>41</v>
      </c>
      <c r="E120" s="2803" t="s">
        <v>4292</v>
      </c>
      <c r="F120" s="41" t="s">
        <v>4271</v>
      </c>
      <c r="G120" s="2862"/>
      <c r="H120" s="861"/>
      <c r="I120" s="861">
        <f>+I119/$G$119</f>
        <v>0.33858905240701676</v>
      </c>
      <c r="J120" s="861">
        <f>+J119/$G$119</f>
        <v>0.19732682583423036</v>
      </c>
      <c r="K120" s="861">
        <f>+K119/$G$119</f>
        <v>0.43325448747988593</v>
      </c>
      <c r="L120" s="861"/>
      <c r="M120" s="861">
        <f>+M119/$G$119</f>
        <v>1.8468902891626452E-2</v>
      </c>
      <c r="N120" s="956">
        <f>+N119/$G$119</f>
        <v>1.2360731387240526E-2</v>
      </c>
      <c r="O120" s="858"/>
    </row>
    <row r="121" spans="3:27">
      <c r="C121" s="462">
        <v>42</v>
      </c>
      <c r="D121" s="297"/>
      <c r="E121" s="297"/>
      <c r="F121" s="297"/>
      <c r="G121" s="297"/>
      <c r="H121" s="297"/>
      <c r="I121" s="297"/>
      <c r="J121" s="297"/>
      <c r="K121" s="297"/>
      <c r="L121" s="297"/>
      <c r="M121" s="297"/>
      <c r="N121" s="298"/>
      <c r="O121" s="298"/>
    </row>
    <row r="124" spans="3:27">
      <c r="C124" s="352" t="s">
        <v>2173</v>
      </c>
      <c r="D124" s="294"/>
      <c r="E124" s="294"/>
      <c r="F124" s="294"/>
      <c r="G124" s="294"/>
      <c r="H124" s="294"/>
      <c r="I124" s="294"/>
      <c r="J124" s="294"/>
      <c r="K124" s="294"/>
      <c r="L124" s="294"/>
      <c r="M124" s="294"/>
      <c r="N124" s="294"/>
      <c r="O124" s="294"/>
      <c r="P124" s="294"/>
      <c r="Q124" s="294"/>
      <c r="R124" s="294"/>
      <c r="S124" s="957"/>
      <c r="T124" s="957"/>
      <c r="U124" s="957"/>
      <c r="V124" s="294"/>
      <c r="W124" s="294"/>
      <c r="X124" s="294"/>
      <c r="Y124" s="294"/>
      <c r="Z124" s="294"/>
      <c r="AA124" s="460"/>
    </row>
    <row r="125" spans="3:27">
      <c r="C125" s="353" t="s">
        <v>4293</v>
      </c>
      <c r="AA125" s="296"/>
    </row>
    <row r="126" spans="3:27">
      <c r="C126" s="2829" t="s">
        <v>9263</v>
      </c>
      <c r="D126" s="2830"/>
      <c r="E126" s="2830"/>
      <c r="F126" s="385"/>
      <c r="AA126" s="296"/>
    </row>
    <row r="127" spans="3:27">
      <c r="C127" s="616"/>
      <c r="D127" s="297" t="s">
        <v>2477</v>
      </c>
      <c r="E127" s="297"/>
      <c r="F127" s="297"/>
      <c r="G127" s="297"/>
      <c r="H127" s="529"/>
      <c r="I127" s="529"/>
      <c r="J127" s="529"/>
      <c r="K127" s="529"/>
      <c r="L127" s="529"/>
      <c r="M127" s="529"/>
      <c r="N127" s="529"/>
      <c r="O127" s="529"/>
      <c r="P127" s="529"/>
      <c r="Q127" s="529"/>
      <c r="R127" s="297"/>
      <c r="X127" s="297"/>
      <c r="Y127" s="297"/>
      <c r="Z127" s="297"/>
      <c r="AA127" s="298"/>
    </row>
    <row r="128" spans="3:27">
      <c r="C128" s="353"/>
      <c r="D128" s="62"/>
      <c r="E128" s="62"/>
      <c r="G128" s="62"/>
      <c r="H128" s="280" t="s">
        <v>3717</v>
      </c>
      <c r="I128" s="3134" t="s">
        <v>4165</v>
      </c>
      <c r="J128" s="3135"/>
      <c r="K128" s="3135"/>
      <c r="L128" s="3135"/>
      <c r="M128" s="3136"/>
      <c r="N128" s="3134" t="s">
        <v>4168</v>
      </c>
      <c r="O128" s="3135"/>
      <c r="P128" s="3135"/>
      <c r="Q128" s="3135"/>
      <c r="R128" s="3136"/>
      <c r="S128" s="3134" t="s">
        <v>4156</v>
      </c>
      <c r="T128" s="3154"/>
      <c r="U128" s="3154"/>
      <c r="V128" s="3154"/>
      <c r="W128" s="3155"/>
      <c r="X128" s="637" t="s">
        <v>4294</v>
      </c>
      <c r="Y128" s="414" t="s">
        <v>4295</v>
      </c>
      <c r="Z128" s="414" t="s">
        <v>2548</v>
      </c>
      <c r="AA128" s="1961" t="s">
        <v>4296</v>
      </c>
    </row>
    <row r="129" spans="3:27" ht="53.4">
      <c r="C129" s="2863" t="s">
        <v>4297</v>
      </c>
      <c r="D129" s="77" t="s">
        <v>3174</v>
      </c>
      <c r="E129" s="77" t="s">
        <v>1918</v>
      </c>
      <c r="F129" s="77" t="s">
        <v>4251</v>
      </c>
      <c r="G129" s="60" t="s">
        <v>115</v>
      </c>
      <c r="H129" s="280" t="s">
        <v>1915</v>
      </c>
      <c r="I129" s="2864" t="s">
        <v>4298</v>
      </c>
      <c r="J129" s="2716" t="s">
        <v>4299</v>
      </c>
      <c r="K129" s="2716" t="s">
        <v>4300</v>
      </c>
      <c r="L129" s="2716" t="s">
        <v>4301</v>
      </c>
      <c r="M129" s="2717" t="s">
        <v>4302</v>
      </c>
      <c r="N129" s="2716" t="s">
        <v>4298</v>
      </c>
      <c r="O129" s="2716" t="s">
        <v>4299</v>
      </c>
      <c r="P129" s="2716" t="s">
        <v>4300</v>
      </c>
      <c r="Q129" s="2716" t="s">
        <v>4301</v>
      </c>
      <c r="R129" s="2717" t="s">
        <v>4302</v>
      </c>
      <c r="S129" s="863" t="s">
        <v>4298</v>
      </c>
      <c r="T129" s="2718" t="s">
        <v>4303</v>
      </c>
      <c r="U129" s="2718" t="s">
        <v>4304</v>
      </c>
      <c r="V129" s="2718" t="s">
        <v>4301</v>
      </c>
      <c r="W129" s="2723" t="s">
        <v>4302</v>
      </c>
      <c r="X129" s="60" t="s">
        <v>118</v>
      </c>
      <c r="Y129" s="60" t="s">
        <v>118</v>
      </c>
      <c r="Z129" s="60" t="s">
        <v>118</v>
      </c>
      <c r="AA129" s="2717" t="s">
        <v>4305</v>
      </c>
    </row>
    <row r="130" spans="3:27">
      <c r="C130" s="2791" t="s">
        <v>2175</v>
      </c>
      <c r="D130" s="2792" t="s">
        <v>2176</v>
      </c>
      <c r="E130" s="2792" t="s">
        <v>2177</v>
      </c>
      <c r="F130" s="355" t="s">
        <v>2178</v>
      </c>
      <c r="G130" s="356" t="s">
        <v>2179</v>
      </c>
      <c r="H130" s="356" t="s">
        <v>2625</v>
      </c>
      <c r="I130" s="355" t="s">
        <v>2626</v>
      </c>
      <c r="J130" s="355" t="s">
        <v>2627</v>
      </c>
      <c r="K130" s="355" t="s">
        <v>2628</v>
      </c>
      <c r="L130" s="355" t="s">
        <v>2629</v>
      </c>
      <c r="M130" s="356" t="s">
        <v>2630</v>
      </c>
      <c r="N130" s="355" t="s">
        <v>4061</v>
      </c>
      <c r="O130" s="355" t="s">
        <v>4062</v>
      </c>
      <c r="P130" s="355" t="s">
        <v>4063</v>
      </c>
      <c r="Q130" s="355" t="s">
        <v>4064</v>
      </c>
      <c r="R130" s="356" t="s">
        <v>4065</v>
      </c>
      <c r="S130" s="355" t="s">
        <v>4178</v>
      </c>
      <c r="T130" s="355" t="s">
        <v>4306</v>
      </c>
      <c r="U130" s="355" t="s">
        <v>4307</v>
      </c>
      <c r="V130" s="356" t="s">
        <v>4308</v>
      </c>
      <c r="W130" s="2865" t="s">
        <v>4309</v>
      </c>
      <c r="X130" s="354" t="s">
        <v>4310</v>
      </c>
      <c r="Y130" s="355" t="s">
        <v>4311</v>
      </c>
      <c r="Z130" s="355" t="s">
        <v>4312</v>
      </c>
      <c r="AA130" s="356" t="s">
        <v>4313</v>
      </c>
    </row>
    <row r="131" spans="3:27">
      <c r="C131" s="357"/>
      <c r="G131" s="296"/>
      <c r="H131" s="296"/>
      <c r="M131" s="460"/>
      <c r="R131" s="460"/>
      <c r="S131" s="357"/>
      <c r="U131" s="294"/>
      <c r="W131" s="460"/>
      <c r="AA131" s="296"/>
    </row>
    <row r="132" spans="3:27">
      <c r="C132" s="526">
        <v>1</v>
      </c>
      <c r="E132" s="531" t="s">
        <v>4253</v>
      </c>
      <c r="G132" s="296"/>
      <c r="H132" s="296"/>
      <c r="M132" s="296"/>
      <c r="R132" s="296"/>
      <c r="S132" s="357"/>
      <c r="W132" s="296"/>
      <c r="AA132" s="296"/>
    </row>
    <row r="133" spans="3:27">
      <c r="C133" s="365">
        <v>2</v>
      </c>
      <c r="D133" s="33" t="s">
        <v>4314</v>
      </c>
      <c r="E133" s="96" t="s">
        <v>4315</v>
      </c>
      <c r="F133" s="290" t="s">
        <v>4316</v>
      </c>
      <c r="G133" s="2855">
        <f>+SUMIFS('Labor Input'!C:C,'Labor Input'!G:G,'0 MDS Labor O&amp;M'!D133)/1000</f>
        <v>947.79897956480636</v>
      </c>
      <c r="H133" s="2866">
        <f>+G133*H177</f>
        <v>91.300656614979687</v>
      </c>
      <c r="I133" s="2381">
        <f t="shared" ref="I133:AA133" si="4">+$G$133*I177</f>
        <v>22.150666301279728</v>
      </c>
      <c r="J133" s="2381">
        <f t="shared" si="4"/>
        <v>334.36383341049191</v>
      </c>
      <c r="K133" s="2381">
        <f t="shared" si="4"/>
        <v>0</v>
      </c>
      <c r="L133" s="2381">
        <f t="shared" si="4"/>
        <v>77.849621389327609</v>
      </c>
      <c r="M133" s="2855">
        <f t="shared" si="4"/>
        <v>0</v>
      </c>
      <c r="N133" s="2381">
        <f t="shared" si="4"/>
        <v>5.5463044515512261E-2</v>
      </c>
      <c r="O133" s="2381">
        <f t="shared" si="4"/>
        <v>108.30672394376461</v>
      </c>
      <c r="P133" s="2381">
        <f t="shared" si="4"/>
        <v>0</v>
      </c>
      <c r="Q133" s="2381">
        <f t="shared" si="4"/>
        <v>8.2579876310246441</v>
      </c>
      <c r="R133" s="2855">
        <f t="shared" si="4"/>
        <v>0</v>
      </c>
      <c r="S133" s="2381">
        <f t="shared" si="4"/>
        <v>0</v>
      </c>
      <c r="T133" s="2381">
        <f t="shared" si="4"/>
        <v>0.87510234654264474</v>
      </c>
      <c r="U133" s="2381">
        <f t="shared" si="4"/>
        <v>0</v>
      </c>
      <c r="V133" s="2381">
        <f t="shared" si="4"/>
        <v>4.4457674343005005</v>
      </c>
      <c r="W133" s="2855">
        <f t="shared" si="4"/>
        <v>0</v>
      </c>
      <c r="X133" s="2381">
        <f t="shared" si="4"/>
        <v>82.303914404825719</v>
      </c>
      <c r="Y133" s="2381">
        <f t="shared" si="4"/>
        <v>60.363406091793124</v>
      </c>
      <c r="Z133" s="2381">
        <f t="shared" si="4"/>
        <v>157.52583695196071</v>
      </c>
      <c r="AA133" s="2855">
        <f t="shared" si="4"/>
        <v>0</v>
      </c>
    </row>
    <row r="134" spans="3:27">
      <c r="C134" s="365">
        <v>3</v>
      </c>
      <c r="D134" s="33">
        <v>581</v>
      </c>
      <c r="E134" s="96" t="s">
        <v>4317</v>
      </c>
      <c r="F134" s="290" t="s">
        <v>4316</v>
      </c>
      <c r="G134" s="2855">
        <f>+SUMIFS('Labor Input'!C:C,'Labor Input'!G:G,'0 MDS Labor O&amp;M'!D134)/1000</f>
        <v>661.90838291806187</v>
      </c>
      <c r="H134" s="2866">
        <f>+$G$134*H177</f>
        <v>63.761062506236144</v>
      </c>
      <c r="I134" s="2381">
        <f t="shared" ref="I134:AA134" si="5">+$G$134*I177</f>
        <v>15.469220824409177</v>
      </c>
      <c r="J134" s="2381">
        <f t="shared" si="5"/>
        <v>233.50755703561103</v>
      </c>
      <c r="K134" s="2381">
        <f t="shared" si="5"/>
        <v>0</v>
      </c>
      <c r="L134" s="2381">
        <f t="shared" si="5"/>
        <v>54.367348051222343</v>
      </c>
      <c r="M134" s="2855">
        <f t="shared" si="5"/>
        <v>0</v>
      </c>
      <c r="N134" s="2381">
        <f t="shared" si="5"/>
        <v>3.8733375851313666E-2</v>
      </c>
      <c r="O134" s="2381">
        <f t="shared" si="5"/>
        <v>75.637482261995174</v>
      </c>
      <c r="P134" s="2381">
        <f t="shared" si="5"/>
        <v>0</v>
      </c>
      <c r="Q134" s="2381">
        <f t="shared" si="5"/>
        <v>5.7670786283381261</v>
      </c>
      <c r="R134" s="2855">
        <f t="shared" si="5"/>
        <v>0</v>
      </c>
      <c r="S134" s="2381">
        <f t="shared" si="5"/>
        <v>0</v>
      </c>
      <c r="T134" s="2381">
        <f t="shared" si="5"/>
        <v>0.61113969478402219</v>
      </c>
      <c r="U134" s="2381">
        <f t="shared" si="5"/>
        <v>0</v>
      </c>
      <c r="V134" s="2381">
        <f t="shared" si="5"/>
        <v>3.1047625041955609</v>
      </c>
      <c r="W134" s="2855">
        <f t="shared" si="5"/>
        <v>0</v>
      </c>
      <c r="X134" s="2381">
        <f t="shared" si="5"/>
        <v>57.478064511674042</v>
      </c>
      <c r="Y134" s="2381">
        <f t="shared" si="5"/>
        <v>42.155610393240693</v>
      </c>
      <c r="Z134" s="2381">
        <f t="shared" si="5"/>
        <v>110.0103231305043</v>
      </c>
      <c r="AA134" s="2855">
        <f t="shared" si="5"/>
        <v>0</v>
      </c>
    </row>
    <row r="135" spans="3:27">
      <c r="C135" s="365">
        <v>4</v>
      </c>
      <c r="D135" s="33" t="s">
        <v>4318</v>
      </c>
      <c r="E135" s="96" t="s">
        <v>4319</v>
      </c>
      <c r="F135" s="290" t="s">
        <v>4123</v>
      </c>
      <c r="G135" s="2855">
        <f>+SUMIFS('Labor Input'!C:C,'Labor Input'!G:G,'0 MDS Labor O&amp;M'!D135)/1000</f>
        <v>435.83206715837213</v>
      </c>
      <c r="H135" s="2866">
        <f>+G135*H167</f>
        <v>435.83206715837213</v>
      </c>
      <c r="K135" s="2381"/>
      <c r="L135" s="2381"/>
      <c r="M135" s="2855"/>
      <c r="P135" s="2381"/>
      <c r="Q135" s="2381"/>
      <c r="R135" s="2855"/>
      <c r="W135" s="2855"/>
      <c r="AA135" s="2867">
        <f>+G135*AA167</f>
        <v>0</v>
      </c>
    </row>
    <row r="136" spans="3:27">
      <c r="C136" s="365">
        <v>5</v>
      </c>
      <c r="D136" s="33" t="s">
        <v>4320</v>
      </c>
      <c r="E136" s="96" t="s">
        <v>4321</v>
      </c>
      <c r="F136" s="290" t="s">
        <v>4109</v>
      </c>
      <c r="G136" s="2855">
        <f>+SUMIFS('Labor Input'!C:C,'Labor Input'!G:G,'0 MDS Labor O&amp;M'!D136)/1000</f>
        <v>3616.8197414265883</v>
      </c>
      <c r="H136" s="296"/>
      <c r="I136" s="2381">
        <f>+$G$136*I161</f>
        <v>160.47135948650995</v>
      </c>
      <c r="J136" s="2381">
        <f>+$G$136*J161</f>
        <v>2422.3117345866331</v>
      </c>
      <c r="K136" s="2381">
        <f>+$G$136*K161</f>
        <v>0</v>
      </c>
      <c r="L136" s="2381">
        <f>+$G$136*L161</f>
        <v>563.98459576512789</v>
      </c>
      <c r="M136" s="2855">
        <f>+$G$136*M161</f>
        <v>0</v>
      </c>
      <c r="P136" s="2381"/>
      <c r="Q136" s="2381"/>
      <c r="R136" s="2855"/>
      <c r="W136" s="2855"/>
      <c r="X136" s="2381">
        <f>+G136*X161</f>
        <v>470.05205158831762</v>
      </c>
      <c r="AA136" s="2868"/>
    </row>
    <row r="137" spans="3:27">
      <c r="C137" s="365">
        <v>6</v>
      </c>
      <c r="D137" s="33" t="s">
        <v>4322</v>
      </c>
      <c r="E137" s="96" t="s">
        <v>4323</v>
      </c>
      <c r="F137" s="290" t="s">
        <v>4120</v>
      </c>
      <c r="G137" s="2855">
        <f>+SUMIFS('Labor Input'!C:C,'Labor Input'!G:G,'0 MDS Labor O&amp;M'!D137)/1000</f>
        <v>0</v>
      </c>
      <c r="H137" s="296"/>
      <c r="K137" s="2381"/>
      <c r="L137" s="2381"/>
      <c r="M137" s="2855"/>
      <c r="N137" s="2381">
        <f>+$G$137*N164</f>
        <v>0</v>
      </c>
      <c r="O137" s="2381">
        <f>+$G$137*O164</f>
        <v>0</v>
      </c>
      <c r="P137" s="2381">
        <f>+$G$137*P164</f>
        <v>0</v>
      </c>
      <c r="Q137" s="2381">
        <f>+$G$137*Q164</f>
        <v>0</v>
      </c>
      <c r="R137" s="2855">
        <f>+$G$137*R164</f>
        <v>0</v>
      </c>
      <c r="W137" s="2855"/>
      <c r="X137" s="2381">
        <f>+G137*X164</f>
        <v>0</v>
      </c>
      <c r="AA137" s="296"/>
    </row>
    <row r="138" spans="3:27">
      <c r="C138" s="365">
        <v>7</v>
      </c>
      <c r="D138" s="33" t="s">
        <v>4324</v>
      </c>
      <c r="E138" s="96" t="s">
        <v>4325</v>
      </c>
      <c r="F138" s="290" t="s">
        <v>4326</v>
      </c>
      <c r="G138" s="2855">
        <f>+SUMIFS('Labor Input'!C:C,'Labor Input'!G:G,'0 MDS Labor O&amp;M'!D138)/1000</f>
        <v>1475.2809850902324</v>
      </c>
      <c r="H138" s="296"/>
      <c r="K138" s="2381"/>
      <c r="L138" s="2381"/>
      <c r="M138" s="2855"/>
      <c r="P138" s="2381"/>
      <c r="Q138" s="2381"/>
      <c r="R138" s="2855"/>
      <c r="W138" s="2855"/>
      <c r="Y138" s="2381">
        <f>+G138</f>
        <v>1475.2809850902324</v>
      </c>
      <c r="AA138" s="296"/>
    </row>
    <row r="139" spans="3:27">
      <c r="C139" s="365">
        <v>8</v>
      </c>
      <c r="D139" s="33" t="s">
        <v>4327</v>
      </c>
      <c r="E139" s="96" t="s">
        <v>4328</v>
      </c>
      <c r="F139" s="290" t="s">
        <v>4326</v>
      </c>
      <c r="G139" s="2855">
        <f>+SUMIFS('Labor Input'!C:C,'Labor Input'!G:G,'0 MDS Labor O&amp;M'!D139)/1000</f>
        <v>4209.3376616344194</v>
      </c>
      <c r="H139" s="296"/>
      <c r="K139" s="2381"/>
      <c r="L139" s="2381"/>
      <c r="M139" s="2855"/>
      <c r="P139" s="2381"/>
      <c r="Q139" s="2381"/>
      <c r="R139" s="2855"/>
      <c r="W139" s="2855"/>
      <c r="Z139" s="2381">
        <f>+G139</f>
        <v>4209.3376616344194</v>
      </c>
      <c r="AA139" s="296"/>
    </row>
    <row r="140" spans="3:27">
      <c r="C140" s="365">
        <v>9</v>
      </c>
      <c r="D140" s="33" t="s">
        <v>4329</v>
      </c>
      <c r="E140" s="96" t="s">
        <v>4330</v>
      </c>
      <c r="F140" s="290" t="s">
        <v>4326</v>
      </c>
      <c r="G140" s="2855">
        <f>+SUMIFS('Labor Input'!C:C,'Labor Input'!G:G,'0 MDS Labor O&amp;M'!D140)/1000</f>
        <v>0</v>
      </c>
      <c r="H140" s="296"/>
      <c r="K140" s="2381"/>
      <c r="L140" s="2381"/>
      <c r="M140" s="2855"/>
      <c r="P140" s="2381"/>
      <c r="Q140" s="2381"/>
      <c r="R140" s="2855"/>
      <c r="W140" s="2855"/>
      <c r="X140" s="162">
        <f>+G140</f>
        <v>0</v>
      </c>
      <c r="AA140" s="2855"/>
    </row>
    <row r="141" spans="3:27">
      <c r="C141" s="365">
        <v>10</v>
      </c>
      <c r="D141" s="33" t="s">
        <v>4331</v>
      </c>
      <c r="E141" s="96" t="s">
        <v>4332</v>
      </c>
      <c r="F141" s="290" t="s">
        <v>4316</v>
      </c>
      <c r="G141" s="2855">
        <f>+SUMIFS('Labor Input'!C:C,'Labor Input'!G:G,'0 MDS Labor O&amp;M'!D141)/1000</f>
        <v>6974.0904751129447</v>
      </c>
      <c r="H141" s="2866">
        <f>+$G$141*H177</f>
        <v>671.80810846879592</v>
      </c>
      <c r="I141" s="2381">
        <f t="shared" ref="I141:AA141" si="6">+$G$141*I177</f>
        <v>162.98893984892447</v>
      </c>
      <c r="J141" s="2381">
        <f t="shared" si="6"/>
        <v>2460.3145562375225</v>
      </c>
      <c r="K141" s="2381">
        <f t="shared" si="6"/>
        <v>0</v>
      </c>
      <c r="L141" s="2381">
        <f t="shared" si="6"/>
        <v>572.83275750281121</v>
      </c>
      <c r="M141" s="2855">
        <f t="shared" si="6"/>
        <v>0</v>
      </c>
      <c r="N141" s="2381">
        <f t="shared" si="6"/>
        <v>0.40810794146877571</v>
      </c>
      <c r="O141" s="2381">
        <f t="shared" si="6"/>
        <v>796.94208174155233</v>
      </c>
      <c r="P141" s="2381">
        <f t="shared" si="6"/>
        <v>0</v>
      </c>
      <c r="Q141" s="2381">
        <f t="shared" si="6"/>
        <v>60.763889941697911</v>
      </c>
      <c r="R141" s="2855">
        <f t="shared" si="6"/>
        <v>0</v>
      </c>
      <c r="S141" s="2381">
        <f t="shared" si="6"/>
        <v>0</v>
      </c>
      <c r="T141" s="2381">
        <f t="shared" si="6"/>
        <v>6.4391744149949748</v>
      </c>
      <c r="U141" s="2381">
        <f t="shared" si="6"/>
        <v>0</v>
      </c>
      <c r="V141" s="2381">
        <f t="shared" si="6"/>
        <v>32.712827283649169</v>
      </c>
      <c r="W141" s="2855">
        <f t="shared" si="6"/>
        <v>0</v>
      </c>
      <c r="X141" s="2381">
        <f t="shared" si="6"/>
        <v>605.60831768226103</v>
      </c>
      <c r="Y141" s="2381">
        <f t="shared" si="6"/>
        <v>444.16576146077642</v>
      </c>
      <c r="Z141" s="2381">
        <f t="shared" si="6"/>
        <v>1159.1059525884903</v>
      </c>
      <c r="AA141" s="2855">
        <f t="shared" si="6"/>
        <v>0</v>
      </c>
    </row>
    <row r="142" spans="3:27">
      <c r="C142" s="365">
        <v>11</v>
      </c>
      <c r="D142" s="33" t="s">
        <v>4333</v>
      </c>
      <c r="E142" s="96" t="s">
        <v>4270</v>
      </c>
      <c r="F142" s="290" t="s">
        <v>4334</v>
      </c>
      <c r="G142" s="2855">
        <f>+SUMIFS('Labor Input'!C:C,'Labor Input'!G:G,'0 MDS Labor O&amp;M'!D142)/1000</f>
        <v>0</v>
      </c>
      <c r="H142" s="296"/>
      <c r="I142" s="297"/>
      <c r="J142" s="297"/>
      <c r="K142" s="2869"/>
      <c r="L142" s="2869"/>
      <c r="M142" s="2870"/>
      <c r="N142" s="297"/>
      <c r="O142" s="297"/>
      <c r="P142" s="2869"/>
      <c r="Q142" s="2869"/>
      <c r="R142" s="2870"/>
      <c r="S142" s="297"/>
      <c r="T142" s="297"/>
      <c r="U142" s="297"/>
      <c r="V142" s="297"/>
      <c r="W142" s="2870"/>
      <c r="X142" s="297"/>
      <c r="Y142" s="297"/>
      <c r="Z142" s="297"/>
      <c r="AA142" s="298"/>
    </row>
    <row r="143" spans="3:27">
      <c r="C143" s="365">
        <v>12</v>
      </c>
      <c r="D143" s="33"/>
      <c r="E143" s="96" t="s">
        <v>4335</v>
      </c>
      <c r="G143" s="2871">
        <f>+SUM(G133:G142)</f>
        <v>18321.068292905424</v>
      </c>
      <c r="H143" s="2872">
        <f>+SUM(H133:H142)</f>
        <v>1262.7018947483839</v>
      </c>
      <c r="I143" s="2869">
        <f t="shared" ref="I143:AA143" si="7">+SUM(I133:I142)</f>
        <v>361.08018646112333</v>
      </c>
      <c r="J143" s="2869">
        <f t="shared" si="7"/>
        <v>5450.4976812702589</v>
      </c>
      <c r="K143" s="2869">
        <f t="shared" si="7"/>
        <v>0</v>
      </c>
      <c r="L143" s="2869">
        <f t="shared" si="7"/>
        <v>1269.0343227084891</v>
      </c>
      <c r="M143" s="2870">
        <f t="shared" si="7"/>
        <v>0</v>
      </c>
      <c r="N143" s="2869">
        <f t="shared" si="7"/>
        <v>0.50230436183560168</v>
      </c>
      <c r="O143" s="2869">
        <f t="shared" si="7"/>
        <v>980.8862879473121</v>
      </c>
      <c r="P143" s="2869">
        <f t="shared" si="7"/>
        <v>0</v>
      </c>
      <c r="Q143" s="2869">
        <f t="shared" si="7"/>
        <v>74.788956201060685</v>
      </c>
      <c r="R143" s="2870">
        <f t="shared" si="7"/>
        <v>0</v>
      </c>
      <c r="S143" s="2869">
        <f t="shared" si="7"/>
        <v>0</v>
      </c>
      <c r="T143" s="2869">
        <f t="shared" si="7"/>
        <v>7.925416456321642</v>
      </c>
      <c r="U143" s="2869">
        <f t="shared" si="7"/>
        <v>0</v>
      </c>
      <c r="V143" s="2869">
        <f t="shared" si="7"/>
        <v>40.263357222145231</v>
      </c>
      <c r="W143" s="2870">
        <f t="shared" si="7"/>
        <v>0</v>
      </c>
      <c r="X143" s="2869">
        <f>+SUM(X133:X142)</f>
        <v>1215.4423481870786</v>
      </c>
      <c r="Y143" s="2869">
        <f t="shared" si="7"/>
        <v>2021.9657630360425</v>
      </c>
      <c r="Z143" s="2869">
        <f t="shared" si="7"/>
        <v>5635.979774305375</v>
      </c>
      <c r="AA143" s="2873">
        <f t="shared" si="7"/>
        <v>0</v>
      </c>
    </row>
    <row r="144" spans="3:27">
      <c r="C144" s="365">
        <v>13</v>
      </c>
      <c r="D144" s="33"/>
      <c r="G144" s="296"/>
      <c r="H144" s="296"/>
      <c r="K144" s="2381"/>
      <c r="L144" s="2381"/>
      <c r="M144" s="2855"/>
      <c r="P144" s="2381"/>
      <c r="Q144" s="2381"/>
      <c r="R144" s="2855"/>
      <c r="W144" s="2855"/>
      <c r="AA144" s="296"/>
    </row>
    <row r="145" spans="3:27">
      <c r="C145" s="365">
        <v>14</v>
      </c>
      <c r="D145" s="33"/>
      <c r="E145" s="531" t="s">
        <v>4272</v>
      </c>
      <c r="G145" s="296"/>
      <c r="H145" s="296"/>
      <c r="K145" s="2381"/>
      <c r="L145" s="2381"/>
      <c r="M145" s="2855"/>
      <c r="P145" s="2381"/>
      <c r="Q145" s="2381"/>
      <c r="R145" s="2855"/>
      <c r="W145" s="2855"/>
      <c r="AA145" s="296"/>
    </row>
    <row r="146" spans="3:27">
      <c r="C146" s="365">
        <v>15</v>
      </c>
      <c r="D146" s="33" t="s">
        <v>4336</v>
      </c>
      <c r="E146" s="96" t="s">
        <v>4279</v>
      </c>
      <c r="F146" s="290" t="s">
        <v>4337</v>
      </c>
      <c r="G146" s="2855">
        <f>+SUMIFS('Labor Input'!C:C,'Labor Input'!G:G,'0 MDS Labor O&amp;M'!D146)/1000</f>
        <v>0</v>
      </c>
      <c r="H146" s="296">
        <f>+$G$146*H171</f>
        <v>0</v>
      </c>
      <c r="I146">
        <f t="shared" ref="I146:AA146" si="8">+$G$146*I171</f>
        <v>0</v>
      </c>
      <c r="J146">
        <f t="shared" si="8"/>
        <v>0</v>
      </c>
      <c r="K146" s="2381">
        <f t="shared" si="8"/>
        <v>0</v>
      </c>
      <c r="L146" s="2381">
        <f t="shared" si="8"/>
        <v>0</v>
      </c>
      <c r="M146" s="2855">
        <f t="shared" si="8"/>
        <v>0</v>
      </c>
      <c r="N146">
        <f t="shared" si="8"/>
        <v>0</v>
      </c>
      <c r="O146">
        <f t="shared" si="8"/>
        <v>0</v>
      </c>
      <c r="P146" s="2381">
        <f t="shared" si="8"/>
        <v>0</v>
      </c>
      <c r="Q146" s="2381">
        <f t="shared" si="8"/>
        <v>0</v>
      </c>
      <c r="R146" s="2855">
        <f t="shared" si="8"/>
        <v>0</v>
      </c>
      <c r="S146">
        <f t="shared" si="8"/>
        <v>0</v>
      </c>
      <c r="T146">
        <f t="shared" si="8"/>
        <v>0</v>
      </c>
      <c r="U146">
        <f t="shared" si="8"/>
        <v>0</v>
      </c>
      <c r="V146">
        <f t="shared" si="8"/>
        <v>0</v>
      </c>
      <c r="W146" s="2855">
        <f t="shared" si="8"/>
        <v>0</v>
      </c>
      <c r="X146">
        <f t="shared" si="8"/>
        <v>0</v>
      </c>
      <c r="Y146">
        <f t="shared" si="8"/>
        <v>0</v>
      </c>
      <c r="Z146">
        <f t="shared" si="8"/>
        <v>0</v>
      </c>
      <c r="AA146" s="296">
        <f t="shared" si="8"/>
        <v>0</v>
      </c>
    </row>
    <row r="147" spans="3:27">
      <c r="C147" s="365">
        <v>16</v>
      </c>
      <c r="D147" s="33" t="s">
        <v>4338</v>
      </c>
      <c r="E147" s="96" t="s">
        <v>4339</v>
      </c>
      <c r="F147" s="290" t="s">
        <v>4334</v>
      </c>
      <c r="G147" s="2855">
        <f>+SUMIFS('Labor Input'!C:C,'Labor Input'!G:G,'0 MDS Labor O&amp;M'!D147)/1000</f>
        <v>118.18418573713177</v>
      </c>
      <c r="H147" s="2866">
        <f>+G147</f>
        <v>118.18418573713177</v>
      </c>
      <c r="K147" s="2381"/>
      <c r="L147" s="2381"/>
      <c r="M147" s="2855"/>
      <c r="P147" s="2381"/>
      <c r="Q147" s="2381"/>
      <c r="R147" s="2855"/>
      <c r="W147" s="2855"/>
      <c r="AA147" s="296"/>
    </row>
    <row r="148" spans="3:27">
      <c r="C148" s="365">
        <v>17</v>
      </c>
      <c r="D148" s="33" t="s">
        <v>4340</v>
      </c>
      <c r="E148" s="96" t="s">
        <v>4341</v>
      </c>
      <c r="F148" s="290" t="s">
        <v>4123</v>
      </c>
      <c r="G148" s="2855">
        <f>+SUMIFS('Labor Input'!C:C,'Labor Input'!G:G,'0 MDS Labor O&amp;M'!D148)/1000</f>
        <v>1729.4598107459692</v>
      </c>
      <c r="H148" s="2866">
        <f>+G148*H167</f>
        <v>1729.4598107459692</v>
      </c>
      <c r="K148" s="2381"/>
      <c r="L148" s="2381"/>
      <c r="M148" s="2855"/>
      <c r="P148" s="2381"/>
      <c r="Q148" s="2381"/>
      <c r="R148" s="2855"/>
      <c r="W148" s="2855"/>
      <c r="AA148" s="2867">
        <f>+G148*AA167</f>
        <v>0</v>
      </c>
    </row>
    <row r="149" spans="3:27">
      <c r="C149" s="365">
        <v>18</v>
      </c>
      <c r="D149" s="33" t="s">
        <v>4342</v>
      </c>
      <c r="E149" s="96" t="s">
        <v>4343</v>
      </c>
      <c r="F149" s="290" t="s">
        <v>4109</v>
      </c>
      <c r="G149" s="2855">
        <f>+SUMIFS('Labor Input'!C:C,'Labor Input'!G:G,'0 MDS Labor O&amp;M'!D149)/1000</f>
        <v>9516.0588996931001</v>
      </c>
      <c r="H149" s="2866"/>
      <c r="I149" s="2381">
        <f>+$G$149*I161</f>
        <v>422.20929373304489</v>
      </c>
      <c r="J149" s="2381">
        <f>+$G$149*J161</f>
        <v>6373.2402463198705</v>
      </c>
      <c r="K149" s="2381">
        <f>+$G$149*K161</f>
        <v>0</v>
      </c>
      <c r="L149" s="2381">
        <f>+$G$149*L161</f>
        <v>1483.8756187787453</v>
      </c>
      <c r="M149" s="2855">
        <f>+$G$149*M161</f>
        <v>0</v>
      </c>
      <c r="P149" s="2381"/>
      <c r="Q149" s="2381"/>
      <c r="R149" s="2855"/>
      <c r="W149" s="2855"/>
      <c r="X149" s="2381">
        <f>+G149*X161</f>
        <v>1236.7337408614399</v>
      </c>
      <c r="Y149" s="2381"/>
      <c r="AA149" s="2867"/>
    </row>
    <row r="150" spans="3:27">
      <c r="C150" s="365">
        <v>19</v>
      </c>
      <c r="D150" s="33" t="s">
        <v>4344</v>
      </c>
      <c r="E150" s="96" t="s">
        <v>4345</v>
      </c>
      <c r="F150" s="290" t="s">
        <v>4120</v>
      </c>
      <c r="G150" s="2855">
        <f>+SUMIFS('Labor Input'!C:C,'Labor Input'!G:G,'0 MDS Labor O&amp;M'!D150)/1000</f>
        <v>3666.4083323287596</v>
      </c>
      <c r="H150" s="2866"/>
      <c r="K150" s="2381"/>
      <c r="L150" s="2381"/>
      <c r="M150" s="2855"/>
      <c r="N150" s="2381">
        <f>+$G$150*N164</f>
        <v>1.5170806432370798</v>
      </c>
      <c r="O150" s="2381">
        <f>+$G$150*O164</f>
        <v>2962.5137938749822</v>
      </c>
      <c r="P150" s="2381">
        <f>+$G$150*P164</f>
        <v>0</v>
      </c>
      <c r="Q150" s="2381">
        <f>+$G$150*Q164</f>
        <v>225.88073367690438</v>
      </c>
      <c r="R150" s="2855">
        <f>+$G$150*R164</f>
        <v>0</v>
      </c>
      <c r="W150" s="2855"/>
      <c r="X150" s="2381">
        <f>+G150*X164</f>
        <v>476.49672413363652</v>
      </c>
      <c r="AA150" s="296"/>
    </row>
    <row r="151" spans="3:27">
      <c r="C151" s="365">
        <v>20</v>
      </c>
      <c r="D151" s="33" t="s">
        <v>4346</v>
      </c>
      <c r="E151" s="96" t="s">
        <v>4347</v>
      </c>
      <c r="F151" s="290" t="s">
        <v>4326</v>
      </c>
      <c r="G151" s="2855">
        <f>+SUMIFS('Labor Input'!C:C,'Labor Input'!G:G,'0 MDS Labor O&amp;M'!D151)/1000</f>
        <v>203.21724187116277</v>
      </c>
      <c r="H151" s="2866"/>
      <c r="K151" s="2381"/>
      <c r="L151" s="2381"/>
      <c r="M151" s="2855"/>
      <c r="P151" s="2381"/>
      <c r="Q151" s="2381"/>
      <c r="R151" s="2855"/>
      <c r="S151" s="2381">
        <f>+IF($G$151&gt;0,$G$151*('0 MDS Distribution O&amp;M'!R38/'0 MDS Distribution O&amp;M'!$F$38),0)</f>
        <v>0</v>
      </c>
      <c r="T151" s="2381">
        <f>+IF($G$151&gt;0,$G$151*('0 MDS Distribution O&amp;M'!S38/'0 MDS Distribution O&amp;M'!$F$38),0)</f>
        <v>33.422333668011483</v>
      </c>
      <c r="U151" s="2381">
        <f>+IF($G$151&gt;0,$G$151*('0 MDS Distribution O&amp;M'!T38/'0 MDS Distribution O&amp;M'!$F$38),0)</f>
        <v>0</v>
      </c>
      <c r="V151" s="2381">
        <f>+IF($G$151&gt;0,$G$151*('0 MDS Distribution O&amp;M'!U38/'0 MDS Distribution O&amp;M'!$F$38),0)</f>
        <v>169.79490820315129</v>
      </c>
      <c r="W151" s="2855">
        <f>+IF($G$151&gt;0,$G$151*('0 MDS Distribution O&amp;M'!V38/'0 MDS Distribution O&amp;M'!$F$38),0)</f>
        <v>0</v>
      </c>
      <c r="AA151" s="296"/>
    </row>
    <row r="152" spans="3:27">
      <c r="C152" s="365">
        <v>21</v>
      </c>
      <c r="D152" s="33" t="s">
        <v>4348</v>
      </c>
      <c r="E152" s="96" t="s">
        <v>4349</v>
      </c>
      <c r="F152" s="290" t="s">
        <v>4326</v>
      </c>
      <c r="G152" s="2855">
        <f>+SUMIFS('Labor Input'!C:C,'Labor Input'!G:G,'0 MDS Labor O&amp;M'!D152)/1000</f>
        <v>0</v>
      </c>
      <c r="H152" s="2866"/>
      <c r="K152" s="2381"/>
      <c r="L152" s="2381"/>
      <c r="M152" s="2855"/>
      <c r="P152" s="2381"/>
      <c r="Q152" s="2381"/>
      <c r="R152" s="2855"/>
      <c r="W152" s="2855"/>
      <c r="Y152" s="2381">
        <f>+G152</f>
        <v>0</v>
      </c>
      <c r="AA152" s="296"/>
    </row>
    <row r="153" spans="3:27">
      <c r="C153" s="365">
        <v>22</v>
      </c>
      <c r="D153" s="33" t="s">
        <v>4350</v>
      </c>
      <c r="E153" s="96" t="s">
        <v>4351</v>
      </c>
      <c r="F153" s="290" t="s">
        <v>4326</v>
      </c>
      <c r="G153" s="2855">
        <f>+SUMIFS('Labor Input'!C:C,'Labor Input'!G:G,'0 MDS Labor O&amp;M'!D153)/1000</f>
        <v>755.25025187124038</v>
      </c>
      <c r="H153" s="2866"/>
      <c r="K153" s="2381"/>
      <c r="L153" s="2381"/>
      <c r="M153" s="2855"/>
      <c r="P153" s="2381"/>
      <c r="Q153" s="2381"/>
      <c r="R153" s="2855"/>
      <c r="W153" s="2855"/>
      <c r="Z153" s="2381">
        <f>+G153</f>
        <v>755.25025187124038</v>
      </c>
      <c r="AA153" s="296"/>
    </row>
    <row r="154" spans="3:27">
      <c r="C154" s="365">
        <v>23</v>
      </c>
      <c r="D154" s="33" t="s">
        <v>4352</v>
      </c>
      <c r="E154" s="96" t="s">
        <v>4353</v>
      </c>
      <c r="F154" s="290" t="s">
        <v>4337</v>
      </c>
      <c r="G154" s="2855">
        <f>+SUMIFS('Labor Input'!C:C,'Labor Input'!G:G,'0 MDS Labor O&amp;M'!D154)/1000</f>
        <v>0</v>
      </c>
      <c r="H154" s="2866">
        <f>+$G$154*H171</f>
        <v>0</v>
      </c>
      <c r="I154">
        <f t="shared" ref="I154:AA154" si="9">+$G$154*I171</f>
        <v>0</v>
      </c>
      <c r="J154">
        <f t="shared" si="9"/>
        <v>0</v>
      </c>
      <c r="K154" s="2381">
        <f t="shared" si="9"/>
        <v>0</v>
      </c>
      <c r="L154" s="2381">
        <f t="shared" si="9"/>
        <v>0</v>
      </c>
      <c r="M154" s="2855">
        <f t="shared" si="9"/>
        <v>0</v>
      </c>
      <c r="N154">
        <f t="shared" si="9"/>
        <v>0</v>
      </c>
      <c r="O154">
        <f t="shared" si="9"/>
        <v>0</v>
      </c>
      <c r="P154" s="2381">
        <f t="shared" si="9"/>
        <v>0</v>
      </c>
      <c r="Q154" s="2381">
        <f t="shared" si="9"/>
        <v>0</v>
      </c>
      <c r="R154" s="2855">
        <f t="shared" si="9"/>
        <v>0</v>
      </c>
      <c r="S154">
        <f t="shared" si="9"/>
        <v>0</v>
      </c>
      <c r="T154">
        <f t="shared" si="9"/>
        <v>0</v>
      </c>
      <c r="U154">
        <f t="shared" si="9"/>
        <v>0</v>
      </c>
      <c r="V154">
        <f t="shared" si="9"/>
        <v>0</v>
      </c>
      <c r="W154" s="2855">
        <f t="shared" si="9"/>
        <v>0</v>
      </c>
      <c r="X154">
        <f t="shared" si="9"/>
        <v>0</v>
      </c>
      <c r="Y154">
        <f t="shared" si="9"/>
        <v>0</v>
      </c>
      <c r="Z154" s="2381">
        <f t="shared" si="9"/>
        <v>0</v>
      </c>
      <c r="AA154" s="296">
        <f t="shared" si="9"/>
        <v>0</v>
      </c>
    </row>
    <row r="155" spans="3:27">
      <c r="C155" s="365">
        <v>24</v>
      </c>
      <c r="E155" s="96" t="s">
        <v>4354</v>
      </c>
      <c r="G155" s="2871">
        <f>+SUM(G146:G154)</f>
        <v>15988.578722247365</v>
      </c>
      <c r="H155" s="2871">
        <f t="shared" ref="H155:AA155" si="10">+SUM(H146:H154)</f>
        <v>1847.6439964831011</v>
      </c>
      <c r="I155" s="2874">
        <f t="shared" si="10"/>
        <v>422.20929373304489</v>
      </c>
      <c r="J155" s="2874">
        <f t="shared" si="10"/>
        <v>6373.2402463198705</v>
      </c>
      <c r="K155" s="2874">
        <f t="shared" si="10"/>
        <v>0</v>
      </c>
      <c r="L155" s="2874">
        <f t="shared" si="10"/>
        <v>1483.8756187787453</v>
      </c>
      <c r="M155" s="2871">
        <f t="shared" si="10"/>
        <v>0</v>
      </c>
      <c r="N155" s="2874">
        <f t="shared" si="10"/>
        <v>1.5170806432370798</v>
      </c>
      <c r="O155" s="2874">
        <f t="shared" si="10"/>
        <v>2962.5137938749822</v>
      </c>
      <c r="P155" s="2874">
        <f t="shared" si="10"/>
        <v>0</v>
      </c>
      <c r="Q155" s="2874">
        <f t="shared" si="10"/>
        <v>225.88073367690438</v>
      </c>
      <c r="R155" s="2871">
        <f t="shared" si="10"/>
        <v>0</v>
      </c>
      <c r="S155" s="2874">
        <f t="shared" si="10"/>
        <v>0</v>
      </c>
      <c r="T155" s="2874">
        <f t="shared" si="10"/>
        <v>33.422333668011483</v>
      </c>
      <c r="U155" s="2874">
        <f t="shared" si="10"/>
        <v>0</v>
      </c>
      <c r="V155" s="2874">
        <f t="shared" si="10"/>
        <v>169.79490820315129</v>
      </c>
      <c r="W155" s="2871">
        <f t="shared" si="10"/>
        <v>0</v>
      </c>
      <c r="X155" s="2875">
        <f t="shared" si="10"/>
        <v>1713.2304649950763</v>
      </c>
      <c r="Y155" s="2874">
        <f t="shared" si="10"/>
        <v>0</v>
      </c>
      <c r="Z155" s="2874">
        <f t="shared" si="10"/>
        <v>755.25025187124038</v>
      </c>
      <c r="AA155" s="2871">
        <f t="shared" si="10"/>
        <v>0</v>
      </c>
    </row>
    <row r="156" spans="3:27">
      <c r="C156" s="365">
        <v>25</v>
      </c>
      <c r="G156" s="296"/>
      <c r="H156" s="2866"/>
      <c r="M156" s="296"/>
      <c r="R156" s="296"/>
      <c r="W156" s="296"/>
      <c r="AA156" s="296"/>
    </row>
    <row r="157" spans="3:27">
      <c r="C157" s="365">
        <v>26</v>
      </c>
      <c r="E157" s="96" t="s">
        <v>4355</v>
      </c>
      <c r="G157" s="2870">
        <f>+G143+G155</f>
        <v>34309.64701515279</v>
      </c>
      <c r="H157" s="2870">
        <f t="shared" ref="H157:AA157" si="11">+H143+H155</f>
        <v>3110.345891231485</v>
      </c>
      <c r="I157" s="2869">
        <f t="shared" si="11"/>
        <v>783.28948019416816</v>
      </c>
      <c r="J157" s="2869">
        <f t="shared" si="11"/>
        <v>11823.737927590129</v>
      </c>
      <c r="K157" s="2869">
        <f t="shared" si="11"/>
        <v>0</v>
      </c>
      <c r="L157" s="2869">
        <f t="shared" si="11"/>
        <v>2752.9099414872344</v>
      </c>
      <c r="M157" s="2870">
        <f t="shared" si="11"/>
        <v>0</v>
      </c>
      <c r="N157" s="2869">
        <f t="shared" si="11"/>
        <v>2.0193850050726816</v>
      </c>
      <c r="O157" s="2869">
        <f t="shared" si="11"/>
        <v>3943.4000818222944</v>
      </c>
      <c r="P157" s="2869">
        <f t="shared" si="11"/>
        <v>0</v>
      </c>
      <c r="Q157" s="2869">
        <f t="shared" si="11"/>
        <v>300.66968987796508</v>
      </c>
      <c r="R157" s="2870">
        <f t="shared" si="11"/>
        <v>0</v>
      </c>
      <c r="S157" s="2869">
        <f t="shared" si="11"/>
        <v>0</v>
      </c>
      <c r="T157" s="2869">
        <f t="shared" si="11"/>
        <v>41.347750124333125</v>
      </c>
      <c r="U157" s="2869">
        <f t="shared" si="11"/>
        <v>0</v>
      </c>
      <c r="V157" s="2869">
        <f t="shared" si="11"/>
        <v>210.05826542529653</v>
      </c>
      <c r="W157" s="2870">
        <f t="shared" si="11"/>
        <v>0</v>
      </c>
      <c r="X157" s="2876">
        <f t="shared" si="11"/>
        <v>2928.6728131821546</v>
      </c>
      <c r="Y157" s="2869">
        <f t="shared" si="11"/>
        <v>2021.9657630360425</v>
      </c>
      <c r="Z157" s="2869">
        <f t="shared" si="11"/>
        <v>6391.2300261766159</v>
      </c>
      <c r="AA157" s="2870">
        <f t="shared" si="11"/>
        <v>0</v>
      </c>
    </row>
    <row r="158" spans="3:27" ht="15" thickBot="1">
      <c r="C158" s="365">
        <v>27</v>
      </c>
      <c r="D158" s="32"/>
      <c r="E158" s="35"/>
      <c r="F158" s="32"/>
      <c r="G158" s="2877"/>
      <c r="H158" s="2878"/>
      <c r="I158" s="2877"/>
      <c r="J158" s="2877"/>
      <c r="K158" s="2877"/>
      <c r="L158" s="2877"/>
      <c r="M158" s="2877"/>
      <c r="N158" s="2877"/>
      <c r="O158" s="2877"/>
      <c r="P158" s="2877"/>
      <c r="Q158" s="2877"/>
      <c r="R158" s="2877"/>
      <c r="S158" s="2877"/>
      <c r="T158" s="2877"/>
      <c r="U158" s="2877"/>
      <c r="V158" s="2877"/>
      <c r="W158" s="2877"/>
      <c r="X158" s="2877"/>
      <c r="Y158" s="2877"/>
      <c r="Z158" s="2877"/>
      <c r="AA158" s="2879"/>
    </row>
    <row r="159" spans="3:27">
      <c r="C159" s="365">
        <v>28</v>
      </c>
      <c r="D159" s="2880" t="s">
        <v>4356</v>
      </c>
      <c r="E159" s="2518"/>
      <c r="F159" s="297"/>
      <c r="G159" s="297"/>
      <c r="H159" s="364" t="s">
        <v>2181</v>
      </c>
      <c r="AA159" s="296"/>
    </row>
    <row r="160" spans="3:27">
      <c r="C160" s="365">
        <v>29</v>
      </c>
      <c r="D160" s="96" t="s">
        <v>4357</v>
      </c>
      <c r="F160" s="866"/>
      <c r="G160" s="866">
        <f>+'0 MDS Distribution'!E75</f>
        <v>825308.13575929042</v>
      </c>
      <c r="H160" s="866"/>
      <c r="I160" s="866">
        <f>+'0 MDS Distribution'!F75</f>
        <v>36617.34009678143</v>
      </c>
      <c r="J160" s="866">
        <f>+'0 MDS Distribution'!G75</f>
        <v>552737.96451658872</v>
      </c>
      <c r="K160" s="866">
        <f>+'0 MDS Distribution'!H75</f>
        <v>0</v>
      </c>
      <c r="L160" s="866">
        <f>+'0 MDS Distribution'!I75</f>
        <v>128693.46790954034</v>
      </c>
      <c r="M160" s="866">
        <f>+'0 MDS Distribution'!J75</f>
        <v>0</v>
      </c>
      <c r="N160" s="96"/>
      <c r="O160" s="96"/>
      <c r="P160" s="96"/>
      <c r="Q160" s="96"/>
      <c r="R160" s="96"/>
      <c r="T160" s="96"/>
      <c r="U160" s="96"/>
      <c r="V160" s="96"/>
      <c r="W160" s="96"/>
      <c r="X160" s="2881">
        <f>+'0 MDS Distribution'!K75</f>
        <v>107259.36323637994</v>
      </c>
      <c r="Y160" s="96"/>
      <c r="Z160" s="96"/>
      <c r="AA160" s="2882">
        <f>+'0 MDS Distribution'!L75</f>
        <v>0</v>
      </c>
    </row>
    <row r="161" spans="3:27">
      <c r="C161" s="365">
        <v>30</v>
      </c>
      <c r="D161" s="96" t="s">
        <v>4358</v>
      </c>
      <c r="E161" s="290"/>
      <c r="F161" s="60" t="s">
        <v>4109</v>
      </c>
      <c r="G161" s="867">
        <f>+SUM(I161:AA161)</f>
        <v>1</v>
      </c>
      <c r="H161" s="2883"/>
      <c r="I161" s="867">
        <f>+I160/$G$160</f>
        <v>4.4368083277275788E-2</v>
      </c>
      <c r="J161" s="867">
        <f>+J160/$G$160</f>
        <v>0.6697352668262081</v>
      </c>
      <c r="K161" s="867">
        <f>+K160/$G$160</f>
        <v>0</v>
      </c>
      <c r="L161" s="867">
        <f>+L160/$G$160</f>
        <v>0.15593384135386146</v>
      </c>
      <c r="M161" s="867">
        <f>+M160/$G$160</f>
        <v>0</v>
      </c>
      <c r="N161" s="2856"/>
      <c r="O161" s="2856"/>
      <c r="Q161" s="2856"/>
      <c r="T161" s="2856"/>
      <c r="V161" s="2856"/>
      <c r="X161" s="867">
        <f>+X160/G160</f>
        <v>0.12996280854265471</v>
      </c>
      <c r="AA161" s="868">
        <f>+AA160/G160</f>
        <v>0</v>
      </c>
    </row>
    <row r="162" spans="3:27">
      <c r="C162" s="365">
        <v>31</v>
      </c>
      <c r="D162" s="33"/>
      <c r="F162" s="62"/>
      <c r="I162" s="2884"/>
      <c r="J162" s="2884"/>
      <c r="K162" s="2884"/>
      <c r="L162" s="2884"/>
      <c r="M162" s="2884"/>
      <c r="N162" s="866"/>
      <c r="O162" s="866"/>
      <c r="Q162" s="866"/>
      <c r="T162" s="866"/>
      <c r="X162" s="2884"/>
      <c r="AA162" s="2885"/>
    </row>
    <row r="163" spans="3:27">
      <c r="C163" s="365">
        <v>32</v>
      </c>
      <c r="D163" s="96" t="s">
        <v>4359</v>
      </c>
      <c r="F163" s="869"/>
      <c r="G163" s="866">
        <f>+SUM(H163:AA163)</f>
        <v>932218.26530362002</v>
      </c>
      <c r="N163" s="654">
        <f>+'0 MDS Distribution'!F83</f>
        <v>385.73180000000002</v>
      </c>
      <c r="O163" s="654">
        <f>+'0 MDS Distribution'!G83</f>
        <v>753246.56163162598</v>
      </c>
      <c r="P163" s="654">
        <f>+'0 MDS Distribution'!H83</f>
        <v>0</v>
      </c>
      <c r="Q163" s="654">
        <f>+'0 MDS Distribution'!I83</f>
        <v>57432.267938374134</v>
      </c>
      <c r="R163" s="654">
        <f>+'0 MDS Distribution'!J83</f>
        <v>0</v>
      </c>
      <c r="S163" s="654"/>
      <c r="T163" s="654"/>
      <c r="U163" s="654"/>
      <c r="V163" s="849"/>
      <c r="W163" s="849"/>
      <c r="X163" s="630">
        <f>+'0 MDS Distribution'!K83</f>
        <v>121153.70393362005</v>
      </c>
      <c r="AA163" s="296"/>
    </row>
    <row r="164" spans="3:27">
      <c r="C164" s="365">
        <v>33</v>
      </c>
      <c r="D164" s="96" t="s">
        <v>4360</v>
      </c>
      <c r="E164" s="290"/>
      <c r="F164" s="60" t="s">
        <v>4120</v>
      </c>
      <c r="G164" s="854"/>
      <c r="N164" s="867">
        <f>+N163/$G$163</f>
        <v>4.1377841902118126E-4</v>
      </c>
      <c r="O164" s="867">
        <f>+O163/$G$163</f>
        <v>0.80801523598799729</v>
      </c>
      <c r="P164" s="867">
        <f>+P163/$G$163</f>
        <v>0</v>
      </c>
      <c r="Q164" s="867">
        <f>+Q163/$G$163</f>
        <v>6.1608177050327007E-2</v>
      </c>
      <c r="R164" s="867">
        <f>+R163/$G$163</f>
        <v>0</v>
      </c>
      <c r="S164" s="867"/>
      <c r="T164" s="867"/>
      <c r="U164" s="867"/>
      <c r="V164" s="2856"/>
      <c r="W164" s="2856"/>
      <c r="X164" s="867">
        <f>+X163/$G$163</f>
        <v>0.12996280854265471</v>
      </c>
      <c r="AA164" s="296"/>
    </row>
    <row r="165" spans="3:27">
      <c r="C165" s="365">
        <v>34</v>
      </c>
      <c r="D165" s="33"/>
      <c r="F165" s="62"/>
      <c r="G165" s="854"/>
      <c r="N165" s="2884"/>
      <c r="O165" s="2884"/>
      <c r="P165" s="2884"/>
      <c r="Q165" s="2884"/>
      <c r="R165" s="2884"/>
      <c r="S165" s="2884"/>
      <c r="T165" s="2884"/>
      <c r="U165" s="2884"/>
      <c r="V165" s="2856"/>
      <c r="W165" s="2856"/>
      <c r="X165" s="2884"/>
      <c r="AA165" s="296"/>
    </row>
    <row r="166" spans="3:27">
      <c r="C166" s="365">
        <v>35</v>
      </c>
      <c r="D166" s="96" t="s">
        <v>4361</v>
      </c>
      <c r="F166" s="62"/>
      <c r="G166" s="866">
        <f>+SUM(H166:AA166)</f>
        <v>368438.48759000003</v>
      </c>
      <c r="H166" s="64">
        <f>+'0 MDS Distribution'!E89</f>
        <v>368438.48759000003</v>
      </c>
      <c r="X166" s="162"/>
      <c r="AA166" s="2866">
        <f>+'0 MDS Distribution'!F89</f>
        <v>0</v>
      </c>
    </row>
    <row r="167" spans="3:27">
      <c r="C167" s="365">
        <v>36</v>
      </c>
      <c r="D167" s="96" t="s">
        <v>4362</v>
      </c>
      <c r="E167" s="290"/>
      <c r="F167" s="60" t="s">
        <v>4123</v>
      </c>
      <c r="G167" s="854"/>
      <c r="H167" s="867">
        <f>+H166/G166</f>
        <v>1</v>
      </c>
      <c r="X167" s="162"/>
      <c r="AA167" s="868">
        <f>+AA166/G166</f>
        <v>0</v>
      </c>
    </row>
    <row r="168" spans="3:27">
      <c r="C168" s="365">
        <v>37</v>
      </c>
      <c r="D168" s="33"/>
      <c r="H168" s="2571"/>
      <c r="I168" s="297"/>
      <c r="J168" s="297"/>
      <c r="K168" s="297"/>
      <c r="L168" s="297"/>
      <c r="M168" s="297"/>
      <c r="N168" s="297"/>
      <c r="O168" s="297"/>
      <c r="P168" s="297"/>
      <c r="Q168" s="297"/>
      <c r="R168" s="297"/>
      <c r="S168" s="297"/>
      <c r="T168" s="297"/>
      <c r="U168" s="297"/>
      <c r="V168" s="297"/>
      <c r="W168" s="297"/>
      <c r="X168" s="530"/>
      <c r="Y168" s="297"/>
      <c r="Z168" s="297"/>
      <c r="AA168" s="298"/>
    </row>
    <row r="169" spans="3:27">
      <c r="C169" s="365">
        <v>38</v>
      </c>
      <c r="D169" s="2886" t="s">
        <v>4363</v>
      </c>
      <c r="E169" s="638"/>
      <c r="F169" s="2479"/>
      <c r="G169" s="2479"/>
      <c r="H169" s="364" t="s">
        <v>2181</v>
      </c>
      <c r="X169" s="162"/>
      <c r="AA169" s="296"/>
    </row>
    <row r="170" spans="3:27">
      <c r="C170" s="365">
        <v>39</v>
      </c>
      <c r="D170" s="96" t="s">
        <v>4364</v>
      </c>
      <c r="E170" s="96"/>
      <c r="F170" s="329"/>
      <c r="G170" s="866">
        <f>+SUM(H170:AA170)</f>
        <v>22452.582094121601</v>
      </c>
      <c r="H170" s="64">
        <f>+'0 MDS Distribution O&amp;M'!G57</f>
        <v>2334.6293453197995</v>
      </c>
      <c r="I170" s="64">
        <f>+'0 MDS Distribution O&amp;M'!H57</f>
        <v>612.908879524908</v>
      </c>
      <c r="J170" s="64">
        <f>+'0 MDS Distribution O&amp;M'!I57</f>
        <v>9251.8464095790096</v>
      </c>
      <c r="K170" s="64">
        <f>+'0 MDS Distribution O&amp;M'!J57</f>
        <v>0</v>
      </c>
      <c r="L170" s="64">
        <f>+'0 MDS Distribution O&amp;M'!K57</f>
        <v>2154.0988234026368</v>
      </c>
      <c r="M170" s="64">
        <f>+'0 MDS Distribution O&amp;M'!L57</f>
        <v>0</v>
      </c>
      <c r="N170" s="64">
        <f>+'0 MDS Distribution O&amp;M'!M57</f>
        <v>1.9039686993190259</v>
      </c>
      <c r="O170" s="64">
        <f>+'0 MDS Distribution O&amp;M'!N57</f>
        <v>3718.0182609167705</v>
      </c>
      <c r="P170" s="64">
        <f>+'0 MDS Distribution O&amp;M'!O57</f>
        <v>0</v>
      </c>
      <c r="Q170" s="64">
        <f>+'0 MDS Distribution O&amp;M'!P57</f>
        <v>283.48515856242085</v>
      </c>
      <c r="R170" s="64">
        <f>+'0 MDS Distribution O&amp;M'!Q57</f>
        <v>0</v>
      </c>
      <c r="S170" s="64">
        <f>+'0 MDS Distribution O&amp;M'!R57</f>
        <v>0</v>
      </c>
      <c r="T170" s="64">
        <f>+'0 MDS Distribution O&amp;M'!S57</f>
        <v>35.926822423073602</v>
      </c>
      <c r="U170" s="64">
        <f>+'0 MDS Distribution O&amp;M'!T57</f>
        <v>0</v>
      </c>
      <c r="V170" s="64">
        <f>+'0 MDS Distribution O&amp;M'!U57</f>
        <v>182.51841944822641</v>
      </c>
      <c r="W170" s="64">
        <f>+'0 MDS Distribution O&amp;M'!V57</f>
        <v>0</v>
      </c>
      <c r="X170" s="64">
        <f>+'0 MDS Distribution O&amp;M'!W57</f>
        <v>2393.3437837823371</v>
      </c>
      <c r="Y170" s="64">
        <f>+'0 MDS Distribution O&amp;M'!X57</f>
        <v>620.65197059160005</v>
      </c>
      <c r="Z170" s="64">
        <f>+'0 MDS Distribution O&amp;M'!Y57</f>
        <v>863.25025187149981</v>
      </c>
      <c r="AA170" s="2866">
        <f>+'0 MDS Distribution O&amp;M'!Z57</f>
        <v>0</v>
      </c>
    </row>
    <row r="171" spans="3:27">
      <c r="C171" s="365">
        <v>40</v>
      </c>
      <c r="D171" s="96" t="s">
        <v>4365</v>
      </c>
      <c r="E171" s="96"/>
      <c r="F171" s="60" t="s">
        <v>4337</v>
      </c>
      <c r="G171" s="867">
        <f>+SUM(H171:AA171)</f>
        <v>1</v>
      </c>
      <c r="H171" s="867">
        <f>+H170/$G$170</f>
        <v>0.10398043911087794</v>
      </c>
      <c r="I171" s="867">
        <f t="shared" ref="I171:Z171" si="12">+I170/$G$170</f>
        <v>2.7297923996250573E-2</v>
      </c>
      <c r="J171" s="867">
        <f t="shared" si="12"/>
        <v>0.41206157807574711</v>
      </c>
      <c r="K171" s="867">
        <f t="shared" si="12"/>
        <v>0</v>
      </c>
      <c r="L171" s="867">
        <f t="shared" si="12"/>
        <v>9.5939915256633659E-2</v>
      </c>
      <c r="M171" s="867">
        <f t="shared" si="12"/>
        <v>0</v>
      </c>
      <c r="N171" s="867">
        <f t="shared" si="12"/>
        <v>8.479954293620027E-5</v>
      </c>
      <c r="O171" s="867">
        <f t="shared" si="12"/>
        <v>0.16559423968836973</v>
      </c>
      <c r="P171" s="867">
        <f t="shared" si="12"/>
        <v>0</v>
      </c>
      <c r="Q171" s="867">
        <f t="shared" si="12"/>
        <v>1.2625949094587264E-2</v>
      </c>
      <c r="R171" s="867">
        <f t="shared" si="12"/>
        <v>0</v>
      </c>
      <c r="S171" s="867">
        <f t="shared" si="12"/>
        <v>0</v>
      </c>
      <c r="T171" s="867">
        <f t="shared" si="12"/>
        <v>1.60011985581292E-3</v>
      </c>
      <c r="U171" s="867">
        <f t="shared" si="12"/>
        <v>0</v>
      </c>
      <c r="V171" s="867">
        <f t="shared" si="12"/>
        <v>8.1290614452763661E-3</v>
      </c>
      <c r="W171" s="867">
        <f t="shared" si="12"/>
        <v>0</v>
      </c>
      <c r="X171" s="867">
        <f t="shared" si="12"/>
        <v>0.10659548081148974</v>
      </c>
      <c r="Y171" s="867">
        <f t="shared" si="12"/>
        <v>2.7642788165290592E-2</v>
      </c>
      <c r="Z171" s="867">
        <f t="shared" si="12"/>
        <v>3.8447704956727932E-2</v>
      </c>
      <c r="AA171" s="868">
        <f>+AA170/$G$170</f>
        <v>0</v>
      </c>
    </row>
    <row r="172" spans="3:27">
      <c r="C172" s="365">
        <v>41</v>
      </c>
      <c r="D172" s="96"/>
      <c r="E172" s="96"/>
      <c r="F172" s="870"/>
      <c r="H172" s="64"/>
      <c r="X172" s="162"/>
      <c r="AA172" s="296"/>
    </row>
    <row r="173" spans="3:27">
      <c r="C173" s="365">
        <v>42</v>
      </c>
      <c r="D173" s="96" t="s">
        <v>4366</v>
      </c>
      <c r="E173" s="96"/>
      <c r="F173" s="870"/>
      <c r="G173" s="866">
        <f>+SUM(H173:AA173)</f>
        <v>16458.758694902099</v>
      </c>
      <c r="H173" s="64">
        <f>+'0 MDS Distribution O&amp;M'!G60</f>
        <v>1413.6664857627998</v>
      </c>
      <c r="I173" s="64">
        <f>+'0 MDS Distribution O&amp;M'!H60</f>
        <v>296.47395769738591</v>
      </c>
      <c r="J173" s="64">
        <f>+'0 MDS Distribution O&amp;M'!I60</f>
        <v>4475.2680417722177</v>
      </c>
      <c r="K173" s="64">
        <f>+'0 MDS Distribution O&amp;M'!J60</f>
        <v>0</v>
      </c>
      <c r="L173" s="64">
        <f>+'0 MDS Distribution O&amp;M'!K60</f>
        <v>1041.9725097480966</v>
      </c>
      <c r="M173" s="64">
        <f>+'0 MDS Distribution O&amp;M'!L60</f>
        <v>0</v>
      </c>
      <c r="N173" s="64">
        <f>+'0 MDS Distribution O&amp;M'!M60</f>
        <v>0.3730346240342306</v>
      </c>
      <c r="O173" s="64">
        <f>+'0 MDS Distribution O&amp;M'!N60</f>
        <v>728.45186195001418</v>
      </c>
      <c r="P173" s="64">
        <f>+'0 MDS Distribution O&amp;M'!O60</f>
        <v>0</v>
      </c>
      <c r="Q173" s="64">
        <f>+'0 MDS Distribution O&amp;M'!P60</f>
        <v>55.541763675757586</v>
      </c>
      <c r="R173" s="64">
        <f>+'0 MDS Distribution O&amp;M'!Q60</f>
        <v>0</v>
      </c>
      <c r="S173" s="64">
        <f>+'0 MDS Distribution O&amp;M'!R60</f>
        <v>0</v>
      </c>
      <c r="T173" s="64">
        <f>+'0 MDS Distribution O&amp;M'!S60</f>
        <v>0</v>
      </c>
      <c r="U173" s="64">
        <f>+'0 MDS Distribution O&amp;M'!T60</f>
        <v>0</v>
      </c>
      <c r="V173" s="64">
        <f>+'0 MDS Distribution O&amp;M'!U60</f>
        <v>0</v>
      </c>
      <c r="W173" s="64">
        <f>+'0 MDS Distribution O&amp;M'!V60</f>
        <v>0</v>
      </c>
      <c r="X173" s="64">
        <f>+'0 MDS Distribution O&amp;M'!W60</f>
        <v>985.59598163849421</v>
      </c>
      <c r="Y173" s="64">
        <f>+'0 MDS Distribution O&amp;M'!X60</f>
        <v>1857.5328726781001</v>
      </c>
      <c r="Z173" s="64">
        <f>+'0 MDS Distribution O&amp;M'!Y60</f>
        <v>5603.8821853551999</v>
      </c>
      <c r="AA173" s="2866">
        <f>+'0 MDS Distribution O&amp;M'!Z60</f>
        <v>0</v>
      </c>
    </row>
    <row r="174" spans="3:27">
      <c r="C174" s="365">
        <v>43</v>
      </c>
      <c r="D174" s="96" t="s">
        <v>4367</v>
      </c>
      <c r="E174" s="96"/>
      <c r="F174" s="60" t="s">
        <v>4368</v>
      </c>
      <c r="G174" s="867">
        <f>+SUM(H174:AA174)</f>
        <v>1</v>
      </c>
      <c r="H174" s="867">
        <f>+H173/$G$173</f>
        <v>8.5891440051348814E-2</v>
      </c>
      <c r="I174" s="867">
        <f t="shared" ref="I174:Z174" si="13">+I173/$G$173</f>
        <v>1.8013142011081014E-2</v>
      </c>
      <c r="J174" s="867">
        <f t="shared" si="13"/>
        <v>0.27190799286451522</v>
      </c>
      <c r="K174" s="867">
        <f t="shared" si="13"/>
        <v>0</v>
      </c>
      <c r="L174" s="867">
        <f t="shared" si="13"/>
        <v>6.3308085929398489E-2</v>
      </c>
      <c r="M174" s="867">
        <f t="shared" si="13"/>
        <v>0</v>
      </c>
      <c r="N174" s="867">
        <f t="shared" si="13"/>
        <v>2.2664809111623562E-5</v>
      </c>
      <c r="O174" s="867">
        <f t="shared" si="13"/>
        <v>4.4259222427001331E-2</v>
      </c>
      <c r="P174" s="867">
        <f t="shared" si="13"/>
        <v>0</v>
      </c>
      <c r="Q174" s="867">
        <f t="shared" si="13"/>
        <v>3.3746022227642827E-3</v>
      </c>
      <c r="R174" s="867">
        <f t="shared" si="13"/>
        <v>0</v>
      </c>
      <c r="S174" s="867">
        <f t="shared" si="13"/>
        <v>0</v>
      </c>
      <c r="T174" s="867">
        <f t="shared" si="13"/>
        <v>0</v>
      </c>
      <c r="U174" s="867">
        <f t="shared" si="13"/>
        <v>0</v>
      </c>
      <c r="V174" s="867">
        <f t="shared" si="13"/>
        <v>0</v>
      </c>
      <c r="W174" s="867">
        <f t="shared" si="13"/>
        <v>0</v>
      </c>
      <c r="X174" s="867">
        <f t="shared" si="13"/>
        <v>5.988276515310785E-2</v>
      </c>
      <c r="Y174" s="867">
        <f t="shared" si="13"/>
        <v>0.11285983998619825</v>
      </c>
      <c r="Z174" s="867">
        <f t="shared" si="13"/>
        <v>0.34048024454547321</v>
      </c>
      <c r="AA174" s="868">
        <f>+AA173/G173</f>
        <v>0</v>
      </c>
    </row>
    <row r="175" spans="3:27">
      <c r="C175" s="365">
        <v>44</v>
      </c>
      <c r="D175" s="96"/>
      <c r="E175" s="96"/>
      <c r="F175" s="62"/>
      <c r="H175" s="64"/>
      <c r="X175" s="162"/>
      <c r="AA175" s="296"/>
    </row>
    <row r="176" spans="3:27">
      <c r="C176" s="365">
        <v>45</v>
      </c>
      <c r="D176" s="96" t="s">
        <v>4369</v>
      </c>
      <c r="E176" s="96"/>
      <c r="F176" s="62"/>
      <c r="G176" s="866">
        <f>+SUM(H176:AA176)</f>
        <v>38911.340789023699</v>
      </c>
      <c r="H176" s="64">
        <f>+'0 MDS Distribution O&amp;M'!G63</f>
        <v>3748.2958310825993</v>
      </c>
      <c r="I176" s="64">
        <f>+'0 MDS Distribution O&amp;M'!H63</f>
        <v>909.38283722229392</v>
      </c>
      <c r="J176" s="64">
        <f>+'0 MDS Distribution O&amp;M'!I63</f>
        <v>13727.114451351226</v>
      </c>
      <c r="K176" s="64">
        <f>+'0 MDS Distribution O&amp;M'!J63</f>
        <v>0</v>
      </c>
      <c r="L176" s="64">
        <f>+'0 MDS Distribution O&amp;M'!K63</f>
        <v>3196.0713331507332</v>
      </c>
      <c r="M176" s="64">
        <f>+'0 MDS Distribution O&amp;M'!L63</f>
        <v>0</v>
      </c>
      <c r="N176" s="64">
        <f>+'0 MDS Distribution O&amp;M'!M63</f>
        <v>2.2770033233532567</v>
      </c>
      <c r="O176" s="64">
        <f>+'0 MDS Distribution O&amp;M'!N63</f>
        <v>4446.4701228667845</v>
      </c>
      <c r="P176" s="64">
        <f>+'0 MDS Distribution O&amp;M'!O63</f>
        <v>0</v>
      </c>
      <c r="Q176" s="64">
        <f>+'0 MDS Distribution O&amp;M'!P63</f>
        <v>339.02692223817843</v>
      </c>
      <c r="R176" s="64">
        <f>+'0 MDS Distribution O&amp;M'!Q63</f>
        <v>0</v>
      </c>
      <c r="S176" s="64">
        <f>+'0 MDS Distribution O&amp;M'!R63</f>
        <v>0</v>
      </c>
      <c r="T176" s="64">
        <f>+'0 MDS Distribution O&amp;M'!S63</f>
        <v>35.926822423073602</v>
      </c>
      <c r="U176" s="64">
        <f>+'0 MDS Distribution O&amp;M'!T63</f>
        <v>0</v>
      </c>
      <c r="V176" s="64">
        <f>+'0 MDS Distribution O&amp;M'!U63</f>
        <v>182.51841944822641</v>
      </c>
      <c r="W176" s="64">
        <f>+'0 MDS Distribution O&amp;M'!V63</f>
        <v>0</v>
      </c>
      <c r="X176" s="64">
        <f>+'0 MDS Distribution O&amp;M'!W63</f>
        <v>3378.9397654208315</v>
      </c>
      <c r="Y176" s="64">
        <f>+'0 MDS Distribution O&amp;M'!X63</f>
        <v>2478.1848432697002</v>
      </c>
      <c r="Z176" s="64">
        <f>+'0 MDS Distribution O&amp;M'!Y63</f>
        <v>6467.1324372266999</v>
      </c>
      <c r="AA176" s="2866">
        <f>+'0 MDS Distribution O&amp;M'!Z63</f>
        <v>0</v>
      </c>
    </row>
    <row r="177" spans="3:27">
      <c r="C177" s="365">
        <v>46</v>
      </c>
      <c r="D177" s="96" t="s">
        <v>4370</v>
      </c>
      <c r="E177" s="96"/>
      <c r="F177" s="60" t="s">
        <v>4316</v>
      </c>
      <c r="G177" s="867">
        <f>+SUM(H177:AA177)</f>
        <v>1</v>
      </c>
      <c r="H177" s="867">
        <f>+H176/$G$176</f>
        <v>9.6329135801456037E-2</v>
      </c>
      <c r="I177" s="867">
        <f t="shared" ref="I177:AA177" si="14">+I176/$G$176</f>
        <v>2.337063742298022E-2</v>
      </c>
      <c r="J177" s="867">
        <f t="shared" si="14"/>
        <v>0.35277927136408105</v>
      </c>
      <c r="K177" s="867">
        <f t="shared" si="14"/>
        <v>0</v>
      </c>
      <c r="L177" s="867">
        <f t="shared" si="14"/>
        <v>8.2137270737591667E-2</v>
      </c>
      <c r="M177" s="867">
        <f t="shared" si="14"/>
        <v>0</v>
      </c>
      <c r="N177" s="867">
        <f t="shared" si="14"/>
        <v>5.8517729720471747E-5</v>
      </c>
      <c r="O177" s="867">
        <f t="shared" si="14"/>
        <v>0.1142718300809893</v>
      </c>
      <c r="P177" s="867">
        <f t="shared" si="14"/>
        <v>0</v>
      </c>
      <c r="Q177" s="867">
        <f t="shared" si="14"/>
        <v>8.7128049397314205E-3</v>
      </c>
      <c r="R177" s="867">
        <f t="shared" si="14"/>
        <v>0</v>
      </c>
      <c r="S177" s="867">
        <f t="shared" si="14"/>
        <v>0</v>
      </c>
      <c r="T177" s="867">
        <f t="shared" si="14"/>
        <v>9.2329952385521543E-4</v>
      </c>
      <c r="U177" s="867">
        <f t="shared" si="14"/>
        <v>0</v>
      </c>
      <c r="V177" s="867">
        <f t="shared" si="14"/>
        <v>4.6906227271333737E-3</v>
      </c>
      <c r="W177" s="867">
        <f t="shared" si="14"/>
        <v>0</v>
      </c>
      <c r="X177" s="867">
        <f t="shared" si="14"/>
        <v>8.6836888601227E-2</v>
      </c>
      <c r="Y177" s="867">
        <f t="shared" si="14"/>
        <v>6.3687983837574638E-2</v>
      </c>
      <c r="Z177" s="867">
        <f t="shared" si="14"/>
        <v>0.16620173723365966</v>
      </c>
      <c r="AA177" s="868">
        <f t="shared" si="14"/>
        <v>0</v>
      </c>
    </row>
    <row r="178" spans="3:27">
      <c r="C178" s="365">
        <v>47</v>
      </c>
      <c r="AA178" s="296"/>
    </row>
    <row r="179" spans="3:27">
      <c r="C179" s="462">
        <v>48</v>
      </c>
      <c r="D179" s="297"/>
      <c r="E179" s="297"/>
      <c r="F179" s="297"/>
      <c r="G179" s="297"/>
      <c r="H179" s="2887"/>
      <c r="I179" s="297"/>
      <c r="J179" s="297"/>
      <c r="K179" s="297"/>
      <c r="L179" s="297"/>
      <c r="M179" s="297"/>
      <c r="N179" s="297"/>
      <c r="O179" s="297"/>
      <c r="P179" s="297"/>
      <c r="Q179" s="297"/>
      <c r="R179" s="297"/>
      <c r="S179" s="297"/>
      <c r="T179" s="297"/>
      <c r="U179" s="297"/>
      <c r="V179" s="297"/>
      <c r="W179" s="297"/>
      <c r="X179" s="297"/>
      <c r="Y179" s="297"/>
      <c r="Z179" s="297"/>
      <c r="AA179" s="2888"/>
    </row>
    <row r="180" spans="3:27">
      <c r="C180" s="33"/>
    </row>
    <row r="182" spans="3:27">
      <c r="C182" s="352" t="s">
        <v>2173</v>
      </c>
      <c r="D182" s="518"/>
      <c r="E182" s="402"/>
      <c r="F182" s="402"/>
      <c r="G182" s="402"/>
      <c r="H182" s="402"/>
      <c r="I182" s="402"/>
      <c r="J182" s="402"/>
      <c r="K182" s="402"/>
      <c r="L182" s="402"/>
      <c r="M182" s="402"/>
      <c r="N182" s="402"/>
      <c r="O182" s="402"/>
      <c r="P182" s="402"/>
      <c r="Q182" s="402"/>
      <c r="R182" s="402"/>
      <c r="S182" s="402"/>
      <c r="T182" s="402"/>
      <c r="U182" s="2889"/>
    </row>
    <row r="183" spans="3:27">
      <c r="C183" s="353" t="s">
        <v>4371</v>
      </c>
      <c r="D183" s="62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2530"/>
    </row>
    <row r="184" spans="3:27">
      <c r="C184" s="2552" t="s">
        <v>9263</v>
      </c>
      <c r="D184" s="2262"/>
      <c r="E184" s="1973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2530"/>
    </row>
    <row r="185" spans="3:27">
      <c r="C185" s="462"/>
      <c r="D185" s="545"/>
      <c r="E185" s="545"/>
      <c r="F185" s="545"/>
      <c r="G185" s="545"/>
      <c r="H185" s="545"/>
      <c r="I185" s="545"/>
      <c r="J185" s="545"/>
      <c r="K185" s="545"/>
      <c r="L185" s="545"/>
      <c r="M185" s="545"/>
      <c r="N185" s="545"/>
      <c r="O185" s="545"/>
      <c r="P185" s="545"/>
      <c r="Q185" s="545"/>
      <c r="R185" s="545"/>
      <c r="S185" s="545"/>
      <c r="T185" s="545"/>
      <c r="U185" s="2577"/>
    </row>
    <row r="186" spans="3:27">
      <c r="C186" s="2509"/>
      <c r="F186" s="296"/>
      <c r="G186" s="3123" t="s">
        <v>2131</v>
      </c>
      <c r="H186" s="3123"/>
      <c r="I186" s="3124"/>
      <c r="J186" s="3134" t="s">
        <v>4372</v>
      </c>
      <c r="K186" s="3135"/>
      <c r="L186" s="3136"/>
      <c r="M186" s="3134" t="s">
        <v>4184</v>
      </c>
      <c r="N186" s="3135"/>
      <c r="O186" s="3136"/>
      <c r="P186" s="3134" t="s">
        <v>4185</v>
      </c>
      <c r="Q186" s="3135"/>
      <c r="R186" s="3135"/>
      <c r="S186" s="3135"/>
      <c r="T186" s="3136"/>
      <c r="U186" s="266" t="s">
        <v>2161</v>
      </c>
    </row>
    <row r="187" spans="3:27">
      <c r="C187" s="363" t="s">
        <v>2182</v>
      </c>
      <c r="D187" s="62"/>
      <c r="E187" s="60"/>
      <c r="F187" s="622"/>
      <c r="G187" s="60" t="s">
        <v>115</v>
      </c>
      <c r="H187" s="60" t="s">
        <v>115</v>
      </c>
      <c r="I187" s="767" t="s">
        <v>4373</v>
      </c>
      <c r="J187" s="521" t="s">
        <v>115</v>
      </c>
      <c r="K187" s="290"/>
      <c r="L187" s="2554"/>
      <c r="M187" s="521" t="s">
        <v>115</v>
      </c>
      <c r="N187" s="60" t="s">
        <v>4374</v>
      </c>
      <c r="O187" s="60" t="s">
        <v>4374</v>
      </c>
      <c r="P187" s="521" t="s">
        <v>115</v>
      </c>
      <c r="Q187" s="60" t="s">
        <v>4374</v>
      </c>
      <c r="R187" s="60"/>
      <c r="S187" s="60"/>
      <c r="T187" s="767" t="s">
        <v>4375</v>
      </c>
      <c r="U187" s="280" t="s">
        <v>2161</v>
      </c>
    </row>
    <row r="188" spans="3:27">
      <c r="C188" s="522" t="s">
        <v>3216</v>
      </c>
      <c r="D188" s="60" t="s">
        <v>3174</v>
      </c>
      <c r="E188" s="77" t="s">
        <v>2052</v>
      </c>
      <c r="F188" s="364" t="s">
        <v>4251</v>
      </c>
      <c r="G188" s="60" t="s">
        <v>2620</v>
      </c>
      <c r="H188" s="60" t="s">
        <v>4216</v>
      </c>
      <c r="I188" s="767" t="s">
        <v>2620</v>
      </c>
      <c r="J188" s="2890" t="s">
        <v>4376</v>
      </c>
      <c r="K188" s="60" t="s">
        <v>119</v>
      </c>
      <c r="L188" s="767" t="s">
        <v>120</v>
      </c>
      <c r="M188" s="280" t="s">
        <v>4249</v>
      </c>
      <c r="N188" s="60" t="s">
        <v>4377</v>
      </c>
      <c r="O188" s="60" t="s">
        <v>4378</v>
      </c>
      <c r="P188" s="280" t="s">
        <v>4379</v>
      </c>
      <c r="Q188" s="60" t="s">
        <v>119</v>
      </c>
      <c r="R188" s="60" t="s">
        <v>4380</v>
      </c>
      <c r="S188" s="60" t="s">
        <v>4381</v>
      </c>
      <c r="T188" s="767" t="s">
        <v>4071</v>
      </c>
      <c r="U188" s="280" t="s">
        <v>4071</v>
      </c>
    </row>
    <row r="189" spans="3:27">
      <c r="C189" s="2791" t="s">
        <v>2175</v>
      </c>
      <c r="D189" s="2792" t="s">
        <v>2176</v>
      </c>
      <c r="E189" s="2891" t="s">
        <v>2177</v>
      </c>
      <c r="F189" s="2892" t="s">
        <v>2178</v>
      </c>
      <c r="G189" s="2792" t="s">
        <v>2179</v>
      </c>
      <c r="H189" s="2792" t="s">
        <v>2625</v>
      </c>
      <c r="I189" s="2792" t="s">
        <v>2626</v>
      </c>
      <c r="J189" s="525" t="s">
        <v>2627</v>
      </c>
      <c r="K189" s="2792" t="s">
        <v>2628</v>
      </c>
      <c r="L189" s="2792" t="s">
        <v>2629</v>
      </c>
      <c r="M189" s="525" t="s">
        <v>2630</v>
      </c>
      <c r="N189" s="2792" t="s">
        <v>4061</v>
      </c>
      <c r="O189" s="2792" t="s">
        <v>4062</v>
      </c>
      <c r="P189" s="525" t="s">
        <v>4063</v>
      </c>
      <c r="Q189" s="2792" t="s">
        <v>4064</v>
      </c>
      <c r="R189" s="2835" t="s">
        <v>4065</v>
      </c>
      <c r="S189" s="2835" t="s">
        <v>4178</v>
      </c>
      <c r="T189" s="2834" t="s">
        <v>4306</v>
      </c>
      <c r="U189" s="525" t="s">
        <v>4306</v>
      </c>
    </row>
    <row r="190" spans="3:27">
      <c r="C190" s="526">
        <v>1</v>
      </c>
      <c r="D190" s="96"/>
      <c r="E190" s="531" t="s">
        <v>4382</v>
      </c>
      <c r="F190" s="296"/>
      <c r="G190" s="96"/>
      <c r="H190" s="96"/>
      <c r="I190" s="2530"/>
      <c r="J190" s="631"/>
      <c r="K190" s="96"/>
      <c r="L190" s="2530"/>
      <c r="M190" s="631"/>
      <c r="N190" s="96"/>
      <c r="O190" s="96"/>
      <c r="P190" s="631"/>
      <c r="Q190" s="96"/>
      <c r="R190" s="96"/>
      <c r="S190" s="96"/>
      <c r="T190" s="2530"/>
      <c r="U190" s="631"/>
    </row>
    <row r="191" spans="3:27">
      <c r="C191" s="365">
        <v>2</v>
      </c>
      <c r="D191" s="290" t="s">
        <v>4383</v>
      </c>
      <c r="E191" s="96" t="s">
        <v>104</v>
      </c>
      <c r="F191" s="296"/>
      <c r="G191" s="42">
        <f>+SUMIFS('Labor Input'!C:C,'Labor Input'!G:G,'0 MDS Labor O&amp;M'!D191)/1000</f>
        <v>0</v>
      </c>
      <c r="H191" s="2285">
        <v>0</v>
      </c>
      <c r="I191" s="903">
        <f>+J191+M191+P191+U191</f>
        <v>0</v>
      </c>
      <c r="J191" s="617"/>
      <c r="K191" s="42"/>
      <c r="L191" s="903"/>
      <c r="M191" s="617"/>
      <c r="N191" s="79"/>
      <c r="O191" s="79"/>
      <c r="P191" s="617"/>
      <c r="Q191" s="42"/>
      <c r="R191" s="42"/>
      <c r="S191" s="42"/>
      <c r="T191" s="903"/>
      <c r="U191" s="617"/>
    </row>
    <row r="192" spans="3:27">
      <c r="C192" s="365">
        <v>3</v>
      </c>
      <c r="D192" s="290" t="s">
        <v>4384</v>
      </c>
      <c r="E192" s="96" t="s">
        <v>4270</v>
      </c>
      <c r="F192" s="296"/>
      <c r="G192" s="42">
        <f>+SUMIFS('Labor Input'!C:C,'Labor Input'!G:G,'0 MDS Labor O&amp;M'!D192)/1000</f>
        <v>0</v>
      </c>
      <c r="H192" s="2285">
        <v>0</v>
      </c>
      <c r="I192" s="903">
        <f>+SUM(G192:H192)</f>
        <v>0</v>
      </c>
      <c r="J192" s="617"/>
      <c r="K192" s="42"/>
      <c r="L192" s="903"/>
      <c r="M192" s="617"/>
      <c r="N192" s="79"/>
      <c r="O192" s="79"/>
      <c r="P192" s="617"/>
      <c r="Q192" s="42"/>
      <c r="R192" s="42"/>
      <c r="S192" s="42"/>
      <c r="T192" s="903"/>
      <c r="U192" s="617"/>
    </row>
    <row r="193" spans="3:22">
      <c r="C193" s="365">
        <v>4</v>
      </c>
      <c r="D193" s="290" t="s">
        <v>4385</v>
      </c>
      <c r="E193" s="96" t="s">
        <v>4386</v>
      </c>
      <c r="F193" s="296"/>
      <c r="G193" s="42">
        <f>(+SUMIFS('Labor Input'!C:C,'Labor Input'!G:G,'0 MDS Labor O&amp;M'!D193)+SUMIFS('Labor Input'!C:C,'Labor Input'!G:G,935))/1000</f>
        <v>957.78659950131782</v>
      </c>
      <c r="H193" s="2285">
        <v>0</v>
      </c>
      <c r="I193" s="903">
        <f>+SUM(G193:H193)</f>
        <v>957.78659950131782</v>
      </c>
      <c r="J193" s="621"/>
      <c r="K193" s="439"/>
      <c r="L193" s="911"/>
      <c r="M193" s="621"/>
      <c r="N193" s="439"/>
      <c r="O193" s="439"/>
      <c r="P193" s="621"/>
      <c r="Q193" s="439"/>
      <c r="R193" s="439"/>
      <c r="S193" s="439"/>
      <c r="T193" s="911"/>
      <c r="U193" s="621"/>
    </row>
    <row r="194" spans="3:22">
      <c r="C194" s="365">
        <v>5</v>
      </c>
      <c r="D194" s="290"/>
      <c r="E194" s="96" t="s">
        <v>4387</v>
      </c>
      <c r="F194" s="2554" t="s">
        <v>4388</v>
      </c>
      <c r="G194" s="874">
        <f>+SUM(G191:G193)</f>
        <v>957.78659950131782</v>
      </c>
      <c r="H194" s="872">
        <f>+SUM(H191:H193)</f>
        <v>0</v>
      </c>
      <c r="I194" s="873">
        <f>+SUM(I191:I193)</f>
        <v>957.78659950131782</v>
      </c>
      <c r="J194" s="621">
        <f>+I194*J195</f>
        <v>559.36934500069947</v>
      </c>
      <c r="K194" s="439">
        <f>+J194*K195</f>
        <v>511.05814091983956</v>
      </c>
      <c r="L194" s="911">
        <f>+J194*L195</f>
        <v>48.31120408085998</v>
      </c>
      <c r="M194" s="621">
        <f>+I194*M195</f>
        <v>81.118479891604693</v>
      </c>
      <c r="N194" s="439">
        <f>+M194*N195</f>
        <v>39.688325270820556</v>
      </c>
      <c r="O194" s="439">
        <f>+M194*O195</f>
        <v>41.430154620784137</v>
      </c>
      <c r="P194" s="621">
        <f>+I194*P195</f>
        <v>299.89634361426221</v>
      </c>
      <c r="Q194" s="439">
        <f>+P194*Q195</f>
        <v>228.12472431211771</v>
      </c>
      <c r="R194" s="439">
        <f>+P194*R195</f>
        <v>199.59318503014384</v>
      </c>
      <c r="S194" s="439">
        <f>+P194*S195</f>
        <v>100.30315858411841</v>
      </c>
      <c r="T194" s="911">
        <f>+P194*T195</f>
        <v>71.771619302144458</v>
      </c>
      <c r="U194" s="621">
        <f>+I194*U195</f>
        <v>17.402430994751416</v>
      </c>
    </row>
    <row r="195" spans="3:22">
      <c r="C195" s="365">
        <v>6</v>
      </c>
      <c r="D195" s="290"/>
      <c r="E195" s="96"/>
      <c r="F195" s="2554" t="s">
        <v>4389</v>
      </c>
      <c r="G195" s="538"/>
      <c r="H195" s="538"/>
      <c r="I195" s="950">
        <f>+J195+M195+P195+U195</f>
        <v>1</v>
      </c>
      <c r="J195" s="949">
        <f>+J215</f>
        <v>0.584022939235046</v>
      </c>
      <c r="K195" s="877">
        <f>+K216</f>
        <v>0.91363272851357358</v>
      </c>
      <c r="L195" s="950">
        <f>+L216</f>
        <v>8.6367271486426506E-2</v>
      </c>
      <c r="M195" s="949">
        <f>+M215</f>
        <v>8.4693688483259144E-2</v>
      </c>
      <c r="N195" s="960">
        <f>+N216</f>
        <v>0.48926367116166924</v>
      </c>
      <c r="O195" s="960">
        <f>+O216</f>
        <v>0.51073632883833076</v>
      </c>
      <c r="P195" s="949">
        <f>+P215</f>
        <v>0.31311394810744536</v>
      </c>
      <c r="Q195" s="877">
        <f>+Q216</f>
        <v>0.76067857834752461</v>
      </c>
      <c r="R195" s="877">
        <f>+R216</f>
        <v>0.66554057520243726</v>
      </c>
      <c r="S195" s="877">
        <f>+S216</f>
        <v>0.33445942479756285</v>
      </c>
      <c r="T195" s="950">
        <f>+T216</f>
        <v>0.23932142165247527</v>
      </c>
      <c r="U195" s="949">
        <f>+U215</f>
        <v>1.8169424174249445E-2</v>
      </c>
    </row>
    <row r="196" spans="3:22">
      <c r="C196" s="365">
        <v>7</v>
      </c>
      <c r="D196" s="33"/>
      <c r="E196" s="96"/>
      <c r="F196" s="2530"/>
      <c r="G196" s="538"/>
      <c r="H196" s="538"/>
      <c r="I196" s="2565"/>
      <c r="J196" s="2893"/>
      <c r="K196" s="538"/>
      <c r="L196" s="2565"/>
      <c r="M196" s="2893"/>
      <c r="N196" s="538"/>
      <c r="O196" s="538"/>
      <c r="P196" s="2893"/>
      <c r="Q196" s="538"/>
      <c r="R196" s="538"/>
      <c r="S196" s="538"/>
      <c r="T196" s="2565"/>
      <c r="U196" s="2893"/>
    </row>
    <row r="197" spans="3:22">
      <c r="C197" s="365">
        <v>8</v>
      </c>
      <c r="D197" s="290"/>
      <c r="E197" s="531" t="s">
        <v>4390</v>
      </c>
      <c r="F197" s="2530"/>
      <c r="G197" s="538"/>
      <c r="H197" s="538"/>
      <c r="I197" s="2565"/>
      <c r="J197" s="2893"/>
      <c r="K197" s="538"/>
      <c r="L197" s="2565"/>
      <c r="M197" s="2893"/>
      <c r="N197" s="538"/>
      <c r="O197" s="538"/>
      <c r="P197" s="2893"/>
      <c r="Q197" s="538"/>
      <c r="R197" s="538"/>
      <c r="S197" s="538"/>
      <c r="T197" s="2565"/>
      <c r="U197" s="2893"/>
    </row>
    <row r="198" spans="3:22">
      <c r="C198" s="365">
        <v>9</v>
      </c>
      <c r="D198" s="290" t="s">
        <v>4391</v>
      </c>
      <c r="E198" s="96" t="s">
        <v>4392</v>
      </c>
      <c r="F198" s="2530"/>
      <c r="G198" s="42">
        <f>+SUMIFS('Labor Input'!C:C,'Labor Input'!G:G,'0 MDS Labor O&amp;M'!D198)/1000</f>
        <v>73042.403672304397</v>
      </c>
      <c r="H198" s="2285">
        <v>0</v>
      </c>
      <c r="I198" s="903">
        <f>+SUM(G198:H198)</f>
        <v>73042.403672304397</v>
      </c>
      <c r="J198" s="617"/>
      <c r="K198" s="42"/>
      <c r="L198" s="903"/>
      <c r="M198" s="617"/>
      <c r="N198" s="79"/>
      <c r="O198" s="79"/>
      <c r="P198" s="617"/>
      <c r="Q198" s="42"/>
      <c r="R198" s="42"/>
      <c r="S198" s="42"/>
      <c r="T198" s="903"/>
      <c r="U198" s="617"/>
    </row>
    <row r="199" spans="3:22">
      <c r="C199" s="365">
        <v>10</v>
      </c>
      <c r="D199" s="290" t="s">
        <v>4393</v>
      </c>
      <c r="E199" s="96" t="s">
        <v>101</v>
      </c>
      <c r="F199" s="2530"/>
      <c r="G199" s="42">
        <f>+SUMIFS('Labor Input'!C:C,'Labor Input'!G:G,'0 MDS Labor O&amp;M'!D199)/1000</f>
        <v>0</v>
      </c>
      <c r="H199" s="2285">
        <v>0</v>
      </c>
      <c r="I199" s="903">
        <f t="shared" ref="I199:I205" si="15">+SUM(G199:H199)</f>
        <v>0</v>
      </c>
      <c r="J199" s="617"/>
      <c r="K199" s="42"/>
      <c r="L199" s="903"/>
      <c r="M199" s="617"/>
      <c r="N199" s="79"/>
      <c r="O199" s="79"/>
      <c r="P199" s="617"/>
      <c r="Q199" s="42"/>
      <c r="R199" s="42"/>
      <c r="S199" s="42"/>
      <c r="T199" s="903"/>
      <c r="U199" s="617"/>
    </row>
    <row r="200" spans="3:22">
      <c r="C200" s="365">
        <v>11</v>
      </c>
      <c r="D200" s="290" t="s">
        <v>4394</v>
      </c>
      <c r="E200" s="96" t="s">
        <v>4395</v>
      </c>
      <c r="F200" s="2530"/>
      <c r="G200" s="42">
        <f>+SUMIFS('Labor Input'!C:C,'Labor Input'!G:G,'0 MDS Labor O&amp;M'!D200)/1000</f>
        <v>0</v>
      </c>
      <c r="H200" s="2285">
        <v>0</v>
      </c>
      <c r="I200" s="903">
        <f t="shared" si="15"/>
        <v>0</v>
      </c>
      <c r="J200" s="617"/>
      <c r="K200" s="42"/>
      <c r="L200" s="903"/>
      <c r="M200" s="617"/>
      <c r="N200" s="79"/>
      <c r="O200" s="79"/>
      <c r="P200" s="617"/>
      <c r="Q200" s="42"/>
      <c r="R200" s="42"/>
      <c r="S200" s="42"/>
      <c r="T200" s="903"/>
      <c r="U200" s="617"/>
    </row>
    <row r="201" spans="3:22">
      <c r="C201" s="365">
        <v>12</v>
      </c>
      <c r="D201" s="290" t="s">
        <v>4396</v>
      </c>
      <c r="E201" s="96" t="s">
        <v>103</v>
      </c>
      <c r="F201" s="2530"/>
      <c r="G201" s="42">
        <f>+SUMIFS('Labor Input'!C:C,'Labor Input'!G:G,'0 MDS Labor O&amp;M'!D201)/1000</f>
        <v>0</v>
      </c>
      <c r="H201" s="2285">
        <v>0</v>
      </c>
      <c r="I201" s="903">
        <f t="shared" si="15"/>
        <v>0</v>
      </c>
      <c r="J201" s="617"/>
      <c r="K201" s="42"/>
      <c r="L201" s="903"/>
      <c r="M201" s="617"/>
      <c r="N201" s="79"/>
      <c r="O201" s="79"/>
      <c r="P201" s="617"/>
      <c r="Q201" s="42"/>
      <c r="R201" s="42"/>
      <c r="S201" s="42"/>
      <c r="T201" s="903"/>
      <c r="U201" s="617"/>
    </row>
    <row r="202" spans="3:22">
      <c r="C202" s="365">
        <v>13</v>
      </c>
      <c r="D202" s="290" t="s">
        <v>4397</v>
      </c>
      <c r="E202" s="96" t="s">
        <v>4398</v>
      </c>
      <c r="F202" s="2530"/>
      <c r="G202" s="42">
        <f>+SUMIFS('Labor Input'!C:C,'Labor Input'!G:G,'0 MDS Labor O&amp;M'!D202)/1000</f>
        <v>0</v>
      </c>
      <c r="H202" s="2285">
        <v>0</v>
      </c>
      <c r="I202" s="903">
        <f t="shared" si="15"/>
        <v>0</v>
      </c>
      <c r="J202" s="617"/>
      <c r="K202" s="42"/>
      <c r="L202" s="903"/>
      <c r="M202" s="617"/>
      <c r="N202" s="79"/>
      <c r="O202" s="79"/>
      <c r="P202" s="617"/>
      <c r="Q202" s="42"/>
      <c r="R202" s="42"/>
      <c r="S202" s="42"/>
      <c r="T202" s="903"/>
      <c r="U202" s="617"/>
    </row>
    <row r="203" spans="3:22">
      <c r="C203" s="365">
        <v>14</v>
      </c>
      <c r="D203" s="290" t="s">
        <v>4399</v>
      </c>
      <c r="E203" s="96" t="s">
        <v>4400</v>
      </c>
      <c r="F203" s="2530"/>
      <c r="G203" s="42">
        <f>+SUMIFS('Labor Input'!C:C,'Labor Input'!G:G,'0 MDS Labor O&amp;M'!D203)/1000</f>
        <v>0</v>
      </c>
      <c r="H203" s="2285">
        <v>0</v>
      </c>
      <c r="I203" s="903">
        <f t="shared" si="15"/>
        <v>0</v>
      </c>
      <c r="J203" s="617"/>
      <c r="K203" s="42"/>
      <c r="L203" s="903"/>
      <c r="M203" s="617"/>
      <c r="N203" s="79"/>
      <c r="O203" s="79"/>
      <c r="P203" s="617"/>
      <c r="Q203" s="42"/>
      <c r="R203" s="42"/>
      <c r="S203" s="42"/>
      <c r="T203" s="903"/>
      <c r="U203" s="617"/>
    </row>
    <row r="204" spans="3:22">
      <c r="C204" s="365">
        <v>15</v>
      </c>
      <c r="D204" s="290" t="s">
        <v>4401</v>
      </c>
      <c r="E204" s="96" t="s">
        <v>4402</v>
      </c>
      <c r="F204" s="2530"/>
      <c r="G204" s="42">
        <f>+SUMIFS('Labor Input'!C:C,'Labor Input'!G:G,'0 MDS Labor O&amp;M'!D204)/1000</f>
        <v>0</v>
      </c>
      <c r="H204" s="2285">
        <v>0</v>
      </c>
      <c r="I204" s="903">
        <f t="shared" si="15"/>
        <v>0</v>
      </c>
      <c r="J204" s="617"/>
      <c r="K204" s="42"/>
      <c r="L204" s="903"/>
      <c r="M204" s="617"/>
      <c r="N204" s="79"/>
      <c r="O204" s="79"/>
      <c r="P204" s="617"/>
      <c r="Q204" s="42"/>
      <c r="R204" s="42"/>
      <c r="S204" s="42"/>
      <c r="T204" s="903"/>
      <c r="U204" s="617"/>
    </row>
    <row r="205" spans="3:22">
      <c r="C205" s="365">
        <v>16</v>
      </c>
      <c r="D205" s="290" t="s">
        <v>4403</v>
      </c>
      <c r="E205" s="96" t="s">
        <v>4404</v>
      </c>
      <c r="F205" s="2530"/>
      <c r="G205" s="42">
        <f>+SUMIFS('Labor Input'!C:C,'Labor Input'!G:G,'0 MDS Labor O&amp;M'!D205)/1000</f>
        <v>1432.324610655814</v>
      </c>
      <c r="H205" s="2285">
        <v>0</v>
      </c>
      <c r="I205" s="903">
        <f t="shared" si="15"/>
        <v>1432.324610655814</v>
      </c>
      <c r="J205" s="617"/>
      <c r="K205" s="42"/>
      <c r="L205" s="903"/>
      <c r="M205" s="617"/>
      <c r="N205" s="79"/>
      <c r="O205" s="79"/>
      <c r="P205" s="617"/>
      <c r="Q205" s="42"/>
      <c r="R205" s="42"/>
      <c r="S205" s="42"/>
      <c r="T205" s="903"/>
      <c r="U205" s="617"/>
    </row>
    <row r="206" spans="3:22">
      <c r="C206" s="365">
        <v>17</v>
      </c>
      <c r="D206" s="96"/>
      <c r="E206" s="96" t="s">
        <v>4405</v>
      </c>
      <c r="F206" s="2554" t="s">
        <v>4406</v>
      </c>
      <c r="G206" s="872">
        <f>+SUM(G198:G205)</f>
        <v>74474.728282960205</v>
      </c>
      <c r="H206" s="872">
        <f>+SUM(H198:H205)</f>
        <v>0</v>
      </c>
      <c r="I206" s="873">
        <f>+SUM(I198:I205)</f>
        <v>74474.728282960205</v>
      </c>
      <c r="J206" s="618">
        <f>+I206*J207</f>
        <v>31448.710425384787</v>
      </c>
      <c r="K206" s="872">
        <f>+J206*K207</f>
        <v>24880.18976460999</v>
      </c>
      <c r="L206" s="873">
        <f>+J206*L207</f>
        <v>6568.5206607747959</v>
      </c>
      <c r="M206" s="618">
        <f>+I206*M207</f>
        <v>4018.3921498489353</v>
      </c>
      <c r="N206" s="872">
        <f>+M206*N207</f>
        <v>1054.2718897535035</v>
      </c>
      <c r="O206" s="872">
        <f>+M206*O207</f>
        <v>2964.1202600954321</v>
      </c>
      <c r="P206" s="618">
        <f>+I206*P207</f>
        <v>26368.569216018717</v>
      </c>
      <c r="Q206" s="872">
        <f>+P206*Q207</f>
        <v>17037.569941844082</v>
      </c>
      <c r="R206" s="872">
        <f>+Q206*R207</f>
        <v>14524.879267731027</v>
      </c>
      <c r="S206" s="872">
        <f>+Q206*S207</f>
        <v>2512.6906741130565</v>
      </c>
      <c r="T206" s="873">
        <f>+P206*T207</f>
        <v>9330.9992741746373</v>
      </c>
      <c r="U206" s="618">
        <f>+I206*U207</f>
        <v>12639.056491707759</v>
      </c>
      <c r="V206" s="657"/>
    </row>
    <row r="207" spans="3:22">
      <c r="C207" s="365">
        <v>18</v>
      </c>
      <c r="D207" s="96"/>
      <c r="E207" s="96"/>
      <c r="F207" s="2554" t="s">
        <v>4407</v>
      </c>
      <c r="G207" s="538"/>
      <c r="H207" s="538"/>
      <c r="I207" s="950">
        <f>+J207+M207+P207+U207</f>
        <v>0.99999999999999989</v>
      </c>
      <c r="J207" s="949">
        <f>+J220</f>
        <v>0.42227358394512254</v>
      </c>
      <c r="K207" s="877">
        <f>+K221</f>
        <v>0.79113545287145337</v>
      </c>
      <c r="L207" s="950">
        <f>+L221</f>
        <v>0.2088645471285466</v>
      </c>
      <c r="M207" s="949">
        <f>+M220</f>
        <v>5.3956452645002026E-2</v>
      </c>
      <c r="N207" s="960">
        <f>+N221</f>
        <v>0.26236162386320039</v>
      </c>
      <c r="O207" s="960">
        <f>+O221</f>
        <v>0.73763837613679972</v>
      </c>
      <c r="P207" s="949">
        <f>+P220</f>
        <v>0.35406063001443455</v>
      </c>
      <c r="Q207" s="877">
        <f>+Q221</f>
        <v>0.64613175642059029</v>
      </c>
      <c r="R207" s="877">
        <f>+R221</f>
        <v>0.85252059520871493</v>
      </c>
      <c r="S207" s="877">
        <f>+S221</f>
        <v>0.14747940479128518</v>
      </c>
      <c r="T207" s="950">
        <f>+T221</f>
        <v>0.35386824357940977</v>
      </c>
      <c r="U207" s="949">
        <f>+U220</f>
        <v>0.16970933339544081</v>
      </c>
    </row>
    <row r="208" spans="3:22">
      <c r="C208" s="365">
        <v>19</v>
      </c>
      <c r="E208" s="96" t="s">
        <v>4408</v>
      </c>
      <c r="F208" s="296"/>
      <c r="G208" s="874">
        <f t="shared" ref="G208:U208" si="16">+G194+G206</f>
        <v>75432.514882461517</v>
      </c>
      <c r="H208" s="872">
        <f t="shared" si="16"/>
        <v>0</v>
      </c>
      <c r="I208" s="873">
        <f t="shared" si="16"/>
        <v>75432.514882461517</v>
      </c>
      <c r="J208" s="618">
        <f t="shared" si="16"/>
        <v>32008.079770385484</v>
      </c>
      <c r="K208" s="872">
        <f t="shared" si="16"/>
        <v>25391.247905529828</v>
      </c>
      <c r="L208" s="873">
        <f t="shared" si="16"/>
        <v>6616.831864855656</v>
      </c>
      <c r="M208" s="618">
        <f t="shared" si="16"/>
        <v>4099.51062974054</v>
      </c>
      <c r="N208" s="872">
        <f t="shared" si="16"/>
        <v>1093.960215024324</v>
      </c>
      <c r="O208" s="872">
        <f t="shared" si="16"/>
        <v>3005.550414716216</v>
      </c>
      <c r="P208" s="618">
        <f t="shared" si="16"/>
        <v>26668.465559632979</v>
      </c>
      <c r="Q208" s="872">
        <f t="shared" si="16"/>
        <v>17265.6946661562</v>
      </c>
      <c r="R208" s="872">
        <f t="shared" si="16"/>
        <v>14724.472452761171</v>
      </c>
      <c r="S208" s="872">
        <f t="shared" si="16"/>
        <v>2612.9938326971751</v>
      </c>
      <c r="T208" s="873">
        <f t="shared" si="16"/>
        <v>9402.7708934767816</v>
      </c>
      <c r="U208" s="618">
        <f t="shared" si="16"/>
        <v>12656.45892270251</v>
      </c>
    </row>
    <row r="209" spans="3:21">
      <c r="C209" s="365">
        <v>20</v>
      </c>
      <c r="D209" s="62"/>
      <c r="E209" s="96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  <c r="Q209" s="538"/>
      <c r="R209" s="538"/>
      <c r="S209" s="538"/>
      <c r="T209" s="538"/>
      <c r="U209" s="2565"/>
    </row>
    <row r="210" spans="3:21">
      <c r="C210" s="365">
        <v>21</v>
      </c>
      <c r="E210" s="293"/>
      <c r="G210" s="538"/>
      <c r="H210" s="538"/>
      <c r="I210" s="538"/>
      <c r="J210" s="538"/>
      <c r="K210" s="538"/>
      <c r="L210" s="538"/>
      <c r="M210" s="538"/>
      <c r="N210" s="538"/>
      <c r="O210" s="538"/>
      <c r="P210" s="538"/>
      <c r="Q210" s="538"/>
      <c r="R210" s="538"/>
      <c r="S210" s="538"/>
      <c r="T210" s="538"/>
      <c r="U210" s="2565"/>
    </row>
    <row r="211" spans="3:21">
      <c r="C211" s="365">
        <v>22</v>
      </c>
      <c r="E211" s="293" t="s">
        <v>4409</v>
      </c>
      <c r="G211" s="538"/>
      <c r="H211" s="538"/>
      <c r="I211" s="538"/>
      <c r="J211" s="538"/>
      <c r="K211" s="538"/>
      <c r="L211" s="538"/>
      <c r="M211" s="538"/>
      <c r="N211" s="538"/>
      <c r="O211" s="538"/>
      <c r="P211" s="538"/>
      <c r="Q211" s="538"/>
      <c r="R211" s="538"/>
      <c r="S211" s="538"/>
      <c r="T211" s="538"/>
      <c r="U211" s="2565"/>
    </row>
    <row r="212" spans="3:21" ht="15" thickBot="1">
      <c r="C212" s="365">
        <v>23</v>
      </c>
      <c r="D212" s="430"/>
      <c r="E212" s="430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2530"/>
    </row>
    <row r="213" spans="3:21" ht="31.8">
      <c r="C213" s="365">
        <v>24</v>
      </c>
      <c r="D213" s="430"/>
      <c r="E213" s="2533" t="s">
        <v>4410</v>
      </c>
      <c r="F213" s="2851"/>
      <c r="G213" s="961"/>
      <c r="H213" s="38"/>
      <c r="I213" s="2894" t="s">
        <v>4411</v>
      </c>
      <c r="J213" s="2894" t="s">
        <v>4412</v>
      </c>
      <c r="K213" s="2894" t="s">
        <v>4413</v>
      </c>
      <c r="L213" s="2894" t="s">
        <v>4414</v>
      </c>
      <c r="M213" s="2894" t="s">
        <v>4415</v>
      </c>
      <c r="N213" s="2894" t="s">
        <v>4416</v>
      </c>
      <c r="O213" s="2894" t="s">
        <v>4417</v>
      </c>
      <c r="P213" s="2894" t="s">
        <v>4418</v>
      </c>
      <c r="Q213" s="2894" t="s">
        <v>4419</v>
      </c>
      <c r="R213" s="2894" t="s">
        <v>4420</v>
      </c>
      <c r="S213" s="2894" t="s">
        <v>4421</v>
      </c>
      <c r="T213" s="2894" t="s">
        <v>4422</v>
      </c>
      <c r="U213" s="2895" t="s">
        <v>4423</v>
      </c>
    </row>
    <row r="214" spans="3:21">
      <c r="C214" s="365">
        <v>25</v>
      </c>
      <c r="D214" s="430"/>
      <c r="E214" s="875" t="s">
        <v>4424</v>
      </c>
      <c r="G214" s="290"/>
      <c r="H214" s="290" t="s">
        <v>4425</v>
      </c>
      <c r="I214" s="42">
        <f>+J214+M214+P214+U214</f>
        <v>13492110.214790912</v>
      </c>
      <c r="J214" s="42">
        <f>+SUM(K214:L214)</f>
        <v>7879701.8641253766</v>
      </c>
      <c r="K214" s="764">
        <f>+'0 MDS REPORTS'!F1006</f>
        <v>7199153.5139943594</v>
      </c>
      <c r="L214" s="764">
        <f>+'0 MDS REPORTS'!F1007</f>
        <v>680548.35013101739</v>
      </c>
      <c r="M214" s="42">
        <f>+SUM(N214:O214)</f>
        <v>1142696.5795133002</v>
      </c>
      <c r="N214" s="764">
        <f>+'0 MDS REPORTS'!F1008</f>
        <v>559079.92351655953</v>
      </c>
      <c r="O214" s="764">
        <f>+'0 MDS REPORTS'!F1009</f>
        <v>583616.65599674068</v>
      </c>
      <c r="P214" s="42">
        <f>+SUM(R214:T214)</f>
        <v>4224567.8976539755</v>
      </c>
      <c r="Q214" s="42">
        <f>+SUM(R214:S214)</f>
        <v>3213538.3025200171</v>
      </c>
      <c r="R214" s="764">
        <f>+'0 MDS REPORTS'!F1010</f>
        <v>2138740.1302942359</v>
      </c>
      <c r="S214" s="764">
        <f>+'0 MDS REPORTS'!F1011</f>
        <v>1074798.1722257815</v>
      </c>
      <c r="T214" s="764">
        <f>+'0 MDS REPORTS'!F1012</f>
        <v>1011029.595133958</v>
      </c>
      <c r="U214" s="876">
        <f>+'0 MDS REPORTS'!F1013</f>
        <v>245143.87349825987</v>
      </c>
    </row>
    <row r="215" spans="3:21">
      <c r="C215" s="365">
        <v>26</v>
      </c>
      <c r="D215" s="430"/>
      <c r="E215" s="875" t="s">
        <v>4426</v>
      </c>
      <c r="F215" s="60" t="s">
        <v>4427</v>
      </c>
      <c r="G215" s="290" t="s">
        <v>121</v>
      </c>
      <c r="H215" s="290" t="s">
        <v>3179</v>
      </c>
      <c r="I215" s="2758">
        <f>+SUM(J215:U215)</f>
        <v>1</v>
      </c>
      <c r="J215" s="877">
        <f>+J214/I214</f>
        <v>0.584022939235046</v>
      </c>
      <c r="M215" s="877">
        <f>+M214/I214</f>
        <v>8.4693688483259144E-2</v>
      </c>
      <c r="P215" s="877">
        <f>+P214/I214</f>
        <v>0.31311394810744536</v>
      </c>
      <c r="U215" s="878">
        <f>+U214/I214</f>
        <v>1.8169424174249445E-2</v>
      </c>
    </row>
    <row r="216" spans="3:21">
      <c r="C216" s="365">
        <v>27</v>
      </c>
      <c r="D216" s="430"/>
      <c r="E216" s="875" t="s">
        <v>4428</v>
      </c>
      <c r="F216" s="60" t="s">
        <v>4389</v>
      </c>
      <c r="G216" s="290" t="s">
        <v>4429</v>
      </c>
      <c r="H216" s="290" t="s">
        <v>3179</v>
      </c>
      <c r="I216" s="96"/>
      <c r="J216" s="2896">
        <f>+SUM(K216:L216)</f>
        <v>1</v>
      </c>
      <c r="K216" s="877">
        <f>+K214/J214</f>
        <v>0.91363272851357358</v>
      </c>
      <c r="L216" s="877">
        <f>+L214/J214</f>
        <v>8.6367271486426506E-2</v>
      </c>
      <c r="M216" s="2896">
        <f>+SUM(N216:O216)</f>
        <v>1</v>
      </c>
      <c r="N216" s="877">
        <f>+N214/M214</f>
        <v>0.48926367116166924</v>
      </c>
      <c r="O216" s="877">
        <f>+O214/M214</f>
        <v>0.51073632883833076</v>
      </c>
      <c r="P216" s="2896">
        <f>+SUM(Q216,T216)</f>
        <v>0.99999999999999989</v>
      </c>
      <c r="Q216" s="877">
        <f>+Q214/P214</f>
        <v>0.76067857834752461</v>
      </c>
      <c r="R216" s="877">
        <f>+R214/Q214</f>
        <v>0.66554057520243726</v>
      </c>
      <c r="S216" s="877">
        <f>+S214/Q214</f>
        <v>0.33445942479756285</v>
      </c>
      <c r="T216" s="877">
        <f>+T214/P214</f>
        <v>0.23932142165247527</v>
      </c>
      <c r="U216" s="2062"/>
    </row>
    <row r="217" spans="3:21">
      <c r="C217" s="365">
        <v>28</v>
      </c>
      <c r="D217" s="430"/>
      <c r="E217" s="2897"/>
      <c r="G217" s="290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T217" s="96"/>
      <c r="U217" s="97"/>
    </row>
    <row r="218" spans="3:21">
      <c r="C218" s="365">
        <v>29</v>
      </c>
      <c r="D218" s="430"/>
      <c r="E218" s="2897"/>
      <c r="G218" s="290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7"/>
    </row>
    <row r="219" spans="3:21">
      <c r="C219" s="365">
        <v>30</v>
      </c>
      <c r="D219" s="430"/>
      <c r="E219" s="778" t="s">
        <v>4430</v>
      </c>
      <c r="F219" s="1961"/>
      <c r="G219" s="290"/>
      <c r="H219" s="290" t="s">
        <v>4425</v>
      </c>
      <c r="I219" s="42">
        <f>+J219+M219+P219+U219</f>
        <v>96792.232021494099</v>
      </c>
      <c r="J219" s="42">
        <f>+SUM(K219:L219)</f>
        <v>40872.802713764169</v>
      </c>
      <c r="K219" s="764">
        <f>+H266+I108</f>
        <v>32335.923285079385</v>
      </c>
      <c r="L219" s="764">
        <f>+I266</f>
        <v>8536.8794286847842</v>
      </c>
      <c r="M219" s="42">
        <f>+SUM(N219:O219)</f>
        <v>5222.5654834717952</v>
      </c>
      <c r="N219" s="764">
        <f>+J108+M108</f>
        <v>1370.2007609755603</v>
      </c>
      <c r="O219" s="764">
        <f>+G108-I108-J108-M108</f>
        <v>3852.3647224962351</v>
      </c>
      <c r="P219" s="42">
        <f>+SUM(R219:T219)</f>
        <v>34270.318650033529</v>
      </c>
      <c r="Q219" s="2881">
        <f>+R219+S219</f>
        <v>22143.141182439478</v>
      </c>
      <c r="R219" s="2881">
        <f>+H157+J157+O157</f>
        <v>18877.483900643911</v>
      </c>
      <c r="S219" s="2881">
        <f>+L157+N157+Q157+V157</f>
        <v>3265.6572817955689</v>
      </c>
      <c r="T219" s="2881">
        <f>+I157+K157+M157+N157+P157+R157+W157+X157+Y157+Z157+AA157</f>
        <v>12127.177467594054</v>
      </c>
      <c r="U219" s="2898">
        <f>+H67</f>
        <v>16426.545174224604</v>
      </c>
    </row>
    <row r="220" spans="3:21">
      <c r="C220" s="365">
        <v>31</v>
      </c>
      <c r="D220" s="430"/>
      <c r="E220" s="98" t="s">
        <v>4431</v>
      </c>
      <c r="F220" s="60" t="s">
        <v>4432</v>
      </c>
      <c r="G220" s="290" t="s">
        <v>4433</v>
      </c>
      <c r="H220" s="290" t="s">
        <v>3179</v>
      </c>
      <c r="I220" s="877">
        <f>+SUM(J220:U220)</f>
        <v>0.99999999999999989</v>
      </c>
      <c r="J220" s="877">
        <f>+J219/$I$219</f>
        <v>0.42227358394512254</v>
      </c>
      <c r="K220" s="2758"/>
      <c r="L220" s="2758"/>
      <c r="M220" s="877">
        <f>+M219/$I$219</f>
        <v>5.3956452645002026E-2</v>
      </c>
      <c r="N220" s="96"/>
      <c r="O220" s="538"/>
      <c r="P220" s="877">
        <f>+P219/$I$219</f>
        <v>0.35406063001443455</v>
      </c>
      <c r="Q220" s="96"/>
      <c r="S220" s="96"/>
      <c r="T220" s="96"/>
      <c r="U220" s="878">
        <f>+U219/$I$219</f>
        <v>0.16970933339544081</v>
      </c>
    </row>
    <row r="221" spans="3:21">
      <c r="C221" s="365">
        <v>32</v>
      </c>
      <c r="D221" s="430"/>
      <c r="E221" s="98" t="s">
        <v>4434</v>
      </c>
      <c r="F221" s="60" t="s">
        <v>4407</v>
      </c>
      <c r="G221" s="290" t="s">
        <v>4429</v>
      </c>
      <c r="H221" s="290" t="s">
        <v>3179</v>
      </c>
      <c r="I221" s="2856"/>
      <c r="J221" s="2896">
        <f>+SUM(K221:L221)</f>
        <v>1</v>
      </c>
      <c r="K221" s="877">
        <f>+K219/$J$219</f>
        <v>0.79113545287145337</v>
      </c>
      <c r="L221" s="877">
        <f>+L219/$J$219</f>
        <v>0.2088645471285466</v>
      </c>
      <c r="M221" s="2896">
        <f>+SUM(N221:O221)</f>
        <v>1</v>
      </c>
      <c r="N221" s="877">
        <f>+N219/M219</f>
        <v>0.26236162386320039</v>
      </c>
      <c r="O221" s="877">
        <f>+O219/M219</f>
        <v>0.73763837613679972</v>
      </c>
      <c r="P221" s="2896">
        <f>+SUM(Q221,T221)</f>
        <v>1</v>
      </c>
      <c r="Q221" s="877">
        <f>+Q219/P219</f>
        <v>0.64613175642059029</v>
      </c>
      <c r="R221" s="877">
        <f>+R219/Q219</f>
        <v>0.85252059520871493</v>
      </c>
      <c r="S221" s="877">
        <f>+S219/Q219</f>
        <v>0.14747940479128518</v>
      </c>
      <c r="T221" s="877">
        <f>+T219/P219</f>
        <v>0.35386824357940977</v>
      </c>
      <c r="U221" s="97"/>
    </row>
    <row r="222" spans="3:21">
      <c r="C222" s="365">
        <v>33</v>
      </c>
      <c r="D222" s="430"/>
      <c r="E222" s="30"/>
      <c r="G222" s="96"/>
      <c r="H222" s="96"/>
      <c r="K222" s="96"/>
      <c r="L222" s="538"/>
      <c r="M222" s="933"/>
      <c r="N222" s="96"/>
      <c r="O222" s="538"/>
      <c r="T222" s="96"/>
      <c r="U222" s="97"/>
    </row>
    <row r="223" spans="3:21" ht="15" thickBot="1">
      <c r="C223" s="365">
        <v>34</v>
      </c>
      <c r="D223" s="430"/>
      <c r="E223" s="2803" t="s">
        <v>4435</v>
      </c>
      <c r="F223" s="32"/>
      <c r="G223" s="2899"/>
      <c r="H223" s="2899"/>
      <c r="I223" s="2899"/>
      <c r="J223" s="2899"/>
      <c r="K223" s="2899"/>
      <c r="L223" s="2899"/>
      <c r="M223" s="2899"/>
      <c r="N223" s="2899"/>
      <c r="O223" s="2899"/>
      <c r="P223" s="32"/>
      <c r="Q223" s="2899"/>
      <c r="R223" s="2899"/>
      <c r="S223" s="2899"/>
      <c r="T223" s="2899"/>
      <c r="U223" s="2900"/>
    </row>
    <row r="224" spans="3:21">
      <c r="C224" s="462"/>
      <c r="D224" s="545"/>
      <c r="E224" s="2657"/>
      <c r="F224" s="297"/>
      <c r="G224" s="2657"/>
      <c r="H224" s="2657"/>
      <c r="I224" s="2657"/>
      <c r="J224" s="2657"/>
      <c r="K224" s="2657"/>
      <c r="L224" s="2657"/>
      <c r="M224" s="2657"/>
      <c r="N224" s="2657"/>
      <c r="O224" s="2657"/>
      <c r="P224" s="297"/>
      <c r="Q224" s="2657"/>
      <c r="R224" s="545"/>
      <c r="S224" s="545"/>
      <c r="T224" s="545"/>
      <c r="U224" s="2577"/>
    </row>
    <row r="227" spans="3:15">
      <c r="C227" s="2828" t="s">
        <v>4436</v>
      </c>
      <c r="D227" s="2828"/>
    </row>
    <row r="228" spans="3:15">
      <c r="C228" s="2901" t="s">
        <v>2173</v>
      </c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460"/>
    </row>
    <row r="229" spans="3:15">
      <c r="C229" s="2902" t="s">
        <v>4437</v>
      </c>
      <c r="L229" s="2551"/>
      <c r="O229" s="296"/>
    </row>
    <row r="230" spans="3:15">
      <c r="C230" s="2495" t="s">
        <v>9263</v>
      </c>
      <c r="D230" s="673"/>
      <c r="E230" s="673"/>
      <c r="F230" s="297"/>
      <c r="G230" s="297"/>
      <c r="H230" s="297"/>
      <c r="I230" s="297"/>
      <c r="J230" s="297"/>
      <c r="K230" s="297"/>
      <c r="L230" s="297"/>
      <c r="M230" s="297"/>
      <c r="N230" s="297"/>
      <c r="O230" s="298"/>
    </row>
    <row r="231" spans="3:15">
      <c r="C231" s="2902"/>
      <c r="D231" s="62"/>
      <c r="E231" s="62"/>
      <c r="F231" s="62"/>
      <c r="G231" s="352"/>
      <c r="H231" s="753" t="s">
        <v>115</v>
      </c>
      <c r="I231" s="2783"/>
      <c r="J231" s="352"/>
      <c r="K231" s="753" t="s">
        <v>4438</v>
      </c>
      <c r="L231" s="2783"/>
      <c r="M231" s="352"/>
      <c r="N231" s="753" t="s">
        <v>4439</v>
      </c>
      <c r="O231" s="2783"/>
    </row>
    <row r="232" spans="3:15" ht="15" thickBot="1">
      <c r="C232" s="353"/>
      <c r="D232" s="62"/>
      <c r="E232" s="62"/>
      <c r="F232" s="62"/>
      <c r="G232" s="353"/>
      <c r="H232" s="60" t="s">
        <v>2620</v>
      </c>
      <c r="I232" s="622"/>
      <c r="J232" s="353"/>
      <c r="K232" s="60" t="s">
        <v>2621</v>
      </c>
      <c r="L232" s="622"/>
      <c r="M232" s="353"/>
      <c r="N232" s="60" t="s">
        <v>4440</v>
      </c>
      <c r="O232" s="622"/>
    </row>
    <row r="233" spans="3:15">
      <c r="C233" s="353"/>
      <c r="D233" s="62"/>
      <c r="E233" s="62" t="s">
        <v>2477</v>
      </c>
      <c r="F233" s="62"/>
      <c r="G233" s="3156" t="s">
        <v>4441</v>
      </c>
      <c r="H233" s="3157"/>
      <c r="I233" s="3158"/>
      <c r="J233" s="353"/>
      <c r="K233" s="2903" t="s">
        <v>4442</v>
      </c>
      <c r="L233" s="2904" t="s">
        <v>4443</v>
      </c>
      <c r="M233" s="353"/>
      <c r="N233" s="62"/>
      <c r="O233" s="622"/>
    </row>
    <row r="234" spans="3:15" ht="15" thickBot="1">
      <c r="C234" s="363" t="s">
        <v>2182</v>
      </c>
      <c r="D234" s="60"/>
      <c r="E234" s="60"/>
      <c r="F234" s="60" t="s">
        <v>113</v>
      </c>
      <c r="G234" s="353"/>
      <c r="H234" s="62"/>
      <c r="I234" s="622"/>
      <c r="J234" s="353"/>
      <c r="K234" s="2789">
        <v>0</v>
      </c>
      <c r="L234" s="2790">
        <v>0</v>
      </c>
      <c r="M234" s="353"/>
      <c r="N234" s="62"/>
      <c r="O234" s="622"/>
    </row>
    <row r="235" spans="3:15">
      <c r="C235" s="522" t="s">
        <v>3216</v>
      </c>
      <c r="D235" s="77" t="s">
        <v>3174</v>
      </c>
      <c r="E235" s="77" t="s">
        <v>2052</v>
      </c>
      <c r="F235" s="364" t="s">
        <v>4444</v>
      </c>
      <c r="G235" s="363" t="s">
        <v>115</v>
      </c>
      <c r="H235" s="60" t="s">
        <v>119</v>
      </c>
      <c r="I235" s="767" t="s">
        <v>120</v>
      </c>
      <c r="J235" s="363" t="s">
        <v>115</v>
      </c>
      <c r="K235" s="60" t="s">
        <v>119</v>
      </c>
      <c r="L235" s="767" t="s">
        <v>120</v>
      </c>
      <c r="M235" s="363" t="s">
        <v>115</v>
      </c>
      <c r="N235" s="60" t="s">
        <v>119</v>
      </c>
      <c r="O235" s="767" t="s">
        <v>120</v>
      </c>
    </row>
    <row r="236" spans="3:15">
      <c r="C236" s="2791" t="s">
        <v>2175</v>
      </c>
      <c r="D236" s="2792" t="s">
        <v>2176</v>
      </c>
      <c r="E236" s="2792" t="s">
        <v>2177</v>
      </c>
      <c r="F236" s="2793" t="s">
        <v>2178</v>
      </c>
      <c r="G236" s="2792" t="s">
        <v>2179</v>
      </c>
      <c r="H236" s="2792" t="s">
        <v>2625</v>
      </c>
      <c r="I236" s="2793" t="s">
        <v>2626</v>
      </c>
      <c r="J236" s="2792" t="s">
        <v>2627</v>
      </c>
      <c r="K236" s="2792" t="s">
        <v>2628</v>
      </c>
      <c r="L236" s="2793" t="s">
        <v>2629</v>
      </c>
      <c r="M236" s="2792" t="s">
        <v>2630</v>
      </c>
      <c r="N236" s="2792" t="s">
        <v>4061</v>
      </c>
      <c r="O236" s="2793" t="s">
        <v>4062</v>
      </c>
    </row>
    <row r="237" spans="3:15">
      <c r="C237" s="357"/>
      <c r="G237" s="357"/>
      <c r="I237" s="296"/>
      <c r="J237" s="357"/>
      <c r="L237" s="296"/>
      <c r="M237" s="357"/>
      <c r="O237" s="296"/>
    </row>
    <row r="238" spans="3:15">
      <c r="C238" s="526">
        <v>1</v>
      </c>
      <c r="E238" s="531" t="s">
        <v>4445</v>
      </c>
      <c r="G238" s="357"/>
      <c r="I238" s="296"/>
      <c r="J238" s="357"/>
      <c r="L238" s="296"/>
      <c r="M238" s="357"/>
      <c r="O238" s="296"/>
    </row>
    <row r="239" spans="3:15">
      <c r="C239" s="365">
        <v>2</v>
      </c>
      <c r="D239" s="33" t="s">
        <v>4446</v>
      </c>
      <c r="E239" t="s">
        <v>4315</v>
      </c>
      <c r="F239" s="290" t="s">
        <v>4067</v>
      </c>
      <c r="G239" s="620">
        <f>+SUMIFS('Labor Input'!C:C,'Labor Input'!G:G,'0 MDS Labor O&amp;M'!D239)/1000</f>
        <v>2539.8197231102326</v>
      </c>
      <c r="H239" s="764">
        <f>+IF('Prod O&amp;M'!G45&lt;&gt;0,('Prod O&amp;M'!H45/'Prod O&amp;M'!G45)*'0 MDS Labor O&amp;M'!G239,0)</f>
        <v>2539.8197231102326</v>
      </c>
      <c r="I239" s="764">
        <f>+IF('Prod O&amp;M'!G45&lt;&gt;0,('Prod O&amp;M'!I45/'Prod O&amp;M'!G45)*'0 MDS Labor O&amp;M'!G239,0)</f>
        <v>0</v>
      </c>
      <c r="J239" s="891">
        <f t="shared" ref="J239:J244" si="17">+SUM(K239:L239)</f>
        <v>0</v>
      </c>
      <c r="K239" s="445">
        <f t="shared" ref="K239:K244" si="18">+H239*$K$234</f>
        <v>0</v>
      </c>
      <c r="L239" s="2905">
        <f t="shared" ref="L239:L244" si="19">+I239*$L$234</f>
        <v>0</v>
      </c>
      <c r="M239" s="891">
        <f t="shared" ref="M239:O244" si="20">+G239-J239</f>
        <v>2539.8197231102326</v>
      </c>
      <c r="N239" s="513">
        <f t="shared" si="20"/>
        <v>2539.8197231102326</v>
      </c>
      <c r="O239" s="892">
        <f t="shared" si="20"/>
        <v>0</v>
      </c>
    </row>
    <row r="240" spans="3:15">
      <c r="C240" s="365">
        <v>3</v>
      </c>
      <c r="D240" s="33">
        <v>502</v>
      </c>
      <c r="E240" t="s">
        <v>4447</v>
      </c>
      <c r="F240" s="290" t="s">
        <v>4448</v>
      </c>
      <c r="G240" s="620">
        <f>+SUMIFS('Labor Input'!C:C,'Labor Input'!G:G,'0 MDS Labor O&amp;M'!D240)/1000</f>
        <v>10112.351417302401</v>
      </c>
      <c r="H240" s="764">
        <f>+IF('Prod O&amp;M'!G46&lt;&gt;0,('Prod O&amp;M'!H46/'Prod O&amp;M'!G46)*'0 MDS Labor O&amp;M'!G240,0)</f>
        <v>7095.8434942632075</v>
      </c>
      <c r="I240" s="764">
        <f>+IF('Prod O&amp;M'!G46&lt;&gt;0,('Prod O&amp;M'!I46/'Prod O&amp;M'!G46)*'0 MDS Labor O&amp;M'!G240,0)</f>
        <v>3016.5079230391943</v>
      </c>
      <c r="J240" s="891">
        <f t="shared" si="17"/>
        <v>0</v>
      </c>
      <c r="K240" s="445">
        <f t="shared" si="18"/>
        <v>0</v>
      </c>
      <c r="L240" s="2905">
        <f t="shared" si="19"/>
        <v>0</v>
      </c>
      <c r="M240" s="891">
        <f t="shared" si="20"/>
        <v>10112.351417302401</v>
      </c>
      <c r="N240" s="513">
        <f t="shared" si="20"/>
        <v>7095.8434942632075</v>
      </c>
      <c r="O240" s="892">
        <f t="shared" si="20"/>
        <v>3016.5079230391943</v>
      </c>
    </row>
    <row r="241" spans="3:15">
      <c r="C241" s="365">
        <v>4</v>
      </c>
      <c r="D241" s="33">
        <v>503</v>
      </c>
      <c r="E241" t="s">
        <v>4449</v>
      </c>
      <c r="F241" s="290" t="s">
        <v>2067</v>
      </c>
      <c r="G241" s="620">
        <f>+SUMIFS('Labor Input'!C:C,'Labor Input'!G:G,'0 MDS Labor O&amp;M'!D241)/1000</f>
        <v>0</v>
      </c>
      <c r="H241" s="764">
        <f>+IF('Prod O&amp;M'!G47&lt;&gt;0,('Prod O&amp;M'!H47/'Prod O&amp;M'!G47)*'0 MDS Labor O&amp;M'!G241,0)</f>
        <v>0</v>
      </c>
      <c r="I241" s="764">
        <f>+IF('Prod O&amp;M'!G47&lt;&gt;0,('Prod O&amp;M'!I47/'Prod O&amp;M'!G47)*'0 MDS Labor O&amp;M'!G241,0)</f>
        <v>0</v>
      </c>
      <c r="J241" s="891">
        <f t="shared" si="17"/>
        <v>0</v>
      </c>
      <c r="K241" s="445">
        <f t="shared" si="18"/>
        <v>0</v>
      </c>
      <c r="L241" s="2905">
        <f t="shared" si="19"/>
        <v>0</v>
      </c>
      <c r="M241" s="891">
        <f t="shared" si="20"/>
        <v>0</v>
      </c>
      <c r="N241" s="513">
        <f t="shared" si="20"/>
        <v>0</v>
      </c>
      <c r="O241" s="892">
        <f t="shared" si="20"/>
        <v>0</v>
      </c>
    </row>
    <row r="242" spans="3:15">
      <c r="C242" s="365">
        <v>5</v>
      </c>
      <c r="D242" s="33" t="s">
        <v>4450</v>
      </c>
      <c r="E242" t="s">
        <v>4451</v>
      </c>
      <c r="F242" s="290" t="s">
        <v>4067</v>
      </c>
      <c r="G242" s="620">
        <f>+SUMIFS('Labor Input'!C:C,'Labor Input'!G:G,'0 MDS Labor O&amp;M'!D242)/1000</f>
        <v>0</v>
      </c>
      <c r="H242" s="764">
        <f>+IF('Prod O&amp;M'!G48&lt;&gt;0,('Prod O&amp;M'!H48/'Prod O&amp;M'!G48)*'0 MDS Labor O&amp;M'!G242,0)</f>
        <v>0</v>
      </c>
      <c r="I242" s="764">
        <f>+IF('Prod O&amp;M'!G48&lt;&gt;0,('Prod O&amp;M'!I48/'Prod O&amp;M'!G48)*'0 MDS Labor O&amp;M'!G242,0)</f>
        <v>0</v>
      </c>
      <c r="J242" s="891">
        <f t="shared" si="17"/>
        <v>0</v>
      </c>
      <c r="K242" s="445">
        <f t="shared" si="18"/>
        <v>0</v>
      </c>
      <c r="L242" s="2905">
        <f t="shared" si="19"/>
        <v>0</v>
      </c>
      <c r="M242" s="891">
        <f t="shared" si="20"/>
        <v>0</v>
      </c>
      <c r="N242" s="513">
        <f t="shared" si="20"/>
        <v>0</v>
      </c>
      <c r="O242" s="892">
        <f t="shared" si="20"/>
        <v>0</v>
      </c>
    </row>
    <row r="243" spans="3:15">
      <c r="C243" s="365">
        <v>6</v>
      </c>
      <c r="D243" s="33" t="s">
        <v>4452</v>
      </c>
      <c r="E243" t="s">
        <v>4453</v>
      </c>
      <c r="F243" s="290" t="s">
        <v>4067</v>
      </c>
      <c r="G243" s="620">
        <f>+SUMIFS('Labor Input'!C:C,'Labor Input'!G:G,'0 MDS Labor O&amp;M'!D243)/1000</f>
        <v>935.69106737945742</v>
      </c>
      <c r="H243" s="764">
        <f>+IF('Prod O&amp;M'!G49&lt;&gt;0,('Prod O&amp;M'!H49/'Prod O&amp;M'!G49)*'0 MDS Labor O&amp;M'!G243,0)</f>
        <v>935.69106737945742</v>
      </c>
      <c r="I243" s="764">
        <f>+IF('Prod O&amp;M'!G49&lt;&gt;0,('Prod O&amp;M'!I49/'Prod O&amp;M'!G49)*'0 MDS Labor O&amp;M'!G243,0)</f>
        <v>0</v>
      </c>
      <c r="J243" s="891">
        <f t="shared" si="17"/>
        <v>0</v>
      </c>
      <c r="K243" s="445">
        <f t="shared" si="18"/>
        <v>0</v>
      </c>
      <c r="L243" s="2905">
        <f t="shared" si="19"/>
        <v>0</v>
      </c>
      <c r="M243" s="891">
        <f t="shared" si="20"/>
        <v>935.69106737945742</v>
      </c>
      <c r="N243" s="513">
        <f t="shared" si="20"/>
        <v>935.69106737945742</v>
      </c>
      <c r="O243" s="892">
        <f t="shared" si="20"/>
        <v>0</v>
      </c>
    </row>
    <row r="244" spans="3:15">
      <c r="C244" s="365">
        <v>7</v>
      </c>
      <c r="D244" s="33" t="s">
        <v>4454</v>
      </c>
      <c r="E244" t="s">
        <v>4270</v>
      </c>
      <c r="F244" s="290" t="s">
        <v>4067</v>
      </c>
      <c r="G244" s="620">
        <f>+SUMIFS('Labor Input'!C:C,'Labor Input'!G:G,'0 MDS Labor O&amp;M'!D244)/1000</f>
        <v>0</v>
      </c>
      <c r="H244" s="764">
        <f>+IF('Prod O&amp;M'!G50&lt;&gt;0,('Prod O&amp;M'!H50/'Prod O&amp;M'!G50)*'0 MDS Labor O&amp;M'!G244,0)</f>
        <v>0</v>
      </c>
      <c r="I244" s="764">
        <f>+IF('Prod O&amp;M'!G50&lt;&gt;0,('Prod O&amp;M'!I50/'Prod O&amp;M'!G50)*'0 MDS Labor O&amp;M'!G244,0)</f>
        <v>0</v>
      </c>
      <c r="J244" s="891">
        <f t="shared" si="17"/>
        <v>0</v>
      </c>
      <c r="K244" s="445">
        <f t="shared" si="18"/>
        <v>0</v>
      </c>
      <c r="L244" s="2905">
        <f t="shared" si="19"/>
        <v>0</v>
      </c>
      <c r="M244" s="891">
        <f t="shared" si="20"/>
        <v>0</v>
      </c>
      <c r="N244" s="513">
        <f t="shared" si="20"/>
        <v>0</v>
      </c>
      <c r="O244" s="892">
        <f t="shared" si="20"/>
        <v>0</v>
      </c>
    </row>
    <row r="245" spans="3:15">
      <c r="C245" s="365">
        <v>8</v>
      </c>
      <c r="D245" s="33"/>
      <c r="E245" t="s">
        <v>2360</v>
      </c>
      <c r="F245" s="290"/>
      <c r="G245" s="620"/>
      <c r="H245" s="764"/>
      <c r="I245" s="764"/>
      <c r="J245" s="891"/>
      <c r="K245" s="445"/>
      <c r="L245" s="2905"/>
      <c r="M245" s="891"/>
      <c r="N245" s="513"/>
      <c r="O245" s="892"/>
    </row>
    <row r="246" spans="3:15">
      <c r="C246" s="365">
        <v>9</v>
      </c>
      <c r="D246" s="33"/>
      <c r="E246" s="531" t="s">
        <v>4455</v>
      </c>
      <c r="F246" s="290"/>
      <c r="G246" s="900"/>
      <c r="H246" s="764"/>
      <c r="I246" s="377"/>
      <c r="J246" s="891"/>
      <c r="K246" s="445">
        <f t="shared" ref="K246:K251" si="21">+H246*$K$234</f>
        <v>0</v>
      </c>
      <c r="L246" s="2905">
        <f t="shared" ref="L246:L251" si="22">+I246*$L$234</f>
        <v>0</v>
      </c>
      <c r="M246" s="891">
        <f t="shared" ref="M246:O251" si="23">+G246-J246</f>
        <v>0</v>
      </c>
      <c r="N246" s="513">
        <f t="shared" si="23"/>
        <v>0</v>
      </c>
      <c r="O246" s="892">
        <f t="shared" si="23"/>
        <v>0</v>
      </c>
    </row>
    <row r="247" spans="3:15">
      <c r="C247" s="365">
        <v>10</v>
      </c>
      <c r="D247" s="33" t="s">
        <v>4456</v>
      </c>
      <c r="E247" t="s">
        <v>4457</v>
      </c>
      <c r="F247" s="290" t="s">
        <v>4458</v>
      </c>
      <c r="G247" s="620">
        <f>+SUMIFS('Labor Input'!C:C,'Labor Input'!G:G,'0 MDS Labor O&amp;M'!D247)/1000</f>
        <v>0</v>
      </c>
      <c r="H247" s="764">
        <f>+IF('Prod O&amp;M'!G53&lt;&gt;0,('Prod O&amp;M'!H53/'Prod O&amp;M'!G53)*'0 MDS Labor O&amp;M'!G247,0)</f>
        <v>0</v>
      </c>
      <c r="I247" s="764">
        <f>+IF('Prod O&amp;M'!G53&lt;&gt;0,('Prod O&amp;M'!I53/'Prod O&amp;M'!G53)*'0 MDS Labor O&amp;M'!G247,0)</f>
        <v>0</v>
      </c>
      <c r="J247" s="891">
        <f>+SUM(K247:L247)</f>
        <v>0</v>
      </c>
      <c r="K247" s="445">
        <f t="shared" si="21"/>
        <v>0</v>
      </c>
      <c r="L247" s="2905">
        <f t="shared" si="22"/>
        <v>0</v>
      </c>
      <c r="M247" s="891">
        <f t="shared" si="23"/>
        <v>0</v>
      </c>
      <c r="N247" s="513">
        <f t="shared" si="23"/>
        <v>0</v>
      </c>
      <c r="O247" s="892">
        <f t="shared" si="23"/>
        <v>0</v>
      </c>
    </row>
    <row r="248" spans="3:15">
      <c r="C248" s="365">
        <v>11</v>
      </c>
      <c r="D248" s="33" t="s">
        <v>4459</v>
      </c>
      <c r="E248" t="s">
        <v>4460</v>
      </c>
      <c r="F248" s="290" t="s">
        <v>4067</v>
      </c>
      <c r="G248" s="620">
        <f>+SUMIFS('Labor Input'!C:C,'Labor Input'!G:G,'0 MDS Labor O&amp;M'!D248)/1000</f>
        <v>1247.8985669689921</v>
      </c>
      <c r="H248" s="764">
        <f>+IF('Prod O&amp;M'!G54&lt;&gt;0,('Prod O&amp;M'!H54/'Prod O&amp;M'!G54)*'0 MDS Labor O&amp;M'!G248,0)</f>
        <v>1247.8985669689921</v>
      </c>
      <c r="I248" s="764">
        <f>+IF('Prod O&amp;M'!G54&lt;&gt;0,('Prod O&amp;M'!I54/'Prod O&amp;M'!G54)*'0 MDS Labor O&amp;M'!G248,0)</f>
        <v>0</v>
      </c>
      <c r="J248" s="891">
        <f>+SUM(K248:L248)</f>
        <v>0</v>
      </c>
      <c r="K248" s="445">
        <f t="shared" si="21"/>
        <v>0</v>
      </c>
      <c r="L248" s="2905">
        <f t="shared" si="22"/>
        <v>0</v>
      </c>
      <c r="M248" s="891">
        <f t="shared" si="23"/>
        <v>1247.8985669689921</v>
      </c>
      <c r="N248" s="513">
        <f t="shared" si="23"/>
        <v>1247.8985669689921</v>
      </c>
      <c r="O248" s="892">
        <f t="shared" si="23"/>
        <v>0</v>
      </c>
    </row>
    <row r="249" spans="3:15">
      <c r="C249" s="365">
        <v>12</v>
      </c>
      <c r="D249" s="33" t="s">
        <v>4461</v>
      </c>
      <c r="E249" t="s">
        <v>4462</v>
      </c>
      <c r="F249" s="290" t="s">
        <v>2067</v>
      </c>
      <c r="G249" s="620">
        <f>+SUMIFS('Labor Input'!C:C,'Labor Input'!G:G,'0 MDS Labor O&amp;M'!D249)/1000</f>
        <v>3406.9676362274413</v>
      </c>
      <c r="H249" s="764">
        <f>+IF('Prod O&amp;M'!G55&lt;&gt;0,('Prod O&amp;M'!H55/'Prod O&amp;M'!G55)*'0 MDS Labor O&amp;M'!G249,0)</f>
        <v>0</v>
      </c>
      <c r="I249" s="764">
        <f>+IF('Prod O&amp;M'!G55&lt;&gt;0,('Prod O&amp;M'!I55/'Prod O&amp;M'!G55)*'0 MDS Labor O&amp;M'!G249,0)</f>
        <v>3406.9676362274413</v>
      </c>
      <c r="J249" s="891">
        <f>+SUM(K249:L249)</f>
        <v>0</v>
      </c>
      <c r="K249" s="445">
        <f t="shared" si="21"/>
        <v>0</v>
      </c>
      <c r="L249" s="2905">
        <f t="shared" si="22"/>
        <v>0</v>
      </c>
      <c r="M249" s="891">
        <f t="shared" si="23"/>
        <v>3406.9676362274413</v>
      </c>
      <c r="N249" s="513">
        <f t="shared" si="23"/>
        <v>0</v>
      </c>
      <c r="O249" s="892">
        <f t="shared" si="23"/>
        <v>3406.9676362274413</v>
      </c>
    </row>
    <row r="250" spans="3:15">
      <c r="C250" s="365">
        <v>13</v>
      </c>
      <c r="D250" s="33" t="s">
        <v>4463</v>
      </c>
      <c r="E250" t="s">
        <v>4464</v>
      </c>
      <c r="F250" s="290" t="s">
        <v>2067</v>
      </c>
      <c r="G250" s="620">
        <f>+SUMIFS('Labor Input'!C:C,'Labor Input'!G:G,'0 MDS Labor O&amp;M'!D250)/1000</f>
        <v>15.892726221085274</v>
      </c>
      <c r="H250" s="764">
        <f>+IF('Prod O&amp;M'!G56&lt;&gt;0,('Prod O&amp;M'!H56/'Prod O&amp;M'!G56)*'0 MDS Labor O&amp;M'!G250,0)</f>
        <v>0</v>
      </c>
      <c r="I250" s="764">
        <f>+IF('Prod O&amp;M'!G56&lt;&gt;0,('Prod O&amp;M'!I56/'Prod O&amp;M'!G56)*'0 MDS Labor O&amp;M'!G250,0)</f>
        <v>15.892726221085274</v>
      </c>
      <c r="J250" s="891">
        <f>+SUM(K250:L250)</f>
        <v>0</v>
      </c>
      <c r="K250" s="445">
        <f t="shared" si="21"/>
        <v>0</v>
      </c>
      <c r="L250" s="2905">
        <f t="shared" si="22"/>
        <v>0</v>
      </c>
      <c r="M250" s="891">
        <f t="shared" si="23"/>
        <v>15.892726221085274</v>
      </c>
      <c r="N250" s="513">
        <f t="shared" si="23"/>
        <v>0</v>
      </c>
      <c r="O250" s="892">
        <f t="shared" si="23"/>
        <v>15.892726221085274</v>
      </c>
    </row>
    <row r="251" spans="3:15">
      <c r="C251" s="365">
        <v>14</v>
      </c>
      <c r="D251" s="33" t="s">
        <v>4465</v>
      </c>
      <c r="E251" t="s">
        <v>4466</v>
      </c>
      <c r="F251" s="290" t="s">
        <v>2067</v>
      </c>
      <c r="G251" s="620">
        <f>+SUMIFS('Labor Input'!C:C,'Labor Input'!G:G,'0 MDS Labor O&amp;M'!D251)/1000</f>
        <v>15.892711546046517</v>
      </c>
      <c r="H251" s="764">
        <f>+IF('Prod O&amp;M'!G57&lt;&gt;0,('Prod O&amp;M'!H57/'Prod O&amp;M'!G57)*'0 MDS Labor O&amp;M'!G251,0)</f>
        <v>0</v>
      </c>
      <c r="I251" s="764">
        <f>+IF('Prod O&amp;M'!G57&lt;&gt;0,('Prod O&amp;M'!I57/'Prod O&amp;M'!G57)*'0 MDS Labor O&amp;M'!G251,0)</f>
        <v>15.892711546046517</v>
      </c>
      <c r="J251" s="891">
        <f>+SUM(K251:L251)</f>
        <v>0</v>
      </c>
      <c r="K251" s="445">
        <f t="shared" si="21"/>
        <v>0</v>
      </c>
      <c r="L251" s="2905">
        <f t="shared" si="22"/>
        <v>0</v>
      </c>
      <c r="M251" s="891">
        <f t="shared" si="23"/>
        <v>15.892711546046517</v>
      </c>
      <c r="N251" s="513">
        <f t="shared" si="23"/>
        <v>0</v>
      </c>
      <c r="O251" s="892">
        <f t="shared" si="23"/>
        <v>15.892711546046517</v>
      </c>
    </row>
    <row r="252" spans="3:15">
      <c r="C252" s="365">
        <v>15</v>
      </c>
      <c r="D252" s="33"/>
      <c r="E252" s="96" t="s">
        <v>4467</v>
      </c>
      <c r="F252" s="290"/>
      <c r="G252" s="874">
        <f t="shared" ref="G252:O252" si="24">+SUM(G239:G251)</f>
        <v>18274.513848755658</v>
      </c>
      <c r="H252" s="2906">
        <f t="shared" si="24"/>
        <v>11819.252851721889</v>
      </c>
      <c r="I252" s="2906">
        <f t="shared" si="24"/>
        <v>6455.2609970337671</v>
      </c>
      <c r="J252" s="874">
        <f t="shared" si="24"/>
        <v>0</v>
      </c>
      <c r="K252" s="872">
        <f t="shared" si="24"/>
        <v>0</v>
      </c>
      <c r="L252" s="872">
        <f t="shared" si="24"/>
        <v>0</v>
      </c>
      <c r="M252" s="874">
        <f t="shared" si="24"/>
        <v>18274.513848755658</v>
      </c>
      <c r="N252" s="872">
        <f t="shared" si="24"/>
        <v>11819.252851721889</v>
      </c>
      <c r="O252" s="873">
        <f t="shared" si="24"/>
        <v>6455.2609970337671</v>
      </c>
    </row>
    <row r="253" spans="3:15">
      <c r="C253" s="365">
        <v>16</v>
      </c>
      <c r="D253" s="33"/>
      <c r="E253" s="62" t="s">
        <v>2360</v>
      </c>
      <c r="F253" s="290"/>
      <c r="G253" s="2907"/>
      <c r="H253" s="2908"/>
      <c r="I253" s="2908"/>
      <c r="J253" s="2907"/>
      <c r="K253" s="538"/>
      <c r="L253" s="538"/>
      <c r="M253" s="2907"/>
      <c r="N253" s="538"/>
      <c r="O253" s="2565"/>
    </row>
    <row r="254" spans="3:15">
      <c r="C254" s="365">
        <v>17</v>
      </c>
      <c r="D254" s="33"/>
      <c r="E254" s="531" t="s">
        <v>2491</v>
      </c>
      <c r="F254" s="290"/>
      <c r="G254" s="2909"/>
      <c r="H254" s="2910"/>
      <c r="I254" s="2911"/>
      <c r="J254" s="2912"/>
      <c r="K254" s="46"/>
      <c r="L254" s="2569"/>
      <c r="M254" s="2912"/>
      <c r="N254" s="46"/>
      <c r="O254" s="2569"/>
    </row>
    <row r="255" spans="3:15">
      <c r="C255" s="365">
        <v>18</v>
      </c>
      <c r="D255" s="33" t="s">
        <v>4468</v>
      </c>
      <c r="E255" t="s">
        <v>4315</v>
      </c>
      <c r="F255" s="290" t="s">
        <v>4448</v>
      </c>
      <c r="G255" s="620">
        <f>+SUMIFS('Labor Input'!C:C,'Labor Input'!G:G,'0 MDS Labor O&amp;M'!D255)/1000</f>
        <v>0</v>
      </c>
      <c r="H255" s="764">
        <f>+IF('Prod O&amp;M'!G61&lt;&gt;0,('Prod O&amp;M'!H61/'Prod O&amp;M'!G61)*'0 MDS Labor O&amp;M'!G255,0)</f>
        <v>0</v>
      </c>
      <c r="I255" s="764">
        <f>+IF('Prod O&amp;M'!G61&lt;&gt;0,('Prod O&amp;M'!I61/'Prod O&amp;M'!G61)*'0 MDS Labor O&amp;M'!G255,0)</f>
        <v>0</v>
      </c>
      <c r="J255" s="891">
        <f t="shared" ref="J255:J263" si="25">+SUM(K255:L255)</f>
        <v>0</v>
      </c>
      <c r="K255" s="445">
        <f t="shared" ref="K255:K263" si="26">+H255*$K$234</f>
        <v>0</v>
      </c>
      <c r="L255" s="2905">
        <f t="shared" ref="L255:L263" si="27">+I255*$L$234</f>
        <v>0</v>
      </c>
      <c r="M255" s="891">
        <f t="shared" ref="M255:O263" si="28">+G255-J255</f>
        <v>0</v>
      </c>
      <c r="N255" s="513">
        <f t="shared" si="28"/>
        <v>0</v>
      </c>
      <c r="O255" s="892">
        <f t="shared" si="28"/>
        <v>0</v>
      </c>
    </row>
    <row r="256" spans="3:15">
      <c r="C256" s="365">
        <v>19</v>
      </c>
      <c r="D256" s="33" t="s">
        <v>4469</v>
      </c>
      <c r="E256" t="s">
        <v>4470</v>
      </c>
      <c r="F256" s="290" t="s">
        <v>4448</v>
      </c>
      <c r="G256" s="620">
        <f>+SUMIFS('Labor Input'!C:C,'Labor Input'!G:G,'0 MDS Labor O&amp;M'!D256)/1000</f>
        <v>9743.8309216275939</v>
      </c>
      <c r="H256" s="764">
        <f>+IF('Prod O&amp;M'!G62&lt;&gt;0,('Prod O&amp;M'!H62/'Prod O&amp;M'!G62)*'0 MDS Labor O&amp;M'!G256,0)</f>
        <v>9743.8309216275939</v>
      </c>
      <c r="I256" s="764">
        <f>+IF('Prod O&amp;M'!G62&lt;&gt;0,('Prod O&amp;M'!I62/'Prod O&amp;M'!G62)*'0 MDS Labor O&amp;M'!G256,0)</f>
        <v>0</v>
      </c>
      <c r="J256" s="891">
        <f t="shared" si="25"/>
        <v>0</v>
      </c>
      <c r="K256" s="445">
        <f t="shared" si="26"/>
        <v>0</v>
      </c>
      <c r="L256" s="2905">
        <f t="shared" si="27"/>
        <v>0</v>
      </c>
      <c r="M256" s="891">
        <f t="shared" si="28"/>
        <v>9743.8309216275939</v>
      </c>
      <c r="N256" s="513">
        <f t="shared" si="28"/>
        <v>9743.8309216275939</v>
      </c>
      <c r="O256" s="892">
        <f t="shared" si="28"/>
        <v>0</v>
      </c>
    </row>
    <row r="257" spans="3:15">
      <c r="C257" s="365">
        <v>20</v>
      </c>
      <c r="D257" s="33" t="s">
        <v>4471</v>
      </c>
      <c r="E257" t="s">
        <v>4472</v>
      </c>
      <c r="F257" s="290" t="s">
        <v>4448</v>
      </c>
      <c r="G257" s="620">
        <f>+SUMIFS('Labor Input'!C:C,'Labor Input'!G:G,'0 MDS Labor O&amp;M'!D257)/1000</f>
        <v>3108.5043455310074</v>
      </c>
      <c r="H257" s="764">
        <f>+IF('Prod O&amp;M'!G63&lt;&gt;0,('Prod O&amp;M'!H63/'Prod O&amp;M'!G63)*'0 MDS Labor O&amp;M'!G257,0)</f>
        <v>3108.5043455310074</v>
      </c>
      <c r="I257" s="764">
        <f>+IF('Prod O&amp;M'!G63&lt;&gt;0,('Prod O&amp;M'!I63/'Prod O&amp;M'!G63)*'0 MDS Labor O&amp;M'!G257,0)</f>
        <v>0</v>
      </c>
      <c r="J257" s="891">
        <f t="shared" si="25"/>
        <v>0</v>
      </c>
      <c r="K257" s="445">
        <f t="shared" si="26"/>
        <v>0</v>
      </c>
      <c r="L257" s="2905">
        <f t="shared" si="27"/>
        <v>0</v>
      </c>
      <c r="M257" s="891">
        <f t="shared" si="28"/>
        <v>3108.5043455310074</v>
      </c>
      <c r="N257" s="513">
        <f t="shared" si="28"/>
        <v>3108.5043455310074</v>
      </c>
      <c r="O257" s="892">
        <f t="shared" si="28"/>
        <v>0</v>
      </c>
    </row>
    <row r="258" spans="3:15">
      <c r="C258" s="365">
        <v>21</v>
      </c>
      <c r="D258" s="33" t="s">
        <v>4473</v>
      </c>
      <c r="E258" t="s">
        <v>4270</v>
      </c>
      <c r="F258" s="290" t="s">
        <v>4067</v>
      </c>
      <c r="G258" s="620">
        <f>+SUMIFS('Labor Input'!C:C,'Labor Input'!G:G,'0 MDS Labor O&amp;M'!D258)/1000</f>
        <v>0</v>
      </c>
      <c r="H258" s="764">
        <f>+IF('Prod O&amp;M'!G64&lt;&gt;0,('Prod O&amp;M'!H64/'Prod O&amp;M'!G64)*'0 MDS Labor O&amp;M'!G258,0)</f>
        <v>0</v>
      </c>
      <c r="I258" s="764">
        <f>+IF('Prod O&amp;M'!G64&lt;&gt;0,('Prod O&amp;M'!I64/'Prod O&amp;M'!G64)*'0 MDS Labor O&amp;M'!G258,0)</f>
        <v>0</v>
      </c>
      <c r="J258" s="891">
        <f t="shared" si="25"/>
        <v>0</v>
      </c>
      <c r="K258" s="445">
        <f t="shared" si="26"/>
        <v>0</v>
      </c>
      <c r="L258" s="2905">
        <f t="shared" si="27"/>
        <v>0</v>
      </c>
      <c r="M258" s="891">
        <f t="shared" si="28"/>
        <v>0</v>
      </c>
      <c r="N258" s="513">
        <f t="shared" si="28"/>
        <v>0</v>
      </c>
      <c r="O258" s="892">
        <f t="shared" si="28"/>
        <v>0</v>
      </c>
    </row>
    <row r="259" spans="3:15">
      <c r="C259" s="365">
        <v>22</v>
      </c>
      <c r="D259" s="33" t="s">
        <v>4474</v>
      </c>
      <c r="E259" t="s">
        <v>4457</v>
      </c>
      <c r="F259" s="290" t="s">
        <v>2067</v>
      </c>
      <c r="G259" s="620">
        <f>+SUMIFS('Labor Input'!C:C,'Labor Input'!G:G,'0 MDS Labor O&amp;M'!D259)/1000</f>
        <v>0</v>
      </c>
      <c r="H259" s="764">
        <f>+IF('Prod O&amp;M'!G65&lt;&gt;0,('Prod O&amp;M'!H65/'Prod O&amp;M'!G65)*'0 MDS Labor O&amp;M'!G259,0)</f>
        <v>0</v>
      </c>
      <c r="I259" s="764">
        <f>+IF('Prod O&amp;M'!G65&lt;&gt;0,('Prod O&amp;M'!I65/'Prod O&amp;M'!G65)*'0 MDS Labor O&amp;M'!G259,0)</f>
        <v>0</v>
      </c>
      <c r="J259" s="891">
        <f t="shared" si="25"/>
        <v>0</v>
      </c>
      <c r="K259" s="445">
        <f t="shared" si="26"/>
        <v>0</v>
      </c>
      <c r="L259" s="2905">
        <f t="shared" si="27"/>
        <v>0</v>
      </c>
      <c r="M259" s="891">
        <f t="shared" si="28"/>
        <v>0</v>
      </c>
      <c r="N259" s="513">
        <f t="shared" si="28"/>
        <v>0</v>
      </c>
      <c r="O259" s="892">
        <f t="shared" si="28"/>
        <v>0</v>
      </c>
    </row>
    <row r="260" spans="3:15">
      <c r="C260" s="365">
        <v>23</v>
      </c>
      <c r="D260" s="33" t="s">
        <v>4475</v>
      </c>
      <c r="E260" t="s">
        <v>4476</v>
      </c>
      <c r="F260" s="290" t="s">
        <v>2067</v>
      </c>
      <c r="G260" s="620">
        <f>+SUMIFS('Labor Input'!C:C,'Labor Input'!G:G,'0 MDS Labor O&amp;M'!D260)/1000</f>
        <v>1878.5197654972094</v>
      </c>
      <c r="H260" s="764">
        <f>+IF('Prod O&amp;M'!G66&lt;&gt;0,('Prod O&amp;M'!H66/'Prod O&amp;M'!G66)*'0 MDS Labor O&amp;M'!G260,0)</f>
        <v>0</v>
      </c>
      <c r="I260" s="764">
        <f>+IF('Prod O&amp;M'!G66&lt;&gt;0,('Prod O&amp;M'!I66/'Prod O&amp;M'!G66)*'0 MDS Labor O&amp;M'!G260,0)</f>
        <v>1878.5197654972094</v>
      </c>
      <c r="J260" s="891">
        <f t="shared" si="25"/>
        <v>0</v>
      </c>
      <c r="K260" s="445">
        <f t="shared" si="26"/>
        <v>0</v>
      </c>
      <c r="L260" s="2905">
        <f t="shared" si="27"/>
        <v>0</v>
      </c>
      <c r="M260" s="891">
        <f t="shared" si="28"/>
        <v>1878.5197654972094</v>
      </c>
      <c r="N260" s="513">
        <f t="shared" si="28"/>
        <v>0</v>
      </c>
      <c r="O260" s="892">
        <f t="shared" si="28"/>
        <v>1878.5197654972094</v>
      </c>
    </row>
    <row r="261" spans="3:15">
      <c r="C261" s="365">
        <v>24</v>
      </c>
      <c r="D261" s="33" t="s">
        <v>4477</v>
      </c>
      <c r="E261" t="s">
        <v>4478</v>
      </c>
      <c r="F261" s="290" t="s">
        <v>4448</v>
      </c>
      <c r="G261" s="620">
        <f>+SUMIFS('Labor Input'!C:C,'Labor Input'!G:G,'0 MDS Labor O&amp;M'!D261)/1000</f>
        <v>6454.5782426973656</v>
      </c>
      <c r="H261" s="764">
        <f>+IF('Prod O&amp;M'!G67&lt;&gt;0,('Prod O&amp;M'!H67/'Prod O&amp;M'!G67)*'0 MDS Labor O&amp;M'!G261,0)</f>
        <v>6333.8528488164256</v>
      </c>
      <c r="I261" s="764">
        <f>+IF('Prod O&amp;M'!G67&lt;&gt;0,('Prod O&amp;M'!I67/'Prod O&amp;M'!G67)*'0 MDS Labor O&amp;M'!G261,0)</f>
        <v>120.72539388093973</v>
      </c>
      <c r="J261" s="891">
        <f t="shared" si="25"/>
        <v>0</v>
      </c>
      <c r="K261" s="445">
        <f t="shared" si="26"/>
        <v>0</v>
      </c>
      <c r="L261" s="2905">
        <f t="shared" si="27"/>
        <v>0</v>
      </c>
      <c r="M261" s="891">
        <f t="shared" si="28"/>
        <v>6454.5782426973656</v>
      </c>
      <c r="N261" s="513">
        <f t="shared" si="28"/>
        <v>6333.8528488164256</v>
      </c>
      <c r="O261" s="892">
        <f t="shared" si="28"/>
        <v>120.72539388093973</v>
      </c>
    </row>
    <row r="262" spans="3:15">
      <c r="C262" s="365">
        <v>25</v>
      </c>
      <c r="D262" s="33" t="s">
        <v>4479</v>
      </c>
      <c r="E262" t="s">
        <v>4480</v>
      </c>
      <c r="F262" s="290" t="s">
        <v>2067</v>
      </c>
      <c r="G262" s="620">
        <f>+SUMIFS('Labor Input'!C:C,'Labor Input'!G:G,'0 MDS Labor O&amp;M'!D262)/1000</f>
        <v>82.373272272868206</v>
      </c>
      <c r="H262" s="764">
        <f>+IF('Prod O&amp;M'!G68&lt;&gt;0,('Prod O&amp;M'!H68/'Prod O&amp;M'!G68)*'0 MDS Labor O&amp;M'!G262,0)</f>
        <v>0</v>
      </c>
      <c r="I262" s="764">
        <f>+IF('Prod O&amp;M'!G68&lt;&gt;0,('Prod O&amp;M'!I68/'Prod O&amp;M'!G68)*'0 MDS Labor O&amp;M'!G262,0)</f>
        <v>82.373272272868206</v>
      </c>
      <c r="J262" s="891">
        <f t="shared" si="25"/>
        <v>0</v>
      </c>
      <c r="K262" s="445">
        <f t="shared" si="26"/>
        <v>0</v>
      </c>
      <c r="L262" s="2905">
        <f t="shared" si="27"/>
        <v>0</v>
      </c>
      <c r="M262" s="891">
        <f t="shared" si="28"/>
        <v>82.373272272868206</v>
      </c>
      <c r="N262" s="513">
        <f t="shared" si="28"/>
        <v>0</v>
      </c>
      <c r="O262" s="892">
        <f t="shared" si="28"/>
        <v>82.373272272868206</v>
      </c>
    </row>
    <row r="263" spans="3:15">
      <c r="C263" s="365">
        <v>26</v>
      </c>
      <c r="D263" s="33" t="s">
        <v>4481</v>
      </c>
      <c r="E263" t="s">
        <v>4482</v>
      </c>
      <c r="F263" s="290" t="s">
        <v>4067</v>
      </c>
      <c r="G263" s="620">
        <f>+SUMIFS('Labor Input'!C:C,'Labor Input'!G:G,'0 MDS Labor O&amp;M'!D263)/1000</f>
        <v>-990.19936521046509</v>
      </c>
      <c r="H263" s="764">
        <f>+IF('Prod O&amp;M'!G69&lt;&gt;0,('Prod O&amp;M'!H69/'Prod O&amp;M'!G69)*'0 MDS Labor O&amp;M'!G263,0)</f>
        <v>-990.19936521046509</v>
      </c>
      <c r="I263" s="764">
        <f>+IF('Prod O&amp;M'!G69&lt;&gt;0,('Prod O&amp;M'!I69/'Prod O&amp;M'!G69)*'0 MDS Labor O&amp;M'!G263,0)</f>
        <v>0</v>
      </c>
      <c r="J263" s="891">
        <f t="shared" si="25"/>
        <v>0</v>
      </c>
      <c r="K263" s="445">
        <f t="shared" si="26"/>
        <v>0</v>
      </c>
      <c r="L263" s="2905">
        <f t="shared" si="27"/>
        <v>0</v>
      </c>
      <c r="M263" s="891">
        <f t="shared" si="28"/>
        <v>-990.19936521046509</v>
      </c>
      <c r="N263" s="513">
        <f t="shared" si="28"/>
        <v>-990.19936521046509</v>
      </c>
      <c r="O263" s="892">
        <f t="shared" si="28"/>
        <v>0</v>
      </c>
    </row>
    <row r="264" spans="3:15">
      <c r="C264" s="365">
        <v>27</v>
      </c>
      <c r="E264" s="96" t="s">
        <v>4483</v>
      </c>
      <c r="G264" s="2913">
        <f t="shared" ref="G264:O264" si="29">+SUM(G255:G263)</f>
        <v>20277.607182415581</v>
      </c>
      <c r="H264" s="917">
        <f t="shared" si="29"/>
        <v>18195.988750764562</v>
      </c>
      <c r="I264" s="2825">
        <f t="shared" si="29"/>
        <v>2081.6184316510171</v>
      </c>
      <c r="J264" s="2913">
        <f t="shared" si="29"/>
        <v>0</v>
      </c>
      <c r="K264" s="917">
        <f t="shared" si="29"/>
        <v>0</v>
      </c>
      <c r="L264" s="2825">
        <f t="shared" si="29"/>
        <v>0</v>
      </c>
      <c r="M264" s="2913">
        <f t="shared" si="29"/>
        <v>20277.607182415581</v>
      </c>
      <c r="N264" s="917">
        <f t="shared" si="29"/>
        <v>18195.988750764562</v>
      </c>
      <c r="O264" s="2825">
        <f t="shared" si="29"/>
        <v>2081.6184316510171</v>
      </c>
    </row>
    <row r="265" spans="3:15">
      <c r="C265" s="365">
        <v>28</v>
      </c>
      <c r="G265" s="891"/>
      <c r="H265" s="513"/>
      <c r="I265" s="892"/>
      <c r="J265" s="891"/>
      <c r="K265" s="513"/>
      <c r="L265" s="892"/>
      <c r="M265" s="891"/>
      <c r="N265" s="513"/>
      <c r="O265" s="892"/>
    </row>
    <row r="266" spans="3:15">
      <c r="C266" s="365">
        <v>29</v>
      </c>
      <c r="E266" s="96" t="s">
        <v>4484</v>
      </c>
      <c r="G266" s="2914">
        <f t="shared" ref="G266:O266" si="30">+G252+G264</f>
        <v>38552.121031171235</v>
      </c>
      <c r="H266" s="506">
        <f t="shared" si="30"/>
        <v>30015.241602486451</v>
      </c>
      <c r="I266" s="2915">
        <f t="shared" si="30"/>
        <v>8536.8794286847842</v>
      </c>
      <c r="J266" s="2914">
        <f t="shared" si="30"/>
        <v>0</v>
      </c>
      <c r="K266" s="506">
        <f t="shared" si="30"/>
        <v>0</v>
      </c>
      <c r="L266" s="2915">
        <f t="shared" si="30"/>
        <v>0</v>
      </c>
      <c r="M266" s="2914">
        <f t="shared" si="30"/>
        <v>38552.121031171235</v>
      </c>
      <c r="N266" s="506">
        <f t="shared" si="30"/>
        <v>30015.241602486451</v>
      </c>
      <c r="O266" s="2915">
        <f t="shared" si="30"/>
        <v>8536.8794286847842</v>
      </c>
    </row>
    <row r="267" spans="3:15">
      <c r="C267" s="365">
        <v>30</v>
      </c>
      <c r="E267" s="62"/>
      <c r="G267" s="46"/>
      <c r="H267" s="46"/>
      <c r="I267" s="46"/>
      <c r="J267" s="2381"/>
      <c r="K267" s="2381"/>
      <c r="L267" s="2381"/>
      <c r="M267" s="2381"/>
      <c r="N267" s="2381"/>
      <c r="O267" s="2855"/>
    </row>
    <row r="268" spans="3:15" ht="15" thickBot="1">
      <c r="C268" s="365">
        <v>31</v>
      </c>
      <c r="E268" s="35"/>
      <c r="F268" s="32"/>
      <c r="G268" s="2387"/>
      <c r="H268" s="2387"/>
      <c r="I268" s="2387"/>
      <c r="J268" s="2877"/>
      <c r="K268" s="2877"/>
      <c r="L268" s="2877"/>
      <c r="M268" s="2877"/>
      <c r="N268" s="2381"/>
      <c r="O268" s="2855"/>
    </row>
    <row r="269" spans="3:15">
      <c r="C269" s="365">
        <v>32</v>
      </c>
      <c r="E269" s="2799" t="s">
        <v>4485</v>
      </c>
      <c r="F269" s="2800"/>
      <c r="G269" s="2916"/>
      <c r="H269" s="2802" t="s">
        <v>4486</v>
      </c>
      <c r="I269" s="2802" t="s">
        <v>4486</v>
      </c>
      <c r="J269" s="2852"/>
      <c r="K269" s="2852"/>
      <c r="L269" s="2852"/>
      <c r="M269" s="2917"/>
      <c r="N269" s="2381"/>
      <c r="O269" s="2855"/>
    </row>
    <row r="270" spans="3:15">
      <c r="C270" s="365">
        <v>33</v>
      </c>
      <c r="E270" s="98" t="s">
        <v>4487</v>
      </c>
      <c r="G270" s="48" t="s">
        <v>122</v>
      </c>
      <c r="H270" s="290" t="s">
        <v>2623</v>
      </c>
      <c r="I270" s="290" t="s">
        <v>2624</v>
      </c>
      <c r="J270" s="2381"/>
      <c r="K270" s="2381"/>
      <c r="L270" s="2381"/>
      <c r="M270" s="2854"/>
      <c r="N270" s="2381"/>
      <c r="O270" s="2855"/>
    </row>
    <row r="271" spans="3:15">
      <c r="C271" s="365">
        <v>34</v>
      </c>
      <c r="E271" s="98" t="s">
        <v>4488</v>
      </c>
      <c r="G271" s="46">
        <f>+'Prod O&amp;M'!G76</f>
        <v>27218.5748756387</v>
      </c>
      <c r="H271" s="46">
        <f>+'Prod O&amp;M'!H76</f>
        <v>3809.8985669689</v>
      </c>
      <c r="I271" s="46">
        <f>+'Prod O&amp;M'!I76</f>
        <v>23408.676308669801</v>
      </c>
      <c r="J271" s="2381"/>
      <c r="K271" s="2381"/>
      <c r="L271" s="2381"/>
      <c r="M271" s="2854"/>
      <c r="N271" s="2381"/>
      <c r="O271" s="2855"/>
    </row>
    <row r="272" spans="3:15" ht="15" thickBot="1">
      <c r="C272" s="365">
        <v>35</v>
      </c>
      <c r="E272" s="2803" t="s">
        <v>4489</v>
      </c>
      <c r="F272" s="41" t="s">
        <v>4458</v>
      </c>
      <c r="G272" s="2805">
        <f>+SUM(H272:I272)</f>
        <v>1</v>
      </c>
      <c r="H272" s="2805">
        <f>+'Prod O&amp;M'!H77</f>
        <v>0.13997421188935405</v>
      </c>
      <c r="I272" s="2805">
        <f>+'Prod O&amp;M'!I77</f>
        <v>0.86002578811064601</v>
      </c>
      <c r="J272" s="2877"/>
      <c r="K272" s="2877"/>
      <c r="L272" s="2877"/>
      <c r="M272" s="2918"/>
      <c r="N272" s="2381"/>
      <c r="O272" s="2855"/>
    </row>
    <row r="273" spans="3:15">
      <c r="C273" s="462"/>
      <c r="D273" s="297"/>
      <c r="E273" s="297"/>
      <c r="F273" s="297"/>
      <c r="G273" s="297"/>
      <c r="H273" s="297"/>
      <c r="I273" s="297"/>
      <c r="J273" s="1568"/>
      <c r="K273" s="1568"/>
      <c r="L273" s="1568"/>
      <c r="M273" s="1568"/>
      <c r="N273" s="1568"/>
      <c r="O273" s="2507"/>
    </row>
  </sheetData>
  <mergeCells count="10">
    <mergeCell ref="G233:I233"/>
    <mergeCell ref="H76:K76"/>
    <mergeCell ref="L76:N76"/>
    <mergeCell ref="I128:M128"/>
    <mergeCell ref="N128:R128"/>
    <mergeCell ref="S128:W128"/>
    <mergeCell ref="G186:I186"/>
    <mergeCell ref="J186:L186"/>
    <mergeCell ref="M186:O186"/>
    <mergeCell ref="P186:T186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C1:N63"/>
  <sheetViews>
    <sheetView tabSelected="1" showOutlineSymbols="0" workbookViewId="0"/>
  </sheetViews>
  <sheetFormatPr defaultRowHeight="14.4"/>
  <cols>
    <col min="4" max="4" width="17.88671875" customWidth="1"/>
    <col min="5" max="5" width="76.5546875" bestFit="1" customWidth="1"/>
    <col min="6" max="6" width="14.88671875" customWidth="1"/>
    <col min="7" max="7" width="10.33203125" bestFit="1" customWidth="1"/>
    <col min="11" max="11" width="11.33203125" customWidth="1"/>
    <col min="14" max="14" width="11.5546875" customWidth="1"/>
  </cols>
  <sheetData>
    <row r="1" spans="3:14">
      <c r="E1" s="2107" t="s">
        <v>116</v>
      </c>
    </row>
    <row r="2" spans="3:14" ht="15" thickBot="1">
      <c r="E2" s="2107"/>
    </row>
    <row r="3" spans="3:14" ht="15" thickBot="1">
      <c r="D3" s="2919" t="s">
        <v>4658</v>
      </c>
      <c r="E3" s="2702" t="s">
        <v>4657</v>
      </c>
    </row>
    <row r="4" spans="3:14">
      <c r="D4" s="2101">
        <v>562</v>
      </c>
      <c r="E4" s="2255">
        <v>196147</v>
      </c>
    </row>
    <row r="5" spans="3:14">
      <c r="D5" s="2101">
        <v>563</v>
      </c>
      <c r="E5" s="2255">
        <v>333556</v>
      </c>
    </row>
    <row r="6" spans="3:14" ht="15" thickBot="1">
      <c r="D6" s="2920">
        <v>571</v>
      </c>
      <c r="E6" s="2648">
        <v>4263855.0507879127</v>
      </c>
    </row>
    <row r="7" spans="3:14">
      <c r="E7" s="2107"/>
    </row>
    <row r="8" spans="3:14">
      <c r="E8" s="2107"/>
    </row>
    <row r="10" spans="3:14">
      <c r="C10" s="352" t="s">
        <v>2173</v>
      </c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460"/>
    </row>
    <row r="11" spans="3:14">
      <c r="C11" s="353" t="s">
        <v>4631</v>
      </c>
      <c r="N11" s="296"/>
    </row>
    <row r="12" spans="3:14">
      <c r="C12" s="2829" t="s">
        <v>9263</v>
      </c>
      <c r="D12" s="2830"/>
      <c r="E12" s="2830"/>
      <c r="F12" s="2830"/>
      <c r="G12" s="2830"/>
      <c r="H12" s="385"/>
      <c r="N12" s="296"/>
    </row>
    <row r="13" spans="3:14">
      <c r="C13" s="616"/>
      <c r="D13" s="297"/>
      <c r="E13" s="297"/>
      <c r="F13" s="297"/>
      <c r="G13" s="297"/>
      <c r="H13" s="297"/>
      <c r="I13" s="297"/>
      <c r="J13" s="297"/>
      <c r="K13" s="297"/>
      <c r="L13" s="297"/>
      <c r="M13" s="297"/>
      <c r="N13" s="298"/>
    </row>
    <row r="14" spans="3:14">
      <c r="C14" s="363" t="s">
        <v>2182</v>
      </c>
      <c r="D14" s="62"/>
      <c r="E14" s="62"/>
      <c r="F14" s="62"/>
      <c r="G14" s="2831"/>
      <c r="H14" s="3125" t="s">
        <v>4247</v>
      </c>
      <c r="I14" s="3126"/>
      <c r="J14" s="3126"/>
      <c r="K14" s="3126"/>
      <c r="L14" s="3134" t="s">
        <v>3465</v>
      </c>
      <c r="M14" s="3135"/>
      <c r="N14" s="3136"/>
    </row>
    <row r="15" spans="3:14" ht="40.200000000000003">
      <c r="C15" s="363" t="s">
        <v>3216</v>
      </c>
      <c r="D15" s="60" t="s">
        <v>3174</v>
      </c>
      <c r="E15" s="60" t="s">
        <v>1918</v>
      </c>
      <c r="F15" s="767" t="s">
        <v>4251</v>
      </c>
      <c r="G15" s="2890" t="s">
        <v>4632</v>
      </c>
      <c r="H15" s="2921" t="s">
        <v>4633</v>
      </c>
      <c r="I15" s="2574" t="s">
        <v>4634</v>
      </c>
      <c r="J15" s="2574" t="s">
        <v>4635</v>
      </c>
      <c r="K15" s="2574" t="s">
        <v>4636</v>
      </c>
      <c r="L15" s="2890" t="s">
        <v>4637</v>
      </c>
      <c r="M15" s="2574" t="s">
        <v>4635</v>
      </c>
      <c r="N15" s="2922" t="s">
        <v>4636</v>
      </c>
    </row>
    <row r="16" spans="3:14">
      <c r="C16" s="2791" t="s">
        <v>2175</v>
      </c>
      <c r="D16" s="2792" t="s">
        <v>2176</v>
      </c>
      <c r="E16" s="2792" t="s">
        <v>2177</v>
      </c>
      <c r="F16" s="2792" t="s">
        <v>2178</v>
      </c>
      <c r="G16" s="525" t="s">
        <v>2179</v>
      </c>
      <c r="H16" s="525" t="s">
        <v>2625</v>
      </c>
      <c r="I16" s="2792" t="s">
        <v>2626</v>
      </c>
      <c r="J16" s="2792" t="s">
        <v>2627</v>
      </c>
      <c r="K16" s="2793" t="s">
        <v>2628</v>
      </c>
      <c r="L16" s="525" t="s">
        <v>2629</v>
      </c>
      <c r="M16" s="2791" t="s">
        <v>2630</v>
      </c>
      <c r="N16" s="2793" t="s">
        <v>4061</v>
      </c>
    </row>
    <row r="17" spans="3:14">
      <c r="C17" s="357"/>
      <c r="F17" s="296"/>
      <c r="G17" s="36"/>
      <c r="H17" s="36"/>
      <c r="L17" s="36"/>
      <c r="N17" s="296"/>
    </row>
    <row r="18" spans="3:14">
      <c r="C18" s="604">
        <v>1</v>
      </c>
      <c r="E18" s="361" t="s">
        <v>4638</v>
      </c>
      <c r="F18" s="361"/>
      <c r="G18" s="36"/>
      <c r="H18" s="142"/>
      <c r="I18" s="33"/>
      <c r="J18" s="33"/>
      <c r="K18" s="33"/>
      <c r="L18" s="36"/>
      <c r="N18" s="296"/>
    </row>
    <row r="19" spans="3:14">
      <c r="C19" s="365">
        <v>2</v>
      </c>
      <c r="D19" s="33" t="s">
        <v>4254</v>
      </c>
      <c r="E19" t="s">
        <v>4513</v>
      </c>
      <c r="G19" s="879">
        <f>(+SUMIFS('500s FERC Accounts'!E:E,'500s FERC Accounts'!C:C,'Transmission O&amp;M'!D19)/1000)-(SUMIFS($E$4:$E$6,$D$4:$D$6,D19)/1000)</f>
        <v>2640.6127008060998</v>
      </c>
      <c r="H19" s="36"/>
      <c r="L19" s="36"/>
      <c r="N19" s="296"/>
    </row>
    <row r="20" spans="3:14">
      <c r="C20" s="365">
        <v>3</v>
      </c>
      <c r="D20" s="33" t="s">
        <v>4256</v>
      </c>
      <c r="E20" t="s">
        <v>4639</v>
      </c>
      <c r="G20" s="879">
        <f>(+SUMIFS('500s FERC Accounts'!E:E,'500s FERC Accounts'!C:C,'Transmission O&amp;M'!D20)/1000)-(SUMIFS($E$4:$E$6,$D$4:$D$6,D20)/1000)</f>
        <v>1447.5287839934003</v>
      </c>
      <c r="H20" s="36"/>
      <c r="L20" s="36"/>
      <c r="N20" s="296"/>
    </row>
    <row r="21" spans="3:14">
      <c r="C21" s="365">
        <v>4</v>
      </c>
      <c r="D21" s="33"/>
      <c r="E21" s="96" t="s">
        <v>4640</v>
      </c>
      <c r="F21" s="60" t="s">
        <v>3152</v>
      </c>
      <c r="G21" s="2836">
        <f>+SUM(G19:G20)</f>
        <v>4088.1414847995002</v>
      </c>
      <c r="H21" s="2836">
        <f>+SUM(I21:K21)</f>
        <v>4088.1414847995006</v>
      </c>
      <c r="I21" s="2923">
        <f>+G21*I53</f>
        <v>1428.2318159966976</v>
      </c>
      <c r="J21" s="2923">
        <f>+G21*J53</f>
        <v>832.36137968011394</v>
      </c>
      <c r="K21" s="2923">
        <f>+G21*K53</f>
        <v>1827.5482891226889</v>
      </c>
      <c r="L21" s="2836"/>
      <c r="M21" s="2837"/>
      <c r="N21" s="2838"/>
    </row>
    <row r="22" spans="3:14">
      <c r="C22" s="365">
        <v>5</v>
      </c>
      <c r="D22" s="33"/>
      <c r="G22" s="2839"/>
      <c r="H22" s="880"/>
      <c r="I22" s="852"/>
      <c r="J22" s="852"/>
      <c r="K22" s="852"/>
      <c r="L22" s="36"/>
      <c r="N22" s="296"/>
    </row>
    <row r="23" spans="3:14">
      <c r="C23" s="365">
        <v>6</v>
      </c>
      <c r="D23" s="33"/>
      <c r="G23" s="36"/>
      <c r="H23" s="142"/>
      <c r="I23" s="33"/>
      <c r="J23" s="33"/>
      <c r="K23" s="33"/>
      <c r="L23" s="36"/>
      <c r="N23" s="296"/>
    </row>
    <row r="24" spans="3:14">
      <c r="C24" s="365">
        <v>7</v>
      </c>
      <c r="D24" s="33" t="s">
        <v>4259</v>
      </c>
      <c r="E24" t="s">
        <v>4641</v>
      </c>
      <c r="G24" s="879">
        <f>(+SUMIFS('500s FERC Accounts'!E:E,'500s FERC Accounts'!C:C,'Transmission O&amp;M'!D24)/1000)-(SUMIFS($E$4:$E$6,$D$4:$D$6,D24)/1000)</f>
        <v>130.04515131130012</v>
      </c>
      <c r="H24" s="36"/>
      <c r="L24" s="36"/>
      <c r="N24" s="296"/>
    </row>
    <row r="25" spans="3:14">
      <c r="C25" s="365">
        <v>8</v>
      </c>
      <c r="D25" s="33" t="s">
        <v>4261</v>
      </c>
      <c r="E25" t="s">
        <v>4642</v>
      </c>
      <c r="G25" s="879">
        <f>(+SUMIFS('500s FERC Accounts'!E:E,'500s FERC Accounts'!C:C,'Transmission O&amp;M'!D25)/1000)-(SUMIFS($E$4:$E$6,$D$4:$D$6,D25)/1000)</f>
        <v>0</v>
      </c>
      <c r="H25" s="36"/>
      <c r="L25" s="36"/>
      <c r="N25" s="296"/>
    </row>
    <row r="26" spans="3:14">
      <c r="C26" s="365">
        <v>9</v>
      </c>
      <c r="D26" s="33"/>
      <c r="E26" t="s">
        <v>4640</v>
      </c>
      <c r="F26" s="60" t="s">
        <v>3161</v>
      </c>
      <c r="G26" s="2836">
        <f>+SUM(G24:G25)</f>
        <v>130.04515131130012</v>
      </c>
      <c r="H26" s="2836"/>
      <c r="I26" s="2837"/>
      <c r="J26" s="2837"/>
      <c r="K26" s="2837"/>
      <c r="L26" s="2836">
        <f>+SUM(M26:N26)</f>
        <v>130.04515131130012</v>
      </c>
      <c r="M26" s="2923">
        <f>+G26*M57</f>
        <v>77.905279361086812</v>
      </c>
      <c r="N26" s="2924">
        <f>+G26*N57</f>
        <v>52.139871950213305</v>
      </c>
    </row>
    <row r="27" spans="3:14">
      <c r="C27" s="365">
        <v>10</v>
      </c>
      <c r="D27" s="33"/>
      <c r="G27" s="2839"/>
      <c r="H27" s="36"/>
      <c r="L27" s="881"/>
      <c r="M27" s="856"/>
      <c r="N27" s="860"/>
    </row>
    <row r="28" spans="3:14">
      <c r="C28" s="365">
        <v>11</v>
      </c>
      <c r="D28" s="33">
        <v>565</v>
      </c>
      <c r="E28" t="s">
        <v>4643</v>
      </c>
      <c r="F28" s="60" t="s">
        <v>4264</v>
      </c>
      <c r="G28" s="916">
        <f>(+SUMIFS('500s FERC Accounts'!E:E,'500s FERC Accounts'!C:C,'Transmission O&amp;M'!D28)/1000)-(SUMIFS($E$4:$E$6,$D$4:$D$6,D28)/1000)</f>
        <v>0</v>
      </c>
      <c r="H28" s="2832"/>
      <c r="I28" s="2479"/>
      <c r="J28" s="2479"/>
      <c r="K28" s="2479"/>
      <c r="L28" s="2836">
        <f>+SUM(M28:N28)</f>
        <v>0</v>
      </c>
      <c r="M28" s="917">
        <f>+G28</f>
        <v>0</v>
      </c>
      <c r="N28" s="918"/>
    </row>
    <row r="29" spans="3:14">
      <c r="C29" s="365">
        <v>12</v>
      </c>
      <c r="D29" s="33"/>
      <c r="G29" s="2841"/>
      <c r="H29" s="36"/>
      <c r="L29" s="919"/>
      <c r="M29" s="854"/>
      <c r="N29" s="860"/>
    </row>
    <row r="30" spans="3:14">
      <c r="C30" s="365">
        <v>13</v>
      </c>
      <c r="D30" s="33" t="s">
        <v>4265</v>
      </c>
      <c r="E30" t="s">
        <v>4644</v>
      </c>
      <c r="G30" s="879">
        <f>(+SUMIFS('500s FERC Accounts'!E:E,'500s FERC Accounts'!C:C,'Transmission O&amp;M'!D30)/1000)-(SUMIFS($E$4:$E$6,$D$4:$D$6,D30)/1000)</f>
        <v>916.3361217465</v>
      </c>
      <c r="H30" s="36"/>
      <c r="L30" s="36"/>
      <c r="N30" s="296"/>
    </row>
    <row r="31" spans="3:14">
      <c r="C31" s="365">
        <v>14</v>
      </c>
      <c r="D31" s="33" t="s">
        <v>4267</v>
      </c>
      <c r="E31" t="s">
        <v>4645</v>
      </c>
      <c r="G31" s="879">
        <f>(+SUMIFS('500s FERC Accounts'!E:E,'500s FERC Accounts'!C:C,'Transmission O&amp;M'!D31)/1000)-(SUMIFS($E$4:$E$6,$D$4:$D$6,D31)/1000)</f>
        <v>1801.1316979296</v>
      </c>
      <c r="H31" s="36"/>
      <c r="L31" s="36"/>
      <c r="N31" s="296"/>
    </row>
    <row r="32" spans="3:14">
      <c r="C32" s="365">
        <v>15</v>
      </c>
      <c r="D32" s="33" t="s">
        <v>4269</v>
      </c>
      <c r="E32" t="s">
        <v>4508</v>
      </c>
      <c r="G32" s="879">
        <f>(+SUMIFS('500s FERC Accounts'!E:E,'500s FERC Accounts'!C:C,'Transmission O&amp;M'!D32)/1000)-(SUMIFS($E$4:$E$6,$D$4:$D$6,D32)/1000)</f>
        <v>0</v>
      </c>
      <c r="H32" s="36"/>
      <c r="L32" s="36"/>
      <c r="N32" s="296"/>
    </row>
    <row r="33" spans="3:14">
      <c r="C33" s="365">
        <v>16</v>
      </c>
      <c r="D33" s="33"/>
      <c r="E33" t="s">
        <v>4646</v>
      </c>
      <c r="F33" s="60" t="s">
        <v>4271</v>
      </c>
      <c r="G33" s="2836">
        <f>+SUM(G30:G32)</f>
        <v>2717.4678196761001</v>
      </c>
      <c r="H33" s="2836">
        <f>+SUM(I33:K33)</f>
        <v>2633.6892806308961</v>
      </c>
      <c r="I33" s="2837">
        <f>+G33*I61</f>
        <v>920.10485401069263</v>
      </c>
      <c r="J33" s="2837">
        <f>+G33*J61</f>
        <v>536.22929916335158</v>
      </c>
      <c r="K33" s="2837">
        <f>+G33*K61</f>
        <v>1177.3551274568517</v>
      </c>
      <c r="L33" s="2842">
        <f>+SUM(M33:N33)</f>
        <v>83.778539045204212</v>
      </c>
      <c r="M33" s="2837">
        <f>+G33*M61</f>
        <v>50.188649272717754</v>
      </c>
      <c r="N33" s="2838">
        <f>+G33*N61</f>
        <v>33.589889772486451</v>
      </c>
    </row>
    <row r="34" spans="3:14">
      <c r="C34" s="365">
        <v>17</v>
      </c>
      <c r="D34" s="33"/>
      <c r="G34" s="2843"/>
      <c r="H34" s="882"/>
      <c r="I34" s="853"/>
      <c r="J34" s="853"/>
      <c r="K34" s="853"/>
      <c r="L34" s="881"/>
      <c r="M34" s="853"/>
      <c r="N34" s="883"/>
    </row>
    <row r="35" spans="3:14">
      <c r="C35" s="365">
        <v>18</v>
      </c>
      <c r="D35" s="33"/>
      <c r="E35" s="361" t="s">
        <v>4647</v>
      </c>
      <c r="F35" s="361"/>
      <c r="G35" s="2844"/>
      <c r="H35" s="36"/>
      <c r="L35" s="36"/>
      <c r="N35" s="296"/>
    </row>
    <row r="36" spans="3:14">
      <c r="C36" s="365">
        <v>19</v>
      </c>
      <c r="D36" s="33" t="s">
        <v>4273</v>
      </c>
      <c r="E36" t="s">
        <v>4648</v>
      </c>
      <c r="G36" s="879">
        <f>(+SUMIFS('500s FERC Accounts'!E:E,'500s FERC Accounts'!C:C,'Transmission O&amp;M'!D36)/1000)-(SUMIFS($E$4:$E$6,$D$4:$D$6,D36)/1000)</f>
        <v>1493.356268840188</v>
      </c>
      <c r="H36" s="36"/>
      <c r="L36" s="2845">
        <f>+SUM(M36:N36)</f>
        <v>1493.356268840188</v>
      </c>
      <c r="N36" s="295">
        <f>+G36</f>
        <v>1493.356268840188</v>
      </c>
    </row>
    <row r="37" spans="3:14">
      <c r="C37" s="365">
        <v>20</v>
      </c>
      <c r="D37" s="33" t="s">
        <v>4275</v>
      </c>
      <c r="E37" t="s">
        <v>4649</v>
      </c>
      <c r="G37" s="879">
        <f>(+SUMIFS('500s FERC Accounts'!E:E,'500s FERC Accounts'!C:C,'Transmission O&amp;M'!D37)/1000)-(SUMIFS($E$4:$E$6,$D$4:$D$6,D37)/1000)</f>
        <v>0</v>
      </c>
      <c r="H37" s="36"/>
      <c r="L37" s="920"/>
      <c r="N37" s="295"/>
    </row>
    <row r="38" spans="3:14">
      <c r="C38" s="365">
        <v>21</v>
      </c>
      <c r="D38" s="33"/>
      <c r="E38" t="s">
        <v>4650</v>
      </c>
      <c r="F38" s="60" t="s">
        <v>4277</v>
      </c>
      <c r="G38" s="2836">
        <f>+SUM(G36:G37)</f>
        <v>1493.356268840188</v>
      </c>
      <c r="H38" s="2836">
        <f>+SUM(I38:K38)</f>
        <v>0</v>
      </c>
      <c r="I38" s="2837"/>
      <c r="J38" s="2837"/>
      <c r="K38" s="2837"/>
      <c r="L38" s="2836">
        <f>+SUM(M38:N38)</f>
        <v>1493.356268840188</v>
      </c>
      <c r="M38" s="917">
        <f>+SUM(M34:M37)</f>
        <v>0</v>
      </c>
      <c r="N38" s="2924">
        <f>+SUM(N34:N37)</f>
        <v>1493.356268840188</v>
      </c>
    </row>
    <row r="39" spans="3:14">
      <c r="C39" s="365">
        <v>22</v>
      </c>
      <c r="D39" s="33"/>
      <c r="G39" s="2839"/>
      <c r="H39" s="36"/>
      <c r="L39" s="884"/>
      <c r="M39" s="885"/>
      <c r="N39" s="886"/>
    </row>
    <row r="40" spans="3:14">
      <c r="C40" s="365">
        <v>23</v>
      </c>
      <c r="D40" s="33" t="s">
        <v>4278</v>
      </c>
      <c r="E40" t="s">
        <v>4651</v>
      </c>
      <c r="G40" s="879">
        <f>(+SUMIFS('500s FERC Accounts'!E:E,'500s FERC Accounts'!C:C,'Transmission O&amp;M'!D40)/1000)-(SUMIFS($E$4:$E$6,$D$4:$D$6,D40)/1000)</f>
        <v>0</v>
      </c>
      <c r="H40" s="36"/>
      <c r="L40" s="36"/>
      <c r="N40" s="296"/>
    </row>
    <row r="41" spans="3:14">
      <c r="C41" s="365">
        <v>24</v>
      </c>
      <c r="D41" s="33" t="s">
        <v>4280</v>
      </c>
      <c r="E41" t="s">
        <v>4510</v>
      </c>
      <c r="G41" s="879">
        <f>(+SUMIFS('500s FERC Accounts'!E:E,'500s FERC Accounts'!C:C,'Transmission O&amp;M'!D41)/1000)-(SUMIFS($E$4:$E$6,$D$4:$D$6,D41)/1000)</f>
        <v>1881.2322586636999</v>
      </c>
      <c r="H41" s="36"/>
      <c r="L41" s="36"/>
      <c r="N41" s="296"/>
    </row>
    <row r="42" spans="3:14">
      <c r="C42" s="365">
        <v>25</v>
      </c>
      <c r="D42" s="33" t="s">
        <v>4282</v>
      </c>
      <c r="E42" t="s">
        <v>4652</v>
      </c>
      <c r="G42" s="879">
        <f>(+SUMIFS('500s FERC Accounts'!E:E,'500s FERC Accounts'!C:C,'Transmission O&amp;M'!D42)/1000)-(SUMIFS($E$4:$E$6,$D$4:$D$6,D42)/1000)</f>
        <v>1229.3502257025</v>
      </c>
      <c r="H42" s="36"/>
      <c r="I42" s="2381"/>
      <c r="J42" s="2381"/>
      <c r="L42" s="36"/>
      <c r="N42" s="296"/>
    </row>
    <row r="43" spans="3:14">
      <c r="C43" s="365">
        <v>26</v>
      </c>
      <c r="D43" s="33">
        <v>573</v>
      </c>
      <c r="E43" s="96" t="s">
        <v>4653</v>
      </c>
      <c r="G43" s="879">
        <f>(+SUMIFS('500s FERC Accounts'!E:E,'500s FERC Accounts'!C:C,'Transmission O&amp;M'!D43)/1000)-(SUMIFS($E$4:$E$6,$D$4:$D$6,D43)/1000)</f>
        <v>0</v>
      </c>
      <c r="H43" s="36"/>
      <c r="I43" s="2381"/>
      <c r="J43" s="2381"/>
      <c r="L43" s="36"/>
      <c r="N43" s="296"/>
    </row>
    <row r="44" spans="3:14">
      <c r="C44" s="365">
        <v>27</v>
      </c>
      <c r="E44" t="s">
        <v>4640</v>
      </c>
      <c r="F44" s="60" t="s">
        <v>3152</v>
      </c>
      <c r="G44" s="2836">
        <f>+SUM(G40:G43)</f>
        <v>3110.5824843661999</v>
      </c>
      <c r="H44" s="2836">
        <f>+SUM(I44:K44)</f>
        <v>3110.5824843661999</v>
      </c>
      <c r="I44" s="2837">
        <f>+G44*I53</f>
        <v>1086.7121128200733</v>
      </c>
      <c r="J44" s="2837">
        <f>+G44*J53</f>
        <v>633.32659545241461</v>
      </c>
      <c r="K44" s="2837">
        <f>+G44*K53</f>
        <v>1390.543776093712</v>
      </c>
      <c r="L44" s="2836">
        <f>+SUM(M44:N44)</f>
        <v>0</v>
      </c>
      <c r="M44" s="2837"/>
      <c r="N44" s="2838"/>
    </row>
    <row r="45" spans="3:14">
      <c r="C45" s="365">
        <v>28</v>
      </c>
      <c r="G45" s="2839"/>
      <c r="H45" s="919"/>
      <c r="I45" s="854"/>
      <c r="J45" s="854"/>
      <c r="K45" s="854"/>
      <c r="L45" s="36"/>
      <c r="N45" s="296"/>
    </row>
    <row r="46" spans="3:14">
      <c r="C46" s="365">
        <v>29</v>
      </c>
      <c r="G46" s="36"/>
      <c r="H46" s="2925"/>
      <c r="I46" s="258"/>
      <c r="J46" s="258"/>
      <c r="K46" s="258"/>
      <c r="L46" s="2926"/>
      <c r="N46" s="296"/>
    </row>
    <row r="47" spans="3:14" ht="15" thickBot="1">
      <c r="C47" s="365">
        <v>30</v>
      </c>
      <c r="E47" s="62" t="s">
        <v>4654</v>
      </c>
      <c r="F47" s="62"/>
      <c r="G47" s="2927">
        <f>+G21+G26+G28+G33+G38+G44</f>
        <v>11539.593208993288</v>
      </c>
      <c r="H47" s="2927">
        <f t="shared" ref="H47:N47" si="0">+H21+H26+H28+H33+H38+H44</f>
        <v>9832.4132497965966</v>
      </c>
      <c r="I47" s="2928">
        <f t="shared" si="0"/>
        <v>3435.0487828274636</v>
      </c>
      <c r="J47" s="2929">
        <f t="shared" si="0"/>
        <v>2001.9172742958799</v>
      </c>
      <c r="K47" s="2929">
        <f t="shared" si="0"/>
        <v>4395.4471926732531</v>
      </c>
      <c r="L47" s="2927">
        <f t="shared" si="0"/>
        <v>1707.1799591966924</v>
      </c>
      <c r="M47" s="2928">
        <f t="shared" si="0"/>
        <v>128.09392863380458</v>
      </c>
      <c r="N47" s="2930">
        <f t="shared" si="0"/>
        <v>1579.0860305628878</v>
      </c>
    </row>
    <row r="48" spans="3:14" ht="15" thickTop="1">
      <c r="C48" s="365">
        <v>31</v>
      </c>
      <c r="H48" s="2381"/>
      <c r="L48" s="2381"/>
      <c r="N48" s="384"/>
    </row>
    <row r="49" spans="3:14">
      <c r="C49" s="365">
        <v>32</v>
      </c>
      <c r="H49" s="2381"/>
      <c r="L49" s="2381"/>
      <c r="N49" s="296"/>
    </row>
    <row r="50" spans="3:14" ht="15" thickBot="1">
      <c r="C50" s="365">
        <v>33</v>
      </c>
      <c r="H50" s="2381"/>
      <c r="L50" s="2381"/>
      <c r="N50" s="296"/>
    </row>
    <row r="51" spans="3:14">
      <c r="C51" s="365">
        <v>34</v>
      </c>
      <c r="E51" s="2799" t="s">
        <v>4655</v>
      </c>
      <c r="F51" s="2931"/>
      <c r="G51" s="2800"/>
      <c r="H51" s="2932"/>
      <c r="I51" s="2800"/>
      <c r="J51" s="2800"/>
      <c r="K51" s="2800"/>
      <c r="L51" s="2932"/>
      <c r="M51" s="2800"/>
      <c r="N51" s="2933"/>
    </row>
    <row r="52" spans="3:14">
      <c r="C52" s="365">
        <v>35</v>
      </c>
      <c r="E52" s="2934" t="s">
        <v>4287</v>
      </c>
      <c r="F52" s="549"/>
      <c r="H52" s="2935">
        <f>+SUM(I52:K52)</f>
        <v>538923.38221869676</v>
      </c>
      <c r="I52" s="2812">
        <f>+Transmission!G74</f>
        <v>188278.1023433785</v>
      </c>
      <c r="J52" s="2812">
        <f>+Transmission!H74</f>
        <v>109726.87996081624</v>
      </c>
      <c r="K52" s="2812">
        <f>+Transmission!J74</f>
        <v>240918.39991450205</v>
      </c>
      <c r="L52" s="2935"/>
      <c r="M52" s="2812"/>
      <c r="N52" s="2936"/>
    </row>
    <row r="53" spans="3:14">
      <c r="C53" s="365">
        <v>36</v>
      </c>
      <c r="E53" s="642" t="s">
        <v>4288</v>
      </c>
      <c r="F53" s="60" t="s">
        <v>3152</v>
      </c>
      <c r="G53" s="2937"/>
      <c r="H53" s="921">
        <f>+SUM(I53:K53)</f>
        <v>1</v>
      </c>
      <c r="I53" s="921">
        <f>+I52/H52</f>
        <v>0.34935968368686343</v>
      </c>
      <c r="J53" s="921">
        <f>+J52/H52</f>
        <v>0.20360385832412953</v>
      </c>
      <c r="K53" s="921">
        <f>+K52/H52</f>
        <v>0.4470364579890071</v>
      </c>
      <c r="L53" s="2815"/>
      <c r="M53" s="2662"/>
      <c r="N53" s="2936"/>
    </row>
    <row r="54" spans="3:14">
      <c r="C54" s="365">
        <v>37</v>
      </c>
      <c r="E54" s="642"/>
      <c r="F54" s="328"/>
      <c r="G54" s="2938"/>
      <c r="H54" s="2938"/>
      <c r="I54" s="2938"/>
      <c r="J54" s="2938"/>
      <c r="K54" s="922"/>
      <c r="L54" s="2662"/>
      <c r="M54" s="2662"/>
      <c r="N54" s="2936"/>
    </row>
    <row r="55" spans="3:14">
      <c r="C55" s="365">
        <v>38</v>
      </c>
      <c r="E55" s="642"/>
      <c r="F55" s="328"/>
      <c r="G55" s="2662"/>
      <c r="H55" s="2662"/>
      <c r="I55" s="2662"/>
      <c r="J55" s="2662"/>
      <c r="K55" s="2662"/>
      <c r="L55" s="2662"/>
      <c r="M55" s="2662"/>
      <c r="N55" s="2936"/>
    </row>
    <row r="56" spans="3:14">
      <c r="C56" s="365">
        <v>39</v>
      </c>
      <c r="E56" s="98" t="s">
        <v>3162</v>
      </c>
      <c r="F56" s="60"/>
      <c r="G56" s="2815"/>
      <c r="H56" s="2662"/>
      <c r="I56" s="2662"/>
      <c r="J56" s="2662"/>
      <c r="K56" s="2662"/>
      <c r="L56" s="2815">
        <f>+SUM(M56:N56)</f>
        <v>708539.91694177792</v>
      </c>
      <c r="M56" s="2815">
        <f>+Transmission!I81</f>
        <v>424460.27100000001</v>
      </c>
      <c r="N56" s="2858">
        <f>+Transmission!J81</f>
        <v>284079.64594177791</v>
      </c>
    </row>
    <row r="57" spans="3:14">
      <c r="C57" s="365">
        <v>40</v>
      </c>
      <c r="E57" s="98" t="s">
        <v>4289</v>
      </c>
      <c r="F57" s="60" t="s">
        <v>3161</v>
      </c>
      <c r="G57" s="2937"/>
      <c r="H57" s="2662"/>
      <c r="I57" s="2662"/>
      <c r="J57" s="2662"/>
      <c r="K57" s="2662"/>
      <c r="L57" s="792">
        <f>+SUM(M57:N57)</f>
        <v>1</v>
      </c>
      <c r="M57" s="921">
        <f>+M56/L56</f>
        <v>0.59906331436070481</v>
      </c>
      <c r="N57" s="923">
        <f>+N56/L56</f>
        <v>0.40093668563929513</v>
      </c>
    </row>
    <row r="58" spans="3:14">
      <c r="C58" s="365">
        <v>41</v>
      </c>
      <c r="E58" s="793"/>
      <c r="F58" s="546"/>
      <c r="G58" s="2939"/>
      <c r="H58" s="2817"/>
      <c r="I58" s="2817"/>
      <c r="J58" s="2817"/>
      <c r="K58" s="2817"/>
      <c r="L58" s="924"/>
      <c r="M58" s="924"/>
      <c r="N58" s="925"/>
    </row>
    <row r="59" spans="3:14">
      <c r="C59" s="365">
        <v>42</v>
      </c>
      <c r="E59" s="2860" t="s">
        <v>4656</v>
      </c>
      <c r="F59" s="771"/>
      <c r="G59" s="549"/>
      <c r="H59" s="549"/>
      <c r="I59" s="549"/>
      <c r="J59" s="549"/>
      <c r="K59" s="549"/>
      <c r="L59" s="549"/>
      <c r="M59" s="549"/>
      <c r="N59" s="2940"/>
    </row>
    <row r="60" spans="3:14">
      <c r="C60" s="365">
        <v>43</v>
      </c>
      <c r="E60" s="98" t="s">
        <v>4291</v>
      </c>
      <c r="F60" s="328"/>
      <c r="G60" s="328"/>
      <c r="H60" s="651">
        <f>+SUM(I60:N60)</f>
        <v>4218.1866361108005</v>
      </c>
      <c r="I60" s="467">
        <f>+I21+I26</f>
        <v>1428.2318159966976</v>
      </c>
      <c r="J60" s="467">
        <f>+J21+J26</f>
        <v>832.36137968011394</v>
      </c>
      <c r="K60" s="467">
        <f>+K21+K26</f>
        <v>1827.5482891226889</v>
      </c>
      <c r="L60" s="467"/>
      <c r="M60" s="467">
        <f>+M21+M26</f>
        <v>77.905279361086812</v>
      </c>
      <c r="N60" s="2941">
        <f>+N21+N26</f>
        <v>52.139871950213305</v>
      </c>
    </row>
    <row r="61" spans="3:14">
      <c r="C61" s="365">
        <v>44</v>
      </c>
      <c r="E61" s="98" t="s">
        <v>4292</v>
      </c>
      <c r="F61" s="60" t="s">
        <v>4271</v>
      </c>
      <c r="G61" s="328"/>
      <c r="H61" s="792"/>
      <c r="I61" s="927">
        <f>+I60/H60</f>
        <v>0.33858905240701676</v>
      </c>
      <c r="J61" s="927">
        <f>+J60/H60</f>
        <v>0.19732682583423036</v>
      </c>
      <c r="K61" s="927">
        <f>+K60/H60</f>
        <v>0.43325448747988593</v>
      </c>
      <c r="L61" s="927"/>
      <c r="M61" s="927">
        <f>+M60/H60</f>
        <v>1.8468902891626452E-2</v>
      </c>
      <c r="N61" s="928">
        <f>+N60/H60</f>
        <v>1.2360731387240526E-2</v>
      </c>
    </row>
    <row r="62" spans="3:14">
      <c r="C62" s="365">
        <v>45</v>
      </c>
      <c r="E62" s="642"/>
      <c r="F62" s="328"/>
      <c r="G62" s="328"/>
      <c r="H62" s="328"/>
      <c r="I62" s="328"/>
      <c r="J62" s="328"/>
      <c r="K62" s="328"/>
      <c r="L62" s="328"/>
      <c r="M62" s="328"/>
      <c r="N62" s="635"/>
    </row>
    <row r="63" spans="3:14" ht="15" thickBot="1">
      <c r="C63" s="462">
        <v>46</v>
      </c>
      <c r="D63" s="297"/>
      <c r="E63" s="926"/>
      <c r="F63" s="2942"/>
      <c r="G63" s="2942"/>
      <c r="H63" s="2942"/>
      <c r="I63" s="2942"/>
      <c r="J63" s="2942"/>
      <c r="K63" s="2942"/>
      <c r="L63" s="2942"/>
      <c r="M63" s="2942"/>
      <c r="N63" s="2943"/>
    </row>
  </sheetData>
  <mergeCells count="2">
    <mergeCell ref="H14:K14"/>
    <mergeCell ref="L14:N14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  <customPr name="FPMExcelClientCellBasedFunctionStatus" r:id="rId4"/>
  </customPropertie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C1:J54"/>
  <sheetViews>
    <sheetView tabSelected="1" showOutlineSymbols="0" workbookViewId="0"/>
  </sheetViews>
  <sheetFormatPr defaultColWidth="37.6640625" defaultRowHeight="14.4"/>
  <cols>
    <col min="1" max="1" width="9.33203125" customWidth="1"/>
    <col min="2" max="2" width="13.109375" customWidth="1"/>
    <col min="3" max="3" width="22.5546875" customWidth="1"/>
    <col min="5" max="5" width="47.88671875" customWidth="1"/>
  </cols>
  <sheetData>
    <row r="1" spans="3:10">
      <c r="F1" s="2107" t="s">
        <v>116</v>
      </c>
    </row>
    <row r="2" spans="3:10" ht="15" thickBot="1"/>
    <row r="3" spans="3:10" ht="15" thickBot="1">
      <c r="E3" s="113" t="s">
        <v>35</v>
      </c>
      <c r="F3" s="116" t="s">
        <v>4536</v>
      </c>
    </row>
    <row r="4" spans="3:10">
      <c r="E4" s="118" t="s">
        <v>4629</v>
      </c>
      <c r="F4" s="2255">
        <v>0</v>
      </c>
    </row>
    <row r="5" spans="3:10" ht="15" thickBot="1">
      <c r="E5" s="914" t="s">
        <v>4630</v>
      </c>
      <c r="F5" s="2648">
        <v>0</v>
      </c>
    </row>
    <row r="7" spans="3:10">
      <c r="C7" s="352" t="s">
        <v>2173</v>
      </c>
      <c r="D7" s="294"/>
      <c r="E7" s="402"/>
      <c r="F7" s="294"/>
      <c r="G7" s="294"/>
      <c r="H7" s="294"/>
      <c r="I7" s="294"/>
      <c r="J7" s="460"/>
    </row>
    <row r="8" spans="3:10">
      <c r="C8" s="353" t="s">
        <v>4599</v>
      </c>
      <c r="E8" s="96"/>
      <c r="J8" s="296"/>
    </row>
    <row r="9" spans="3:10">
      <c r="C9" s="2944" t="s">
        <v>9263</v>
      </c>
      <c r="E9" s="96"/>
      <c r="J9" s="296"/>
    </row>
    <row r="10" spans="3:10">
      <c r="C10" s="2944"/>
      <c r="E10" s="96"/>
      <c r="J10" s="296"/>
    </row>
    <row r="11" spans="3:10">
      <c r="C11" s="363" t="s">
        <v>2182</v>
      </c>
      <c r="E11" s="96"/>
      <c r="J11" s="296"/>
    </row>
    <row r="12" spans="3:10">
      <c r="C12" s="363" t="s">
        <v>3216</v>
      </c>
      <c r="D12" s="60" t="s">
        <v>4600</v>
      </c>
      <c r="E12" s="60" t="s">
        <v>1918</v>
      </c>
      <c r="F12" s="60" t="s">
        <v>4601</v>
      </c>
      <c r="G12" s="60" t="s">
        <v>4602</v>
      </c>
      <c r="H12" s="60" t="s">
        <v>4603</v>
      </c>
      <c r="I12" s="60" t="s">
        <v>4604</v>
      </c>
      <c r="J12" s="767" t="s">
        <v>115</v>
      </c>
    </row>
    <row r="13" spans="3:10">
      <c r="C13" s="2791" t="s">
        <v>2175</v>
      </c>
      <c r="D13" s="2792" t="s">
        <v>2176</v>
      </c>
      <c r="E13" s="2792" t="s">
        <v>2177</v>
      </c>
      <c r="F13" s="2792" t="s">
        <v>2178</v>
      </c>
      <c r="G13" s="2792" t="s">
        <v>2179</v>
      </c>
      <c r="H13" s="2792" t="s">
        <v>2625</v>
      </c>
      <c r="I13" s="2792" t="s">
        <v>2626</v>
      </c>
      <c r="J13" s="2793" t="s">
        <v>2627</v>
      </c>
    </row>
    <row r="14" spans="3:10" ht="15.6">
      <c r="C14" s="2945"/>
      <c r="D14" s="2946" t="s">
        <v>4605</v>
      </c>
      <c r="E14" s="2947"/>
      <c r="F14" s="2947"/>
      <c r="G14" s="2947"/>
      <c r="H14" s="2947"/>
      <c r="I14" s="2947"/>
      <c r="J14" s="2948"/>
    </row>
    <row r="15" spans="3:10">
      <c r="C15" s="365">
        <v>1</v>
      </c>
      <c r="D15" s="2949" t="s">
        <v>2333</v>
      </c>
      <c r="E15" t="s">
        <v>4606</v>
      </c>
      <c r="F15" s="96" t="s">
        <v>122</v>
      </c>
      <c r="G15" s="328"/>
      <c r="H15" s="328"/>
      <c r="I15" s="328"/>
      <c r="J15" s="2950">
        <f>+SUMIFS('Surv Report Sched 2 pg 2'!F:F,'Surv Report Sched 2 pg 2'!B:B,'Fuel Interchange'!D15)</f>
        <v>682668562.73918617</v>
      </c>
    </row>
    <row r="16" spans="3:10">
      <c r="C16" s="365">
        <v>2</v>
      </c>
      <c r="D16" s="2951" t="s">
        <v>2378</v>
      </c>
      <c r="E16" s="96" t="s">
        <v>4607</v>
      </c>
      <c r="F16" s="96" t="s">
        <v>4608</v>
      </c>
      <c r="G16" s="328"/>
      <c r="H16" s="328"/>
      <c r="I16" s="328"/>
      <c r="J16" s="2950">
        <f>+SUMIFS('Surv Report Sched 2 pg 2'!F:F,'Surv Report Sched 2 pg 2'!B:B,'Fuel Interchange'!D16)</f>
        <v>-682032059.23143291</v>
      </c>
    </row>
    <row r="17" spans="3:10">
      <c r="C17" s="365">
        <v>3</v>
      </c>
      <c r="D17" s="2949" t="s">
        <v>2383</v>
      </c>
      <c r="E17" s="96" t="s">
        <v>4607</v>
      </c>
      <c r="F17" s="96" t="s">
        <v>9337</v>
      </c>
      <c r="G17" s="328"/>
      <c r="H17" s="328"/>
      <c r="I17" s="328"/>
      <c r="J17" s="2952">
        <f>+SUMIFS('Surv Report Sched 2 pg 2'!F:F,'Surv Report Sched 2 pg 2'!B:B,'Fuel Interchange'!D17)</f>
        <v>-10042.6</v>
      </c>
    </row>
    <row r="18" spans="3:10">
      <c r="C18" s="365"/>
      <c r="F18" s="328"/>
      <c r="G18" s="328"/>
      <c r="H18" s="328"/>
      <c r="I18" s="328"/>
      <c r="J18" s="2953">
        <f>+SUM(J15:J17)</f>
        <v>626460.90775325301</v>
      </c>
    </row>
    <row r="19" spans="3:10">
      <c r="C19" s="365"/>
      <c r="F19" s="328"/>
      <c r="G19" s="328"/>
      <c r="H19" s="328"/>
      <c r="I19" s="328"/>
      <c r="J19" s="536"/>
    </row>
    <row r="20" spans="3:10" ht="16.2" thickBot="1">
      <c r="C20" s="365"/>
      <c r="E20" s="650" t="s">
        <v>4609</v>
      </c>
      <c r="F20" s="328"/>
      <c r="G20" s="328"/>
      <c r="H20" s="328"/>
      <c r="I20" s="328"/>
      <c r="J20" s="912">
        <f>+J18</f>
        <v>626460.90775325301</v>
      </c>
    </row>
    <row r="21" spans="3:10" ht="15" thickTop="1">
      <c r="C21" s="365">
        <v>4</v>
      </c>
      <c r="F21" s="328"/>
      <c r="G21" s="328"/>
      <c r="H21" s="328"/>
      <c r="I21" s="328"/>
      <c r="J21" s="536"/>
    </row>
    <row r="22" spans="3:10" ht="15.6">
      <c r="C22" s="365">
        <v>5</v>
      </c>
      <c r="D22" s="2946" t="s">
        <v>4610</v>
      </c>
      <c r="F22" s="2038"/>
      <c r="G22" s="328"/>
      <c r="H22" s="328"/>
      <c r="I22" s="328"/>
      <c r="J22" s="536"/>
    </row>
    <row r="23" spans="3:10">
      <c r="C23" s="365">
        <v>6</v>
      </c>
      <c r="D23" s="665" t="s">
        <v>4611</v>
      </c>
      <c r="F23" s="328"/>
      <c r="G23" s="77" t="s">
        <v>4612</v>
      </c>
      <c r="H23" s="266" t="s">
        <v>4612</v>
      </c>
      <c r="I23" s="266" t="s">
        <v>2404</v>
      </c>
      <c r="J23" s="364" t="s">
        <v>115</v>
      </c>
    </row>
    <row r="24" spans="3:10">
      <c r="C24" s="365">
        <v>7</v>
      </c>
      <c r="D24" s="393" t="s">
        <v>4613</v>
      </c>
      <c r="F24" s="42"/>
      <c r="G24" s="42"/>
      <c r="H24" s="617"/>
      <c r="I24" s="617"/>
      <c r="J24" s="536"/>
    </row>
    <row r="25" spans="3:10">
      <c r="C25" s="365">
        <v>8</v>
      </c>
      <c r="D25" s="33">
        <v>55533</v>
      </c>
      <c r="E25" t="s">
        <v>4614</v>
      </c>
      <c r="F25" s="42" t="s">
        <v>2623</v>
      </c>
      <c r="G25" s="2587">
        <v>0</v>
      </c>
      <c r="H25" s="617"/>
      <c r="I25" s="617"/>
      <c r="J25" s="536"/>
    </row>
    <row r="26" spans="3:10">
      <c r="C26" s="365">
        <v>9</v>
      </c>
      <c r="D26" s="33">
        <v>55519</v>
      </c>
      <c r="E26" t="s">
        <v>4615</v>
      </c>
      <c r="F26" s="42" t="s">
        <v>2623</v>
      </c>
      <c r="G26" s="2587">
        <v>0</v>
      </c>
      <c r="H26" s="617"/>
      <c r="I26" s="617"/>
      <c r="J26" s="536"/>
    </row>
    <row r="27" spans="3:10">
      <c r="C27" s="365">
        <v>10</v>
      </c>
      <c r="D27" s="33">
        <v>55542</v>
      </c>
      <c r="E27" t="s">
        <v>4616</v>
      </c>
      <c r="F27" s="42" t="s">
        <v>2623</v>
      </c>
      <c r="G27" s="2587">
        <v>0</v>
      </c>
      <c r="H27" s="617"/>
      <c r="I27" s="617"/>
      <c r="J27" s="536"/>
    </row>
    <row r="28" spans="3:10">
      <c r="C28" s="365">
        <v>11</v>
      </c>
      <c r="E28" t="s">
        <v>4617</v>
      </c>
      <c r="F28" s="42"/>
      <c r="G28" s="555">
        <f>+SUM(G25:G27)</f>
        <v>0</v>
      </c>
      <c r="H28" s="617">
        <f>+G28</f>
        <v>0</v>
      </c>
      <c r="I28" s="617"/>
      <c r="J28" s="2953">
        <f>+H28</f>
        <v>0</v>
      </c>
    </row>
    <row r="29" spans="3:10">
      <c r="C29" s="365">
        <v>12</v>
      </c>
      <c r="F29" s="42"/>
      <c r="G29" s="42"/>
      <c r="H29" s="617"/>
      <c r="I29" s="617"/>
      <c r="J29" s="536"/>
    </row>
    <row r="30" spans="3:10">
      <c r="C30" s="365">
        <v>13</v>
      </c>
      <c r="D30" s="665" t="s">
        <v>4618</v>
      </c>
      <c r="F30" s="42"/>
      <c r="G30" s="42"/>
      <c r="H30" s="617"/>
      <c r="I30" s="617"/>
      <c r="J30" s="536"/>
    </row>
    <row r="31" spans="3:10">
      <c r="C31" s="365">
        <v>14</v>
      </c>
      <c r="D31" s="33">
        <v>55533</v>
      </c>
      <c r="E31" s="96" t="s">
        <v>4619</v>
      </c>
      <c r="F31" s="42" t="s">
        <v>2623</v>
      </c>
      <c r="G31" s="2587">
        <v>0</v>
      </c>
      <c r="H31" s="617"/>
      <c r="I31" s="617"/>
      <c r="J31" s="536"/>
    </row>
    <row r="32" spans="3:10">
      <c r="C32" s="365">
        <v>15</v>
      </c>
      <c r="D32" s="33">
        <v>55521</v>
      </c>
      <c r="E32" t="s">
        <v>4620</v>
      </c>
      <c r="F32" s="42" t="s">
        <v>2623</v>
      </c>
      <c r="G32" s="439"/>
      <c r="H32" s="621"/>
      <c r="I32" s="621"/>
      <c r="J32" s="547"/>
    </row>
    <row r="33" spans="3:10" ht="15" thickBot="1">
      <c r="C33" s="365">
        <v>16</v>
      </c>
      <c r="F33" s="42" t="s">
        <v>4621</v>
      </c>
      <c r="G33" s="915">
        <f>+G28+G31</f>
        <v>0</v>
      </c>
      <c r="H33" s="617">
        <f>+G33</f>
        <v>0</v>
      </c>
      <c r="I33" s="617"/>
      <c r="J33" s="2950"/>
    </row>
    <row r="34" spans="3:10" ht="15" thickTop="1">
      <c r="C34" s="365">
        <v>17</v>
      </c>
      <c r="F34" s="42"/>
      <c r="G34" s="42"/>
      <c r="H34" s="617"/>
      <c r="I34" s="617"/>
      <c r="J34" s="536"/>
    </row>
    <row r="35" spans="3:10">
      <c r="C35" s="365">
        <v>18</v>
      </c>
      <c r="F35" s="42"/>
      <c r="G35" s="42"/>
      <c r="H35" s="617"/>
      <c r="I35" s="617"/>
      <c r="J35" s="536"/>
    </row>
    <row r="36" spans="3:10" ht="15" thickBot="1">
      <c r="C36" s="365">
        <v>19</v>
      </c>
      <c r="D36" s="33">
        <v>555</v>
      </c>
      <c r="E36" t="s">
        <v>4622</v>
      </c>
      <c r="F36" s="42" t="s">
        <v>4621</v>
      </c>
      <c r="G36" s="2280">
        <v>0</v>
      </c>
      <c r="H36" s="617"/>
      <c r="I36" s="617"/>
      <c r="J36" s="2950"/>
    </row>
    <row r="37" spans="3:10" ht="15" thickTop="1">
      <c r="C37" s="365">
        <v>20</v>
      </c>
      <c r="F37" s="42" t="s">
        <v>2624</v>
      </c>
      <c r="G37" s="42"/>
      <c r="H37" s="617"/>
      <c r="I37" s="617"/>
      <c r="J37" s="536"/>
    </row>
    <row r="38" spans="3:10">
      <c r="C38" s="365">
        <v>21</v>
      </c>
      <c r="F38" s="42"/>
      <c r="G38" s="42"/>
      <c r="H38" s="617"/>
      <c r="I38" s="534"/>
      <c r="J38" s="536"/>
    </row>
    <row r="39" spans="3:10">
      <c r="C39" s="365">
        <v>22</v>
      </c>
      <c r="F39" s="42"/>
      <c r="G39" s="42"/>
      <c r="H39" s="617"/>
      <c r="I39" s="534"/>
      <c r="J39" s="536"/>
    </row>
    <row r="40" spans="3:10">
      <c r="C40" s="365">
        <v>23</v>
      </c>
      <c r="D40" s="62" t="s">
        <v>4623</v>
      </c>
      <c r="F40" s="558"/>
      <c r="G40" s="77" t="s">
        <v>4612</v>
      </c>
      <c r="H40" s="523"/>
      <c r="I40" s="523"/>
      <c r="J40" s="364"/>
    </row>
    <row r="41" spans="3:10">
      <c r="C41" s="365">
        <v>24</v>
      </c>
      <c r="D41" s="33">
        <v>50109</v>
      </c>
      <c r="E41" t="s">
        <v>4624</v>
      </c>
      <c r="F41" s="42">
        <f>+F4</f>
        <v>0</v>
      </c>
      <c r="G41" s="328"/>
      <c r="H41" s="534"/>
      <c r="I41" s="534"/>
      <c r="J41" s="536"/>
    </row>
    <row r="42" spans="3:10">
      <c r="C42" s="365">
        <v>25</v>
      </c>
      <c r="D42" s="33">
        <v>50103</v>
      </c>
      <c r="E42" t="s">
        <v>4625</v>
      </c>
      <c r="F42" s="328"/>
      <c r="G42" s="2587">
        <v>0</v>
      </c>
      <c r="H42" s="2954">
        <f>+G42</f>
        <v>0</v>
      </c>
      <c r="I42" s="2955">
        <f>+F41-G42</f>
        <v>0</v>
      </c>
      <c r="J42" s="2950">
        <f>+SUM(H42:I42)</f>
        <v>0</v>
      </c>
    </row>
    <row r="43" spans="3:10">
      <c r="C43" s="365">
        <v>26</v>
      </c>
      <c r="D43" s="33"/>
      <c r="F43" s="328"/>
      <c r="G43" s="42"/>
      <c r="H43" s="534"/>
      <c r="I43" s="2955"/>
      <c r="J43" s="536"/>
    </row>
    <row r="44" spans="3:10">
      <c r="C44" s="365">
        <v>27</v>
      </c>
      <c r="D44" s="33">
        <v>547</v>
      </c>
      <c r="E44" t="s">
        <v>4626</v>
      </c>
      <c r="F44" s="42">
        <f>+F5</f>
        <v>0</v>
      </c>
      <c r="G44" s="42"/>
      <c r="H44" s="534"/>
      <c r="I44" s="2955"/>
      <c r="J44" s="536"/>
    </row>
    <row r="45" spans="3:10">
      <c r="C45" s="365">
        <v>28</v>
      </c>
      <c r="D45" s="33">
        <v>54703</v>
      </c>
      <c r="E45" t="s">
        <v>4627</v>
      </c>
      <c r="F45" s="328"/>
      <c r="G45" s="2587">
        <v>0</v>
      </c>
      <c r="H45" s="2954">
        <f>+G45</f>
        <v>0</v>
      </c>
      <c r="I45" s="2955">
        <f>+F44-G45</f>
        <v>0</v>
      </c>
      <c r="J45" s="2950">
        <f>+SUM(H45:I45)</f>
        <v>0</v>
      </c>
    </row>
    <row r="46" spans="3:10">
      <c r="C46" s="365">
        <v>29</v>
      </c>
      <c r="F46" s="328"/>
      <c r="G46" s="42"/>
      <c r="H46" s="534"/>
      <c r="I46" s="2955"/>
      <c r="J46" s="536"/>
    </row>
    <row r="47" spans="3:10">
      <c r="C47" s="365">
        <v>30</v>
      </c>
      <c r="D47" s="33"/>
      <c r="F47" s="328"/>
      <c r="G47" s="42"/>
      <c r="H47" s="2954"/>
      <c r="I47" s="2955"/>
      <c r="J47" s="2950"/>
    </row>
    <row r="48" spans="3:10">
      <c r="C48" s="365">
        <v>31</v>
      </c>
      <c r="D48" s="33"/>
      <c r="F48" s="328"/>
      <c r="G48" s="42"/>
      <c r="H48" s="534"/>
      <c r="I48" s="2955"/>
      <c r="J48" s="536"/>
    </row>
    <row r="49" spans="3:10">
      <c r="C49" s="365">
        <v>32</v>
      </c>
      <c r="D49" s="33"/>
      <c r="F49" s="328"/>
      <c r="G49" s="903"/>
      <c r="H49" s="536"/>
      <c r="I49" s="2955"/>
      <c r="J49" s="2950"/>
    </row>
    <row r="50" spans="3:10">
      <c r="C50" s="365">
        <v>33</v>
      </c>
      <c r="F50" s="42"/>
      <c r="G50" s="328"/>
      <c r="H50" s="534"/>
      <c r="I50" s="534"/>
      <c r="J50" s="536"/>
    </row>
    <row r="51" spans="3:10" ht="16.2" thickBot="1">
      <c r="C51" s="365">
        <v>34</v>
      </c>
      <c r="E51" s="2956" t="s">
        <v>115</v>
      </c>
      <c r="F51" s="695"/>
      <c r="G51" s="695"/>
      <c r="H51" s="2957">
        <f>+SUM(H42:H45)</f>
        <v>0</v>
      </c>
      <c r="I51" s="2957">
        <f>+SUM(I42:I45)</f>
        <v>0</v>
      </c>
      <c r="J51" s="913">
        <f>+SUM(J42:J45)</f>
        <v>0</v>
      </c>
    </row>
    <row r="52" spans="3:10" ht="15" thickTop="1">
      <c r="C52" s="365">
        <v>35</v>
      </c>
      <c r="F52" s="328"/>
      <c r="G52" s="328"/>
      <c r="H52" s="328"/>
      <c r="I52" s="328"/>
      <c r="J52" s="536"/>
    </row>
    <row r="53" spans="3:10" ht="16.2" thickBot="1">
      <c r="C53" s="365">
        <v>36</v>
      </c>
      <c r="D53" s="409"/>
      <c r="E53" s="2481" t="s">
        <v>4628</v>
      </c>
      <c r="F53" s="695"/>
      <c r="G53" s="2958"/>
      <c r="H53" s="695"/>
      <c r="I53" s="2956"/>
      <c r="J53" s="2959">
        <f>+J20-J51</f>
        <v>626460.90775325301</v>
      </c>
    </row>
    <row r="54" spans="3:10" ht="15" thickTop="1">
      <c r="C54" s="616"/>
      <c r="D54" s="297"/>
      <c r="E54" s="297"/>
      <c r="F54" s="297"/>
      <c r="G54" s="297"/>
      <c r="H54" s="297"/>
      <c r="I54" s="2960"/>
      <c r="J54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B1:Z66"/>
  <sheetViews>
    <sheetView tabSelected="1" showOutlineSymbols="0"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2107" t="s">
        <v>116</v>
      </c>
    </row>
    <row r="2" spans="2:26" ht="15" thickBot="1">
      <c r="C2" s="2107"/>
    </row>
    <row r="3" spans="2:26" ht="15" thickBot="1">
      <c r="B3" s="113" t="s">
        <v>4658</v>
      </c>
      <c r="C3" s="2702" t="s">
        <v>4536</v>
      </c>
    </row>
    <row r="4" spans="2:26">
      <c r="B4" s="2101">
        <v>583</v>
      </c>
      <c r="C4" s="2255">
        <v>1440789.8400000005</v>
      </c>
    </row>
    <row r="5" spans="2:26">
      <c r="B5" s="2101">
        <v>593</v>
      </c>
      <c r="C5" s="2255">
        <v>28430481</v>
      </c>
    </row>
    <row r="6" spans="2:26" ht="15" thickBot="1">
      <c r="B6" s="2920">
        <v>594</v>
      </c>
      <c r="C6" s="2648">
        <v>214324.17000000007</v>
      </c>
    </row>
    <row r="7" spans="2:26" ht="15" thickBot="1">
      <c r="C7" s="2107"/>
    </row>
    <row r="8" spans="2:26" ht="15" thickBot="1">
      <c r="B8" s="2919" t="s">
        <v>4680</v>
      </c>
      <c r="C8" s="2702" t="s">
        <v>4536</v>
      </c>
    </row>
    <row r="9" spans="2:26" ht="15" thickBot="1">
      <c r="B9" s="2920">
        <v>58801</v>
      </c>
      <c r="C9" s="2961">
        <f>+'Prod O&amp;M'!D27</f>
        <v>0</v>
      </c>
    </row>
    <row r="11" spans="2:26">
      <c r="B11" s="352" t="s">
        <v>2173</v>
      </c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2889"/>
    </row>
    <row r="12" spans="2:26">
      <c r="B12" s="353" t="s">
        <v>4659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2530"/>
    </row>
    <row r="13" spans="2:26">
      <c r="B13" s="2829" t="s">
        <v>9263</v>
      </c>
      <c r="C13" s="2830"/>
      <c r="D13" s="2830"/>
      <c r="E13" s="2830"/>
      <c r="F13" s="2830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2530"/>
    </row>
    <row r="14" spans="2:26">
      <c r="B14" s="2417"/>
      <c r="C14" s="545" t="s">
        <v>2477</v>
      </c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2577"/>
    </row>
    <row r="15" spans="2:26">
      <c r="B15" s="363"/>
      <c r="C15" s="62"/>
      <c r="D15" s="62"/>
      <c r="E15" s="96"/>
      <c r="F15" s="870"/>
      <c r="G15" s="266" t="s">
        <v>3717</v>
      </c>
      <c r="H15" s="3134" t="s">
        <v>4165</v>
      </c>
      <c r="I15" s="3135"/>
      <c r="J15" s="3135"/>
      <c r="K15" s="3135"/>
      <c r="L15" s="3136"/>
      <c r="M15" s="3134" t="s">
        <v>4168</v>
      </c>
      <c r="N15" s="3135"/>
      <c r="O15" s="3135"/>
      <c r="P15" s="3135"/>
      <c r="Q15" s="3136"/>
      <c r="R15" s="3134" t="s">
        <v>4156</v>
      </c>
      <c r="S15" s="3135"/>
      <c r="T15" s="3135"/>
      <c r="U15" s="3135"/>
      <c r="V15" s="3136"/>
      <c r="W15" s="637" t="s">
        <v>4294</v>
      </c>
      <c r="X15" s="414" t="s">
        <v>4295</v>
      </c>
      <c r="Y15" s="414" t="s">
        <v>2548</v>
      </c>
      <c r="Z15" s="1961" t="s">
        <v>4296</v>
      </c>
    </row>
    <row r="16" spans="2:26" ht="53.4">
      <c r="B16" s="2962" t="s">
        <v>4297</v>
      </c>
      <c r="C16" s="77" t="s">
        <v>3174</v>
      </c>
      <c r="D16" s="77" t="s">
        <v>1918</v>
      </c>
      <c r="E16" s="77" t="s">
        <v>4251</v>
      </c>
      <c r="F16" s="2963" t="s">
        <v>115</v>
      </c>
      <c r="G16" s="280" t="s">
        <v>1915</v>
      </c>
      <c r="H16" s="2864" t="s">
        <v>4298</v>
      </c>
      <c r="I16" s="2716" t="s">
        <v>4303</v>
      </c>
      <c r="J16" s="2716" t="s">
        <v>4304</v>
      </c>
      <c r="K16" s="2716" t="s">
        <v>4301</v>
      </c>
      <c r="L16" s="2717" t="s">
        <v>4302</v>
      </c>
      <c r="M16" s="2716" t="s">
        <v>4298</v>
      </c>
      <c r="N16" s="2716" t="s">
        <v>4303</v>
      </c>
      <c r="O16" s="2716" t="s">
        <v>4304</v>
      </c>
      <c r="P16" s="2716" t="s">
        <v>4301</v>
      </c>
      <c r="Q16" s="2717" t="s">
        <v>4302</v>
      </c>
      <c r="R16" s="2716" t="s">
        <v>4298</v>
      </c>
      <c r="S16" s="2716" t="s">
        <v>4303</v>
      </c>
      <c r="T16" s="2716" t="s">
        <v>4304</v>
      </c>
      <c r="U16" s="2574" t="s">
        <v>4301</v>
      </c>
      <c r="V16" s="2922" t="s">
        <v>4302</v>
      </c>
      <c r="W16" s="60" t="s">
        <v>118</v>
      </c>
      <c r="X16" s="60" t="s">
        <v>118</v>
      </c>
      <c r="Y16" s="60" t="s">
        <v>118</v>
      </c>
      <c r="Z16" s="2717" t="s">
        <v>4305</v>
      </c>
    </row>
    <row r="17" spans="2:26">
      <c r="B17" s="354" t="s">
        <v>2175</v>
      </c>
      <c r="C17" s="355" t="s">
        <v>2176</v>
      </c>
      <c r="D17" s="355" t="s">
        <v>2177</v>
      </c>
      <c r="E17" s="355" t="s">
        <v>2178</v>
      </c>
      <c r="F17" s="356" t="s">
        <v>2179</v>
      </c>
      <c r="G17" s="2865" t="s">
        <v>2625</v>
      </c>
      <c r="H17" s="355" t="s">
        <v>2626</v>
      </c>
      <c r="I17" s="355" t="s">
        <v>2627</v>
      </c>
      <c r="J17" s="355" t="s">
        <v>2628</v>
      </c>
      <c r="K17" s="355" t="s">
        <v>2629</v>
      </c>
      <c r="L17" s="356" t="s">
        <v>2630</v>
      </c>
      <c r="M17" s="355" t="s">
        <v>4061</v>
      </c>
      <c r="N17" s="355" t="s">
        <v>4062</v>
      </c>
      <c r="O17" s="355" t="s">
        <v>4063</v>
      </c>
      <c r="P17" s="355" t="s">
        <v>4064</v>
      </c>
      <c r="Q17" s="356" t="s">
        <v>4065</v>
      </c>
      <c r="R17" s="355" t="s">
        <v>4178</v>
      </c>
      <c r="S17" s="355" t="s">
        <v>4306</v>
      </c>
      <c r="T17" s="355" t="s">
        <v>4307</v>
      </c>
      <c r="U17" s="355" t="s">
        <v>4308</v>
      </c>
      <c r="V17" s="355" t="s">
        <v>4309</v>
      </c>
      <c r="W17" s="355" t="s">
        <v>4310</v>
      </c>
      <c r="X17" s="355" t="s">
        <v>4311</v>
      </c>
      <c r="Y17" s="355" t="s">
        <v>4312</v>
      </c>
      <c r="Z17" s="355" t="s">
        <v>4313</v>
      </c>
    </row>
    <row r="18" spans="2:26">
      <c r="B18" s="2415"/>
      <c r="C18" s="96"/>
      <c r="D18" s="96"/>
      <c r="E18" s="96"/>
      <c r="F18" s="2889"/>
      <c r="G18" s="2889"/>
      <c r="H18" s="96"/>
      <c r="I18" s="96"/>
      <c r="J18" s="96"/>
      <c r="K18" s="96"/>
      <c r="L18" s="2530"/>
      <c r="M18" s="96"/>
      <c r="N18" s="96"/>
      <c r="O18" s="96"/>
      <c r="P18" s="96"/>
      <c r="Q18" s="2530"/>
      <c r="R18" s="96"/>
      <c r="S18" s="96"/>
      <c r="T18" s="96"/>
      <c r="U18" s="96"/>
      <c r="V18" s="2530"/>
      <c r="W18" s="96"/>
      <c r="X18" s="96"/>
      <c r="Y18" s="96"/>
      <c r="Z18" s="2530"/>
    </row>
    <row r="19" spans="2:26">
      <c r="B19" s="604">
        <v>1</v>
      </c>
      <c r="C19" s="96"/>
      <c r="D19" s="361" t="s">
        <v>4660</v>
      </c>
      <c r="E19" s="96"/>
      <c r="F19" s="2530"/>
      <c r="G19" s="2530"/>
      <c r="H19" s="96"/>
      <c r="I19" s="96"/>
      <c r="J19" s="96"/>
      <c r="K19" s="96"/>
      <c r="L19" s="2530"/>
      <c r="M19" s="96"/>
      <c r="N19" s="96"/>
      <c r="O19" s="96"/>
      <c r="P19" s="96"/>
      <c r="Q19" s="2530"/>
      <c r="R19" s="96"/>
      <c r="S19" s="96"/>
      <c r="T19" s="96"/>
      <c r="U19" s="96"/>
      <c r="V19" s="2530"/>
      <c r="W19" s="96"/>
      <c r="X19" s="96"/>
      <c r="Y19" s="96"/>
      <c r="Z19" s="2530"/>
    </row>
    <row r="20" spans="2:26">
      <c r="B20" s="604">
        <v>2</v>
      </c>
      <c r="C20" s="290" t="s">
        <v>4314</v>
      </c>
      <c r="D20" s="96" t="s">
        <v>4661</v>
      </c>
      <c r="E20" s="290" t="s">
        <v>4316</v>
      </c>
      <c r="F20" s="864">
        <f>(+SUMIFS('Labor Input'!E:E,'Labor Input'!G:G,'Distribution O&amp;M'!C20)/1000)</f>
        <v>1568.7918660012001</v>
      </c>
      <c r="G20" s="903">
        <f>+F20*G64</f>
        <v>151.12036625151933</v>
      </c>
      <c r="H20" s="42">
        <f t="shared" ref="H20:Z20" si="0">+$F20*H64</f>
        <v>36.663665555166766</v>
      </c>
      <c r="I20" s="42">
        <f t="shared" si="0"/>
        <v>553.43724631874943</v>
      </c>
      <c r="J20" s="42">
        <f t="shared" si="0"/>
        <v>0</v>
      </c>
      <c r="K20" s="42">
        <f t="shared" si="0"/>
        <v>128.85628104332753</v>
      </c>
      <c r="L20" s="903">
        <f t="shared" si="0"/>
        <v>0</v>
      </c>
      <c r="M20" s="42">
        <f t="shared" si="0"/>
        <v>9.1802139342263681E-2</v>
      </c>
      <c r="N20" s="42">
        <f t="shared" si="0"/>
        <v>179.26871937959879</v>
      </c>
      <c r="O20" s="42">
        <f t="shared" si="0"/>
        <v>0</v>
      </c>
      <c r="P20" s="42">
        <f t="shared" si="0"/>
        <v>13.668577659453655</v>
      </c>
      <c r="Q20" s="903">
        <f t="shared" si="0"/>
        <v>0</v>
      </c>
      <c r="R20" s="42">
        <f t="shared" si="0"/>
        <v>0</v>
      </c>
      <c r="S20" s="42">
        <f t="shared" si="0"/>
        <v>1.4484647977371818</v>
      </c>
      <c r="T20" s="42">
        <f t="shared" si="0"/>
        <v>0</v>
      </c>
      <c r="U20" s="42">
        <f t="shared" si="0"/>
        <v>7.3586108561495198</v>
      </c>
      <c r="V20" s="903">
        <f t="shared" si="0"/>
        <v>0</v>
      </c>
      <c r="W20" s="42">
        <f t="shared" si="0"/>
        <v>136.22900381375459</v>
      </c>
      <c r="X20" s="42">
        <f t="shared" si="0"/>
        <v>99.913192029380227</v>
      </c>
      <c r="Y20" s="42">
        <f t="shared" si="0"/>
        <v>260.73593615702072</v>
      </c>
      <c r="Z20" s="903">
        <f t="shared" si="0"/>
        <v>0</v>
      </c>
    </row>
    <row r="21" spans="2:26">
      <c r="B21" s="604">
        <v>3</v>
      </c>
      <c r="C21" s="290">
        <v>581</v>
      </c>
      <c r="D21" s="96" t="s">
        <v>4662</v>
      </c>
      <c r="E21" s="290" t="s">
        <v>4316</v>
      </c>
      <c r="F21" s="864">
        <f>(+SUMIFS('Labor Input'!E:E,'Labor Input'!G:G,'Distribution O&amp;M'!C21)/1000)</f>
        <v>1182.0898829178998</v>
      </c>
      <c r="G21" s="903">
        <f>+F21*G64</f>
        <v>113.86969802699879</v>
      </c>
      <c r="H21" s="42">
        <f t="shared" ref="H21:Z21" si="1">+$F21*H64</f>
        <v>27.626193800914926</v>
      </c>
      <c r="I21" s="42">
        <f t="shared" si="1"/>
        <v>417.01680374650471</v>
      </c>
      <c r="J21" s="42">
        <f t="shared" si="1"/>
        <v>0</v>
      </c>
      <c r="K21" s="42">
        <f t="shared" si="1"/>
        <v>97.093635856234428</v>
      </c>
      <c r="L21" s="903">
        <f t="shared" si="1"/>
        <v>0</v>
      </c>
      <c r="M21" s="42">
        <f t="shared" si="1"/>
        <v>6.9173216982134828E-2</v>
      </c>
      <c r="N21" s="42">
        <f t="shared" si="1"/>
        <v>135.07957562428467</v>
      </c>
      <c r="O21" s="42">
        <f t="shared" si="1"/>
        <v>0</v>
      </c>
      <c r="P21" s="42">
        <f t="shared" si="1"/>
        <v>10.299318676544841</v>
      </c>
      <c r="Q21" s="903">
        <f t="shared" si="1"/>
        <v>0</v>
      </c>
      <c r="R21" s="42">
        <f t="shared" si="1"/>
        <v>0</v>
      </c>
      <c r="S21" s="42">
        <f t="shared" si="1"/>
        <v>1.0914230372268738</v>
      </c>
      <c r="T21" s="42">
        <f t="shared" si="1"/>
        <v>0</v>
      </c>
      <c r="U21" s="42">
        <f t="shared" si="1"/>
        <v>5.5447377270998155</v>
      </c>
      <c r="V21" s="903">
        <f t="shared" si="1"/>
        <v>0</v>
      </c>
      <c r="W21" s="42">
        <f t="shared" si="1"/>
        <v>102.64900695762539</v>
      </c>
      <c r="X21" s="42">
        <f t="shared" si="1"/>
        <v>75.28492212865244</v>
      </c>
      <c r="Y21" s="42">
        <f t="shared" si="1"/>
        <v>196.46539411883072</v>
      </c>
      <c r="Z21" s="903">
        <f t="shared" si="1"/>
        <v>0</v>
      </c>
    </row>
    <row r="22" spans="2:26">
      <c r="B22" s="604">
        <v>4</v>
      </c>
      <c r="C22" s="290" t="s">
        <v>4318</v>
      </c>
      <c r="D22" s="96" t="s">
        <v>4639</v>
      </c>
      <c r="E22" s="290" t="s">
        <v>4123</v>
      </c>
      <c r="F22" s="864">
        <f>(+SUMIFS('Labor Input'!E:E,'Labor Input'!G:G,'Distribution O&amp;M'!C22)/1000)</f>
        <v>1036.6624857627999</v>
      </c>
      <c r="G22" s="903">
        <f>+F22-Z22</f>
        <v>1036.6624857627999</v>
      </c>
      <c r="H22" s="42"/>
      <c r="I22" s="42"/>
      <c r="J22" s="42"/>
      <c r="K22" s="42"/>
      <c r="L22" s="903"/>
      <c r="M22" s="42"/>
      <c r="N22" s="42"/>
      <c r="O22" s="42"/>
      <c r="P22" s="42"/>
      <c r="Q22" s="903"/>
      <c r="R22" s="42"/>
      <c r="S22" s="42"/>
      <c r="T22" s="42"/>
      <c r="U22" s="42"/>
      <c r="V22" s="903"/>
      <c r="W22" s="42"/>
      <c r="X22" s="42"/>
      <c r="Y22" s="42"/>
      <c r="Z22" s="903"/>
    </row>
    <row r="23" spans="2:26">
      <c r="B23" s="604">
        <v>5</v>
      </c>
      <c r="C23" s="290" t="s">
        <v>4320</v>
      </c>
      <c r="D23" s="96" t="s">
        <v>4663</v>
      </c>
      <c r="E23" s="290" t="s">
        <v>4109</v>
      </c>
      <c r="F23" s="864">
        <f>(+SUMIFS('Labor Input'!E:E,'Labor Input'!G:G,'Distribution O&amp;M'!C23)/1000)-(C4/1000)</f>
        <v>6682.1448166825003</v>
      </c>
      <c r="G23" s="903"/>
      <c r="H23" s="42">
        <f>+$F23*H48</f>
        <v>296.47395769738591</v>
      </c>
      <c r="I23" s="42">
        <f>+$F23*I48</f>
        <v>4475.2680417722177</v>
      </c>
      <c r="J23" s="42">
        <f>+$F23*J48</f>
        <v>0</v>
      </c>
      <c r="K23" s="42">
        <f>+$F23*K48</f>
        <v>1041.9725097480966</v>
      </c>
      <c r="L23" s="903">
        <f>+$F23*L48</f>
        <v>0</v>
      </c>
      <c r="M23" s="42"/>
      <c r="N23" s="42"/>
      <c r="O23" s="42"/>
      <c r="P23" s="42"/>
      <c r="Q23" s="903"/>
      <c r="R23" s="42"/>
      <c r="S23" s="42"/>
      <c r="T23" s="42"/>
      <c r="U23" s="42"/>
      <c r="V23" s="903"/>
      <c r="W23" s="42">
        <f>+$F23*W48</f>
        <v>868.43030746480031</v>
      </c>
      <c r="X23" s="42">
        <f>+$F23*X48</f>
        <v>0</v>
      </c>
      <c r="Y23" s="42">
        <f>+$F23*Y48</f>
        <v>0</v>
      </c>
      <c r="Z23" s="903">
        <f>+$F23*Z48</f>
        <v>0</v>
      </c>
    </row>
    <row r="24" spans="2:26">
      <c r="B24" s="604">
        <v>6</v>
      </c>
      <c r="C24" s="290" t="s">
        <v>4322</v>
      </c>
      <c r="D24" s="96" t="s">
        <v>4664</v>
      </c>
      <c r="E24" s="290" t="s">
        <v>4120</v>
      </c>
      <c r="F24" s="864">
        <f>(+SUMIFS('Labor Input'!E:E,'Labor Input'!G:G,'Distribution O&amp;M'!C24)/1000)</f>
        <v>901.53233442349972</v>
      </c>
      <c r="G24" s="903"/>
      <c r="H24" s="42"/>
      <c r="I24" s="42"/>
      <c r="J24" s="42"/>
      <c r="K24" s="42"/>
      <c r="L24" s="903"/>
      <c r="M24" s="42">
        <f>+$F24*M51</f>
        <v>0.3730346240342306</v>
      </c>
      <c r="N24" s="42">
        <f>+$F24*N51</f>
        <v>728.45186195001418</v>
      </c>
      <c r="O24" s="42">
        <f>+$F24*O51</f>
        <v>0</v>
      </c>
      <c r="P24" s="42">
        <f>+$F24*P51</f>
        <v>55.541763675757586</v>
      </c>
      <c r="Q24" s="903">
        <f>+$F24*Q51</f>
        <v>0</v>
      </c>
      <c r="R24" s="42"/>
      <c r="S24" s="42"/>
      <c r="T24" s="42"/>
      <c r="U24" s="42"/>
      <c r="V24" s="903"/>
      <c r="W24" s="42">
        <f>+$F24*W51</f>
        <v>117.16567417369386</v>
      </c>
      <c r="X24" s="42">
        <f>+$F24*X51</f>
        <v>0</v>
      </c>
      <c r="Y24" s="42">
        <f>+$F24*Y51</f>
        <v>0</v>
      </c>
      <c r="Z24" s="903">
        <f>+$F24*Z51</f>
        <v>0</v>
      </c>
    </row>
    <row r="25" spans="2:26">
      <c r="B25" s="604">
        <v>7</v>
      </c>
      <c r="C25" s="290" t="s">
        <v>4324</v>
      </c>
      <c r="D25" s="96" t="s">
        <v>4665</v>
      </c>
      <c r="E25" s="290" t="s">
        <v>4326</v>
      </c>
      <c r="F25" s="864">
        <f>(+SUMIFS('Labor Input'!E:E,'Labor Input'!G:G,'Distribution O&amp;M'!C25)/1000)</f>
        <v>1857.5328726781001</v>
      </c>
      <c r="G25" s="903"/>
      <c r="H25" s="42"/>
      <c r="I25" s="42"/>
      <c r="J25" s="42"/>
      <c r="K25" s="42"/>
      <c r="L25" s="903"/>
      <c r="M25" s="42"/>
      <c r="N25" s="42"/>
      <c r="O25" s="42"/>
      <c r="P25" s="42"/>
      <c r="Q25" s="903"/>
      <c r="R25" s="42"/>
      <c r="S25" s="42"/>
      <c r="T25" s="42"/>
      <c r="U25" s="42"/>
      <c r="V25" s="903"/>
      <c r="W25" s="42"/>
      <c r="X25" s="42">
        <f>+F25</f>
        <v>1857.5328726781001</v>
      </c>
      <c r="Y25" s="42"/>
      <c r="Z25" s="903"/>
    </row>
    <row r="26" spans="2:26">
      <c r="B26" s="604">
        <v>8</v>
      </c>
      <c r="C26" s="290" t="s">
        <v>4327</v>
      </c>
      <c r="D26" s="96" t="s">
        <v>4666</v>
      </c>
      <c r="E26" s="290" t="s">
        <v>4326</v>
      </c>
      <c r="F26" s="864">
        <f>(+SUMIFS('Labor Input'!E:E,'Labor Input'!G:G,'Distribution O&amp;M'!C26)/1000)</f>
        <v>5603.8821853551999</v>
      </c>
      <c r="G26" s="903"/>
      <c r="H26" s="42"/>
      <c r="I26" s="42"/>
      <c r="J26" s="42"/>
      <c r="K26" s="42"/>
      <c r="L26" s="903"/>
      <c r="M26" s="42"/>
      <c r="N26" s="42"/>
      <c r="O26" s="42"/>
      <c r="P26" s="42"/>
      <c r="Q26" s="903"/>
      <c r="R26" s="42"/>
      <c r="S26" s="42"/>
      <c r="T26" s="42"/>
      <c r="U26" s="42"/>
      <c r="V26" s="903"/>
      <c r="W26" s="42"/>
      <c r="X26" s="42"/>
      <c r="Y26" s="42">
        <f>+F26</f>
        <v>5603.8821853551999</v>
      </c>
      <c r="Z26" s="903"/>
    </row>
    <row r="27" spans="2:26">
      <c r="B27" s="604">
        <v>9</v>
      </c>
      <c r="C27" s="290" t="s">
        <v>4329</v>
      </c>
      <c r="D27" s="96" t="s">
        <v>4667</v>
      </c>
      <c r="E27" s="290" t="s">
        <v>4668</v>
      </c>
      <c r="F27" s="864">
        <f>(+SUMIFS('Labor Input'!E:E,'Labor Input'!G:G,'Distribution O&amp;M'!C27)/1000)</f>
        <v>0</v>
      </c>
      <c r="G27" s="903"/>
      <c r="H27" s="42"/>
      <c r="I27" s="42"/>
      <c r="J27" s="42"/>
      <c r="K27" s="42"/>
      <c r="L27" s="903"/>
      <c r="M27" s="42"/>
      <c r="N27" s="42"/>
      <c r="O27" s="42"/>
      <c r="P27" s="42"/>
      <c r="Q27" s="903"/>
      <c r="R27" s="42"/>
      <c r="S27" s="42"/>
      <c r="T27" s="42"/>
      <c r="U27" s="42"/>
      <c r="V27" s="903"/>
      <c r="W27" s="42">
        <f>+F27</f>
        <v>0</v>
      </c>
      <c r="X27" s="42"/>
      <c r="Y27" s="42"/>
      <c r="Z27" s="903"/>
    </row>
    <row r="28" spans="2:26">
      <c r="B28" s="604">
        <v>10</v>
      </c>
      <c r="C28" s="290" t="s">
        <v>4331</v>
      </c>
      <c r="D28" s="96" t="s">
        <v>4669</v>
      </c>
      <c r="E28" s="290" t="s">
        <v>4316</v>
      </c>
      <c r="F28" s="864">
        <f>(+SUMIFS('Labor Input'!E:E,'Labor Input'!G:G,'Distribution O&amp;M'!C28)/1000)-(C9/1000)</f>
        <v>12532.888789570903</v>
      </c>
      <c r="G28" s="903">
        <f>+F28*G64</f>
        <v>1207.2823585560755</v>
      </c>
      <c r="H28" s="42">
        <f t="shared" ref="H28:Z28" si="2">+$F28*H64</f>
        <v>292.90159706920286</v>
      </c>
      <c r="I28" s="42">
        <f t="shared" si="2"/>
        <v>4421.3433346000911</v>
      </c>
      <c r="J28" s="42">
        <f t="shared" si="2"/>
        <v>0</v>
      </c>
      <c r="K28" s="42">
        <f t="shared" si="2"/>
        <v>1029.4172701635373</v>
      </c>
      <c r="L28" s="903">
        <f t="shared" si="2"/>
        <v>0</v>
      </c>
      <c r="M28" s="42">
        <f t="shared" si="2"/>
        <v>0.73339620631383506</v>
      </c>
      <c r="N28" s="42">
        <f t="shared" si="2"/>
        <v>1432.1561528491422</v>
      </c>
      <c r="O28" s="42">
        <f t="shared" si="2"/>
        <v>0</v>
      </c>
      <c r="P28" s="42">
        <f t="shared" si="2"/>
        <v>109.19661647290499</v>
      </c>
      <c r="Q28" s="903">
        <f t="shared" si="2"/>
        <v>0</v>
      </c>
      <c r="R28" s="42">
        <f t="shared" si="2"/>
        <v>0</v>
      </c>
      <c r="S28" s="42">
        <f t="shared" si="2"/>
        <v>11.571610370418968</v>
      </c>
      <c r="T28" s="42">
        <f t="shared" si="2"/>
        <v>0</v>
      </c>
      <c r="U28" s="42">
        <f t="shared" si="2"/>
        <v>58.787053594897024</v>
      </c>
      <c r="V28" s="903">
        <f t="shared" si="2"/>
        <v>0</v>
      </c>
      <c r="W28" s="42">
        <f t="shared" si="2"/>
        <v>1088.3170621376173</v>
      </c>
      <c r="X28" s="42">
        <f t="shared" si="2"/>
        <v>798.19442684075364</v>
      </c>
      <c r="Y28" s="42">
        <f t="shared" si="2"/>
        <v>2082.9879107099478</v>
      </c>
      <c r="Z28" s="903">
        <f t="shared" si="2"/>
        <v>0</v>
      </c>
    </row>
    <row r="29" spans="2:26">
      <c r="B29" s="604">
        <v>11</v>
      </c>
      <c r="C29" s="290" t="s">
        <v>4333</v>
      </c>
      <c r="D29" s="96" t="s">
        <v>4508</v>
      </c>
      <c r="E29" s="290" t="s">
        <v>4334</v>
      </c>
      <c r="F29" s="865">
        <f>(+SUMIFS('Labor Input'!E:E,'Labor Input'!G:G,'Distribution O&amp;M'!C29)/1000)</f>
        <v>377.00400000000002</v>
      </c>
      <c r="G29" s="929">
        <f>+F29</f>
        <v>377.00400000000002</v>
      </c>
      <c r="H29" s="930"/>
      <c r="I29" s="930"/>
      <c r="J29" s="930"/>
      <c r="K29" s="930"/>
      <c r="L29" s="929"/>
      <c r="M29" s="930"/>
      <c r="N29" s="930"/>
      <c r="O29" s="930"/>
      <c r="P29" s="930"/>
      <c r="Q29" s="929"/>
      <c r="R29" s="930"/>
      <c r="S29" s="930"/>
      <c r="T29" s="930"/>
      <c r="U29" s="930"/>
      <c r="V29" s="929"/>
      <c r="W29" s="930"/>
      <c r="X29" s="930"/>
      <c r="Y29" s="930"/>
      <c r="Z29" s="929"/>
    </row>
    <row r="30" spans="2:26">
      <c r="B30" s="604">
        <v>12</v>
      </c>
      <c r="C30" s="290"/>
      <c r="D30" s="667" t="s">
        <v>4670</v>
      </c>
      <c r="E30" s="290"/>
      <c r="F30" s="2964">
        <f t="shared" ref="F30:Z30" si="3">+SUM(F20:F29)</f>
        <v>31742.529233392102</v>
      </c>
      <c r="G30" s="2964">
        <f t="shared" si="3"/>
        <v>2885.9389085973935</v>
      </c>
      <c r="H30" s="2819">
        <f t="shared" si="3"/>
        <v>653.66541412267043</v>
      </c>
      <c r="I30" s="2819">
        <f t="shared" si="3"/>
        <v>9867.0654264375626</v>
      </c>
      <c r="J30" s="2819">
        <f t="shared" si="3"/>
        <v>0</v>
      </c>
      <c r="K30" s="2819">
        <f t="shared" si="3"/>
        <v>2297.3396968111956</v>
      </c>
      <c r="L30" s="2964">
        <f t="shared" si="3"/>
        <v>0</v>
      </c>
      <c r="M30" s="2819">
        <f t="shared" si="3"/>
        <v>1.2674061866724642</v>
      </c>
      <c r="N30" s="2819">
        <f t="shared" si="3"/>
        <v>2474.9563098030399</v>
      </c>
      <c r="O30" s="2819">
        <f t="shared" si="3"/>
        <v>0</v>
      </c>
      <c r="P30" s="2819">
        <f t="shared" si="3"/>
        <v>188.70627648466109</v>
      </c>
      <c r="Q30" s="2964">
        <f t="shared" si="3"/>
        <v>0</v>
      </c>
      <c r="R30" s="2819">
        <f t="shared" si="3"/>
        <v>0</v>
      </c>
      <c r="S30" s="2819">
        <f t="shared" si="3"/>
        <v>14.111498205383024</v>
      </c>
      <c r="T30" s="2819">
        <f t="shared" si="3"/>
        <v>0</v>
      </c>
      <c r="U30" s="2819">
        <f t="shared" si="3"/>
        <v>71.690402178146357</v>
      </c>
      <c r="V30" s="2964">
        <f t="shared" si="3"/>
        <v>0</v>
      </c>
      <c r="W30" s="2819">
        <f t="shared" si="3"/>
        <v>2312.7910545474915</v>
      </c>
      <c r="X30" s="2819">
        <f t="shared" si="3"/>
        <v>2830.9254136768864</v>
      </c>
      <c r="Y30" s="2819">
        <f t="shared" si="3"/>
        <v>8144.0714263409991</v>
      </c>
      <c r="Z30" s="2964">
        <f t="shared" si="3"/>
        <v>0</v>
      </c>
    </row>
    <row r="31" spans="2:26">
      <c r="B31" s="604">
        <v>13</v>
      </c>
      <c r="C31" s="290"/>
      <c r="D31" s="96"/>
      <c r="E31" s="290"/>
      <c r="F31" s="2816"/>
      <c r="G31" s="2530"/>
      <c r="H31" s="96"/>
      <c r="I31" s="96"/>
      <c r="J31" s="96"/>
      <c r="K31" s="96"/>
      <c r="L31" s="2530"/>
      <c r="M31" s="42"/>
      <c r="N31" s="96"/>
      <c r="O31" s="96"/>
      <c r="P31" s="96"/>
      <c r="Q31" s="2530"/>
      <c r="R31" s="96"/>
      <c r="S31" s="96"/>
      <c r="T31" s="96"/>
      <c r="U31" s="96"/>
      <c r="V31" s="2530"/>
      <c r="W31" s="96"/>
      <c r="X31" s="96"/>
      <c r="Y31" s="96"/>
      <c r="Z31" s="2530"/>
    </row>
    <row r="32" spans="2:26">
      <c r="B32" s="604">
        <v>14</v>
      </c>
      <c r="C32" s="290"/>
      <c r="D32" s="361" t="s">
        <v>4671</v>
      </c>
      <c r="E32" s="290"/>
      <c r="F32" s="2530"/>
      <c r="G32" s="2530"/>
      <c r="H32" s="96"/>
      <c r="I32" s="96"/>
      <c r="J32" s="96"/>
      <c r="K32" s="96"/>
      <c r="L32" s="2530"/>
      <c r="M32" s="42"/>
      <c r="N32" s="96"/>
      <c r="O32" s="96"/>
      <c r="P32" s="96"/>
      <c r="Q32" s="2530"/>
      <c r="R32" s="96"/>
      <c r="S32" s="96"/>
      <c r="T32" s="96"/>
      <c r="U32" s="96"/>
      <c r="V32" s="2530"/>
      <c r="W32" s="96"/>
      <c r="X32" s="96"/>
      <c r="Y32" s="96"/>
      <c r="Z32" s="2530"/>
    </row>
    <row r="33" spans="2:26">
      <c r="B33" s="604">
        <v>15</v>
      </c>
      <c r="C33" s="290" t="s">
        <v>4336</v>
      </c>
      <c r="D33" s="96" t="s">
        <v>4651</v>
      </c>
      <c r="E33" s="290" t="s">
        <v>4337</v>
      </c>
      <c r="F33" s="864">
        <f>(+SUMIFS('Labor Input'!E:E,'Labor Input'!G:G,'Distribution O&amp;M'!C33)/1000)</f>
        <v>0</v>
      </c>
      <c r="G33" s="903">
        <f>+F33*G58</f>
        <v>0</v>
      </c>
      <c r="H33" s="42">
        <f t="shared" ref="H33:Q33" si="4">+$F33*H58</f>
        <v>0</v>
      </c>
      <c r="I33" s="42">
        <f t="shared" si="4"/>
        <v>0</v>
      </c>
      <c r="J33" s="42">
        <f t="shared" si="4"/>
        <v>0</v>
      </c>
      <c r="K33" s="42">
        <f t="shared" si="4"/>
        <v>0</v>
      </c>
      <c r="L33" s="903">
        <f t="shared" si="4"/>
        <v>0</v>
      </c>
      <c r="M33" s="42">
        <f t="shared" si="4"/>
        <v>0</v>
      </c>
      <c r="N33" s="42">
        <f t="shared" si="4"/>
        <v>0</v>
      </c>
      <c r="O33" s="42">
        <f t="shared" si="4"/>
        <v>0</v>
      </c>
      <c r="P33" s="42">
        <f t="shared" si="4"/>
        <v>0</v>
      </c>
      <c r="Q33" s="903">
        <f t="shared" si="4"/>
        <v>0</v>
      </c>
      <c r="R33" s="42">
        <f>+F33*R58</f>
        <v>0</v>
      </c>
      <c r="S33" s="42">
        <f>+G33*S58</f>
        <v>0</v>
      </c>
      <c r="T33" s="42">
        <f>+H33*T58</f>
        <v>0</v>
      </c>
      <c r="U33" s="42">
        <f>+I33*U58</f>
        <v>0</v>
      </c>
      <c r="V33" s="903">
        <f>+J33*V58</f>
        <v>0</v>
      </c>
      <c r="W33" s="42">
        <f>+$F33*W58</f>
        <v>0</v>
      </c>
      <c r="X33" s="42">
        <f>+$F33*X58</f>
        <v>0</v>
      </c>
      <c r="Y33" s="42">
        <f>+$F33*Y58</f>
        <v>0</v>
      </c>
      <c r="Z33" s="903">
        <f>+$F33*Z58</f>
        <v>0</v>
      </c>
    </row>
    <row r="34" spans="2:26">
      <c r="B34" s="604">
        <v>16</v>
      </c>
      <c r="C34" s="290" t="s">
        <v>4338</v>
      </c>
      <c r="D34" s="96" t="s">
        <v>4510</v>
      </c>
      <c r="E34" s="290" t="s">
        <v>4334</v>
      </c>
      <c r="F34" s="864">
        <f>(+SUMIFS('Labor Input'!E:E,'Labor Input'!G:G,'Distribution O&amp;M'!C34)/1000)</f>
        <v>-174.2198142629</v>
      </c>
      <c r="G34" s="2816">
        <f>+F34</f>
        <v>-174.2198142629</v>
      </c>
      <c r="H34" s="96"/>
      <c r="I34" s="96"/>
      <c r="J34" s="96"/>
      <c r="K34" s="96"/>
      <c r="L34" s="2530"/>
      <c r="M34" s="96"/>
      <c r="N34" s="96"/>
      <c r="O34" s="96"/>
      <c r="P34" s="96"/>
      <c r="Q34" s="2530"/>
      <c r="R34" s="96"/>
      <c r="S34" s="96"/>
      <c r="T34" s="96"/>
      <c r="U34" s="96"/>
      <c r="V34" s="2530"/>
      <c r="W34" s="96"/>
      <c r="X34" s="96"/>
      <c r="Y34" s="96"/>
      <c r="Z34" s="2530"/>
    </row>
    <row r="35" spans="2:26">
      <c r="B35" s="604">
        <v>17</v>
      </c>
      <c r="C35" s="290" t="s">
        <v>4340</v>
      </c>
      <c r="D35" s="96" t="s">
        <v>4652</v>
      </c>
      <c r="E35" s="290" t="s">
        <v>4123</v>
      </c>
      <c r="F35" s="864">
        <f>(+SUMIFS('Labor Input'!E:E,'Labor Input'!G:G,'Distribution O&amp;M'!C35)/1000)</f>
        <v>2508.8491595826995</v>
      </c>
      <c r="G35" s="2816">
        <f>+F35-Z35</f>
        <v>2508.8491595826995</v>
      </c>
      <c r="H35" s="96"/>
      <c r="I35" s="96"/>
      <c r="J35" s="96"/>
      <c r="K35" s="96"/>
      <c r="L35" s="2530"/>
      <c r="M35" s="96"/>
      <c r="N35" s="96"/>
      <c r="O35" s="96"/>
      <c r="P35" s="96"/>
      <c r="Q35" s="2530"/>
      <c r="R35" s="96"/>
      <c r="S35" s="96"/>
      <c r="T35" s="96"/>
      <c r="U35" s="96"/>
      <c r="V35" s="2530"/>
      <c r="W35" s="96"/>
      <c r="X35" s="96"/>
      <c r="Y35" s="96"/>
      <c r="Z35" s="2530">
        <f>+F35*Z48</f>
        <v>0</v>
      </c>
    </row>
    <row r="36" spans="2:26">
      <c r="B36" s="604">
        <v>18</v>
      </c>
      <c r="C36" s="290" t="s">
        <v>4342</v>
      </c>
      <c r="D36" s="96" t="s">
        <v>4648</v>
      </c>
      <c r="E36" s="290" t="s">
        <v>4109</v>
      </c>
      <c r="F36" s="864">
        <f>(+SUMIFS('Labor Input'!E:E,'Labor Input'!G:G,'Distribution O&amp;M'!C36)/1000)-(C5/1000)</f>
        <v>13814.183903738296</v>
      </c>
      <c r="G36" s="2816"/>
      <c r="H36" s="2815">
        <f>+$F36*H48</f>
        <v>612.90886184866349</v>
      </c>
      <c r="I36" s="2815">
        <f>+$F36*I48</f>
        <v>9251.8461427564762</v>
      </c>
      <c r="J36" s="2815">
        <f>+$F36*J48</f>
        <v>0</v>
      </c>
      <c r="K36" s="2815">
        <f>+$F36*K48</f>
        <v>2154.0987612785939</v>
      </c>
      <c r="L36" s="2816">
        <f>+$F36*L48</f>
        <v>0</v>
      </c>
      <c r="M36" s="2815"/>
      <c r="N36" s="2815"/>
      <c r="O36" s="2815"/>
      <c r="P36" s="2815"/>
      <c r="Q36" s="2816"/>
      <c r="R36" s="2815"/>
      <c r="S36" s="2815"/>
      <c r="T36" s="2815"/>
      <c r="U36" s="2815"/>
      <c r="V36" s="2816"/>
      <c r="W36" s="2815">
        <f>+F36*W48</f>
        <v>1795.3301378545627</v>
      </c>
      <c r="X36" s="2815"/>
      <c r="Y36" s="2815"/>
      <c r="Z36" s="2530">
        <f>+F36*Z48</f>
        <v>0</v>
      </c>
    </row>
    <row r="37" spans="2:26">
      <c r="B37" s="604">
        <v>19</v>
      </c>
      <c r="C37" s="290" t="s">
        <v>4344</v>
      </c>
      <c r="D37" s="96" t="s">
        <v>4649</v>
      </c>
      <c r="E37" s="290" t="s">
        <v>4120</v>
      </c>
      <c r="F37" s="864">
        <f>(+SUMIFS('Labor Input'!E:E,'Labor Input'!G:G,'Distribution O&amp;M'!C37)/1000)-(C6/1000)</f>
        <v>4601.4209823291003</v>
      </c>
      <c r="G37" s="2530"/>
      <c r="H37" s="96"/>
      <c r="I37" s="96"/>
      <c r="J37" s="96"/>
      <c r="K37" s="96"/>
      <c r="L37" s="2530"/>
      <c r="M37" s="2815">
        <f>+$F37*M51</f>
        <v>1.9039686993190259</v>
      </c>
      <c r="N37" s="2815">
        <f>+$F37*N51</f>
        <v>3718.0182609167705</v>
      </c>
      <c r="O37" s="2815">
        <f>+$F37*O51</f>
        <v>0</v>
      </c>
      <c r="P37" s="2815">
        <f>+$F37*P51</f>
        <v>283.48515856242085</v>
      </c>
      <c r="Q37" s="2816">
        <f>+$F37*Q51</f>
        <v>0</v>
      </c>
      <c r="R37" s="96"/>
      <c r="S37" s="96"/>
      <c r="T37" s="96"/>
      <c r="U37" s="96"/>
      <c r="V37" s="2530"/>
      <c r="W37" s="2815">
        <f>+F37*W51</f>
        <v>598.01359415059108</v>
      </c>
      <c r="X37" s="96"/>
      <c r="Y37" s="96"/>
      <c r="Z37" s="2530"/>
    </row>
    <row r="38" spans="2:26">
      <c r="B38" s="604">
        <v>20</v>
      </c>
      <c r="C38" s="290" t="s">
        <v>4346</v>
      </c>
      <c r="D38" s="96" t="s">
        <v>4672</v>
      </c>
      <c r="E38" s="290" t="s">
        <v>4326</v>
      </c>
      <c r="F38" s="864">
        <f>(+SUMIFS('Labor Input'!E:E,'Labor Input'!G:G,'Distribution O&amp;M'!C38)/1000)</f>
        <v>218.4452418713</v>
      </c>
      <c r="G38" s="2530"/>
      <c r="H38" s="96"/>
      <c r="I38" s="96"/>
      <c r="J38" s="96"/>
      <c r="K38" s="96"/>
      <c r="L38" s="2530"/>
      <c r="M38" s="96"/>
      <c r="N38" s="96"/>
      <c r="O38" s="96"/>
      <c r="P38" s="96"/>
      <c r="Q38" s="2530"/>
      <c r="R38" s="2815">
        <f>+$F38*(Distribution!$M40/Distribution!$M$45)</f>
        <v>0</v>
      </c>
      <c r="S38" s="2815">
        <f>+$F38*(Distribution!$M41/Distribution!$M$45)</f>
        <v>35.926822423073602</v>
      </c>
      <c r="T38" s="2815">
        <f>+$F38*(Distribution!$M42/Distribution!$M$45)</f>
        <v>0</v>
      </c>
      <c r="U38" s="2815">
        <f>+$F38*(Distribution!$M43/Distribution!$M$45)</f>
        <v>182.51841944822641</v>
      </c>
      <c r="V38" s="2816">
        <f>+$F38*(Distribution!$M44/Distribution!$M$45)</f>
        <v>0</v>
      </c>
      <c r="W38" s="2815"/>
      <c r="X38" s="96"/>
      <c r="Y38" s="96"/>
      <c r="Z38" s="2530"/>
    </row>
    <row r="39" spans="2:26">
      <c r="B39" s="604">
        <v>21</v>
      </c>
      <c r="C39" s="290" t="s">
        <v>4348</v>
      </c>
      <c r="D39" s="96" t="s">
        <v>4673</v>
      </c>
      <c r="E39" s="290" t="s">
        <v>4326</v>
      </c>
      <c r="F39" s="864">
        <f>(+SUMIFS('Labor Input'!E:E,'Labor Input'!G:G,'Distribution O&amp;M'!C39)/1000)</f>
        <v>620.65197059160005</v>
      </c>
      <c r="G39" s="2530"/>
      <c r="H39" s="96"/>
      <c r="I39" s="96"/>
      <c r="J39" s="96"/>
      <c r="K39" s="96"/>
      <c r="L39" s="2530"/>
      <c r="M39" s="96"/>
      <c r="N39" s="96"/>
      <c r="O39" s="96"/>
      <c r="P39" s="96"/>
      <c r="Q39" s="2530"/>
      <c r="R39" s="96"/>
      <c r="S39" s="96"/>
      <c r="T39" s="96"/>
      <c r="U39" s="96"/>
      <c r="V39" s="2530"/>
      <c r="W39" s="96"/>
      <c r="X39" s="630">
        <f>+F39</f>
        <v>620.65197059160005</v>
      </c>
      <c r="Y39" s="96"/>
      <c r="Z39" s="2530"/>
    </row>
    <row r="40" spans="2:26">
      <c r="B40" s="604">
        <v>22</v>
      </c>
      <c r="C40" s="290" t="s">
        <v>4350</v>
      </c>
      <c r="D40" s="96" t="s">
        <v>4674</v>
      </c>
      <c r="E40" s="290" t="s">
        <v>4326</v>
      </c>
      <c r="F40" s="864">
        <f>(+SUMIFS('Labor Input'!E:E,'Labor Input'!G:G,'Distribution O&amp;M'!C40)/1000)</f>
        <v>863.25025187149981</v>
      </c>
      <c r="G40" s="2816"/>
      <c r="H40" s="2815"/>
      <c r="I40" s="2815"/>
      <c r="J40" s="2815"/>
      <c r="K40" s="2815"/>
      <c r="L40" s="2816"/>
      <c r="M40" s="2815"/>
      <c r="N40" s="2815"/>
      <c r="O40" s="2815"/>
      <c r="P40" s="2815"/>
      <c r="Q40" s="2816"/>
      <c r="R40" s="2815"/>
      <c r="S40" s="2815"/>
      <c r="T40" s="2815"/>
      <c r="U40" s="2815"/>
      <c r="V40" s="2816"/>
      <c r="W40" s="2815"/>
      <c r="X40" s="2815"/>
      <c r="Y40" s="2815">
        <f>+F40</f>
        <v>863.25025187149981</v>
      </c>
      <c r="Z40" s="2816"/>
    </row>
    <row r="41" spans="2:26">
      <c r="B41" s="604">
        <v>23</v>
      </c>
      <c r="C41" s="290" t="s">
        <v>4352</v>
      </c>
      <c r="D41" s="96" t="s">
        <v>4675</v>
      </c>
      <c r="E41" s="290" t="s">
        <v>4337</v>
      </c>
      <c r="F41" s="865">
        <f>(+SUMIFS('Labor Input'!E:E,'Labor Input'!G:G,'Distribution O&amp;M'!C41)/1000)</f>
        <v>0</v>
      </c>
      <c r="G41" s="911">
        <f>+F41*G58</f>
        <v>0</v>
      </c>
      <c r="H41" s="439">
        <f t="shared" ref="H41:N41" si="5">+$F41*H58</f>
        <v>0</v>
      </c>
      <c r="I41" s="439">
        <f t="shared" si="5"/>
        <v>0</v>
      </c>
      <c r="J41" s="439">
        <f t="shared" si="5"/>
        <v>0</v>
      </c>
      <c r="K41" s="439">
        <f t="shared" si="5"/>
        <v>0</v>
      </c>
      <c r="L41" s="911">
        <f t="shared" si="5"/>
        <v>0</v>
      </c>
      <c r="M41" s="439">
        <f t="shared" si="5"/>
        <v>0</v>
      </c>
      <c r="N41" s="439">
        <f t="shared" si="5"/>
        <v>0</v>
      </c>
      <c r="O41" s="439"/>
      <c r="P41" s="439">
        <f>+$F41*P58</f>
        <v>0</v>
      </c>
      <c r="Q41" s="911"/>
      <c r="R41" s="439">
        <f>+F41*R58</f>
        <v>0</v>
      </c>
      <c r="S41" s="439">
        <f>+G41*S58</f>
        <v>0</v>
      </c>
      <c r="T41" s="439">
        <f>+H41*T58</f>
        <v>0</v>
      </c>
      <c r="U41" s="439">
        <f>+I41*U58</f>
        <v>0</v>
      </c>
      <c r="V41" s="911">
        <f>+J41*V58</f>
        <v>0</v>
      </c>
      <c r="W41" s="439">
        <f>+$F41*W58</f>
        <v>0</v>
      </c>
      <c r="X41" s="439">
        <f>+$F41*X58</f>
        <v>0</v>
      </c>
      <c r="Y41" s="439">
        <f>+$F41*Y58</f>
        <v>0</v>
      </c>
      <c r="Z41" s="911">
        <f>+$F41*Z58</f>
        <v>0</v>
      </c>
    </row>
    <row r="42" spans="2:26">
      <c r="B42" s="604">
        <v>24</v>
      </c>
      <c r="C42" s="96"/>
      <c r="D42" s="667" t="s">
        <v>4676</v>
      </c>
      <c r="E42" s="96"/>
      <c r="F42" s="2964">
        <f>+SUM(F33:F41)</f>
        <v>22452.581695721597</v>
      </c>
      <c r="G42" s="2964">
        <f>+SUM(G33:G41)</f>
        <v>2334.6293453197995</v>
      </c>
      <c r="H42" s="2819">
        <f t="shared" ref="H42:Z42" si="6">+SUM(H33:H41)</f>
        <v>612.90886184866349</v>
      </c>
      <c r="I42" s="2819">
        <f t="shared" si="6"/>
        <v>9251.8461427564762</v>
      </c>
      <c r="J42" s="2819">
        <f t="shared" si="6"/>
        <v>0</v>
      </c>
      <c r="K42" s="2819">
        <f t="shared" si="6"/>
        <v>2154.0987612785939</v>
      </c>
      <c r="L42" s="2964">
        <f t="shared" si="6"/>
        <v>0</v>
      </c>
      <c r="M42" s="2819">
        <f t="shared" si="6"/>
        <v>1.9039686993190259</v>
      </c>
      <c r="N42" s="2819">
        <f t="shared" si="6"/>
        <v>3718.0182609167705</v>
      </c>
      <c r="O42" s="2819">
        <f t="shared" si="6"/>
        <v>0</v>
      </c>
      <c r="P42" s="2819">
        <f t="shared" si="6"/>
        <v>283.48515856242085</v>
      </c>
      <c r="Q42" s="2964">
        <f t="shared" si="6"/>
        <v>0</v>
      </c>
      <c r="R42" s="2819">
        <f t="shared" si="6"/>
        <v>0</v>
      </c>
      <c r="S42" s="2819">
        <f t="shared" si="6"/>
        <v>35.926822423073602</v>
      </c>
      <c r="T42" s="2819">
        <f t="shared" si="6"/>
        <v>0</v>
      </c>
      <c r="U42" s="2819">
        <f t="shared" si="6"/>
        <v>182.51841944822641</v>
      </c>
      <c r="V42" s="2964">
        <f t="shared" si="6"/>
        <v>0</v>
      </c>
      <c r="W42" s="2819">
        <f t="shared" si="6"/>
        <v>2393.3437320051539</v>
      </c>
      <c r="X42" s="2819">
        <f t="shared" si="6"/>
        <v>620.65197059160005</v>
      </c>
      <c r="Y42" s="2819">
        <f t="shared" si="6"/>
        <v>863.25025187149981</v>
      </c>
      <c r="Z42" s="2964">
        <f t="shared" si="6"/>
        <v>0</v>
      </c>
    </row>
    <row r="43" spans="2:26">
      <c r="B43" s="604">
        <v>25</v>
      </c>
      <c r="C43" s="96"/>
      <c r="D43" s="96"/>
      <c r="E43" s="96"/>
      <c r="F43" s="2816"/>
      <c r="G43" s="2530"/>
      <c r="H43" s="96"/>
      <c r="I43" s="96"/>
      <c r="J43" s="96"/>
      <c r="K43" s="96"/>
      <c r="L43" s="2530"/>
      <c r="M43" s="42"/>
      <c r="N43" s="96"/>
      <c r="O43" s="96"/>
      <c r="P43" s="96"/>
      <c r="Q43" s="2530"/>
      <c r="R43" s="96"/>
      <c r="S43" s="96"/>
      <c r="T43" s="96"/>
      <c r="U43" s="96"/>
      <c r="V43" s="2530"/>
      <c r="W43" s="96"/>
      <c r="X43" s="96"/>
      <c r="Y43" s="96"/>
      <c r="Z43" s="2530"/>
    </row>
    <row r="44" spans="2:26" ht="15" thickBot="1">
      <c r="B44" s="604">
        <v>26</v>
      </c>
      <c r="C44" s="62" t="s">
        <v>4677</v>
      </c>
      <c r="D44" s="96"/>
      <c r="E44" s="96"/>
      <c r="F44" s="2965">
        <f t="shared" ref="F44:N44" si="7">+F30+F42</f>
        <v>54195.110929113696</v>
      </c>
      <c r="G44" s="2965">
        <f t="shared" si="7"/>
        <v>5220.568253917193</v>
      </c>
      <c r="H44" s="2966">
        <f t="shared" si="7"/>
        <v>1266.5742759713339</v>
      </c>
      <c r="I44" s="2966">
        <f t="shared" si="7"/>
        <v>19118.911569194039</v>
      </c>
      <c r="J44" s="2966">
        <f t="shared" si="7"/>
        <v>0</v>
      </c>
      <c r="K44" s="2966">
        <f t="shared" si="7"/>
        <v>4451.4384580897895</v>
      </c>
      <c r="L44" s="2965">
        <f t="shared" si="7"/>
        <v>0</v>
      </c>
      <c r="M44" s="501">
        <f t="shared" si="7"/>
        <v>3.1713748859914901</v>
      </c>
      <c r="N44" s="2966">
        <f t="shared" si="7"/>
        <v>6192.9745707198108</v>
      </c>
      <c r="O44" s="2966">
        <f t="shared" ref="O44:Z44" si="8">+O30+O42</f>
        <v>0</v>
      </c>
      <c r="P44" s="2966">
        <f t="shared" si="8"/>
        <v>472.19143504708194</v>
      </c>
      <c r="Q44" s="2965">
        <f t="shared" si="8"/>
        <v>0</v>
      </c>
      <c r="R44" s="2966">
        <f t="shared" si="8"/>
        <v>0</v>
      </c>
      <c r="S44" s="2966">
        <f t="shared" si="8"/>
        <v>50.038320628456624</v>
      </c>
      <c r="T44" s="2966">
        <f t="shared" si="8"/>
        <v>0</v>
      </c>
      <c r="U44" s="2966">
        <f t="shared" si="8"/>
        <v>254.20882162637275</v>
      </c>
      <c r="V44" s="2965">
        <f t="shared" si="8"/>
        <v>0</v>
      </c>
      <c r="W44" s="2966">
        <f t="shared" si="8"/>
        <v>4706.1347865526459</v>
      </c>
      <c r="X44" s="2966">
        <f t="shared" si="8"/>
        <v>3451.5773842684866</v>
      </c>
      <c r="Y44" s="2966">
        <f t="shared" si="8"/>
        <v>9007.3216782124982</v>
      </c>
      <c r="Z44" s="2965">
        <f t="shared" si="8"/>
        <v>0</v>
      </c>
    </row>
    <row r="45" spans="2:26" ht="15.6" thickTop="1" thickBot="1">
      <c r="B45" s="604">
        <v>27</v>
      </c>
      <c r="C45" s="2967"/>
      <c r="D45" s="2967"/>
      <c r="E45" s="2967"/>
      <c r="F45" s="2968"/>
      <c r="G45" s="2967"/>
      <c r="H45" s="2967"/>
      <c r="I45" s="2967"/>
      <c r="J45" s="2967"/>
      <c r="K45" s="2967"/>
      <c r="L45" s="2969"/>
      <c r="M45" s="2969"/>
      <c r="N45" s="2969"/>
      <c r="O45" s="2969"/>
      <c r="P45" s="2969"/>
      <c r="Q45" s="2969"/>
      <c r="R45" s="2969"/>
      <c r="S45" s="2969"/>
      <c r="T45" s="2969"/>
      <c r="U45" s="2969"/>
      <c r="V45" s="2967"/>
      <c r="W45" s="2967"/>
      <c r="X45" s="2967"/>
      <c r="Y45" s="2967"/>
      <c r="Z45" s="2970"/>
    </row>
    <row r="46" spans="2:26">
      <c r="B46" s="604">
        <v>28</v>
      </c>
      <c r="C46" s="2799" t="s">
        <v>4356</v>
      </c>
      <c r="D46" s="2971"/>
      <c r="E46" s="2800"/>
      <c r="F46" s="2800"/>
      <c r="G46" s="2801"/>
      <c r="H46" s="2972"/>
      <c r="I46" s="931"/>
      <c r="J46" s="931"/>
      <c r="K46" s="932"/>
      <c r="L46" s="932"/>
      <c r="M46" s="2973"/>
      <c r="N46" s="2973"/>
      <c r="O46" s="2973"/>
      <c r="P46" s="2973"/>
      <c r="Q46" s="2973"/>
      <c r="R46" s="2973"/>
      <c r="S46" s="2973"/>
      <c r="T46" s="2973"/>
      <c r="U46" s="2973"/>
      <c r="V46" s="2973"/>
      <c r="W46" s="2973"/>
      <c r="X46" s="2973"/>
      <c r="Y46" s="2973"/>
      <c r="Z46" s="2352"/>
    </row>
    <row r="47" spans="2:26">
      <c r="B47" s="604">
        <v>29</v>
      </c>
      <c r="C47" s="98" t="s">
        <v>4357</v>
      </c>
      <c r="D47" s="96"/>
      <c r="E47" s="96"/>
      <c r="F47" s="654">
        <f>+SUM(G47:Z47)</f>
        <v>825308.13575929042</v>
      </c>
      <c r="G47" s="96"/>
      <c r="H47" s="940">
        <f>+Distribution!F75</f>
        <v>36617.34009678143</v>
      </c>
      <c r="I47" s="940">
        <f>+Distribution!G75</f>
        <v>552737.96451658872</v>
      </c>
      <c r="J47" s="940">
        <f>+Distribution!H75</f>
        <v>0</v>
      </c>
      <c r="K47" s="940">
        <f>+Distribution!I75</f>
        <v>128693.46790954034</v>
      </c>
      <c r="L47" s="940">
        <f>+Distribution!J75</f>
        <v>0</v>
      </c>
      <c r="M47" s="2974"/>
      <c r="N47" s="2974"/>
      <c r="O47" s="2974"/>
      <c r="P47" s="2974"/>
      <c r="Q47" s="2974"/>
      <c r="R47" s="290"/>
      <c r="S47" s="290"/>
      <c r="T47" s="290"/>
      <c r="U47" s="290"/>
      <c r="V47" s="290"/>
      <c r="W47" s="2975">
        <f>+Distribution!K75</f>
        <v>107259.36323637994</v>
      </c>
      <c r="X47" s="290"/>
      <c r="Y47" s="290"/>
      <c r="Z47" s="2976">
        <f>+Distribution!L75</f>
        <v>0</v>
      </c>
    </row>
    <row r="48" spans="2:26">
      <c r="B48" s="604">
        <v>30</v>
      </c>
      <c r="C48" s="98" t="s">
        <v>4358</v>
      </c>
      <c r="D48" s="290"/>
      <c r="E48" s="60" t="s">
        <v>4109</v>
      </c>
      <c r="F48" s="939">
        <f>+SUM(H48:Z48)</f>
        <v>1</v>
      </c>
      <c r="G48" s="96"/>
      <c r="H48" s="941">
        <f>+H47/$F$47</f>
        <v>4.4368083277275788E-2</v>
      </c>
      <c r="I48" s="941">
        <f>+I47/$F$47</f>
        <v>0.6697352668262081</v>
      </c>
      <c r="J48" s="941">
        <f>+J47/$F$47</f>
        <v>0</v>
      </c>
      <c r="K48" s="941">
        <f>+K47/$F$47</f>
        <v>0.15593384135386146</v>
      </c>
      <c r="L48" s="941">
        <f>+L47/$F$47</f>
        <v>0</v>
      </c>
      <c r="M48" s="2977"/>
      <c r="N48" s="2977"/>
      <c r="O48" s="2977"/>
      <c r="P48" s="2977"/>
      <c r="Q48" s="2977"/>
      <c r="R48" s="2977"/>
      <c r="S48" s="2977"/>
      <c r="T48" s="2977"/>
      <c r="U48" s="2977"/>
      <c r="V48" s="2977"/>
      <c r="W48" s="941">
        <f>+W47/$F$47</f>
        <v>0.12996280854265471</v>
      </c>
      <c r="X48" s="2977"/>
      <c r="Y48" s="2977"/>
      <c r="Z48" s="2978">
        <f>+Z47/F47</f>
        <v>0</v>
      </c>
    </row>
    <row r="49" spans="2:26">
      <c r="B49" s="604">
        <v>31</v>
      </c>
      <c r="C49" s="98"/>
      <c r="D49" s="96"/>
      <c r="E49" s="62"/>
      <c r="F49" s="96"/>
      <c r="G49" s="96"/>
      <c r="H49" s="2884"/>
      <c r="I49" s="2884"/>
      <c r="J49" s="2884"/>
      <c r="K49" s="2884"/>
      <c r="L49" s="2884"/>
      <c r="M49" s="654"/>
      <c r="N49" s="654"/>
      <c r="O49" s="654"/>
      <c r="P49" s="654"/>
      <c r="Q49" s="654"/>
      <c r="R49" s="96"/>
      <c r="S49" s="96"/>
      <c r="T49" s="96"/>
      <c r="U49" s="96"/>
      <c r="V49" s="96"/>
      <c r="W49" s="2884"/>
      <c r="X49" s="2038"/>
      <c r="Y49" s="2038"/>
      <c r="Z49" s="2979"/>
    </row>
    <row r="50" spans="2:26">
      <c r="B50" s="604">
        <v>32</v>
      </c>
      <c r="C50" s="98" t="s">
        <v>4359</v>
      </c>
      <c r="D50" s="96"/>
      <c r="E50" s="62"/>
      <c r="F50" s="654">
        <f>+SUM(G50:Z50)</f>
        <v>932218.26530362002</v>
      </c>
      <c r="G50" s="96"/>
      <c r="H50" s="96"/>
      <c r="I50" s="96"/>
      <c r="J50" s="96"/>
      <c r="K50" s="96"/>
      <c r="L50" s="96"/>
      <c r="M50" s="654">
        <f>+Distribution!F83</f>
        <v>385.73180000000002</v>
      </c>
      <c r="N50" s="654">
        <f>+Distribution!G83</f>
        <v>753246.56163162598</v>
      </c>
      <c r="O50" s="654">
        <f>+Distribution!H83</f>
        <v>0</v>
      </c>
      <c r="P50" s="654">
        <f>+Distribution!I83</f>
        <v>57432.267938374134</v>
      </c>
      <c r="Q50" s="654">
        <f>+Distribution!J83</f>
        <v>0</v>
      </c>
      <c r="R50" s="849"/>
      <c r="S50" s="849"/>
      <c r="T50" s="849"/>
      <c r="U50" s="849"/>
      <c r="V50" s="849"/>
      <c r="W50" s="630">
        <f>+Distribution!K83</f>
        <v>121153.70393362005</v>
      </c>
      <c r="X50" s="96"/>
      <c r="Y50" s="96"/>
      <c r="Z50" s="97"/>
    </row>
    <row r="51" spans="2:26">
      <c r="B51" s="604">
        <v>33</v>
      </c>
      <c r="C51" s="98" t="s">
        <v>4360</v>
      </c>
      <c r="D51" s="290"/>
      <c r="E51" s="60" t="s">
        <v>4120</v>
      </c>
      <c r="F51" s="939">
        <f>+SUM(H51:Z51)</f>
        <v>1.0000000000000002</v>
      </c>
      <c r="G51" s="96"/>
      <c r="H51" s="96"/>
      <c r="I51" s="96"/>
      <c r="J51" s="96"/>
      <c r="K51" s="96"/>
      <c r="L51" s="96"/>
      <c r="M51" s="781">
        <f>+M50/$F$50</f>
        <v>4.1377841902118126E-4</v>
      </c>
      <c r="N51" s="781">
        <f>+N50/$F$50</f>
        <v>0.80801523598799729</v>
      </c>
      <c r="O51" s="781">
        <f>+O50/$F$50</f>
        <v>0</v>
      </c>
      <c r="P51" s="781">
        <f>+P50/$F$50</f>
        <v>6.1608177050327007E-2</v>
      </c>
      <c r="Q51" s="781">
        <f>+Q50/$F$50</f>
        <v>0</v>
      </c>
      <c r="R51" s="2980"/>
      <c r="S51" s="2980"/>
      <c r="T51" s="2980"/>
      <c r="U51" s="2980"/>
      <c r="V51" s="2980"/>
      <c r="W51" s="781">
        <f>+W50/$F$50</f>
        <v>0.12996280854265471</v>
      </c>
      <c r="X51" s="96"/>
      <c r="Y51" s="96"/>
      <c r="Z51" s="97"/>
    </row>
    <row r="52" spans="2:26">
      <c r="B52" s="604">
        <v>34</v>
      </c>
      <c r="C52" s="98"/>
      <c r="D52" s="96"/>
      <c r="E52" s="62"/>
      <c r="F52" s="96"/>
      <c r="G52" s="96"/>
      <c r="H52" s="96"/>
      <c r="I52" s="96"/>
      <c r="J52" s="96"/>
      <c r="K52" s="96"/>
      <c r="L52" s="96"/>
      <c r="M52" s="2884"/>
      <c r="N52" s="2884"/>
      <c r="O52" s="2981"/>
      <c r="P52" s="2884"/>
      <c r="Q52" s="2981"/>
      <c r="R52" s="96"/>
      <c r="S52" s="96"/>
      <c r="T52" s="96"/>
      <c r="U52" s="96"/>
      <c r="V52" s="96"/>
      <c r="W52" s="2884"/>
      <c r="X52" s="96"/>
      <c r="Y52" s="96"/>
      <c r="Z52" s="97"/>
    </row>
    <row r="53" spans="2:26">
      <c r="B53" s="604">
        <v>35</v>
      </c>
      <c r="C53" s="98" t="s">
        <v>4361</v>
      </c>
      <c r="D53" s="96"/>
      <c r="E53" s="62"/>
      <c r="F53" s="654">
        <f>+SUM(G53:Z53)</f>
        <v>368438.48759000003</v>
      </c>
      <c r="G53" s="2982">
        <f>+Distribution!G89</f>
        <v>368438.48759000003</v>
      </c>
      <c r="H53" s="96"/>
      <c r="I53" s="96"/>
      <c r="J53" s="96"/>
      <c r="K53" s="96"/>
      <c r="L53" s="96"/>
      <c r="M53" s="933"/>
      <c r="N53" s="933"/>
      <c r="O53" s="933"/>
      <c r="P53" s="933"/>
      <c r="Q53" s="933"/>
      <c r="R53" s="2983"/>
      <c r="S53" s="2983"/>
      <c r="T53" s="2983"/>
      <c r="U53" s="2983"/>
      <c r="V53" s="2983"/>
      <c r="W53" s="933"/>
      <c r="X53" s="96"/>
      <c r="Y53" s="96"/>
      <c r="Z53" s="2898">
        <f>+Distribution!F89</f>
        <v>0</v>
      </c>
    </row>
    <row r="54" spans="2:26">
      <c r="B54" s="604">
        <v>36</v>
      </c>
      <c r="C54" s="98" t="s">
        <v>4362</v>
      </c>
      <c r="D54" s="290"/>
      <c r="E54" s="60" t="s">
        <v>4123</v>
      </c>
      <c r="F54" s="939">
        <f>+SUM(H54:Z54)</f>
        <v>0</v>
      </c>
      <c r="G54" s="781">
        <f>+G53/F53</f>
        <v>1</v>
      </c>
      <c r="H54" s="96"/>
      <c r="I54" s="96"/>
      <c r="J54" s="96"/>
      <c r="K54" s="96"/>
      <c r="L54" s="96"/>
      <c r="M54" s="290"/>
      <c r="N54" s="290"/>
      <c r="O54" s="290"/>
      <c r="P54" s="290"/>
      <c r="Q54" s="290"/>
      <c r="R54" s="96"/>
      <c r="S54" s="96"/>
      <c r="T54" s="96"/>
      <c r="U54" s="96"/>
      <c r="V54" s="96"/>
      <c r="W54" s="630"/>
      <c r="X54" s="96"/>
      <c r="Y54" s="96"/>
      <c r="Z54" s="934">
        <f>+Z53/F53</f>
        <v>0</v>
      </c>
    </row>
    <row r="55" spans="2:26">
      <c r="B55" s="604">
        <v>37</v>
      </c>
      <c r="C55" s="2984"/>
      <c r="D55" s="545"/>
      <c r="E55" s="545"/>
      <c r="F55" s="545"/>
      <c r="G55" s="2887"/>
      <c r="H55" s="545"/>
      <c r="I55" s="545"/>
      <c r="J55" s="545"/>
      <c r="K55" s="545"/>
      <c r="L55" s="545"/>
      <c r="M55" s="545"/>
      <c r="N55" s="545"/>
      <c r="O55" s="545"/>
      <c r="P55" s="545"/>
      <c r="Q55" s="545"/>
      <c r="R55" s="545"/>
      <c r="S55" s="545"/>
      <c r="T55" s="545"/>
      <c r="U55" s="545"/>
      <c r="V55" s="545"/>
      <c r="W55" s="545"/>
      <c r="X55" s="545"/>
      <c r="Y55" s="545"/>
      <c r="Z55" s="2985"/>
    </row>
    <row r="56" spans="2:26">
      <c r="B56" s="604">
        <v>38</v>
      </c>
      <c r="C56" s="2860" t="s">
        <v>4678</v>
      </c>
      <c r="D56" s="638"/>
      <c r="E56" s="2479"/>
      <c r="F56" s="2479"/>
      <c r="G56" s="298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7"/>
    </row>
    <row r="57" spans="2:26">
      <c r="B57" s="604">
        <v>39</v>
      </c>
      <c r="C57" s="98" t="s">
        <v>4364</v>
      </c>
      <c r="D57" s="96"/>
      <c r="E57" s="329"/>
      <c r="F57" s="2815">
        <f>+SUM(G57:Z57)</f>
        <v>22452.581695721597</v>
      </c>
      <c r="G57" s="2815">
        <f>+SUM(G34:G40)</f>
        <v>2334.6293453197995</v>
      </c>
      <c r="H57" s="2815">
        <f t="shared" ref="H57:Z57" si="9">+SUM(H34:H40)</f>
        <v>612.90886184866349</v>
      </c>
      <c r="I57" s="2815">
        <f t="shared" si="9"/>
        <v>9251.8461427564762</v>
      </c>
      <c r="J57" s="2815">
        <f t="shared" si="9"/>
        <v>0</v>
      </c>
      <c r="K57" s="2815">
        <f t="shared" si="9"/>
        <v>2154.0987612785939</v>
      </c>
      <c r="L57" s="2815">
        <f t="shared" si="9"/>
        <v>0</v>
      </c>
      <c r="M57" s="2815">
        <f t="shared" si="9"/>
        <v>1.9039686993190259</v>
      </c>
      <c r="N57" s="2815">
        <f t="shared" si="9"/>
        <v>3718.0182609167705</v>
      </c>
      <c r="O57" s="2815">
        <f t="shared" si="9"/>
        <v>0</v>
      </c>
      <c r="P57" s="2815">
        <f t="shared" si="9"/>
        <v>283.48515856242085</v>
      </c>
      <c r="Q57" s="2815">
        <f t="shared" si="9"/>
        <v>0</v>
      </c>
      <c r="R57" s="2815">
        <f t="shared" si="9"/>
        <v>0</v>
      </c>
      <c r="S57" s="2815">
        <f t="shared" si="9"/>
        <v>35.926822423073602</v>
      </c>
      <c r="T57" s="2815">
        <f t="shared" si="9"/>
        <v>0</v>
      </c>
      <c r="U57" s="2815">
        <f t="shared" si="9"/>
        <v>182.51841944822641</v>
      </c>
      <c r="V57" s="2815">
        <f t="shared" si="9"/>
        <v>0</v>
      </c>
      <c r="W57" s="2815">
        <f t="shared" si="9"/>
        <v>2393.3437320051539</v>
      </c>
      <c r="X57" s="2815">
        <f t="shared" si="9"/>
        <v>620.65197059160005</v>
      </c>
      <c r="Y57" s="2815">
        <f t="shared" si="9"/>
        <v>863.25025187149981</v>
      </c>
      <c r="Z57" s="2858">
        <f t="shared" si="9"/>
        <v>0</v>
      </c>
    </row>
    <row r="58" spans="2:26">
      <c r="B58" s="604">
        <v>40</v>
      </c>
      <c r="C58" s="98" t="s">
        <v>4365</v>
      </c>
      <c r="D58" s="96"/>
      <c r="E58" s="60" t="s">
        <v>4337</v>
      </c>
      <c r="F58" s="942">
        <f>+SUM(G58:Z58)</f>
        <v>1</v>
      </c>
      <c r="G58" s="943">
        <f>+G57/$F57</f>
        <v>0.10398044095591331</v>
      </c>
      <c r="H58" s="943">
        <f t="shared" ref="H58:Z58" si="10">+H57/$F57</f>
        <v>2.729792369335661E-2</v>
      </c>
      <c r="I58" s="943">
        <f t="shared" si="10"/>
        <v>0.41206157350356915</v>
      </c>
      <c r="J58" s="943">
        <f t="shared" si="10"/>
        <v>0</v>
      </c>
      <c r="K58" s="943">
        <f t="shared" si="10"/>
        <v>9.5939914192097714E-2</v>
      </c>
      <c r="L58" s="943">
        <f t="shared" si="10"/>
        <v>0</v>
      </c>
      <c r="M58" s="943">
        <f t="shared" si="10"/>
        <v>8.4799544440888612E-5</v>
      </c>
      <c r="N58" s="943">
        <f t="shared" si="10"/>
        <v>0.16559424262668418</v>
      </c>
      <c r="O58" s="943">
        <f t="shared" si="10"/>
        <v>0</v>
      </c>
      <c r="P58" s="943">
        <f t="shared" si="10"/>
        <v>1.2625949318622889E-2</v>
      </c>
      <c r="Q58" s="943">
        <f t="shared" si="10"/>
        <v>0</v>
      </c>
      <c r="R58" s="943">
        <f t="shared" si="10"/>
        <v>0</v>
      </c>
      <c r="S58" s="943">
        <f t="shared" si="10"/>
        <v>1.6001198842055459E-3</v>
      </c>
      <c r="T58" s="943">
        <f t="shared" si="10"/>
        <v>0</v>
      </c>
      <c r="U58" s="943">
        <f t="shared" si="10"/>
        <v>8.1290615895189371E-3</v>
      </c>
      <c r="V58" s="943">
        <f t="shared" si="10"/>
        <v>0</v>
      </c>
      <c r="W58" s="943">
        <f t="shared" si="10"/>
        <v>0.10659548039685843</v>
      </c>
      <c r="X58" s="943">
        <f t="shared" si="10"/>
        <v>2.7642788655785941E-2</v>
      </c>
      <c r="Y58" s="943">
        <f t="shared" si="10"/>
        <v>3.8447705638946394E-2</v>
      </c>
      <c r="Z58" s="944">
        <f t="shared" si="10"/>
        <v>0</v>
      </c>
    </row>
    <row r="59" spans="2:26">
      <c r="B59" s="604">
        <v>41</v>
      </c>
      <c r="C59" s="98"/>
      <c r="D59" s="96"/>
      <c r="E59" s="60"/>
      <c r="F59" s="2980"/>
      <c r="G59" s="781"/>
      <c r="H59" s="781"/>
      <c r="I59" s="781"/>
      <c r="J59" s="781"/>
      <c r="K59" s="781"/>
      <c r="L59" s="781"/>
      <c r="M59" s="781"/>
      <c r="N59" s="781"/>
      <c r="O59" s="781"/>
      <c r="P59" s="781"/>
      <c r="Q59" s="781"/>
      <c r="R59" s="781"/>
      <c r="S59" s="781"/>
      <c r="T59" s="781"/>
      <c r="U59" s="781"/>
      <c r="V59" s="781"/>
      <c r="W59" s="781"/>
      <c r="X59" s="781"/>
      <c r="Y59" s="781"/>
      <c r="Z59" s="934"/>
    </row>
    <row r="60" spans="2:26">
      <c r="B60" s="604">
        <v>42</v>
      </c>
      <c r="C60" s="98" t="s">
        <v>4366</v>
      </c>
      <c r="D60" s="96"/>
      <c r="E60" s="60"/>
      <c r="F60" s="2815">
        <f>+SUM(G60:Z60)</f>
        <v>16458.758694902099</v>
      </c>
      <c r="G60" s="2815">
        <f>+SUM(G22:G27,G29)</f>
        <v>1413.6664857627998</v>
      </c>
      <c r="H60" s="2815">
        <f t="shared" ref="H60:Z60" si="11">+SUM(H22:H27,H29)</f>
        <v>296.47395769738591</v>
      </c>
      <c r="I60" s="2815">
        <f t="shared" si="11"/>
        <v>4475.2680417722177</v>
      </c>
      <c r="J60" s="2815">
        <f t="shared" si="11"/>
        <v>0</v>
      </c>
      <c r="K60" s="2815">
        <f t="shared" si="11"/>
        <v>1041.9725097480966</v>
      </c>
      <c r="L60" s="2815">
        <f t="shared" si="11"/>
        <v>0</v>
      </c>
      <c r="M60" s="2815">
        <f t="shared" si="11"/>
        <v>0.3730346240342306</v>
      </c>
      <c r="N60" s="2815">
        <f t="shared" si="11"/>
        <v>728.45186195001418</v>
      </c>
      <c r="O60" s="2815">
        <f t="shared" si="11"/>
        <v>0</v>
      </c>
      <c r="P60" s="2815">
        <f t="shared" si="11"/>
        <v>55.541763675757586</v>
      </c>
      <c r="Q60" s="2815">
        <f t="shared" si="11"/>
        <v>0</v>
      </c>
      <c r="R60" s="2815">
        <f t="shared" si="11"/>
        <v>0</v>
      </c>
      <c r="S60" s="2815">
        <f t="shared" si="11"/>
        <v>0</v>
      </c>
      <c r="T60" s="2815">
        <f t="shared" si="11"/>
        <v>0</v>
      </c>
      <c r="U60" s="2815">
        <f t="shared" si="11"/>
        <v>0</v>
      </c>
      <c r="V60" s="2815">
        <f t="shared" si="11"/>
        <v>0</v>
      </c>
      <c r="W60" s="2815">
        <f t="shared" si="11"/>
        <v>985.59598163849421</v>
      </c>
      <c r="X60" s="2815">
        <f t="shared" si="11"/>
        <v>1857.5328726781001</v>
      </c>
      <c r="Y60" s="2815">
        <f t="shared" si="11"/>
        <v>5603.8821853551999</v>
      </c>
      <c r="Z60" s="2858">
        <f t="shared" si="11"/>
        <v>0</v>
      </c>
    </row>
    <row r="61" spans="2:26">
      <c r="B61" s="604">
        <v>43</v>
      </c>
      <c r="C61" s="98" t="s">
        <v>4367</v>
      </c>
      <c r="D61" s="96"/>
      <c r="E61" s="60" t="s">
        <v>4368</v>
      </c>
      <c r="F61" s="942">
        <f>+SUM(G61:Z61)</f>
        <v>1</v>
      </c>
      <c r="G61" s="943">
        <f t="shared" ref="G61:Z61" si="12">+G60/$F60</f>
        <v>8.5891440051348814E-2</v>
      </c>
      <c r="H61" s="943">
        <f t="shared" si="12"/>
        <v>1.8013142011081014E-2</v>
      </c>
      <c r="I61" s="943">
        <f t="shared" si="12"/>
        <v>0.27190799286451522</v>
      </c>
      <c r="J61" s="943">
        <f t="shared" si="12"/>
        <v>0</v>
      </c>
      <c r="K61" s="943">
        <f t="shared" si="12"/>
        <v>6.3308085929398489E-2</v>
      </c>
      <c r="L61" s="943">
        <f t="shared" si="12"/>
        <v>0</v>
      </c>
      <c r="M61" s="943">
        <f t="shared" si="12"/>
        <v>2.2664809111623562E-5</v>
      </c>
      <c r="N61" s="943">
        <f t="shared" si="12"/>
        <v>4.4259222427001331E-2</v>
      </c>
      <c r="O61" s="943">
        <f t="shared" si="12"/>
        <v>0</v>
      </c>
      <c r="P61" s="943">
        <f t="shared" si="12"/>
        <v>3.3746022227642827E-3</v>
      </c>
      <c r="Q61" s="943">
        <f t="shared" si="12"/>
        <v>0</v>
      </c>
      <c r="R61" s="943">
        <f t="shared" si="12"/>
        <v>0</v>
      </c>
      <c r="S61" s="943">
        <f t="shared" si="12"/>
        <v>0</v>
      </c>
      <c r="T61" s="943">
        <f t="shared" si="12"/>
        <v>0</v>
      </c>
      <c r="U61" s="943">
        <f t="shared" si="12"/>
        <v>0</v>
      </c>
      <c r="V61" s="943">
        <f t="shared" si="12"/>
        <v>0</v>
      </c>
      <c r="W61" s="943">
        <f t="shared" si="12"/>
        <v>5.988276515310785E-2</v>
      </c>
      <c r="X61" s="943">
        <f t="shared" si="12"/>
        <v>0.11285983998619825</v>
      </c>
      <c r="Y61" s="943">
        <f t="shared" si="12"/>
        <v>0.34048024454547321</v>
      </c>
      <c r="Z61" s="944">
        <f t="shared" si="12"/>
        <v>0</v>
      </c>
    </row>
    <row r="62" spans="2:26">
      <c r="B62" s="604">
        <v>44</v>
      </c>
      <c r="C62" s="98"/>
      <c r="D62" s="96"/>
      <c r="E62" s="60"/>
      <c r="F62" s="2980"/>
      <c r="G62" s="781"/>
      <c r="H62" s="781"/>
      <c r="I62" s="781"/>
      <c r="J62" s="781"/>
      <c r="K62" s="781"/>
      <c r="L62" s="781"/>
      <c r="M62" s="781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1"/>
      <c r="Z62" s="934"/>
    </row>
    <row r="63" spans="2:26">
      <c r="B63" s="604">
        <v>45</v>
      </c>
      <c r="C63" s="98" t="s">
        <v>4369</v>
      </c>
      <c r="D63" s="96"/>
      <c r="E63" s="60"/>
      <c r="F63" s="2815">
        <f>+SUM(G63:Z63)</f>
        <v>38911.3403906237</v>
      </c>
      <c r="G63" s="2815">
        <f>+G57+G60</f>
        <v>3748.2958310825993</v>
      </c>
      <c r="H63" s="2815">
        <f t="shared" ref="H63:Z63" si="13">+H57+H60</f>
        <v>909.3828195460494</v>
      </c>
      <c r="I63" s="2815">
        <f t="shared" si="13"/>
        <v>13727.114184528695</v>
      </c>
      <c r="J63" s="2815">
        <f t="shared" si="13"/>
        <v>0</v>
      </c>
      <c r="K63" s="2815">
        <f t="shared" si="13"/>
        <v>3196.0712710266907</v>
      </c>
      <c r="L63" s="2815">
        <f t="shared" si="13"/>
        <v>0</v>
      </c>
      <c r="M63" s="2815">
        <f t="shared" si="13"/>
        <v>2.2770033233532567</v>
      </c>
      <c r="N63" s="2815">
        <f t="shared" si="13"/>
        <v>4446.4701228667845</v>
      </c>
      <c r="O63" s="2815">
        <f t="shared" si="13"/>
        <v>0</v>
      </c>
      <c r="P63" s="2815">
        <f t="shared" si="13"/>
        <v>339.02692223817843</v>
      </c>
      <c r="Q63" s="2815">
        <f t="shared" si="13"/>
        <v>0</v>
      </c>
      <c r="R63" s="2815">
        <f t="shared" si="13"/>
        <v>0</v>
      </c>
      <c r="S63" s="2815">
        <f t="shared" si="13"/>
        <v>35.926822423073602</v>
      </c>
      <c r="T63" s="2815">
        <f t="shared" si="13"/>
        <v>0</v>
      </c>
      <c r="U63" s="2815">
        <f t="shared" si="13"/>
        <v>182.51841944822641</v>
      </c>
      <c r="V63" s="2815">
        <f t="shared" si="13"/>
        <v>0</v>
      </c>
      <c r="W63" s="2815">
        <f t="shared" si="13"/>
        <v>3378.9397136436482</v>
      </c>
      <c r="X63" s="2815">
        <f t="shared" si="13"/>
        <v>2478.1848432697002</v>
      </c>
      <c r="Y63" s="2815">
        <f t="shared" si="13"/>
        <v>6467.1324372266999</v>
      </c>
      <c r="Z63" s="2858">
        <f t="shared" si="13"/>
        <v>0</v>
      </c>
    </row>
    <row r="64" spans="2:26">
      <c r="B64" s="604">
        <v>46</v>
      </c>
      <c r="C64" s="98" t="s">
        <v>4370</v>
      </c>
      <c r="D64" s="96"/>
      <c r="E64" s="60" t="s">
        <v>4316</v>
      </c>
      <c r="F64" s="942">
        <f>+SUM(G64:Z64)</f>
        <v>1</v>
      </c>
      <c r="G64" s="943">
        <f t="shared" ref="G64:Z64" si="14">+G63/$F63</f>
        <v>9.6329136787737343E-2</v>
      </c>
      <c r="H64" s="943">
        <f t="shared" si="14"/>
        <v>2.3370637207994496E-2</v>
      </c>
      <c r="I64" s="943">
        <f t="shared" si="14"/>
        <v>0.35277926811887617</v>
      </c>
      <c r="J64" s="943">
        <f t="shared" si="14"/>
        <v>0</v>
      </c>
      <c r="K64" s="943">
        <f t="shared" si="14"/>
        <v>8.2137269982013636E-2</v>
      </c>
      <c r="L64" s="943">
        <f t="shared" si="14"/>
        <v>0</v>
      </c>
      <c r="M64" s="943">
        <f t="shared" si="14"/>
        <v>5.8517730319614912E-5</v>
      </c>
      <c r="N64" s="943">
        <f t="shared" si="14"/>
        <v>0.11427183125097977</v>
      </c>
      <c r="O64" s="943">
        <f t="shared" si="14"/>
        <v>0</v>
      </c>
      <c r="P64" s="943">
        <f t="shared" si="14"/>
        <v>8.7128050289388727E-3</v>
      </c>
      <c r="Q64" s="943">
        <f t="shared" si="14"/>
        <v>0</v>
      </c>
      <c r="R64" s="943">
        <f t="shared" si="14"/>
        <v>0</v>
      </c>
      <c r="S64" s="943">
        <f t="shared" si="14"/>
        <v>9.2329953330856564E-4</v>
      </c>
      <c r="T64" s="943">
        <f t="shared" si="14"/>
        <v>0</v>
      </c>
      <c r="U64" s="943">
        <f t="shared" si="14"/>
        <v>4.6906227751590665E-3</v>
      </c>
      <c r="V64" s="943">
        <f t="shared" si="14"/>
        <v>0</v>
      </c>
      <c r="W64" s="943">
        <f t="shared" si="14"/>
        <v>8.6836888159675343E-2</v>
      </c>
      <c r="X64" s="943">
        <f t="shared" si="14"/>
        <v>6.3687984489654278E-2</v>
      </c>
      <c r="Y64" s="943">
        <f t="shared" si="14"/>
        <v>0.16620173893534279</v>
      </c>
      <c r="Z64" s="944">
        <f t="shared" si="14"/>
        <v>0</v>
      </c>
    </row>
    <row r="65" spans="2:26" ht="15" thickBot="1">
      <c r="B65" s="604">
        <v>47</v>
      </c>
      <c r="C65" s="2411"/>
      <c r="D65" s="2967"/>
      <c r="E65" s="2967"/>
      <c r="F65" s="2987"/>
      <c r="G65" s="935"/>
      <c r="H65" s="935"/>
      <c r="I65" s="935"/>
      <c r="J65" s="935"/>
      <c r="K65" s="935"/>
      <c r="L65" s="935"/>
      <c r="M65" s="935"/>
      <c r="N65" s="935"/>
      <c r="O65" s="935"/>
      <c r="P65" s="935"/>
      <c r="Q65" s="935"/>
      <c r="R65" s="935"/>
      <c r="S65" s="935"/>
      <c r="T65" s="935"/>
      <c r="U65" s="935"/>
      <c r="V65" s="935"/>
      <c r="W65" s="935"/>
      <c r="X65" s="935"/>
      <c r="Y65" s="935"/>
      <c r="Z65" s="936"/>
    </row>
    <row r="66" spans="2:26">
      <c r="B66" s="683">
        <v>48</v>
      </c>
      <c r="C66" s="545"/>
      <c r="D66" s="545"/>
      <c r="E66" s="545"/>
      <c r="F66" s="2988"/>
      <c r="G66" s="937"/>
      <c r="H66" s="937"/>
      <c r="I66" s="937"/>
      <c r="J66" s="937"/>
      <c r="K66" s="937"/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937"/>
      <c r="X66" s="937"/>
      <c r="Y66" s="937"/>
      <c r="Z66" s="938"/>
    </row>
  </sheetData>
  <mergeCells count="3">
    <mergeCell ref="H15:L15"/>
    <mergeCell ref="M15:Q15"/>
    <mergeCell ref="R15:V1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theme="2" tint="-0.499984740745262"/>
  </sheetPr>
  <dimension ref="B1:Z66"/>
  <sheetViews>
    <sheetView tabSelected="1" showOutlineSymbols="0" workbookViewId="0"/>
  </sheetViews>
  <sheetFormatPr defaultRowHeight="14.4"/>
  <cols>
    <col min="2" max="2" width="27.88671875" customWidth="1"/>
    <col min="3" max="3" width="12.5546875" customWidth="1"/>
    <col min="4" max="4" width="25.88671875" bestFit="1" customWidth="1"/>
    <col min="5" max="5" width="15.44140625" bestFit="1" customWidth="1"/>
    <col min="6" max="6" width="10.33203125" bestFit="1" customWidth="1"/>
    <col min="24" max="24" width="9" bestFit="1" customWidth="1"/>
    <col min="26" max="26" width="10.88671875" bestFit="1" customWidth="1"/>
  </cols>
  <sheetData>
    <row r="1" spans="2:26">
      <c r="C1" s="2107" t="s">
        <v>116</v>
      </c>
    </row>
    <row r="2" spans="2:26" ht="15" thickBot="1">
      <c r="C2" s="2107"/>
    </row>
    <row r="3" spans="2:26" ht="15" thickBot="1">
      <c r="B3" s="113" t="s">
        <v>4658</v>
      </c>
      <c r="C3" s="2702" t="s">
        <v>4536</v>
      </c>
    </row>
    <row r="4" spans="2:26">
      <c r="B4" s="2101">
        <v>583</v>
      </c>
      <c r="C4" s="2255">
        <v>1440789.8400000005</v>
      </c>
    </row>
    <row r="5" spans="2:26">
      <c r="B5" s="2101">
        <v>593</v>
      </c>
      <c r="C5" s="2255">
        <v>28430480.601599995</v>
      </c>
    </row>
    <row r="6" spans="2:26" ht="15" thickBot="1">
      <c r="B6" s="2920">
        <v>594</v>
      </c>
      <c r="C6" s="2648">
        <v>214324.17000000007</v>
      </c>
    </row>
    <row r="7" spans="2:26" ht="15" thickBot="1">
      <c r="C7" s="2107"/>
    </row>
    <row r="8" spans="2:26" ht="15" thickBot="1">
      <c r="B8" s="2919" t="s">
        <v>4680</v>
      </c>
      <c r="C8" s="2702" t="s">
        <v>4536</v>
      </c>
    </row>
    <row r="9" spans="2:26" ht="15" thickBot="1">
      <c r="B9" s="2920">
        <v>58801</v>
      </c>
      <c r="C9" s="2961">
        <f>+'Prod O&amp;M'!D27</f>
        <v>0</v>
      </c>
    </row>
    <row r="11" spans="2:26">
      <c r="B11" s="352" t="s">
        <v>2173</v>
      </c>
      <c r="C11" s="402"/>
      <c r="D11" s="402"/>
      <c r="E11" s="402"/>
      <c r="F11" s="402"/>
      <c r="G11" s="402"/>
      <c r="H11" s="402"/>
      <c r="I11" s="402"/>
      <c r="J11" s="402"/>
      <c r="K11" s="402"/>
      <c r="L11" s="402"/>
      <c r="M11" s="402"/>
      <c r="N11" s="402"/>
      <c r="O11" s="402"/>
      <c r="P11" s="402"/>
      <c r="Q11" s="402"/>
      <c r="R11" s="402"/>
      <c r="S11" s="402"/>
      <c r="T11" s="402"/>
      <c r="U11" s="402"/>
      <c r="V11" s="402"/>
      <c r="W11" s="402"/>
      <c r="X11" s="402"/>
      <c r="Y11" s="402"/>
      <c r="Z11" s="2889"/>
    </row>
    <row r="12" spans="2:26">
      <c r="B12" s="353" t="s">
        <v>4659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2530"/>
    </row>
    <row r="13" spans="2:26">
      <c r="B13" s="2829" t="s">
        <v>9263</v>
      </c>
      <c r="C13" s="2830"/>
      <c r="D13" s="2830"/>
      <c r="E13" s="2830"/>
      <c r="F13" s="2830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2530"/>
    </row>
    <row r="14" spans="2:26">
      <c r="B14" s="2417"/>
      <c r="C14" s="545" t="s">
        <v>2477</v>
      </c>
      <c r="D14" s="545"/>
      <c r="E14" s="545"/>
      <c r="F14" s="545"/>
      <c r="G14" s="545"/>
      <c r="H14" s="545"/>
      <c r="I14" s="545"/>
      <c r="J14" s="545"/>
      <c r="K14" s="545"/>
      <c r="L14" s="545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5"/>
      <c r="Z14" s="2577"/>
    </row>
    <row r="15" spans="2:26">
      <c r="B15" s="363"/>
      <c r="C15" s="62"/>
      <c r="D15" s="62"/>
      <c r="E15" s="96"/>
      <c r="F15" s="870"/>
      <c r="G15" s="266" t="s">
        <v>3717</v>
      </c>
      <c r="H15" s="3134" t="s">
        <v>4165</v>
      </c>
      <c r="I15" s="3135"/>
      <c r="J15" s="3135"/>
      <c r="K15" s="3135"/>
      <c r="L15" s="3136"/>
      <c r="M15" s="3134" t="s">
        <v>4168</v>
      </c>
      <c r="N15" s="3135"/>
      <c r="O15" s="3135"/>
      <c r="P15" s="3135"/>
      <c r="Q15" s="3136"/>
      <c r="R15" s="3134" t="s">
        <v>4156</v>
      </c>
      <c r="S15" s="3135"/>
      <c r="T15" s="3135"/>
      <c r="U15" s="3135"/>
      <c r="V15" s="3136"/>
      <c r="W15" s="637" t="s">
        <v>4294</v>
      </c>
      <c r="X15" s="414" t="s">
        <v>4295</v>
      </c>
      <c r="Y15" s="414" t="s">
        <v>2548</v>
      </c>
      <c r="Z15" s="1961" t="s">
        <v>4296</v>
      </c>
    </row>
    <row r="16" spans="2:26" ht="53.4">
      <c r="B16" s="2962" t="s">
        <v>4297</v>
      </c>
      <c r="C16" s="77" t="s">
        <v>3174</v>
      </c>
      <c r="D16" s="77" t="s">
        <v>1918</v>
      </c>
      <c r="E16" s="77" t="s">
        <v>4251</v>
      </c>
      <c r="F16" s="2963" t="s">
        <v>115</v>
      </c>
      <c r="G16" s="280" t="s">
        <v>1915</v>
      </c>
      <c r="H16" s="2864" t="s">
        <v>4298</v>
      </c>
      <c r="I16" s="2716" t="s">
        <v>4303</v>
      </c>
      <c r="J16" s="2716" t="s">
        <v>4304</v>
      </c>
      <c r="K16" s="2716" t="s">
        <v>4301</v>
      </c>
      <c r="L16" s="2717" t="s">
        <v>4302</v>
      </c>
      <c r="M16" s="2716" t="s">
        <v>4298</v>
      </c>
      <c r="N16" s="2716" t="s">
        <v>4303</v>
      </c>
      <c r="O16" s="2716" t="s">
        <v>4304</v>
      </c>
      <c r="P16" s="2716" t="s">
        <v>4301</v>
      </c>
      <c r="Q16" s="2717" t="s">
        <v>4302</v>
      </c>
      <c r="R16" s="2716" t="s">
        <v>4298</v>
      </c>
      <c r="S16" s="2716" t="s">
        <v>4303</v>
      </c>
      <c r="T16" s="2716" t="s">
        <v>4304</v>
      </c>
      <c r="U16" s="2574" t="s">
        <v>4301</v>
      </c>
      <c r="V16" s="2922" t="s">
        <v>4302</v>
      </c>
      <c r="W16" s="60" t="s">
        <v>118</v>
      </c>
      <c r="X16" s="60" t="s">
        <v>118</v>
      </c>
      <c r="Y16" s="60" t="s">
        <v>118</v>
      </c>
      <c r="Z16" s="2717" t="s">
        <v>4305</v>
      </c>
    </row>
    <row r="17" spans="2:26">
      <c r="B17" s="354" t="s">
        <v>2175</v>
      </c>
      <c r="C17" s="355" t="s">
        <v>2176</v>
      </c>
      <c r="D17" s="355" t="s">
        <v>2177</v>
      </c>
      <c r="E17" s="355" t="s">
        <v>2178</v>
      </c>
      <c r="F17" s="356" t="s">
        <v>2179</v>
      </c>
      <c r="G17" s="2865" t="s">
        <v>2625</v>
      </c>
      <c r="H17" s="355" t="s">
        <v>2626</v>
      </c>
      <c r="I17" s="355" t="s">
        <v>2627</v>
      </c>
      <c r="J17" s="355" t="s">
        <v>2628</v>
      </c>
      <c r="K17" s="355" t="s">
        <v>2629</v>
      </c>
      <c r="L17" s="356" t="s">
        <v>2630</v>
      </c>
      <c r="M17" s="355" t="s">
        <v>4061</v>
      </c>
      <c r="N17" s="355" t="s">
        <v>4062</v>
      </c>
      <c r="O17" s="355" t="s">
        <v>4063</v>
      </c>
      <c r="P17" s="355" t="s">
        <v>4064</v>
      </c>
      <c r="Q17" s="356" t="s">
        <v>4065</v>
      </c>
      <c r="R17" s="355" t="s">
        <v>4178</v>
      </c>
      <c r="S17" s="355" t="s">
        <v>4306</v>
      </c>
      <c r="T17" s="355" t="s">
        <v>4307</v>
      </c>
      <c r="U17" s="355" t="s">
        <v>4308</v>
      </c>
      <c r="V17" s="355" t="s">
        <v>4309</v>
      </c>
      <c r="W17" s="355" t="s">
        <v>4310</v>
      </c>
      <c r="X17" s="355" t="s">
        <v>4311</v>
      </c>
      <c r="Y17" s="355" t="s">
        <v>4312</v>
      </c>
      <c r="Z17" s="355" t="s">
        <v>4313</v>
      </c>
    </row>
    <row r="18" spans="2:26">
      <c r="B18" s="2415"/>
      <c r="C18" s="96"/>
      <c r="D18" s="96"/>
      <c r="E18" s="96"/>
      <c r="F18" s="2889"/>
      <c r="G18" s="2889"/>
      <c r="H18" s="96"/>
      <c r="I18" s="96"/>
      <c r="J18" s="96"/>
      <c r="K18" s="96"/>
      <c r="L18" s="2530"/>
      <c r="M18" s="96"/>
      <c r="N18" s="96"/>
      <c r="O18" s="96"/>
      <c r="P18" s="96"/>
      <c r="Q18" s="2530"/>
      <c r="R18" s="96"/>
      <c r="S18" s="96"/>
      <c r="T18" s="96"/>
      <c r="U18" s="96"/>
      <c r="V18" s="2530"/>
      <c r="W18" s="96"/>
      <c r="X18" s="96"/>
      <c r="Y18" s="96"/>
      <c r="Z18" s="2530"/>
    </row>
    <row r="19" spans="2:26">
      <c r="B19" s="604">
        <v>1</v>
      </c>
      <c r="C19" s="96"/>
      <c r="D19" s="361" t="s">
        <v>4660</v>
      </c>
      <c r="E19" s="96"/>
      <c r="F19" s="2530"/>
      <c r="G19" s="2530"/>
      <c r="H19" s="96"/>
      <c r="I19" s="96"/>
      <c r="J19" s="96"/>
      <c r="K19" s="96"/>
      <c r="L19" s="2530"/>
      <c r="M19" s="96"/>
      <c r="N19" s="96"/>
      <c r="O19" s="96"/>
      <c r="P19" s="96"/>
      <c r="Q19" s="2530"/>
      <c r="R19" s="96"/>
      <c r="S19" s="96"/>
      <c r="T19" s="96"/>
      <c r="U19" s="96"/>
      <c r="V19" s="2530"/>
      <c r="W19" s="96"/>
      <c r="X19" s="96"/>
      <c r="Y19" s="96"/>
      <c r="Z19" s="2530"/>
    </row>
    <row r="20" spans="2:26">
      <c r="B20" s="604">
        <v>2</v>
      </c>
      <c r="C20" s="290" t="s">
        <v>4314</v>
      </c>
      <c r="D20" s="96" t="s">
        <v>4661</v>
      </c>
      <c r="E20" s="290" t="s">
        <v>4316</v>
      </c>
      <c r="F20" s="864">
        <f>(+SUMIFS('Labor Input'!E:E,'Labor Input'!G:G,'0 MDS Distribution O&amp;M'!C20)/1000)</f>
        <v>1568.7918660012001</v>
      </c>
      <c r="G20" s="903">
        <f>+F20*G64</f>
        <v>151.12036470424923</v>
      </c>
      <c r="H20" s="42">
        <f t="shared" ref="H20:Z20" si="0">+$F20*H64</f>
        <v>36.663665892434615</v>
      </c>
      <c r="I20" s="42">
        <f t="shared" si="0"/>
        <v>553.43725140980041</v>
      </c>
      <c r="J20" s="42">
        <f t="shared" si="0"/>
        <v>0</v>
      </c>
      <c r="K20" s="42">
        <f t="shared" si="0"/>
        <v>128.8562822286722</v>
      </c>
      <c r="L20" s="903">
        <f t="shared" si="0"/>
        <v>0</v>
      </c>
      <c r="M20" s="42">
        <f t="shared" si="0"/>
        <v>9.1802138402332756E-2</v>
      </c>
      <c r="N20" s="42">
        <f t="shared" si="0"/>
        <v>179.26871754412727</v>
      </c>
      <c r="O20" s="42">
        <f t="shared" si="0"/>
        <v>0</v>
      </c>
      <c r="P20" s="42">
        <f t="shared" si="0"/>
        <v>13.668577519505728</v>
      </c>
      <c r="Q20" s="903">
        <f t="shared" si="0"/>
        <v>0</v>
      </c>
      <c r="R20" s="42">
        <f t="shared" si="0"/>
        <v>0</v>
      </c>
      <c r="S20" s="42">
        <f t="shared" si="0"/>
        <v>1.4484647829068429</v>
      </c>
      <c r="T20" s="42">
        <f t="shared" si="0"/>
        <v>0</v>
      </c>
      <c r="U20" s="42">
        <f t="shared" si="0"/>
        <v>7.3586107808072034</v>
      </c>
      <c r="V20" s="903">
        <f t="shared" si="0"/>
        <v>0</v>
      </c>
      <c r="W20" s="42">
        <f t="shared" si="0"/>
        <v>136.22900450645724</v>
      </c>
      <c r="X20" s="42">
        <f t="shared" si="0"/>
        <v>99.913191006402997</v>
      </c>
      <c r="Y20" s="42">
        <f t="shared" si="0"/>
        <v>260.73593348743407</v>
      </c>
      <c r="Z20" s="903">
        <f t="shared" si="0"/>
        <v>0</v>
      </c>
    </row>
    <row r="21" spans="2:26">
      <c r="B21" s="604">
        <v>3</v>
      </c>
      <c r="C21" s="290">
        <v>581</v>
      </c>
      <c r="D21" s="96" t="s">
        <v>4662</v>
      </c>
      <c r="E21" s="290" t="s">
        <v>4316</v>
      </c>
      <c r="F21" s="864">
        <f>(+SUMIFS('Labor Input'!E:E,'Labor Input'!G:G,'0 MDS Distribution O&amp;M'!C21)/1000)</f>
        <v>1182.0898829178998</v>
      </c>
      <c r="G21" s="903">
        <f>+F21*G64</f>
        <v>113.86969686112563</v>
      </c>
      <c r="H21" s="42">
        <f t="shared" ref="H21:Z21" si="1">+$F21*H64</f>
        <v>27.626194055047375</v>
      </c>
      <c r="I21" s="42">
        <f t="shared" si="1"/>
        <v>417.01680758262859</v>
      </c>
      <c r="J21" s="42">
        <f t="shared" si="1"/>
        <v>0</v>
      </c>
      <c r="K21" s="42">
        <f t="shared" si="1"/>
        <v>97.093636749395571</v>
      </c>
      <c r="L21" s="903">
        <f t="shared" si="1"/>
        <v>0</v>
      </c>
      <c r="M21" s="42">
        <f t="shared" si="1"/>
        <v>6.9173216273893751E-2</v>
      </c>
      <c r="N21" s="42">
        <f t="shared" si="1"/>
        <v>135.07957424125078</v>
      </c>
      <c r="O21" s="42">
        <f t="shared" si="1"/>
        <v>0</v>
      </c>
      <c r="P21" s="42">
        <f t="shared" si="1"/>
        <v>10.299318571093615</v>
      </c>
      <c r="Q21" s="903">
        <f t="shared" si="1"/>
        <v>0</v>
      </c>
      <c r="R21" s="42">
        <f t="shared" si="1"/>
        <v>0</v>
      </c>
      <c r="S21" s="42">
        <f t="shared" si="1"/>
        <v>1.0914230260521642</v>
      </c>
      <c r="T21" s="42">
        <f t="shared" si="1"/>
        <v>0</v>
      </c>
      <c r="U21" s="42">
        <f t="shared" si="1"/>
        <v>5.5447376703291296</v>
      </c>
      <c r="V21" s="903">
        <f t="shared" si="1"/>
        <v>0</v>
      </c>
      <c r="W21" s="42">
        <f t="shared" si="1"/>
        <v>102.64900747957913</v>
      </c>
      <c r="X21" s="42">
        <f t="shared" si="1"/>
        <v>75.284921357835699</v>
      </c>
      <c r="Y21" s="42">
        <f t="shared" si="1"/>
        <v>196.4653921072883</v>
      </c>
      <c r="Z21" s="903">
        <f t="shared" si="1"/>
        <v>0</v>
      </c>
    </row>
    <row r="22" spans="2:26">
      <c r="B22" s="604">
        <v>4</v>
      </c>
      <c r="C22" s="290" t="s">
        <v>4318</v>
      </c>
      <c r="D22" s="96" t="s">
        <v>4639</v>
      </c>
      <c r="E22" s="290" t="s">
        <v>4123</v>
      </c>
      <c r="F22" s="864">
        <f>(+SUMIFS('Labor Input'!E:E,'Labor Input'!G:G,'0 MDS Distribution O&amp;M'!C22)/1000)</f>
        <v>1036.6624857627999</v>
      </c>
      <c r="G22" s="903">
        <f>+F22-Z22</f>
        <v>1036.6624857627999</v>
      </c>
      <c r="H22" s="42"/>
      <c r="I22" s="42"/>
      <c r="J22" s="42"/>
      <c r="K22" s="42"/>
      <c r="L22" s="903"/>
      <c r="M22" s="42"/>
      <c r="N22" s="42"/>
      <c r="O22" s="42"/>
      <c r="P22" s="42"/>
      <c r="Q22" s="903"/>
      <c r="R22" s="42"/>
      <c r="S22" s="42"/>
      <c r="T22" s="42"/>
      <c r="U22" s="42"/>
      <c r="V22" s="903"/>
      <c r="W22" s="42"/>
      <c r="X22" s="42"/>
      <c r="Y22" s="42"/>
      <c r="Z22" s="903"/>
    </row>
    <row r="23" spans="2:26">
      <c r="B23" s="604">
        <v>5</v>
      </c>
      <c r="C23" s="290" t="s">
        <v>4320</v>
      </c>
      <c r="D23" s="96" t="s">
        <v>4663</v>
      </c>
      <c r="E23" s="290" t="s">
        <v>4109</v>
      </c>
      <c r="F23" s="864">
        <f>(+SUMIFS('Labor Input'!E:E,'Labor Input'!G:G,'0 MDS Distribution O&amp;M'!C23)/1000)-(C4/1000)</f>
        <v>6682.1448166825003</v>
      </c>
      <c r="G23" s="903"/>
      <c r="H23" s="42">
        <f>+$F23*H48</f>
        <v>296.47395769738591</v>
      </c>
      <c r="I23" s="42">
        <f>+$F23*I48</f>
        <v>4475.2680417722177</v>
      </c>
      <c r="J23" s="42">
        <f>+$F23*J48</f>
        <v>0</v>
      </c>
      <c r="K23" s="42">
        <f>+$F23*K48</f>
        <v>1041.9725097480966</v>
      </c>
      <c r="L23" s="903">
        <f>+$F23*L48</f>
        <v>0</v>
      </c>
      <c r="M23" s="42"/>
      <c r="N23" s="42"/>
      <c r="O23" s="42"/>
      <c r="P23" s="42"/>
      <c r="Q23" s="903"/>
      <c r="R23" s="42"/>
      <c r="S23" s="42"/>
      <c r="T23" s="42"/>
      <c r="U23" s="42"/>
      <c r="V23" s="903"/>
      <c r="W23" s="42">
        <f>+$F23*W48</f>
        <v>868.43030746480031</v>
      </c>
      <c r="X23" s="42">
        <f>+$F23*X48</f>
        <v>0</v>
      </c>
      <c r="Y23" s="42">
        <f>+$F23*Y48</f>
        <v>0</v>
      </c>
      <c r="Z23" s="903">
        <f>+$F23*Z48</f>
        <v>0</v>
      </c>
    </row>
    <row r="24" spans="2:26">
      <c r="B24" s="604">
        <v>6</v>
      </c>
      <c r="C24" s="290" t="s">
        <v>4322</v>
      </c>
      <c r="D24" s="96" t="s">
        <v>4664</v>
      </c>
      <c r="E24" s="290" t="s">
        <v>4120</v>
      </c>
      <c r="F24" s="864">
        <f>(+SUMIFS('Labor Input'!E:E,'Labor Input'!G:G,'0 MDS Distribution O&amp;M'!C24)/1000)</f>
        <v>901.53233442349972</v>
      </c>
      <c r="G24" s="903"/>
      <c r="H24" s="42"/>
      <c r="I24" s="42"/>
      <c r="J24" s="42"/>
      <c r="K24" s="42"/>
      <c r="L24" s="903"/>
      <c r="M24" s="42">
        <f>+$F24*M51</f>
        <v>0.3730346240342306</v>
      </c>
      <c r="N24" s="42">
        <f>+$F24*N51</f>
        <v>728.45186195001418</v>
      </c>
      <c r="O24" s="42">
        <f>+$F24*O51</f>
        <v>0</v>
      </c>
      <c r="P24" s="42">
        <f>+$F24*P51</f>
        <v>55.541763675757586</v>
      </c>
      <c r="Q24" s="903">
        <f>+$F24*Q51</f>
        <v>0</v>
      </c>
      <c r="R24" s="42"/>
      <c r="S24" s="42"/>
      <c r="T24" s="42"/>
      <c r="U24" s="42"/>
      <c r="V24" s="903"/>
      <c r="W24" s="42">
        <f>+$F24*W51</f>
        <v>117.16567417369386</v>
      </c>
      <c r="X24" s="42">
        <f>+$F24*X51</f>
        <v>0</v>
      </c>
      <c r="Y24" s="42">
        <f>+$F24*Y51</f>
        <v>0</v>
      </c>
      <c r="Z24" s="903">
        <f>+$F24*Z51</f>
        <v>0</v>
      </c>
    </row>
    <row r="25" spans="2:26">
      <c r="B25" s="604">
        <v>7</v>
      </c>
      <c r="C25" s="290" t="s">
        <v>4324</v>
      </c>
      <c r="D25" s="96" t="s">
        <v>4665</v>
      </c>
      <c r="E25" s="290" t="s">
        <v>4326</v>
      </c>
      <c r="F25" s="864">
        <f>(+SUMIFS('Labor Input'!E:E,'Labor Input'!G:G,'0 MDS Distribution O&amp;M'!C25)/1000)</f>
        <v>1857.5328726781001</v>
      </c>
      <c r="G25" s="903"/>
      <c r="H25" s="42"/>
      <c r="I25" s="42"/>
      <c r="J25" s="42"/>
      <c r="K25" s="42"/>
      <c r="L25" s="903"/>
      <c r="M25" s="42"/>
      <c r="N25" s="42"/>
      <c r="O25" s="42"/>
      <c r="P25" s="42"/>
      <c r="Q25" s="903"/>
      <c r="R25" s="42"/>
      <c r="S25" s="42"/>
      <c r="T25" s="42"/>
      <c r="U25" s="42"/>
      <c r="V25" s="903"/>
      <c r="W25" s="42"/>
      <c r="X25" s="42">
        <f>+F25</f>
        <v>1857.5328726781001</v>
      </c>
      <c r="Y25" s="42"/>
      <c r="Z25" s="903"/>
    </row>
    <row r="26" spans="2:26">
      <c r="B26" s="604">
        <v>8</v>
      </c>
      <c r="C26" s="290" t="s">
        <v>4327</v>
      </c>
      <c r="D26" s="96" t="s">
        <v>4666</v>
      </c>
      <c r="E26" s="290" t="s">
        <v>4326</v>
      </c>
      <c r="F26" s="864">
        <f>(+SUMIFS('Labor Input'!E:E,'Labor Input'!G:G,'0 MDS Distribution O&amp;M'!C26)/1000)</f>
        <v>5603.8821853551999</v>
      </c>
      <c r="G26" s="903"/>
      <c r="H26" s="42"/>
      <c r="I26" s="42"/>
      <c r="J26" s="42"/>
      <c r="K26" s="42"/>
      <c r="L26" s="903"/>
      <c r="M26" s="42"/>
      <c r="N26" s="42"/>
      <c r="O26" s="42"/>
      <c r="P26" s="42"/>
      <c r="Q26" s="903"/>
      <c r="R26" s="42"/>
      <c r="S26" s="42"/>
      <c r="T26" s="42"/>
      <c r="U26" s="42"/>
      <c r="V26" s="903"/>
      <c r="W26" s="42"/>
      <c r="X26" s="42"/>
      <c r="Y26" s="42">
        <f>+F26</f>
        <v>5603.8821853551999</v>
      </c>
      <c r="Z26" s="903"/>
    </row>
    <row r="27" spans="2:26">
      <c r="B27" s="604">
        <v>9</v>
      </c>
      <c r="C27" s="290" t="s">
        <v>4329</v>
      </c>
      <c r="D27" s="96" t="s">
        <v>4667</v>
      </c>
      <c r="E27" s="290" t="s">
        <v>4668</v>
      </c>
      <c r="F27" s="864">
        <f>(+SUMIFS('Labor Input'!E:E,'Labor Input'!G:G,'0 MDS Distribution O&amp;M'!C27)/1000)</f>
        <v>0</v>
      </c>
      <c r="G27" s="903"/>
      <c r="H27" s="42"/>
      <c r="I27" s="42"/>
      <c r="J27" s="42"/>
      <c r="K27" s="42"/>
      <c r="L27" s="903"/>
      <c r="M27" s="42"/>
      <c r="N27" s="42"/>
      <c r="O27" s="42"/>
      <c r="P27" s="42"/>
      <c r="Q27" s="903"/>
      <c r="R27" s="42"/>
      <c r="S27" s="42"/>
      <c r="T27" s="42"/>
      <c r="U27" s="42"/>
      <c r="V27" s="903"/>
      <c r="W27" s="42">
        <f>+F27</f>
        <v>0</v>
      </c>
      <c r="X27" s="42"/>
      <c r="Y27" s="42"/>
      <c r="Z27" s="903"/>
    </row>
    <row r="28" spans="2:26">
      <c r="B28" s="604">
        <v>10</v>
      </c>
      <c r="C28" s="290" t="s">
        <v>4331</v>
      </c>
      <c r="D28" s="96" t="s">
        <v>4669</v>
      </c>
      <c r="E28" s="290" t="s">
        <v>4316</v>
      </c>
      <c r="F28" s="864">
        <f>(+SUMIFS('Labor Input'!E:E,'Labor Input'!G:G,'0 MDS Distribution O&amp;M'!C28)/1000)-(C9/1000)</f>
        <v>12532.888789570903</v>
      </c>
      <c r="G28" s="903">
        <f>+F28*G64</f>
        <v>1207.2823461951216</v>
      </c>
      <c r="H28" s="42">
        <f t="shared" ref="H28:Z28" si="2">+$F28*H64</f>
        <v>292.90159976359502</v>
      </c>
      <c r="I28" s="42">
        <f t="shared" si="2"/>
        <v>4421.3433752718829</v>
      </c>
      <c r="J28" s="42">
        <f t="shared" si="2"/>
        <v>0</v>
      </c>
      <c r="K28" s="42">
        <f t="shared" si="2"/>
        <v>1029.4172796331127</v>
      </c>
      <c r="L28" s="903">
        <f t="shared" si="2"/>
        <v>0</v>
      </c>
      <c r="M28" s="42">
        <f t="shared" si="2"/>
        <v>0.73339619880484042</v>
      </c>
      <c r="N28" s="42">
        <f t="shared" si="2"/>
        <v>1432.1561381857819</v>
      </c>
      <c r="O28" s="42">
        <f t="shared" si="2"/>
        <v>0</v>
      </c>
      <c r="P28" s="42">
        <f t="shared" si="2"/>
        <v>109.19661535487791</v>
      </c>
      <c r="Q28" s="903">
        <f t="shared" si="2"/>
        <v>0</v>
      </c>
      <c r="R28" s="42">
        <f t="shared" si="2"/>
        <v>0</v>
      </c>
      <c r="S28" s="42">
        <f t="shared" si="2"/>
        <v>11.571610251941182</v>
      </c>
      <c r="T28" s="42">
        <f t="shared" si="2"/>
        <v>0</v>
      </c>
      <c r="U28" s="42">
        <f t="shared" si="2"/>
        <v>58.787052992996358</v>
      </c>
      <c r="V28" s="903">
        <f t="shared" si="2"/>
        <v>0</v>
      </c>
      <c r="W28" s="42">
        <f t="shared" si="2"/>
        <v>1088.3170676715351</v>
      </c>
      <c r="X28" s="42">
        <f t="shared" si="2"/>
        <v>798.1944186683121</v>
      </c>
      <c r="Y28" s="42">
        <f t="shared" si="2"/>
        <v>2082.9878893829423</v>
      </c>
      <c r="Z28" s="903">
        <f t="shared" si="2"/>
        <v>0</v>
      </c>
    </row>
    <row r="29" spans="2:26">
      <c r="B29" s="604">
        <v>11</v>
      </c>
      <c r="C29" s="290" t="s">
        <v>4333</v>
      </c>
      <c r="D29" s="96" t="s">
        <v>4508</v>
      </c>
      <c r="E29" s="290" t="s">
        <v>4334</v>
      </c>
      <c r="F29" s="865">
        <f>(+SUMIFS('Labor Input'!E:E,'Labor Input'!G:G,'0 MDS Distribution O&amp;M'!C29)/1000)</f>
        <v>377.00400000000002</v>
      </c>
      <c r="G29" s="929">
        <f>+F29</f>
        <v>377.00400000000002</v>
      </c>
      <c r="H29" s="930"/>
      <c r="I29" s="930"/>
      <c r="J29" s="930"/>
      <c r="K29" s="930"/>
      <c r="L29" s="929"/>
      <c r="M29" s="930"/>
      <c r="N29" s="930"/>
      <c r="O29" s="930"/>
      <c r="P29" s="930"/>
      <c r="Q29" s="929"/>
      <c r="R29" s="930"/>
      <c r="S29" s="930"/>
      <c r="T29" s="930"/>
      <c r="U29" s="930"/>
      <c r="V29" s="929"/>
      <c r="W29" s="930"/>
      <c r="X29" s="930"/>
      <c r="Y29" s="930"/>
      <c r="Z29" s="929"/>
    </row>
    <row r="30" spans="2:26">
      <c r="B30" s="604">
        <v>12</v>
      </c>
      <c r="C30" s="290"/>
      <c r="D30" s="667" t="s">
        <v>4670</v>
      </c>
      <c r="E30" s="290"/>
      <c r="F30" s="2964">
        <f t="shared" ref="F30:Z30" si="3">+SUM(F20:F29)</f>
        <v>31742.529233392102</v>
      </c>
      <c r="G30" s="2964">
        <f t="shared" si="3"/>
        <v>2885.9388935232964</v>
      </c>
      <c r="H30" s="2819">
        <f t="shared" si="3"/>
        <v>653.66541740846287</v>
      </c>
      <c r="I30" s="2819">
        <f t="shared" si="3"/>
        <v>9867.0654760365287</v>
      </c>
      <c r="J30" s="2819">
        <f t="shared" si="3"/>
        <v>0</v>
      </c>
      <c r="K30" s="2819">
        <f t="shared" si="3"/>
        <v>2297.3397083592772</v>
      </c>
      <c r="L30" s="2964">
        <f t="shared" si="3"/>
        <v>0</v>
      </c>
      <c r="M30" s="2819">
        <f t="shared" si="3"/>
        <v>1.2674061775152974</v>
      </c>
      <c r="N30" s="2819">
        <f t="shared" si="3"/>
        <v>2474.9562919211739</v>
      </c>
      <c r="O30" s="2819">
        <f t="shared" si="3"/>
        <v>0</v>
      </c>
      <c r="P30" s="2819">
        <f t="shared" si="3"/>
        <v>188.70627512123485</v>
      </c>
      <c r="Q30" s="2964">
        <f t="shared" si="3"/>
        <v>0</v>
      </c>
      <c r="R30" s="2819">
        <f t="shared" si="3"/>
        <v>0</v>
      </c>
      <c r="S30" s="2819">
        <f t="shared" si="3"/>
        <v>14.111498060900189</v>
      </c>
      <c r="T30" s="2819">
        <f t="shared" si="3"/>
        <v>0</v>
      </c>
      <c r="U30" s="2819">
        <f t="shared" si="3"/>
        <v>71.690401444132689</v>
      </c>
      <c r="V30" s="2964">
        <f t="shared" si="3"/>
        <v>0</v>
      </c>
      <c r="W30" s="2819">
        <f t="shared" si="3"/>
        <v>2312.7910612960659</v>
      </c>
      <c r="X30" s="2819">
        <f t="shared" si="3"/>
        <v>2830.9254037106512</v>
      </c>
      <c r="Y30" s="2819">
        <f t="shared" si="3"/>
        <v>8144.0714003328649</v>
      </c>
      <c r="Z30" s="2964">
        <f t="shared" si="3"/>
        <v>0</v>
      </c>
    </row>
    <row r="31" spans="2:26">
      <c r="B31" s="604">
        <v>13</v>
      </c>
      <c r="C31" s="290"/>
      <c r="D31" s="96"/>
      <c r="E31" s="290"/>
      <c r="F31" s="2816"/>
      <c r="G31" s="2530"/>
      <c r="H31" s="96"/>
      <c r="I31" s="96"/>
      <c r="J31" s="96"/>
      <c r="K31" s="96"/>
      <c r="L31" s="2530"/>
      <c r="M31" s="42"/>
      <c r="N31" s="96"/>
      <c r="O31" s="96"/>
      <c r="P31" s="96"/>
      <c r="Q31" s="2530"/>
      <c r="R31" s="96"/>
      <c r="S31" s="96"/>
      <c r="T31" s="96"/>
      <c r="U31" s="96"/>
      <c r="V31" s="2530"/>
      <c r="W31" s="96"/>
      <c r="X31" s="96"/>
      <c r="Y31" s="96"/>
      <c r="Z31" s="2530"/>
    </row>
    <row r="32" spans="2:26">
      <c r="B32" s="604">
        <v>14</v>
      </c>
      <c r="C32" s="290"/>
      <c r="D32" s="361" t="s">
        <v>4671</v>
      </c>
      <c r="E32" s="290"/>
      <c r="F32" s="2530"/>
      <c r="G32" s="2530"/>
      <c r="H32" s="96"/>
      <c r="I32" s="96"/>
      <c r="J32" s="96"/>
      <c r="K32" s="96"/>
      <c r="L32" s="2530"/>
      <c r="M32" s="42"/>
      <c r="N32" s="96"/>
      <c r="O32" s="96"/>
      <c r="P32" s="96"/>
      <c r="Q32" s="2530"/>
      <c r="R32" s="96"/>
      <c r="S32" s="96"/>
      <c r="T32" s="96"/>
      <c r="U32" s="96"/>
      <c r="V32" s="2530"/>
      <c r="W32" s="96"/>
      <c r="X32" s="96"/>
      <c r="Y32" s="96"/>
      <c r="Z32" s="2530"/>
    </row>
    <row r="33" spans="2:26">
      <c r="B33" s="604">
        <v>15</v>
      </c>
      <c r="C33" s="290" t="s">
        <v>4336</v>
      </c>
      <c r="D33" s="96" t="s">
        <v>4651</v>
      </c>
      <c r="E33" s="290" t="s">
        <v>4337</v>
      </c>
      <c r="F33" s="864">
        <f>(+SUMIFS('Labor Input'!E:E,'Labor Input'!G:G,'0 MDS Distribution O&amp;M'!C33)/1000)</f>
        <v>0</v>
      </c>
      <c r="G33" s="903">
        <f>+F33*G58</f>
        <v>0</v>
      </c>
      <c r="H33" s="42">
        <f t="shared" ref="H33:Q33" si="4">+$F33*H58</f>
        <v>0</v>
      </c>
      <c r="I33" s="42">
        <f t="shared" si="4"/>
        <v>0</v>
      </c>
      <c r="J33" s="42">
        <f t="shared" si="4"/>
        <v>0</v>
      </c>
      <c r="K33" s="42">
        <f t="shared" si="4"/>
        <v>0</v>
      </c>
      <c r="L33" s="903">
        <f t="shared" si="4"/>
        <v>0</v>
      </c>
      <c r="M33" s="42">
        <f t="shared" si="4"/>
        <v>0</v>
      </c>
      <c r="N33" s="42">
        <f t="shared" si="4"/>
        <v>0</v>
      </c>
      <c r="O33" s="42">
        <f t="shared" si="4"/>
        <v>0</v>
      </c>
      <c r="P33" s="42">
        <f t="shared" si="4"/>
        <v>0</v>
      </c>
      <c r="Q33" s="903">
        <f t="shared" si="4"/>
        <v>0</v>
      </c>
      <c r="R33" s="42">
        <f>+F33*R58</f>
        <v>0</v>
      </c>
      <c r="S33" s="42">
        <f>+G33*S58</f>
        <v>0</v>
      </c>
      <c r="T33" s="42">
        <f>+H33*T58</f>
        <v>0</v>
      </c>
      <c r="U33" s="42">
        <f>+I33*U58</f>
        <v>0</v>
      </c>
      <c r="V33" s="903">
        <f>+J33*V58</f>
        <v>0</v>
      </c>
      <c r="W33" s="42">
        <f>+$F33*W58</f>
        <v>0</v>
      </c>
      <c r="X33" s="42">
        <f>+$F33*X58</f>
        <v>0</v>
      </c>
      <c r="Y33" s="42">
        <f>+$F33*Y58</f>
        <v>0</v>
      </c>
      <c r="Z33" s="903">
        <f>+$F33*Z58</f>
        <v>0</v>
      </c>
    </row>
    <row r="34" spans="2:26">
      <c r="B34" s="604">
        <v>16</v>
      </c>
      <c r="C34" s="290" t="s">
        <v>4338</v>
      </c>
      <c r="D34" s="96" t="s">
        <v>4510</v>
      </c>
      <c r="E34" s="290" t="s">
        <v>4334</v>
      </c>
      <c r="F34" s="864">
        <f>(+SUMIFS('Labor Input'!E:E,'Labor Input'!G:G,'0 MDS Distribution O&amp;M'!C34)/1000)</f>
        <v>-174.2198142629</v>
      </c>
      <c r="G34" s="2816">
        <f>+F34</f>
        <v>-174.2198142629</v>
      </c>
      <c r="H34" s="96"/>
      <c r="I34" s="96"/>
      <c r="J34" s="96"/>
      <c r="K34" s="96"/>
      <c r="L34" s="2530"/>
      <c r="M34" s="96"/>
      <c r="N34" s="96"/>
      <c r="O34" s="96"/>
      <c r="P34" s="96"/>
      <c r="Q34" s="2530"/>
      <c r="R34" s="96"/>
      <c r="S34" s="96"/>
      <c r="T34" s="96"/>
      <c r="U34" s="96"/>
      <c r="V34" s="2530"/>
      <c r="W34" s="96"/>
      <c r="X34" s="96"/>
      <c r="Y34" s="96"/>
      <c r="Z34" s="2530"/>
    </row>
    <row r="35" spans="2:26">
      <c r="B35" s="604">
        <v>17</v>
      </c>
      <c r="C35" s="290" t="s">
        <v>4340</v>
      </c>
      <c r="D35" s="96" t="s">
        <v>4652</v>
      </c>
      <c r="E35" s="290" t="s">
        <v>4123</v>
      </c>
      <c r="F35" s="864">
        <f>(+SUMIFS('Labor Input'!E:E,'Labor Input'!G:G,'0 MDS Distribution O&amp;M'!C35)/1000)</f>
        <v>2508.8491595826995</v>
      </c>
      <c r="G35" s="2816">
        <f>+F35-Z35</f>
        <v>2508.8491595826995</v>
      </c>
      <c r="H35" s="96"/>
      <c r="I35" s="96"/>
      <c r="J35" s="96"/>
      <c r="K35" s="96"/>
      <c r="L35" s="2530"/>
      <c r="M35" s="96"/>
      <c r="N35" s="96"/>
      <c r="O35" s="96"/>
      <c r="P35" s="96"/>
      <c r="Q35" s="2530"/>
      <c r="R35" s="96"/>
      <c r="S35" s="96"/>
      <c r="T35" s="96"/>
      <c r="U35" s="96"/>
      <c r="V35" s="2530"/>
      <c r="W35" s="96"/>
      <c r="X35" s="96"/>
      <c r="Y35" s="96"/>
      <c r="Z35" s="2530">
        <f>+F35*Z48</f>
        <v>0</v>
      </c>
    </row>
    <row r="36" spans="2:26">
      <c r="B36" s="604">
        <v>18</v>
      </c>
      <c r="C36" s="290" t="s">
        <v>4342</v>
      </c>
      <c r="D36" s="96" t="s">
        <v>4648</v>
      </c>
      <c r="E36" s="290" t="s">
        <v>4109</v>
      </c>
      <c r="F36" s="864">
        <f>(+SUMIFS('Labor Input'!E:E,'Labor Input'!G:G,'0 MDS Distribution O&amp;M'!C36)/1000)-(C5/1000)</f>
        <v>13814.184302138299</v>
      </c>
      <c r="G36" s="2816"/>
      <c r="H36" s="2815">
        <f>+$F36*H48</f>
        <v>612.908879524908</v>
      </c>
      <c r="I36" s="2815">
        <f>+$F36*I48</f>
        <v>9251.8464095790096</v>
      </c>
      <c r="J36" s="2815">
        <f>+$F36*J48</f>
        <v>0</v>
      </c>
      <c r="K36" s="2815">
        <f>+$F36*K48</f>
        <v>2154.0988234026368</v>
      </c>
      <c r="L36" s="2816">
        <f>+$F36*L48</f>
        <v>0</v>
      </c>
      <c r="M36" s="2815"/>
      <c r="N36" s="2815"/>
      <c r="O36" s="2815"/>
      <c r="P36" s="2815"/>
      <c r="Q36" s="2816"/>
      <c r="R36" s="2815"/>
      <c r="S36" s="2815"/>
      <c r="T36" s="2815"/>
      <c r="U36" s="2815"/>
      <c r="V36" s="2816"/>
      <c r="W36" s="2815">
        <f>+F36*W48</f>
        <v>1795.330189631746</v>
      </c>
      <c r="X36" s="2815"/>
      <c r="Y36" s="2815"/>
      <c r="Z36" s="2530">
        <f>+F36*Z48</f>
        <v>0</v>
      </c>
    </row>
    <row r="37" spans="2:26">
      <c r="B37" s="604">
        <v>19</v>
      </c>
      <c r="C37" s="290" t="s">
        <v>4344</v>
      </c>
      <c r="D37" s="96" t="s">
        <v>4649</v>
      </c>
      <c r="E37" s="290" t="s">
        <v>4120</v>
      </c>
      <c r="F37" s="864">
        <f>(+SUMIFS('Labor Input'!E:E,'Labor Input'!G:G,'0 MDS Distribution O&amp;M'!C37)/1000)-(C6/1000)</f>
        <v>4601.4209823291003</v>
      </c>
      <c r="G37" s="2530"/>
      <c r="H37" s="96"/>
      <c r="I37" s="96"/>
      <c r="J37" s="96"/>
      <c r="K37" s="96"/>
      <c r="L37" s="2530"/>
      <c r="M37" s="2815">
        <f>+$F37*M51</f>
        <v>1.9039686993190259</v>
      </c>
      <c r="N37" s="2815">
        <f>+$F37*N51</f>
        <v>3718.0182609167705</v>
      </c>
      <c r="O37" s="2815">
        <f>+$F37*O51</f>
        <v>0</v>
      </c>
      <c r="P37" s="2815">
        <f>+$F37*P51</f>
        <v>283.48515856242085</v>
      </c>
      <c r="Q37" s="2816">
        <f>+$F37*Q51</f>
        <v>0</v>
      </c>
      <c r="R37" s="96"/>
      <c r="S37" s="96"/>
      <c r="T37" s="96"/>
      <c r="U37" s="96"/>
      <c r="V37" s="2530"/>
      <c r="W37" s="2815">
        <f>+F37*W51</f>
        <v>598.01359415059108</v>
      </c>
      <c r="X37" s="96"/>
      <c r="Y37" s="96"/>
      <c r="Z37" s="2530"/>
    </row>
    <row r="38" spans="2:26">
      <c r="B38" s="604">
        <v>20</v>
      </c>
      <c r="C38" s="290" t="s">
        <v>4346</v>
      </c>
      <c r="D38" s="96" t="s">
        <v>4672</v>
      </c>
      <c r="E38" s="290" t="s">
        <v>4326</v>
      </c>
      <c r="F38" s="864">
        <f>(+SUMIFS('Labor Input'!E:E,'Labor Input'!G:G,'0 MDS Distribution O&amp;M'!C38)/1000)</f>
        <v>218.4452418713</v>
      </c>
      <c r="G38" s="2530"/>
      <c r="H38" s="96"/>
      <c r="I38" s="96"/>
      <c r="J38" s="96"/>
      <c r="K38" s="96"/>
      <c r="L38" s="2530"/>
      <c r="M38" s="96"/>
      <c r="N38" s="96"/>
      <c r="O38" s="96"/>
      <c r="P38" s="96"/>
      <c r="Q38" s="2530"/>
      <c r="R38" s="2815">
        <f>+$F38*('0 MDS Distribution'!$M40/'0 MDS Distribution'!$M$45)</f>
        <v>0</v>
      </c>
      <c r="S38" s="2815">
        <f>+$F38*('0 MDS Distribution'!$M41/'0 MDS Distribution'!$M$45)</f>
        <v>35.926822423073602</v>
      </c>
      <c r="T38" s="2815">
        <f>+$F38*('0 MDS Distribution'!$M42/'0 MDS Distribution'!$M$45)</f>
        <v>0</v>
      </c>
      <c r="U38" s="2815">
        <f>+$F38*('0 MDS Distribution'!$M43/'0 MDS Distribution'!$M$45)</f>
        <v>182.51841944822641</v>
      </c>
      <c r="V38" s="2816">
        <f>+$F38*('0 MDS Distribution'!$M44/'0 MDS Distribution'!$M$45)</f>
        <v>0</v>
      </c>
      <c r="W38" s="2815"/>
      <c r="X38" s="96"/>
      <c r="Y38" s="96"/>
      <c r="Z38" s="2530"/>
    </row>
    <row r="39" spans="2:26">
      <c r="B39" s="604">
        <v>21</v>
      </c>
      <c r="C39" s="290" t="s">
        <v>4348</v>
      </c>
      <c r="D39" s="96" t="s">
        <v>4673</v>
      </c>
      <c r="E39" s="290" t="s">
        <v>4326</v>
      </c>
      <c r="F39" s="864">
        <f>(+SUMIFS('Labor Input'!E:E,'Labor Input'!G:G,'0 MDS Distribution O&amp;M'!C39)/1000)</f>
        <v>620.65197059160005</v>
      </c>
      <c r="G39" s="2530"/>
      <c r="H39" s="96"/>
      <c r="I39" s="96"/>
      <c r="J39" s="96"/>
      <c r="K39" s="96"/>
      <c r="L39" s="2530"/>
      <c r="M39" s="96"/>
      <c r="N39" s="96"/>
      <c r="O39" s="96"/>
      <c r="P39" s="96"/>
      <c r="Q39" s="2530"/>
      <c r="R39" s="96"/>
      <c r="S39" s="96"/>
      <c r="T39" s="96"/>
      <c r="U39" s="96"/>
      <c r="V39" s="2530"/>
      <c r="W39" s="96"/>
      <c r="X39" s="630">
        <f>+F39</f>
        <v>620.65197059160005</v>
      </c>
      <c r="Y39" s="96"/>
      <c r="Z39" s="2530"/>
    </row>
    <row r="40" spans="2:26">
      <c r="B40" s="604">
        <v>22</v>
      </c>
      <c r="C40" s="290" t="s">
        <v>4350</v>
      </c>
      <c r="D40" s="96" t="s">
        <v>4674</v>
      </c>
      <c r="E40" s="290" t="s">
        <v>4326</v>
      </c>
      <c r="F40" s="864">
        <f>(+SUMIFS('Labor Input'!E:E,'Labor Input'!G:G,'0 MDS Distribution O&amp;M'!C40)/1000)</f>
        <v>863.25025187149981</v>
      </c>
      <c r="G40" s="2816"/>
      <c r="H40" s="2815"/>
      <c r="I40" s="2815"/>
      <c r="J40" s="2815"/>
      <c r="K40" s="2815"/>
      <c r="L40" s="2816"/>
      <c r="M40" s="2815"/>
      <c r="N40" s="2815"/>
      <c r="O40" s="2815"/>
      <c r="P40" s="2815"/>
      <c r="Q40" s="2816"/>
      <c r="R40" s="2815"/>
      <c r="S40" s="2815"/>
      <c r="T40" s="2815"/>
      <c r="U40" s="2815"/>
      <c r="V40" s="2816"/>
      <c r="W40" s="2815"/>
      <c r="X40" s="2815"/>
      <c r="Y40" s="2815">
        <f>+F40</f>
        <v>863.25025187149981</v>
      </c>
      <c r="Z40" s="2816"/>
    </row>
    <row r="41" spans="2:26">
      <c r="B41" s="604">
        <v>23</v>
      </c>
      <c r="C41" s="290" t="s">
        <v>4352</v>
      </c>
      <c r="D41" s="96" t="s">
        <v>4675</v>
      </c>
      <c r="E41" s="290" t="s">
        <v>4337</v>
      </c>
      <c r="F41" s="865">
        <f>(+SUMIFS('Labor Input'!E:E,'Labor Input'!G:G,'0 MDS Distribution O&amp;M'!C41)/1000)</f>
        <v>0</v>
      </c>
      <c r="G41" s="911">
        <f>+F41*G58</f>
        <v>0</v>
      </c>
      <c r="H41" s="439">
        <f t="shared" ref="H41:N41" si="5">+$F41*H58</f>
        <v>0</v>
      </c>
      <c r="I41" s="439">
        <f t="shared" si="5"/>
        <v>0</v>
      </c>
      <c r="J41" s="439">
        <f t="shared" si="5"/>
        <v>0</v>
      </c>
      <c r="K41" s="439">
        <f t="shared" si="5"/>
        <v>0</v>
      </c>
      <c r="L41" s="911">
        <f t="shared" si="5"/>
        <v>0</v>
      </c>
      <c r="M41" s="439">
        <f t="shared" si="5"/>
        <v>0</v>
      </c>
      <c r="N41" s="439">
        <f t="shared" si="5"/>
        <v>0</v>
      </c>
      <c r="O41" s="439"/>
      <c r="P41" s="439">
        <f>+$F41*P58</f>
        <v>0</v>
      </c>
      <c r="Q41" s="911"/>
      <c r="R41" s="439">
        <f>+F41*R58</f>
        <v>0</v>
      </c>
      <c r="S41" s="439">
        <f>+G41*S58</f>
        <v>0</v>
      </c>
      <c r="T41" s="439">
        <f>+H41*T58</f>
        <v>0</v>
      </c>
      <c r="U41" s="439">
        <f>+I41*U58</f>
        <v>0</v>
      </c>
      <c r="V41" s="911">
        <f>+J41*V58</f>
        <v>0</v>
      </c>
      <c r="W41" s="439">
        <f>+$F41*W58</f>
        <v>0</v>
      </c>
      <c r="X41" s="439">
        <f>+$F41*X58</f>
        <v>0</v>
      </c>
      <c r="Y41" s="439">
        <f>+$F41*Y58</f>
        <v>0</v>
      </c>
      <c r="Z41" s="911">
        <f>+$F41*Z58</f>
        <v>0</v>
      </c>
    </row>
    <row r="42" spans="2:26">
      <c r="B42" s="604">
        <v>24</v>
      </c>
      <c r="C42" s="96"/>
      <c r="D42" s="667" t="s">
        <v>4676</v>
      </c>
      <c r="E42" s="96"/>
      <c r="F42" s="2964">
        <f>+SUM(F33:F41)</f>
        <v>22452.582094121601</v>
      </c>
      <c r="G42" s="2964">
        <f>+SUM(G33:G41)</f>
        <v>2334.6293453197995</v>
      </c>
      <c r="H42" s="2819">
        <f t="shared" ref="H42:Z42" si="6">+SUM(H33:H41)</f>
        <v>612.908879524908</v>
      </c>
      <c r="I42" s="2819">
        <f t="shared" si="6"/>
        <v>9251.8464095790096</v>
      </c>
      <c r="J42" s="2819">
        <f t="shared" si="6"/>
        <v>0</v>
      </c>
      <c r="K42" s="2819">
        <f t="shared" si="6"/>
        <v>2154.0988234026368</v>
      </c>
      <c r="L42" s="2964">
        <f t="shared" si="6"/>
        <v>0</v>
      </c>
      <c r="M42" s="2819">
        <f t="shared" si="6"/>
        <v>1.9039686993190259</v>
      </c>
      <c r="N42" s="2819">
        <f t="shared" si="6"/>
        <v>3718.0182609167705</v>
      </c>
      <c r="O42" s="2819">
        <f t="shared" si="6"/>
        <v>0</v>
      </c>
      <c r="P42" s="2819">
        <f t="shared" si="6"/>
        <v>283.48515856242085</v>
      </c>
      <c r="Q42" s="2964">
        <f t="shared" si="6"/>
        <v>0</v>
      </c>
      <c r="R42" s="2819">
        <f t="shared" si="6"/>
        <v>0</v>
      </c>
      <c r="S42" s="2819">
        <f t="shared" si="6"/>
        <v>35.926822423073602</v>
      </c>
      <c r="T42" s="2819">
        <f t="shared" si="6"/>
        <v>0</v>
      </c>
      <c r="U42" s="2819">
        <f t="shared" si="6"/>
        <v>182.51841944822641</v>
      </c>
      <c r="V42" s="2964">
        <f t="shared" si="6"/>
        <v>0</v>
      </c>
      <c r="W42" s="2819">
        <f t="shared" si="6"/>
        <v>2393.3437837823371</v>
      </c>
      <c r="X42" s="2819">
        <f t="shared" si="6"/>
        <v>620.65197059160005</v>
      </c>
      <c r="Y42" s="2819">
        <f t="shared" si="6"/>
        <v>863.25025187149981</v>
      </c>
      <c r="Z42" s="2964">
        <f t="shared" si="6"/>
        <v>0</v>
      </c>
    </row>
    <row r="43" spans="2:26">
      <c r="B43" s="604">
        <v>25</v>
      </c>
      <c r="C43" s="96"/>
      <c r="D43" s="96"/>
      <c r="E43" s="96"/>
      <c r="F43" s="2816"/>
      <c r="G43" s="2530"/>
      <c r="H43" s="96"/>
      <c r="I43" s="96"/>
      <c r="J43" s="96"/>
      <c r="K43" s="96"/>
      <c r="L43" s="2530"/>
      <c r="M43" s="42"/>
      <c r="N43" s="96"/>
      <c r="O43" s="96"/>
      <c r="P43" s="96"/>
      <c r="Q43" s="2530"/>
      <c r="R43" s="96"/>
      <c r="S43" s="96"/>
      <c r="T43" s="96"/>
      <c r="U43" s="96"/>
      <c r="V43" s="2530"/>
      <c r="W43" s="96"/>
      <c r="X43" s="96"/>
      <c r="Y43" s="96"/>
      <c r="Z43" s="2530"/>
    </row>
    <row r="44" spans="2:26" ht="15" thickBot="1">
      <c r="B44" s="604">
        <v>26</v>
      </c>
      <c r="C44" s="62" t="s">
        <v>4677</v>
      </c>
      <c r="D44" s="96"/>
      <c r="E44" s="96"/>
      <c r="F44" s="2965">
        <f t="shared" ref="F44:Z44" si="7">+F30+F42</f>
        <v>54195.111327513703</v>
      </c>
      <c r="G44" s="2965">
        <f t="shared" si="7"/>
        <v>5220.568238843096</v>
      </c>
      <c r="H44" s="2966">
        <f t="shared" si="7"/>
        <v>1266.574296933371</v>
      </c>
      <c r="I44" s="2966">
        <f t="shared" si="7"/>
        <v>19118.91188561554</v>
      </c>
      <c r="J44" s="2966">
        <f t="shared" si="7"/>
        <v>0</v>
      </c>
      <c r="K44" s="2966">
        <f t="shared" si="7"/>
        <v>4451.4385317619144</v>
      </c>
      <c r="L44" s="2965">
        <f t="shared" si="7"/>
        <v>0</v>
      </c>
      <c r="M44" s="501">
        <f t="shared" si="7"/>
        <v>3.1713748768343235</v>
      </c>
      <c r="N44" s="2966">
        <f t="shared" si="7"/>
        <v>6192.9745528379444</v>
      </c>
      <c r="O44" s="2966">
        <f t="shared" si="7"/>
        <v>0</v>
      </c>
      <c r="P44" s="2966">
        <f t="shared" si="7"/>
        <v>472.1914336836557</v>
      </c>
      <c r="Q44" s="2965">
        <f t="shared" si="7"/>
        <v>0</v>
      </c>
      <c r="R44" s="2966">
        <f t="shared" si="7"/>
        <v>0</v>
      </c>
      <c r="S44" s="2966">
        <f t="shared" si="7"/>
        <v>50.038320483973791</v>
      </c>
      <c r="T44" s="2966">
        <f t="shared" si="7"/>
        <v>0</v>
      </c>
      <c r="U44" s="2966">
        <f t="shared" si="7"/>
        <v>254.20882089235909</v>
      </c>
      <c r="V44" s="2965">
        <f t="shared" si="7"/>
        <v>0</v>
      </c>
      <c r="W44" s="2966">
        <f t="shared" si="7"/>
        <v>4706.1348450784026</v>
      </c>
      <c r="X44" s="2966">
        <f t="shared" si="7"/>
        <v>3451.577374302251</v>
      </c>
      <c r="Y44" s="2966">
        <f t="shared" si="7"/>
        <v>9007.321652204364</v>
      </c>
      <c r="Z44" s="2965">
        <f t="shared" si="7"/>
        <v>0</v>
      </c>
    </row>
    <row r="45" spans="2:26" ht="15.6" thickTop="1" thickBot="1">
      <c r="B45" s="604">
        <v>27</v>
      </c>
      <c r="C45" s="2967"/>
      <c r="D45" s="2967"/>
      <c r="E45" s="2967"/>
      <c r="F45" s="2968"/>
      <c r="G45" s="2967"/>
      <c r="H45" s="2967"/>
      <c r="I45" s="2967"/>
      <c r="J45" s="2967"/>
      <c r="K45" s="2967"/>
      <c r="L45" s="2969"/>
      <c r="M45" s="2969"/>
      <c r="N45" s="2969"/>
      <c r="O45" s="2969"/>
      <c r="P45" s="2969"/>
      <c r="Q45" s="2969"/>
      <c r="R45" s="2969"/>
      <c r="S45" s="2969"/>
      <c r="T45" s="2969"/>
      <c r="U45" s="2969"/>
      <c r="V45" s="2967"/>
      <c r="W45" s="2967"/>
      <c r="X45" s="2967"/>
      <c r="Y45" s="2967"/>
      <c r="Z45" s="2970"/>
    </row>
    <row r="46" spans="2:26">
      <c r="B46" s="604">
        <v>28</v>
      </c>
      <c r="C46" s="2799" t="s">
        <v>4356</v>
      </c>
      <c r="D46" s="2971"/>
      <c r="E46" s="2800"/>
      <c r="F46" s="2800"/>
      <c r="G46" s="2801"/>
      <c r="H46" s="2972"/>
      <c r="I46" s="931"/>
      <c r="J46" s="931"/>
      <c r="K46" s="932"/>
      <c r="L46" s="932"/>
      <c r="M46" s="2973"/>
      <c r="N46" s="2973"/>
      <c r="O46" s="2973"/>
      <c r="P46" s="2973"/>
      <c r="Q46" s="2973"/>
      <c r="R46" s="2973"/>
      <c r="S46" s="2973"/>
      <c r="T46" s="2973"/>
      <c r="U46" s="2973"/>
      <c r="V46" s="2973"/>
      <c r="W46" s="2973"/>
      <c r="X46" s="2973"/>
      <c r="Y46" s="2973"/>
      <c r="Z46" s="2352"/>
    </row>
    <row r="47" spans="2:26">
      <c r="B47" s="604">
        <v>29</v>
      </c>
      <c r="C47" s="98" t="s">
        <v>4357</v>
      </c>
      <c r="D47" s="96"/>
      <c r="E47" s="96"/>
      <c r="F47" s="654">
        <f>+SUM(G47:Z47)</f>
        <v>825308.13575929042</v>
      </c>
      <c r="G47" s="96"/>
      <c r="H47" s="940">
        <f>+'0 MDS Distribution'!F75</f>
        <v>36617.34009678143</v>
      </c>
      <c r="I47" s="940">
        <f>+'0 MDS Distribution'!G75</f>
        <v>552737.96451658872</v>
      </c>
      <c r="J47" s="940">
        <f>+'0 MDS Distribution'!H75</f>
        <v>0</v>
      </c>
      <c r="K47" s="940">
        <f>+'0 MDS Distribution'!I75</f>
        <v>128693.46790954034</v>
      </c>
      <c r="L47" s="940">
        <f>+'0 MDS Distribution'!J75</f>
        <v>0</v>
      </c>
      <c r="M47" s="2974"/>
      <c r="N47" s="2974"/>
      <c r="O47" s="2974"/>
      <c r="P47" s="2974"/>
      <c r="Q47" s="2974"/>
      <c r="R47" s="290"/>
      <c r="S47" s="290"/>
      <c r="T47" s="290"/>
      <c r="U47" s="290"/>
      <c r="V47" s="290"/>
      <c r="W47" s="2975">
        <f>+'0 MDS Distribution'!K75</f>
        <v>107259.36323637994</v>
      </c>
      <c r="X47" s="290"/>
      <c r="Y47" s="290"/>
      <c r="Z47" s="2976">
        <f>+'0 MDS Distribution'!L75</f>
        <v>0</v>
      </c>
    </row>
    <row r="48" spans="2:26">
      <c r="B48" s="604">
        <v>30</v>
      </c>
      <c r="C48" s="98" t="s">
        <v>4358</v>
      </c>
      <c r="D48" s="290"/>
      <c r="E48" s="60" t="s">
        <v>4109</v>
      </c>
      <c r="F48" s="939">
        <f>+SUM(H48:Z48)</f>
        <v>1</v>
      </c>
      <c r="G48" s="96"/>
      <c r="H48" s="941">
        <f>+H47/$F$47</f>
        <v>4.4368083277275788E-2</v>
      </c>
      <c r="I48" s="941">
        <f>+I47/$F$47</f>
        <v>0.6697352668262081</v>
      </c>
      <c r="J48" s="941">
        <f>+J47/$F$47</f>
        <v>0</v>
      </c>
      <c r="K48" s="941">
        <f>+K47/$F$47</f>
        <v>0.15593384135386146</v>
      </c>
      <c r="L48" s="941">
        <f>+L47/$F$47</f>
        <v>0</v>
      </c>
      <c r="M48" s="2977"/>
      <c r="N48" s="2977"/>
      <c r="O48" s="2977"/>
      <c r="P48" s="2977"/>
      <c r="Q48" s="2977"/>
      <c r="R48" s="2977"/>
      <c r="S48" s="2977"/>
      <c r="T48" s="2977"/>
      <c r="U48" s="2977"/>
      <c r="V48" s="2977"/>
      <c r="W48" s="941">
        <f>+W47/$F$47</f>
        <v>0.12996280854265471</v>
      </c>
      <c r="X48" s="2977"/>
      <c r="Y48" s="2977"/>
      <c r="Z48" s="2978">
        <f>+Z47/F47</f>
        <v>0</v>
      </c>
    </row>
    <row r="49" spans="2:26">
      <c r="B49" s="604">
        <v>31</v>
      </c>
      <c r="C49" s="98"/>
      <c r="D49" s="96"/>
      <c r="E49" s="62"/>
      <c r="F49" s="96"/>
      <c r="G49" s="96"/>
      <c r="H49" s="2884"/>
      <c r="I49" s="2884"/>
      <c r="J49" s="2884"/>
      <c r="K49" s="2884"/>
      <c r="L49" s="2884"/>
      <c r="M49" s="654"/>
      <c r="N49" s="654"/>
      <c r="O49" s="654"/>
      <c r="P49" s="654"/>
      <c r="Q49" s="654"/>
      <c r="R49" s="96"/>
      <c r="S49" s="96"/>
      <c r="T49" s="96"/>
      <c r="U49" s="96"/>
      <c r="V49" s="96"/>
      <c r="W49" s="2884"/>
      <c r="X49" s="2038"/>
      <c r="Y49" s="2038"/>
      <c r="Z49" s="2979"/>
    </row>
    <row r="50" spans="2:26">
      <c r="B50" s="604">
        <v>32</v>
      </c>
      <c r="C50" s="98" t="s">
        <v>4359</v>
      </c>
      <c r="D50" s="96"/>
      <c r="E50" s="62"/>
      <c r="F50" s="654">
        <f>+SUM(G50:Z50)</f>
        <v>932218.26530362002</v>
      </c>
      <c r="G50" s="96"/>
      <c r="H50" s="96"/>
      <c r="I50" s="96"/>
      <c r="J50" s="96"/>
      <c r="K50" s="96"/>
      <c r="L50" s="96"/>
      <c r="M50" s="654">
        <f>+'0 MDS Distribution'!F83</f>
        <v>385.73180000000002</v>
      </c>
      <c r="N50" s="654">
        <f>+'0 MDS Distribution'!G83</f>
        <v>753246.56163162598</v>
      </c>
      <c r="O50" s="654">
        <f>+'0 MDS Distribution'!H83</f>
        <v>0</v>
      </c>
      <c r="P50" s="654">
        <f>+'0 MDS Distribution'!I83</f>
        <v>57432.267938374134</v>
      </c>
      <c r="Q50" s="654">
        <f>+'0 MDS Distribution'!J83</f>
        <v>0</v>
      </c>
      <c r="R50" s="849"/>
      <c r="S50" s="849"/>
      <c r="T50" s="849"/>
      <c r="U50" s="849"/>
      <c r="V50" s="849"/>
      <c r="W50" s="630">
        <f>+'0 MDS Distribution'!K83</f>
        <v>121153.70393362005</v>
      </c>
      <c r="X50" s="96"/>
      <c r="Y50" s="96"/>
      <c r="Z50" s="97"/>
    </row>
    <row r="51" spans="2:26">
      <c r="B51" s="604">
        <v>33</v>
      </c>
      <c r="C51" s="98" t="s">
        <v>4360</v>
      </c>
      <c r="D51" s="290"/>
      <c r="E51" s="60" t="s">
        <v>4120</v>
      </c>
      <c r="F51" s="939">
        <f>+SUM(H51:Z51)</f>
        <v>1.0000000000000002</v>
      </c>
      <c r="G51" s="96"/>
      <c r="H51" s="96"/>
      <c r="I51" s="96"/>
      <c r="J51" s="96"/>
      <c r="K51" s="96"/>
      <c r="L51" s="96"/>
      <c r="M51" s="781">
        <f>+M50/$F$50</f>
        <v>4.1377841902118126E-4</v>
      </c>
      <c r="N51" s="781">
        <f>+N50/$F$50</f>
        <v>0.80801523598799729</v>
      </c>
      <c r="O51" s="781">
        <f>+O50/$F$50</f>
        <v>0</v>
      </c>
      <c r="P51" s="781">
        <f>+P50/$F$50</f>
        <v>6.1608177050327007E-2</v>
      </c>
      <c r="Q51" s="781">
        <f>+Q50/$F$50</f>
        <v>0</v>
      </c>
      <c r="R51" s="2980"/>
      <c r="S51" s="2980"/>
      <c r="T51" s="2980"/>
      <c r="U51" s="2980"/>
      <c r="V51" s="2980"/>
      <c r="W51" s="781">
        <f>+W50/$F$50</f>
        <v>0.12996280854265471</v>
      </c>
      <c r="X51" s="96"/>
      <c r="Y51" s="96"/>
      <c r="Z51" s="97"/>
    </row>
    <row r="52" spans="2:26">
      <c r="B52" s="604">
        <v>34</v>
      </c>
      <c r="C52" s="98"/>
      <c r="D52" s="96"/>
      <c r="E52" s="62"/>
      <c r="F52" s="96"/>
      <c r="G52" s="96"/>
      <c r="H52" s="96"/>
      <c r="I52" s="96"/>
      <c r="J52" s="96"/>
      <c r="K52" s="96"/>
      <c r="L52" s="96"/>
      <c r="M52" s="2884"/>
      <c r="N52" s="2884"/>
      <c r="O52" s="2981"/>
      <c r="P52" s="2884"/>
      <c r="Q52" s="2981"/>
      <c r="R52" s="96"/>
      <c r="S52" s="96"/>
      <c r="T52" s="96"/>
      <c r="U52" s="96"/>
      <c r="V52" s="96"/>
      <c r="W52" s="2884"/>
      <c r="X52" s="96"/>
      <c r="Y52" s="96"/>
      <c r="Z52" s="97"/>
    </row>
    <row r="53" spans="2:26">
      <c r="B53" s="604">
        <v>35</v>
      </c>
      <c r="C53" s="98" t="s">
        <v>4361</v>
      </c>
      <c r="D53" s="96"/>
      <c r="E53" s="62"/>
      <c r="F53" s="654">
        <f>+SUM(G53:Z53)</f>
        <v>368438.48759000003</v>
      </c>
      <c r="G53" s="2982">
        <f>+'0 MDS Distribution'!G89</f>
        <v>368438.48759000003</v>
      </c>
      <c r="H53" s="96"/>
      <c r="I53" s="96"/>
      <c r="J53" s="96"/>
      <c r="K53" s="96"/>
      <c r="L53" s="96"/>
      <c r="M53" s="933"/>
      <c r="N53" s="933"/>
      <c r="O53" s="933"/>
      <c r="P53" s="933"/>
      <c r="Q53" s="933"/>
      <c r="R53" s="2983"/>
      <c r="S53" s="2983"/>
      <c r="T53" s="2983"/>
      <c r="U53" s="2983"/>
      <c r="V53" s="2983"/>
      <c r="W53" s="933"/>
      <c r="X53" s="96"/>
      <c r="Y53" s="96"/>
      <c r="Z53" s="2898">
        <f>+'0 MDS Distribution'!F89</f>
        <v>0</v>
      </c>
    </row>
    <row r="54" spans="2:26">
      <c r="B54" s="604">
        <v>36</v>
      </c>
      <c r="C54" s="98" t="s">
        <v>4362</v>
      </c>
      <c r="D54" s="290"/>
      <c r="E54" s="60" t="s">
        <v>4123</v>
      </c>
      <c r="F54" s="939">
        <f>+SUM(H54:Z54)</f>
        <v>0</v>
      </c>
      <c r="G54" s="781">
        <f>+G53/F53</f>
        <v>1</v>
      </c>
      <c r="H54" s="96"/>
      <c r="I54" s="96"/>
      <c r="J54" s="96"/>
      <c r="K54" s="96"/>
      <c r="L54" s="96"/>
      <c r="M54" s="290"/>
      <c r="N54" s="290"/>
      <c r="O54" s="290"/>
      <c r="P54" s="290"/>
      <c r="Q54" s="290"/>
      <c r="R54" s="96"/>
      <c r="S54" s="96"/>
      <c r="T54" s="96"/>
      <c r="U54" s="96"/>
      <c r="V54" s="96"/>
      <c r="W54" s="630"/>
      <c r="X54" s="96"/>
      <c r="Y54" s="96"/>
      <c r="Z54" s="934">
        <f>+Z53/F53</f>
        <v>0</v>
      </c>
    </row>
    <row r="55" spans="2:26">
      <c r="B55" s="604">
        <v>37</v>
      </c>
      <c r="C55" s="2984"/>
      <c r="D55" s="545"/>
      <c r="E55" s="545"/>
      <c r="F55" s="545"/>
      <c r="G55" s="2887"/>
      <c r="H55" s="545"/>
      <c r="I55" s="545"/>
      <c r="J55" s="545"/>
      <c r="K55" s="545"/>
      <c r="L55" s="545"/>
      <c r="M55" s="545"/>
      <c r="N55" s="545"/>
      <c r="O55" s="545"/>
      <c r="P55" s="545"/>
      <c r="Q55" s="545"/>
      <c r="R55" s="545"/>
      <c r="S55" s="545"/>
      <c r="T55" s="545"/>
      <c r="U55" s="545"/>
      <c r="V55" s="545"/>
      <c r="W55" s="545"/>
      <c r="X55" s="545"/>
      <c r="Y55" s="545"/>
      <c r="Z55" s="2985"/>
    </row>
    <row r="56" spans="2:26">
      <c r="B56" s="604">
        <v>38</v>
      </c>
      <c r="C56" s="2860" t="s">
        <v>4678</v>
      </c>
      <c r="D56" s="638"/>
      <c r="E56" s="2479"/>
      <c r="F56" s="2479"/>
      <c r="G56" s="298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7"/>
    </row>
    <row r="57" spans="2:26">
      <c r="B57" s="604">
        <v>39</v>
      </c>
      <c r="C57" s="98" t="s">
        <v>4364</v>
      </c>
      <c r="D57" s="96"/>
      <c r="E57" s="329"/>
      <c r="F57" s="2815">
        <f>+SUM(G57:Z57)</f>
        <v>22452.582094121601</v>
      </c>
      <c r="G57" s="2815">
        <f>+SUM(G34:G40)</f>
        <v>2334.6293453197995</v>
      </c>
      <c r="H57" s="2815">
        <f t="shared" ref="H57:Z57" si="8">+SUM(H34:H40)</f>
        <v>612.908879524908</v>
      </c>
      <c r="I57" s="2815">
        <f t="shared" si="8"/>
        <v>9251.8464095790096</v>
      </c>
      <c r="J57" s="2815">
        <f t="shared" si="8"/>
        <v>0</v>
      </c>
      <c r="K57" s="2815">
        <f t="shared" si="8"/>
        <v>2154.0988234026368</v>
      </c>
      <c r="L57" s="2815">
        <f t="shared" si="8"/>
        <v>0</v>
      </c>
      <c r="M57" s="2815">
        <f t="shared" si="8"/>
        <v>1.9039686993190259</v>
      </c>
      <c r="N57" s="2815">
        <f t="shared" si="8"/>
        <v>3718.0182609167705</v>
      </c>
      <c r="O57" s="2815">
        <f t="shared" si="8"/>
        <v>0</v>
      </c>
      <c r="P57" s="2815">
        <f t="shared" si="8"/>
        <v>283.48515856242085</v>
      </c>
      <c r="Q57" s="2815">
        <f t="shared" si="8"/>
        <v>0</v>
      </c>
      <c r="R57" s="2815">
        <f t="shared" si="8"/>
        <v>0</v>
      </c>
      <c r="S57" s="2815">
        <f t="shared" si="8"/>
        <v>35.926822423073602</v>
      </c>
      <c r="T57" s="2815">
        <f t="shared" si="8"/>
        <v>0</v>
      </c>
      <c r="U57" s="2815">
        <f t="shared" si="8"/>
        <v>182.51841944822641</v>
      </c>
      <c r="V57" s="2815">
        <f t="shared" si="8"/>
        <v>0</v>
      </c>
      <c r="W57" s="2815">
        <f t="shared" si="8"/>
        <v>2393.3437837823371</v>
      </c>
      <c r="X57" s="2815">
        <f t="shared" si="8"/>
        <v>620.65197059160005</v>
      </c>
      <c r="Y57" s="2815">
        <f t="shared" si="8"/>
        <v>863.25025187149981</v>
      </c>
      <c r="Z57" s="2858">
        <f t="shared" si="8"/>
        <v>0</v>
      </c>
    </row>
    <row r="58" spans="2:26">
      <c r="B58" s="604">
        <v>40</v>
      </c>
      <c r="C58" s="98" t="s">
        <v>4365</v>
      </c>
      <c r="D58" s="96"/>
      <c r="E58" s="60" t="s">
        <v>4337</v>
      </c>
      <c r="F58" s="942">
        <f>+SUM(G58:Z58)</f>
        <v>1</v>
      </c>
      <c r="G58" s="943">
        <f>+G57/$F57</f>
        <v>0.10398043911087794</v>
      </c>
      <c r="H58" s="943">
        <f t="shared" ref="H58:Z58" si="9">+H57/$F57</f>
        <v>2.7297923996250573E-2</v>
      </c>
      <c r="I58" s="943">
        <f t="shared" si="9"/>
        <v>0.41206157807574711</v>
      </c>
      <c r="J58" s="943">
        <f t="shared" si="9"/>
        <v>0</v>
      </c>
      <c r="K58" s="943">
        <f t="shared" si="9"/>
        <v>9.5939915256633659E-2</v>
      </c>
      <c r="L58" s="943">
        <f t="shared" si="9"/>
        <v>0</v>
      </c>
      <c r="M58" s="943">
        <f t="shared" si="9"/>
        <v>8.479954293620027E-5</v>
      </c>
      <c r="N58" s="943">
        <f t="shared" si="9"/>
        <v>0.16559423968836973</v>
      </c>
      <c r="O58" s="943">
        <f t="shared" si="9"/>
        <v>0</v>
      </c>
      <c r="P58" s="943">
        <f t="shared" si="9"/>
        <v>1.2625949094587264E-2</v>
      </c>
      <c r="Q58" s="943">
        <f t="shared" si="9"/>
        <v>0</v>
      </c>
      <c r="R58" s="943">
        <f t="shared" si="9"/>
        <v>0</v>
      </c>
      <c r="S58" s="943">
        <f t="shared" si="9"/>
        <v>1.60011985581292E-3</v>
      </c>
      <c r="T58" s="943">
        <f t="shared" si="9"/>
        <v>0</v>
      </c>
      <c r="U58" s="943">
        <f t="shared" si="9"/>
        <v>8.1290614452763661E-3</v>
      </c>
      <c r="V58" s="943">
        <f t="shared" si="9"/>
        <v>0</v>
      </c>
      <c r="W58" s="943">
        <f t="shared" si="9"/>
        <v>0.10659548081148974</v>
      </c>
      <c r="X58" s="943">
        <f t="shared" si="9"/>
        <v>2.7642788165290592E-2</v>
      </c>
      <c r="Y58" s="943">
        <f t="shared" si="9"/>
        <v>3.8447704956727932E-2</v>
      </c>
      <c r="Z58" s="944">
        <f t="shared" si="9"/>
        <v>0</v>
      </c>
    </row>
    <row r="59" spans="2:26">
      <c r="B59" s="604">
        <v>41</v>
      </c>
      <c r="C59" s="98"/>
      <c r="D59" s="96"/>
      <c r="E59" s="60"/>
      <c r="F59" s="2980"/>
      <c r="G59" s="781"/>
      <c r="H59" s="781"/>
      <c r="I59" s="781"/>
      <c r="J59" s="781"/>
      <c r="K59" s="781"/>
      <c r="L59" s="781"/>
      <c r="M59" s="781"/>
      <c r="N59" s="781"/>
      <c r="O59" s="781"/>
      <c r="P59" s="781"/>
      <c r="Q59" s="781"/>
      <c r="R59" s="781"/>
      <c r="S59" s="781"/>
      <c r="T59" s="781"/>
      <c r="U59" s="781"/>
      <c r="V59" s="781"/>
      <c r="W59" s="781"/>
      <c r="X59" s="781"/>
      <c r="Y59" s="781"/>
      <c r="Z59" s="934"/>
    </row>
    <row r="60" spans="2:26">
      <c r="B60" s="604">
        <v>42</v>
      </c>
      <c r="C60" s="98" t="s">
        <v>4366</v>
      </c>
      <c r="D60" s="96"/>
      <c r="E60" s="60"/>
      <c r="F60" s="2815">
        <f>+SUM(G60:Z60)</f>
        <v>16458.758694902099</v>
      </c>
      <c r="G60" s="2815">
        <f>+SUM(G22:G27,G29)</f>
        <v>1413.6664857627998</v>
      </c>
      <c r="H60" s="2815">
        <f t="shared" ref="H60:Z60" si="10">+SUM(H22:H27,H29)</f>
        <v>296.47395769738591</v>
      </c>
      <c r="I60" s="2815">
        <f t="shared" si="10"/>
        <v>4475.2680417722177</v>
      </c>
      <c r="J60" s="2815">
        <f t="shared" si="10"/>
        <v>0</v>
      </c>
      <c r="K60" s="2815">
        <f t="shared" si="10"/>
        <v>1041.9725097480966</v>
      </c>
      <c r="L60" s="2815">
        <f t="shared" si="10"/>
        <v>0</v>
      </c>
      <c r="M60" s="2815">
        <f t="shared" si="10"/>
        <v>0.3730346240342306</v>
      </c>
      <c r="N60" s="2815">
        <f t="shared" si="10"/>
        <v>728.45186195001418</v>
      </c>
      <c r="O60" s="2815">
        <f t="shared" si="10"/>
        <v>0</v>
      </c>
      <c r="P60" s="2815">
        <f t="shared" si="10"/>
        <v>55.541763675757586</v>
      </c>
      <c r="Q60" s="2815">
        <f t="shared" si="10"/>
        <v>0</v>
      </c>
      <c r="R60" s="2815">
        <f t="shared" si="10"/>
        <v>0</v>
      </c>
      <c r="S60" s="2815">
        <f t="shared" si="10"/>
        <v>0</v>
      </c>
      <c r="T60" s="2815">
        <f t="shared" si="10"/>
        <v>0</v>
      </c>
      <c r="U60" s="2815">
        <f t="shared" si="10"/>
        <v>0</v>
      </c>
      <c r="V60" s="2815">
        <f t="shared" si="10"/>
        <v>0</v>
      </c>
      <c r="W60" s="2815">
        <f t="shared" si="10"/>
        <v>985.59598163849421</v>
      </c>
      <c r="X60" s="2815">
        <f t="shared" si="10"/>
        <v>1857.5328726781001</v>
      </c>
      <c r="Y60" s="2815">
        <f t="shared" si="10"/>
        <v>5603.8821853551999</v>
      </c>
      <c r="Z60" s="2858">
        <f t="shared" si="10"/>
        <v>0</v>
      </c>
    </row>
    <row r="61" spans="2:26">
      <c r="B61" s="604">
        <v>43</v>
      </c>
      <c r="C61" s="98" t="s">
        <v>4367</v>
      </c>
      <c r="D61" s="96"/>
      <c r="E61" s="60" t="s">
        <v>4368</v>
      </c>
      <c r="F61" s="942">
        <f>+SUM(G61:Z61)</f>
        <v>1</v>
      </c>
      <c r="G61" s="943">
        <f t="shared" ref="G61:Z61" si="11">+G60/$F60</f>
        <v>8.5891440051348814E-2</v>
      </c>
      <c r="H61" s="943">
        <f t="shared" si="11"/>
        <v>1.8013142011081014E-2</v>
      </c>
      <c r="I61" s="943">
        <f t="shared" si="11"/>
        <v>0.27190799286451522</v>
      </c>
      <c r="J61" s="943">
        <f t="shared" si="11"/>
        <v>0</v>
      </c>
      <c r="K61" s="943">
        <f t="shared" si="11"/>
        <v>6.3308085929398489E-2</v>
      </c>
      <c r="L61" s="943">
        <f t="shared" si="11"/>
        <v>0</v>
      </c>
      <c r="M61" s="943">
        <f t="shared" si="11"/>
        <v>2.2664809111623562E-5</v>
      </c>
      <c r="N61" s="943">
        <f t="shared" si="11"/>
        <v>4.4259222427001331E-2</v>
      </c>
      <c r="O61" s="943">
        <f t="shared" si="11"/>
        <v>0</v>
      </c>
      <c r="P61" s="943">
        <f t="shared" si="11"/>
        <v>3.3746022227642827E-3</v>
      </c>
      <c r="Q61" s="943">
        <f t="shared" si="11"/>
        <v>0</v>
      </c>
      <c r="R61" s="943">
        <f t="shared" si="11"/>
        <v>0</v>
      </c>
      <c r="S61" s="943">
        <f t="shared" si="11"/>
        <v>0</v>
      </c>
      <c r="T61" s="943">
        <f t="shared" si="11"/>
        <v>0</v>
      </c>
      <c r="U61" s="943">
        <f t="shared" si="11"/>
        <v>0</v>
      </c>
      <c r="V61" s="943">
        <f t="shared" si="11"/>
        <v>0</v>
      </c>
      <c r="W61" s="943">
        <f t="shared" si="11"/>
        <v>5.988276515310785E-2</v>
      </c>
      <c r="X61" s="943">
        <f t="shared" si="11"/>
        <v>0.11285983998619825</v>
      </c>
      <c r="Y61" s="943">
        <f t="shared" si="11"/>
        <v>0.34048024454547321</v>
      </c>
      <c r="Z61" s="944">
        <f t="shared" si="11"/>
        <v>0</v>
      </c>
    </row>
    <row r="62" spans="2:26">
      <c r="B62" s="604">
        <v>44</v>
      </c>
      <c r="C62" s="98"/>
      <c r="D62" s="96"/>
      <c r="E62" s="60"/>
      <c r="F62" s="2980"/>
      <c r="G62" s="781"/>
      <c r="H62" s="781"/>
      <c r="I62" s="781"/>
      <c r="J62" s="781"/>
      <c r="K62" s="781"/>
      <c r="L62" s="781"/>
      <c r="M62" s="781"/>
      <c r="N62" s="781"/>
      <c r="O62" s="781"/>
      <c r="P62" s="781"/>
      <c r="Q62" s="781"/>
      <c r="R62" s="781"/>
      <c r="S62" s="781"/>
      <c r="T62" s="781"/>
      <c r="U62" s="781"/>
      <c r="V62" s="781"/>
      <c r="W62" s="781"/>
      <c r="X62" s="781"/>
      <c r="Y62" s="781"/>
      <c r="Z62" s="934"/>
    </row>
    <row r="63" spans="2:26">
      <c r="B63" s="604">
        <v>45</v>
      </c>
      <c r="C63" s="98" t="s">
        <v>4369</v>
      </c>
      <c r="D63" s="96"/>
      <c r="E63" s="60"/>
      <c r="F63" s="2815">
        <f>+SUM(G63:Z63)</f>
        <v>38911.340789023699</v>
      </c>
      <c r="G63" s="2815">
        <f>+G57+G60</f>
        <v>3748.2958310825993</v>
      </c>
      <c r="H63" s="2815">
        <f t="shared" ref="H63:Z63" si="12">+H57+H60</f>
        <v>909.38283722229392</v>
      </c>
      <c r="I63" s="2815">
        <f t="shared" si="12"/>
        <v>13727.114451351226</v>
      </c>
      <c r="J63" s="2815">
        <f t="shared" si="12"/>
        <v>0</v>
      </c>
      <c r="K63" s="2815">
        <f t="shared" si="12"/>
        <v>3196.0713331507332</v>
      </c>
      <c r="L63" s="2815">
        <f t="shared" si="12"/>
        <v>0</v>
      </c>
      <c r="M63" s="2815">
        <f t="shared" si="12"/>
        <v>2.2770033233532567</v>
      </c>
      <c r="N63" s="2815">
        <f t="shared" si="12"/>
        <v>4446.4701228667845</v>
      </c>
      <c r="O63" s="2815">
        <f t="shared" si="12"/>
        <v>0</v>
      </c>
      <c r="P63" s="2815">
        <f t="shared" si="12"/>
        <v>339.02692223817843</v>
      </c>
      <c r="Q63" s="2815">
        <f t="shared" si="12"/>
        <v>0</v>
      </c>
      <c r="R63" s="2815">
        <f t="shared" si="12"/>
        <v>0</v>
      </c>
      <c r="S63" s="2815">
        <f t="shared" si="12"/>
        <v>35.926822423073602</v>
      </c>
      <c r="T63" s="2815">
        <f t="shared" si="12"/>
        <v>0</v>
      </c>
      <c r="U63" s="2815">
        <f t="shared" si="12"/>
        <v>182.51841944822641</v>
      </c>
      <c r="V63" s="2815">
        <f t="shared" si="12"/>
        <v>0</v>
      </c>
      <c r="W63" s="2815">
        <f t="shared" si="12"/>
        <v>3378.9397654208315</v>
      </c>
      <c r="X63" s="2815">
        <f t="shared" si="12"/>
        <v>2478.1848432697002</v>
      </c>
      <c r="Y63" s="2815">
        <f t="shared" si="12"/>
        <v>6467.1324372266999</v>
      </c>
      <c r="Z63" s="2858">
        <f t="shared" si="12"/>
        <v>0</v>
      </c>
    </row>
    <row r="64" spans="2:26">
      <c r="B64" s="604">
        <v>46</v>
      </c>
      <c r="C64" s="98" t="s">
        <v>4370</v>
      </c>
      <c r="D64" s="96"/>
      <c r="E64" s="60" t="s">
        <v>4316</v>
      </c>
      <c r="F64" s="942">
        <f>+SUM(G64:Z64)</f>
        <v>1</v>
      </c>
      <c r="G64" s="943">
        <f t="shared" ref="G64:Z64" si="13">+G63/$F63</f>
        <v>9.6329135801456037E-2</v>
      </c>
      <c r="H64" s="943">
        <f t="shared" si="13"/>
        <v>2.337063742298022E-2</v>
      </c>
      <c r="I64" s="943">
        <f t="shared" si="13"/>
        <v>0.35277927136408105</v>
      </c>
      <c r="J64" s="943">
        <f t="shared" si="13"/>
        <v>0</v>
      </c>
      <c r="K64" s="943">
        <f t="shared" si="13"/>
        <v>8.2137270737591667E-2</v>
      </c>
      <c r="L64" s="943">
        <f t="shared" si="13"/>
        <v>0</v>
      </c>
      <c r="M64" s="943">
        <f t="shared" si="13"/>
        <v>5.8517729720471747E-5</v>
      </c>
      <c r="N64" s="943">
        <f t="shared" si="13"/>
        <v>0.1142718300809893</v>
      </c>
      <c r="O64" s="943">
        <f t="shared" si="13"/>
        <v>0</v>
      </c>
      <c r="P64" s="943">
        <f t="shared" si="13"/>
        <v>8.7128049397314205E-3</v>
      </c>
      <c r="Q64" s="943">
        <f t="shared" si="13"/>
        <v>0</v>
      </c>
      <c r="R64" s="943">
        <f t="shared" si="13"/>
        <v>0</v>
      </c>
      <c r="S64" s="943">
        <f t="shared" si="13"/>
        <v>9.2329952385521543E-4</v>
      </c>
      <c r="T64" s="943">
        <f t="shared" si="13"/>
        <v>0</v>
      </c>
      <c r="U64" s="943">
        <f t="shared" si="13"/>
        <v>4.6906227271333737E-3</v>
      </c>
      <c r="V64" s="943">
        <f t="shared" si="13"/>
        <v>0</v>
      </c>
      <c r="W64" s="943">
        <f t="shared" si="13"/>
        <v>8.6836888601227E-2</v>
      </c>
      <c r="X64" s="943">
        <f t="shared" si="13"/>
        <v>6.3687983837574638E-2</v>
      </c>
      <c r="Y64" s="943">
        <f t="shared" si="13"/>
        <v>0.16620173723365966</v>
      </c>
      <c r="Z64" s="944">
        <f t="shared" si="13"/>
        <v>0</v>
      </c>
    </row>
    <row r="65" spans="2:26" ht="15" thickBot="1">
      <c r="B65" s="604">
        <v>47</v>
      </c>
      <c r="C65" s="2411"/>
      <c r="D65" s="2967"/>
      <c r="E65" s="2967"/>
      <c r="F65" s="2987"/>
      <c r="G65" s="935"/>
      <c r="H65" s="935"/>
      <c r="I65" s="935"/>
      <c r="J65" s="935"/>
      <c r="K65" s="935"/>
      <c r="L65" s="935"/>
      <c r="M65" s="935"/>
      <c r="N65" s="935"/>
      <c r="O65" s="935"/>
      <c r="P65" s="935"/>
      <c r="Q65" s="935"/>
      <c r="R65" s="935"/>
      <c r="S65" s="935"/>
      <c r="T65" s="935"/>
      <c r="U65" s="935"/>
      <c r="V65" s="935"/>
      <c r="W65" s="935"/>
      <c r="X65" s="935"/>
      <c r="Y65" s="935"/>
      <c r="Z65" s="936"/>
    </row>
    <row r="66" spans="2:26">
      <c r="B66" s="683">
        <v>48</v>
      </c>
      <c r="C66" s="545"/>
      <c r="D66" s="545"/>
      <c r="E66" s="545"/>
      <c r="F66" s="2988"/>
      <c r="G66" s="937"/>
      <c r="H66" s="937"/>
      <c r="I66" s="937"/>
      <c r="J66" s="937"/>
      <c r="K66" s="937"/>
      <c r="L66" s="937"/>
      <c r="M66" s="937"/>
      <c r="N66" s="937"/>
      <c r="O66" s="937"/>
      <c r="P66" s="937"/>
      <c r="Q66" s="937"/>
      <c r="R66" s="937"/>
      <c r="S66" s="937"/>
      <c r="T66" s="937"/>
      <c r="U66" s="937"/>
      <c r="V66" s="937"/>
      <c r="W66" s="937"/>
      <c r="X66" s="937"/>
      <c r="Y66" s="937"/>
      <c r="Z66" s="938"/>
    </row>
  </sheetData>
  <mergeCells count="3">
    <mergeCell ref="H15:L15"/>
    <mergeCell ref="M15:Q15"/>
    <mergeCell ref="R15:V1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C1:U105"/>
  <sheetViews>
    <sheetView tabSelected="1" showOutlineSymbols="0"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2107" t="s">
        <v>116</v>
      </c>
    </row>
    <row r="2" spans="3:9" ht="15" thickBot="1"/>
    <row r="3" spans="3:9" ht="15" thickBot="1">
      <c r="D3" s="113" t="s">
        <v>35</v>
      </c>
      <c r="E3" s="116" t="s">
        <v>4536</v>
      </c>
    </row>
    <row r="4" spans="3:9">
      <c r="D4" s="118" t="s">
        <v>4735</v>
      </c>
      <c r="E4" s="2255">
        <v>61196404.829999998</v>
      </c>
    </row>
    <row r="5" spans="3:9">
      <c r="D5" s="118" t="s">
        <v>4736</v>
      </c>
      <c r="E5" s="2255">
        <v>1823439</v>
      </c>
    </row>
    <row r="6" spans="3:9">
      <c r="D6" s="118" t="s">
        <v>4737</v>
      </c>
      <c r="E6" s="2255">
        <v>1064905</v>
      </c>
    </row>
    <row r="7" spans="3:9">
      <c r="D7" s="118" t="s">
        <v>4738</v>
      </c>
      <c r="E7" s="2705">
        <f>+SUMIFS('900s FERC Accounts'!E:E,'900s FERC Accounts'!C:C,924)</f>
        <v>19611570.9332962</v>
      </c>
    </row>
    <row r="8" spans="3:9">
      <c r="D8" s="118" t="s">
        <v>6898</v>
      </c>
      <c r="E8" s="2539">
        <f>+'Labor O&amp;M'!D10</f>
        <v>0</v>
      </c>
    </row>
    <row r="9" spans="3:9">
      <c r="D9" s="118" t="s">
        <v>6899</v>
      </c>
      <c r="E9" s="2539">
        <f>+'Labor O&amp;M'!D11</f>
        <v>0</v>
      </c>
    </row>
    <row r="10" spans="3:9" ht="15" thickBot="1">
      <c r="D10" s="914" t="s">
        <v>6900</v>
      </c>
      <c r="E10" s="2989">
        <v>0</v>
      </c>
    </row>
    <row r="13" spans="3:9">
      <c r="C13" s="352" t="s">
        <v>2173</v>
      </c>
      <c r="D13" s="518"/>
      <c r="E13" s="518"/>
      <c r="F13" s="518"/>
      <c r="G13" s="518"/>
      <c r="H13" s="294"/>
      <c r="I13" s="460"/>
    </row>
    <row r="14" spans="3:9">
      <c r="C14" s="353" t="s">
        <v>4681</v>
      </c>
      <c r="D14" s="62"/>
      <c r="E14" s="62"/>
      <c r="F14" s="62"/>
      <c r="G14" s="62"/>
      <c r="I14" s="296"/>
    </row>
    <row r="15" spans="3:9">
      <c r="C15" s="2829" t="s">
        <v>9263</v>
      </c>
      <c r="D15" s="2262"/>
      <c r="E15" s="2262"/>
      <c r="F15" s="62"/>
      <c r="G15" s="62"/>
      <c r="I15" s="296"/>
    </row>
    <row r="16" spans="3:9">
      <c r="C16" s="616"/>
      <c r="D16" s="297" t="s">
        <v>2477</v>
      </c>
      <c r="E16" s="297"/>
      <c r="F16" s="297"/>
      <c r="G16" s="297"/>
      <c r="H16" s="297"/>
      <c r="I16" s="298"/>
    </row>
    <row r="17" spans="3:9">
      <c r="C17" s="353"/>
      <c r="D17" s="62"/>
      <c r="E17" s="62"/>
      <c r="F17" s="60"/>
      <c r="G17" s="60"/>
      <c r="H17" s="60" t="s">
        <v>4214</v>
      </c>
      <c r="I17" s="767" t="s">
        <v>4682</v>
      </c>
    </row>
    <row r="18" spans="3:9">
      <c r="C18" s="363" t="s">
        <v>2182</v>
      </c>
      <c r="D18" s="62"/>
      <c r="E18" s="62"/>
      <c r="F18" s="60" t="s">
        <v>4215</v>
      </c>
      <c r="G18" s="60" t="s">
        <v>4216</v>
      </c>
      <c r="H18" s="60" t="s">
        <v>4215</v>
      </c>
      <c r="I18" s="767" t="s">
        <v>4683</v>
      </c>
    </row>
    <row r="19" spans="3:9">
      <c r="C19" s="522" t="s">
        <v>3216</v>
      </c>
      <c r="D19" s="77" t="s">
        <v>3174</v>
      </c>
      <c r="E19" s="77" t="s">
        <v>1918</v>
      </c>
      <c r="F19" s="77" t="s">
        <v>4684</v>
      </c>
      <c r="G19" s="77" t="s">
        <v>4685</v>
      </c>
      <c r="H19" s="77" t="s">
        <v>4684</v>
      </c>
      <c r="I19" s="364" t="s">
        <v>4686</v>
      </c>
    </row>
    <row r="20" spans="3:9">
      <c r="C20" s="354" t="s">
        <v>2175</v>
      </c>
      <c r="D20" s="355" t="s">
        <v>2176</v>
      </c>
      <c r="E20" s="355" t="s">
        <v>2177</v>
      </c>
      <c r="F20" s="355" t="s">
        <v>2178</v>
      </c>
      <c r="G20" s="355" t="s">
        <v>2179</v>
      </c>
      <c r="H20" s="355" t="s">
        <v>2625</v>
      </c>
      <c r="I20" s="356" t="s">
        <v>2626</v>
      </c>
    </row>
    <row r="21" spans="3:9">
      <c r="C21" s="357"/>
      <c r="I21" s="296"/>
    </row>
    <row r="22" spans="3:9">
      <c r="C22" s="604">
        <v>1</v>
      </c>
      <c r="E22" s="531" t="s">
        <v>4217</v>
      </c>
      <c r="I22" s="296"/>
    </row>
    <row r="23" spans="3:9">
      <c r="C23" s="365">
        <v>2</v>
      </c>
      <c r="D23" s="33" t="s">
        <v>4218</v>
      </c>
      <c r="E23" t="s">
        <v>4219</v>
      </c>
      <c r="F23" s="538">
        <f>+(+SUMIFS('900s FERC Accounts'!E:E,'900s FERC Accounts'!C:C,'Other and A&amp;G O&amp;M'!D23)/1000)</f>
        <v>0</v>
      </c>
      <c r="G23" s="538">
        <f>+SUMIFS('Surv Report Sched 2 pg 2'!H:H,'Surv Report Sched 2 pg 2'!B:B,'Other and A&amp;G O&amp;M'!E23)/1000</f>
        <v>0</v>
      </c>
      <c r="H23" s="46">
        <f>+F23+G23</f>
        <v>0</v>
      </c>
      <c r="I23" s="2530" t="s">
        <v>4687</v>
      </c>
    </row>
    <row r="24" spans="3:9">
      <c r="C24" s="365">
        <v>3</v>
      </c>
      <c r="D24" s="33" t="s">
        <v>4220</v>
      </c>
      <c r="E24" t="s">
        <v>4688</v>
      </c>
      <c r="F24" s="538">
        <f>+(+SUMIFS('900s FERC Accounts'!E:E,'900s FERC Accounts'!C:C,'Other and A&amp;G O&amp;M'!D24)/1000)</f>
        <v>4394.4262944155998</v>
      </c>
      <c r="G24" s="538">
        <f>+SUMIFS('Surv Report Sched 2 pg 2'!H:H,'Surv Report Sched 2 pg 2'!B:B,'Other and A&amp;G O&amp;M'!E24)/1000</f>
        <v>0</v>
      </c>
      <c r="H24" s="46">
        <f>+F24+G24</f>
        <v>4394.4262944155998</v>
      </c>
      <c r="I24" s="2530" t="s">
        <v>4688</v>
      </c>
    </row>
    <row r="25" spans="3:9">
      <c r="C25" s="365">
        <v>4</v>
      </c>
      <c r="D25" s="33" t="s">
        <v>4222</v>
      </c>
      <c r="E25" t="s">
        <v>4689</v>
      </c>
      <c r="F25" s="538">
        <f>+(+SUMIFS('900s FERC Accounts'!E:E,'900s FERC Accounts'!C:C,'Other and A&amp;G O&amp;M'!D25)/1000)</f>
        <v>29376.6058748381</v>
      </c>
      <c r="G25" s="538">
        <f>+SUMIFS('Surv Report Sched 2 pg 2'!H:H,'Surv Report Sched 2 pg 2'!B:B,'Other and A&amp;G O&amp;M'!E25)/1000</f>
        <v>0</v>
      </c>
      <c r="H25" s="46">
        <f>+F25+G25</f>
        <v>29376.6058748381</v>
      </c>
      <c r="I25" s="2530" t="s">
        <v>4687</v>
      </c>
    </row>
    <row r="26" spans="3:9">
      <c r="C26" s="365">
        <v>5</v>
      </c>
      <c r="D26" s="33" t="s">
        <v>4224</v>
      </c>
      <c r="E26" t="s">
        <v>4690</v>
      </c>
      <c r="F26" s="538">
        <f>+(+SUMIFS('900s FERC Accounts'!E:E,'900s FERC Accounts'!C:C,'Other and A&amp;G O&amp;M'!D26)/1000)</f>
        <v>5796.7804260915</v>
      </c>
      <c r="G26" s="538">
        <f>+SUMIFS('Surv Report Sched 2 pg 2'!H:H,'Surv Report Sched 2 pg 2'!B:B,'Other and A&amp;G O&amp;M'!E26)/1000</f>
        <v>0</v>
      </c>
      <c r="H26" s="46">
        <f>+F26+G26</f>
        <v>5796.7804260915</v>
      </c>
      <c r="I26" s="296" t="s">
        <v>4691</v>
      </c>
    </row>
    <row r="27" spans="3:9">
      <c r="C27" s="365">
        <v>6</v>
      </c>
      <c r="D27" s="33" t="s">
        <v>4226</v>
      </c>
      <c r="E27" t="s">
        <v>4227</v>
      </c>
      <c r="F27" s="538">
        <f>+(+SUMIFS('900s FERC Accounts'!E:E,'900s FERC Accounts'!C:C,'Other and A&amp;G O&amp;M'!D27)/1000)</f>
        <v>0</v>
      </c>
      <c r="G27" s="538">
        <f>+SUMIFS('Surv Report Sched 2 pg 2'!H:H,'Surv Report Sched 2 pg 2'!B:B,'Other and A&amp;G O&amp;M'!E27)/1000</f>
        <v>0</v>
      </c>
      <c r="H27" s="2990">
        <f>+F27+G27</f>
        <v>0</v>
      </c>
      <c r="I27" s="2530" t="s">
        <v>4687</v>
      </c>
    </row>
    <row r="28" spans="3:9">
      <c r="C28" s="365">
        <v>7</v>
      </c>
      <c r="F28" s="2991"/>
      <c r="G28" s="2992"/>
      <c r="H28" s="46"/>
      <c r="I28" s="296"/>
    </row>
    <row r="29" spans="3:9">
      <c r="C29" s="365">
        <v>8</v>
      </c>
      <c r="E29" t="s">
        <v>4228</v>
      </c>
      <c r="F29" s="2990">
        <f>+SUM(F23:F27)</f>
        <v>39567.812595345196</v>
      </c>
      <c r="G29" s="2990">
        <f>+SUM(G23:G27)</f>
        <v>0</v>
      </c>
      <c r="H29" s="2990">
        <f>+SUM(H23:H27)</f>
        <v>39567.812595345196</v>
      </c>
      <c r="I29" s="296"/>
    </row>
    <row r="30" spans="3:9">
      <c r="C30" s="365">
        <v>9</v>
      </c>
      <c r="I30" s="296"/>
    </row>
    <row r="31" spans="3:9">
      <c r="C31" s="365">
        <v>10</v>
      </c>
      <c r="F31" s="46"/>
      <c r="G31" s="46"/>
      <c r="H31" s="46"/>
      <c r="I31" s="296"/>
    </row>
    <row r="32" spans="3:9">
      <c r="C32" s="365">
        <v>11</v>
      </c>
      <c r="E32" s="531" t="s">
        <v>4692</v>
      </c>
      <c r="F32" s="46"/>
      <c r="G32" s="46"/>
      <c r="H32" s="46"/>
      <c r="I32" s="296"/>
    </row>
    <row r="33" spans="3:10">
      <c r="C33" s="365">
        <v>12</v>
      </c>
      <c r="D33" s="33" t="s">
        <v>4230</v>
      </c>
      <c r="E33" t="s">
        <v>4219</v>
      </c>
      <c r="F33" s="538">
        <f>+(+SUMIFS('900s FERC Accounts'!E:E,'900s FERC Accounts'!C:C,'Other and A&amp;G O&amp;M'!D33)/1000)</f>
        <v>0</v>
      </c>
      <c r="G33" s="538">
        <f>+SUMIFS('Surv Report Sched 2 pg 2'!H:H,'Surv Report Sched 2 pg 2'!B:B,'Other and A&amp;G O&amp;M'!E33)/1000</f>
        <v>0</v>
      </c>
      <c r="H33" s="46">
        <f>+F33+G33</f>
        <v>0</v>
      </c>
      <c r="I33" s="296"/>
    </row>
    <row r="34" spans="3:10">
      <c r="C34" s="365">
        <v>13</v>
      </c>
      <c r="D34" s="33" t="s">
        <v>4231</v>
      </c>
      <c r="E34" t="s">
        <v>4693</v>
      </c>
      <c r="F34" s="538">
        <f>+(+SUMIFS('900s FERC Accounts'!E:E,'900s FERC Accounts'!C:C,'Other and A&amp;G O&amp;M'!D34)/1000)</f>
        <v>62700.664669294412</v>
      </c>
      <c r="G34" s="538">
        <f>-E4/1000</f>
        <v>-61196.404829999999</v>
      </c>
      <c r="H34" s="46">
        <f>+F34+G34</f>
        <v>1504.2598392944128</v>
      </c>
      <c r="I34" s="296"/>
      <c r="J34" s="849"/>
    </row>
    <row r="35" spans="3:10">
      <c r="C35" s="365">
        <v>14</v>
      </c>
      <c r="D35" s="33" t="s">
        <v>4233</v>
      </c>
      <c r="E35" t="s">
        <v>4694</v>
      </c>
      <c r="F35" s="538">
        <f>+(+SUMIFS('900s FERC Accounts'!E:E,'900s FERC Accounts'!C:C,'Other and A&amp;G O&amp;M'!D35)/1000)</f>
        <v>5484.1589778819989</v>
      </c>
      <c r="G35" s="538">
        <f>-E5/1000</f>
        <v>-1823.4390000000001</v>
      </c>
      <c r="H35" s="46">
        <f>+F35+G35</f>
        <v>3660.7199778819986</v>
      </c>
      <c r="I35" s="296"/>
      <c r="J35" s="849"/>
    </row>
    <row r="36" spans="3:10">
      <c r="C36" s="365">
        <v>15</v>
      </c>
      <c r="D36" s="33" t="s">
        <v>4235</v>
      </c>
      <c r="E36" t="s">
        <v>4695</v>
      </c>
      <c r="F36" s="538">
        <f>+(+SUMIFS('900s FERC Accounts'!E:E,'900s FERC Accounts'!C:C,'Other and A&amp;G O&amp;M'!D36)/1000)</f>
        <v>0</v>
      </c>
      <c r="G36" s="538">
        <f>+SUMIFS('Surv Report Sched 2 pg 2'!H:H,'Surv Report Sched 2 pg 2'!B:B,'Other and A&amp;G O&amp;M'!E36)/1000</f>
        <v>0</v>
      </c>
      <c r="H36" s="2990">
        <f>+F36+G36</f>
        <v>0</v>
      </c>
      <c r="I36" s="296"/>
      <c r="J36" s="849"/>
    </row>
    <row r="37" spans="3:10">
      <c r="C37" s="365">
        <v>16</v>
      </c>
      <c r="F37" s="2991"/>
      <c r="G37" s="2992"/>
      <c r="H37" s="46"/>
      <c r="I37" s="296"/>
      <c r="J37" s="849"/>
    </row>
    <row r="38" spans="3:10">
      <c r="C38" s="365">
        <v>17</v>
      </c>
      <c r="E38" t="s">
        <v>4228</v>
      </c>
      <c r="F38" s="2990">
        <f>+SUM(F33:F36)</f>
        <v>68184.82364717641</v>
      </c>
      <c r="G38" s="2990">
        <f>+SUM(G33:G36)</f>
        <v>-63019.843829999998</v>
      </c>
      <c r="H38" s="2990">
        <f>+SUM(H33:H36)</f>
        <v>5164.9798171764114</v>
      </c>
      <c r="I38" s="296" t="s">
        <v>4696</v>
      </c>
      <c r="J38" s="849"/>
    </row>
    <row r="39" spans="3:10">
      <c r="C39" s="365">
        <v>18</v>
      </c>
      <c r="F39" s="46"/>
      <c r="G39" s="46"/>
      <c r="H39" s="46"/>
      <c r="I39" s="296"/>
      <c r="J39" s="96"/>
    </row>
    <row r="40" spans="3:10">
      <c r="C40" s="365">
        <v>19</v>
      </c>
      <c r="E40" s="531" t="s">
        <v>4237</v>
      </c>
      <c r="F40" s="46"/>
      <c r="G40" s="46"/>
      <c r="H40" s="46"/>
      <c r="I40" s="296"/>
      <c r="J40" s="849"/>
    </row>
    <row r="41" spans="3:10">
      <c r="C41" s="365">
        <v>20</v>
      </c>
      <c r="D41" s="33" t="s">
        <v>4238</v>
      </c>
      <c r="E41" t="s">
        <v>4219</v>
      </c>
      <c r="F41" s="538">
        <f>+(+SUMIFS('900s FERC Accounts'!E:E,'900s FERC Accounts'!C:C,'Other and A&amp;G O&amp;M'!D41)/1000)</f>
        <v>0</v>
      </c>
      <c r="G41" s="538">
        <f>+SUMIFS('Surv Report Sched 2 pg 2'!H:H,'Surv Report Sched 2 pg 2'!B:B,'Other and A&amp;G O&amp;M'!E41)/1000</f>
        <v>0</v>
      </c>
      <c r="H41" s="46">
        <f>+F41+G41</f>
        <v>0</v>
      </c>
      <c r="I41" s="296"/>
      <c r="J41" s="849"/>
    </row>
    <row r="42" spans="3:10">
      <c r="C42" s="365">
        <v>21</v>
      </c>
      <c r="D42" s="33" t="s">
        <v>4239</v>
      </c>
      <c r="E42" t="s">
        <v>4697</v>
      </c>
      <c r="F42" s="538">
        <f>+(+SUMIFS('900s FERC Accounts'!E:E,'900s FERC Accounts'!C:C,'Other and A&amp;G O&amp;M'!D42)/1000)</f>
        <v>335.00200000000001</v>
      </c>
      <c r="G42" s="538">
        <f>SUMIFS('Surv Report Sched 2 pg 2'!H:H,'Surv Report Sched 2 pg 2'!B:B,"=Economic Development")/1000</f>
        <v>-23.500100000000003</v>
      </c>
      <c r="H42" s="46">
        <f>+F42+G42</f>
        <v>311.50189999999998</v>
      </c>
      <c r="I42" s="296"/>
      <c r="J42" s="849"/>
    </row>
    <row r="43" spans="3:10">
      <c r="C43" s="365">
        <v>22</v>
      </c>
      <c r="D43" s="33" t="s">
        <v>4241</v>
      </c>
      <c r="E43" t="s">
        <v>975</v>
      </c>
      <c r="F43" s="538">
        <f>+(+SUMIFS('900s FERC Accounts'!E:E,'900s FERC Accounts'!C:C,'Other and A&amp;G O&amp;M'!D43)/1000)</f>
        <v>0</v>
      </c>
      <c r="G43" s="538">
        <f>+SUMIFS('Surv Report Sched 2 pg 2'!H:H,'Surv Report Sched 2 pg 2'!B:B,'Other and A&amp;G O&amp;M'!E43)/1000</f>
        <v>0</v>
      </c>
      <c r="H43" s="46">
        <f>+F43+G43</f>
        <v>0</v>
      </c>
      <c r="I43" s="296"/>
    </row>
    <row r="44" spans="3:10">
      <c r="C44" s="365">
        <v>23</v>
      </c>
      <c r="D44" s="33" t="s">
        <v>4243</v>
      </c>
      <c r="E44" t="s">
        <v>4244</v>
      </c>
      <c r="F44" s="538">
        <f>+(+SUMIFS('900s FERC Accounts'!E:E,'900s FERC Accounts'!C:C,'Other and A&amp;G O&amp;M'!D44)/1000)</f>
        <v>0</v>
      </c>
      <c r="G44" s="538">
        <f>+SUMIFS('Surv Report Sched 2 pg 2'!H:H,'Surv Report Sched 2 pg 2'!B:B,"=Promotional Advertising")/1000</f>
        <v>0</v>
      </c>
      <c r="H44" s="2990">
        <f>+F44+G44</f>
        <v>0</v>
      </c>
      <c r="I44" s="296"/>
    </row>
    <row r="45" spans="3:10">
      <c r="C45" s="365">
        <v>24</v>
      </c>
      <c r="F45" s="2991"/>
      <c r="G45" s="2992"/>
      <c r="H45" s="46"/>
      <c r="I45" s="296"/>
      <c r="J45" s="834"/>
    </row>
    <row r="46" spans="3:10">
      <c r="C46" s="365">
        <v>25</v>
      </c>
      <c r="E46" t="s">
        <v>4228</v>
      </c>
      <c r="F46" s="2990">
        <f>+SUM(F41:F44)</f>
        <v>335.00200000000001</v>
      </c>
      <c r="G46" s="2990">
        <f>+SUM(G41:G44)</f>
        <v>-23.500100000000003</v>
      </c>
      <c r="H46" s="2990">
        <f>+SUM(H41:H44)</f>
        <v>311.50189999999998</v>
      </c>
      <c r="I46" s="296" t="s">
        <v>4698</v>
      </c>
    </row>
    <row r="47" spans="3:10">
      <c r="C47" s="365">
        <v>26</v>
      </c>
      <c r="F47" s="46"/>
      <c r="G47" s="46"/>
      <c r="H47" s="46"/>
      <c r="I47" s="296"/>
    </row>
    <row r="48" spans="3:10">
      <c r="C48" s="365">
        <v>27</v>
      </c>
      <c r="F48" s="46"/>
      <c r="G48" s="46"/>
      <c r="H48" s="46"/>
      <c r="I48" s="296"/>
    </row>
    <row r="49" spans="3:21" ht="15" thickBot="1">
      <c r="C49" s="365">
        <v>28</v>
      </c>
      <c r="D49" t="s">
        <v>4699</v>
      </c>
      <c r="F49" s="2567">
        <f>+F29+F38+F46</f>
        <v>108087.6382425216</v>
      </c>
      <c r="G49" s="2567">
        <f>+G29+G38+G46</f>
        <v>-63043.343929999995</v>
      </c>
      <c r="H49" s="2567">
        <f>+H29+H38+H46</f>
        <v>45044.294312521612</v>
      </c>
      <c r="I49" s="296"/>
    </row>
    <row r="50" spans="3:21" ht="15" thickTop="1">
      <c r="C50" s="365"/>
      <c r="F50" s="46"/>
      <c r="G50" s="46"/>
      <c r="H50" s="46"/>
      <c r="I50" s="296"/>
    </row>
    <row r="51" spans="3:21">
      <c r="C51" s="462" t="s">
        <v>4700</v>
      </c>
      <c r="D51" s="297" t="s">
        <v>4701</v>
      </c>
      <c r="E51" s="297"/>
      <c r="F51" s="2990"/>
      <c r="G51" s="2990"/>
      <c r="H51" s="2990"/>
      <c r="I51" s="298"/>
    </row>
    <row r="52" spans="3:21">
      <c r="C52" s="33"/>
      <c r="F52" s="46"/>
      <c r="G52" s="46"/>
      <c r="H52" s="46"/>
    </row>
    <row r="54" spans="3:21">
      <c r="C54" s="352" t="s">
        <v>2173</v>
      </c>
      <c r="D54" s="294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2889"/>
    </row>
    <row r="55" spans="3:21">
      <c r="C55" s="353" t="s">
        <v>4702</v>
      </c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2530"/>
    </row>
    <row r="56" spans="3:21">
      <c r="C56" s="2552" t="s">
        <v>9263</v>
      </c>
      <c r="D56" s="1962"/>
      <c r="E56" s="1973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2530"/>
    </row>
    <row r="57" spans="3:21">
      <c r="C57" s="462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N57" s="545"/>
      <c r="O57" s="545"/>
      <c r="P57" s="545"/>
      <c r="Q57" s="545"/>
      <c r="R57" s="545"/>
      <c r="S57" s="545"/>
      <c r="T57" s="545"/>
      <c r="U57" s="2577"/>
    </row>
    <row r="58" spans="3:21">
      <c r="C58" s="363"/>
      <c r="D58" s="62"/>
      <c r="E58" s="62"/>
      <c r="G58" s="3162" t="s">
        <v>2131</v>
      </c>
      <c r="H58" s="3162"/>
      <c r="I58" s="3163"/>
      <c r="J58" s="3159" t="s">
        <v>4372</v>
      </c>
      <c r="K58" s="3160"/>
      <c r="L58" s="3161"/>
      <c r="M58" s="3159" t="s">
        <v>4184</v>
      </c>
      <c r="N58" s="3160"/>
      <c r="O58" s="3161"/>
      <c r="P58" s="3159" t="s">
        <v>4185</v>
      </c>
      <c r="Q58" s="3160"/>
      <c r="R58" s="3160"/>
      <c r="S58" s="3160"/>
      <c r="T58" s="3161"/>
      <c r="U58" s="2993" t="s">
        <v>2161</v>
      </c>
    </row>
    <row r="59" spans="3:21">
      <c r="C59" s="363" t="s">
        <v>2182</v>
      </c>
      <c r="D59" s="62"/>
      <c r="E59" s="60"/>
      <c r="G59" s="363" t="s">
        <v>115</v>
      </c>
      <c r="H59" s="60" t="s">
        <v>115</v>
      </c>
      <c r="I59" s="767" t="s">
        <v>4373</v>
      </c>
      <c r="J59" s="280" t="s">
        <v>115</v>
      </c>
      <c r="K59" s="60" t="s">
        <v>119</v>
      </c>
      <c r="L59" s="767" t="s">
        <v>120</v>
      </c>
      <c r="M59" s="280" t="s">
        <v>115</v>
      </c>
      <c r="N59" s="60" t="s">
        <v>4374</v>
      </c>
      <c r="O59" s="60" t="s">
        <v>4374</v>
      </c>
      <c r="P59" s="521" t="s">
        <v>115</v>
      </c>
      <c r="Q59" s="60" t="s">
        <v>4374</v>
      </c>
      <c r="R59" s="60"/>
      <c r="S59" s="60"/>
      <c r="T59" s="767" t="s">
        <v>4375</v>
      </c>
      <c r="U59" s="280" t="s">
        <v>2161</v>
      </c>
    </row>
    <row r="60" spans="3:21">
      <c r="C60" s="363" t="s">
        <v>3216</v>
      </c>
      <c r="D60" s="60" t="s">
        <v>3174</v>
      </c>
      <c r="E60" s="60" t="s">
        <v>2052</v>
      </c>
      <c r="F60" s="60" t="s">
        <v>4251</v>
      </c>
      <c r="G60" s="363" t="s">
        <v>2620</v>
      </c>
      <c r="H60" s="60" t="s">
        <v>4216</v>
      </c>
      <c r="I60" s="767" t="s">
        <v>2620</v>
      </c>
      <c r="J60" s="2890" t="s">
        <v>4376</v>
      </c>
      <c r="K60" s="60" t="s">
        <v>4703</v>
      </c>
      <c r="L60" s="767"/>
      <c r="M60" s="280" t="s">
        <v>4249</v>
      </c>
      <c r="N60" s="60" t="s">
        <v>4377</v>
      </c>
      <c r="O60" s="767" t="s">
        <v>4378</v>
      </c>
      <c r="P60" s="280" t="s">
        <v>4379</v>
      </c>
      <c r="Q60" s="60" t="s">
        <v>119</v>
      </c>
      <c r="R60" s="60" t="s">
        <v>4380</v>
      </c>
      <c r="S60" s="60" t="s">
        <v>4381</v>
      </c>
      <c r="T60" s="767" t="s">
        <v>4071</v>
      </c>
      <c r="U60" s="280" t="s">
        <v>4071</v>
      </c>
    </row>
    <row r="61" spans="3:21">
      <c r="C61" s="354" t="s">
        <v>2175</v>
      </c>
      <c r="D61" s="355" t="s">
        <v>2176</v>
      </c>
      <c r="E61" s="355" t="s">
        <v>2177</v>
      </c>
      <c r="F61" s="356" t="s">
        <v>2178</v>
      </c>
      <c r="G61" s="355" t="s">
        <v>2179</v>
      </c>
      <c r="H61" s="355" t="s">
        <v>2625</v>
      </c>
      <c r="I61" s="355" t="s">
        <v>2626</v>
      </c>
      <c r="J61" s="525" t="s">
        <v>2627</v>
      </c>
      <c r="K61" s="355" t="s">
        <v>2628</v>
      </c>
      <c r="L61" s="355" t="s">
        <v>2629</v>
      </c>
      <c r="M61" s="525" t="s">
        <v>2630</v>
      </c>
      <c r="N61" s="355" t="s">
        <v>4061</v>
      </c>
      <c r="O61" s="355" t="s">
        <v>4062</v>
      </c>
      <c r="P61" s="525" t="s">
        <v>4063</v>
      </c>
      <c r="Q61" s="355" t="s">
        <v>4064</v>
      </c>
      <c r="R61" s="355" t="s">
        <v>4065</v>
      </c>
      <c r="S61" s="355" t="s">
        <v>4178</v>
      </c>
      <c r="T61" s="355" t="s">
        <v>4306</v>
      </c>
      <c r="U61" s="525" t="s">
        <v>4307</v>
      </c>
    </row>
    <row r="62" spans="3:21">
      <c r="C62" s="526">
        <v>1</v>
      </c>
      <c r="D62" s="96"/>
      <c r="E62" s="531" t="s">
        <v>4704</v>
      </c>
      <c r="G62" s="2415"/>
      <c r="H62" s="96"/>
      <c r="I62" s="2530"/>
      <c r="J62" s="631"/>
      <c r="K62" s="96"/>
      <c r="L62" s="2530"/>
      <c r="M62" s="631"/>
      <c r="N62" s="96"/>
      <c r="O62" s="2530"/>
      <c r="P62" s="631"/>
      <c r="Q62" s="96"/>
      <c r="R62" s="96"/>
      <c r="S62" s="96"/>
      <c r="T62" s="2530"/>
      <c r="U62" s="2530"/>
    </row>
    <row r="63" spans="3:21">
      <c r="C63" s="365">
        <v>2</v>
      </c>
      <c r="D63" s="290" t="s">
        <v>4384</v>
      </c>
      <c r="E63" s="96" t="s">
        <v>4270</v>
      </c>
      <c r="G63" s="620">
        <f>+SUMIFS('900s FERC Accounts'!E:E,'900s FERC Accounts'!C:C,'Other and A&amp;G O&amp;M'!D63)/1000</f>
        <v>1860.4143854999995</v>
      </c>
      <c r="H63" s="42">
        <f>+SUMIFS('Surv Report Sched 2 pg 2'!H:H,'Surv Report Sched 2 pg 2'!B:B,"Solaris and Waterfall")/1000</f>
        <v>-3.5103345925557305</v>
      </c>
      <c r="I63" s="903">
        <f>+G63+H63</f>
        <v>1856.9040509074439</v>
      </c>
      <c r="J63" s="2893"/>
      <c r="K63" s="538"/>
      <c r="L63" s="538"/>
      <c r="M63" s="2893"/>
      <c r="N63" s="538"/>
      <c r="O63" s="538"/>
      <c r="P63" s="2893"/>
      <c r="Q63" s="538"/>
      <c r="R63" s="538"/>
      <c r="S63" s="538"/>
      <c r="T63" s="2565"/>
      <c r="U63" s="2565"/>
    </row>
    <row r="64" spans="3:21">
      <c r="C64" s="526">
        <v>3</v>
      </c>
      <c r="D64" s="290">
        <v>407.3</v>
      </c>
      <c r="E64" s="96" t="s">
        <v>9336</v>
      </c>
      <c r="G64" s="620">
        <f>+_xlfn.XLOOKUP("4073212",'Income Statement Accounts'!B:B,'Income Statement Accounts'!R:R)</f>
        <v>-5522.7086771976019</v>
      </c>
      <c r="H64" s="42"/>
      <c r="I64" s="903">
        <f>+G64+H64</f>
        <v>-5522.7086771976019</v>
      </c>
      <c r="J64" s="2893"/>
      <c r="K64" s="538"/>
      <c r="L64" s="538"/>
      <c r="M64" s="2893"/>
      <c r="N64" s="538"/>
      <c r="O64" s="538"/>
      <c r="P64" s="2893"/>
      <c r="Q64" s="538"/>
      <c r="R64" s="538"/>
      <c r="S64" s="538"/>
      <c r="T64" s="2565"/>
      <c r="U64" s="2565"/>
    </row>
    <row r="65" spans="3:21">
      <c r="C65" s="365">
        <v>4</v>
      </c>
      <c r="D65" s="290">
        <v>932</v>
      </c>
      <c r="E65" s="96" t="s">
        <v>4386</v>
      </c>
      <c r="G65" s="947">
        <f>(+SUMIFS('900s FERC Accounts'!E:E,'900s FERC Accounts'!C:C,932)+SUMIFS('900s FERC Accounts'!E:E,'900s FERC Accounts'!C:C,935))/1000</f>
        <v>1934.2816321492</v>
      </c>
      <c r="H65" s="439"/>
      <c r="I65" s="903">
        <f>+G65+H65</f>
        <v>1934.2816321492</v>
      </c>
      <c r="J65" s="2994"/>
      <c r="K65" s="2995"/>
      <c r="L65" s="2996"/>
      <c r="M65" s="2994"/>
      <c r="N65" s="2995"/>
      <c r="O65" s="2996"/>
      <c r="P65" s="2994"/>
      <c r="Q65" s="2995"/>
      <c r="R65" s="2995"/>
      <c r="S65" s="2995"/>
      <c r="T65" s="2996"/>
      <c r="U65" s="2996"/>
    </row>
    <row r="66" spans="3:21">
      <c r="C66" s="526">
        <v>5</v>
      </c>
      <c r="D66" s="290"/>
      <c r="E66" s="96" t="s">
        <v>4705</v>
      </c>
      <c r="F66" s="2554"/>
      <c r="G66" s="947">
        <f>+SUM(G63:G65)</f>
        <v>-1728.0126595484026</v>
      </c>
      <c r="H66" s="439">
        <f>+SUM(H63:H65)</f>
        <v>-3.5103345925557305</v>
      </c>
      <c r="I66" s="873">
        <f>+SUM(I63:I65)</f>
        <v>-1731.522994140958</v>
      </c>
      <c r="J66" s="2994">
        <f>+I66*J67</f>
        <v>-1011.2491483912696</v>
      </c>
      <c r="K66" s="2995">
        <f>+J66*K67</f>
        <v>-923.9103186517433</v>
      </c>
      <c r="L66" s="2996">
        <f>+J66*L67</f>
        <v>-87.338829739526389</v>
      </c>
      <c r="M66" s="2997">
        <f>+I66*M67</f>
        <v>-146.64906906737446</v>
      </c>
      <c r="N66" s="2558">
        <f>+M66*N67</f>
        <v>-71.750061904344818</v>
      </c>
      <c r="O66" s="2558">
        <f>+M66*O67</f>
        <v>-74.899007163029637</v>
      </c>
      <c r="P66" s="2997">
        <f>+I66*P67</f>
        <v>-542.16400093430036</v>
      </c>
      <c r="Q66" s="2558">
        <f>+P66*Q67</f>
        <v>-412.41254143402801</v>
      </c>
      <c r="R66" s="2558">
        <f>+Q66*R67</f>
        <v>-274.47728004753111</v>
      </c>
      <c r="S66" s="2558">
        <f>+Q66*S67</f>
        <v>-137.93526138649688</v>
      </c>
      <c r="T66" s="2998">
        <f>+P66*T67</f>
        <v>-129.75145950027235</v>
      </c>
      <c r="U66" s="2997">
        <f>+I66*U67</f>
        <v>-31.4607757480135</v>
      </c>
    </row>
    <row r="67" spans="3:21">
      <c r="C67" s="365">
        <v>6</v>
      </c>
      <c r="D67" s="290"/>
      <c r="E67" s="96"/>
      <c r="F67" s="2554" t="s">
        <v>4706</v>
      </c>
      <c r="G67" s="620"/>
      <c r="H67" s="42"/>
      <c r="I67" s="948"/>
      <c r="J67" s="949">
        <f>+J95</f>
        <v>0.584022939235046</v>
      </c>
      <c r="K67" s="877">
        <f>+K96</f>
        <v>0.91363272851357358</v>
      </c>
      <c r="L67" s="950">
        <f>+L96</f>
        <v>8.6367271486426506E-2</v>
      </c>
      <c r="M67" s="949">
        <f>+M95</f>
        <v>8.4693688483259144E-2</v>
      </c>
      <c r="N67" s="877">
        <f>+N96</f>
        <v>0.48926367116166924</v>
      </c>
      <c r="O67" s="950">
        <f>+O96</f>
        <v>0.51073632883833076</v>
      </c>
      <c r="P67" s="949">
        <f>+P95</f>
        <v>0.31311394810744536</v>
      </c>
      <c r="Q67" s="877">
        <f>+Q96</f>
        <v>0.76067857829609808</v>
      </c>
      <c r="R67" s="877">
        <f>+R96</f>
        <v>0.66554057520444765</v>
      </c>
      <c r="S67" s="877">
        <f>+S96</f>
        <v>0.3344594247955523</v>
      </c>
      <c r="T67" s="950">
        <f>+T96</f>
        <v>0.23932142170390186</v>
      </c>
      <c r="U67" s="950">
        <f>+U95</f>
        <v>1.8169424174249445E-2</v>
      </c>
    </row>
    <row r="68" spans="3:21">
      <c r="C68" s="526">
        <v>7</v>
      </c>
      <c r="D68" s="33"/>
      <c r="G68" s="891"/>
      <c r="H68" s="512"/>
      <c r="I68" s="892"/>
      <c r="J68" s="36"/>
      <c r="L68" s="296"/>
      <c r="M68" s="36"/>
      <c r="O68" s="296"/>
      <c r="P68" s="36"/>
      <c r="T68" s="296"/>
      <c r="U68" s="296"/>
    </row>
    <row r="69" spans="3:21">
      <c r="C69" s="365">
        <v>8</v>
      </c>
      <c r="D69" s="290" t="s">
        <v>4383</v>
      </c>
      <c r="E69" s="96" t="s">
        <v>104</v>
      </c>
      <c r="G69" s="620">
        <f>+SUMIFS('900s FERC Accounts'!E:E,'900s FERC Accounts'!C:C,'Other and A&amp;G O&amp;M'!D69)/1000</f>
        <v>19611.5709332962</v>
      </c>
      <c r="H69" s="42"/>
      <c r="I69" s="903">
        <f>+G69+H69</f>
        <v>19611.5709332962</v>
      </c>
      <c r="J69" s="617">
        <f>+SUM(K69:L69)</f>
        <v>15112.438377674256</v>
      </c>
      <c r="K69" s="42">
        <f>+'Property Insurance'!F51</f>
        <v>15112.438377674256</v>
      </c>
      <c r="L69" s="2285">
        <v>0</v>
      </c>
      <c r="M69" s="617">
        <f>+SUM(N69:O69)</f>
        <v>922.84497712494101</v>
      </c>
      <c r="N69" s="2285">
        <v>0</v>
      </c>
      <c r="O69" s="42">
        <f>+'Property Insurance'!F52</f>
        <v>922.84497712494101</v>
      </c>
      <c r="P69" s="617">
        <f>+Q69+T69</f>
        <v>3576.2875784970001</v>
      </c>
      <c r="Q69" s="42">
        <f>+SUM(R69:S69)</f>
        <v>1090.7933646239273</v>
      </c>
      <c r="R69" s="42">
        <f>+'Property Insurance'!F53</f>
        <v>1090.7933646239273</v>
      </c>
      <c r="S69" s="2285">
        <v>0</v>
      </c>
      <c r="T69" s="903">
        <f>+'Property Insurance'!F54</f>
        <v>2485.494213873073</v>
      </c>
      <c r="U69" s="1728">
        <v>0</v>
      </c>
    </row>
    <row r="70" spans="3:21">
      <c r="C70" s="365">
        <v>8</v>
      </c>
      <c r="D70" s="376" t="s">
        <v>4707</v>
      </c>
      <c r="E70" s="96" t="s">
        <v>4708</v>
      </c>
      <c r="G70" s="947">
        <v>0</v>
      </c>
      <c r="H70" s="506"/>
      <c r="I70" s="911">
        <f>+G70+H70</f>
        <v>0</v>
      </c>
      <c r="J70" s="617">
        <f>+SUM(K70:L70)</f>
        <v>0</v>
      </c>
      <c r="K70" s="951">
        <f>+'Property Insurance'!F35</f>
        <v>0</v>
      </c>
      <c r="L70" s="2285">
        <v>0</v>
      </c>
      <c r="M70" s="617">
        <f>+SUM(N70:O70)</f>
        <v>0</v>
      </c>
      <c r="N70" s="42">
        <f>+'Property Insurance'!F37</f>
        <v>0</v>
      </c>
      <c r="O70" s="42">
        <f>+'Property Insurance'!F38</f>
        <v>0</v>
      </c>
      <c r="P70" s="617">
        <f>+Q70+T70</f>
        <v>0</v>
      </c>
      <c r="Q70" s="42">
        <f>+SUM(R70:S70)</f>
        <v>0</v>
      </c>
      <c r="R70" s="42">
        <f>+'Property Insurance'!F39</f>
        <v>0</v>
      </c>
      <c r="S70" s="42">
        <f>+'Property Insurance'!F40</f>
        <v>0</v>
      </c>
      <c r="T70" s="903">
        <f>+'Property Insurance'!F41</f>
        <v>0</v>
      </c>
      <c r="U70" s="1728">
        <v>0</v>
      </c>
    </row>
    <row r="71" spans="3:21">
      <c r="C71" s="365">
        <v>9</v>
      </c>
      <c r="D71" s="945"/>
      <c r="E71" s="96" t="s">
        <v>4709</v>
      </c>
      <c r="G71" s="874">
        <f t="shared" ref="G71:U71" si="0">+SUM(G69:G70)</f>
        <v>19611.5709332962</v>
      </c>
      <c r="H71" s="872">
        <f t="shared" si="0"/>
        <v>0</v>
      </c>
      <c r="I71" s="873">
        <f t="shared" si="0"/>
        <v>19611.5709332962</v>
      </c>
      <c r="J71" s="618">
        <f t="shared" si="0"/>
        <v>15112.438377674256</v>
      </c>
      <c r="K71" s="872">
        <f t="shared" si="0"/>
        <v>15112.438377674256</v>
      </c>
      <c r="L71" s="873">
        <f t="shared" si="0"/>
        <v>0</v>
      </c>
      <c r="M71" s="618">
        <f t="shared" si="0"/>
        <v>922.84497712494101</v>
      </c>
      <c r="N71" s="872">
        <f t="shared" si="0"/>
        <v>0</v>
      </c>
      <c r="O71" s="873">
        <f t="shared" si="0"/>
        <v>922.84497712494101</v>
      </c>
      <c r="P71" s="618">
        <f t="shared" si="0"/>
        <v>3576.2875784970001</v>
      </c>
      <c r="Q71" s="872">
        <f t="shared" si="0"/>
        <v>1090.7933646239273</v>
      </c>
      <c r="R71" s="872">
        <f t="shared" si="0"/>
        <v>1090.7933646239273</v>
      </c>
      <c r="S71" s="872">
        <f t="shared" si="0"/>
        <v>0</v>
      </c>
      <c r="T71" s="873">
        <f t="shared" si="0"/>
        <v>2485.494213873073</v>
      </c>
      <c r="U71" s="873">
        <f t="shared" si="0"/>
        <v>0</v>
      </c>
    </row>
    <row r="72" spans="3:21">
      <c r="C72" s="365">
        <v>10</v>
      </c>
      <c r="E72" s="96" t="s">
        <v>4710</v>
      </c>
      <c r="G72" s="874">
        <f>+G66+G71</f>
        <v>17883.558273747796</v>
      </c>
      <c r="H72" s="872">
        <f t="shared" ref="H72:U72" si="1">+H66+H71</f>
        <v>-3.5103345925557305</v>
      </c>
      <c r="I72" s="873">
        <f t="shared" si="1"/>
        <v>17880.047939155244</v>
      </c>
      <c r="J72" s="618">
        <f t="shared" si="1"/>
        <v>14101.189229282987</v>
      </c>
      <c r="K72" s="872">
        <f t="shared" si="1"/>
        <v>14188.528059022512</v>
      </c>
      <c r="L72" s="873">
        <f t="shared" si="1"/>
        <v>-87.338829739526389</v>
      </c>
      <c r="M72" s="618">
        <f t="shared" si="1"/>
        <v>776.19590805756661</v>
      </c>
      <c r="N72" s="872">
        <f t="shared" si="1"/>
        <v>-71.750061904344818</v>
      </c>
      <c r="O72" s="873">
        <f t="shared" si="1"/>
        <v>847.94596996191137</v>
      </c>
      <c r="P72" s="618">
        <f t="shared" si="1"/>
        <v>3034.1235775626997</v>
      </c>
      <c r="Q72" s="872">
        <f t="shared" si="1"/>
        <v>678.38082318989927</v>
      </c>
      <c r="R72" s="872">
        <f t="shared" si="1"/>
        <v>816.31608457639618</v>
      </c>
      <c r="S72" s="872">
        <f t="shared" si="1"/>
        <v>-137.93526138649688</v>
      </c>
      <c r="T72" s="873">
        <f t="shared" si="1"/>
        <v>2355.7427543728008</v>
      </c>
      <c r="U72" s="873">
        <f t="shared" si="1"/>
        <v>-31.4607757480135</v>
      </c>
    </row>
    <row r="73" spans="3:21">
      <c r="C73" s="365">
        <v>11</v>
      </c>
      <c r="D73" s="96"/>
      <c r="E73" s="96"/>
      <c r="G73" s="620"/>
      <c r="H73" s="42"/>
      <c r="I73" s="903"/>
      <c r="J73" s="2907"/>
      <c r="K73" s="538"/>
      <c r="L73" s="2565"/>
      <c r="M73" s="2907"/>
      <c r="N73" s="538"/>
      <c r="O73" s="2565"/>
      <c r="P73" s="2907"/>
      <c r="Q73" s="538"/>
      <c r="R73" s="538"/>
      <c r="S73" s="538"/>
      <c r="T73" s="2565"/>
      <c r="U73" s="2565"/>
    </row>
    <row r="74" spans="3:21">
      <c r="C74" s="365">
        <v>12</v>
      </c>
      <c r="D74" s="96"/>
      <c r="E74" s="531" t="s">
        <v>4711</v>
      </c>
      <c r="G74" s="620"/>
      <c r="H74" s="42"/>
      <c r="I74" s="903"/>
      <c r="J74" s="2907"/>
      <c r="K74" s="538"/>
      <c r="L74" s="2565"/>
      <c r="M74" s="2907"/>
      <c r="N74" s="538"/>
      <c r="O74" s="2565"/>
      <c r="P74" s="2907"/>
      <c r="Q74" s="538"/>
      <c r="R74" s="538"/>
      <c r="S74" s="538"/>
      <c r="T74" s="2565"/>
      <c r="U74" s="2565"/>
    </row>
    <row r="75" spans="3:21">
      <c r="C75" s="365">
        <v>13</v>
      </c>
      <c r="D75" s="290" t="s">
        <v>4391</v>
      </c>
      <c r="E75" s="96" t="s">
        <v>4712</v>
      </c>
      <c r="F75" s="33" t="s">
        <v>4713</v>
      </c>
      <c r="G75" s="620">
        <f>+SUMIFS('900s FERC Accounts'!E:E,'900s FERC Accounts'!C:C,'Other and A&amp;G O&amp;M'!D75)/1000</f>
        <v>73042.403672304397</v>
      </c>
      <c r="H75" s="42">
        <f>+SUMIFS('Surv Report Sched 2 pg 2'!H:H,'Surv Report Sched 2 pg 2'!B:B,"Shared Services Adjustment")/1000</f>
        <v>0</v>
      </c>
      <c r="I75" s="903">
        <f>+G75+H75</f>
        <v>73042.403672304397</v>
      </c>
      <c r="J75" s="2907"/>
      <c r="K75" s="538"/>
      <c r="L75" s="2565"/>
      <c r="M75" s="2907"/>
      <c r="N75" s="538"/>
      <c r="O75" s="2565"/>
      <c r="P75" s="2907"/>
      <c r="Q75" s="538"/>
      <c r="R75" s="538"/>
      <c r="S75" s="538"/>
      <c r="T75" s="2565"/>
      <c r="U75" s="2565"/>
    </row>
    <row r="76" spans="3:21">
      <c r="C76" s="365">
        <v>14</v>
      </c>
      <c r="D76" s="290" t="s">
        <v>4393</v>
      </c>
      <c r="E76" s="96" t="s">
        <v>4714</v>
      </c>
      <c r="G76" s="620">
        <f>+SUMIFS('900s FERC Accounts'!E:E,'900s FERC Accounts'!C:C,'Other and A&amp;G O&amp;M'!D76)/1000</f>
        <v>5202.8403527057999</v>
      </c>
      <c r="H76" s="42"/>
      <c r="I76" s="903">
        <f t="shared" ref="I76:I82" si="2">+G76+H76</f>
        <v>5202.8403527057999</v>
      </c>
      <c r="J76" s="2907"/>
      <c r="K76" s="538"/>
      <c r="L76" s="2565"/>
      <c r="M76" s="2907"/>
      <c r="N76" s="538"/>
      <c r="O76" s="2565"/>
      <c r="P76" s="2907"/>
      <c r="Q76" s="538"/>
      <c r="R76" s="538"/>
      <c r="S76" s="538"/>
      <c r="T76" s="2565"/>
      <c r="U76" s="2565"/>
    </row>
    <row r="77" spans="3:21">
      <c r="C77" s="365">
        <v>15</v>
      </c>
      <c r="D77" s="290" t="s">
        <v>4394</v>
      </c>
      <c r="E77" s="96" t="s">
        <v>4715</v>
      </c>
      <c r="G77" s="620">
        <f>+SUMIFS('900s FERC Accounts'!E:E,'900s FERC Accounts'!C:C,'Other and A&amp;G O&amp;M'!D77)/1000</f>
        <v>-58310.661032536191</v>
      </c>
      <c r="H77" s="42"/>
      <c r="I77" s="903">
        <f t="shared" si="2"/>
        <v>-58310.661032536191</v>
      </c>
      <c r="J77" s="2907"/>
      <c r="K77" s="538"/>
      <c r="L77" s="2565"/>
      <c r="M77" s="2907"/>
      <c r="N77" s="538"/>
      <c r="O77" s="2565"/>
      <c r="P77" s="2907"/>
      <c r="Q77" s="538"/>
      <c r="R77" s="538"/>
      <c r="S77" s="538"/>
      <c r="T77" s="2565"/>
      <c r="U77" s="2565"/>
    </row>
    <row r="78" spans="3:21">
      <c r="C78" s="365">
        <v>16</v>
      </c>
      <c r="D78" s="290" t="s">
        <v>4396</v>
      </c>
      <c r="E78" s="96" t="s">
        <v>103</v>
      </c>
      <c r="G78" s="620">
        <f>+SUMIFS('900s FERC Accounts'!E:E,'900s FERC Accounts'!C:C,'Other and A&amp;G O&amp;M'!D78)/1000</f>
        <v>35273.257629188796</v>
      </c>
      <c r="H78" s="42"/>
      <c r="I78" s="903">
        <f t="shared" si="2"/>
        <v>35273.257629188796</v>
      </c>
      <c r="J78" s="2907"/>
      <c r="K78" s="538"/>
      <c r="L78" s="2565"/>
      <c r="M78" s="2907"/>
      <c r="N78" s="538"/>
      <c r="O78" s="2565"/>
      <c r="P78" s="2907"/>
      <c r="Q78" s="538"/>
      <c r="R78" s="538"/>
      <c r="S78" s="538"/>
      <c r="T78" s="2565"/>
      <c r="U78" s="2565"/>
    </row>
    <row r="79" spans="3:21">
      <c r="C79" s="365">
        <v>17</v>
      </c>
      <c r="D79" s="290" t="s">
        <v>4397</v>
      </c>
      <c r="E79" s="96" t="s">
        <v>4398</v>
      </c>
      <c r="G79" s="620">
        <f>+SUMIFS('900s FERC Accounts'!E:E,'900s FERC Accounts'!C:C,'Other and A&amp;G O&amp;M'!D79)/1000</f>
        <v>23695.1047669646</v>
      </c>
      <c r="H79" s="42"/>
      <c r="I79" s="903">
        <f t="shared" si="2"/>
        <v>23695.1047669646</v>
      </c>
      <c r="J79" s="2907"/>
      <c r="K79" s="538"/>
      <c r="L79" s="2565"/>
      <c r="M79" s="2907"/>
      <c r="N79" s="538"/>
      <c r="O79" s="2565"/>
      <c r="P79" s="2907"/>
      <c r="Q79" s="538"/>
      <c r="R79" s="538"/>
      <c r="S79" s="538"/>
      <c r="T79" s="2565"/>
      <c r="U79" s="2565"/>
    </row>
    <row r="80" spans="3:21">
      <c r="C80" s="365">
        <v>18</v>
      </c>
      <c r="D80" s="290" t="s">
        <v>4399</v>
      </c>
      <c r="E80" s="96" t="s">
        <v>4716</v>
      </c>
      <c r="F80" s="33" t="s">
        <v>4713</v>
      </c>
      <c r="G80" s="620">
        <f>+SUMIFS('900s FERC Accounts'!E:E,'900s FERC Accounts'!C:C,'Other and A&amp;G O&amp;M'!D80)/1000</f>
        <v>42359.1253281112</v>
      </c>
      <c r="H80" s="42">
        <f>(+SUMIFS('Surv Report Sched 2 pg 2'!H:H,'Surv Report Sched 2 pg 2'!B:B,"Incentive Compensation Plan")/1000)-(E6/1000)</f>
        <v>-1064.905</v>
      </c>
      <c r="I80" s="903">
        <f t="shared" si="2"/>
        <v>41294.220328111202</v>
      </c>
      <c r="J80" s="2907"/>
      <c r="K80" s="538"/>
      <c r="L80" s="2565"/>
      <c r="M80" s="2907"/>
      <c r="N80" s="538"/>
      <c r="O80" s="2565"/>
      <c r="P80" s="2907"/>
      <c r="Q80" s="538"/>
      <c r="R80" s="538"/>
      <c r="S80" s="538"/>
      <c r="T80" s="2565"/>
      <c r="U80" s="2565"/>
    </row>
    <row r="81" spans="3:21">
      <c r="C81" s="365">
        <v>19</v>
      </c>
      <c r="D81" s="290" t="s">
        <v>4401</v>
      </c>
      <c r="E81" s="96" t="s">
        <v>4717</v>
      </c>
      <c r="G81" s="620">
        <f>+SUMIFS('900s FERC Accounts'!E:E,'900s FERC Accounts'!C:C,'Other and A&amp;G O&amp;M'!D81)/1000</f>
        <v>2105.6526666672003</v>
      </c>
      <c r="H81" s="42">
        <f>+SUMIFS('Surv Report Sched 2 pg 2'!H:H,'Surv Report Sched 2 pg 2'!B:B,"Rate Case Expense")/1000</f>
        <v>0</v>
      </c>
      <c r="I81" s="903">
        <f t="shared" si="2"/>
        <v>2105.6526666672003</v>
      </c>
      <c r="J81" s="2907"/>
      <c r="K81" s="538"/>
      <c r="L81" s="2565"/>
      <c r="M81" s="2907"/>
      <c r="N81" s="538"/>
      <c r="O81" s="2565"/>
      <c r="P81" s="2907"/>
      <c r="Q81" s="538"/>
      <c r="R81" s="538"/>
      <c r="S81" s="538"/>
      <c r="T81" s="2565"/>
      <c r="U81" s="2565"/>
    </row>
    <row r="82" spans="3:21">
      <c r="C82" s="365">
        <v>20</v>
      </c>
      <c r="D82" s="290">
        <v>929</v>
      </c>
      <c r="E82" s="96" t="s">
        <v>4718</v>
      </c>
      <c r="G82" s="620">
        <f>+SUMIFS('900s FERC Accounts'!E:E,'900s FERC Accounts'!C:C,'Other and A&amp;G O&amp;M'!D82)/1000</f>
        <v>0</v>
      </c>
      <c r="H82" s="42"/>
      <c r="I82" s="903">
        <f t="shared" si="2"/>
        <v>0</v>
      </c>
      <c r="J82" s="2907"/>
      <c r="K82" s="538"/>
      <c r="L82" s="2565"/>
      <c r="M82" s="2907"/>
      <c r="N82" s="538"/>
      <c r="O82" s="2565"/>
      <c r="P82" s="2907"/>
      <c r="Q82" s="538"/>
      <c r="R82" s="538"/>
      <c r="S82" s="538"/>
      <c r="T82" s="2565"/>
      <c r="U82" s="2565"/>
    </row>
    <row r="83" spans="3:21">
      <c r="C83" s="365">
        <v>21</v>
      </c>
      <c r="D83" s="290" t="s">
        <v>4403</v>
      </c>
      <c r="E83" s="96" t="s">
        <v>4404</v>
      </c>
      <c r="G83" s="620">
        <f>+SUMIFS('900s FERC Accounts'!E:E,'900s FERC Accounts'!C:C,'Other and A&amp;G O&amp;M'!D83)/1000</f>
        <v>18419.463989593401</v>
      </c>
      <c r="H83" s="42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903">
        <f>+G83+H83</f>
        <v>18103.692989593401</v>
      </c>
      <c r="J83" s="2907"/>
      <c r="K83" s="538"/>
      <c r="L83" s="2565"/>
      <c r="M83" s="2907"/>
      <c r="N83" s="538"/>
      <c r="O83" s="2565"/>
      <c r="P83" s="2907"/>
      <c r="Q83" s="538"/>
      <c r="R83" s="538"/>
      <c r="S83" s="538"/>
      <c r="T83" s="2565"/>
      <c r="U83" s="2565"/>
    </row>
    <row r="84" spans="3:21">
      <c r="C84" s="365">
        <v>22</v>
      </c>
      <c r="E84" s="96" t="s">
        <v>4719</v>
      </c>
      <c r="F84" s="2554"/>
      <c r="G84" s="874">
        <f>+SUM(G75:G83)</f>
        <v>141787.18737299921</v>
      </c>
      <c r="H84" s="872">
        <f>+SUM(H75:H83)</f>
        <v>-1380.6759999999999</v>
      </c>
      <c r="I84" s="873">
        <f>+SUM(I75:I83)</f>
        <v>140406.5113729992</v>
      </c>
      <c r="J84" s="2999">
        <f>+I84*J85</f>
        <v>59289.960766754542</v>
      </c>
      <c r="K84" s="2558">
        <f>+J84*K85</f>
        <v>46906.389961937057</v>
      </c>
      <c r="L84" s="2998">
        <f>+J84*L85</f>
        <v>12383.570804817484</v>
      </c>
      <c r="M84" s="2999">
        <f>+I84*M85</f>
        <v>7575.8372819531187</v>
      </c>
      <c r="N84" s="2558">
        <f>+M84*N85</f>
        <v>1987.6089714165946</v>
      </c>
      <c r="O84" s="2998">
        <f>+M84*O85</f>
        <v>5588.228310536525</v>
      </c>
      <c r="P84" s="2999">
        <f>+I84*P85</f>
        <v>49712.41787478175</v>
      </c>
      <c r="Q84" s="2558">
        <f>+P84*Q85</f>
        <v>32120.771856167376</v>
      </c>
      <c r="R84" s="2558">
        <f>+Q84*R85</f>
        <v>27383.619545941016</v>
      </c>
      <c r="S84" s="2558">
        <f>+Q84*S85</f>
        <v>4737.1523102263627</v>
      </c>
      <c r="T84" s="2998">
        <f>+P84*T85</f>
        <v>17591.64601861437</v>
      </c>
      <c r="U84" s="2998">
        <f>+I84*U85</f>
        <v>23828.295449509784</v>
      </c>
    </row>
    <row r="85" spans="3:21">
      <c r="C85" s="365">
        <v>23</v>
      </c>
      <c r="D85" s="96"/>
      <c r="F85" s="2554" t="s">
        <v>4720</v>
      </c>
      <c r="G85" s="2907"/>
      <c r="H85" s="538"/>
      <c r="I85" s="950"/>
      <c r="J85" s="954">
        <f>+J101</f>
        <v>0.42227358394545417</v>
      </c>
      <c r="K85" s="877">
        <f>+K102</f>
        <v>0.79113545287145337</v>
      </c>
      <c r="L85" s="950">
        <f>+L102</f>
        <v>0.2088645471285466</v>
      </c>
      <c r="M85" s="954">
        <f>+M101</f>
        <v>5.3956452645044395E-2</v>
      </c>
      <c r="N85" s="877">
        <f>+N102</f>
        <v>0.26236162386320039</v>
      </c>
      <c r="O85" s="950">
        <f>+O102</f>
        <v>0.73763837613679972</v>
      </c>
      <c r="P85" s="954">
        <f>+P101</f>
        <v>0.35406063001392735</v>
      </c>
      <c r="Q85" s="877">
        <f>+Q102</f>
        <v>0.64613175599454575</v>
      </c>
      <c r="R85" s="877">
        <f>+R102</f>
        <v>0.85252059535061264</v>
      </c>
      <c r="S85" s="877">
        <f>+S102</f>
        <v>0.14747940464938739</v>
      </c>
      <c r="T85" s="950">
        <f>+T102</f>
        <v>0.35386824400545419</v>
      </c>
      <c r="U85" s="950">
        <f>+U101</f>
        <v>0.16970933339557406</v>
      </c>
    </row>
    <row r="86" spans="3:21">
      <c r="C86" s="365">
        <v>24</v>
      </c>
      <c r="D86" s="96"/>
      <c r="E86" s="96"/>
      <c r="G86" s="2907"/>
      <c r="H86" s="538"/>
      <c r="I86" s="950"/>
      <c r="J86" s="954"/>
      <c r="K86" s="877"/>
      <c r="L86" s="950"/>
      <c r="M86" s="954"/>
      <c r="N86" s="877"/>
      <c r="O86" s="950"/>
      <c r="P86" s="954"/>
      <c r="Q86" s="877"/>
      <c r="R86" s="877"/>
      <c r="S86" s="877"/>
      <c r="T86" s="950"/>
      <c r="U86" s="950"/>
    </row>
    <row r="87" spans="3:21" ht="15" thickBot="1">
      <c r="C87" s="365">
        <v>25</v>
      </c>
      <c r="D87" s="62" t="s">
        <v>4721</v>
      </c>
      <c r="E87" s="96"/>
      <c r="G87" s="3000">
        <f>+G72+G84</f>
        <v>159670.745646747</v>
      </c>
      <c r="H87" s="3001">
        <f t="shared" ref="H87:U87" si="3">+H72+H84</f>
        <v>-1384.1863345925556</v>
      </c>
      <c r="I87" s="3002">
        <f t="shared" si="3"/>
        <v>158286.55931215445</v>
      </c>
      <c r="J87" s="3000">
        <f t="shared" si="3"/>
        <v>73391.149996037537</v>
      </c>
      <c r="K87" s="3001">
        <f>+K72+K84-0.007</f>
        <v>61094.911020959567</v>
      </c>
      <c r="L87" s="3002">
        <f t="shared" si="3"/>
        <v>12296.231975077957</v>
      </c>
      <c r="M87" s="3000">
        <f t="shared" si="3"/>
        <v>8352.0331900106848</v>
      </c>
      <c r="N87" s="3001">
        <f t="shared" si="3"/>
        <v>1915.8589095122497</v>
      </c>
      <c r="O87" s="3002">
        <f t="shared" si="3"/>
        <v>6436.174280498436</v>
      </c>
      <c r="P87" s="3000">
        <f t="shared" si="3"/>
        <v>52746.541452344449</v>
      </c>
      <c r="Q87" s="3001">
        <f t="shared" si="3"/>
        <v>32799.152679357278</v>
      </c>
      <c r="R87" s="3001">
        <f t="shared" si="3"/>
        <v>28199.935630517411</v>
      </c>
      <c r="S87" s="3001">
        <f t="shared" si="3"/>
        <v>4599.217048839866</v>
      </c>
      <c r="T87" s="3002">
        <f t="shared" si="3"/>
        <v>19947.388772987171</v>
      </c>
      <c r="U87" s="3002">
        <f t="shared" si="3"/>
        <v>23796.834673761768</v>
      </c>
    </row>
    <row r="88" spans="3:21" ht="15" thickTop="1">
      <c r="C88" s="365">
        <v>26</v>
      </c>
      <c r="D88" s="96"/>
      <c r="E88" s="96"/>
      <c r="G88" s="2907"/>
      <c r="H88" s="538"/>
      <c r="I88" s="3003"/>
      <c r="J88" s="3003"/>
      <c r="K88" s="3003"/>
      <c r="L88" s="3003"/>
      <c r="M88" s="3003"/>
      <c r="N88" s="3003"/>
      <c r="O88" s="3003"/>
      <c r="P88" s="3003"/>
      <c r="Q88" s="3003"/>
      <c r="R88" s="3003"/>
      <c r="S88" s="3003"/>
      <c r="T88" s="3003"/>
      <c r="U88" s="3004"/>
    </row>
    <row r="89" spans="3:21">
      <c r="C89" s="365">
        <v>27</v>
      </c>
      <c r="D89" s="96"/>
      <c r="E89" s="96"/>
      <c r="G89" s="3005"/>
      <c r="H89" s="2995"/>
      <c r="I89" s="2995"/>
      <c r="J89" s="2995"/>
      <c r="K89" s="2995"/>
      <c r="L89" s="2995"/>
      <c r="M89" s="2995"/>
      <c r="N89" s="2995"/>
      <c r="O89" s="2995"/>
      <c r="P89" s="2995"/>
      <c r="Q89" s="2995"/>
      <c r="R89" s="2995"/>
      <c r="S89" s="2995"/>
      <c r="T89" s="2995"/>
      <c r="U89" s="2996"/>
    </row>
    <row r="90" spans="3:21">
      <c r="C90" s="365">
        <v>28</v>
      </c>
      <c r="U90" s="460"/>
    </row>
    <row r="91" spans="3:21">
      <c r="C91" s="365">
        <v>29</v>
      </c>
      <c r="D91" s="293" t="s">
        <v>4722</v>
      </c>
      <c r="U91" s="296"/>
    </row>
    <row r="92" spans="3:21" ht="15" thickBot="1">
      <c r="C92" s="365">
        <v>30</v>
      </c>
      <c r="D92" s="430"/>
      <c r="E92" s="430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2530"/>
    </row>
    <row r="93" spans="3:21" ht="24">
      <c r="C93" s="365">
        <v>31</v>
      </c>
      <c r="D93" s="2799" t="s">
        <v>4723</v>
      </c>
      <c r="E93" s="3006"/>
      <c r="F93" s="2800"/>
      <c r="G93" s="2851"/>
      <c r="H93" s="2608" t="s">
        <v>4724</v>
      </c>
      <c r="I93" s="3007" t="s">
        <v>4411</v>
      </c>
      <c r="J93" s="3007" t="s">
        <v>4412</v>
      </c>
      <c r="K93" s="3007" t="s">
        <v>4413</v>
      </c>
      <c r="L93" s="3007" t="s">
        <v>4414</v>
      </c>
      <c r="M93" s="3007" t="s">
        <v>4415</v>
      </c>
      <c r="N93" s="3007" t="s">
        <v>4416</v>
      </c>
      <c r="O93" s="3007" t="s">
        <v>4417</v>
      </c>
      <c r="P93" s="3007" t="s">
        <v>4418</v>
      </c>
      <c r="Q93" s="3007" t="s">
        <v>4725</v>
      </c>
      <c r="R93" s="3007" t="s">
        <v>4420</v>
      </c>
      <c r="S93" s="3007" t="s">
        <v>4421</v>
      </c>
      <c r="T93" s="3007" t="s">
        <v>4422</v>
      </c>
      <c r="U93" s="3008" t="s">
        <v>4423</v>
      </c>
    </row>
    <row r="94" spans="3:21">
      <c r="C94" s="365">
        <v>32</v>
      </c>
      <c r="D94" s="98" t="s">
        <v>4726</v>
      </c>
      <c r="E94" s="293"/>
      <c r="G94" s="290"/>
      <c r="H94" s="290"/>
      <c r="I94" s="42">
        <f>+J94+M94+P94+U94</f>
        <v>13492110.214790912</v>
      </c>
      <c r="J94" s="42">
        <f>+SUM(K94:L94)</f>
        <v>7879701.8641253766</v>
      </c>
      <c r="K94" s="764">
        <f>+REPORTS!F1006</f>
        <v>7199153.5139943594</v>
      </c>
      <c r="L94" s="764">
        <f>+REPORTS!F1007</f>
        <v>680548.35013101739</v>
      </c>
      <c r="M94" s="42">
        <f>+SUM(N94:O94)</f>
        <v>1142696.5795133002</v>
      </c>
      <c r="N94" s="764">
        <f>+REPORTS!F1008</f>
        <v>559079.92351655953</v>
      </c>
      <c r="O94" s="764">
        <f>+REPORTS!F1009</f>
        <v>583616.65599674068</v>
      </c>
      <c r="P94" s="42">
        <f>+SUM(R94:T94)</f>
        <v>4224567.8976539755</v>
      </c>
      <c r="Q94" s="42">
        <f>+SUM(R94:S94)</f>
        <v>3213538.3023027619</v>
      </c>
      <c r="R94" s="764">
        <f>+REPORTS!F1010</f>
        <v>2138740.1301561045</v>
      </c>
      <c r="S94" s="764">
        <f>+REPORTS!F1011</f>
        <v>1074798.1721466575</v>
      </c>
      <c r="T94" s="764">
        <f>+REPORTS!F1012</f>
        <v>1011029.5953512132</v>
      </c>
      <c r="U94" s="876">
        <f>+REPORTS!F1013</f>
        <v>245143.87349825987</v>
      </c>
    </row>
    <row r="95" spans="3:21">
      <c r="C95" s="365">
        <v>33</v>
      </c>
      <c r="D95" s="875" t="s">
        <v>4727</v>
      </c>
      <c r="E95" s="2884"/>
      <c r="F95" s="290" t="s">
        <v>4433</v>
      </c>
      <c r="H95" s="60" t="s">
        <v>4728</v>
      </c>
      <c r="I95" s="2758">
        <f>+SUM(J95:U95)</f>
        <v>1</v>
      </c>
      <c r="J95" s="877">
        <f>+J94/I94</f>
        <v>0.584022939235046</v>
      </c>
      <c r="M95" s="877">
        <f>+M94/I94</f>
        <v>8.4693688483259144E-2</v>
      </c>
      <c r="P95" s="877">
        <f>+P94/I94</f>
        <v>0.31311394810744536</v>
      </c>
      <c r="U95" s="878">
        <f>+U94/I94</f>
        <v>1.8169424174249445E-2</v>
      </c>
    </row>
    <row r="96" spans="3:21">
      <c r="C96" s="365">
        <v>34</v>
      </c>
      <c r="D96" s="875" t="s">
        <v>4428</v>
      </c>
      <c r="E96" s="2884"/>
      <c r="F96" s="290" t="s">
        <v>4729</v>
      </c>
      <c r="H96" s="60" t="s">
        <v>4730</v>
      </c>
      <c r="I96" s="96"/>
      <c r="J96" s="2896">
        <f>+SUM(K96:L96)</f>
        <v>1</v>
      </c>
      <c r="K96" s="877">
        <f>+K94/J94</f>
        <v>0.91363272851357358</v>
      </c>
      <c r="L96" s="877">
        <f>+L94/J94</f>
        <v>8.6367271486426506E-2</v>
      </c>
      <c r="M96" s="2896">
        <f>+SUM(N96:O96)</f>
        <v>1</v>
      </c>
      <c r="N96" s="877">
        <f>+N94/M94</f>
        <v>0.48926367116166924</v>
      </c>
      <c r="O96" s="877">
        <f>+O94/M94</f>
        <v>0.51073632883833076</v>
      </c>
      <c r="P96" s="2896">
        <f>+SUM(Q96,T96)</f>
        <v>1</v>
      </c>
      <c r="Q96" s="877">
        <f>+Q94/P94</f>
        <v>0.76067857829609808</v>
      </c>
      <c r="R96" s="877">
        <f>+R94/Q94</f>
        <v>0.66554057520444765</v>
      </c>
      <c r="S96" s="877">
        <f>+S94/Q94</f>
        <v>0.3344594247955523</v>
      </c>
      <c r="T96" s="877">
        <f>+T94/P94</f>
        <v>0.23932142170390186</v>
      </c>
      <c r="U96" s="2062"/>
    </row>
    <row r="97" spans="3:21">
      <c r="C97" s="365">
        <v>35</v>
      </c>
      <c r="D97" s="98"/>
      <c r="E97" s="96"/>
      <c r="G97" s="96"/>
      <c r="H97" s="96"/>
      <c r="K97" s="96"/>
      <c r="L97" s="96"/>
      <c r="M97" s="96"/>
      <c r="N97" s="96"/>
      <c r="O97" s="96"/>
      <c r="P97" s="96"/>
      <c r="T97" s="96"/>
      <c r="U97" s="97"/>
    </row>
    <row r="98" spans="3:21">
      <c r="C98" s="365">
        <v>36</v>
      </c>
      <c r="D98" s="98"/>
      <c r="K98" s="96"/>
      <c r="L98" s="538"/>
      <c r="M98" s="933"/>
      <c r="N98" s="96"/>
      <c r="O98" s="538"/>
      <c r="P98" s="933"/>
      <c r="Q98" s="96"/>
      <c r="R98" s="96"/>
      <c r="S98" s="96"/>
      <c r="T98" s="96"/>
      <c r="U98" s="97"/>
    </row>
    <row r="99" spans="3:21">
      <c r="C99" s="365">
        <v>37</v>
      </c>
      <c r="D99" s="2860" t="s">
        <v>4731</v>
      </c>
      <c r="E99" s="2479"/>
      <c r="F99" s="2479"/>
      <c r="G99" s="1961"/>
      <c r="I99" s="3009"/>
      <c r="J99" s="3009"/>
      <c r="K99" s="3009"/>
      <c r="L99" s="3009"/>
      <c r="M99" s="3009"/>
      <c r="N99" s="3009"/>
      <c r="O99" s="3009"/>
      <c r="P99" s="3009"/>
      <c r="Q99" s="3009"/>
      <c r="R99" s="3009"/>
      <c r="S99" s="3009"/>
      <c r="T99" s="3009"/>
      <c r="U99" s="3010"/>
    </row>
    <row r="100" spans="3:21">
      <c r="C100" s="365">
        <v>38</v>
      </c>
      <c r="D100" s="98" t="s">
        <v>4732</v>
      </c>
      <c r="E100" s="290"/>
      <c r="G100" s="290"/>
      <c r="H100" s="96"/>
      <c r="I100" s="42">
        <f>+J100+M100+P100+U100</f>
        <v>96792.232021418095</v>
      </c>
      <c r="J100" s="42">
        <f>+SUM(K100:L100)</f>
        <v>40872.802713764169</v>
      </c>
      <c r="K100" s="2881">
        <f>+'Labor O&amp;M'!I108+'Labor O&amp;M'!H266</f>
        <v>32335.923285079385</v>
      </c>
      <c r="L100" s="2881">
        <f>+'Labor O&amp;M'!I266</f>
        <v>8536.8794286847842</v>
      </c>
      <c r="M100" s="42">
        <f>+SUM(N100:O100)</f>
        <v>5222.5654834717952</v>
      </c>
      <c r="N100" s="2881">
        <f>+'Labor O&amp;M'!J108+'Labor O&amp;M'!M108</f>
        <v>1370.2007609755603</v>
      </c>
      <c r="O100" s="2881">
        <f>+'Labor O&amp;M'!K108+'Labor O&amp;M'!N108</f>
        <v>3852.3647224962351</v>
      </c>
      <c r="P100" s="42">
        <f>+SUM(R100:T100)</f>
        <v>34270.318649957524</v>
      </c>
      <c r="Q100" s="42">
        <f>+SUM(R100:S100)</f>
        <v>22143.141167789687</v>
      </c>
      <c r="R100" s="2881">
        <f>+'Labor O&amp;M'!R219</f>
        <v>18877.483891296724</v>
      </c>
      <c r="S100" s="2881">
        <f>+'Labor O&amp;M'!S219</f>
        <v>3265.6572764929638</v>
      </c>
      <c r="T100" s="2881">
        <f>+'Labor O&amp;M'!T219</f>
        <v>12127.177482167837</v>
      </c>
      <c r="U100" s="2898">
        <f>+'Labor O&amp;M'!U219</f>
        <v>16426.545174224604</v>
      </c>
    </row>
    <row r="101" spans="3:21">
      <c r="C101" s="365">
        <v>39</v>
      </c>
      <c r="D101" s="98" t="s">
        <v>4733</v>
      </c>
      <c r="F101" s="290" t="s">
        <v>4433</v>
      </c>
      <c r="H101" s="60" t="s">
        <v>4432</v>
      </c>
      <c r="I101" s="2758">
        <f>+SUM(J101:U101)</f>
        <v>0.99999999999999989</v>
      </c>
      <c r="J101" s="877">
        <f>+J100/I100</f>
        <v>0.42227358394545417</v>
      </c>
      <c r="M101" s="877">
        <f>+M100/I100</f>
        <v>5.3956452645044395E-2</v>
      </c>
      <c r="P101" s="877">
        <f>+P100/I100</f>
        <v>0.35406063001392735</v>
      </c>
      <c r="U101" s="878">
        <f>+U100/I100</f>
        <v>0.16970933339557406</v>
      </c>
    </row>
    <row r="102" spans="3:21">
      <c r="C102" s="365">
        <v>40</v>
      </c>
      <c r="D102" s="98" t="s">
        <v>4734</v>
      </c>
      <c r="F102" s="290" t="s">
        <v>4729</v>
      </c>
      <c r="H102" s="60" t="s">
        <v>4407</v>
      </c>
      <c r="I102" s="96"/>
      <c r="J102" s="2896">
        <f>+SUM(K102:L102)</f>
        <v>1</v>
      </c>
      <c r="K102" s="877">
        <f>+K100/J100</f>
        <v>0.79113545287145337</v>
      </c>
      <c r="L102" s="877">
        <f>+L100/J100</f>
        <v>0.2088645471285466</v>
      </c>
      <c r="M102" s="2896">
        <f>+SUM(N102:O102)</f>
        <v>1</v>
      </c>
      <c r="N102" s="877">
        <f>+N100/M100</f>
        <v>0.26236162386320039</v>
      </c>
      <c r="O102" s="877">
        <f>+O100/M100</f>
        <v>0.73763837613679972</v>
      </c>
      <c r="P102" s="2896">
        <f>+SUM(Q102,T102)</f>
        <v>1</v>
      </c>
      <c r="Q102" s="877">
        <f>+Q100/P100</f>
        <v>0.64613175599454575</v>
      </c>
      <c r="R102" s="877">
        <f>+R100/Q100</f>
        <v>0.85252059535061264</v>
      </c>
      <c r="S102" s="877">
        <f>+S100/Q100</f>
        <v>0.14747940464938739</v>
      </c>
      <c r="T102" s="877">
        <f>+T100/P100</f>
        <v>0.35386824400545419</v>
      </c>
      <c r="U102" s="2062"/>
    </row>
    <row r="103" spans="3:21">
      <c r="C103" s="365">
        <v>41</v>
      </c>
      <c r="D103" s="98"/>
      <c r="G103" s="96"/>
      <c r="K103" s="96"/>
      <c r="L103" s="538"/>
      <c r="M103" s="933"/>
      <c r="N103" s="96"/>
      <c r="O103" s="538"/>
      <c r="T103" s="96"/>
      <c r="U103" s="97"/>
    </row>
    <row r="104" spans="3:21" ht="15" thickBot="1">
      <c r="C104" s="365">
        <v>42</v>
      </c>
      <c r="D104" s="2411" t="s">
        <v>4435</v>
      </c>
      <c r="E104" s="946"/>
      <c r="F104" s="946"/>
      <c r="G104" s="946"/>
      <c r="H104" s="946"/>
      <c r="I104" s="946"/>
      <c r="J104" s="946"/>
      <c r="K104" s="2967"/>
      <c r="L104" s="3011"/>
      <c r="M104" s="955"/>
      <c r="N104" s="2967"/>
      <c r="O104" s="3011"/>
      <c r="P104" s="946"/>
      <c r="Q104" s="946"/>
      <c r="R104" s="946"/>
      <c r="S104" s="2967"/>
      <c r="T104" s="2967"/>
      <c r="U104" s="3012"/>
    </row>
    <row r="105" spans="3:21">
      <c r="C105" s="462"/>
      <c r="D105" s="297"/>
      <c r="E105" s="297"/>
      <c r="F105" s="297"/>
      <c r="G105" s="297"/>
      <c r="H105" s="297"/>
      <c r="I105" s="297"/>
      <c r="J105" s="297"/>
      <c r="K105" s="545"/>
      <c r="L105" s="2995"/>
      <c r="M105" s="3013"/>
      <c r="N105" s="545"/>
      <c r="O105" s="2995"/>
      <c r="P105" s="297"/>
      <c r="Q105" s="297"/>
      <c r="R105" s="297"/>
      <c r="S105" s="545"/>
      <c r="T105" s="545"/>
      <c r="U105" s="2577"/>
    </row>
  </sheetData>
  <mergeCells count="4">
    <mergeCell ref="G58:I58"/>
    <mergeCell ref="J58:L58"/>
    <mergeCell ref="M58:O58"/>
    <mergeCell ref="P58:T58"/>
  </mergeCells>
  <phoneticPr fontId="13" type="noConversion"/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8" tint="0.59999389629810485"/>
  </sheetPr>
  <dimension ref="A1:AJ570"/>
  <sheetViews>
    <sheetView tabSelected="1" showOutlineSymbols="0" workbookViewId="0"/>
  </sheetViews>
  <sheetFormatPr defaultRowHeight="14.4"/>
  <cols>
    <col min="1" max="2" width="4.5546875" style="1674" customWidth="1"/>
    <col min="3" max="3" width="10.5546875" style="1674" customWidth="1"/>
    <col min="4" max="4" width="33.44140625" style="1674" customWidth="1"/>
    <col min="5" max="5" width="1.5546875" style="1674" customWidth="1"/>
    <col min="6" max="6" width="15.44140625" style="1674" customWidth="1"/>
    <col min="7" max="7" width="1.5546875" style="1674" customWidth="1"/>
    <col min="8" max="8" width="14.5546875" style="1674" customWidth="1"/>
    <col min="9" max="9" width="1.5546875" style="1674" customWidth="1"/>
    <col min="10" max="10" width="14.5546875" style="1674" customWidth="1"/>
    <col min="11" max="11" width="1.5546875" style="1674" customWidth="1"/>
    <col min="12" max="12" width="14.5546875" style="1674" customWidth="1"/>
    <col min="13" max="13" width="1.5546875" style="1674" customWidth="1"/>
    <col min="14" max="14" width="14.5546875" style="1674" customWidth="1"/>
    <col min="15" max="15" width="1.5546875" style="1674" customWidth="1"/>
    <col min="16" max="16" width="14.5546875" style="1674" customWidth="1"/>
    <col min="17" max="17" width="1.5546875" style="1674" customWidth="1"/>
    <col min="18" max="18" width="14.5546875" style="1674" customWidth="1"/>
    <col min="19" max="19" width="1.5546875" style="1674" customWidth="1"/>
    <col min="20" max="20" width="14.5546875" style="1674" customWidth="1"/>
    <col min="22" max="22" width="15.44140625" style="1674" customWidth="1"/>
    <col min="23" max="23" width="1.5546875" style="1674" customWidth="1"/>
    <col min="24" max="24" width="14.5546875" style="1674" customWidth="1"/>
    <col min="25" max="25" width="1.5546875" style="1674" customWidth="1"/>
    <col min="26" max="26" width="14.5546875" style="1674" customWidth="1"/>
    <col min="27" max="27" width="1.5546875" style="1674" customWidth="1"/>
    <col min="28" max="28" width="14.5546875" style="1674" customWidth="1"/>
    <col min="29" max="29" width="1.5546875" style="1674" customWidth="1"/>
    <col min="30" max="30" width="14.5546875" style="1674" customWidth="1"/>
    <col min="31" max="31" width="1.5546875" style="1674" customWidth="1"/>
    <col min="32" max="32" width="14.5546875" style="1674" customWidth="1"/>
    <col min="33" max="33" width="1.5546875" style="1674" customWidth="1"/>
    <col min="34" max="34" width="14.5546875" style="1674" customWidth="1"/>
    <col min="35" max="35" width="1.5546875" style="1674" customWidth="1"/>
    <col min="36" max="36" width="14.5546875" style="1674" customWidth="1"/>
  </cols>
  <sheetData>
    <row r="1" spans="1:36" ht="15" thickBot="1">
      <c r="A1" s="1996" t="s">
        <v>8952</v>
      </c>
      <c r="B1" s="1997"/>
      <c r="C1" s="1997"/>
      <c r="D1" s="1997"/>
      <c r="E1" s="1997"/>
      <c r="F1" s="1997" t="s">
        <v>2594</v>
      </c>
      <c r="G1" s="1997"/>
      <c r="H1" s="1997"/>
      <c r="I1" s="1997"/>
      <c r="J1" s="1997"/>
      <c r="K1" s="1997"/>
      <c r="L1" s="1997"/>
      <c r="M1" s="1997"/>
      <c r="N1" s="1997"/>
      <c r="O1" s="1997"/>
      <c r="P1" s="1997"/>
      <c r="Q1" s="1998"/>
      <c r="R1" s="1999">
        <v>10</v>
      </c>
      <c r="S1" s="1997"/>
      <c r="T1" s="1997" t="s">
        <v>2423</v>
      </c>
      <c r="V1" s="1997" t="s">
        <v>2594</v>
      </c>
      <c r="W1" s="1997"/>
      <c r="X1" s="1997"/>
      <c r="Y1" s="1997"/>
      <c r="Z1" s="1997"/>
      <c r="AA1" s="1997"/>
      <c r="AB1" s="1997"/>
      <c r="AC1" s="1997"/>
      <c r="AD1" s="1997"/>
      <c r="AE1" s="1997"/>
      <c r="AF1" s="1997"/>
      <c r="AG1" s="1998"/>
      <c r="AH1" s="1999">
        <v>10</v>
      </c>
      <c r="AI1" s="1997"/>
      <c r="AJ1" s="1997" t="s">
        <v>2423</v>
      </c>
    </row>
    <row r="2" spans="1:36">
      <c r="A2" s="1674" t="s">
        <v>2425</v>
      </c>
      <c r="E2" s="2001" t="s">
        <v>2426</v>
      </c>
      <c r="F2" s="2002" t="s">
        <v>2595</v>
      </c>
      <c r="J2" s="2003"/>
      <c r="K2" s="2003"/>
      <c r="M2" s="2003"/>
      <c r="N2" s="2003"/>
      <c r="O2" s="2003"/>
      <c r="P2" s="2003"/>
      <c r="Q2" s="2004"/>
      <c r="R2" s="2003" t="s">
        <v>2427</v>
      </c>
      <c r="T2" s="2005"/>
      <c r="V2" s="2002" t="s">
        <v>2595</v>
      </c>
      <c r="Z2" s="2003"/>
      <c r="AA2" s="2003"/>
      <c r="AC2" s="2003"/>
      <c r="AD2" s="2003"/>
      <c r="AE2" s="2003"/>
      <c r="AF2" s="2003"/>
      <c r="AG2" s="2004"/>
      <c r="AH2" s="2003" t="s">
        <v>2427</v>
      </c>
      <c r="AJ2" s="2005"/>
    </row>
    <row r="3" spans="1:36">
      <c r="F3" s="1674" t="s">
        <v>8185</v>
      </c>
      <c r="J3" s="2001"/>
      <c r="K3" s="2005"/>
      <c r="N3" s="2001"/>
      <c r="O3" s="2001"/>
      <c r="P3" s="2001"/>
      <c r="Q3" s="2001" t="s">
        <v>8157</v>
      </c>
      <c r="R3" s="2007" t="s">
        <v>8944</v>
      </c>
      <c r="T3" s="2001"/>
      <c r="V3" s="1674" t="s">
        <v>8185</v>
      </c>
      <c r="Z3" s="2001"/>
      <c r="AA3" s="2005"/>
      <c r="AD3" s="2001"/>
      <c r="AE3" s="2001"/>
      <c r="AF3" s="2001"/>
      <c r="AG3" s="2001" t="s">
        <v>8157</v>
      </c>
      <c r="AH3" s="2007" t="s">
        <v>8944</v>
      </c>
      <c r="AJ3" s="2001"/>
    </row>
    <row r="4" spans="1:36">
      <c r="A4" s="1674" t="s">
        <v>2428</v>
      </c>
      <c r="J4" s="2001"/>
      <c r="K4" s="2005"/>
      <c r="L4" s="2001"/>
      <c r="Q4" s="2001"/>
      <c r="R4" s="2007" t="s">
        <v>8945</v>
      </c>
      <c r="T4" s="2001"/>
      <c r="Z4" s="2001"/>
      <c r="AA4" s="2005"/>
      <c r="AB4" s="2001"/>
      <c r="AG4" s="2001"/>
      <c r="AH4" s="2007" t="s">
        <v>8945</v>
      </c>
      <c r="AJ4" s="2001"/>
    </row>
    <row r="5" spans="1:36">
      <c r="J5" s="2001"/>
      <c r="K5" s="2005"/>
      <c r="L5" s="2001"/>
      <c r="Q5" s="2001"/>
      <c r="R5" s="2007" t="s">
        <v>8946</v>
      </c>
      <c r="T5" s="2001"/>
      <c r="Z5" s="2001"/>
      <c r="AA5" s="2005"/>
      <c r="AB5" s="2001"/>
      <c r="AG5" s="2001"/>
      <c r="AH5" s="2007" t="s">
        <v>8946</v>
      </c>
      <c r="AJ5" s="2001"/>
    </row>
    <row r="6" spans="1:36">
      <c r="J6" s="2001"/>
      <c r="K6" s="2005"/>
      <c r="L6" s="2001"/>
      <c r="Q6" s="2001"/>
      <c r="R6" s="2007" t="s">
        <v>8160</v>
      </c>
      <c r="T6" s="2001"/>
      <c r="Z6" s="2001"/>
      <c r="AA6" s="2005"/>
      <c r="AB6" s="2001"/>
      <c r="AG6" s="2001"/>
      <c r="AH6" s="2007" t="s">
        <v>8160</v>
      </c>
      <c r="AJ6" s="2001"/>
    </row>
    <row r="7" spans="1:36" ht="15" thickBot="1">
      <c r="A7" s="1996" t="s">
        <v>8158</v>
      </c>
      <c r="B7" s="1997"/>
      <c r="C7" s="1997"/>
      <c r="D7" s="1997"/>
      <c r="E7" s="1997"/>
      <c r="F7" s="1997"/>
      <c r="G7" s="1997"/>
      <c r="H7" s="2008" t="s">
        <v>8159</v>
      </c>
      <c r="I7" s="1997"/>
      <c r="J7" s="1997"/>
      <c r="K7" s="1997"/>
      <c r="L7" s="1997"/>
      <c r="M7" s="1997"/>
      <c r="N7" s="1997"/>
      <c r="O7" s="1997"/>
      <c r="P7" s="1997"/>
      <c r="Q7" s="1998"/>
      <c r="R7" s="1997" t="s">
        <v>2477</v>
      </c>
      <c r="S7" s="1997"/>
      <c r="T7" s="1997"/>
      <c r="V7" s="1997"/>
      <c r="W7" s="1997"/>
      <c r="X7" s="2008" t="s">
        <v>8159</v>
      </c>
      <c r="Y7" s="1997"/>
      <c r="Z7" s="1997"/>
      <c r="AA7" s="1997"/>
      <c r="AB7" s="1997"/>
      <c r="AC7" s="1997"/>
      <c r="AD7" s="1997"/>
      <c r="AE7" s="1997"/>
      <c r="AF7" s="1997"/>
      <c r="AG7" s="1998"/>
      <c r="AH7" s="1997" t="s">
        <v>2477</v>
      </c>
      <c r="AI7" s="1997"/>
      <c r="AJ7" s="1997"/>
    </row>
    <row r="8" spans="1:36">
      <c r="C8" s="2009"/>
      <c r="D8" s="2009"/>
      <c r="E8" s="2009"/>
      <c r="F8" s="2009"/>
      <c r="G8" s="2009"/>
      <c r="H8" s="2009"/>
      <c r="I8" s="2009"/>
      <c r="J8" s="2009"/>
      <c r="K8" s="2009"/>
      <c r="L8" s="2009"/>
      <c r="M8" s="2009"/>
      <c r="N8" s="2009"/>
      <c r="O8" s="2009"/>
      <c r="P8" s="2009"/>
      <c r="Q8" s="2010"/>
      <c r="R8" s="2009"/>
      <c r="S8" s="2009"/>
      <c r="T8" s="2009"/>
      <c r="V8" s="2009"/>
      <c r="W8" s="2009"/>
      <c r="X8" s="2009"/>
      <c r="Y8" s="2009"/>
      <c r="Z8" s="2009"/>
      <c r="AA8" s="2009"/>
      <c r="AB8" s="2009"/>
      <c r="AC8" s="2009"/>
      <c r="AD8" s="2009"/>
      <c r="AE8" s="2009"/>
      <c r="AF8" s="2009"/>
      <c r="AG8" s="2010"/>
      <c r="AH8" s="2009"/>
      <c r="AI8" s="2009"/>
      <c r="AJ8" s="2009"/>
    </row>
    <row r="9" spans="1:36">
      <c r="C9" s="2009" t="s">
        <v>2306</v>
      </c>
      <c r="D9" s="2009" t="s">
        <v>2307</v>
      </c>
      <c r="E9" s="2009"/>
      <c r="F9" s="2009" t="s">
        <v>2308</v>
      </c>
      <c r="G9" s="2009"/>
      <c r="H9" s="2009" t="s">
        <v>2309</v>
      </c>
      <c r="I9" s="2009"/>
      <c r="J9" s="1675" t="s">
        <v>2310</v>
      </c>
      <c r="K9" s="1675"/>
      <c r="L9" s="2009" t="s">
        <v>2311</v>
      </c>
      <c r="M9" s="2009"/>
      <c r="N9" s="2009" t="s">
        <v>2312</v>
      </c>
      <c r="O9" s="2009"/>
      <c r="P9" s="2009" t="s">
        <v>2313</v>
      </c>
      <c r="Q9" s="2010"/>
      <c r="R9" s="2009" t="s">
        <v>2314</v>
      </c>
      <c r="S9" s="2009"/>
      <c r="T9" s="2009" t="s">
        <v>2361</v>
      </c>
      <c r="V9" s="2009" t="s">
        <v>2308</v>
      </c>
      <c r="W9" s="2009"/>
      <c r="X9" s="2009" t="s">
        <v>2309</v>
      </c>
      <c r="Y9" s="2009"/>
      <c r="Z9" s="1675" t="s">
        <v>2310</v>
      </c>
      <c r="AA9" s="1675"/>
      <c r="AB9" s="2009" t="s">
        <v>2311</v>
      </c>
      <c r="AC9" s="2009"/>
      <c r="AD9" s="2009" t="s">
        <v>2312</v>
      </c>
      <c r="AE9" s="2009"/>
      <c r="AF9" s="2009" t="s">
        <v>2313</v>
      </c>
      <c r="AG9" s="2010"/>
      <c r="AH9" s="2009" t="s">
        <v>2314</v>
      </c>
      <c r="AI9" s="2009"/>
      <c r="AJ9" s="2009" t="s">
        <v>2361</v>
      </c>
    </row>
    <row r="10" spans="1:36">
      <c r="C10" s="1675" t="s">
        <v>2429</v>
      </c>
      <c r="D10" s="1675" t="s">
        <v>2429</v>
      </c>
      <c r="F10" s="1675" t="s">
        <v>2315</v>
      </c>
      <c r="G10" s="1675"/>
      <c r="H10" s="2009" t="s">
        <v>122</v>
      </c>
      <c r="I10" s="1675"/>
      <c r="J10" s="2009"/>
      <c r="K10" s="1675"/>
      <c r="L10" s="1675"/>
      <c r="M10" s="1675"/>
      <c r="Q10" s="2001"/>
      <c r="R10" s="1675" t="s">
        <v>2315</v>
      </c>
      <c r="T10" s="1675"/>
      <c r="V10" s="1675" t="s">
        <v>2315</v>
      </c>
      <c r="W10" s="1675"/>
      <c r="X10" s="2009" t="s">
        <v>122</v>
      </c>
      <c r="Y10" s="1675"/>
      <c r="Z10" s="2009"/>
      <c r="AA10" s="1675"/>
      <c r="AB10" s="1675"/>
      <c r="AC10" s="1675"/>
      <c r="AG10" s="2001"/>
      <c r="AH10" s="1675" t="s">
        <v>2315</v>
      </c>
      <c r="AJ10" s="1675"/>
    </row>
    <row r="11" spans="1:36">
      <c r="A11" s="1675" t="s">
        <v>2430</v>
      </c>
      <c r="B11" s="1675"/>
      <c r="C11" s="1675" t="s">
        <v>2431</v>
      </c>
      <c r="D11" s="1675" t="s">
        <v>2431</v>
      </c>
      <c r="E11" s="2009"/>
      <c r="F11" s="1675" t="s">
        <v>1537</v>
      </c>
      <c r="G11" s="1675"/>
      <c r="H11" s="1675" t="s">
        <v>1537</v>
      </c>
      <c r="I11" s="1675"/>
      <c r="J11" s="1675"/>
      <c r="K11" s="2009"/>
      <c r="L11" s="1675" t="s">
        <v>2596</v>
      </c>
      <c r="M11" s="2005"/>
      <c r="N11" s="1675" t="s">
        <v>2596</v>
      </c>
      <c r="O11" s="1675"/>
      <c r="P11" s="1675" t="s">
        <v>593</v>
      </c>
      <c r="Q11" s="2010"/>
      <c r="R11" s="2009" t="s">
        <v>1537</v>
      </c>
      <c r="S11" s="2009"/>
      <c r="T11" s="1675" t="s">
        <v>2434</v>
      </c>
      <c r="V11" s="1675" t="s">
        <v>1537</v>
      </c>
      <c r="W11" s="1675"/>
      <c r="X11" s="1675" t="s">
        <v>1537</v>
      </c>
      <c r="Y11" s="1675"/>
      <c r="Z11" s="1675"/>
      <c r="AA11" s="2009"/>
      <c r="AB11" s="1675" t="s">
        <v>2596</v>
      </c>
      <c r="AC11" s="2005"/>
      <c r="AD11" s="1675" t="s">
        <v>2596</v>
      </c>
      <c r="AE11" s="1675"/>
      <c r="AF11" s="1675" t="s">
        <v>593</v>
      </c>
      <c r="AG11" s="2010"/>
      <c r="AH11" s="2009" t="s">
        <v>1537</v>
      </c>
      <c r="AI11" s="2009"/>
      <c r="AJ11" s="1675" t="s">
        <v>2434</v>
      </c>
    </row>
    <row r="12" spans="1:36" ht="15" thickBot="1">
      <c r="A12" s="2008" t="s">
        <v>2435</v>
      </c>
      <c r="B12" s="2008"/>
      <c r="C12" s="2008" t="s">
        <v>2436</v>
      </c>
      <c r="D12" s="2008" t="s">
        <v>2437</v>
      </c>
      <c r="E12" s="2008"/>
      <c r="F12" s="2011" t="s">
        <v>2439</v>
      </c>
      <c r="G12" s="2011"/>
      <c r="H12" s="2011" t="s">
        <v>2597</v>
      </c>
      <c r="I12" s="2012"/>
      <c r="J12" s="2011" t="s">
        <v>1535</v>
      </c>
      <c r="K12" s="2012"/>
      <c r="L12" s="2012" t="s">
        <v>2598</v>
      </c>
      <c r="M12" s="2013"/>
      <c r="N12" s="2013" t="s">
        <v>2599</v>
      </c>
      <c r="O12" s="2013"/>
      <c r="P12" s="2013" t="s">
        <v>2442</v>
      </c>
      <c r="Q12" s="2014"/>
      <c r="R12" s="2013" t="s">
        <v>2443</v>
      </c>
      <c r="S12" s="2013"/>
      <c r="T12" s="2013" t="s">
        <v>2444</v>
      </c>
      <c r="V12" s="2011" t="s">
        <v>2439</v>
      </c>
      <c r="W12" s="2011"/>
      <c r="X12" s="2011" t="s">
        <v>2597</v>
      </c>
      <c r="Y12" s="2012"/>
      <c r="Z12" s="2011" t="s">
        <v>1535</v>
      </c>
      <c r="AA12" s="2012"/>
      <c r="AB12" s="2012" t="s">
        <v>2598</v>
      </c>
      <c r="AC12" s="2013"/>
      <c r="AD12" s="2013" t="s">
        <v>2599</v>
      </c>
      <c r="AE12" s="2013"/>
      <c r="AF12" s="2013" t="s">
        <v>2442</v>
      </c>
      <c r="AG12" s="2014"/>
      <c r="AH12" s="2013" t="s">
        <v>2443</v>
      </c>
      <c r="AI12" s="2013"/>
      <c r="AJ12" s="2013" t="s">
        <v>2444</v>
      </c>
    </row>
    <row r="13" spans="1:36">
      <c r="A13" s="1675">
        <v>1</v>
      </c>
      <c r="B13" s="2015"/>
      <c r="L13" s="2016">
        <v>14</v>
      </c>
      <c r="N13" s="2016">
        <v>16</v>
      </c>
      <c r="P13" s="2016">
        <v>18</v>
      </c>
      <c r="Q13" s="2001"/>
      <c r="AB13" s="2016">
        <v>14</v>
      </c>
      <c r="AD13" s="2016">
        <v>16</v>
      </c>
      <c r="AF13" s="2016">
        <v>18</v>
      </c>
      <c r="AG13" s="2001"/>
    </row>
    <row r="14" spans="1:36">
      <c r="A14" s="1675">
        <v>2</v>
      </c>
      <c r="B14" s="2015"/>
      <c r="D14" s="1674" t="s">
        <v>2445</v>
      </c>
      <c r="F14" s="2016">
        <v>11</v>
      </c>
      <c r="G14" s="2017"/>
      <c r="H14" s="2016">
        <v>12</v>
      </c>
      <c r="I14" s="2017"/>
      <c r="J14" s="2016">
        <v>13</v>
      </c>
      <c r="K14" s="2017"/>
      <c r="L14" s="2016">
        <v>15</v>
      </c>
      <c r="M14" s="2017"/>
      <c r="N14" s="2016">
        <v>17</v>
      </c>
      <c r="O14" s="2016"/>
      <c r="P14" s="2016">
        <v>19</v>
      </c>
      <c r="Q14" s="2018"/>
      <c r="R14" s="2016">
        <v>21</v>
      </c>
      <c r="S14" s="2017"/>
      <c r="T14" s="2016">
        <v>22</v>
      </c>
      <c r="V14" s="2016">
        <v>11</v>
      </c>
      <c r="W14" s="2017"/>
      <c r="X14" s="2016">
        <v>12</v>
      </c>
      <c r="Y14" s="2017"/>
      <c r="Z14" s="2016">
        <v>13</v>
      </c>
      <c r="AA14" s="2017"/>
      <c r="AB14" s="2016">
        <v>15</v>
      </c>
      <c r="AC14" s="2017"/>
      <c r="AD14" s="2016">
        <v>17</v>
      </c>
      <c r="AE14" s="2016"/>
      <c r="AF14" s="2016">
        <v>19</v>
      </c>
      <c r="AG14" s="2018"/>
      <c r="AH14" s="2016">
        <v>21</v>
      </c>
      <c r="AI14" s="2017"/>
      <c r="AJ14" s="2016">
        <v>22</v>
      </c>
    </row>
    <row r="15" spans="1:36">
      <c r="A15" s="1675">
        <v>3</v>
      </c>
      <c r="B15" s="2015"/>
      <c r="D15" s="1674" t="s">
        <v>2446</v>
      </c>
      <c r="P15" s="2016">
        <v>20</v>
      </c>
      <c r="Q15" s="2001"/>
      <c r="AF15" s="2016">
        <v>20</v>
      </c>
      <c r="AG15" s="2001"/>
    </row>
    <row r="16" spans="1:36">
      <c r="A16" s="1675">
        <v>4</v>
      </c>
      <c r="B16" s="2015"/>
      <c r="D16" s="1674" t="s">
        <v>2448</v>
      </c>
      <c r="H16" s="1781"/>
      <c r="I16" s="1781"/>
      <c r="J16" s="1782"/>
      <c r="K16" s="1782"/>
      <c r="L16" s="1782"/>
      <c r="M16" s="1782"/>
      <c r="N16" s="1782"/>
      <c r="O16" s="1782"/>
      <c r="P16" s="1782"/>
      <c r="Q16" s="1783"/>
      <c r="R16" s="1784"/>
      <c r="S16" s="1784"/>
      <c r="T16" s="1782"/>
      <c r="X16" s="1781"/>
      <c r="Y16" s="1781"/>
      <c r="Z16" s="1782"/>
      <c r="AA16" s="1782"/>
      <c r="AB16" s="1782"/>
      <c r="AC16" s="1782"/>
      <c r="AD16" s="1782"/>
      <c r="AE16" s="1782"/>
      <c r="AF16" s="1782"/>
      <c r="AG16" s="1783"/>
      <c r="AH16" s="1784"/>
      <c r="AI16" s="1784"/>
      <c r="AJ16" s="1782"/>
    </row>
    <row r="17" spans="1:36">
      <c r="A17" s="1675">
        <v>5</v>
      </c>
      <c r="B17" s="2015"/>
      <c r="C17" s="1675">
        <v>31140</v>
      </c>
      <c r="D17" s="1674" t="s">
        <v>2449</v>
      </c>
      <c r="F17" s="1876">
        <f>+IF(ISNUMBER(V17),V17/1000,V17)</f>
        <v>72424.455289999998</v>
      </c>
      <c r="G17" s="2001">
        <f t="shared" ref="G17:G80" si="0">+IF(ISNUMBER(W17),W17/1000,W17)</f>
        <v>0</v>
      </c>
      <c r="H17" s="1876">
        <f t="shared" ref="H17:H80" si="1">+IF(ISNUMBER(X17),X17/1000,X17)</f>
        <v>7080.2807999999995</v>
      </c>
      <c r="I17" s="1785">
        <f t="shared" ref="I17:I80" si="2">+IF(ISNUMBER(Y17),Y17/1000,Y17)</f>
        <v>0</v>
      </c>
      <c r="J17" s="1876">
        <f t="shared" ref="J17:J80" si="3">+IF(ISNUMBER(Z17),Z17/1000,Z17)</f>
        <v>0</v>
      </c>
      <c r="K17" s="1786">
        <f t="shared" ref="K17:K80" si="4">+IF(ISNUMBER(AA17),AA17/1000,AA17)</f>
        <v>0</v>
      </c>
      <c r="L17" s="1876">
        <f t="shared" ref="L17:L80" si="5">+IF(ISNUMBER(AB17),AB17/1000,AB17)</f>
        <v>0</v>
      </c>
      <c r="M17" s="1786">
        <f t="shared" ref="M17:M80" si="6">+IF(ISNUMBER(AC17),AC17/1000,AC17)</f>
        <v>0</v>
      </c>
      <c r="N17" s="1876">
        <f t="shared" ref="N17:N80" si="7">+IF(ISNUMBER(AD17),AD17/1000,AD17)</f>
        <v>0</v>
      </c>
      <c r="O17" s="1787">
        <f t="shared" ref="O17:O80" si="8">+IF(ISNUMBER(AE17),AE17/1000,AE17)</f>
        <v>0</v>
      </c>
      <c r="P17" s="1876">
        <f t="shared" ref="P17:P80" si="9">+IF(ISNUMBER(AF17),AF17/1000,AF17)</f>
        <v>0</v>
      </c>
      <c r="Q17" s="1785">
        <f t="shared" ref="Q17:Q80" si="10">+IF(ISNUMBER(AG17),AG17/1000,AG17)</f>
        <v>0</v>
      </c>
      <c r="R17" s="1787">
        <f t="shared" ref="R17:R80" si="11">+IF(ISNUMBER(AH17),AH17/1000,AH17)</f>
        <v>79504.736089999991</v>
      </c>
      <c r="S17" s="1786">
        <f t="shared" ref="S17:S80" si="12">+IF(ISNUMBER(AI17),AI17/1000,AI17)</f>
        <v>0</v>
      </c>
      <c r="T17" s="1876">
        <f t="shared" ref="T17:T80" si="13">+IF(ISNUMBER(AJ17),AJ17/1000,AJ17)</f>
        <v>75964.595690000002</v>
      </c>
      <c r="V17" s="1876">
        <v>72424455.289999992</v>
      </c>
      <c r="W17" s="2001"/>
      <c r="X17" s="1876">
        <v>7080280.7999999998</v>
      </c>
      <c r="Y17" s="1785"/>
      <c r="Z17" s="1876">
        <v>0</v>
      </c>
      <c r="AA17" s="1786"/>
      <c r="AB17" s="1876">
        <v>0</v>
      </c>
      <c r="AC17" s="1786"/>
      <c r="AD17" s="1876">
        <v>0</v>
      </c>
      <c r="AE17" s="1787"/>
      <c r="AF17" s="1876">
        <v>0</v>
      </c>
      <c r="AG17" s="1785"/>
      <c r="AH17" s="1787">
        <v>79504736.089999989</v>
      </c>
      <c r="AI17" s="1786"/>
      <c r="AJ17" s="1876">
        <v>75964595.689999998</v>
      </c>
    </row>
    <row r="18" spans="1:36">
      <c r="A18" s="1675">
        <v>6</v>
      </c>
      <c r="B18" s="2015"/>
      <c r="C18" s="1675">
        <v>31240</v>
      </c>
      <c r="D18" s="1674" t="s">
        <v>2451</v>
      </c>
      <c r="F18" s="1876">
        <f t="shared" ref="F18:F81" si="14">+IF(ISNUMBER(V18),V18/1000,V18)</f>
        <v>50486.989935000012</v>
      </c>
      <c r="G18" s="2001">
        <f t="shared" si="0"/>
        <v>0</v>
      </c>
      <c r="H18" s="1876">
        <f t="shared" si="1"/>
        <v>7595.3451100000002</v>
      </c>
      <c r="I18" s="1785">
        <f t="shared" si="2"/>
        <v>0</v>
      </c>
      <c r="J18" s="1876">
        <f t="shared" si="3"/>
        <v>-1071.41309</v>
      </c>
      <c r="K18" s="1786">
        <f t="shared" si="4"/>
        <v>0</v>
      </c>
      <c r="L18" s="1876">
        <f t="shared" si="5"/>
        <v>-548.24575000000004</v>
      </c>
      <c r="M18" s="1786">
        <f t="shared" si="6"/>
        <v>0</v>
      </c>
      <c r="N18" s="1876">
        <f t="shared" si="7"/>
        <v>0</v>
      </c>
      <c r="O18" s="1787">
        <f t="shared" si="8"/>
        <v>0</v>
      </c>
      <c r="P18" s="1876">
        <f t="shared" si="9"/>
        <v>0</v>
      </c>
      <c r="Q18" s="1785">
        <f t="shared" si="10"/>
        <v>0</v>
      </c>
      <c r="R18" s="1787">
        <f t="shared" si="11"/>
        <v>56462.676205000003</v>
      </c>
      <c r="S18" s="1786">
        <f t="shared" si="12"/>
        <v>0</v>
      </c>
      <c r="T18" s="1876">
        <f t="shared" si="13"/>
        <v>53547.756219999996</v>
      </c>
      <c r="V18" s="1876">
        <v>50486989.93500001</v>
      </c>
      <c r="W18" s="2001"/>
      <c r="X18" s="1876">
        <v>7595345.1100000003</v>
      </c>
      <c r="Y18" s="1785"/>
      <c r="Z18" s="1876">
        <v>-1071413.0900000001</v>
      </c>
      <c r="AA18" s="1786"/>
      <c r="AB18" s="1876">
        <v>-548245.75</v>
      </c>
      <c r="AC18" s="1786"/>
      <c r="AD18" s="1876">
        <v>0</v>
      </c>
      <c r="AE18" s="1787"/>
      <c r="AF18" s="1876">
        <v>0</v>
      </c>
      <c r="AG18" s="1785"/>
      <c r="AH18" s="1787">
        <v>56462676.205000006</v>
      </c>
      <c r="AI18" s="1786"/>
      <c r="AJ18" s="1876">
        <v>53547756.219999999</v>
      </c>
    </row>
    <row r="19" spans="1:36">
      <c r="A19" s="1675">
        <v>7</v>
      </c>
      <c r="B19" s="2015"/>
      <c r="C19" s="1675">
        <v>31440</v>
      </c>
      <c r="D19" s="1674" t="s">
        <v>2452</v>
      </c>
      <c r="F19" s="1876">
        <f t="shared" si="14"/>
        <v>954.13038500000096</v>
      </c>
      <c r="G19" s="2001">
        <f t="shared" si="0"/>
        <v>0</v>
      </c>
      <c r="H19" s="1876">
        <f t="shared" si="1"/>
        <v>1185.9906799999999</v>
      </c>
      <c r="I19" s="1785">
        <f t="shared" si="2"/>
        <v>0</v>
      </c>
      <c r="J19" s="1876">
        <f t="shared" si="3"/>
        <v>-1071.41309</v>
      </c>
      <c r="K19" s="1786">
        <f t="shared" si="4"/>
        <v>0</v>
      </c>
      <c r="L19" s="1876">
        <f t="shared" si="5"/>
        <v>-548.24575000000004</v>
      </c>
      <c r="M19" s="1786">
        <f t="shared" si="6"/>
        <v>0</v>
      </c>
      <c r="N19" s="1876">
        <f t="shared" si="7"/>
        <v>0</v>
      </c>
      <c r="O19" s="1787">
        <f t="shared" si="8"/>
        <v>0</v>
      </c>
      <c r="P19" s="1876">
        <f t="shared" si="9"/>
        <v>0</v>
      </c>
      <c r="Q19" s="1785">
        <f t="shared" si="10"/>
        <v>0</v>
      </c>
      <c r="R19" s="1787">
        <f t="shared" si="11"/>
        <v>520.46222500000079</v>
      </c>
      <c r="S19" s="1786">
        <f t="shared" si="12"/>
        <v>0</v>
      </c>
      <c r="T19" s="1876">
        <f t="shared" si="13"/>
        <v>809.92262000000005</v>
      </c>
      <c r="V19" s="1876">
        <v>954130.38500000094</v>
      </c>
      <c r="W19" s="2001"/>
      <c r="X19" s="1876">
        <v>1185990.68</v>
      </c>
      <c r="Y19" s="1785"/>
      <c r="Z19" s="1876">
        <v>-1071413.0900000001</v>
      </c>
      <c r="AA19" s="1786"/>
      <c r="AB19" s="1876">
        <v>-548245.75</v>
      </c>
      <c r="AC19" s="1786"/>
      <c r="AD19" s="1876">
        <v>0</v>
      </c>
      <c r="AE19" s="1787"/>
      <c r="AF19" s="1876">
        <v>0</v>
      </c>
      <c r="AG19" s="1785"/>
      <c r="AH19" s="1787">
        <v>520462.22500000079</v>
      </c>
      <c r="AI19" s="1786"/>
      <c r="AJ19" s="1876">
        <v>809922.62</v>
      </c>
    </row>
    <row r="20" spans="1:36">
      <c r="A20" s="1675">
        <v>8</v>
      </c>
      <c r="B20" s="2015"/>
      <c r="C20" s="1675">
        <v>31540</v>
      </c>
      <c r="D20" s="1674" t="s">
        <v>2454</v>
      </c>
      <c r="F20" s="1876">
        <f t="shared" si="14"/>
        <v>19711.999140000029</v>
      </c>
      <c r="G20" s="2001">
        <f t="shared" si="0"/>
        <v>0</v>
      </c>
      <c r="H20" s="1876">
        <f t="shared" si="1"/>
        <v>949.97004000000004</v>
      </c>
      <c r="I20" s="1785">
        <f t="shared" si="2"/>
        <v>0</v>
      </c>
      <c r="J20" s="1876">
        <f t="shared" si="3"/>
        <v>0</v>
      </c>
      <c r="K20" s="1786">
        <f t="shared" si="4"/>
        <v>0</v>
      </c>
      <c r="L20" s="1876">
        <f t="shared" si="5"/>
        <v>0</v>
      </c>
      <c r="M20" s="1786">
        <f t="shared" si="6"/>
        <v>0</v>
      </c>
      <c r="N20" s="1876">
        <f t="shared" si="7"/>
        <v>0</v>
      </c>
      <c r="O20" s="1787">
        <f t="shared" si="8"/>
        <v>0</v>
      </c>
      <c r="P20" s="1876">
        <f t="shared" si="9"/>
        <v>0</v>
      </c>
      <c r="Q20" s="1785">
        <f t="shared" si="10"/>
        <v>0</v>
      </c>
      <c r="R20" s="1787">
        <f t="shared" si="11"/>
        <v>20661.969180000029</v>
      </c>
      <c r="S20" s="1786">
        <f t="shared" si="12"/>
        <v>0</v>
      </c>
      <c r="T20" s="1876">
        <f t="shared" si="13"/>
        <v>20186.98416</v>
      </c>
      <c r="V20" s="1876">
        <v>19711999.14000003</v>
      </c>
      <c r="W20" s="2001"/>
      <c r="X20" s="1876">
        <v>949970.04</v>
      </c>
      <c r="Y20" s="1785"/>
      <c r="Z20" s="1876">
        <v>0</v>
      </c>
      <c r="AA20" s="1786"/>
      <c r="AB20" s="1876">
        <v>0</v>
      </c>
      <c r="AC20" s="1786"/>
      <c r="AD20" s="1876">
        <v>0</v>
      </c>
      <c r="AE20" s="1787"/>
      <c r="AF20" s="1876">
        <v>0</v>
      </c>
      <c r="AG20" s="1785"/>
      <c r="AH20" s="1787">
        <v>20661969.18000003</v>
      </c>
      <c r="AI20" s="1786"/>
      <c r="AJ20" s="1876">
        <v>20186984.16</v>
      </c>
    </row>
    <row r="21" spans="1:36">
      <c r="A21" s="1675">
        <v>9</v>
      </c>
      <c r="B21" s="2015"/>
      <c r="C21" s="1675">
        <v>31640</v>
      </c>
      <c r="D21" s="1674" t="s">
        <v>2455</v>
      </c>
      <c r="F21" s="1876">
        <f t="shared" si="14"/>
        <v>11794.161239999992</v>
      </c>
      <c r="G21" s="2001">
        <f t="shared" si="0"/>
        <v>0</v>
      </c>
      <c r="H21" s="1876">
        <f t="shared" si="1"/>
        <v>534.25968</v>
      </c>
      <c r="I21" s="1785">
        <f t="shared" si="2"/>
        <v>0</v>
      </c>
      <c r="J21" s="1876">
        <f t="shared" si="3"/>
        <v>0</v>
      </c>
      <c r="K21" s="1786">
        <f t="shared" si="4"/>
        <v>0</v>
      </c>
      <c r="L21" s="1876">
        <f t="shared" si="5"/>
        <v>0</v>
      </c>
      <c r="M21" s="1786">
        <f t="shared" si="6"/>
        <v>0</v>
      </c>
      <c r="N21" s="1876">
        <f t="shared" si="7"/>
        <v>0</v>
      </c>
      <c r="O21" s="1787">
        <f t="shared" si="8"/>
        <v>0</v>
      </c>
      <c r="P21" s="1876">
        <f t="shared" si="9"/>
        <v>0</v>
      </c>
      <c r="Q21" s="1785">
        <f t="shared" si="10"/>
        <v>0</v>
      </c>
      <c r="R21" s="1787">
        <f t="shared" si="11"/>
        <v>12328.420919999993</v>
      </c>
      <c r="S21" s="1786">
        <f t="shared" si="12"/>
        <v>0</v>
      </c>
      <c r="T21" s="1876">
        <f t="shared" si="13"/>
        <v>12061.291080000001</v>
      </c>
      <c r="V21" s="1876">
        <v>11794161.239999993</v>
      </c>
      <c r="W21" s="2001"/>
      <c r="X21" s="1876">
        <v>534259.68000000005</v>
      </c>
      <c r="Y21" s="1785"/>
      <c r="Z21" s="1876">
        <v>0</v>
      </c>
      <c r="AA21" s="1786"/>
      <c r="AB21" s="1876">
        <v>0</v>
      </c>
      <c r="AC21" s="1786"/>
      <c r="AD21" s="1876">
        <v>0</v>
      </c>
      <c r="AE21" s="1787"/>
      <c r="AF21" s="1876">
        <v>0</v>
      </c>
      <c r="AG21" s="1785"/>
      <c r="AH21" s="1787">
        <v>12328420.919999992</v>
      </c>
      <c r="AI21" s="1786"/>
      <c r="AJ21" s="1876">
        <v>12061291.08</v>
      </c>
    </row>
    <row r="22" spans="1:36">
      <c r="A22" s="1675">
        <v>10</v>
      </c>
      <c r="B22" s="2015"/>
      <c r="C22" s="1675"/>
      <c r="D22" s="1674" t="s">
        <v>2457</v>
      </c>
      <c r="F22" s="1788">
        <f t="shared" si="14"/>
        <v>155371.73599000002</v>
      </c>
      <c r="G22" s="1674">
        <f t="shared" si="0"/>
        <v>0</v>
      </c>
      <c r="H22" s="1788">
        <f t="shared" si="1"/>
        <v>17345.846309999997</v>
      </c>
      <c r="I22" s="1783">
        <f t="shared" si="2"/>
        <v>0</v>
      </c>
      <c r="J22" s="1788">
        <f t="shared" si="3"/>
        <v>-2142.82618</v>
      </c>
      <c r="K22" s="1783">
        <f t="shared" si="4"/>
        <v>0</v>
      </c>
      <c r="L22" s="1788">
        <f t="shared" si="5"/>
        <v>-1096.4915000000001</v>
      </c>
      <c r="M22" s="1783">
        <f t="shared" si="6"/>
        <v>0</v>
      </c>
      <c r="N22" s="1788">
        <f t="shared" si="7"/>
        <v>0</v>
      </c>
      <c r="O22" s="1814">
        <f t="shared" si="8"/>
        <v>0</v>
      </c>
      <c r="P22" s="1788">
        <f t="shared" si="9"/>
        <v>0</v>
      </c>
      <c r="Q22" s="1783">
        <f t="shared" si="10"/>
        <v>0</v>
      </c>
      <c r="R22" s="1788">
        <f t="shared" si="11"/>
        <v>169478.26462</v>
      </c>
      <c r="S22" s="1783">
        <f t="shared" si="12"/>
        <v>0</v>
      </c>
      <c r="T22" s="1788">
        <f t="shared" si="13"/>
        <v>162570.54977000001</v>
      </c>
      <c r="V22" s="1788">
        <v>155371735.99000001</v>
      </c>
      <c r="X22" s="1788">
        <v>17345846.309999999</v>
      </c>
      <c r="Y22" s="1783"/>
      <c r="Z22" s="1788">
        <v>-2142826.1800000002</v>
      </c>
      <c r="AA22" s="1783"/>
      <c r="AB22" s="1788">
        <v>-1096491.5</v>
      </c>
      <c r="AC22" s="1783"/>
      <c r="AD22" s="1788">
        <v>0</v>
      </c>
      <c r="AE22" s="1814"/>
      <c r="AF22" s="1788">
        <v>0</v>
      </c>
      <c r="AG22" s="1783"/>
      <c r="AH22" s="1788">
        <v>169478264.62</v>
      </c>
      <c r="AI22" s="1783"/>
      <c r="AJ22" s="1788">
        <v>162570549.77000001</v>
      </c>
    </row>
    <row r="23" spans="1:36">
      <c r="A23" s="1675">
        <v>11</v>
      </c>
      <c r="B23" s="2015"/>
      <c r="C23" s="1675"/>
      <c r="F23" s="1674">
        <f t="shared" si="14"/>
        <v>0</v>
      </c>
      <c r="G23" s="1674">
        <f t="shared" si="0"/>
        <v>0</v>
      </c>
      <c r="H23" s="1789">
        <f t="shared" si="1"/>
        <v>0</v>
      </c>
      <c r="I23" s="1789">
        <f t="shared" si="2"/>
        <v>0</v>
      </c>
      <c r="J23" s="1789">
        <f t="shared" si="3"/>
        <v>0</v>
      </c>
      <c r="K23" s="1790">
        <f t="shared" si="4"/>
        <v>0</v>
      </c>
      <c r="L23" s="1789">
        <f t="shared" si="5"/>
        <v>0</v>
      </c>
      <c r="M23" s="1790">
        <f t="shared" si="6"/>
        <v>0</v>
      </c>
      <c r="N23" s="1789">
        <f t="shared" si="7"/>
        <v>0</v>
      </c>
      <c r="O23" s="1789">
        <f t="shared" si="8"/>
        <v>0</v>
      </c>
      <c r="P23" s="1789">
        <f t="shared" si="9"/>
        <v>0</v>
      </c>
      <c r="Q23" s="1790">
        <f t="shared" si="10"/>
        <v>0</v>
      </c>
      <c r="R23" s="1789">
        <f t="shared" si="11"/>
        <v>0</v>
      </c>
      <c r="S23" s="1790">
        <f t="shared" si="12"/>
        <v>0</v>
      </c>
      <c r="T23" s="1789">
        <f t="shared" si="13"/>
        <v>0</v>
      </c>
      <c r="X23" s="1789"/>
      <c r="Y23" s="1789"/>
      <c r="Z23" s="1789"/>
      <c r="AA23" s="1790"/>
      <c r="AB23" s="1789"/>
      <c r="AC23" s="1790"/>
      <c r="AD23" s="1789"/>
      <c r="AE23" s="1789"/>
      <c r="AF23" s="1789"/>
      <c r="AG23" s="1790"/>
      <c r="AH23" s="1789"/>
      <c r="AI23" s="1790"/>
      <c r="AJ23" s="1789"/>
    </row>
    <row r="24" spans="1:36">
      <c r="A24" s="1675">
        <v>12</v>
      </c>
      <c r="B24" s="2015"/>
      <c r="C24" s="1675"/>
      <c r="D24" s="1674" t="s">
        <v>2459</v>
      </c>
      <c r="F24" s="1674">
        <f t="shared" si="14"/>
        <v>0</v>
      </c>
      <c r="G24" s="1674">
        <f t="shared" si="0"/>
        <v>0</v>
      </c>
      <c r="H24" s="1791">
        <f t="shared" si="1"/>
        <v>0</v>
      </c>
      <c r="I24" s="1791">
        <f t="shared" si="2"/>
        <v>0</v>
      </c>
      <c r="J24" s="1791">
        <f t="shared" si="3"/>
        <v>0</v>
      </c>
      <c r="K24" s="1790">
        <f t="shared" si="4"/>
        <v>0</v>
      </c>
      <c r="L24" s="1791">
        <f t="shared" si="5"/>
        <v>0</v>
      </c>
      <c r="M24" s="1790">
        <f t="shared" si="6"/>
        <v>0</v>
      </c>
      <c r="N24" s="1791">
        <f t="shared" si="7"/>
        <v>0</v>
      </c>
      <c r="O24" s="1791">
        <f t="shared" si="8"/>
        <v>0</v>
      </c>
      <c r="P24" s="1791">
        <f t="shared" si="9"/>
        <v>0</v>
      </c>
      <c r="Q24" s="1790">
        <f t="shared" si="10"/>
        <v>0</v>
      </c>
      <c r="R24" s="1791">
        <f t="shared" si="11"/>
        <v>0</v>
      </c>
      <c r="S24" s="1790">
        <f t="shared" si="12"/>
        <v>0</v>
      </c>
      <c r="T24" s="1791">
        <f t="shared" si="13"/>
        <v>0</v>
      </c>
      <c r="X24" s="1791"/>
      <c r="Y24" s="1791"/>
      <c r="Z24" s="1791"/>
      <c r="AA24" s="1790"/>
      <c r="AB24" s="1791"/>
      <c r="AC24" s="1790"/>
      <c r="AD24" s="1791"/>
      <c r="AE24" s="1791"/>
      <c r="AF24" s="1791"/>
      <c r="AG24" s="1790"/>
      <c r="AH24" s="1791"/>
      <c r="AI24" s="1790"/>
      <c r="AJ24" s="1791"/>
    </row>
    <row r="25" spans="1:36">
      <c r="A25" s="1675">
        <v>13</v>
      </c>
      <c r="B25" s="2015"/>
      <c r="C25" s="1675">
        <v>31141</v>
      </c>
      <c r="D25" s="1674" t="s">
        <v>2449</v>
      </c>
      <c r="F25" s="1876">
        <f t="shared" si="14"/>
        <v>0</v>
      </c>
      <c r="G25" s="2001">
        <f t="shared" si="0"/>
        <v>0</v>
      </c>
      <c r="H25" s="1876">
        <f t="shared" si="1"/>
        <v>0</v>
      </c>
      <c r="I25" s="1785">
        <f t="shared" si="2"/>
        <v>0</v>
      </c>
      <c r="J25" s="1876">
        <f t="shared" si="3"/>
        <v>0</v>
      </c>
      <c r="K25" s="1786">
        <f t="shared" si="4"/>
        <v>0</v>
      </c>
      <c r="L25" s="1876">
        <f t="shared" si="5"/>
        <v>0</v>
      </c>
      <c r="M25" s="1786">
        <f t="shared" si="6"/>
        <v>0</v>
      </c>
      <c r="N25" s="1876">
        <f t="shared" si="7"/>
        <v>0</v>
      </c>
      <c r="O25" s="1787">
        <f t="shared" si="8"/>
        <v>0</v>
      </c>
      <c r="P25" s="1876">
        <f t="shared" si="9"/>
        <v>0</v>
      </c>
      <c r="Q25" s="1785">
        <f t="shared" si="10"/>
        <v>0</v>
      </c>
      <c r="R25" s="1787">
        <f t="shared" si="11"/>
        <v>0</v>
      </c>
      <c r="S25" s="1786">
        <f t="shared" si="12"/>
        <v>0</v>
      </c>
      <c r="T25" s="1876">
        <f t="shared" si="13"/>
        <v>0</v>
      </c>
      <c r="V25" s="1876">
        <v>0</v>
      </c>
      <c r="W25" s="2001"/>
      <c r="X25" s="1876">
        <v>0</v>
      </c>
      <c r="Y25" s="1785"/>
      <c r="Z25" s="1876">
        <v>0</v>
      </c>
      <c r="AA25" s="1786"/>
      <c r="AB25" s="1876">
        <v>0</v>
      </c>
      <c r="AC25" s="1786"/>
      <c r="AD25" s="1876">
        <v>0</v>
      </c>
      <c r="AE25" s="1787"/>
      <c r="AF25" s="1876">
        <v>0</v>
      </c>
      <c r="AG25" s="1785"/>
      <c r="AH25" s="1787">
        <v>0</v>
      </c>
      <c r="AI25" s="1786"/>
      <c r="AJ25" s="1876">
        <v>0</v>
      </c>
    </row>
    <row r="26" spans="1:36">
      <c r="A26" s="1675">
        <v>14</v>
      </c>
      <c r="B26" s="2015"/>
      <c r="C26" s="1675">
        <v>31241</v>
      </c>
      <c r="D26" s="1674" t="s">
        <v>2451</v>
      </c>
      <c r="F26" s="1876">
        <f t="shared" si="14"/>
        <v>0</v>
      </c>
      <c r="G26" s="2001">
        <f t="shared" si="0"/>
        <v>0</v>
      </c>
      <c r="H26" s="1876">
        <f t="shared" si="1"/>
        <v>0</v>
      </c>
      <c r="I26" s="1785">
        <f t="shared" si="2"/>
        <v>0</v>
      </c>
      <c r="J26" s="1876">
        <f t="shared" si="3"/>
        <v>0</v>
      </c>
      <c r="K26" s="1786">
        <f t="shared" si="4"/>
        <v>0</v>
      </c>
      <c r="L26" s="1876">
        <f t="shared" si="5"/>
        <v>0</v>
      </c>
      <c r="M26" s="1786">
        <f t="shared" si="6"/>
        <v>0</v>
      </c>
      <c r="N26" s="1876">
        <f t="shared" si="7"/>
        <v>0</v>
      </c>
      <c r="O26" s="1787">
        <f t="shared" si="8"/>
        <v>0</v>
      </c>
      <c r="P26" s="1876">
        <f t="shared" si="9"/>
        <v>0</v>
      </c>
      <c r="Q26" s="1785">
        <f t="shared" si="10"/>
        <v>0</v>
      </c>
      <c r="R26" s="1787">
        <f t="shared" si="11"/>
        <v>0</v>
      </c>
      <c r="S26" s="1786">
        <f t="shared" si="12"/>
        <v>0</v>
      </c>
      <c r="T26" s="1876">
        <f t="shared" si="13"/>
        <v>0</v>
      </c>
      <c r="V26" s="1876">
        <v>0</v>
      </c>
      <c r="W26" s="2001"/>
      <c r="X26" s="1876">
        <v>0</v>
      </c>
      <c r="Y26" s="1785"/>
      <c r="Z26" s="1876">
        <v>0</v>
      </c>
      <c r="AA26" s="1786"/>
      <c r="AB26" s="1876">
        <v>0</v>
      </c>
      <c r="AC26" s="1786"/>
      <c r="AD26" s="1876">
        <v>0</v>
      </c>
      <c r="AE26" s="1787"/>
      <c r="AF26" s="1876">
        <v>0</v>
      </c>
      <c r="AG26" s="1785"/>
      <c r="AH26" s="1787">
        <v>0</v>
      </c>
      <c r="AI26" s="1786"/>
      <c r="AJ26" s="1876">
        <v>0</v>
      </c>
    </row>
    <row r="27" spans="1:36">
      <c r="A27" s="1675">
        <v>15</v>
      </c>
      <c r="B27" s="2015"/>
      <c r="C27" s="1675">
        <v>31441</v>
      </c>
      <c r="D27" s="1674" t="s">
        <v>2452</v>
      </c>
      <c r="F27" s="1876">
        <f t="shared" si="14"/>
        <v>0</v>
      </c>
      <c r="G27" s="2001">
        <f t="shared" si="0"/>
        <v>0</v>
      </c>
      <c r="H27" s="1876">
        <f t="shared" si="1"/>
        <v>0</v>
      </c>
      <c r="I27" s="1785">
        <f t="shared" si="2"/>
        <v>0</v>
      </c>
      <c r="J27" s="1876">
        <f t="shared" si="3"/>
        <v>0</v>
      </c>
      <c r="K27" s="1786">
        <f t="shared" si="4"/>
        <v>0</v>
      </c>
      <c r="L27" s="1876">
        <f t="shared" si="5"/>
        <v>0</v>
      </c>
      <c r="M27" s="1786">
        <f t="shared" si="6"/>
        <v>0</v>
      </c>
      <c r="N27" s="1876">
        <f t="shared" si="7"/>
        <v>0</v>
      </c>
      <c r="O27" s="1787">
        <f t="shared" si="8"/>
        <v>0</v>
      </c>
      <c r="P27" s="1876">
        <f t="shared" si="9"/>
        <v>0</v>
      </c>
      <c r="Q27" s="1785">
        <f t="shared" si="10"/>
        <v>0</v>
      </c>
      <c r="R27" s="1787">
        <f t="shared" si="11"/>
        <v>0</v>
      </c>
      <c r="S27" s="1786">
        <f t="shared" si="12"/>
        <v>0</v>
      </c>
      <c r="T27" s="1876">
        <f t="shared" si="13"/>
        <v>0</v>
      </c>
      <c r="V27" s="1876">
        <v>0</v>
      </c>
      <c r="W27" s="2001"/>
      <c r="X27" s="1876">
        <v>0</v>
      </c>
      <c r="Y27" s="1785"/>
      <c r="Z27" s="1876">
        <v>0</v>
      </c>
      <c r="AA27" s="1786"/>
      <c r="AB27" s="1876">
        <v>0</v>
      </c>
      <c r="AC27" s="1786"/>
      <c r="AD27" s="1876">
        <v>0</v>
      </c>
      <c r="AE27" s="1787"/>
      <c r="AF27" s="1876">
        <v>0</v>
      </c>
      <c r="AG27" s="1785"/>
      <c r="AH27" s="1787">
        <v>0</v>
      </c>
      <c r="AI27" s="1786"/>
      <c r="AJ27" s="1876">
        <v>0</v>
      </c>
    </row>
    <row r="28" spans="1:36">
      <c r="A28" s="1675">
        <v>16</v>
      </c>
      <c r="B28" s="2015"/>
      <c r="C28" s="1675">
        <v>31541</v>
      </c>
      <c r="D28" s="1674" t="s">
        <v>2454</v>
      </c>
      <c r="F28" s="1876">
        <f t="shared" si="14"/>
        <v>0</v>
      </c>
      <c r="G28" s="2001">
        <f t="shared" si="0"/>
        <v>0</v>
      </c>
      <c r="H28" s="1876">
        <f t="shared" si="1"/>
        <v>0</v>
      </c>
      <c r="I28" s="1785">
        <f t="shared" si="2"/>
        <v>0</v>
      </c>
      <c r="J28" s="1876">
        <f t="shared" si="3"/>
        <v>0</v>
      </c>
      <c r="K28" s="1786">
        <f t="shared" si="4"/>
        <v>0</v>
      </c>
      <c r="L28" s="1876">
        <f t="shared" si="5"/>
        <v>0</v>
      </c>
      <c r="M28" s="1786">
        <f t="shared" si="6"/>
        <v>0</v>
      </c>
      <c r="N28" s="1876">
        <f t="shared" si="7"/>
        <v>0</v>
      </c>
      <c r="O28" s="1787">
        <f t="shared" si="8"/>
        <v>0</v>
      </c>
      <c r="P28" s="1876">
        <f t="shared" si="9"/>
        <v>0</v>
      </c>
      <c r="Q28" s="1785">
        <f t="shared" si="10"/>
        <v>0</v>
      </c>
      <c r="R28" s="1787">
        <f t="shared" si="11"/>
        <v>0</v>
      </c>
      <c r="S28" s="1786">
        <f t="shared" si="12"/>
        <v>0</v>
      </c>
      <c r="T28" s="1876">
        <f t="shared" si="13"/>
        <v>0</v>
      </c>
      <c r="V28" s="1876">
        <v>0</v>
      </c>
      <c r="W28" s="2001"/>
      <c r="X28" s="1876">
        <v>0</v>
      </c>
      <c r="Y28" s="1785"/>
      <c r="Z28" s="1876">
        <v>0</v>
      </c>
      <c r="AA28" s="1786"/>
      <c r="AB28" s="1876">
        <v>0</v>
      </c>
      <c r="AC28" s="1786"/>
      <c r="AD28" s="1876">
        <v>0</v>
      </c>
      <c r="AE28" s="1787"/>
      <c r="AF28" s="1876">
        <v>0</v>
      </c>
      <c r="AG28" s="1785"/>
      <c r="AH28" s="1787">
        <v>0</v>
      </c>
      <c r="AI28" s="1786"/>
      <c r="AJ28" s="1876">
        <v>0</v>
      </c>
    </row>
    <row r="29" spans="1:36">
      <c r="A29" s="1675">
        <v>17</v>
      </c>
      <c r="B29" s="2015"/>
      <c r="C29" s="1675">
        <v>31641</v>
      </c>
      <c r="D29" s="1674" t="s">
        <v>2455</v>
      </c>
      <c r="F29" s="1876">
        <f t="shared" si="14"/>
        <v>0</v>
      </c>
      <c r="G29" s="2001">
        <f t="shared" si="0"/>
        <v>0</v>
      </c>
      <c r="H29" s="1876">
        <f t="shared" si="1"/>
        <v>0</v>
      </c>
      <c r="I29" s="1785">
        <f t="shared" si="2"/>
        <v>0</v>
      </c>
      <c r="J29" s="1876">
        <f t="shared" si="3"/>
        <v>0</v>
      </c>
      <c r="K29" s="1786">
        <f t="shared" si="4"/>
        <v>0</v>
      </c>
      <c r="L29" s="1876">
        <f t="shared" si="5"/>
        <v>0</v>
      </c>
      <c r="M29" s="1786">
        <f t="shared" si="6"/>
        <v>0</v>
      </c>
      <c r="N29" s="1876">
        <f t="shared" si="7"/>
        <v>0</v>
      </c>
      <c r="O29" s="1787">
        <f t="shared" si="8"/>
        <v>0</v>
      </c>
      <c r="P29" s="1876">
        <f t="shared" si="9"/>
        <v>0</v>
      </c>
      <c r="Q29" s="1785">
        <f t="shared" si="10"/>
        <v>0</v>
      </c>
      <c r="R29" s="1787">
        <f t="shared" si="11"/>
        <v>0</v>
      </c>
      <c r="S29" s="1786">
        <f t="shared" si="12"/>
        <v>0</v>
      </c>
      <c r="T29" s="1876">
        <f t="shared" si="13"/>
        <v>0</v>
      </c>
      <c r="V29" s="1876">
        <v>0</v>
      </c>
      <c r="W29" s="2001"/>
      <c r="X29" s="1876">
        <v>0</v>
      </c>
      <c r="Y29" s="1785"/>
      <c r="Z29" s="1876">
        <v>0</v>
      </c>
      <c r="AA29" s="1786"/>
      <c r="AB29" s="1876">
        <v>0</v>
      </c>
      <c r="AC29" s="1786"/>
      <c r="AD29" s="1876">
        <v>0</v>
      </c>
      <c r="AE29" s="1787"/>
      <c r="AF29" s="1876">
        <v>0</v>
      </c>
      <c r="AG29" s="1785"/>
      <c r="AH29" s="1787">
        <v>0</v>
      </c>
      <c r="AI29" s="1786"/>
      <c r="AJ29" s="1876">
        <v>0</v>
      </c>
    </row>
    <row r="30" spans="1:36">
      <c r="A30" s="1675">
        <v>18</v>
      </c>
      <c r="B30" s="2015"/>
      <c r="C30" s="1675"/>
      <c r="D30" s="1674" t="s">
        <v>2463</v>
      </c>
      <c r="F30" s="1788">
        <f t="shared" si="14"/>
        <v>0</v>
      </c>
      <c r="G30" s="1674">
        <f t="shared" si="0"/>
        <v>0</v>
      </c>
      <c r="H30" s="1788">
        <f t="shared" si="1"/>
        <v>0</v>
      </c>
      <c r="I30" s="1783">
        <f t="shared" si="2"/>
        <v>0</v>
      </c>
      <c r="J30" s="1788">
        <f t="shared" si="3"/>
        <v>0</v>
      </c>
      <c r="K30" s="1783">
        <f t="shared" si="4"/>
        <v>0</v>
      </c>
      <c r="L30" s="1788">
        <f t="shared" si="5"/>
        <v>0</v>
      </c>
      <c r="M30" s="1783">
        <f t="shared" si="6"/>
        <v>0</v>
      </c>
      <c r="N30" s="1788">
        <f t="shared" si="7"/>
        <v>0</v>
      </c>
      <c r="O30" s="1814">
        <f t="shared" si="8"/>
        <v>0</v>
      </c>
      <c r="P30" s="1788">
        <f t="shared" si="9"/>
        <v>0</v>
      </c>
      <c r="Q30" s="1783">
        <f t="shared" si="10"/>
        <v>0</v>
      </c>
      <c r="R30" s="1788">
        <f t="shared" si="11"/>
        <v>0</v>
      </c>
      <c r="S30" s="1783">
        <f t="shared" si="12"/>
        <v>0</v>
      </c>
      <c r="T30" s="1788">
        <f t="shared" si="13"/>
        <v>0</v>
      </c>
      <c r="V30" s="1788">
        <v>0</v>
      </c>
      <c r="X30" s="1788">
        <v>0</v>
      </c>
      <c r="Y30" s="1783"/>
      <c r="Z30" s="1788">
        <v>0</v>
      </c>
      <c r="AA30" s="1783"/>
      <c r="AB30" s="1788">
        <v>0</v>
      </c>
      <c r="AC30" s="1783"/>
      <c r="AD30" s="1788">
        <v>0</v>
      </c>
      <c r="AE30" s="1814"/>
      <c r="AF30" s="1788">
        <v>0</v>
      </c>
      <c r="AG30" s="1783"/>
      <c r="AH30" s="1788">
        <v>0</v>
      </c>
      <c r="AI30" s="1783"/>
      <c r="AJ30" s="1788">
        <v>0</v>
      </c>
    </row>
    <row r="31" spans="1:36">
      <c r="A31" s="1675">
        <v>19</v>
      </c>
      <c r="B31" s="2015"/>
      <c r="F31" s="1674">
        <f t="shared" si="14"/>
        <v>0</v>
      </c>
      <c r="G31" s="1674">
        <f t="shared" si="0"/>
        <v>0</v>
      </c>
      <c r="H31" s="1674">
        <f t="shared" si="1"/>
        <v>0</v>
      </c>
      <c r="I31" s="1674">
        <f t="shared" si="2"/>
        <v>0</v>
      </c>
      <c r="J31" s="1674">
        <f t="shared" si="3"/>
        <v>0</v>
      </c>
      <c r="K31" s="1674">
        <f t="shared" si="4"/>
        <v>0</v>
      </c>
      <c r="L31" s="1674">
        <f t="shared" si="5"/>
        <v>0</v>
      </c>
      <c r="M31" s="1674">
        <f t="shared" si="6"/>
        <v>0</v>
      </c>
      <c r="N31" s="1674">
        <f t="shared" si="7"/>
        <v>0</v>
      </c>
      <c r="O31" s="1674">
        <f t="shared" si="8"/>
        <v>0</v>
      </c>
      <c r="P31" s="1674">
        <f t="shared" si="9"/>
        <v>0</v>
      </c>
      <c r="Q31" s="2001">
        <f t="shared" si="10"/>
        <v>0</v>
      </c>
      <c r="R31" s="1674">
        <f t="shared" si="11"/>
        <v>0</v>
      </c>
      <c r="S31" s="1674">
        <f t="shared" si="12"/>
        <v>0</v>
      </c>
      <c r="T31" s="1674">
        <f t="shared" si="13"/>
        <v>0</v>
      </c>
      <c r="AG31" s="2001"/>
    </row>
    <row r="32" spans="1:36">
      <c r="A32" s="1675">
        <v>20</v>
      </c>
      <c r="B32" s="2015"/>
      <c r="C32" s="1675"/>
      <c r="D32" s="2021" t="s">
        <v>2465</v>
      </c>
      <c r="E32" s="2021"/>
      <c r="F32" s="2023">
        <f t="shared" si="14"/>
        <v>0</v>
      </c>
      <c r="G32" s="2021">
        <f t="shared" si="0"/>
        <v>0</v>
      </c>
      <c r="H32" s="1789">
        <f t="shared" si="1"/>
        <v>0</v>
      </c>
      <c r="I32" s="1789">
        <f t="shared" si="2"/>
        <v>0</v>
      </c>
      <c r="J32" s="1789">
        <f t="shared" si="3"/>
        <v>0</v>
      </c>
      <c r="K32" s="1790">
        <f t="shared" si="4"/>
        <v>0</v>
      </c>
      <c r="L32" s="1789">
        <f t="shared" si="5"/>
        <v>0</v>
      </c>
      <c r="M32" s="1790">
        <f t="shared" si="6"/>
        <v>0</v>
      </c>
      <c r="N32" s="1789">
        <f t="shared" si="7"/>
        <v>0</v>
      </c>
      <c r="O32" s="1789">
        <f t="shared" si="8"/>
        <v>0</v>
      </c>
      <c r="P32" s="1789">
        <f t="shared" si="9"/>
        <v>0</v>
      </c>
      <c r="Q32" s="1790">
        <f t="shared" si="10"/>
        <v>0</v>
      </c>
      <c r="R32" s="1789">
        <f t="shared" si="11"/>
        <v>0</v>
      </c>
      <c r="S32" s="1790">
        <f t="shared" si="12"/>
        <v>0</v>
      </c>
      <c r="T32" s="1789">
        <f t="shared" si="13"/>
        <v>0</v>
      </c>
      <c r="V32" s="2023"/>
      <c r="W32" s="2021"/>
      <c r="X32" s="1789"/>
      <c r="Y32" s="1789"/>
      <c r="Z32" s="1789"/>
      <c r="AA32" s="1790"/>
      <c r="AB32" s="1789"/>
      <c r="AC32" s="1790"/>
      <c r="AD32" s="1789"/>
      <c r="AE32" s="1789"/>
      <c r="AF32" s="1789"/>
      <c r="AG32" s="1790"/>
      <c r="AH32" s="1789"/>
      <c r="AI32" s="1790"/>
      <c r="AJ32" s="1789"/>
    </row>
    <row r="33" spans="1:36">
      <c r="A33" s="1675">
        <v>21</v>
      </c>
      <c r="B33" s="2015"/>
      <c r="C33" s="1675">
        <v>31142</v>
      </c>
      <c r="D33" s="1674" t="s">
        <v>2449</v>
      </c>
      <c r="F33" s="1876">
        <f t="shared" si="14"/>
        <v>0</v>
      </c>
      <c r="G33" s="2001">
        <f t="shared" si="0"/>
        <v>0</v>
      </c>
      <c r="H33" s="1876">
        <f t="shared" si="1"/>
        <v>0</v>
      </c>
      <c r="I33" s="1785">
        <f t="shared" si="2"/>
        <v>0</v>
      </c>
      <c r="J33" s="1876">
        <f t="shared" si="3"/>
        <v>0</v>
      </c>
      <c r="K33" s="1786">
        <f t="shared" si="4"/>
        <v>0</v>
      </c>
      <c r="L33" s="1876">
        <f t="shared" si="5"/>
        <v>0</v>
      </c>
      <c r="M33" s="1786">
        <f t="shared" si="6"/>
        <v>0</v>
      </c>
      <c r="N33" s="1876">
        <f t="shared" si="7"/>
        <v>0</v>
      </c>
      <c r="O33" s="1787">
        <f t="shared" si="8"/>
        <v>0</v>
      </c>
      <c r="P33" s="1876">
        <f t="shared" si="9"/>
        <v>0</v>
      </c>
      <c r="Q33" s="1785">
        <f t="shared" si="10"/>
        <v>0</v>
      </c>
      <c r="R33" s="1787">
        <f t="shared" si="11"/>
        <v>0</v>
      </c>
      <c r="S33" s="1786">
        <f t="shared" si="12"/>
        <v>0</v>
      </c>
      <c r="T33" s="1876">
        <f t="shared" si="13"/>
        <v>0</v>
      </c>
      <c r="V33" s="1876">
        <v>0</v>
      </c>
      <c r="W33" s="2001"/>
      <c r="X33" s="1876">
        <v>0</v>
      </c>
      <c r="Y33" s="1785"/>
      <c r="Z33" s="1876">
        <v>0</v>
      </c>
      <c r="AA33" s="1786"/>
      <c r="AB33" s="1876">
        <v>0</v>
      </c>
      <c r="AC33" s="1786"/>
      <c r="AD33" s="1876">
        <v>0</v>
      </c>
      <c r="AE33" s="1787"/>
      <c r="AF33" s="1876">
        <v>0</v>
      </c>
      <c r="AG33" s="1785"/>
      <c r="AH33" s="1787">
        <v>0</v>
      </c>
      <c r="AI33" s="1786"/>
      <c r="AJ33" s="1876">
        <v>0</v>
      </c>
    </row>
    <row r="34" spans="1:36">
      <c r="A34" s="1675">
        <v>22</v>
      </c>
      <c r="B34" s="2015"/>
      <c r="C34" s="1675">
        <v>31242</v>
      </c>
      <c r="D34" s="1674" t="s">
        <v>2451</v>
      </c>
      <c r="F34" s="1876">
        <f t="shared" si="14"/>
        <v>0</v>
      </c>
      <c r="G34" s="2001">
        <f t="shared" si="0"/>
        <v>0</v>
      </c>
      <c r="H34" s="1876">
        <f t="shared" si="1"/>
        <v>0</v>
      </c>
      <c r="I34" s="1785">
        <f t="shared" si="2"/>
        <v>0</v>
      </c>
      <c r="J34" s="1876">
        <f t="shared" si="3"/>
        <v>0</v>
      </c>
      <c r="K34" s="1786">
        <f t="shared" si="4"/>
        <v>0</v>
      </c>
      <c r="L34" s="1876">
        <f t="shared" si="5"/>
        <v>0</v>
      </c>
      <c r="M34" s="1786">
        <f t="shared" si="6"/>
        <v>0</v>
      </c>
      <c r="N34" s="1876">
        <f t="shared" si="7"/>
        <v>0</v>
      </c>
      <c r="O34" s="1787">
        <f t="shared" si="8"/>
        <v>0</v>
      </c>
      <c r="P34" s="1876">
        <f t="shared" si="9"/>
        <v>0</v>
      </c>
      <c r="Q34" s="1785">
        <f t="shared" si="10"/>
        <v>0</v>
      </c>
      <c r="R34" s="1787">
        <f t="shared" si="11"/>
        <v>0</v>
      </c>
      <c r="S34" s="1786">
        <f t="shared" si="12"/>
        <v>0</v>
      </c>
      <c r="T34" s="1876">
        <f t="shared" si="13"/>
        <v>0</v>
      </c>
      <c r="V34" s="1876">
        <v>0</v>
      </c>
      <c r="W34" s="2001"/>
      <c r="X34" s="1876">
        <v>0</v>
      </c>
      <c r="Y34" s="1785"/>
      <c r="Z34" s="1876">
        <v>0</v>
      </c>
      <c r="AA34" s="1786"/>
      <c r="AB34" s="1876">
        <v>0</v>
      </c>
      <c r="AC34" s="1786"/>
      <c r="AD34" s="1876">
        <v>0</v>
      </c>
      <c r="AE34" s="1787"/>
      <c r="AF34" s="1876">
        <v>0</v>
      </c>
      <c r="AG34" s="1785"/>
      <c r="AH34" s="1787">
        <v>0</v>
      </c>
      <c r="AI34" s="1786"/>
      <c r="AJ34" s="1876">
        <v>0</v>
      </c>
    </row>
    <row r="35" spans="1:36">
      <c r="A35" s="1675">
        <v>23</v>
      </c>
      <c r="B35" s="2015"/>
      <c r="C35" s="1675">
        <v>31442</v>
      </c>
      <c r="D35" s="1674" t="s">
        <v>2452</v>
      </c>
      <c r="F35" s="1876">
        <f t="shared" si="14"/>
        <v>0</v>
      </c>
      <c r="G35" s="2001">
        <f t="shared" si="0"/>
        <v>0</v>
      </c>
      <c r="H35" s="1876">
        <f t="shared" si="1"/>
        <v>0</v>
      </c>
      <c r="I35" s="1785">
        <f t="shared" si="2"/>
        <v>0</v>
      </c>
      <c r="J35" s="1876">
        <f t="shared" si="3"/>
        <v>0</v>
      </c>
      <c r="K35" s="1786">
        <f t="shared" si="4"/>
        <v>0</v>
      </c>
      <c r="L35" s="1876">
        <f t="shared" si="5"/>
        <v>0</v>
      </c>
      <c r="M35" s="1786">
        <f t="shared" si="6"/>
        <v>0</v>
      </c>
      <c r="N35" s="1876">
        <f t="shared" si="7"/>
        <v>0</v>
      </c>
      <c r="O35" s="1787">
        <f t="shared" si="8"/>
        <v>0</v>
      </c>
      <c r="P35" s="1876">
        <f t="shared" si="9"/>
        <v>0</v>
      </c>
      <c r="Q35" s="1785">
        <f t="shared" si="10"/>
        <v>0</v>
      </c>
      <c r="R35" s="1787">
        <f t="shared" si="11"/>
        <v>0</v>
      </c>
      <c r="S35" s="1786">
        <f t="shared" si="12"/>
        <v>0</v>
      </c>
      <c r="T35" s="1876">
        <f t="shared" si="13"/>
        <v>0</v>
      </c>
      <c r="V35" s="1876">
        <v>0</v>
      </c>
      <c r="W35" s="2001"/>
      <c r="X35" s="1876">
        <v>0</v>
      </c>
      <c r="Y35" s="1785"/>
      <c r="Z35" s="1876">
        <v>0</v>
      </c>
      <c r="AA35" s="1786"/>
      <c r="AB35" s="1876">
        <v>0</v>
      </c>
      <c r="AC35" s="1786"/>
      <c r="AD35" s="1876">
        <v>0</v>
      </c>
      <c r="AE35" s="1787"/>
      <c r="AF35" s="1876">
        <v>0</v>
      </c>
      <c r="AG35" s="1785"/>
      <c r="AH35" s="1787">
        <v>0</v>
      </c>
      <c r="AI35" s="1786"/>
      <c r="AJ35" s="1876">
        <v>0</v>
      </c>
    </row>
    <row r="36" spans="1:36">
      <c r="A36" s="1675">
        <v>24</v>
      </c>
      <c r="B36" s="2015"/>
      <c r="C36" s="1675">
        <v>31542</v>
      </c>
      <c r="D36" s="1674" t="s">
        <v>2454</v>
      </c>
      <c r="F36" s="1876">
        <f t="shared" si="14"/>
        <v>0</v>
      </c>
      <c r="G36" s="2001">
        <f t="shared" si="0"/>
        <v>0</v>
      </c>
      <c r="H36" s="1876">
        <f t="shared" si="1"/>
        <v>0</v>
      </c>
      <c r="I36" s="1785">
        <f t="shared" si="2"/>
        <v>0</v>
      </c>
      <c r="J36" s="1876">
        <f t="shared" si="3"/>
        <v>0</v>
      </c>
      <c r="K36" s="1786">
        <f t="shared" si="4"/>
        <v>0</v>
      </c>
      <c r="L36" s="1876">
        <f t="shared" si="5"/>
        <v>0</v>
      </c>
      <c r="M36" s="1786">
        <f t="shared" si="6"/>
        <v>0</v>
      </c>
      <c r="N36" s="1876">
        <f t="shared" si="7"/>
        <v>0</v>
      </c>
      <c r="O36" s="1787">
        <f t="shared" si="8"/>
        <v>0</v>
      </c>
      <c r="P36" s="1876">
        <f t="shared" si="9"/>
        <v>0</v>
      </c>
      <c r="Q36" s="1785">
        <f t="shared" si="10"/>
        <v>0</v>
      </c>
      <c r="R36" s="1787">
        <f t="shared" si="11"/>
        <v>0</v>
      </c>
      <c r="S36" s="1786">
        <f t="shared" si="12"/>
        <v>0</v>
      </c>
      <c r="T36" s="1876">
        <f t="shared" si="13"/>
        <v>0</v>
      </c>
      <c r="V36" s="1876">
        <v>0</v>
      </c>
      <c r="W36" s="2001"/>
      <c r="X36" s="1876">
        <v>0</v>
      </c>
      <c r="Y36" s="1785"/>
      <c r="Z36" s="1876">
        <v>0</v>
      </c>
      <c r="AA36" s="1786"/>
      <c r="AB36" s="1876">
        <v>0</v>
      </c>
      <c r="AC36" s="1786"/>
      <c r="AD36" s="1876">
        <v>0</v>
      </c>
      <c r="AE36" s="1787"/>
      <c r="AF36" s="1876">
        <v>0</v>
      </c>
      <c r="AG36" s="1785"/>
      <c r="AH36" s="1787">
        <v>0</v>
      </c>
      <c r="AI36" s="1786"/>
      <c r="AJ36" s="1876">
        <v>0</v>
      </c>
    </row>
    <row r="37" spans="1:36">
      <c r="A37" s="1675">
        <v>25</v>
      </c>
      <c r="B37" s="2015"/>
      <c r="C37" s="1675">
        <v>31642</v>
      </c>
      <c r="D37" s="1674" t="s">
        <v>2455</v>
      </c>
      <c r="F37" s="1876">
        <f t="shared" si="14"/>
        <v>0</v>
      </c>
      <c r="G37" s="2001">
        <f t="shared" si="0"/>
        <v>0</v>
      </c>
      <c r="H37" s="1876">
        <f t="shared" si="1"/>
        <v>0</v>
      </c>
      <c r="I37" s="1785">
        <f t="shared" si="2"/>
        <v>0</v>
      </c>
      <c r="J37" s="1876">
        <f t="shared" si="3"/>
        <v>0</v>
      </c>
      <c r="K37" s="1786">
        <f t="shared" si="4"/>
        <v>0</v>
      </c>
      <c r="L37" s="1876">
        <f t="shared" si="5"/>
        <v>0</v>
      </c>
      <c r="M37" s="1786">
        <f t="shared" si="6"/>
        <v>0</v>
      </c>
      <c r="N37" s="1876">
        <f t="shared" si="7"/>
        <v>0</v>
      </c>
      <c r="O37" s="1787">
        <f t="shared" si="8"/>
        <v>0</v>
      </c>
      <c r="P37" s="1876">
        <f t="shared" si="9"/>
        <v>0</v>
      </c>
      <c r="Q37" s="1785">
        <f t="shared" si="10"/>
        <v>0</v>
      </c>
      <c r="R37" s="1787">
        <f t="shared" si="11"/>
        <v>0</v>
      </c>
      <c r="S37" s="1786">
        <f t="shared" si="12"/>
        <v>0</v>
      </c>
      <c r="T37" s="1876">
        <f t="shared" si="13"/>
        <v>0</v>
      </c>
      <c r="V37" s="1876">
        <v>0</v>
      </c>
      <c r="W37" s="2001"/>
      <c r="X37" s="1876">
        <v>0</v>
      </c>
      <c r="Y37" s="1785"/>
      <c r="Z37" s="1876">
        <v>0</v>
      </c>
      <c r="AA37" s="1786"/>
      <c r="AB37" s="1876">
        <v>0</v>
      </c>
      <c r="AC37" s="1786"/>
      <c r="AD37" s="1876">
        <v>0</v>
      </c>
      <c r="AE37" s="1787"/>
      <c r="AF37" s="1876">
        <v>0</v>
      </c>
      <c r="AG37" s="1785"/>
      <c r="AH37" s="1787">
        <v>0</v>
      </c>
      <c r="AI37" s="1786"/>
      <c r="AJ37" s="1876">
        <v>0</v>
      </c>
    </row>
    <row r="38" spans="1:36">
      <c r="A38" s="1675">
        <v>26</v>
      </c>
      <c r="B38" s="2015"/>
      <c r="C38" s="1675"/>
      <c r="D38" s="1676" t="s">
        <v>2467</v>
      </c>
      <c r="E38" s="1676"/>
      <c r="F38" s="1788">
        <f t="shared" si="14"/>
        <v>0</v>
      </c>
      <c r="G38" s="1674">
        <f t="shared" si="0"/>
        <v>0</v>
      </c>
      <c r="H38" s="1788">
        <f t="shared" si="1"/>
        <v>0</v>
      </c>
      <c r="I38" s="1783">
        <f t="shared" si="2"/>
        <v>0</v>
      </c>
      <c r="J38" s="1788">
        <f t="shared" si="3"/>
        <v>0</v>
      </c>
      <c r="K38" s="1783">
        <f t="shared" si="4"/>
        <v>0</v>
      </c>
      <c r="L38" s="1788">
        <f t="shared" si="5"/>
        <v>0</v>
      </c>
      <c r="M38" s="1783">
        <f t="shared" si="6"/>
        <v>0</v>
      </c>
      <c r="N38" s="1788">
        <f t="shared" si="7"/>
        <v>0</v>
      </c>
      <c r="O38" s="1814">
        <f t="shared" si="8"/>
        <v>0</v>
      </c>
      <c r="P38" s="1788">
        <f t="shared" si="9"/>
        <v>0</v>
      </c>
      <c r="Q38" s="1783">
        <f t="shared" si="10"/>
        <v>0</v>
      </c>
      <c r="R38" s="1788">
        <f t="shared" si="11"/>
        <v>0</v>
      </c>
      <c r="S38" s="1783">
        <f t="shared" si="12"/>
        <v>0</v>
      </c>
      <c r="T38" s="1788">
        <f t="shared" si="13"/>
        <v>0</v>
      </c>
      <c r="V38" s="1788">
        <v>0</v>
      </c>
      <c r="X38" s="1788">
        <v>0</v>
      </c>
      <c r="Y38" s="1783"/>
      <c r="Z38" s="1788">
        <v>0</v>
      </c>
      <c r="AA38" s="1783"/>
      <c r="AB38" s="1788">
        <v>0</v>
      </c>
      <c r="AC38" s="1783"/>
      <c r="AD38" s="1788">
        <v>0</v>
      </c>
      <c r="AE38" s="1814"/>
      <c r="AF38" s="1788">
        <v>0</v>
      </c>
      <c r="AG38" s="1783"/>
      <c r="AH38" s="1788">
        <v>0</v>
      </c>
      <c r="AI38" s="1783"/>
      <c r="AJ38" s="1788">
        <v>0</v>
      </c>
    </row>
    <row r="39" spans="1:36">
      <c r="A39" s="1675">
        <v>27</v>
      </c>
      <c r="B39" s="2015"/>
      <c r="C39" s="1675"/>
      <c r="D39" s="1676"/>
      <c r="E39" s="1676"/>
      <c r="F39" s="2023">
        <f t="shared" si="14"/>
        <v>0</v>
      </c>
      <c r="G39" s="1676">
        <f t="shared" si="0"/>
        <v>0</v>
      </c>
      <c r="H39" s="1790">
        <f t="shared" si="1"/>
        <v>0</v>
      </c>
      <c r="I39" s="1790">
        <f t="shared" si="2"/>
        <v>0</v>
      </c>
      <c r="J39" s="1790">
        <f t="shared" si="3"/>
        <v>0</v>
      </c>
      <c r="K39" s="1790">
        <f t="shared" si="4"/>
        <v>0</v>
      </c>
      <c r="L39" s="1790">
        <f t="shared" si="5"/>
        <v>0</v>
      </c>
      <c r="M39" s="1790">
        <f t="shared" si="6"/>
        <v>0</v>
      </c>
      <c r="N39" s="1790">
        <f t="shared" si="7"/>
        <v>0</v>
      </c>
      <c r="O39" s="1790">
        <f t="shared" si="8"/>
        <v>0</v>
      </c>
      <c r="P39" s="1790">
        <f t="shared" si="9"/>
        <v>0</v>
      </c>
      <c r="Q39" s="1789">
        <f t="shared" si="10"/>
        <v>0</v>
      </c>
      <c r="R39" s="1790">
        <f t="shared" si="11"/>
        <v>0</v>
      </c>
      <c r="S39" s="1789">
        <f t="shared" si="12"/>
        <v>0</v>
      </c>
      <c r="T39" s="1790">
        <f t="shared" si="13"/>
        <v>0</v>
      </c>
      <c r="V39" s="2023"/>
      <c r="W39" s="1676"/>
      <c r="X39" s="1790"/>
      <c r="Y39" s="1790"/>
      <c r="Z39" s="1790"/>
      <c r="AA39" s="1790"/>
      <c r="AB39" s="1790"/>
      <c r="AC39" s="1790"/>
      <c r="AD39" s="1790"/>
      <c r="AE39" s="1790"/>
      <c r="AF39" s="1790"/>
      <c r="AG39" s="1789"/>
      <c r="AH39" s="1790"/>
      <c r="AI39" s="1789"/>
      <c r="AJ39" s="1790"/>
    </row>
    <row r="40" spans="1:36">
      <c r="A40" s="1675">
        <v>28</v>
      </c>
      <c r="B40" s="2015"/>
      <c r="C40" s="1675"/>
      <c r="D40" s="1676" t="s">
        <v>2469</v>
      </c>
      <c r="E40" s="1676"/>
      <c r="F40" s="2023">
        <f t="shared" si="14"/>
        <v>0</v>
      </c>
      <c r="G40" s="1676">
        <f t="shared" si="0"/>
        <v>0</v>
      </c>
      <c r="H40" s="1790">
        <f t="shared" si="1"/>
        <v>0</v>
      </c>
      <c r="I40" s="1790">
        <f t="shared" si="2"/>
        <v>0</v>
      </c>
      <c r="J40" s="1790">
        <f t="shared" si="3"/>
        <v>0</v>
      </c>
      <c r="K40" s="1790">
        <f t="shared" si="4"/>
        <v>0</v>
      </c>
      <c r="L40" s="1790">
        <f t="shared" si="5"/>
        <v>0</v>
      </c>
      <c r="M40" s="1790">
        <f t="shared" si="6"/>
        <v>0</v>
      </c>
      <c r="N40" s="1790">
        <f t="shared" si="7"/>
        <v>0</v>
      </c>
      <c r="O40" s="1790">
        <f t="shared" si="8"/>
        <v>0</v>
      </c>
      <c r="P40" s="1790">
        <f t="shared" si="9"/>
        <v>0</v>
      </c>
      <c r="Q40" s="1789">
        <f t="shared" si="10"/>
        <v>0</v>
      </c>
      <c r="R40" s="1790">
        <f t="shared" si="11"/>
        <v>0</v>
      </c>
      <c r="S40" s="1789">
        <f t="shared" si="12"/>
        <v>0</v>
      </c>
      <c r="T40" s="1790">
        <f t="shared" si="13"/>
        <v>0</v>
      </c>
      <c r="V40" s="2023"/>
      <c r="W40" s="1676"/>
      <c r="X40" s="1790"/>
      <c r="Y40" s="1790"/>
      <c r="Z40" s="1790"/>
      <c r="AA40" s="1790"/>
      <c r="AB40" s="1790"/>
      <c r="AC40" s="1790"/>
      <c r="AD40" s="1790"/>
      <c r="AE40" s="1790"/>
      <c r="AF40" s="1790"/>
      <c r="AG40" s="1789"/>
      <c r="AH40" s="1790"/>
      <c r="AI40" s="1789"/>
      <c r="AJ40" s="1790"/>
    </row>
    <row r="41" spans="1:36">
      <c r="A41" s="1675">
        <v>29</v>
      </c>
      <c r="B41" s="2015"/>
      <c r="C41" s="1675">
        <v>31143</v>
      </c>
      <c r="D41" s="1674" t="s">
        <v>2449</v>
      </c>
      <c r="F41" s="1876">
        <f t="shared" si="14"/>
        <v>0</v>
      </c>
      <c r="G41" s="2001">
        <f t="shared" si="0"/>
        <v>0</v>
      </c>
      <c r="H41" s="1876">
        <f t="shared" si="1"/>
        <v>0</v>
      </c>
      <c r="I41" s="1785">
        <f t="shared" si="2"/>
        <v>0</v>
      </c>
      <c r="J41" s="1876">
        <f t="shared" si="3"/>
        <v>0</v>
      </c>
      <c r="K41" s="1786">
        <f t="shared" si="4"/>
        <v>0</v>
      </c>
      <c r="L41" s="1876">
        <f t="shared" si="5"/>
        <v>0</v>
      </c>
      <c r="M41" s="1786">
        <f t="shared" si="6"/>
        <v>0</v>
      </c>
      <c r="N41" s="1876">
        <f t="shared" si="7"/>
        <v>0</v>
      </c>
      <c r="O41" s="1787">
        <f t="shared" si="8"/>
        <v>0</v>
      </c>
      <c r="P41" s="1876">
        <f t="shared" si="9"/>
        <v>0</v>
      </c>
      <c r="Q41" s="1785">
        <f t="shared" si="10"/>
        <v>0</v>
      </c>
      <c r="R41" s="1787">
        <f t="shared" si="11"/>
        <v>0</v>
      </c>
      <c r="S41" s="1786">
        <f t="shared" si="12"/>
        <v>0</v>
      </c>
      <c r="T41" s="1876">
        <f t="shared" si="13"/>
        <v>0</v>
      </c>
      <c r="V41" s="1876">
        <v>0</v>
      </c>
      <c r="W41" s="2001"/>
      <c r="X41" s="1876">
        <v>0</v>
      </c>
      <c r="Y41" s="1785"/>
      <c r="Z41" s="1876">
        <v>0</v>
      </c>
      <c r="AA41" s="1786"/>
      <c r="AB41" s="1876">
        <v>0</v>
      </c>
      <c r="AC41" s="1786"/>
      <c r="AD41" s="1876">
        <v>0</v>
      </c>
      <c r="AE41" s="1787"/>
      <c r="AF41" s="1876">
        <v>0</v>
      </c>
      <c r="AG41" s="1785"/>
      <c r="AH41" s="1787">
        <v>0</v>
      </c>
      <c r="AI41" s="1786"/>
      <c r="AJ41" s="1876">
        <v>0</v>
      </c>
    </row>
    <row r="42" spans="1:36">
      <c r="A42" s="1675">
        <v>30</v>
      </c>
      <c r="B42" s="2015"/>
      <c r="C42" s="1675">
        <v>31243</v>
      </c>
      <c r="D42" s="1674" t="s">
        <v>2451</v>
      </c>
      <c r="F42" s="1876">
        <f t="shared" si="14"/>
        <v>0</v>
      </c>
      <c r="G42" s="2001">
        <f t="shared" si="0"/>
        <v>0</v>
      </c>
      <c r="H42" s="1876">
        <f t="shared" si="1"/>
        <v>0</v>
      </c>
      <c r="I42" s="1785">
        <f t="shared" si="2"/>
        <v>0</v>
      </c>
      <c r="J42" s="1876">
        <f t="shared" si="3"/>
        <v>0</v>
      </c>
      <c r="K42" s="1786">
        <f t="shared" si="4"/>
        <v>0</v>
      </c>
      <c r="L42" s="1876">
        <f t="shared" si="5"/>
        <v>0</v>
      </c>
      <c r="M42" s="1786">
        <f t="shared" si="6"/>
        <v>0</v>
      </c>
      <c r="N42" s="1876">
        <f t="shared" si="7"/>
        <v>0</v>
      </c>
      <c r="O42" s="1787">
        <f t="shared" si="8"/>
        <v>0</v>
      </c>
      <c r="P42" s="1876">
        <f t="shared" si="9"/>
        <v>0</v>
      </c>
      <c r="Q42" s="1785">
        <f t="shared" si="10"/>
        <v>0</v>
      </c>
      <c r="R42" s="1787">
        <f t="shared" si="11"/>
        <v>0</v>
      </c>
      <c r="S42" s="1786">
        <f t="shared" si="12"/>
        <v>0</v>
      </c>
      <c r="T42" s="1876">
        <f t="shared" si="13"/>
        <v>0</v>
      </c>
      <c r="V42" s="1876">
        <v>0</v>
      </c>
      <c r="W42" s="2001"/>
      <c r="X42" s="1876">
        <v>0</v>
      </c>
      <c r="Y42" s="1785"/>
      <c r="Z42" s="1876">
        <v>0</v>
      </c>
      <c r="AA42" s="1786"/>
      <c r="AB42" s="1876">
        <v>0</v>
      </c>
      <c r="AC42" s="1786"/>
      <c r="AD42" s="1876">
        <v>0</v>
      </c>
      <c r="AE42" s="1787"/>
      <c r="AF42" s="1876">
        <v>0</v>
      </c>
      <c r="AG42" s="1785"/>
      <c r="AH42" s="1787">
        <v>0</v>
      </c>
      <c r="AI42" s="1786"/>
      <c r="AJ42" s="1876">
        <v>0</v>
      </c>
    </row>
    <row r="43" spans="1:36">
      <c r="A43" s="1675">
        <v>31</v>
      </c>
      <c r="B43" s="2015"/>
      <c r="C43" s="1675">
        <v>31443</v>
      </c>
      <c r="D43" s="1674" t="s">
        <v>2452</v>
      </c>
      <c r="F43" s="1876">
        <f t="shared" si="14"/>
        <v>0</v>
      </c>
      <c r="G43" s="2001">
        <f t="shared" si="0"/>
        <v>0</v>
      </c>
      <c r="H43" s="1876">
        <f t="shared" si="1"/>
        <v>0</v>
      </c>
      <c r="I43" s="1785">
        <f t="shared" si="2"/>
        <v>0</v>
      </c>
      <c r="J43" s="1876">
        <f t="shared" si="3"/>
        <v>0</v>
      </c>
      <c r="K43" s="1786">
        <f t="shared" si="4"/>
        <v>0</v>
      </c>
      <c r="L43" s="1876">
        <f t="shared" si="5"/>
        <v>0</v>
      </c>
      <c r="M43" s="1786">
        <f t="shared" si="6"/>
        <v>0</v>
      </c>
      <c r="N43" s="1876">
        <f t="shared" si="7"/>
        <v>0</v>
      </c>
      <c r="O43" s="1787">
        <f t="shared" si="8"/>
        <v>0</v>
      </c>
      <c r="P43" s="1876">
        <f t="shared" si="9"/>
        <v>0</v>
      </c>
      <c r="Q43" s="1785">
        <f t="shared" si="10"/>
        <v>0</v>
      </c>
      <c r="R43" s="1787">
        <f t="shared" si="11"/>
        <v>0</v>
      </c>
      <c r="S43" s="1786">
        <f t="shared" si="12"/>
        <v>0</v>
      </c>
      <c r="T43" s="1876">
        <f t="shared" si="13"/>
        <v>0</v>
      </c>
      <c r="V43" s="1876">
        <v>0</v>
      </c>
      <c r="W43" s="2001"/>
      <c r="X43" s="1876">
        <v>0</v>
      </c>
      <c r="Y43" s="1785"/>
      <c r="Z43" s="1876">
        <v>0</v>
      </c>
      <c r="AA43" s="1786"/>
      <c r="AB43" s="1876">
        <v>0</v>
      </c>
      <c r="AC43" s="1786"/>
      <c r="AD43" s="1876">
        <v>0</v>
      </c>
      <c r="AE43" s="1787"/>
      <c r="AF43" s="1876">
        <v>0</v>
      </c>
      <c r="AG43" s="1785"/>
      <c r="AH43" s="1787">
        <v>0</v>
      </c>
      <c r="AI43" s="1786"/>
      <c r="AJ43" s="1876">
        <v>0</v>
      </c>
    </row>
    <row r="44" spans="1:36">
      <c r="A44" s="1675">
        <v>32</v>
      </c>
      <c r="B44" s="2015"/>
      <c r="C44" s="1675">
        <v>31543</v>
      </c>
      <c r="D44" s="1674" t="s">
        <v>2454</v>
      </c>
      <c r="F44" s="1876">
        <f t="shared" si="14"/>
        <v>0</v>
      </c>
      <c r="G44" s="2001">
        <f t="shared" si="0"/>
        <v>0</v>
      </c>
      <c r="H44" s="1876">
        <f t="shared" si="1"/>
        <v>0</v>
      </c>
      <c r="I44" s="1785">
        <f t="shared" si="2"/>
        <v>0</v>
      </c>
      <c r="J44" s="1876">
        <f t="shared" si="3"/>
        <v>0</v>
      </c>
      <c r="K44" s="1786">
        <f t="shared" si="4"/>
        <v>0</v>
      </c>
      <c r="L44" s="1876">
        <f t="shared" si="5"/>
        <v>0</v>
      </c>
      <c r="M44" s="1786">
        <f t="shared" si="6"/>
        <v>0</v>
      </c>
      <c r="N44" s="1876">
        <f t="shared" si="7"/>
        <v>0</v>
      </c>
      <c r="O44" s="1787">
        <f t="shared" si="8"/>
        <v>0</v>
      </c>
      <c r="P44" s="1876">
        <f t="shared" si="9"/>
        <v>0</v>
      </c>
      <c r="Q44" s="1785">
        <f t="shared" si="10"/>
        <v>0</v>
      </c>
      <c r="R44" s="1787">
        <f t="shared" si="11"/>
        <v>0</v>
      </c>
      <c r="S44" s="1786">
        <f t="shared" si="12"/>
        <v>0</v>
      </c>
      <c r="T44" s="1876">
        <f t="shared" si="13"/>
        <v>0</v>
      </c>
      <c r="V44" s="1876">
        <v>0</v>
      </c>
      <c r="W44" s="2001"/>
      <c r="X44" s="1876">
        <v>0</v>
      </c>
      <c r="Y44" s="1785"/>
      <c r="Z44" s="1876">
        <v>0</v>
      </c>
      <c r="AA44" s="1786"/>
      <c r="AB44" s="1876">
        <v>0</v>
      </c>
      <c r="AC44" s="1786"/>
      <c r="AD44" s="1876">
        <v>0</v>
      </c>
      <c r="AE44" s="1787"/>
      <c r="AF44" s="1876">
        <v>0</v>
      </c>
      <c r="AG44" s="1785"/>
      <c r="AH44" s="1787">
        <v>0</v>
      </c>
      <c r="AI44" s="1786"/>
      <c r="AJ44" s="1876">
        <v>0</v>
      </c>
    </row>
    <row r="45" spans="1:36">
      <c r="A45" s="1675">
        <v>33</v>
      </c>
      <c r="B45" s="2015"/>
      <c r="C45" s="1675">
        <v>31643</v>
      </c>
      <c r="D45" s="1674" t="s">
        <v>2455</v>
      </c>
      <c r="F45" s="1876">
        <f t="shared" si="14"/>
        <v>0</v>
      </c>
      <c r="G45" s="2001">
        <f t="shared" si="0"/>
        <v>0</v>
      </c>
      <c r="H45" s="1876">
        <f t="shared" si="1"/>
        <v>0</v>
      </c>
      <c r="I45" s="1785">
        <f t="shared" si="2"/>
        <v>0</v>
      </c>
      <c r="J45" s="1876">
        <f t="shared" si="3"/>
        <v>0</v>
      </c>
      <c r="K45" s="1786">
        <f t="shared" si="4"/>
        <v>0</v>
      </c>
      <c r="L45" s="1876">
        <f t="shared" si="5"/>
        <v>0</v>
      </c>
      <c r="M45" s="1786">
        <f t="shared" si="6"/>
        <v>0</v>
      </c>
      <c r="N45" s="1876">
        <f t="shared" si="7"/>
        <v>0</v>
      </c>
      <c r="O45" s="1787">
        <f t="shared" si="8"/>
        <v>0</v>
      </c>
      <c r="P45" s="1876">
        <f t="shared" si="9"/>
        <v>0</v>
      </c>
      <c r="Q45" s="1785">
        <f t="shared" si="10"/>
        <v>0</v>
      </c>
      <c r="R45" s="1787">
        <f t="shared" si="11"/>
        <v>0</v>
      </c>
      <c r="S45" s="1786">
        <f t="shared" si="12"/>
        <v>0</v>
      </c>
      <c r="T45" s="1876">
        <f t="shared" si="13"/>
        <v>0</v>
      </c>
      <c r="V45" s="1876">
        <v>0</v>
      </c>
      <c r="W45" s="2001"/>
      <c r="X45" s="1876">
        <v>0</v>
      </c>
      <c r="Y45" s="1785"/>
      <c r="Z45" s="1876">
        <v>0</v>
      </c>
      <c r="AA45" s="1786"/>
      <c r="AB45" s="1876">
        <v>0</v>
      </c>
      <c r="AC45" s="1786"/>
      <c r="AD45" s="1876">
        <v>0</v>
      </c>
      <c r="AE45" s="1787"/>
      <c r="AF45" s="1876">
        <v>0</v>
      </c>
      <c r="AG45" s="1785"/>
      <c r="AH45" s="1787">
        <v>0</v>
      </c>
      <c r="AI45" s="1786"/>
      <c r="AJ45" s="1876">
        <v>0</v>
      </c>
    </row>
    <row r="46" spans="1:36">
      <c r="A46" s="1675">
        <v>34</v>
      </c>
      <c r="B46" s="2015"/>
      <c r="C46" s="1675"/>
      <c r="D46" s="1676" t="s">
        <v>2473</v>
      </c>
      <c r="E46" s="1676"/>
      <c r="F46" s="1788">
        <f t="shared" si="14"/>
        <v>0</v>
      </c>
      <c r="G46" s="1674">
        <f t="shared" si="0"/>
        <v>0</v>
      </c>
      <c r="H46" s="1788">
        <f t="shared" si="1"/>
        <v>0</v>
      </c>
      <c r="I46" s="1783">
        <f t="shared" si="2"/>
        <v>0</v>
      </c>
      <c r="J46" s="1788">
        <f t="shared" si="3"/>
        <v>0</v>
      </c>
      <c r="K46" s="1783">
        <f t="shared" si="4"/>
        <v>0</v>
      </c>
      <c r="L46" s="1788">
        <f t="shared" si="5"/>
        <v>0</v>
      </c>
      <c r="M46" s="1783">
        <f t="shared" si="6"/>
        <v>0</v>
      </c>
      <c r="N46" s="1788">
        <f t="shared" si="7"/>
        <v>0</v>
      </c>
      <c r="O46" s="1814">
        <f t="shared" si="8"/>
        <v>0</v>
      </c>
      <c r="P46" s="1788">
        <f t="shared" si="9"/>
        <v>0</v>
      </c>
      <c r="Q46" s="1783">
        <f t="shared" si="10"/>
        <v>0</v>
      </c>
      <c r="R46" s="1788">
        <f t="shared" si="11"/>
        <v>0</v>
      </c>
      <c r="S46" s="1783">
        <f t="shared" si="12"/>
        <v>0</v>
      </c>
      <c r="T46" s="1788">
        <f t="shared" si="13"/>
        <v>0</v>
      </c>
      <c r="V46" s="1788">
        <v>0</v>
      </c>
      <c r="X46" s="1788">
        <v>0</v>
      </c>
      <c r="Y46" s="1783"/>
      <c r="Z46" s="1788">
        <v>0</v>
      </c>
      <c r="AA46" s="1783"/>
      <c r="AB46" s="1788">
        <v>0</v>
      </c>
      <c r="AC46" s="1783"/>
      <c r="AD46" s="1788">
        <v>0</v>
      </c>
      <c r="AE46" s="1814"/>
      <c r="AF46" s="1788">
        <v>0</v>
      </c>
      <c r="AG46" s="1783"/>
      <c r="AH46" s="1788">
        <v>0</v>
      </c>
      <c r="AI46" s="1783"/>
      <c r="AJ46" s="1788">
        <v>0</v>
      </c>
    </row>
    <row r="47" spans="1:36">
      <c r="A47" s="1675">
        <v>35</v>
      </c>
      <c r="B47" s="2015"/>
      <c r="F47" s="1674">
        <f t="shared" si="14"/>
        <v>0</v>
      </c>
      <c r="G47" s="1674">
        <f t="shared" si="0"/>
        <v>0</v>
      </c>
      <c r="H47" s="1674">
        <f t="shared" si="1"/>
        <v>0</v>
      </c>
      <c r="I47" s="1674">
        <f t="shared" si="2"/>
        <v>0</v>
      </c>
      <c r="J47" s="1674">
        <f t="shared" si="3"/>
        <v>0</v>
      </c>
      <c r="K47" s="1674">
        <f t="shared" si="4"/>
        <v>0</v>
      </c>
      <c r="L47" s="1674">
        <f t="shared" si="5"/>
        <v>0</v>
      </c>
      <c r="M47" s="1674">
        <f t="shared" si="6"/>
        <v>0</v>
      </c>
      <c r="N47" s="1674">
        <f t="shared" si="7"/>
        <v>0</v>
      </c>
      <c r="O47" s="1674">
        <f t="shared" si="8"/>
        <v>0</v>
      </c>
      <c r="P47" s="1674">
        <f t="shared" si="9"/>
        <v>0</v>
      </c>
      <c r="Q47" s="2001">
        <f t="shared" si="10"/>
        <v>0</v>
      </c>
      <c r="R47" s="1674">
        <f t="shared" si="11"/>
        <v>0</v>
      </c>
      <c r="S47" s="1674">
        <f t="shared" si="12"/>
        <v>0</v>
      </c>
      <c r="T47" s="1674">
        <f t="shared" si="13"/>
        <v>0</v>
      </c>
      <c r="AG47" s="2001"/>
    </row>
    <row r="48" spans="1:36">
      <c r="A48" s="1675">
        <v>36</v>
      </c>
      <c r="B48" s="2015"/>
      <c r="C48" s="2019"/>
      <c r="D48" s="1676" t="s">
        <v>2474</v>
      </c>
      <c r="E48" s="1676"/>
      <c r="F48" s="2023">
        <f t="shared" si="14"/>
        <v>0</v>
      </c>
      <c r="G48" s="1676">
        <f t="shared" si="0"/>
        <v>0</v>
      </c>
      <c r="H48" s="1790">
        <f t="shared" si="1"/>
        <v>0</v>
      </c>
      <c r="I48" s="1790">
        <f t="shared" si="2"/>
        <v>0</v>
      </c>
      <c r="J48" s="1790">
        <f t="shared" si="3"/>
        <v>0</v>
      </c>
      <c r="K48" s="1790">
        <f t="shared" si="4"/>
        <v>0</v>
      </c>
      <c r="L48" s="1790">
        <f t="shared" si="5"/>
        <v>0</v>
      </c>
      <c r="M48" s="1790">
        <f t="shared" si="6"/>
        <v>0</v>
      </c>
      <c r="N48" s="1790">
        <f t="shared" si="7"/>
        <v>0</v>
      </c>
      <c r="O48" s="1790">
        <f t="shared" si="8"/>
        <v>0</v>
      </c>
      <c r="P48" s="1790">
        <f t="shared" si="9"/>
        <v>0</v>
      </c>
      <c r="Q48" s="1789">
        <f t="shared" si="10"/>
        <v>0</v>
      </c>
      <c r="R48" s="1790">
        <f t="shared" si="11"/>
        <v>0</v>
      </c>
      <c r="S48" s="1789">
        <f t="shared" si="12"/>
        <v>0</v>
      </c>
      <c r="T48" s="1790">
        <f t="shared" si="13"/>
        <v>0</v>
      </c>
      <c r="V48" s="2023"/>
      <c r="W48" s="1676"/>
      <c r="X48" s="1790"/>
      <c r="Y48" s="1790"/>
      <c r="Z48" s="1790"/>
      <c r="AA48" s="1790"/>
      <c r="AB48" s="1790"/>
      <c r="AC48" s="1790"/>
      <c r="AD48" s="1790"/>
      <c r="AE48" s="1790"/>
      <c r="AF48" s="1790"/>
      <c r="AG48" s="1789"/>
      <c r="AH48" s="1790"/>
      <c r="AI48" s="1789"/>
      <c r="AJ48" s="1790"/>
    </row>
    <row r="49" spans="1:36">
      <c r="A49" s="1675">
        <v>37</v>
      </c>
      <c r="B49" s="2022"/>
      <c r="C49" s="1675">
        <v>31144</v>
      </c>
      <c r="D49" s="1674" t="s">
        <v>2449</v>
      </c>
      <c r="F49" s="1876">
        <f t="shared" si="14"/>
        <v>27319.473670000018</v>
      </c>
      <c r="G49" s="2001">
        <f t="shared" si="0"/>
        <v>0</v>
      </c>
      <c r="H49" s="1876">
        <f t="shared" si="1"/>
        <v>1950.9880800000001</v>
      </c>
      <c r="I49" s="1785">
        <f t="shared" si="2"/>
        <v>0</v>
      </c>
      <c r="J49" s="1876">
        <f t="shared" si="3"/>
        <v>0</v>
      </c>
      <c r="K49" s="1786">
        <f t="shared" si="4"/>
        <v>0</v>
      </c>
      <c r="L49" s="1876">
        <f t="shared" si="5"/>
        <v>0</v>
      </c>
      <c r="M49" s="1786">
        <f t="shared" si="6"/>
        <v>0</v>
      </c>
      <c r="N49" s="1876">
        <f t="shared" si="7"/>
        <v>0</v>
      </c>
      <c r="O49" s="1787">
        <f t="shared" si="8"/>
        <v>0</v>
      </c>
      <c r="P49" s="1876">
        <f t="shared" si="9"/>
        <v>0</v>
      </c>
      <c r="Q49" s="1785">
        <f t="shared" si="10"/>
        <v>0</v>
      </c>
      <c r="R49" s="1787">
        <f t="shared" si="11"/>
        <v>29270.461750000013</v>
      </c>
      <c r="S49" s="1786">
        <f t="shared" si="12"/>
        <v>0</v>
      </c>
      <c r="T49" s="1876">
        <f t="shared" si="13"/>
        <v>28294.967710000001</v>
      </c>
      <c r="V49" s="1876">
        <v>27319473.670000017</v>
      </c>
      <c r="W49" s="2001"/>
      <c r="X49" s="1876">
        <v>1950988.08</v>
      </c>
      <c r="Y49" s="1785"/>
      <c r="Z49" s="1876">
        <v>0</v>
      </c>
      <c r="AA49" s="1786"/>
      <c r="AB49" s="1876">
        <v>0</v>
      </c>
      <c r="AC49" s="1786"/>
      <c r="AD49" s="1876">
        <v>0</v>
      </c>
      <c r="AE49" s="1787"/>
      <c r="AF49" s="1876">
        <v>0</v>
      </c>
      <c r="AG49" s="1785"/>
      <c r="AH49" s="1787">
        <v>29270461.750000015</v>
      </c>
      <c r="AI49" s="1786"/>
      <c r="AJ49" s="1876">
        <v>28294967.710000001</v>
      </c>
    </row>
    <row r="50" spans="1:36">
      <c r="A50" s="1675">
        <v>38</v>
      </c>
      <c r="B50" s="2022"/>
      <c r="C50" s="1675">
        <v>31244</v>
      </c>
      <c r="D50" s="1674" t="s">
        <v>2451</v>
      </c>
      <c r="F50" s="1876">
        <f t="shared" si="14"/>
        <v>117102.39398499999</v>
      </c>
      <c r="G50" s="2001">
        <f t="shared" si="0"/>
        <v>0</v>
      </c>
      <c r="H50" s="1876">
        <f t="shared" si="1"/>
        <v>17043.066280000003</v>
      </c>
      <c r="I50" s="1785">
        <f t="shared" si="2"/>
        <v>0</v>
      </c>
      <c r="J50" s="1876">
        <f t="shared" si="3"/>
        <v>-657.01185999999996</v>
      </c>
      <c r="K50" s="1786">
        <f t="shared" si="4"/>
        <v>0</v>
      </c>
      <c r="L50" s="1876">
        <f t="shared" si="5"/>
        <v>-302.05063000000001</v>
      </c>
      <c r="M50" s="1786">
        <f t="shared" si="6"/>
        <v>0</v>
      </c>
      <c r="N50" s="1876">
        <f t="shared" si="7"/>
        <v>0</v>
      </c>
      <c r="O50" s="1787">
        <f t="shared" si="8"/>
        <v>0</v>
      </c>
      <c r="P50" s="1876">
        <f t="shared" si="9"/>
        <v>0</v>
      </c>
      <c r="Q50" s="1785">
        <f t="shared" si="10"/>
        <v>0</v>
      </c>
      <c r="R50" s="1787">
        <f t="shared" si="11"/>
        <v>133186.39777499999</v>
      </c>
      <c r="S50" s="1786">
        <f t="shared" si="12"/>
        <v>0</v>
      </c>
      <c r="T50" s="1876">
        <f t="shared" si="13"/>
        <v>125203.50181999999</v>
      </c>
      <c r="V50" s="1876">
        <v>117102393.98499998</v>
      </c>
      <c r="W50" s="2001"/>
      <c r="X50" s="1876">
        <v>17043066.280000001</v>
      </c>
      <c r="Y50" s="1785"/>
      <c r="Z50" s="1876">
        <v>-657011.86</v>
      </c>
      <c r="AA50" s="1786"/>
      <c r="AB50" s="1876">
        <v>-302050.63</v>
      </c>
      <c r="AC50" s="1786"/>
      <c r="AD50" s="1876">
        <v>0</v>
      </c>
      <c r="AE50" s="1787"/>
      <c r="AF50" s="1876">
        <v>0</v>
      </c>
      <c r="AG50" s="1785"/>
      <c r="AH50" s="1787">
        <v>133186397.77499999</v>
      </c>
      <c r="AI50" s="1786"/>
      <c r="AJ50" s="1876">
        <v>125203501.81999999</v>
      </c>
    </row>
    <row r="51" spans="1:36">
      <c r="A51" s="1675">
        <v>39</v>
      </c>
      <c r="B51" s="2022"/>
      <c r="C51" s="1675">
        <v>31444</v>
      </c>
      <c r="D51" s="1674" t="s">
        <v>2452</v>
      </c>
      <c r="F51" s="1876">
        <f t="shared" si="14"/>
        <v>53046.999285000034</v>
      </c>
      <c r="G51" s="2001">
        <f t="shared" si="0"/>
        <v>0</v>
      </c>
      <c r="H51" s="1876">
        <f t="shared" si="1"/>
        <v>5643.8801900000008</v>
      </c>
      <c r="I51" s="1785">
        <f t="shared" si="2"/>
        <v>0</v>
      </c>
      <c r="J51" s="1876">
        <f t="shared" si="3"/>
        <v>-657.01185999999996</v>
      </c>
      <c r="K51" s="1786">
        <f t="shared" si="4"/>
        <v>0</v>
      </c>
      <c r="L51" s="1876">
        <f t="shared" si="5"/>
        <v>-302.05063000000001</v>
      </c>
      <c r="M51" s="1786">
        <f t="shared" si="6"/>
        <v>0</v>
      </c>
      <c r="N51" s="1876">
        <f t="shared" si="7"/>
        <v>0</v>
      </c>
      <c r="O51" s="1787">
        <f t="shared" si="8"/>
        <v>0</v>
      </c>
      <c r="P51" s="1876">
        <f t="shared" si="9"/>
        <v>0</v>
      </c>
      <c r="Q51" s="1785">
        <f t="shared" si="10"/>
        <v>0</v>
      </c>
      <c r="R51" s="1787">
        <f t="shared" si="11"/>
        <v>57731.816985000027</v>
      </c>
      <c r="S51" s="1786">
        <f t="shared" si="12"/>
        <v>0</v>
      </c>
      <c r="T51" s="1876">
        <f t="shared" si="13"/>
        <v>55450.09173</v>
      </c>
      <c r="V51" s="1876">
        <v>53046999.285000034</v>
      </c>
      <c r="W51" s="2001"/>
      <c r="X51" s="1876">
        <v>5643880.1900000004</v>
      </c>
      <c r="Y51" s="1785"/>
      <c r="Z51" s="1876">
        <v>-657011.86</v>
      </c>
      <c r="AA51" s="1786"/>
      <c r="AB51" s="1876">
        <v>-302050.63</v>
      </c>
      <c r="AC51" s="1786"/>
      <c r="AD51" s="1876">
        <v>0</v>
      </c>
      <c r="AE51" s="1787"/>
      <c r="AF51" s="1876">
        <v>0</v>
      </c>
      <c r="AG51" s="1785"/>
      <c r="AH51" s="1787">
        <v>57731816.985000029</v>
      </c>
      <c r="AI51" s="1786"/>
      <c r="AJ51" s="1876">
        <v>55450091.729999997</v>
      </c>
    </row>
    <row r="52" spans="1:36">
      <c r="A52" s="1675">
        <v>40</v>
      </c>
      <c r="B52" s="2022"/>
      <c r="C52" s="1675">
        <v>31544</v>
      </c>
      <c r="D52" s="1674" t="s">
        <v>2454</v>
      </c>
      <c r="F52" s="1876">
        <f t="shared" si="14"/>
        <v>34250.240040000004</v>
      </c>
      <c r="G52" s="2001">
        <f t="shared" si="0"/>
        <v>0</v>
      </c>
      <c r="H52" s="1876">
        <f t="shared" si="1"/>
        <v>1480.06584</v>
      </c>
      <c r="I52" s="1785">
        <f t="shared" si="2"/>
        <v>0</v>
      </c>
      <c r="J52" s="1876">
        <f t="shared" si="3"/>
        <v>0</v>
      </c>
      <c r="K52" s="1786">
        <f t="shared" si="4"/>
        <v>0</v>
      </c>
      <c r="L52" s="1876">
        <f t="shared" si="5"/>
        <v>0</v>
      </c>
      <c r="M52" s="1786">
        <f t="shared" si="6"/>
        <v>0</v>
      </c>
      <c r="N52" s="1876">
        <f t="shared" si="7"/>
        <v>0</v>
      </c>
      <c r="O52" s="1787">
        <f t="shared" si="8"/>
        <v>0</v>
      </c>
      <c r="P52" s="1876">
        <f t="shared" si="9"/>
        <v>0</v>
      </c>
      <c r="Q52" s="1785">
        <f t="shared" si="10"/>
        <v>0</v>
      </c>
      <c r="R52" s="1787">
        <f t="shared" si="11"/>
        <v>35730.305880000007</v>
      </c>
      <c r="S52" s="1786">
        <f t="shared" si="12"/>
        <v>0</v>
      </c>
      <c r="T52" s="1876">
        <f t="shared" si="13"/>
        <v>34990.272960000002</v>
      </c>
      <c r="V52" s="1876">
        <v>34250240.040000007</v>
      </c>
      <c r="W52" s="2001"/>
      <c r="X52" s="1876">
        <v>1480065.84</v>
      </c>
      <c r="Y52" s="1785"/>
      <c r="Z52" s="1876">
        <v>0</v>
      </c>
      <c r="AA52" s="1786"/>
      <c r="AB52" s="1876">
        <v>0</v>
      </c>
      <c r="AC52" s="1786"/>
      <c r="AD52" s="1876">
        <v>0</v>
      </c>
      <c r="AE52" s="1787"/>
      <c r="AF52" s="1876">
        <v>0</v>
      </c>
      <c r="AG52" s="1785"/>
      <c r="AH52" s="1787">
        <v>35730305.88000001</v>
      </c>
      <c r="AI52" s="1786"/>
      <c r="AJ52" s="1876">
        <v>34990272.960000001</v>
      </c>
    </row>
    <row r="53" spans="1:36">
      <c r="A53" s="1675">
        <v>41</v>
      </c>
      <c r="B53" s="2022"/>
      <c r="C53" s="1675">
        <v>31644</v>
      </c>
      <c r="D53" s="1674" t="s">
        <v>2455</v>
      </c>
      <c r="F53" s="1876">
        <f t="shared" si="14"/>
        <v>4399.6809099999964</v>
      </c>
      <c r="G53" s="2001">
        <f t="shared" si="0"/>
        <v>0</v>
      </c>
      <c r="H53" s="1876">
        <f t="shared" si="1"/>
        <v>112.62360000000001</v>
      </c>
      <c r="I53" s="1785">
        <f t="shared" si="2"/>
        <v>0</v>
      </c>
      <c r="J53" s="1876">
        <f t="shared" si="3"/>
        <v>0</v>
      </c>
      <c r="K53" s="1786">
        <f t="shared" si="4"/>
        <v>0</v>
      </c>
      <c r="L53" s="1876">
        <f t="shared" si="5"/>
        <v>0</v>
      </c>
      <c r="M53" s="1786">
        <f t="shared" si="6"/>
        <v>0</v>
      </c>
      <c r="N53" s="1876">
        <f t="shared" si="7"/>
        <v>0</v>
      </c>
      <c r="O53" s="1787">
        <f t="shared" si="8"/>
        <v>0</v>
      </c>
      <c r="P53" s="1876">
        <f t="shared" si="9"/>
        <v>0</v>
      </c>
      <c r="Q53" s="1785">
        <f t="shared" si="10"/>
        <v>0</v>
      </c>
      <c r="R53" s="1787">
        <f t="shared" si="11"/>
        <v>4512.3045099999963</v>
      </c>
      <c r="S53" s="1786">
        <f t="shared" si="12"/>
        <v>0</v>
      </c>
      <c r="T53" s="1876">
        <f t="shared" si="13"/>
        <v>4455.9927099999995</v>
      </c>
      <c r="V53" s="1876">
        <v>4399680.9099999964</v>
      </c>
      <c r="W53" s="2001"/>
      <c r="X53" s="1876">
        <v>112623.6</v>
      </c>
      <c r="Y53" s="1785"/>
      <c r="Z53" s="1876">
        <v>0</v>
      </c>
      <c r="AA53" s="1786"/>
      <c r="AB53" s="1876">
        <v>0</v>
      </c>
      <c r="AC53" s="1786"/>
      <c r="AD53" s="1876">
        <v>0</v>
      </c>
      <c r="AE53" s="1787"/>
      <c r="AF53" s="1876">
        <v>0</v>
      </c>
      <c r="AG53" s="1785"/>
      <c r="AH53" s="1787">
        <v>4512304.5099999961</v>
      </c>
      <c r="AI53" s="1786"/>
      <c r="AJ53" s="1876">
        <v>4455992.71</v>
      </c>
    </row>
    <row r="54" spans="1:36">
      <c r="A54" s="1675">
        <v>42</v>
      </c>
      <c r="B54" s="2022"/>
      <c r="D54" s="1676" t="s">
        <v>2475</v>
      </c>
      <c r="E54" s="1676"/>
      <c r="F54" s="1788">
        <f t="shared" si="14"/>
        <v>236118.78789000001</v>
      </c>
      <c r="G54" s="1674">
        <f t="shared" si="0"/>
        <v>0</v>
      </c>
      <c r="H54" s="1788">
        <f t="shared" si="1"/>
        <v>26230.623990000004</v>
      </c>
      <c r="I54" s="1783">
        <f t="shared" si="2"/>
        <v>0</v>
      </c>
      <c r="J54" s="1788">
        <f t="shared" si="3"/>
        <v>-1314.0237199999999</v>
      </c>
      <c r="K54" s="1783">
        <f t="shared" si="4"/>
        <v>0</v>
      </c>
      <c r="L54" s="1788">
        <f t="shared" si="5"/>
        <v>-604.10126000000002</v>
      </c>
      <c r="M54" s="1783">
        <f t="shared" si="6"/>
        <v>0</v>
      </c>
      <c r="N54" s="1788">
        <f t="shared" si="7"/>
        <v>0</v>
      </c>
      <c r="O54" s="1814">
        <f t="shared" si="8"/>
        <v>0</v>
      </c>
      <c r="P54" s="1788">
        <f t="shared" si="9"/>
        <v>0</v>
      </c>
      <c r="Q54" s="1783">
        <f t="shared" si="10"/>
        <v>0</v>
      </c>
      <c r="R54" s="1788">
        <f t="shared" si="11"/>
        <v>260431.28690000004</v>
      </c>
      <c r="S54" s="1783">
        <f t="shared" si="12"/>
        <v>0</v>
      </c>
      <c r="T54" s="1788">
        <f t="shared" si="13"/>
        <v>248394.82693000001</v>
      </c>
      <c r="V54" s="1788">
        <v>236118787.89000002</v>
      </c>
      <c r="X54" s="1788">
        <v>26230623.990000002</v>
      </c>
      <c r="Y54" s="1783"/>
      <c r="Z54" s="1788">
        <v>-1314023.72</v>
      </c>
      <c r="AA54" s="1783"/>
      <c r="AB54" s="1788">
        <v>-604101.26</v>
      </c>
      <c r="AC54" s="1783"/>
      <c r="AD54" s="1788">
        <v>0</v>
      </c>
      <c r="AE54" s="1814"/>
      <c r="AF54" s="1788">
        <v>0</v>
      </c>
      <c r="AG54" s="1783"/>
      <c r="AH54" s="1788">
        <v>260431286.90000004</v>
      </c>
      <c r="AI54" s="1783"/>
      <c r="AJ54" s="1788">
        <v>248394826.93000001</v>
      </c>
    </row>
    <row r="55" spans="1:36">
      <c r="A55" s="1675">
        <v>43</v>
      </c>
      <c r="B55" s="2022"/>
      <c r="F55" s="1674">
        <f t="shared" si="14"/>
        <v>0</v>
      </c>
      <c r="G55" s="1674">
        <f t="shared" si="0"/>
        <v>0</v>
      </c>
      <c r="H55" s="1674">
        <f t="shared" si="1"/>
        <v>0</v>
      </c>
      <c r="I55" s="1674">
        <f t="shared" si="2"/>
        <v>0</v>
      </c>
      <c r="J55" s="1674">
        <f t="shared" si="3"/>
        <v>0</v>
      </c>
      <c r="K55" s="1674">
        <f t="shared" si="4"/>
        <v>0</v>
      </c>
      <c r="L55" s="1674">
        <f t="shared" si="5"/>
        <v>0</v>
      </c>
      <c r="M55" s="1674">
        <f t="shared" si="6"/>
        <v>0</v>
      </c>
      <c r="N55" s="1674">
        <f t="shared" si="7"/>
        <v>0</v>
      </c>
      <c r="O55" s="1674">
        <f t="shared" si="8"/>
        <v>0</v>
      </c>
      <c r="P55" s="1674">
        <f t="shared" si="9"/>
        <v>0</v>
      </c>
      <c r="Q55" s="2001">
        <f t="shared" si="10"/>
        <v>0</v>
      </c>
      <c r="R55" s="1674">
        <f t="shared" si="11"/>
        <v>0</v>
      </c>
      <c r="S55" s="1674">
        <f t="shared" si="12"/>
        <v>0</v>
      </c>
      <c r="T55" s="1674">
        <f t="shared" si="13"/>
        <v>0</v>
      </c>
      <c r="AG55" s="2001"/>
    </row>
    <row r="56" spans="1:36" ht="15" thickBot="1">
      <c r="A56" s="2008">
        <v>44</v>
      </c>
      <c r="B56" s="1869" t="s">
        <v>2476</v>
      </c>
      <c r="C56" s="1997"/>
      <c r="D56" s="1997"/>
      <c r="E56" s="1997"/>
      <c r="F56" s="1997">
        <f t="shared" si="14"/>
        <v>0</v>
      </c>
      <c r="G56" s="1997">
        <f t="shared" si="0"/>
        <v>0</v>
      </c>
      <c r="H56" s="1997">
        <f t="shared" si="1"/>
        <v>0</v>
      </c>
      <c r="I56" s="1997">
        <f t="shared" si="2"/>
        <v>0</v>
      </c>
      <c r="J56" s="1997">
        <f t="shared" si="3"/>
        <v>0</v>
      </c>
      <c r="K56" s="1997">
        <f t="shared" si="4"/>
        <v>0</v>
      </c>
      <c r="L56" s="1997">
        <f t="shared" si="5"/>
        <v>0</v>
      </c>
      <c r="M56" s="1997">
        <f t="shared" si="6"/>
        <v>0</v>
      </c>
      <c r="N56" s="1997">
        <f t="shared" si="7"/>
        <v>0</v>
      </c>
      <c r="O56" s="1997">
        <f t="shared" si="8"/>
        <v>0</v>
      </c>
      <c r="P56" s="1997">
        <f t="shared" si="9"/>
        <v>0</v>
      </c>
      <c r="Q56" s="1998">
        <f t="shared" si="10"/>
        <v>0</v>
      </c>
      <c r="R56" s="1997">
        <f t="shared" si="11"/>
        <v>0</v>
      </c>
      <c r="S56" s="1997">
        <f t="shared" si="12"/>
        <v>0</v>
      </c>
      <c r="T56" s="1997">
        <f t="shared" si="13"/>
        <v>0</v>
      </c>
      <c r="V56" s="1997"/>
      <c r="W56" s="1997"/>
      <c r="X56" s="1997"/>
      <c r="Y56" s="1997"/>
      <c r="Z56" s="1997"/>
      <c r="AA56" s="1997"/>
      <c r="AB56" s="1997"/>
      <c r="AC56" s="1997"/>
      <c r="AD56" s="1997"/>
      <c r="AE56" s="1997"/>
      <c r="AF56" s="1997"/>
      <c r="AG56" s="1998"/>
      <c r="AH56" s="1997"/>
      <c r="AI56" s="1997"/>
      <c r="AJ56" s="1997"/>
    </row>
    <row r="57" spans="1:36">
      <c r="A57" s="2005" t="s">
        <v>8186</v>
      </c>
      <c r="F57" s="1674">
        <f t="shared" si="14"/>
        <v>0</v>
      </c>
      <c r="G57" s="1674">
        <f t="shared" si="0"/>
        <v>0</v>
      </c>
      <c r="H57" s="1674">
        <f t="shared" si="1"/>
        <v>0</v>
      </c>
      <c r="I57" s="1674">
        <f t="shared" si="2"/>
        <v>0</v>
      </c>
      <c r="J57" s="1674">
        <f t="shared" si="3"/>
        <v>0</v>
      </c>
      <c r="K57" s="1674">
        <f t="shared" si="4"/>
        <v>0</v>
      </c>
      <c r="L57" s="1674">
        <f t="shared" si="5"/>
        <v>0</v>
      </c>
      <c r="M57" s="1674">
        <f t="shared" si="6"/>
        <v>0</v>
      </c>
      <c r="N57" s="1674">
        <f t="shared" si="7"/>
        <v>0</v>
      </c>
      <c r="O57" s="1674">
        <f t="shared" si="8"/>
        <v>0</v>
      </c>
      <c r="P57" s="1674">
        <f t="shared" si="9"/>
        <v>0</v>
      </c>
      <c r="Q57" s="2001">
        <f t="shared" si="10"/>
        <v>0</v>
      </c>
      <c r="R57" s="1674" t="str">
        <f t="shared" si="11"/>
        <v>Recap Schedules:  B-03, B-06</v>
      </c>
      <c r="S57" s="1674">
        <f t="shared" si="12"/>
        <v>0</v>
      </c>
      <c r="T57" s="1674">
        <f t="shared" si="13"/>
        <v>0</v>
      </c>
      <c r="AG57" s="2001"/>
      <c r="AH57" s="1674" t="s">
        <v>8948</v>
      </c>
    </row>
    <row r="58" spans="1:36" ht="15" thickBot="1">
      <c r="A58" s="1997" t="s">
        <v>8952</v>
      </c>
      <c r="B58" s="1997"/>
      <c r="C58" s="1997"/>
      <c r="D58" s="1997"/>
      <c r="E58" s="1997"/>
      <c r="F58" s="1997" t="str">
        <f t="shared" si="14"/>
        <v>DEPRECIATION RESERVE BALANCES BY ACCOUNT AND SUB-ACCOUNT</v>
      </c>
      <c r="G58" s="1997">
        <f t="shared" si="0"/>
        <v>0</v>
      </c>
      <c r="H58" s="1997">
        <f t="shared" si="1"/>
        <v>0</v>
      </c>
      <c r="I58" s="1997">
        <f t="shared" si="2"/>
        <v>0</v>
      </c>
      <c r="J58" s="1997">
        <f t="shared" si="3"/>
        <v>0</v>
      </c>
      <c r="K58" s="1997">
        <f t="shared" si="4"/>
        <v>0</v>
      </c>
      <c r="L58" s="1997">
        <f t="shared" si="5"/>
        <v>0</v>
      </c>
      <c r="M58" s="1997">
        <f t="shared" si="6"/>
        <v>0</v>
      </c>
      <c r="N58" s="1997">
        <f t="shared" si="7"/>
        <v>0</v>
      </c>
      <c r="O58" s="1997">
        <f t="shared" si="8"/>
        <v>0</v>
      </c>
      <c r="P58" s="1997">
        <f t="shared" si="9"/>
        <v>0</v>
      </c>
      <c r="Q58" s="1998">
        <f t="shared" si="10"/>
        <v>0</v>
      </c>
      <c r="R58" s="1997">
        <f t="shared" si="11"/>
        <v>0</v>
      </c>
      <c r="S58" s="1997">
        <f t="shared" si="12"/>
        <v>0</v>
      </c>
      <c r="T58" s="1997" t="str">
        <f t="shared" si="13"/>
        <v>Page 2 of 10</v>
      </c>
      <c r="V58" s="1997" t="s">
        <v>2594</v>
      </c>
      <c r="W58" s="1997"/>
      <c r="X58" s="1997"/>
      <c r="Y58" s="1997"/>
      <c r="Z58" s="1997"/>
      <c r="AA58" s="1997"/>
      <c r="AB58" s="1997"/>
      <c r="AC58" s="1997"/>
      <c r="AD58" s="1997"/>
      <c r="AE58" s="1997"/>
      <c r="AF58" s="1997"/>
      <c r="AG58" s="1998"/>
      <c r="AH58" s="1997"/>
      <c r="AI58" s="1997"/>
      <c r="AJ58" s="1997" t="s">
        <v>2478</v>
      </c>
    </row>
    <row r="59" spans="1:36">
      <c r="A59" s="1674" t="s">
        <v>2425</v>
      </c>
      <c r="B59" s="2024"/>
      <c r="E59" s="2001" t="s">
        <v>2426</v>
      </c>
      <c r="F59" s="1674" t="str">
        <f t="shared" si="14"/>
        <v>Provide the depreciation reserve balances for each account or sub-account to which</v>
      </c>
      <c r="G59" s="1674">
        <f t="shared" si="0"/>
        <v>0</v>
      </c>
      <c r="H59" s="1674">
        <f t="shared" si="1"/>
        <v>0</v>
      </c>
      <c r="I59" s="1674">
        <f t="shared" si="2"/>
        <v>0</v>
      </c>
      <c r="J59" s="2003">
        <f t="shared" si="3"/>
        <v>0</v>
      </c>
      <c r="K59" s="2003">
        <f t="shared" si="4"/>
        <v>0</v>
      </c>
      <c r="L59" s="1674">
        <f t="shared" si="5"/>
        <v>0</v>
      </c>
      <c r="M59" s="2003">
        <f t="shared" si="6"/>
        <v>0</v>
      </c>
      <c r="N59" s="2003">
        <f t="shared" si="7"/>
        <v>0</v>
      </c>
      <c r="O59" s="2003">
        <f t="shared" si="8"/>
        <v>0</v>
      </c>
      <c r="P59" s="2003">
        <f t="shared" si="9"/>
        <v>0</v>
      </c>
      <c r="Q59" s="2004">
        <f t="shared" si="10"/>
        <v>0</v>
      </c>
      <c r="R59" s="1674" t="str">
        <f t="shared" si="11"/>
        <v>Type of data shown:</v>
      </c>
      <c r="S59" s="1674">
        <f t="shared" si="12"/>
        <v>0</v>
      </c>
      <c r="T59" s="2005">
        <f t="shared" si="13"/>
        <v>0</v>
      </c>
      <c r="V59" s="1674" t="s">
        <v>2595</v>
      </c>
      <c r="Z59" s="2003"/>
      <c r="AA59" s="2003"/>
      <c r="AC59" s="2003"/>
      <c r="AD59" s="2003"/>
      <c r="AE59" s="2003"/>
      <c r="AF59" s="2003"/>
      <c r="AG59" s="2004"/>
      <c r="AH59" s="1674" t="s">
        <v>2427</v>
      </c>
      <c r="AJ59" s="2005"/>
    </row>
    <row r="60" spans="1:36">
      <c r="B60" s="2024"/>
      <c r="F60" s="1674" t="str">
        <f t="shared" si="14"/>
        <v>an individual depreciation rate is applied. (Include Amortization/Recovery amounts).</v>
      </c>
      <c r="G60" s="1674">
        <f t="shared" si="0"/>
        <v>0</v>
      </c>
      <c r="H60" s="1674">
        <f t="shared" si="1"/>
        <v>0</v>
      </c>
      <c r="I60" s="1674">
        <f t="shared" si="2"/>
        <v>0</v>
      </c>
      <c r="J60" s="2001">
        <f t="shared" si="3"/>
        <v>0</v>
      </c>
      <c r="K60" s="2005">
        <f t="shared" si="4"/>
        <v>0</v>
      </c>
      <c r="L60" s="1674">
        <f t="shared" si="5"/>
        <v>0</v>
      </c>
      <c r="M60" s="1674">
        <f t="shared" si="6"/>
        <v>0</v>
      </c>
      <c r="N60" s="2001">
        <f t="shared" si="7"/>
        <v>0</v>
      </c>
      <c r="O60" s="2001">
        <f t="shared" si="8"/>
        <v>0</v>
      </c>
      <c r="P60" s="2001">
        <f t="shared" si="9"/>
        <v>0</v>
      </c>
      <c r="Q60" s="2001" t="str">
        <f t="shared" si="10"/>
        <v>XX</v>
      </c>
      <c r="R60" s="2005" t="str">
        <f t="shared" si="11"/>
        <v>Projected Test Year Ended 12/31/2025</v>
      </c>
      <c r="S60" s="1674">
        <f t="shared" si="12"/>
        <v>0</v>
      </c>
      <c r="T60" s="2001">
        <f t="shared" si="13"/>
        <v>0</v>
      </c>
      <c r="V60" s="1674" t="s">
        <v>8185</v>
      </c>
      <c r="Z60" s="2001"/>
      <c r="AA60" s="2005"/>
      <c r="AD60" s="2001"/>
      <c r="AE60" s="2001"/>
      <c r="AF60" s="2001"/>
      <c r="AG60" s="2001" t="s">
        <v>8157</v>
      </c>
      <c r="AH60" s="2005" t="s">
        <v>8944</v>
      </c>
      <c r="AJ60" s="2001"/>
    </row>
    <row r="61" spans="1:36">
      <c r="A61" s="1674" t="s">
        <v>2428</v>
      </c>
      <c r="B61" s="2024"/>
      <c r="F61" s="1674" t="str">
        <f t="shared" si="14"/>
        <v/>
      </c>
      <c r="G61" s="1674">
        <f t="shared" si="0"/>
        <v>0</v>
      </c>
      <c r="H61" s="1674">
        <f t="shared" si="1"/>
        <v>0</v>
      </c>
      <c r="I61" s="1674">
        <f t="shared" si="2"/>
        <v>0</v>
      </c>
      <c r="J61" s="2001">
        <f t="shared" si="3"/>
        <v>0</v>
      </c>
      <c r="K61" s="2005">
        <f t="shared" si="4"/>
        <v>0</v>
      </c>
      <c r="L61" s="2001">
        <f t="shared" si="5"/>
        <v>0</v>
      </c>
      <c r="M61" s="1674">
        <f t="shared" si="6"/>
        <v>0</v>
      </c>
      <c r="N61" s="1674">
        <f t="shared" si="7"/>
        <v>0</v>
      </c>
      <c r="O61" s="1674">
        <f t="shared" si="8"/>
        <v>0</v>
      </c>
      <c r="P61" s="1674">
        <f t="shared" si="9"/>
        <v>0</v>
      </c>
      <c r="Q61" s="2001" t="str">
        <f t="shared" si="10"/>
        <v/>
      </c>
      <c r="R61" s="2005" t="str">
        <f t="shared" si="11"/>
        <v>Projected Prior Year Ended 12/31/2024</v>
      </c>
      <c r="S61" s="1674">
        <f t="shared" si="12"/>
        <v>0</v>
      </c>
      <c r="T61" s="2001">
        <f t="shared" si="13"/>
        <v>0</v>
      </c>
      <c r="V61" s="1674" t="s">
        <v>2360</v>
      </c>
      <c r="Z61" s="2001"/>
      <c r="AA61" s="2005"/>
      <c r="AB61" s="2001"/>
      <c r="AG61" s="2001" t="s">
        <v>2360</v>
      </c>
      <c r="AH61" s="2005" t="s">
        <v>8945</v>
      </c>
      <c r="AJ61" s="2001"/>
    </row>
    <row r="62" spans="1:36">
      <c r="B62" s="2024"/>
      <c r="F62" s="1674" t="str">
        <f t="shared" si="14"/>
        <v/>
      </c>
      <c r="G62" s="1674">
        <f t="shared" si="0"/>
        <v>0</v>
      </c>
      <c r="H62" s="1674">
        <f t="shared" si="1"/>
        <v>0</v>
      </c>
      <c r="I62" s="1674">
        <f t="shared" si="2"/>
        <v>0</v>
      </c>
      <c r="J62" s="2001">
        <f t="shared" si="3"/>
        <v>0</v>
      </c>
      <c r="K62" s="2005">
        <f t="shared" si="4"/>
        <v>0</v>
      </c>
      <c r="L62" s="2001">
        <f t="shared" si="5"/>
        <v>0</v>
      </c>
      <c r="M62" s="1674">
        <f t="shared" si="6"/>
        <v>0</v>
      </c>
      <c r="N62" s="1674">
        <f t="shared" si="7"/>
        <v>0</v>
      </c>
      <c r="O62" s="1674">
        <f t="shared" si="8"/>
        <v>0</v>
      </c>
      <c r="P62" s="1674">
        <f t="shared" si="9"/>
        <v>0</v>
      </c>
      <c r="Q62" s="2001" t="str">
        <f t="shared" si="10"/>
        <v/>
      </c>
      <c r="R62" s="2005" t="str">
        <f t="shared" si="11"/>
        <v>Historical Prior Year Ended 12/31/2023</v>
      </c>
      <c r="S62" s="1674">
        <f t="shared" si="12"/>
        <v>0</v>
      </c>
      <c r="T62" s="2001">
        <f t="shared" si="13"/>
        <v>0</v>
      </c>
      <c r="V62" s="1674" t="s">
        <v>2360</v>
      </c>
      <c r="Z62" s="2001"/>
      <c r="AA62" s="2005"/>
      <c r="AB62" s="2001"/>
      <c r="AG62" s="2001" t="s">
        <v>2360</v>
      </c>
      <c r="AH62" s="2005" t="s">
        <v>8946</v>
      </c>
      <c r="AJ62" s="2001"/>
    </row>
    <row r="63" spans="1:36">
      <c r="B63" s="2024"/>
      <c r="F63" s="1674">
        <f t="shared" si="14"/>
        <v>0</v>
      </c>
      <c r="G63" s="1674">
        <f t="shared" si="0"/>
        <v>0</v>
      </c>
      <c r="H63" s="1674">
        <f t="shared" si="1"/>
        <v>0</v>
      </c>
      <c r="I63" s="1674">
        <f t="shared" si="2"/>
        <v>0</v>
      </c>
      <c r="J63" s="2001">
        <f t="shared" si="3"/>
        <v>0</v>
      </c>
      <c r="K63" s="2005">
        <f t="shared" si="4"/>
        <v>0</v>
      </c>
      <c r="L63" s="2001">
        <f t="shared" si="5"/>
        <v>0</v>
      </c>
      <c r="M63" s="1674">
        <f t="shared" si="6"/>
        <v>0</v>
      </c>
      <c r="N63" s="1674">
        <f t="shared" si="7"/>
        <v>0</v>
      </c>
      <c r="O63" s="1674">
        <f t="shared" si="8"/>
        <v>0</v>
      </c>
      <c r="P63" s="1674">
        <f t="shared" si="9"/>
        <v>0</v>
      </c>
      <c r="Q63" s="2001">
        <f t="shared" si="10"/>
        <v>0</v>
      </c>
      <c r="R63" s="2005" t="str">
        <f t="shared" si="11"/>
        <v>Witness: D. Avellan</v>
      </c>
      <c r="S63" s="1674">
        <f t="shared" si="12"/>
        <v>0</v>
      </c>
      <c r="T63" s="2001">
        <f t="shared" si="13"/>
        <v>0</v>
      </c>
      <c r="Z63" s="2001"/>
      <c r="AA63" s="2005"/>
      <c r="AB63" s="2001"/>
      <c r="AG63" s="2001"/>
      <c r="AH63" s="2005" t="s">
        <v>8160</v>
      </c>
      <c r="AJ63" s="2001"/>
    </row>
    <row r="64" spans="1:36" ht="15" thickBot="1">
      <c r="A64" s="1997" t="s">
        <v>8158</v>
      </c>
      <c r="B64" s="2025"/>
      <c r="C64" s="1997"/>
      <c r="D64" s="1997"/>
      <c r="E64" s="1997"/>
      <c r="F64" s="1997" t="str">
        <f t="shared" si="14"/>
        <v/>
      </c>
      <c r="G64" s="1997">
        <f t="shared" si="0"/>
        <v>0</v>
      </c>
      <c r="H64" s="2008" t="str">
        <f t="shared" si="1"/>
        <v>(Dollars in cents)</v>
      </c>
      <c r="I64" s="1997">
        <f t="shared" si="2"/>
        <v>0</v>
      </c>
      <c r="J64" s="1997">
        <f t="shared" si="3"/>
        <v>0</v>
      </c>
      <c r="K64" s="1997">
        <f t="shared" si="4"/>
        <v>0</v>
      </c>
      <c r="L64" s="1997">
        <f t="shared" si="5"/>
        <v>0</v>
      </c>
      <c r="M64" s="1997">
        <f t="shared" si="6"/>
        <v>0</v>
      </c>
      <c r="N64" s="1997">
        <f t="shared" si="7"/>
        <v>0</v>
      </c>
      <c r="O64" s="1997">
        <f t="shared" si="8"/>
        <v>0</v>
      </c>
      <c r="P64" s="1997">
        <f t="shared" si="9"/>
        <v>0</v>
      </c>
      <c r="Q64" s="1998">
        <f t="shared" si="10"/>
        <v>0</v>
      </c>
      <c r="R64" s="1997" t="str">
        <f t="shared" si="11"/>
        <v xml:space="preserve"> </v>
      </c>
      <c r="S64" s="1997">
        <f t="shared" si="12"/>
        <v>0</v>
      </c>
      <c r="T64" s="1997">
        <f t="shared" si="13"/>
        <v>0</v>
      </c>
      <c r="V64" s="1997" t="s">
        <v>2360</v>
      </c>
      <c r="W64" s="1997"/>
      <c r="X64" s="2008" t="s">
        <v>8159</v>
      </c>
      <c r="Y64" s="1997"/>
      <c r="Z64" s="1997"/>
      <c r="AA64" s="1997"/>
      <c r="AB64" s="1997"/>
      <c r="AC64" s="1997"/>
      <c r="AD64" s="1997"/>
      <c r="AE64" s="1997"/>
      <c r="AF64" s="1997"/>
      <c r="AG64" s="1998"/>
      <c r="AH64" s="1997" t="s">
        <v>2477</v>
      </c>
      <c r="AI64" s="1997"/>
      <c r="AJ64" s="1997"/>
    </row>
    <row r="65" spans="1:36">
      <c r="C65" s="2009"/>
      <c r="D65" s="2009"/>
      <c r="E65" s="2009"/>
      <c r="F65" s="2009">
        <f t="shared" si="14"/>
        <v>0</v>
      </c>
      <c r="G65" s="2009">
        <f t="shared" si="0"/>
        <v>0</v>
      </c>
      <c r="H65" s="2009">
        <f t="shared" si="1"/>
        <v>0</v>
      </c>
      <c r="I65" s="2009">
        <f t="shared" si="2"/>
        <v>0</v>
      </c>
      <c r="J65" s="2009">
        <f t="shared" si="3"/>
        <v>0</v>
      </c>
      <c r="K65" s="2009">
        <f t="shared" si="4"/>
        <v>0</v>
      </c>
      <c r="L65" s="2009">
        <f t="shared" si="5"/>
        <v>0</v>
      </c>
      <c r="M65" s="2009">
        <f t="shared" si="6"/>
        <v>0</v>
      </c>
      <c r="N65" s="2009">
        <f t="shared" si="7"/>
        <v>0</v>
      </c>
      <c r="O65" s="2009">
        <f t="shared" si="8"/>
        <v>0</v>
      </c>
      <c r="P65" s="2009">
        <f t="shared" si="9"/>
        <v>0</v>
      </c>
      <c r="Q65" s="2010">
        <f t="shared" si="10"/>
        <v>0</v>
      </c>
      <c r="R65" s="2009">
        <f t="shared" si="11"/>
        <v>0</v>
      </c>
      <c r="S65" s="2009">
        <f t="shared" si="12"/>
        <v>0</v>
      </c>
      <c r="T65" s="2009">
        <f t="shared" si="13"/>
        <v>0</v>
      </c>
      <c r="V65" s="2009"/>
      <c r="W65" s="2009"/>
      <c r="X65" s="2009"/>
      <c r="Y65" s="2009"/>
      <c r="Z65" s="2009"/>
      <c r="AA65" s="2009"/>
      <c r="AB65" s="2009"/>
      <c r="AC65" s="2009"/>
      <c r="AD65" s="2009"/>
      <c r="AE65" s="2009"/>
      <c r="AF65" s="2009"/>
      <c r="AG65" s="2010"/>
      <c r="AH65" s="2009"/>
      <c r="AI65" s="2009"/>
      <c r="AJ65" s="2009"/>
    </row>
    <row r="66" spans="1:36">
      <c r="C66" s="2009" t="s">
        <v>2306</v>
      </c>
      <c r="D66" s="2009" t="s">
        <v>2307</v>
      </c>
      <c r="E66" s="2009"/>
      <c r="F66" s="2009" t="str">
        <f t="shared" si="14"/>
        <v>(3)</v>
      </c>
      <c r="G66" s="2009">
        <f t="shared" si="0"/>
        <v>0</v>
      </c>
      <c r="H66" s="2009" t="str">
        <f t="shared" si="1"/>
        <v>(4)</v>
      </c>
      <c r="I66" s="2009">
        <f t="shared" si="2"/>
        <v>0</v>
      </c>
      <c r="J66" s="1675" t="str">
        <f t="shared" si="3"/>
        <v>(5)</v>
      </c>
      <c r="K66" s="1675">
        <f t="shared" si="4"/>
        <v>0</v>
      </c>
      <c r="L66" s="2009" t="str">
        <f t="shared" si="5"/>
        <v>(6)</v>
      </c>
      <c r="M66" s="2009">
        <f t="shared" si="6"/>
        <v>0</v>
      </c>
      <c r="N66" s="2009" t="str">
        <f t="shared" si="7"/>
        <v>(7)</v>
      </c>
      <c r="O66" s="2009">
        <f t="shared" si="8"/>
        <v>0</v>
      </c>
      <c r="P66" s="2009" t="str">
        <f t="shared" si="9"/>
        <v>(8)</v>
      </c>
      <c r="Q66" s="2010">
        <f t="shared" si="10"/>
        <v>0</v>
      </c>
      <c r="R66" s="2009" t="str">
        <f t="shared" si="11"/>
        <v>(9)</v>
      </c>
      <c r="S66" s="2009">
        <f t="shared" si="12"/>
        <v>0</v>
      </c>
      <c r="T66" s="2009" t="str">
        <f t="shared" si="13"/>
        <v>(10)</v>
      </c>
      <c r="V66" s="2009" t="s">
        <v>2308</v>
      </c>
      <c r="W66" s="2009"/>
      <c r="X66" s="2009" t="s">
        <v>2309</v>
      </c>
      <c r="Y66" s="2009"/>
      <c r="Z66" s="1675" t="s">
        <v>2310</v>
      </c>
      <c r="AA66" s="1675"/>
      <c r="AB66" s="2009" t="s">
        <v>2311</v>
      </c>
      <c r="AC66" s="2009"/>
      <c r="AD66" s="2009" t="s">
        <v>2312</v>
      </c>
      <c r="AE66" s="2009"/>
      <c r="AF66" s="2009" t="s">
        <v>2313</v>
      </c>
      <c r="AG66" s="2010"/>
      <c r="AH66" s="2009" t="s">
        <v>2314</v>
      </c>
      <c r="AI66" s="2009"/>
      <c r="AJ66" s="2009" t="s">
        <v>2361</v>
      </c>
    </row>
    <row r="67" spans="1:36">
      <c r="C67" s="1675" t="s">
        <v>2429</v>
      </c>
      <c r="D67" s="1675" t="s">
        <v>2429</v>
      </c>
      <c r="F67" s="1675" t="str">
        <f t="shared" si="14"/>
        <v>Accumulated</v>
      </c>
      <c r="G67" s="1675">
        <f t="shared" si="0"/>
        <v>0</v>
      </c>
      <c r="H67" s="2009" t="str">
        <f t="shared" si="1"/>
        <v>Total</v>
      </c>
      <c r="I67" s="1675">
        <f t="shared" si="2"/>
        <v>0</v>
      </c>
      <c r="J67" s="2009">
        <f t="shared" si="3"/>
        <v>0</v>
      </c>
      <c r="K67" s="1675">
        <f t="shared" si="4"/>
        <v>0</v>
      </c>
      <c r="L67" s="1675">
        <f t="shared" si="5"/>
        <v>0</v>
      </c>
      <c r="M67" s="1675">
        <f t="shared" si="6"/>
        <v>0</v>
      </c>
      <c r="N67" s="1674">
        <f t="shared" si="7"/>
        <v>0</v>
      </c>
      <c r="O67" s="1674">
        <f t="shared" si="8"/>
        <v>0</v>
      </c>
      <c r="P67" s="1674">
        <f t="shared" si="9"/>
        <v>0</v>
      </c>
      <c r="Q67" s="2001">
        <f t="shared" si="10"/>
        <v>0</v>
      </c>
      <c r="R67" s="1675" t="str">
        <f t="shared" si="11"/>
        <v>Accumulated</v>
      </c>
      <c r="S67" s="1674">
        <f t="shared" si="12"/>
        <v>0</v>
      </c>
      <c r="T67" s="1675">
        <f t="shared" si="13"/>
        <v>0</v>
      </c>
      <c r="V67" s="1675" t="s">
        <v>2315</v>
      </c>
      <c r="W67" s="1675"/>
      <c r="X67" s="2009" t="s">
        <v>122</v>
      </c>
      <c r="Y67" s="1675"/>
      <c r="Z67" s="2009"/>
      <c r="AA67" s="1675"/>
      <c r="AB67" s="1675"/>
      <c r="AC67" s="1675"/>
      <c r="AG67" s="2001"/>
      <c r="AH67" s="1675" t="s">
        <v>2315</v>
      </c>
      <c r="AJ67" s="1675"/>
    </row>
    <row r="68" spans="1:36">
      <c r="A68" s="1675" t="s">
        <v>2430</v>
      </c>
      <c r="B68" s="1675"/>
      <c r="C68" s="1675" t="s">
        <v>2431</v>
      </c>
      <c r="D68" s="1675" t="s">
        <v>2431</v>
      </c>
      <c r="E68" s="2009"/>
      <c r="F68" s="1675" t="str">
        <f t="shared" si="14"/>
        <v>Depreciation</v>
      </c>
      <c r="G68" s="1675">
        <f t="shared" si="0"/>
        <v>0</v>
      </c>
      <c r="H68" s="1675" t="str">
        <f t="shared" si="1"/>
        <v>Depreciation</v>
      </c>
      <c r="I68" s="1675">
        <f t="shared" si="2"/>
        <v>0</v>
      </c>
      <c r="J68" s="1675">
        <f t="shared" si="3"/>
        <v>0</v>
      </c>
      <c r="K68" s="2009">
        <f t="shared" si="4"/>
        <v>0</v>
      </c>
      <c r="L68" s="1675" t="str">
        <f t="shared" si="5"/>
        <v>Gross</v>
      </c>
      <c r="M68" s="2005">
        <f t="shared" si="6"/>
        <v>0</v>
      </c>
      <c r="N68" s="1675" t="str">
        <f t="shared" si="7"/>
        <v>Gross</v>
      </c>
      <c r="O68" s="1675">
        <f t="shared" si="8"/>
        <v>0</v>
      </c>
      <c r="P68" s="1675" t="str">
        <f t="shared" si="9"/>
        <v>Adjustments</v>
      </c>
      <c r="Q68" s="2010">
        <f t="shared" si="10"/>
        <v>0</v>
      </c>
      <c r="R68" s="2009" t="str">
        <f t="shared" si="11"/>
        <v>Depreciation</v>
      </c>
      <c r="S68" s="2009">
        <f t="shared" si="12"/>
        <v>0</v>
      </c>
      <c r="T68" s="1675" t="str">
        <f t="shared" si="13"/>
        <v>13-Month</v>
      </c>
      <c r="V68" s="1675" t="s">
        <v>1537</v>
      </c>
      <c r="W68" s="1675"/>
      <c r="X68" s="1675" t="s">
        <v>1537</v>
      </c>
      <c r="Y68" s="1675"/>
      <c r="Z68" s="1675"/>
      <c r="AA68" s="2009"/>
      <c r="AB68" s="1675" t="s">
        <v>2596</v>
      </c>
      <c r="AC68" s="2005"/>
      <c r="AD68" s="1675" t="s">
        <v>2596</v>
      </c>
      <c r="AE68" s="1675"/>
      <c r="AF68" s="1675" t="s">
        <v>593</v>
      </c>
      <c r="AG68" s="2010"/>
      <c r="AH68" s="2009" t="s">
        <v>1537</v>
      </c>
      <c r="AI68" s="2009"/>
      <c r="AJ68" s="1675" t="s">
        <v>2434</v>
      </c>
    </row>
    <row r="69" spans="1:36" ht="15" thickBot="1">
      <c r="A69" s="2008" t="s">
        <v>2435</v>
      </c>
      <c r="B69" s="2008"/>
      <c r="C69" s="2008" t="s">
        <v>2436</v>
      </c>
      <c r="D69" s="2008" t="s">
        <v>2437</v>
      </c>
      <c r="E69" s="2008"/>
      <c r="F69" s="2011" t="str">
        <f t="shared" si="14"/>
        <v>Beg. of Year</v>
      </c>
      <c r="G69" s="2011">
        <f t="shared" si="0"/>
        <v>0</v>
      </c>
      <c r="H69" s="2011" t="str">
        <f t="shared" si="1"/>
        <v>Accrued</v>
      </c>
      <c r="I69" s="2012">
        <f t="shared" si="2"/>
        <v>0</v>
      </c>
      <c r="J69" s="2011" t="str">
        <f t="shared" si="3"/>
        <v>Retirements</v>
      </c>
      <c r="K69" s="2012">
        <f t="shared" si="4"/>
        <v>0</v>
      </c>
      <c r="L69" s="2012" t="str">
        <f t="shared" si="5"/>
        <v>COR</v>
      </c>
      <c r="M69" s="2013">
        <f t="shared" si="6"/>
        <v>0</v>
      </c>
      <c r="N69" s="2013" t="str">
        <f t="shared" si="7"/>
        <v>Salvage</v>
      </c>
      <c r="O69" s="2013">
        <f t="shared" si="8"/>
        <v>0</v>
      </c>
      <c r="P69" s="2013" t="str">
        <f t="shared" si="9"/>
        <v>or Transfers</v>
      </c>
      <c r="Q69" s="2014">
        <f t="shared" si="10"/>
        <v>0</v>
      </c>
      <c r="R69" s="2013" t="str">
        <f t="shared" si="11"/>
        <v>End of Year</v>
      </c>
      <c r="S69" s="2013">
        <f t="shared" si="12"/>
        <v>0</v>
      </c>
      <c r="T69" s="2013" t="str">
        <f t="shared" si="13"/>
        <v>Average</v>
      </c>
      <c r="V69" s="2011" t="s">
        <v>2439</v>
      </c>
      <c r="W69" s="2011"/>
      <c r="X69" s="2011" t="s">
        <v>2597</v>
      </c>
      <c r="Y69" s="2012"/>
      <c r="Z69" s="2011" t="s">
        <v>1535</v>
      </c>
      <c r="AA69" s="2012"/>
      <c r="AB69" s="2012" t="s">
        <v>2598</v>
      </c>
      <c r="AC69" s="2013"/>
      <c r="AD69" s="2013" t="s">
        <v>2599</v>
      </c>
      <c r="AE69" s="2013"/>
      <c r="AF69" s="2013" t="s">
        <v>2442</v>
      </c>
      <c r="AG69" s="2014"/>
      <c r="AH69" s="2013" t="s">
        <v>2443</v>
      </c>
      <c r="AI69" s="2013"/>
      <c r="AJ69" s="2013" t="s">
        <v>2444</v>
      </c>
    </row>
    <row r="70" spans="1:36">
      <c r="A70" s="1675">
        <v>1</v>
      </c>
      <c r="B70" s="1675"/>
      <c r="F70" s="1674">
        <f t="shared" si="14"/>
        <v>0</v>
      </c>
      <c r="G70" s="1674">
        <f t="shared" si="0"/>
        <v>0</v>
      </c>
      <c r="H70" s="1674">
        <f t="shared" si="1"/>
        <v>0</v>
      </c>
      <c r="I70" s="1674">
        <f t="shared" si="2"/>
        <v>0</v>
      </c>
      <c r="J70" s="1674">
        <f t="shared" si="3"/>
        <v>0</v>
      </c>
      <c r="K70" s="1674">
        <f t="shared" si="4"/>
        <v>0</v>
      </c>
      <c r="L70" s="1674">
        <f t="shared" si="5"/>
        <v>0</v>
      </c>
      <c r="M70" s="1674">
        <f t="shared" si="6"/>
        <v>0</v>
      </c>
      <c r="N70" s="1674">
        <f t="shared" si="7"/>
        <v>0</v>
      </c>
      <c r="O70" s="1674">
        <f t="shared" si="8"/>
        <v>0</v>
      </c>
      <c r="P70" s="1674">
        <f t="shared" si="9"/>
        <v>0</v>
      </c>
      <c r="Q70" s="2001">
        <f t="shared" si="10"/>
        <v>0</v>
      </c>
      <c r="R70" s="1674">
        <f t="shared" si="11"/>
        <v>0</v>
      </c>
      <c r="S70" s="1674">
        <f t="shared" si="12"/>
        <v>0</v>
      </c>
      <c r="T70" s="1674">
        <f t="shared" si="13"/>
        <v>0</v>
      </c>
      <c r="AG70" s="2001"/>
    </row>
    <row r="71" spans="1:36">
      <c r="A71" s="1675">
        <v>2</v>
      </c>
      <c r="B71" s="2015"/>
      <c r="D71" s="2026" t="s">
        <v>2479</v>
      </c>
      <c r="E71" s="1676"/>
      <c r="F71" s="1676">
        <f t="shared" si="14"/>
        <v>0</v>
      </c>
      <c r="G71" s="1676">
        <f t="shared" si="0"/>
        <v>0</v>
      </c>
      <c r="H71" s="1674">
        <f t="shared" si="1"/>
        <v>0</v>
      </c>
      <c r="I71" s="1674">
        <f t="shared" si="2"/>
        <v>0</v>
      </c>
      <c r="J71" s="1674">
        <f t="shared" si="3"/>
        <v>0</v>
      </c>
      <c r="K71" s="1674">
        <f t="shared" si="4"/>
        <v>0</v>
      </c>
      <c r="L71" s="1674">
        <f t="shared" si="5"/>
        <v>0</v>
      </c>
      <c r="M71" s="1674">
        <f t="shared" si="6"/>
        <v>0</v>
      </c>
      <c r="N71" s="1674">
        <f t="shared" si="7"/>
        <v>0</v>
      </c>
      <c r="O71" s="1674">
        <f t="shared" si="8"/>
        <v>0</v>
      </c>
      <c r="P71" s="1674">
        <f t="shared" si="9"/>
        <v>0</v>
      </c>
      <c r="Q71" s="2001">
        <f t="shared" si="10"/>
        <v>0</v>
      </c>
      <c r="R71" s="1674">
        <f t="shared" si="11"/>
        <v>0</v>
      </c>
      <c r="S71" s="1674">
        <f t="shared" si="12"/>
        <v>0</v>
      </c>
      <c r="T71" s="1674">
        <f t="shared" si="13"/>
        <v>0</v>
      </c>
      <c r="V71" s="1676"/>
      <c r="W71" s="1676"/>
      <c r="AG71" s="2001"/>
    </row>
    <row r="72" spans="1:36">
      <c r="A72" s="1675">
        <v>3</v>
      </c>
      <c r="B72" s="2015"/>
      <c r="C72" s="1675">
        <v>31145</v>
      </c>
      <c r="D72" s="1674" t="s">
        <v>2449</v>
      </c>
      <c r="F72" s="1876">
        <f t="shared" si="14"/>
        <v>19373.050540000011</v>
      </c>
      <c r="G72" s="2001">
        <f t="shared" si="0"/>
        <v>0</v>
      </c>
      <c r="H72" s="1876">
        <f t="shared" si="1"/>
        <v>1116.7533600000002</v>
      </c>
      <c r="I72" s="1785">
        <f t="shared" si="2"/>
        <v>0</v>
      </c>
      <c r="J72" s="1876">
        <f t="shared" si="3"/>
        <v>0</v>
      </c>
      <c r="K72" s="1786">
        <f t="shared" si="4"/>
        <v>0</v>
      </c>
      <c r="L72" s="1876">
        <f t="shared" si="5"/>
        <v>0</v>
      </c>
      <c r="M72" s="1786">
        <f t="shared" si="6"/>
        <v>0</v>
      </c>
      <c r="N72" s="1876">
        <f t="shared" si="7"/>
        <v>0</v>
      </c>
      <c r="O72" s="1787">
        <f t="shared" si="8"/>
        <v>0</v>
      </c>
      <c r="P72" s="1876">
        <f t="shared" si="9"/>
        <v>0</v>
      </c>
      <c r="Q72" s="1785">
        <f t="shared" si="10"/>
        <v>0</v>
      </c>
      <c r="R72" s="1787">
        <f t="shared" si="11"/>
        <v>20489.80390000001</v>
      </c>
      <c r="S72" s="1786">
        <f t="shared" si="12"/>
        <v>0</v>
      </c>
      <c r="T72" s="1876">
        <f t="shared" si="13"/>
        <v>19931.427219999998</v>
      </c>
      <c r="V72" s="1876">
        <v>19373050.54000001</v>
      </c>
      <c r="W72" s="2001"/>
      <c r="X72" s="1876">
        <v>1116753.3600000001</v>
      </c>
      <c r="Y72" s="1785"/>
      <c r="Z72" s="1876">
        <v>0</v>
      </c>
      <c r="AA72" s="1786"/>
      <c r="AB72" s="1876">
        <v>0</v>
      </c>
      <c r="AC72" s="1786"/>
      <c r="AD72" s="1876">
        <v>0</v>
      </c>
      <c r="AE72" s="1787"/>
      <c r="AF72" s="1876">
        <v>0</v>
      </c>
      <c r="AG72" s="1785"/>
      <c r="AH72" s="1787">
        <v>20489803.90000001</v>
      </c>
      <c r="AI72" s="1786"/>
      <c r="AJ72" s="1876">
        <v>19931427.219999999</v>
      </c>
    </row>
    <row r="73" spans="1:36">
      <c r="A73" s="1675">
        <v>4</v>
      </c>
      <c r="B73" s="2015"/>
      <c r="C73" s="1675">
        <v>31245</v>
      </c>
      <c r="D73" s="1674" t="s">
        <v>2451</v>
      </c>
      <c r="F73" s="1876">
        <f t="shared" si="14"/>
        <v>80754.234110000019</v>
      </c>
      <c r="G73" s="2001">
        <f t="shared" si="0"/>
        <v>0</v>
      </c>
      <c r="H73" s="1876">
        <f t="shared" si="1"/>
        <v>10612.96385</v>
      </c>
      <c r="I73" s="1785">
        <f t="shared" si="2"/>
        <v>0</v>
      </c>
      <c r="J73" s="1876">
        <f t="shared" si="3"/>
        <v>-115.00058</v>
      </c>
      <c r="K73" s="1786">
        <f t="shared" si="4"/>
        <v>0</v>
      </c>
      <c r="L73" s="1876">
        <f t="shared" si="5"/>
        <v>-7.8694799999999994</v>
      </c>
      <c r="M73" s="1786">
        <f t="shared" si="6"/>
        <v>0</v>
      </c>
      <c r="N73" s="1876">
        <f t="shared" si="7"/>
        <v>0</v>
      </c>
      <c r="O73" s="1787">
        <f t="shared" si="8"/>
        <v>0</v>
      </c>
      <c r="P73" s="1876">
        <f t="shared" si="9"/>
        <v>0</v>
      </c>
      <c r="Q73" s="1785">
        <f t="shared" si="10"/>
        <v>0</v>
      </c>
      <c r="R73" s="1787">
        <f t="shared" si="11"/>
        <v>91244.327900000004</v>
      </c>
      <c r="S73" s="1786">
        <f t="shared" si="12"/>
        <v>0</v>
      </c>
      <c r="T73" s="1876">
        <f t="shared" si="13"/>
        <v>86017.606680000012</v>
      </c>
      <c r="V73" s="1876">
        <v>80754234.110000014</v>
      </c>
      <c r="W73" s="2001"/>
      <c r="X73" s="1876">
        <v>10612963.85</v>
      </c>
      <c r="Y73" s="1785"/>
      <c r="Z73" s="1876">
        <v>-115000.58</v>
      </c>
      <c r="AA73" s="1786"/>
      <c r="AB73" s="1876">
        <v>-7869.48</v>
      </c>
      <c r="AC73" s="1786"/>
      <c r="AD73" s="1876">
        <v>0</v>
      </c>
      <c r="AE73" s="1787"/>
      <c r="AF73" s="1876">
        <v>0</v>
      </c>
      <c r="AG73" s="1785"/>
      <c r="AH73" s="1787">
        <v>91244327.900000006</v>
      </c>
      <c r="AI73" s="1786"/>
      <c r="AJ73" s="1876">
        <v>86017606.680000007</v>
      </c>
    </row>
    <row r="74" spans="1:36">
      <c r="A74" s="1675">
        <v>5</v>
      </c>
      <c r="B74" s="2015"/>
      <c r="C74" s="1675">
        <v>31545</v>
      </c>
      <c r="D74" s="1674" t="s">
        <v>2454</v>
      </c>
      <c r="F74" s="1876">
        <f t="shared" si="14"/>
        <v>17640.077499999999</v>
      </c>
      <c r="G74" s="2001">
        <f t="shared" si="0"/>
        <v>0</v>
      </c>
      <c r="H74" s="1876">
        <f t="shared" si="1"/>
        <v>755.2165</v>
      </c>
      <c r="I74" s="1785">
        <f t="shared" si="2"/>
        <v>0</v>
      </c>
      <c r="J74" s="1876">
        <f t="shared" si="3"/>
        <v>-115.00058</v>
      </c>
      <c r="K74" s="1786">
        <f t="shared" si="4"/>
        <v>0</v>
      </c>
      <c r="L74" s="1876">
        <f t="shared" si="5"/>
        <v>-7.8694799999999994</v>
      </c>
      <c r="M74" s="1786">
        <f t="shared" si="6"/>
        <v>0</v>
      </c>
      <c r="N74" s="1876">
        <f t="shared" si="7"/>
        <v>0</v>
      </c>
      <c r="O74" s="1787">
        <f t="shared" si="8"/>
        <v>0</v>
      </c>
      <c r="P74" s="1876">
        <f t="shared" si="9"/>
        <v>0</v>
      </c>
      <c r="Q74" s="1785">
        <f t="shared" si="10"/>
        <v>0</v>
      </c>
      <c r="R74" s="1787">
        <f t="shared" si="11"/>
        <v>18272.423940000001</v>
      </c>
      <c r="S74" s="1786">
        <f t="shared" si="12"/>
        <v>0</v>
      </c>
      <c r="T74" s="1876">
        <f t="shared" si="13"/>
        <v>17975.589019999999</v>
      </c>
      <c r="V74" s="1876">
        <v>17640077.5</v>
      </c>
      <c r="W74" s="2001"/>
      <c r="X74" s="1876">
        <v>755216.5</v>
      </c>
      <c r="Y74" s="1785"/>
      <c r="Z74" s="1876">
        <v>-115000.58</v>
      </c>
      <c r="AA74" s="1786"/>
      <c r="AB74" s="1876">
        <v>-7869.48</v>
      </c>
      <c r="AC74" s="1786"/>
      <c r="AD74" s="1876">
        <v>0</v>
      </c>
      <c r="AE74" s="1787"/>
      <c r="AF74" s="1876">
        <v>0</v>
      </c>
      <c r="AG74" s="1785"/>
      <c r="AH74" s="1787">
        <v>18272423.940000001</v>
      </c>
      <c r="AI74" s="1786"/>
      <c r="AJ74" s="1876">
        <v>17975589.02</v>
      </c>
    </row>
    <row r="75" spans="1:36">
      <c r="A75" s="1675">
        <v>6</v>
      </c>
      <c r="B75" s="2015"/>
      <c r="C75" s="1675">
        <v>31645</v>
      </c>
      <c r="D75" s="1674" t="s">
        <v>2455</v>
      </c>
      <c r="F75" s="1876">
        <f t="shared" si="14"/>
        <v>1278.8833199999976</v>
      </c>
      <c r="G75" s="2001">
        <f t="shared" si="0"/>
        <v>0</v>
      </c>
      <c r="H75" s="1876">
        <f t="shared" si="1"/>
        <v>32.541119999999999</v>
      </c>
      <c r="I75" s="1785">
        <f t="shared" si="2"/>
        <v>0</v>
      </c>
      <c r="J75" s="1876">
        <f t="shared" si="3"/>
        <v>0</v>
      </c>
      <c r="K75" s="1786">
        <f t="shared" si="4"/>
        <v>0</v>
      </c>
      <c r="L75" s="1876">
        <f t="shared" si="5"/>
        <v>0</v>
      </c>
      <c r="M75" s="1786">
        <f t="shared" si="6"/>
        <v>0</v>
      </c>
      <c r="N75" s="1876">
        <f t="shared" si="7"/>
        <v>0</v>
      </c>
      <c r="O75" s="1787">
        <f t="shared" si="8"/>
        <v>0</v>
      </c>
      <c r="P75" s="1876">
        <f t="shared" si="9"/>
        <v>0</v>
      </c>
      <c r="Q75" s="1785">
        <f t="shared" si="10"/>
        <v>0</v>
      </c>
      <c r="R75" s="1787">
        <f t="shared" si="11"/>
        <v>1311.424439999998</v>
      </c>
      <c r="S75" s="1786">
        <f t="shared" si="12"/>
        <v>0</v>
      </c>
      <c r="T75" s="1876">
        <f t="shared" si="13"/>
        <v>1295.1538799999998</v>
      </c>
      <c r="V75" s="1876">
        <v>1278883.3199999977</v>
      </c>
      <c r="W75" s="2001"/>
      <c r="X75" s="1876">
        <v>32541.119999999999</v>
      </c>
      <c r="Y75" s="1785"/>
      <c r="Z75" s="1876">
        <v>0</v>
      </c>
      <c r="AA75" s="1786"/>
      <c r="AB75" s="1876">
        <v>0</v>
      </c>
      <c r="AC75" s="1786"/>
      <c r="AD75" s="1876">
        <v>0</v>
      </c>
      <c r="AE75" s="1787"/>
      <c r="AF75" s="1876">
        <v>0</v>
      </c>
      <c r="AG75" s="1785"/>
      <c r="AH75" s="1787">
        <v>1311424.4399999978</v>
      </c>
      <c r="AI75" s="1786"/>
      <c r="AJ75" s="1876">
        <v>1295153.8799999999</v>
      </c>
    </row>
    <row r="76" spans="1:36">
      <c r="A76" s="1675">
        <v>7</v>
      </c>
      <c r="B76" s="1675"/>
      <c r="C76" s="1675"/>
      <c r="D76" s="2026" t="s">
        <v>2480</v>
      </c>
      <c r="E76" s="1676"/>
      <c r="F76" s="1788">
        <f t="shared" si="14"/>
        <v>119046.24547000001</v>
      </c>
      <c r="G76" s="1674">
        <f t="shared" si="0"/>
        <v>0</v>
      </c>
      <c r="H76" s="1788">
        <f t="shared" si="1"/>
        <v>12517.474829999997</v>
      </c>
      <c r="I76" s="1783">
        <f t="shared" si="2"/>
        <v>0</v>
      </c>
      <c r="J76" s="1788">
        <f t="shared" si="3"/>
        <v>-230.00116</v>
      </c>
      <c r="K76" s="1783">
        <f t="shared" si="4"/>
        <v>0</v>
      </c>
      <c r="L76" s="1788">
        <f t="shared" si="5"/>
        <v>-15.738959999999999</v>
      </c>
      <c r="M76" s="1783">
        <f t="shared" si="6"/>
        <v>0</v>
      </c>
      <c r="N76" s="1788">
        <f t="shared" si="7"/>
        <v>0</v>
      </c>
      <c r="O76" s="1814">
        <f t="shared" si="8"/>
        <v>0</v>
      </c>
      <c r="P76" s="1788">
        <f t="shared" si="9"/>
        <v>0</v>
      </c>
      <c r="Q76" s="1783">
        <f t="shared" si="10"/>
        <v>0</v>
      </c>
      <c r="R76" s="1788">
        <f t="shared" si="11"/>
        <v>131317.98018000001</v>
      </c>
      <c r="S76" s="1783">
        <f t="shared" si="12"/>
        <v>0</v>
      </c>
      <c r="T76" s="1788">
        <f t="shared" si="13"/>
        <v>125219.77679999999</v>
      </c>
      <c r="V76" s="1788">
        <v>119046245.47000001</v>
      </c>
      <c r="X76" s="1788">
        <v>12517474.829999998</v>
      </c>
      <c r="Y76" s="1783"/>
      <c r="Z76" s="1788">
        <v>-230001.16</v>
      </c>
      <c r="AA76" s="1783"/>
      <c r="AB76" s="1788">
        <v>-15738.96</v>
      </c>
      <c r="AC76" s="1783"/>
      <c r="AD76" s="1788">
        <v>0</v>
      </c>
      <c r="AE76" s="1814"/>
      <c r="AF76" s="1788">
        <v>0</v>
      </c>
      <c r="AG76" s="1783"/>
      <c r="AH76" s="1788">
        <v>131317980.18000001</v>
      </c>
      <c r="AI76" s="1783"/>
      <c r="AJ76" s="1788">
        <v>125219776.8</v>
      </c>
    </row>
    <row r="77" spans="1:36">
      <c r="A77" s="1675">
        <v>8</v>
      </c>
      <c r="B77" s="1675"/>
      <c r="F77" s="1674">
        <f t="shared" si="14"/>
        <v>0</v>
      </c>
      <c r="G77" s="1674">
        <f t="shared" si="0"/>
        <v>0</v>
      </c>
      <c r="H77" s="1674">
        <f t="shared" si="1"/>
        <v>0</v>
      </c>
      <c r="I77" s="1674">
        <f t="shared" si="2"/>
        <v>0</v>
      </c>
      <c r="J77" s="1674">
        <f t="shared" si="3"/>
        <v>0</v>
      </c>
      <c r="K77" s="1674">
        <f t="shared" si="4"/>
        <v>0</v>
      </c>
      <c r="L77" s="1674">
        <f t="shared" si="5"/>
        <v>0</v>
      </c>
      <c r="M77" s="1674">
        <f t="shared" si="6"/>
        <v>0</v>
      </c>
      <c r="N77" s="1674">
        <f t="shared" si="7"/>
        <v>0</v>
      </c>
      <c r="O77" s="1674">
        <f t="shared" si="8"/>
        <v>0</v>
      </c>
      <c r="P77" s="1674">
        <f t="shared" si="9"/>
        <v>0</v>
      </c>
      <c r="Q77" s="2001">
        <f t="shared" si="10"/>
        <v>0</v>
      </c>
      <c r="R77" s="1674">
        <f t="shared" si="11"/>
        <v>0</v>
      </c>
      <c r="S77" s="1674">
        <f t="shared" si="12"/>
        <v>0</v>
      </c>
      <c r="T77" s="1674">
        <f t="shared" si="13"/>
        <v>0</v>
      </c>
      <c r="AG77" s="2001"/>
    </row>
    <row r="78" spans="1:36">
      <c r="A78" s="1675">
        <v>9</v>
      </c>
      <c r="B78" s="2015"/>
      <c r="C78" s="1675"/>
      <c r="D78" s="1676" t="s">
        <v>2481</v>
      </c>
      <c r="E78" s="1676"/>
      <c r="F78" s="2023">
        <f t="shared" si="14"/>
        <v>0</v>
      </c>
      <c r="G78" s="1676">
        <f t="shared" si="0"/>
        <v>0</v>
      </c>
      <c r="H78" s="1790">
        <f t="shared" si="1"/>
        <v>0</v>
      </c>
      <c r="I78" s="1790">
        <f t="shared" si="2"/>
        <v>0</v>
      </c>
      <c r="J78" s="1790">
        <f t="shared" si="3"/>
        <v>0</v>
      </c>
      <c r="K78" s="1790">
        <f t="shared" si="4"/>
        <v>0</v>
      </c>
      <c r="L78" s="1790">
        <f t="shared" si="5"/>
        <v>0</v>
      </c>
      <c r="M78" s="1790">
        <f t="shared" si="6"/>
        <v>0</v>
      </c>
      <c r="N78" s="1790">
        <f t="shared" si="7"/>
        <v>0</v>
      </c>
      <c r="O78" s="1790">
        <f t="shared" si="8"/>
        <v>0</v>
      </c>
      <c r="P78" s="1790">
        <f t="shared" si="9"/>
        <v>0</v>
      </c>
      <c r="Q78" s="1790">
        <f t="shared" si="10"/>
        <v>0</v>
      </c>
      <c r="R78" s="1790">
        <f t="shared" si="11"/>
        <v>0</v>
      </c>
      <c r="S78" s="1790">
        <f t="shared" si="12"/>
        <v>0</v>
      </c>
      <c r="T78" s="1790">
        <f t="shared" si="13"/>
        <v>0</v>
      </c>
      <c r="V78" s="2023"/>
      <c r="W78" s="1676"/>
      <c r="X78" s="1790"/>
      <c r="Y78" s="1790"/>
      <c r="Z78" s="1790"/>
      <c r="AA78" s="1790"/>
      <c r="AB78" s="1790"/>
      <c r="AC78" s="1790"/>
      <c r="AD78" s="1790"/>
      <c r="AE78" s="1790"/>
      <c r="AF78" s="1790"/>
      <c r="AG78" s="1790"/>
      <c r="AH78" s="1790"/>
      <c r="AI78" s="1790"/>
      <c r="AJ78" s="1790"/>
    </row>
    <row r="79" spans="1:36">
      <c r="A79" s="1675">
        <v>10</v>
      </c>
      <c r="B79" s="2015"/>
      <c r="C79" s="1675">
        <v>31146</v>
      </c>
      <c r="D79" s="1674" t="s">
        <v>2449</v>
      </c>
      <c r="F79" s="1876">
        <f t="shared" si="14"/>
        <v>0</v>
      </c>
      <c r="G79" s="2001">
        <f t="shared" si="0"/>
        <v>0</v>
      </c>
      <c r="H79" s="1876">
        <f t="shared" si="1"/>
        <v>0</v>
      </c>
      <c r="I79" s="1785">
        <f t="shared" si="2"/>
        <v>0</v>
      </c>
      <c r="J79" s="1876">
        <f t="shared" si="3"/>
        <v>0</v>
      </c>
      <c r="K79" s="1786">
        <f t="shared" si="4"/>
        <v>0</v>
      </c>
      <c r="L79" s="1876">
        <f t="shared" si="5"/>
        <v>0</v>
      </c>
      <c r="M79" s="1786">
        <f t="shared" si="6"/>
        <v>0</v>
      </c>
      <c r="N79" s="1876">
        <f t="shared" si="7"/>
        <v>0</v>
      </c>
      <c r="O79" s="1787">
        <f t="shared" si="8"/>
        <v>0</v>
      </c>
      <c r="P79" s="1876">
        <f t="shared" si="9"/>
        <v>0</v>
      </c>
      <c r="Q79" s="1785">
        <f t="shared" si="10"/>
        <v>0</v>
      </c>
      <c r="R79" s="1787">
        <f t="shared" si="11"/>
        <v>0</v>
      </c>
      <c r="S79" s="1786">
        <f t="shared" si="12"/>
        <v>0</v>
      </c>
      <c r="T79" s="1876">
        <f t="shared" si="13"/>
        <v>0</v>
      </c>
      <c r="V79" s="1876">
        <v>0</v>
      </c>
      <c r="W79" s="2001"/>
      <c r="X79" s="1876">
        <v>0</v>
      </c>
      <c r="Y79" s="1785"/>
      <c r="Z79" s="1876">
        <v>0</v>
      </c>
      <c r="AA79" s="1786"/>
      <c r="AB79" s="1876">
        <v>0</v>
      </c>
      <c r="AC79" s="1786"/>
      <c r="AD79" s="1876">
        <v>0</v>
      </c>
      <c r="AE79" s="1787"/>
      <c r="AF79" s="1876">
        <v>0</v>
      </c>
      <c r="AG79" s="1785"/>
      <c r="AH79" s="1787">
        <v>0</v>
      </c>
      <c r="AI79" s="1786"/>
      <c r="AJ79" s="1876">
        <v>0</v>
      </c>
    </row>
    <row r="80" spans="1:36">
      <c r="A80" s="1675">
        <v>11</v>
      </c>
      <c r="B80" s="2015"/>
      <c r="C80" s="1675">
        <v>31246</v>
      </c>
      <c r="D80" s="1674" t="s">
        <v>2451</v>
      </c>
      <c r="F80" s="1876">
        <f t="shared" si="14"/>
        <v>0</v>
      </c>
      <c r="G80" s="2001">
        <f t="shared" si="0"/>
        <v>0</v>
      </c>
      <c r="H80" s="1876">
        <f t="shared" si="1"/>
        <v>0</v>
      </c>
      <c r="I80" s="1785">
        <f t="shared" si="2"/>
        <v>0</v>
      </c>
      <c r="J80" s="1876">
        <f t="shared" si="3"/>
        <v>0</v>
      </c>
      <c r="K80" s="1786">
        <f t="shared" si="4"/>
        <v>0</v>
      </c>
      <c r="L80" s="1876">
        <f t="shared" si="5"/>
        <v>0</v>
      </c>
      <c r="M80" s="1786">
        <f t="shared" si="6"/>
        <v>0</v>
      </c>
      <c r="N80" s="1876">
        <f t="shared" si="7"/>
        <v>0</v>
      </c>
      <c r="O80" s="1787">
        <f t="shared" si="8"/>
        <v>0</v>
      </c>
      <c r="P80" s="1876">
        <f t="shared" si="9"/>
        <v>0</v>
      </c>
      <c r="Q80" s="1785">
        <f t="shared" si="10"/>
        <v>0</v>
      </c>
      <c r="R80" s="1787">
        <f t="shared" si="11"/>
        <v>0</v>
      </c>
      <c r="S80" s="1786">
        <f t="shared" si="12"/>
        <v>0</v>
      </c>
      <c r="T80" s="1876">
        <f t="shared" si="13"/>
        <v>0</v>
      </c>
      <c r="V80" s="1876">
        <v>0</v>
      </c>
      <c r="W80" s="2001"/>
      <c r="X80" s="1876">
        <v>0</v>
      </c>
      <c r="Y80" s="1785"/>
      <c r="Z80" s="1876">
        <v>0</v>
      </c>
      <c r="AA80" s="1786"/>
      <c r="AB80" s="1876">
        <v>0</v>
      </c>
      <c r="AC80" s="1786"/>
      <c r="AD80" s="1876">
        <v>0</v>
      </c>
      <c r="AE80" s="1787"/>
      <c r="AF80" s="1876">
        <v>0</v>
      </c>
      <c r="AG80" s="1785"/>
      <c r="AH80" s="1787">
        <v>0</v>
      </c>
      <c r="AI80" s="1786"/>
      <c r="AJ80" s="1876">
        <v>0</v>
      </c>
    </row>
    <row r="81" spans="1:36">
      <c r="A81" s="1675">
        <v>12</v>
      </c>
      <c r="B81" s="2015"/>
      <c r="C81" s="1675">
        <v>31546</v>
      </c>
      <c r="D81" s="1674" t="s">
        <v>2454</v>
      </c>
      <c r="F81" s="1876">
        <f t="shared" si="14"/>
        <v>0</v>
      </c>
      <c r="G81" s="2001">
        <f t="shared" ref="G81:G144" si="15">+IF(ISNUMBER(W81),W81/1000,W81)</f>
        <v>0</v>
      </c>
      <c r="H81" s="1876">
        <f t="shared" ref="H81:H144" si="16">+IF(ISNUMBER(X81),X81/1000,X81)</f>
        <v>0</v>
      </c>
      <c r="I81" s="1785">
        <f t="shared" ref="I81:I144" si="17">+IF(ISNUMBER(Y81),Y81/1000,Y81)</f>
        <v>0</v>
      </c>
      <c r="J81" s="1876">
        <f t="shared" ref="J81:J144" si="18">+IF(ISNUMBER(Z81),Z81/1000,Z81)</f>
        <v>0</v>
      </c>
      <c r="K81" s="1786">
        <f t="shared" ref="K81:K144" si="19">+IF(ISNUMBER(AA81),AA81/1000,AA81)</f>
        <v>0</v>
      </c>
      <c r="L81" s="1876">
        <f t="shared" ref="L81:L144" si="20">+IF(ISNUMBER(AB81),AB81/1000,AB81)</f>
        <v>0</v>
      </c>
      <c r="M81" s="1786">
        <f t="shared" ref="M81:M144" si="21">+IF(ISNUMBER(AC81),AC81/1000,AC81)</f>
        <v>0</v>
      </c>
      <c r="N81" s="1876">
        <f t="shared" ref="N81:N144" si="22">+IF(ISNUMBER(AD81),AD81/1000,AD81)</f>
        <v>0</v>
      </c>
      <c r="O81" s="1787">
        <f t="shared" ref="O81:O144" si="23">+IF(ISNUMBER(AE81),AE81/1000,AE81)</f>
        <v>0</v>
      </c>
      <c r="P81" s="1876">
        <f t="shared" ref="P81:P144" si="24">+IF(ISNUMBER(AF81),AF81/1000,AF81)</f>
        <v>0</v>
      </c>
      <c r="Q81" s="1785">
        <f t="shared" ref="Q81:Q144" si="25">+IF(ISNUMBER(AG81),AG81/1000,AG81)</f>
        <v>0</v>
      </c>
      <c r="R81" s="1787">
        <f t="shared" ref="R81:R144" si="26">+IF(ISNUMBER(AH81),AH81/1000,AH81)</f>
        <v>0</v>
      </c>
      <c r="S81" s="1786">
        <f t="shared" ref="S81:S144" si="27">+IF(ISNUMBER(AI81),AI81/1000,AI81)</f>
        <v>0</v>
      </c>
      <c r="T81" s="1876">
        <f t="shared" ref="T81:T144" si="28">+IF(ISNUMBER(AJ81),AJ81/1000,AJ81)</f>
        <v>0</v>
      </c>
      <c r="V81" s="1876">
        <v>0</v>
      </c>
      <c r="W81" s="2001"/>
      <c r="X81" s="1876">
        <v>0</v>
      </c>
      <c r="Y81" s="1785"/>
      <c r="Z81" s="1876">
        <v>0</v>
      </c>
      <c r="AA81" s="1786"/>
      <c r="AB81" s="1876">
        <v>0</v>
      </c>
      <c r="AC81" s="1786"/>
      <c r="AD81" s="1876">
        <v>0</v>
      </c>
      <c r="AE81" s="1787"/>
      <c r="AF81" s="1876">
        <v>0</v>
      </c>
      <c r="AG81" s="1785"/>
      <c r="AH81" s="1787">
        <v>0</v>
      </c>
      <c r="AI81" s="1786"/>
      <c r="AJ81" s="1876">
        <v>0</v>
      </c>
    </row>
    <row r="82" spans="1:36">
      <c r="A82" s="1675">
        <v>13</v>
      </c>
      <c r="B82" s="2015"/>
      <c r="C82" s="1675">
        <v>31646</v>
      </c>
      <c r="D82" s="1674" t="s">
        <v>2455</v>
      </c>
      <c r="F82" s="1876">
        <f t="shared" ref="F82:F145" si="29">+IF(ISNUMBER(V82),V82/1000,V82)</f>
        <v>0</v>
      </c>
      <c r="G82" s="2001">
        <f t="shared" si="15"/>
        <v>0</v>
      </c>
      <c r="H82" s="1876">
        <f t="shared" si="16"/>
        <v>0</v>
      </c>
      <c r="I82" s="1785">
        <f t="shared" si="17"/>
        <v>0</v>
      </c>
      <c r="J82" s="1876">
        <f t="shared" si="18"/>
        <v>0</v>
      </c>
      <c r="K82" s="1786">
        <f t="shared" si="19"/>
        <v>0</v>
      </c>
      <c r="L82" s="1876">
        <f t="shared" si="20"/>
        <v>0</v>
      </c>
      <c r="M82" s="1786">
        <f t="shared" si="21"/>
        <v>0</v>
      </c>
      <c r="N82" s="1876">
        <f t="shared" si="22"/>
        <v>0</v>
      </c>
      <c r="O82" s="1787">
        <f t="shared" si="23"/>
        <v>0</v>
      </c>
      <c r="P82" s="1876">
        <f t="shared" si="24"/>
        <v>0</v>
      </c>
      <c r="Q82" s="1785">
        <f t="shared" si="25"/>
        <v>0</v>
      </c>
      <c r="R82" s="1787">
        <f t="shared" si="26"/>
        <v>0</v>
      </c>
      <c r="S82" s="1786">
        <f t="shared" si="27"/>
        <v>0</v>
      </c>
      <c r="T82" s="1876">
        <f t="shared" si="28"/>
        <v>0</v>
      </c>
      <c r="V82" s="1876">
        <v>0</v>
      </c>
      <c r="W82" s="2001"/>
      <c r="X82" s="1876">
        <v>0</v>
      </c>
      <c r="Y82" s="1785"/>
      <c r="Z82" s="1876">
        <v>0</v>
      </c>
      <c r="AA82" s="1786"/>
      <c r="AB82" s="1876">
        <v>0</v>
      </c>
      <c r="AC82" s="1786"/>
      <c r="AD82" s="1876">
        <v>0</v>
      </c>
      <c r="AE82" s="1787"/>
      <c r="AF82" s="1876">
        <v>0</v>
      </c>
      <c r="AG82" s="1785"/>
      <c r="AH82" s="1787">
        <v>0</v>
      </c>
      <c r="AI82" s="1786"/>
      <c r="AJ82" s="1876">
        <v>0</v>
      </c>
    </row>
    <row r="83" spans="1:36">
      <c r="A83" s="1675">
        <v>14</v>
      </c>
      <c r="B83" s="2015"/>
      <c r="C83" s="1675"/>
      <c r="D83" s="1676" t="s">
        <v>2482</v>
      </c>
      <c r="E83" s="1676"/>
      <c r="F83" s="1788">
        <f t="shared" si="29"/>
        <v>0</v>
      </c>
      <c r="G83" s="1674">
        <f t="shared" si="15"/>
        <v>0</v>
      </c>
      <c r="H83" s="1788">
        <f t="shared" si="16"/>
        <v>0</v>
      </c>
      <c r="I83" s="1783">
        <f t="shared" si="17"/>
        <v>0</v>
      </c>
      <c r="J83" s="1788">
        <f t="shared" si="18"/>
        <v>0</v>
      </c>
      <c r="K83" s="1783">
        <f t="shared" si="19"/>
        <v>0</v>
      </c>
      <c r="L83" s="1788">
        <f t="shared" si="20"/>
        <v>0</v>
      </c>
      <c r="M83" s="1783">
        <f t="shared" si="21"/>
        <v>0</v>
      </c>
      <c r="N83" s="1788">
        <f t="shared" si="22"/>
        <v>0</v>
      </c>
      <c r="O83" s="1814">
        <f t="shared" si="23"/>
        <v>0</v>
      </c>
      <c r="P83" s="1788">
        <f t="shared" si="24"/>
        <v>0</v>
      </c>
      <c r="Q83" s="1783">
        <f t="shared" si="25"/>
        <v>0</v>
      </c>
      <c r="R83" s="1788">
        <f t="shared" si="26"/>
        <v>0</v>
      </c>
      <c r="S83" s="1783">
        <f t="shared" si="27"/>
        <v>0</v>
      </c>
      <c r="T83" s="1788">
        <f t="shared" si="28"/>
        <v>0</v>
      </c>
      <c r="V83" s="1788">
        <v>0</v>
      </c>
      <c r="X83" s="1788">
        <v>0</v>
      </c>
      <c r="Y83" s="1783"/>
      <c r="Z83" s="1788">
        <v>0</v>
      </c>
      <c r="AA83" s="1783"/>
      <c r="AB83" s="1788">
        <v>0</v>
      </c>
      <c r="AC83" s="1783"/>
      <c r="AD83" s="1788">
        <v>0</v>
      </c>
      <c r="AE83" s="1814"/>
      <c r="AF83" s="1788">
        <v>0</v>
      </c>
      <c r="AG83" s="1783"/>
      <c r="AH83" s="1788">
        <v>0</v>
      </c>
      <c r="AI83" s="1783"/>
      <c r="AJ83" s="1788">
        <v>0</v>
      </c>
    </row>
    <row r="84" spans="1:36">
      <c r="A84" s="1675">
        <v>15</v>
      </c>
      <c r="B84" s="2015"/>
      <c r="F84" s="1674">
        <f t="shared" si="29"/>
        <v>0</v>
      </c>
      <c r="G84" s="1674">
        <f t="shared" si="15"/>
        <v>0</v>
      </c>
      <c r="H84" s="1674">
        <f t="shared" si="16"/>
        <v>0</v>
      </c>
      <c r="I84" s="1674">
        <f t="shared" si="17"/>
        <v>0</v>
      </c>
      <c r="J84" s="1674">
        <f t="shared" si="18"/>
        <v>0</v>
      </c>
      <c r="K84" s="1674">
        <f t="shared" si="19"/>
        <v>0</v>
      </c>
      <c r="L84" s="1674">
        <f t="shared" si="20"/>
        <v>0</v>
      </c>
      <c r="M84" s="1674">
        <f t="shared" si="21"/>
        <v>0</v>
      </c>
      <c r="N84" s="1674">
        <f t="shared" si="22"/>
        <v>0</v>
      </c>
      <c r="O84" s="1674">
        <f t="shared" si="23"/>
        <v>0</v>
      </c>
      <c r="P84" s="1674">
        <f t="shared" si="24"/>
        <v>0</v>
      </c>
      <c r="Q84" s="2001">
        <f t="shared" si="25"/>
        <v>0</v>
      </c>
      <c r="R84" s="1674">
        <f t="shared" si="26"/>
        <v>0</v>
      </c>
      <c r="S84" s="1674">
        <f t="shared" si="27"/>
        <v>0</v>
      </c>
      <c r="T84" s="1674">
        <f t="shared" si="28"/>
        <v>0</v>
      </c>
      <c r="AG84" s="2001"/>
    </row>
    <row r="85" spans="1:36">
      <c r="A85" s="1675">
        <v>16</v>
      </c>
      <c r="B85" s="2015"/>
      <c r="C85" s="2010"/>
      <c r="D85" s="2026" t="s">
        <v>1879</v>
      </c>
      <c r="F85" s="2023">
        <f t="shared" si="29"/>
        <v>0</v>
      </c>
      <c r="G85" s="1674">
        <f t="shared" si="15"/>
        <v>0</v>
      </c>
      <c r="H85" s="1792">
        <f t="shared" si="16"/>
        <v>0</v>
      </c>
      <c r="I85" s="1790">
        <f t="shared" si="17"/>
        <v>0</v>
      </c>
      <c r="J85" s="1792">
        <f t="shared" si="18"/>
        <v>0</v>
      </c>
      <c r="K85" s="1790">
        <f t="shared" si="19"/>
        <v>0</v>
      </c>
      <c r="L85" s="1792">
        <f t="shared" si="20"/>
        <v>0</v>
      </c>
      <c r="M85" s="1790">
        <f t="shared" si="21"/>
        <v>0</v>
      </c>
      <c r="N85" s="1792">
        <f t="shared" si="22"/>
        <v>0</v>
      </c>
      <c r="O85" s="1792">
        <f t="shared" si="23"/>
        <v>0</v>
      </c>
      <c r="P85" s="1792">
        <f t="shared" si="24"/>
        <v>0</v>
      </c>
      <c r="Q85" s="1790">
        <f t="shared" si="25"/>
        <v>0</v>
      </c>
      <c r="R85" s="1792">
        <f t="shared" si="26"/>
        <v>0</v>
      </c>
      <c r="S85" s="1790">
        <f t="shared" si="27"/>
        <v>0</v>
      </c>
      <c r="T85" s="1792">
        <f t="shared" si="28"/>
        <v>0</v>
      </c>
      <c r="V85" s="2023"/>
      <c r="X85" s="1792"/>
      <c r="Y85" s="1790"/>
      <c r="Z85" s="1792"/>
      <c r="AA85" s="1790"/>
      <c r="AB85" s="1792"/>
      <c r="AC85" s="1790"/>
      <c r="AD85" s="1792"/>
      <c r="AE85" s="1792"/>
      <c r="AF85" s="1792"/>
      <c r="AG85" s="1790"/>
      <c r="AH85" s="1792"/>
      <c r="AI85" s="1790"/>
      <c r="AJ85" s="1792"/>
    </row>
    <row r="86" spans="1:36">
      <c r="A86" s="1675">
        <v>17</v>
      </c>
      <c r="B86" s="2015"/>
      <c r="C86" s="1675">
        <v>31151</v>
      </c>
      <c r="D86" s="1674" t="s">
        <v>2449</v>
      </c>
      <c r="F86" s="1876">
        <f t="shared" si="29"/>
        <v>0</v>
      </c>
      <c r="G86" s="2001">
        <f t="shared" si="15"/>
        <v>0</v>
      </c>
      <c r="H86" s="1876">
        <f t="shared" si="16"/>
        <v>0</v>
      </c>
      <c r="I86" s="1785">
        <f t="shared" si="17"/>
        <v>0</v>
      </c>
      <c r="J86" s="1876">
        <f t="shared" si="18"/>
        <v>0</v>
      </c>
      <c r="K86" s="1786">
        <f t="shared" si="19"/>
        <v>0</v>
      </c>
      <c r="L86" s="1876">
        <f t="shared" si="20"/>
        <v>0</v>
      </c>
      <c r="M86" s="1786">
        <f t="shared" si="21"/>
        <v>0</v>
      </c>
      <c r="N86" s="1876">
        <f t="shared" si="22"/>
        <v>0</v>
      </c>
      <c r="O86" s="1787">
        <f t="shared" si="23"/>
        <v>0</v>
      </c>
      <c r="P86" s="1876">
        <f t="shared" si="24"/>
        <v>0</v>
      </c>
      <c r="Q86" s="1785">
        <f t="shared" si="25"/>
        <v>0</v>
      </c>
      <c r="R86" s="1787">
        <f t="shared" si="26"/>
        <v>0</v>
      </c>
      <c r="S86" s="1786">
        <f t="shared" si="27"/>
        <v>0</v>
      </c>
      <c r="T86" s="1876">
        <f t="shared" si="28"/>
        <v>0</v>
      </c>
      <c r="V86" s="1876">
        <v>0</v>
      </c>
      <c r="W86" s="2001"/>
      <c r="X86" s="1876">
        <v>0</v>
      </c>
      <c r="Y86" s="1785"/>
      <c r="Z86" s="1876">
        <v>0</v>
      </c>
      <c r="AA86" s="1786"/>
      <c r="AB86" s="1876">
        <v>0</v>
      </c>
      <c r="AC86" s="1786"/>
      <c r="AD86" s="1876">
        <v>0</v>
      </c>
      <c r="AE86" s="1787"/>
      <c r="AF86" s="1876">
        <v>0</v>
      </c>
      <c r="AG86" s="1785"/>
      <c r="AH86" s="1787">
        <v>0</v>
      </c>
      <c r="AI86" s="1786"/>
      <c r="AJ86" s="1876">
        <v>0</v>
      </c>
    </row>
    <row r="87" spans="1:36">
      <c r="A87" s="1675">
        <v>18</v>
      </c>
      <c r="B87" s="2015"/>
      <c r="C87" s="1675">
        <v>31251</v>
      </c>
      <c r="D87" s="1674" t="s">
        <v>2451</v>
      </c>
      <c r="F87" s="1876">
        <f t="shared" si="29"/>
        <v>0</v>
      </c>
      <c r="G87" s="2001">
        <f t="shared" si="15"/>
        <v>0</v>
      </c>
      <c r="H87" s="1876">
        <f t="shared" si="16"/>
        <v>0</v>
      </c>
      <c r="I87" s="1785">
        <f t="shared" si="17"/>
        <v>0</v>
      </c>
      <c r="J87" s="1876">
        <f t="shared" si="18"/>
        <v>0</v>
      </c>
      <c r="K87" s="1786">
        <f t="shared" si="19"/>
        <v>0</v>
      </c>
      <c r="L87" s="1876">
        <f t="shared" si="20"/>
        <v>0</v>
      </c>
      <c r="M87" s="1786">
        <f t="shared" si="21"/>
        <v>0</v>
      </c>
      <c r="N87" s="1876">
        <f t="shared" si="22"/>
        <v>0</v>
      </c>
      <c r="O87" s="1787">
        <f t="shared" si="23"/>
        <v>0</v>
      </c>
      <c r="P87" s="1876">
        <f t="shared" si="24"/>
        <v>0</v>
      </c>
      <c r="Q87" s="1785">
        <f t="shared" si="25"/>
        <v>0</v>
      </c>
      <c r="R87" s="1787">
        <f t="shared" si="26"/>
        <v>0</v>
      </c>
      <c r="S87" s="1786">
        <f t="shared" si="27"/>
        <v>0</v>
      </c>
      <c r="T87" s="1876">
        <f t="shared" si="28"/>
        <v>0</v>
      </c>
      <c r="V87" s="1876">
        <v>0</v>
      </c>
      <c r="W87" s="2001"/>
      <c r="X87" s="1876">
        <v>0</v>
      </c>
      <c r="Y87" s="1785"/>
      <c r="Z87" s="1876">
        <v>0</v>
      </c>
      <c r="AA87" s="1786"/>
      <c r="AB87" s="1876">
        <v>0</v>
      </c>
      <c r="AC87" s="1786"/>
      <c r="AD87" s="1876">
        <v>0</v>
      </c>
      <c r="AE87" s="1787"/>
      <c r="AF87" s="1876">
        <v>0</v>
      </c>
      <c r="AG87" s="1785"/>
      <c r="AH87" s="1787">
        <v>0</v>
      </c>
      <c r="AI87" s="1786"/>
      <c r="AJ87" s="1876">
        <v>0</v>
      </c>
    </row>
    <row r="88" spans="1:36">
      <c r="A88" s="1675">
        <v>19</v>
      </c>
      <c r="B88" s="2015"/>
      <c r="C88" s="1675">
        <v>31551</v>
      </c>
      <c r="D88" s="1674" t="s">
        <v>2454</v>
      </c>
      <c r="F88" s="1876">
        <f t="shared" si="29"/>
        <v>0</v>
      </c>
      <c r="G88" s="2001">
        <f t="shared" si="15"/>
        <v>0</v>
      </c>
      <c r="H88" s="1876">
        <f t="shared" si="16"/>
        <v>0</v>
      </c>
      <c r="I88" s="1785">
        <f t="shared" si="17"/>
        <v>0</v>
      </c>
      <c r="J88" s="1876">
        <f t="shared" si="18"/>
        <v>0</v>
      </c>
      <c r="K88" s="1786">
        <f t="shared" si="19"/>
        <v>0</v>
      </c>
      <c r="L88" s="1876">
        <f t="shared" si="20"/>
        <v>0</v>
      </c>
      <c r="M88" s="1786">
        <f t="shared" si="21"/>
        <v>0</v>
      </c>
      <c r="N88" s="1876">
        <f t="shared" si="22"/>
        <v>0</v>
      </c>
      <c r="O88" s="1787">
        <f t="shared" si="23"/>
        <v>0</v>
      </c>
      <c r="P88" s="1876">
        <f t="shared" si="24"/>
        <v>0</v>
      </c>
      <c r="Q88" s="1785">
        <f t="shared" si="25"/>
        <v>0</v>
      </c>
      <c r="R88" s="1787">
        <f t="shared" si="26"/>
        <v>0</v>
      </c>
      <c r="S88" s="1786">
        <f t="shared" si="27"/>
        <v>0</v>
      </c>
      <c r="T88" s="1876">
        <f t="shared" si="28"/>
        <v>0</v>
      </c>
      <c r="V88" s="1876">
        <v>0</v>
      </c>
      <c r="W88" s="2001"/>
      <c r="X88" s="1876">
        <v>0</v>
      </c>
      <c r="Y88" s="1785"/>
      <c r="Z88" s="1876">
        <v>0</v>
      </c>
      <c r="AA88" s="1786"/>
      <c r="AB88" s="1876">
        <v>0</v>
      </c>
      <c r="AC88" s="1786"/>
      <c r="AD88" s="1876">
        <v>0</v>
      </c>
      <c r="AE88" s="1787"/>
      <c r="AF88" s="1876">
        <v>0</v>
      </c>
      <c r="AG88" s="1785"/>
      <c r="AH88" s="1787">
        <v>0</v>
      </c>
      <c r="AI88" s="1786"/>
      <c r="AJ88" s="1876">
        <v>0</v>
      </c>
    </row>
    <row r="89" spans="1:36">
      <c r="A89" s="1675">
        <v>20</v>
      </c>
      <c r="B89" s="2015"/>
      <c r="C89" s="1675">
        <v>31651</v>
      </c>
      <c r="D89" s="1674" t="s">
        <v>2483</v>
      </c>
      <c r="F89" s="1876">
        <f t="shared" si="29"/>
        <v>0</v>
      </c>
      <c r="G89" s="2001">
        <f t="shared" si="15"/>
        <v>0</v>
      </c>
      <c r="H89" s="1876">
        <f t="shared" si="16"/>
        <v>0</v>
      </c>
      <c r="I89" s="1785">
        <f t="shared" si="17"/>
        <v>0</v>
      </c>
      <c r="J89" s="1876">
        <f t="shared" si="18"/>
        <v>0</v>
      </c>
      <c r="K89" s="1786">
        <f t="shared" si="19"/>
        <v>0</v>
      </c>
      <c r="L89" s="1876">
        <f t="shared" si="20"/>
        <v>0</v>
      </c>
      <c r="M89" s="1786">
        <f t="shared" si="21"/>
        <v>0</v>
      </c>
      <c r="N89" s="1876">
        <f t="shared" si="22"/>
        <v>0</v>
      </c>
      <c r="O89" s="1787">
        <f t="shared" si="23"/>
        <v>0</v>
      </c>
      <c r="P89" s="1876">
        <f t="shared" si="24"/>
        <v>0</v>
      </c>
      <c r="Q89" s="1785">
        <f t="shared" si="25"/>
        <v>0</v>
      </c>
      <c r="R89" s="1787">
        <f t="shared" si="26"/>
        <v>0</v>
      </c>
      <c r="S89" s="1786">
        <f t="shared" si="27"/>
        <v>0</v>
      </c>
      <c r="T89" s="1876">
        <f t="shared" si="28"/>
        <v>0</v>
      </c>
      <c r="V89" s="1876">
        <v>0</v>
      </c>
      <c r="W89" s="2001"/>
      <c r="X89" s="1876">
        <v>0</v>
      </c>
      <c r="Y89" s="1785"/>
      <c r="Z89" s="1876">
        <v>0</v>
      </c>
      <c r="AA89" s="1786"/>
      <c r="AB89" s="1876">
        <v>0</v>
      </c>
      <c r="AC89" s="1786"/>
      <c r="AD89" s="1876">
        <v>0</v>
      </c>
      <c r="AE89" s="1787"/>
      <c r="AF89" s="1876">
        <v>0</v>
      </c>
      <c r="AG89" s="1785"/>
      <c r="AH89" s="1787">
        <v>0</v>
      </c>
      <c r="AI89" s="1786"/>
      <c r="AJ89" s="1876">
        <v>0</v>
      </c>
    </row>
    <row r="90" spans="1:36">
      <c r="A90" s="1675">
        <v>21</v>
      </c>
      <c r="B90" s="2015"/>
      <c r="C90" s="1675"/>
      <c r="D90" s="2002" t="s">
        <v>2484</v>
      </c>
      <c r="F90" s="1788">
        <f t="shared" si="29"/>
        <v>0</v>
      </c>
      <c r="G90" s="1674">
        <f t="shared" si="15"/>
        <v>0</v>
      </c>
      <c r="H90" s="1788">
        <f t="shared" si="16"/>
        <v>0</v>
      </c>
      <c r="I90" s="1783">
        <f t="shared" si="17"/>
        <v>0</v>
      </c>
      <c r="J90" s="1788">
        <f t="shared" si="18"/>
        <v>0</v>
      </c>
      <c r="K90" s="1783">
        <f t="shared" si="19"/>
        <v>0</v>
      </c>
      <c r="L90" s="1788">
        <f t="shared" si="20"/>
        <v>0</v>
      </c>
      <c r="M90" s="1783">
        <f t="shared" si="21"/>
        <v>0</v>
      </c>
      <c r="N90" s="1788">
        <f t="shared" si="22"/>
        <v>0</v>
      </c>
      <c r="O90" s="1814">
        <f t="shared" si="23"/>
        <v>0</v>
      </c>
      <c r="P90" s="1788">
        <f t="shared" si="24"/>
        <v>0</v>
      </c>
      <c r="Q90" s="1783">
        <f t="shared" si="25"/>
        <v>0</v>
      </c>
      <c r="R90" s="1788">
        <f t="shared" si="26"/>
        <v>0</v>
      </c>
      <c r="S90" s="1783">
        <f t="shared" si="27"/>
        <v>0</v>
      </c>
      <c r="T90" s="1788">
        <f t="shared" si="28"/>
        <v>0</v>
      </c>
      <c r="V90" s="1788">
        <v>0</v>
      </c>
      <c r="X90" s="1788">
        <v>0</v>
      </c>
      <c r="Y90" s="1783"/>
      <c r="Z90" s="1788">
        <v>0</v>
      </c>
      <c r="AA90" s="1783"/>
      <c r="AB90" s="1788">
        <v>0</v>
      </c>
      <c r="AC90" s="1783"/>
      <c r="AD90" s="1788">
        <v>0</v>
      </c>
      <c r="AE90" s="1814"/>
      <c r="AF90" s="1788">
        <v>0</v>
      </c>
      <c r="AG90" s="1783"/>
      <c r="AH90" s="1788">
        <v>0</v>
      </c>
      <c r="AI90" s="1783"/>
      <c r="AJ90" s="1788">
        <v>0</v>
      </c>
    </row>
    <row r="91" spans="1:36">
      <c r="A91" s="1675">
        <v>22</v>
      </c>
      <c r="B91" s="2015"/>
      <c r="F91" s="1674">
        <f t="shared" si="29"/>
        <v>0</v>
      </c>
      <c r="G91" s="1674">
        <f t="shared" si="15"/>
        <v>0</v>
      </c>
      <c r="H91" s="1674">
        <f t="shared" si="16"/>
        <v>0</v>
      </c>
      <c r="I91" s="1674">
        <f t="shared" si="17"/>
        <v>0</v>
      </c>
      <c r="J91" s="1674">
        <f t="shared" si="18"/>
        <v>0</v>
      </c>
      <c r="K91" s="1674">
        <f t="shared" si="19"/>
        <v>0</v>
      </c>
      <c r="L91" s="1674">
        <f t="shared" si="20"/>
        <v>0</v>
      </c>
      <c r="M91" s="1674">
        <f t="shared" si="21"/>
        <v>0</v>
      </c>
      <c r="N91" s="1674">
        <f t="shared" si="22"/>
        <v>0</v>
      </c>
      <c r="O91" s="1674">
        <f t="shared" si="23"/>
        <v>0</v>
      </c>
      <c r="P91" s="1674">
        <f t="shared" si="24"/>
        <v>0</v>
      </c>
      <c r="Q91" s="2001">
        <f t="shared" si="25"/>
        <v>0</v>
      </c>
      <c r="R91" s="1674">
        <f t="shared" si="26"/>
        <v>0</v>
      </c>
      <c r="S91" s="1674">
        <f t="shared" si="27"/>
        <v>0</v>
      </c>
      <c r="T91" s="1674">
        <f t="shared" si="28"/>
        <v>0</v>
      </c>
      <c r="AG91" s="2001"/>
    </row>
    <row r="92" spans="1:36">
      <c r="A92" s="1675">
        <v>23</v>
      </c>
      <c r="B92" s="2015"/>
      <c r="C92" s="2010"/>
      <c r="D92" s="2026" t="s">
        <v>1880</v>
      </c>
      <c r="E92" s="1676"/>
      <c r="F92" s="2023">
        <f t="shared" si="29"/>
        <v>0</v>
      </c>
      <c r="G92" s="1676">
        <f t="shared" si="15"/>
        <v>0</v>
      </c>
      <c r="H92" s="1790">
        <f t="shared" si="16"/>
        <v>0</v>
      </c>
      <c r="I92" s="1790">
        <f t="shared" si="17"/>
        <v>0</v>
      </c>
      <c r="J92" s="1790">
        <f t="shared" si="18"/>
        <v>0</v>
      </c>
      <c r="K92" s="1790">
        <f t="shared" si="19"/>
        <v>0</v>
      </c>
      <c r="L92" s="1790">
        <f t="shared" si="20"/>
        <v>0</v>
      </c>
      <c r="M92" s="1790">
        <f t="shared" si="21"/>
        <v>0</v>
      </c>
      <c r="N92" s="1789">
        <f t="shared" si="22"/>
        <v>0</v>
      </c>
      <c r="O92" s="1789">
        <f t="shared" si="23"/>
        <v>0</v>
      </c>
      <c r="P92" s="1789">
        <f t="shared" si="24"/>
        <v>0</v>
      </c>
      <c r="Q92" s="1789">
        <f t="shared" si="25"/>
        <v>0</v>
      </c>
      <c r="R92" s="1789">
        <f t="shared" si="26"/>
        <v>0</v>
      </c>
      <c r="S92" s="1789">
        <f t="shared" si="27"/>
        <v>0</v>
      </c>
      <c r="T92" s="1790">
        <f t="shared" si="28"/>
        <v>0</v>
      </c>
      <c r="V92" s="2023"/>
      <c r="W92" s="1676"/>
      <c r="X92" s="1790"/>
      <c r="Y92" s="1790"/>
      <c r="Z92" s="1790"/>
      <c r="AA92" s="1790"/>
      <c r="AB92" s="1790"/>
      <c r="AC92" s="1790"/>
      <c r="AD92" s="1789"/>
      <c r="AE92" s="1789"/>
      <c r="AF92" s="1789"/>
      <c r="AG92" s="1789"/>
      <c r="AH92" s="1789"/>
      <c r="AI92" s="1789"/>
      <c r="AJ92" s="1790"/>
    </row>
    <row r="93" spans="1:36">
      <c r="A93" s="1675">
        <v>24</v>
      </c>
      <c r="B93" s="2015"/>
      <c r="C93" s="1675">
        <v>31152</v>
      </c>
      <c r="D93" s="1674" t="s">
        <v>2449</v>
      </c>
      <c r="F93" s="1876">
        <f t="shared" si="29"/>
        <v>0</v>
      </c>
      <c r="G93" s="2001">
        <f t="shared" si="15"/>
        <v>0</v>
      </c>
      <c r="H93" s="1876">
        <f t="shared" si="16"/>
        <v>0</v>
      </c>
      <c r="I93" s="1785">
        <f t="shared" si="17"/>
        <v>0</v>
      </c>
      <c r="J93" s="1876">
        <f t="shared" si="18"/>
        <v>0</v>
      </c>
      <c r="K93" s="1786">
        <f t="shared" si="19"/>
        <v>0</v>
      </c>
      <c r="L93" s="1876">
        <f t="shared" si="20"/>
        <v>0</v>
      </c>
      <c r="M93" s="1786">
        <f t="shared" si="21"/>
        <v>0</v>
      </c>
      <c r="N93" s="1876">
        <f t="shared" si="22"/>
        <v>0</v>
      </c>
      <c r="O93" s="1787">
        <f t="shared" si="23"/>
        <v>0</v>
      </c>
      <c r="P93" s="1876">
        <f t="shared" si="24"/>
        <v>0</v>
      </c>
      <c r="Q93" s="1785">
        <f t="shared" si="25"/>
        <v>0</v>
      </c>
      <c r="R93" s="1787">
        <f t="shared" si="26"/>
        <v>0</v>
      </c>
      <c r="S93" s="1786">
        <f t="shared" si="27"/>
        <v>0</v>
      </c>
      <c r="T93" s="1876">
        <f t="shared" si="28"/>
        <v>0</v>
      </c>
      <c r="V93" s="1876">
        <v>0</v>
      </c>
      <c r="W93" s="2001"/>
      <c r="X93" s="1876">
        <v>0</v>
      </c>
      <c r="Y93" s="1785"/>
      <c r="Z93" s="1876">
        <v>0</v>
      </c>
      <c r="AA93" s="1786"/>
      <c r="AB93" s="1876">
        <v>0</v>
      </c>
      <c r="AC93" s="1786"/>
      <c r="AD93" s="1876">
        <v>0</v>
      </c>
      <c r="AE93" s="1787"/>
      <c r="AF93" s="1876">
        <v>0</v>
      </c>
      <c r="AG93" s="1785"/>
      <c r="AH93" s="1787">
        <v>0</v>
      </c>
      <c r="AI93" s="1786"/>
      <c r="AJ93" s="1876">
        <v>0</v>
      </c>
    </row>
    <row r="94" spans="1:36">
      <c r="A94" s="1675">
        <v>25</v>
      </c>
      <c r="B94" s="2015"/>
      <c r="C94" s="1675">
        <v>31252</v>
      </c>
      <c r="D94" s="1674" t="s">
        <v>2451</v>
      </c>
      <c r="F94" s="1876">
        <f t="shared" si="29"/>
        <v>0</v>
      </c>
      <c r="G94" s="2001">
        <f t="shared" si="15"/>
        <v>0</v>
      </c>
      <c r="H94" s="1876">
        <f t="shared" si="16"/>
        <v>0</v>
      </c>
      <c r="I94" s="1785">
        <f t="shared" si="17"/>
        <v>0</v>
      </c>
      <c r="J94" s="1876">
        <f t="shared" si="18"/>
        <v>0</v>
      </c>
      <c r="K94" s="1786">
        <f t="shared" si="19"/>
        <v>0</v>
      </c>
      <c r="L94" s="1876">
        <f t="shared" si="20"/>
        <v>0</v>
      </c>
      <c r="M94" s="1786">
        <f t="shared" si="21"/>
        <v>0</v>
      </c>
      <c r="N94" s="1876">
        <f t="shared" si="22"/>
        <v>0</v>
      </c>
      <c r="O94" s="1787">
        <f t="shared" si="23"/>
        <v>0</v>
      </c>
      <c r="P94" s="1876">
        <f t="shared" si="24"/>
        <v>0</v>
      </c>
      <c r="Q94" s="1785">
        <f t="shared" si="25"/>
        <v>0</v>
      </c>
      <c r="R94" s="1787">
        <f t="shared" si="26"/>
        <v>0</v>
      </c>
      <c r="S94" s="1786">
        <f t="shared" si="27"/>
        <v>0</v>
      </c>
      <c r="T94" s="1876">
        <f t="shared" si="28"/>
        <v>0</v>
      </c>
      <c r="V94" s="1876">
        <v>0</v>
      </c>
      <c r="W94" s="2001"/>
      <c r="X94" s="1876">
        <v>0</v>
      </c>
      <c r="Y94" s="1785"/>
      <c r="Z94" s="1876">
        <v>0</v>
      </c>
      <c r="AA94" s="1786"/>
      <c r="AB94" s="1876">
        <v>0</v>
      </c>
      <c r="AC94" s="1786"/>
      <c r="AD94" s="1876">
        <v>0</v>
      </c>
      <c r="AE94" s="1787"/>
      <c r="AF94" s="1876">
        <v>0</v>
      </c>
      <c r="AG94" s="1785"/>
      <c r="AH94" s="1787">
        <v>0</v>
      </c>
      <c r="AI94" s="1786"/>
      <c r="AJ94" s="1876">
        <v>0</v>
      </c>
    </row>
    <row r="95" spans="1:36">
      <c r="A95" s="1675">
        <v>26</v>
      </c>
      <c r="B95" s="2015"/>
      <c r="C95" s="1675">
        <v>31552</v>
      </c>
      <c r="D95" s="1674" t="s">
        <v>2454</v>
      </c>
      <c r="F95" s="1876">
        <f t="shared" si="29"/>
        <v>0</v>
      </c>
      <c r="G95" s="2001">
        <f t="shared" si="15"/>
        <v>0</v>
      </c>
      <c r="H95" s="1876">
        <f t="shared" si="16"/>
        <v>0</v>
      </c>
      <c r="I95" s="1785">
        <f t="shared" si="17"/>
        <v>0</v>
      </c>
      <c r="J95" s="1876">
        <f t="shared" si="18"/>
        <v>0</v>
      </c>
      <c r="K95" s="1786">
        <f t="shared" si="19"/>
        <v>0</v>
      </c>
      <c r="L95" s="1876">
        <f t="shared" si="20"/>
        <v>0</v>
      </c>
      <c r="M95" s="1786">
        <f t="shared" si="21"/>
        <v>0</v>
      </c>
      <c r="N95" s="1876">
        <f t="shared" si="22"/>
        <v>0</v>
      </c>
      <c r="O95" s="1787">
        <f t="shared" si="23"/>
        <v>0</v>
      </c>
      <c r="P95" s="1876">
        <f t="shared" si="24"/>
        <v>0</v>
      </c>
      <c r="Q95" s="1785">
        <f t="shared" si="25"/>
        <v>0</v>
      </c>
      <c r="R95" s="1787">
        <f t="shared" si="26"/>
        <v>0</v>
      </c>
      <c r="S95" s="1786">
        <f t="shared" si="27"/>
        <v>0</v>
      </c>
      <c r="T95" s="1876">
        <f t="shared" si="28"/>
        <v>0</v>
      </c>
      <c r="V95" s="1876">
        <v>0</v>
      </c>
      <c r="W95" s="2001"/>
      <c r="X95" s="1876">
        <v>0</v>
      </c>
      <c r="Y95" s="1785"/>
      <c r="Z95" s="1876">
        <v>0</v>
      </c>
      <c r="AA95" s="1786"/>
      <c r="AB95" s="1876">
        <v>0</v>
      </c>
      <c r="AC95" s="1786"/>
      <c r="AD95" s="1876">
        <v>0</v>
      </c>
      <c r="AE95" s="1787"/>
      <c r="AF95" s="1876">
        <v>0</v>
      </c>
      <c r="AG95" s="1785"/>
      <c r="AH95" s="1787">
        <v>0</v>
      </c>
      <c r="AI95" s="1786"/>
      <c r="AJ95" s="1876">
        <v>0</v>
      </c>
    </row>
    <row r="96" spans="1:36">
      <c r="A96" s="1675">
        <v>27</v>
      </c>
      <c r="B96" s="2015"/>
      <c r="C96" s="1675">
        <v>31652</v>
      </c>
      <c r="D96" s="1674" t="s">
        <v>2455</v>
      </c>
      <c r="F96" s="1876">
        <f t="shared" si="29"/>
        <v>0</v>
      </c>
      <c r="G96" s="2001">
        <f t="shared" si="15"/>
        <v>0</v>
      </c>
      <c r="H96" s="1876">
        <f t="shared" si="16"/>
        <v>0</v>
      </c>
      <c r="I96" s="1785">
        <f t="shared" si="17"/>
        <v>0</v>
      </c>
      <c r="J96" s="1876">
        <f t="shared" si="18"/>
        <v>0</v>
      </c>
      <c r="K96" s="1786">
        <f t="shared" si="19"/>
        <v>0</v>
      </c>
      <c r="L96" s="1876">
        <f t="shared" si="20"/>
        <v>0</v>
      </c>
      <c r="M96" s="1786">
        <f t="shared" si="21"/>
        <v>0</v>
      </c>
      <c r="N96" s="1876">
        <f t="shared" si="22"/>
        <v>0</v>
      </c>
      <c r="O96" s="1787">
        <f t="shared" si="23"/>
        <v>0</v>
      </c>
      <c r="P96" s="1876">
        <f t="shared" si="24"/>
        <v>0</v>
      </c>
      <c r="Q96" s="1785">
        <f t="shared" si="25"/>
        <v>0</v>
      </c>
      <c r="R96" s="1787">
        <f t="shared" si="26"/>
        <v>0</v>
      </c>
      <c r="S96" s="1786">
        <f t="shared" si="27"/>
        <v>0</v>
      </c>
      <c r="T96" s="1876">
        <f t="shared" si="28"/>
        <v>0</v>
      </c>
      <c r="V96" s="1876">
        <v>0</v>
      </c>
      <c r="W96" s="2001"/>
      <c r="X96" s="1876">
        <v>0</v>
      </c>
      <c r="Y96" s="1785"/>
      <c r="Z96" s="1876">
        <v>0</v>
      </c>
      <c r="AA96" s="1786"/>
      <c r="AB96" s="1876">
        <v>0</v>
      </c>
      <c r="AC96" s="1786"/>
      <c r="AD96" s="1876">
        <v>0</v>
      </c>
      <c r="AE96" s="1787"/>
      <c r="AF96" s="1876">
        <v>0</v>
      </c>
      <c r="AG96" s="1785"/>
      <c r="AH96" s="1787">
        <v>0</v>
      </c>
      <c r="AI96" s="1786"/>
      <c r="AJ96" s="1876">
        <v>0</v>
      </c>
    </row>
    <row r="97" spans="1:36">
      <c r="A97" s="1675">
        <v>28</v>
      </c>
      <c r="B97" s="2015"/>
      <c r="D97" s="2026" t="s">
        <v>2485</v>
      </c>
      <c r="E97" s="1676"/>
      <c r="F97" s="1875">
        <f t="shared" si="29"/>
        <v>0</v>
      </c>
      <c r="G97" s="1674">
        <f t="shared" si="15"/>
        <v>0</v>
      </c>
      <c r="H97" s="1788">
        <f t="shared" si="16"/>
        <v>0</v>
      </c>
      <c r="I97" s="1783">
        <f t="shared" si="17"/>
        <v>0</v>
      </c>
      <c r="J97" s="1788">
        <f t="shared" si="18"/>
        <v>0</v>
      </c>
      <c r="K97" s="1783">
        <f t="shared" si="19"/>
        <v>0</v>
      </c>
      <c r="L97" s="1788">
        <f t="shared" si="20"/>
        <v>0</v>
      </c>
      <c r="M97" s="1783">
        <f t="shared" si="21"/>
        <v>0</v>
      </c>
      <c r="N97" s="1788">
        <f t="shared" si="22"/>
        <v>0</v>
      </c>
      <c r="O97" s="1814">
        <f t="shared" si="23"/>
        <v>0</v>
      </c>
      <c r="P97" s="1788">
        <f t="shared" si="24"/>
        <v>0</v>
      </c>
      <c r="Q97" s="1783">
        <f t="shared" si="25"/>
        <v>0</v>
      </c>
      <c r="R97" s="1788">
        <f t="shared" si="26"/>
        <v>0</v>
      </c>
      <c r="S97" s="1783">
        <f t="shared" si="27"/>
        <v>0</v>
      </c>
      <c r="T97" s="1788">
        <f t="shared" si="28"/>
        <v>0</v>
      </c>
      <c r="V97" s="1875">
        <v>0</v>
      </c>
      <c r="X97" s="1788">
        <v>0</v>
      </c>
      <c r="Y97" s="1783"/>
      <c r="Z97" s="1788">
        <v>0</v>
      </c>
      <c r="AA97" s="1783"/>
      <c r="AB97" s="1788">
        <v>0</v>
      </c>
      <c r="AC97" s="1783"/>
      <c r="AD97" s="1788">
        <v>0</v>
      </c>
      <c r="AE97" s="1814"/>
      <c r="AF97" s="1788">
        <v>0</v>
      </c>
      <c r="AG97" s="1783"/>
      <c r="AH97" s="1788">
        <v>0</v>
      </c>
      <c r="AI97" s="1783"/>
      <c r="AJ97" s="1788">
        <v>0</v>
      </c>
    </row>
    <row r="98" spans="1:36">
      <c r="A98" s="1675">
        <v>29</v>
      </c>
      <c r="B98" s="2015"/>
      <c r="F98" s="1674">
        <f t="shared" si="29"/>
        <v>0</v>
      </c>
      <c r="G98" s="1674">
        <f t="shared" si="15"/>
        <v>0</v>
      </c>
      <c r="H98" s="1674">
        <f t="shared" si="16"/>
        <v>0</v>
      </c>
      <c r="I98" s="1674">
        <f t="shared" si="17"/>
        <v>0</v>
      </c>
      <c r="J98" s="1674">
        <f t="shared" si="18"/>
        <v>0</v>
      </c>
      <c r="K98" s="1674">
        <f t="shared" si="19"/>
        <v>0</v>
      </c>
      <c r="L98" s="1674">
        <f t="shared" si="20"/>
        <v>0</v>
      </c>
      <c r="M98" s="1674">
        <f t="shared" si="21"/>
        <v>0</v>
      </c>
      <c r="N98" s="1674">
        <f t="shared" si="22"/>
        <v>0</v>
      </c>
      <c r="O98" s="1674">
        <f t="shared" si="23"/>
        <v>0</v>
      </c>
      <c r="P98" s="1674">
        <f t="shared" si="24"/>
        <v>0</v>
      </c>
      <c r="Q98" s="2001">
        <f t="shared" si="25"/>
        <v>0</v>
      </c>
      <c r="R98" s="1674">
        <f t="shared" si="26"/>
        <v>0</v>
      </c>
      <c r="S98" s="1674">
        <f t="shared" si="27"/>
        <v>0</v>
      </c>
      <c r="T98" s="1674">
        <f t="shared" si="28"/>
        <v>0</v>
      </c>
      <c r="AG98" s="2001"/>
    </row>
    <row r="99" spans="1:36">
      <c r="A99" s="1675">
        <v>30</v>
      </c>
      <c r="B99" s="2015"/>
      <c r="C99" s="2010"/>
      <c r="D99" s="2026" t="s">
        <v>1881</v>
      </c>
      <c r="E99" s="1676"/>
      <c r="F99" s="1676">
        <f t="shared" si="29"/>
        <v>0</v>
      </c>
      <c r="G99" s="1676">
        <f t="shared" si="15"/>
        <v>0</v>
      </c>
      <c r="H99" s="1674">
        <f t="shared" si="16"/>
        <v>0</v>
      </c>
      <c r="I99" s="1674">
        <f t="shared" si="17"/>
        <v>0</v>
      </c>
      <c r="J99" s="1674">
        <f t="shared" si="18"/>
        <v>0</v>
      </c>
      <c r="K99" s="1674">
        <f t="shared" si="19"/>
        <v>0</v>
      </c>
      <c r="L99" s="1674">
        <f t="shared" si="20"/>
        <v>0</v>
      </c>
      <c r="M99" s="1674">
        <f t="shared" si="21"/>
        <v>0</v>
      </c>
      <c r="N99" s="1674">
        <f t="shared" si="22"/>
        <v>0</v>
      </c>
      <c r="O99" s="1674">
        <f t="shared" si="23"/>
        <v>0</v>
      </c>
      <c r="P99" s="1674">
        <f t="shared" si="24"/>
        <v>0</v>
      </c>
      <c r="Q99" s="2001">
        <f t="shared" si="25"/>
        <v>0</v>
      </c>
      <c r="R99" s="1674">
        <f t="shared" si="26"/>
        <v>0</v>
      </c>
      <c r="S99" s="1674">
        <f t="shared" si="27"/>
        <v>0</v>
      </c>
      <c r="T99" s="1674">
        <f t="shared" si="28"/>
        <v>0</v>
      </c>
      <c r="V99" s="1676"/>
      <c r="W99" s="1676"/>
      <c r="AG99" s="2001"/>
    </row>
    <row r="100" spans="1:36">
      <c r="A100" s="1675">
        <v>31</v>
      </c>
      <c r="B100" s="2015"/>
      <c r="C100" s="1675">
        <v>31153</v>
      </c>
      <c r="D100" s="1674" t="s">
        <v>2449</v>
      </c>
      <c r="F100" s="1876">
        <f t="shared" si="29"/>
        <v>0</v>
      </c>
      <c r="G100" s="2001">
        <f t="shared" si="15"/>
        <v>0</v>
      </c>
      <c r="H100" s="1876">
        <f t="shared" si="16"/>
        <v>0</v>
      </c>
      <c r="I100" s="1785">
        <f t="shared" si="17"/>
        <v>0</v>
      </c>
      <c r="J100" s="1876">
        <f t="shared" si="18"/>
        <v>0</v>
      </c>
      <c r="K100" s="1786">
        <f t="shared" si="19"/>
        <v>0</v>
      </c>
      <c r="L100" s="1876">
        <f t="shared" si="20"/>
        <v>0</v>
      </c>
      <c r="M100" s="1786">
        <f t="shared" si="21"/>
        <v>0</v>
      </c>
      <c r="N100" s="1876">
        <f t="shared" si="22"/>
        <v>0</v>
      </c>
      <c r="O100" s="1787">
        <f t="shared" si="23"/>
        <v>0</v>
      </c>
      <c r="P100" s="1876">
        <f t="shared" si="24"/>
        <v>0</v>
      </c>
      <c r="Q100" s="1785">
        <f t="shared" si="25"/>
        <v>0</v>
      </c>
      <c r="R100" s="1787">
        <f t="shared" si="26"/>
        <v>0</v>
      </c>
      <c r="S100" s="1786">
        <f t="shared" si="27"/>
        <v>0</v>
      </c>
      <c r="T100" s="1876">
        <f t="shared" si="28"/>
        <v>0</v>
      </c>
      <c r="V100" s="1876">
        <v>0</v>
      </c>
      <c r="W100" s="2001"/>
      <c r="X100" s="1876">
        <v>0</v>
      </c>
      <c r="Y100" s="1785"/>
      <c r="Z100" s="1876">
        <v>0</v>
      </c>
      <c r="AA100" s="1786"/>
      <c r="AB100" s="1876">
        <v>0</v>
      </c>
      <c r="AC100" s="1786"/>
      <c r="AD100" s="1876">
        <v>0</v>
      </c>
      <c r="AE100" s="1787"/>
      <c r="AF100" s="1876">
        <v>0</v>
      </c>
      <c r="AG100" s="1785"/>
      <c r="AH100" s="1787">
        <v>0</v>
      </c>
      <c r="AI100" s="1786"/>
      <c r="AJ100" s="1876">
        <v>0</v>
      </c>
    </row>
    <row r="101" spans="1:36">
      <c r="A101" s="1675">
        <v>32</v>
      </c>
      <c r="B101" s="2015"/>
      <c r="C101" s="1675">
        <v>31253</v>
      </c>
      <c r="D101" s="1674" t="s">
        <v>2451</v>
      </c>
      <c r="F101" s="1876">
        <f t="shared" si="29"/>
        <v>0</v>
      </c>
      <c r="G101" s="2001">
        <f t="shared" si="15"/>
        <v>0</v>
      </c>
      <c r="H101" s="1876">
        <f t="shared" si="16"/>
        <v>0</v>
      </c>
      <c r="I101" s="1785">
        <f t="shared" si="17"/>
        <v>0</v>
      </c>
      <c r="J101" s="1876">
        <f t="shared" si="18"/>
        <v>0</v>
      </c>
      <c r="K101" s="1786">
        <f t="shared" si="19"/>
        <v>0</v>
      </c>
      <c r="L101" s="1876">
        <f t="shared" si="20"/>
        <v>0</v>
      </c>
      <c r="M101" s="1786">
        <f t="shared" si="21"/>
        <v>0</v>
      </c>
      <c r="N101" s="1876">
        <f t="shared" si="22"/>
        <v>0</v>
      </c>
      <c r="O101" s="1787">
        <f t="shared" si="23"/>
        <v>0</v>
      </c>
      <c r="P101" s="1876">
        <f t="shared" si="24"/>
        <v>0</v>
      </c>
      <c r="Q101" s="1785">
        <f t="shared" si="25"/>
        <v>0</v>
      </c>
      <c r="R101" s="1787">
        <f t="shared" si="26"/>
        <v>0</v>
      </c>
      <c r="S101" s="1786">
        <f t="shared" si="27"/>
        <v>0</v>
      </c>
      <c r="T101" s="1876">
        <f t="shared" si="28"/>
        <v>0</v>
      </c>
      <c r="V101" s="1876">
        <v>0</v>
      </c>
      <c r="W101" s="2001"/>
      <c r="X101" s="1876">
        <v>0</v>
      </c>
      <c r="Y101" s="1785"/>
      <c r="Z101" s="1876">
        <v>0</v>
      </c>
      <c r="AA101" s="1786"/>
      <c r="AB101" s="1876">
        <v>0</v>
      </c>
      <c r="AC101" s="1786"/>
      <c r="AD101" s="1876">
        <v>0</v>
      </c>
      <c r="AE101" s="1787"/>
      <c r="AF101" s="1876">
        <v>0</v>
      </c>
      <c r="AG101" s="1785"/>
      <c r="AH101" s="1787">
        <v>0</v>
      </c>
      <c r="AI101" s="1786"/>
      <c r="AJ101" s="1876">
        <v>0</v>
      </c>
    </row>
    <row r="102" spans="1:36">
      <c r="A102" s="1675">
        <v>33</v>
      </c>
      <c r="B102" s="2015"/>
      <c r="C102" s="1675">
        <v>31553</v>
      </c>
      <c r="D102" s="1674" t="s">
        <v>2454</v>
      </c>
      <c r="F102" s="1876">
        <f t="shared" si="29"/>
        <v>0</v>
      </c>
      <c r="G102" s="2001">
        <f t="shared" si="15"/>
        <v>0</v>
      </c>
      <c r="H102" s="1876">
        <f t="shared" si="16"/>
        <v>0</v>
      </c>
      <c r="I102" s="1785">
        <f t="shared" si="17"/>
        <v>0</v>
      </c>
      <c r="J102" s="1876">
        <f t="shared" si="18"/>
        <v>0</v>
      </c>
      <c r="K102" s="1786">
        <f t="shared" si="19"/>
        <v>0</v>
      </c>
      <c r="L102" s="1876">
        <f t="shared" si="20"/>
        <v>0</v>
      </c>
      <c r="M102" s="1786">
        <f t="shared" si="21"/>
        <v>0</v>
      </c>
      <c r="N102" s="1876">
        <f t="shared" si="22"/>
        <v>0</v>
      </c>
      <c r="O102" s="1787">
        <f t="shared" si="23"/>
        <v>0</v>
      </c>
      <c r="P102" s="1876">
        <f t="shared" si="24"/>
        <v>0</v>
      </c>
      <c r="Q102" s="1785">
        <f t="shared" si="25"/>
        <v>0</v>
      </c>
      <c r="R102" s="1787">
        <f t="shared" si="26"/>
        <v>0</v>
      </c>
      <c r="S102" s="1786">
        <f t="shared" si="27"/>
        <v>0</v>
      </c>
      <c r="T102" s="1876">
        <f t="shared" si="28"/>
        <v>0</v>
      </c>
      <c r="V102" s="1876">
        <v>0</v>
      </c>
      <c r="W102" s="2001"/>
      <c r="X102" s="1876">
        <v>0</v>
      </c>
      <c r="Y102" s="1785"/>
      <c r="Z102" s="1876">
        <v>0</v>
      </c>
      <c r="AA102" s="1786"/>
      <c r="AB102" s="1876">
        <v>0</v>
      </c>
      <c r="AC102" s="1786"/>
      <c r="AD102" s="1876">
        <v>0</v>
      </c>
      <c r="AE102" s="1787"/>
      <c r="AF102" s="1876">
        <v>0</v>
      </c>
      <c r="AG102" s="1785"/>
      <c r="AH102" s="1787">
        <v>0</v>
      </c>
      <c r="AI102" s="1786"/>
      <c r="AJ102" s="1876">
        <v>0</v>
      </c>
    </row>
    <row r="103" spans="1:36">
      <c r="A103" s="1675">
        <v>34</v>
      </c>
      <c r="B103" s="2015"/>
      <c r="C103" s="1675">
        <v>31653</v>
      </c>
      <c r="D103" s="1674" t="s">
        <v>2455</v>
      </c>
      <c r="F103" s="1876">
        <f t="shared" si="29"/>
        <v>0</v>
      </c>
      <c r="G103" s="2001">
        <f t="shared" si="15"/>
        <v>0</v>
      </c>
      <c r="H103" s="1876">
        <f t="shared" si="16"/>
        <v>0</v>
      </c>
      <c r="I103" s="1785">
        <f t="shared" si="17"/>
        <v>0</v>
      </c>
      <c r="J103" s="1876">
        <f t="shared" si="18"/>
        <v>0</v>
      </c>
      <c r="K103" s="1786">
        <f t="shared" si="19"/>
        <v>0</v>
      </c>
      <c r="L103" s="1876">
        <f t="shared" si="20"/>
        <v>0</v>
      </c>
      <c r="M103" s="1786">
        <f t="shared" si="21"/>
        <v>0</v>
      </c>
      <c r="N103" s="1876">
        <f t="shared" si="22"/>
        <v>0</v>
      </c>
      <c r="O103" s="1787">
        <f t="shared" si="23"/>
        <v>0</v>
      </c>
      <c r="P103" s="1876">
        <f t="shared" si="24"/>
        <v>0</v>
      </c>
      <c r="Q103" s="1785">
        <f t="shared" si="25"/>
        <v>0</v>
      </c>
      <c r="R103" s="1787">
        <f t="shared" si="26"/>
        <v>0</v>
      </c>
      <c r="S103" s="1786">
        <f t="shared" si="27"/>
        <v>0</v>
      </c>
      <c r="T103" s="1876">
        <f t="shared" si="28"/>
        <v>0</v>
      </c>
      <c r="V103" s="1876">
        <v>0</v>
      </c>
      <c r="W103" s="2001"/>
      <c r="X103" s="1876">
        <v>0</v>
      </c>
      <c r="Y103" s="1785"/>
      <c r="Z103" s="1876">
        <v>0</v>
      </c>
      <c r="AA103" s="1786"/>
      <c r="AB103" s="1876">
        <v>0</v>
      </c>
      <c r="AC103" s="1786"/>
      <c r="AD103" s="1876">
        <v>0</v>
      </c>
      <c r="AE103" s="1787"/>
      <c r="AF103" s="1876">
        <v>0</v>
      </c>
      <c r="AG103" s="1785"/>
      <c r="AH103" s="1787">
        <v>0</v>
      </c>
      <c r="AI103" s="1786"/>
      <c r="AJ103" s="1876">
        <v>0</v>
      </c>
    </row>
    <row r="104" spans="1:36">
      <c r="A104" s="1675">
        <v>35</v>
      </c>
      <c r="B104" s="2015"/>
      <c r="C104" s="1675"/>
      <c r="D104" s="2026" t="s">
        <v>2486</v>
      </c>
      <c r="E104" s="1676"/>
      <c r="F104" s="1788">
        <f t="shared" si="29"/>
        <v>0</v>
      </c>
      <c r="G104" s="1674">
        <f t="shared" si="15"/>
        <v>0</v>
      </c>
      <c r="H104" s="1788">
        <f t="shared" si="16"/>
        <v>0</v>
      </c>
      <c r="I104" s="1783">
        <f t="shared" si="17"/>
        <v>0</v>
      </c>
      <c r="J104" s="1788">
        <f t="shared" si="18"/>
        <v>0</v>
      </c>
      <c r="K104" s="1783">
        <f t="shared" si="19"/>
        <v>0</v>
      </c>
      <c r="L104" s="1788">
        <f t="shared" si="20"/>
        <v>0</v>
      </c>
      <c r="M104" s="1783">
        <f t="shared" si="21"/>
        <v>0</v>
      </c>
      <c r="N104" s="1788">
        <f t="shared" si="22"/>
        <v>0</v>
      </c>
      <c r="O104" s="1814">
        <f t="shared" si="23"/>
        <v>0</v>
      </c>
      <c r="P104" s="1788">
        <f t="shared" si="24"/>
        <v>0</v>
      </c>
      <c r="Q104" s="1783">
        <f t="shared" si="25"/>
        <v>0</v>
      </c>
      <c r="R104" s="1788">
        <f t="shared" si="26"/>
        <v>0</v>
      </c>
      <c r="S104" s="1783">
        <f t="shared" si="27"/>
        <v>0</v>
      </c>
      <c r="T104" s="1788">
        <f t="shared" si="28"/>
        <v>0</v>
      </c>
      <c r="V104" s="1788">
        <v>0</v>
      </c>
      <c r="X104" s="1788">
        <v>0</v>
      </c>
      <c r="Y104" s="1783"/>
      <c r="Z104" s="1788">
        <v>0</v>
      </c>
      <c r="AA104" s="1783"/>
      <c r="AB104" s="1788">
        <v>0</v>
      </c>
      <c r="AC104" s="1783"/>
      <c r="AD104" s="1788">
        <v>0</v>
      </c>
      <c r="AE104" s="1814"/>
      <c r="AF104" s="1788">
        <v>0</v>
      </c>
      <c r="AG104" s="1783"/>
      <c r="AH104" s="1788">
        <v>0</v>
      </c>
      <c r="AI104" s="1783"/>
      <c r="AJ104" s="1788">
        <v>0</v>
      </c>
    </row>
    <row r="105" spans="1:36">
      <c r="A105" s="1675">
        <v>36</v>
      </c>
      <c r="B105" s="2015"/>
      <c r="F105" s="1674">
        <f t="shared" si="29"/>
        <v>0</v>
      </c>
      <c r="G105" s="1674">
        <f t="shared" si="15"/>
        <v>0</v>
      </c>
      <c r="H105" s="1674">
        <f t="shared" si="16"/>
        <v>0</v>
      </c>
      <c r="I105" s="1674">
        <f t="shared" si="17"/>
        <v>0</v>
      </c>
      <c r="J105" s="1674">
        <f t="shared" si="18"/>
        <v>0</v>
      </c>
      <c r="K105" s="1674">
        <f t="shared" si="19"/>
        <v>0</v>
      </c>
      <c r="L105" s="1674">
        <f t="shared" si="20"/>
        <v>0</v>
      </c>
      <c r="M105" s="1674">
        <f t="shared" si="21"/>
        <v>0</v>
      </c>
      <c r="N105" s="1674">
        <f t="shared" si="22"/>
        <v>0</v>
      </c>
      <c r="O105" s="1674">
        <f t="shared" si="23"/>
        <v>0</v>
      </c>
      <c r="P105" s="1674">
        <f t="shared" si="24"/>
        <v>0</v>
      </c>
      <c r="Q105" s="2001">
        <f t="shared" si="25"/>
        <v>0</v>
      </c>
      <c r="R105" s="1674">
        <f t="shared" si="26"/>
        <v>0</v>
      </c>
      <c r="S105" s="1674">
        <f t="shared" si="27"/>
        <v>0</v>
      </c>
      <c r="T105" s="1674">
        <f t="shared" si="28"/>
        <v>0</v>
      </c>
      <c r="AG105" s="2001"/>
    </row>
    <row r="106" spans="1:36">
      <c r="A106" s="1675">
        <v>37</v>
      </c>
      <c r="B106" s="2015"/>
      <c r="C106" s="2010"/>
      <c r="D106" s="2026" t="s">
        <v>1882</v>
      </c>
      <c r="E106" s="1676"/>
      <c r="F106" s="2023">
        <f t="shared" si="29"/>
        <v>0</v>
      </c>
      <c r="G106" s="1676">
        <f t="shared" si="15"/>
        <v>0</v>
      </c>
      <c r="H106" s="1790">
        <f t="shared" si="16"/>
        <v>0</v>
      </c>
      <c r="I106" s="1790">
        <f t="shared" si="17"/>
        <v>0</v>
      </c>
      <c r="J106" s="1790">
        <f t="shared" si="18"/>
        <v>0</v>
      </c>
      <c r="K106" s="1790">
        <f t="shared" si="19"/>
        <v>0</v>
      </c>
      <c r="L106" s="1790">
        <f t="shared" si="20"/>
        <v>0</v>
      </c>
      <c r="M106" s="1790">
        <f t="shared" si="21"/>
        <v>0</v>
      </c>
      <c r="N106" s="1790">
        <f t="shared" si="22"/>
        <v>0</v>
      </c>
      <c r="O106" s="1790">
        <f t="shared" si="23"/>
        <v>0</v>
      </c>
      <c r="P106" s="1790">
        <f t="shared" si="24"/>
        <v>0</v>
      </c>
      <c r="Q106" s="1790">
        <f t="shared" si="25"/>
        <v>0</v>
      </c>
      <c r="R106" s="1790">
        <f t="shared" si="26"/>
        <v>0</v>
      </c>
      <c r="S106" s="1790">
        <f t="shared" si="27"/>
        <v>0</v>
      </c>
      <c r="T106" s="1790">
        <f t="shared" si="28"/>
        <v>0</v>
      </c>
      <c r="V106" s="2023"/>
      <c r="W106" s="1676"/>
      <c r="X106" s="1790"/>
      <c r="Y106" s="1790"/>
      <c r="Z106" s="1790"/>
      <c r="AA106" s="1790"/>
      <c r="AB106" s="1790"/>
      <c r="AC106" s="1790"/>
      <c r="AD106" s="1790"/>
      <c r="AE106" s="1790"/>
      <c r="AF106" s="1790"/>
      <c r="AG106" s="1790"/>
      <c r="AH106" s="1790"/>
      <c r="AI106" s="1790"/>
      <c r="AJ106" s="1790"/>
    </row>
    <row r="107" spans="1:36">
      <c r="A107" s="1675">
        <v>38</v>
      </c>
      <c r="B107" s="2015"/>
      <c r="C107" s="1675">
        <v>31154</v>
      </c>
      <c r="D107" s="1674" t="s">
        <v>2449</v>
      </c>
      <c r="F107" s="1876">
        <f t="shared" si="29"/>
        <v>7340.80375</v>
      </c>
      <c r="G107" s="2001">
        <f t="shared" si="15"/>
        <v>0</v>
      </c>
      <c r="H107" s="1876">
        <f t="shared" si="16"/>
        <v>593.1404399999999</v>
      </c>
      <c r="I107" s="1785">
        <f t="shared" si="17"/>
        <v>0</v>
      </c>
      <c r="J107" s="1876">
        <f t="shared" si="18"/>
        <v>0</v>
      </c>
      <c r="K107" s="1786">
        <f t="shared" si="19"/>
        <v>0</v>
      </c>
      <c r="L107" s="1876">
        <f t="shared" si="20"/>
        <v>0</v>
      </c>
      <c r="M107" s="1786">
        <f t="shared" si="21"/>
        <v>0</v>
      </c>
      <c r="N107" s="1876">
        <f t="shared" si="22"/>
        <v>0</v>
      </c>
      <c r="O107" s="1787">
        <f t="shared" si="23"/>
        <v>0</v>
      </c>
      <c r="P107" s="1876">
        <f t="shared" si="24"/>
        <v>0</v>
      </c>
      <c r="Q107" s="1785">
        <f t="shared" si="25"/>
        <v>0</v>
      </c>
      <c r="R107" s="1787">
        <f t="shared" si="26"/>
        <v>7933.9441899999993</v>
      </c>
      <c r="S107" s="1786">
        <f t="shared" si="27"/>
        <v>0</v>
      </c>
      <c r="T107" s="1876">
        <f t="shared" si="28"/>
        <v>7637.3739699999996</v>
      </c>
      <c r="V107" s="1876">
        <v>7340803.75</v>
      </c>
      <c r="W107" s="2001"/>
      <c r="X107" s="1876">
        <v>593140.43999999994</v>
      </c>
      <c r="Y107" s="1785"/>
      <c r="Z107" s="1876">
        <v>0</v>
      </c>
      <c r="AA107" s="1786"/>
      <c r="AB107" s="1876">
        <v>0</v>
      </c>
      <c r="AC107" s="1786"/>
      <c r="AD107" s="1876">
        <v>0</v>
      </c>
      <c r="AE107" s="1787"/>
      <c r="AF107" s="1876">
        <v>0</v>
      </c>
      <c r="AG107" s="1785"/>
      <c r="AH107" s="1787">
        <v>7933944.1899999995</v>
      </c>
      <c r="AI107" s="1786"/>
      <c r="AJ107" s="1876">
        <v>7637373.9699999997</v>
      </c>
    </row>
    <row r="108" spans="1:36">
      <c r="A108" s="1675">
        <v>39</v>
      </c>
      <c r="B108" s="2015"/>
      <c r="C108" s="1675">
        <v>31254</v>
      </c>
      <c r="D108" s="1674" t="s">
        <v>2451</v>
      </c>
      <c r="F108" s="1876">
        <f t="shared" si="29"/>
        <v>16146.175740000012</v>
      </c>
      <c r="G108" s="2001">
        <f t="shared" si="15"/>
        <v>0</v>
      </c>
      <c r="H108" s="1876">
        <f t="shared" si="16"/>
        <v>2166.39696</v>
      </c>
      <c r="I108" s="1785">
        <f t="shared" si="17"/>
        <v>0</v>
      </c>
      <c r="J108" s="1876">
        <f t="shared" si="18"/>
        <v>0</v>
      </c>
      <c r="K108" s="1786">
        <f t="shared" si="19"/>
        <v>0</v>
      </c>
      <c r="L108" s="1876">
        <f t="shared" si="20"/>
        <v>0</v>
      </c>
      <c r="M108" s="1786">
        <f t="shared" si="21"/>
        <v>0</v>
      </c>
      <c r="N108" s="1876">
        <f t="shared" si="22"/>
        <v>0</v>
      </c>
      <c r="O108" s="1787">
        <f t="shared" si="23"/>
        <v>0</v>
      </c>
      <c r="P108" s="1876">
        <f t="shared" si="24"/>
        <v>0</v>
      </c>
      <c r="Q108" s="1785">
        <f t="shared" si="25"/>
        <v>0</v>
      </c>
      <c r="R108" s="1787">
        <f t="shared" si="26"/>
        <v>18312.572700000012</v>
      </c>
      <c r="S108" s="1786">
        <f t="shared" si="27"/>
        <v>0</v>
      </c>
      <c r="T108" s="1876">
        <f t="shared" si="28"/>
        <v>17229.374219999998</v>
      </c>
      <c r="V108" s="1876">
        <v>16146175.740000011</v>
      </c>
      <c r="W108" s="2001"/>
      <c r="X108" s="1876">
        <v>2166396.96</v>
      </c>
      <c r="Y108" s="1785"/>
      <c r="Z108" s="1876">
        <v>0</v>
      </c>
      <c r="AA108" s="1786"/>
      <c r="AB108" s="1876">
        <v>0</v>
      </c>
      <c r="AC108" s="1786"/>
      <c r="AD108" s="1876">
        <v>0</v>
      </c>
      <c r="AE108" s="1787"/>
      <c r="AF108" s="1876">
        <v>0</v>
      </c>
      <c r="AG108" s="1785"/>
      <c r="AH108" s="1787">
        <v>18312572.70000001</v>
      </c>
      <c r="AI108" s="1786"/>
      <c r="AJ108" s="1876">
        <v>17229374.219999999</v>
      </c>
    </row>
    <row r="109" spans="1:36">
      <c r="A109" s="1675">
        <v>40</v>
      </c>
      <c r="B109" s="2015"/>
      <c r="C109" s="1675">
        <v>31554</v>
      </c>
      <c r="D109" s="1674" t="s">
        <v>2454</v>
      </c>
      <c r="F109" s="1876">
        <f t="shared" si="29"/>
        <v>10029.918600000015</v>
      </c>
      <c r="G109" s="2001">
        <f t="shared" si="15"/>
        <v>0</v>
      </c>
      <c r="H109" s="1876">
        <f t="shared" si="16"/>
        <v>433.87584000000004</v>
      </c>
      <c r="I109" s="1785">
        <f t="shared" si="17"/>
        <v>0</v>
      </c>
      <c r="J109" s="1876">
        <f t="shared" si="18"/>
        <v>0</v>
      </c>
      <c r="K109" s="1786">
        <f t="shared" si="19"/>
        <v>0</v>
      </c>
      <c r="L109" s="1876">
        <f t="shared" si="20"/>
        <v>0</v>
      </c>
      <c r="M109" s="1786">
        <f t="shared" si="21"/>
        <v>0</v>
      </c>
      <c r="N109" s="1876">
        <f t="shared" si="22"/>
        <v>0</v>
      </c>
      <c r="O109" s="1787">
        <f t="shared" si="23"/>
        <v>0</v>
      </c>
      <c r="P109" s="1876">
        <f t="shared" si="24"/>
        <v>0</v>
      </c>
      <c r="Q109" s="1785">
        <f t="shared" si="25"/>
        <v>0</v>
      </c>
      <c r="R109" s="1787">
        <f t="shared" si="26"/>
        <v>10463.794440000014</v>
      </c>
      <c r="S109" s="1786">
        <f t="shared" si="27"/>
        <v>0</v>
      </c>
      <c r="T109" s="1876">
        <f t="shared" si="28"/>
        <v>10246.856519999999</v>
      </c>
      <c r="V109" s="1876">
        <v>10029918.600000015</v>
      </c>
      <c r="W109" s="2001"/>
      <c r="X109" s="1876">
        <v>433875.84</v>
      </c>
      <c r="Y109" s="1785"/>
      <c r="Z109" s="1876">
        <v>0</v>
      </c>
      <c r="AA109" s="1786"/>
      <c r="AB109" s="1876">
        <v>0</v>
      </c>
      <c r="AC109" s="1786"/>
      <c r="AD109" s="1876">
        <v>0</v>
      </c>
      <c r="AE109" s="1787"/>
      <c r="AF109" s="1876">
        <v>0</v>
      </c>
      <c r="AG109" s="1785"/>
      <c r="AH109" s="1787">
        <v>10463794.440000014</v>
      </c>
      <c r="AI109" s="1786"/>
      <c r="AJ109" s="1876">
        <v>10246856.52</v>
      </c>
    </row>
    <row r="110" spans="1:36">
      <c r="A110" s="1675">
        <v>41</v>
      </c>
      <c r="B110" s="2015"/>
      <c r="C110" s="1675">
        <v>31654</v>
      </c>
      <c r="D110" s="1674" t="s">
        <v>2455</v>
      </c>
      <c r="F110" s="1876">
        <f t="shared" si="29"/>
        <v>377.52843999999982</v>
      </c>
      <c r="G110" s="2001">
        <f t="shared" si="15"/>
        <v>0</v>
      </c>
      <c r="H110" s="1876">
        <f t="shared" si="16"/>
        <v>13.20828</v>
      </c>
      <c r="I110" s="1785">
        <f t="shared" si="17"/>
        <v>0</v>
      </c>
      <c r="J110" s="1876">
        <f t="shared" si="18"/>
        <v>0</v>
      </c>
      <c r="K110" s="1786">
        <f t="shared" si="19"/>
        <v>0</v>
      </c>
      <c r="L110" s="1876">
        <f t="shared" si="20"/>
        <v>0</v>
      </c>
      <c r="M110" s="1786">
        <f t="shared" si="21"/>
        <v>0</v>
      </c>
      <c r="N110" s="1876">
        <f t="shared" si="22"/>
        <v>0</v>
      </c>
      <c r="O110" s="1787">
        <f t="shared" si="23"/>
        <v>0</v>
      </c>
      <c r="P110" s="1876">
        <f t="shared" si="24"/>
        <v>0</v>
      </c>
      <c r="Q110" s="1785">
        <f t="shared" si="25"/>
        <v>0</v>
      </c>
      <c r="R110" s="1787">
        <f t="shared" si="26"/>
        <v>390.73671999999988</v>
      </c>
      <c r="S110" s="1786">
        <f t="shared" si="27"/>
        <v>0</v>
      </c>
      <c r="T110" s="1876">
        <f t="shared" si="28"/>
        <v>384.13258000000002</v>
      </c>
      <c r="V110" s="1876">
        <v>377528.43999999983</v>
      </c>
      <c r="W110" s="2001"/>
      <c r="X110" s="1876">
        <v>13208.28</v>
      </c>
      <c r="Y110" s="1785"/>
      <c r="Z110" s="1876">
        <v>0</v>
      </c>
      <c r="AA110" s="1786"/>
      <c r="AB110" s="1876">
        <v>0</v>
      </c>
      <c r="AC110" s="1786"/>
      <c r="AD110" s="1876">
        <v>0</v>
      </c>
      <c r="AE110" s="1787"/>
      <c r="AF110" s="1876">
        <v>0</v>
      </c>
      <c r="AG110" s="1785"/>
      <c r="AH110" s="1787">
        <v>390736.71999999986</v>
      </c>
      <c r="AI110" s="1786"/>
      <c r="AJ110" s="1876">
        <v>384132.58</v>
      </c>
    </row>
    <row r="111" spans="1:36">
      <c r="A111" s="1675">
        <v>42</v>
      </c>
      <c r="B111" s="2015"/>
      <c r="C111" s="1675"/>
      <c r="D111" s="2026" t="s">
        <v>2488</v>
      </c>
      <c r="E111" s="1676"/>
      <c r="F111" s="1788">
        <f t="shared" si="29"/>
        <v>33894.426530000026</v>
      </c>
      <c r="G111" s="1674">
        <f t="shared" si="15"/>
        <v>0</v>
      </c>
      <c r="H111" s="1788">
        <f t="shared" si="16"/>
        <v>3206.6215199999997</v>
      </c>
      <c r="I111" s="1783">
        <f t="shared" si="17"/>
        <v>0</v>
      </c>
      <c r="J111" s="1788">
        <f t="shared" si="18"/>
        <v>0</v>
      </c>
      <c r="K111" s="1783">
        <f t="shared" si="19"/>
        <v>0</v>
      </c>
      <c r="L111" s="1788">
        <f t="shared" si="20"/>
        <v>0</v>
      </c>
      <c r="M111" s="1783">
        <f t="shared" si="21"/>
        <v>0</v>
      </c>
      <c r="N111" s="1788">
        <f t="shared" si="22"/>
        <v>0</v>
      </c>
      <c r="O111" s="1814">
        <f t="shared" si="23"/>
        <v>0</v>
      </c>
      <c r="P111" s="1788">
        <f t="shared" si="24"/>
        <v>0</v>
      </c>
      <c r="Q111" s="1783">
        <f t="shared" si="25"/>
        <v>0</v>
      </c>
      <c r="R111" s="1788">
        <f t="shared" si="26"/>
        <v>37101.048050000019</v>
      </c>
      <c r="S111" s="1783">
        <f t="shared" si="27"/>
        <v>0</v>
      </c>
      <c r="T111" s="1788">
        <f t="shared" si="28"/>
        <v>35497.73728999999</v>
      </c>
      <c r="V111" s="1788">
        <v>33894426.530000024</v>
      </c>
      <c r="X111" s="1788">
        <v>3206621.5199999996</v>
      </c>
      <c r="Y111" s="1783"/>
      <c r="Z111" s="1788">
        <v>0</v>
      </c>
      <c r="AA111" s="1783"/>
      <c r="AB111" s="1788">
        <v>0</v>
      </c>
      <c r="AC111" s="1783"/>
      <c r="AD111" s="1788">
        <v>0</v>
      </c>
      <c r="AE111" s="1814"/>
      <c r="AF111" s="1788">
        <v>0</v>
      </c>
      <c r="AG111" s="1783"/>
      <c r="AH111" s="1788">
        <v>37101048.050000019</v>
      </c>
      <c r="AI111" s="1783"/>
      <c r="AJ111" s="1788">
        <v>35497737.289999992</v>
      </c>
    </row>
    <row r="112" spans="1:36">
      <c r="A112" s="1675">
        <v>43</v>
      </c>
      <c r="B112" s="2015"/>
      <c r="F112" s="1674">
        <f t="shared" si="29"/>
        <v>0</v>
      </c>
      <c r="G112" s="1674">
        <f t="shared" si="15"/>
        <v>0</v>
      </c>
      <c r="H112" s="1674">
        <f t="shared" si="16"/>
        <v>0</v>
      </c>
      <c r="I112" s="1674">
        <f t="shared" si="17"/>
        <v>0</v>
      </c>
      <c r="J112" s="1674">
        <f t="shared" si="18"/>
        <v>0</v>
      </c>
      <c r="K112" s="1674">
        <f t="shared" si="19"/>
        <v>0</v>
      </c>
      <c r="L112" s="1674">
        <f t="shared" si="20"/>
        <v>0</v>
      </c>
      <c r="M112" s="1674">
        <f t="shared" si="21"/>
        <v>0</v>
      </c>
      <c r="N112" s="1674">
        <f t="shared" si="22"/>
        <v>0</v>
      </c>
      <c r="O112" s="1674">
        <f t="shared" si="23"/>
        <v>0</v>
      </c>
      <c r="P112" s="1674">
        <f t="shared" si="24"/>
        <v>0</v>
      </c>
      <c r="Q112" s="2001">
        <f t="shared" si="25"/>
        <v>0</v>
      </c>
      <c r="R112" s="1674">
        <f t="shared" si="26"/>
        <v>0</v>
      </c>
      <c r="S112" s="1674">
        <f t="shared" si="27"/>
        <v>0</v>
      </c>
      <c r="T112" s="1674">
        <f t="shared" si="28"/>
        <v>0</v>
      </c>
      <c r="AG112" s="2001"/>
    </row>
    <row r="113" spans="1:36" ht="15" thickBot="1">
      <c r="A113" s="2008">
        <v>44</v>
      </c>
      <c r="B113" s="1869" t="s">
        <v>2476</v>
      </c>
      <c r="C113" s="1997"/>
      <c r="D113" s="1997"/>
      <c r="E113" s="1997"/>
      <c r="F113" s="1997">
        <f t="shared" si="29"/>
        <v>0</v>
      </c>
      <c r="G113" s="1997">
        <f t="shared" si="15"/>
        <v>0</v>
      </c>
      <c r="H113" s="1997">
        <f t="shared" si="16"/>
        <v>0</v>
      </c>
      <c r="I113" s="1997">
        <f t="shared" si="17"/>
        <v>0</v>
      </c>
      <c r="J113" s="1997">
        <f t="shared" si="18"/>
        <v>0</v>
      </c>
      <c r="K113" s="1997">
        <f t="shared" si="19"/>
        <v>0</v>
      </c>
      <c r="L113" s="1997">
        <f t="shared" si="20"/>
        <v>0</v>
      </c>
      <c r="M113" s="1997">
        <f t="shared" si="21"/>
        <v>0</v>
      </c>
      <c r="N113" s="1997">
        <f t="shared" si="22"/>
        <v>0</v>
      </c>
      <c r="O113" s="1997">
        <f t="shared" si="23"/>
        <v>0</v>
      </c>
      <c r="P113" s="1997">
        <f t="shared" si="24"/>
        <v>0</v>
      </c>
      <c r="Q113" s="1998">
        <f t="shared" si="25"/>
        <v>0</v>
      </c>
      <c r="R113" s="1997">
        <f t="shared" si="26"/>
        <v>0</v>
      </c>
      <c r="S113" s="1997">
        <f t="shared" si="27"/>
        <v>0</v>
      </c>
      <c r="T113" s="1997">
        <f t="shared" si="28"/>
        <v>0</v>
      </c>
      <c r="V113" s="1997"/>
      <c r="W113" s="1997"/>
      <c r="X113" s="1997"/>
      <c r="Y113" s="1997"/>
      <c r="Z113" s="1997"/>
      <c r="AA113" s="1997"/>
      <c r="AB113" s="1997"/>
      <c r="AC113" s="1997"/>
      <c r="AD113" s="1997"/>
      <c r="AE113" s="1997"/>
      <c r="AF113" s="1997"/>
      <c r="AG113" s="1998"/>
      <c r="AH113" s="1997"/>
      <c r="AI113" s="1997"/>
      <c r="AJ113" s="1997"/>
    </row>
    <row r="114" spans="1:36">
      <c r="A114" s="1674" t="s">
        <v>8186</v>
      </c>
      <c r="F114" s="1674">
        <f t="shared" si="29"/>
        <v>0</v>
      </c>
      <c r="G114" s="1674">
        <f t="shared" si="15"/>
        <v>0</v>
      </c>
      <c r="H114" s="1674">
        <f t="shared" si="16"/>
        <v>0</v>
      </c>
      <c r="I114" s="1674">
        <f t="shared" si="17"/>
        <v>0</v>
      </c>
      <c r="J114" s="1674">
        <f t="shared" si="18"/>
        <v>0</v>
      </c>
      <c r="K114" s="1674">
        <f t="shared" si="19"/>
        <v>0</v>
      </c>
      <c r="L114" s="1674">
        <f t="shared" si="20"/>
        <v>0</v>
      </c>
      <c r="M114" s="1674">
        <f t="shared" si="21"/>
        <v>0</v>
      </c>
      <c r="N114" s="1674">
        <f t="shared" si="22"/>
        <v>0</v>
      </c>
      <c r="O114" s="1674">
        <f t="shared" si="23"/>
        <v>0</v>
      </c>
      <c r="P114" s="1674">
        <f t="shared" si="24"/>
        <v>0</v>
      </c>
      <c r="Q114" s="2001">
        <f t="shared" si="25"/>
        <v>0</v>
      </c>
      <c r="R114" s="1674" t="str">
        <f t="shared" si="26"/>
        <v>Recap Schedules:  B-03, B-06</v>
      </c>
      <c r="S114" s="1674">
        <f t="shared" si="27"/>
        <v>0</v>
      </c>
      <c r="T114" s="1674">
        <f t="shared" si="28"/>
        <v>0</v>
      </c>
      <c r="AG114" s="2001"/>
      <c r="AH114" s="1674" t="s">
        <v>8948</v>
      </c>
    </row>
    <row r="115" spans="1:36" ht="15" thickBot="1">
      <c r="A115" s="1997" t="s">
        <v>8952</v>
      </c>
      <c r="B115" s="1997"/>
      <c r="C115" s="1997"/>
      <c r="D115" s="1997"/>
      <c r="E115" s="1997"/>
      <c r="F115" s="1997" t="str">
        <f t="shared" si="29"/>
        <v>DEPRECIATION RESERVE BALANCES BY ACCOUNT AND SUB-ACCOUNT</v>
      </c>
      <c r="G115" s="1997">
        <f t="shared" si="15"/>
        <v>0</v>
      </c>
      <c r="H115" s="1997">
        <f t="shared" si="16"/>
        <v>0</v>
      </c>
      <c r="I115" s="1997">
        <f t="shared" si="17"/>
        <v>0</v>
      </c>
      <c r="J115" s="1997">
        <f t="shared" si="18"/>
        <v>0</v>
      </c>
      <c r="K115" s="1997">
        <f t="shared" si="19"/>
        <v>0</v>
      </c>
      <c r="L115" s="1997">
        <f t="shared" si="20"/>
        <v>0</v>
      </c>
      <c r="M115" s="1997">
        <f t="shared" si="21"/>
        <v>0</v>
      </c>
      <c r="N115" s="1997">
        <f t="shared" si="22"/>
        <v>0</v>
      </c>
      <c r="O115" s="1997">
        <f t="shared" si="23"/>
        <v>0</v>
      </c>
      <c r="P115" s="1997">
        <f t="shared" si="24"/>
        <v>0</v>
      </c>
      <c r="Q115" s="1998">
        <f t="shared" si="25"/>
        <v>0</v>
      </c>
      <c r="R115" s="1997">
        <f t="shared" si="26"/>
        <v>0</v>
      </c>
      <c r="S115" s="1997">
        <f t="shared" si="27"/>
        <v>0</v>
      </c>
      <c r="T115" s="1997" t="str">
        <f t="shared" si="28"/>
        <v>Page 3 of 10</v>
      </c>
      <c r="V115" s="1997" t="s">
        <v>2594</v>
      </c>
      <c r="W115" s="1997"/>
      <c r="X115" s="1997"/>
      <c r="Y115" s="1997"/>
      <c r="Z115" s="1997"/>
      <c r="AA115" s="1997"/>
      <c r="AB115" s="1997"/>
      <c r="AC115" s="1997"/>
      <c r="AD115" s="1997"/>
      <c r="AE115" s="1997"/>
      <c r="AF115" s="1997"/>
      <c r="AG115" s="1998"/>
      <c r="AH115" s="1997"/>
      <c r="AI115" s="1997"/>
      <c r="AJ115" s="1997" t="s">
        <v>2487</v>
      </c>
    </row>
    <row r="116" spans="1:36">
      <c r="A116" s="1674" t="s">
        <v>2425</v>
      </c>
      <c r="B116" s="2024"/>
      <c r="E116" s="2001" t="s">
        <v>2426</v>
      </c>
      <c r="F116" s="1674" t="str">
        <f t="shared" si="29"/>
        <v>Provide the depreciation reserve balances for each account or sub-account to which</v>
      </c>
      <c r="G116" s="1674">
        <f t="shared" si="15"/>
        <v>0</v>
      </c>
      <c r="H116" s="1674">
        <f t="shared" si="16"/>
        <v>0</v>
      </c>
      <c r="I116" s="1674">
        <f t="shared" si="17"/>
        <v>0</v>
      </c>
      <c r="J116" s="2003">
        <f t="shared" si="18"/>
        <v>0</v>
      </c>
      <c r="K116" s="2003">
        <f t="shared" si="19"/>
        <v>0</v>
      </c>
      <c r="L116" s="1674">
        <f t="shared" si="20"/>
        <v>0</v>
      </c>
      <c r="M116" s="2003">
        <f t="shared" si="21"/>
        <v>0</v>
      </c>
      <c r="N116" s="2003">
        <f t="shared" si="22"/>
        <v>0</v>
      </c>
      <c r="O116" s="2003">
        <f t="shared" si="23"/>
        <v>0</v>
      </c>
      <c r="P116" s="2003">
        <f t="shared" si="24"/>
        <v>0</v>
      </c>
      <c r="Q116" s="2004">
        <f t="shared" si="25"/>
        <v>0</v>
      </c>
      <c r="R116" s="1674" t="str">
        <f t="shared" si="26"/>
        <v>Type of data shown:</v>
      </c>
      <c r="S116" s="1674">
        <f t="shared" si="27"/>
        <v>0</v>
      </c>
      <c r="T116" s="2005">
        <f t="shared" si="28"/>
        <v>0</v>
      </c>
      <c r="V116" s="1674" t="s">
        <v>2595</v>
      </c>
      <c r="Z116" s="2003"/>
      <c r="AA116" s="2003"/>
      <c r="AC116" s="2003"/>
      <c r="AD116" s="2003"/>
      <c r="AE116" s="2003"/>
      <c r="AF116" s="2003"/>
      <c r="AG116" s="2004"/>
      <c r="AH116" s="1674" t="s">
        <v>2427</v>
      </c>
      <c r="AJ116" s="2005"/>
    </row>
    <row r="117" spans="1:36">
      <c r="B117" s="2024"/>
      <c r="F117" s="1674" t="str">
        <f t="shared" si="29"/>
        <v>an individual depreciation rate is applied. (Include Amortization/Recovery amounts).</v>
      </c>
      <c r="G117" s="1674">
        <f t="shared" si="15"/>
        <v>0</v>
      </c>
      <c r="H117" s="1674">
        <f t="shared" si="16"/>
        <v>0</v>
      </c>
      <c r="I117" s="1674">
        <f t="shared" si="17"/>
        <v>0</v>
      </c>
      <c r="J117" s="2001">
        <f t="shared" si="18"/>
        <v>0</v>
      </c>
      <c r="K117" s="2005">
        <f t="shared" si="19"/>
        <v>0</v>
      </c>
      <c r="L117" s="1674">
        <f t="shared" si="20"/>
        <v>0</v>
      </c>
      <c r="M117" s="1674">
        <f t="shared" si="21"/>
        <v>0</v>
      </c>
      <c r="N117" s="2001">
        <f t="shared" si="22"/>
        <v>0</v>
      </c>
      <c r="O117" s="2001">
        <f t="shared" si="23"/>
        <v>0</v>
      </c>
      <c r="P117" s="2001">
        <f t="shared" si="24"/>
        <v>0</v>
      </c>
      <c r="Q117" s="2001" t="str">
        <f t="shared" si="25"/>
        <v>XX</v>
      </c>
      <c r="R117" s="2005" t="str">
        <f t="shared" si="26"/>
        <v>Projected Test Year Ended 12/31/2025</v>
      </c>
      <c r="S117" s="1674">
        <f t="shared" si="27"/>
        <v>0</v>
      </c>
      <c r="T117" s="2001">
        <f t="shared" si="28"/>
        <v>0</v>
      </c>
      <c r="V117" s="1674" t="s">
        <v>8185</v>
      </c>
      <c r="Z117" s="2001"/>
      <c r="AA117" s="2005"/>
      <c r="AD117" s="2001"/>
      <c r="AE117" s="2001"/>
      <c r="AF117" s="2001"/>
      <c r="AG117" s="2001" t="s">
        <v>8157</v>
      </c>
      <c r="AH117" s="2005" t="s">
        <v>8944</v>
      </c>
      <c r="AJ117" s="2001"/>
    </row>
    <row r="118" spans="1:36">
      <c r="A118" s="1674" t="s">
        <v>2428</v>
      </c>
      <c r="B118" s="2024"/>
      <c r="F118" s="1674" t="str">
        <f t="shared" si="29"/>
        <v/>
      </c>
      <c r="G118" s="1674">
        <f t="shared" si="15"/>
        <v>0</v>
      </c>
      <c r="H118" s="1674">
        <f t="shared" si="16"/>
        <v>0</v>
      </c>
      <c r="I118" s="1674">
        <f t="shared" si="17"/>
        <v>0</v>
      </c>
      <c r="J118" s="2001">
        <f t="shared" si="18"/>
        <v>0</v>
      </c>
      <c r="K118" s="2005">
        <f t="shared" si="19"/>
        <v>0</v>
      </c>
      <c r="L118" s="2001">
        <f t="shared" si="20"/>
        <v>0</v>
      </c>
      <c r="M118" s="1674">
        <f t="shared" si="21"/>
        <v>0</v>
      </c>
      <c r="N118" s="1674">
        <f t="shared" si="22"/>
        <v>0</v>
      </c>
      <c r="O118" s="1674">
        <f t="shared" si="23"/>
        <v>0</v>
      </c>
      <c r="P118" s="1674">
        <f t="shared" si="24"/>
        <v>0</v>
      </c>
      <c r="Q118" s="2001" t="str">
        <f t="shared" si="25"/>
        <v/>
      </c>
      <c r="R118" s="2005" t="str">
        <f t="shared" si="26"/>
        <v>Projected Prior Year Ended 12/31/2024</v>
      </c>
      <c r="S118" s="1674">
        <f t="shared" si="27"/>
        <v>0</v>
      </c>
      <c r="T118" s="2001">
        <f t="shared" si="28"/>
        <v>0</v>
      </c>
      <c r="V118" s="1674" t="s">
        <v>2360</v>
      </c>
      <c r="Z118" s="2001"/>
      <c r="AA118" s="2005"/>
      <c r="AB118" s="2001"/>
      <c r="AG118" s="2001" t="s">
        <v>2360</v>
      </c>
      <c r="AH118" s="2005" t="s">
        <v>8945</v>
      </c>
      <c r="AJ118" s="2001"/>
    </row>
    <row r="119" spans="1:36">
      <c r="B119" s="2024"/>
      <c r="F119" s="1674" t="str">
        <f t="shared" si="29"/>
        <v/>
      </c>
      <c r="G119" s="1674">
        <f t="shared" si="15"/>
        <v>0</v>
      </c>
      <c r="H119" s="1674">
        <f t="shared" si="16"/>
        <v>0</v>
      </c>
      <c r="I119" s="1674">
        <f t="shared" si="17"/>
        <v>0</v>
      </c>
      <c r="J119" s="2001">
        <f t="shared" si="18"/>
        <v>0</v>
      </c>
      <c r="K119" s="2005">
        <f t="shared" si="19"/>
        <v>0</v>
      </c>
      <c r="L119" s="2001">
        <f t="shared" si="20"/>
        <v>0</v>
      </c>
      <c r="M119" s="1674">
        <f t="shared" si="21"/>
        <v>0</v>
      </c>
      <c r="N119" s="1674">
        <f t="shared" si="22"/>
        <v>0</v>
      </c>
      <c r="O119" s="1674">
        <f t="shared" si="23"/>
        <v>0</v>
      </c>
      <c r="P119" s="1674">
        <f t="shared" si="24"/>
        <v>0</v>
      </c>
      <c r="Q119" s="2001" t="str">
        <f t="shared" si="25"/>
        <v/>
      </c>
      <c r="R119" s="2005" t="str">
        <f t="shared" si="26"/>
        <v>Historical Prior Year Ended 12/31/2023</v>
      </c>
      <c r="S119" s="1674">
        <f t="shared" si="27"/>
        <v>0</v>
      </c>
      <c r="T119" s="2001">
        <f t="shared" si="28"/>
        <v>0</v>
      </c>
      <c r="V119" s="1674" t="s">
        <v>2360</v>
      </c>
      <c r="Z119" s="2001"/>
      <c r="AA119" s="2005"/>
      <c r="AB119" s="2001"/>
      <c r="AG119" s="2001" t="s">
        <v>2360</v>
      </c>
      <c r="AH119" s="2005" t="s">
        <v>8946</v>
      </c>
      <c r="AJ119" s="2001"/>
    </row>
    <row r="120" spans="1:36">
      <c r="B120" s="2024"/>
      <c r="F120" s="1674">
        <f t="shared" si="29"/>
        <v>0</v>
      </c>
      <c r="G120" s="1674">
        <f t="shared" si="15"/>
        <v>0</v>
      </c>
      <c r="H120" s="1674">
        <f t="shared" si="16"/>
        <v>0</v>
      </c>
      <c r="I120" s="1674">
        <f t="shared" si="17"/>
        <v>0</v>
      </c>
      <c r="J120" s="2001">
        <f t="shared" si="18"/>
        <v>0</v>
      </c>
      <c r="K120" s="2005">
        <f t="shared" si="19"/>
        <v>0</v>
      </c>
      <c r="L120" s="2001">
        <f t="shared" si="20"/>
        <v>0</v>
      </c>
      <c r="M120" s="1674">
        <f t="shared" si="21"/>
        <v>0</v>
      </c>
      <c r="N120" s="1674">
        <f t="shared" si="22"/>
        <v>0</v>
      </c>
      <c r="O120" s="1674">
        <f t="shared" si="23"/>
        <v>0</v>
      </c>
      <c r="P120" s="1674">
        <f t="shared" si="24"/>
        <v>0</v>
      </c>
      <c r="Q120" s="2001">
        <f t="shared" si="25"/>
        <v>0</v>
      </c>
      <c r="R120" s="2005" t="str">
        <f t="shared" si="26"/>
        <v>Witness: D. Avellan</v>
      </c>
      <c r="S120" s="1674">
        <f t="shared" si="27"/>
        <v>0</v>
      </c>
      <c r="T120" s="2001">
        <f t="shared" si="28"/>
        <v>0</v>
      </c>
      <c r="Z120" s="2001"/>
      <c r="AA120" s="2005"/>
      <c r="AB120" s="2001"/>
      <c r="AG120" s="2001"/>
      <c r="AH120" s="2005" t="s">
        <v>8160</v>
      </c>
      <c r="AJ120" s="2001"/>
    </row>
    <row r="121" spans="1:36" ht="15" thickBot="1">
      <c r="A121" s="1997" t="s">
        <v>8158</v>
      </c>
      <c r="B121" s="2025"/>
      <c r="C121" s="1997"/>
      <c r="D121" s="1997"/>
      <c r="E121" s="1997"/>
      <c r="F121" s="1997" t="str">
        <f t="shared" si="29"/>
        <v/>
      </c>
      <c r="G121" s="1997">
        <f t="shared" si="15"/>
        <v>0</v>
      </c>
      <c r="H121" s="2008" t="str">
        <f t="shared" si="16"/>
        <v>(Dollars in cents)</v>
      </c>
      <c r="I121" s="1997">
        <f t="shared" si="17"/>
        <v>0</v>
      </c>
      <c r="J121" s="1997">
        <f t="shared" si="18"/>
        <v>0</v>
      </c>
      <c r="K121" s="1997">
        <f t="shared" si="19"/>
        <v>0</v>
      </c>
      <c r="L121" s="1997">
        <f t="shared" si="20"/>
        <v>0</v>
      </c>
      <c r="M121" s="1997">
        <f t="shared" si="21"/>
        <v>0</v>
      </c>
      <c r="N121" s="1997">
        <f t="shared" si="22"/>
        <v>0</v>
      </c>
      <c r="O121" s="1997">
        <f t="shared" si="23"/>
        <v>0</v>
      </c>
      <c r="P121" s="1997">
        <f t="shared" si="24"/>
        <v>0</v>
      </c>
      <c r="Q121" s="1998">
        <f t="shared" si="25"/>
        <v>0</v>
      </c>
      <c r="R121" s="1997" t="str">
        <f t="shared" si="26"/>
        <v xml:space="preserve"> </v>
      </c>
      <c r="S121" s="1997">
        <f t="shared" si="27"/>
        <v>0</v>
      </c>
      <c r="T121" s="1997">
        <f t="shared" si="28"/>
        <v>0</v>
      </c>
      <c r="V121" s="1997" t="s">
        <v>2360</v>
      </c>
      <c r="W121" s="1997"/>
      <c r="X121" s="2008" t="s">
        <v>8159</v>
      </c>
      <c r="Y121" s="1997"/>
      <c r="Z121" s="1997"/>
      <c r="AA121" s="1997"/>
      <c r="AB121" s="1997"/>
      <c r="AC121" s="1997"/>
      <c r="AD121" s="1997"/>
      <c r="AE121" s="1997"/>
      <c r="AF121" s="1997"/>
      <c r="AG121" s="1998"/>
      <c r="AH121" s="1997" t="s">
        <v>2477</v>
      </c>
      <c r="AI121" s="1997"/>
      <c r="AJ121" s="1997"/>
    </row>
    <row r="122" spans="1:36">
      <c r="C122" s="2009"/>
      <c r="D122" s="2009"/>
      <c r="E122" s="2009"/>
      <c r="F122" s="2009">
        <f t="shared" si="29"/>
        <v>0</v>
      </c>
      <c r="G122" s="2009">
        <f t="shared" si="15"/>
        <v>0</v>
      </c>
      <c r="H122" s="2009">
        <f t="shared" si="16"/>
        <v>0</v>
      </c>
      <c r="I122" s="2009">
        <f t="shared" si="17"/>
        <v>0</v>
      </c>
      <c r="J122" s="2009">
        <f t="shared" si="18"/>
        <v>0</v>
      </c>
      <c r="K122" s="2009">
        <f t="shared" si="19"/>
        <v>0</v>
      </c>
      <c r="L122" s="2009">
        <f t="shared" si="20"/>
        <v>0</v>
      </c>
      <c r="M122" s="2009">
        <f t="shared" si="21"/>
        <v>0</v>
      </c>
      <c r="N122" s="2009">
        <f t="shared" si="22"/>
        <v>0</v>
      </c>
      <c r="O122" s="2009">
        <f t="shared" si="23"/>
        <v>0</v>
      </c>
      <c r="P122" s="2009">
        <f t="shared" si="24"/>
        <v>0</v>
      </c>
      <c r="Q122" s="2010">
        <f t="shared" si="25"/>
        <v>0</v>
      </c>
      <c r="R122" s="2009">
        <f t="shared" si="26"/>
        <v>0</v>
      </c>
      <c r="S122" s="2009">
        <f t="shared" si="27"/>
        <v>0</v>
      </c>
      <c r="T122" s="2009">
        <f t="shared" si="28"/>
        <v>0</v>
      </c>
      <c r="V122" s="2009"/>
      <c r="W122" s="2009"/>
      <c r="X122" s="2009"/>
      <c r="Y122" s="2009"/>
      <c r="Z122" s="2009"/>
      <c r="AA122" s="2009"/>
      <c r="AB122" s="2009"/>
      <c r="AC122" s="2009"/>
      <c r="AD122" s="2009"/>
      <c r="AE122" s="2009"/>
      <c r="AF122" s="2009"/>
      <c r="AG122" s="2010"/>
      <c r="AH122" s="2009"/>
      <c r="AI122" s="2009"/>
      <c r="AJ122" s="2009"/>
    </row>
    <row r="123" spans="1:36">
      <c r="C123" s="2009" t="s">
        <v>2306</v>
      </c>
      <c r="D123" s="2009" t="s">
        <v>2307</v>
      </c>
      <c r="E123" s="2009"/>
      <c r="F123" s="2009" t="str">
        <f t="shared" si="29"/>
        <v>(3)</v>
      </c>
      <c r="G123" s="2009">
        <f t="shared" si="15"/>
        <v>0</v>
      </c>
      <c r="H123" s="2009" t="str">
        <f t="shared" si="16"/>
        <v>(4)</v>
      </c>
      <c r="I123" s="2009">
        <f t="shared" si="17"/>
        <v>0</v>
      </c>
      <c r="J123" s="1675" t="str">
        <f t="shared" si="18"/>
        <v>(5)</v>
      </c>
      <c r="K123" s="1675">
        <f t="shared" si="19"/>
        <v>0</v>
      </c>
      <c r="L123" s="2009" t="str">
        <f t="shared" si="20"/>
        <v>(6)</v>
      </c>
      <c r="M123" s="2009">
        <f t="shared" si="21"/>
        <v>0</v>
      </c>
      <c r="N123" s="2009" t="str">
        <f t="shared" si="22"/>
        <v>(7)</v>
      </c>
      <c r="O123" s="2009">
        <f t="shared" si="23"/>
        <v>0</v>
      </c>
      <c r="P123" s="2009" t="str">
        <f t="shared" si="24"/>
        <v>(8)</v>
      </c>
      <c r="Q123" s="2010">
        <f t="shared" si="25"/>
        <v>0</v>
      </c>
      <c r="R123" s="2009" t="str">
        <f t="shared" si="26"/>
        <v>(9)</v>
      </c>
      <c r="S123" s="2009">
        <f t="shared" si="27"/>
        <v>0</v>
      </c>
      <c r="T123" s="2009" t="str">
        <f t="shared" si="28"/>
        <v>(10)</v>
      </c>
      <c r="V123" s="2009" t="s">
        <v>2308</v>
      </c>
      <c r="W123" s="2009"/>
      <c r="X123" s="2009" t="s">
        <v>2309</v>
      </c>
      <c r="Y123" s="2009"/>
      <c r="Z123" s="1675" t="s">
        <v>2310</v>
      </c>
      <c r="AA123" s="1675"/>
      <c r="AB123" s="2009" t="s">
        <v>2311</v>
      </c>
      <c r="AC123" s="2009"/>
      <c r="AD123" s="2009" t="s">
        <v>2312</v>
      </c>
      <c r="AE123" s="2009"/>
      <c r="AF123" s="2009" t="s">
        <v>2313</v>
      </c>
      <c r="AG123" s="2010"/>
      <c r="AH123" s="2009" t="s">
        <v>2314</v>
      </c>
      <c r="AI123" s="2009"/>
      <c r="AJ123" s="2009" t="s">
        <v>2361</v>
      </c>
    </row>
    <row r="124" spans="1:36">
      <c r="C124" s="1675" t="s">
        <v>2429</v>
      </c>
      <c r="D124" s="1675" t="s">
        <v>2429</v>
      </c>
      <c r="F124" s="1675" t="str">
        <f t="shared" si="29"/>
        <v>Accumulated</v>
      </c>
      <c r="G124" s="1675">
        <f t="shared" si="15"/>
        <v>0</v>
      </c>
      <c r="H124" s="2009" t="str">
        <f t="shared" si="16"/>
        <v>Total</v>
      </c>
      <c r="I124" s="1675">
        <f t="shared" si="17"/>
        <v>0</v>
      </c>
      <c r="J124" s="2009">
        <f t="shared" si="18"/>
        <v>0</v>
      </c>
      <c r="K124" s="1675">
        <f t="shared" si="19"/>
        <v>0</v>
      </c>
      <c r="L124" s="1675">
        <f t="shared" si="20"/>
        <v>0</v>
      </c>
      <c r="M124" s="1675">
        <f t="shared" si="21"/>
        <v>0</v>
      </c>
      <c r="N124" s="1674">
        <f t="shared" si="22"/>
        <v>0</v>
      </c>
      <c r="O124" s="1674">
        <f t="shared" si="23"/>
        <v>0</v>
      </c>
      <c r="P124" s="1674">
        <f t="shared" si="24"/>
        <v>0</v>
      </c>
      <c r="Q124" s="2001">
        <f t="shared" si="25"/>
        <v>0</v>
      </c>
      <c r="R124" s="1675" t="str">
        <f t="shared" si="26"/>
        <v>Accumulated</v>
      </c>
      <c r="S124" s="1674">
        <f t="shared" si="27"/>
        <v>0</v>
      </c>
      <c r="T124" s="1675">
        <f t="shared" si="28"/>
        <v>0</v>
      </c>
      <c r="V124" s="1675" t="s">
        <v>2315</v>
      </c>
      <c r="W124" s="1675"/>
      <c r="X124" s="2009" t="s">
        <v>122</v>
      </c>
      <c r="Y124" s="1675"/>
      <c r="Z124" s="2009"/>
      <c r="AA124" s="1675"/>
      <c r="AB124" s="1675"/>
      <c r="AC124" s="1675"/>
      <c r="AG124" s="2001"/>
      <c r="AH124" s="1675" t="s">
        <v>2315</v>
      </c>
      <c r="AJ124" s="1675"/>
    </row>
    <row r="125" spans="1:36">
      <c r="A125" s="1675" t="s">
        <v>2430</v>
      </c>
      <c r="B125" s="1675"/>
      <c r="C125" s="1675" t="s">
        <v>2431</v>
      </c>
      <c r="D125" s="1675" t="s">
        <v>2431</v>
      </c>
      <c r="E125" s="2009"/>
      <c r="F125" s="1675" t="str">
        <f t="shared" si="29"/>
        <v>Depreciation</v>
      </c>
      <c r="G125" s="1675">
        <f t="shared" si="15"/>
        <v>0</v>
      </c>
      <c r="H125" s="1675" t="str">
        <f t="shared" si="16"/>
        <v>Depreciation</v>
      </c>
      <c r="I125" s="1675">
        <f t="shared" si="17"/>
        <v>0</v>
      </c>
      <c r="J125" s="1675">
        <f t="shared" si="18"/>
        <v>0</v>
      </c>
      <c r="K125" s="2009">
        <f t="shared" si="19"/>
        <v>0</v>
      </c>
      <c r="L125" s="1675" t="str">
        <f t="shared" si="20"/>
        <v>Gross</v>
      </c>
      <c r="M125" s="2005">
        <f t="shared" si="21"/>
        <v>0</v>
      </c>
      <c r="N125" s="1675" t="str">
        <f t="shared" si="22"/>
        <v>Gross</v>
      </c>
      <c r="O125" s="1675">
        <f t="shared" si="23"/>
        <v>0</v>
      </c>
      <c r="P125" s="1675" t="str">
        <f t="shared" si="24"/>
        <v>Adjustments</v>
      </c>
      <c r="Q125" s="2010">
        <f t="shared" si="25"/>
        <v>0</v>
      </c>
      <c r="R125" s="2009" t="str">
        <f t="shared" si="26"/>
        <v>Depreciation</v>
      </c>
      <c r="S125" s="2009">
        <f t="shared" si="27"/>
        <v>0</v>
      </c>
      <c r="T125" s="1675" t="str">
        <f t="shared" si="28"/>
        <v>13-Month</v>
      </c>
      <c r="V125" s="1675" t="s">
        <v>1537</v>
      </c>
      <c r="W125" s="1675"/>
      <c r="X125" s="1675" t="s">
        <v>1537</v>
      </c>
      <c r="Y125" s="1675"/>
      <c r="Z125" s="1675"/>
      <c r="AA125" s="2009"/>
      <c r="AB125" s="1675" t="s">
        <v>2596</v>
      </c>
      <c r="AC125" s="2005"/>
      <c r="AD125" s="1675" t="s">
        <v>2596</v>
      </c>
      <c r="AE125" s="1675"/>
      <c r="AF125" s="1675" t="s">
        <v>593</v>
      </c>
      <c r="AG125" s="2010"/>
      <c r="AH125" s="2009" t="s">
        <v>1537</v>
      </c>
      <c r="AI125" s="2009"/>
      <c r="AJ125" s="1675" t="s">
        <v>2434</v>
      </c>
    </row>
    <row r="126" spans="1:36" ht="15" thickBot="1">
      <c r="A126" s="2008" t="s">
        <v>2435</v>
      </c>
      <c r="B126" s="2008"/>
      <c r="C126" s="2008" t="s">
        <v>2436</v>
      </c>
      <c r="D126" s="2008" t="s">
        <v>2437</v>
      </c>
      <c r="E126" s="2008"/>
      <c r="F126" s="2011" t="str">
        <f t="shared" si="29"/>
        <v>Beg. of Year</v>
      </c>
      <c r="G126" s="2011">
        <f t="shared" si="15"/>
        <v>0</v>
      </c>
      <c r="H126" s="2011" t="str">
        <f t="shared" si="16"/>
        <v>Accrued</v>
      </c>
      <c r="I126" s="2012">
        <f t="shared" si="17"/>
        <v>0</v>
      </c>
      <c r="J126" s="2011" t="str">
        <f t="shared" si="18"/>
        <v>Retirements</v>
      </c>
      <c r="K126" s="2012">
        <f t="shared" si="19"/>
        <v>0</v>
      </c>
      <c r="L126" s="2012" t="str">
        <f t="shared" si="20"/>
        <v>COR</v>
      </c>
      <c r="M126" s="2013">
        <f t="shared" si="21"/>
        <v>0</v>
      </c>
      <c r="N126" s="2013" t="str">
        <f t="shared" si="22"/>
        <v>Salvage</v>
      </c>
      <c r="O126" s="2013">
        <f t="shared" si="23"/>
        <v>0</v>
      </c>
      <c r="P126" s="2013" t="str">
        <f t="shared" si="24"/>
        <v>or Transfers</v>
      </c>
      <c r="Q126" s="2014">
        <f t="shared" si="25"/>
        <v>0</v>
      </c>
      <c r="R126" s="2013" t="str">
        <f t="shared" si="26"/>
        <v>End of Year</v>
      </c>
      <c r="S126" s="2013">
        <f t="shared" si="27"/>
        <v>0</v>
      </c>
      <c r="T126" s="2013" t="str">
        <f t="shared" si="28"/>
        <v>Average</v>
      </c>
      <c r="V126" s="2011" t="s">
        <v>2439</v>
      </c>
      <c r="W126" s="2011"/>
      <c r="X126" s="2011" t="s">
        <v>2597</v>
      </c>
      <c r="Y126" s="2012"/>
      <c r="Z126" s="2011" t="s">
        <v>1535</v>
      </c>
      <c r="AA126" s="2012"/>
      <c r="AB126" s="2012" t="s">
        <v>2598</v>
      </c>
      <c r="AC126" s="2013"/>
      <c r="AD126" s="2013" t="s">
        <v>2599</v>
      </c>
      <c r="AE126" s="2013"/>
      <c r="AF126" s="2013" t="s">
        <v>2442</v>
      </c>
      <c r="AG126" s="2014"/>
      <c r="AH126" s="2013" t="s">
        <v>2443</v>
      </c>
      <c r="AI126" s="2013"/>
      <c r="AJ126" s="2013" t="s">
        <v>2444</v>
      </c>
    </row>
    <row r="127" spans="1:36">
      <c r="A127" s="1675">
        <v>1</v>
      </c>
      <c r="B127" s="1675"/>
      <c r="F127" s="1674">
        <f t="shared" si="29"/>
        <v>0</v>
      </c>
      <c r="G127" s="1674">
        <f t="shared" si="15"/>
        <v>0</v>
      </c>
      <c r="H127" s="1674">
        <f t="shared" si="16"/>
        <v>0</v>
      </c>
      <c r="I127" s="1674">
        <f t="shared" si="17"/>
        <v>0</v>
      </c>
      <c r="J127" s="1674">
        <f t="shared" si="18"/>
        <v>0</v>
      </c>
      <c r="K127" s="1674">
        <f t="shared" si="19"/>
        <v>0</v>
      </c>
      <c r="L127" s="1674">
        <f t="shared" si="20"/>
        <v>0</v>
      </c>
      <c r="M127" s="1674">
        <f t="shared" si="21"/>
        <v>0</v>
      </c>
      <c r="N127" s="1674">
        <f t="shared" si="22"/>
        <v>0</v>
      </c>
      <c r="O127" s="1674">
        <f t="shared" si="23"/>
        <v>0</v>
      </c>
      <c r="P127" s="1674">
        <f t="shared" si="24"/>
        <v>0</v>
      </c>
      <c r="Q127" s="2001">
        <f t="shared" si="25"/>
        <v>0</v>
      </c>
      <c r="R127" s="1674">
        <f t="shared" si="26"/>
        <v>0</v>
      </c>
      <c r="S127" s="1674">
        <f t="shared" si="27"/>
        <v>0</v>
      </c>
      <c r="T127" s="1674">
        <f t="shared" si="28"/>
        <v>0</v>
      </c>
      <c r="AG127" s="2001"/>
    </row>
    <row r="128" spans="1:36">
      <c r="A128" s="1675">
        <v>2</v>
      </c>
      <c r="B128" s="2015"/>
      <c r="C128" s="1675">
        <v>31247</v>
      </c>
      <c r="D128" s="1674" t="s">
        <v>2489</v>
      </c>
      <c r="F128" s="1876">
        <f t="shared" si="29"/>
        <v>10187.109649999999</v>
      </c>
      <c r="G128" s="2001">
        <f t="shared" si="15"/>
        <v>0</v>
      </c>
      <c r="H128" s="1876">
        <f t="shared" si="16"/>
        <v>0</v>
      </c>
      <c r="I128" s="1785">
        <f t="shared" si="17"/>
        <v>0</v>
      </c>
      <c r="J128" s="1876">
        <f t="shared" si="18"/>
        <v>0</v>
      </c>
      <c r="K128" s="1786">
        <f t="shared" si="19"/>
        <v>0</v>
      </c>
      <c r="L128" s="1876">
        <f t="shared" si="20"/>
        <v>0</v>
      </c>
      <c r="M128" s="1786">
        <f t="shared" si="21"/>
        <v>0</v>
      </c>
      <c r="N128" s="1876">
        <f t="shared" si="22"/>
        <v>0</v>
      </c>
      <c r="O128" s="1787">
        <f t="shared" si="23"/>
        <v>0</v>
      </c>
      <c r="P128" s="1876">
        <f t="shared" si="24"/>
        <v>0</v>
      </c>
      <c r="Q128" s="1785">
        <f t="shared" si="25"/>
        <v>0</v>
      </c>
      <c r="R128" s="1787">
        <f t="shared" si="26"/>
        <v>10187.109649999999</v>
      </c>
      <c r="S128" s="1786">
        <f t="shared" si="27"/>
        <v>0</v>
      </c>
      <c r="T128" s="1876">
        <f t="shared" si="28"/>
        <v>10187.10965</v>
      </c>
      <c r="V128" s="1876">
        <v>10187109.649999999</v>
      </c>
      <c r="W128" s="2001"/>
      <c r="X128" s="1876">
        <v>0</v>
      </c>
      <c r="Y128" s="1785"/>
      <c r="Z128" s="1876">
        <v>0</v>
      </c>
      <c r="AA128" s="1786"/>
      <c r="AB128" s="1876">
        <v>0</v>
      </c>
      <c r="AC128" s="1786"/>
      <c r="AD128" s="1876">
        <v>0</v>
      </c>
      <c r="AE128" s="1787"/>
      <c r="AF128" s="1876">
        <v>0</v>
      </c>
      <c r="AG128" s="1785"/>
      <c r="AH128" s="1787">
        <v>10187109.649999999</v>
      </c>
      <c r="AI128" s="1786"/>
      <c r="AJ128" s="1876">
        <v>10187109.65</v>
      </c>
    </row>
    <row r="129" spans="1:36">
      <c r="A129" s="1675">
        <v>3</v>
      </c>
      <c r="B129" s="2015"/>
      <c r="C129" s="2009">
        <v>31647</v>
      </c>
      <c r="D129" s="1674" t="s">
        <v>8161</v>
      </c>
      <c r="F129" s="1876">
        <f t="shared" si="29"/>
        <v>312.57224000000002</v>
      </c>
      <c r="G129" s="2001">
        <f t="shared" si="15"/>
        <v>0</v>
      </c>
      <c r="H129" s="1876">
        <f t="shared" si="16"/>
        <v>105.36611000000001</v>
      </c>
      <c r="I129" s="1785">
        <f t="shared" si="17"/>
        <v>0</v>
      </c>
      <c r="J129" s="1876">
        <f t="shared" si="18"/>
        <v>-37.591320000000003</v>
      </c>
      <c r="K129" s="1786">
        <f t="shared" si="19"/>
        <v>0</v>
      </c>
      <c r="L129" s="1876">
        <f t="shared" si="20"/>
        <v>0</v>
      </c>
      <c r="M129" s="1786">
        <f t="shared" si="21"/>
        <v>0</v>
      </c>
      <c r="N129" s="1876">
        <f t="shared" si="22"/>
        <v>0</v>
      </c>
      <c r="O129" s="1787">
        <f t="shared" si="23"/>
        <v>0</v>
      </c>
      <c r="P129" s="1876">
        <f t="shared" si="24"/>
        <v>0</v>
      </c>
      <c r="Q129" s="1785">
        <f t="shared" si="25"/>
        <v>0</v>
      </c>
      <c r="R129" s="1787">
        <f t="shared" si="26"/>
        <v>380.34703000000002</v>
      </c>
      <c r="S129" s="1786">
        <f t="shared" si="27"/>
        <v>0</v>
      </c>
      <c r="T129" s="1876">
        <f t="shared" si="28"/>
        <v>336.33982000000003</v>
      </c>
      <c r="V129" s="1876">
        <v>312572.24000000005</v>
      </c>
      <c r="W129" s="2001"/>
      <c r="X129" s="1876">
        <v>105366.11</v>
      </c>
      <c r="Y129" s="1785"/>
      <c r="Z129" s="1876">
        <v>-37591.32</v>
      </c>
      <c r="AA129" s="1786"/>
      <c r="AB129" s="1876">
        <v>0</v>
      </c>
      <c r="AC129" s="1786"/>
      <c r="AD129" s="1876">
        <v>0</v>
      </c>
      <c r="AE129" s="1787"/>
      <c r="AF129" s="1876">
        <v>0</v>
      </c>
      <c r="AG129" s="1785"/>
      <c r="AH129" s="1787">
        <v>380347.03</v>
      </c>
      <c r="AI129" s="1786"/>
      <c r="AJ129" s="1876">
        <v>336339.82</v>
      </c>
    </row>
    <row r="130" spans="1:36">
      <c r="A130" s="1675">
        <v>4</v>
      </c>
      <c r="B130" s="2015"/>
      <c r="C130" s="1675"/>
      <c r="F130" s="1793">
        <f t="shared" si="29"/>
        <v>0</v>
      </c>
      <c r="G130" s="1674">
        <f t="shared" si="15"/>
        <v>0</v>
      </c>
      <c r="H130" s="1793">
        <f t="shared" si="16"/>
        <v>0</v>
      </c>
      <c r="I130" s="1790">
        <f t="shared" si="17"/>
        <v>0</v>
      </c>
      <c r="J130" s="1793">
        <f t="shared" si="18"/>
        <v>0</v>
      </c>
      <c r="K130" s="1790">
        <f t="shared" si="19"/>
        <v>0</v>
      </c>
      <c r="L130" s="1793">
        <f t="shared" si="20"/>
        <v>0</v>
      </c>
      <c r="M130" s="1790">
        <f t="shared" si="21"/>
        <v>0</v>
      </c>
      <c r="N130" s="1793">
        <f t="shared" si="22"/>
        <v>0</v>
      </c>
      <c r="O130" s="1815">
        <f t="shared" si="23"/>
        <v>0</v>
      </c>
      <c r="P130" s="1793">
        <f t="shared" si="24"/>
        <v>0</v>
      </c>
      <c r="Q130" s="1790">
        <f t="shared" si="25"/>
        <v>0</v>
      </c>
      <c r="R130" s="1793">
        <f t="shared" si="26"/>
        <v>0</v>
      </c>
      <c r="S130" s="1790">
        <f t="shared" si="27"/>
        <v>0</v>
      </c>
      <c r="T130" s="1793">
        <f t="shared" si="28"/>
        <v>0</v>
      </c>
      <c r="V130" s="1793"/>
      <c r="X130" s="1793"/>
      <c r="Y130" s="1790"/>
      <c r="Z130" s="1793"/>
      <c r="AA130" s="1790"/>
      <c r="AB130" s="1793"/>
      <c r="AC130" s="1790"/>
      <c r="AD130" s="1793"/>
      <c r="AE130" s="1815"/>
      <c r="AF130" s="1793"/>
      <c r="AG130" s="1790"/>
      <c r="AH130" s="1793"/>
      <c r="AI130" s="1790"/>
      <c r="AJ130" s="1793"/>
    </row>
    <row r="131" spans="1:36" ht="15" thickBot="1">
      <c r="A131" s="1675">
        <v>5</v>
      </c>
      <c r="B131" s="2015"/>
      <c r="C131" s="1675"/>
      <c r="D131" s="2002" t="s">
        <v>2490</v>
      </c>
      <c r="F131" s="1870">
        <f t="shared" si="29"/>
        <v>554930.87777000002</v>
      </c>
      <c r="G131" s="2001">
        <f t="shared" si="15"/>
        <v>0</v>
      </c>
      <c r="H131" s="1870">
        <f t="shared" si="16"/>
        <v>59405.932759999989</v>
      </c>
      <c r="I131" s="1790">
        <f t="shared" si="17"/>
        <v>0</v>
      </c>
      <c r="J131" s="1870">
        <f t="shared" si="18"/>
        <v>-3724.4423800000004</v>
      </c>
      <c r="K131" s="1790">
        <f t="shared" si="19"/>
        <v>0</v>
      </c>
      <c r="L131" s="1870">
        <f t="shared" si="20"/>
        <v>-1716.3317199999999</v>
      </c>
      <c r="M131" s="1790">
        <f t="shared" si="21"/>
        <v>0</v>
      </c>
      <c r="N131" s="1870">
        <f t="shared" si="22"/>
        <v>0</v>
      </c>
      <c r="O131" s="1813">
        <f t="shared" si="23"/>
        <v>0</v>
      </c>
      <c r="P131" s="1870">
        <f t="shared" si="24"/>
        <v>0</v>
      </c>
      <c r="Q131" s="1790">
        <f t="shared" si="25"/>
        <v>0</v>
      </c>
      <c r="R131" s="1870">
        <f t="shared" si="26"/>
        <v>608896.03643000009</v>
      </c>
      <c r="S131" s="1790">
        <f t="shared" si="27"/>
        <v>0</v>
      </c>
      <c r="T131" s="1870">
        <f t="shared" si="28"/>
        <v>582206.34026000008</v>
      </c>
      <c r="V131" s="1870">
        <v>554930877.76999998</v>
      </c>
      <c r="W131" s="2001"/>
      <c r="X131" s="1870">
        <v>59405932.75999999</v>
      </c>
      <c r="Y131" s="1790"/>
      <c r="Z131" s="1870">
        <v>-3724442.3800000004</v>
      </c>
      <c r="AA131" s="1790"/>
      <c r="AB131" s="1870">
        <v>-1716331.72</v>
      </c>
      <c r="AC131" s="1790"/>
      <c r="AD131" s="1870">
        <v>0</v>
      </c>
      <c r="AE131" s="1813"/>
      <c r="AF131" s="1870">
        <v>0</v>
      </c>
      <c r="AG131" s="1790"/>
      <c r="AH131" s="1870">
        <v>608896036.43000007</v>
      </c>
      <c r="AI131" s="1790"/>
      <c r="AJ131" s="1870">
        <v>582206340.26000011</v>
      </c>
    </row>
    <row r="132" spans="1:36" ht="15" thickTop="1">
      <c r="A132" s="1675">
        <v>6</v>
      </c>
      <c r="B132" s="2015"/>
      <c r="C132" s="1675"/>
      <c r="F132" s="1674">
        <f t="shared" si="29"/>
        <v>0</v>
      </c>
      <c r="G132" s="1674">
        <f t="shared" si="15"/>
        <v>0</v>
      </c>
      <c r="H132" s="1674">
        <f t="shared" si="16"/>
        <v>0</v>
      </c>
      <c r="I132" s="1674">
        <f t="shared" si="17"/>
        <v>0</v>
      </c>
      <c r="J132" s="1674">
        <f t="shared" si="18"/>
        <v>0</v>
      </c>
      <c r="K132" s="1674">
        <f t="shared" si="19"/>
        <v>0</v>
      </c>
      <c r="L132" s="1674">
        <f t="shared" si="20"/>
        <v>0</v>
      </c>
      <c r="M132" s="1674">
        <f t="shared" si="21"/>
        <v>0</v>
      </c>
      <c r="N132" s="1674">
        <f t="shared" si="22"/>
        <v>0</v>
      </c>
      <c r="O132" s="1674">
        <f t="shared" si="23"/>
        <v>0</v>
      </c>
      <c r="P132" s="1674">
        <f t="shared" si="24"/>
        <v>0</v>
      </c>
      <c r="Q132" s="2001">
        <f t="shared" si="25"/>
        <v>0</v>
      </c>
      <c r="R132" s="1674">
        <f t="shared" si="26"/>
        <v>0</v>
      </c>
      <c r="S132" s="1674">
        <f t="shared" si="27"/>
        <v>0</v>
      </c>
      <c r="T132" s="1674">
        <f t="shared" si="28"/>
        <v>0</v>
      </c>
      <c r="AG132" s="2001"/>
    </row>
    <row r="133" spans="1:36" ht="15" thickBot="1">
      <c r="A133" s="1675">
        <v>7</v>
      </c>
      <c r="B133" s="1675"/>
      <c r="C133" s="1675"/>
      <c r="D133" s="1674" t="s">
        <v>2447</v>
      </c>
      <c r="F133" s="1870">
        <f t="shared" si="29"/>
        <v>554930.87777000002</v>
      </c>
      <c r="G133" s="2001">
        <f t="shared" si="15"/>
        <v>0</v>
      </c>
      <c r="H133" s="1870">
        <f t="shared" si="16"/>
        <v>59405.932759999989</v>
      </c>
      <c r="I133" s="1790">
        <f t="shared" si="17"/>
        <v>0</v>
      </c>
      <c r="J133" s="1870">
        <f t="shared" si="18"/>
        <v>-3724.4423800000004</v>
      </c>
      <c r="K133" s="1790">
        <f t="shared" si="19"/>
        <v>0</v>
      </c>
      <c r="L133" s="1870">
        <f t="shared" si="20"/>
        <v>-1716.3317199999999</v>
      </c>
      <c r="M133" s="1790">
        <f t="shared" si="21"/>
        <v>0</v>
      </c>
      <c r="N133" s="1870">
        <f t="shared" si="22"/>
        <v>0</v>
      </c>
      <c r="O133" s="1813">
        <f t="shared" si="23"/>
        <v>0</v>
      </c>
      <c r="P133" s="1870">
        <f t="shared" si="24"/>
        <v>0</v>
      </c>
      <c r="Q133" s="1790">
        <f t="shared" si="25"/>
        <v>0</v>
      </c>
      <c r="R133" s="1870">
        <f t="shared" si="26"/>
        <v>608896.03643000009</v>
      </c>
      <c r="S133" s="1790">
        <f t="shared" si="27"/>
        <v>0</v>
      </c>
      <c r="T133" s="1870">
        <f t="shared" si="28"/>
        <v>582206.34026000008</v>
      </c>
      <c r="V133" s="1870">
        <v>554930877.76999998</v>
      </c>
      <c r="W133" s="2001"/>
      <c r="X133" s="1870">
        <v>59405932.75999999</v>
      </c>
      <c r="Y133" s="1790"/>
      <c r="Z133" s="1870">
        <v>-3724442.3800000004</v>
      </c>
      <c r="AA133" s="1790"/>
      <c r="AB133" s="1870">
        <v>-1716331.72</v>
      </c>
      <c r="AC133" s="1790"/>
      <c r="AD133" s="1870">
        <v>0</v>
      </c>
      <c r="AE133" s="1813"/>
      <c r="AF133" s="1870">
        <v>0</v>
      </c>
      <c r="AG133" s="1790"/>
      <c r="AH133" s="1870">
        <v>608896036.43000007</v>
      </c>
      <c r="AI133" s="1790"/>
      <c r="AJ133" s="1870">
        <v>582206340.26000011</v>
      </c>
    </row>
    <row r="134" spans="1:36" ht="15" thickTop="1">
      <c r="A134" s="1675">
        <v>8</v>
      </c>
      <c r="B134" s="1675"/>
      <c r="F134" s="1674">
        <f t="shared" si="29"/>
        <v>0</v>
      </c>
      <c r="G134" s="1674">
        <f t="shared" si="15"/>
        <v>0</v>
      </c>
      <c r="H134" s="1674">
        <f t="shared" si="16"/>
        <v>0</v>
      </c>
      <c r="I134" s="1674">
        <f t="shared" si="17"/>
        <v>0</v>
      </c>
      <c r="J134" s="1674">
        <f t="shared" si="18"/>
        <v>0</v>
      </c>
      <c r="K134" s="1674">
        <f t="shared" si="19"/>
        <v>0</v>
      </c>
      <c r="L134" s="1674">
        <f t="shared" si="20"/>
        <v>0</v>
      </c>
      <c r="M134" s="1674">
        <f t="shared" si="21"/>
        <v>0</v>
      </c>
      <c r="N134" s="1674">
        <f t="shared" si="22"/>
        <v>0</v>
      </c>
      <c r="O134" s="1674">
        <f t="shared" si="23"/>
        <v>0</v>
      </c>
      <c r="P134" s="1674">
        <f t="shared" si="24"/>
        <v>0</v>
      </c>
      <c r="Q134" s="2001">
        <f t="shared" si="25"/>
        <v>0</v>
      </c>
      <c r="R134" s="1674">
        <f t="shared" si="26"/>
        <v>0</v>
      </c>
      <c r="S134" s="1674">
        <f t="shared" si="27"/>
        <v>0</v>
      </c>
      <c r="T134" s="1674">
        <f t="shared" si="28"/>
        <v>0</v>
      </c>
      <c r="AG134" s="2001"/>
    </row>
    <row r="135" spans="1:36">
      <c r="A135" s="1675">
        <v>9</v>
      </c>
      <c r="B135" s="2015"/>
      <c r="D135" s="1674" t="s">
        <v>2491</v>
      </c>
      <c r="F135" s="1674">
        <f t="shared" si="29"/>
        <v>0</v>
      </c>
      <c r="G135" s="1674">
        <f t="shared" si="15"/>
        <v>0</v>
      </c>
      <c r="H135" s="1674">
        <f t="shared" si="16"/>
        <v>0</v>
      </c>
      <c r="I135" s="1674">
        <f t="shared" si="17"/>
        <v>0</v>
      </c>
      <c r="J135" s="1674">
        <f t="shared" si="18"/>
        <v>0</v>
      </c>
      <c r="K135" s="1674">
        <f t="shared" si="19"/>
        <v>0</v>
      </c>
      <c r="L135" s="1674">
        <f t="shared" si="20"/>
        <v>0</v>
      </c>
      <c r="M135" s="1674">
        <f t="shared" si="21"/>
        <v>0</v>
      </c>
      <c r="N135" s="1674">
        <f t="shared" si="22"/>
        <v>0</v>
      </c>
      <c r="O135" s="1674">
        <f t="shared" si="23"/>
        <v>0</v>
      </c>
      <c r="P135" s="1674">
        <f t="shared" si="24"/>
        <v>0</v>
      </c>
      <c r="Q135" s="2001">
        <f t="shared" si="25"/>
        <v>0</v>
      </c>
      <c r="R135" s="1674">
        <f t="shared" si="26"/>
        <v>0</v>
      </c>
      <c r="S135" s="1674">
        <f t="shared" si="27"/>
        <v>0</v>
      </c>
      <c r="T135" s="1674">
        <f t="shared" si="28"/>
        <v>0</v>
      </c>
      <c r="AG135" s="2001"/>
    </row>
    <row r="136" spans="1:36">
      <c r="A136" s="1675">
        <v>10</v>
      </c>
      <c r="B136" s="2015"/>
      <c r="D136" s="1674" t="s">
        <v>2446</v>
      </c>
      <c r="F136" s="1674">
        <f t="shared" si="29"/>
        <v>0</v>
      </c>
      <c r="G136" s="1674">
        <f t="shared" si="15"/>
        <v>0</v>
      </c>
      <c r="H136" s="1674">
        <f t="shared" si="16"/>
        <v>0</v>
      </c>
      <c r="I136" s="1674">
        <f t="shared" si="17"/>
        <v>0</v>
      </c>
      <c r="J136" s="1674">
        <f t="shared" si="18"/>
        <v>0</v>
      </c>
      <c r="K136" s="1674">
        <f t="shared" si="19"/>
        <v>0</v>
      </c>
      <c r="L136" s="1674">
        <f t="shared" si="20"/>
        <v>0</v>
      </c>
      <c r="M136" s="1674">
        <f t="shared" si="21"/>
        <v>0</v>
      </c>
      <c r="N136" s="1674">
        <f t="shared" si="22"/>
        <v>0</v>
      </c>
      <c r="O136" s="1674">
        <f t="shared" si="23"/>
        <v>0</v>
      </c>
      <c r="P136" s="1674">
        <f t="shared" si="24"/>
        <v>0</v>
      </c>
      <c r="Q136" s="2001">
        <f t="shared" si="25"/>
        <v>0</v>
      </c>
      <c r="R136" s="1674">
        <f t="shared" si="26"/>
        <v>0</v>
      </c>
      <c r="S136" s="1674">
        <f t="shared" si="27"/>
        <v>0</v>
      </c>
      <c r="T136" s="1674">
        <f t="shared" si="28"/>
        <v>0</v>
      </c>
      <c r="AG136" s="2001"/>
    </row>
    <row r="137" spans="1:36">
      <c r="A137" s="1675">
        <v>11</v>
      </c>
      <c r="B137" s="2015"/>
      <c r="D137" s="1674" t="s">
        <v>8162</v>
      </c>
      <c r="E137" s="1675"/>
      <c r="F137" s="2028">
        <f t="shared" si="29"/>
        <v>0</v>
      </c>
      <c r="G137" s="2028">
        <f t="shared" si="15"/>
        <v>0</v>
      </c>
      <c r="H137" s="1787">
        <f t="shared" si="16"/>
        <v>0</v>
      </c>
      <c r="I137" s="1794">
        <f t="shared" si="17"/>
        <v>0</v>
      </c>
      <c r="J137" s="1787">
        <f t="shared" si="18"/>
        <v>0</v>
      </c>
      <c r="K137" s="1794">
        <f t="shared" si="19"/>
        <v>0</v>
      </c>
      <c r="L137" s="1794">
        <f t="shared" si="20"/>
        <v>0</v>
      </c>
      <c r="M137" s="1794">
        <f t="shared" si="21"/>
        <v>0</v>
      </c>
      <c r="N137" s="1794">
        <f t="shared" si="22"/>
        <v>0</v>
      </c>
      <c r="O137" s="1794">
        <f t="shared" si="23"/>
        <v>0</v>
      </c>
      <c r="P137" s="1794">
        <f t="shared" si="24"/>
        <v>0</v>
      </c>
      <c r="Q137" s="1795">
        <f t="shared" si="25"/>
        <v>0</v>
      </c>
      <c r="R137" s="1794">
        <f t="shared" si="26"/>
        <v>0</v>
      </c>
      <c r="S137" s="1794">
        <f t="shared" si="27"/>
        <v>0</v>
      </c>
      <c r="T137" s="1794">
        <f t="shared" si="28"/>
        <v>0</v>
      </c>
      <c r="V137" s="2028"/>
      <c r="W137" s="2028"/>
      <c r="X137" s="1787"/>
      <c r="Y137" s="1794"/>
      <c r="Z137" s="1787"/>
      <c r="AA137" s="1794"/>
      <c r="AB137" s="1794"/>
      <c r="AC137" s="1794"/>
      <c r="AD137" s="1794"/>
      <c r="AE137" s="1794"/>
      <c r="AF137" s="1794"/>
      <c r="AG137" s="1795"/>
      <c r="AH137" s="1794"/>
      <c r="AI137" s="1794"/>
      <c r="AJ137" s="1794"/>
    </row>
    <row r="138" spans="1:36">
      <c r="A138" s="1675">
        <v>12</v>
      </c>
      <c r="B138" s="2015"/>
      <c r="C138" s="2009">
        <v>34144</v>
      </c>
      <c r="D138" s="1674" t="s">
        <v>2449</v>
      </c>
      <c r="E138" s="1675"/>
      <c r="F138" s="1876">
        <f t="shared" si="29"/>
        <v>1049.6972600000001</v>
      </c>
      <c r="G138" s="2001">
        <f t="shared" si="15"/>
        <v>0</v>
      </c>
      <c r="H138" s="1876">
        <f t="shared" si="16"/>
        <v>112.75283999999999</v>
      </c>
      <c r="I138" s="1785">
        <f t="shared" si="17"/>
        <v>0</v>
      </c>
      <c r="J138" s="1876">
        <f t="shared" si="18"/>
        <v>0</v>
      </c>
      <c r="K138" s="1786">
        <f t="shared" si="19"/>
        <v>0</v>
      </c>
      <c r="L138" s="1876">
        <f t="shared" si="20"/>
        <v>0</v>
      </c>
      <c r="M138" s="1786">
        <f t="shared" si="21"/>
        <v>0</v>
      </c>
      <c r="N138" s="1876">
        <f t="shared" si="22"/>
        <v>0</v>
      </c>
      <c r="O138" s="1787">
        <f t="shared" si="23"/>
        <v>0</v>
      </c>
      <c r="P138" s="1876">
        <f t="shared" si="24"/>
        <v>0</v>
      </c>
      <c r="Q138" s="1785">
        <f t="shared" si="25"/>
        <v>0</v>
      </c>
      <c r="R138" s="1787">
        <f t="shared" si="26"/>
        <v>1162.4501000000002</v>
      </c>
      <c r="S138" s="1786">
        <f t="shared" si="27"/>
        <v>0</v>
      </c>
      <c r="T138" s="1876">
        <f t="shared" si="28"/>
        <v>1106.07368</v>
      </c>
      <c r="V138" s="1876">
        <v>1049697.2600000002</v>
      </c>
      <c r="W138" s="2001"/>
      <c r="X138" s="1876">
        <v>112752.84</v>
      </c>
      <c r="Y138" s="1785"/>
      <c r="Z138" s="1876">
        <v>0</v>
      </c>
      <c r="AA138" s="1786"/>
      <c r="AB138" s="1876">
        <v>0</v>
      </c>
      <c r="AC138" s="1786"/>
      <c r="AD138" s="1876">
        <v>0</v>
      </c>
      <c r="AE138" s="1787"/>
      <c r="AF138" s="1876">
        <v>0</v>
      </c>
      <c r="AG138" s="1785"/>
      <c r="AH138" s="1787">
        <v>1162450.1000000003</v>
      </c>
      <c r="AI138" s="1786"/>
      <c r="AJ138" s="1876">
        <v>1106073.68</v>
      </c>
    </row>
    <row r="139" spans="1:36">
      <c r="A139" s="1675">
        <v>13</v>
      </c>
      <c r="B139" s="2015"/>
      <c r="C139" s="2009">
        <v>34244</v>
      </c>
      <c r="D139" s="1674" t="s">
        <v>2495</v>
      </c>
      <c r="E139" s="1675"/>
      <c r="F139" s="1876">
        <f t="shared" si="29"/>
        <v>669.54561000000047</v>
      </c>
      <c r="G139" s="2001">
        <f t="shared" si="15"/>
        <v>0</v>
      </c>
      <c r="H139" s="1876">
        <f t="shared" si="16"/>
        <v>165.66204000000002</v>
      </c>
      <c r="I139" s="1785">
        <f t="shared" si="17"/>
        <v>0</v>
      </c>
      <c r="J139" s="1876">
        <f t="shared" si="18"/>
        <v>0</v>
      </c>
      <c r="K139" s="1786">
        <f t="shared" si="19"/>
        <v>0</v>
      </c>
      <c r="L139" s="1876">
        <f t="shared" si="20"/>
        <v>0</v>
      </c>
      <c r="M139" s="1786">
        <f t="shared" si="21"/>
        <v>0</v>
      </c>
      <c r="N139" s="1876">
        <f t="shared" si="22"/>
        <v>0</v>
      </c>
      <c r="O139" s="1787">
        <f t="shared" si="23"/>
        <v>0</v>
      </c>
      <c r="P139" s="1876">
        <f t="shared" si="24"/>
        <v>0</v>
      </c>
      <c r="Q139" s="1785">
        <f t="shared" si="25"/>
        <v>0</v>
      </c>
      <c r="R139" s="1787">
        <f t="shared" si="26"/>
        <v>835.20765000000051</v>
      </c>
      <c r="S139" s="1786">
        <f t="shared" si="27"/>
        <v>0</v>
      </c>
      <c r="T139" s="1876">
        <f t="shared" si="28"/>
        <v>752.37662999999998</v>
      </c>
      <c r="V139" s="1876">
        <v>669545.61000000045</v>
      </c>
      <c r="W139" s="2001"/>
      <c r="X139" s="1876">
        <v>165662.04</v>
      </c>
      <c r="Y139" s="1785"/>
      <c r="Z139" s="1876">
        <v>0</v>
      </c>
      <c r="AA139" s="1786"/>
      <c r="AB139" s="1876">
        <v>0</v>
      </c>
      <c r="AC139" s="1786"/>
      <c r="AD139" s="1876">
        <v>0</v>
      </c>
      <c r="AE139" s="1787"/>
      <c r="AF139" s="1876">
        <v>0</v>
      </c>
      <c r="AG139" s="1785"/>
      <c r="AH139" s="1787">
        <v>835207.65000000049</v>
      </c>
      <c r="AI139" s="1786"/>
      <c r="AJ139" s="1876">
        <v>752376.63</v>
      </c>
    </row>
    <row r="140" spans="1:36">
      <c r="A140" s="1675">
        <v>14</v>
      </c>
      <c r="B140" s="2015"/>
      <c r="C140" s="2009">
        <v>34344</v>
      </c>
      <c r="D140" s="1674" t="s">
        <v>2496</v>
      </c>
      <c r="E140" s="1675"/>
      <c r="F140" s="1876">
        <f t="shared" si="29"/>
        <v>11147.576739999995</v>
      </c>
      <c r="G140" s="2001">
        <f t="shared" si="15"/>
        <v>0</v>
      </c>
      <c r="H140" s="1876">
        <f t="shared" si="16"/>
        <v>590.51927999999998</v>
      </c>
      <c r="I140" s="1785">
        <f t="shared" si="17"/>
        <v>0</v>
      </c>
      <c r="J140" s="1876">
        <f t="shared" si="18"/>
        <v>0</v>
      </c>
      <c r="K140" s="1786">
        <f t="shared" si="19"/>
        <v>0</v>
      </c>
      <c r="L140" s="1876">
        <f t="shared" si="20"/>
        <v>0</v>
      </c>
      <c r="M140" s="1786">
        <f t="shared" si="21"/>
        <v>0</v>
      </c>
      <c r="N140" s="1876">
        <f t="shared" si="22"/>
        <v>0</v>
      </c>
      <c r="O140" s="1787">
        <f t="shared" si="23"/>
        <v>0</v>
      </c>
      <c r="P140" s="1876">
        <f t="shared" si="24"/>
        <v>0</v>
      </c>
      <c r="Q140" s="1785">
        <f t="shared" si="25"/>
        <v>0</v>
      </c>
      <c r="R140" s="1787">
        <f t="shared" si="26"/>
        <v>11738.096019999994</v>
      </c>
      <c r="S140" s="1786">
        <f t="shared" si="27"/>
        <v>0</v>
      </c>
      <c r="T140" s="1876">
        <f t="shared" si="28"/>
        <v>11442.836380000001</v>
      </c>
      <c r="V140" s="1876">
        <v>11147576.739999995</v>
      </c>
      <c r="W140" s="2001"/>
      <c r="X140" s="1876">
        <v>590519.28</v>
      </c>
      <c r="Y140" s="1785"/>
      <c r="Z140" s="1876">
        <v>0</v>
      </c>
      <c r="AA140" s="1786"/>
      <c r="AB140" s="1876">
        <v>0</v>
      </c>
      <c r="AC140" s="1786"/>
      <c r="AD140" s="1876">
        <v>0</v>
      </c>
      <c r="AE140" s="1787"/>
      <c r="AF140" s="1876">
        <v>0</v>
      </c>
      <c r="AG140" s="1785"/>
      <c r="AH140" s="1787">
        <v>11738096.019999994</v>
      </c>
      <c r="AI140" s="1786"/>
      <c r="AJ140" s="1876">
        <v>11442836.380000001</v>
      </c>
    </row>
    <row r="141" spans="1:36">
      <c r="A141" s="1675">
        <v>15</v>
      </c>
      <c r="B141" s="2015"/>
      <c r="C141" s="2009">
        <v>34544</v>
      </c>
      <c r="D141" s="1674" t="s">
        <v>2454</v>
      </c>
      <c r="E141" s="1675"/>
      <c r="F141" s="1876">
        <f t="shared" si="29"/>
        <v>7561.7694300000039</v>
      </c>
      <c r="G141" s="2001">
        <f t="shared" si="15"/>
        <v>0</v>
      </c>
      <c r="H141" s="1876">
        <f t="shared" si="16"/>
        <v>395.15484000000004</v>
      </c>
      <c r="I141" s="1785">
        <f t="shared" si="17"/>
        <v>0</v>
      </c>
      <c r="J141" s="1876">
        <f t="shared" si="18"/>
        <v>0</v>
      </c>
      <c r="K141" s="1786">
        <f t="shared" si="19"/>
        <v>0</v>
      </c>
      <c r="L141" s="1876">
        <f t="shared" si="20"/>
        <v>0</v>
      </c>
      <c r="M141" s="1786">
        <f t="shared" si="21"/>
        <v>0</v>
      </c>
      <c r="N141" s="1876">
        <f t="shared" si="22"/>
        <v>0</v>
      </c>
      <c r="O141" s="1787">
        <f t="shared" si="23"/>
        <v>0</v>
      </c>
      <c r="P141" s="1876">
        <f t="shared" si="24"/>
        <v>0</v>
      </c>
      <c r="Q141" s="1785">
        <f t="shared" si="25"/>
        <v>0</v>
      </c>
      <c r="R141" s="1787">
        <f t="shared" si="26"/>
        <v>7956.9242700000041</v>
      </c>
      <c r="S141" s="1786">
        <f t="shared" si="27"/>
        <v>0</v>
      </c>
      <c r="T141" s="1876">
        <f t="shared" si="28"/>
        <v>7759.3468499999999</v>
      </c>
      <c r="V141" s="1876">
        <v>7561769.4300000044</v>
      </c>
      <c r="W141" s="2001"/>
      <c r="X141" s="1876">
        <v>395154.84</v>
      </c>
      <c r="Y141" s="1785"/>
      <c r="Z141" s="1876">
        <v>0</v>
      </c>
      <c r="AA141" s="1786"/>
      <c r="AB141" s="1876">
        <v>0</v>
      </c>
      <c r="AC141" s="1786"/>
      <c r="AD141" s="1876">
        <v>0</v>
      </c>
      <c r="AE141" s="1787"/>
      <c r="AF141" s="1876">
        <v>0</v>
      </c>
      <c r="AG141" s="1785"/>
      <c r="AH141" s="1787">
        <v>7956924.2700000042</v>
      </c>
      <c r="AI141" s="1786"/>
      <c r="AJ141" s="1876">
        <v>7759346.8499999996</v>
      </c>
    </row>
    <row r="142" spans="1:36">
      <c r="A142" s="1675">
        <v>16</v>
      </c>
      <c r="B142" s="2015"/>
      <c r="C142" s="2009">
        <v>34644</v>
      </c>
      <c r="D142" s="1674" t="s">
        <v>2455</v>
      </c>
      <c r="F142" s="1876">
        <f t="shared" si="29"/>
        <v>252.98653999999999</v>
      </c>
      <c r="G142" s="2001">
        <f t="shared" si="15"/>
        <v>0</v>
      </c>
      <c r="H142" s="1876">
        <f t="shared" si="16"/>
        <v>15.98376</v>
      </c>
      <c r="I142" s="1785">
        <f t="shared" si="17"/>
        <v>0</v>
      </c>
      <c r="J142" s="1876">
        <f t="shared" si="18"/>
        <v>0</v>
      </c>
      <c r="K142" s="1786">
        <f t="shared" si="19"/>
        <v>0</v>
      </c>
      <c r="L142" s="1876">
        <f t="shared" si="20"/>
        <v>0</v>
      </c>
      <c r="M142" s="1786">
        <f t="shared" si="21"/>
        <v>0</v>
      </c>
      <c r="N142" s="1876">
        <f t="shared" si="22"/>
        <v>0</v>
      </c>
      <c r="O142" s="1787">
        <f t="shared" si="23"/>
        <v>0</v>
      </c>
      <c r="P142" s="1876">
        <f t="shared" si="24"/>
        <v>0</v>
      </c>
      <c r="Q142" s="1785">
        <f t="shared" si="25"/>
        <v>0</v>
      </c>
      <c r="R142" s="1787">
        <f t="shared" si="26"/>
        <v>268.97030000000001</v>
      </c>
      <c r="S142" s="1786">
        <f t="shared" si="27"/>
        <v>0</v>
      </c>
      <c r="T142" s="1876">
        <f t="shared" si="28"/>
        <v>260.97842000000003</v>
      </c>
      <c r="V142" s="1876">
        <v>252986.53999999998</v>
      </c>
      <c r="W142" s="2001"/>
      <c r="X142" s="1876">
        <v>15983.76</v>
      </c>
      <c r="Y142" s="1785"/>
      <c r="Z142" s="1876">
        <v>0</v>
      </c>
      <c r="AA142" s="1786"/>
      <c r="AB142" s="1876">
        <v>0</v>
      </c>
      <c r="AC142" s="1786"/>
      <c r="AD142" s="1876">
        <v>0</v>
      </c>
      <c r="AE142" s="1787"/>
      <c r="AF142" s="1876">
        <v>0</v>
      </c>
      <c r="AG142" s="1785"/>
      <c r="AH142" s="1787">
        <v>268970.3</v>
      </c>
      <c r="AI142" s="1786"/>
      <c r="AJ142" s="1876">
        <v>260978.42</v>
      </c>
    </row>
    <row r="143" spans="1:36">
      <c r="A143" s="1675">
        <v>17</v>
      </c>
      <c r="B143" s="2015"/>
      <c r="C143" s="2009"/>
      <c r="D143" s="2002" t="s">
        <v>8163</v>
      </c>
      <c r="E143" s="1675"/>
      <c r="F143" s="1788">
        <f t="shared" si="29"/>
        <v>20681.575579999997</v>
      </c>
      <c r="G143" s="1674">
        <f t="shared" si="15"/>
        <v>0</v>
      </c>
      <c r="H143" s="1788">
        <f t="shared" si="16"/>
        <v>1280.07276</v>
      </c>
      <c r="I143" s="1783">
        <f t="shared" si="17"/>
        <v>0</v>
      </c>
      <c r="J143" s="1788">
        <f t="shared" si="18"/>
        <v>0</v>
      </c>
      <c r="K143" s="1783">
        <f t="shared" si="19"/>
        <v>0</v>
      </c>
      <c r="L143" s="1788">
        <f t="shared" si="20"/>
        <v>0</v>
      </c>
      <c r="M143" s="1783">
        <f t="shared" si="21"/>
        <v>0</v>
      </c>
      <c r="N143" s="1788">
        <f t="shared" si="22"/>
        <v>0</v>
      </c>
      <c r="O143" s="1814">
        <f t="shared" si="23"/>
        <v>0</v>
      </c>
      <c r="P143" s="1788">
        <f t="shared" si="24"/>
        <v>0</v>
      </c>
      <c r="Q143" s="1783">
        <f t="shared" si="25"/>
        <v>0</v>
      </c>
      <c r="R143" s="1788">
        <f t="shared" si="26"/>
        <v>21961.64834</v>
      </c>
      <c r="S143" s="1783">
        <f t="shared" si="27"/>
        <v>0</v>
      </c>
      <c r="T143" s="1788">
        <f t="shared" si="28"/>
        <v>21321.611960000002</v>
      </c>
      <c r="V143" s="1788">
        <v>20681575.579999998</v>
      </c>
      <c r="X143" s="1788">
        <v>1280072.76</v>
      </c>
      <c r="Y143" s="1783"/>
      <c r="Z143" s="1788">
        <v>0</v>
      </c>
      <c r="AA143" s="1783"/>
      <c r="AB143" s="1788">
        <v>0</v>
      </c>
      <c r="AC143" s="1783"/>
      <c r="AD143" s="1788">
        <v>0</v>
      </c>
      <c r="AE143" s="1814"/>
      <c r="AF143" s="1788">
        <v>0</v>
      </c>
      <c r="AG143" s="1783"/>
      <c r="AH143" s="1788">
        <v>21961648.34</v>
      </c>
      <c r="AI143" s="1783"/>
      <c r="AJ143" s="1788">
        <v>21321611.960000001</v>
      </c>
    </row>
    <row r="144" spans="1:36">
      <c r="A144" s="1675">
        <v>18</v>
      </c>
      <c r="B144" s="2015"/>
      <c r="F144" s="1674">
        <f t="shared" si="29"/>
        <v>0</v>
      </c>
      <c r="G144" s="1674">
        <f t="shared" si="15"/>
        <v>0</v>
      </c>
      <c r="H144" s="1674">
        <f t="shared" si="16"/>
        <v>0</v>
      </c>
      <c r="I144" s="1674">
        <f t="shared" si="17"/>
        <v>0</v>
      </c>
      <c r="J144" s="1674">
        <f t="shared" si="18"/>
        <v>0</v>
      </c>
      <c r="K144" s="1674">
        <f t="shared" si="19"/>
        <v>0</v>
      </c>
      <c r="L144" s="1674">
        <f t="shared" si="20"/>
        <v>0</v>
      </c>
      <c r="M144" s="1674">
        <f t="shared" si="21"/>
        <v>0</v>
      </c>
      <c r="N144" s="1674">
        <f t="shared" si="22"/>
        <v>0</v>
      </c>
      <c r="O144" s="1674">
        <f t="shared" si="23"/>
        <v>0</v>
      </c>
      <c r="P144" s="1674">
        <f t="shared" si="24"/>
        <v>0</v>
      </c>
      <c r="Q144" s="2001">
        <f t="shared" si="25"/>
        <v>0</v>
      </c>
      <c r="R144" s="1674">
        <f t="shared" si="26"/>
        <v>0</v>
      </c>
      <c r="S144" s="1674">
        <f t="shared" si="27"/>
        <v>0</v>
      </c>
      <c r="T144" s="1674">
        <f t="shared" si="28"/>
        <v>0</v>
      </c>
      <c r="AG144" s="2001"/>
    </row>
    <row r="145" spans="1:36">
      <c r="A145" s="1675">
        <v>19</v>
      </c>
      <c r="B145" s="2015"/>
      <c r="C145" s="2009"/>
      <c r="D145" s="1674" t="s">
        <v>8164</v>
      </c>
      <c r="F145" s="1674">
        <f t="shared" si="29"/>
        <v>0</v>
      </c>
      <c r="G145" s="1674">
        <f t="shared" ref="G145:G208" si="30">+IF(ISNUMBER(W145),W145/1000,W145)</f>
        <v>0</v>
      </c>
      <c r="H145" s="1674">
        <f t="shared" ref="H145:H208" si="31">+IF(ISNUMBER(X145),X145/1000,X145)</f>
        <v>0</v>
      </c>
      <c r="I145" s="1674">
        <f t="shared" ref="I145:I208" si="32">+IF(ISNUMBER(Y145),Y145/1000,Y145)</f>
        <v>0</v>
      </c>
      <c r="J145" s="1674">
        <f t="shared" ref="J145:J208" si="33">+IF(ISNUMBER(Z145),Z145/1000,Z145)</f>
        <v>0</v>
      </c>
      <c r="K145" s="1674">
        <f t="shared" ref="K145:K208" si="34">+IF(ISNUMBER(AA145),AA145/1000,AA145)</f>
        <v>0</v>
      </c>
      <c r="L145" s="1674">
        <f t="shared" ref="L145:L208" si="35">+IF(ISNUMBER(AB145),AB145/1000,AB145)</f>
        <v>0</v>
      </c>
      <c r="M145" s="1674">
        <f t="shared" ref="M145:M208" si="36">+IF(ISNUMBER(AC145),AC145/1000,AC145)</f>
        <v>0</v>
      </c>
      <c r="N145" s="1674">
        <f t="shared" ref="N145:N208" si="37">+IF(ISNUMBER(AD145),AD145/1000,AD145)</f>
        <v>0</v>
      </c>
      <c r="O145" s="1674">
        <f t="shared" ref="O145:O208" si="38">+IF(ISNUMBER(AE145),AE145/1000,AE145)</f>
        <v>0</v>
      </c>
      <c r="P145" s="1674">
        <f t="shared" ref="P145:P208" si="39">+IF(ISNUMBER(AF145),AF145/1000,AF145)</f>
        <v>0</v>
      </c>
      <c r="Q145" s="2001">
        <f t="shared" ref="Q145:Q208" si="40">+IF(ISNUMBER(AG145),AG145/1000,AG145)</f>
        <v>0</v>
      </c>
      <c r="R145" s="1674">
        <f t="shared" ref="R145:R208" si="41">+IF(ISNUMBER(AH145),AH145/1000,AH145)</f>
        <v>0</v>
      </c>
      <c r="S145" s="1674">
        <f t="shared" ref="S145:S208" si="42">+IF(ISNUMBER(AI145),AI145/1000,AI145)</f>
        <v>0</v>
      </c>
      <c r="T145" s="1674">
        <f t="shared" ref="T145:T208" si="43">+IF(ISNUMBER(AJ145),AJ145/1000,AJ145)</f>
        <v>0</v>
      </c>
      <c r="AG145" s="2001"/>
    </row>
    <row r="146" spans="1:36">
      <c r="A146" s="1675">
        <v>20</v>
      </c>
      <c r="B146" s="2015"/>
      <c r="C146" s="2009">
        <v>34145</v>
      </c>
      <c r="D146" s="1674" t="s">
        <v>2449</v>
      </c>
      <c r="F146" s="1876">
        <f t="shared" ref="F146:F209" si="44">+IF(ISNUMBER(V146),V146/1000,V146)</f>
        <v>0</v>
      </c>
      <c r="G146" s="2001">
        <f t="shared" si="30"/>
        <v>0</v>
      </c>
      <c r="H146" s="1876">
        <f t="shared" si="31"/>
        <v>0</v>
      </c>
      <c r="I146" s="1785">
        <f t="shared" si="32"/>
        <v>0</v>
      </c>
      <c r="J146" s="1876">
        <f t="shared" si="33"/>
        <v>0</v>
      </c>
      <c r="K146" s="1786">
        <f t="shared" si="34"/>
        <v>0</v>
      </c>
      <c r="L146" s="1876">
        <f t="shared" si="35"/>
        <v>0</v>
      </c>
      <c r="M146" s="1786">
        <f t="shared" si="36"/>
        <v>0</v>
      </c>
      <c r="N146" s="1876">
        <f t="shared" si="37"/>
        <v>0</v>
      </c>
      <c r="O146" s="1787">
        <f t="shared" si="38"/>
        <v>0</v>
      </c>
      <c r="P146" s="1876">
        <f t="shared" si="39"/>
        <v>0</v>
      </c>
      <c r="Q146" s="1785">
        <f t="shared" si="40"/>
        <v>0</v>
      </c>
      <c r="R146" s="1787">
        <f t="shared" si="41"/>
        <v>0</v>
      </c>
      <c r="S146" s="1786">
        <f t="shared" si="42"/>
        <v>0</v>
      </c>
      <c r="T146" s="1876">
        <f t="shared" si="43"/>
        <v>0</v>
      </c>
      <c r="V146" s="1876">
        <v>0</v>
      </c>
      <c r="W146" s="2001"/>
      <c r="X146" s="1876">
        <v>0</v>
      </c>
      <c r="Y146" s="1785"/>
      <c r="Z146" s="1876">
        <v>0</v>
      </c>
      <c r="AA146" s="1786"/>
      <c r="AB146" s="1876">
        <v>0</v>
      </c>
      <c r="AC146" s="1786"/>
      <c r="AD146" s="1876">
        <v>0</v>
      </c>
      <c r="AE146" s="1787"/>
      <c r="AF146" s="1876">
        <v>0</v>
      </c>
      <c r="AG146" s="1785"/>
      <c r="AH146" s="1787">
        <v>0</v>
      </c>
      <c r="AI146" s="1786"/>
      <c r="AJ146" s="1876">
        <v>0</v>
      </c>
    </row>
    <row r="147" spans="1:36">
      <c r="A147" s="1675">
        <v>21</v>
      </c>
      <c r="B147" s="2015"/>
      <c r="C147" s="2009">
        <v>34245</v>
      </c>
      <c r="D147" s="1674" t="s">
        <v>2495</v>
      </c>
      <c r="F147" s="1876">
        <f t="shared" si="44"/>
        <v>-15.387880000000001</v>
      </c>
      <c r="G147" s="2001">
        <f t="shared" si="30"/>
        <v>0</v>
      </c>
      <c r="H147" s="1876">
        <f t="shared" si="31"/>
        <v>14.44065</v>
      </c>
      <c r="I147" s="1785">
        <f t="shared" si="32"/>
        <v>0</v>
      </c>
      <c r="J147" s="1876">
        <f t="shared" si="33"/>
        <v>0</v>
      </c>
      <c r="K147" s="1786">
        <f t="shared" si="34"/>
        <v>0</v>
      </c>
      <c r="L147" s="1876">
        <f t="shared" si="35"/>
        <v>-20</v>
      </c>
      <c r="M147" s="1786">
        <f t="shared" si="36"/>
        <v>0</v>
      </c>
      <c r="N147" s="1876">
        <f t="shared" si="37"/>
        <v>0</v>
      </c>
      <c r="O147" s="1787">
        <f t="shared" si="38"/>
        <v>0</v>
      </c>
      <c r="P147" s="1876">
        <f t="shared" si="39"/>
        <v>0</v>
      </c>
      <c r="Q147" s="1785">
        <f t="shared" si="40"/>
        <v>0</v>
      </c>
      <c r="R147" s="1787">
        <f t="shared" si="41"/>
        <v>-20.947230000000005</v>
      </c>
      <c r="S147" s="1786">
        <f t="shared" si="42"/>
        <v>0</v>
      </c>
      <c r="T147" s="1876">
        <f t="shared" si="43"/>
        <v>-18.885390000000001</v>
      </c>
      <c r="V147" s="1876">
        <v>-15387.880000000001</v>
      </c>
      <c r="W147" s="2001"/>
      <c r="X147" s="1876">
        <v>14440.65</v>
      </c>
      <c r="Y147" s="1785"/>
      <c r="Z147" s="1876">
        <v>0</v>
      </c>
      <c r="AA147" s="1786"/>
      <c r="AB147" s="1876">
        <v>-20000</v>
      </c>
      <c r="AC147" s="1786"/>
      <c r="AD147" s="1876">
        <v>0</v>
      </c>
      <c r="AE147" s="1787"/>
      <c r="AF147" s="1876">
        <v>0</v>
      </c>
      <c r="AG147" s="1785"/>
      <c r="AH147" s="1787">
        <v>-20947.230000000003</v>
      </c>
      <c r="AI147" s="1786"/>
      <c r="AJ147" s="1876">
        <v>-18885.39</v>
      </c>
    </row>
    <row r="148" spans="1:36">
      <c r="A148" s="1675">
        <v>22</v>
      </c>
      <c r="B148" s="2015"/>
      <c r="C148" s="2009">
        <v>34345</v>
      </c>
      <c r="D148" s="1674" t="s">
        <v>2496</v>
      </c>
      <c r="F148" s="1876">
        <f t="shared" si="44"/>
        <v>14396.000979999999</v>
      </c>
      <c r="G148" s="2001">
        <f t="shared" si="30"/>
        <v>0</v>
      </c>
      <c r="H148" s="1876">
        <f t="shared" si="31"/>
        <v>6191.51343</v>
      </c>
      <c r="I148" s="1785">
        <f t="shared" si="32"/>
        <v>0</v>
      </c>
      <c r="J148" s="1876">
        <f t="shared" si="33"/>
        <v>0</v>
      </c>
      <c r="K148" s="1786">
        <f t="shared" si="34"/>
        <v>0</v>
      </c>
      <c r="L148" s="1876">
        <f t="shared" si="35"/>
        <v>-20</v>
      </c>
      <c r="M148" s="1786">
        <f t="shared" si="36"/>
        <v>0</v>
      </c>
      <c r="N148" s="1876">
        <f t="shared" si="37"/>
        <v>0</v>
      </c>
      <c r="O148" s="1787">
        <f t="shared" si="38"/>
        <v>0</v>
      </c>
      <c r="P148" s="1876">
        <f t="shared" si="39"/>
        <v>0</v>
      </c>
      <c r="Q148" s="1785">
        <f t="shared" si="40"/>
        <v>0</v>
      </c>
      <c r="R148" s="1787">
        <f t="shared" si="41"/>
        <v>20567.514409999996</v>
      </c>
      <c r="S148" s="1786">
        <f t="shared" si="42"/>
        <v>0</v>
      </c>
      <c r="T148" s="1876">
        <f t="shared" si="43"/>
        <v>17481.09302</v>
      </c>
      <c r="V148" s="1876">
        <v>14396000.979999999</v>
      </c>
      <c r="W148" s="2001"/>
      <c r="X148" s="1876">
        <v>6191513.4299999997</v>
      </c>
      <c r="Y148" s="1785"/>
      <c r="Z148" s="1876">
        <v>0</v>
      </c>
      <c r="AA148" s="1786"/>
      <c r="AB148" s="1876">
        <v>-20000</v>
      </c>
      <c r="AC148" s="1786"/>
      <c r="AD148" s="1876">
        <v>0</v>
      </c>
      <c r="AE148" s="1787"/>
      <c r="AF148" s="1876">
        <v>0</v>
      </c>
      <c r="AG148" s="1785"/>
      <c r="AH148" s="1787">
        <v>20567514.409999996</v>
      </c>
      <c r="AI148" s="1786"/>
      <c r="AJ148" s="1876">
        <v>17481093.02</v>
      </c>
    </row>
    <row r="149" spans="1:36">
      <c r="A149" s="1675">
        <v>23</v>
      </c>
      <c r="B149" s="2015"/>
      <c r="C149" s="2009">
        <v>34545</v>
      </c>
      <c r="D149" s="1674" t="s">
        <v>2454</v>
      </c>
      <c r="F149" s="1876">
        <f t="shared" si="44"/>
        <v>1.7043599999999999</v>
      </c>
      <c r="G149" s="2001">
        <f t="shared" si="30"/>
        <v>0</v>
      </c>
      <c r="H149" s="1876">
        <f t="shared" si="31"/>
        <v>1.1107199999999999</v>
      </c>
      <c r="I149" s="1785">
        <f t="shared" si="32"/>
        <v>0</v>
      </c>
      <c r="J149" s="1876">
        <f t="shared" si="33"/>
        <v>0</v>
      </c>
      <c r="K149" s="1786">
        <f t="shared" si="34"/>
        <v>0</v>
      </c>
      <c r="L149" s="1876">
        <f t="shared" si="35"/>
        <v>0</v>
      </c>
      <c r="M149" s="1786">
        <f t="shared" si="36"/>
        <v>0</v>
      </c>
      <c r="N149" s="1876">
        <f t="shared" si="37"/>
        <v>0</v>
      </c>
      <c r="O149" s="1787">
        <f t="shared" si="38"/>
        <v>0</v>
      </c>
      <c r="P149" s="1876">
        <f t="shared" si="39"/>
        <v>0</v>
      </c>
      <c r="Q149" s="1785">
        <f t="shared" si="40"/>
        <v>0</v>
      </c>
      <c r="R149" s="1787">
        <f t="shared" si="41"/>
        <v>2.81508</v>
      </c>
      <c r="S149" s="1786">
        <f t="shared" si="42"/>
        <v>0</v>
      </c>
      <c r="T149" s="1876">
        <f t="shared" si="43"/>
        <v>2.2597199999999997</v>
      </c>
      <c r="V149" s="1876">
        <v>1704.36</v>
      </c>
      <c r="W149" s="2001"/>
      <c r="X149" s="1876">
        <v>1110.72</v>
      </c>
      <c r="Y149" s="1785"/>
      <c r="Z149" s="1876">
        <v>0</v>
      </c>
      <c r="AA149" s="1786"/>
      <c r="AB149" s="1876">
        <v>0</v>
      </c>
      <c r="AC149" s="1786"/>
      <c r="AD149" s="1876">
        <v>0</v>
      </c>
      <c r="AE149" s="1787"/>
      <c r="AF149" s="1876">
        <v>0</v>
      </c>
      <c r="AG149" s="1785"/>
      <c r="AH149" s="1787">
        <v>2815.08</v>
      </c>
      <c r="AI149" s="1786"/>
      <c r="AJ149" s="1876">
        <v>2259.7199999999998</v>
      </c>
    </row>
    <row r="150" spans="1:36">
      <c r="A150" s="1675">
        <v>24</v>
      </c>
      <c r="B150" s="2015"/>
      <c r="C150" s="2009">
        <v>34645</v>
      </c>
      <c r="D150" s="1674" t="s">
        <v>2455</v>
      </c>
      <c r="F150" s="1876">
        <f t="shared" si="44"/>
        <v>0</v>
      </c>
      <c r="G150" s="2001">
        <f t="shared" si="30"/>
        <v>0</v>
      </c>
      <c r="H150" s="1876">
        <f t="shared" si="31"/>
        <v>0</v>
      </c>
      <c r="I150" s="1785">
        <f t="shared" si="32"/>
        <v>0</v>
      </c>
      <c r="J150" s="1876">
        <f t="shared" si="33"/>
        <v>0</v>
      </c>
      <c r="K150" s="1786">
        <f t="shared" si="34"/>
        <v>0</v>
      </c>
      <c r="L150" s="1876">
        <f t="shared" si="35"/>
        <v>0</v>
      </c>
      <c r="M150" s="1786">
        <f t="shared" si="36"/>
        <v>0</v>
      </c>
      <c r="N150" s="1876">
        <f t="shared" si="37"/>
        <v>0</v>
      </c>
      <c r="O150" s="1787">
        <f t="shared" si="38"/>
        <v>0</v>
      </c>
      <c r="P150" s="1876">
        <f t="shared" si="39"/>
        <v>0</v>
      </c>
      <c r="Q150" s="1785">
        <f t="shared" si="40"/>
        <v>0</v>
      </c>
      <c r="R150" s="1787">
        <f t="shared" si="41"/>
        <v>0</v>
      </c>
      <c r="S150" s="1786">
        <f t="shared" si="42"/>
        <v>0</v>
      </c>
      <c r="T150" s="1876">
        <f t="shared" si="43"/>
        <v>0</v>
      </c>
      <c r="V150" s="1876">
        <v>0</v>
      </c>
      <c r="W150" s="2001"/>
      <c r="X150" s="1876">
        <v>0</v>
      </c>
      <c r="Y150" s="1785"/>
      <c r="Z150" s="1876">
        <v>0</v>
      </c>
      <c r="AA150" s="1786"/>
      <c r="AB150" s="1876">
        <v>0</v>
      </c>
      <c r="AC150" s="1786"/>
      <c r="AD150" s="1876">
        <v>0</v>
      </c>
      <c r="AE150" s="1787"/>
      <c r="AF150" s="1876">
        <v>0</v>
      </c>
      <c r="AG150" s="1785"/>
      <c r="AH150" s="1787">
        <v>0</v>
      </c>
      <c r="AI150" s="1786"/>
      <c r="AJ150" s="1876">
        <v>0</v>
      </c>
    </row>
    <row r="151" spans="1:36">
      <c r="A151" s="1675">
        <v>25</v>
      </c>
      <c r="B151" s="2015"/>
      <c r="C151" s="2009"/>
      <c r="D151" s="2002" t="s">
        <v>8165</v>
      </c>
      <c r="F151" s="1788">
        <f t="shared" si="44"/>
        <v>14382.317459999997</v>
      </c>
      <c r="G151" s="1674">
        <f t="shared" si="30"/>
        <v>0</v>
      </c>
      <c r="H151" s="1788">
        <f t="shared" si="31"/>
        <v>6207.0648000000001</v>
      </c>
      <c r="I151" s="1783">
        <f t="shared" si="32"/>
        <v>0</v>
      </c>
      <c r="J151" s="1788">
        <f t="shared" si="33"/>
        <v>0</v>
      </c>
      <c r="K151" s="1783">
        <f t="shared" si="34"/>
        <v>0</v>
      </c>
      <c r="L151" s="1788">
        <f t="shared" si="35"/>
        <v>-40</v>
      </c>
      <c r="M151" s="1783">
        <f t="shared" si="36"/>
        <v>0</v>
      </c>
      <c r="N151" s="1788">
        <f t="shared" si="37"/>
        <v>0</v>
      </c>
      <c r="O151" s="1814">
        <f t="shared" si="38"/>
        <v>0</v>
      </c>
      <c r="P151" s="1788">
        <f t="shared" si="39"/>
        <v>0</v>
      </c>
      <c r="Q151" s="1783">
        <f t="shared" si="40"/>
        <v>0</v>
      </c>
      <c r="R151" s="1788">
        <f t="shared" si="41"/>
        <v>20549.382259999995</v>
      </c>
      <c r="S151" s="1783">
        <f t="shared" si="42"/>
        <v>0</v>
      </c>
      <c r="T151" s="1788">
        <f t="shared" si="43"/>
        <v>17464.467349999999</v>
      </c>
      <c r="V151" s="1788">
        <v>14382317.459999997</v>
      </c>
      <c r="X151" s="1788">
        <v>6207064.7999999998</v>
      </c>
      <c r="Y151" s="1783"/>
      <c r="Z151" s="1788">
        <v>0</v>
      </c>
      <c r="AA151" s="1783"/>
      <c r="AB151" s="1788">
        <v>-40000</v>
      </c>
      <c r="AC151" s="1783"/>
      <c r="AD151" s="1788">
        <v>0</v>
      </c>
      <c r="AE151" s="1814"/>
      <c r="AF151" s="1788">
        <v>0</v>
      </c>
      <c r="AG151" s="1783"/>
      <c r="AH151" s="1788">
        <v>20549382.259999994</v>
      </c>
      <c r="AI151" s="1783"/>
      <c r="AJ151" s="1788">
        <v>17464467.349999998</v>
      </c>
    </row>
    <row r="152" spans="1:36">
      <c r="A152" s="1675">
        <v>26</v>
      </c>
      <c r="B152" s="2015"/>
      <c r="C152" s="1675"/>
      <c r="D152" s="1675"/>
      <c r="E152" s="1675"/>
      <c r="F152" s="2028">
        <f t="shared" si="44"/>
        <v>0</v>
      </c>
      <c r="G152" s="2028">
        <f t="shared" si="30"/>
        <v>0</v>
      </c>
      <c r="H152" s="1787">
        <f t="shared" si="31"/>
        <v>0</v>
      </c>
      <c r="I152" s="1783">
        <f t="shared" si="32"/>
        <v>0</v>
      </c>
      <c r="J152" s="1787">
        <f t="shared" si="33"/>
        <v>0</v>
      </c>
      <c r="K152" s="1783">
        <f t="shared" si="34"/>
        <v>0</v>
      </c>
      <c r="L152" s="1787">
        <f t="shared" si="35"/>
        <v>0</v>
      </c>
      <c r="M152" s="1783">
        <f t="shared" si="36"/>
        <v>0</v>
      </c>
      <c r="N152" s="1787">
        <f t="shared" si="37"/>
        <v>0</v>
      </c>
      <c r="O152" s="1787">
        <f t="shared" si="38"/>
        <v>0</v>
      </c>
      <c r="P152" s="1787">
        <f t="shared" si="39"/>
        <v>0</v>
      </c>
      <c r="Q152" s="1783">
        <f t="shared" si="40"/>
        <v>0</v>
      </c>
      <c r="R152" s="1787">
        <f t="shared" si="41"/>
        <v>0</v>
      </c>
      <c r="S152" s="1783">
        <f t="shared" si="42"/>
        <v>0</v>
      </c>
      <c r="T152" s="1787">
        <f t="shared" si="43"/>
        <v>0</v>
      </c>
      <c r="V152" s="2028"/>
      <c r="W152" s="2028"/>
      <c r="X152" s="1787"/>
      <c r="Y152" s="1783"/>
      <c r="Z152" s="1787"/>
      <c r="AA152" s="1783"/>
      <c r="AB152" s="1787"/>
      <c r="AC152" s="1783"/>
      <c r="AD152" s="1787"/>
      <c r="AE152" s="1787"/>
      <c r="AF152" s="1787"/>
      <c r="AG152" s="1783"/>
      <c r="AH152" s="1787"/>
      <c r="AI152" s="1783"/>
      <c r="AJ152" s="1787"/>
    </row>
    <row r="153" spans="1:36">
      <c r="A153" s="1675">
        <v>27</v>
      </c>
      <c r="B153" s="2015"/>
      <c r="C153" s="2009"/>
      <c r="D153" s="1674" t="s">
        <v>8166</v>
      </c>
      <c r="F153" s="1674">
        <f t="shared" si="44"/>
        <v>0</v>
      </c>
      <c r="G153" s="1674">
        <f t="shared" si="30"/>
        <v>0</v>
      </c>
      <c r="H153" s="1674">
        <f t="shared" si="31"/>
        <v>0</v>
      </c>
      <c r="I153" s="1674">
        <f t="shared" si="32"/>
        <v>0</v>
      </c>
      <c r="J153" s="1674">
        <f t="shared" si="33"/>
        <v>0</v>
      </c>
      <c r="K153" s="1674">
        <f t="shared" si="34"/>
        <v>0</v>
      </c>
      <c r="L153" s="1674">
        <f t="shared" si="35"/>
        <v>0</v>
      </c>
      <c r="M153" s="1674">
        <f t="shared" si="36"/>
        <v>0</v>
      </c>
      <c r="N153" s="1674">
        <f t="shared" si="37"/>
        <v>0</v>
      </c>
      <c r="O153" s="1674">
        <f t="shared" si="38"/>
        <v>0</v>
      </c>
      <c r="P153" s="1674">
        <f t="shared" si="39"/>
        <v>0</v>
      </c>
      <c r="Q153" s="2001">
        <f t="shared" si="40"/>
        <v>0</v>
      </c>
      <c r="R153" s="1674">
        <f t="shared" si="41"/>
        <v>0</v>
      </c>
      <c r="S153" s="1674">
        <f t="shared" si="42"/>
        <v>0</v>
      </c>
      <c r="T153" s="1674">
        <f t="shared" si="43"/>
        <v>0</v>
      </c>
      <c r="AG153" s="2001"/>
    </row>
    <row r="154" spans="1:36">
      <c r="A154" s="1675">
        <v>28</v>
      </c>
      <c r="B154" s="2015"/>
      <c r="C154" s="2009">
        <v>34146</v>
      </c>
      <c r="D154" s="1674" t="s">
        <v>2449</v>
      </c>
      <c r="F154" s="1876">
        <f t="shared" si="44"/>
        <v>0</v>
      </c>
      <c r="G154" s="2001">
        <f t="shared" si="30"/>
        <v>0</v>
      </c>
      <c r="H154" s="1876">
        <f t="shared" si="31"/>
        <v>0</v>
      </c>
      <c r="I154" s="1785">
        <f t="shared" si="32"/>
        <v>0</v>
      </c>
      <c r="J154" s="1876">
        <f t="shared" si="33"/>
        <v>0</v>
      </c>
      <c r="K154" s="1786">
        <f t="shared" si="34"/>
        <v>0</v>
      </c>
      <c r="L154" s="1876">
        <f t="shared" si="35"/>
        <v>0</v>
      </c>
      <c r="M154" s="1786">
        <f t="shared" si="36"/>
        <v>0</v>
      </c>
      <c r="N154" s="1876">
        <f t="shared" si="37"/>
        <v>0</v>
      </c>
      <c r="O154" s="1787">
        <f t="shared" si="38"/>
        <v>0</v>
      </c>
      <c r="P154" s="1876">
        <f t="shared" si="39"/>
        <v>0</v>
      </c>
      <c r="Q154" s="1785">
        <f t="shared" si="40"/>
        <v>0</v>
      </c>
      <c r="R154" s="1787">
        <f t="shared" si="41"/>
        <v>0</v>
      </c>
      <c r="S154" s="1786">
        <f t="shared" si="42"/>
        <v>0</v>
      </c>
      <c r="T154" s="1876">
        <f t="shared" si="43"/>
        <v>0</v>
      </c>
      <c r="V154" s="1876">
        <v>0</v>
      </c>
      <c r="W154" s="2001"/>
      <c r="X154" s="1876">
        <v>0</v>
      </c>
      <c r="Y154" s="1785"/>
      <c r="Z154" s="1876">
        <v>0</v>
      </c>
      <c r="AA154" s="1786"/>
      <c r="AB154" s="1876">
        <v>0</v>
      </c>
      <c r="AC154" s="1786"/>
      <c r="AD154" s="1876">
        <v>0</v>
      </c>
      <c r="AE154" s="1787"/>
      <c r="AF154" s="1876">
        <v>0</v>
      </c>
      <c r="AG154" s="1785"/>
      <c r="AH154" s="1787">
        <v>0</v>
      </c>
      <c r="AI154" s="1786"/>
      <c r="AJ154" s="1876">
        <v>0</v>
      </c>
    </row>
    <row r="155" spans="1:36">
      <c r="A155" s="1675">
        <v>29</v>
      </c>
      <c r="B155" s="2015"/>
      <c r="C155" s="2009">
        <v>34246</v>
      </c>
      <c r="D155" s="1674" t="s">
        <v>2495</v>
      </c>
      <c r="F155" s="1876">
        <f t="shared" si="44"/>
        <v>-15.044130000000001</v>
      </c>
      <c r="G155" s="2001">
        <f t="shared" si="30"/>
        <v>0</v>
      </c>
      <c r="H155" s="1876">
        <f t="shared" si="31"/>
        <v>14.166120000000001</v>
      </c>
      <c r="I155" s="1785">
        <f t="shared" si="32"/>
        <v>0</v>
      </c>
      <c r="J155" s="1876">
        <f t="shared" si="33"/>
        <v>0</v>
      </c>
      <c r="K155" s="1786">
        <f t="shared" si="34"/>
        <v>0</v>
      </c>
      <c r="L155" s="1876">
        <f t="shared" si="35"/>
        <v>0</v>
      </c>
      <c r="M155" s="1786">
        <f t="shared" si="36"/>
        <v>0</v>
      </c>
      <c r="N155" s="1876">
        <f t="shared" si="37"/>
        <v>0</v>
      </c>
      <c r="O155" s="1787">
        <f t="shared" si="38"/>
        <v>0</v>
      </c>
      <c r="P155" s="1876">
        <f t="shared" si="39"/>
        <v>0</v>
      </c>
      <c r="Q155" s="1785">
        <f t="shared" si="40"/>
        <v>0</v>
      </c>
      <c r="R155" s="1787">
        <f t="shared" si="41"/>
        <v>-0.87801000000000018</v>
      </c>
      <c r="S155" s="1786">
        <f t="shared" si="42"/>
        <v>0</v>
      </c>
      <c r="T155" s="1876">
        <f t="shared" si="43"/>
        <v>-7.9610699999999994</v>
      </c>
      <c r="V155" s="1876">
        <v>-15044.130000000001</v>
      </c>
      <c r="W155" s="2001"/>
      <c r="X155" s="1876">
        <v>14166.12</v>
      </c>
      <c r="Y155" s="1785"/>
      <c r="Z155" s="1876">
        <v>0</v>
      </c>
      <c r="AA155" s="1786"/>
      <c r="AB155" s="1876">
        <v>0</v>
      </c>
      <c r="AC155" s="1786"/>
      <c r="AD155" s="1876">
        <v>0</v>
      </c>
      <c r="AE155" s="1787"/>
      <c r="AF155" s="1876">
        <v>0</v>
      </c>
      <c r="AG155" s="1785"/>
      <c r="AH155" s="1787">
        <v>-878.01000000000022</v>
      </c>
      <c r="AI155" s="1786"/>
      <c r="AJ155" s="1876">
        <v>-7961.07</v>
      </c>
    </row>
    <row r="156" spans="1:36">
      <c r="A156" s="1675">
        <v>30</v>
      </c>
      <c r="B156" s="2015"/>
      <c r="C156" s="2009">
        <v>34346</v>
      </c>
      <c r="D156" s="1674" t="s">
        <v>2496</v>
      </c>
      <c r="F156" s="1876">
        <f t="shared" si="44"/>
        <v>14305.937169999997</v>
      </c>
      <c r="G156" s="2001">
        <f t="shared" si="30"/>
        <v>0</v>
      </c>
      <c r="H156" s="1876">
        <f t="shared" si="31"/>
        <v>6147.2751600000001</v>
      </c>
      <c r="I156" s="1785">
        <f t="shared" si="32"/>
        <v>0</v>
      </c>
      <c r="J156" s="1876">
        <f t="shared" si="33"/>
        <v>0</v>
      </c>
      <c r="K156" s="1786">
        <f t="shared" si="34"/>
        <v>0</v>
      </c>
      <c r="L156" s="1876">
        <f t="shared" si="35"/>
        <v>0</v>
      </c>
      <c r="M156" s="1786">
        <f t="shared" si="36"/>
        <v>0</v>
      </c>
      <c r="N156" s="1876">
        <f t="shared" si="37"/>
        <v>0</v>
      </c>
      <c r="O156" s="1787">
        <f t="shared" si="38"/>
        <v>0</v>
      </c>
      <c r="P156" s="1876">
        <f t="shared" si="39"/>
        <v>0</v>
      </c>
      <c r="Q156" s="1785">
        <f t="shared" si="40"/>
        <v>0</v>
      </c>
      <c r="R156" s="1787">
        <f t="shared" si="41"/>
        <v>20453.212329999998</v>
      </c>
      <c r="S156" s="1786">
        <f t="shared" si="42"/>
        <v>0</v>
      </c>
      <c r="T156" s="1876">
        <f t="shared" si="43"/>
        <v>17379.57475</v>
      </c>
      <c r="V156" s="1876">
        <v>14305937.169999998</v>
      </c>
      <c r="W156" s="2001"/>
      <c r="X156" s="1876">
        <v>6147275.1600000001</v>
      </c>
      <c r="Y156" s="1785"/>
      <c r="Z156" s="1876">
        <v>0</v>
      </c>
      <c r="AA156" s="1786"/>
      <c r="AB156" s="1876">
        <v>0</v>
      </c>
      <c r="AC156" s="1786"/>
      <c r="AD156" s="1876">
        <v>0</v>
      </c>
      <c r="AE156" s="1787"/>
      <c r="AF156" s="1876">
        <v>0</v>
      </c>
      <c r="AG156" s="1785"/>
      <c r="AH156" s="1787">
        <v>20453212.329999998</v>
      </c>
      <c r="AI156" s="1786"/>
      <c r="AJ156" s="1876">
        <v>17379574.75</v>
      </c>
    </row>
    <row r="157" spans="1:36">
      <c r="A157" s="1675">
        <v>31</v>
      </c>
      <c r="B157" s="2015"/>
      <c r="C157" s="2009">
        <v>34546</v>
      </c>
      <c r="D157" s="1674" t="s">
        <v>2454</v>
      </c>
      <c r="F157" s="1876">
        <f t="shared" si="44"/>
        <v>0.68647000000000002</v>
      </c>
      <c r="G157" s="2001">
        <f t="shared" si="30"/>
        <v>0</v>
      </c>
      <c r="H157" s="1876">
        <f t="shared" si="31"/>
        <v>0.36275999999999997</v>
      </c>
      <c r="I157" s="1785">
        <f t="shared" si="32"/>
        <v>0</v>
      </c>
      <c r="J157" s="1876">
        <f t="shared" si="33"/>
        <v>0</v>
      </c>
      <c r="K157" s="1786">
        <f t="shared" si="34"/>
        <v>0</v>
      </c>
      <c r="L157" s="1876">
        <f t="shared" si="35"/>
        <v>0</v>
      </c>
      <c r="M157" s="1786">
        <f t="shared" si="36"/>
        <v>0</v>
      </c>
      <c r="N157" s="1876">
        <f t="shared" si="37"/>
        <v>0</v>
      </c>
      <c r="O157" s="1787">
        <f t="shared" si="38"/>
        <v>0</v>
      </c>
      <c r="P157" s="1876">
        <f t="shared" si="39"/>
        <v>0</v>
      </c>
      <c r="Q157" s="1785">
        <f t="shared" si="40"/>
        <v>0</v>
      </c>
      <c r="R157" s="1787">
        <f t="shared" si="41"/>
        <v>1.0492300000000001</v>
      </c>
      <c r="S157" s="1786">
        <f t="shared" si="42"/>
        <v>0</v>
      </c>
      <c r="T157" s="1876">
        <f t="shared" si="43"/>
        <v>0.86785000000000001</v>
      </c>
      <c r="V157" s="1876">
        <v>686.47</v>
      </c>
      <c r="W157" s="2001"/>
      <c r="X157" s="1876">
        <v>362.76</v>
      </c>
      <c r="Y157" s="1785"/>
      <c r="Z157" s="1876">
        <v>0</v>
      </c>
      <c r="AA157" s="1786"/>
      <c r="AB157" s="1876">
        <v>0</v>
      </c>
      <c r="AC157" s="1786"/>
      <c r="AD157" s="1876">
        <v>0</v>
      </c>
      <c r="AE157" s="1787"/>
      <c r="AF157" s="1876">
        <v>0</v>
      </c>
      <c r="AG157" s="1785"/>
      <c r="AH157" s="1787">
        <v>1049.23</v>
      </c>
      <c r="AI157" s="1786"/>
      <c r="AJ157" s="1876">
        <v>867.85</v>
      </c>
    </row>
    <row r="158" spans="1:36">
      <c r="A158" s="1675">
        <v>32</v>
      </c>
      <c r="B158" s="2015"/>
      <c r="C158" s="2009">
        <v>34646</v>
      </c>
      <c r="D158" s="1674" t="s">
        <v>2455</v>
      </c>
      <c r="F158" s="1876">
        <f t="shared" si="44"/>
        <v>0</v>
      </c>
      <c r="G158" s="2001">
        <f t="shared" si="30"/>
        <v>0</v>
      </c>
      <c r="H158" s="1876">
        <f t="shared" si="31"/>
        <v>0</v>
      </c>
      <c r="I158" s="1785">
        <f t="shared" si="32"/>
        <v>0</v>
      </c>
      <c r="J158" s="1876">
        <f t="shared" si="33"/>
        <v>0</v>
      </c>
      <c r="K158" s="1786">
        <f t="shared" si="34"/>
        <v>0</v>
      </c>
      <c r="L158" s="1876">
        <f t="shared" si="35"/>
        <v>0</v>
      </c>
      <c r="M158" s="1786">
        <f t="shared" si="36"/>
        <v>0</v>
      </c>
      <c r="N158" s="1876">
        <f t="shared" si="37"/>
        <v>0</v>
      </c>
      <c r="O158" s="1787">
        <f t="shared" si="38"/>
        <v>0</v>
      </c>
      <c r="P158" s="1876">
        <f t="shared" si="39"/>
        <v>0</v>
      </c>
      <c r="Q158" s="1785">
        <f t="shared" si="40"/>
        <v>0</v>
      </c>
      <c r="R158" s="1787">
        <f t="shared" si="41"/>
        <v>0</v>
      </c>
      <c r="S158" s="1786">
        <f t="shared" si="42"/>
        <v>0</v>
      </c>
      <c r="T158" s="1876">
        <f t="shared" si="43"/>
        <v>0</v>
      </c>
      <c r="V158" s="1876">
        <v>0</v>
      </c>
      <c r="W158" s="2001"/>
      <c r="X158" s="1876">
        <v>0</v>
      </c>
      <c r="Y158" s="1785"/>
      <c r="Z158" s="1876">
        <v>0</v>
      </c>
      <c r="AA158" s="1786"/>
      <c r="AB158" s="1876">
        <v>0</v>
      </c>
      <c r="AC158" s="1786"/>
      <c r="AD158" s="1876">
        <v>0</v>
      </c>
      <c r="AE158" s="1787"/>
      <c r="AF158" s="1876">
        <v>0</v>
      </c>
      <c r="AG158" s="1785"/>
      <c r="AH158" s="1787">
        <v>0</v>
      </c>
      <c r="AI158" s="1786"/>
      <c r="AJ158" s="1876">
        <v>0</v>
      </c>
    </row>
    <row r="159" spans="1:36">
      <c r="A159" s="1675">
        <v>33</v>
      </c>
      <c r="B159" s="2015"/>
      <c r="D159" s="2002" t="s">
        <v>8167</v>
      </c>
      <c r="F159" s="1788">
        <f t="shared" si="44"/>
        <v>14291.579509999998</v>
      </c>
      <c r="G159" s="1674">
        <f t="shared" si="30"/>
        <v>0</v>
      </c>
      <c r="H159" s="1788">
        <f t="shared" si="31"/>
        <v>6161.80404</v>
      </c>
      <c r="I159" s="1783">
        <f t="shared" si="32"/>
        <v>0</v>
      </c>
      <c r="J159" s="1788">
        <f t="shared" si="33"/>
        <v>0</v>
      </c>
      <c r="K159" s="1783">
        <f t="shared" si="34"/>
        <v>0</v>
      </c>
      <c r="L159" s="1788">
        <f t="shared" si="35"/>
        <v>0</v>
      </c>
      <c r="M159" s="1783">
        <f t="shared" si="36"/>
        <v>0</v>
      </c>
      <c r="N159" s="1788">
        <f t="shared" si="37"/>
        <v>0</v>
      </c>
      <c r="O159" s="1814">
        <f t="shared" si="38"/>
        <v>0</v>
      </c>
      <c r="P159" s="1788">
        <f t="shared" si="39"/>
        <v>0</v>
      </c>
      <c r="Q159" s="1783">
        <f t="shared" si="40"/>
        <v>0</v>
      </c>
      <c r="R159" s="1788">
        <f t="shared" si="41"/>
        <v>20453.383549999999</v>
      </c>
      <c r="S159" s="1783">
        <f t="shared" si="42"/>
        <v>0</v>
      </c>
      <c r="T159" s="1788">
        <f t="shared" si="43"/>
        <v>17372.481530000001</v>
      </c>
      <c r="V159" s="1788">
        <v>14291579.509999998</v>
      </c>
      <c r="X159" s="1788">
        <v>6161804.04</v>
      </c>
      <c r="Y159" s="1783"/>
      <c r="Z159" s="1788">
        <v>0</v>
      </c>
      <c r="AA159" s="1783"/>
      <c r="AB159" s="1788">
        <v>0</v>
      </c>
      <c r="AC159" s="1783"/>
      <c r="AD159" s="1788">
        <v>0</v>
      </c>
      <c r="AE159" s="1814"/>
      <c r="AF159" s="1788">
        <v>0</v>
      </c>
      <c r="AG159" s="1783"/>
      <c r="AH159" s="1788">
        <v>20453383.549999997</v>
      </c>
      <c r="AI159" s="1783"/>
      <c r="AJ159" s="1788">
        <v>17372481.530000001</v>
      </c>
    </row>
    <row r="160" spans="1:36">
      <c r="A160" s="1675">
        <v>34</v>
      </c>
      <c r="B160" s="2015"/>
      <c r="F160" s="1674">
        <f t="shared" si="44"/>
        <v>0</v>
      </c>
      <c r="G160" s="1674">
        <f t="shared" si="30"/>
        <v>0</v>
      </c>
      <c r="H160" s="1674">
        <f t="shared" si="31"/>
        <v>0</v>
      </c>
      <c r="I160" s="1674">
        <f t="shared" si="32"/>
        <v>0</v>
      </c>
      <c r="J160" s="1674">
        <f t="shared" si="33"/>
        <v>0</v>
      </c>
      <c r="K160" s="1674">
        <f t="shared" si="34"/>
        <v>0</v>
      </c>
      <c r="L160" s="1674">
        <f t="shared" si="35"/>
        <v>0</v>
      </c>
      <c r="M160" s="1674">
        <f t="shared" si="36"/>
        <v>0</v>
      </c>
      <c r="N160" s="1674">
        <f t="shared" si="37"/>
        <v>0</v>
      </c>
      <c r="O160" s="1674">
        <f t="shared" si="38"/>
        <v>0</v>
      </c>
      <c r="P160" s="1674">
        <f t="shared" si="39"/>
        <v>0</v>
      </c>
      <c r="Q160" s="2001">
        <f t="shared" si="40"/>
        <v>0</v>
      </c>
      <c r="R160" s="1674">
        <f t="shared" si="41"/>
        <v>0</v>
      </c>
      <c r="S160" s="1786">
        <f t="shared" si="42"/>
        <v>0</v>
      </c>
      <c r="T160" s="1674">
        <f t="shared" si="43"/>
        <v>0</v>
      </c>
      <c r="AG160" s="2001"/>
      <c r="AI160" s="1786"/>
    </row>
    <row r="161" spans="1:36">
      <c r="A161" s="1675">
        <v>35</v>
      </c>
      <c r="B161" s="2015"/>
      <c r="C161" s="2009"/>
      <c r="D161" s="1674" t="s">
        <v>8168</v>
      </c>
      <c r="F161" s="1674">
        <f t="shared" si="44"/>
        <v>0</v>
      </c>
      <c r="G161" s="1674">
        <f t="shared" si="30"/>
        <v>0</v>
      </c>
      <c r="H161" s="1674">
        <f t="shared" si="31"/>
        <v>0</v>
      </c>
      <c r="I161" s="1674">
        <f t="shared" si="32"/>
        <v>0</v>
      </c>
      <c r="J161" s="1674">
        <f t="shared" si="33"/>
        <v>0</v>
      </c>
      <c r="K161" s="1674">
        <f t="shared" si="34"/>
        <v>0</v>
      </c>
      <c r="L161" s="1674">
        <f t="shared" si="35"/>
        <v>0</v>
      </c>
      <c r="M161" s="1674">
        <f t="shared" si="36"/>
        <v>0</v>
      </c>
      <c r="N161" s="1674">
        <f t="shared" si="37"/>
        <v>0</v>
      </c>
      <c r="O161" s="1674">
        <f t="shared" si="38"/>
        <v>0</v>
      </c>
      <c r="P161" s="1674">
        <f t="shared" si="39"/>
        <v>0</v>
      </c>
      <c r="Q161" s="2001">
        <f t="shared" si="40"/>
        <v>0</v>
      </c>
      <c r="R161" s="1674">
        <f t="shared" si="41"/>
        <v>0</v>
      </c>
      <c r="S161" s="1783">
        <f t="shared" si="42"/>
        <v>0</v>
      </c>
      <c r="T161" s="1674">
        <f t="shared" si="43"/>
        <v>0</v>
      </c>
      <c r="AG161" s="2001"/>
      <c r="AI161" s="1783"/>
    </row>
    <row r="162" spans="1:36">
      <c r="A162" s="1675">
        <v>36</v>
      </c>
      <c r="B162" s="2015"/>
      <c r="C162" s="2009">
        <v>34143</v>
      </c>
      <c r="D162" s="1674" t="s">
        <v>2449</v>
      </c>
      <c r="F162" s="1876">
        <f t="shared" si="44"/>
        <v>1537.8361399999992</v>
      </c>
      <c r="G162" s="2001">
        <f t="shared" si="30"/>
        <v>0</v>
      </c>
      <c r="H162" s="1876">
        <f t="shared" si="31"/>
        <v>78.565799999999996</v>
      </c>
      <c r="I162" s="1785">
        <f t="shared" si="32"/>
        <v>0</v>
      </c>
      <c r="J162" s="1876">
        <f t="shared" si="33"/>
        <v>0</v>
      </c>
      <c r="K162" s="1786">
        <f t="shared" si="34"/>
        <v>0</v>
      </c>
      <c r="L162" s="1876">
        <f t="shared" si="35"/>
        <v>0</v>
      </c>
      <c r="M162" s="1786">
        <f t="shared" si="36"/>
        <v>0</v>
      </c>
      <c r="N162" s="1876">
        <f t="shared" si="37"/>
        <v>0</v>
      </c>
      <c r="O162" s="1787">
        <f t="shared" si="38"/>
        <v>0</v>
      </c>
      <c r="P162" s="1876">
        <f t="shared" si="39"/>
        <v>0</v>
      </c>
      <c r="Q162" s="1785">
        <f t="shared" si="40"/>
        <v>0</v>
      </c>
      <c r="R162" s="1787">
        <f t="shared" si="41"/>
        <v>1616.4019399999993</v>
      </c>
      <c r="S162" s="1786">
        <f t="shared" si="42"/>
        <v>0</v>
      </c>
      <c r="T162" s="1876">
        <f t="shared" si="43"/>
        <v>1577.11904</v>
      </c>
      <c r="V162" s="1876">
        <v>1537836.1399999992</v>
      </c>
      <c r="W162" s="2001"/>
      <c r="X162" s="1876">
        <v>78565.8</v>
      </c>
      <c r="Y162" s="1785"/>
      <c r="Z162" s="1876">
        <v>0</v>
      </c>
      <c r="AA162" s="1786"/>
      <c r="AB162" s="1876">
        <v>0</v>
      </c>
      <c r="AC162" s="1786"/>
      <c r="AD162" s="1876">
        <v>0</v>
      </c>
      <c r="AE162" s="1787"/>
      <c r="AF162" s="1876">
        <v>0</v>
      </c>
      <c r="AG162" s="1785"/>
      <c r="AH162" s="1787">
        <v>1616401.9399999992</v>
      </c>
      <c r="AI162" s="1786"/>
      <c r="AJ162" s="1876">
        <v>1577119.04</v>
      </c>
    </row>
    <row r="163" spans="1:36">
      <c r="A163" s="1675">
        <v>37</v>
      </c>
      <c r="B163" s="2015"/>
      <c r="C163" s="2009">
        <v>34243</v>
      </c>
      <c r="D163" s="1674" t="s">
        <v>2495</v>
      </c>
      <c r="F163" s="1876">
        <f t="shared" si="44"/>
        <v>1581.1370800000002</v>
      </c>
      <c r="G163" s="2001">
        <f t="shared" si="30"/>
        <v>0</v>
      </c>
      <c r="H163" s="1876">
        <f t="shared" si="31"/>
        <v>79.690559999999991</v>
      </c>
      <c r="I163" s="1785">
        <f t="shared" si="32"/>
        <v>0</v>
      </c>
      <c r="J163" s="1876">
        <f t="shared" si="33"/>
        <v>0</v>
      </c>
      <c r="K163" s="1786">
        <f t="shared" si="34"/>
        <v>0</v>
      </c>
      <c r="L163" s="1876">
        <f t="shared" si="35"/>
        <v>-269.9502</v>
      </c>
      <c r="M163" s="1786">
        <f t="shared" si="36"/>
        <v>0</v>
      </c>
      <c r="N163" s="1876">
        <f t="shared" si="37"/>
        <v>0</v>
      </c>
      <c r="O163" s="1787">
        <f t="shared" si="38"/>
        <v>0</v>
      </c>
      <c r="P163" s="1876">
        <f t="shared" si="39"/>
        <v>0</v>
      </c>
      <c r="Q163" s="1785">
        <f t="shared" si="40"/>
        <v>0</v>
      </c>
      <c r="R163" s="1787">
        <f t="shared" si="41"/>
        <v>1390.8774400000004</v>
      </c>
      <c r="S163" s="1786">
        <f t="shared" si="42"/>
        <v>0</v>
      </c>
      <c r="T163" s="1876">
        <f t="shared" si="43"/>
        <v>1485.94919</v>
      </c>
      <c r="V163" s="1876">
        <v>1581137.0800000003</v>
      </c>
      <c r="W163" s="2001"/>
      <c r="X163" s="1876">
        <v>79690.559999999998</v>
      </c>
      <c r="Y163" s="1785"/>
      <c r="Z163" s="1876">
        <v>0</v>
      </c>
      <c r="AA163" s="1786"/>
      <c r="AB163" s="1876">
        <v>-269950.2</v>
      </c>
      <c r="AC163" s="1786"/>
      <c r="AD163" s="1876">
        <v>0</v>
      </c>
      <c r="AE163" s="1787"/>
      <c r="AF163" s="1876">
        <v>0</v>
      </c>
      <c r="AG163" s="1785"/>
      <c r="AH163" s="1787">
        <v>1390877.4400000004</v>
      </c>
      <c r="AI163" s="1786"/>
      <c r="AJ163" s="1876">
        <v>1485949.19</v>
      </c>
    </row>
    <row r="164" spans="1:36">
      <c r="A164" s="1675">
        <v>38</v>
      </c>
      <c r="B164" s="2015"/>
      <c r="C164" s="2009">
        <v>34343</v>
      </c>
      <c r="D164" s="1674" t="s">
        <v>2496</v>
      </c>
      <c r="F164" s="1876">
        <f t="shared" si="44"/>
        <v>19813.608059999999</v>
      </c>
      <c r="G164" s="2001">
        <f t="shared" si="30"/>
        <v>0</v>
      </c>
      <c r="H164" s="1876">
        <f t="shared" si="31"/>
        <v>16716.581099999999</v>
      </c>
      <c r="I164" s="1785">
        <f t="shared" si="32"/>
        <v>0</v>
      </c>
      <c r="J164" s="1876">
        <f t="shared" si="33"/>
        <v>0</v>
      </c>
      <c r="K164" s="1786">
        <f t="shared" si="34"/>
        <v>0</v>
      </c>
      <c r="L164" s="1876">
        <f t="shared" si="35"/>
        <v>-269.9502</v>
      </c>
      <c r="M164" s="1786">
        <f t="shared" si="36"/>
        <v>0</v>
      </c>
      <c r="N164" s="1876">
        <f t="shared" si="37"/>
        <v>0</v>
      </c>
      <c r="O164" s="1787">
        <f t="shared" si="38"/>
        <v>0</v>
      </c>
      <c r="P164" s="1876">
        <f t="shared" si="39"/>
        <v>0</v>
      </c>
      <c r="Q164" s="1785">
        <f t="shared" si="40"/>
        <v>0</v>
      </c>
      <c r="R164" s="1787">
        <f t="shared" si="41"/>
        <v>36260.238959999995</v>
      </c>
      <c r="S164" s="1786">
        <f t="shared" si="42"/>
        <v>0</v>
      </c>
      <c r="T164" s="1876">
        <f t="shared" si="43"/>
        <v>28036.828289999998</v>
      </c>
      <c r="V164" s="1876">
        <v>19813608.059999999</v>
      </c>
      <c r="W164" s="2001"/>
      <c r="X164" s="1876">
        <v>16716581.1</v>
      </c>
      <c r="Y164" s="1785"/>
      <c r="Z164" s="1876">
        <v>0</v>
      </c>
      <c r="AA164" s="1786"/>
      <c r="AB164" s="1876">
        <v>-269950.2</v>
      </c>
      <c r="AC164" s="1786"/>
      <c r="AD164" s="1876">
        <v>0</v>
      </c>
      <c r="AE164" s="1787"/>
      <c r="AF164" s="1876">
        <v>0</v>
      </c>
      <c r="AG164" s="1785"/>
      <c r="AH164" s="1787">
        <v>36260238.959999993</v>
      </c>
      <c r="AI164" s="1786"/>
      <c r="AJ164" s="1876">
        <v>28036828.289999999</v>
      </c>
    </row>
    <row r="165" spans="1:36">
      <c r="A165" s="1675">
        <v>39</v>
      </c>
      <c r="B165" s="2015"/>
      <c r="C165" s="2009">
        <v>34543</v>
      </c>
      <c r="D165" s="1674" t="s">
        <v>2454</v>
      </c>
      <c r="F165" s="1876">
        <f t="shared" si="44"/>
        <v>95.984730000000042</v>
      </c>
      <c r="G165" s="2001">
        <f t="shared" si="30"/>
        <v>0</v>
      </c>
      <c r="H165" s="1876">
        <f t="shared" si="31"/>
        <v>20.459759999999999</v>
      </c>
      <c r="I165" s="1785">
        <f t="shared" si="32"/>
        <v>0</v>
      </c>
      <c r="J165" s="1876">
        <f t="shared" si="33"/>
        <v>0</v>
      </c>
      <c r="K165" s="1786">
        <f t="shared" si="34"/>
        <v>0</v>
      </c>
      <c r="L165" s="1876">
        <f t="shared" si="35"/>
        <v>0</v>
      </c>
      <c r="M165" s="1786">
        <f t="shared" si="36"/>
        <v>0</v>
      </c>
      <c r="N165" s="1876">
        <f t="shared" si="37"/>
        <v>0</v>
      </c>
      <c r="O165" s="1787">
        <f t="shared" si="38"/>
        <v>0</v>
      </c>
      <c r="P165" s="1876">
        <f t="shared" si="39"/>
        <v>0</v>
      </c>
      <c r="Q165" s="1785">
        <f t="shared" si="40"/>
        <v>0</v>
      </c>
      <c r="R165" s="1787">
        <f t="shared" si="41"/>
        <v>116.44449000000003</v>
      </c>
      <c r="S165" s="1786">
        <f t="shared" si="42"/>
        <v>0</v>
      </c>
      <c r="T165" s="1876">
        <f t="shared" si="43"/>
        <v>106.21461000000001</v>
      </c>
      <c r="V165" s="1876">
        <v>95984.73000000004</v>
      </c>
      <c r="W165" s="2001"/>
      <c r="X165" s="1876">
        <v>20459.759999999998</v>
      </c>
      <c r="Y165" s="1785"/>
      <c r="Z165" s="1876">
        <v>0</v>
      </c>
      <c r="AA165" s="1786"/>
      <c r="AB165" s="1876">
        <v>0</v>
      </c>
      <c r="AC165" s="1786"/>
      <c r="AD165" s="1876">
        <v>0</v>
      </c>
      <c r="AE165" s="1787"/>
      <c r="AF165" s="1876">
        <v>0</v>
      </c>
      <c r="AG165" s="1785"/>
      <c r="AH165" s="1787">
        <v>116444.49000000003</v>
      </c>
      <c r="AI165" s="1786"/>
      <c r="AJ165" s="1876">
        <v>106214.61</v>
      </c>
    </row>
    <row r="166" spans="1:36">
      <c r="A166" s="1675">
        <v>40</v>
      </c>
      <c r="B166" s="2015"/>
      <c r="C166" s="2009">
        <v>34643</v>
      </c>
      <c r="D166" s="1674" t="s">
        <v>2455</v>
      </c>
      <c r="F166" s="1876">
        <f t="shared" si="44"/>
        <v>245.23220000000012</v>
      </c>
      <c r="G166" s="2001">
        <f t="shared" si="30"/>
        <v>0</v>
      </c>
      <c r="H166" s="1876">
        <f t="shared" si="31"/>
        <v>8.2067999999999994</v>
      </c>
      <c r="I166" s="1785">
        <f t="shared" si="32"/>
        <v>0</v>
      </c>
      <c r="J166" s="1876">
        <f t="shared" si="33"/>
        <v>0</v>
      </c>
      <c r="K166" s="1786">
        <f t="shared" si="34"/>
        <v>0</v>
      </c>
      <c r="L166" s="1876">
        <f t="shared" si="35"/>
        <v>0</v>
      </c>
      <c r="M166" s="1786">
        <f t="shared" si="36"/>
        <v>0</v>
      </c>
      <c r="N166" s="1876">
        <f t="shared" si="37"/>
        <v>0</v>
      </c>
      <c r="O166" s="1787">
        <f t="shared" si="38"/>
        <v>0</v>
      </c>
      <c r="P166" s="1876">
        <f t="shared" si="39"/>
        <v>0</v>
      </c>
      <c r="Q166" s="1785">
        <f t="shared" si="40"/>
        <v>0</v>
      </c>
      <c r="R166" s="1787">
        <f t="shared" si="41"/>
        <v>253.43900000000011</v>
      </c>
      <c r="S166" s="1786">
        <f t="shared" si="42"/>
        <v>0</v>
      </c>
      <c r="T166" s="1876">
        <f t="shared" si="43"/>
        <v>249.3356</v>
      </c>
      <c r="V166" s="1876">
        <v>245232.20000000013</v>
      </c>
      <c r="W166" s="2001"/>
      <c r="X166" s="1876">
        <v>8206.7999999999993</v>
      </c>
      <c r="Y166" s="1785"/>
      <c r="Z166" s="1876">
        <v>0</v>
      </c>
      <c r="AA166" s="1786"/>
      <c r="AB166" s="1876">
        <v>0</v>
      </c>
      <c r="AC166" s="1786"/>
      <c r="AD166" s="1876">
        <v>0</v>
      </c>
      <c r="AE166" s="1787"/>
      <c r="AF166" s="1876">
        <v>0</v>
      </c>
      <c r="AG166" s="1785"/>
      <c r="AH166" s="1787">
        <v>253439.00000000012</v>
      </c>
      <c r="AI166" s="1786"/>
      <c r="AJ166" s="1876">
        <v>249335.6</v>
      </c>
    </row>
    <row r="167" spans="1:36">
      <c r="A167" s="1675">
        <v>41</v>
      </c>
      <c r="B167" s="2015"/>
      <c r="D167" s="2002" t="s">
        <v>8169</v>
      </c>
      <c r="F167" s="1788">
        <f t="shared" si="44"/>
        <v>23273.798209999997</v>
      </c>
      <c r="G167" s="1674">
        <f t="shared" si="30"/>
        <v>0</v>
      </c>
      <c r="H167" s="1788">
        <f t="shared" si="31"/>
        <v>16903.504020000004</v>
      </c>
      <c r="I167" s="1783">
        <f t="shared" si="32"/>
        <v>0</v>
      </c>
      <c r="J167" s="1788">
        <f t="shared" si="33"/>
        <v>0</v>
      </c>
      <c r="K167" s="1783">
        <f t="shared" si="34"/>
        <v>0</v>
      </c>
      <c r="L167" s="1788">
        <f t="shared" si="35"/>
        <v>-539.90039999999999</v>
      </c>
      <c r="M167" s="1783">
        <f t="shared" si="36"/>
        <v>0</v>
      </c>
      <c r="N167" s="1788">
        <f t="shared" si="37"/>
        <v>0</v>
      </c>
      <c r="O167" s="1814">
        <f t="shared" si="38"/>
        <v>0</v>
      </c>
      <c r="P167" s="1788">
        <f t="shared" si="39"/>
        <v>0</v>
      </c>
      <c r="Q167" s="1783">
        <f t="shared" si="40"/>
        <v>0</v>
      </c>
      <c r="R167" s="1788">
        <f t="shared" si="41"/>
        <v>39637.401829999995</v>
      </c>
      <c r="S167" s="1783">
        <f t="shared" si="42"/>
        <v>0</v>
      </c>
      <c r="T167" s="1788">
        <f t="shared" si="43"/>
        <v>31455.44673</v>
      </c>
      <c r="V167" s="1788">
        <v>23273798.209999997</v>
      </c>
      <c r="X167" s="1788">
        <v>16903504.020000003</v>
      </c>
      <c r="Y167" s="1783"/>
      <c r="Z167" s="1788">
        <v>0</v>
      </c>
      <c r="AA167" s="1783"/>
      <c r="AB167" s="1788">
        <v>-539900.4</v>
      </c>
      <c r="AC167" s="1783"/>
      <c r="AD167" s="1788">
        <v>0</v>
      </c>
      <c r="AE167" s="1814"/>
      <c r="AF167" s="1788">
        <v>0</v>
      </c>
      <c r="AG167" s="1783"/>
      <c r="AH167" s="1788">
        <v>39637401.829999998</v>
      </c>
      <c r="AI167" s="1783"/>
      <c r="AJ167" s="1788">
        <v>31455446.73</v>
      </c>
    </row>
    <row r="168" spans="1:36">
      <c r="A168" s="1675">
        <v>42</v>
      </c>
      <c r="B168" s="2015"/>
      <c r="F168" s="2029">
        <f t="shared" si="44"/>
        <v>0</v>
      </c>
      <c r="G168" s="1674">
        <f t="shared" si="30"/>
        <v>0</v>
      </c>
      <c r="H168" s="2029">
        <f t="shared" si="31"/>
        <v>0</v>
      </c>
      <c r="I168" s="1674">
        <f t="shared" si="32"/>
        <v>0</v>
      </c>
      <c r="J168" s="2029">
        <f t="shared" si="33"/>
        <v>0</v>
      </c>
      <c r="K168" s="1674">
        <f t="shared" si="34"/>
        <v>0</v>
      </c>
      <c r="L168" s="2029">
        <f t="shared" si="35"/>
        <v>0</v>
      </c>
      <c r="M168" s="1674">
        <f t="shared" si="36"/>
        <v>0</v>
      </c>
      <c r="N168" s="2029">
        <f t="shared" si="37"/>
        <v>0</v>
      </c>
      <c r="O168" s="1674">
        <f t="shared" si="38"/>
        <v>0</v>
      </c>
      <c r="P168" s="2029">
        <f t="shared" si="39"/>
        <v>0</v>
      </c>
      <c r="Q168" s="2001">
        <f t="shared" si="40"/>
        <v>0</v>
      </c>
      <c r="R168" s="2029">
        <f t="shared" si="41"/>
        <v>0</v>
      </c>
      <c r="S168" s="1674">
        <f t="shared" si="42"/>
        <v>0</v>
      </c>
      <c r="T168" s="2029">
        <f t="shared" si="43"/>
        <v>0</v>
      </c>
      <c r="V168" s="2029"/>
      <c r="X168" s="2029"/>
      <c r="Z168" s="2029"/>
      <c r="AB168" s="2029"/>
      <c r="AD168" s="2029"/>
      <c r="AF168" s="2029"/>
      <c r="AG168" s="2001"/>
      <c r="AH168" s="2029"/>
      <c r="AJ168" s="2029"/>
    </row>
    <row r="169" spans="1:36" ht="15" thickBot="1">
      <c r="A169" s="1675">
        <v>43</v>
      </c>
      <c r="B169" s="2015"/>
      <c r="D169" s="2002" t="s">
        <v>2490</v>
      </c>
      <c r="F169" s="1870">
        <f t="shared" si="44"/>
        <v>72629.270759999985</v>
      </c>
      <c r="G169" s="2030">
        <f t="shared" si="30"/>
        <v>0</v>
      </c>
      <c r="H169" s="1870">
        <f t="shared" si="31"/>
        <v>30552.445620000006</v>
      </c>
      <c r="I169" s="1783">
        <f t="shared" si="32"/>
        <v>0</v>
      </c>
      <c r="J169" s="1870">
        <f t="shared" si="33"/>
        <v>0</v>
      </c>
      <c r="K169" s="1783">
        <f t="shared" si="34"/>
        <v>0</v>
      </c>
      <c r="L169" s="1870">
        <f t="shared" si="35"/>
        <v>-579.90039999999999</v>
      </c>
      <c r="M169" s="1783">
        <f t="shared" si="36"/>
        <v>0</v>
      </c>
      <c r="N169" s="1870">
        <f t="shared" si="37"/>
        <v>0</v>
      </c>
      <c r="O169" s="1813">
        <f t="shared" si="38"/>
        <v>0</v>
      </c>
      <c r="P169" s="1870">
        <f t="shared" si="39"/>
        <v>0</v>
      </c>
      <c r="Q169" s="1783">
        <f t="shared" si="40"/>
        <v>0</v>
      </c>
      <c r="R169" s="1870">
        <f t="shared" si="41"/>
        <v>102601.81597999998</v>
      </c>
      <c r="S169" s="1783">
        <f t="shared" si="42"/>
        <v>0</v>
      </c>
      <c r="T169" s="1870">
        <f t="shared" si="43"/>
        <v>87614.007570000002</v>
      </c>
      <c r="V169" s="1870">
        <v>72629270.75999999</v>
      </c>
      <c r="W169" s="2030"/>
      <c r="X169" s="1870">
        <v>30552445.620000005</v>
      </c>
      <c r="Y169" s="1783"/>
      <c r="Z169" s="1870">
        <v>0</v>
      </c>
      <c r="AA169" s="1783"/>
      <c r="AB169" s="1870">
        <v>-579900.4</v>
      </c>
      <c r="AC169" s="1783"/>
      <c r="AD169" s="1870">
        <v>0</v>
      </c>
      <c r="AE169" s="1813"/>
      <c r="AF169" s="1870">
        <v>0</v>
      </c>
      <c r="AG169" s="1783"/>
      <c r="AH169" s="1870">
        <v>102601815.97999999</v>
      </c>
      <c r="AI169" s="1783"/>
      <c r="AJ169" s="1870">
        <v>87614007.570000008</v>
      </c>
    </row>
    <row r="170" spans="1:36" ht="15.6" thickTop="1" thickBot="1">
      <c r="A170" s="2008">
        <v>44</v>
      </c>
      <c r="B170" s="1869" t="s">
        <v>2476</v>
      </c>
      <c r="C170" s="1997"/>
      <c r="D170" s="1997"/>
      <c r="E170" s="1997"/>
      <c r="F170" s="1997">
        <f t="shared" si="44"/>
        <v>0</v>
      </c>
      <c r="G170" s="1997">
        <f t="shared" si="30"/>
        <v>0</v>
      </c>
      <c r="H170" s="1997">
        <f t="shared" si="31"/>
        <v>0</v>
      </c>
      <c r="I170" s="1997">
        <f t="shared" si="32"/>
        <v>0</v>
      </c>
      <c r="J170" s="1997">
        <f t="shared" si="33"/>
        <v>0</v>
      </c>
      <c r="K170" s="1997">
        <f t="shared" si="34"/>
        <v>0</v>
      </c>
      <c r="L170" s="1997">
        <f t="shared" si="35"/>
        <v>0</v>
      </c>
      <c r="M170" s="1997">
        <f t="shared" si="36"/>
        <v>0</v>
      </c>
      <c r="N170" s="1997">
        <f t="shared" si="37"/>
        <v>0</v>
      </c>
      <c r="O170" s="1997">
        <f t="shared" si="38"/>
        <v>0</v>
      </c>
      <c r="P170" s="1997">
        <f t="shared" si="39"/>
        <v>0</v>
      </c>
      <c r="Q170" s="1998">
        <f t="shared" si="40"/>
        <v>0</v>
      </c>
      <c r="R170" s="1997">
        <f t="shared" si="41"/>
        <v>0</v>
      </c>
      <c r="S170" s="1997">
        <f t="shared" si="42"/>
        <v>0</v>
      </c>
      <c r="T170" s="1997">
        <f t="shared" si="43"/>
        <v>0</v>
      </c>
      <c r="V170" s="1997"/>
      <c r="W170" s="1997"/>
      <c r="X170" s="1997"/>
      <c r="Y170" s="1997"/>
      <c r="Z170" s="1997"/>
      <c r="AA170" s="1997"/>
      <c r="AB170" s="1997"/>
      <c r="AC170" s="1997"/>
      <c r="AD170" s="1997"/>
      <c r="AE170" s="1997"/>
      <c r="AF170" s="1997"/>
      <c r="AG170" s="1998"/>
      <c r="AH170" s="1997"/>
      <c r="AI170" s="1997"/>
      <c r="AJ170" s="1997"/>
    </row>
    <row r="171" spans="1:36">
      <c r="A171" s="1674" t="s">
        <v>8186</v>
      </c>
      <c r="F171" s="1674">
        <f t="shared" si="44"/>
        <v>0</v>
      </c>
      <c r="G171" s="1674">
        <f t="shared" si="30"/>
        <v>0</v>
      </c>
      <c r="H171" s="1674">
        <f t="shared" si="31"/>
        <v>0</v>
      </c>
      <c r="I171" s="1674">
        <f t="shared" si="32"/>
        <v>0</v>
      </c>
      <c r="J171" s="1674">
        <f t="shared" si="33"/>
        <v>0</v>
      </c>
      <c r="K171" s="1674">
        <f t="shared" si="34"/>
        <v>0</v>
      </c>
      <c r="L171" s="1674">
        <f t="shared" si="35"/>
        <v>0</v>
      </c>
      <c r="M171" s="1674">
        <f t="shared" si="36"/>
        <v>0</v>
      </c>
      <c r="N171" s="1674">
        <f t="shared" si="37"/>
        <v>0</v>
      </c>
      <c r="O171" s="1674">
        <f t="shared" si="38"/>
        <v>0</v>
      </c>
      <c r="P171" s="1674">
        <f t="shared" si="39"/>
        <v>0</v>
      </c>
      <c r="Q171" s="2001">
        <f t="shared" si="40"/>
        <v>0</v>
      </c>
      <c r="R171" s="1674" t="str">
        <f t="shared" si="41"/>
        <v>Recap Schedules:  B-03, B-06</v>
      </c>
      <c r="S171" s="1674">
        <f t="shared" si="42"/>
        <v>0</v>
      </c>
      <c r="T171" s="1674">
        <f t="shared" si="43"/>
        <v>0</v>
      </c>
      <c r="AG171" s="2001"/>
      <c r="AH171" s="1674" t="s">
        <v>8948</v>
      </c>
    </row>
    <row r="172" spans="1:36" ht="15" thickBot="1">
      <c r="A172" s="1997" t="s">
        <v>8952</v>
      </c>
      <c r="B172" s="1997"/>
      <c r="C172" s="1997"/>
      <c r="D172" s="1997"/>
      <c r="E172" s="1997"/>
      <c r="F172" s="1997" t="str">
        <f t="shared" si="44"/>
        <v>DEPRECIATION RESERVE BALANCES BY ACCOUNT AND SUB-ACCOUNT</v>
      </c>
      <c r="G172" s="1997">
        <f t="shared" si="30"/>
        <v>0</v>
      </c>
      <c r="H172" s="1997">
        <f t="shared" si="31"/>
        <v>0</v>
      </c>
      <c r="I172" s="1997">
        <f t="shared" si="32"/>
        <v>0</v>
      </c>
      <c r="J172" s="1997">
        <f t="shared" si="33"/>
        <v>0</v>
      </c>
      <c r="K172" s="1997">
        <f t="shared" si="34"/>
        <v>0</v>
      </c>
      <c r="L172" s="1997">
        <f t="shared" si="35"/>
        <v>0</v>
      </c>
      <c r="M172" s="1997">
        <f t="shared" si="36"/>
        <v>0</v>
      </c>
      <c r="N172" s="1997">
        <f t="shared" si="37"/>
        <v>0</v>
      </c>
      <c r="O172" s="1997">
        <f t="shared" si="38"/>
        <v>0</v>
      </c>
      <c r="P172" s="1997">
        <f t="shared" si="39"/>
        <v>0</v>
      </c>
      <c r="Q172" s="1998">
        <f t="shared" si="40"/>
        <v>0</v>
      </c>
      <c r="R172" s="1997">
        <f t="shared" si="41"/>
        <v>0</v>
      </c>
      <c r="S172" s="1997">
        <f t="shared" si="42"/>
        <v>0</v>
      </c>
      <c r="T172" s="1997" t="str">
        <f t="shared" si="43"/>
        <v>Page 4 of 10</v>
      </c>
      <c r="V172" s="1997" t="s">
        <v>2594</v>
      </c>
      <c r="W172" s="1997"/>
      <c r="X172" s="1997"/>
      <c r="Y172" s="1997"/>
      <c r="Z172" s="1997"/>
      <c r="AA172" s="1997"/>
      <c r="AB172" s="1997"/>
      <c r="AC172" s="1997"/>
      <c r="AD172" s="1997"/>
      <c r="AE172" s="1997"/>
      <c r="AF172" s="1997"/>
      <c r="AG172" s="1998"/>
      <c r="AH172" s="1997"/>
      <c r="AI172" s="1997"/>
      <c r="AJ172" s="1997" t="s">
        <v>2492</v>
      </c>
    </row>
    <row r="173" spans="1:36">
      <c r="A173" s="1674" t="s">
        <v>2425</v>
      </c>
      <c r="B173" s="2024"/>
      <c r="E173" s="2001" t="s">
        <v>2426</v>
      </c>
      <c r="F173" s="1674" t="str">
        <f t="shared" si="44"/>
        <v>Provide the depreciation reserve balances for each account or sub-account to which</v>
      </c>
      <c r="G173" s="1674">
        <f t="shared" si="30"/>
        <v>0</v>
      </c>
      <c r="H173" s="1674">
        <f t="shared" si="31"/>
        <v>0</v>
      </c>
      <c r="I173" s="1674">
        <f t="shared" si="32"/>
        <v>0</v>
      </c>
      <c r="J173" s="2003">
        <f t="shared" si="33"/>
        <v>0</v>
      </c>
      <c r="K173" s="2003">
        <f t="shared" si="34"/>
        <v>0</v>
      </c>
      <c r="L173" s="1674">
        <f t="shared" si="35"/>
        <v>0</v>
      </c>
      <c r="M173" s="2003">
        <f t="shared" si="36"/>
        <v>0</v>
      </c>
      <c r="N173" s="2003">
        <f t="shared" si="37"/>
        <v>0</v>
      </c>
      <c r="O173" s="2003">
        <f t="shared" si="38"/>
        <v>0</v>
      </c>
      <c r="P173" s="2003">
        <f t="shared" si="39"/>
        <v>0</v>
      </c>
      <c r="Q173" s="2004">
        <f t="shared" si="40"/>
        <v>0</v>
      </c>
      <c r="R173" s="1674" t="str">
        <f t="shared" si="41"/>
        <v>Type of data shown:</v>
      </c>
      <c r="S173" s="1674">
        <f t="shared" si="42"/>
        <v>0</v>
      </c>
      <c r="T173" s="2005">
        <f t="shared" si="43"/>
        <v>0</v>
      </c>
      <c r="V173" s="1674" t="s">
        <v>2595</v>
      </c>
      <c r="Z173" s="2003"/>
      <c r="AA173" s="2003"/>
      <c r="AC173" s="2003"/>
      <c r="AD173" s="2003"/>
      <c r="AE173" s="2003"/>
      <c r="AF173" s="2003"/>
      <c r="AG173" s="2004"/>
      <c r="AH173" s="1674" t="s">
        <v>2427</v>
      </c>
      <c r="AJ173" s="2005"/>
    </row>
    <row r="174" spans="1:36">
      <c r="B174" s="2024"/>
      <c r="F174" s="1674" t="str">
        <f t="shared" si="44"/>
        <v>an individual depreciation rate is applied. (Include Amortization/Recovery amounts).</v>
      </c>
      <c r="G174" s="1674">
        <f t="shared" si="30"/>
        <v>0</v>
      </c>
      <c r="H174" s="1674">
        <f t="shared" si="31"/>
        <v>0</v>
      </c>
      <c r="I174" s="1674">
        <f t="shared" si="32"/>
        <v>0</v>
      </c>
      <c r="J174" s="2001">
        <f t="shared" si="33"/>
        <v>0</v>
      </c>
      <c r="K174" s="2005">
        <f t="shared" si="34"/>
        <v>0</v>
      </c>
      <c r="L174" s="1674">
        <f t="shared" si="35"/>
        <v>0</v>
      </c>
      <c r="M174" s="1674">
        <f t="shared" si="36"/>
        <v>0</v>
      </c>
      <c r="N174" s="2001">
        <f t="shared" si="37"/>
        <v>0</v>
      </c>
      <c r="O174" s="2001">
        <f t="shared" si="38"/>
        <v>0</v>
      </c>
      <c r="P174" s="2001">
        <f t="shared" si="39"/>
        <v>0</v>
      </c>
      <c r="Q174" s="2001" t="str">
        <f t="shared" si="40"/>
        <v>XX</v>
      </c>
      <c r="R174" s="2005" t="str">
        <f t="shared" si="41"/>
        <v>Projected Test Year Ended 12/31/2025</v>
      </c>
      <c r="S174" s="1674">
        <f t="shared" si="42"/>
        <v>0</v>
      </c>
      <c r="T174" s="2001">
        <f t="shared" si="43"/>
        <v>0</v>
      </c>
      <c r="V174" s="1674" t="s">
        <v>8185</v>
      </c>
      <c r="Z174" s="2001"/>
      <c r="AA174" s="2005"/>
      <c r="AD174" s="2001"/>
      <c r="AE174" s="2001"/>
      <c r="AF174" s="2001"/>
      <c r="AG174" s="2001" t="s">
        <v>8157</v>
      </c>
      <c r="AH174" s="2005" t="s">
        <v>8944</v>
      </c>
      <c r="AJ174" s="2001"/>
    </row>
    <row r="175" spans="1:36">
      <c r="A175" s="1674" t="s">
        <v>2428</v>
      </c>
      <c r="B175" s="2024"/>
      <c r="F175" s="1674" t="str">
        <f t="shared" si="44"/>
        <v/>
      </c>
      <c r="G175" s="1674">
        <f t="shared" si="30"/>
        <v>0</v>
      </c>
      <c r="H175" s="1674">
        <f t="shared" si="31"/>
        <v>0</v>
      </c>
      <c r="I175" s="1674">
        <f t="shared" si="32"/>
        <v>0</v>
      </c>
      <c r="J175" s="2001">
        <f t="shared" si="33"/>
        <v>0</v>
      </c>
      <c r="K175" s="2005">
        <f t="shared" si="34"/>
        <v>0</v>
      </c>
      <c r="L175" s="2001">
        <f t="shared" si="35"/>
        <v>0</v>
      </c>
      <c r="M175" s="1674">
        <f t="shared" si="36"/>
        <v>0</v>
      </c>
      <c r="N175" s="1674">
        <f t="shared" si="37"/>
        <v>0</v>
      </c>
      <c r="O175" s="1674">
        <f t="shared" si="38"/>
        <v>0</v>
      </c>
      <c r="P175" s="1674">
        <f t="shared" si="39"/>
        <v>0</v>
      </c>
      <c r="Q175" s="2001" t="str">
        <f t="shared" si="40"/>
        <v/>
      </c>
      <c r="R175" s="2005" t="str">
        <f t="shared" si="41"/>
        <v>Projected Prior Year Ended 12/31/2024</v>
      </c>
      <c r="S175" s="1674">
        <f t="shared" si="42"/>
        <v>0</v>
      </c>
      <c r="T175" s="2001">
        <f t="shared" si="43"/>
        <v>0</v>
      </c>
      <c r="V175" s="1674" t="s">
        <v>2360</v>
      </c>
      <c r="Z175" s="2001"/>
      <c r="AA175" s="2005"/>
      <c r="AB175" s="2001"/>
      <c r="AG175" s="2001" t="s">
        <v>2360</v>
      </c>
      <c r="AH175" s="2005" t="s">
        <v>8945</v>
      </c>
      <c r="AJ175" s="2001"/>
    </row>
    <row r="176" spans="1:36">
      <c r="B176" s="2024"/>
      <c r="F176" s="1674" t="str">
        <f t="shared" si="44"/>
        <v/>
      </c>
      <c r="G176" s="1674">
        <f t="shared" si="30"/>
        <v>0</v>
      </c>
      <c r="H176" s="1674">
        <f t="shared" si="31"/>
        <v>0</v>
      </c>
      <c r="I176" s="1674">
        <f t="shared" si="32"/>
        <v>0</v>
      </c>
      <c r="J176" s="2001">
        <f t="shared" si="33"/>
        <v>0</v>
      </c>
      <c r="K176" s="2005">
        <f t="shared" si="34"/>
        <v>0</v>
      </c>
      <c r="L176" s="2001">
        <f t="shared" si="35"/>
        <v>0</v>
      </c>
      <c r="M176" s="1674">
        <f t="shared" si="36"/>
        <v>0</v>
      </c>
      <c r="N176" s="1674">
        <f t="shared" si="37"/>
        <v>0</v>
      </c>
      <c r="O176" s="1674">
        <f t="shared" si="38"/>
        <v>0</v>
      </c>
      <c r="P176" s="1674">
        <f t="shared" si="39"/>
        <v>0</v>
      </c>
      <c r="Q176" s="2001" t="str">
        <f t="shared" si="40"/>
        <v/>
      </c>
      <c r="R176" s="2005" t="str">
        <f t="shared" si="41"/>
        <v>Historical Prior Year Ended 12/31/2023</v>
      </c>
      <c r="S176" s="1674">
        <f t="shared" si="42"/>
        <v>0</v>
      </c>
      <c r="T176" s="2001">
        <f t="shared" si="43"/>
        <v>0</v>
      </c>
      <c r="V176" s="1674" t="s">
        <v>2360</v>
      </c>
      <c r="Z176" s="2001"/>
      <c r="AA176" s="2005"/>
      <c r="AB176" s="2001"/>
      <c r="AG176" s="2001" t="s">
        <v>2360</v>
      </c>
      <c r="AH176" s="2005" t="s">
        <v>8946</v>
      </c>
      <c r="AJ176" s="2001"/>
    </row>
    <row r="177" spans="1:36">
      <c r="B177" s="2024"/>
      <c r="F177" s="1674">
        <f t="shared" si="44"/>
        <v>0</v>
      </c>
      <c r="G177" s="1674">
        <f t="shared" si="30"/>
        <v>0</v>
      </c>
      <c r="H177" s="1674">
        <f t="shared" si="31"/>
        <v>0</v>
      </c>
      <c r="I177" s="1674">
        <f t="shared" si="32"/>
        <v>0</v>
      </c>
      <c r="J177" s="2001">
        <f t="shared" si="33"/>
        <v>0</v>
      </c>
      <c r="K177" s="2005">
        <f t="shared" si="34"/>
        <v>0</v>
      </c>
      <c r="L177" s="2001">
        <f t="shared" si="35"/>
        <v>0</v>
      </c>
      <c r="M177" s="1674">
        <f t="shared" si="36"/>
        <v>0</v>
      </c>
      <c r="N177" s="1674">
        <f t="shared" si="37"/>
        <v>0</v>
      </c>
      <c r="O177" s="1674">
        <f t="shared" si="38"/>
        <v>0</v>
      </c>
      <c r="P177" s="1674">
        <f t="shared" si="39"/>
        <v>0</v>
      </c>
      <c r="Q177" s="2001">
        <f t="shared" si="40"/>
        <v>0</v>
      </c>
      <c r="R177" s="2005" t="str">
        <f t="shared" si="41"/>
        <v>Witness: D. Avellan</v>
      </c>
      <c r="S177" s="1674">
        <f t="shared" si="42"/>
        <v>0</v>
      </c>
      <c r="T177" s="2001">
        <f t="shared" si="43"/>
        <v>0</v>
      </c>
      <c r="Z177" s="2001"/>
      <c r="AA177" s="2005"/>
      <c r="AB177" s="2001"/>
      <c r="AG177" s="2001"/>
      <c r="AH177" s="2005" t="s">
        <v>8160</v>
      </c>
      <c r="AJ177" s="2001"/>
    </row>
    <row r="178" spans="1:36" ht="15" thickBot="1">
      <c r="A178" s="1997" t="s">
        <v>8158</v>
      </c>
      <c r="B178" s="2025"/>
      <c r="C178" s="1997"/>
      <c r="D178" s="1997"/>
      <c r="E178" s="1997"/>
      <c r="F178" s="1997" t="str">
        <f t="shared" si="44"/>
        <v/>
      </c>
      <c r="G178" s="1997">
        <f t="shared" si="30"/>
        <v>0</v>
      </c>
      <c r="H178" s="2008" t="str">
        <f t="shared" si="31"/>
        <v>(Dollars in cents)</v>
      </c>
      <c r="I178" s="1997">
        <f t="shared" si="32"/>
        <v>0</v>
      </c>
      <c r="J178" s="1997">
        <f t="shared" si="33"/>
        <v>0</v>
      </c>
      <c r="K178" s="1997">
        <f t="shared" si="34"/>
        <v>0</v>
      </c>
      <c r="L178" s="1997">
        <f t="shared" si="35"/>
        <v>0</v>
      </c>
      <c r="M178" s="1997">
        <f t="shared" si="36"/>
        <v>0</v>
      </c>
      <c r="N178" s="1997">
        <f t="shared" si="37"/>
        <v>0</v>
      </c>
      <c r="O178" s="1997">
        <f t="shared" si="38"/>
        <v>0</v>
      </c>
      <c r="P178" s="1997">
        <f t="shared" si="39"/>
        <v>0</v>
      </c>
      <c r="Q178" s="1998">
        <f t="shared" si="40"/>
        <v>0</v>
      </c>
      <c r="R178" s="1997" t="str">
        <f t="shared" si="41"/>
        <v xml:space="preserve"> </v>
      </c>
      <c r="S178" s="1997">
        <f t="shared" si="42"/>
        <v>0</v>
      </c>
      <c r="T178" s="1997">
        <f t="shared" si="43"/>
        <v>0</v>
      </c>
      <c r="V178" s="1997" t="s">
        <v>2360</v>
      </c>
      <c r="W178" s="1997"/>
      <c r="X178" s="2008" t="s">
        <v>8159</v>
      </c>
      <c r="Y178" s="1997"/>
      <c r="Z178" s="1997"/>
      <c r="AA178" s="1997"/>
      <c r="AB178" s="1997"/>
      <c r="AC178" s="1997"/>
      <c r="AD178" s="1997"/>
      <c r="AE178" s="1997"/>
      <c r="AF178" s="1997"/>
      <c r="AG178" s="1998"/>
      <c r="AH178" s="1997" t="s">
        <v>2477</v>
      </c>
      <c r="AI178" s="1997"/>
      <c r="AJ178" s="1997"/>
    </row>
    <row r="179" spans="1:36">
      <c r="C179" s="2009"/>
      <c r="D179" s="2009"/>
      <c r="E179" s="2009"/>
      <c r="F179" s="2009">
        <f t="shared" si="44"/>
        <v>0</v>
      </c>
      <c r="G179" s="2009">
        <f t="shared" si="30"/>
        <v>0</v>
      </c>
      <c r="H179" s="2009">
        <f t="shared" si="31"/>
        <v>0</v>
      </c>
      <c r="I179" s="2009">
        <f t="shared" si="32"/>
        <v>0</v>
      </c>
      <c r="J179" s="2009">
        <f t="shared" si="33"/>
        <v>0</v>
      </c>
      <c r="K179" s="2009">
        <f t="shared" si="34"/>
        <v>0</v>
      </c>
      <c r="L179" s="2009">
        <f t="shared" si="35"/>
        <v>0</v>
      </c>
      <c r="M179" s="2009">
        <f t="shared" si="36"/>
        <v>0</v>
      </c>
      <c r="N179" s="2009">
        <f t="shared" si="37"/>
        <v>0</v>
      </c>
      <c r="O179" s="2009">
        <f t="shared" si="38"/>
        <v>0</v>
      </c>
      <c r="P179" s="2009">
        <f t="shared" si="39"/>
        <v>0</v>
      </c>
      <c r="Q179" s="2010">
        <f t="shared" si="40"/>
        <v>0</v>
      </c>
      <c r="R179" s="2009">
        <f t="shared" si="41"/>
        <v>0</v>
      </c>
      <c r="S179" s="2009">
        <f t="shared" si="42"/>
        <v>0</v>
      </c>
      <c r="T179" s="2009">
        <f t="shared" si="43"/>
        <v>0</v>
      </c>
      <c r="V179" s="2009"/>
      <c r="W179" s="2009"/>
      <c r="X179" s="2009"/>
      <c r="Y179" s="2009"/>
      <c r="Z179" s="2009"/>
      <c r="AA179" s="2009"/>
      <c r="AB179" s="2009"/>
      <c r="AC179" s="2009"/>
      <c r="AD179" s="2009"/>
      <c r="AE179" s="2009"/>
      <c r="AF179" s="2009"/>
      <c r="AG179" s="2010"/>
      <c r="AH179" s="2009"/>
      <c r="AI179" s="2009"/>
      <c r="AJ179" s="2009"/>
    </row>
    <row r="180" spans="1:36">
      <c r="C180" s="2009" t="s">
        <v>2306</v>
      </c>
      <c r="D180" s="2009" t="s">
        <v>2307</v>
      </c>
      <c r="E180" s="2009"/>
      <c r="F180" s="2009" t="str">
        <f t="shared" si="44"/>
        <v>(3)</v>
      </c>
      <c r="G180" s="2009">
        <f t="shared" si="30"/>
        <v>0</v>
      </c>
      <c r="H180" s="2009" t="str">
        <f t="shared" si="31"/>
        <v>(4)</v>
      </c>
      <c r="I180" s="2009">
        <f t="shared" si="32"/>
        <v>0</v>
      </c>
      <c r="J180" s="1675" t="str">
        <f t="shared" si="33"/>
        <v>(5)</v>
      </c>
      <c r="K180" s="1675">
        <f t="shared" si="34"/>
        <v>0</v>
      </c>
      <c r="L180" s="2009" t="str">
        <f t="shared" si="35"/>
        <v>(6)</v>
      </c>
      <c r="M180" s="2009">
        <f t="shared" si="36"/>
        <v>0</v>
      </c>
      <c r="N180" s="2009" t="str">
        <f t="shared" si="37"/>
        <v>(7)</v>
      </c>
      <c r="O180" s="2009">
        <f t="shared" si="38"/>
        <v>0</v>
      </c>
      <c r="P180" s="2009" t="str">
        <f t="shared" si="39"/>
        <v>(8)</v>
      </c>
      <c r="Q180" s="2010">
        <f t="shared" si="40"/>
        <v>0</v>
      </c>
      <c r="R180" s="2009" t="str">
        <f t="shared" si="41"/>
        <v>(9)</v>
      </c>
      <c r="S180" s="2009">
        <f t="shared" si="42"/>
        <v>0</v>
      </c>
      <c r="T180" s="2009" t="str">
        <f t="shared" si="43"/>
        <v>(10)</v>
      </c>
      <c r="V180" s="2009" t="s">
        <v>2308</v>
      </c>
      <c r="W180" s="2009"/>
      <c r="X180" s="2009" t="s">
        <v>2309</v>
      </c>
      <c r="Y180" s="2009"/>
      <c r="Z180" s="1675" t="s">
        <v>2310</v>
      </c>
      <c r="AA180" s="1675"/>
      <c r="AB180" s="2009" t="s">
        <v>2311</v>
      </c>
      <c r="AC180" s="2009"/>
      <c r="AD180" s="2009" t="s">
        <v>2312</v>
      </c>
      <c r="AE180" s="2009"/>
      <c r="AF180" s="2009" t="s">
        <v>2313</v>
      </c>
      <c r="AG180" s="2010"/>
      <c r="AH180" s="2009" t="s">
        <v>2314</v>
      </c>
      <c r="AI180" s="2009"/>
      <c r="AJ180" s="2009" t="s">
        <v>2361</v>
      </c>
    </row>
    <row r="181" spans="1:36">
      <c r="C181" s="1675" t="s">
        <v>2429</v>
      </c>
      <c r="D181" s="1675" t="s">
        <v>2429</v>
      </c>
      <c r="F181" s="1675" t="str">
        <f t="shared" si="44"/>
        <v>Accumulated</v>
      </c>
      <c r="G181" s="1675">
        <f t="shared" si="30"/>
        <v>0</v>
      </c>
      <c r="H181" s="2009" t="str">
        <f t="shared" si="31"/>
        <v>Total</v>
      </c>
      <c r="I181" s="1675">
        <f t="shared" si="32"/>
        <v>0</v>
      </c>
      <c r="J181" s="2009">
        <f t="shared" si="33"/>
        <v>0</v>
      </c>
      <c r="K181" s="1675">
        <f t="shared" si="34"/>
        <v>0</v>
      </c>
      <c r="L181" s="1675">
        <f t="shared" si="35"/>
        <v>0</v>
      </c>
      <c r="M181" s="1675">
        <f t="shared" si="36"/>
        <v>0</v>
      </c>
      <c r="N181" s="1674">
        <f t="shared" si="37"/>
        <v>0</v>
      </c>
      <c r="O181" s="1674">
        <f t="shared" si="38"/>
        <v>0</v>
      </c>
      <c r="P181" s="1674">
        <f t="shared" si="39"/>
        <v>0</v>
      </c>
      <c r="Q181" s="2001">
        <f t="shared" si="40"/>
        <v>0</v>
      </c>
      <c r="R181" s="1675" t="str">
        <f t="shared" si="41"/>
        <v>Accumulated</v>
      </c>
      <c r="S181" s="1674">
        <f t="shared" si="42"/>
        <v>0</v>
      </c>
      <c r="T181" s="1675">
        <f t="shared" si="43"/>
        <v>0</v>
      </c>
      <c r="V181" s="1675" t="s">
        <v>2315</v>
      </c>
      <c r="W181" s="1675"/>
      <c r="X181" s="2009" t="s">
        <v>122</v>
      </c>
      <c r="Y181" s="1675"/>
      <c r="Z181" s="2009"/>
      <c r="AA181" s="1675"/>
      <c r="AB181" s="1675"/>
      <c r="AC181" s="1675"/>
      <c r="AG181" s="2001"/>
      <c r="AH181" s="1675" t="s">
        <v>2315</v>
      </c>
      <c r="AJ181" s="1675"/>
    </row>
    <row r="182" spans="1:36">
      <c r="A182" s="1675" t="s">
        <v>2430</v>
      </c>
      <c r="B182" s="1675"/>
      <c r="C182" s="1675" t="s">
        <v>2431</v>
      </c>
      <c r="D182" s="1675" t="s">
        <v>2431</v>
      </c>
      <c r="E182" s="2009"/>
      <c r="F182" s="1675" t="str">
        <f t="shared" si="44"/>
        <v>Depreciation</v>
      </c>
      <c r="G182" s="1675">
        <f t="shared" si="30"/>
        <v>0</v>
      </c>
      <c r="H182" s="1675" t="str">
        <f t="shared" si="31"/>
        <v>Depreciation</v>
      </c>
      <c r="I182" s="1675">
        <f t="shared" si="32"/>
        <v>0</v>
      </c>
      <c r="J182" s="1675">
        <f t="shared" si="33"/>
        <v>0</v>
      </c>
      <c r="K182" s="2009">
        <f t="shared" si="34"/>
        <v>0</v>
      </c>
      <c r="L182" s="1675" t="str">
        <f t="shared" si="35"/>
        <v>Gross</v>
      </c>
      <c r="M182" s="2005">
        <f t="shared" si="36"/>
        <v>0</v>
      </c>
      <c r="N182" s="1675" t="str">
        <f t="shared" si="37"/>
        <v>Gross</v>
      </c>
      <c r="O182" s="1675">
        <f t="shared" si="38"/>
        <v>0</v>
      </c>
      <c r="P182" s="1675" t="str">
        <f t="shared" si="39"/>
        <v>Adjustments</v>
      </c>
      <c r="Q182" s="2010">
        <f t="shared" si="40"/>
        <v>0</v>
      </c>
      <c r="R182" s="2009" t="str">
        <f t="shared" si="41"/>
        <v>Depreciation</v>
      </c>
      <c r="S182" s="2009">
        <f t="shared" si="42"/>
        <v>0</v>
      </c>
      <c r="T182" s="1675" t="str">
        <f t="shared" si="43"/>
        <v>13-Month</v>
      </c>
      <c r="V182" s="1675" t="s">
        <v>1537</v>
      </c>
      <c r="W182" s="1675"/>
      <c r="X182" s="1675" t="s">
        <v>1537</v>
      </c>
      <c r="Y182" s="1675"/>
      <c r="Z182" s="1675"/>
      <c r="AA182" s="2009"/>
      <c r="AB182" s="1675" t="s">
        <v>2596</v>
      </c>
      <c r="AC182" s="2005"/>
      <c r="AD182" s="1675" t="s">
        <v>2596</v>
      </c>
      <c r="AE182" s="1675"/>
      <c r="AF182" s="1675" t="s">
        <v>593</v>
      </c>
      <c r="AG182" s="2010"/>
      <c r="AH182" s="2009" t="s">
        <v>1537</v>
      </c>
      <c r="AI182" s="2009"/>
      <c r="AJ182" s="1675" t="s">
        <v>2434</v>
      </c>
    </row>
    <row r="183" spans="1:36" ht="15" thickBot="1">
      <c r="A183" s="2008" t="s">
        <v>2435</v>
      </c>
      <c r="B183" s="2008"/>
      <c r="C183" s="2008" t="s">
        <v>2436</v>
      </c>
      <c r="D183" s="2008" t="s">
        <v>2437</v>
      </c>
      <c r="E183" s="2008"/>
      <c r="F183" s="2011" t="str">
        <f t="shared" si="44"/>
        <v>Beg. of Year</v>
      </c>
      <c r="G183" s="2011">
        <f t="shared" si="30"/>
        <v>0</v>
      </c>
      <c r="H183" s="2011" t="str">
        <f t="shared" si="31"/>
        <v>Accrued</v>
      </c>
      <c r="I183" s="2012">
        <f t="shared" si="32"/>
        <v>0</v>
      </c>
      <c r="J183" s="2011" t="str">
        <f t="shared" si="33"/>
        <v>Retirements</v>
      </c>
      <c r="K183" s="2012">
        <f t="shared" si="34"/>
        <v>0</v>
      </c>
      <c r="L183" s="2012" t="str">
        <f t="shared" si="35"/>
        <v>COR</v>
      </c>
      <c r="M183" s="2013">
        <f t="shared" si="36"/>
        <v>0</v>
      </c>
      <c r="N183" s="2013" t="str">
        <f t="shared" si="37"/>
        <v>Salvage</v>
      </c>
      <c r="O183" s="2013">
        <f t="shared" si="38"/>
        <v>0</v>
      </c>
      <c r="P183" s="2013" t="str">
        <f t="shared" si="39"/>
        <v>or Transfers</v>
      </c>
      <c r="Q183" s="2014">
        <f t="shared" si="40"/>
        <v>0</v>
      </c>
      <c r="R183" s="2013" t="str">
        <f t="shared" si="41"/>
        <v>End of Year</v>
      </c>
      <c r="S183" s="2013">
        <f t="shared" si="42"/>
        <v>0</v>
      </c>
      <c r="T183" s="2013" t="str">
        <f t="shared" si="43"/>
        <v>Average</v>
      </c>
      <c r="V183" s="2011" t="s">
        <v>2439</v>
      </c>
      <c r="W183" s="2011"/>
      <c r="X183" s="2011" t="s">
        <v>2597</v>
      </c>
      <c r="Y183" s="2012"/>
      <c r="Z183" s="2011" t="s">
        <v>1535</v>
      </c>
      <c r="AA183" s="2012"/>
      <c r="AB183" s="2012" t="s">
        <v>2598</v>
      </c>
      <c r="AC183" s="2013"/>
      <c r="AD183" s="2013" t="s">
        <v>2599</v>
      </c>
      <c r="AE183" s="2013"/>
      <c r="AF183" s="2013" t="s">
        <v>2442</v>
      </c>
      <c r="AG183" s="2014"/>
      <c r="AH183" s="2013" t="s">
        <v>2443</v>
      </c>
      <c r="AI183" s="2013"/>
      <c r="AJ183" s="2013" t="s">
        <v>2444</v>
      </c>
    </row>
    <row r="184" spans="1:36">
      <c r="A184" s="1675">
        <v>1</v>
      </c>
      <c r="B184" s="1675"/>
      <c r="F184" s="1674">
        <f t="shared" si="44"/>
        <v>0</v>
      </c>
      <c r="G184" s="1674">
        <f t="shared" si="30"/>
        <v>0</v>
      </c>
      <c r="H184" s="1674">
        <f t="shared" si="31"/>
        <v>0</v>
      </c>
      <c r="I184" s="1674">
        <f t="shared" si="32"/>
        <v>0</v>
      </c>
      <c r="J184" s="1674">
        <f t="shared" si="33"/>
        <v>0</v>
      </c>
      <c r="K184" s="1674">
        <f t="shared" si="34"/>
        <v>0</v>
      </c>
      <c r="L184" s="1674">
        <f t="shared" si="35"/>
        <v>0</v>
      </c>
      <c r="M184" s="1674">
        <f t="shared" si="36"/>
        <v>0</v>
      </c>
      <c r="N184" s="1674">
        <f t="shared" si="37"/>
        <v>0</v>
      </c>
      <c r="O184" s="1674">
        <f t="shared" si="38"/>
        <v>0</v>
      </c>
      <c r="P184" s="1674">
        <f t="shared" si="39"/>
        <v>0</v>
      </c>
      <c r="Q184" s="2001">
        <f t="shared" si="40"/>
        <v>0</v>
      </c>
      <c r="R184" s="1674">
        <f t="shared" si="41"/>
        <v>0</v>
      </c>
      <c r="S184" s="1674">
        <f t="shared" si="42"/>
        <v>0</v>
      </c>
      <c r="T184" s="1674">
        <f t="shared" si="43"/>
        <v>0</v>
      </c>
      <c r="AG184" s="2001"/>
    </row>
    <row r="185" spans="1:36">
      <c r="A185" s="1675">
        <v>2</v>
      </c>
      <c r="B185" s="1675"/>
      <c r="D185" s="1674" t="s">
        <v>2493</v>
      </c>
      <c r="F185" s="1674">
        <f t="shared" si="44"/>
        <v>0</v>
      </c>
      <c r="G185" s="1674">
        <f t="shared" si="30"/>
        <v>0</v>
      </c>
      <c r="H185" s="1674">
        <f t="shared" si="31"/>
        <v>0</v>
      </c>
      <c r="I185" s="1785">
        <f t="shared" si="32"/>
        <v>0</v>
      </c>
      <c r="J185" s="1674">
        <f t="shared" si="33"/>
        <v>0</v>
      </c>
      <c r="K185" s="1785">
        <f t="shared" si="34"/>
        <v>0</v>
      </c>
      <c r="L185" s="1674">
        <f t="shared" si="35"/>
        <v>0</v>
      </c>
      <c r="M185" s="1785">
        <f t="shared" si="36"/>
        <v>0</v>
      </c>
      <c r="N185" s="1674">
        <f t="shared" si="37"/>
        <v>0</v>
      </c>
      <c r="O185" s="1674">
        <f t="shared" si="38"/>
        <v>0</v>
      </c>
      <c r="P185" s="1674">
        <f t="shared" si="39"/>
        <v>0</v>
      </c>
      <c r="Q185" s="1785">
        <f t="shared" si="40"/>
        <v>0</v>
      </c>
      <c r="R185" s="1674">
        <f t="shared" si="41"/>
        <v>0</v>
      </c>
      <c r="S185" s="1785">
        <f t="shared" si="42"/>
        <v>0</v>
      </c>
      <c r="T185" s="1674">
        <f t="shared" si="43"/>
        <v>0</v>
      </c>
      <c r="Y185" s="1785"/>
      <c r="AA185" s="1785"/>
      <c r="AC185" s="1785"/>
      <c r="AG185" s="1785"/>
      <c r="AI185" s="1785"/>
    </row>
    <row r="186" spans="1:36">
      <c r="A186" s="1675">
        <v>3</v>
      </c>
      <c r="B186" s="1675"/>
      <c r="C186" s="1675"/>
      <c r="D186" s="2002" t="s">
        <v>2494</v>
      </c>
      <c r="F186" s="2023">
        <f t="shared" si="44"/>
        <v>0</v>
      </c>
      <c r="G186" s="2030">
        <f t="shared" si="30"/>
        <v>0</v>
      </c>
      <c r="H186" s="1790">
        <f t="shared" si="31"/>
        <v>0</v>
      </c>
      <c r="I186" s="1785">
        <f t="shared" si="32"/>
        <v>0</v>
      </c>
      <c r="J186" s="2031">
        <f t="shared" si="33"/>
        <v>0</v>
      </c>
      <c r="K186" s="1785">
        <f t="shared" si="34"/>
        <v>0</v>
      </c>
      <c r="L186" s="2031">
        <f t="shared" si="35"/>
        <v>0</v>
      </c>
      <c r="M186" s="1785">
        <f t="shared" si="36"/>
        <v>0</v>
      </c>
      <c r="N186" s="2031">
        <f t="shared" si="37"/>
        <v>0</v>
      </c>
      <c r="O186" s="2031">
        <f t="shared" si="38"/>
        <v>0</v>
      </c>
      <c r="P186" s="2031">
        <f t="shared" si="39"/>
        <v>0</v>
      </c>
      <c r="Q186" s="1785">
        <f t="shared" si="40"/>
        <v>0</v>
      </c>
      <c r="R186" s="2031">
        <f t="shared" si="41"/>
        <v>0</v>
      </c>
      <c r="S186" s="1785">
        <f t="shared" si="42"/>
        <v>0</v>
      </c>
      <c r="T186" s="2031">
        <f t="shared" si="43"/>
        <v>0</v>
      </c>
      <c r="V186" s="2023"/>
      <c r="W186" s="2030"/>
      <c r="X186" s="1790"/>
      <c r="Y186" s="1785"/>
      <c r="Z186" s="2031"/>
      <c r="AA186" s="1785"/>
      <c r="AB186" s="2031"/>
      <c r="AC186" s="1785"/>
      <c r="AD186" s="2031"/>
      <c r="AE186" s="2031"/>
      <c r="AF186" s="2031"/>
      <c r="AG186" s="1785"/>
      <c r="AH186" s="2031"/>
      <c r="AI186" s="1785"/>
      <c r="AJ186" s="2031"/>
    </row>
    <row r="187" spans="1:36">
      <c r="A187" s="1675">
        <v>4</v>
      </c>
      <c r="B187" s="1675"/>
      <c r="C187" s="2009">
        <v>34180</v>
      </c>
      <c r="D187" s="1674" t="s">
        <v>2449</v>
      </c>
      <c r="F187" s="1876">
        <f t="shared" si="44"/>
        <v>67242.114899999986</v>
      </c>
      <c r="G187" s="2001">
        <f t="shared" si="30"/>
        <v>0</v>
      </c>
      <c r="H187" s="1876">
        <f t="shared" si="31"/>
        <v>5752.2605999999996</v>
      </c>
      <c r="I187" s="1785">
        <f t="shared" si="32"/>
        <v>0</v>
      </c>
      <c r="J187" s="1876">
        <f t="shared" si="33"/>
        <v>0</v>
      </c>
      <c r="K187" s="1786">
        <f t="shared" si="34"/>
        <v>0</v>
      </c>
      <c r="L187" s="1876">
        <f t="shared" si="35"/>
        <v>0</v>
      </c>
      <c r="M187" s="1786">
        <f t="shared" si="36"/>
        <v>0</v>
      </c>
      <c r="N187" s="1876">
        <f t="shared" si="37"/>
        <v>0</v>
      </c>
      <c r="O187" s="1787">
        <f t="shared" si="38"/>
        <v>0</v>
      </c>
      <c r="P187" s="1876">
        <f t="shared" si="39"/>
        <v>0</v>
      </c>
      <c r="Q187" s="1785">
        <f t="shared" si="40"/>
        <v>0</v>
      </c>
      <c r="R187" s="1787">
        <f t="shared" si="41"/>
        <v>72994.37549999998</v>
      </c>
      <c r="S187" s="1786">
        <f t="shared" si="42"/>
        <v>0</v>
      </c>
      <c r="T187" s="1876">
        <f t="shared" si="43"/>
        <v>70118.245200000005</v>
      </c>
      <c r="V187" s="1876">
        <v>67242114.899999991</v>
      </c>
      <c r="W187" s="2001"/>
      <c r="X187" s="1876">
        <v>5752260.5999999996</v>
      </c>
      <c r="Y187" s="1785"/>
      <c r="Z187" s="1876">
        <v>0</v>
      </c>
      <c r="AA187" s="1786"/>
      <c r="AB187" s="1876">
        <v>0</v>
      </c>
      <c r="AC187" s="1786"/>
      <c r="AD187" s="1876">
        <v>0</v>
      </c>
      <c r="AE187" s="1787"/>
      <c r="AF187" s="1876">
        <v>0</v>
      </c>
      <c r="AG187" s="1785"/>
      <c r="AH187" s="1787">
        <v>72994375.499999985</v>
      </c>
      <c r="AI187" s="1786"/>
      <c r="AJ187" s="1876">
        <v>70118245.200000003</v>
      </c>
    </row>
    <row r="188" spans="1:36">
      <c r="A188" s="1675">
        <v>5</v>
      </c>
      <c r="B188" s="1675"/>
      <c r="C188" s="2009">
        <v>34280</v>
      </c>
      <c r="D188" s="1674" t="s">
        <v>2495</v>
      </c>
      <c r="F188" s="1876">
        <f t="shared" si="44"/>
        <v>3981.1072900000004</v>
      </c>
      <c r="G188" s="2001">
        <f t="shared" si="30"/>
        <v>0</v>
      </c>
      <c r="H188" s="1876">
        <f t="shared" si="31"/>
        <v>413.67430000000002</v>
      </c>
      <c r="I188" s="1785">
        <f t="shared" si="32"/>
        <v>0</v>
      </c>
      <c r="J188" s="1876">
        <f t="shared" si="33"/>
        <v>-618.96858999999995</v>
      </c>
      <c r="K188" s="1786">
        <f t="shared" si="34"/>
        <v>0</v>
      </c>
      <c r="L188" s="1876">
        <f t="shared" si="35"/>
        <v>-238.33333999999999</v>
      </c>
      <c r="M188" s="1786">
        <f t="shared" si="36"/>
        <v>0</v>
      </c>
      <c r="N188" s="1876">
        <f t="shared" si="37"/>
        <v>0</v>
      </c>
      <c r="O188" s="1787">
        <f t="shared" si="38"/>
        <v>0</v>
      </c>
      <c r="P188" s="1876">
        <f t="shared" si="39"/>
        <v>0</v>
      </c>
      <c r="Q188" s="1785">
        <f t="shared" si="40"/>
        <v>0</v>
      </c>
      <c r="R188" s="1787">
        <f t="shared" si="41"/>
        <v>3537.4796600000009</v>
      </c>
      <c r="S188" s="1786">
        <f t="shared" si="42"/>
        <v>0</v>
      </c>
      <c r="T188" s="1876">
        <f t="shared" si="43"/>
        <v>3898.10662</v>
      </c>
      <c r="V188" s="1876">
        <v>3981107.2900000005</v>
      </c>
      <c r="W188" s="2001"/>
      <c r="X188" s="1876">
        <v>413674.3</v>
      </c>
      <c r="Y188" s="1785"/>
      <c r="Z188" s="1876">
        <v>-618968.59</v>
      </c>
      <c r="AA188" s="1786"/>
      <c r="AB188" s="1876">
        <v>-238333.34</v>
      </c>
      <c r="AC188" s="1786"/>
      <c r="AD188" s="1876">
        <v>0</v>
      </c>
      <c r="AE188" s="1787"/>
      <c r="AF188" s="1876">
        <v>0</v>
      </c>
      <c r="AG188" s="1785"/>
      <c r="AH188" s="1787">
        <v>3537479.6600000011</v>
      </c>
      <c r="AI188" s="1786"/>
      <c r="AJ188" s="1876">
        <v>3898106.62</v>
      </c>
    </row>
    <row r="189" spans="1:36">
      <c r="A189" s="1675">
        <v>6</v>
      </c>
      <c r="B189" s="1675"/>
      <c r="C189" s="2009">
        <v>34380</v>
      </c>
      <c r="D189" s="1674" t="s">
        <v>2496</v>
      </c>
      <c r="F189" s="1876">
        <f t="shared" si="44"/>
        <v>2663.1501200000016</v>
      </c>
      <c r="G189" s="2001">
        <f t="shared" si="30"/>
        <v>0</v>
      </c>
      <c r="H189" s="1876">
        <f t="shared" si="31"/>
        <v>526.15556000000004</v>
      </c>
      <c r="I189" s="1785">
        <f t="shared" si="32"/>
        <v>0</v>
      </c>
      <c r="J189" s="1876">
        <f t="shared" si="33"/>
        <v>-618.96858999999995</v>
      </c>
      <c r="K189" s="1786">
        <f t="shared" si="34"/>
        <v>0</v>
      </c>
      <c r="L189" s="1876">
        <f t="shared" si="35"/>
        <v>-238.33333999999999</v>
      </c>
      <c r="M189" s="1786">
        <f t="shared" si="36"/>
        <v>0</v>
      </c>
      <c r="N189" s="1876">
        <f t="shared" si="37"/>
        <v>0</v>
      </c>
      <c r="O189" s="1787">
        <f t="shared" si="38"/>
        <v>0</v>
      </c>
      <c r="P189" s="1876">
        <f t="shared" si="39"/>
        <v>0</v>
      </c>
      <c r="Q189" s="1785">
        <f t="shared" si="40"/>
        <v>0</v>
      </c>
      <c r="R189" s="1787">
        <f t="shared" si="41"/>
        <v>2332.0037500000017</v>
      </c>
      <c r="S189" s="1786">
        <f t="shared" si="42"/>
        <v>0</v>
      </c>
      <c r="T189" s="1876">
        <f t="shared" si="43"/>
        <v>2635.8072599999996</v>
      </c>
      <c r="V189" s="1876">
        <v>2663150.1200000015</v>
      </c>
      <c r="W189" s="2001"/>
      <c r="X189" s="1876">
        <v>526155.56000000006</v>
      </c>
      <c r="Y189" s="1785"/>
      <c r="Z189" s="1876">
        <v>-618968.59</v>
      </c>
      <c r="AA189" s="1786"/>
      <c r="AB189" s="1876">
        <v>-238333.34</v>
      </c>
      <c r="AC189" s="1786"/>
      <c r="AD189" s="1876">
        <v>0</v>
      </c>
      <c r="AE189" s="1787"/>
      <c r="AF189" s="1876">
        <v>0</v>
      </c>
      <c r="AG189" s="1785"/>
      <c r="AH189" s="1787">
        <v>2332003.7500000019</v>
      </c>
      <c r="AI189" s="1786"/>
      <c r="AJ189" s="1876">
        <v>2635807.2599999998</v>
      </c>
    </row>
    <row r="190" spans="1:36">
      <c r="A190" s="1675">
        <v>7</v>
      </c>
      <c r="B190" s="1675"/>
      <c r="C190" s="2009">
        <v>34580</v>
      </c>
      <c r="D190" s="1674" t="s">
        <v>2454</v>
      </c>
      <c r="F190" s="1876">
        <f t="shared" si="44"/>
        <v>4502.4756200000002</v>
      </c>
      <c r="G190" s="2001">
        <f t="shared" si="30"/>
        <v>0</v>
      </c>
      <c r="H190" s="1876">
        <f t="shared" si="31"/>
        <v>411.81695999999999</v>
      </c>
      <c r="I190" s="1785">
        <f t="shared" si="32"/>
        <v>0</v>
      </c>
      <c r="J190" s="1876">
        <f t="shared" si="33"/>
        <v>0</v>
      </c>
      <c r="K190" s="1786">
        <f t="shared" si="34"/>
        <v>0</v>
      </c>
      <c r="L190" s="1876">
        <f t="shared" si="35"/>
        <v>0</v>
      </c>
      <c r="M190" s="1786">
        <f t="shared" si="36"/>
        <v>0</v>
      </c>
      <c r="N190" s="1876">
        <f t="shared" si="37"/>
        <v>0</v>
      </c>
      <c r="O190" s="1787">
        <f t="shared" si="38"/>
        <v>0</v>
      </c>
      <c r="P190" s="1876">
        <f t="shared" si="39"/>
        <v>0</v>
      </c>
      <c r="Q190" s="1785">
        <f t="shared" si="40"/>
        <v>0</v>
      </c>
      <c r="R190" s="1787">
        <f t="shared" si="41"/>
        <v>4914.2925800000003</v>
      </c>
      <c r="S190" s="1786">
        <f t="shared" si="42"/>
        <v>0</v>
      </c>
      <c r="T190" s="1876">
        <f t="shared" si="43"/>
        <v>4708.3840999999993</v>
      </c>
      <c r="V190" s="1876">
        <v>4502475.62</v>
      </c>
      <c r="W190" s="2001"/>
      <c r="X190" s="1876">
        <v>411816.96000000002</v>
      </c>
      <c r="Y190" s="1785"/>
      <c r="Z190" s="1876">
        <v>0</v>
      </c>
      <c r="AA190" s="1786"/>
      <c r="AB190" s="1876">
        <v>0</v>
      </c>
      <c r="AC190" s="1786"/>
      <c r="AD190" s="1876">
        <v>0</v>
      </c>
      <c r="AE190" s="1787"/>
      <c r="AF190" s="1876">
        <v>0</v>
      </c>
      <c r="AG190" s="1785"/>
      <c r="AH190" s="1787">
        <v>4914292.58</v>
      </c>
      <c r="AI190" s="1786"/>
      <c r="AJ190" s="1876">
        <v>4708384.0999999996</v>
      </c>
    </row>
    <row r="191" spans="1:36">
      <c r="A191" s="1675">
        <v>8</v>
      </c>
      <c r="B191" s="1675"/>
      <c r="C191" s="2009">
        <v>34680</v>
      </c>
      <c r="D191" s="1674" t="s">
        <v>2455</v>
      </c>
      <c r="F191" s="1876">
        <f t="shared" si="44"/>
        <v>68.357699999999966</v>
      </c>
      <c r="G191" s="2001">
        <f t="shared" si="30"/>
        <v>0</v>
      </c>
      <c r="H191" s="1876">
        <f t="shared" si="31"/>
        <v>58.818959999999997</v>
      </c>
      <c r="I191" s="1785">
        <f t="shared" si="32"/>
        <v>0</v>
      </c>
      <c r="J191" s="1876">
        <f t="shared" si="33"/>
        <v>0</v>
      </c>
      <c r="K191" s="1786">
        <f t="shared" si="34"/>
        <v>0</v>
      </c>
      <c r="L191" s="1876">
        <f t="shared" si="35"/>
        <v>0</v>
      </c>
      <c r="M191" s="1786">
        <f t="shared" si="36"/>
        <v>0</v>
      </c>
      <c r="N191" s="1876">
        <f t="shared" si="37"/>
        <v>0</v>
      </c>
      <c r="O191" s="1787">
        <f t="shared" si="38"/>
        <v>0</v>
      </c>
      <c r="P191" s="1876">
        <f t="shared" si="39"/>
        <v>0</v>
      </c>
      <c r="Q191" s="1785">
        <f t="shared" si="40"/>
        <v>0</v>
      </c>
      <c r="R191" s="1787">
        <f t="shared" si="41"/>
        <v>127.17665999999997</v>
      </c>
      <c r="S191" s="1786">
        <f t="shared" si="42"/>
        <v>0</v>
      </c>
      <c r="T191" s="1876">
        <f t="shared" si="43"/>
        <v>97.767179999999996</v>
      </c>
      <c r="V191" s="1876">
        <v>68357.699999999968</v>
      </c>
      <c r="W191" s="2001"/>
      <c r="X191" s="1876">
        <v>58818.96</v>
      </c>
      <c r="Y191" s="1785"/>
      <c r="Z191" s="1876">
        <v>0</v>
      </c>
      <c r="AA191" s="1786"/>
      <c r="AB191" s="1876">
        <v>0</v>
      </c>
      <c r="AC191" s="1786"/>
      <c r="AD191" s="1876">
        <v>0</v>
      </c>
      <c r="AE191" s="1787"/>
      <c r="AF191" s="1876">
        <v>0</v>
      </c>
      <c r="AG191" s="1785"/>
      <c r="AH191" s="1787">
        <v>127176.65999999997</v>
      </c>
      <c r="AI191" s="1786"/>
      <c r="AJ191" s="1876">
        <v>97767.18</v>
      </c>
    </row>
    <row r="192" spans="1:36">
      <c r="A192" s="1675">
        <v>9</v>
      </c>
      <c r="B192" s="2015"/>
      <c r="C192" s="1675"/>
      <c r="D192" s="1674" t="s">
        <v>2497</v>
      </c>
      <c r="F192" s="1788">
        <f t="shared" si="44"/>
        <v>78457.205630000011</v>
      </c>
      <c r="G192" s="1674">
        <f t="shared" si="30"/>
        <v>0</v>
      </c>
      <c r="H192" s="1788">
        <f t="shared" si="31"/>
        <v>7162.7263799999992</v>
      </c>
      <c r="I192" s="1783">
        <f t="shared" si="32"/>
        <v>0</v>
      </c>
      <c r="J192" s="1788">
        <f t="shared" si="33"/>
        <v>-1237.9371799999999</v>
      </c>
      <c r="K192" s="1783">
        <f t="shared" si="34"/>
        <v>0</v>
      </c>
      <c r="L192" s="1788">
        <f t="shared" si="35"/>
        <v>-476.66667999999999</v>
      </c>
      <c r="M192" s="1783">
        <f t="shared" si="36"/>
        <v>0</v>
      </c>
      <c r="N192" s="1788">
        <f t="shared" si="37"/>
        <v>0</v>
      </c>
      <c r="O192" s="1814">
        <f t="shared" si="38"/>
        <v>0</v>
      </c>
      <c r="P192" s="1788">
        <f t="shared" si="39"/>
        <v>0</v>
      </c>
      <c r="Q192" s="1783">
        <f t="shared" si="40"/>
        <v>0</v>
      </c>
      <c r="R192" s="1788">
        <f t="shared" si="41"/>
        <v>83905.328149999972</v>
      </c>
      <c r="S192" s="1783">
        <f t="shared" si="42"/>
        <v>0</v>
      </c>
      <c r="T192" s="1788">
        <f t="shared" si="43"/>
        <v>81458.310360000018</v>
      </c>
      <c r="V192" s="1788">
        <v>78457205.63000001</v>
      </c>
      <c r="X192" s="1788">
        <v>7162726.379999999</v>
      </c>
      <c r="Y192" s="1783"/>
      <c r="Z192" s="1788">
        <v>-1237937.18</v>
      </c>
      <c r="AA192" s="1783"/>
      <c r="AB192" s="1788">
        <v>-476666.68</v>
      </c>
      <c r="AC192" s="1783"/>
      <c r="AD192" s="1788">
        <v>0</v>
      </c>
      <c r="AE192" s="1814"/>
      <c r="AF192" s="1788">
        <v>0</v>
      </c>
      <c r="AG192" s="1783"/>
      <c r="AH192" s="1788">
        <v>83905328.149999976</v>
      </c>
      <c r="AI192" s="1783"/>
      <c r="AJ192" s="1788">
        <v>81458310.360000014</v>
      </c>
    </row>
    <row r="193" spans="1:36">
      <c r="A193" s="1675">
        <v>10</v>
      </c>
      <c r="B193" s="2015"/>
      <c r="F193" s="1674">
        <f t="shared" si="44"/>
        <v>0</v>
      </c>
      <c r="G193" s="1674">
        <f t="shared" si="30"/>
        <v>0</v>
      </c>
      <c r="H193" s="1674">
        <f t="shared" si="31"/>
        <v>0</v>
      </c>
      <c r="I193" s="1674">
        <f t="shared" si="32"/>
        <v>0</v>
      </c>
      <c r="J193" s="1674">
        <f t="shared" si="33"/>
        <v>0</v>
      </c>
      <c r="K193" s="1674">
        <f t="shared" si="34"/>
        <v>0</v>
      </c>
      <c r="L193" s="1674">
        <f t="shared" si="35"/>
        <v>0</v>
      </c>
      <c r="M193" s="1674">
        <f t="shared" si="36"/>
        <v>0</v>
      </c>
      <c r="N193" s="1674">
        <f t="shared" si="37"/>
        <v>0</v>
      </c>
      <c r="O193" s="1674">
        <f t="shared" si="38"/>
        <v>0</v>
      </c>
      <c r="P193" s="1674">
        <f t="shared" si="39"/>
        <v>0</v>
      </c>
      <c r="Q193" s="2001">
        <f t="shared" si="40"/>
        <v>0</v>
      </c>
      <c r="R193" s="1674">
        <f t="shared" si="41"/>
        <v>0</v>
      </c>
      <c r="S193" s="1674">
        <f t="shared" si="42"/>
        <v>0</v>
      </c>
      <c r="T193" s="1674">
        <f t="shared" si="43"/>
        <v>0</v>
      </c>
      <c r="AG193" s="2001"/>
    </row>
    <row r="194" spans="1:36">
      <c r="A194" s="1675">
        <v>11</v>
      </c>
      <c r="B194" s="2015"/>
      <c r="D194" s="1674" t="s">
        <v>2498</v>
      </c>
      <c r="F194" s="2023">
        <f t="shared" si="44"/>
        <v>0</v>
      </c>
      <c r="G194" s="2030">
        <f t="shared" si="30"/>
        <v>0</v>
      </c>
      <c r="H194" s="1789">
        <f t="shared" si="31"/>
        <v>0</v>
      </c>
      <c r="I194" s="1785">
        <f t="shared" si="32"/>
        <v>0</v>
      </c>
      <c r="J194" s="1789">
        <f t="shared" si="33"/>
        <v>0</v>
      </c>
      <c r="K194" s="1785">
        <f t="shared" si="34"/>
        <v>0</v>
      </c>
      <c r="L194" s="1790">
        <f t="shared" si="35"/>
        <v>0</v>
      </c>
      <c r="M194" s="1785">
        <f t="shared" si="36"/>
        <v>0</v>
      </c>
      <c r="N194" s="1790">
        <f t="shared" si="37"/>
        <v>0</v>
      </c>
      <c r="O194" s="1790">
        <f t="shared" si="38"/>
        <v>0</v>
      </c>
      <c r="P194" s="1790">
        <f t="shared" si="39"/>
        <v>0</v>
      </c>
      <c r="Q194" s="1785">
        <f t="shared" si="40"/>
        <v>0</v>
      </c>
      <c r="R194" s="1790">
        <f t="shared" si="41"/>
        <v>0</v>
      </c>
      <c r="S194" s="1785">
        <f t="shared" si="42"/>
        <v>0</v>
      </c>
      <c r="T194" s="1790">
        <f t="shared" si="43"/>
        <v>0</v>
      </c>
      <c r="V194" s="2023"/>
      <c r="W194" s="2030"/>
      <c r="X194" s="1789"/>
      <c r="Y194" s="1785"/>
      <c r="Z194" s="1789"/>
      <c r="AA194" s="1785"/>
      <c r="AB194" s="1790"/>
      <c r="AC194" s="1785"/>
      <c r="AD194" s="1790"/>
      <c r="AE194" s="1790"/>
      <c r="AF194" s="1790"/>
      <c r="AG194" s="1785"/>
      <c r="AH194" s="1790"/>
      <c r="AI194" s="1785"/>
      <c r="AJ194" s="1790"/>
    </row>
    <row r="195" spans="1:36">
      <c r="A195" s="1675">
        <v>12</v>
      </c>
      <c r="B195" s="2015"/>
      <c r="C195" s="2009">
        <v>34181</v>
      </c>
      <c r="D195" s="1674" t="s">
        <v>2449</v>
      </c>
      <c r="F195" s="1876">
        <f t="shared" si="44"/>
        <v>28571.969029999975</v>
      </c>
      <c r="G195" s="2001">
        <f t="shared" si="30"/>
        <v>0</v>
      </c>
      <c r="H195" s="1876">
        <f t="shared" si="31"/>
        <v>2601.96252</v>
      </c>
      <c r="I195" s="1785">
        <f t="shared" si="32"/>
        <v>0</v>
      </c>
      <c r="J195" s="1876">
        <f t="shared" si="33"/>
        <v>0</v>
      </c>
      <c r="K195" s="1786">
        <f t="shared" si="34"/>
        <v>0</v>
      </c>
      <c r="L195" s="1876">
        <f t="shared" si="35"/>
        <v>0</v>
      </c>
      <c r="M195" s="1786">
        <f t="shared" si="36"/>
        <v>0</v>
      </c>
      <c r="N195" s="1876">
        <f t="shared" si="37"/>
        <v>0</v>
      </c>
      <c r="O195" s="1787">
        <f t="shared" si="38"/>
        <v>0</v>
      </c>
      <c r="P195" s="1876">
        <f t="shared" si="39"/>
        <v>0</v>
      </c>
      <c r="Q195" s="1785">
        <f t="shared" si="40"/>
        <v>0</v>
      </c>
      <c r="R195" s="1787">
        <f t="shared" si="41"/>
        <v>31173.931549999976</v>
      </c>
      <c r="S195" s="1786">
        <f t="shared" si="42"/>
        <v>0</v>
      </c>
      <c r="T195" s="1876">
        <f t="shared" si="43"/>
        <v>29872.950290000001</v>
      </c>
      <c r="V195" s="1876">
        <v>28571969.029999975</v>
      </c>
      <c r="W195" s="2001"/>
      <c r="X195" s="1876">
        <v>2601962.52</v>
      </c>
      <c r="Y195" s="1785"/>
      <c r="Z195" s="1876">
        <v>0</v>
      </c>
      <c r="AA195" s="1786"/>
      <c r="AB195" s="1876">
        <v>0</v>
      </c>
      <c r="AC195" s="1786"/>
      <c r="AD195" s="1876">
        <v>0</v>
      </c>
      <c r="AE195" s="1787"/>
      <c r="AF195" s="1876">
        <v>0</v>
      </c>
      <c r="AG195" s="1785"/>
      <c r="AH195" s="1787">
        <v>31173931.549999975</v>
      </c>
      <c r="AI195" s="1786"/>
      <c r="AJ195" s="1876">
        <v>29872950.289999999</v>
      </c>
    </row>
    <row r="196" spans="1:36">
      <c r="A196" s="1675">
        <v>13</v>
      </c>
      <c r="B196" s="2015"/>
      <c r="C196" s="2009">
        <v>34281</v>
      </c>
      <c r="D196" s="1674" t="s">
        <v>2495</v>
      </c>
      <c r="F196" s="1876">
        <f t="shared" si="44"/>
        <v>153401.05144999994</v>
      </c>
      <c r="G196" s="2001">
        <f t="shared" si="30"/>
        <v>0</v>
      </c>
      <c r="H196" s="1876">
        <f t="shared" si="31"/>
        <v>10176.76894</v>
      </c>
      <c r="I196" s="1785">
        <f t="shared" si="32"/>
        <v>0</v>
      </c>
      <c r="J196" s="1876">
        <f t="shared" si="33"/>
        <v>-282.92578000000003</v>
      </c>
      <c r="K196" s="1786">
        <f t="shared" si="34"/>
        <v>0</v>
      </c>
      <c r="L196" s="1876">
        <f t="shared" si="35"/>
        <v>-98.33323</v>
      </c>
      <c r="M196" s="1786">
        <f t="shared" si="36"/>
        <v>0</v>
      </c>
      <c r="N196" s="1876">
        <f t="shared" si="37"/>
        <v>0</v>
      </c>
      <c r="O196" s="1787">
        <f t="shared" si="38"/>
        <v>0</v>
      </c>
      <c r="P196" s="1876">
        <f t="shared" si="39"/>
        <v>0</v>
      </c>
      <c r="Q196" s="1785">
        <f t="shared" si="40"/>
        <v>0</v>
      </c>
      <c r="R196" s="1787">
        <f t="shared" si="41"/>
        <v>163196.56137999994</v>
      </c>
      <c r="S196" s="1786">
        <f t="shared" si="42"/>
        <v>0</v>
      </c>
      <c r="T196" s="1876">
        <f t="shared" si="43"/>
        <v>158218.00162</v>
      </c>
      <c r="V196" s="1876">
        <v>153401051.44999993</v>
      </c>
      <c r="W196" s="2001"/>
      <c r="X196" s="1876">
        <v>10176768.939999999</v>
      </c>
      <c r="Y196" s="1785"/>
      <c r="Z196" s="1876">
        <v>-282925.78000000003</v>
      </c>
      <c r="AA196" s="1786"/>
      <c r="AB196" s="1876">
        <v>-98333.23</v>
      </c>
      <c r="AC196" s="1786"/>
      <c r="AD196" s="1876">
        <v>0</v>
      </c>
      <c r="AE196" s="1787"/>
      <c r="AF196" s="1876">
        <v>0</v>
      </c>
      <c r="AG196" s="1785"/>
      <c r="AH196" s="1787">
        <v>163196561.37999994</v>
      </c>
      <c r="AI196" s="1786"/>
      <c r="AJ196" s="1876">
        <v>158218001.62</v>
      </c>
    </row>
    <row r="197" spans="1:36">
      <c r="A197" s="1675">
        <v>14</v>
      </c>
      <c r="B197" s="2015"/>
      <c r="C197" s="2009">
        <v>34381</v>
      </c>
      <c r="D197" s="1674" t="s">
        <v>2496</v>
      </c>
      <c r="F197" s="1876">
        <f t="shared" si="44"/>
        <v>91770.284029999981</v>
      </c>
      <c r="G197" s="2001">
        <f t="shared" si="30"/>
        <v>0</v>
      </c>
      <c r="H197" s="1876">
        <f t="shared" si="31"/>
        <v>8032.0286799999994</v>
      </c>
      <c r="I197" s="1785">
        <f t="shared" si="32"/>
        <v>0</v>
      </c>
      <c r="J197" s="1876">
        <f t="shared" si="33"/>
        <v>-282.92578000000003</v>
      </c>
      <c r="K197" s="1786">
        <f t="shared" si="34"/>
        <v>0</v>
      </c>
      <c r="L197" s="1876">
        <f t="shared" si="35"/>
        <v>-98.33323</v>
      </c>
      <c r="M197" s="1786">
        <f t="shared" si="36"/>
        <v>0</v>
      </c>
      <c r="N197" s="1876">
        <f t="shared" si="37"/>
        <v>0</v>
      </c>
      <c r="O197" s="1787">
        <f t="shared" si="38"/>
        <v>0</v>
      </c>
      <c r="P197" s="1876">
        <f t="shared" si="39"/>
        <v>0</v>
      </c>
      <c r="Q197" s="1785">
        <f t="shared" si="40"/>
        <v>0</v>
      </c>
      <c r="R197" s="1787">
        <f t="shared" si="41"/>
        <v>99421.053699999975</v>
      </c>
      <c r="S197" s="1786">
        <f t="shared" si="42"/>
        <v>0</v>
      </c>
      <c r="T197" s="1876">
        <f t="shared" si="43"/>
        <v>95489.877970000001</v>
      </c>
      <c r="V197" s="1876">
        <v>91770284.029999986</v>
      </c>
      <c r="W197" s="2001"/>
      <c r="X197" s="1876">
        <v>8032028.6799999997</v>
      </c>
      <c r="Y197" s="1785"/>
      <c r="Z197" s="1876">
        <v>-282925.78000000003</v>
      </c>
      <c r="AA197" s="1786"/>
      <c r="AB197" s="1876">
        <v>-98333.23</v>
      </c>
      <c r="AC197" s="1786"/>
      <c r="AD197" s="1876">
        <v>0</v>
      </c>
      <c r="AE197" s="1787"/>
      <c r="AF197" s="1876">
        <v>0</v>
      </c>
      <c r="AG197" s="1785"/>
      <c r="AH197" s="1787">
        <v>99421053.699999973</v>
      </c>
      <c r="AI197" s="1786"/>
      <c r="AJ197" s="1876">
        <v>95489877.969999999</v>
      </c>
    </row>
    <row r="198" spans="1:36">
      <c r="A198" s="1675">
        <v>15</v>
      </c>
      <c r="B198" s="2015"/>
      <c r="C198" s="2009">
        <v>34581</v>
      </c>
      <c r="D198" s="1674" t="s">
        <v>2454</v>
      </c>
      <c r="F198" s="1876">
        <f t="shared" si="44"/>
        <v>45601.24563999995</v>
      </c>
      <c r="G198" s="2001">
        <f t="shared" si="30"/>
        <v>0</v>
      </c>
      <c r="H198" s="1876">
        <f t="shared" si="31"/>
        <v>1536.7662</v>
      </c>
      <c r="I198" s="1785">
        <f t="shared" si="32"/>
        <v>0</v>
      </c>
      <c r="J198" s="1876">
        <f t="shared" si="33"/>
        <v>0</v>
      </c>
      <c r="K198" s="1786">
        <f t="shared" si="34"/>
        <v>0</v>
      </c>
      <c r="L198" s="1876">
        <f t="shared" si="35"/>
        <v>0</v>
      </c>
      <c r="M198" s="1786">
        <f t="shared" si="36"/>
        <v>0</v>
      </c>
      <c r="N198" s="1876">
        <f t="shared" si="37"/>
        <v>0</v>
      </c>
      <c r="O198" s="1787">
        <f t="shared" si="38"/>
        <v>0</v>
      </c>
      <c r="P198" s="1876">
        <f t="shared" si="39"/>
        <v>0</v>
      </c>
      <c r="Q198" s="1785">
        <f t="shared" si="40"/>
        <v>0</v>
      </c>
      <c r="R198" s="1787">
        <f t="shared" si="41"/>
        <v>47138.011839999948</v>
      </c>
      <c r="S198" s="1786">
        <f t="shared" si="42"/>
        <v>0</v>
      </c>
      <c r="T198" s="1876">
        <f t="shared" si="43"/>
        <v>46369.62874</v>
      </c>
      <c r="V198" s="1876">
        <v>45601245.639999948</v>
      </c>
      <c r="W198" s="2001"/>
      <c r="X198" s="1876">
        <v>1536766.2</v>
      </c>
      <c r="Y198" s="1785"/>
      <c r="Z198" s="1876">
        <v>0</v>
      </c>
      <c r="AA198" s="1786"/>
      <c r="AB198" s="1876">
        <v>0</v>
      </c>
      <c r="AC198" s="1786"/>
      <c r="AD198" s="1876">
        <v>0</v>
      </c>
      <c r="AE198" s="1787"/>
      <c r="AF198" s="1876">
        <v>0</v>
      </c>
      <c r="AG198" s="1785"/>
      <c r="AH198" s="1787">
        <v>47138011.839999951</v>
      </c>
      <c r="AI198" s="1786"/>
      <c r="AJ198" s="1876">
        <v>46369628.740000002</v>
      </c>
    </row>
    <row r="199" spans="1:36">
      <c r="A199" s="1675">
        <v>16</v>
      </c>
      <c r="B199" s="2015"/>
      <c r="C199" s="2009">
        <v>34681</v>
      </c>
      <c r="D199" s="1674" t="s">
        <v>2455</v>
      </c>
      <c r="F199" s="1876">
        <f t="shared" si="44"/>
        <v>2936.5326700000001</v>
      </c>
      <c r="G199" s="2001">
        <f t="shared" si="30"/>
        <v>0</v>
      </c>
      <c r="H199" s="1876">
        <f t="shared" si="31"/>
        <v>354.66084000000001</v>
      </c>
      <c r="I199" s="1785">
        <f t="shared" si="32"/>
        <v>0</v>
      </c>
      <c r="J199" s="1876">
        <f t="shared" si="33"/>
        <v>0</v>
      </c>
      <c r="K199" s="1786">
        <f t="shared" si="34"/>
        <v>0</v>
      </c>
      <c r="L199" s="1876">
        <f t="shared" si="35"/>
        <v>0</v>
      </c>
      <c r="M199" s="1786">
        <f t="shared" si="36"/>
        <v>0</v>
      </c>
      <c r="N199" s="1876">
        <f t="shared" si="37"/>
        <v>0</v>
      </c>
      <c r="O199" s="1787">
        <f t="shared" si="38"/>
        <v>0</v>
      </c>
      <c r="P199" s="1876">
        <f t="shared" si="39"/>
        <v>0</v>
      </c>
      <c r="Q199" s="1785">
        <f t="shared" si="40"/>
        <v>0</v>
      </c>
      <c r="R199" s="1787">
        <f t="shared" si="41"/>
        <v>3291.1935099999996</v>
      </c>
      <c r="S199" s="1786">
        <f t="shared" si="42"/>
        <v>0</v>
      </c>
      <c r="T199" s="1876">
        <f t="shared" si="43"/>
        <v>3113.8630899999998</v>
      </c>
      <c r="V199" s="1876">
        <v>2936532.67</v>
      </c>
      <c r="W199" s="2001"/>
      <c r="X199" s="1876">
        <v>354660.84</v>
      </c>
      <c r="Y199" s="1785"/>
      <c r="Z199" s="1876">
        <v>0</v>
      </c>
      <c r="AA199" s="1786"/>
      <c r="AB199" s="1876">
        <v>0</v>
      </c>
      <c r="AC199" s="1786"/>
      <c r="AD199" s="1876">
        <v>0</v>
      </c>
      <c r="AE199" s="1787"/>
      <c r="AF199" s="1876">
        <v>0</v>
      </c>
      <c r="AG199" s="1785"/>
      <c r="AH199" s="1787">
        <v>3291193.51</v>
      </c>
      <c r="AI199" s="1786"/>
      <c r="AJ199" s="1876">
        <v>3113863.09</v>
      </c>
    </row>
    <row r="200" spans="1:36">
      <c r="A200" s="1675">
        <v>17</v>
      </c>
      <c r="B200" s="2015"/>
      <c r="C200" s="2009"/>
      <c r="D200" s="2002" t="s">
        <v>2499</v>
      </c>
      <c r="F200" s="1788">
        <f t="shared" si="44"/>
        <v>322281.08281999984</v>
      </c>
      <c r="G200" s="1674">
        <f t="shared" si="30"/>
        <v>0</v>
      </c>
      <c r="H200" s="1788">
        <f t="shared" si="31"/>
        <v>22702.187180000001</v>
      </c>
      <c r="I200" s="1783">
        <f t="shared" si="32"/>
        <v>0</v>
      </c>
      <c r="J200" s="1788">
        <f t="shared" si="33"/>
        <v>-565.85156000000006</v>
      </c>
      <c r="K200" s="1783">
        <f t="shared" si="34"/>
        <v>0</v>
      </c>
      <c r="L200" s="1788">
        <f t="shared" si="35"/>
        <v>-196.66646</v>
      </c>
      <c r="M200" s="1783">
        <f t="shared" si="36"/>
        <v>0</v>
      </c>
      <c r="N200" s="1788">
        <f t="shared" si="37"/>
        <v>0</v>
      </c>
      <c r="O200" s="1814">
        <f t="shared" si="38"/>
        <v>0</v>
      </c>
      <c r="P200" s="1788">
        <f t="shared" si="39"/>
        <v>0</v>
      </c>
      <c r="Q200" s="1783">
        <f t="shared" si="40"/>
        <v>0</v>
      </c>
      <c r="R200" s="1788">
        <f t="shared" si="41"/>
        <v>344220.75197999983</v>
      </c>
      <c r="S200" s="1783">
        <f t="shared" si="42"/>
        <v>0</v>
      </c>
      <c r="T200" s="1788">
        <f t="shared" si="43"/>
        <v>333064.32170999999</v>
      </c>
      <c r="V200" s="1788">
        <v>322281082.81999981</v>
      </c>
      <c r="X200" s="1788">
        <v>22702187.18</v>
      </c>
      <c r="Y200" s="1783"/>
      <c r="Z200" s="1788">
        <v>-565851.56000000006</v>
      </c>
      <c r="AA200" s="1783"/>
      <c r="AB200" s="1788">
        <v>-196666.46</v>
      </c>
      <c r="AC200" s="1783"/>
      <c r="AD200" s="1788">
        <v>0</v>
      </c>
      <c r="AE200" s="1814"/>
      <c r="AF200" s="1788">
        <v>0</v>
      </c>
      <c r="AG200" s="1783"/>
      <c r="AH200" s="1788">
        <v>344220751.97999984</v>
      </c>
      <c r="AI200" s="1783"/>
      <c r="AJ200" s="1788">
        <v>333064321.70999998</v>
      </c>
    </row>
    <row r="201" spans="1:36">
      <c r="A201" s="1675">
        <v>18</v>
      </c>
      <c r="B201" s="2015"/>
      <c r="F201" s="1674">
        <f t="shared" si="44"/>
        <v>0</v>
      </c>
      <c r="G201" s="1674">
        <f t="shared" si="30"/>
        <v>0</v>
      </c>
      <c r="H201" s="1674">
        <f t="shared" si="31"/>
        <v>0</v>
      </c>
      <c r="I201" s="1674">
        <f t="shared" si="32"/>
        <v>0</v>
      </c>
      <c r="J201" s="1674">
        <f t="shared" si="33"/>
        <v>0</v>
      </c>
      <c r="K201" s="1674">
        <f t="shared" si="34"/>
        <v>0</v>
      </c>
      <c r="L201" s="1674">
        <f t="shared" si="35"/>
        <v>0</v>
      </c>
      <c r="M201" s="1674">
        <f t="shared" si="36"/>
        <v>0</v>
      </c>
      <c r="N201" s="1674">
        <f t="shared" si="37"/>
        <v>0</v>
      </c>
      <c r="O201" s="1674">
        <f t="shared" si="38"/>
        <v>0</v>
      </c>
      <c r="P201" s="1674">
        <f t="shared" si="39"/>
        <v>0</v>
      </c>
      <c r="Q201" s="2001">
        <f t="shared" si="40"/>
        <v>0</v>
      </c>
      <c r="R201" s="1674">
        <f t="shared" si="41"/>
        <v>0</v>
      </c>
      <c r="S201" s="1674">
        <f t="shared" si="42"/>
        <v>0</v>
      </c>
      <c r="T201" s="1674">
        <f t="shared" si="43"/>
        <v>0</v>
      </c>
      <c r="AG201" s="2001"/>
    </row>
    <row r="202" spans="1:36">
      <c r="A202" s="1675">
        <v>19</v>
      </c>
      <c r="B202" s="2015"/>
      <c r="C202" s="1675"/>
      <c r="D202" s="2002" t="s">
        <v>2500</v>
      </c>
      <c r="F202" s="1674">
        <f t="shared" si="44"/>
        <v>0</v>
      </c>
      <c r="G202" s="1674">
        <f t="shared" si="30"/>
        <v>0</v>
      </c>
      <c r="H202" s="1796">
        <f t="shared" si="31"/>
        <v>0</v>
      </c>
      <c r="I202" s="1785">
        <f t="shared" si="32"/>
        <v>0</v>
      </c>
      <c r="J202" s="2032">
        <f t="shared" si="33"/>
        <v>0</v>
      </c>
      <c r="K202" s="1785">
        <f t="shared" si="34"/>
        <v>0</v>
      </c>
      <c r="L202" s="2032">
        <f t="shared" si="35"/>
        <v>0</v>
      </c>
      <c r="M202" s="1785">
        <f t="shared" si="36"/>
        <v>0</v>
      </c>
      <c r="N202" s="2032">
        <f t="shared" si="37"/>
        <v>0</v>
      </c>
      <c r="O202" s="2032">
        <f t="shared" si="38"/>
        <v>0</v>
      </c>
      <c r="P202" s="2032">
        <f t="shared" si="39"/>
        <v>0</v>
      </c>
      <c r="Q202" s="1785">
        <f t="shared" si="40"/>
        <v>0</v>
      </c>
      <c r="R202" s="2032">
        <f t="shared" si="41"/>
        <v>0</v>
      </c>
      <c r="S202" s="1785">
        <f t="shared" si="42"/>
        <v>0</v>
      </c>
      <c r="T202" s="2032">
        <f t="shared" si="43"/>
        <v>0</v>
      </c>
      <c r="X202" s="1796"/>
      <c r="Y202" s="1785"/>
      <c r="Z202" s="2032"/>
      <c r="AA202" s="1785"/>
      <c r="AB202" s="2032"/>
      <c r="AC202" s="1785"/>
      <c r="AD202" s="2032"/>
      <c r="AE202" s="2032"/>
      <c r="AF202" s="2032"/>
      <c r="AG202" s="1785"/>
      <c r="AH202" s="2032"/>
      <c r="AI202" s="1785"/>
      <c r="AJ202" s="2032"/>
    </row>
    <row r="203" spans="1:36">
      <c r="A203" s="1675">
        <v>20</v>
      </c>
      <c r="B203" s="2015"/>
      <c r="C203" s="2009">
        <v>34182</v>
      </c>
      <c r="D203" s="1674" t="s">
        <v>2449</v>
      </c>
      <c r="F203" s="1876">
        <f t="shared" si="44"/>
        <v>1331.5105799999985</v>
      </c>
      <c r="G203" s="2001">
        <f t="shared" si="30"/>
        <v>0</v>
      </c>
      <c r="H203" s="1876">
        <f t="shared" si="31"/>
        <v>52.932720000000003</v>
      </c>
      <c r="I203" s="1785">
        <f t="shared" si="32"/>
        <v>0</v>
      </c>
      <c r="J203" s="1876">
        <f t="shared" si="33"/>
        <v>0</v>
      </c>
      <c r="K203" s="1786">
        <f t="shared" si="34"/>
        <v>0</v>
      </c>
      <c r="L203" s="1876">
        <f t="shared" si="35"/>
        <v>0</v>
      </c>
      <c r="M203" s="1786">
        <f t="shared" si="36"/>
        <v>0</v>
      </c>
      <c r="N203" s="1876">
        <f t="shared" si="37"/>
        <v>0</v>
      </c>
      <c r="O203" s="1787">
        <f t="shared" si="38"/>
        <v>0</v>
      </c>
      <c r="P203" s="1876">
        <f t="shared" si="39"/>
        <v>0</v>
      </c>
      <c r="Q203" s="1785">
        <f t="shared" si="40"/>
        <v>0</v>
      </c>
      <c r="R203" s="1787">
        <f t="shared" si="41"/>
        <v>1384.4432999999983</v>
      </c>
      <c r="S203" s="1786">
        <f t="shared" si="42"/>
        <v>0</v>
      </c>
      <c r="T203" s="1876">
        <f t="shared" si="43"/>
        <v>1357.97694</v>
      </c>
      <c r="V203" s="1876">
        <v>1331510.5799999984</v>
      </c>
      <c r="W203" s="2001"/>
      <c r="X203" s="1876">
        <v>52932.72</v>
      </c>
      <c r="Y203" s="1785"/>
      <c r="Z203" s="1876">
        <v>0</v>
      </c>
      <c r="AA203" s="1786"/>
      <c r="AB203" s="1876">
        <v>0</v>
      </c>
      <c r="AC203" s="1786"/>
      <c r="AD203" s="1876">
        <v>0</v>
      </c>
      <c r="AE203" s="1787"/>
      <c r="AF203" s="1876">
        <v>0</v>
      </c>
      <c r="AG203" s="1785"/>
      <c r="AH203" s="1787">
        <v>1384443.2999999984</v>
      </c>
      <c r="AI203" s="1786"/>
      <c r="AJ203" s="1876">
        <v>1357976.94</v>
      </c>
    </row>
    <row r="204" spans="1:36">
      <c r="A204" s="1675">
        <v>21</v>
      </c>
      <c r="B204" s="2015"/>
      <c r="C204" s="2009">
        <v>34282</v>
      </c>
      <c r="D204" s="1674" t="s">
        <v>2495</v>
      </c>
      <c r="F204" s="1876">
        <f t="shared" si="44"/>
        <v>454.51410999999962</v>
      </c>
      <c r="G204" s="2001">
        <f t="shared" si="30"/>
        <v>0</v>
      </c>
      <c r="H204" s="1876">
        <f t="shared" si="31"/>
        <v>121.34278999999999</v>
      </c>
      <c r="I204" s="1785">
        <f t="shared" si="32"/>
        <v>0</v>
      </c>
      <c r="J204" s="1876">
        <f t="shared" si="33"/>
        <v>-1024.4861899999999</v>
      </c>
      <c r="K204" s="1786">
        <f t="shared" si="34"/>
        <v>0</v>
      </c>
      <c r="L204" s="1876">
        <f t="shared" si="35"/>
        <v>-52.133400000000002</v>
      </c>
      <c r="M204" s="1786">
        <f t="shared" si="36"/>
        <v>0</v>
      </c>
      <c r="N204" s="1876">
        <f t="shared" si="37"/>
        <v>0</v>
      </c>
      <c r="O204" s="1787">
        <f t="shared" si="38"/>
        <v>0</v>
      </c>
      <c r="P204" s="1876">
        <f t="shared" si="39"/>
        <v>0</v>
      </c>
      <c r="Q204" s="1785">
        <f t="shared" si="40"/>
        <v>0</v>
      </c>
      <c r="R204" s="1787">
        <f t="shared" si="41"/>
        <v>-500.7626900000003</v>
      </c>
      <c r="S204" s="1786">
        <f t="shared" si="42"/>
        <v>0</v>
      </c>
      <c r="T204" s="1876">
        <f t="shared" si="43"/>
        <v>357.82540999999998</v>
      </c>
      <c r="V204" s="1876">
        <v>454514.10999999964</v>
      </c>
      <c r="W204" s="2001"/>
      <c r="X204" s="1876">
        <v>121342.79</v>
      </c>
      <c r="Y204" s="1785"/>
      <c r="Z204" s="1876">
        <v>-1024486.19</v>
      </c>
      <c r="AA204" s="1786"/>
      <c r="AB204" s="1876">
        <v>-52133.4</v>
      </c>
      <c r="AC204" s="1786"/>
      <c r="AD204" s="1876">
        <v>0</v>
      </c>
      <c r="AE204" s="1787"/>
      <c r="AF204" s="1876">
        <v>0</v>
      </c>
      <c r="AG204" s="1785"/>
      <c r="AH204" s="1787">
        <v>-500762.69000000029</v>
      </c>
      <c r="AI204" s="1786"/>
      <c r="AJ204" s="1876">
        <v>357825.41</v>
      </c>
    </row>
    <row r="205" spans="1:36">
      <c r="A205" s="1675">
        <v>22</v>
      </c>
      <c r="B205" s="2015"/>
      <c r="C205" s="2009">
        <v>34382</v>
      </c>
      <c r="D205" s="1674" t="s">
        <v>2496</v>
      </c>
      <c r="F205" s="1876">
        <f t="shared" si="44"/>
        <v>10409.071580000005</v>
      </c>
      <c r="G205" s="2001">
        <f t="shared" si="30"/>
        <v>0</v>
      </c>
      <c r="H205" s="1876">
        <f t="shared" si="31"/>
        <v>1477.28295</v>
      </c>
      <c r="I205" s="1785">
        <f t="shared" si="32"/>
        <v>0</v>
      </c>
      <c r="J205" s="1876">
        <f t="shared" si="33"/>
        <v>-1024.4861899999999</v>
      </c>
      <c r="K205" s="1786">
        <f t="shared" si="34"/>
        <v>0</v>
      </c>
      <c r="L205" s="1876">
        <f t="shared" si="35"/>
        <v>-52.133400000000002</v>
      </c>
      <c r="M205" s="1786">
        <f t="shared" si="36"/>
        <v>0</v>
      </c>
      <c r="N205" s="1876">
        <f t="shared" si="37"/>
        <v>0</v>
      </c>
      <c r="O205" s="1787">
        <f t="shared" si="38"/>
        <v>0</v>
      </c>
      <c r="P205" s="1876">
        <f t="shared" si="39"/>
        <v>0</v>
      </c>
      <c r="Q205" s="1785">
        <f t="shared" si="40"/>
        <v>0</v>
      </c>
      <c r="R205" s="1787">
        <f t="shared" si="41"/>
        <v>10809.734940000006</v>
      </c>
      <c r="S205" s="1786">
        <f t="shared" si="42"/>
        <v>0</v>
      </c>
      <c r="T205" s="1876">
        <f t="shared" si="43"/>
        <v>10989.78767</v>
      </c>
      <c r="V205" s="1876">
        <v>10409071.580000006</v>
      </c>
      <c r="W205" s="2001"/>
      <c r="X205" s="1876">
        <v>1477282.95</v>
      </c>
      <c r="Y205" s="1785"/>
      <c r="Z205" s="1876">
        <v>-1024486.19</v>
      </c>
      <c r="AA205" s="1786"/>
      <c r="AB205" s="1876">
        <v>-52133.4</v>
      </c>
      <c r="AC205" s="1786"/>
      <c r="AD205" s="1876">
        <v>0</v>
      </c>
      <c r="AE205" s="1787"/>
      <c r="AF205" s="1876">
        <v>0</v>
      </c>
      <c r="AG205" s="1785"/>
      <c r="AH205" s="1787">
        <v>10809734.940000005</v>
      </c>
      <c r="AI205" s="1786"/>
      <c r="AJ205" s="1876">
        <v>10989787.67</v>
      </c>
    </row>
    <row r="206" spans="1:36">
      <c r="A206" s="1675">
        <v>23</v>
      </c>
      <c r="B206" s="2015"/>
      <c r="C206" s="2009">
        <v>34582</v>
      </c>
      <c r="D206" s="1674" t="s">
        <v>2454</v>
      </c>
      <c r="F206" s="1876">
        <f t="shared" si="44"/>
        <v>11226.851109999991</v>
      </c>
      <c r="G206" s="2001">
        <f t="shared" si="30"/>
        <v>0</v>
      </c>
      <c r="H206" s="1876">
        <f t="shared" si="31"/>
        <v>370.90931999999998</v>
      </c>
      <c r="I206" s="1785">
        <f t="shared" si="32"/>
        <v>0</v>
      </c>
      <c r="J206" s="1876">
        <f t="shared" si="33"/>
        <v>0</v>
      </c>
      <c r="K206" s="1786">
        <f t="shared" si="34"/>
        <v>0</v>
      </c>
      <c r="L206" s="1876">
        <f t="shared" si="35"/>
        <v>0</v>
      </c>
      <c r="M206" s="1786">
        <f t="shared" si="36"/>
        <v>0</v>
      </c>
      <c r="N206" s="1876">
        <f t="shared" si="37"/>
        <v>0</v>
      </c>
      <c r="O206" s="1787">
        <f t="shared" si="38"/>
        <v>0</v>
      </c>
      <c r="P206" s="1876">
        <f t="shared" si="39"/>
        <v>0</v>
      </c>
      <c r="Q206" s="1785">
        <f t="shared" si="40"/>
        <v>0</v>
      </c>
      <c r="R206" s="1787">
        <f t="shared" si="41"/>
        <v>11597.760429999991</v>
      </c>
      <c r="S206" s="1786">
        <f t="shared" si="42"/>
        <v>0</v>
      </c>
      <c r="T206" s="1876">
        <f t="shared" si="43"/>
        <v>11412.305769999999</v>
      </c>
      <c r="V206" s="1876">
        <v>11226851.10999999</v>
      </c>
      <c r="W206" s="2001"/>
      <c r="X206" s="1876">
        <v>370909.32</v>
      </c>
      <c r="Y206" s="1785"/>
      <c r="Z206" s="1876">
        <v>0</v>
      </c>
      <c r="AA206" s="1786"/>
      <c r="AB206" s="1876">
        <v>0</v>
      </c>
      <c r="AC206" s="1786"/>
      <c r="AD206" s="1876">
        <v>0</v>
      </c>
      <c r="AE206" s="1787"/>
      <c r="AF206" s="1876">
        <v>0</v>
      </c>
      <c r="AG206" s="1785"/>
      <c r="AH206" s="1787">
        <v>11597760.42999999</v>
      </c>
      <c r="AI206" s="1786"/>
      <c r="AJ206" s="1876">
        <v>11412305.77</v>
      </c>
    </row>
    <row r="207" spans="1:36">
      <c r="A207" s="1675">
        <v>24</v>
      </c>
      <c r="B207" s="2015"/>
      <c r="C207" s="2009">
        <v>34682</v>
      </c>
      <c r="D207" s="1674" t="s">
        <v>2455</v>
      </c>
      <c r="F207" s="1876">
        <f t="shared" si="44"/>
        <v>139.89727000000016</v>
      </c>
      <c r="G207" s="2001">
        <f t="shared" si="30"/>
        <v>0</v>
      </c>
      <c r="H207" s="1876">
        <f t="shared" si="31"/>
        <v>2.5981199999999998</v>
      </c>
      <c r="I207" s="1785">
        <f t="shared" si="32"/>
        <v>0</v>
      </c>
      <c r="J207" s="1876">
        <f t="shared" si="33"/>
        <v>0</v>
      </c>
      <c r="K207" s="1786">
        <f t="shared" si="34"/>
        <v>0</v>
      </c>
      <c r="L207" s="1876">
        <f t="shared" si="35"/>
        <v>0</v>
      </c>
      <c r="M207" s="1786">
        <f t="shared" si="36"/>
        <v>0</v>
      </c>
      <c r="N207" s="1876">
        <f t="shared" si="37"/>
        <v>0</v>
      </c>
      <c r="O207" s="1787">
        <f t="shared" si="38"/>
        <v>0</v>
      </c>
      <c r="P207" s="1876">
        <f t="shared" si="39"/>
        <v>0</v>
      </c>
      <c r="Q207" s="1785">
        <f t="shared" si="40"/>
        <v>0</v>
      </c>
      <c r="R207" s="1787">
        <f t="shared" si="41"/>
        <v>142.49539000000016</v>
      </c>
      <c r="S207" s="1786">
        <f t="shared" si="42"/>
        <v>0</v>
      </c>
      <c r="T207" s="1876">
        <f t="shared" si="43"/>
        <v>141.19632999999999</v>
      </c>
      <c r="V207" s="1876">
        <v>139897.27000000016</v>
      </c>
      <c r="W207" s="2001"/>
      <c r="X207" s="1876">
        <v>2598.12</v>
      </c>
      <c r="Y207" s="1785"/>
      <c r="Z207" s="1876">
        <v>0</v>
      </c>
      <c r="AA207" s="1786"/>
      <c r="AB207" s="1876">
        <v>0</v>
      </c>
      <c r="AC207" s="1786"/>
      <c r="AD207" s="1876">
        <v>0</v>
      </c>
      <c r="AE207" s="1787"/>
      <c r="AF207" s="1876">
        <v>0</v>
      </c>
      <c r="AG207" s="1785"/>
      <c r="AH207" s="1787">
        <v>142495.39000000016</v>
      </c>
      <c r="AI207" s="1786"/>
      <c r="AJ207" s="1876">
        <v>141196.32999999999</v>
      </c>
    </row>
    <row r="208" spans="1:36">
      <c r="A208" s="1675">
        <v>25</v>
      </c>
      <c r="B208" s="2015"/>
      <c r="C208" s="1675"/>
      <c r="D208" s="2002" t="s">
        <v>2501</v>
      </c>
      <c r="F208" s="1788">
        <f t="shared" si="44"/>
        <v>23561.844649999995</v>
      </c>
      <c r="G208" s="1674">
        <f t="shared" si="30"/>
        <v>0</v>
      </c>
      <c r="H208" s="1788">
        <f t="shared" si="31"/>
        <v>2025.0659000000001</v>
      </c>
      <c r="I208" s="1783">
        <f t="shared" si="32"/>
        <v>0</v>
      </c>
      <c r="J208" s="1788">
        <f t="shared" si="33"/>
        <v>-2048.9723799999997</v>
      </c>
      <c r="K208" s="1783">
        <f t="shared" si="34"/>
        <v>0</v>
      </c>
      <c r="L208" s="1788">
        <f t="shared" si="35"/>
        <v>-104.2668</v>
      </c>
      <c r="M208" s="1783">
        <f t="shared" si="36"/>
        <v>0</v>
      </c>
      <c r="N208" s="1788">
        <f t="shared" si="37"/>
        <v>0</v>
      </c>
      <c r="O208" s="1814">
        <f t="shared" si="38"/>
        <v>0</v>
      </c>
      <c r="P208" s="1788">
        <f t="shared" si="39"/>
        <v>0</v>
      </c>
      <c r="Q208" s="1783">
        <f t="shared" si="40"/>
        <v>0</v>
      </c>
      <c r="R208" s="1788">
        <f t="shared" si="41"/>
        <v>23433.671369999993</v>
      </c>
      <c r="S208" s="1783">
        <f t="shared" si="42"/>
        <v>0</v>
      </c>
      <c r="T208" s="1788">
        <f t="shared" si="43"/>
        <v>24259.092119999998</v>
      </c>
      <c r="V208" s="1788">
        <v>23561844.649999995</v>
      </c>
      <c r="X208" s="1788">
        <v>2025065.9000000001</v>
      </c>
      <c r="Y208" s="1783"/>
      <c r="Z208" s="1788">
        <v>-2048972.38</v>
      </c>
      <c r="AA208" s="1783"/>
      <c r="AB208" s="1788">
        <v>-104266.8</v>
      </c>
      <c r="AC208" s="1783"/>
      <c r="AD208" s="1788">
        <v>0</v>
      </c>
      <c r="AE208" s="1814"/>
      <c r="AF208" s="1788">
        <v>0</v>
      </c>
      <c r="AG208" s="1783"/>
      <c r="AH208" s="1788">
        <v>23433671.369999994</v>
      </c>
      <c r="AI208" s="1783"/>
      <c r="AJ208" s="1788">
        <v>24259092.119999997</v>
      </c>
    </row>
    <row r="209" spans="1:36">
      <c r="A209" s="1675">
        <v>26</v>
      </c>
      <c r="B209" s="2015"/>
      <c r="F209" s="1674">
        <f t="shared" si="44"/>
        <v>0</v>
      </c>
      <c r="G209" s="1674">
        <f t="shared" ref="G209:G272" si="45">+IF(ISNUMBER(W209),W209/1000,W209)</f>
        <v>0</v>
      </c>
      <c r="H209" s="1674">
        <f t="shared" ref="H209:H272" si="46">+IF(ISNUMBER(X209),X209/1000,X209)</f>
        <v>0</v>
      </c>
      <c r="I209" s="1674">
        <f t="shared" ref="I209:I272" si="47">+IF(ISNUMBER(Y209),Y209/1000,Y209)</f>
        <v>0</v>
      </c>
      <c r="J209" s="1674">
        <f t="shared" ref="J209:J272" si="48">+IF(ISNUMBER(Z209),Z209/1000,Z209)</f>
        <v>0</v>
      </c>
      <c r="K209" s="1674">
        <f t="shared" ref="K209:K272" si="49">+IF(ISNUMBER(AA209),AA209/1000,AA209)</f>
        <v>0</v>
      </c>
      <c r="L209" s="1674">
        <f t="shared" ref="L209:L272" si="50">+IF(ISNUMBER(AB209),AB209/1000,AB209)</f>
        <v>0</v>
      </c>
      <c r="M209" s="1674">
        <f t="shared" ref="M209:M272" si="51">+IF(ISNUMBER(AC209),AC209/1000,AC209)</f>
        <v>0</v>
      </c>
      <c r="N209" s="1674">
        <f t="shared" ref="N209:N272" si="52">+IF(ISNUMBER(AD209),AD209/1000,AD209)</f>
        <v>0</v>
      </c>
      <c r="O209" s="1674">
        <f t="shared" ref="O209:O272" si="53">+IF(ISNUMBER(AE209),AE209/1000,AE209)</f>
        <v>0</v>
      </c>
      <c r="P209" s="1674">
        <f t="shared" ref="P209:P272" si="54">+IF(ISNUMBER(AF209),AF209/1000,AF209)</f>
        <v>0</v>
      </c>
      <c r="Q209" s="2001">
        <f t="shared" ref="Q209:Q272" si="55">+IF(ISNUMBER(AG209),AG209/1000,AG209)</f>
        <v>0</v>
      </c>
      <c r="R209" s="1674">
        <f t="shared" ref="R209:R272" si="56">+IF(ISNUMBER(AH209),AH209/1000,AH209)</f>
        <v>0</v>
      </c>
      <c r="S209" s="1674">
        <f t="shared" ref="S209:S272" si="57">+IF(ISNUMBER(AI209),AI209/1000,AI209)</f>
        <v>0</v>
      </c>
      <c r="T209" s="1674">
        <f t="shared" ref="T209:T272" si="58">+IF(ISNUMBER(AJ209),AJ209/1000,AJ209)</f>
        <v>0</v>
      </c>
      <c r="AG209" s="2001"/>
    </row>
    <row r="210" spans="1:36">
      <c r="A210" s="1675">
        <v>27</v>
      </c>
      <c r="B210" s="2015"/>
      <c r="C210" s="2019"/>
      <c r="D210" s="2002" t="s">
        <v>2502</v>
      </c>
      <c r="F210" s="2023">
        <f t="shared" ref="F210:F273" si="59">+IF(ISNUMBER(V210),V210/1000,V210)</f>
        <v>0</v>
      </c>
      <c r="G210" s="1674">
        <f t="shared" si="45"/>
        <v>0</v>
      </c>
      <c r="H210" s="1790">
        <f t="shared" si="46"/>
        <v>0</v>
      </c>
      <c r="I210" s="1790">
        <f t="shared" si="47"/>
        <v>0</v>
      </c>
      <c r="J210" s="1790">
        <f t="shared" si="48"/>
        <v>0</v>
      </c>
      <c r="K210" s="1790">
        <f t="shared" si="49"/>
        <v>0</v>
      </c>
      <c r="L210" s="1790">
        <f t="shared" si="50"/>
        <v>0</v>
      </c>
      <c r="M210" s="1790">
        <f t="shared" si="51"/>
        <v>0</v>
      </c>
      <c r="N210" s="1790">
        <f t="shared" si="52"/>
        <v>0</v>
      </c>
      <c r="O210" s="1790">
        <f t="shared" si="53"/>
        <v>0</v>
      </c>
      <c r="P210" s="1790">
        <f t="shared" si="54"/>
        <v>0</v>
      </c>
      <c r="Q210" s="1790">
        <f t="shared" si="55"/>
        <v>0</v>
      </c>
      <c r="R210" s="1790">
        <f t="shared" si="56"/>
        <v>0</v>
      </c>
      <c r="S210" s="1790">
        <f t="shared" si="57"/>
        <v>0</v>
      </c>
      <c r="T210" s="1790">
        <f t="shared" si="58"/>
        <v>0</v>
      </c>
      <c r="V210" s="2023"/>
      <c r="X210" s="1790"/>
      <c r="Y210" s="1790"/>
      <c r="Z210" s="1790"/>
      <c r="AA210" s="1790"/>
      <c r="AB210" s="1790"/>
      <c r="AC210" s="1790"/>
      <c r="AD210" s="1790"/>
      <c r="AE210" s="1790"/>
      <c r="AF210" s="1790"/>
      <c r="AG210" s="1790"/>
      <c r="AH210" s="1790"/>
      <c r="AI210" s="1790"/>
      <c r="AJ210" s="1790"/>
    </row>
    <row r="211" spans="1:36">
      <c r="A211" s="1675">
        <v>28</v>
      </c>
      <c r="B211" s="2015"/>
      <c r="C211" s="2009">
        <v>34183</v>
      </c>
      <c r="D211" s="1674" t="s">
        <v>2449</v>
      </c>
      <c r="F211" s="1876">
        <f t="shared" si="59"/>
        <v>6000.9603099999995</v>
      </c>
      <c r="G211" s="2001">
        <f t="shared" si="45"/>
        <v>0</v>
      </c>
      <c r="H211" s="1876">
        <f t="shared" si="46"/>
        <v>243.08699999999999</v>
      </c>
      <c r="I211" s="1785">
        <f t="shared" si="47"/>
        <v>0</v>
      </c>
      <c r="J211" s="1876">
        <f t="shared" si="48"/>
        <v>0</v>
      </c>
      <c r="K211" s="1786">
        <f t="shared" si="49"/>
        <v>0</v>
      </c>
      <c r="L211" s="1876">
        <f t="shared" si="50"/>
        <v>0</v>
      </c>
      <c r="M211" s="1786">
        <f t="shared" si="51"/>
        <v>0</v>
      </c>
      <c r="N211" s="1876">
        <f t="shared" si="52"/>
        <v>0</v>
      </c>
      <c r="O211" s="1787">
        <f t="shared" si="53"/>
        <v>0</v>
      </c>
      <c r="P211" s="1876">
        <f t="shared" si="54"/>
        <v>0</v>
      </c>
      <c r="Q211" s="1785">
        <f t="shared" si="55"/>
        <v>0</v>
      </c>
      <c r="R211" s="1787">
        <f t="shared" si="56"/>
        <v>6244.0473099999999</v>
      </c>
      <c r="S211" s="1786">
        <f t="shared" si="57"/>
        <v>0</v>
      </c>
      <c r="T211" s="1876">
        <f t="shared" si="58"/>
        <v>6122.5038099999992</v>
      </c>
      <c r="V211" s="1876">
        <v>6000960.3099999996</v>
      </c>
      <c r="W211" s="2001"/>
      <c r="X211" s="1876">
        <v>243087</v>
      </c>
      <c r="Y211" s="1785"/>
      <c r="Z211" s="1876">
        <v>0</v>
      </c>
      <c r="AA211" s="1786"/>
      <c r="AB211" s="1876">
        <v>0</v>
      </c>
      <c r="AC211" s="1786"/>
      <c r="AD211" s="1876">
        <v>0</v>
      </c>
      <c r="AE211" s="1787"/>
      <c r="AF211" s="1876">
        <v>0</v>
      </c>
      <c r="AG211" s="1785"/>
      <c r="AH211" s="1787">
        <v>6244047.3099999996</v>
      </c>
      <c r="AI211" s="1786"/>
      <c r="AJ211" s="1876">
        <v>6122503.8099999996</v>
      </c>
    </row>
    <row r="212" spans="1:36">
      <c r="A212" s="1675">
        <v>29</v>
      </c>
      <c r="B212" s="2015"/>
      <c r="C212" s="2009">
        <v>34283</v>
      </c>
      <c r="D212" s="1674" t="s">
        <v>2495</v>
      </c>
      <c r="F212" s="1876">
        <f t="shared" si="59"/>
        <v>563.16631999999947</v>
      </c>
      <c r="G212" s="2001">
        <f t="shared" si="45"/>
        <v>0</v>
      </c>
      <c r="H212" s="1876">
        <f t="shared" si="46"/>
        <v>47.285519999999998</v>
      </c>
      <c r="I212" s="1785">
        <f t="shared" si="47"/>
        <v>0</v>
      </c>
      <c r="J212" s="1876">
        <f t="shared" si="48"/>
        <v>-389.96034999999995</v>
      </c>
      <c r="K212" s="1786">
        <f t="shared" si="49"/>
        <v>0</v>
      </c>
      <c r="L212" s="1876">
        <f t="shared" si="50"/>
        <v>0</v>
      </c>
      <c r="M212" s="1786">
        <f t="shared" si="51"/>
        <v>0</v>
      </c>
      <c r="N212" s="1876">
        <f t="shared" si="52"/>
        <v>0</v>
      </c>
      <c r="O212" s="1787">
        <f t="shared" si="53"/>
        <v>0</v>
      </c>
      <c r="P212" s="1876">
        <f t="shared" si="54"/>
        <v>0</v>
      </c>
      <c r="Q212" s="1785">
        <f t="shared" si="55"/>
        <v>0</v>
      </c>
      <c r="R212" s="1787">
        <f t="shared" si="56"/>
        <v>220.49148999999952</v>
      </c>
      <c r="S212" s="1786">
        <f t="shared" si="57"/>
        <v>0</v>
      </c>
      <c r="T212" s="1876">
        <f t="shared" si="58"/>
        <v>556.81213000000002</v>
      </c>
      <c r="V212" s="1876">
        <v>563166.31999999948</v>
      </c>
      <c r="W212" s="2001"/>
      <c r="X212" s="1876">
        <v>47285.52</v>
      </c>
      <c r="Y212" s="1785"/>
      <c r="Z212" s="1876">
        <v>-389960.35</v>
      </c>
      <c r="AA212" s="1786"/>
      <c r="AB212" s="1876">
        <v>0</v>
      </c>
      <c r="AC212" s="1786"/>
      <c r="AD212" s="1876">
        <v>0</v>
      </c>
      <c r="AE212" s="1787"/>
      <c r="AF212" s="1876">
        <v>0</v>
      </c>
      <c r="AG212" s="1785"/>
      <c r="AH212" s="1787">
        <v>220491.48999999953</v>
      </c>
      <c r="AI212" s="1786"/>
      <c r="AJ212" s="1876">
        <v>556812.13</v>
      </c>
    </row>
    <row r="213" spans="1:36">
      <c r="A213" s="1675">
        <v>30</v>
      </c>
      <c r="B213" s="2015"/>
      <c r="C213" s="2009">
        <v>34383</v>
      </c>
      <c r="D213" s="1674" t="s">
        <v>2496</v>
      </c>
      <c r="F213" s="1876">
        <f t="shared" si="59"/>
        <v>23362.826240000024</v>
      </c>
      <c r="G213" s="2001">
        <f t="shared" si="45"/>
        <v>0</v>
      </c>
      <c r="H213" s="1876">
        <f t="shared" si="46"/>
        <v>874.88052000000005</v>
      </c>
      <c r="I213" s="1785">
        <f t="shared" si="47"/>
        <v>0</v>
      </c>
      <c r="J213" s="1876">
        <f t="shared" si="48"/>
        <v>-389.96034999999995</v>
      </c>
      <c r="K213" s="1786">
        <f t="shared" si="49"/>
        <v>0</v>
      </c>
      <c r="L213" s="1876">
        <f t="shared" si="50"/>
        <v>0</v>
      </c>
      <c r="M213" s="1786">
        <f t="shared" si="51"/>
        <v>0</v>
      </c>
      <c r="N213" s="1876">
        <f t="shared" si="52"/>
        <v>0</v>
      </c>
      <c r="O213" s="1787">
        <f t="shared" si="53"/>
        <v>0</v>
      </c>
      <c r="P213" s="1876">
        <f t="shared" si="54"/>
        <v>0</v>
      </c>
      <c r="Q213" s="1785">
        <f t="shared" si="55"/>
        <v>0</v>
      </c>
      <c r="R213" s="1787">
        <f t="shared" si="56"/>
        <v>23847.746410000022</v>
      </c>
      <c r="S213" s="1786">
        <f t="shared" si="57"/>
        <v>0</v>
      </c>
      <c r="T213" s="1876">
        <f t="shared" si="58"/>
        <v>23770.269550000001</v>
      </c>
      <c r="V213" s="1876">
        <v>23362826.240000024</v>
      </c>
      <c r="W213" s="2001"/>
      <c r="X213" s="1876">
        <v>874880.52</v>
      </c>
      <c r="Y213" s="1785"/>
      <c r="Z213" s="1876">
        <v>-389960.35</v>
      </c>
      <c r="AA213" s="1786"/>
      <c r="AB213" s="1876">
        <v>0</v>
      </c>
      <c r="AC213" s="1786"/>
      <c r="AD213" s="1876">
        <v>0</v>
      </c>
      <c r="AE213" s="1787"/>
      <c r="AF213" s="1876">
        <v>0</v>
      </c>
      <c r="AG213" s="1785"/>
      <c r="AH213" s="1787">
        <v>23847746.410000023</v>
      </c>
      <c r="AI213" s="1786"/>
      <c r="AJ213" s="1876">
        <v>23770269.550000001</v>
      </c>
    </row>
    <row r="214" spans="1:36">
      <c r="A214" s="1675">
        <v>31</v>
      </c>
      <c r="C214" s="2009">
        <v>34583</v>
      </c>
      <c r="D214" s="1674" t="s">
        <v>2454</v>
      </c>
      <c r="F214" s="1876">
        <f t="shared" si="59"/>
        <v>5946.0889699999871</v>
      </c>
      <c r="G214" s="2001">
        <f t="shared" si="45"/>
        <v>0</v>
      </c>
      <c r="H214" s="1876">
        <f t="shared" si="46"/>
        <v>151.83504000000002</v>
      </c>
      <c r="I214" s="1785">
        <f t="shared" si="47"/>
        <v>0</v>
      </c>
      <c r="J214" s="1876">
        <f t="shared" si="48"/>
        <v>0</v>
      </c>
      <c r="K214" s="1786">
        <f t="shared" si="49"/>
        <v>0</v>
      </c>
      <c r="L214" s="1876">
        <f t="shared" si="50"/>
        <v>0</v>
      </c>
      <c r="M214" s="1786">
        <f t="shared" si="51"/>
        <v>0</v>
      </c>
      <c r="N214" s="1876">
        <f t="shared" si="52"/>
        <v>0</v>
      </c>
      <c r="O214" s="1787">
        <f t="shared" si="53"/>
        <v>0</v>
      </c>
      <c r="P214" s="1876">
        <f t="shared" si="54"/>
        <v>0</v>
      </c>
      <c r="Q214" s="1785">
        <f t="shared" si="55"/>
        <v>0</v>
      </c>
      <c r="R214" s="1787">
        <f t="shared" si="56"/>
        <v>6097.924009999987</v>
      </c>
      <c r="S214" s="1786">
        <f t="shared" si="57"/>
        <v>0</v>
      </c>
      <c r="T214" s="1876">
        <f t="shared" si="58"/>
        <v>6022.0064900000007</v>
      </c>
      <c r="V214" s="1876">
        <v>5946088.9699999867</v>
      </c>
      <c r="W214" s="2001"/>
      <c r="X214" s="1876">
        <v>151835.04</v>
      </c>
      <c r="Y214" s="1785"/>
      <c r="Z214" s="1876">
        <v>0</v>
      </c>
      <c r="AA214" s="1786"/>
      <c r="AB214" s="1876">
        <v>0</v>
      </c>
      <c r="AC214" s="1786"/>
      <c r="AD214" s="1876">
        <v>0</v>
      </c>
      <c r="AE214" s="1787"/>
      <c r="AF214" s="1876">
        <v>0</v>
      </c>
      <c r="AG214" s="1785"/>
      <c r="AH214" s="1787">
        <v>6097924.0099999867</v>
      </c>
      <c r="AI214" s="1786"/>
      <c r="AJ214" s="1876">
        <v>6022006.4900000002</v>
      </c>
    </row>
    <row r="215" spans="1:36">
      <c r="A215" s="1675">
        <v>32</v>
      </c>
      <c r="C215" s="2009">
        <v>34683</v>
      </c>
      <c r="D215" s="1674" t="s">
        <v>2455</v>
      </c>
      <c r="F215" s="1876">
        <f t="shared" si="59"/>
        <v>283.69663999999966</v>
      </c>
      <c r="G215" s="2001">
        <f t="shared" si="45"/>
        <v>0</v>
      </c>
      <c r="H215" s="1876">
        <f t="shared" si="46"/>
        <v>10.563000000000001</v>
      </c>
      <c r="I215" s="1785">
        <f t="shared" si="47"/>
        <v>0</v>
      </c>
      <c r="J215" s="1876">
        <f t="shared" si="48"/>
        <v>0</v>
      </c>
      <c r="K215" s="1786">
        <f t="shared" si="49"/>
        <v>0</v>
      </c>
      <c r="L215" s="1876">
        <f t="shared" si="50"/>
        <v>0</v>
      </c>
      <c r="M215" s="1786">
        <f t="shared" si="51"/>
        <v>0</v>
      </c>
      <c r="N215" s="1876">
        <f t="shared" si="52"/>
        <v>0</v>
      </c>
      <c r="O215" s="1787">
        <f t="shared" si="53"/>
        <v>0</v>
      </c>
      <c r="P215" s="1876">
        <f t="shared" si="54"/>
        <v>0</v>
      </c>
      <c r="Q215" s="1785">
        <f t="shared" si="55"/>
        <v>0</v>
      </c>
      <c r="R215" s="1787">
        <f t="shared" si="56"/>
        <v>294.25963999999965</v>
      </c>
      <c r="S215" s="1786">
        <f t="shared" si="57"/>
        <v>0</v>
      </c>
      <c r="T215" s="1876">
        <f t="shared" si="58"/>
        <v>288.97814</v>
      </c>
      <c r="V215" s="1876">
        <v>283696.63999999966</v>
      </c>
      <c r="W215" s="2001"/>
      <c r="X215" s="1876">
        <v>10563</v>
      </c>
      <c r="Y215" s="1785"/>
      <c r="Z215" s="1876">
        <v>0</v>
      </c>
      <c r="AA215" s="1786"/>
      <c r="AB215" s="1876">
        <v>0</v>
      </c>
      <c r="AC215" s="1786"/>
      <c r="AD215" s="1876">
        <v>0</v>
      </c>
      <c r="AE215" s="1787"/>
      <c r="AF215" s="1876">
        <v>0</v>
      </c>
      <c r="AG215" s="1785"/>
      <c r="AH215" s="1787">
        <v>294259.63999999966</v>
      </c>
      <c r="AI215" s="1786"/>
      <c r="AJ215" s="1876">
        <v>288978.14</v>
      </c>
    </row>
    <row r="216" spans="1:36">
      <c r="A216" s="1675">
        <v>33</v>
      </c>
      <c r="D216" s="2002" t="s">
        <v>2503</v>
      </c>
      <c r="F216" s="1788">
        <f t="shared" si="59"/>
        <v>36156.738480000015</v>
      </c>
      <c r="G216" s="1674">
        <f t="shared" si="45"/>
        <v>0</v>
      </c>
      <c r="H216" s="1788">
        <f t="shared" si="46"/>
        <v>1327.6510800000001</v>
      </c>
      <c r="I216" s="1783">
        <f t="shared" si="47"/>
        <v>0</v>
      </c>
      <c r="J216" s="1788">
        <f t="shared" si="48"/>
        <v>-779.9206999999999</v>
      </c>
      <c r="K216" s="1783">
        <f t="shared" si="49"/>
        <v>0</v>
      </c>
      <c r="L216" s="1788">
        <f t="shared" si="50"/>
        <v>0</v>
      </c>
      <c r="M216" s="1783">
        <f t="shared" si="51"/>
        <v>0</v>
      </c>
      <c r="N216" s="1788">
        <f t="shared" si="52"/>
        <v>0</v>
      </c>
      <c r="O216" s="1814">
        <f t="shared" si="53"/>
        <v>0</v>
      </c>
      <c r="P216" s="1788">
        <f t="shared" si="54"/>
        <v>0</v>
      </c>
      <c r="Q216" s="1783">
        <f t="shared" si="55"/>
        <v>0</v>
      </c>
      <c r="R216" s="1788">
        <f t="shared" si="56"/>
        <v>36704.468860000015</v>
      </c>
      <c r="S216" s="1783">
        <f t="shared" si="57"/>
        <v>0</v>
      </c>
      <c r="T216" s="1788">
        <f t="shared" si="58"/>
        <v>36760.570120000004</v>
      </c>
      <c r="V216" s="1788">
        <v>36156738.480000012</v>
      </c>
      <c r="X216" s="1788">
        <v>1327651.08</v>
      </c>
      <c r="Y216" s="1783"/>
      <c r="Z216" s="1788">
        <v>-779920.7</v>
      </c>
      <c r="AA216" s="1783"/>
      <c r="AB216" s="1788">
        <v>0</v>
      </c>
      <c r="AC216" s="1783"/>
      <c r="AD216" s="1788">
        <v>0</v>
      </c>
      <c r="AE216" s="1814"/>
      <c r="AF216" s="1788">
        <v>0</v>
      </c>
      <c r="AG216" s="1783"/>
      <c r="AH216" s="1788">
        <v>36704468.860000014</v>
      </c>
      <c r="AI216" s="1783"/>
      <c r="AJ216" s="1788">
        <v>36760570.120000005</v>
      </c>
    </row>
    <row r="217" spans="1:36">
      <c r="A217" s="1675">
        <v>34</v>
      </c>
      <c r="F217" s="1674">
        <f t="shared" si="59"/>
        <v>0</v>
      </c>
      <c r="G217" s="1674">
        <f t="shared" si="45"/>
        <v>0</v>
      </c>
      <c r="H217" s="1674">
        <f t="shared" si="46"/>
        <v>0</v>
      </c>
      <c r="I217" s="1790">
        <f t="shared" si="47"/>
        <v>0</v>
      </c>
      <c r="J217" s="1674">
        <f t="shared" si="48"/>
        <v>0</v>
      </c>
      <c r="K217" s="1790">
        <f t="shared" si="49"/>
        <v>0</v>
      </c>
      <c r="L217" s="1674">
        <f t="shared" si="50"/>
        <v>0</v>
      </c>
      <c r="M217" s="1790">
        <f t="shared" si="51"/>
        <v>0</v>
      </c>
      <c r="N217" s="1674">
        <f t="shared" si="52"/>
        <v>0</v>
      </c>
      <c r="O217" s="1674">
        <f t="shared" si="53"/>
        <v>0</v>
      </c>
      <c r="P217" s="1674">
        <f t="shared" si="54"/>
        <v>0</v>
      </c>
      <c r="Q217" s="1790">
        <f t="shared" si="55"/>
        <v>0</v>
      </c>
      <c r="R217" s="1674">
        <f t="shared" si="56"/>
        <v>0</v>
      </c>
      <c r="S217" s="1790">
        <f t="shared" si="57"/>
        <v>0</v>
      </c>
      <c r="T217" s="1674">
        <f t="shared" si="58"/>
        <v>0</v>
      </c>
      <c r="Y217" s="1790"/>
      <c r="AA217" s="1790"/>
      <c r="AC217" s="1790"/>
      <c r="AG217" s="1790"/>
      <c r="AI217" s="1790"/>
    </row>
    <row r="218" spans="1:36">
      <c r="A218" s="1675">
        <v>35</v>
      </c>
      <c r="C218" s="1675"/>
      <c r="D218" s="2002" t="s">
        <v>2504</v>
      </c>
      <c r="F218" s="2023">
        <f t="shared" si="59"/>
        <v>0</v>
      </c>
      <c r="G218" s="1674">
        <f t="shared" si="45"/>
        <v>0</v>
      </c>
      <c r="H218" s="1790">
        <f t="shared" si="46"/>
        <v>0</v>
      </c>
      <c r="I218" s="1790">
        <f t="shared" si="47"/>
        <v>0</v>
      </c>
      <c r="J218" s="1790">
        <f t="shared" si="48"/>
        <v>0</v>
      </c>
      <c r="K218" s="1790">
        <f t="shared" si="49"/>
        <v>0</v>
      </c>
      <c r="L218" s="1790">
        <f t="shared" si="50"/>
        <v>0</v>
      </c>
      <c r="M218" s="1790">
        <f t="shared" si="51"/>
        <v>0</v>
      </c>
      <c r="N218" s="1790">
        <f t="shared" si="52"/>
        <v>0</v>
      </c>
      <c r="O218" s="1790">
        <f t="shared" si="53"/>
        <v>0</v>
      </c>
      <c r="P218" s="1790">
        <f t="shared" si="54"/>
        <v>0</v>
      </c>
      <c r="Q218" s="1790">
        <f t="shared" si="55"/>
        <v>0</v>
      </c>
      <c r="R218" s="1790">
        <f t="shared" si="56"/>
        <v>0</v>
      </c>
      <c r="S218" s="1790">
        <f t="shared" si="57"/>
        <v>0</v>
      </c>
      <c r="T218" s="1790">
        <f t="shared" si="58"/>
        <v>0</v>
      </c>
      <c r="V218" s="2023"/>
      <c r="X218" s="1790"/>
      <c r="Y218" s="1790"/>
      <c r="Z218" s="1790"/>
      <c r="AA218" s="1790"/>
      <c r="AB218" s="1790"/>
      <c r="AC218" s="1790"/>
      <c r="AD218" s="1790"/>
      <c r="AE218" s="1790"/>
      <c r="AF218" s="1790"/>
      <c r="AG218" s="1790"/>
      <c r="AH218" s="1790"/>
      <c r="AI218" s="1790"/>
      <c r="AJ218" s="1790"/>
    </row>
    <row r="219" spans="1:36">
      <c r="A219" s="1675">
        <v>36</v>
      </c>
      <c r="C219" s="2009">
        <v>34184</v>
      </c>
      <c r="D219" s="1674" t="s">
        <v>2449</v>
      </c>
      <c r="F219" s="1876">
        <f t="shared" si="59"/>
        <v>2397.4933800000035</v>
      </c>
      <c r="G219" s="2001">
        <f t="shared" si="45"/>
        <v>0</v>
      </c>
      <c r="H219" s="1876">
        <f t="shared" si="46"/>
        <v>159.25056000000001</v>
      </c>
      <c r="I219" s="1785">
        <f t="shared" si="47"/>
        <v>0</v>
      </c>
      <c r="J219" s="1876">
        <f t="shared" si="48"/>
        <v>0</v>
      </c>
      <c r="K219" s="1786">
        <f t="shared" si="49"/>
        <v>0</v>
      </c>
      <c r="L219" s="1876">
        <f t="shared" si="50"/>
        <v>0</v>
      </c>
      <c r="M219" s="1786">
        <f t="shared" si="51"/>
        <v>0</v>
      </c>
      <c r="N219" s="1876">
        <f t="shared" si="52"/>
        <v>0</v>
      </c>
      <c r="O219" s="1787">
        <f t="shared" si="53"/>
        <v>0</v>
      </c>
      <c r="P219" s="1876">
        <f t="shared" si="54"/>
        <v>0</v>
      </c>
      <c r="Q219" s="1785">
        <f t="shared" si="55"/>
        <v>0</v>
      </c>
      <c r="R219" s="1787">
        <f t="shared" si="56"/>
        <v>2556.7439400000035</v>
      </c>
      <c r="S219" s="1786">
        <f t="shared" si="57"/>
        <v>0</v>
      </c>
      <c r="T219" s="1876">
        <f t="shared" si="58"/>
        <v>2477.1186600000001</v>
      </c>
      <c r="V219" s="1876">
        <v>2397493.3800000036</v>
      </c>
      <c r="W219" s="2001"/>
      <c r="X219" s="1876">
        <v>159250.56</v>
      </c>
      <c r="Y219" s="1785"/>
      <c r="Z219" s="1876">
        <v>0</v>
      </c>
      <c r="AA219" s="1786"/>
      <c r="AB219" s="1876">
        <v>0</v>
      </c>
      <c r="AC219" s="1786"/>
      <c r="AD219" s="1876">
        <v>0</v>
      </c>
      <c r="AE219" s="1787"/>
      <c r="AF219" s="1876">
        <v>0</v>
      </c>
      <c r="AG219" s="1785"/>
      <c r="AH219" s="1787">
        <v>2556743.9400000037</v>
      </c>
      <c r="AI219" s="1786"/>
      <c r="AJ219" s="1876">
        <v>2477118.66</v>
      </c>
    </row>
    <row r="220" spans="1:36">
      <c r="A220" s="1675">
        <v>37</v>
      </c>
      <c r="C220" s="2009">
        <v>34284</v>
      </c>
      <c r="D220" s="1674" t="s">
        <v>2495</v>
      </c>
      <c r="F220" s="1876">
        <f t="shared" si="59"/>
        <v>289.98677000000026</v>
      </c>
      <c r="G220" s="2001">
        <f t="shared" si="45"/>
        <v>0</v>
      </c>
      <c r="H220" s="1876">
        <f t="shared" si="46"/>
        <v>105.17388000000001</v>
      </c>
      <c r="I220" s="1785">
        <f t="shared" si="47"/>
        <v>0</v>
      </c>
      <c r="J220" s="1876">
        <f t="shared" si="48"/>
        <v>-641.38212999999996</v>
      </c>
      <c r="K220" s="1786">
        <f t="shared" si="49"/>
        <v>0</v>
      </c>
      <c r="L220" s="1876">
        <f t="shared" si="50"/>
        <v>0</v>
      </c>
      <c r="M220" s="1786">
        <f t="shared" si="51"/>
        <v>0</v>
      </c>
      <c r="N220" s="1876">
        <f t="shared" si="52"/>
        <v>0</v>
      </c>
      <c r="O220" s="1787">
        <f t="shared" si="53"/>
        <v>0</v>
      </c>
      <c r="P220" s="1876">
        <f t="shared" si="54"/>
        <v>0</v>
      </c>
      <c r="Q220" s="1785">
        <f t="shared" si="55"/>
        <v>0</v>
      </c>
      <c r="R220" s="1787">
        <f t="shared" si="56"/>
        <v>-246.22147999999976</v>
      </c>
      <c r="S220" s="1786">
        <f t="shared" si="57"/>
        <v>0</v>
      </c>
      <c r="T220" s="1876">
        <f t="shared" si="58"/>
        <v>293.23662000000002</v>
      </c>
      <c r="V220" s="1876">
        <v>289986.77000000025</v>
      </c>
      <c r="W220" s="2001"/>
      <c r="X220" s="1876">
        <v>105173.88</v>
      </c>
      <c r="Y220" s="1785"/>
      <c r="Z220" s="1876">
        <v>-641382.13</v>
      </c>
      <c r="AA220" s="1786"/>
      <c r="AB220" s="1876">
        <v>0</v>
      </c>
      <c r="AC220" s="1786"/>
      <c r="AD220" s="1876">
        <v>0</v>
      </c>
      <c r="AE220" s="1787"/>
      <c r="AF220" s="1876">
        <v>0</v>
      </c>
      <c r="AG220" s="1785"/>
      <c r="AH220" s="1787">
        <v>-246221.47999999975</v>
      </c>
      <c r="AI220" s="1786"/>
      <c r="AJ220" s="1876">
        <v>293236.62</v>
      </c>
    </row>
    <row r="221" spans="1:36">
      <c r="A221" s="1675">
        <v>38</v>
      </c>
      <c r="C221" s="2009">
        <v>34384</v>
      </c>
      <c r="D221" s="1674" t="s">
        <v>2496</v>
      </c>
      <c r="F221" s="1876">
        <f t="shared" si="59"/>
        <v>8371.4806000000026</v>
      </c>
      <c r="G221" s="2001">
        <f t="shared" si="45"/>
        <v>0</v>
      </c>
      <c r="H221" s="1876">
        <f t="shared" si="46"/>
        <v>1172.1927599999999</v>
      </c>
      <c r="I221" s="1785">
        <f t="shared" si="47"/>
        <v>0</v>
      </c>
      <c r="J221" s="1876">
        <f t="shared" si="48"/>
        <v>-641.38212999999996</v>
      </c>
      <c r="K221" s="1786">
        <f t="shared" si="49"/>
        <v>0</v>
      </c>
      <c r="L221" s="1876">
        <f t="shared" si="50"/>
        <v>0</v>
      </c>
      <c r="M221" s="1786">
        <f t="shared" si="51"/>
        <v>0</v>
      </c>
      <c r="N221" s="1876">
        <f t="shared" si="52"/>
        <v>0</v>
      </c>
      <c r="O221" s="1787">
        <f t="shared" si="53"/>
        <v>0</v>
      </c>
      <c r="P221" s="1876">
        <f t="shared" si="54"/>
        <v>0</v>
      </c>
      <c r="Q221" s="1785">
        <f t="shared" si="55"/>
        <v>0</v>
      </c>
      <c r="R221" s="1787">
        <f t="shared" si="56"/>
        <v>8902.2912300000025</v>
      </c>
      <c r="S221" s="1786">
        <f t="shared" si="57"/>
        <v>0</v>
      </c>
      <c r="T221" s="1876">
        <f t="shared" si="58"/>
        <v>8908.2398900000007</v>
      </c>
      <c r="V221" s="1876">
        <v>8371480.6000000034</v>
      </c>
      <c r="W221" s="2001"/>
      <c r="X221" s="1876">
        <v>1172192.76</v>
      </c>
      <c r="Y221" s="1785"/>
      <c r="Z221" s="1876">
        <v>-641382.13</v>
      </c>
      <c r="AA221" s="1786"/>
      <c r="AB221" s="1876">
        <v>0</v>
      </c>
      <c r="AC221" s="1786"/>
      <c r="AD221" s="1876">
        <v>0</v>
      </c>
      <c r="AE221" s="1787"/>
      <c r="AF221" s="1876">
        <v>0</v>
      </c>
      <c r="AG221" s="1785"/>
      <c r="AH221" s="1787">
        <v>8902291.2300000023</v>
      </c>
      <c r="AI221" s="1786"/>
      <c r="AJ221" s="1876">
        <v>8908239.8900000006</v>
      </c>
    </row>
    <row r="222" spans="1:36">
      <c r="A222" s="1675">
        <v>39</v>
      </c>
      <c r="C222" s="2009">
        <v>34584</v>
      </c>
      <c r="D222" s="1674" t="s">
        <v>2454</v>
      </c>
      <c r="F222" s="1876">
        <f t="shared" si="59"/>
        <v>3437.914849999996</v>
      </c>
      <c r="G222" s="2001">
        <f t="shared" si="45"/>
        <v>0</v>
      </c>
      <c r="H222" s="1876">
        <f t="shared" si="46"/>
        <v>97.768079999999998</v>
      </c>
      <c r="I222" s="1785">
        <f t="shared" si="47"/>
        <v>0</v>
      </c>
      <c r="J222" s="1876">
        <f t="shared" si="48"/>
        <v>0</v>
      </c>
      <c r="K222" s="1786">
        <f t="shared" si="49"/>
        <v>0</v>
      </c>
      <c r="L222" s="1876">
        <f t="shared" si="50"/>
        <v>0</v>
      </c>
      <c r="M222" s="1786">
        <f t="shared" si="51"/>
        <v>0</v>
      </c>
      <c r="N222" s="1876">
        <f t="shared" si="52"/>
        <v>0</v>
      </c>
      <c r="O222" s="1787">
        <f t="shared" si="53"/>
        <v>0</v>
      </c>
      <c r="P222" s="1876">
        <f t="shared" si="54"/>
        <v>0</v>
      </c>
      <c r="Q222" s="1785">
        <f t="shared" si="55"/>
        <v>0</v>
      </c>
      <c r="R222" s="1787">
        <f t="shared" si="56"/>
        <v>3535.6829299999958</v>
      </c>
      <c r="S222" s="1786">
        <f t="shared" si="57"/>
        <v>0</v>
      </c>
      <c r="T222" s="1876">
        <f t="shared" si="58"/>
        <v>3486.79889</v>
      </c>
      <c r="V222" s="1876">
        <v>3437914.8499999959</v>
      </c>
      <c r="W222" s="2001"/>
      <c r="X222" s="1876">
        <v>97768.08</v>
      </c>
      <c r="Y222" s="1785"/>
      <c r="Z222" s="1876">
        <v>0</v>
      </c>
      <c r="AA222" s="1786"/>
      <c r="AB222" s="1876">
        <v>0</v>
      </c>
      <c r="AC222" s="1786"/>
      <c r="AD222" s="1876">
        <v>0</v>
      </c>
      <c r="AE222" s="1787"/>
      <c r="AF222" s="1876">
        <v>0</v>
      </c>
      <c r="AG222" s="1785"/>
      <c r="AH222" s="1787">
        <v>3535682.929999996</v>
      </c>
      <c r="AI222" s="1786"/>
      <c r="AJ222" s="1876">
        <v>3486798.89</v>
      </c>
    </row>
    <row r="223" spans="1:36">
      <c r="A223" s="1675">
        <v>40</v>
      </c>
      <c r="C223" s="2009">
        <v>34684</v>
      </c>
      <c r="D223" s="1674" t="s">
        <v>2455</v>
      </c>
      <c r="F223" s="1876">
        <f t="shared" si="59"/>
        <v>0</v>
      </c>
      <c r="G223" s="2001">
        <f t="shared" si="45"/>
        <v>0</v>
      </c>
      <c r="H223" s="1876">
        <f t="shared" si="46"/>
        <v>0</v>
      </c>
      <c r="I223" s="1785">
        <f t="shared" si="47"/>
        <v>0</v>
      </c>
      <c r="J223" s="1876">
        <f t="shared" si="48"/>
        <v>0</v>
      </c>
      <c r="K223" s="1786">
        <f t="shared" si="49"/>
        <v>0</v>
      </c>
      <c r="L223" s="1876">
        <f t="shared" si="50"/>
        <v>0</v>
      </c>
      <c r="M223" s="1786">
        <f t="shared" si="51"/>
        <v>0</v>
      </c>
      <c r="N223" s="1876">
        <f t="shared" si="52"/>
        <v>0</v>
      </c>
      <c r="O223" s="1787">
        <f t="shared" si="53"/>
        <v>0</v>
      </c>
      <c r="P223" s="1876">
        <f t="shared" si="54"/>
        <v>0</v>
      </c>
      <c r="Q223" s="1785">
        <f t="shared" si="55"/>
        <v>0</v>
      </c>
      <c r="R223" s="1787">
        <f t="shared" si="56"/>
        <v>0</v>
      </c>
      <c r="S223" s="1786">
        <f t="shared" si="57"/>
        <v>0</v>
      </c>
      <c r="T223" s="1876">
        <f t="shared" si="58"/>
        <v>0</v>
      </c>
      <c r="V223" s="1876">
        <v>0</v>
      </c>
      <c r="W223" s="2001"/>
      <c r="X223" s="1876">
        <v>0</v>
      </c>
      <c r="Y223" s="1785"/>
      <c r="Z223" s="1876">
        <v>0</v>
      </c>
      <c r="AA223" s="1786"/>
      <c r="AB223" s="1876">
        <v>0</v>
      </c>
      <c r="AC223" s="1786"/>
      <c r="AD223" s="1876">
        <v>0</v>
      </c>
      <c r="AE223" s="1787"/>
      <c r="AF223" s="1876">
        <v>0</v>
      </c>
      <c r="AG223" s="1785"/>
      <c r="AH223" s="1787">
        <v>0</v>
      </c>
      <c r="AI223" s="1786"/>
      <c r="AJ223" s="1876">
        <v>0</v>
      </c>
    </row>
    <row r="224" spans="1:36">
      <c r="A224" s="1675">
        <v>41</v>
      </c>
      <c r="C224" s="1675"/>
      <c r="D224" s="2002" t="s">
        <v>2505</v>
      </c>
      <c r="F224" s="1788">
        <f t="shared" si="59"/>
        <v>14496.875600000003</v>
      </c>
      <c r="G224" s="1674">
        <f t="shared" si="45"/>
        <v>0</v>
      </c>
      <c r="H224" s="1788">
        <f t="shared" si="46"/>
        <v>1534.38528</v>
      </c>
      <c r="I224" s="1783">
        <f t="shared" si="47"/>
        <v>0</v>
      </c>
      <c r="J224" s="1788">
        <f t="shared" si="48"/>
        <v>-1282.7642599999999</v>
      </c>
      <c r="K224" s="1783">
        <f t="shared" si="49"/>
        <v>0</v>
      </c>
      <c r="L224" s="1788">
        <f t="shared" si="50"/>
        <v>0</v>
      </c>
      <c r="M224" s="1783">
        <f t="shared" si="51"/>
        <v>0</v>
      </c>
      <c r="N224" s="1788">
        <f t="shared" si="52"/>
        <v>0</v>
      </c>
      <c r="O224" s="1814">
        <f t="shared" si="53"/>
        <v>0</v>
      </c>
      <c r="P224" s="1788">
        <f t="shared" si="54"/>
        <v>0</v>
      </c>
      <c r="Q224" s="1783">
        <f t="shared" si="55"/>
        <v>0</v>
      </c>
      <c r="R224" s="1788">
        <f t="shared" si="56"/>
        <v>14748.496620000002</v>
      </c>
      <c r="S224" s="1783">
        <f t="shared" si="57"/>
        <v>0</v>
      </c>
      <c r="T224" s="1788">
        <f t="shared" si="58"/>
        <v>15165.394060000002</v>
      </c>
      <c r="V224" s="1788">
        <v>14496875.600000003</v>
      </c>
      <c r="X224" s="1788">
        <v>1534385.28</v>
      </c>
      <c r="Y224" s="1783"/>
      <c r="Z224" s="1788">
        <v>-1282764.26</v>
      </c>
      <c r="AA224" s="1783"/>
      <c r="AB224" s="1788">
        <v>0</v>
      </c>
      <c r="AC224" s="1783"/>
      <c r="AD224" s="1788">
        <v>0</v>
      </c>
      <c r="AE224" s="1814"/>
      <c r="AF224" s="1788">
        <v>0</v>
      </c>
      <c r="AG224" s="1783"/>
      <c r="AH224" s="1788">
        <v>14748496.620000001</v>
      </c>
      <c r="AI224" s="1783"/>
      <c r="AJ224" s="1788">
        <v>15165394.060000002</v>
      </c>
    </row>
    <row r="225" spans="1:36">
      <c r="A225" s="1675">
        <v>42</v>
      </c>
      <c r="F225" s="1674">
        <f t="shared" si="59"/>
        <v>0</v>
      </c>
      <c r="G225" s="1674">
        <f t="shared" si="45"/>
        <v>0</v>
      </c>
      <c r="H225" s="1674">
        <f t="shared" si="46"/>
        <v>0</v>
      </c>
      <c r="I225" s="1674">
        <f t="shared" si="47"/>
        <v>0</v>
      </c>
      <c r="J225" s="1674">
        <f t="shared" si="48"/>
        <v>0</v>
      </c>
      <c r="K225" s="1674">
        <f t="shared" si="49"/>
        <v>0</v>
      </c>
      <c r="L225" s="1674">
        <f t="shared" si="50"/>
        <v>0</v>
      </c>
      <c r="M225" s="1674">
        <f t="shared" si="51"/>
        <v>0</v>
      </c>
      <c r="N225" s="1674">
        <f t="shared" si="52"/>
        <v>0</v>
      </c>
      <c r="O225" s="1674">
        <f t="shared" si="53"/>
        <v>0</v>
      </c>
      <c r="P225" s="1674">
        <f t="shared" si="54"/>
        <v>0</v>
      </c>
      <c r="Q225" s="2001">
        <f t="shared" si="55"/>
        <v>0</v>
      </c>
      <c r="R225" s="1674">
        <f t="shared" si="56"/>
        <v>0</v>
      </c>
      <c r="S225" s="1674">
        <f t="shared" si="57"/>
        <v>0</v>
      </c>
      <c r="T225" s="1674">
        <f t="shared" si="58"/>
        <v>0</v>
      </c>
      <c r="AG225" s="2001"/>
    </row>
    <row r="226" spans="1:36">
      <c r="A226" s="1675">
        <v>43</v>
      </c>
      <c r="F226" s="1674">
        <f t="shared" si="59"/>
        <v>0</v>
      </c>
      <c r="G226" s="1674">
        <f t="shared" si="45"/>
        <v>0</v>
      </c>
      <c r="H226" s="1674">
        <f t="shared" si="46"/>
        <v>0</v>
      </c>
      <c r="I226" s="1674">
        <f t="shared" si="47"/>
        <v>0</v>
      </c>
      <c r="J226" s="1674">
        <f t="shared" si="48"/>
        <v>0</v>
      </c>
      <c r="K226" s="1674">
        <f t="shared" si="49"/>
        <v>0</v>
      </c>
      <c r="L226" s="1674">
        <f t="shared" si="50"/>
        <v>0</v>
      </c>
      <c r="M226" s="1674">
        <f t="shared" si="51"/>
        <v>0</v>
      </c>
      <c r="N226" s="1674">
        <f t="shared" si="52"/>
        <v>0</v>
      </c>
      <c r="O226" s="1674">
        <f t="shared" si="53"/>
        <v>0</v>
      </c>
      <c r="P226" s="1674">
        <f t="shared" si="54"/>
        <v>0</v>
      </c>
      <c r="Q226" s="2001">
        <f t="shared" si="55"/>
        <v>0</v>
      </c>
      <c r="R226" s="1674">
        <f t="shared" si="56"/>
        <v>0</v>
      </c>
      <c r="S226" s="1674">
        <f t="shared" si="57"/>
        <v>0</v>
      </c>
      <c r="T226" s="1674">
        <f t="shared" si="58"/>
        <v>0</v>
      </c>
      <c r="AG226" s="2001"/>
    </row>
    <row r="227" spans="1:36" ht="15" thickBot="1">
      <c r="A227" s="2008">
        <v>44</v>
      </c>
      <c r="B227" s="1869" t="s">
        <v>2476</v>
      </c>
      <c r="C227" s="1997"/>
      <c r="D227" s="1997"/>
      <c r="E227" s="1997"/>
      <c r="F227" s="1997">
        <f t="shared" si="59"/>
        <v>0</v>
      </c>
      <c r="G227" s="1997">
        <f t="shared" si="45"/>
        <v>0</v>
      </c>
      <c r="H227" s="1997">
        <f t="shared" si="46"/>
        <v>0</v>
      </c>
      <c r="I227" s="1997">
        <f t="shared" si="47"/>
        <v>0</v>
      </c>
      <c r="J227" s="1997">
        <f t="shared" si="48"/>
        <v>0</v>
      </c>
      <c r="K227" s="1997">
        <f t="shared" si="49"/>
        <v>0</v>
      </c>
      <c r="L227" s="1997">
        <f t="shared" si="50"/>
        <v>0</v>
      </c>
      <c r="M227" s="1997">
        <f t="shared" si="51"/>
        <v>0</v>
      </c>
      <c r="N227" s="1997">
        <f t="shared" si="52"/>
        <v>0</v>
      </c>
      <c r="O227" s="1997">
        <f t="shared" si="53"/>
        <v>0</v>
      </c>
      <c r="P227" s="1997">
        <f t="shared" si="54"/>
        <v>0</v>
      </c>
      <c r="Q227" s="1998">
        <f t="shared" si="55"/>
        <v>0</v>
      </c>
      <c r="R227" s="1997">
        <f t="shared" si="56"/>
        <v>0</v>
      </c>
      <c r="S227" s="1997">
        <f t="shared" si="57"/>
        <v>0</v>
      </c>
      <c r="T227" s="1997">
        <f t="shared" si="58"/>
        <v>0</v>
      </c>
      <c r="V227" s="1997"/>
      <c r="W227" s="1997"/>
      <c r="X227" s="1997"/>
      <c r="Y227" s="1997"/>
      <c r="Z227" s="1997"/>
      <c r="AA227" s="1997"/>
      <c r="AB227" s="1997"/>
      <c r="AC227" s="1997"/>
      <c r="AD227" s="1997"/>
      <c r="AE227" s="1997"/>
      <c r="AF227" s="1997"/>
      <c r="AG227" s="1998"/>
      <c r="AH227" s="1997"/>
      <c r="AI227" s="1997"/>
      <c r="AJ227" s="1997"/>
    </row>
    <row r="228" spans="1:36">
      <c r="A228" s="1674" t="s">
        <v>8186</v>
      </c>
      <c r="F228" s="1674">
        <f t="shared" si="59"/>
        <v>0</v>
      </c>
      <c r="G228" s="1674">
        <f t="shared" si="45"/>
        <v>0</v>
      </c>
      <c r="H228" s="1674">
        <f t="shared" si="46"/>
        <v>0</v>
      </c>
      <c r="I228" s="1674">
        <f t="shared" si="47"/>
        <v>0</v>
      </c>
      <c r="J228" s="1674">
        <f t="shared" si="48"/>
        <v>0</v>
      </c>
      <c r="K228" s="1674">
        <f t="shared" si="49"/>
        <v>0</v>
      </c>
      <c r="L228" s="1674">
        <f t="shared" si="50"/>
        <v>0</v>
      </c>
      <c r="M228" s="1674">
        <f t="shared" si="51"/>
        <v>0</v>
      </c>
      <c r="N228" s="1674">
        <f t="shared" si="52"/>
        <v>0</v>
      </c>
      <c r="O228" s="1674">
        <f t="shared" si="53"/>
        <v>0</v>
      </c>
      <c r="P228" s="1674">
        <f t="shared" si="54"/>
        <v>0</v>
      </c>
      <c r="Q228" s="2001">
        <f t="shared" si="55"/>
        <v>0</v>
      </c>
      <c r="R228" s="1674" t="str">
        <f t="shared" si="56"/>
        <v>Recap Schedules:  B-03, B-06</v>
      </c>
      <c r="S228" s="1674">
        <f t="shared" si="57"/>
        <v>0</v>
      </c>
      <c r="T228" s="1674">
        <f t="shared" si="58"/>
        <v>0</v>
      </c>
      <c r="AG228" s="2001"/>
      <c r="AH228" s="1674" t="s">
        <v>8948</v>
      </c>
    </row>
    <row r="229" spans="1:36" ht="15" thickBot="1">
      <c r="A229" s="1997" t="s">
        <v>8952</v>
      </c>
      <c r="B229" s="1997"/>
      <c r="C229" s="1997"/>
      <c r="D229" s="1997"/>
      <c r="E229" s="1997"/>
      <c r="F229" s="1997" t="str">
        <f t="shared" si="59"/>
        <v>DEPRECIATION RESERVE BALANCES BY ACCOUNT AND SUB-ACCOUNT</v>
      </c>
      <c r="G229" s="1997">
        <f t="shared" si="45"/>
        <v>0</v>
      </c>
      <c r="H229" s="1997">
        <f t="shared" si="46"/>
        <v>0</v>
      </c>
      <c r="I229" s="1997">
        <f t="shared" si="47"/>
        <v>0</v>
      </c>
      <c r="J229" s="1997">
        <f t="shared" si="48"/>
        <v>0</v>
      </c>
      <c r="K229" s="1997">
        <f t="shared" si="49"/>
        <v>0</v>
      </c>
      <c r="L229" s="1997">
        <f t="shared" si="50"/>
        <v>0</v>
      </c>
      <c r="M229" s="1997">
        <f t="shared" si="51"/>
        <v>0</v>
      </c>
      <c r="N229" s="1997">
        <f t="shared" si="52"/>
        <v>0</v>
      </c>
      <c r="O229" s="1997">
        <f t="shared" si="53"/>
        <v>0</v>
      </c>
      <c r="P229" s="1997">
        <f t="shared" si="54"/>
        <v>0</v>
      </c>
      <c r="Q229" s="1998">
        <f t="shared" si="55"/>
        <v>0</v>
      </c>
      <c r="R229" s="1997">
        <f t="shared" si="56"/>
        <v>0</v>
      </c>
      <c r="S229" s="1997">
        <f t="shared" si="57"/>
        <v>0</v>
      </c>
      <c r="T229" s="1997" t="str">
        <f t="shared" si="58"/>
        <v>Page 5 of 10</v>
      </c>
      <c r="V229" s="1997" t="s">
        <v>2594</v>
      </c>
      <c r="W229" s="1997"/>
      <c r="X229" s="1997"/>
      <c r="Y229" s="1997"/>
      <c r="Z229" s="1997"/>
      <c r="AA229" s="1997"/>
      <c r="AB229" s="1997"/>
      <c r="AC229" s="1997"/>
      <c r="AD229" s="1997"/>
      <c r="AE229" s="1997"/>
      <c r="AF229" s="1997"/>
      <c r="AG229" s="1998"/>
      <c r="AH229" s="1997"/>
      <c r="AI229" s="1997"/>
      <c r="AJ229" s="1997" t="s">
        <v>2506</v>
      </c>
    </row>
    <row r="230" spans="1:36">
      <c r="A230" s="1674" t="s">
        <v>2425</v>
      </c>
      <c r="B230" s="2024"/>
      <c r="E230" s="2001" t="s">
        <v>2426</v>
      </c>
      <c r="F230" s="1674" t="str">
        <f t="shared" si="59"/>
        <v>Provide the depreciation reserve balances for each account or sub-account to which</v>
      </c>
      <c r="G230" s="1674">
        <f t="shared" si="45"/>
        <v>0</v>
      </c>
      <c r="H230" s="1674">
        <f t="shared" si="46"/>
        <v>0</v>
      </c>
      <c r="I230" s="1674">
        <f t="shared" si="47"/>
        <v>0</v>
      </c>
      <c r="J230" s="2003">
        <f t="shared" si="48"/>
        <v>0</v>
      </c>
      <c r="K230" s="2003">
        <f t="shared" si="49"/>
        <v>0</v>
      </c>
      <c r="L230" s="1674">
        <f t="shared" si="50"/>
        <v>0</v>
      </c>
      <c r="M230" s="2003">
        <f t="shared" si="51"/>
        <v>0</v>
      </c>
      <c r="N230" s="2003">
        <f t="shared" si="52"/>
        <v>0</v>
      </c>
      <c r="O230" s="2003">
        <f t="shared" si="53"/>
        <v>0</v>
      </c>
      <c r="P230" s="2003">
        <f t="shared" si="54"/>
        <v>0</v>
      </c>
      <c r="Q230" s="2004">
        <f t="shared" si="55"/>
        <v>0</v>
      </c>
      <c r="R230" s="1674" t="str">
        <f t="shared" si="56"/>
        <v>Type of data shown:</v>
      </c>
      <c r="S230" s="1674">
        <f t="shared" si="57"/>
        <v>0</v>
      </c>
      <c r="T230" s="2005">
        <f t="shared" si="58"/>
        <v>0</v>
      </c>
      <c r="V230" s="1674" t="s">
        <v>2595</v>
      </c>
      <c r="Z230" s="2003"/>
      <c r="AA230" s="2003"/>
      <c r="AC230" s="2003"/>
      <c r="AD230" s="2003"/>
      <c r="AE230" s="2003"/>
      <c r="AF230" s="2003"/>
      <c r="AG230" s="2004"/>
      <c r="AH230" s="1674" t="s">
        <v>2427</v>
      </c>
      <c r="AJ230" s="2005"/>
    </row>
    <row r="231" spans="1:36">
      <c r="B231" s="2024"/>
      <c r="F231" s="1674" t="str">
        <f t="shared" si="59"/>
        <v>an individual depreciation rate is applied. (Include Amortization/Recovery amounts).</v>
      </c>
      <c r="G231" s="1674">
        <f t="shared" si="45"/>
        <v>0</v>
      </c>
      <c r="H231" s="1674">
        <f t="shared" si="46"/>
        <v>0</v>
      </c>
      <c r="I231" s="1674">
        <f t="shared" si="47"/>
        <v>0</v>
      </c>
      <c r="J231" s="2001">
        <f t="shared" si="48"/>
        <v>0</v>
      </c>
      <c r="K231" s="2005">
        <f t="shared" si="49"/>
        <v>0</v>
      </c>
      <c r="L231" s="1674">
        <f t="shared" si="50"/>
        <v>0</v>
      </c>
      <c r="M231" s="1674">
        <f t="shared" si="51"/>
        <v>0</v>
      </c>
      <c r="N231" s="2001">
        <f t="shared" si="52"/>
        <v>0</v>
      </c>
      <c r="O231" s="2001">
        <f t="shared" si="53"/>
        <v>0</v>
      </c>
      <c r="P231" s="2001">
        <f t="shared" si="54"/>
        <v>0</v>
      </c>
      <c r="Q231" s="2001" t="str">
        <f t="shared" si="55"/>
        <v>XX</v>
      </c>
      <c r="R231" s="2005" t="str">
        <f t="shared" si="56"/>
        <v>Projected Test Year Ended 12/31/2025</v>
      </c>
      <c r="S231" s="1674">
        <f t="shared" si="57"/>
        <v>0</v>
      </c>
      <c r="T231" s="2001">
        <f t="shared" si="58"/>
        <v>0</v>
      </c>
      <c r="V231" s="1674" t="s">
        <v>8185</v>
      </c>
      <c r="Z231" s="2001"/>
      <c r="AA231" s="2005"/>
      <c r="AD231" s="2001"/>
      <c r="AE231" s="2001"/>
      <c r="AF231" s="2001"/>
      <c r="AG231" s="2001" t="s">
        <v>8157</v>
      </c>
      <c r="AH231" s="2005" t="s">
        <v>8944</v>
      </c>
      <c r="AJ231" s="2001"/>
    </row>
    <row r="232" spans="1:36">
      <c r="A232" s="1674" t="s">
        <v>2428</v>
      </c>
      <c r="B232" s="2024"/>
      <c r="F232" s="1674" t="str">
        <f t="shared" si="59"/>
        <v/>
      </c>
      <c r="G232" s="1674">
        <f t="shared" si="45"/>
        <v>0</v>
      </c>
      <c r="H232" s="1674">
        <f t="shared" si="46"/>
        <v>0</v>
      </c>
      <c r="I232" s="1674">
        <f t="shared" si="47"/>
        <v>0</v>
      </c>
      <c r="J232" s="2001">
        <f t="shared" si="48"/>
        <v>0</v>
      </c>
      <c r="K232" s="2005">
        <f t="shared" si="49"/>
        <v>0</v>
      </c>
      <c r="L232" s="2001">
        <f t="shared" si="50"/>
        <v>0</v>
      </c>
      <c r="M232" s="1674">
        <f t="shared" si="51"/>
        <v>0</v>
      </c>
      <c r="N232" s="1674">
        <f t="shared" si="52"/>
        <v>0</v>
      </c>
      <c r="O232" s="1674">
        <f t="shared" si="53"/>
        <v>0</v>
      </c>
      <c r="P232" s="1674">
        <f t="shared" si="54"/>
        <v>0</v>
      </c>
      <c r="Q232" s="2001" t="str">
        <f t="shared" si="55"/>
        <v/>
      </c>
      <c r="R232" s="2005" t="str">
        <f t="shared" si="56"/>
        <v>Projected Prior Year Ended 12/31/2024</v>
      </c>
      <c r="S232" s="1674">
        <f t="shared" si="57"/>
        <v>0</v>
      </c>
      <c r="T232" s="2001">
        <f t="shared" si="58"/>
        <v>0</v>
      </c>
      <c r="V232" s="1674" t="s">
        <v>2360</v>
      </c>
      <c r="Z232" s="2001"/>
      <c r="AA232" s="2005"/>
      <c r="AB232" s="2001"/>
      <c r="AG232" s="2001" t="s">
        <v>2360</v>
      </c>
      <c r="AH232" s="2005" t="s">
        <v>8945</v>
      </c>
      <c r="AJ232" s="2001"/>
    </row>
    <row r="233" spans="1:36">
      <c r="B233" s="2024"/>
      <c r="F233" s="1674" t="str">
        <f t="shared" si="59"/>
        <v/>
      </c>
      <c r="G233" s="1674">
        <f t="shared" si="45"/>
        <v>0</v>
      </c>
      <c r="H233" s="1674">
        <f t="shared" si="46"/>
        <v>0</v>
      </c>
      <c r="I233" s="1674">
        <f t="shared" si="47"/>
        <v>0</v>
      </c>
      <c r="J233" s="2001">
        <f t="shared" si="48"/>
        <v>0</v>
      </c>
      <c r="K233" s="2005">
        <f t="shared" si="49"/>
        <v>0</v>
      </c>
      <c r="L233" s="2001">
        <f t="shared" si="50"/>
        <v>0</v>
      </c>
      <c r="M233" s="1674">
        <f t="shared" si="51"/>
        <v>0</v>
      </c>
      <c r="N233" s="1674">
        <f t="shared" si="52"/>
        <v>0</v>
      </c>
      <c r="O233" s="1674">
        <f t="shared" si="53"/>
        <v>0</v>
      </c>
      <c r="P233" s="1674">
        <f t="shared" si="54"/>
        <v>0</v>
      </c>
      <c r="Q233" s="2001" t="str">
        <f t="shared" si="55"/>
        <v/>
      </c>
      <c r="R233" s="2005" t="str">
        <f t="shared" si="56"/>
        <v>Historical Prior Year Ended 12/31/2023</v>
      </c>
      <c r="S233" s="1674">
        <f t="shared" si="57"/>
        <v>0</v>
      </c>
      <c r="T233" s="2001">
        <f t="shared" si="58"/>
        <v>0</v>
      </c>
      <c r="V233" s="1674" t="s">
        <v>2360</v>
      </c>
      <c r="Z233" s="2001"/>
      <c r="AA233" s="2005"/>
      <c r="AB233" s="2001"/>
      <c r="AG233" s="2001" t="s">
        <v>2360</v>
      </c>
      <c r="AH233" s="2005" t="s">
        <v>8946</v>
      </c>
      <c r="AJ233" s="2001"/>
    </row>
    <row r="234" spans="1:36">
      <c r="B234" s="2024"/>
      <c r="F234" s="1674">
        <f t="shared" si="59"/>
        <v>0</v>
      </c>
      <c r="G234" s="1674">
        <f t="shared" si="45"/>
        <v>0</v>
      </c>
      <c r="H234" s="1674">
        <f t="shared" si="46"/>
        <v>0</v>
      </c>
      <c r="I234" s="1674">
        <f t="shared" si="47"/>
        <v>0</v>
      </c>
      <c r="J234" s="2001">
        <f t="shared" si="48"/>
        <v>0</v>
      </c>
      <c r="K234" s="2005">
        <f t="shared" si="49"/>
        <v>0</v>
      </c>
      <c r="L234" s="2001">
        <f t="shared" si="50"/>
        <v>0</v>
      </c>
      <c r="M234" s="1674">
        <f t="shared" si="51"/>
        <v>0</v>
      </c>
      <c r="N234" s="1674">
        <f t="shared" si="52"/>
        <v>0</v>
      </c>
      <c r="O234" s="1674">
        <f t="shared" si="53"/>
        <v>0</v>
      </c>
      <c r="P234" s="1674">
        <f t="shared" si="54"/>
        <v>0</v>
      </c>
      <c r="Q234" s="2001">
        <f t="shared" si="55"/>
        <v>0</v>
      </c>
      <c r="R234" s="2005" t="str">
        <f t="shared" si="56"/>
        <v>Witness: D. Avellan</v>
      </c>
      <c r="S234" s="1674">
        <f t="shared" si="57"/>
        <v>0</v>
      </c>
      <c r="T234" s="2001">
        <f t="shared" si="58"/>
        <v>0</v>
      </c>
      <c r="Z234" s="2001"/>
      <c r="AA234" s="2005"/>
      <c r="AB234" s="2001"/>
      <c r="AG234" s="2001"/>
      <c r="AH234" s="2005" t="s">
        <v>8160</v>
      </c>
      <c r="AJ234" s="2001"/>
    </row>
    <row r="235" spans="1:36" ht="15" thickBot="1">
      <c r="A235" s="1997" t="s">
        <v>8158</v>
      </c>
      <c r="B235" s="2025"/>
      <c r="C235" s="1997"/>
      <c r="D235" s="1997"/>
      <c r="E235" s="1997"/>
      <c r="F235" s="1997" t="str">
        <f t="shared" si="59"/>
        <v/>
      </c>
      <c r="G235" s="1997">
        <f t="shared" si="45"/>
        <v>0</v>
      </c>
      <c r="H235" s="2008" t="str">
        <f t="shared" si="46"/>
        <v>(Dollars in cents)</v>
      </c>
      <c r="I235" s="1997">
        <f t="shared" si="47"/>
        <v>0</v>
      </c>
      <c r="J235" s="1997">
        <f t="shared" si="48"/>
        <v>0</v>
      </c>
      <c r="K235" s="1997">
        <f t="shared" si="49"/>
        <v>0</v>
      </c>
      <c r="L235" s="1997">
        <f t="shared" si="50"/>
        <v>0</v>
      </c>
      <c r="M235" s="1997">
        <f t="shared" si="51"/>
        <v>0</v>
      </c>
      <c r="N235" s="1997">
        <f t="shared" si="52"/>
        <v>0</v>
      </c>
      <c r="O235" s="1997">
        <f t="shared" si="53"/>
        <v>0</v>
      </c>
      <c r="P235" s="1997">
        <f t="shared" si="54"/>
        <v>0</v>
      </c>
      <c r="Q235" s="1998">
        <f t="shared" si="55"/>
        <v>0</v>
      </c>
      <c r="R235" s="1997" t="str">
        <f t="shared" si="56"/>
        <v xml:space="preserve"> </v>
      </c>
      <c r="S235" s="1997">
        <f t="shared" si="57"/>
        <v>0</v>
      </c>
      <c r="T235" s="1997">
        <f t="shared" si="58"/>
        <v>0</v>
      </c>
      <c r="V235" s="1997" t="s">
        <v>2360</v>
      </c>
      <c r="W235" s="1997"/>
      <c r="X235" s="2008" t="s">
        <v>8159</v>
      </c>
      <c r="Y235" s="1997"/>
      <c r="Z235" s="1997"/>
      <c r="AA235" s="1997"/>
      <c r="AB235" s="1997"/>
      <c r="AC235" s="1997"/>
      <c r="AD235" s="1997"/>
      <c r="AE235" s="1997"/>
      <c r="AF235" s="1997"/>
      <c r="AG235" s="1998"/>
      <c r="AH235" s="1997" t="s">
        <v>2477</v>
      </c>
      <c r="AI235" s="1997"/>
      <c r="AJ235" s="1997"/>
    </row>
    <row r="236" spans="1:36">
      <c r="C236" s="2009"/>
      <c r="D236" s="2009"/>
      <c r="E236" s="2009"/>
      <c r="F236" s="2009">
        <f t="shared" si="59"/>
        <v>0</v>
      </c>
      <c r="G236" s="2009">
        <f t="shared" si="45"/>
        <v>0</v>
      </c>
      <c r="H236" s="2009">
        <f t="shared" si="46"/>
        <v>0</v>
      </c>
      <c r="I236" s="2009">
        <f t="shared" si="47"/>
        <v>0</v>
      </c>
      <c r="J236" s="2009">
        <f t="shared" si="48"/>
        <v>0</v>
      </c>
      <c r="K236" s="2009">
        <f t="shared" si="49"/>
        <v>0</v>
      </c>
      <c r="L236" s="2009">
        <f t="shared" si="50"/>
        <v>0</v>
      </c>
      <c r="M236" s="2009">
        <f t="shared" si="51"/>
        <v>0</v>
      </c>
      <c r="N236" s="2009">
        <f t="shared" si="52"/>
        <v>0</v>
      </c>
      <c r="O236" s="2009">
        <f t="shared" si="53"/>
        <v>0</v>
      </c>
      <c r="P236" s="2009">
        <f t="shared" si="54"/>
        <v>0</v>
      </c>
      <c r="Q236" s="2010">
        <f t="shared" si="55"/>
        <v>0</v>
      </c>
      <c r="R236" s="2009">
        <f t="shared" si="56"/>
        <v>0</v>
      </c>
      <c r="S236" s="2009">
        <f t="shared" si="57"/>
        <v>0</v>
      </c>
      <c r="T236" s="2009">
        <f t="shared" si="58"/>
        <v>0</v>
      </c>
      <c r="V236" s="2009"/>
      <c r="W236" s="2009"/>
      <c r="X236" s="2009"/>
      <c r="Y236" s="2009"/>
      <c r="Z236" s="2009"/>
      <c r="AA236" s="2009"/>
      <c r="AB236" s="2009"/>
      <c r="AC236" s="2009"/>
      <c r="AD236" s="2009"/>
      <c r="AE236" s="2009"/>
      <c r="AF236" s="2009"/>
      <c r="AG236" s="2010"/>
      <c r="AH236" s="2009"/>
      <c r="AI236" s="2009"/>
      <c r="AJ236" s="2009"/>
    </row>
    <row r="237" spans="1:36">
      <c r="C237" s="2009" t="s">
        <v>2306</v>
      </c>
      <c r="D237" s="2009" t="s">
        <v>2307</v>
      </c>
      <c r="E237" s="2009"/>
      <c r="F237" s="2009" t="str">
        <f t="shared" si="59"/>
        <v>(3)</v>
      </c>
      <c r="G237" s="2009">
        <f t="shared" si="45"/>
        <v>0</v>
      </c>
      <c r="H237" s="2009" t="str">
        <f t="shared" si="46"/>
        <v>(4)</v>
      </c>
      <c r="I237" s="2009">
        <f t="shared" si="47"/>
        <v>0</v>
      </c>
      <c r="J237" s="1675" t="str">
        <f t="shared" si="48"/>
        <v>(5)</v>
      </c>
      <c r="K237" s="1675">
        <f t="shared" si="49"/>
        <v>0</v>
      </c>
      <c r="L237" s="2009" t="str">
        <f t="shared" si="50"/>
        <v>(6)</v>
      </c>
      <c r="M237" s="2009">
        <f t="shared" si="51"/>
        <v>0</v>
      </c>
      <c r="N237" s="2009" t="str">
        <f t="shared" si="52"/>
        <v>(7)</v>
      </c>
      <c r="O237" s="2009">
        <f t="shared" si="53"/>
        <v>0</v>
      </c>
      <c r="P237" s="2009" t="str">
        <f t="shared" si="54"/>
        <v>(8)</v>
      </c>
      <c r="Q237" s="2010">
        <f t="shared" si="55"/>
        <v>0</v>
      </c>
      <c r="R237" s="2009" t="str">
        <f t="shared" si="56"/>
        <v>(9)</v>
      </c>
      <c r="S237" s="2009">
        <f t="shared" si="57"/>
        <v>0</v>
      </c>
      <c r="T237" s="2009" t="str">
        <f t="shared" si="58"/>
        <v>(10)</v>
      </c>
      <c r="V237" s="2009" t="s">
        <v>2308</v>
      </c>
      <c r="W237" s="2009"/>
      <c r="X237" s="2009" t="s">
        <v>2309</v>
      </c>
      <c r="Y237" s="2009"/>
      <c r="Z237" s="1675" t="s">
        <v>2310</v>
      </c>
      <c r="AA237" s="1675"/>
      <c r="AB237" s="2009" t="s">
        <v>2311</v>
      </c>
      <c r="AC237" s="2009"/>
      <c r="AD237" s="2009" t="s">
        <v>2312</v>
      </c>
      <c r="AE237" s="2009"/>
      <c r="AF237" s="2009" t="s">
        <v>2313</v>
      </c>
      <c r="AG237" s="2010"/>
      <c r="AH237" s="2009" t="s">
        <v>2314</v>
      </c>
      <c r="AI237" s="2009"/>
      <c r="AJ237" s="2009" t="s">
        <v>2361</v>
      </c>
    </row>
    <row r="238" spans="1:36">
      <c r="C238" s="1675" t="s">
        <v>2429</v>
      </c>
      <c r="D238" s="1675" t="s">
        <v>2429</v>
      </c>
      <c r="F238" s="1675" t="str">
        <f t="shared" si="59"/>
        <v>Accumulated</v>
      </c>
      <c r="G238" s="1675">
        <f t="shared" si="45"/>
        <v>0</v>
      </c>
      <c r="H238" s="2009" t="str">
        <f t="shared" si="46"/>
        <v>Total</v>
      </c>
      <c r="I238" s="1675">
        <f t="shared" si="47"/>
        <v>0</v>
      </c>
      <c r="J238" s="2009">
        <f t="shared" si="48"/>
        <v>0</v>
      </c>
      <c r="K238" s="1675">
        <f t="shared" si="49"/>
        <v>0</v>
      </c>
      <c r="L238" s="1675">
        <f t="shared" si="50"/>
        <v>0</v>
      </c>
      <c r="M238" s="1675">
        <f t="shared" si="51"/>
        <v>0</v>
      </c>
      <c r="N238" s="1674">
        <f t="shared" si="52"/>
        <v>0</v>
      </c>
      <c r="O238" s="1674">
        <f t="shared" si="53"/>
        <v>0</v>
      </c>
      <c r="P238" s="1674">
        <f t="shared" si="54"/>
        <v>0</v>
      </c>
      <c r="Q238" s="2001">
        <f t="shared" si="55"/>
        <v>0</v>
      </c>
      <c r="R238" s="1675" t="str">
        <f t="shared" si="56"/>
        <v>Accumulated</v>
      </c>
      <c r="S238" s="1674">
        <f t="shared" si="57"/>
        <v>0</v>
      </c>
      <c r="T238" s="1675">
        <f t="shared" si="58"/>
        <v>0</v>
      </c>
      <c r="V238" s="1675" t="s">
        <v>2315</v>
      </c>
      <c r="W238" s="1675"/>
      <c r="X238" s="2009" t="s">
        <v>122</v>
      </c>
      <c r="Y238" s="1675"/>
      <c r="Z238" s="2009"/>
      <c r="AA238" s="1675"/>
      <c r="AB238" s="1675"/>
      <c r="AC238" s="1675"/>
      <c r="AG238" s="2001"/>
      <c r="AH238" s="1675" t="s">
        <v>2315</v>
      </c>
      <c r="AJ238" s="1675"/>
    </row>
    <row r="239" spans="1:36">
      <c r="A239" s="1675" t="s">
        <v>2430</v>
      </c>
      <c r="B239" s="1675"/>
      <c r="C239" s="1675" t="s">
        <v>2431</v>
      </c>
      <c r="D239" s="1675" t="s">
        <v>2431</v>
      </c>
      <c r="E239" s="2009"/>
      <c r="F239" s="1675" t="str">
        <f t="shared" si="59"/>
        <v>Depreciation</v>
      </c>
      <c r="G239" s="1675">
        <f t="shared" si="45"/>
        <v>0</v>
      </c>
      <c r="H239" s="1675" t="str">
        <f t="shared" si="46"/>
        <v>Depreciation</v>
      </c>
      <c r="I239" s="1675">
        <f t="shared" si="47"/>
        <v>0</v>
      </c>
      <c r="J239" s="1675">
        <f t="shared" si="48"/>
        <v>0</v>
      </c>
      <c r="K239" s="2009">
        <f t="shared" si="49"/>
        <v>0</v>
      </c>
      <c r="L239" s="1675" t="str">
        <f t="shared" si="50"/>
        <v>Gross</v>
      </c>
      <c r="M239" s="2005">
        <f t="shared" si="51"/>
        <v>0</v>
      </c>
      <c r="N239" s="1675" t="str">
        <f t="shared" si="52"/>
        <v>Gross</v>
      </c>
      <c r="O239" s="1675">
        <f t="shared" si="53"/>
        <v>0</v>
      </c>
      <c r="P239" s="1675" t="str">
        <f t="shared" si="54"/>
        <v>Adjustments</v>
      </c>
      <c r="Q239" s="2010">
        <f t="shared" si="55"/>
        <v>0</v>
      </c>
      <c r="R239" s="2009" t="str">
        <f t="shared" si="56"/>
        <v>Depreciation</v>
      </c>
      <c r="S239" s="2009">
        <f t="shared" si="57"/>
        <v>0</v>
      </c>
      <c r="T239" s="1675" t="str">
        <f t="shared" si="58"/>
        <v>13-Month</v>
      </c>
      <c r="V239" s="1675" t="s">
        <v>1537</v>
      </c>
      <c r="W239" s="1675"/>
      <c r="X239" s="1675" t="s">
        <v>1537</v>
      </c>
      <c r="Y239" s="1675"/>
      <c r="Z239" s="1675"/>
      <c r="AA239" s="2009"/>
      <c r="AB239" s="1675" t="s">
        <v>2596</v>
      </c>
      <c r="AC239" s="2005"/>
      <c r="AD239" s="1675" t="s">
        <v>2596</v>
      </c>
      <c r="AE239" s="1675"/>
      <c r="AF239" s="1675" t="s">
        <v>593</v>
      </c>
      <c r="AG239" s="2010"/>
      <c r="AH239" s="2009" t="s">
        <v>1537</v>
      </c>
      <c r="AI239" s="2009"/>
      <c r="AJ239" s="1675" t="s">
        <v>2434</v>
      </c>
    </row>
    <row r="240" spans="1:36" ht="15" thickBot="1">
      <c r="A240" s="2008" t="s">
        <v>2435</v>
      </c>
      <c r="B240" s="2008"/>
      <c r="C240" s="2008" t="s">
        <v>2436</v>
      </c>
      <c r="D240" s="2008" t="s">
        <v>2437</v>
      </c>
      <c r="E240" s="2008"/>
      <c r="F240" s="2011" t="str">
        <f t="shared" si="59"/>
        <v>Beg. of Year</v>
      </c>
      <c r="G240" s="2011">
        <f t="shared" si="45"/>
        <v>0</v>
      </c>
      <c r="H240" s="2011" t="str">
        <f t="shared" si="46"/>
        <v>Accrued</v>
      </c>
      <c r="I240" s="2012">
        <f t="shared" si="47"/>
        <v>0</v>
      </c>
      <c r="J240" s="2011" t="str">
        <f t="shared" si="48"/>
        <v>Retirements</v>
      </c>
      <c r="K240" s="2012">
        <f t="shared" si="49"/>
        <v>0</v>
      </c>
      <c r="L240" s="2012" t="str">
        <f t="shared" si="50"/>
        <v>COR</v>
      </c>
      <c r="M240" s="2013">
        <f t="shared" si="51"/>
        <v>0</v>
      </c>
      <c r="N240" s="2013" t="str">
        <f t="shared" si="52"/>
        <v>Salvage</v>
      </c>
      <c r="O240" s="2013">
        <f t="shared" si="53"/>
        <v>0</v>
      </c>
      <c r="P240" s="2013" t="str">
        <f t="shared" si="54"/>
        <v>or Transfers</v>
      </c>
      <c r="Q240" s="2014">
        <f t="shared" si="55"/>
        <v>0</v>
      </c>
      <c r="R240" s="2013" t="str">
        <f t="shared" si="56"/>
        <v>End of Year</v>
      </c>
      <c r="S240" s="2013">
        <f t="shared" si="57"/>
        <v>0</v>
      </c>
      <c r="T240" s="2013" t="str">
        <f t="shared" si="58"/>
        <v>Average</v>
      </c>
      <c r="V240" s="2011" t="s">
        <v>2439</v>
      </c>
      <c r="W240" s="2011"/>
      <c r="X240" s="2011" t="s">
        <v>2597</v>
      </c>
      <c r="Y240" s="2012"/>
      <c r="Z240" s="2011" t="s">
        <v>1535</v>
      </c>
      <c r="AA240" s="2012"/>
      <c r="AB240" s="2012" t="s">
        <v>2598</v>
      </c>
      <c r="AC240" s="2013"/>
      <c r="AD240" s="2013" t="s">
        <v>2599</v>
      </c>
      <c r="AE240" s="2013"/>
      <c r="AF240" s="2013" t="s">
        <v>2442</v>
      </c>
      <c r="AG240" s="2014"/>
      <c r="AH240" s="2013" t="s">
        <v>2443</v>
      </c>
      <c r="AI240" s="2013"/>
      <c r="AJ240" s="2013" t="s">
        <v>2444</v>
      </c>
    </row>
    <row r="241" spans="1:36">
      <c r="A241" s="1675">
        <v>1</v>
      </c>
      <c r="B241" s="1675"/>
      <c r="F241" s="1674">
        <f t="shared" si="59"/>
        <v>0</v>
      </c>
      <c r="G241" s="1674">
        <f t="shared" si="45"/>
        <v>0</v>
      </c>
      <c r="H241" s="1674">
        <f t="shared" si="46"/>
        <v>0</v>
      </c>
      <c r="I241" s="1674">
        <f t="shared" si="47"/>
        <v>0</v>
      </c>
      <c r="J241" s="1674">
        <f t="shared" si="48"/>
        <v>0</v>
      </c>
      <c r="K241" s="1674">
        <f t="shared" si="49"/>
        <v>0</v>
      </c>
      <c r="L241" s="1674">
        <f t="shared" si="50"/>
        <v>0</v>
      </c>
      <c r="M241" s="1674">
        <f t="shared" si="51"/>
        <v>0</v>
      </c>
      <c r="N241" s="1674">
        <f t="shared" si="52"/>
        <v>0</v>
      </c>
      <c r="O241" s="1674">
        <f t="shared" si="53"/>
        <v>0</v>
      </c>
      <c r="P241" s="1674">
        <f t="shared" si="54"/>
        <v>0</v>
      </c>
      <c r="Q241" s="2001">
        <f t="shared" si="55"/>
        <v>0</v>
      </c>
      <c r="R241" s="1674">
        <f t="shared" si="56"/>
        <v>0</v>
      </c>
      <c r="S241" s="1674">
        <f t="shared" si="57"/>
        <v>0</v>
      </c>
      <c r="T241" s="1674">
        <f t="shared" si="58"/>
        <v>0</v>
      </c>
      <c r="AG241" s="2001"/>
    </row>
    <row r="242" spans="1:36">
      <c r="A242" s="1675">
        <v>2</v>
      </c>
      <c r="B242" s="2015"/>
      <c r="C242" s="1675"/>
      <c r="D242" s="2002" t="s">
        <v>2507</v>
      </c>
      <c r="F242" s="2023">
        <f t="shared" si="59"/>
        <v>0</v>
      </c>
      <c r="G242" s="1674">
        <f t="shared" si="45"/>
        <v>0</v>
      </c>
      <c r="H242" s="1790">
        <f t="shared" si="46"/>
        <v>0</v>
      </c>
      <c r="I242" s="1790">
        <f t="shared" si="47"/>
        <v>0</v>
      </c>
      <c r="J242" s="1790">
        <f t="shared" si="48"/>
        <v>0</v>
      </c>
      <c r="K242" s="1790">
        <f t="shared" si="49"/>
        <v>0</v>
      </c>
      <c r="L242" s="1790">
        <f t="shared" si="50"/>
        <v>0</v>
      </c>
      <c r="M242" s="1790">
        <f t="shared" si="51"/>
        <v>0</v>
      </c>
      <c r="N242" s="1790">
        <f t="shared" si="52"/>
        <v>0</v>
      </c>
      <c r="O242" s="1790">
        <f t="shared" si="53"/>
        <v>0</v>
      </c>
      <c r="P242" s="1790">
        <f t="shared" si="54"/>
        <v>0</v>
      </c>
      <c r="Q242" s="1790">
        <f t="shared" si="55"/>
        <v>0</v>
      </c>
      <c r="R242" s="1790">
        <f t="shared" si="56"/>
        <v>0</v>
      </c>
      <c r="S242" s="1790">
        <f t="shared" si="57"/>
        <v>0</v>
      </c>
      <c r="T242" s="1790">
        <f t="shared" si="58"/>
        <v>0</v>
      </c>
      <c r="V242" s="2023"/>
      <c r="X242" s="1790"/>
      <c r="Y242" s="1790"/>
      <c r="Z242" s="1790"/>
      <c r="AA242" s="1790"/>
      <c r="AB242" s="1790"/>
      <c r="AC242" s="1790"/>
      <c r="AD242" s="1790"/>
      <c r="AE242" s="1790"/>
      <c r="AF242" s="1790"/>
      <c r="AG242" s="1790"/>
      <c r="AH242" s="1790"/>
      <c r="AI242" s="1790"/>
      <c r="AJ242" s="1790"/>
    </row>
    <row r="243" spans="1:36">
      <c r="A243" s="1675">
        <v>3</v>
      </c>
      <c r="B243" s="2015"/>
      <c r="C243" s="2009">
        <v>34185</v>
      </c>
      <c r="D243" s="1674" t="s">
        <v>2449</v>
      </c>
      <c r="F243" s="1876">
        <f t="shared" si="59"/>
        <v>2424.2666999999988</v>
      </c>
      <c r="G243" s="2001">
        <f t="shared" si="45"/>
        <v>0</v>
      </c>
      <c r="H243" s="1876">
        <f t="shared" si="46"/>
        <v>156.30696</v>
      </c>
      <c r="I243" s="1785">
        <f t="shared" si="47"/>
        <v>0</v>
      </c>
      <c r="J243" s="1876">
        <f t="shared" si="48"/>
        <v>0</v>
      </c>
      <c r="K243" s="1786">
        <f t="shared" si="49"/>
        <v>0</v>
      </c>
      <c r="L243" s="1876">
        <f t="shared" si="50"/>
        <v>0</v>
      </c>
      <c r="M243" s="1786">
        <f t="shared" si="51"/>
        <v>0</v>
      </c>
      <c r="N243" s="1876">
        <f t="shared" si="52"/>
        <v>0</v>
      </c>
      <c r="O243" s="1787">
        <f t="shared" si="53"/>
        <v>0</v>
      </c>
      <c r="P243" s="1876">
        <f t="shared" si="54"/>
        <v>0</v>
      </c>
      <c r="Q243" s="1785">
        <f t="shared" si="55"/>
        <v>0</v>
      </c>
      <c r="R243" s="1787">
        <f t="shared" si="56"/>
        <v>2580.5736599999987</v>
      </c>
      <c r="S243" s="1786">
        <f t="shared" si="57"/>
        <v>0</v>
      </c>
      <c r="T243" s="1876">
        <f t="shared" si="58"/>
        <v>2502.4201800000001</v>
      </c>
      <c r="V243" s="1876">
        <v>2424266.6999999988</v>
      </c>
      <c r="W243" s="2001"/>
      <c r="X243" s="1876">
        <v>156306.96</v>
      </c>
      <c r="Y243" s="1785"/>
      <c r="Z243" s="1876">
        <v>0</v>
      </c>
      <c r="AA243" s="1786"/>
      <c r="AB243" s="1876">
        <v>0</v>
      </c>
      <c r="AC243" s="1786"/>
      <c r="AD243" s="1876">
        <v>0</v>
      </c>
      <c r="AE243" s="1787"/>
      <c r="AF243" s="1876">
        <v>0</v>
      </c>
      <c r="AG243" s="1785"/>
      <c r="AH243" s="1787">
        <v>2580573.6599999988</v>
      </c>
      <c r="AI243" s="1786"/>
      <c r="AJ243" s="1876">
        <v>2502420.1800000002</v>
      </c>
    </row>
    <row r="244" spans="1:36">
      <c r="A244" s="1675">
        <v>4</v>
      </c>
      <c r="B244" s="2015"/>
      <c r="C244" s="2009">
        <v>34285</v>
      </c>
      <c r="D244" s="1674" t="s">
        <v>2495</v>
      </c>
      <c r="F244" s="1876">
        <f t="shared" si="59"/>
        <v>821.50138999999922</v>
      </c>
      <c r="G244" s="2001">
        <f t="shared" si="45"/>
        <v>0</v>
      </c>
      <c r="H244" s="1876">
        <f t="shared" si="46"/>
        <v>101.11482000000001</v>
      </c>
      <c r="I244" s="1785">
        <f t="shared" si="47"/>
        <v>0</v>
      </c>
      <c r="J244" s="1876">
        <f t="shared" si="48"/>
        <v>-708.61291000000006</v>
      </c>
      <c r="K244" s="1786">
        <f t="shared" si="49"/>
        <v>0</v>
      </c>
      <c r="L244" s="1876">
        <f t="shared" si="50"/>
        <v>0</v>
      </c>
      <c r="M244" s="1786">
        <f t="shared" si="51"/>
        <v>0</v>
      </c>
      <c r="N244" s="1876">
        <f t="shared" si="52"/>
        <v>0</v>
      </c>
      <c r="O244" s="1787">
        <f t="shared" si="53"/>
        <v>0</v>
      </c>
      <c r="P244" s="1876">
        <f t="shared" si="54"/>
        <v>0</v>
      </c>
      <c r="Q244" s="1785">
        <f t="shared" si="55"/>
        <v>0</v>
      </c>
      <c r="R244" s="1787">
        <f t="shared" si="56"/>
        <v>214.00329999999923</v>
      </c>
      <c r="S244" s="1786">
        <f t="shared" si="57"/>
        <v>0</v>
      </c>
      <c r="T244" s="1876">
        <f t="shared" si="58"/>
        <v>783.49810000000002</v>
      </c>
      <c r="V244" s="1876">
        <v>821501.3899999992</v>
      </c>
      <c r="W244" s="2001"/>
      <c r="X244" s="1876">
        <v>101114.82</v>
      </c>
      <c r="Y244" s="1785"/>
      <c r="Z244" s="1876">
        <v>-708612.91</v>
      </c>
      <c r="AA244" s="1786"/>
      <c r="AB244" s="1876">
        <v>0</v>
      </c>
      <c r="AC244" s="1786"/>
      <c r="AD244" s="1876">
        <v>0</v>
      </c>
      <c r="AE244" s="1787"/>
      <c r="AF244" s="1876">
        <v>0</v>
      </c>
      <c r="AG244" s="1785"/>
      <c r="AH244" s="1787">
        <v>214003.29999999923</v>
      </c>
      <c r="AI244" s="1786"/>
      <c r="AJ244" s="1876">
        <v>783498.1</v>
      </c>
    </row>
    <row r="245" spans="1:36">
      <c r="A245" s="1675">
        <v>5</v>
      </c>
      <c r="B245" s="2015"/>
      <c r="C245" s="2009">
        <v>34385</v>
      </c>
      <c r="D245" s="1674" t="s">
        <v>2496</v>
      </c>
      <c r="F245" s="1876">
        <f t="shared" si="59"/>
        <v>6881.8610700000017</v>
      </c>
      <c r="G245" s="2001">
        <f t="shared" si="45"/>
        <v>0</v>
      </c>
      <c r="H245" s="1876">
        <f t="shared" si="46"/>
        <v>1073.30475</v>
      </c>
      <c r="I245" s="1785">
        <f t="shared" si="47"/>
        <v>0</v>
      </c>
      <c r="J245" s="1876">
        <f t="shared" si="48"/>
        <v>-708.61291000000006</v>
      </c>
      <c r="K245" s="1786">
        <f t="shared" si="49"/>
        <v>0</v>
      </c>
      <c r="L245" s="1876">
        <f t="shared" si="50"/>
        <v>0</v>
      </c>
      <c r="M245" s="1786">
        <f t="shared" si="51"/>
        <v>0</v>
      </c>
      <c r="N245" s="1876">
        <f t="shared" si="52"/>
        <v>0</v>
      </c>
      <c r="O245" s="1787">
        <f t="shared" si="53"/>
        <v>0</v>
      </c>
      <c r="P245" s="1876">
        <f t="shared" si="54"/>
        <v>0</v>
      </c>
      <c r="Q245" s="1785">
        <f t="shared" si="55"/>
        <v>0</v>
      </c>
      <c r="R245" s="1787">
        <f t="shared" si="56"/>
        <v>7246.5529100000022</v>
      </c>
      <c r="S245" s="1786">
        <f t="shared" si="57"/>
        <v>0</v>
      </c>
      <c r="T245" s="1876">
        <f t="shared" si="58"/>
        <v>7329.3328099999999</v>
      </c>
      <c r="V245" s="1876">
        <v>6881861.0700000022</v>
      </c>
      <c r="W245" s="2001"/>
      <c r="X245" s="1876">
        <v>1073304.75</v>
      </c>
      <c r="Y245" s="1785"/>
      <c r="Z245" s="1876">
        <v>-708612.91</v>
      </c>
      <c r="AA245" s="1786"/>
      <c r="AB245" s="1876">
        <v>0</v>
      </c>
      <c r="AC245" s="1786"/>
      <c r="AD245" s="1876">
        <v>0</v>
      </c>
      <c r="AE245" s="1787"/>
      <c r="AF245" s="1876">
        <v>0</v>
      </c>
      <c r="AG245" s="1785"/>
      <c r="AH245" s="1787">
        <v>7246552.910000002</v>
      </c>
      <c r="AI245" s="1786"/>
      <c r="AJ245" s="1876">
        <v>7329332.8099999996</v>
      </c>
    </row>
    <row r="246" spans="1:36">
      <c r="A246" s="1675">
        <v>6</v>
      </c>
      <c r="B246" s="2015"/>
      <c r="C246" s="2009">
        <v>34585</v>
      </c>
      <c r="D246" s="1674" t="s">
        <v>2454</v>
      </c>
      <c r="F246" s="1876">
        <f t="shared" si="59"/>
        <v>3413.5520199999974</v>
      </c>
      <c r="G246" s="2001">
        <f t="shared" si="45"/>
        <v>0</v>
      </c>
      <c r="H246" s="1876">
        <f t="shared" si="46"/>
        <v>93.866520000000008</v>
      </c>
      <c r="I246" s="1785">
        <f t="shared" si="47"/>
        <v>0</v>
      </c>
      <c r="J246" s="1876">
        <f t="shared" si="48"/>
        <v>0</v>
      </c>
      <c r="K246" s="1786">
        <f t="shared" si="49"/>
        <v>0</v>
      </c>
      <c r="L246" s="1876">
        <f t="shared" si="50"/>
        <v>0</v>
      </c>
      <c r="M246" s="1786">
        <f t="shared" si="51"/>
        <v>0</v>
      </c>
      <c r="N246" s="1876">
        <f t="shared" si="52"/>
        <v>0</v>
      </c>
      <c r="O246" s="1787">
        <f t="shared" si="53"/>
        <v>0</v>
      </c>
      <c r="P246" s="1876">
        <f t="shared" si="54"/>
        <v>0</v>
      </c>
      <c r="Q246" s="1785">
        <f t="shared" si="55"/>
        <v>0</v>
      </c>
      <c r="R246" s="1787">
        <f t="shared" si="56"/>
        <v>3507.4185399999974</v>
      </c>
      <c r="S246" s="1786">
        <f t="shared" si="57"/>
        <v>0</v>
      </c>
      <c r="T246" s="1876">
        <f t="shared" si="58"/>
        <v>3460.4852799999999</v>
      </c>
      <c r="V246" s="1876">
        <v>3413552.0199999972</v>
      </c>
      <c r="W246" s="2001"/>
      <c r="X246" s="1876">
        <v>93866.52</v>
      </c>
      <c r="Y246" s="1785"/>
      <c r="Z246" s="1876">
        <v>0</v>
      </c>
      <c r="AA246" s="1786"/>
      <c r="AB246" s="1876">
        <v>0</v>
      </c>
      <c r="AC246" s="1786"/>
      <c r="AD246" s="1876">
        <v>0</v>
      </c>
      <c r="AE246" s="1787"/>
      <c r="AF246" s="1876">
        <v>0</v>
      </c>
      <c r="AG246" s="1785"/>
      <c r="AH246" s="1787">
        <v>3507418.5399999972</v>
      </c>
      <c r="AI246" s="1786"/>
      <c r="AJ246" s="1876">
        <v>3460485.28</v>
      </c>
    </row>
    <row r="247" spans="1:36">
      <c r="A247" s="1675">
        <v>7</v>
      </c>
      <c r="B247" s="1675"/>
      <c r="C247" s="2009">
        <v>34685</v>
      </c>
      <c r="D247" s="1674" t="s">
        <v>2455</v>
      </c>
      <c r="F247" s="1876">
        <f t="shared" si="59"/>
        <v>0</v>
      </c>
      <c r="G247" s="2001">
        <f t="shared" si="45"/>
        <v>0</v>
      </c>
      <c r="H247" s="1876">
        <f t="shared" si="46"/>
        <v>0</v>
      </c>
      <c r="I247" s="1785">
        <f t="shared" si="47"/>
        <v>0</v>
      </c>
      <c r="J247" s="1876">
        <f t="shared" si="48"/>
        <v>0</v>
      </c>
      <c r="K247" s="1786">
        <f t="shared" si="49"/>
        <v>0</v>
      </c>
      <c r="L247" s="1876">
        <f t="shared" si="50"/>
        <v>0</v>
      </c>
      <c r="M247" s="1786">
        <f t="shared" si="51"/>
        <v>0</v>
      </c>
      <c r="N247" s="1876">
        <f t="shared" si="52"/>
        <v>0</v>
      </c>
      <c r="O247" s="1787">
        <f t="shared" si="53"/>
        <v>0</v>
      </c>
      <c r="P247" s="1876">
        <f t="shared" si="54"/>
        <v>0</v>
      </c>
      <c r="Q247" s="1785">
        <f t="shared" si="55"/>
        <v>0</v>
      </c>
      <c r="R247" s="1787">
        <f t="shared" si="56"/>
        <v>0</v>
      </c>
      <c r="S247" s="1786">
        <f t="shared" si="57"/>
        <v>0</v>
      </c>
      <c r="T247" s="1876">
        <f t="shared" si="58"/>
        <v>0</v>
      </c>
      <c r="V247" s="1876">
        <v>0</v>
      </c>
      <c r="W247" s="2001"/>
      <c r="X247" s="1876">
        <v>0</v>
      </c>
      <c r="Y247" s="1785"/>
      <c r="Z247" s="1876">
        <v>0</v>
      </c>
      <c r="AA247" s="1786"/>
      <c r="AB247" s="1876">
        <v>0</v>
      </c>
      <c r="AC247" s="1786"/>
      <c r="AD247" s="1876">
        <v>0</v>
      </c>
      <c r="AE247" s="1787"/>
      <c r="AF247" s="1876">
        <v>0</v>
      </c>
      <c r="AG247" s="1785"/>
      <c r="AH247" s="1787">
        <v>0</v>
      </c>
      <c r="AI247" s="1786"/>
      <c r="AJ247" s="1876">
        <v>0</v>
      </c>
    </row>
    <row r="248" spans="1:36">
      <c r="A248" s="1675">
        <v>8</v>
      </c>
      <c r="B248" s="1675"/>
      <c r="C248" s="1675"/>
      <c r="D248" s="2002" t="s">
        <v>2508</v>
      </c>
      <c r="F248" s="1788">
        <f t="shared" si="59"/>
        <v>13541.181179999998</v>
      </c>
      <c r="G248" s="1674">
        <f t="shared" si="45"/>
        <v>0</v>
      </c>
      <c r="H248" s="1788">
        <f t="shared" si="46"/>
        <v>1424.5930499999999</v>
      </c>
      <c r="I248" s="1783">
        <f t="shared" si="47"/>
        <v>0</v>
      </c>
      <c r="J248" s="1788">
        <f t="shared" si="48"/>
        <v>-1417.2258200000001</v>
      </c>
      <c r="K248" s="1783">
        <f t="shared" si="49"/>
        <v>0</v>
      </c>
      <c r="L248" s="1788">
        <f t="shared" si="50"/>
        <v>0</v>
      </c>
      <c r="M248" s="1783">
        <f t="shared" si="51"/>
        <v>0</v>
      </c>
      <c r="N248" s="1788">
        <f t="shared" si="52"/>
        <v>0</v>
      </c>
      <c r="O248" s="1814">
        <f t="shared" si="53"/>
        <v>0</v>
      </c>
      <c r="P248" s="1788">
        <f t="shared" si="54"/>
        <v>0</v>
      </c>
      <c r="Q248" s="1783">
        <f t="shared" si="55"/>
        <v>0</v>
      </c>
      <c r="R248" s="1788">
        <f t="shared" si="56"/>
        <v>13548.548409999998</v>
      </c>
      <c r="S248" s="1783">
        <f t="shared" si="57"/>
        <v>0</v>
      </c>
      <c r="T248" s="1788">
        <f t="shared" si="58"/>
        <v>14075.736369999999</v>
      </c>
      <c r="V248" s="1788">
        <v>13541181.179999998</v>
      </c>
      <c r="X248" s="1788">
        <v>1424593.05</v>
      </c>
      <c r="Y248" s="1783"/>
      <c r="Z248" s="1788">
        <v>-1417225.82</v>
      </c>
      <c r="AA248" s="1783"/>
      <c r="AB248" s="1788">
        <v>0</v>
      </c>
      <c r="AC248" s="1783"/>
      <c r="AD248" s="1788">
        <v>0</v>
      </c>
      <c r="AE248" s="1814"/>
      <c r="AF248" s="1788">
        <v>0</v>
      </c>
      <c r="AG248" s="1783"/>
      <c r="AH248" s="1788">
        <v>13548548.409999998</v>
      </c>
      <c r="AI248" s="1783"/>
      <c r="AJ248" s="1788">
        <v>14075736.369999999</v>
      </c>
    </row>
    <row r="249" spans="1:36">
      <c r="A249" s="1675">
        <v>9</v>
      </c>
      <c r="B249" s="1675"/>
      <c r="F249" s="1674">
        <f t="shared" si="59"/>
        <v>0</v>
      </c>
      <c r="G249" s="1674">
        <f t="shared" si="45"/>
        <v>0</v>
      </c>
      <c r="H249" s="1674">
        <f t="shared" si="46"/>
        <v>0</v>
      </c>
      <c r="I249" s="1674">
        <f t="shared" si="47"/>
        <v>0</v>
      </c>
      <c r="J249" s="1674">
        <f t="shared" si="48"/>
        <v>0</v>
      </c>
      <c r="K249" s="1674">
        <f t="shared" si="49"/>
        <v>0</v>
      </c>
      <c r="L249" s="1674">
        <f t="shared" si="50"/>
        <v>0</v>
      </c>
      <c r="M249" s="1674">
        <f t="shared" si="51"/>
        <v>0</v>
      </c>
      <c r="N249" s="1674">
        <f t="shared" si="52"/>
        <v>0</v>
      </c>
      <c r="O249" s="1674">
        <f t="shared" si="53"/>
        <v>0</v>
      </c>
      <c r="P249" s="1674">
        <f t="shared" si="54"/>
        <v>0</v>
      </c>
      <c r="Q249" s="2001">
        <f t="shared" si="55"/>
        <v>0</v>
      </c>
      <c r="R249" s="1674">
        <f t="shared" si="56"/>
        <v>0</v>
      </c>
      <c r="S249" s="1674">
        <f t="shared" si="57"/>
        <v>0</v>
      </c>
      <c r="T249" s="1674">
        <f t="shared" si="58"/>
        <v>0</v>
      </c>
      <c r="AG249" s="2001"/>
    </row>
    <row r="250" spans="1:36">
      <c r="A250" s="1675">
        <v>10</v>
      </c>
      <c r="B250" s="1675"/>
      <c r="C250" s="1675"/>
      <c r="D250" s="2002" t="s">
        <v>8170</v>
      </c>
      <c r="F250" s="2023">
        <f t="shared" si="59"/>
        <v>0</v>
      </c>
      <c r="G250" s="1674">
        <f t="shared" si="45"/>
        <v>0</v>
      </c>
      <c r="H250" s="1790">
        <f t="shared" si="46"/>
        <v>0</v>
      </c>
      <c r="I250" s="1790">
        <f t="shared" si="47"/>
        <v>0</v>
      </c>
      <c r="J250" s="1790">
        <f t="shared" si="48"/>
        <v>0</v>
      </c>
      <c r="K250" s="1790">
        <f t="shared" si="49"/>
        <v>0</v>
      </c>
      <c r="L250" s="1790">
        <f t="shared" si="50"/>
        <v>0</v>
      </c>
      <c r="M250" s="1790">
        <f t="shared" si="51"/>
        <v>0</v>
      </c>
      <c r="N250" s="1790">
        <f t="shared" si="52"/>
        <v>0</v>
      </c>
      <c r="O250" s="1790">
        <f t="shared" si="53"/>
        <v>0</v>
      </c>
      <c r="P250" s="1790">
        <f t="shared" si="54"/>
        <v>0</v>
      </c>
      <c r="Q250" s="1790">
        <f t="shared" si="55"/>
        <v>0</v>
      </c>
      <c r="R250" s="1790">
        <f t="shared" si="56"/>
        <v>0</v>
      </c>
      <c r="S250" s="1790">
        <f t="shared" si="57"/>
        <v>0</v>
      </c>
      <c r="T250" s="1790">
        <f t="shared" si="58"/>
        <v>0</v>
      </c>
      <c r="V250" s="2023"/>
      <c r="X250" s="1790"/>
      <c r="Y250" s="1790"/>
      <c r="Z250" s="1790"/>
      <c r="AA250" s="1790"/>
      <c r="AB250" s="1790"/>
      <c r="AC250" s="1790"/>
      <c r="AD250" s="1790"/>
      <c r="AE250" s="1790"/>
      <c r="AF250" s="1790"/>
      <c r="AG250" s="1790"/>
      <c r="AH250" s="1790"/>
      <c r="AI250" s="1790"/>
      <c r="AJ250" s="1790"/>
    </row>
    <row r="251" spans="1:36">
      <c r="A251" s="1675">
        <v>11</v>
      </c>
      <c r="B251" s="1675"/>
      <c r="C251" s="2009">
        <v>34186</v>
      </c>
      <c r="D251" s="1674" t="s">
        <v>2449</v>
      </c>
      <c r="F251" s="1876">
        <f t="shared" si="59"/>
        <v>4266.5818700000063</v>
      </c>
      <c r="G251" s="2001">
        <f t="shared" si="45"/>
        <v>0</v>
      </c>
      <c r="H251" s="1876">
        <f t="shared" si="46"/>
        <v>396.28784999999999</v>
      </c>
      <c r="I251" s="1785">
        <f t="shared" si="47"/>
        <v>0</v>
      </c>
      <c r="J251" s="1876">
        <f t="shared" si="48"/>
        <v>-258.22221999999999</v>
      </c>
      <c r="K251" s="1786">
        <f t="shared" si="49"/>
        <v>0</v>
      </c>
      <c r="L251" s="1876">
        <f t="shared" si="50"/>
        <v>-108.88889999999999</v>
      </c>
      <c r="M251" s="1786">
        <f t="shared" si="51"/>
        <v>0</v>
      </c>
      <c r="N251" s="1876">
        <f t="shared" si="52"/>
        <v>0</v>
      </c>
      <c r="O251" s="1787">
        <f t="shared" si="53"/>
        <v>0</v>
      </c>
      <c r="P251" s="1876">
        <f t="shared" si="54"/>
        <v>0</v>
      </c>
      <c r="Q251" s="1785">
        <f t="shared" si="55"/>
        <v>0</v>
      </c>
      <c r="R251" s="1787">
        <f t="shared" si="56"/>
        <v>4295.7586000000065</v>
      </c>
      <c r="S251" s="1786">
        <f t="shared" si="57"/>
        <v>0</v>
      </c>
      <c r="T251" s="1876">
        <f t="shared" si="58"/>
        <v>4353.9518799999996</v>
      </c>
      <c r="V251" s="1876">
        <v>4266581.8700000066</v>
      </c>
      <c r="W251" s="2001"/>
      <c r="X251" s="1876">
        <v>396287.85</v>
      </c>
      <c r="Y251" s="1785"/>
      <c r="Z251" s="1876">
        <v>-258222.22</v>
      </c>
      <c r="AA251" s="1786"/>
      <c r="AB251" s="1876">
        <v>-108888.9</v>
      </c>
      <c r="AC251" s="1786"/>
      <c r="AD251" s="1876">
        <v>0</v>
      </c>
      <c r="AE251" s="1787"/>
      <c r="AF251" s="1876">
        <v>0</v>
      </c>
      <c r="AG251" s="1785"/>
      <c r="AH251" s="1787">
        <v>4295758.6000000061</v>
      </c>
      <c r="AI251" s="1786"/>
      <c r="AJ251" s="1876">
        <v>4353951.88</v>
      </c>
    </row>
    <row r="252" spans="1:36">
      <c r="A252" s="1675">
        <v>12</v>
      </c>
      <c r="B252" s="2015"/>
      <c r="C252" s="2009">
        <v>34286</v>
      </c>
      <c r="D252" s="1674" t="s">
        <v>2495</v>
      </c>
      <c r="F252" s="1876">
        <f t="shared" si="59"/>
        <v>46404.921260000032</v>
      </c>
      <c r="G252" s="2001">
        <f t="shared" si="45"/>
        <v>0</v>
      </c>
      <c r="H252" s="1876">
        <f t="shared" si="46"/>
        <v>7267.2419300000001</v>
      </c>
      <c r="I252" s="1785">
        <f t="shared" si="47"/>
        <v>0</v>
      </c>
      <c r="J252" s="1876">
        <f t="shared" si="48"/>
        <v>-725.87164000000007</v>
      </c>
      <c r="K252" s="1786">
        <f t="shared" si="49"/>
        <v>0</v>
      </c>
      <c r="L252" s="1876">
        <f t="shared" si="50"/>
        <v>-1234.9076200000002</v>
      </c>
      <c r="M252" s="1786">
        <f t="shared" si="51"/>
        <v>0</v>
      </c>
      <c r="N252" s="1876">
        <f t="shared" si="52"/>
        <v>0</v>
      </c>
      <c r="O252" s="1787">
        <f t="shared" si="53"/>
        <v>0</v>
      </c>
      <c r="P252" s="1876">
        <f t="shared" si="54"/>
        <v>0</v>
      </c>
      <c r="Q252" s="1785">
        <f t="shared" si="55"/>
        <v>0</v>
      </c>
      <c r="R252" s="1787">
        <f t="shared" si="56"/>
        <v>51711.38393000004</v>
      </c>
      <c r="S252" s="1786">
        <f t="shared" si="57"/>
        <v>0</v>
      </c>
      <c r="T252" s="1876">
        <f t="shared" si="58"/>
        <v>49276.6512</v>
      </c>
      <c r="V252" s="1876">
        <v>46404921.260000035</v>
      </c>
      <c r="W252" s="2001"/>
      <c r="X252" s="1876">
        <v>7267241.9299999997</v>
      </c>
      <c r="Y252" s="1785"/>
      <c r="Z252" s="1876">
        <v>-725871.64</v>
      </c>
      <c r="AA252" s="1786"/>
      <c r="AB252" s="1876">
        <v>-1234907.6200000001</v>
      </c>
      <c r="AC252" s="1786"/>
      <c r="AD252" s="1876">
        <v>0</v>
      </c>
      <c r="AE252" s="1787"/>
      <c r="AF252" s="1876">
        <v>0</v>
      </c>
      <c r="AG252" s="1785"/>
      <c r="AH252" s="1787">
        <v>51711383.930000037</v>
      </c>
      <c r="AI252" s="1786"/>
      <c r="AJ252" s="1876">
        <v>49276651.200000003</v>
      </c>
    </row>
    <row r="253" spans="1:36">
      <c r="A253" s="1675">
        <v>13</v>
      </c>
      <c r="B253" s="2015"/>
      <c r="C253" s="2009">
        <v>34386</v>
      </c>
      <c r="D253" s="1674" t="s">
        <v>2496</v>
      </c>
      <c r="F253" s="1876">
        <f t="shared" si="59"/>
        <v>49140.894330000046</v>
      </c>
      <c r="G253" s="2001">
        <f t="shared" si="45"/>
        <v>0</v>
      </c>
      <c r="H253" s="1876">
        <f t="shared" si="46"/>
        <v>7855.2588599999999</v>
      </c>
      <c r="I253" s="1785">
        <f t="shared" si="47"/>
        <v>0</v>
      </c>
      <c r="J253" s="1876">
        <f t="shared" si="48"/>
        <v>-725.87164000000007</v>
      </c>
      <c r="K253" s="1786">
        <f t="shared" si="49"/>
        <v>0</v>
      </c>
      <c r="L253" s="1876">
        <f t="shared" si="50"/>
        <v>-1234.9076200000002</v>
      </c>
      <c r="M253" s="1786">
        <f t="shared" si="51"/>
        <v>0</v>
      </c>
      <c r="N253" s="1876">
        <f t="shared" si="52"/>
        <v>0</v>
      </c>
      <c r="O253" s="1787">
        <f t="shared" si="53"/>
        <v>0</v>
      </c>
      <c r="P253" s="1876">
        <f t="shared" si="54"/>
        <v>0</v>
      </c>
      <c r="Q253" s="1785">
        <f t="shared" si="55"/>
        <v>0</v>
      </c>
      <c r="R253" s="1787">
        <f t="shared" si="56"/>
        <v>55035.373930000045</v>
      </c>
      <c r="S253" s="1786">
        <f t="shared" si="57"/>
        <v>0</v>
      </c>
      <c r="T253" s="1876">
        <f t="shared" si="58"/>
        <v>52306.564020000005</v>
      </c>
      <c r="V253" s="1876">
        <v>49140894.330000043</v>
      </c>
      <c r="W253" s="2001"/>
      <c r="X253" s="1876">
        <v>7855258.8600000003</v>
      </c>
      <c r="Y253" s="1785"/>
      <c r="Z253" s="1876">
        <v>-725871.64</v>
      </c>
      <c r="AA253" s="1786"/>
      <c r="AB253" s="1876">
        <v>-1234907.6200000001</v>
      </c>
      <c r="AC253" s="1786"/>
      <c r="AD253" s="1876">
        <v>0</v>
      </c>
      <c r="AE253" s="1787"/>
      <c r="AF253" s="1876">
        <v>0</v>
      </c>
      <c r="AG253" s="1785"/>
      <c r="AH253" s="1787">
        <v>55035373.930000044</v>
      </c>
      <c r="AI253" s="1786"/>
      <c r="AJ253" s="1876">
        <v>52306564.020000003</v>
      </c>
    </row>
    <row r="254" spans="1:36">
      <c r="A254" s="1675">
        <v>14</v>
      </c>
      <c r="B254" s="2015"/>
      <c r="C254" s="2009">
        <v>34586</v>
      </c>
      <c r="D254" s="1674" t="s">
        <v>2454</v>
      </c>
      <c r="F254" s="1876">
        <f t="shared" si="59"/>
        <v>4565.3385300000018</v>
      </c>
      <c r="G254" s="2001">
        <f t="shared" si="45"/>
        <v>0</v>
      </c>
      <c r="H254" s="1876">
        <f t="shared" si="46"/>
        <v>557.49324000000001</v>
      </c>
      <c r="I254" s="1785">
        <f t="shared" si="47"/>
        <v>0</v>
      </c>
      <c r="J254" s="1876">
        <f t="shared" si="48"/>
        <v>0</v>
      </c>
      <c r="K254" s="1786">
        <f t="shared" si="49"/>
        <v>0</v>
      </c>
      <c r="L254" s="1876">
        <f t="shared" si="50"/>
        <v>0</v>
      </c>
      <c r="M254" s="1786">
        <f t="shared" si="51"/>
        <v>0</v>
      </c>
      <c r="N254" s="1876">
        <f t="shared" si="52"/>
        <v>0</v>
      </c>
      <c r="O254" s="1787">
        <f t="shared" si="53"/>
        <v>0</v>
      </c>
      <c r="P254" s="1876">
        <f t="shared" si="54"/>
        <v>0</v>
      </c>
      <c r="Q254" s="1785">
        <f t="shared" si="55"/>
        <v>0</v>
      </c>
      <c r="R254" s="1787">
        <f t="shared" si="56"/>
        <v>5122.8317700000025</v>
      </c>
      <c r="S254" s="1786">
        <f t="shared" si="57"/>
        <v>0</v>
      </c>
      <c r="T254" s="1876">
        <f t="shared" si="58"/>
        <v>4844.0851500000008</v>
      </c>
      <c r="V254" s="1876">
        <v>4565338.5300000021</v>
      </c>
      <c r="W254" s="2001"/>
      <c r="X254" s="1876">
        <v>557493.24</v>
      </c>
      <c r="Y254" s="1785"/>
      <c r="Z254" s="1876">
        <v>0</v>
      </c>
      <c r="AA254" s="1786"/>
      <c r="AB254" s="1876">
        <v>0</v>
      </c>
      <c r="AC254" s="1786"/>
      <c r="AD254" s="1876">
        <v>0</v>
      </c>
      <c r="AE254" s="1787"/>
      <c r="AF254" s="1876">
        <v>0</v>
      </c>
      <c r="AG254" s="1785"/>
      <c r="AH254" s="1787">
        <v>5122831.7700000023</v>
      </c>
      <c r="AI254" s="1786"/>
      <c r="AJ254" s="1876">
        <v>4844085.1500000004</v>
      </c>
    </row>
    <row r="255" spans="1:36">
      <c r="A255" s="1675">
        <v>15</v>
      </c>
      <c r="B255" s="2015"/>
      <c r="C255" s="2009">
        <v>34686</v>
      </c>
      <c r="D255" s="1674" t="s">
        <v>2455</v>
      </c>
      <c r="F255" s="1876">
        <f t="shared" si="59"/>
        <v>30.886060000000025</v>
      </c>
      <c r="G255" s="2001">
        <f t="shared" si="45"/>
        <v>0</v>
      </c>
      <c r="H255" s="1876">
        <f t="shared" si="46"/>
        <v>5.2543199999999999</v>
      </c>
      <c r="I255" s="1785">
        <f t="shared" si="47"/>
        <v>0</v>
      </c>
      <c r="J255" s="1876">
        <f t="shared" si="48"/>
        <v>0</v>
      </c>
      <c r="K255" s="1786">
        <f t="shared" si="49"/>
        <v>0</v>
      </c>
      <c r="L255" s="1876">
        <f t="shared" si="50"/>
        <v>0</v>
      </c>
      <c r="M255" s="1786">
        <f t="shared" si="51"/>
        <v>0</v>
      </c>
      <c r="N255" s="1876">
        <f t="shared" si="52"/>
        <v>0</v>
      </c>
      <c r="O255" s="1787">
        <f t="shared" si="53"/>
        <v>0</v>
      </c>
      <c r="P255" s="1876">
        <f t="shared" si="54"/>
        <v>0</v>
      </c>
      <c r="Q255" s="1785">
        <f t="shared" si="55"/>
        <v>0</v>
      </c>
      <c r="R255" s="1787">
        <f t="shared" si="56"/>
        <v>36.140380000000029</v>
      </c>
      <c r="S255" s="1786">
        <f t="shared" si="57"/>
        <v>0</v>
      </c>
      <c r="T255" s="1876">
        <f t="shared" si="58"/>
        <v>33.513220000000004</v>
      </c>
      <c r="V255" s="1876">
        <v>30886.060000000027</v>
      </c>
      <c r="W255" s="2001"/>
      <c r="X255" s="1876">
        <v>5254.32</v>
      </c>
      <c r="Y255" s="1785"/>
      <c r="Z255" s="1876">
        <v>0</v>
      </c>
      <c r="AA255" s="1786"/>
      <c r="AB255" s="1876">
        <v>0</v>
      </c>
      <c r="AC255" s="1786"/>
      <c r="AD255" s="1876">
        <v>0</v>
      </c>
      <c r="AE255" s="1787"/>
      <c r="AF255" s="1876">
        <v>0</v>
      </c>
      <c r="AG255" s="1785"/>
      <c r="AH255" s="1787">
        <v>36140.380000000026</v>
      </c>
      <c r="AI255" s="1786"/>
      <c r="AJ255" s="1876">
        <v>33513.22</v>
      </c>
    </row>
    <row r="256" spans="1:36">
      <c r="A256" s="1675">
        <v>16</v>
      </c>
      <c r="B256" s="2015"/>
      <c r="C256" s="2009"/>
      <c r="D256" s="2002" t="s">
        <v>8171</v>
      </c>
      <c r="F256" s="1788">
        <f t="shared" si="59"/>
        <v>104408.62205000009</v>
      </c>
      <c r="G256" s="1674">
        <f t="shared" si="45"/>
        <v>0</v>
      </c>
      <c r="H256" s="1788">
        <f t="shared" si="46"/>
        <v>16081.5362</v>
      </c>
      <c r="I256" s="1783">
        <f t="shared" si="47"/>
        <v>0</v>
      </c>
      <c r="J256" s="1788">
        <f t="shared" si="48"/>
        <v>-1709.9655</v>
      </c>
      <c r="K256" s="1783">
        <f t="shared" si="49"/>
        <v>0</v>
      </c>
      <c r="L256" s="1788">
        <f t="shared" si="50"/>
        <v>-2578.7041400000003</v>
      </c>
      <c r="M256" s="1783">
        <f t="shared" si="51"/>
        <v>0</v>
      </c>
      <c r="N256" s="1788">
        <f t="shared" si="52"/>
        <v>0</v>
      </c>
      <c r="O256" s="1814">
        <f t="shared" si="53"/>
        <v>0</v>
      </c>
      <c r="P256" s="1788">
        <f t="shared" si="54"/>
        <v>0</v>
      </c>
      <c r="Q256" s="1783">
        <f t="shared" si="55"/>
        <v>0</v>
      </c>
      <c r="R256" s="1788">
        <f t="shared" si="56"/>
        <v>116201.48861000009</v>
      </c>
      <c r="S256" s="1783">
        <f t="shared" si="57"/>
        <v>0</v>
      </c>
      <c r="T256" s="1788">
        <f t="shared" si="58"/>
        <v>110814.76547000001</v>
      </c>
      <c r="V256" s="1788">
        <v>104408622.05000009</v>
      </c>
      <c r="X256" s="1788">
        <v>16081536.200000001</v>
      </c>
      <c r="Y256" s="1783"/>
      <c r="Z256" s="1788">
        <v>-1709965.5</v>
      </c>
      <c r="AA256" s="1783"/>
      <c r="AB256" s="1788">
        <v>-2578704.14</v>
      </c>
      <c r="AC256" s="1783"/>
      <c r="AD256" s="1788">
        <v>0</v>
      </c>
      <c r="AE256" s="1814"/>
      <c r="AF256" s="1788">
        <v>0</v>
      </c>
      <c r="AG256" s="1783"/>
      <c r="AH256" s="1788">
        <v>116201488.61000009</v>
      </c>
      <c r="AI256" s="1783"/>
      <c r="AJ256" s="1788">
        <v>110814765.47000001</v>
      </c>
    </row>
    <row r="257" spans="1:36">
      <c r="A257" s="1675">
        <v>17</v>
      </c>
      <c r="B257" s="2015"/>
      <c r="F257" s="1674">
        <f t="shared" si="59"/>
        <v>0</v>
      </c>
      <c r="G257" s="1674">
        <f t="shared" si="45"/>
        <v>0</v>
      </c>
      <c r="H257" s="1674">
        <f t="shared" si="46"/>
        <v>0</v>
      </c>
      <c r="I257" s="1674">
        <f t="shared" si="47"/>
        <v>0</v>
      </c>
      <c r="J257" s="1674">
        <f t="shared" si="48"/>
        <v>0</v>
      </c>
      <c r="K257" s="1674">
        <f t="shared" si="49"/>
        <v>0</v>
      </c>
      <c r="L257" s="1674">
        <f t="shared" si="50"/>
        <v>0</v>
      </c>
      <c r="M257" s="1674">
        <f t="shared" si="51"/>
        <v>0</v>
      </c>
      <c r="N257" s="1674">
        <f t="shared" si="52"/>
        <v>0</v>
      </c>
      <c r="O257" s="1674">
        <f t="shared" si="53"/>
        <v>0</v>
      </c>
      <c r="P257" s="1674">
        <f t="shared" si="54"/>
        <v>0</v>
      </c>
      <c r="Q257" s="2001">
        <f t="shared" si="55"/>
        <v>0</v>
      </c>
      <c r="R257" s="1674">
        <f t="shared" si="56"/>
        <v>0</v>
      </c>
      <c r="S257" s="1674">
        <f t="shared" si="57"/>
        <v>0</v>
      </c>
      <c r="T257" s="1674">
        <f t="shared" si="58"/>
        <v>0</v>
      </c>
      <c r="AG257" s="2001"/>
    </row>
    <row r="258" spans="1:36">
      <c r="A258" s="1675">
        <v>18</v>
      </c>
      <c r="B258" s="2015"/>
      <c r="C258" s="2009">
        <v>34287</v>
      </c>
      <c r="D258" s="2002" t="s">
        <v>2509</v>
      </c>
      <c r="F258" s="1876">
        <f t="shared" si="59"/>
        <v>0</v>
      </c>
      <c r="G258" s="2001">
        <f t="shared" si="45"/>
        <v>0</v>
      </c>
      <c r="H258" s="1876">
        <f t="shared" si="46"/>
        <v>0</v>
      </c>
      <c r="I258" s="1785">
        <f t="shared" si="47"/>
        <v>0</v>
      </c>
      <c r="J258" s="1876">
        <f t="shared" si="48"/>
        <v>0</v>
      </c>
      <c r="K258" s="1786">
        <f t="shared" si="49"/>
        <v>0</v>
      </c>
      <c r="L258" s="1876">
        <f t="shared" si="50"/>
        <v>0</v>
      </c>
      <c r="M258" s="1786">
        <f t="shared" si="51"/>
        <v>0</v>
      </c>
      <c r="N258" s="1876">
        <f t="shared" si="52"/>
        <v>0</v>
      </c>
      <c r="O258" s="1787">
        <f t="shared" si="53"/>
        <v>0</v>
      </c>
      <c r="P258" s="1876">
        <f t="shared" si="54"/>
        <v>0</v>
      </c>
      <c r="Q258" s="1785">
        <f t="shared" si="55"/>
        <v>0</v>
      </c>
      <c r="R258" s="1787">
        <f t="shared" si="56"/>
        <v>0</v>
      </c>
      <c r="S258" s="1786">
        <f t="shared" si="57"/>
        <v>0</v>
      </c>
      <c r="T258" s="1876">
        <f t="shared" si="58"/>
        <v>0</v>
      </c>
      <c r="V258" s="1876">
        <v>0</v>
      </c>
      <c r="W258" s="2001"/>
      <c r="X258" s="1876">
        <v>0</v>
      </c>
      <c r="Y258" s="1785"/>
      <c r="Z258" s="1876">
        <v>0</v>
      </c>
      <c r="AA258" s="1786"/>
      <c r="AB258" s="1876">
        <v>0</v>
      </c>
      <c r="AC258" s="1786"/>
      <c r="AD258" s="1876">
        <v>0</v>
      </c>
      <c r="AE258" s="1787"/>
      <c r="AF258" s="1876">
        <v>0</v>
      </c>
      <c r="AG258" s="1785"/>
      <c r="AH258" s="1787">
        <v>0</v>
      </c>
      <c r="AI258" s="1786"/>
      <c r="AJ258" s="1876">
        <v>0</v>
      </c>
    </row>
    <row r="259" spans="1:36">
      <c r="A259" s="1675">
        <v>19</v>
      </c>
      <c r="B259" s="2015"/>
      <c r="C259" s="2009">
        <v>34687</v>
      </c>
      <c r="D259" s="1674" t="s">
        <v>8172</v>
      </c>
      <c r="F259" s="1876">
        <f t="shared" si="59"/>
        <v>1086.8924700000002</v>
      </c>
      <c r="G259" s="2001">
        <f t="shared" si="45"/>
        <v>0</v>
      </c>
      <c r="H259" s="1876">
        <f t="shared" si="46"/>
        <v>302.01024000000001</v>
      </c>
      <c r="I259" s="1785">
        <f t="shared" si="47"/>
        <v>0</v>
      </c>
      <c r="J259" s="1876">
        <f t="shared" si="48"/>
        <v>0</v>
      </c>
      <c r="K259" s="1786">
        <f t="shared" si="49"/>
        <v>0</v>
      </c>
      <c r="L259" s="1876">
        <f t="shared" si="50"/>
        <v>0</v>
      </c>
      <c r="M259" s="1786">
        <f t="shared" si="51"/>
        <v>0</v>
      </c>
      <c r="N259" s="1876">
        <f t="shared" si="52"/>
        <v>0</v>
      </c>
      <c r="O259" s="1787">
        <f t="shared" si="53"/>
        <v>0</v>
      </c>
      <c r="P259" s="1876">
        <f t="shared" si="54"/>
        <v>0</v>
      </c>
      <c r="Q259" s="1785">
        <f t="shared" si="55"/>
        <v>0</v>
      </c>
      <c r="R259" s="1787">
        <f t="shared" si="56"/>
        <v>1388.9027100000003</v>
      </c>
      <c r="S259" s="1786">
        <f t="shared" si="57"/>
        <v>0</v>
      </c>
      <c r="T259" s="1876">
        <f t="shared" si="58"/>
        <v>1237.89759</v>
      </c>
      <c r="V259" s="1876">
        <v>1086892.4700000002</v>
      </c>
      <c r="W259" s="2001"/>
      <c r="X259" s="1876">
        <v>302010.23999999999</v>
      </c>
      <c r="Y259" s="1785"/>
      <c r="Z259" s="1876">
        <v>0</v>
      </c>
      <c r="AA259" s="1786"/>
      <c r="AB259" s="1876">
        <v>0</v>
      </c>
      <c r="AC259" s="1786"/>
      <c r="AD259" s="1876">
        <v>0</v>
      </c>
      <c r="AE259" s="1787"/>
      <c r="AF259" s="1876">
        <v>0</v>
      </c>
      <c r="AG259" s="1785"/>
      <c r="AH259" s="1787">
        <v>1388902.7100000002</v>
      </c>
      <c r="AI259" s="1786"/>
      <c r="AJ259" s="1876">
        <v>1237897.5900000001</v>
      </c>
    </row>
    <row r="260" spans="1:36">
      <c r="A260" s="1675">
        <v>20</v>
      </c>
      <c r="B260" s="2015"/>
      <c r="C260" s="1675"/>
      <c r="F260" s="1788">
        <f t="shared" si="59"/>
        <v>0</v>
      </c>
      <c r="G260" s="1674">
        <f t="shared" si="45"/>
        <v>0</v>
      </c>
      <c r="H260" s="1788">
        <f t="shared" si="46"/>
        <v>0</v>
      </c>
      <c r="I260" s="1790">
        <f t="shared" si="47"/>
        <v>0</v>
      </c>
      <c r="J260" s="1788">
        <f t="shared" si="48"/>
        <v>0</v>
      </c>
      <c r="K260" s="1790">
        <f t="shared" si="49"/>
        <v>0</v>
      </c>
      <c r="L260" s="1788">
        <f t="shared" si="50"/>
        <v>0</v>
      </c>
      <c r="M260" s="1790">
        <f t="shared" si="51"/>
        <v>0</v>
      </c>
      <c r="N260" s="1788">
        <f t="shared" si="52"/>
        <v>0</v>
      </c>
      <c r="O260" s="1814">
        <f t="shared" si="53"/>
        <v>0</v>
      </c>
      <c r="P260" s="1788">
        <f t="shared" si="54"/>
        <v>0</v>
      </c>
      <c r="Q260" s="1790">
        <f t="shared" si="55"/>
        <v>0</v>
      </c>
      <c r="R260" s="1788">
        <f t="shared" si="56"/>
        <v>0</v>
      </c>
      <c r="S260" s="1790">
        <f t="shared" si="57"/>
        <v>0</v>
      </c>
      <c r="T260" s="1788">
        <f t="shared" si="58"/>
        <v>0</v>
      </c>
      <c r="V260" s="1788"/>
      <c r="X260" s="1788"/>
      <c r="Y260" s="1790"/>
      <c r="Z260" s="1788"/>
      <c r="AA260" s="1790"/>
      <c r="AB260" s="1788"/>
      <c r="AC260" s="1790"/>
      <c r="AD260" s="1788"/>
      <c r="AE260" s="1814"/>
      <c r="AF260" s="1788"/>
      <c r="AG260" s="1790"/>
      <c r="AH260" s="1788"/>
      <c r="AI260" s="1790"/>
      <c r="AJ260" s="1788"/>
    </row>
    <row r="261" spans="1:36" ht="15" thickBot="1">
      <c r="A261" s="1675">
        <v>21</v>
      </c>
      <c r="B261" s="2015"/>
      <c r="C261" s="1675"/>
      <c r="D261" s="1674" t="s">
        <v>2510</v>
      </c>
      <c r="F261" s="1870">
        <f t="shared" si="59"/>
        <v>593990.44287999999</v>
      </c>
      <c r="G261" s="1674">
        <f t="shared" si="45"/>
        <v>0</v>
      </c>
      <c r="H261" s="1870">
        <f t="shared" si="46"/>
        <v>52560.155310000002</v>
      </c>
      <c r="I261" s="1790">
        <f t="shared" si="47"/>
        <v>0</v>
      </c>
      <c r="J261" s="1870">
        <f t="shared" si="48"/>
        <v>-9042.6373999999996</v>
      </c>
      <c r="K261" s="1790">
        <f t="shared" si="49"/>
        <v>0</v>
      </c>
      <c r="L261" s="1870">
        <f t="shared" si="50"/>
        <v>-3356.3040799999999</v>
      </c>
      <c r="M261" s="1790">
        <f t="shared" si="51"/>
        <v>0</v>
      </c>
      <c r="N261" s="1870">
        <f t="shared" si="52"/>
        <v>0</v>
      </c>
      <c r="O261" s="1813">
        <f t="shared" si="53"/>
        <v>0</v>
      </c>
      <c r="P261" s="1870">
        <f t="shared" si="54"/>
        <v>0</v>
      </c>
      <c r="Q261" s="1790">
        <f t="shared" si="55"/>
        <v>0</v>
      </c>
      <c r="R261" s="1870">
        <f t="shared" si="56"/>
        <v>634151.65671000001</v>
      </c>
      <c r="S261" s="1790">
        <f t="shared" si="57"/>
        <v>0</v>
      </c>
      <c r="T261" s="1870">
        <f t="shared" si="58"/>
        <v>616836.0878000001</v>
      </c>
      <c r="V261" s="1870">
        <v>593990442.88</v>
      </c>
      <c r="X261" s="1870">
        <v>52560155.310000002</v>
      </c>
      <c r="Y261" s="1790"/>
      <c r="Z261" s="1870">
        <v>-9042637.4000000004</v>
      </c>
      <c r="AA261" s="1790"/>
      <c r="AB261" s="1870">
        <v>-3356304.08</v>
      </c>
      <c r="AC261" s="1790"/>
      <c r="AD261" s="1870">
        <v>0</v>
      </c>
      <c r="AE261" s="1813"/>
      <c r="AF261" s="1870">
        <v>0</v>
      </c>
      <c r="AG261" s="1790"/>
      <c r="AH261" s="1870">
        <v>634151656.71000004</v>
      </c>
      <c r="AI261" s="1790"/>
      <c r="AJ261" s="1870">
        <v>616836087.80000007</v>
      </c>
    </row>
    <row r="262" spans="1:36" ht="15" thickTop="1">
      <c r="A262" s="1675">
        <v>22</v>
      </c>
      <c r="B262" s="2015"/>
      <c r="F262" s="1674">
        <f t="shared" si="59"/>
        <v>0</v>
      </c>
      <c r="G262" s="1674">
        <f t="shared" si="45"/>
        <v>0</v>
      </c>
      <c r="H262" s="1674">
        <f t="shared" si="46"/>
        <v>0</v>
      </c>
      <c r="I262" s="1674">
        <f t="shared" si="47"/>
        <v>0</v>
      </c>
      <c r="J262" s="1674">
        <f t="shared" si="48"/>
        <v>0</v>
      </c>
      <c r="K262" s="1674">
        <f t="shared" si="49"/>
        <v>0</v>
      </c>
      <c r="L262" s="1674">
        <f t="shared" si="50"/>
        <v>0</v>
      </c>
      <c r="M262" s="1674">
        <f t="shared" si="51"/>
        <v>0</v>
      </c>
      <c r="N262" s="1674">
        <f t="shared" si="52"/>
        <v>0</v>
      </c>
      <c r="O262" s="1674">
        <f t="shared" si="53"/>
        <v>0</v>
      </c>
      <c r="P262" s="1674">
        <f t="shared" si="54"/>
        <v>0</v>
      </c>
      <c r="Q262" s="2001">
        <f t="shared" si="55"/>
        <v>0</v>
      </c>
      <c r="R262" s="1674">
        <f t="shared" si="56"/>
        <v>0</v>
      </c>
      <c r="S262" s="1674">
        <f t="shared" si="57"/>
        <v>0</v>
      </c>
      <c r="T262" s="1674">
        <f t="shared" si="58"/>
        <v>0</v>
      </c>
      <c r="AG262" s="2001"/>
    </row>
    <row r="263" spans="1:36">
      <c r="A263" s="1675">
        <v>23</v>
      </c>
      <c r="B263" s="2015"/>
      <c r="F263" s="1674">
        <f t="shared" si="59"/>
        <v>0</v>
      </c>
      <c r="G263" s="1674">
        <f t="shared" si="45"/>
        <v>0</v>
      </c>
      <c r="H263" s="1674">
        <f t="shared" si="46"/>
        <v>0</v>
      </c>
      <c r="I263" s="1674">
        <f t="shared" si="47"/>
        <v>0</v>
      </c>
      <c r="J263" s="1674">
        <f t="shared" si="48"/>
        <v>0</v>
      </c>
      <c r="K263" s="1674">
        <f t="shared" si="49"/>
        <v>0</v>
      </c>
      <c r="L263" s="1674">
        <f t="shared" si="50"/>
        <v>0</v>
      </c>
      <c r="M263" s="1674">
        <f t="shared" si="51"/>
        <v>0</v>
      </c>
      <c r="N263" s="1674">
        <f t="shared" si="52"/>
        <v>0</v>
      </c>
      <c r="O263" s="1674">
        <f t="shared" si="53"/>
        <v>0</v>
      </c>
      <c r="P263" s="1674">
        <f t="shared" si="54"/>
        <v>0</v>
      </c>
      <c r="Q263" s="2001">
        <f t="shared" si="55"/>
        <v>0</v>
      </c>
      <c r="R263" s="1674">
        <f t="shared" si="56"/>
        <v>0</v>
      </c>
      <c r="S263" s="1674">
        <f t="shared" si="57"/>
        <v>0</v>
      </c>
      <c r="T263" s="1674">
        <f t="shared" si="58"/>
        <v>0</v>
      </c>
      <c r="AG263" s="2001"/>
    </row>
    <row r="264" spans="1:36">
      <c r="A264" s="1675">
        <v>24</v>
      </c>
      <c r="B264" s="2015"/>
      <c r="F264" s="1674">
        <f t="shared" si="59"/>
        <v>0</v>
      </c>
      <c r="G264" s="1674">
        <f t="shared" si="45"/>
        <v>0</v>
      </c>
      <c r="H264" s="1674">
        <f t="shared" si="46"/>
        <v>0</v>
      </c>
      <c r="I264" s="1674">
        <f t="shared" si="47"/>
        <v>0</v>
      </c>
      <c r="J264" s="1674">
        <f t="shared" si="48"/>
        <v>0</v>
      </c>
      <c r="K264" s="1674">
        <f t="shared" si="49"/>
        <v>0</v>
      </c>
      <c r="L264" s="1674">
        <f t="shared" si="50"/>
        <v>0</v>
      </c>
      <c r="M264" s="1674">
        <f t="shared" si="51"/>
        <v>0</v>
      </c>
      <c r="N264" s="1674">
        <f t="shared" si="52"/>
        <v>0</v>
      </c>
      <c r="O264" s="1674">
        <f t="shared" si="53"/>
        <v>0</v>
      </c>
      <c r="P264" s="1674">
        <f t="shared" si="54"/>
        <v>0</v>
      </c>
      <c r="Q264" s="2001">
        <f t="shared" si="55"/>
        <v>0</v>
      </c>
      <c r="R264" s="1674">
        <f t="shared" si="56"/>
        <v>0</v>
      </c>
      <c r="S264" s="1674">
        <f t="shared" si="57"/>
        <v>0</v>
      </c>
      <c r="T264" s="1674">
        <f t="shared" si="58"/>
        <v>0</v>
      </c>
      <c r="AG264" s="2001"/>
    </row>
    <row r="265" spans="1:36">
      <c r="A265" s="1675">
        <v>25</v>
      </c>
      <c r="B265" s="2015"/>
      <c r="D265" s="1674" t="s">
        <v>2511</v>
      </c>
      <c r="F265" s="1674">
        <f t="shared" si="59"/>
        <v>0</v>
      </c>
      <c r="G265" s="1674">
        <f t="shared" si="45"/>
        <v>0</v>
      </c>
      <c r="H265" s="1674">
        <f t="shared" si="46"/>
        <v>0</v>
      </c>
      <c r="I265" s="1674">
        <f t="shared" si="47"/>
        <v>0</v>
      </c>
      <c r="J265" s="1674">
        <f t="shared" si="48"/>
        <v>0</v>
      </c>
      <c r="K265" s="1674">
        <f t="shared" si="49"/>
        <v>0</v>
      </c>
      <c r="L265" s="1674">
        <f t="shared" si="50"/>
        <v>0</v>
      </c>
      <c r="M265" s="1674">
        <f t="shared" si="51"/>
        <v>0</v>
      </c>
      <c r="N265" s="1674">
        <f t="shared" si="52"/>
        <v>0</v>
      </c>
      <c r="O265" s="1674">
        <f t="shared" si="53"/>
        <v>0</v>
      </c>
      <c r="P265" s="1674">
        <f t="shared" si="54"/>
        <v>0</v>
      </c>
      <c r="Q265" s="2001">
        <f t="shared" si="55"/>
        <v>0</v>
      </c>
      <c r="R265" s="1674">
        <f t="shared" si="56"/>
        <v>0</v>
      </c>
      <c r="S265" s="1674">
        <f t="shared" si="57"/>
        <v>0</v>
      </c>
      <c r="T265" s="1674">
        <f t="shared" si="58"/>
        <v>0</v>
      </c>
      <c r="AG265" s="2001"/>
    </row>
    <row r="266" spans="1:36">
      <c r="A266" s="1675">
        <v>26</v>
      </c>
      <c r="B266" s="2022"/>
      <c r="D266" s="2002" t="s">
        <v>2512</v>
      </c>
      <c r="F266" s="2023">
        <f t="shared" si="59"/>
        <v>0</v>
      </c>
      <c r="G266" s="1674">
        <f t="shared" si="45"/>
        <v>0</v>
      </c>
      <c r="H266" s="2031">
        <f t="shared" si="46"/>
        <v>0</v>
      </c>
      <c r="I266" s="1790">
        <f t="shared" si="47"/>
        <v>0</v>
      </c>
      <c r="J266" s="2031">
        <f t="shared" si="48"/>
        <v>0</v>
      </c>
      <c r="K266" s="1790">
        <f t="shared" si="49"/>
        <v>0</v>
      </c>
      <c r="L266" s="2031">
        <f t="shared" si="50"/>
        <v>0</v>
      </c>
      <c r="M266" s="1790">
        <f t="shared" si="51"/>
        <v>0</v>
      </c>
      <c r="N266" s="2031">
        <f t="shared" si="52"/>
        <v>0</v>
      </c>
      <c r="O266" s="2031">
        <f t="shared" si="53"/>
        <v>0</v>
      </c>
      <c r="P266" s="2031">
        <f t="shared" si="54"/>
        <v>0</v>
      </c>
      <c r="Q266" s="1790">
        <f t="shared" si="55"/>
        <v>0</v>
      </c>
      <c r="R266" s="2031">
        <f t="shared" si="56"/>
        <v>0</v>
      </c>
      <c r="S266" s="1790">
        <f t="shared" si="57"/>
        <v>0</v>
      </c>
      <c r="T266" s="2031">
        <f t="shared" si="58"/>
        <v>0</v>
      </c>
      <c r="V266" s="2023"/>
      <c r="X266" s="2031"/>
      <c r="Y266" s="1790"/>
      <c r="Z266" s="2031"/>
      <c r="AA266" s="1790"/>
      <c r="AB266" s="2031"/>
      <c r="AC266" s="1790"/>
      <c r="AD266" s="2031"/>
      <c r="AE266" s="2031"/>
      <c r="AF266" s="2031"/>
      <c r="AG266" s="1790"/>
      <c r="AH266" s="2031"/>
      <c r="AI266" s="1790"/>
      <c r="AJ266" s="2031"/>
    </row>
    <row r="267" spans="1:36">
      <c r="A267" s="1675">
        <v>27</v>
      </c>
      <c r="B267" s="2022"/>
      <c r="C267" s="1675">
        <v>34130</v>
      </c>
      <c r="D267" s="1674" t="s">
        <v>2449</v>
      </c>
      <c r="F267" s="1876">
        <f t="shared" si="59"/>
        <v>27560.672960000007</v>
      </c>
      <c r="G267" s="2001">
        <f t="shared" si="45"/>
        <v>0</v>
      </c>
      <c r="H267" s="1876">
        <f t="shared" si="46"/>
        <v>4152.58824</v>
      </c>
      <c r="I267" s="1785">
        <f t="shared" si="47"/>
        <v>0</v>
      </c>
      <c r="J267" s="1876">
        <f t="shared" si="48"/>
        <v>0</v>
      </c>
      <c r="K267" s="1786">
        <f t="shared" si="49"/>
        <v>0</v>
      </c>
      <c r="L267" s="1876">
        <f t="shared" si="50"/>
        <v>0</v>
      </c>
      <c r="M267" s="1786">
        <f t="shared" si="51"/>
        <v>0</v>
      </c>
      <c r="N267" s="1876">
        <f t="shared" si="52"/>
        <v>0</v>
      </c>
      <c r="O267" s="1787">
        <f t="shared" si="53"/>
        <v>0</v>
      </c>
      <c r="P267" s="1876">
        <f t="shared" si="54"/>
        <v>0</v>
      </c>
      <c r="Q267" s="1785">
        <f t="shared" si="55"/>
        <v>0</v>
      </c>
      <c r="R267" s="1787">
        <f t="shared" si="56"/>
        <v>31713.261200000012</v>
      </c>
      <c r="S267" s="1786">
        <f t="shared" si="57"/>
        <v>0</v>
      </c>
      <c r="T267" s="1876">
        <f t="shared" si="58"/>
        <v>29636.967079999999</v>
      </c>
      <c r="V267" s="1876">
        <v>27560672.960000008</v>
      </c>
      <c r="W267" s="2001"/>
      <c r="X267" s="1876">
        <v>4152588.24</v>
      </c>
      <c r="Y267" s="1785"/>
      <c r="Z267" s="1876">
        <v>0</v>
      </c>
      <c r="AA267" s="1786"/>
      <c r="AB267" s="1876">
        <v>0</v>
      </c>
      <c r="AC267" s="1786"/>
      <c r="AD267" s="1876">
        <v>0</v>
      </c>
      <c r="AE267" s="1787"/>
      <c r="AF267" s="1876">
        <v>0</v>
      </c>
      <c r="AG267" s="1785"/>
      <c r="AH267" s="1787">
        <v>31713261.20000001</v>
      </c>
      <c r="AI267" s="1786"/>
      <c r="AJ267" s="1876">
        <v>29636967.079999998</v>
      </c>
    </row>
    <row r="268" spans="1:36">
      <c r="A268" s="1675">
        <v>28</v>
      </c>
      <c r="B268" s="2022"/>
      <c r="C268" s="1675">
        <v>34230</v>
      </c>
      <c r="D268" s="1674" t="s">
        <v>2495</v>
      </c>
      <c r="F268" s="1876">
        <f t="shared" si="59"/>
        <v>4083.9407399999959</v>
      </c>
      <c r="G268" s="2001">
        <f t="shared" si="45"/>
        <v>0</v>
      </c>
      <c r="H268" s="1876">
        <f t="shared" si="46"/>
        <v>1915.8408899999999</v>
      </c>
      <c r="I268" s="1785">
        <f t="shared" si="47"/>
        <v>0</v>
      </c>
      <c r="J268" s="1876">
        <f t="shared" si="48"/>
        <v>-1794.4860800000001</v>
      </c>
      <c r="K268" s="1786">
        <f t="shared" si="49"/>
        <v>0</v>
      </c>
      <c r="L268" s="1876">
        <f t="shared" si="50"/>
        <v>-50</v>
      </c>
      <c r="M268" s="1786">
        <f t="shared" si="51"/>
        <v>0</v>
      </c>
      <c r="N268" s="1876">
        <f t="shared" si="52"/>
        <v>0</v>
      </c>
      <c r="O268" s="1787">
        <f t="shared" si="53"/>
        <v>0</v>
      </c>
      <c r="P268" s="1876">
        <f t="shared" si="54"/>
        <v>0</v>
      </c>
      <c r="Q268" s="1785">
        <f t="shared" si="55"/>
        <v>0</v>
      </c>
      <c r="R268" s="1787">
        <f t="shared" si="56"/>
        <v>4155.2955499999962</v>
      </c>
      <c r="S268" s="1786">
        <f t="shared" si="57"/>
        <v>0</v>
      </c>
      <c r="T268" s="1876">
        <f t="shared" si="58"/>
        <v>4014.2391699999998</v>
      </c>
      <c r="V268" s="1876">
        <v>4083940.739999996</v>
      </c>
      <c r="W268" s="2001"/>
      <c r="X268" s="1876">
        <v>1915840.89</v>
      </c>
      <c r="Y268" s="1785"/>
      <c r="Z268" s="1876">
        <v>-1794486.08</v>
      </c>
      <c r="AA268" s="1786"/>
      <c r="AB268" s="1876">
        <v>-50000</v>
      </c>
      <c r="AC268" s="1786"/>
      <c r="AD268" s="1876">
        <v>0</v>
      </c>
      <c r="AE268" s="1787"/>
      <c r="AF268" s="1876">
        <v>0</v>
      </c>
      <c r="AG268" s="1785"/>
      <c r="AH268" s="1787">
        <v>4155295.5499999961</v>
      </c>
      <c r="AI268" s="1786"/>
      <c r="AJ268" s="1876">
        <v>4014239.17</v>
      </c>
    </row>
    <row r="269" spans="1:36">
      <c r="A269" s="1675">
        <v>29</v>
      </c>
      <c r="B269" s="2015"/>
      <c r="C269" s="1675">
        <v>34330</v>
      </c>
      <c r="D269" s="1674" t="s">
        <v>2496</v>
      </c>
      <c r="F269" s="1876">
        <f t="shared" si="59"/>
        <v>14254.042050000013</v>
      </c>
      <c r="G269" s="2001">
        <f t="shared" si="45"/>
        <v>0</v>
      </c>
      <c r="H269" s="1876">
        <f t="shared" si="46"/>
        <v>3281.27666</v>
      </c>
      <c r="I269" s="1785">
        <f t="shared" si="47"/>
        <v>0</v>
      </c>
      <c r="J269" s="1876">
        <f t="shared" si="48"/>
        <v>-1794.4860800000001</v>
      </c>
      <c r="K269" s="1786">
        <f t="shared" si="49"/>
        <v>0</v>
      </c>
      <c r="L269" s="1876">
        <f t="shared" si="50"/>
        <v>-50</v>
      </c>
      <c r="M269" s="1786">
        <f t="shared" si="51"/>
        <v>0</v>
      </c>
      <c r="N269" s="1876">
        <f t="shared" si="52"/>
        <v>0</v>
      </c>
      <c r="O269" s="1787">
        <f t="shared" si="53"/>
        <v>0</v>
      </c>
      <c r="P269" s="1876">
        <f t="shared" si="54"/>
        <v>0</v>
      </c>
      <c r="Q269" s="1785">
        <f t="shared" si="55"/>
        <v>0</v>
      </c>
      <c r="R269" s="1787">
        <f t="shared" si="56"/>
        <v>15690.832630000012</v>
      </c>
      <c r="S269" s="1786">
        <f t="shared" si="57"/>
        <v>0</v>
      </c>
      <c r="T269" s="1876">
        <f t="shared" si="58"/>
        <v>14861.22258</v>
      </c>
      <c r="V269" s="1876">
        <v>14254042.050000012</v>
      </c>
      <c r="W269" s="2001"/>
      <c r="X269" s="1876">
        <v>3281276.66</v>
      </c>
      <c r="Y269" s="1785"/>
      <c r="Z269" s="1876">
        <v>-1794486.08</v>
      </c>
      <c r="AA269" s="1786"/>
      <c r="AB269" s="1876">
        <v>-50000</v>
      </c>
      <c r="AC269" s="1786"/>
      <c r="AD269" s="1876">
        <v>0</v>
      </c>
      <c r="AE269" s="1787"/>
      <c r="AF269" s="1876">
        <v>0</v>
      </c>
      <c r="AG269" s="1785"/>
      <c r="AH269" s="1787">
        <v>15690832.630000012</v>
      </c>
      <c r="AI269" s="1786"/>
      <c r="AJ269" s="1876">
        <v>14861222.58</v>
      </c>
    </row>
    <row r="270" spans="1:36">
      <c r="A270" s="1675">
        <v>30</v>
      </c>
      <c r="B270" s="2015"/>
      <c r="C270" s="1675">
        <v>34530</v>
      </c>
      <c r="D270" s="1674" t="s">
        <v>2454</v>
      </c>
      <c r="F270" s="1876">
        <f t="shared" si="59"/>
        <v>14137.386859999997</v>
      </c>
      <c r="G270" s="2001">
        <f t="shared" si="45"/>
        <v>0</v>
      </c>
      <c r="H270" s="1876">
        <f t="shared" si="46"/>
        <v>808.32719999999995</v>
      </c>
      <c r="I270" s="1785">
        <f t="shared" si="47"/>
        <v>0</v>
      </c>
      <c r="J270" s="1876">
        <f t="shared" si="48"/>
        <v>0</v>
      </c>
      <c r="K270" s="1786">
        <f t="shared" si="49"/>
        <v>0</v>
      </c>
      <c r="L270" s="1876">
        <f t="shared" si="50"/>
        <v>0</v>
      </c>
      <c r="M270" s="1786">
        <f t="shared" si="51"/>
        <v>0</v>
      </c>
      <c r="N270" s="1876">
        <f t="shared" si="52"/>
        <v>0</v>
      </c>
      <c r="O270" s="1787">
        <f t="shared" si="53"/>
        <v>0</v>
      </c>
      <c r="P270" s="1876">
        <f t="shared" si="54"/>
        <v>0</v>
      </c>
      <c r="Q270" s="1785">
        <f t="shared" si="55"/>
        <v>0</v>
      </c>
      <c r="R270" s="1787">
        <f t="shared" si="56"/>
        <v>14945.714059999997</v>
      </c>
      <c r="S270" s="1786">
        <f t="shared" si="57"/>
        <v>0</v>
      </c>
      <c r="T270" s="1876">
        <f t="shared" si="58"/>
        <v>14541.55046</v>
      </c>
      <c r="V270" s="1876">
        <v>14137386.859999998</v>
      </c>
      <c r="W270" s="2001"/>
      <c r="X270" s="1876">
        <v>808327.2</v>
      </c>
      <c r="Y270" s="1785"/>
      <c r="Z270" s="1876">
        <v>0</v>
      </c>
      <c r="AA270" s="1786"/>
      <c r="AB270" s="1876">
        <v>0</v>
      </c>
      <c r="AC270" s="1786"/>
      <c r="AD270" s="1876">
        <v>0</v>
      </c>
      <c r="AE270" s="1787"/>
      <c r="AF270" s="1876">
        <v>0</v>
      </c>
      <c r="AG270" s="1785"/>
      <c r="AH270" s="1787">
        <v>14945714.059999997</v>
      </c>
      <c r="AI270" s="1786"/>
      <c r="AJ270" s="1876">
        <v>14541550.460000001</v>
      </c>
    </row>
    <row r="271" spans="1:36">
      <c r="A271" s="1675">
        <v>31</v>
      </c>
      <c r="B271" s="2015"/>
      <c r="C271" s="1675">
        <v>34630</v>
      </c>
      <c r="D271" s="1674" t="s">
        <v>2455</v>
      </c>
      <c r="F271" s="1876">
        <f t="shared" si="59"/>
        <v>5402.3667299999997</v>
      </c>
      <c r="G271" s="2001">
        <f t="shared" si="45"/>
        <v>0</v>
      </c>
      <c r="H271" s="1876">
        <f t="shared" si="46"/>
        <v>374.63196000000005</v>
      </c>
      <c r="I271" s="1785">
        <f t="shared" si="47"/>
        <v>0</v>
      </c>
      <c r="J271" s="1876">
        <f t="shared" si="48"/>
        <v>0</v>
      </c>
      <c r="K271" s="1786">
        <f t="shared" si="49"/>
        <v>0</v>
      </c>
      <c r="L271" s="1876">
        <f t="shared" si="50"/>
        <v>0</v>
      </c>
      <c r="M271" s="1786">
        <f t="shared" si="51"/>
        <v>0</v>
      </c>
      <c r="N271" s="1876">
        <f t="shared" si="52"/>
        <v>0</v>
      </c>
      <c r="O271" s="1787">
        <f t="shared" si="53"/>
        <v>0</v>
      </c>
      <c r="P271" s="1876">
        <f t="shared" si="54"/>
        <v>0</v>
      </c>
      <c r="Q271" s="1785">
        <f t="shared" si="55"/>
        <v>0</v>
      </c>
      <c r="R271" s="1787">
        <f t="shared" si="56"/>
        <v>5776.9986899999994</v>
      </c>
      <c r="S271" s="1786">
        <f t="shared" si="57"/>
        <v>0</v>
      </c>
      <c r="T271" s="1876">
        <f t="shared" si="58"/>
        <v>5589.68271</v>
      </c>
      <c r="V271" s="1876">
        <v>5402366.7299999995</v>
      </c>
      <c r="W271" s="2001"/>
      <c r="X271" s="1876">
        <v>374631.96</v>
      </c>
      <c r="Y271" s="1785"/>
      <c r="Z271" s="1876">
        <v>0</v>
      </c>
      <c r="AA271" s="1786"/>
      <c r="AB271" s="1876">
        <v>0</v>
      </c>
      <c r="AC271" s="1786"/>
      <c r="AD271" s="1876">
        <v>0</v>
      </c>
      <c r="AE271" s="1787"/>
      <c r="AF271" s="1876">
        <v>0</v>
      </c>
      <c r="AG271" s="1785"/>
      <c r="AH271" s="1787">
        <v>5776998.6899999995</v>
      </c>
      <c r="AI271" s="1786"/>
      <c r="AJ271" s="1876">
        <v>5589682.71</v>
      </c>
    </row>
    <row r="272" spans="1:36">
      <c r="A272" s="1675">
        <v>32</v>
      </c>
      <c r="B272" s="2015"/>
      <c r="C272" s="1675"/>
      <c r="D272" s="2002" t="s">
        <v>2513</v>
      </c>
      <c r="F272" s="1788">
        <f t="shared" si="59"/>
        <v>65438.409340000013</v>
      </c>
      <c r="G272" s="1674">
        <f t="shared" si="45"/>
        <v>0</v>
      </c>
      <c r="H272" s="1788">
        <f t="shared" si="46"/>
        <v>10532.664949999998</v>
      </c>
      <c r="I272" s="1783">
        <f t="shared" si="47"/>
        <v>0</v>
      </c>
      <c r="J272" s="1788">
        <f t="shared" si="48"/>
        <v>-3588.9721600000003</v>
      </c>
      <c r="K272" s="1783">
        <f t="shared" si="49"/>
        <v>0</v>
      </c>
      <c r="L272" s="1788">
        <f t="shared" si="50"/>
        <v>-100</v>
      </c>
      <c r="M272" s="1783">
        <f t="shared" si="51"/>
        <v>0</v>
      </c>
      <c r="N272" s="1788">
        <f t="shared" si="52"/>
        <v>0</v>
      </c>
      <c r="O272" s="1814">
        <f t="shared" si="53"/>
        <v>0</v>
      </c>
      <c r="P272" s="1788">
        <f t="shared" si="54"/>
        <v>0</v>
      </c>
      <c r="Q272" s="1783">
        <f t="shared" si="55"/>
        <v>0</v>
      </c>
      <c r="R272" s="1788">
        <f t="shared" si="56"/>
        <v>72282.102130000014</v>
      </c>
      <c r="S272" s="1783">
        <f t="shared" si="57"/>
        <v>0</v>
      </c>
      <c r="T272" s="1788">
        <f t="shared" si="58"/>
        <v>68643.661999999997</v>
      </c>
      <c r="V272" s="1788">
        <v>65438409.340000011</v>
      </c>
      <c r="X272" s="1788">
        <v>10532664.949999999</v>
      </c>
      <c r="Y272" s="1783"/>
      <c r="Z272" s="1788">
        <v>-3588972.16</v>
      </c>
      <c r="AA272" s="1783"/>
      <c r="AB272" s="1788">
        <v>-100000</v>
      </c>
      <c r="AC272" s="1783"/>
      <c r="AD272" s="1788">
        <v>0</v>
      </c>
      <c r="AE272" s="1814"/>
      <c r="AF272" s="1788">
        <v>0</v>
      </c>
      <c r="AG272" s="1783"/>
      <c r="AH272" s="1788">
        <v>72282102.13000001</v>
      </c>
      <c r="AI272" s="1783"/>
      <c r="AJ272" s="1788">
        <v>68643662</v>
      </c>
    </row>
    <row r="273" spans="1:36">
      <c r="A273" s="1675">
        <v>33</v>
      </c>
      <c r="B273" s="2015"/>
      <c r="F273" s="1674">
        <f t="shared" si="59"/>
        <v>0</v>
      </c>
      <c r="G273" s="1674">
        <f t="shared" ref="G273:G336" si="60">+IF(ISNUMBER(W273),W273/1000,W273)</f>
        <v>0</v>
      </c>
      <c r="H273" s="1674">
        <f t="shared" ref="H273:H336" si="61">+IF(ISNUMBER(X273),X273/1000,X273)</f>
        <v>0</v>
      </c>
      <c r="I273" s="1674">
        <f t="shared" ref="I273:I336" si="62">+IF(ISNUMBER(Y273),Y273/1000,Y273)</f>
        <v>0</v>
      </c>
      <c r="J273" s="1674">
        <f t="shared" ref="J273:J336" si="63">+IF(ISNUMBER(Z273),Z273/1000,Z273)</f>
        <v>0</v>
      </c>
      <c r="K273" s="1674">
        <f t="shared" ref="K273:K336" si="64">+IF(ISNUMBER(AA273),AA273/1000,AA273)</f>
        <v>0</v>
      </c>
      <c r="L273" s="1674">
        <f t="shared" ref="L273:L336" si="65">+IF(ISNUMBER(AB273),AB273/1000,AB273)</f>
        <v>0</v>
      </c>
      <c r="M273" s="1674">
        <f t="shared" ref="M273:M336" si="66">+IF(ISNUMBER(AC273),AC273/1000,AC273)</f>
        <v>0</v>
      </c>
      <c r="N273" s="1674">
        <f t="shared" ref="N273:N336" si="67">+IF(ISNUMBER(AD273),AD273/1000,AD273)</f>
        <v>0</v>
      </c>
      <c r="O273" s="1674">
        <f t="shared" ref="O273:O336" si="68">+IF(ISNUMBER(AE273),AE273/1000,AE273)</f>
        <v>0</v>
      </c>
      <c r="P273" s="1674">
        <f t="shared" ref="P273:P336" si="69">+IF(ISNUMBER(AF273),AF273/1000,AF273)</f>
        <v>0</v>
      </c>
      <c r="Q273" s="2001">
        <f t="shared" ref="Q273:Q336" si="70">+IF(ISNUMBER(AG273),AG273/1000,AG273)</f>
        <v>0</v>
      </c>
      <c r="R273" s="1674">
        <f t="shared" ref="R273:R336" si="71">+IF(ISNUMBER(AH273),AH273/1000,AH273)</f>
        <v>0</v>
      </c>
      <c r="S273" s="1674">
        <f t="shared" ref="S273:S336" si="72">+IF(ISNUMBER(AI273),AI273/1000,AI273)</f>
        <v>0</v>
      </c>
      <c r="T273" s="1674">
        <f t="shared" ref="T273:T336" si="73">+IF(ISNUMBER(AJ273),AJ273/1000,AJ273)</f>
        <v>0</v>
      </c>
      <c r="AG273" s="2001"/>
    </row>
    <row r="274" spans="1:36">
      <c r="A274" s="1675">
        <v>34</v>
      </c>
      <c r="D274" s="2002" t="s">
        <v>2514</v>
      </c>
      <c r="F274" s="1674">
        <f t="shared" ref="F274:F337" si="74">+IF(ISNUMBER(V274),V274/1000,V274)</f>
        <v>0</v>
      </c>
      <c r="G274" s="1674">
        <f t="shared" si="60"/>
        <v>0</v>
      </c>
      <c r="H274" s="1797">
        <f t="shared" si="61"/>
        <v>0</v>
      </c>
      <c r="I274" s="1797">
        <f t="shared" si="62"/>
        <v>0</v>
      </c>
      <c r="J274" s="1797">
        <f t="shared" si="63"/>
        <v>0</v>
      </c>
      <c r="K274" s="1797">
        <f t="shared" si="64"/>
        <v>0</v>
      </c>
      <c r="L274" s="2032">
        <f t="shared" si="65"/>
        <v>0</v>
      </c>
      <c r="M274" s="2032">
        <f t="shared" si="66"/>
        <v>0</v>
      </c>
      <c r="N274" s="2032">
        <f t="shared" si="67"/>
        <v>0</v>
      </c>
      <c r="O274" s="2032">
        <f t="shared" si="68"/>
        <v>0</v>
      </c>
      <c r="P274" s="2032">
        <f t="shared" si="69"/>
        <v>0</v>
      </c>
      <c r="Q274" s="2033">
        <f t="shared" si="70"/>
        <v>0</v>
      </c>
      <c r="R274" s="1797">
        <f t="shared" si="71"/>
        <v>0</v>
      </c>
      <c r="S274" s="1797">
        <f t="shared" si="72"/>
        <v>0</v>
      </c>
      <c r="T274" s="1797">
        <f t="shared" si="73"/>
        <v>0</v>
      </c>
      <c r="X274" s="1797"/>
      <c r="Y274" s="1797"/>
      <c r="Z274" s="1797"/>
      <c r="AA274" s="1797"/>
      <c r="AB274" s="2032"/>
      <c r="AC274" s="2032"/>
      <c r="AD274" s="2032"/>
      <c r="AE274" s="2032"/>
      <c r="AF274" s="2032"/>
      <c r="AG274" s="2033"/>
      <c r="AH274" s="1797"/>
      <c r="AI274" s="1797"/>
      <c r="AJ274" s="1797"/>
    </row>
    <row r="275" spans="1:36">
      <c r="A275" s="1675">
        <v>35</v>
      </c>
      <c r="C275" s="2009">
        <v>34131</v>
      </c>
      <c r="D275" s="1674" t="s">
        <v>2449</v>
      </c>
      <c r="F275" s="1876">
        <f t="shared" si="74"/>
        <v>9609.7256199999865</v>
      </c>
      <c r="G275" s="2001">
        <f t="shared" si="60"/>
        <v>0</v>
      </c>
      <c r="H275" s="1876">
        <f t="shared" si="61"/>
        <v>1041.4029599999999</v>
      </c>
      <c r="I275" s="1785">
        <f t="shared" si="62"/>
        <v>0</v>
      </c>
      <c r="J275" s="1876">
        <f t="shared" si="63"/>
        <v>0</v>
      </c>
      <c r="K275" s="1786">
        <f t="shared" si="64"/>
        <v>0</v>
      </c>
      <c r="L275" s="1876">
        <f t="shared" si="65"/>
        <v>0</v>
      </c>
      <c r="M275" s="1786">
        <f t="shared" si="66"/>
        <v>0</v>
      </c>
      <c r="N275" s="1876">
        <f t="shared" si="67"/>
        <v>0</v>
      </c>
      <c r="O275" s="1787">
        <f t="shared" si="68"/>
        <v>0</v>
      </c>
      <c r="P275" s="1876">
        <f t="shared" si="69"/>
        <v>0</v>
      </c>
      <c r="Q275" s="1785">
        <f t="shared" si="70"/>
        <v>0</v>
      </c>
      <c r="R275" s="1787">
        <f t="shared" si="71"/>
        <v>10651.128579999988</v>
      </c>
      <c r="S275" s="1786">
        <f t="shared" si="72"/>
        <v>0</v>
      </c>
      <c r="T275" s="1876">
        <f t="shared" si="73"/>
        <v>10130.427099999999</v>
      </c>
      <c r="V275" s="1876">
        <v>9609725.6199999861</v>
      </c>
      <c r="W275" s="2001"/>
      <c r="X275" s="1876">
        <v>1041402.96</v>
      </c>
      <c r="Y275" s="1785"/>
      <c r="Z275" s="1876">
        <v>0</v>
      </c>
      <c r="AA275" s="1786"/>
      <c r="AB275" s="1876">
        <v>0</v>
      </c>
      <c r="AC275" s="1786"/>
      <c r="AD275" s="1876">
        <v>0</v>
      </c>
      <c r="AE275" s="1787"/>
      <c r="AF275" s="1876">
        <v>0</v>
      </c>
      <c r="AG275" s="1785"/>
      <c r="AH275" s="1787">
        <v>10651128.579999987</v>
      </c>
      <c r="AI275" s="1786"/>
      <c r="AJ275" s="1876">
        <v>10130427.1</v>
      </c>
    </row>
    <row r="276" spans="1:36">
      <c r="A276" s="1675">
        <v>36</v>
      </c>
      <c r="C276" s="2009">
        <v>34231</v>
      </c>
      <c r="D276" s="1674" t="s">
        <v>2495</v>
      </c>
      <c r="F276" s="1876">
        <f t="shared" si="74"/>
        <v>38098.120839999981</v>
      </c>
      <c r="G276" s="2001">
        <f t="shared" si="60"/>
        <v>0</v>
      </c>
      <c r="H276" s="1876">
        <f t="shared" si="61"/>
        <v>4578.1608499999993</v>
      </c>
      <c r="I276" s="1785">
        <f t="shared" si="62"/>
        <v>0</v>
      </c>
      <c r="J276" s="1876">
        <f t="shared" si="63"/>
        <v>-3504.7807400000002</v>
      </c>
      <c r="K276" s="1786">
        <f t="shared" si="64"/>
        <v>0</v>
      </c>
      <c r="L276" s="1876">
        <f t="shared" si="65"/>
        <v>-112.20415</v>
      </c>
      <c r="M276" s="1786">
        <f t="shared" si="66"/>
        <v>0</v>
      </c>
      <c r="N276" s="1876">
        <f t="shared" si="67"/>
        <v>0</v>
      </c>
      <c r="O276" s="1787">
        <f t="shared" si="68"/>
        <v>0</v>
      </c>
      <c r="P276" s="1876">
        <f t="shared" si="69"/>
        <v>0</v>
      </c>
      <c r="Q276" s="1785">
        <f t="shared" si="70"/>
        <v>0</v>
      </c>
      <c r="R276" s="1787">
        <f t="shared" si="71"/>
        <v>39059.296799999982</v>
      </c>
      <c r="S276" s="1786">
        <f t="shared" si="72"/>
        <v>0</v>
      </c>
      <c r="T276" s="1876">
        <f t="shared" si="73"/>
        <v>38502.885350000004</v>
      </c>
      <c r="V276" s="1876">
        <v>38098120.839999981</v>
      </c>
      <c r="W276" s="2001"/>
      <c r="X276" s="1876">
        <v>4578160.8499999996</v>
      </c>
      <c r="Y276" s="1785"/>
      <c r="Z276" s="1876">
        <v>-3504780.74</v>
      </c>
      <c r="AA276" s="1786"/>
      <c r="AB276" s="1876">
        <v>-112204.15</v>
      </c>
      <c r="AC276" s="1786"/>
      <c r="AD276" s="1876">
        <v>0</v>
      </c>
      <c r="AE276" s="1787"/>
      <c r="AF276" s="1876">
        <v>0</v>
      </c>
      <c r="AG276" s="1785"/>
      <c r="AH276" s="1787">
        <v>39059296.799999982</v>
      </c>
      <c r="AI276" s="1786"/>
      <c r="AJ276" s="1876">
        <v>38502885.350000001</v>
      </c>
    </row>
    <row r="277" spans="1:36">
      <c r="A277" s="1675">
        <v>37</v>
      </c>
      <c r="C277" s="2009">
        <v>34331</v>
      </c>
      <c r="D277" s="1674" t="s">
        <v>2496</v>
      </c>
      <c r="F277" s="1876">
        <f t="shared" si="74"/>
        <v>105037.29293999996</v>
      </c>
      <c r="G277" s="2001">
        <f t="shared" si="60"/>
        <v>0</v>
      </c>
      <c r="H277" s="1876">
        <f t="shared" si="61"/>
        <v>13633.02072</v>
      </c>
      <c r="I277" s="1785">
        <f t="shared" si="62"/>
        <v>0</v>
      </c>
      <c r="J277" s="1876">
        <f t="shared" si="63"/>
        <v>-3504.7807400000002</v>
      </c>
      <c r="K277" s="1786">
        <f t="shared" si="64"/>
        <v>0</v>
      </c>
      <c r="L277" s="1876">
        <f t="shared" si="65"/>
        <v>-112.20415</v>
      </c>
      <c r="M277" s="1786">
        <f t="shared" si="66"/>
        <v>0</v>
      </c>
      <c r="N277" s="1876">
        <f t="shared" si="67"/>
        <v>0</v>
      </c>
      <c r="O277" s="1787">
        <f t="shared" si="68"/>
        <v>0</v>
      </c>
      <c r="P277" s="1876">
        <f t="shared" si="69"/>
        <v>0</v>
      </c>
      <c r="Q277" s="1785">
        <f t="shared" si="70"/>
        <v>0</v>
      </c>
      <c r="R277" s="1787">
        <f t="shared" si="71"/>
        <v>115053.32876999995</v>
      </c>
      <c r="S277" s="1786">
        <f t="shared" si="72"/>
        <v>0</v>
      </c>
      <c r="T277" s="1876">
        <f t="shared" si="73"/>
        <v>109964.93092</v>
      </c>
      <c r="V277" s="1876">
        <v>105037292.93999995</v>
      </c>
      <c r="W277" s="2001"/>
      <c r="X277" s="1876">
        <v>13633020.720000001</v>
      </c>
      <c r="Y277" s="1785"/>
      <c r="Z277" s="1876">
        <v>-3504780.74</v>
      </c>
      <c r="AA277" s="1786"/>
      <c r="AB277" s="1876">
        <v>-112204.15</v>
      </c>
      <c r="AC277" s="1786"/>
      <c r="AD277" s="1876">
        <v>0</v>
      </c>
      <c r="AE277" s="1787"/>
      <c r="AF277" s="1876">
        <v>0</v>
      </c>
      <c r="AG277" s="1785"/>
      <c r="AH277" s="1787">
        <v>115053328.76999995</v>
      </c>
      <c r="AI277" s="1786"/>
      <c r="AJ277" s="1876">
        <v>109964930.92</v>
      </c>
    </row>
    <row r="278" spans="1:36">
      <c r="A278" s="1675">
        <v>38</v>
      </c>
      <c r="C278" s="2009">
        <v>34531</v>
      </c>
      <c r="D278" s="1674" t="s">
        <v>2454</v>
      </c>
      <c r="F278" s="1876">
        <f t="shared" si="74"/>
        <v>23536.486480000018</v>
      </c>
      <c r="G278" s="2001">
        <f t="shared" si="60"/>
        <v>0</v>
      </c>
      <c r="H278" s="1876">
        <f t="shared" si="61"/>
        <v>1364.2263600000001</v>
      </c>
      <c r="I278" s="1785">
        <f t="shared" si="62"/>
        <v>0</v>
      </c>
      <c r="J278" s="1876">
        <f t="shared" si="63"/>
        <v>0</v>
      </c>
      <c r="K278" s="1786">
        <f t="shared" si="64"/>
        <v>0</v>
      </c>
      <c r="L278" s="1876">
        <f t="shared" si="65"/>
        <v>0</v>
      </c>
      <c r="M278" s="1786">
        <f t="shared" si="66"/>
        <v>0</v>
      </c>
      <c r="N278" s="1876">
        <f t="shared" si="67"/>
        <v>0</v>
      </c>
      <c r="O278" s="1787">
        <f t="shared" si="68"/>
        <v>0</v>
      </c>
      <c r="P278" s="1876">
        <f t="shared" si="69"/>
        <v>0</v>
      </c>
      <c r="Q278" s="1785">
        <f t="shared" si="70"/>
        <v>0</v>
      </c>
      <c r="R278" s="1787">
        <f t="shared" si="71"/>
        <v>24900.712840000018</v>
      </c>
      <c r="S278" s="1786">
        <f t="shared" si="72"/>
        <v>0</v>
      </c>
      <c r="T278" s="1876">
        <f t="shared" si="73"/>
        <v>24218.59966</v>
      </c>
      <c r="V278" s="1876">
        <v>23536486.480000019</v>
      </c>
      <c r="W278" s="2001"/>
      <c r="X278" s="1876">
        <v>1364226.36</v>
      </c>
      <c r="Y278" s="1785"/>
      <c r="Z278" s="1876">
        <v>0</v>
      </c>
      <c r="AA278" s="1786"/>
      <c r="AB278" s="1876">
        <v>0</v>
      </c>
      <c r="AC278" s="1786"/>
      <c r="AD278" s="1876">
        <v>0</v>
      </c>
      <c r="AE278" s="1787"/>
      <c r="AF278" s="1876">
        <v>0</v>
      </c>
      <c r="AG278" s="1785"/>
      <c r="AH278" s="1787">
        <v>24900712.840000018</v>
      </c>
      <c r="AI278" s="1786"/>
      <c r="AJ278" s="1876">
        <v>24218599.66</v>
      </c>
    </row>
    <row r="279" spans="1:36">
      <c r="A279" s="1675">
        <v>39</v>
      </c>
      <c r="C279" s="2009">
        <v>34631</v>
      </c>
      <c r="D279" s="1674" t="s">
        <v>2455</v>
      </c>
      <c r="F279" s="1876">
        <f t="shared" si="74"/>
        <v>673.43115999999884</v>
      </c>
      <c r="G279" s="2001">
        <f t="shared" si="60"/>
        <v>0</v>
      </c>
      <c r="H279" s="1876">
        <f t="shared" si="61"/>
        <v>50.437800000000003</v>
      </c>
      <c r="I279" s="1785">
        <f t="shared" si="62"/>
        <v>0</v>
      </c>
      <c r="J279" s="1876">
        <f t="shared" si="63"/>
        <v>0</v>
      </c>
      <c r="K279" s="1786">
        <f t="shared" si="64"/>
        <v>0</v>
      </c>
      <c r="L279" s="1876">
        <f t="shared" si="65"/>
        <v>0</v>
      </c>
      <c r="M279" s="1786">
        <f t="shared" si="66"/>
        <v>0</v>
      </c>
      <c r="N279" s="1876">
        <f t="shared" si="67"/>
        <v>0</v>
      </c>
      <c r="O279" s="1787">
        <f t="shared" si="68"/>
        <v>0</v>
      </c>
      <c r="P279" s="1876">
        <f t="shared" si="69"/>
        <v>0</v>
      </c>
      <c r="Q279" s="1785">
        <f t="shared" si="70"/>
        <v>0</v>
      </c>
      <c r="R279" s="1787">
        <f t="shared" si="71"/>
        <v>723.86895999999888</v>
      </c>
      <c r="S279" s="1786">
        <f t="shared" si="72"/>
        <v>0</v>
      </c>
      <c r="T279" s="1876">
        <f t="shared" si="73"/>
        <v>698.65006000000005</v>
      </c>
      <c r="V279" s="1876">
        <v>673431.15999999887</v>
      </c>
      <c r="W279" s="2001"/>
      <c r="X279" s="1876">
        <v>50437.8</v>
      </c>
      <c r="Y279" s="1785"/>
      <c r="Z279" s="1876">
        <v>0</v>
      </c>
      <c r="AA279" s="1786"/>
      <c r="AB279" s="1876">
        <v>0</v>
      </c>
      <c r="AC279" s="1786"/>
      <c r="AD279" s="1876">
        <v>0</v>
      </c>
      <c r="AE279" s="1787"/>
      <c r="AF279" s="1876">
        <v>0</v>
      </c>
      <c r="AG279" s="1785"/>
      <c r="AH279" s="1787">
        <v>723868.95999999892</v>
      </c>
      <c r="AI279" s="1786"/>
      <c r="AJ279" s="1876">
        <v>698650.06</v>
      </c>
    </row>
    <row r="280" spans="1:36">
      <c r="A280" s="1675">
        <v>40</v>
      </c>
      <c r="C280" s="1675"/>
      <c r="D280" s="2002" t="s">
        <v>2515</v>
      </c>
      <c r="F280" s="1788">
        <f t="shared" si="74"/>
        <v>176955.05703999993</v>
      </c>
      <c r="G280" s="1674">
        <f t="shared" si="60"/>
        <v>0</v>
      </c>
      <c r="H280" s="1788">
        <f t="shared" si="61"/>
        <v>20667.24869</v>
      </c>
      <c r="I280" s="1783">
        <f t="shared" si="62"/>
        <v>0</v>
      </c>
      <c r="J280" s="1788">
        <f t="shared" si="63"/>
        <v>-7009.5614800000003</v>
      </c>
      <c r="K280" s="1783">
        <f t="shared" si="64"/>
        <v>0</v>
      </c>
      <c r="L280" s="1788">
        <f t="shared" si="65"/>
        <v>-224.4083</v>
      </c>
      <c r="M280" s="1783">
        <f t="shared" si="66"/>
        <v>0</v>
      </c>
      <c r="N280" s="1788">
        <f t="shared" si="67"/>
        <v>0</v>
      </c>
      <c r="O280" s="1814">
        <f t="shared" si="68"/>
        <v>0</v>
      </c>
      <c r="P280" s="1788">
        <f t="shared" si="69"/>
        <v>0</v>
      </c>
      <c r="Q280" s="1783">
        <f t="shared" si="70"/>
        <v>0</v>
      </c>
      <c r="R280" s="1788">
        <f t="shared" si="71"/>
        <v>190388.33594999995</v>
      </c>
      <c r="S280" s="1783">
        <f t="shared" si="72"/>
        <v>0</v>
      </c>
      <c r="T280" s="1788">
        <f t="shared" si="73"/>
        <v>183515.49309</v>
      </c>
      <c r="V280" s="1788">
        <v>176955057.03999993</v>
      </c>
      <c r="X280" s="1788">
        <v>20667248.690000001</v>
      </c>
      <c r="Y280" s="1783"/>
      <c r="Z280" s="1788">
        <v>-7009561.4800000004</v>
      </c>
      <c r="AA280" s="1783"/>
      <c r="AB280" s="1788">
        <v>-224408.3</v>
      </c>
      <c r="AC280" s="1783"/>
      <c r="AD280" s="1788">
        <v>0</v>
      </c>
      <c r="AE280" s="1814"/>
      <c r="AF280" s="1788">
        <v>0</v>
      </c>
      <c r="AG280" s="1783"/>
      <c r="AH280" s="1788">
        <v>190388335.94999996</v>
      </c>
      <c r="AI280" s="1783"/>
      <c r="AJ280" s="1788">
        <v>183515493.09</v>
      </c>
    </row>
    <row r="281" spans="1:36">
      <c r="A281" s="1675">
        <v>41</v>
      </c>
      <c r="F281" s="1674">
        <f t="shared" si="74"/>
        <v>0</v>
      </c>
      <c r="G281" s="1674">
        <f t="shared" si="60"/>
        <v>0</v>
      </c>
      <c r="H281" s="1674">
        <f t="shared" si="61"/>
        <v>0</v>
      </c>
      <c r="I281" s="1674">
        <f t="shared" si="62"/>
        <v>0</v>
      </c>
      <c r="J281" s="1674">
        <f t="shared" si="63"/>
        <v>0</v>
      </c>
      <c r="K281" s="1674">
        <f t="shared" si="64"/>
        <v>0</v>
      </c>
      <c r="L281" s="1674">
        <f t="shared" si="65"/>
        <v>0</v>
      </c>
      <c r="M281" s="1674">
        <f t="shared" si="66"/>
        <v>0</v>
      </c>
      <c r="N281" s="1674">
        <f t="shared" si="67"/>
        <v>0</v>
      </c>
      <c r="O281" s="1674">
        <f t="shared" si="68"/>
        <v>0</v>
      </c>
      <c r="P281" s="1674">
        <f t="shared" si="69"/>
        <v>0</v>
      </c>
      <c r="Q281" s="2001">
        <f t="shared" si="70"/>
        <v>0</v>
      </c>
      <c r="R281" s="1674">
        <f t="shared" si="71"/>
        <v>0</v>
      </c>
      <c r="S281" s="1674">
        <f t="shared" si="72"/>
        <v>0</v>
      </c>
      <c r="T281" s="1674">
        <f t="shared" si="73"/>
        <v>0</v>
      </c>
      <c r="AG281" s="2001"/>
    </row>
    <row r="282" spans="1:36">
      <c r="A282" s="1675">
        <v>42</v>
      </c>
      <c r="F282" s="1674">
        <f t="shared" si="74"/>
        <v>0</v>
      </c>
      <c r="G282" s="1674">
        <f t="shared" si="60"/>
        <v>0</v>
      </c>
      <c r="H282" s="1674">
        <f t="shared" si="61"/>
        <v>0</v>
      </c>
      <c r="I282" s="1674">
        <f t="shared" si="62"/>
        <v>0</v>
      </c>
      <c r="J282" s="1674">
        <f t="shared" si="63"/>
        <v>0</v>
      </c>
      <c r="K282" s="1674">
        <f t="shared" si="64"/>
        <v>0</v>
      </c>
      <c r="L282" s="1674">
        <f t="shared" si="65"/>
        <v>0</v>
      </c>
      <c r="M282" s="1674">
        <f t="shared" si="66"/>
        <v>0</v>
      </c>
      <c r="N282" s="1674">
        <f t="shared" si="67"/>
        <v>0</v>
      </c>
      <c r="O282" s="1674">
        <f t="shared" si="68"/>
        <v>0</v>
      </c>
      <c r="P282" s="1674">
        <f t="shared" si="69"/>
        <v>0</v>
      </c>
      <c r="Q282" s="2001">
        <f t="shared" si="70"/>
        <v>0</v>
      </c>
      <c r="R282" s="1674">
        <f t="shared" si="71"/>
        <v>0</v>
      </c>
      <c r="S282" s="1674">
        <f t="shared" si="72"/>
        <v>0</v>
      </c>
      <c r="T282" s="1674">
        <f t="shared" si="73"/>
        <v>0</v>
      </c>
      <c r="AG282" s="2001"/>
    </row>
    <row r="283" spans="1:36">
      <c r="A283" s="1675">
        <v>43</v>
      </c>
      <c r="F283" s="1674">
        <f t="shared" si="74"/>
        <v>0</v>
      </c>
      <c r="G283" s="1674">
        <f t="shared" si="60"/>
        <v>0</v>
      </c>
      <c r="H283" s="1674">
        <f t="shared" si="61"/>
        <v>0</v>
      </c>
      <c r="I283" s="1674">
        <f t="shared" si="62"/>
        <v>0</v>
      </c>
      <c r="J283" s="1674">
        <f t="shared" si="63"/>
        <v>0</v>
      </c>
      <c r="K283" s="1674">
        <f t="shared" si="64"/>
        <v>0</v>
      </c>
      <c r="L283" s="1674">
        <f t="shared" si="65"/>
        <v>0</v>
      </c>
      <c r="M283" s="1674">
        <f t="shared" si="66"/>
        <v>0</v>
      </c>
      <c r="N283" s="1674">
        <f t="shared" si="67"/>
        <v>0</v>
      </c>
      <c r="O283" s="1674">
        <f t="shared" si="68"/>
        <v>0</v>
      </c>
      <c r="P283" s="1674">
        <f t="shared" si="69"/>
        <v>0</v>
      </c>
      <c r="Q283" s="2001">
        <f t="shared" si="70"/>
        <v>0</v>
      </c>
      <c r="R283" s="1674">
        <f t="shared" si="71"/>
        <v>0</v>
      </c>
      <c r="S283" s="1674">
        <f t="shared" si="72"/>
        <v>0</v>
      </c>
      <c r="T283" s="1674">
        <f t="shared" si="73"/>
        <v>0</v>
      </c>
      <c r="AG283" s="2001"/>
    </row>
    <row r="284" spans="1:36" ht="15" thickBot="1">
      <c r="A284" s="2008">
        <v>44</v>
      </c>
      <c r="B284" s="1869" t="s">
        <v>2476</v>
      </c>
      <c r="C284" s="1997"/>
      <c r="D284" s="1997"/>
      <c r="E284" s="1997"/>
      <c r="F284" s="1997">
        <f t="shared" si="74"/>
        <v>0</v>
      </c>
      <c r="G284" s="1997">
        <f t="shared" si="60"/>
        <v>0</v>
      </c>
      <c r="H284" s="1997">
        <f t="shared" si="61"/>
        <v>0</v>
      </c>
      <c r="I284" s="1997">
        <f t="shared" si="62"/>
        <v>0</v>
      </c>
      <c r="J284" s="1997">
        <f t="shared" si="63"/>
        <v>0</v>
      </c>
      <c r="K284" s="1997">
        <f t="shared" si="64"/>
        <v>0</v>
      </c>
      <c r="L284" s="1997">
        <f t="shared" si="65"/>
        <v>0</v>
      </c>
      <c r="M284" s="1997">
        <f t="shared" si="66"/>
        <v>0</v>
      </c>
      <c r="N284" s="1997">
        <f t="shared" si="67"/>
        <v>0</v>
      </c>
      <c r="O284" s="1997">
        <f t="shared" si="68"/>
        <v>0</v>
      </c>
      <c r="P284" s="1997">
        <f t="shared" si="69"/>
        <v>0</v>
      </c>
      <c r="Q284" s="1998">
        <f t="shared" si="70"/>
        <v>0</v>
      </c>
      <c r="R284" s="1997">
        <f t="shared" si="71"/>
        <v>0</v>
      </c>
      <c r="S284" s="1997">
        <f t="shared" si="72"/>
        <v>0</v>
      </c>
      <c r="T284" s="1997">
        <f t="shared" si="73"/>
        <v>0</v>
      </c>
      <c r="V284" s="1997"/>
      <c r="W284" s="1997"/>
      <c r="X284" s="1997"/>
      <c r="Y284" s="1997"/>
      <c r="Z284" s="1997"/>
      <c r="AA284" s="1997"/>
      <c r="AB284" s="1997"/>
      <c r="AC284" s="1997"/>
      <c r="AD284" s="1997"/>
      <c r="AE284" s="1997"/>
      <c r="AF284" s="1997"/>
      <c r="AG284" s="1998"/>
      <c r="AH284" s="1997"/>
      <c r="AI284" s="1997"/>
      <c r="AJ284" s="1997"/>
    </row>
    <row r="285" spans="1:36">
      <c r="A285" s="1674" t="s">
        <v>8186</v>
      </c>
      <c r="F285" s="1674">
        <f t="shared" si="74"/>
        <v>0</v>
      </c>
      <c r="G285" s="1674">
        <f t="shared" si="60"/>
        <v>0</v>
      </c>
      <c r="H285" s="1674">
        <f t="shared" si="61"/>
        <v>0</v>
      </c>
      <c r="I285" s="1674">
        <f t="shared" si="62"/>
        <v>0</v>
      </c>
      <c r="J285" s="1674">
        <f t="shared" si="63"/>
        <v>0</v>
      </c>
      <c r="K285" s="1674">
        <f t="shared" si="64"/>
        <v>0</v>
      </c>
      <c r="L285" s="1674">
        <f t="shared" si="65"/>
        <v>0</v>
      </c>
      <c r="M285" s="1674">
        <f t="shared" si="66"/>
        <v>0</v>
      </c>
      <c r="N285" s="1674">
        <f t="shared" si="67"/>
        <v>0</v>
      </c>
      <c r="O285" s="1674">
        <f t="shared" si="68"/>
        <v>0</v>
      </c>
      <c r="P285" s="1674">
        <f t="shared" si="69"/>
        <v>0</v>
      </c>
      <c r="Q285" s="2001">
        <f t="shared" si="70"/>
        <v>0</v>
      </c>
      <c r="R285" s="1674" t="str">
        <f t="shared" si="71"/>
        <v>Recap Schedules:  B-03, B-06</v>
      </c>
      <c r="S285" s="1674">
        <f t="shared" si="72"/>
        <v>0</v>
      </c>
      <c r="T285" s="1674">
        <f t="shared" si="73"/>
        <v>0</v>
      </c>
      <c r="AG285" s="2001"/>
      <c r="AH285" s="1674" t="s">
        <v>8948</v>
      </c>
    </row>
    <row r="286" spans="1:36" ht="15" thickBot="1">
      <c r="A286" s="1997" t="s">
        <v>8952</v>
      </c>
      <c r="B286" s="1997"/>
      <c r="C286" s="1997"/>
      <c r="D286" s="1997"/>
      <c r="E286" s="1997"/>
      <c r="F286" s="1997" t="str">
        <f t="shared" si="74"/>
        <v>DEPRECIATION RESERVE BALANCES BY ACCOUNT AND SUB-ACCOUNT</v>
      </c>
      <c r="G286" s="1997">
        <f t="shared" si="60"/>
        <v>0</v>
      </c>
      <c r="H286" s="1997">
        <f t="shared" si="61"/>
        <v>0</v>
      </c>
      <c r="I286" s="1997">
        <f t="shared" si="62"/>
        <v>0</v>
      </c>
      <c r="J286" s="1997">
        <f t="shared" si="63"/>
        <v>0</v>
      </c>
      <c r="K286" s="1997">
        <f t="shared" si="64"/>
        <v>0</v>
      </c>
      <c r="L286" s="1997">
        <f t="shared" si="65"/>
        <v>0</v>
      </c>
      <c r="M286" s="1997">
        <f t="shared" si="66"/>
        <v>0</v>
      </c>
      <c r="N286" s="1997">
        <f t="shared" si="67"/>
        <v>0</v>
      </c>
      <c r="O286" s="1997">
        <f t="shared" si="68"/>
        <v>0</v>
      </c>
      <c r="P286" s="1997">
        <f t="shared" si="69"/>
        <v>0</v>
      </c>
      <c r="Q286" s="1998">
        <f t="shared" si="70"/>
        <v>0</v>
      </c>
      <c r="R286" s="1997">
        <f t="shared" si="71"/>
        <v>0</v>
      </c>
      <c r="S286" s="1997">
        <f t="shared" si="72"/>
        <v>0</v>
      </c>
      <c r="T286" s="1997" t="str">
        <f t="shared" si="73"/>
        <v>Page 6 of 10</v>
      </c>
      <c r="V286" s="1997" t="s">
        <v>2594</v>
      </c>
      <c r="W286" s="1997"/>
      <c r="X286" s="1997"/>
      <c r="Y286" s="1997"/>
      <c r="Z286" s="1997"/>
      <c r="AA286" s="1997"/>
      <c r="AB286" s="1997"/>
      <c r="AC286" s="1997"/>
      <c r="AD286" s="1997"/>
      <c r="AE286" s="1997"/>
      <c r="AF286" s="1997"/>
      <c r="AG286" s="1998"/>
      <c r="AH286" s="1997"/>
      <c r="AI286" s="1997"/>
      <c r="AJ286" s="1997" t="s">
        <v>2516</v>
      </c>
    </row>
    <row r="287" spans="1:36">
      <c r="A287" s="1674" t="s">
        <v>2425</v>
      </c>
      <c r="B287" s="2024"/>
      <c r="E287" s="2001" t="s">
        <v>2426</v>
      </c>
      <c r="F287" s="1674" t="str">
        <f t="shared" si="74"/>
        <v>Provide the depreciation reserve balances for each account or sub-account to which</v>
      </c>
      <c r="G287" s="1674">
        <f t="shared" si="60"/>
        <v>0</v>
      </c>
      <c r="H287" s="1674">
        <f t="shared" si="61"/>
        <v>0</v>
      </c>
      <c r="I287" s="1674">
        <f t="shared" si="62"/>
        <v>0</v>
      </c>
      <c r="J287" s="2003">
        <f t="shared" si="63"/>
        <v>0</v>
      </c>
      <c r="K287" s="2003">
        <f t="shared" si="64"/>
        <v>0</v>
      </c>
      <c r="L287" s="1674">
        <f t="shared" si="65"/>
        <v>0</v>
      </c>
      <c r="M287" s="2003">
        <f t="shared" si="66"/>
        <v>0</v>
      </c>
      <c r="N287" s="2003">
        <f t="shared" si="67"/>
        <v>0</v>
      </c>
      <c r="O287" s="2003">
        <f t="shared" si="68"/>
        <v>0</v>
      </c>
      <c r="P287" s="2003">
        <f t="shared" si="69"/>
        <v>0</v>
      </c>
      <c r="Q287" s="2004">
        <f t="shared" si="70"/>
        <v>0</v>
      </c>
      <c r="R287" s="1674" t="str">
        <f t="shared" si="71"/>
        <v>Type of data shown:</v>
      </c>
      <c r="S287" s="1674">
        <f t="shared" si="72"/>
        <v>0</v>
      </c>
      <c r="T287" s="2005">
        <f t="shared" si="73"/>
        <v>0</v>
      </c>
      <c r="V287" s="1674" t="s">
        <v>2595</v>
      </c>
      <c r="Z287" s="2003"/>
      <c r="AA287" s="2003"/>
      <c r="AC287" s="2003"/>
      <c r="AD287" s="2003"/>
      <c r="AE287" s="2003"/>
      <c r="AF287" s="2003"/>
      <c r="AG287" s="2004"/>
      <c r="AH287" s="1674" t="s">
        <v>2427</v>
      </c>
      <c r="AJ287" s="2005"/>
    </row>
    <row r="288" spans="1:36">
      <c r="B288" s="2024"/>
      <c r="F288" s="1674" t="str">
        <f t="shared" si="74"/>
        <v>an individual depreciation rate is applied. (Include Amortization/Recovery amounts).</v>
      </c>
      <c r="G288" s="1674">
        <f t="shared" si="60"/>
        <v>0</v>
      </c>
      <c r="H288" s="1674">
        <f t="shared" si="61"/>
        <v>0</v>
      </c>
      <c r="I288" s="1674">
        <f t="shared" si="62"/>
        <v>0</v>
      </c>
      <c r="J288" s="2001">
        <f t="shared" si="63"/>
        <v>0</v>
      </c>
      <c r="K288" s="2005">
        <f t="shared" si="64"/>
        <v>0</v>
      </c>
      <c r="L288" s="1674">
        <f t="shared" si="65"/>
        <v>0</v>
      </c>
      <c r="M288" s="1674">
        <f t="shared" si="66"/>
        <v>0</v>
      </c>
      <c r="N288" s="2001">
        <f t="shared" si="67"/>
        <v>0</v>
      </c>
      <c r="O288" s="2001">
        <f t="shared" si="68"/>
        <v>0</v>
      </c>
      <c r="P288" s="2001">
        <f t="shared" si="69"/>
        <v>0</v>
      </c>
      <c r="Q288" s="2001" t="str">
        <f t="shared" si="70"/>
        <v>XX</v>
      </c>
      <c r="R288" s="2005" t="str">
        <f t="shared" si="71"/>
        <v>Projected Test Year Ended 12/31/2025</v>
      </c>
      <c r="S288" s="1674">
        <f t="shared" si="72"/>
        <v>0</v>
      </c>
      <c r="T288" s="2001">
        <f t="shared" si="73"/>
        <v>0</v>
      </c>
      <c r="V288" s="1674" t="s">
        <v>8185</v>
      </c>
      <c r="Z288" s="2001"/>
      <c r="AA288" s="2005"/>
      <c r="AD288" s="2001"/>
      <c r="AE288" s="2001"/>
      <c r="AF288" s="2001"/>
      <c r="AG288" s="2001" t="s">
        <v>8157</v>
      </c>
      <c r="AH288" s="2005" t="s">
        <v>8944</v>
      </c>
      <c r="AJ288" s="2001"/>
    </row>
    <row r="289" spans="1:36">
      <c r="A289" s="1674" t="s">
        <v>2428</v>
      </c>
      <c r="B289" s="2024"/>
      <c r="F289" s="1674" t="str">
        <f t="shared" si="74"/>
        <v/>
      </c>
      <c r="G289" s="1674">
        <f t="shared" si="60"/>
        <v>0</v>
      </c>
      <c r="H289" s="1674">
        <f t="shared" si="61"/>
        <v>0</v>
      </c>
      <c r="I289" s="1674">
        <f t="shared" si="62"/>
        <v>0</v>
      </c>
      <c r="J289" s="2001">
        <f t="shared" si="63"/>
        <v>0</v>
      </c>
      <c r="K289" s="2005">
        <f t="shared" si="64"/>
        <v>0</v>
      </c>
      <c r="L289" s="2001">
        <f t="shared" si="65"/>
        <v>0</v>
      </c>
      <c r="M289" s="1674">
        <f t="shared" si="66"/>
        <v>0</v>
      </c>
      <c r="N289" s="1674">
        <f t="shared" si="67"/>
        <v>0</v>
      </c>
      <c r="O289" s="1674">
        <f t="shared" si="68"/>
        <v>0</v>
      </c>
      <c r="P289" s="1674">
        <f t="shared" si="69"/>
        <v>0</v>
      </c>
      <c r="Q289" s="2001" t="str">
        <f t="shared" si="70"/>
        <v/>
      </c>
      <c r="R289" s="2005" t="str">
        <f t="shared" si="71"/>
        <v>Projected Prior Year Ended 12/31/2024</v>
      </c>
      <c r="S289" s="1674">
        <f t="shared" si="72"/>
        <v>0</v>
      </c>
      <c r="T289" s="2001">
        <f t="shared" si="73"/>
        <v>0</v>
      </c>
      <c r="V289" s="1674" t="s">
        <v>2360</v>
      </c>
      <c r="Z289" s="2001"/>
      <c r="AA289" s="2005"/>
      <c r="AB289" s="2001"/>
      <c r="AG289" s="2001" t="s">
        <v>2360</v>
      </c>
      <c r="AH289" s="2005" t="s">
        <v>8945</v>
      </c>
      <c r="AJ289" s="2001"/>
    </row>
    <row r="290" spans="1:36">
      <c r="B290" s="2024"/>
      <c r="F290" s="1674" t="str">
        <f t="shared" si="74"/>
        <v/>
      </c>
      <c r="G290" s="1674">
        <f t="shared" si="60"/>
        <v>0</v>
      </c>
      <c r="H290" s="1674">
        <f t="shared" si="61"/>
        <v>0</v>
      </c>
      <c r="I290" s="1674">
        <f t="shared" si="62"/>
        <v>0</v>
      </c>
      <c r="J290" s="2001">
        <f t="shared" si="63"/>
        <v>0</v>
      </c>
      <c r="K290" s="2005">
        <f t="shared" si="64"/>
        <v>0</v>
      </c>
      <c r="L290" s="2001">
        <f t="shared" si="65"/>
        <v>0</v>
      </c>
      <c r="M290" s="1674">
        <f t="shared" si="66"/>
        <v>0</v>
      </c>
      <c r="N290" s="1674">
        <f t="shared" si="67"/>
        <v>0</v>
      </c>
      <c r="O290" s="1674">
        <f t="shared" si="68"/>
        <v>0</v>
      </c>
      <c r="P290" s="1674">
        <f t="shared" si="69"/>
        <v>0</v>
      </c>
      <c r="Q290" s="2001" t="str">
        <f t="shared" si="70"/>
        <v/>
      </c>
      <c r="R290" s="2005" t="str">
        <f t="shared" si="71"/>
        <v>Historical Prior Year Ended 12/31/2023</v>
      </c>
      <c r="S290" s="1674">
        <f t="shared" si="72"/>
        <v>0</v>
      </c>
      <c r="T290" s="2001">
        <f t="shared" si="73"/>
        <v>0</v>
      </c>
      <c r="V290" s="1674" t="s">
        <v>2360</v>
      </c>
      <c r="Z290" s="2001"/>
      <c r="AA290" s="2005"/>
      <c r="AB290" s="2001"/>
      <c r="AG290" s="2001" t="s">
        <v>2360</v>
      </c>
      <c r="AH290" s="2005" t="s">
        <v>8946</v>
      </c>
      <c r="AJ290" s="2001"/>
    </row>
    <row r="291" spans="1:36">
      <c r="B291" s="2024"/>
      <c r="F291" s="1674">
        <f t="shared" si="74"/>
        <v>0</v>
      </c>
      <c r="G291" s="1674">
        <f t="shared" si="60"/>
        <v>0</v>
      </c>
      <c r="H291" s="1674">
        <f t="shared" si="61"/>
        <v>0</v>
      </c>
      <c r="I291" s="1674">
        <f t="shared" si="62"/>
        <v>0</v>
      </c>
      <c r="J291" s="2001">
        <f t="shared" si="63"/>
        <v>0</v>
      </c>
      <c r="K291" s="2005">
        <f t="shared" si="64"/>
        <v>0</v>
      </c>
      <c r="L291" s="2001">
        <f t="shared" si="65"/>
        <v>0</v>
      </c>
      <c r="M291" s="1674">
        <f t="shared" si="66"/>
        <v>0</v>
      </c>
      <c r="N291" s="1674">
        <f t="shared" si="67"/>
        <v>0</v>
      </c>
      <c r="O291" s="1674">
        <f t="shared" si="68"/>
        <v>0</v>
      </c>
      <c r="P291" s="1674">
        <f t="shared" si="69"/>
        <v>0</v>
      </c>
      <c r="Q291" s="2001">
        <f t="shared" si="70"/>
        <v>0</v>
      </c>
      <c r="R291" s="2005" t="str">
        <f t="shared" si="71"/>
        <v>Witness: D. Avellan</v>
      </c>
      <c r="S291" s="1674">
        <f t="shared" si="72"/>
        <v>0</v>
      </c>
      <c r="T291" s="2001">
        <f t="shared" si="73"/>
        <v>0</v>
      </c>
      <c r="Z291" s="2001"/>
      <c r="AA291" s="2005"/>
      <c r="AB291" s="2001"/>
      <c r="AG291" s="2001"/>
      <c r="AH291" s="2005" t="s">
        <v>8160</v>
      </c>
      <c r="AJ291" s="2001"/>
    </row>
    <row r="292" spans="1:36" ht="15" thickBot="1">
      <c r="A292" s="1997" t="s">
        <v>8158</v>
      </c>
      <c r="B292" s="2025"/>
      <c r="C292" s="1997"/>
      <c r="D292" s="1997"/>
      <c r="E292" s="1997"/>
      <c r="F292" s="1997" t="str">
        <f t="shared" si="74"/>
        <v/>
      </c>
      <c r="G292" s="1997">
        <f t="shared" si="60"/>
        <v>0</v>
      </c>
      <c r="H292" s="2008" t="str">
        <f t="shared" si="61"/>
        <v>(Dollars in cents)</v>
      </c>
      <c r="I292" s="1997">
        <f t="shared" si="62"/>
        <v>0</v>
      </c>
      <c r="J292" s="1997">
        <f t="shared" si="63"/>
        <v>0</v>
      </c>
      <c r="K292" s="1997">
        <f t="shared" si="64"/>
        <v>0</v>
      </c>
      <c r="L292" s="1997">
        <f t="shared" si="65"/>
        <v>0</v>
      </c>
      <c r="M292" s="1997">
        <f t="shared" si="66"/>
        <v>0</v>
      </c>
      <c r="N292" s="1997">
        <f t="shared" si="67"/>
        <v>0</v>
      </c>
      <c r="O292" s="1997">
        <f t="shared" si="68"/>
        <v>0</v>
      </c>
      <c r="P292" s="1997">
        <f t="shared" si="69"/>
        <v>0</v>
      </c>
      <c r="Q292" s="1998">
        <f t="shared" si="70"/>
        <v>0</v>
      </c>
      <c r="R292" s="1997" t="str">
        <f t="shared" si="71"/>
        <v xml:space="preserve"> </v>
      </c>
      <c r="S292" s="1997">
        <f t="shared" si="72"/>
        <v>0</v>
      </c>
      <c r="T292" s="1997">
        <f t="shared" si="73"/>
        <v>0</v>
      </c>
      <c r="V292" s="1997" t="s">
        <v>2360</v>
      </c>
      <c r="W292" s="1997"/>
      <c r="X292" s="2008" t="s">
        <v>8159</v>
      </c>
      <c r="Y292" s="1997"/>
      <c r="Z292" s="1997"/>
      <c r="AA292" s="1997"/>
      <c r="AB292" s="1997"/>
      <c r="AC292" s="1997"/>
      <c r="AD292" s="1997"/>
      <c r="AE292" s="1997"/>
      <c r="AF292" s="1997"/>
      <c r="AG292" s="1998"/>
      <c r="AH292" s="1997" t="s">
        <v>2477</v>
      </c>
      <c r="AI292" s="1997"/>
      <c r="AJ292" s="1997"/>
    </row>
    <row r="293" spans="1:36">
      <c r="C293" s="2009"/>
      <c r="D293" s="2009"/>
      <c r="E293" s="2009"/>
      <c r="F293" s="2009">
        <f t="shared" si="74"/>
        <v>0</v>
      </c>
      <c r="G293" s="2009">
        <f t="shared" si="60"/>
        <v>0</v>
      </c>
      <c r="H293" s="2009">
        <f t="shared" si="61"/>
        <v>0</v>
      </c>
      <c r="I293" s="2009">
        <f t="shared" si="62"/>
        <v>0</v>
      </c>
      <c r="J293" s="2009">
        <f t="shared" si="63"/>
        <v>0</v>
      </c>
      <c r="K293" s="2009">
        <f t="shared" si="64"/>
        <v>0</v>
      </c>
      <c r="L293" s="2009">
        <f t="shared" si="65"/>
        <v>0</v>
      </c>
      <c r="M293" s="2009">
        <f t="shared" si="66"/>
        <v>0</v>
      </c>
      <c r="N293" s="2009">
        <f t="shared" si="67"/>
        <v>0</v>
      </c>
      <c r="O293" s="2009">
        <f t="shared" si="68"/>
        <v>0</v>
      </c>
      <c r="P293" s="2009">
        <f t="shared" si="69"/>
        <v>0</v>
      </c>
      <c r="Q293" s="2010">
        <f t="shared" si="70"/>
        <v>0</v>
      </c>
      <c r="R293" s="2009">
        <f t="shared" si="71"/>
        <v>0</v>
      </c>
      <c r="S293" s="2009">
        <f t="shared" si="72"/>
        <v>0</v>
      </c>
      <c r="T293" s="2009">
        <f t="shared" si="73"/>
        <v>0</v>
      </c>
      <c r="V293" s="2009"/>
      <c r="W293" s="2009"/>
      <c r="X293" s="2009"/>
      <c r="Y293" s="2009"/>
      <c r="Z293" s="2009"/>
      <c r="AA293" s="2009"/>
      <c r="AB293" s="2009"/>
      <c r="AC293" s="2009"/>
      <c r="AD293" s="2009"/>
      <c r="AE293" s="2009"/>
      <c r="AF293" s="2009"/>
      <c r="AG293" s="2010"/>
      <c r="AH293" s="2009"/>
      <c r="AI293" s="2009"/>
      <c r="AJ293" s="2009"/>
    </row>
    <row r="294" spans="1:36">
      <c r="C294" s="2009" t="s">
        <v>2306</v>
      </c>
      <c r="D294" s="2009" t="s">
        <v>2307</v>
      </c>
      <c r="E294" s="2009"/>
      <c r="F294" s="2009" t="str">
        <f t="shared" si="74"/>
        <v>(3)</v>
      </c>
      <c r="G294" s="2009">
        <f t="shared" si="60"/>
        <v>0</v>
      </c>
      <c r="H294" s="2009" t="str">
        <f t="shared" si="61"/>
        <v>(4)</v>
      </c>
      <c r="I294" s="2009">
        <f t="shared" si="62"/>
        <v>0</v>
      </c>
      <c r="J294" s="1675" t="str">
        <f t="shared" si="63"/>
        <v>(5)</v>
      </c>
      <c r="K294" s="1675">
        <f t="shared" si="64"/>
        <v>0</v>
      </c>
      <c r="L294" s="2009" t="str">
        <f t="shared" si="65"/>
        <v>(6)</v>
      </c>
      <c r="M294" s="2009">
        <f t="shared" si="66"/>
        <v>0</v>
      </c>
      <c r="N294" s="2009" t="str">
        <f t="shared" si="67"/>
        <v>(7)</v>
      </c>
      <c r="O294" s="2009">
        <f t="shared" si="68"/>
        <v>0</v>
      </c>
      <c r="P294" s="2009" t="str">
        <f t="shared" si="69"/>
        <v>(8)</v>
      </c>
      <c r="Q294" s="2010">
        <f t="shared" si="70"/>
        <v>0</v>
      </c>
      <c r="R294" s="2009" t="str">
        <f t="shared" si="71"/>
        <v>(9)</v>
      </c>
      <c r="S294" s="2009">
        <f t="shared" si="72"/>
        <v>0</v>
      </c>
      <c r="T294" s="2009" t="str">
        <f t="shared" si="73"/>
        <v>(10)</v>
      </c>
      <c r="V294" s="2009" t="s">
        <v>2308</v>
      </c>
      <c r="W294" s="2009"/>
      <c r="X294" s="2009" t="s">
        <v>2309</v>
      </c>
      <c r="Y294" s="2009"/>
      <c r="Z294" s="1675" t="s">
        <v>2310</v>
      </c>
      <c r="AA294" s="1675"/>
      <c r="AB294" s="2009" t="s">
        <v>2311</v>
      </c>
      <c r="AC294" s="2009"/>
      <c r="AD294" s="2009" t="s">
        <v>2312</v>
      </c>
      <c r="AE294" s="2009"/>
      <c r="AF294" s="2009" t="s">
        <v>2313</v>
      </c>
      <c r="AG294" s="2010"/>
      <c r="AH294" s="2009" t="s">
        <v>2314</v>
      </c>
      <c r="AI294" s="2009"/>
      <c r="AJ294" s="2009" t="s">
        <v>2361</v>
      </c>
    </row>
    <row r="295" spans="1:36">
      <c r="C295" s="1675" t="s">
        <v>2429</v>
      </c>
      <c r="D295" s="1675" t="s">
        <v>2429</v>
      </c>
      <c r="F295" s="1675" t="str">
        <f t="shared" si="74"/>
        <v>Accumulated</v>
      </c>
      <c r="G295" s="1675">
        <f t="shared" si="60"/>
        <v>0</v>
      </c>
      <c r="H295" s="2009" t="str">
        <f t="shared" si="61"/>
        <v>Total</v>
      </c>
      <c r="I295" s="1675">
        <f t="shared" si="62"/>
        <v>0</v>
      </c>
      <c r="J295" s="2009">
        <f t="shared" si="63"/>
        <v>0</v>
      </c>
      <c r="K295" s="1675">
        <f t="shared" si="64"/>
        <v>0</v>
      </c>
      <c r="L295" s="1675">
        <f t="shared" si="65"/>
        <v>0</v>
      </c>
      <c r="M295" s="1675">
        <f t="shared" si="66"/>
        <v>0</v>
      </c>
      <c r="N295" s="1674">
        <f t="shared" si="67"/>
        <v>0</v>
      </c>
      <c r="O295" s="1674">
        <f t="shared" si="68"/>
        <v>0</v>
      </c>
      <c r="P295" s="1674">
        <f t="shared" si="69"/>
        <v>0</v>
      </c>
      <c r="Q295" s="2001">
        <f t="shared" si="70"/>
        <v>0</v>
      </c>
      <c r="R295" s="1675" t="str">
        <f t="shared" si="71"/>
        <v>Accumulated</v>
      </c>
      <c r="S295" s="1674">
        <f t="shared" si="72"/>
        <v>0</v>
      </c>
      <c r="T295" s="1675">
        <f t="shared" si="73"/>
        <v>0</v>
      </c>
      <c r="V295" s="1675" t="s">
        <v>2315</v>
      </c>
      <c r="W295" s="1675"/>
      <c r="X295" s="2009" t="s">
        <v>122</v>
      </c>
      <c r="Y295" s="1675"/>
      <c r="Z295" s="2009"/>
      <c r="AA295" s="1675"/>
      <c r="AB295" s="1675"/>
      <c r="AC295" s="1675"/>
      <c r="AG295" s="2001"/>
      <c r="AH295" s="1675" t="s">
        <v>2315</v>
      </c>
      <c r="AJ295" s="1675"/>
    </row>
    <row r="296" spans="1:36">
      <c r="A296" s="1675" t="s">
        <v>2430</v>
      </c>
      <c r="B296" s="1675"/>
      <c r="C296" s="1675" t="s">
        <v>2431</v>
      </c>
      <c r="D296" s="1675" t="s">
        <v>2431</v>
      </c>
      <c r="E296" s="2009"/>
      <c r="F296" s="1675" t="str">
        <f t="shared" si="74"/>
        <v>Depreciation</v>
      </c>
      <c r="G296" s="1675">
        <f t="shared" si="60"/>
        <v>0</v>
      </c>
      <c r="H296" s="1675" t="str">
        <f t="shared" si="61"/>
        <v>Depreciation</v>
      </c>
      <c r="I296" s="1675">
        <f t="shared" si="62"/>
        <v>0</v>
      </c>
      <c r="J296" s="1675">
        <f t="shared" si="63"/>
        <v>0</v>
      </c>
      <c r="K296" s="2009">
        <f t="shared" si="64"/>
        <v>0</v>
      </c>
      <c r="L296" s="1675" t="str">
        <f t="shared" si="65"/>
        <v>Gross</v>
      </c>
      <c r="M296" s="2005">
        <f t="shared" si="66"/>
        <v>0</v>
      </c>
      <c r="N296" s="1675" t="str">
        <f t="shared" si="67"/>
        <v>Gross</v>
      </c>
      <c r="O296" s="1675">
        <f t="shared" si="68"/>
        <v>0</v>
      </c>
      <c r="P296" s="1675" t="str">
        <f t="shared" si="69"/>
        <v>Adjustments</v>
      </c>
      <c r="Q296" s="2010">
        <f t="shared" si="70"/>
        <v>0</v>
      </c>
      <c r="R296" s="2009" t="str">
        <f t="shared" si="71"/>
        <v>Depreciation</v>
      </c>
      <c r="S296" s="2009">
        <f t="shared" si="72"/>
        <v>0</v>
      </c>
      <c r="T296" s="1675" t="str">
        <f t="shared" si="73"/>
        <v>13-Month</v>
      </c>
      <c r="V296" s="1675" t="s">
        <v>1537</v>
      </c>
      <c r="W296" s="1675"/>
      <c r="X296" s="1675" t="s">
        <v>1537</v>
      </c>
      <c r="Y296" s="1675"/>
      <c r="Z296" s="1675"/>
      <c r="AA296" s="2009"/>
      <c r="AB296" s="1675" t="s">
        <v>2596</v>
      </c>
      <c r="AC296" s="2005"/>
      <c r="AD296" s="1675" t="s">
        <v>2596</v>
      </c>
      <c r="AE296" s="1675"/>
      <c r="AF296" s="1675" t="s">
        <v>593</v>
      </c>
      <c r="AG296" s="2010"/>
      <c r="AH296" s="2009" t="s">
        <v>1537</v>
      </c>
      <c r="AI296" s="2009"/>
      <c r="AJ296" s="1675" t="s">
        <v>2434</v>
      </c>
    </row>
    <row r="297" spans="1:36" ht="15" thickBot="1">
      <c r="A297" s="2008" t="s">
        <v>2435</v>
      </c>
      <c r="B297" s="2008"/>
      <c r="C297" s="2008" t="s">
        <v>2436</v>
      </c>
      <c r="D297" s="2008" t="s">
        <v>2437</v>
      </c>
      <c r="E297" s="2008"/>
      <c r="F297" s="2011" t="str">
        <f t="shared" si="74"/>
        <v>Beg. of Year</v>
      </c>
      <c r="G297" s="2011">
        <f t="shared" si="60"/>
        <v>0</v>
      </c>
      <c r="H297" s="2011" t="str">
        <f t="shared" si="61"/>
        <v>Accrued</v>
      </c>
      <c r="I297" s="2012">
        <f t="shared" si="62"/>
        <v>0</v>
      </c>
      <c r="J297" s="2011" t="str">
        <f t="shared" si="63"/>
        <v>Retirements</v>
      </c>
      <c r="K297" s="2012">
        <f t="shared" si="64"/>
        <v>0</v>
      </c>
      <c r="L297" s="2012" t="str">
        <f t="shared" si="65"/>
        <v>COR</v>
      </c>
      <c r="M297" s="2013">
        <f t="shared" si="66"/>
        <v>0</v>
      </c>
      <c r="N297" s="2013" t="str">
        <f t="shared" si="67"/>
        <v>Salvage</v>
      </c>
      <c r="O297" s="2013">
        <f t="shared" si="68"/>
        <v>0</v>
      </c>
      <c r="P297" s="2013" t="str">
        <f t="shared" si="69"/>
        <v>or Transfers</v>
      </c>
      <c r="Q297" s="2014">
        <f t="shared" si="70"/>
        <v>0</v>
      </c>
      <c r="R297" s="2013" t="str">
        <f t="shared" si="71"/>
        <v>End of Year</v>
      </c>
      <c r="S297" s="2013">
        <f t="shared" si="72"/>
        <v>0</v>
      </c>
      <c r="T297" s="2013" t="str">
        <f t="shared" si="73"/>
        <v>Average</v>
      </c>
      <c r="V297" s="2011" t="s">
        <v>2439</v>
      </c>
      <c r="W297" s="2011"/>
      <c r="X297" s="2011" t="s">
        <v>2597</v>
      </c>
      <c r="Y297" s="2012"/>
      <c r="Z297" s="2011" t="s">
        <v>1535</v>
      </c>
      <c r="AA297" s="2012"/>
      <c r="AB297" s="2012" t="s">
        <v>2598</v>
      </c>
      <c r="AC297" s="2013"/>
      <c r="AD297" s="2013" t="s">
        <v>2599</v>
      </c>
      <c r="AE297" s="2013"/>
      <c r="AF297" s="2013" t="s">
        <v>2442</v>
      </c>
      <c r="AG297" s="2014"/>
      <c r="AH297" s="2013" t="s">
        <v>2443</v>
      </c>
      <c r="AI297" s="2013"/>
      <c r="AJ297" s="2013" t="s">
        <v>2444</v>
      </c>
    </row>
    <row r="298" spans="1:36">
      <c r="A298" s="1675">
        <v>1</v>
      </c>
      <c r="B298" s="2015"/>
      <c r="F298" s="1674">
        <f t="shared" si="74"/>
        <v>0</v>
      </c>
      <c r="G298" s="1674">
        <f t="shared" si="60"/>
        <v>0</v>
      </c>
      <c r="H298" s="1674">
        <f t="shared" si="61"/>
        <v>0</v>
      </c>
      <c r="I298" s="1674">
        <f t="shared" si="62"/>
        <v>0</v>
      </c>
      <c r="J298" s="1674">
        <f t="shared" si="63"/>
        <v>0</v>
      </c>
      <c r="K298" s="1674">
        <f t="shared" si="64"/>
        <v>0</v>
      </c>
      <c r="L298" s="1674">
        <f t="shared" si="65"/>
        <v>0</v>
      </c>
      <c r="M298" s="1674">
        <f t="shared" si="66"/>
        <v>0</v>
      </c>
      <c r="N298" s="1674">
        <f t="shared" si="67"/>
        <v>0</v>
      </c>
      <c r="O298" s="1674">
        <f t="shared" si="68"/>
        <v>0</v>
      </c>
      <c r="P298" s="1674">
        <f t="shared" si="69"/>
        <v>0</v>
      </c>
      <c r="Q298" s="2001">
        <f t="shared" si="70"/>
        <v>0</v>
      </c>
      <c r="R298" s="1674">
        <f t="shared" si="71"/>
        <v>0</v>
      </c>
      <c r="S298" s="1674">
        <f t="shared" si="72"/>
        <v>0</v>
      </c>
      <c r="T298" s="1674">
        <f t="shared" si="73"/>
        <v>0</v>
      </c>
      <c r="AG298" s="2001"/>
    </row>
    <row r="299" spans="1:36">
      <c r="A299" s="1675">
        <v>2</v>
      </c>
      <c r="B299" s="2015"/>
      <c r="C299" s="1675"/>
      <c r="D299" s="2002" t="s">
        <v>2517</v>
      </c>
      <c r="F299" s="2023">
        <f t="shared" si="74"/>
        <v>0</v>
      </c>
      <c r="G299" s="1674">
        <f t="shared" si="60"/>
        <v>0</v>
      </c>
      <c r="H299" s="1789">
        <f t="shared" si="61"/>
        <v>0</v>
      </c>
      <c r="I299" s="1790">
        <f t="shared" si="62"/>
        <v>0</v>
      </c>
      <c r="J299" s="1790">
        <f t="shared" si="63"/>
        <v>0</v>
      </c>
      <c r="K299" s="1790">
        <f t="shared" si="64"/>
        <v>0</v>
      </c>
      <c r="L299" s="1790">
        <f t="shared" si="65"/>
        <v>0</v>
      </c>
      <c r="M299" s="1790">
        <f t="shared" si="66"/>
        <v>0</v>
      </c>
      <c r="N299" s="1790">
        <f t="shared" si="67"/>
        <v>0</v>
      </c>
      <c r="O299" s="1790">
        <f t="shared" si="68"/>
        <v>0</v>
      </c>
      <c r="P299" s="1790">
        <f t="shared" si="69"/>
        <v>0</v>
      </c>
      <c r="Q299" s="1790">
        <f t="shared" si="70"/>
        <v>0</v>
      </c>
      <c r="R299" s="1783">
        <f t="shared" si="71"/>
        <v>0</v>
      </c>
      <c r="S299" s="1790">
        <f t="shared" si="72"/>
        <v>0</v>
      </c>
      <c r="T299" s="1790">
        <f t="shared" si="73"/>
        <v>0</v>
      </c>
      <c r="V299" s="2023"/>
      <c r="X299" s="1789"/>
      <c r="Y299" s="1790"/>
      <c r="Z299" s="1790"/>
      <c r="AA299" s="1790"/>
      <c r="AB299" s="1790"/>
      <c r="AC299" s="1790"/>
      <c r="AD299" s="1790"/>
      <c r="AE299" s="1790"/>
      <c r="AF299" s="1790"/>
      <c r="AG299" s="1790"/>
      <c r="AH299" s="1783"/>
      <c r="AI299" s="1790"/>
      <c r="AJ299" s="1790"/>
    </row>
    <row r="300" spans="1:36">
      <c r="A300" s="1675">
        <v>3</v>
      </c>
      <c r="B300" s="2015"/>
      <c r="C300" s="2009">
        <v>34132</v>
      </c>
      <c r="D300" s="1674" t="s">
        <v>2449</v>
      </c>
      <c r="F300" s="1876">
        <f t="shared" si="74"/>
        <v>14552.664960000016</v>
      </c>
      <c r="G300" s="2001">
        <f t="shared" si="60"/>
        <v>0</v>
      </c>
      <c r="H300" s="1876">
        <f t="shared" si="61"/>
        <v>1150.3601999999998</v>
      </c>
      <c r="I300" s="1785">
        <f t="shared" si="62"/>
        <v>0</v>
      </c>
      <c r="J300" s="1876">
        <f t="shared" si="63"/>
        <v>0</v>
      </c>
      <c r="K300" s="1786">
        <f t="shared" si="64"/>
        <v>0</v>
      </c>
      <c r="L300" s="1876">
        <f t="shared" si="65"/>
        <v>0</v>
      </c>
      <c r="M300" s="1786">
        <f t="shared" si="66"/>
        <v>0</v>
      </c>
      <c r="N300" s="1876">
        <f t="shared" si="67"/>
        <v>0</v>
      </c>
      <c r="O300" s="1787">
        <f t="shared" si="68"/>
        <v>0</v>
      </c>
      <c r="P300" s="1876">
        <f t="shared" si="69"/>
        <v>0</v>
      </c>
      <c r="Q300" s="1785">
        <f t="shared" si="70"/>
        <v>0</v>
      </c>
      <c r="R300" s="1787">
        <f t="shared" si="71"/>
        <v>15703.025160000016</v>
      </c>
      <c r="S300" s="1786">
        <f t="shared" si="72"/>
        <v>0</v>
      </c>
      <c r="T300" s="1876">
        <f t="shared" si="73"/>
        <v>15127.84506</v>
      </c>
      <c r="V300" s="1876">
        <v>14552664.960000016</v>
      </c>
      <c r="W300" s="2001"/>
      <c r="X300" s="1876">
        <v>1150360.2</v>
      </c>
      <c r="Y300" s="1785"/>
      <c r="Z300" s="1876">
        <v>0</v>
      </c>
      <c r="AA300" s="1786"/>
      <c r="AB300" s="1876">
        <v>0</v>
      </c>
      <c r="AC300" s="1786"/>
      <c r="AD300" s="1876">
        <v>0</v>
      </c>
      <c r="AE300" s="1787"/>
      <c r="AF300" s="1876">
        <v>0</v>
      </c>
      <c r="AG300" s="1785"/>
      <c r="AH300" s="1787">
        <v>15703025.160000015</v>
      </c>
      <c r="AI300" s="1786"/>
      <c r="AJ300" s="1876">
        <v>15127845.060000001</v>
      </c>
    </row>
    <row r="301" spans="1:36">
      <c r="A301" s="1675">
        <v>4</v>
      </c>
      <c r="B301" s="2015"/>
      <c r="C301" s="2009">
        <v>34232</v>
      </c>
      <c r="D301" s="1674" t="s">
        <v>2495</v>
      </c>
      <c r="F301" s="1876">
        <f t="shared" si="74"/>
        <v>41339.893114999963</v>
      </c>
      <c r="G301" s="2001">
        <f t="shared" si="60"/>
        <v>0</v>
      </c>
      <c r="H301" s="1876">
        <f t="shared" si="61"/>
        <v>8065.1194000000005</v>
      </c>
      <c r="I301" s="1785">
        <f t="shared" si="62"/>
        <v>0</v>
      </c>
      <c r="J301" s="1876">
        <f t="shared" si="63"/>
        <v>-1197.0979</v>
      </c>
      <c r="K301" s="1786">
        <f t="shared" si="64"/>
        <v>0</v>
      </c>
      <c r="L301" s="1876">
        <f t="shared" si="65"/>
        <v>-1225</v>
      </c>
      <c r="M301" s="1786">
        <f t="shared" si="66"/>
        <v>0</v>
      </c>
      <c r="N301" s="1876">
        <f t="shared" si="67"/>
        <v>0</v>
      </c>
      <c r="O301" s="1787">
        <f t="shared" si="68"/>
        <v>0</v>
      </c>
      <c r="P301" s="1876">
        <f t="shared" si="69"/>
        <v>0</v>
      </c>
      <c r="Q301" s="1785">
        <f t="shared" si="70"/>
        <v>0</v>
      </c>
      <c r="R301" s="1787">
        <f t="shared" si="71"/>
        <v>46982.914614999965</v>
      </c>
      <c r="S301" s="1786">
        <f t="shared" si="72"/>
        <v>0</v>
      </c>
      <c r="T301" s="1876">
        <f t="shared" si="73"/>
        <v>44248.025609999997</v>
      </c>
      <c r="V301" s="1876">
        <v>41339893.114999965</v>
      </c>
      <c r="W301" s="2001"/>
      <c r="X301" s="1876">
        <v>8065119.4000000004</v>
      </c>
      <c r="Y301" s="1785"/>
      <c r="Z301" s="1876">
        <v>-1197097.8999999999</v>
      </c>
      <c r="AA301" s="1786"/>
      <c r="AB301" s="1876">
        <v>-1225000</v>
      </c>
      <c r="AC301" s="1786"/>
      <c r="AD301" s="1876">
        <v>0</v>
      </c>
      <c r="AE301" s="1787"/>
      <c r="AF301" s="1876">
        <v>0</v>
      </c>
      <c r="AG301" s="1785"/>
      <c r="AH301" s="1787">
        <v>46982914.614999965</v>
      </c>
      <c r="AI301" s="1786"/>
      <c r="AJ301" s="1876">
        <v>44248025.609999999</v>
      </c>
    </row>
    <row r="302" spans="1:36">
      <c r="A302" s="1675">
        <v>5</v>
      </c>
      <c r="B302" s="2015"/>
      <c r="C302" s="2009">
        <v>34332</v>
      </c>
      <c r="D302" s="1674" t="s">
        <v>2496</v>
      </c>
      <c r="F302" s="1876">
        <f t="shared" si="74"/>
        <v>127467.80104499994</v>
      </c>
      <c r="G302" s="2001">
        <f t="shared" si="60"/>
        <v>0</v>
      </c>
      <c r="H302" s="1876">
        <f t="shared" si="61"/>
        <v>17642.310219999999</v>
      </c>
      <c r="I302" s="1785">
        <f t="shared" si="62"/>
        <v>0</v>
      </c>
      <c r="J302" s="1876">
        <f t="shared" si="63"/>
        <v>-1197.0979</v>
      </c>
      <c r="K302" s="1786">
        <f t="shared" si="64"/>
        <v>0</v>
      </c>
      <c r="L302" s="1876">
        <f t="shared" si="65"/>
        <v>-1225</v>
      </c>
      <c r="M302" s="1786">
        <f t="shared" si="66"/>
        <v>0</v>
      </c>
      <c r="N302" s="1876">
        <f t="shared" si="67"/>
        <v>0</v>
      </c>
      <c r="O302" s="1787">
        <f t="shared" si="68"/>
        <v>0</v>
      </c>
      <c r="P302" s="1876">
        <f t="shared" si="69"/>
        <v>0</v>
      </c>
      <c r="Q302" s="1785">
        <f t="shared" si="70"/>
        <v>0</v>
      </c>
      <c r="R302" s="1787">
        <f t="shared" si="71"/>
        <v>142688.01336499993</v>
      </c>
      <c r="S302" s="1786">
        <f t="shared" si="72"/>
        <v>0</v>
      </c>
      <c r="T302" s="1876">
        <f t="shared" si="73"/>
        <v>135165.19752000002</v>
      </c>
      <c r="V302" s="1876">
        <v>127467801.04499994</v>
      </c>
      <c r="W302" s="2001"/>
      <c r="X302" s="1876">
        <v>17642310.219999999</v>
      </c>
      <c r="Y302" s="1785"/>
      <c r="Z302" s="1876">
        <v>-1197097.8999999999</v>
      </c>
      <c r="AA302" s="1786"/>
      <c r="AB302" s="1876">
        <v>-1225000</v>
      </c>
      <c r="AC302" s="1786"/>
      <c r="AD302" s="1876">
        <v>0</v>
      </c>
      <c r="AE302" s="1787"/>
      <c r="AF302" s="1876">
        <v>0</v>
      </c>
      <c r="AG302" s="1785"/>
      <c r="AH302" s="1787">
        <v>142688013.36499992</v>
      </c>
      <c r="AI302" s="1786"/>
      <c r="AJ302" s="1876">
        <v>135165197.52000001</v>
      </c>
    </row>
    <row r="303" spans="1:36">
      <c r="A303" s="1675">
        <v>6</v>
      </c>
      <c r="B303" s="2015"/>
      <c r="C303" s="2009">
        <v>34532</v>
      </c>
      <c r="D303" s="1674" t="s">
        <v>2454</v>
      </c>
      <c r="F303" s="1876">
        <f t="shared" si="74"/>
        <v>25733.846520000025</v>
      </c>
      <c r="G303" s="2001">
        <f t="shared" si="60"/>
        <v>0</v>
      </c>
      <c r="H303" s="1876">
        <f t="shared" si="61"/>
        <v>1600.2124799999999</v>
      </c>
      <c r="I303" s="1785">
        <f t="shared" si="62"/>
        <v>0</v>
      </c>
      <c r="J303" s="1876">
        <f t="shared" si="63"/>
        <v>0</v>
      </c>
      <c r="K303" s="1786">
        <f t="shared" si="64"/>
        <v>0</v>
      </c>
      <c r="L303" s="1876">
        <f t="shared" si="65"/>
        <v>0</v>
      </c>
      <c r="M303" s="1786">
        <f t="shared" si="66"/>
        <v>0</v>
      </c>
      <c r="N303" s="1876">
        <f t="shared" si="67"/>
        <v>0</v>
      </c>
      <c r="O303" s="1787">
        <f t="shared" si="68"/>
        <v>0</v>
      </c>
      <c r="P303" s="1876">
        <f t="shared" si="69"/>
        <v>0</v>
      </c>
      <c r="Q303" s="1785">
        <f t="shared" si="70"/>
        <v>0</v>
      </c>
      <c r="R303" s="1787">
        <f t="shared" si="71"/>
        <v>27334.059000000027</v>
      </c>
      <c r="S303" s="1786">
        <f t="shared" si="72"/>
        <v>0</v>
      </c>
      <c r="T303" s="1876">
        <f t="shared" si="73"/>
        <v>26533.95276</v>
      </c>
      <c r="V303" s="1876">
        <v>25733846.520000026</v>
      </c>
      <c r="W303" s="2001"/>
      <c r="X303" s="1876">
        <v>1600212.48</v>
      </c>
      <c r="Y303" s="1785"/>
      <c r="Z303" s="1876">
        <v>0</v>
      </c>
      <c r="AA303" s="1786"/>
      <c r="AB303" s="1876">
        <v>0</v>
      </c>
      <c r="AC303" s="1786"/>
      <c r="AD303" s="1876">
        <v>0</v>
      </c>
      <c r="AE303" s="1787"/>
      <c r="AF303" s="1876">
        <v>0</v>
      </c>
      <c r="AG303" s="1785"/>
      <c r="AH303" s="1787">
        <v>27334059.000000026</v>
      </c>
      <c r="AI303" s="1786"/>
      <c r="AJ303" s="1876">
        <v>26533952.760000002</v>
      </c>
    </row>
    <row r="304" spans="1:36">
      <c r="A304" s="1675">
        <v>7</v>
      </c>
      <c r="B304" s="2015"/>
      <c r="C304" s="2009">
        <v>34632</v>
      </c>
      <c r="D304" s="1674" t="s">
        <v>2455</v>
      </c>
      <c r="F304" s="1876">
        <f t="shared" si="74"/>
        <v>853.78874000000019</v>
      </c>
      <c r="G304" s="2001">
        <f t="shared" si="60"/>
        <v>0</v>
      </c>
      <c r="H304" s="1876">
        <f t="shared" si="61"/>
        <v>60.261480000000006</v>
      </c>
      <c r="I304" s="1785">
        <f t="shared" si="62"/>
        <v>0</v>
      </c>
      <c r="J304" s="1876">
        <f t="shared" si="63"/>
        <v>0</v>
      </c>
      <c r="K304" s="1786">
        <f t="shared" si="64"/>
        <v>0</v>
      </c>
      <c r="L304" s="1876">
        <f t="shared" si="65"/>
        <v>0</v>
      </c>
      <c r="M304" s="1786">
        <f t="shared" si="66"/>
        <v>0</v>
      </c>
      <c r="N304" s="1876">
        <f t="shared" si="67"/>
        <v>0</v>
      </c>
      <c r="O304" s="1787">
        <f t="shared" si="68"/>
        <v>0</v>
      </c>
      <c r="P304" s="1876">
        <f t="shared" si="69"/>
        <v>0</v>
      </c>
      <c r="Q304" s="1785">
        <f t="shared" si="70"/>
        <v>0</v>
      </c>
      <c r="R304" s="1787">
        <f t="shared" si="71"/>
        <v>914.05022000000019</v>
      </c>
      <c r="S304" s="1786">
        <f t="shared" si="72"/>
        <v>0</v>
      </c>
      <c r="T304" s="1876">
        <f t="shared" si="73"/>
        <v>883.91948000000002</v>
      </c>
      <c r="V304" s="1876">
        <v>853788.74000000022</v>
      </c>
      <c r="W304" s="2001"/>
      <c r="X304" s="1876">
        <v>60261.48</v>
      </c>
      <c r="Y304" s="1785"/>
      <c r="Z304" s="1876">
        <v>0</v>
      </c>
      <c r="AA304" s="1786"/>
      <c r="AB304" s="1876">
        <v>0</v>
      </c>
      <c r="AC304" s="1786"/>
      <c r="AD304" s="1876">
        <v>0</v>
      </c>
      <c r="AE304" s="1787"/>
      <c r="AF304" s="1876">
        <v>0</v>
      </c>
      <c r="AG304" s="1785"/>
      <c r="AH304" s="1787">
        <v>914050.2200000002</v>
      </c>
      <c r="AI304" s="1786"/>
      <c r="AJ304" s="1876">
        <v>883919.48</v>
      </c>
    </row>
    <row r="305" spans="1:36">
      <c r="A305" s="1675">
        <v>8</v>
      </c>
      <c r="B305" s="2015"/>
      <c r="C305" s="1675"/>
      <c r="D305" s="2002" t="s">
        <v>2518</v>
      </c>
      <c r="F305" s="1788">
        <f t="shared" si="74"/>
        <v>209947.99437999993</v>
      </c>
      <c r="G305" s="1674">
        <f t="shared" si="60"/>
        <v>0</v>
      </c>
      <c r="H305" s="1788">
        <f t="shared" si="61"/>
        <v>28518.263780000001</v>
      </c>
      <c r="I305" s="1783">
        <f t="shared" si="62"/>
        <v>0</v>
      </c>
      <c r="J305" s="1788">
        <f t="shared" si="63"/>
        <v>-2394.1958</v>
      </c>
      <c r="K305" s="1783">
        <f t="shared" si="64"/>
        <v>0</v>
      </c>
      <c r="L305" s="1788">
        <f t="shared" si="65"/>
        <v>-2450</v>
      </c>
      <c r="M305" s="1783">
        <f t="shared" si="66"/>
        <v>0</v>
      </c>
      <c r="N305" s="1788">
        <f t="shared" si="67"/>
        <v>0</v>
      </c>
      <c r="O305" s="1814">
        <f t="shared" si="68"/>
        <v>0</v>
      </c>
      <c r="P305" s="1788">
        <f t="shared" si="69"/>
        <v>0</v>
      </c>
      <c r="Q305" s="1783">
        <f t="shared" si="70"/>
        <v>0</v>
      </c>
      <c r="R305" s="1788">
        <f t="shared" si="71"/>
        <v>233622.06235999992</v>
      </c>
      <c r="S305" s="1783">
        <f t="shared" si="72"/>
        <v>0</v>
      </c>
      <c r="T305" s="1788">
        <f t="shared" si="73"/>
        <v>221958.94042999999</v>
      </c>
      <c r="V305" s="1788">
        <v>209947994.37999994</v>
      </c>
      <c r="X305" s="1788">
        <v>28518263.780000001</v>
      </c>
      <c r="Y305" s="1783"/>
      <c r="Z305" s="1788">
        <v>-2394195.7999999998</v>
      </c>
      <c r="AA305" s="1783"/>
      <c r="AB305" s="1788">
        <v>-2450000</v>
      </c>
      <c r="AC305" s="1783"/>
      <c r="AD305" s="1788">
        <v>0</v>
      </c>
      <c r="AE305" s="1814"/>
      <c r="AF305" s="1788">
        <v>0</v>
      </c>
      <c r="AG305" s="1783"/>
      <c r="AH305" s="1788">
        <v>233622062.35999992</v>
      </c>
      <c r="AI305" s="1783"/>
      <c r="AJ305" s="1788">
        <v>221958940.42999998</v>
      </c>
    </row>
    <row r="306" spans="1:36">
      <c r="A306" s="1675">
        <v>9</v>
      </c>
      <c r="B306" s="2015"/>
      <c r="F306" s="1674">
        <f t="shared" si="74"/>
        <v>0</v>
      </c>
      <c r="G306" s="1674">
        <f t="shared" si="60"/>
        <v>0</v>
      </c>
      <c r="H306" s="1674">
        <f t="shared" si="61"/>
        <v>0</v>
      </c>
      <c r="I306" s="1674">
        <f t="shared" si="62"/>
        <v>0</v>
      </c>
      <c r="J306" s="1674">
        <f t="shared" si="63"/>
        <v>0</v>
      </c>
      <c r="K306" s="1674">
        <f t="shared" si="64"/>
        <v>0</v>
      </c>
      <c r="L306" s="1674">
        <f t="shared" si="65"/>
        <v>0</v>
      </c>
      <c r="M306" s="1674">
        <f t="shared" si="66"/>
        <v>0</v>
      </c>
      <c r="N306" s="1674">
        <f t="shared" si="67"/>
        <v>0</v>
      </c>
      <c r="O306" s="1674">
        <f t="shared" si="68"/>
        <v>0</v>
      </c>
      <c r="P306" s="1674">
        <f t="shared" si="69"/>
        <v>0</v>
      </c>
      <c r="Q306" s="2001">
        <f t="shared" si="70"/>
        <v>0</v>
      </c>
      <c r="R306" s="1674">
        <f t="shared" si="71"/>
        <v>0</v>
      </c>
      <c r="S306" s="1674">
        <f t="shared" si="72"/>
        <v>0</v>
      </c>
      <c r="T306" s="1674">
        <f t="shared" si="73"/>
        <v>0</v>
      </c>
      <c r="AG306" s="2001"/>
    </row>
    <row r="307" spans="1:36">
      <c r="A307" s="1675">
        <v>10</v>
      </c>
      <c r="B307" s="2015"/>
      <c r="C307" s="1675"/>
      <c r="D307" s="2002" t="s">
        <v>2519</v>
      </c>
      <c r="F307" s="1674">
        <f t="shared" si="74"/>
        <v>0</v>
      </c>
      <c r="G307" s="1674">
        <f t="shared" si="60"/>
        <v>0</v>
      </c>
      <c r="H307" s="1674">
        <f t="shared" si="61"/>
        <v>0</v>
      </c>
      <c r="I307" s="1790">
        <f t="shared" si="62"/>
        <v>0</v>
      </c>
      <c r="J307" s="1674">
        <f t="shared" si="63"/>
        <v>0</v>
      </c>
      <c r="K307" s="1790">
        <f t="shared" si="64"/>
        <v>0</v>
      </c>
      <c r="L307" s="1674">
        <f t="shared" si="65"/>
        <v>0</v>
      </c>
      <c r="M307" s="1790">
        <f t="shared" si="66"/>
        <v>0</v>
      </c>
      <c r="N307" s="1674">
        <f t="shared" si="67"/>
        <v>0</v>
      </c>
      <c r="O307" s="1674">
        <f t="shared" si="68"/>
        <v>0</v>
      </c>
      <c r="P307" s="1674">
        <f t="shared" si="69"/>
        <v>0</v>
      </c>
      <c r="Q307" s="1790">
        <f t="shared" si="70"/>
        <v>0</v>
      </c>
      <c r="R307" s="1674">
        <f t="shared" si="71"/>
        <v>0</v>
      </c>
      <c r="S307" s="1790">
        <f t="shared" si="72"/>
        <v>0</v>
      </c>
      <c r="T307" s="1674">
        <f t="shared" si="73"/>
        <v>0</v>
      </c>
      <c r="Y307" s="1790"/>
      <c r="AA307" s="1790"/>
      <c r="AC307" s="1790"/>
      <c r="AG307" s="1790"/>
      <c r="AI307" s="1790"/>
    </row>
    <row r="308" spans="1:36">
      <c r="A308" s="1675">
        <v>11</v>
      </c>
      <c r="B308" s="2015"/>
      <c r="C308" s="2009">
        <v>34133</v>
      </c>
      <c r="D308" s="1674" t="s">
        <v>2449</v>
      </c>
      <c r="F308" s="1876">
        <f t="shared" si="74"/>
        <v>75.171190000000038</v>
      </c>
      <c r="G308" s="2001">
        <f t="shared" si="60"/>
        <v>0</v>
      </c>
      <c r="H308" s="1876">
        <f t="shared" si="61"/>
        <v>27.8292</v>
      </c>
      <c r="I308" s="1785">
        <f t="shared" si="62"/>
        <v>0</v>
      </c>
      <c r="J308" s="1876">
        <f t="shared" si="63"/>
        <v>0</v>
      </c>
      <c r="K308" s="1786">
        <f t="shared" si="64"/>
        <v>0</v>
      </c>
      <c r="L308" s="1876">
        <f t="shared" si="65"/>
        <v>0</v>
      </c>
      <c r="M308" s="1786">
        <f t="shared" si="66"/>
        <v>0</v>
      </c>
      <c r="N308" s="1876">
        <f t="shared" si="67"/>
        <v>0</v>
      </c>
      <c r="O308" s="1787">
        <f t="shared" si="68"/>
        <v>0</v>
      </c>
      <c r="P308" s="1876">
        <f t="shared" si="69"/>
        <v>0</v>
      </c>
      <c r="Q308" s="1785">
        <f t="shared" si="70"/>
        <v>0</v>
      </c>
      <c r="R308" s="1787">
        <f t="shared" si="71"/>
        <v>103.00039000000002</v>
      </c>
      <c r="S308" s="1786">
        <f t="shared" si="72"/>
        <v>0</v>
      </c>
      <c r="T308" s="1876">
        <f t="shared" si="73"/>
        <v>89.085789999999989</v>
      </c>
      <c r="V308" s="1876">
        <v>75171.190000000031</v>
      </c>
      <c r="W308" s="2001"/>
      <c r="X308" s="1876">
        <v>27829.200000000001</v>
      </c>
      <c r="Y308" s="1785"/>
      <c r="Z308" s="1876">
        <v>0</v>
      </c>
      <c r="AA308" s="1786"/>
      <c r="AB308" s="1876">
        <v>0</v>
      </c>
      <c r="AC308" s="1786"/>
      <c r="AD308" s="1876">
        <v>0</v>
      </c>
      <c r="AE308" s="1787"/>
      <c r="AF308" s="1876">
        <v>0</v>
      </c>
      <c r="AG308" s="1785"/>
      <c r="AH308" s="1787">
        <v>103000.39000000003</v>
      </c>
      <c r="AI308" s="1786"/>
      <c r="AJ308" s="1876">
        <v>89085.79</v>
      </c>
    </row>
    <row r="309" spans="1:36">
      <c r="A309" s="1675">
        <v>12</v>
      </c>
      <c r="B309" s="2015"/>
      <c r="C309" s="2009">
        <v>34233</v>
      </c>
      <c r="D309" s="1674" t="s">
        <v>2495</v>
      </c>
      <c r="F309" s="1876">
        <f t="shared" si="74"/>
        <v>1093.3202199999992</v>
      </c>
      <c r="G309" s="2001">
        <f t="shared" si="60"/>
        <v>0</v>
      </c>
      <c r="H309" s="1876">
        <f t="shared" si="61"/>
        <v>151.84320000000002</v>
      </c>
      <c r="I309" s="1785">
        <f t="shared" si="62"/>
        <v>0</v>
      </c>
      <c r="J309" s="1876">
        <f t="shared" si="63"/>
        <v>0</v>
      </c>
      <c r="K309" s="1786">
        <f t="shared" si="64"/>
        <v>0</v>
      </c>
      <c r="L309" s="1876">
        <f t="shared" si="65"/>
        <v>0</v>
      </c>
      <c r="M309" s="1786">
        <f t="shared" si="66"/>
        <v>0</v>
      </c>
      <c r="N309" s="1876">
        <f t="shared" si="67"/>
        <v>0</v>
      </c>
      <c r="O309" s="1787">
        <f t="shared" si="68"/>
        <v>0</v>
      </c>
      <c r="P309" s="1876">
        <f t="shared" si="69"/>
        <v>0</v>
      </c>
      <c r="Q309" s="1785">
        <f t="shared" si="70"/>
        <v>0</v>
      </c>
      <c r="R309" s="1787">
        <f t="shared" si="71"/>
        <v>1245.163419999999</v>
      </c>
      <c r="S309" s="1786">
        <f t="shared" si="72"/>
        <v>0</v>
      </c>
      <c r="T309" s="1876">
        <f t="shared" si="73"/>
        <v>1169.24182</v>
      </c>
      <c r="V309" s="1876">
        <v>1093320.219999999</v>
      </c>
      <c r="W309" s="2001"/>
      <c r="X309" s="1876">
        <v>151843.20000000001</v>
      </c>
      <c r="Y309" s="1785"/>
      <c r="Z309" s="1876">
        <v>0</v>
      </c>
      <c r="AA309" s="1786"/>
      <c r="AB309" s="1876">
        <v>0</v>
      </c>
      <c r="AC309" s="1786"/>
      <c r="AD309" s="1876">
        <v>0</v>
      </c>
      <c r="AE309" s="1787"/>
      <c r="AF309" s="1876">
        <v>0</v>
      </c>
      <c r="AG309" s="1785"/>
      <c r="AH309" s="1787">
        <v>1245163.419999999</v>
      </c>
      <c r="AI309" s="1786"/>
      <c r="AJ309" s="1876">
        <v>1169241.82</v>
      </c>
    </row>
    <row r="310" spans="1:36">
      <c r="A310" s="1675">
        <v>13</v>
      </c>
      <c r="B310" s="2015"/>
      <c r="C310" s="2009">
        <v>34333</v>
      </c>
      <c r="D310" s="1674" t="s">
        <v>2496</v>
      </c>
      <c r="F310" s="1876">
        <f t="shared" si="74"/>
        <v>9023.4204900000059</v>
      </c>
      <c r="G310" s="2001">
        <f t="shared" si="60"/>
        <v>0</v>
      </c>
      <c r="H310" s="1876">
        <f t="shared" si="61"/>
        <v>356.16300000000001</v>
      </c>
      <c r="I310" s="1785">
        <f t="shared" si="62"/>
        <v>0</v>
      </c>
      <c r="J310" s="1876">
        <f t="shared" si="63"/>
        <v>0</v>
      </c>
      <c r="K310" s="1786">
        <f t="shared" si="64"/>
        <v>0</v>
      </c>
      <c r="L310" s="1876">
        <f t="shared" si="65"/>
        <v>0</v>
      </c>
      <c r="M310" s="1786">
        <f t="shared" si="66"/>
        <v>0</v>
      </c>
      <c r="N310" s="1876">
        <f t="shared" si="67"/>
        <v>0</v>
      </c>
      <c r="O310" s="1787">
        <f t="shared" si="68"/>
        <v>0</v>
      </c>
      <c r="P310" s="1876">
        <f t="shared" si="69"/>
        <v>0</v>
      </c>
      <c r="Q310" s="1785">
        <f t="shared" si="70"/>
        <v>0</v>
      </c>
      <c r="R310" s="1787">
        <f t="shared" si="71"/>
        <v>9379.5834900000063</v>
      </c>
      <c r="S310" s="1786">
        <f t="shared" si="72"/>
        <v>0</v>
      </c>
      <c r="T310" s="1876">
        <f t="shared" si="73"/>
        <v>9201.5019900000007</v>
      </c>
      <c r="V310" s="1876">
        <v>9023420.4900000058</v>
      </c>
      <c r="W310" s="2001"/>
      <c r="X310" s="1876">
        <v>356163</v>
      </c>
      <c r="Y310" s="1785"/>
      <c r="Z310" s="1876">
        <v>0</v>
      </c>
      <c r="AA310" s="1786"/>
      <c r="AB310" s="1876">
        <v>0</v>
      </c>
      <c r="AC310" s="1786"/>
      <c r="AD310" s="1876">
        <v>0</v>
      </c>
      <c r="AE310" s="1787"/>
      <c r="AF310" s="1876">
        <v>0</v>
      </c>
      <c r="AG310" s="1785"/>
      <c r="AH310" s="1787">
        <v>9379583.4900000058</v>
      </c>
      <c r="AI310" s="1786"/>
      <c r="AJ310" s="1876">
        <v>9201501.9900000002</v>
      </c>
    </row>
    <row r="311" spans="1:36">
      <c r="A311" s="1675">
        <v>14</v>
      </c>
      <c r="B311" s="2015"/>
      <c r="C311" s="2009">
        <v>34533</v>
      </c>
      <c r="D311" s="1674" t="s">
        <v>2454</v>
      </c>
      <c r="F311" s="1876">
        <f t="shared" si="74"/>
        <v>6497.5046499999926</v>
      </c>
      <c r="G311" s="2001">
        <f t="shared" si="60"/>
        <v>0</v>
      </c>
      <c r="H311" s="1876">
        <f t="shared" si="61"/>
        <v>364.27668</v>
      </c>
      <c r="I311" s="1785">
        <f t="shared" si="62"/>
        <v>0</v>
      </c>
      <c r="J311" s="1876">
        <f t="shared" si="63"/>
        <v>0</v>
      </c>
      <c r="K311" s="1786">
        <f t="shared" si="64"/>
        <v>0</v>
      </c>
      <c r="L311" s="1876">
        <f t="shared" si="65"/>
        <v>0</v>
      </c>
      <c r="M311" s="1786">
        <f t="shared" si="66"/>
        <v>0</v>
      </c>
      <c r="N311" s="1876">
        <f t="shared" si="67"/>
        <v>0</v>
      </c>
      <c r="O311" s="1787">
        <f t="shared" si="68"/>
        <v>0</v>
      </c>
      <c r="P311" s="1876">
        <f t="shared" si="69"/>
        <v>0</v>
      </c>
      <c r="Q311" s="1785">
        <f t="shared" si="70"/>
        <v>0</v>
      </c>
      <c r="R311" s="1787">
        <f t="shared" si="71"/>
        <v>6861.7813299999925</v>
      </c>
      <c r="S311" s="1786">
        <f t="shared" si="72"/>
        <v>0</v>
      </c>
      <c r="T311" s="1876">
        <f t="shared" si="73"/>
        <v>6679.6429900000003</v>
      </c>
      <c r="V311" s="1876">
        <v>6497504.6499999929</v>
      </c>
      <c r="W311" s="2001"/>
      <c r="X311" s="1876">
        <v>364276.68</v>
      </c>
      <c r="Y311" s="1785"/>
      <c r="Z311" s="1876">
        <v>0</v>
      </c>
      <c r="AA311" s="1786"/>
      <c r="AB311" s="1876">
        <v>0</v>
      </c>
      <c r="AC311" s="1786"/>
      <c r="AD311" s="1876">
        <v>0</v>
      </c>
      <c r="AE311" s="1787"/>
      <c r="AF311" s="1876">
        <v>0</v>
      </c>
      <c r="AG311" s="1785"/>
      <c r="AH311" s="1787">
        <v>6861781.3299999926</v>
      </c>
      <c r="AI311" s="1786"/>
      <c r="AJ311" s="1876">
        <v>6679642.9900000002</v>
      </c>
    </row>
    <row r="312" spans="1:36">
      <c r="A312" s="1675">
        <v>15</v>
      </c>
      <c r="B312" s="2015"/>
      <c r="C312" s="2009">
        <v>34633</v>
      </c>
      <c r="D312" s="1674" t="s">
        <v>2455</v>
      </c>
      <c r="F312" s="1876">
        <f t="shared" si="74"/>
        <v>0.48696000000000011</v>
      </c>
      <c r="G312" s="2001">
        <f t="shared" si="60"/>
        <v>0</v>
      </c>
      <c r="H312" s="1876">
        <f t="shared" si="61"/>
        <v>2.5920000000000002E-2</v>
      </c>
      <c r="I312" s="1785">
        <f t="shared" si="62"/>
        <v>0</v>
      </c>
      <c r="J312" s="1876">
        <f t="shared" si="63"/>
        <v>0</v>
      </c>
      <c r="K312" s="1786">
        <f t="shared" si="64"/>
        <v>0</v>
      </c>
      <c r="L312" s="1876">
        <f t="shared" si="65"/>
        <v>0</v>
      </c>
      <c r="M312" s="1786">
        <f t="shared" si="66"/>
        <v>0</v>
      </c>
      <c r="N312" s="1876">
        <f t="shared" si="67"/>
        <v>0</v>
      </c>
      <c r="O312" s="1787">
        <f t="shared" si="68"/>
        <v>0</v>
      </c>
      <c r="P312" s="1876">
        <f t="shared" si="69"/>
        <v>0</v>
      </c>
      <c r="Q312" s="1785">
        <f t="shared" si="70"/>
        <v>0</v>
      </c>
      <c r="R312" s="1787">
        <f t="shared" si="71"/>
        <v>0.51288000000000011</v>
      </c>
      <c r="S312" s="1786">
        <f t="shared" si="72"/>
        <v>0</v>
      </c>
      <c r="T312" s="1876">
        <f t="shared" si="73"/>
        <v>0.49992000000000003</v>
      </c>
      <c r="V312" s="1876">
        <v>486.96000000000009</v>
      </c>
      <c r="W312" s="2001"/>
      <c r="X312" s="1876">
        <v>25.92</v>
      </c>
      <c r="Y312" s="1785"/>
      <c r="Z312" s="1876">
        <v>0</v>
      </c>
      <c r="AA312" s="1786"/>
      <c r="AB312" s="1876">
        <v>0</v>
      </c>
      <c r="AC312" s="1786"/>
      <c r="AD312" s="1876">
        <v>0</v>
      </c>
      <c r="AE312" s="1787"/>
      <c r="AF312" s="1876">
        <v>0</v>
      </c>
      <c r="AG312" s="1785"/>
      <c r="AH312" s="1787">
        <v>512.88000000000011</v>
      </c>
      <c r="AI312" s="1786"/>
      <c r="AJ312" s="1876">
        <v>499.92</v>
      </c>
    </row>
    <row r="313" spans="1:36">
      <c r="A313" s="1675">
        <v>16</v>
      </c>
      <c r="B313" s="2015"/>
      <c r="D313" s="2002" t="s">
        <v>2520</v>
      </c>
      <c r="F313" s="1788">
        <f t="shared" si="74"/>
        <v>16689.903509999996</v>
      </c>
      <c r="G313" s="1674">
        <f t="shared" si="60"/>
        <v>0</v>
      </c>
      <c r="H313" s="1788">
        <f t="shared" si="61"/>
        <v>900.13800000000015</v>
      </c>
      <c r="I313" s="1783">
        <f t="shared" si="62"/>
        <v>0</v>
      </c>
      <c r="J313" s="1788">
        <f t="shared" si="63"/>
        <v>0</v>
      </c>
      <c r="K313" s="1783">
        <f t="shared" si="64"/>
        <v>0</v>
      </c>
      <c r="L313" s="1788">
        <f t="shared" si="65"/>
        <v>0</v>
      </c>
      <c r="M313" s="1783">
        <f t="shared" si="66"/>
        <v>0</v>
      </c>
      <c r="N313" s="1788">
        <f t="shared" si="67"/>
        <v>0</v>
      </c>
      <c r="O313" s="1814">
        <f t="shared" si="68"/>
        <v>0</v>
      </c>
      <c r="P313" s="1788">
        <f t="shared" si="69"/>
        <v>0</v>
      </c>
      <c r="Q313" s="1783">
        <f t="shared" si="70"/>
        <v>0</v>
      </c>
      <c r="R313" s="1788">
        <f t="shared" si="71"/>
        <v>17590.041509999995</v>
      </c>
      <c r="S313" s="1783">
        <f t="shared" si="72"/>
        <v>0</v>
      </c>
      <c r="T313" s="1788">
        <f t="shared" si="73"/>
        <v>17139.972510000003</v>
      </c>
      <c r="V313" s="1788">
        <v>16689903.509999998</v>
      </c>
      <c r="X313" s="1788">
        <v>900138.00000000012</v>
      </c>
      <c r="Y313" s="1783"/>
      <c r="Z313" s="1788">
        <v>0</v>
      </c>
      <c r="AA313" s="1783"/>
      <c r="AB313" s="1788">
        <v>0</v>
      </c>
      <c r="AC313" s="1783"/>
      <c r="AD313" s="1788">
        <v>0</v>
      </c>
      <c r="AE313" s="1814"/>
      <c r="AF313" s="1788">
        <v>0</v>
      </c>
      <c r="AG313" s="1783"/>
      <c r="AH313" s="1788">
        <v>17590041.509999994</v>
      </c>
      <c r="AI313" s="1783"/>
      <c r="AJ313" s="1788">
        <v>17139972.510000002</v>
      </c>
    </row>
    <row r="314" spans="1:36">
      <c r="A314" s="1675">
        <v>17</v>
      </c>
      <c r="B314" s="2015"/>
      <c r="F314" s="1674">
        <f t="shared" si="74"/>
        <v>0</v>
      </c>
      <c r="G314" s="1674">
        <f t="shared" si="60"/>
        <v>0</v>
      </c>
      <c r="H314" s="1674">
        <f t="shared" si="61"/>
        <v>0</v>
      </c>
      <c r="I314" s="1674">
        <f t="shared" si="62"/>
        <v>0</v>
      </c>
      <c r="J314" s="1674">
        <f t="shared" si="63"/>
        <v>0</v>
      </c>
      <c r="K314" s="1674">
        <f t="shared" si="64"/>
        <v>0</v>
      </c>
      <c r="L314" s="1674">
        <f t="shared" si="65"/>
        <v>0</v>
      </c>
      <c r="M314" s="1674">
        <f t="shared" si="66"/>
        <v>0</v>
      </c>
      <c r="N314" s="1674">
        <f t="shared" si="67"/>
        <v>0</v>
      </c>
      <c r="O314" s="1674">
        <f t="shared" si="68"/>
        <v>0</v>
      </c>
      <c r="P314" s="1674">
        <f t="shared" si="69"/>
        <v>0</v>
      </c>
      <c r="Q314" s="2001">
        <f t="shared" si="70"/>
        <v>0</v>
      </c>
      <c r="R314" s="1674">
        <f t="shared" si="71"/>
        <v>0</v>
      </c>
      <c r="S314" s="1674">
        <f t="shared" si="72"/>
        <v>0</v>
      </c>
      <c r="T314" s="1674">
        <f t="shared" si="73"/>
        <v>0</v>
      </c>
      <c r="AG314" s="2001"/>
    </row>
    <row r="315" spans="1:36">
      <c r="A315" s="1675">
        <v>18</v>
      </c>
      <c r="B315" s="2015"/>
      <c r="C315" s="1675"/>
      <c r="D315" s="2002" t="s">
        <v>2521</v>
      </c>
      <c r="F315" s="1674">
        <f t="shared" si="74"/>
        <v>0</v>
      </c>
      <c r="G315" s="1674">
        <f t="shared" si="60"/>
        <v>0</v>
      </c>
      <c r="H315" s="1674">
        <f t="shared" si="61"/>
        <v>0</v>
      </c>
      <c r="I315" s="1790">
        <f t="shared" si="62"/>
        <v>0</v>
      </c>
      <c r="J315" s="1674">
        <f t="shared" si="63"/>
        <v>0</v>
      </c>
      <c r="K315" s="1790">
        <f t="shared" si="64"/>
        <v>0</v>
      </c>
      <c r="L315" s="1674">
        <f t="shared" si="65"/>
        <v>0</v>
      </c>
      <c r="M315" s="1790">
        <f t="shared" si="66"/>
        <v>0</v>
      </c>
      <c r="N315" s="1674">
        <f t="shared" si="67"/>
        <v>0</v>
      </c>
      <c r="O315" s="1674">
        <f t="shared" si="68"/>
        <v>0</v>
      </c>
      <c r="P315" s="1674">
        <f t="shared" si="69"/>
        <v>0</v>
      </c>
      <c r="Q315" s="1790">
        <f t="shared" si="70"/>
        <v>0</v>
      </c>
      <c r="R315" s="1674">
        <f t="shared" si="71"/>
        <v>0</v>
      </c>
      <c r="S315" s="1790">
        <f t="shared" si="72"/>
        <v>0</v>
      </c>
      <c r="T315" s="1674">
        <f t="shared" si="73"/>
        <v>0</v>
      </c>
      <c r="Y315" s="1790"/>
      <c r="AA315" s="1790"/>
      <c r="AC315" s="1790"/>
      <c r="AG315" s="1790"/>
      <c r="AI315" s="1790"/>
    </row>
    <row r="316" spans="1:36">
      <c r="A316" s="1675">
        <v>19</v>
      </c>
      <c r="B316" s="2015"/>
      <c r="C316" s="2009">
        <v>34134</v>
      </c>
      <c r="D316" s="1674" t="s">
        <v>2449</v>
      </c>
      <c r="F316" s="1876">
        <f t="shared" si="74"/>
        <v>-73.139029999999934</v>
      </c>
      <c r="G316" s="2001">
        <f t="shared" si="60"/>
        <v>0</v>
      </c>
      <c r="H316" s="1876">
        <f t="shared" si="61"/>
        <v>14.661239999999999</v>
      </c>
      <c r="I316" s="1785">
        <f t="shared" si="62"/>
        <v>0</v>
      </c>
      <c r="J316" s="1876">
        <f t="shared" si="63"/>
        <v>0</v>
      </c>
      <c r="K316" s="1786">
        <f t="shared" si="64"/>
        <v>0</v>
      </c>
      <c r="L316" s="1876">
        <f t="shared" si="65"/>
        <v>0</v>
      </c>
      <c r="M316" s="1786">
        <f t="shared" si="66"/>
        <v>0</v>
      </c>
      <c r="N316" s="1876">
        <f t="shared" si="67"/>
        <v>0</v>
      </c>
      <c r="O316" s="1787">
        <f t="shared" si="68"/>
        <v>0</v>
      </c>
      <c r="P316" s="1876">
        <f t="shared" si="69"/>
        <v>0</v>
      </c>
      <c r="Q316" s="1785">
        <f t="shared" si="70"/>
        <v>0</v>
      </c>
      <c r="R316" s="1787">
        <f t="shared" si="71"/>
        <v>-58.477789999999942</v>
      </c>
      <c r="S316" s="1786">
        <f t="shared" si="72"/>
        <v>0</v>
      </c>
      <c r="T316" s="1876">
        <f t="shared" si="73"/>
        <v>-65.808410000000009</v>
      </c>
      <c r="V316" s="1876">
        <v>-73139.029999999941</v>
      </c>
      <c r="W316" s="2001"/>
      <c r="X316" s="1876">
        <v>14661.24</v>
      </c>
      <c r="Y316" s="1785"/>
      <c r="Z316" s="1876">
        <v>0</v>
      </c>
      <c r="AA316" s="1786"/>
      <c r="AB316" s="1876">
        <v>0</v>
      </c>
      <c r="AC316" s="1786"/>
      <c r="AD316" s="1876">
        <v>0</v>
      </c>
      <c r="AE316" s="1787"/>
      <c r="AF316" s="1876">
        <v>0</v>
      </c>
      <c r="AG316" s="1785"/>
      <c r="AH316" s="1787">
        <v>-58477.789999999943</v>
      </c>
      <c r="AI316" s="1786"/>
      <c r="AJ316" s="1876">
        <v>-65808.41</v>
      </c>
    </row>
    <row r="317" spans="1:36">
      <c r="A317" s="1675">
        <v>20</v>
      </c>
      <c r="B317" s="2015"/>
      <c r="C317" s="2009">
        <v>34234</v>
      </c>
      <c r="D317" s="1674" t="s">
        <v>2495</v>
      </c>
      <c r="F317" s="1876">
        <f t="shared" si="74"/>
        <v>1414.6283200000016</v>
      </c>
      <c r="G317" s="2001">
        <f t="shared" si="60"/>
        <v>0</v>
      </c>
      <c r="H317" s="1876">
        <f t="shared" si="61"/>
        <v>95.093159999999997</v>
      </c>
      <c r="I317" s="1785">
        <f t="shared" si="62"/>
        <v>0</v>
      </c>
      <c r="J317" s="1876">
        <f t="shared" si="63"/>
        <v>0</v>
      </c>
      <c r="K317" s="1786">
        <f t="shared" si="64"/>
        <v>0</v>
      </c>
      <c r="L317" s="1876">
        <f t="shared" si="65"/>
        <v>0</v>
      </c>
      <c r="M317" s="1786">
        <f t="shared" si="66"/>
        <v>0</v>
      </c>
      <c r="N317" s="1876">
        <f t="shared" si="67"/>
        <v>0</v>
      </c>
      <c r="O317" s="1787">
        <f t="shared" si="68"/>
        <v>0</v>
      </c>
      <c r="P317" s="1876">
        <f t="shared" si="69"/>
        <v>0</v>
      </c>
      <c r="Q317" s="1785">
        <f t="shared" si="70"/>
        <v>0</v>
      </c>
      <c r="R317" s="1787">
        <f t="shared" si="71"/>
        <v>1509.7214800000015</v>
      </c>
      <c r="S317" s="1786">
        <f t="shared" si="72"/>
        <v>0</v>
      </c>
      <c r="T317" s="1876">
        <f t="shared" si="73"/>
        <v>1462.1749</v>
      </c>
      <c r="V317" s="1876">
        <v>1414628.3200000017</v>
      </c>
      <c r="W317" s="2001"/>
      <c r="X317" s="1876">
        <v>95093.16</v>
      </c>
      <c r="Y317" s="1785"/>
      <c r="Z317" s="1876">
        <v>0</v>
      </c>
      <c r="AA317" s="1786"/>
      <c r="AB317" s="1876">
        <v>0</v>
      </c>
      <c r="AC317" s="1786"/>
      <c r="AD317" s="1876">
        <v>0</v>
      </c>
      <c r="AE317" s="1787"/>
      <c r="AF317" s="1876">
        <v>0</v>
      </c>
      <c r="AG317" s="1785"/>
      <c r="AH317" s="1787">
        <v>1509721.4800000016</v>
      </c>
      <c r="AI317" s="1786"/>
      <c r="AJ317" s="1876">
        <v>1462174.9</v>
      </c>
    </row>
    <row r="318" spans="1:36">
      <c r="A318" s="1675">
        <v>21</v>
      </c>
      <c r="B318" s="2015"/>
      <c r="C318" s="2009">
        <v>34334</v>
      </c>
      <c r="D318" s="1674" t="s">
        <v>2496</v>
      </c>
      <c r="F318" s="1876">
        <f t="shared" si="74"/>
        <v>9491.777740000005</v>
      </c>
      <c r="G318" s="2001">
        <f t="shared" si="60"/>
        <v>0</v>
      </c>
      <c r="H318" s="1876">
        <f t="shared" si="61"/>
        <v>329.06819999999999</v>
      </c>
      <c r="I318" s="1785">
        <f t="shared" si="62"/>
        <v>0</v>
      </c>
      <c r="J318" s="1876">
        <f t="shared" si="63"/>
        <v>0</v>
      </c>
      <c r="K318" s="1786">
        <f t="shared" si="64"/>
        <v>0</v>
      </c>
      <c r="L318" s="1876">
        <f t="shared" si="65"/>
        <v>0</v>
      </c>
      <c r="M318" s="1786">
        <f t="shared" si="66"/>
        <v>0</v>
      </c>
      <c r="N318" s="1876">
        <f t="shared" si="67"/>
        <v>0</v>
      </c>
      <c r="O318" s="1787">
        <f t="shared" si="68"/>
        <v>0</v>
      </c>
      <c r="P318" s="1876">
        <f t="shared" si="69"/>
        <v>0</v>
      </c>
      <c r="Q318" s="1785">
        <f t="shared" si="70"/>
        <v>0</v>
      </c>
      <c r="R318" s="1787">
        <f t="shared" si="71"/>
        <v>9820.8459400000047</v>
      </c>
      <c r="S318" s="1786">
        <f t="shared" si="72"/>
        <v>0</v>
      </c>
      <c r="T318" s="1876">
        <f t="shared" si="73"/>
        <v>9656.3118400000003</v>
      </c>
      <c r="V318" s="1876">
        <v>9491777.7400000058</v>
      </c>
      <c r="W318" s="2001"/>
      <c r="X318" s="1876">
        <v>329068.2</v>
      </c>
      <c r="Y318" s="1785"/>
      <c r="Z318" s="1876">
        <v>0</v>
      </c>
      <c r="AA318" s="1786"/>
      <c r="AB318" s="1876">
        <v>0</v>
      </c>
      <c r="AC318" s="1786"/>
      <c r="AD318" s="1876">
        <v>0</v>
      </c>
      <c r="AE318" s="1787"/>
      <c r="AF318" s="1876">
        <v>0</v>
      </c>
      <c r="AG318" s="1785"/>
      <c r="AH318" s="1787">
        <v>9820845.9400000051</v>
      </c>
      <c r="AI318" s="1786"/>
      <c r="AJ318" s="1876">
        <v>9656311.8399999999</v>
      </c>
    </row>
    <row r="319" spans="1:36">
      <c r="A319" s="1675">
        <v>22</v>
      </c>
      <c r="B319" s="2015"/>
      <c r="C319" s="2009">
        <v>34534</v>
      </c>
      <c r="D319" s="1674" t="s">
        <v>2454</v>
      </c>
      <c r="F319" s="1876">
        <f t="shared" si="74"/>
        <v>2059.9009699999992</v>
      </c>
      <c r="G319" s="2001">
        <f t="shared" si="60"/>
        <v>0</v>
      </c>
      <c r="H319" s="1876">
        <f t="shared" si="61"/>
        <v>101.8032</v>
      </c>
      <c r="I319" s="1785">
        <f t="shared" si="62"/>
        <v>0</v>
      </c>
      <c r="J319" s="1876">
        <f t="shared" si="63"/>
        <v>0</v>
      </c>
      <c r="K319" s="1786">
        <f t="shared" si="64"/>
        <v>0</v>
      </c>
      <c r="L319" s="1876">
        <f t="shared" si="65"/>
        <v>0</v>
      </c>
      <c r="M319" s="1786">
        <f t="shared" si="66"/>
        <v>0</v>
      </c>
      <c r="N319" s="1876">
        <f t="shared" si="67"/>
        <v>0</v>
      </c>
      <c r="O319" s="1787">
        <f t="shared" si="68"/>
        <v>0</v>
      </c>
      <c r="P319" s="1876">
        <f t="shared" si="69"/>
        <v>0</v>
      </c>
      <c r="Q319" s="1785">
        <f t="shared" si="70"/>
        <v>0</v>
      </c>
      <c r="R319" s="1787">
        <f t="shared" si="71"/>
        <v>2161.7041699999991</v>
      </c>
      <c r="S319" s="1786">
        <f t="shared" si="72"/>
        <v>0</v>
      </c>
      <c r="T319" s="1876">
        <f t="shared" si="73"/>
        <v>2110.8025699999998</v>
      </c>
      <c r="V319" s="1876">
        <v>2059900.969999999</v>
      </c>
      <c r="W319" s="2001"/>
      <c r="X319" s="1876">
        <v>101803.2</v>
      </c>
      <c r="Y319" s="1785"/>
      <c r="Z319" s="1876">
        <v>0</v>
      </c>
      <c r="AA319" s="1786"/>
      <c r="AB319" s="1876">
        <v>0</v>
      </c>
      <c r="AC319" s="1786"/>
      <c r="AD319" s="1876">
        <v>0</v>
      </c>
      <c r="AE319" s="1787"/>
      <c r="AF319" s="1876">
        <v>0</v>
      </c>
      <c r="AG319" s="1785"/>
      <c r="AH319" s="1787">
        <v>2161704.169999999</v>
      </c>
      <c r="AI319" s="1786"/>
      <c r="AJ319" s="1876">
        <v>2110802.5699999998</v>
      </c>
    </row>
    <row r="320" spans="1:36">
      <c r="A320" s="1675">
        <v>23</v>
      </c>
      <c r="B320" s="2015"/>
      <c r="C320" s="2009">
        <v>34634</v>
      </c>
      <c r="D320" s="1674" t="s">
        <v>2455</v>
      </c>
      <c r="F320" s="1876">
        <f t="shared" si="74"/>
        <v>0.48696000000000011</v>
      </c>
      <c r="G320" s="2001">
        <f t="shared" si="60"/>
        <v>0</v>
      </c>
      <c r="H320" s="1876">
        <f t="shared" si="61"/>
        <v>2.5920000000000002E-2</v>
      </c>
      <c r="I320" s="1785">
        <f t="shared" si="62"/>
        <v>0</v>
      </c>
      <c r="J320" s="1876">
        <f t="shared" si="63"/>
        <v>0</v>
      </c>
      <c r="K320" s="1786">
        <f t="shared" si="64"/>
        <v>0</v>
      </c>
      <c r="L320" s="1876">
        <f t="shared" si="65"/>
        <v>0</v>
      </c>
      <c r="M320" s="1786">
        <f t="shared" si="66"/>
        <v>0</v>
      </c>
      <c r="N320" s="1876">
        <f t="shared" si="67"/>
        <v>0</v>
      </c>
      <c r="O320" s="1787">
        <f t="shared" si="68"/>
        <v>0</v>
      </c>
      <c r="P320" s="1876">
        <f t="shared" si="69"/>
        <v>0</v>
      </c>
      <c r="Q320" s="1785">
        <f t="shared" si="70"/>
        <v>0</v>
      </c>
      <c r="R320" s="1787">
        <f t="shared" si="71"/>
        <v>0.51288000000000011</v>
      </c>
      <c r="S320" s="1786">
        <f t="shared" si="72"/>
        <v>0</v>
      </c>
      <c r="T320" s="1876">
        <f t="shared" si="73"/>
        <v>0.49992000000000003</v>
      </c>
      <c r="V320" s="1876">
        <v>486.96000000000009</v>
      </c>
      <c r="W320" s="2001"/>
      <c r="X320" s="1876">
        <v>25.92</v>
      </c>
      <c r="Y320" s="1785"/>
      <c r="Z320" s="1876">
        <v>0</v>
      </c>
      <c r="AA320" s="1786"/>
      <c r="AB320" s="1876">
        <v>0</v>
      </c>
      <c r="AC320" s="1786"/>
      <c r="AD320" s="1876">
        <v>0</v>
      </c>
      <c r="AE320" s="1787"/>
      <c r="AF320" s="1876">
        <v>0</v>
      </c>
      <c r="AG320" s="1785"/>
      <c r="AH320" s="1787">
        <v>512.88000000000011</v>
      </c>
      <c r="AI320" s="1786"/>
      <c r="AJ320" s="1876">
        <v>499.92</v>
      </c>
    </row>
    <row r="321" spans="1:36">
      <c r="A321" s="1675">
        <v>24</v>
      </c>
      <c r="B321" s="2015"/>
      <c r="C321" s="1675"/>
      <c r="D321" s="2002" t="s">
        <v>2522</v>
      </c>
      <c r="F321" s="1788">
        <f t="shared" si="74"/>
        <v>12893.654960000007</v>
      </c>
      <c r="G321" s="1674">
        <f t="shared" si="60"/>
        <v>0</v>
      </c>
      <c r="H321" s="1788">
        <f t="shared" si="61"/>
        <v>540.65172000000007</v>
      </c>
      <c r="I321" s="1783">
        <f t="shared" si="62"/>
        <v>0</v>
      </c>
      <c r="J321" s="1788">
        <f t="shared" si="63"/>
        <v>0</v>
      </c>
      <c r="K321" s="1783">
        <f t="shared" si="64"/>
        <v>0</v>
      </c>
      <c r="L321" s="1788">
        <f t="shared" si="65"/>
        <v>0</v>
      </c>
      <c r="M321" s="1783">
        <f t="shared" si="66"/>
        <v>0</v>
      </c>
      <c r="N321" s="1788">
        <f t="shared" si="67"/>
        <v>0</v>
      </c>
      <c r="O321" s="1814">
        <f t="shared" si="68"/>
        <v>0</v>
      </c>
      <c r="P321" s="1788">
        <f t="shared" si="69"/>
        <v>0</v>
      </c>
      <c r="Q321" s="1783">
        <f t="shared" si="70"/>
        <v>0</v>
      </c>
      <c r="R321" s="1788">
        <f t="shared" si="71"/>
        <v>13434.306680000005</v>
      </c>
      <c r="S321" s="1783">
        <f t="shared" si="72"/>
        <v>0</v>
      </c>
      <c r="T321" s="1788">
        <f t="shared" si="73"/>
        <v>13163.980820000001</v>
      </c>
      <c r="V321" s="1788">
        <v>12893654.960000006</v>
      </c>
      <c r="X321" s="1788">
        <v>540651.72000000009</v>
      </c>
      <c r="Y321" s="1783"/>
      <c r="Z321" s="1788">
        <v>0</v>
      </c>
      <c r="AA321" s="1783"/>
      <c r="AB321" s="1788">
        <v>0</v>
      </c>
      <c r="AC321" s="1783"/>
      <c r="AD321" s="1788">
        <v>0</v>
      </c>
      <c r="AE321" s="1814"/>
      <c r="AF321" s="1788">
        <v>0</v>
      </c>
      <c r="AG321" s="1783"/>
      <c r="AH321" s="1788">
        <v>13434306.680000005</v>
      </c>
      <c r="AI321" s="1783"/>
      <c r="AJ321" s="1788">
        <v>13163980.82</v>
      </c>
    </row>
    <row r="322" spans="1:36">
      <c r="A322" s="1675">
        <v>25</v>
      </c>
      <c r="B322" s="2015"/>
      <c r="F322" s="1674">
        <f t="shared" si="74"/>
        <v>0</v>
      </c>
      <c r="G322" s="1674">
        <f t="shared" si="60"/>
        <v>0</v>
      </c>
      <c r="H322" s="1674">
        <f t="shared" si="61"/>
        <v>0</v>
      </c>
      <c r="I322" s="1674">
        <f t="shared" si="62"/>
        <v>0</v>
      </c>
      <c r="J322" s="1674">
        <f t="shared" si="63"/>
        <v>0</v>
      </c>
      <c r="K322" s="1674">
        <f t="shared" si="64"/>
        <v>0</v>
      </c>
      <c r="L322" s="1674">
        <f t="shared" si="65"/>
        <v>0</v>
      </c>
      <c r="M322" s="1674">
        <f t="shared" si="66"/>
        <v>0</v>
      </c>
      <c r="N322" s="1674">
        <f t="shared" si="67"/>
        <v>0</v>
      </c>
      <c r="O322" s="1674">
        <f t="shared" si="68"/>
        <v>0</v>
      </c>
      <c r="P322" s="1674">
        <f t="shared" si="69"/>
        <v>0</v>
      </c>
      <c r="Q322" s="2001">
        <f t="shared" si="70"/>
        <v>0</v>
      </c>
      <c r="R322" s="1674">
        <f t="shared" si="71"/>
        <v>0</v>
      </c>
      <c r="S322" s="1674">
        <f t="shared" si="72"/>
        <v>0</v>
      </c>
      <c r="T322" s="1674">
        <f t="shared" si="73"/>
        <v>0</v>
      </c>
      <c r="AG322" s="2001"/>
    </row>
    <row r="323" spans="1:36">
      <c r="A323" s="1675">
        <v>26</v>
      </c>
      <c r="B323" s="2015"/>
      <c r="C323" s="2019"/>
      <c r="D323" s="2002" t="s">
        <v>2523</v>
      </c>
      <c r="E323" s="1675"/>
      <c r="F323" s="2028">
        <f t="shared" si="74"/>
        <v>0</v>
      </c>
      <c r="G323" s="2028">
        <f t="shared" si="60"/>
        <v>0</v>
      </c>
      <c r="H323" s="2028">
        <f t="shared" si="61"/>
        <v>0</v>
      </c>
      <c r="I323" s="2034">
        <f t="shared" si="62"/>
        <v>0</v>
      </c>
      <c r="J323" s="2028">
        <f t="shared" si="63"/>
        <v>0</v>
      </c>
      <c r="K323" s="2034">
        <f t="shared" si="64"/>
        <v>0</v>
      </c>
      <c r="L323" s="2034">
        <f t="shared" si="65"/>
        <v>0</v>
      </c>
      <c r="M323" s="2009">
        <f t="shared" si="66"/>
        <v>0</v>
      </c>
      <c r="N323" s="2009">
        <f t="shared" si="67"/>
        <v>0</v>
      </c>
      <c r="O323" s="2009">
        <f t="shared" si="68"/>
        <v>0</v>
      </c>
      <c r="P323" s="2009">
        <f t="shared" si="69"/>
        <v>0</v>
      </c>
      <c r="Q323" s="2010">
        <f t="shared" si="70"/>
        <v>0</v>
      </c>
      <c r="R323" s="2009">
        <f t="shared" si="71"/>
        <v>0</v>
      </c>
      <c r="S323" s="2009">
        <f t="shared" si="72"/>
        <v>0</v>
      </c>
      <c r="T323" s="2009">
        <f t="shared" si="73"/>
        <v>0</v>
      </c>
      <c r="V323" s="2028"/>
      <c r="W323" s="2028"/>
      <c r="X323" s="2028"/>
      <c r="Y323" s="2034"/>
      <c r="Z323" s="2028"/>
      <c r="AA323" s="2034"/>
      <c r="AB323" s="2034"/>
      <c r="AC323" s="2009"/>
      <c r="AD323" s="2009"/>
      <c r="AE323" s="2009"/>
      <c r="AF323" s="2009"/>
      <c r="AG323" s="2010"/>
      <c r="AH323" s="2009"/>
      <c r="AI323" s="2009"/>
      <c r="AJ323" s="2009"/>
    </row>
    <row r="324" spans="1:36">
      <c r="A324" s="1675">
        <v>27</v>
      </c>
      <c r="B324" s="2015"/>
      <c r="C324" s="2009">
        <v>34135</v>
      </c>
      <c r="D324" s="1674" t="s">
        <v>2449</v>
      </c>
      <c r="E324" s="1675"/>
      <c r="F324" s="1876">
        <f t="shared" si="74"/>
        <v>-27.676379999999998</v>
      </c>
      <c r="G324" s="2001">
        <f t="shared" si="60"/>
        <v>0</v>
      </c>
      <c r="H324" s="1876">
        <f t="shared" si="61"/>
        <v>38.545319999999997</v>
      </c>
      <c r="I324" s="1785">
        <f t="shared" si="62"/>
        <v>0</v>
      </c>
      <c r="J324" s="1876">
        <f t="shared" si="63"/>
        <v>0</v>
      </c>
      <c r="K324" s="1786">
        <f t="shared" si="64"/>
        <v>0</v>
      </c>
      <c r="L324" s="1876">
        <f t="shared" si="65"/>
        <v>0</v>
      </c>
      <c r="M324" s="1786">
        <f t="shared" si="66"/>
        <v>0</v>
      </c>
      <c r="N324" s="1876">
        <f t="shared" si="67"/>
        <v>0</v>
      </c>
      <c r="O324" s="1787">
        <f t="shared" si="68"/>
        <v>0</v>
      </c>
      <c r="P324" s="1876">
        <f t="shared" si="69"/>
        <v>0</v>
      </c>
      <c r="Q324" s="1785">
        <f t="shared" si="70"/>
        <v>0</v>
      </c>
      <c r="R324" s="1787">
        <f t="shared" si="71"/>
        <v>10.868940000000002</v>
      </c>
      <c r="S324" s="1786">
        <f t="shared" si="72"/>
        <v>0</v>
      </c>
      <c r="T324" s="1876">
        <f t="shared" si="73"/>
        <v>-8.4037199999999999</v>
      </c>
      <c r="V324" s="1876">
        <v>-27676.379999999997</v>
      </c>
      <c r="W324" s="2001"/>
      <c r="X324" s="1876">
        <v>38545.32</v>
      </c>
      <c r="Y324" s="1785"/>
      <c r="Z324" s="1876">
        <v>0</v>
      </c>
      <c r="AA324" s="1786"/>
      <c r="AB324" s="1876">
        <v>0</v>
      </c>
      <c r="AC324" s="1786"/>
      <c r="AD324" s="1876">
        <v>0</v>
      </c>
      <c r="AE324" s="1787"/>
      <c r="AF324" s="1876">
        <v>0</v>
      </c>
      <c r="AG324" s="1785"/>
      <c r="AH324" s="1787">
        <v>10868.940000000002</v>
      </c>
      <c r="AI324" s="1786"/>
      <c r="AJ324" s="1876">
        <v>-8403.7199999999993</v>
      </c>
    </row>
    <row r="325" spans="1:36">
      <c r="A325" s="1675">
        <v>28</v>
      </c>
      <c r="B325" s="2015"/>
      <c r="C325" s="2009">
        <v>34235</v>
      </c>
      <c r="D325" s="1674" t="s">
        <v>2495</v>
      </c>
      <c r="E325" s="1675"/>
      <c r="F325" s="1876">
        <f t="shared" si="74"/>
        <v>844.70081000000027</v>
      </c>
      <c r="G325" s="2001">
        <f t="shared" si="60"/>
        <v>0</v>
      </c>
      <c r="H325" s="1876">
        <f t="shared" si="61"/>
        <v>67.851960000000005</v>
      </c>
      <c r="I325" s="1785">
        <f t="shared" si="62"/>
        <v>0</v>
      </c>
      <c r="J325" s="1876">
        <f t="shared" si="63"/>
        <v>0</v>
      </c>
      <c r="K325" s="1786">
        <f t="shared" si="64"/>
        <v>0</v>
      </c>
      <c r="L325" s="1876">
        <f t="shared" si="65"/>
        <v>0</v>
      </c>
      <c r="M325" s="1786">
        <f t="shared" si="66"/>
        <v>0</v>
      </c>
      <c r="N325" s="1876">
        <f t="shared" si="67"/>
        <v>0</v>
      </c>
      <c r="O325" s="1787">
        <f t="shared" si="68"/>
        <v>0</v>
      </c>
      <c r="P325" s="1876">
        <f t="shared" si="69"/>
        <v>0</v>
      </c>
      <c r="Q325" s="1785">
        <f t="shared" si="70"/>
        <v>0</v>
      </c>
      <c r="R325" s="1787">
        <f t="shared" si="71"/>
        <v>912.55277000000024</v>
      </c>
      <c r="S325" s="1786">
        <f t="shared" si="72"/>
        <v>0</v>
      </c>
      <c r="T325" s="1876">
        <f t="shared" si="73"/>
        <v>878.62679000000003</v>
      </c>
      <c r="V325" s="1876">
        <v>844700.81000000029</v>
      </c>
      <c r="W325" s="2001"/>
      <c r="X325" s="1876">
        <v>67851.960000000006</v>
      </c>
      <c r="Y325" s="1785"/>
      <c r="Z325" s="1876">
        <v>0</v>
      </c>
      <c r="AA325" s="1786"/>
      <c r="AB325" s="1876">
        <v>0</v>
      </c>
      <c r="AC325" s="1786"/>
      <c r="AD325" s="1876">
        <v>0</v>
      </c>
      <c r="AE325" s="1787"/>
      <c r="AF325" s="1876">
        <v>0</v>
      </c>
      <c r="AG325" s="1785"/>
      <c r="AH325" s="1787">
        <v>912552.77000000025</v>
      </c>
      <c r="AI325" s="1786"/>
      <c r="AJ325" s="1876">
        <v>878626.79</v>
      </c>
    </row>
    <row r="326" spans="1:36">
      <c r="A326" s="1675">
        <v>29</v>
      </c>
      <c r="B326" s="2015"/>
      <c r="C326" s="2009">
        <v>34335</v>
      </c>
      <c r="D326" s="1674" t="s">
        <v>2496</v>
      </c>
      <c r="E326" s="1675"/>
      <c r="F326" s="1876">
        <f t="shared" si="74"/>
        <v>11929.082480000001</v>
      </c>
      <c r="G326" s="2001">
        <f t="shared" si="60"/>
        <v>0</v>
      </c>
      <c r="H326" s="1876">
        <f t="shared" si="61"/>
        <v>389.19623999999999</v>
      </c>
      <c r="I326" s="1785">
        <f t="shared" si="62"/>
        <v>0</v>
      </c>
      <c r="J326" s="1876">
        <f t="shared" si="63"/>
        <v>0</v>
      </c>
      <c r="K326" s="1786">
        <f t="shared" si="64"/>
        <v>0</v>
      </c>
      <c r="L326" s="1876">
        <f t="shared" si="65"/>
        <v>0</v>
      </c>
      <c r="M326" s="1786">
        <f t="shared" si="66"/>
        <v>0</v>
      </c>
      <c r="N326" s="1876">
        <f t="shared" si="67"/>
        <v>0</v>
      </c>
      <c r="O326" s="1787">
        <f t="shared" si="68"/>
        <v>0</v>
      </c>
      <c r="P326" s="1876">
        <f t="shared" si="69"/>
        <v>0</v>
      </c>
      <c r="Q326" s="1785">
        <f t="shared" si="70"/>
        <v>0</v>
      </c>
      <c r="R326" s="1787">
        <f t="shared" si="71"/>
        <v>12318.27872</v>
      </c>
      <c r="S326" s="1786">
        <f t="shared" si="72"/>
        <v>0</v>
      </c>
      <c r="T326" s="1876">
        <f t="shared" si="73"/>
        <v>12123.6806</v>
      </c>
      <c r="V326" s="1876">
        <v>11929082.48</v>
      </c>
      <c r="W326" s="2001"/>
      <c r="X326" s="1876">
        <v>389196.24</v>
      </c>
      <c r="Y326" s="1785"/>
      <c r="Z326" s="1876">
        <v>0</v>
      </c>
      <c r="AA326" s="1786"/>
      <c r="AB326" s="1876">
        <v>0</v>
      </c>
      <c r="AC326" s="1786"/>
      <c r="AD326" s="1876">
        <v>0</v>
      </c>
      <c r="AE326" s="1787"/>
      <c r="AF326" s="1876">
        <v>0</v>
      </c>
      <c r="AG326" s="1785"/>
      <c r="AH326" s="1787">
        <v>12318278.720000001</v>
      </c>
      <c r="AI326" s="1786"/>
      <c r="AJ326" s="1876">
        <v>12123680.6</v>
      </c>
    </row>
    <row r="327" spans="1:36">
      <c r="A327" s="1675">
        <v>30</v>
      </c>
      <c r="B327" s="2015"/>
      <c r="C327" s="2009">
        <v>34535</v>
      </c>
      <c r="D327" s="1674" t="s">
        <v>2454</v>
      </c>
      <c r="E327" s="1675"/>
      <c r="F327" s="1876">
        <f t="shared" si="74"/>
        <v>5186.2953899999929</v>
      </c>
      <c r="G327" s="2001">
        <f t="shared" si="60"/>
        <v>0</v>
      </c>
      <c r="H327" s="1876">
        <f t="shared" si="61"/>
        <v>183.19188</v>
      </c>
      <c r="I327" s="1785">
        <f t="shared" si="62"/>
        <v>0</v>
      </c>
      <c r="J327" s="1876">
        <f t="shared" si="63"/>
        <v>0</v>
      </c>
      <c r="K327" s="1786">
        <f t="shared" si="64"/>
        <v>0</v>
      </c>
      <c r="L327" s="1876">
        <f t="shared" si="65"/>
        <v>0</v>
      </c>
      <c r="M327" s="1786">
        <f t="shared" si="66"/>
        <v>0</v>
      </c>
      <c r="N327" s="1876">
        <f t="shared" si="67"/>
        <v>0</v>
      </c>
      <c r="O327" s="1787">
        <f t="shared" si="68"/>
        <v>0</v>
      </c>
      <c r="P327" s="1876">
        <f t="shared" si="69"/>
        <v>0</v>
      </c>
      <c r="Q327" s="1785">
        <f t="shared" si="70"/>
        <v>0</v>
      </c>
      <c r="R327" s="1787">
        <f t="shared" si="71"/>
        <v>5369.4872699999933</v>
      </c>
      <c r="S327" s="1786">
        <f t="shared" si="72"/>
        <v>0</v>
      </c>
      <c r="T327" s="1876">
        <f t="shared" si="73"/>
        <v>5277.8913300000004</v>
      </c>
      <c r="V327" s="1876">
        <v>5186295.3899999931</v>
      </c>
      <c r="W327" s="2001"/>
      <c r="X327" s="1876">
        <v>183191.88</v>
      </c>
      <c r="Y327" s="1785"/>
      <c r="Z327" s="1876">
        <v>0</v>
      </c>
      <c r="AA327" s="1786"/>
      <c r="AB327" s="1876">
        <v>0</v>
      </c>
      <c r="AC327" s="1786"/>
      <c r="AD327" s="1876">
        <v>0</v>
      </c>
      <c r="AE327" s="1787"/>
      <c r="AF327" s="1876">
        <v>0</v>
      </c>
      <c r="AG327" s="1785"/>
      <c r="AH327" s="1787">
        <v>5369487.269999993</v>
      </c>
      <c r="AI327" s="1786"/>
      <c r="AJ327" s="1876">
        <v>5277891.33</v>
      </c>
    </row>
    <row r="328" spans="1:36">
      <c r="A328" s="1675">
        <v>31</v>
      </c>
      <c r="B328" s="2015"/>
      <c r="C328" s="2009">
        <v>34635</v>
      </c>
      <c r="D328" s="1674" t="s">
        <v>2455</v>
      </c>
      <c r="F328" s="1876">
        <f t="shared" si="74"/>
        <v>0</v>
      </c>
      <c r="G328" s="2001">
        <f t="shared" si="60"/>
        <v>0</v>
      </c>
      <c r="H328" s="1876">
        <f t="shared" si="61"/>
        <v>0</v>
      </c>
      <c r="I328" s="1785">
        <f t="shared" si="62"/>
        <v>0</v>
      </c>
      <c r="J328" s="1876">
        <f t="shared" si="63"/>
        <v>0</v>
      </c>
      <c r="K328" s="1786">
        <f t="shared" si="64"/>
        <v>0</v>
      </c>
      <c r="L328" s="1876">
        <f t="shared" si="65"/>
        <v>0</v>
      </c>
      <c r="M328" s="1786">
        <f t="shared" si="66"/>
        <v>0</v>
      </c>
      <c r="N328" s="1876">
        <f t="shared" si="67"/>
        <v>0</v>
      </c>
      <c r="O328" s="1787">
        <f t="shared" si="68"/>
        <v>0</v>
      </c>
      <c r="P328" s="1876">
        <f t="shared" si="69"/>
        <v>0</v>
      </c>
      <c r="Q328" s="1785">
        <f t="shared" si="70"/>
        <v>0</v>
      </c>
      <c r="R328" s="1787">
        <f t="shared" si="71"/>
        <v>0</v>
      </c>
      <c r="S328" s="1786">
        <f t="shared" si="72"/>
        <v>0</v>
      </c>
      <c r="T328" s="1876">
        <f t="shared" si="73"/>
        <v>0</v>
      </c>
      <c r="V328" s="1876">
        <v>0</v>
      </c>
      <c r="W328" s="2001"/>
      <c r="X328" s="1876">
        <v>0</v>
      </c>
      <c r="Y328" s="1785"/>
      <c r="Z328" s="1876">
        <v>0</v>
      </c>
      <c r="AA328" s="1786"/>
      <c r="AB328" s="1876">
        <v>0</v>
      </c>
      <c r="AC328" s="1786"/>
      <c r="AD328" s="1876">
        <v>0</v>
      </c>
      <c r="AE328" s="1787"/>
      <c r="AF328" s="1876">
        <v>0</v>
      </c>
      <c r="AG328" s="1785"/>
      <c r="AH328" s="1787">
        <v>0</v>
      </c>
      <c r="AI328" s="1786"/>
      <c r="AJ328" s="1876">
        <v>0</v>
      </c>
    </row>
    <row r="329" spans="1:36">
      <c r="A329" s="1675">
        <v>32</v>
      </c>
      <c r="B329" s="2015"/>
      <c r="C329" s="1675"/>
      <c r="D329" s="2002" t="s">
        <v>2524</v>
      </c>
      <c r="E329" s="1675"/>
      <c r="F329" s="1788">
        <f t="shared" si="74"/>
        <v>17932.402299999994</v>
      </c>
      <c r="G329" s="1674">
        <f t="shared" si="60"/>
        <v>0</v>
      </c>
      <c r="H329" s="1788">
        <f t="shared" si="61"/>
        <v>678.78539999999998</v>
      </c>
      <c r="I329" s="1783">
        <f t="shared" si="62"/>
        <v>0</v>
      </c>
      <c r="J329" s="1788">
        <f t="shared" si="63"/>
        <v>0</v>
      </c>
      <c r="K329" s="1783">
        <f t="shared" si="64"/>
        <v>0</v>
      </c>
      <c r="L329" s="1788">
        <f t="shared" si="65"/>
        <v>0</v>
      </c>
      <c r="M329" s="1783">
        <f t="shared" si="66"/>
        <v>0</v>
      </c>
      <c r="N329" s="1788">
        <f t="shared" si="67"/>
        <v>0</v>
      </c>
      <c r="O329" s="1814">
        <f t="shared" si="68"/>
        <v>0</v>
      </c>
      <c r="P329" s="1788">
        <f t="shared" si="69"/>
        <v>0</v>
      </c>
      <c r="Q329" s="1783">
        <f t="shared" si="70"/>
        <v>0</v>
      </c>
      <c r="R329" s="1788">
        <f t="shared" si="71"/>
        <v>18611.187699999995</v>
      </c>
      <c r="S329" s="1783">
        <f t="shared" si="72"/>
        <v>0</v>
      </c>
      <c r="T329" s="1788">
        <f t="shared" si="73"/>
        <v>18271.794999999998</v>
      </c>
      <c r="V329" s="1788">
        <v>17932402.299999993</v>
      </c>
      <c r="X329" s="1788">
        <v>678785.4</v>
      </c>
      <c r="Y329" s="1783"/>
      <c r="Z329" s="1788">
        <v>0</v>
      </c>
      <c r="AA329" s="1783"/>
      <c r="AB329" s="1788">
        <v>0</v>
      </c>
      <c r="AC329" s="1783"/>
      <c r="AD329" s="1788">
        <v>0</v>
      </c>
      <c r="AE329" s="1814"/>
      <c r="AF329" s="1788">
        <v>0</v>
      </c>
      <c r="AG329" s="1783"/>
      <c r="AH329" s="1788">
        <v>18611187.699999996</v>
      </c>
      <c r="AI329" s="1783"/>
      <c r="AJ329" s="1788">
        <v>18271795</v>
      </c>
    </row>
    <row r="330" spans="1:36">
      <c r="A330" s="1675">
        <v>33</v>
      </c>
      <c r="B330" s="2015"/>
      <c r="F330" s="1674">
        <f t="shared" si="74"/>
        <v>0</v>
      </c>
      <c r="G330" s="1674">
        <f t="shared" si="60"/>
        <v>0</v>
      </c>
      <c r="H330" s="1674">
        <f t="shared" si="61"/>
        <v>0</v>
      </c>
      <c r="I330" s="1674">
        <f t="shared" si="62"/>
        <v>0</v>
      </c>
      <c r="J330" s="1674">
        <f t="shared" si="63"/>
        <v>0</v>
      </c>
      <c r="K330" s="1674">
        <f t="shared" si="64"/>
        <v>0</v>
      </c>
      <c r="L330" s="1674">
        <f t="shared" si="65"/>
        <v>0</v>
      </c>
      <c r="M330" s="1674">
        <f t="shared" si="66"/>
        <v>0</v>
      </c>
      <c r="N330" s="1674">
        <f t="shared" si="67"/>
        <v>0</v>
      </c>
      <c r="O330" s="1674">
        <f t="shared" si="68"/>
        <v>0</v>
      </c>
      <c r="P330" s="1674">
        <f t="shared" si="69"/>
        <v>0</v>
      </c>
      <c r="Q330" s="2001">
        <f t="shared" si="70"/>
        <v>0</v>
      </c>
      <c r="R330" s="1674">
        <f t="shared" si="71"/>
        <v>0</v>
      </c>
      <c r="S330" s="1674">
        <f t="shared" si="72"/>
        <v>0</v>
      </c>
      <c r="T330" s="1674">
        <f t="shared" si="73"/>
        <v>0</v>
      </c>
      <c r="AG330" s="2001"/>
    </row>
    <row r="331" spans="1:36">
      <c r="A331" s="1675">
        <v>34</v>
      </c>
      <c r="B331" s="2015"/>
      <c r="C331" s="1675"/>
      <c r="D331" s="2002" t="s">
        <v>2526</v>
      </c>
      <c r="F331" s="1674">
        <f t="shared" si="74"/>
        <v>0</v>
      </c>
      <c r="G331" s="1674">
        <f t="shared" si="60"/>
        <v>0</v>
      </c>
      <c r="H331" s="1674">
        <f t="shared" si="61"/>
        <v>0</v>
      </c>
      <c r="I331" s="1790">
        <f t="shared" si="62"/>
        <v>0</v>
      </c>
      <c r="J331" s="1674">
        <f t="shared" si="63"/>
        <v>0</v>
      </c>
      <c r="K331" s="1790">
        <f t="shared" si="64"/>
        <v>0</v>
      </c>
      <c r="L331" s="1674">
        <f t="shared" si="65"/>
        <v>0</v>
      </c>
      <c r="M331" s="1790">
        <f t="shared" si="66"/>
        <v>0</v>
      </c>
      <c r="N331" s="1674">
        <f t="shared" si="67"/>
        <v>0</v>
      </c>
      <c r="O331" s="1674">
        <f t="shared" si="68"/>
        <v>0</v>
      </c>
      <c r="P331" s="1674">
        <f t="shared" si="69"/>
        <v>0</v>
      </c>
      <c r="Q331" s="1790">
        <f t="shared" si="70"/>
        <v>0</v>
      </c>
      <c r="R331" s="1674">
        <f t="shared" si="71"/>
        <v>0</v>
      </c>
      <c r="S331" s="1674">
        <f t="shared" si="72"/>
        <v>0</v>
      </c>
      <c r="T331" s="1674">
        <f t="shared" si="73"/>
        <v>0</v>
      </c>
      <c r="Y331" s="1790"/>
      <c r="AA331" s="1790"/>
      <c r="AC331" s="1790"/>
      <c r="AG331" s="1790"/>
    </row>
    <row r="332" spans="1:36">
      <c r="A332" s="1675">
        <v>35</v>
      </c>
      <c r="B332" s="2015"/>
      <c r="C332" s="2009">
        <v>34136</v>
      </c>
      <c r="D332" s="1674" t="s">
        <v>2449</v>
      </c>
      <c r="F332" s="1876">
        <f t="shared" si="74"/>
        <v>695.08772000000113</v>
      </c>
      <c r="G332" s="2001">
        <f t="shared" si="60"/>
        <v>0</v>
      </c>
      <c r="H332" s="1876">
        <f t="shared" si="61"/>
        <v>96.155640000000005</v>
      </c>
      <c r="I332" s="1785">
        <f t="shared" si="62"/>
        <v>0</v>
      </c>
      <c r="J332" s="1876">
        <f t="shared" si="63"/>
        <v>0</v>
      </c>
      <c r="K332" s="1786">
        <f t="shared" si="64"/>
        <v>0</v>
      </c>
      <c r="L332" s="1876">
        <f t="shared" si="65"/>
        <v>0</v>
      </c>
      <c r="M332" s="1786">
        <f t="shared" si="66"/>
        <v>0</v>
      </c>
      <c r="N332" s="1876">
        <f t="shared" si="67"/>
        <v>0</v>
      </c>
      <c r="O332" s="1787">
        <f t="shared" si="68"/>
        <v>0</v>
      </c>
      <c r="P332" s="1876">
        <f t="shared" si="69"/>
        <v>0</v>
      </c>
      <c r="Q332" s="1785">
        <f t="shared" si="70"/>
        <v>0</v>
      </c>
      <c r="R332" s="1787">
        <f t="shared" si="71"/>
        <v>791.24336000000119</v>
      </c>
      <c r="S332" s="1786">
        <f t="shared" si="72"/>
        <v>0</v>
      </c>
      <c r="T332" s="1876">
        <f t="shared" si="73"/>
        <v>743.16554000000008</v>
      </c>
      <c r="V332" s="1876">
        <v>695087.72000000114</v>
      </c>
      <c r="W332" s="2001"/>
      <c r="X332" s="1876">
        <v>96155.64</v>
      </c>
      <c r="Y332" s="1785"/>
      <c r="Z332" s="1876">
        <v>0</v>
      </c>
      <c r="AA332" s="1786"/>
      <c r="AB332" s="1876">
        <v>0</v>
      </c>
      <c r="AC332" s="1786"/>
      <c r="AD332" s="1876">
        <v>0</v>
      </c>
      <c r="AE332" s="1787"/>
      <c r="AF332" s="1876">
        <v>0</v>
      </c>
      <c r="AG332" s="1785"/>
      <c r="AH332" s="1787">
        <v>791243.36000000115</v>
      </c>
      <c r="AI332" s="1786"/>
      <c r="AJ332" s="1876">
        <v>743165.54</v>
      </c>
    </row>
    <row r="333" spans="1:36">
      <c r="A333" s="1675">
        <v>36</v>
      </c>
      <c r="B333" s="2015"/>
      <c r="C333" s="2009">
        <v>34236</v>
      </c>
      <c r="D333" s="1674" t="s">
        <v>2495</v>
      </c>
      <c r="F333" s="1876">
        <f t="shared" si="74"/>
        <v>635.39815999999917</v>
      </c>
      <c r="G333" s="2001">
        <f t="shared" si="60"/>
        <v>0</v>
      </c>
      <c r="H333" s="1876">
        <f t="shared" si="61"/>
        <v>44.38608</v>
      </c>
      <c r="I333" s="1785">
        <f t="shared" si="62"/>
        <v>0</v>
      </c>
      <c r="J333" s="1876">
        <f t="shared" si="63"/>
        <v>0</v>
      </c>
      <c r="K333" s="1786">
        <f t="shared" si="64"/>
        <v>0</v>
      </c>
      <c r="L333" s="1876">
        <f t="shared" si="65"/>
        <v>0</v>
      </c>
      <c r="M333" s="1786">
        <f t="shared" si="66"/>
        <v>0</v>
      </c>
      <c r="N333" s="1876">
        <f t="shared" si="67"/>
        <v>0</v>
      </c>
      <c r="O333" s="1787">
        <f t="shared" si="68"/>
        <v>0</v>
      </c>
      <c r="P333" s="1876">
        <f t="shared" si="69"/>
        <v>0</v>
      </c>
      <c r="Q333" s="1785">
        <f t="shared" si="70"/>
        <v>0</v>
      </c>
      <c r="R333" s="1787">
        <f t="shared" si="71"/>
        <v>679.78423999999916</v>
      </c>
      <c r="S333" s="1786">
        <f t="shared" si="72"/>
        <v>0</v>
      </c>
      <c r="T333" s="1876">
        <f t="shared" si="73"/>
        <v>657.59119999999996</v>
      </c>
      <c r="V333" s="1876">
        <v>635398.15999999922</v>
      </c>
      <c r="W333" s="2001"/>
      <c r="X333" s="1876">
        <v>44386.080000000002</v>
      </c>
      <c r="Y333" s="1785"/>
      <c r="Z333" s="1876">
        <v>0</v>
      </c>
      <c r="AA333" s="1786"/>
      <c r="AB333" s="1876">
        <v>0</v>
      </c>
      <c r="AC333" s="1786"/>
      <c r="AD333" s="1876">
        <v>0</v>
      </c>
      <c r="AE333" s="1787"/>
      <c r="AF333" s="1876">
        <v>0</v>
      </c>
      <c r="AG333" s="1785"/>
      <c r="AH333" s="1787">
        <v>679784.23999999918</v>
      </c>
      <c r="AI333" s="1786"/>
      <c r="AJ333" s="1876">
        <v>657591.19999999995</v>
      </c>
    </row>
    <row r="334" spans="1:36">
      <c r="A334" s="1675">
        <v>37</v>
      </c>
      <c r="B334" s="2015"/>
      <c r="C334" s="2009">
        <v>34336</v>
      </c>
      <c r="D334" s="1674" t="s">
        <v>2496</v>
      </c>
      <c r="F334" s="1876">
        <f t="shared" si="74"/>
        <v>11493.965270000008</v>
      </c>
      <c r="G334" s="2001">
        <f t="shared" si="60"/>
        <v>0</v>
      </c>
      <c r="H334" s="1876">
        <f t="shared" si="61"/>
        <v>315.75767999999999</v>
      </c>
      <c r="I334" s="1785">
        <f t="shared" si="62"/>
        <v>0</v>
      </c>
      <c r="J334" s="1876">
        <f t="shared" si="63"/>
        <v>0</v>
      </c>
      <c r="K334" s="1786">
        <f t="shared" si="64"/>
        <v>0</v>
      </c>
      <c r="L334" s="1876">
        <f t="shared" si="65"/>
        <v>0</v>
      </c>
      <c r="M334" s="1786">
        <f t="shared" si="66"/>
        <v>0</v>
      </c>
      <c r="N334" s="1876">
        <f t="shared" si="67"/>
        <v>0</v>
      </c>
      <c r="O334" s="1787">
        <f t="shared" si="68"/>
        <v>0</v>
      </c>
      <c r="P334" s="1876">
        <f t="shared" si="69"/>
        <v>0</v>
      </c>
      <c r="Q334" s="1785">
        <f t="shared" si="70"/>
        <v>0</v>
      </c>
      <c r="R334" s="1787">
        <f t="shared" si="71"/>
        <v>11809.722950000007</v>
      </c>
      <c r="S334" s="1786">
        <f t="shared" si="72"/>
        <v>0</v>
      </c>
      <c r="T334" s="1876">
        <f t="shared" si="73"/>
        <v>11651.84411</v>
      </c>
      <c r="V334" s="1876">
        <v>11493965.270000007</v>
      </c>
      <c r="W334" s="2001"/>
      <c r="X334" s="1876">
        <v>315757.68</v>
      </c>
      <c r="Y334" s="1785"/>
      <c r="Z334" s="1876">
        <v>0</v>
      </c>
      <c r="AA334" s="1786"/>
      <c r="AB334" s="1876">
        <v>0</v>
      </c>
      <c r="AC334" s="1786"/>
      <c r="AD334" s="1876">
        <v>0</v>
      </c>
      <c r="AE334" s="1787"/>
      <c r="AF334" s="1876">
        <v>0</v>
      </c>
      <c r="AG334" s="1785"/>
      <c r="AH334" s="1787">
        <v>11809722.950000007</v>
      </c>
      <c r="AI334" s="1786"/>
      <c r="AJ334" s="1876">
        <v>11651844.109999999</v>
      </c>
    </row>
    <row r="335" spans="1:36">
      <c r="A335" s="1675">
        <v>38</v>
      </c>
      <c r="B335" s="2015"/>
      <c r="C335" s="2009">
        <v>34536</v>
      </c>
      <c r="D335" s="1674" t="s">
        <v>2454</v>
      </c>
      <c r="F335" s="1876">
        <f t="shared" si="74"/>
        <v>7179.1434200000058</v>
      </c>
      <c r="G335" s="2001">
        <f t="shared" si="60"/>
        <v>0</v>
      </c>
      <c r="H335" s="1876">
        <f t="shared" si="61"/>
        <v>345.9162</v>
      </c>
      <c r="I335" s="1785">
        <f t="shared" si="62"/>
        <v>0</v>
      </c>
      <c r="J335" s="1876">
        <f t="shared" si="63"/>
        <v>0</v>
      </c>
      <c r="K335" s="1786">
        <f t="shared" si="64"/>
        <v>0</v>
      </c>
      <c r="L335" s="1876">
        <f t="shared" si="65"/>
        <v>0</v>
      </c>
      <c r="M335" s="1786">
        <f t="shared" si="66"/>
        <v>0</v>
      </c>
      <c r="N335" s="1876">
        <f t="shared" si="67"/>
        <v>0</v>
      </c>
      <c r="O335" s="1787">
        <f t="shared" si="68"/>
        <v>0</v>
      </c>
      <c r="P335" s="1876">
        <f t="shared" si="69"/>
        <v>0</v>
      </c>
      <c r="Q335" s="1785">
        <f t="shared" si="70"/>
        <v>0</v>
      </c>
      <c r="R335" s="1787">
        <f t="shared" si="71"/>
        <v>7525.0596200000055</v>
      </c>
      <c r="S335" s="1786">
        <f t="shared" si="72"/>
        <v>0</v>
      </c>
      <c r="T335" s="1876">
        <f t="shared" si="73"/>
        <v>7352.1015199999993</v>
      </c>
      <c r="V335" s="1876">
        <v>7179143.4200000055</v>
      </c>
      <c r="W335" s="2001"/>
      <c r="X335" s="1876">
        <v>345916.2</v>
      </c>
      <c r="Y335" s="1785"/>
      <c r="Z335" s="1876">
        <v>0</v>
      </c>
      <c r="AA335" s="1786"/>
      <c r="AB335" s="1876">
        <v>0</v>
      </c>
      <c r="AC335" s="1786"/>
      <c r="AD335" s="1876">
        <v>0</v>
      </c>
      <c r="AE335" s="1787"/>
      <c r="AF335" s="1876">
        <v>0</v>
      </c>
      <c r="AG335" s="1785"/>
      <c r="AH335" s="1787">
        <v>7525059.6200000057</v>
      </c>
      <c r="AI335" s="1786"/>
      <c r="AJ335" s="1876">
        <v>7352101.5199999996</v>
      </c>
    </row>
    <row r="336" spans="1:36">
      <c r="A336" s="1675">
        <v>39</v>
      </c>
      <c r="B336" s="2015"/>
      <c r="C336" s="2009">
        <v>34636</v>
      </c>
      <c r="D336" s="1674" t="s">
        <v>2455</v>
      </c>
      <c r="F336" s="1876">
        <f t="shared" si="74"/>
        <v>5.8897200000000103</v>
      </c>
      <c r="G336" s="2001">
        <f t="shared" si="60"/>
        <v>0</v>
      </c>
      <c r="H336" s="1876">
        <f t="shared" si="61"/>
        <v>0.36384</v>
      </c>
      <c r="I336" s="1785">
        <f t="shared" si="62"/>
        <v>0</v>
      </c>
      <c r="J336" s="1876">
        <f t="shared" si="63"/>
        <v>0</v>
      </c>
      <c r="K336" s="1786">
        <f t="shared" si="64"/>
        <v>0</v>
      </c>
      <c r="L336" s="1876">
        <f t="shared" si="65"/>
        <v>0</v>
      </c>
      <c r="M336" s="1786">
        <f t="shared" si="66"/>
        <v>0</v>
      </c>
      <c r="N336" s="1876">
        <f t="shared" si="67"/>
        <v>0</v>
      </c>
      <c r="O336" s="1787">
        <f t="shared" si="68"/>
        <v>0</v>
      </c>
      <c r="P336" s="1876">
        <f t="shared" si="69"/>
        <v>0</v>
      </c>
      <c r="Q336" s="1785">
        <f t="shared" si="70"/>
        <v>0</v>
      </c>
      <c r="R336" s="1787">
        <f t="shared" si="71"/>
        <v>6.25356000000001</v>
      </c>
      <c r="S336" s="1786">
        <f t="shared" si="72"/>
        <v>0</v>
      </c>
      <c r="T336" s="1876">
        <f t="shared" si="73"/>
        <v>6.0716400000000004</v>
      </c>
      <c r="V336" s="1876">
        <v>5889.7200000000103</v>
      </c>
      <c r="W336" s="2001"/>
      <c r="X336" s="1876">
        <v>363.84</v>
      </c>
      <c r="Y336" s="1785"/>
      <c r="Z336" s="1876">
        <v>0</v>
      </c>
      <c r="AA336" s="1786"/>
      <c r="AB336" s="1876">
        <v>0</v>
      </c>
      <c r="AC336" s="1786"/>
      <c r="AD336" s="1876">
        <v>0</v>
      </c>
      <c r="AE336" s="1787"/>
      <c r="AF336" s="1876">
        <v>0</v>
      </c>
      <c r="AG336" s="1785"/>
      <c r="AH336" s="1787">
        <v>6253.5600000000104</v>
      </c>
      <c r="AI336" s="1786"/>
      <c r="AJ336" s="1876">
        <v>6071.64</v>
      </c>
    </row>
    <row r="337" spans="1:36">
      <c r="A337" s="1675">
        <v>40</v>
      </c>
      <c r="B337" s="2015"/>
      <c r="C337" s="1675"/>
      <c r="D337" s="2002" t="s">
        <v>2527</v>
      </c>
      <c r="F337" s="1788">
        <f t="shared" si="74"/>
        <v>20009.484290000015</v>
      </c>
      <c r="G337" s="1674">
        <f t="shared" ref="G337:G400" si="75">+IF(ISNUMBER(W337),W337/1000,W337)</f>
        <v>0</v>
      </c>
      <c r="H337" s="1788">
        <f t="shared" ref="H337:H400" si="76">+IF(ISNUMBER(X337),X337/1000,X337)</f>
        <v>802.57944000000009</v>
      </c>
      <c r="I337" s="1783">
        <f t="shared" ref="I337:I400" si="77">+IF(ISNUMBER(Y337),Y337/1000,Y337)</f>
        <v>0</v>
      </c>
      <c r="J337" s="1788">
        <f t="shared" ref="J337:J400" si="78">+IF(ISNUMBER(Z337),Z337/1000,Z337)</f>
        <v>0</v>
      </c>
      <c r="K337" s="1783">
        <f t="shared" ref="K337:K400" si="79">+IF(ISNUMBER(AA337),AA337/1000,AA337)</f>
        <v>0</v>
      </c>
      <c r="L337" s="1788">
        <f t="shared" ref="L337:L400" si="80">+IF(ISNUMBER(AB337),AB337/1000,AB337)</f>
        <v>0</v>
      </c>
      <c r="M337" s="1783">
        <f t="shared" ref="M337:M400" si="81">+IF(ISNUMBER(AC337),AC337/1000,AC337)</f>
        <v>0</v>
      </c>
      <c r="N337" s="1788">
        <f t="shared" ref="N337:N400" si="82">+IF(ISNUMBER(AD337),AD337/1000,AD337)</f>
        <v>0</v>
      </c>
      <c r="O337" s="1814">
        <f t="shared" ref="O337:O400" si="83">+IF(ISNUMBER(AE337),AE337/1000,AE337)</f>
        <v>0</v>
      </c>
      <c r="P337" s="1788">
        <f t="shared" ref="P337:P400" si="84">+IF(ISNUMBER(AF337),AF337/1000,AF337)</f>
        <v>0</v>
      </c>
      <c r="Q337" s="1783">
        <f t="shared" ref="Q337:Q400" si="85">+IF(ISNUMBER(AG337),AG337/1000,AG337)</f>
        <v>0</v>
      </c>
      <c r="R337" s="1788">
        <f t="shared" ref="R337:R400" si="86">+IF(ISNUMBER(AH337),AH337/1000,AH337)</f>
        <v>20812.063730000013</v>
      </c>
      <c r="S337" s="1674">
        <f t="shared" ref="S337:S400" si="87">+IF(ISNUMBER(AI337),AI337/1000,AI337)</f>
        <v>0</v>
      </c>
      <c r="T337" s="1788">
        <f t="shared" ref="T337:T400" si="88">+IF(ISNUMBER(AJ337),AJ337/1000,AJ337)</f>
        <v>20410.774009999997</v>
      </c>
      <c r="V337" s="1788">
        <v>20009484.290000014</v>
      </c>
      <c r="X337" s="1788">
        <v>802579.44000000006</v>
      </c>
      <c r="Y337" s="1783"/>
      <c r="Z337" s="1788">
        <v>0</v>
      </c>
      <c r="AA337" s="1783"/>
      <c r="AB337" s="1788">
        <v>0</v>
      </c>
      <c r="AC337" s="1783"/>
      <c r="AD337" s="1788">
        <v>0</v>
      </c>
      <c r="AE337" s="1814"/>
      <c r="AF337" s="1788">
        <v>0</v>
      </c>
      <c r="AG337" s="1783"/>
      <c r="AH337" s="1788">
        <v>20812063.730000012</v>
      </c>
      <c r="AJ337" s="1788">
        <v>20410774.009999998</v>
      </c>
    </row>
    <row r="338" spans="1:36">
      <c r="A338" s="1675">
        <v>41</v>
      </c>
      <c r="B338" s="2015"/>
      <c r="F338" s="1674">
        <f t="shared" ref="F338:F401" si="89">+IF(ISNUMBER(V338),V338/1000,V338)</f>
        <v>0</v>
      </c>
      <c r="G338" s="1674">
        <f t="shared" si="75"/>
        <v>0</v>
      </c>
      <c r="H338" s="1674">
        <f t="shared" si="76"/>
        <v>0</v>
      </c>
      <c r="I338" s="1674">
        <f t="shared" si="77"/>
        <v>0</v>
      </c>
      <c r="J338" s="1674">
        <f t="shared" si="78"/>
        <v>0</v>
      </c>
      <c r="K338" s="1674">
        <f t="shared" si="79"/>
        <v>0</v>
      </c>
      <c r="L338" s="1674">
        <f t="shared" si="80"/>
        <v>0</v>
      </c>
      <c r="M338" s="1674">
        <f t="shared" si="81"/>
        <v>0</v>
      </c>
      <c r="N338" s="1674">
        <f t="shared" si="82"/>
        <v>0</v>
      </c>
      <c r="O338" s="1674">
        <f t="shared" si="83"/>
        <v>0</v>
      </c>
      <c r="P338" s="1674">
        <f t="shared" si="84"/>
        <v>0</v>
      </c>
      <c r="Q338" s="2001">
        <f t="shared" si="85"/>
        <v>0</v>
      </c>
      <c r="R338" s="1674">
        <f t="shared" si="86"/>
        <v>0</v>
      </c>
      <c r="S338" s="1674">
        <f t="shared" si="87"/>
        <v>0</v>
      </c>
      <c r="T338" s="1674">
        <f t="shared" si="88"/>
        <v>0</v>
      </c>
      <c r="AG338" s="2001"/>
    </row>
    <row r="339" spans="1:36">
      <c r="A339" s="1675">
        <v>42</v>
      </c>
      <c r="B339" s="2015"/>
      <c r="C339" s="2009">
        <v>34637</v>
      </c>
      <c r="D339" s="2002" t="s">
        <v>8173</v>
      </c>
      <c r="F339" s="1876">
        <f t="shared" si="89"/>
        <v>165.01636999999999</v>
      </c>
      <c r="G339" s="2001">
        <f t="shared" si="75"/>
        <v>0</v>
      </c>
      <c r="H339" s="1876">
        <f t="shared" si="76"/>
        <v>36.68289</v>
      </c>
      <c r="I339" s="1785">
        <f t="shared" si="77"/>
        <v>0</v>
      </c>
      <c r="J339" s="1876">
        <f t="shared" si="78"/>
        <v>-47.209019999999995</v>
      </c>
      <c r="K339" s="1786">
        <f t="shared" si="79"/>
        <v>0</v>
      </c>
      <c r="L339" s="1876">
        <f t="shared" si="80"/>
        <v>0</v>
      </c>
      <c r="M339" s="1786">
        <f t="shared" si="81"/>
        <v>0</v>
      </c>
      <c r="N339" s="1876">
        <f t="shared" si="82"/>
        <v>0</v>
      </c>
      <c r="O339" s="1787">
        <f t="shared" si="83"/>
        <v>0</v>
      </c>
      <c r="P339" s="1876">
        <f t="shared" si="84"/>
        <v>0</v>
      </c>
      <c r="Q339" s="1785">
        <f t="shared" si="85"/>
        <v>0</v>
      </c>
      <c r="R339" s="1787">
        <f t="shared" si="86"/>
        <v>154.49024000000003</v>
      </c>
      <c r="S339" s="1786">
        <f t="shared" si="87"/>
        <v>0</v>
      </c>
      <c r="T339" s="1876">
        <f t="shared" si="88"/>
        <v>169.41617000000002</v>
      </c>
      <c r="V339" s="1876">
        <v>165016.37</v>
      </c>
      <c r="W339" s="2001"/>
      <c r="X339" s="1876">
        <v>36682.89</v>
      </c>
      <c r="Y339" s="1785"/>
      <c r="Z339" s="1876">
        <v>-47209.02</v>
      </c>
      <c r="AA339" s="1786"/>
      <c r="AB339" s="1876">
        <v>0</v>
      </c>
      <c r="AC339" s="1786"/>
      <c r="AD339" s="1876">
        <v>0</v>
      </c>
      <c r="AE339" s="1787"/>
      <c r="AF339" s="1876">
        <v>0</v>
      </c>
      <c r="AG339" s="1785"/>
      <c r="AH339" s="1787">
        <v>154490.24000000002</v>
      </c>
      <c r="AI339" s="1786"/>
      <c r="AJ339" s="1876">
        <v>169416.17</v>
      </c>
    </row>
    <row r="340" spans="1:36" ht="15" thickBot="1">
      <c r="A340" s="1675">
        <v>43</v>
      </c>
      <c r="B340" s="2015"/>
      <c r="D340" s="1674" t="s">
        <v>2528</v>
      </c>
      <c r="F340" s="1798">
        <f t="shared" si="89"/>
        <v>520031.9221899999</v>
      </c>
      <c r="G340" s="1674">
        <f t="shared" si="75"/>
        <v>0</v>
      </c>
      <c r="H340" s="1798">
        <f t="shared" si="76"/>
        <v>62677.014869999999</v>
      </c>
      <c r="I340" s="1790">
        <f t="shared" si="77"/>
        <v>0</v>
      </c>
      <c r="J340" s="1798">
        <f t="shared" si="78"/>
        <v>-13039.938460000001</v>
      </c>
      <c r="K340" s="1790">
        <f t="shared" si="79"/>
        <v>0</v>
      </c>
      <c r="L340" s="1798">
        <f t="shared" si="80"/>
        <v>-2774.4082999999996</v>
      </c>
      <c r="M340" s="1790">
        <f t="shared" si="81"/>
        <v>0</v>
      </c>
      <c r="N340" s="1798">
        <f t="shared" si="82"/>
        <v>0</v>
      </c>
      <c r="O340" s="1813">
        <f t="shared" si="83"/>
        <v>0</v>
      </c>
      <c r="P340" s="1798">
        <f t="shared" si="84"/>
        <v>0</v>
      </c>
      <c r="Q340" s="1790">
        <f t="shared" si="85"/>
        <v>0</v>
      </c>
      <c r="R340" s="1798">
        <f t="shared" si="86"/>
        <v>566894.59029999992</v>
      </c>
      <c r="S340" s="1674">
        <f t="shared" si="87"/>
        <v>0</v>
      </c>
      <c r="T340" s="1798">
        <f t="shared" si="88"/>
        <v>543274.03402999998</v>
      </c>
      <c r="V340" s="1798">
        <v>520031922.18999988</v>
      </c>
      <c r="X340" s="1798">
        <v>62677014.869999997</v>
      </c>
      <c r="Y340" s="1790"/>
      <c r="Z340" s="1798">
        <v>-13039938.460000001</v>
      </c>
      <c r="AA340" s="1790"/>
      <c r="AB340" s="1798">
        <v>-2774408.3</v>
      </c>
      <c r="AC340" s="1790"/>
      <c r="AD340" s="1798">
        <v>0</v>
      </c>
      <c r="AE340" s="1813"/>
      <c r="AF340" s="1798">
        <v>0</v>
      </c>
      <c r="AG340" s="1790"/>
      <c r="AH340" s="1798">
        <v>566894590.29999995</v>
      </c>
      <c r="AJ340" s="1798">
        <v>543274034.02999997</v>
      </c>
    </row>
    <row r="341" spans="1:36" ht="15.6" thickTop="1" thickBot="1">
      <c r="A341" s="2008">
        <v>44</v>
      </c>
      <c r="B341" s="1869" t="s">
        <v>2476</v>
      </c>
      <c r="C341" s="1997"/>
      <c r="D341" s="1997"/>
      <c r="E341" s="1997"/>
      <c r="F341" s="1997">
        <f t="shared" si="89"/>
        <v>0</v>
      </c>
      <c r="G341" s="1997">
        <f t="shared" si="75"/>
        <v>0</v>
      </c>
      <c r="H341" s="1997">
        <f t="shared" si="76"/>
        <v>0</v>
      </c>
      <c r="I341" s="1997">
        <f t="shared" si="77"/>
        <v>0</v>
      </c>
      <c r="J341" s="1997">
        <f t="shared" si="78"/>
        <v>0</v>
      </c>
      <c r="K341" s="1997">
        <f t="shared" si="79"/>
        <v>0</v>
      </c>
      <c r="L341" s="1997">
        <f t="shared" si="80"/>
        <v>0</v>
      </c>
      <c r="M341" s="1997">
        <f t="shared" si="81"/>
        <v>0</v>
      </c>
      <c r="N341" s="1997">
        <f t="shared" si="82"/>
        <v>0</v>
      </c>
      <c r="O341" s="1997">
        <f t="shared" si="83"/>
        <v>0</v>
      </c>
      <c r="P341" s="1997">
        <f t="shared" si="84"/>
        <v>0</v>
      </c>
      <c r="Q341" s="1998">
        <f t="shared" si="85"/>
        <v>0</v>
      </c>
      <c r="R341" s="1997">
        <f t="shared" si="86"/>
        <v>0</v>
      </c>
      <c r="S341" s="1997">
        <f t="shared" si="87"/>
        <v>0</v>
      </c>
      <c r="T341" s="1997">
        <f t="shared" si="88"/>
        <v>0</v>
      </c>
      <c r="V341" s="1997"/>
      <c r="W341" s="1997"/>
      <c r="X341" s="1997"/>
      <c r="Y341" s="1997"/>
      <c r="Z341" s="1997"/>
      <c r="AA341" s="1997"/>
      <c r="AB341" s="1997"/>
      <c r="AC341" s="1997"/>
      <c r="AD341" s="1997"/>
      <c r="AE341" s="1997"/>
      <c r="AF341" s="1997"/>
      <c r="AG341" s="1998"/>
      <c r="AH341" s="1997"/>
      <c r="AI341" s="1997"/>
      <c r="AJ341" s="1997"/>
    </row>
    <row r="342" spans="1:36">
      <c r="A342" s="1674" t="s">
        <v>8186</v>
      </c>
      <c r="F342" s="1674">
        <f t="shared" si="89"/>
        <v>0</v>
      </c>
      <c r="G342" s="1674">
        <f t="shared" si="75"/>
        <v>0</v>
      </c>
      <c r="H342" s="1674">
        <f t="shared" si="76"/>
        <v>0</v>
      </c>
      <c r="I342" s="1674">
        <f t="shared" si="77"/>
        <v>0</v>
      </c>
      <c r="J342" s="1674">
        <f t="shared" si="78"/>
        <v>0</v>
      </c>
      <c r="K342" s="1674">
        <f t="shared" si="79"/>
        <v>0</v>
      </c>
      <c r="L342" s="1674">
        <f t="shared" si="80"/>
        <v>0</v>
      </c>
      <c r="M342" s="1674">
        <f t="shared" si="81"/>
        <v>0</v>
      </c>
      <c r="N342" s="1674">
        <f t="shared" si="82"/>
        <v>0</v>
      </c>
      <c r="O342" s="1674">
        <f t="shared" si="83"/>
        <v>0</v>
      </c>
      <c r="P342" s="1674">
        <f t="shared" si="84"/>
        <v>0</v>
      </c>
      <c r="Q342" s="2001">
        <f t="shared" si="85"/>
        <v>0</v>
      </c>
      <c r="R342" s="1674" t="str">
        <f t="shared" si="86"/>
        <v>Recap Schedules:  B-03, B-06</v>
      </c>
      <c r="S342" s="1674">
        <f t="shared" si="87"/>
        <v>0</v>
      </c>
      <c r="T342" s="1674">
        <f t="shared" si="88"/>
        <v>0</v>
      </c>
      <c r="AG342" s="2001"/>
      <c r="AH342" s="1674" t="s">
        <v>8948</v>
      </c>
    </row>
    <row r="343" spans="1:36" ht="15" thickBot="1">
      <c r="A343" s="1997" t="s">
        <v>8952</v>
      </c>
      <c r="B343" s="1997"/>
      <c r="C343" s="1997"/>
      <c r="D343" s="1997"/>
      <c r="E343" s="1997"/>
      <c r="F343" s="1997" t="str">
        <f t="shared" si="89"/>
        <v>DEPRECIATION RESERVE BALANCES BY ACCOUNT AND SUB-ACCOUNT</v>
      </c>
      <c r="G343" s="1997">
        <f t="shared" si="75"/>
        <v>0</v>
      </c>
      <c r="H343" s="1997">
        <f t="shared" si="76"/>
        <v>0</v>
      </c>
      <c r="I343" s="1997">
        <f t="shared" si="77"/>
        <v>0</v>
      </c>
      <c r="J343" s="1997">
        <f t="shared" si="78"/>
        <v>0</v>
      </c>
      <c r="K343" s="1997">
        <f t="shared" si="79"/>
        <v>0</v>
      </c>
      <c r="L343" s="1997">
        <f t="shared" si="80"/>
        <v>0</v>
      </c>
      <c r="M343" s="1997">
        <f t="shared" si="81"/>
        <v>0</v>
      </c>
      <c r="N343" s="1997">
        <f t="shared" si="82"/>
        <v>0</v>
      </c>
      <c r="O343" s="1997">
        <f t="shared" si="83"/>
        <v>0</v>
      </c>
      <c r="P343" s="1997">
        <f t="shared" si="84"/>
        <v>0</v>
      </c>
      <c r="Q343" s="1998">
        <f t="shared" si="85"/>
        <v>0</v>
      </c>
      <c r="R343" s="1997">
        <f t="shared" si="86"/>
        <v>0</v>
      </c>
      <c r="S343" s="1997">
        <f t="shared" si="87"/>
        <v>0</v>
      </c>
      <c r="T343" s="1997" t="str">
        <f t="shared" si="88"/>
        <v>Page 7 of 10</v>
      </c>
      <c r="V343" s="1997" t="s">
        <v>2594</v>
      </c>
      <c r="W343" s="1997"/>
      <c r="X343" s="1997"/>
      <c r="Y343" s="1997"/>
      <c r="Z343" s="1997"/>
      <c r="AA343" s="1997"/>
      <c r="AB343" s="1997"/>
      <c r="AC343" s="1997"/>
      <c r="AD343" s="1997"/>
      <c r="AE343" s="1997"/>
      <c r="AF343" s="1997"/>
      <c r="AG343" s="1998"/>
      <c r="AH343" s="1997"/>
      <c r="AI343" s="1997"/>
      <c r="AJ343" s="1997" t="s">
        <v>2525</v>
      </c>
    </row>
    <row r="344" spans="1:36">
      <c r="A344" s="1674" t="s">
        <v>2425</v>
      </c>
      <c r="B344" s="2024"/>
      <c r="E344" s="2001" t="s">
        <v>2426</v>
      </c>
      <c r="F344" s="1674" t="str">
        <f t="shared" si="89"/>
        <v>Provide the depreciation reserve balances for each account or sub-account to which</v>
      </c>
      <c r="G344" s="1674">
        <f t="shared" si="75"/>
        <v>0</v>
      </c>
      <c r="H344" s="1674">
        <f t="shared" si="76"/>
        <v>0</v>
      </c>
      <c r="I344" s="1674">
        <f t="shared" si="77"/>
        <v>0</v>
      </c>
      <c r="J344" s="2003">
        <f t="shared" si="78"/>
        <v>0</v>
      </c>
      <c r="K344" s="2003">
        <f t="shared" si="79"/>
        <v>0</v>
      </c>
      <c r="L344" s="1674">
        <f t="shared" si="80"/>
        <v>0</v>
      </c>
      <c r="M344" s="2003">
        <f t="shared" si="81"/>
        <v>0</v>
      </c>
      <c r="N344" s="2003">
        <f t="shared" si="82"/>
        <v>0</v>
      </c>
      <c r="O344" s="2003">
        <f t="shared" si="83"/>
        <v>0</v>
      </c>
      <c r="P344" s="2003">
        <f t="shared" si="84"/>
        <v>0</v>
      </c>
      <c r="Q344" s="2004">
        <f t="shared" si="85"/>
        <v>0</v>
      </c>
      <c r="R344" s="1674" t="str">
        <f t="shared" si="86"/>
        <v>Type of data shown:</v>
      </c>
      <c r="S344" s="1674">
        <f t="shared" si="87"/>
        <v>0</v>
      </c>
      <c r="T344" s="2005">
        <f t="shared" si="88"/>
        <v>0</v>
      </c>
      <c r="V344" s="1674" t="s">
        <v>2595</v>
      </c>
      <c r="Z344" s="2003"/>
      <c r="AA344" s="2003"/>
      <c r="AC344" s="2003"/>
      <c r="AD344" s="2003"/>
      <c r="AE344" s="2003"/>
      <c r="AF344" s="2003"/>
      <c r="AG344" s="2004"/>
      <c r="AH344" s="1674" t="s">
        <v>2427</v>
      </c>
      <c r="AJ344" s="2005"/>
    </row>
    <row r="345" spans="1:36">
      <c r="B345" s="2024"/>
      <c r="F345" s="1674" t="str">
        <f t="shared" si="89"/>
        <v>an individual depreciation rate is applied. (Include Amortization/Recovery amounts).</v>
      </c>
      <c r="G345" s="1674">
        <f t="shared" si="75"/>
        <v>0</v>
      </c>
      <c r="H345" s="1674">
        <f t="shared" si="76"/>
        <v>0</v>
      </c>
      <c r="I345" s="1674">
        <f t="shared" si="77"/>
        <v>0</v>
      </c>
      <c r="J345" s="2001">
        <f t="shared" si="78"/>
        <v>0</v>
      </c>
      <c r="K345" s="2005">
        <f t="shared" si="79"/>
        <v>0</v>
      </c>
      <c r="L345" s="1674">
        <f t="shared" si="80"/>
        <v>0</v>
      </c>
      <c r="M345" s="1674">
        <f t="shared" si="81"/>
        <v>0</v>
      </c>
      <c r="N345" s="2001">
        <f t="shared" si="82"/>
        <v>0</v>
      </c>
      <c r="O345" s="2001">
        <f t="shared" si="83"/>
        <v>0</v>
      </c>
      <c r="P345" s="2001">
        <f t="shared" si="84"/>
        <v>0</v>
      </c>
      <c r="Q345" s="2001" t="str">
        <f t="shared" si="85"/>
        <v>XX</v>
      </c>
      <c r="R345" s="2005" t="str">
        <f t="shared" si="86"/>
        <v>Projected Test Year Ended 12/31/2025</v>
      </c>
      <c r="S345" s="1674">
        <f t="shared" si="87"/>
        <v>0</v>
      </c>
      <c r="T345" s="2001">
        <f t="shared" si="88"/>
        <v>0</v>
      </c>
      <c r="V345" s="1674" t="s">
        <v>8185</v>
      </c>
      <c r="Z345" s="2001"/>
      <c r="AA345" s="2005"/>
      <c r="AD345" s="2001"/>
      <c r="AE345" s="2001"/>
      <c r="AF345" s="2001"/>
      <c r="AG345" s="2001" t="s">
        <v>8157</v>
      </c>
      <c r="AH345" s="2005" t="s">
        <v>8944</v>
      </c>
      <c r="AJ345" s="2001"/>
    </row>
    <row r="346" spans="1:36">
      <c r="A346" s="1674" t="s">
        <v>2428</v>
      </c>
      <c r="B346" s="2024"/>
      <c r="F346" s="1674" t="str">
        <f t="shared" si="89"/>
        <v/>
      </c>
      <c r="G346" s="1674">
        <f t="shared" si="75"/>
        <v>0</v>
      </c>
      <c r="H346" s="1674">
        <f t="shared" si="76"/>
        <v>0</v>
      </c>
      <c r="I346" s="1674">
        <f t="shared" si="77"/>
        <v>0</v>
      </c>
      <c r="J346" s="2001">
        <f t="shared" si="78"/>
        <v>0</v>
      </c>
      <c r="K346" s="2005">
        <f t="shared" si="79"/>
        <v>0</v>
      </c>
      <c r="L346" s="2001">
        <f t="shared" si="80"/>
        <v>0</v>
      </c>
      <c r="M346" s="1674">
        <f t="shared" si="81"/>
        <v>0</v>
      </c>
      <c r="N346" s="1674">
        <f t="shared" si="82"/>
        <v>0</v>
      </c>
      <c r="O346" s="1674">
        <f t="shared" si="83"/>
        <v>0</v>
      </c>
      <c r="P346" s="1674">
        <f t="shared" si="84"/>
        <v>0</v>
      </c>
      <c r="Q346" s="2001" t="str">
        <f t="shared" si="85"/>
        <v/>
      </c>
      <c r="R346" s="2005" t="str">
        <f t="shared" si="86"/>
        <v>Projected Prior Year Ended 12/31/2024</v>
      </c>
      <c r="S346" s="1674">
        <f t="shared" si="87"/>
        <v>0</v>
      </c>
      <c r="T346" s="2001">
        <f t="shared" si="88"/>
        <v>0</v>
      </c>
      <c r="V346" s="1674" t="s">
        <v>2360</v>
      </c>
      <c r="Z346" s="2001"/>
      <c r="AA346" s="2005"/>
      <c r="AB346" s="2001"/>
      <c r="AG346" s="2001" t="s">
        <v>2360</v>
      </c>
      <c r="AH346" s="2005" t="s">
        <v>8945</v>
      </c>
      <c r="AJ346" s="2001"/>
    </row>
    <row r="347" spans="1:36">
      <c r="B347" s="2024"/>
      <c r="F347" s="1674" t="str">
        <f t="shared" si="89"/>
        <v/>
      </c>
      <c r="G347" s="1674">
        <f t="shared" si="75"/>
        <v>0</v>
      </c>
      <c r="H347" s="1674">
        <f t="shared" si="76"/>
        <v>0</v>
      </c>
      <c r="I347" s="1674">
        <f t="shared" si="77"/>
        <v>0</v>
      </c>
      <c r="J347" s="2001">
        <f t="shared" si="78"/>
        <v>0</v>
      </c>
      <c r="K347" s="2005">
        <f t="shared" si="79"/>
        <v>0</v>
      </c>
      <c r="L347" s="2001">
        <f t="shared" si="80"/>
        <v>0</v>
      </c>
      <c r="M347" s="1674">
        <f t="shared" si="81"/>
        <v>0</v>
      </c>
      <c r="N347" s="1674">
        <f t="shared" si="82"/>
        <v>0</v>
      </c>
      <c r="O347" s="1674">
        <f t="shared" si="83"/>
        <v>0</v>
      </c>
      <c r="P347" s="1674">
        <f t="shared" si="84"/>
        <v>0</v>
      </c>
      <c r="Q347" s="2001" t="str">
        <f t="shared" si="85"/>
        <v/>
      </c>
      <c r="R347" s="2005" t="str">
        <f t="shared" si="86"/>
        <v>Historical Prior Year Ended 12/31/2023</v>
      </c>
      <c r="S347" s="1674">
        <f t="shared" si="87"/>
        <v>0</v>
      </c>
      <c r="T347" s="2001">
        <f t="shared" si="88"/>
        <v>0</v>
      </c>
      <c r="V347" s="1674" t="s">
        <v>2360</v>
      </c>
      <c r="Z347" s="2001"/>
      <c r="AA347" s="2005"/>
      <c r="AB347" s="2001"/>
      <c r="AG347" s="2001" t="s">
        <v>2360</v>
      </c>
      <c r="AH347" s="2005" t="s">
        <v>8946</v>
      </c>
      <c r="AJ347" s="2001"/>
    </row>
    <row r="348" spans="1:36">
      <c r="B348" s="2024"/>
      <c r="F348" s="1674">
        <f t="shared" si="89"/>
        <v>0</v>
      </c>
      <c r="G348" s="1674">
        <f t="shared" si="75"/>
        <v>0</v>
      </c>
      <c r="H348" s="1674">
        <f t="shared" si="76"/>
        <v>0</v>
      </c>
      <c r="I348" s="1674">
        <f t="shared" si="77"/>
        <v>0</v>
      </c>
      <c r="J348" s="2001">
        <f t="shared" si="78"/>
        <v>0</v>
      </c>
      <c r="K348" s="2005">
        <f t="shared" si="79"/>
        <v>0</v>
      </c>
      <c r="L348" s="2001">
        <f t="shared" si="80"/>
        <v>0</v>
      </c>
      <c r="M348" s="1674">
        <f t="shared" si="81"/>
        <v>0</v>
      </c>
      <c r="N348" s="1674">
        <f t="shared" si="82"/>
        <v>0</v>
      </c>
      <c r="O348" s="1674">
        <f t="shared" si="83"/>
        <v>0</v>
      </c>
      <c r="P348" s="1674">
        <f t="shared" si="84"/>
        <v>0</v>
      </c>
      <c r="Q348" s="2001">
        <f t="shared" si="85"/>
        <v>0</v>
      </c>
      <c r="R348" s="2005" t="str">
        <f t="shared" si="86"/>
        <v>Witness: D. Avellan</v>
      </c>
      <c r="S348" s="1674">
        <f t="shared" si="87"/>
        <v>0</v>
      </c>
      <c r="T348" s="2001">
        <f t="shared" si="88"/>
        <v>0</v>
      </c>
      <c r="Z348" s="2001"/>
      <c r="AA348" s="2005"/>
      <c r="AB348" s="2001"/>
      <c r="AG348" s="2001"/>
      <c r="AH348" s="2005" t="s">
        <v>8160</v>
      </c>
      <c r="AJ348" s="2001"/>
    </row>
    <row r="349" spans="1:36" ht="15" thickBot="1">
      <c r="A349" s="1997" t="s">
        <v>8158</v>
      </c>
      <c r="B349" s="2025"/>
      <c r="C349" s="1997"/>
      <c r="D349" s="1997"/>
      <c r="E349" s="1997"/>
      <c r="F349" s="1997" t="str">
        <f t="shared" si="89"/>
        <v/>
      </c>
      <c r="G349" s="1997">
        <f t="shared" si="75"/>
        <v>0</v>
      </c>
      <c r="H349" s="2008" t="str">
        <f t="shared" si="76"/>
        <v>(Dollars in cents)</v>
      </c>
      <c r="I349" s="1997">
        <f t="shared" si="77"/>
        <v>0</v>
      </c>
      <c r="J349" s="1997">
        <f t="shared" si="78"/>
        <v>0</v>
      </c>
      <c r="K349" s="1997">
        <f t="shared" si="79"/>
        <v>0</v>
      </c>
      <c r="L349" s="1997">
        <f t="shared" si="80"/>
        <v>0</v>
      </c>
      <c r="M349" s="1997">
        <f t="shared" si="81"/>
        <v>0</v>
      </c>
      <c r="N349" s="1997">
        <f t="shared" si="82"/>
        <v>0</v>
      </c>
      <c r="O349" s="1997">
        <f t="shared" si="83"/>
        <v>0</v>
      </c>
      <c r="P349" s="1997">
        <f t="shared" si="84"/>
        <v>0</v>
      </c>
      <c r="Q349" s="1998">
        <f t="shared" si="85"/>
        <v>0</v>
      </c>
      <c r="R349" s="1997" t="str">
        <f t="shared" si="86"/>
        <v xml:space="preserve"> </v>
      </c>
      <c r="S349" s="1997">
        <f t="shared" si="87"/>
        <v>0</v>
      </c>
      <c r="T349" s="1997">
        <f t="shared" si="88"/>
        <v>0</v>
      </c>
      <c r="V349" s="1997" t="s">
        <v>2360</v>
      </c>
      <c r="W349" s="1997"/>
      <c r="X349" s="2008" t="s">
        <v>8159</v>
      </c>
      <c r="Y349" s="1997"/>
      <c r="Z349" s="1997"/>
      <c r="AA349" s="1997"/>
      <c r="AB349" s="1997"/>
      <c r="AC349" s="1997"/>
      <c r="AD349" s="1997"/>
      <c r="AE349" s="1997"/>
      <c r="AF349" s="1997"/>
      <c r="AG349" s="1998"/>
      <c r="AH349" s="1997" t="s">
        <v>2477</v>
      </c>
      <c r="AI349" s="1997"/>
      <c r="AJ349" s="1997"/>
    </row>
    <row r="350" spans="1:36">
      <c r="C350" s="2009"/>
      <c r="D350" s="2009"/>
      <c r="E350" s="2009"/>
      <c r="F350" s="2009">
        <f t="shared" si="89"/>
        <v>0</v>
      </c>
      <c r="G350" s="2009">
        <f t="shared" si="75"/>
        <v>0</v>
      </c>
      <c r="H350" s="2009">
        <f t="shared" si="76"/>
        <v>0</v>
      </c>
      <c r="I350" s="2009">
        <f t="shared" si="77"/>
        <v>0</v>
      </c>
      <c r="J350" s="2009">
        <f t="shared" si="78"/>
        <v>0</v>
      </c>
      <c r="K350" s="2009">
        <f t="shared" si="79"/>
        <v>0</v>
      </c>
      <c r="L350" s="2009">
        <f t="shared" si="80"/>
        <v>0</v>
      </c>
      <c r="M350" s="2009">
        <f t="shared" si="81"/>
        <v>0</v>
      </c>
      <c r="N350" s="2009">
        <f t="shared" si="82"/>
        <v>0</v>
      </c>
      <c r="O350" s="2009">
        <f t="shared" si="83"/>
        <v>0</v>
      </c>
      <c r="P350" s="2009">
        <f t="shared" si="84"/>
        <v>0</v>
      </c>
      <c r="Q350" s="2010">
        <f t="shared" si="85"/>
        <v>0</v>
      </c>
      <c r="R350" s="2009">
        <f t="shared" si="86"/>
        <v>0</v>
      </c>
      <c r="S350" s="2009">
        <f t="shared" si="87"/>
        <v>0</v>
      </c>
      <c r="T350" s="2009">
        <f t="shared" si="88"/>
        <v>0</v>
      </c>
      <c r="V350" s="2009"/>
      <c r="W350" s="2009"/>
      <c r="X350" s="2009"/>
      <c r="Y350" s="2009"/>
      <c r="Z350" s="2009"/>
      <c r="AA350" s="2009"/>
      <c r="AB350" s="2009"/>
      <c r="AC350" s="2009"/>
      <c r="AD350" s="2009"/>
      <c r="AE350" s="2009"/>
      <c r="AF350" s="2009"/>
      <c r="AG350" s="2010"/>
      <c r="AH350" s="2009"/>
      <c r="AI350" s="2009"/>
      <c r="AJ350" s="2009"/>
    </row>
    <row r="351" spans="1:36">
      <c r="C351" s="2009" t="s">
        <v>2306</v>
      </c>
      <c r="D351" s="2009" t="s">
        <v>2307</v>
      </c>
      <c r="E351" s="2009"/>
      <c r="F351" s="2009" t="str">
        <f t="shared" si="89"/>
        <v>(3)</v>
      </c>
      <c r="G351" s="2009">
        <f t="shared" si="75"/>
        <v>0</v>
      </c>
      <c r="H351" s="2009" t="str">
        <f t="shared" si="76"/>
        <v>(4)</v>
      </c>
      <c r="I351" s="2009">
        <f t="shared" si="77"/>
        <v>0</v>
      </c>
      <c r="J351" s="1675" t="str">
        <f t="shared" si="78"/>
        <v>(5)</v>
      </c>
      <c r="K351" s="1675">
        <f t="shared" si="79"/>
        <v>0</v>
      </c>
      <c r="L351" s="2009" t="str">
        <f t="shared" si="80"/>
        <v>(6)</v>
      </c>
      <c r="M351" s="2009">
        <f t="shared" si="81"/>
        <v>0</v>
      </c>
      <c r="N351" s="2009" t="str">
        <f t="shared" si="82"/>
        <v>(7)</v>
      </c>
      <c r="O351" s="2009">
        <f t="shared" si="83"/>
        <v>0</v>
      </c>
      <c r="P351" s="2009" t="str">
        <f t="shared" si="84"/>
        <v>(8)</v>
      </c>
      <c r="Q351" s="2010">
        <f t="shared" si="85"/>
        <v>0</v>
      </c>
      <c r="R351" s="2009" t="str">
        <f t="shared" si="86"/>
        <v>(9)</v>
      </c>
      <c r="S351" s="2009">
        <f t="shared" si="87"/>
        <v>0</v>
      </c>
      <c r="T351" s="2009" t="str">
        <f t="shared" si="88"/>
        <v>(10)</v>
      </c>
      <c r="V351" s="2009" t="s">
        <v>2308</v>
      </c>
      <c r="W351" s="2009"/>
      <c r="X351" s="2009" t="s">
        <v>2309</v>
      </c>
      <c r="Y351" s="2009"/>
      <c r="Z351" s="1675" t="s">
        <v>2310</v>
      </c>
      <c r="AA351" s="1675"/>
      <c r="AB351" s="2009" t="s">
        <v>2311</v>
      </c>
      <c r="AC351" s="2009"/>
      <c r="AD351" s="2009" t="s">
        <v>2312</v>
      </c>
      <c r="AE351" s="2009"/>
      <c r="AF351" s="2009" t="s">
        <v>2313</v>
      </c>
      <c r="AG351" s="2010"/>
      <c r="AH351" s="2009" t="s">
        <v>2314</v>
      </c>
      <c r="AI351" s="2009"/>
      <c r="AJ351" s="2009" t="s">
        <v>2361</v>
      </c>
    </row>
    <row r="352" spans="1:36">
      <c r="C352" s="1675" t="s">
        <v>2429</v>
      </c>
      <c r="D352" s="1675" t="s">
        <v>2429</v>
      </c>
      <c r="F352" s="1675" t="str">
        <f t="shared" si="89"/>
        <v>Accumulated</v>
      </c>
      <c r="G352" s="1675">
        <f t="shared" si="75"/>
        <v>0</v>
      </c>
      <c r="H352" s="2009" t="str">
        <f t="shared" si="76"/>
        <v>Total</v>
      </c>
      <c r="I352" s="1675">
        <f t="shared" si="77"/>
        <v>0</v>
      </c>
      <c r="J352" s="2009">
        <f t="shared" si="78"/>
        <v>0</v>
      </c>
      <c r="K352" s="1675">
        <f t="shared" si="79"/>
        <v>0</v>
      </c>
      <c r="L352" s="1675">
        <f t="shared" si="80"/>
        <v>0</v>
      </c>
      <c r="M352" s="1675">
        <f t="shared" si="81"/>
        <v>0</v>
      </c>
      <c r="N352" s="1674">
        <f t="shared" si="82"/>
        <v>0</v>
      </c>
      <c r="O352" s="1674">
        <f t="shared" si="83"/>
        <v>0</v>
      </c>
      <c r="P352" s="1674">
        <f t="shared" si="84"/>
        <v>0</v>
      </c>
      <c r="Q352" s="2001">
        <f t="shared" si="85"/>
        <v>0</v>
      </c>
      <c r="R352" s="1675" t="str">
        <f t="shared" si="86"/>
        <v>Accumulated</v>
      </c>
      <c r="S352" s="1674">
        <f t="shared" si="87"/>
        <v>0</v>
      </c>
      <c r="T352" s="1675">
        <f t="shared" si="88"/>
        <v>0</v>
      </c>
      <c r="V352" s="1675" t="s">
        <v>2315</v>
      </c>
      <c r="W352" s="1675"/>
      <c r="X352" s="2009" t="s">
        <v>122</v>
      </c>
      <c r="Y352" s="1675"/>
      <c r="Z352" s="2009"/>
      <c r="AA352" s="1675"/>
      <c r="AB352" s="1675"/>
      <c r="AC352" s="1675"/>
      <c r="AG352" s="2001"/>
      <c r="AH352" s="1675" t="s">
        <v>2315</v>
      </c>
      <c r="AJ352" s="1675"/>
    </row>
    <row r="353" spans="1:36">
      <c r="A353" s="1675" t="s">
        <v>2430</v>
      </c>
      <c r="B353" s="1675"/>
      <c r="C353" s="1675" t="s">
        <v>2431</v>
      </c>
      <c r="D353" s="1675" t="s">
        <v>2431</v>
      </c>
      <c r="E353" s="2009"/>
      <c r="F353" s="1675" t="str">
        <f t="shared" si="89"/>
        <v>Depreciation</v>
      </c>
      <c r="G353" s="1675">
        <f t="shared" si="75"/>
        <v>0</v>
      </c>
      <c r="H353" s="1675" t="str">
        <f t="shared" si="76"/>
        <v>Depreciation</v>
      </c>
      <c r="I353" s="1675">
        <f t="shared" si="77"/>
        <v>0</v>
      </c>
      <c r="J353" s="1675">
        <f t="shared" si="78"/>
        <v>0</v>
      </c>
      <c r="K353" s="2009">
        <f t="shared" si="79"/>
        <v>0</v>
      </c>
      <c r="L353" s="1675" t="str">
        <f t="shared" si="80"/>
        <v>Gross</v>
      </c>
      <c r="M353" s="2005">
        <f t="shared" si="81"/>
        <v>0</v>
      </c>
      <c r="N353" s="1675" t="str">
        <f t="shared" si="82"/>
        <v>Gross</v>
      </c>
      <c r="O353" s="1675">
        <f t="shared" si="83"/>
        <v>0</v>
      </c>
      <c r="P353" s="1675" t="str">
        <f t="shared" si="84"/>
        <v>Adjustments</v>
      </c>
      <c r="Q353" s="2010">
        <f t="shared" si="85"/>
        <v>0</v>
      </c>
      <c r="R353" s="2009" t="str">
        <f t="shared" si="86"/>
        <v>Depreciation</v>
      </c>
      <c r="S353" s="2009">
        <f t="shared" si="87"/>
        <v>0</v>
      </c>
      <c r="T353" s="1675" t="str">
        <f t="shared" si="88"/>
        <v>13-Month</v>
      </c>
      <c r="V353" s="1675" t="s">
        <v>1537</v>
      </c>
      <c r="W353" s="1675"/>
      <c r="X353" s="1675" t="s">
        <v>1537</v>
      </c>
      <c r="Y353" s="1675"/>
      <c r="Z353" s="1675"/>
      <c r="AA353" s="2009"/>
      <c r="AB353" s="1675" t="s">
        <v>2596</v>
      </c>
      <c r="AC353" s="2005"/>
      <c r="AD353" s="1675" t="s">
        <v>2596</v>
      </c>
      <c r="AE353" s="1675"/>
      <c r="AF353" s="1675" t="s">
        <v>593</v>
      </c>
      <c r="AG353" s="2010"/>
      <c r="AH353" s="2009" t="s">
        <v>1537</v>
      </c>
      <c r="AI353" s="2009"/>
      <c r="AJ353" s="1675" t="s">
        <v>2434</v>
      </c>
    </row>
    <row r="354" spans="1:36" ht="15" thickBot="1">
      <c r="A354" s="2008" t="s">
        <v>2435</v>
      </c>
      <c r="B354" s="2008"/>
      <c r="C354" s="2008" t="s">
        <v>2436</v>
      </c>
      <c r="D354" s="2008" t="s">
        <v>2437</v>
      </c>
      <c r="E354" s="2008"/>
      <c r="F354" s="2011" t="str">
        <f t="shared" si="89"/>
        <v>Beg. of Year</v>
      </c>
      <c r="G354" s="2011">
        <f t="shared" si="75"/>
        <v>0</v>
      </c>
      <c r="H354" s="2011" t="str">
        <f t="shared" si="76"/>
        <v>Accrued</v>
      </c>
      <c r="I354" s="2012">
        <f t="shared" si="77"/>
        <v>0</v>
      </c>
      <c r="J354" s="2011" t="str">
        <f t="shared" si="78"/>
        <v>Retirements</v>
      </c>
      <c r="K354" s="2012">
        <f t="shared" si="79"/>
        <v>0</v>
      </c>
      <c r="L354" s="2012" t="str">
        <f t="shared" si="80"/>
        <v>COR</v>
      </c>
      <c r="M354" s="2013">
        <f t="shared" si="81"/>
        <v>0</v>
      </c>
      <c r="N354" s="2013" t="str">
        <f t="shared" si="82"/>
        <v>Salvage</v>
      </c>
      <c r="O354" s="2013">
        <f t="shared" si="83"/>
        <v>0</v>
      </c>
      <c r="P354" s="2013" t="str">
        <f t="shared" si="84"/>
        <v>or Transfers</v>
      </c>
      <c r="Q354" s="2014">
        <f t="shared" si="85"/>
        <v>0</v>
      </c>
      <c r="R354" s="2013" t="str">
        <f t="shared" si="86"/>
        <v>End of Year</v>
      </c>
      <c r="S354" s="2013">
        <f t="shared" si="87"/>
        <v>0</v>
      </c>
      <c r="T354" s="2013" t="str">
        <f t="shared" si="88"/>
        <v>Average</v>
      </c>
      <c r="V354" s="2011" t="s">
        <v>2439</v>
      </c>
      <c r="W354" s="2011"/>
      <c r="X354" s="2011" t="s">
        <v>2597</v>
      </c>
      <c r="Y354" s="2012"/>
      <c r="Z354" s="2011" t="s">
        <v>1535</v>
      </c>
      <c r="AA354" s="2012"/>
      <c r="AB354" s="2012" t="s">
        <v>2598</v>
      </c>
      <c r="AC354" s="2013"/>
      <c r="AD354" s="2013" t="s">
        <v>2599</v>
      </c>
      <c r="AE354" s="2013"/>
      <c r="AF354" s="2013" t="s">
        <v>2442</v>
      </c>
      <c r="AG354" s="2014"/>
      <c r="AH354" s="2013" t="s">
        <v>2443</v>
      </c>
      <c r="AI354" s="2013"/>
      <c r="AJ354" s="2013" t="s">
        <v>2444</v>
      </c>
    </row>
    <row r="355" spans="1:36">
      <c r="A355" s="1675">
        <v>1</v>
      </c>
      <c r="B355" s="2015"/>
      <c r="F355" s="1674">
        <f t="shared" si="89"/>
        <v>0</v>
      </c>
      <c r="G355" s="1674">
        <f t="shared" si="75"/>
        <v>0</v>
      </c>
      <c r="H355" s="1674">
        <f t="shared" si="76"/>
        <v>0</v>
      </c>
      <c r="I355" s="1674">
        <f t="shared" si="77"/>
        <v>0</v>
      </c>
      <c r="J355" s="1674">
        <f t="shared" si="78"/>
        <v>0</v>
      </c>
      <c r="K355" s="1674">
        <f t="shared" si="79"/>
        <v>0</v>
      </c>
      <c r="L355" s="1674">
        <f t="shared" si="80"/>
        <v>0</v>
      </c>
      <c r="M355" s="1674">
        <f t="shared" si="81"/>
        <v>0</v>
      </c>
      <c r="N355" s="1674">
        <f t="shared" si="82"/>
        <v>0</v>
      </c>
      <c r="O355" s="1674">
        <f t="shared" si="83"/>
        <v>0</v>
      </c>
      <c r="P355" s="1674">
        <f t="shared" si="84"/>
        <v>0</v>
      </c>
      <c r="Q355" s="2001">
        <f t="shared" si="85"/>
        <v>0</v>
      </c>
      <c r="R355" s="1674">
        <f t="shared" si="86"/>
        <v>0</v>
      </c>
      <c r="S355" s="1674">
        <f t="shared" si="87"/>
        <v>0</v>
      </c>
      <c r="T355" s="1674">
        <f t="shared" si="88"/>
        <v>0</v>
      </c>
      <c r="AG355" s="2001"/>
    </row>
    <row r="356" spans="1:36">
      <c r="A356" s="1675">
        <v>2</v>
      </c>
      <c r="B356" s="2015"/>
      <c r="D356" s="1674" t="s">
        <v>8174</v>
      </c>
      <c r="F356" s="1674">
        <f t="shared" si="89"/>
        <v>0</v>
      </c>
      <c r="G356" s="1674">
        <f t="shared" si="75"/>
        <v>0</v>
      </c>
      <c r="H356" s="1674">
        <f t="shared" si="76"/>
        <v>0</v>
      </c>
      <c r="I356" s="1790">
        <f t="shared" si="77"/>
        <v>0</v>
      </c>
      <c r="J356" s="1674">
        <f t="shared" si="78"/>
        <v>0</v>
      </c>
      <c r="K356" s="1790">
        <f t="shared" si="79"/>
        <v>0</v>
      </c>
      <c r="L356" s="1674">
        <f t="shared" si="80"/>
        <v>0</v>
      </c>
      <c r="M356" s="1790">
        <f t="shared" si="81"/>
        <v>0</v>
      </c>
      <c r="N356" s="1674">
        <f t="shared" si="82"/>
        <v>0</v>
      </c>
      <c r="O356" s="1674">
        <f t="shared" si="83"/>
        <v>0</v>
      </c>
      <c r="P356" s="1674">
        <f t="shared" si="84"/>
        <v>0</v>
      </c>
      <c r="Q356" s="1790">
        <f t="shared" si="85"/>
        <v>0</v>
      </c>
      <c r="R356" s="1674">
        <f t="shared" si="86"/>
        <v>0</v>
      </c>
      <c r="S356" s="1790">
        <f t="shared" si="87"/>
        <v>0</v>
      </c>
      <c r="T356" s="1674">
        <f t="shared" si="88"/>
        <v>0</v>
      </c>
      <c r="Y356" s="1790"/>
      <c r="AA356" s="1790"/>
      <c r="AC356" s="1790"/>
      <c r="AG356" s="1790"/>
      <c r="AI356" s="1790"/>
    </row>
    <row r="357" spans="1:36">
      <c r="A357" s="1675">
        <v>3</v>
      </c>
      <c r="B357" s="2015"/>
      <c r="C357" s="2009">
        <v>34199</v>
      </c>
      <c r="D357" s="1674" t="s">
        <v>2449</v>
      </c>
      <c r="F357" s="1876">
        <f t="shared" si="89"/>
        <v>54082.009740000001</v>
      </c>
      <c r="G357" s="2001">
        <f t="shared" si="75"/>
        <v>0</v>
      </c>
      <c r="H357" s="1876">
        <f t="shared" si="76"/>
        <v>15863.227560000001</v>
      </c>
      <c r="I357" s="1785">
        <f t="shared" si="77"/>
        <v>0</v>
      </c>
      <c r="J357" s="1876">
        <f t="shared" si="78"/>
        <v>0</v>
      </c>
      <c r="K357" s="1786">
        <f t="shared" si="79"/>
        <v>0</v>
      </c>
      <c r="L357" s="1876">
        <f t="shared" si="80"/>
        <v>0</v>
      </c>
      <c r="M357" s="1786">
        <f t="shared" si="81"/>
        <v>0</v>
      </c>
      <c r="N357" s="1876">
        <f t="shared" si="82"/>
        <v>0</v>
      </c>
      <c r="O357" s="1787">
        <f t="shared" si="83"/>
        <v>0</v>
      </c>
      <c r="P357" s="1876">
        <f t="shared" si="84"/>
        <v>0</v>
      </c>
      <c r="Q357" s="1785">
        <f t="shared" si="85"/>
        <v>0</v>
      </c>
      <c r="R357" s="1787">
        <f t="shared" si="86"/>
        <v>69945.237299999993</v>
      </c>
      <c r="S357" s="1786">
        <f t="shared" si="87"/>
        <v>0</v>
      </c>
      <c r="T357" s="1876">
        <f t="shared" si="88"/>
        <v>62013.623520000001</v>
      </c>
      <c r="V357" s="1876">
        <v>54082009.740000002</v>
      </c>
      <c r="W357" s="2001"/>
      <c r="X357" s="1876">
        <v>15863227.560000001</v>
      </c>
      <c r="Y357" s="1785"/>
      <c r="Z357" s="1876">
        <v>0</v>
      </c>
      <c r="AA357" s="1786"/>
      <c r="AB357" s="1876">
        <v>0</v>
      </c>
      <c r="AC357" s="1786"/>
      <c r="AD357" s="1876">
        <v>0</v>
      </c>
      <c r="AE357" s="1787"/>
      <c r="AF357" s="1876">
        <v>0</v>
      </c>
      <c r="AG357" s="1785"/>
      <c r="AH357" s="1787">
        <v>69945237.299999997</v>
      </c>
      <c r="AI357" s="1786"/>
      <c r="AJ357" s="1876">
        <v>62013623.520000003</v>
      </c>
    </row>
    <row r="358" spans="1:36">
      <c r="A358" s="1675">
        <v>4</v>
      </c>
      <c r="B358" s="2015"/>
      <c r="C358" s="1675">
        <v>34399</v>
      </c>
      <c r="D358" s="1674" t="s">
        <v>2496</v>
      </c>
      <c r="F358" s="1876">
        <f t="shared" si="89"/>
        <v>92761.91158</v>
      </c>
      <c r="G358" s="2001">
        <f t="shared" si="75"/>
        <v>0</v>
      </c>
      <c r="H358" s="1876">
        <f t="shared" si="76"/>
        <v>32971.227169999998</v>
      </c>
      <c r="I358" s="1785">
        <f t="shared" si="77"/>
        <v>0</v>
      </c>
      <c r="J358" s="1876">
        <f t="shared" si="78"/>
        <v>0</v>
      </c>
      <c r="K358" s="1786">
        <f t="shared" si="79"/>
        <v>0</v>
      </c>
      <c r="L358" s="1876">
        <f t="shared" si="80"/>
        <v>0</v>
      </c>
      <c r="M358" s="1786">
        <f t="shared" si="81"/>
        <v>0</v>
      </c>
      <c r="N358" s="1876">
        <f t="shared" si="82"/>
        <v>0</v>
      </c>
      <c r="O358" s="1787">
        <f t="shared" si="83"/>
        <v>0</v>
      </c>
      <c r="P358" s="1876">
        <f t="shared" si="84"/>
        <v>0</v>
      </c>
      <c r="Q358" s="1785">
        <f t="shared" si="85"/>
        <v>0</v>
      </c>
      <c r="R358" s="1787">
        <f t="shared" si="86"/>
        <v>125733.13875</v>
      </c>
      <c r="S358" s="1786">
        <f t="shared" si="87"/>
        <v>0</v>
      </c>
      <c r="T358" s="1876">
        <f t="shared" si="88"/>
        <v>109212.88517000001</v>
      </c>
      <c r="V358" s="1876">
        <v>92761911.579999998</v>
      </c>
      <c r="W358" s="2001"/>
      <c r="X358" s="1876">
        <v>32971227.170000002</v>
      </c>
      <c r="Y358" s="1785"/>
      <c r="Z358" s="1876">
        <v>0</v>
      </c>
      <c r="AA358" s="1786"/>
      <c r="AB358" s="1876">
        <v>0</v>
      </c>
      <c r="AC358" s="1786"/>
      <c r="AD358" s="1876">
        <v>0</v>
      </c>
      <c r="AE358" s="1787"/>
      <c r="AF358" s="1876">
        <v>0</v>
      </c>
      <c r="AG358" s="1785"/>
      <c r="AH358" s="1787">
        <v>125733138.75</v>
      </c>
      <c r="AI358" s="1786"/>
      <c r="AJ358" s="1876">
        <v>109212885.17</v>
      </c>
    </row>
    <row r="359" spans="1:36">
      <c r="A359" s="1675">
        <v>5</v>
      </c>
      <c r="B359" s="2015"/>
      <c r="C359" s="1675">
        <v>34599</v>
      </c>
      <c r="D359" s="1674" t="s">
        <v>2454</v>
      </c>
      <c r="F359" s="1876">
        <f t="shared" si="89"/>
        <v>37445.332689999996</v>
      </c>
      <c r="G359" s="2001">
        <f t="shared" si="75"/>
        <v>0</v>
      </c>
      <c r="H359" s="1876">
        <f t="shared" si="76"/>
        <v>10971.935519999999</v>
      </c>
      <c r="I359" s="1785">
        <f t="shared" si="77"/>
        <v>0</v>
      </c>
      <c r="J359" s="1876">
        <f t="shared" si="78"/>
        <v>0</v>
      </c>
      <c r="K359" s="1786">
        <f t="shared" si="79"/>
        <v>0</v>
      </c>
      <c r="L359" s="1876">
        <f t="shared" si="80"/>
        <v>0</v>
      </c>
      <c r="M359" s="1786">
        <f t="shared" si="81"/>
        <v>0</v>
      </c>
      <c r="N359" s="1876">
        <f t="shared" si="82"/>
        <v>0</v>
      </c>
      <c r="O359" s="1787">
        <f t="shared" si="83"/>
        <v>0</v>
      </c>
      <c r="P359" s="1876">
        <f t="shared" si="84"/>
        <v>0</v>
      </c>
      <c r="Q359" s="1785">
        <f t="shared" si="85"/>
        <v>0</v>
      </c>
      <c r="R359" s="1787">
        <f t="shared" si="86"/>
        <v>48417.268209999995</v>
      </c>
      <c r="S359" s="1786">
        <f t="shared" si="87"/>
        <v>0</v>
      </c>
      <c r="T359" s="1876">
        <f t="shared" si="88"/>
        <v>42931.300450000002</v>
      </c>
      <c r="V359" s="1876">
        <v>37445332.689999998</v>
      </c>
      <c r="W359" s="2001"/>
      <c r="X359" s="1876">
        <v>10971935.52</v>
      </c>
      <c r="Y359" s="1785"/>
      <c r="Z359" s="1876">
        <v>0</v>
      </c>
      <c r="AA359" s="1786"/>
      <c r="AB359" s="1876">
        <v>0</v>
      </c>
      <c r="AC359" s="1786"/>
      <c r="AD359" s="1876">
        <v>0</v>
      </c>
      <c r="AE359" s="1787"/>
      <c r="AF359" s="1876">
        <v>0</v>
      </c>
      <c r="AG359" s="1785"/>
      <c r="AH359" s="1787">
        <v>48417268.209999993</v>
      </c>
      <c r="AI359" s="1786"/>
      <c r="AJ359" s="1876">
        <v>42931300.450000003</v>
      </c>
    </row>
    <row r="360" spans="1:36">
      <c r="A360" s="1675">
        <v>6</v>
      </c>
      <c r="B360" s="2015"/>
      <c r="C360" s="2009">
        <v>34899</v>
      </c>
      <c r="D360" s="1674" t="s">
        <v>8175</v>
      </c>
      <c r="F360" s="1876">
        <f t="shared" si="89"/>
        <v>4326.8036099999972</v>
      </c>
      <c r="G360" s="2001">
        <f t="shared" si="75"/>
        <v>0</v>
      </c>
      <c r="H360" s="1876">
        <f t="shared" si="76"/>
        <v>10860.85332</v>
      </c>
      <c r="I360" s="1785">
        <f t="shared" si="77"/>
        <v>0</v>
      </c>
      <c r="J360" s="1876">
        <f t="shared" si="78"/>
        <v>0</v>
      </c>
      <c r="K360" s="1786">
        <f t="shared" si="79"/>
        <v>0</v>
      </c>
      <c r="L360" s="1876">
        <f t="shared" si="80"/>
        <v>0</v>
      </c>
      <c r="M360" s="1786">
        <f t="shared" si="81"/>
        <v>0</v>
      </c>
      <c r="N360" s="1876">
        <f t="shared" si="82"/>
        <v>0</v>
      </c>
      <c r="O360" s="1787">
        <f t="shared" si="83"/>
        <v>0</v>
      </c>
      <c r="P360" s="1876">
        <f t="shared" si="84"/>
        <v>0</v>
      </c>
      <c r="Q360" s="1785">
        <f t="shared" si="85"/>
        <v>0</v>
      </c>
      <c r="R360" s="1787">
        <f t="shared" si="86"/>
        <v>15187.656929999997</v>
      </c>
      <c r="S360" s="1786">
        <f t="shared" si="87"/>
        <v>0</v>
      </c>
      <c r="T360" s="1876">
        <f t="shared" si="88"/>
        <v>8752.5770700000012</v>
      </c>
      <c r="V360" s="1876">
        <v>4326803.6099999975</v>
      </c>
      <c r="W360" s="2001"/>
      <c r="X360" s="1876">
        <v>10860853.32</v>
      </c>
      <c r="Y360" s="1785"/>
      <c r="Z360" s="1876">
        <v>0</v>
      </c>
      <c r="AA360" s="1786"/>
      <c r="AB360" s="1876">
        <v>0</v>
      </c>
      <c r="AC360" s="1786"/>
      <c r="AD360" s="1876">
        <v>0</v>
      </c>
      <c r="AE360" s="1787"/>
      <c r="AF360" s="1876">
        <v>0</v>
      </c>
      <c r="AG360" s="1785"/>
      <c r="AH360" s="1787">
        <v>15187656.929999998</v>
      </c>
      <c r="AI360" s="1786"/>
      <c r="AJ360" s="1876">
        <v>8752577.0700000003</v>
      </c>
    </row>
    <row r="361" spans="1:36" ht="15" thickBot="1">
      <c r="A361" s="1675">
        <v>7</v>
      </c>
      <c r="B361" s="2015"/>
      <c r="C361" s="1675"/>
      <c r="D361" s="1674" t="s">
        <v>8176</v>
      </c>
      <c r="F361" s="1799">
        <f t="shared" si="89"/>
        <v>188616.05761999998</v>
      </c>
      <c r="G361" s="1674">
        <f t="shared" si="75"/>
        <v>0</v>
      </c>
      <c r="H361" s="1799">
        <f t="shared" si="76"/>
        <v>70667.243569999991</v>
      </c>
      <c r="I361" s="1783">
        <f t="shared" si="77"/>
        <v>0</v>
      </c>
      <c r="J361" s="1799">
        <f t="shared" si="78"/>
        <v>0</v>
      </c>
      <c r="K361" s="1783">
        <f t="shared" si="79"/>
        <v>0</v>
      </c>
      <c r="L361" s="1799">
        <f t="shared" si="80"/>
        <v>0</v>
      </c>
      <c r="M361" s="1783">
        <f t="shared" si="81"/>
        <v>0</v>
      </c>
      <c r="N361" s="1799">
        <f t="shared" si="82"/>
        <v>0</v>
      </c>
      <c r="O361" s="1814">
        <f t="shared" si="83"/>
        <v>0</v>
      </c>
      <c r="P361" s="1799">
        <f t="shared" si="84"/>
        <v>0</v>
      </c>
      <c r="Q361" s="1783">
        <f t="shared" si="85"/>
        <v>0</v>
      </c>
      <c r="R361" s="1799">
        <f t="shared" si="86"/>
        <v>259283.30119</v>
      </c>
      <c r="S361" s="1783">
        <f t="shared" si="87"/>
        <v>0</v>
      </c>
      <c r="T361" s="1799">
        <f t="shared" si="88"/>
        <v>222910.38620999997</v>
      </c>
      <c r="V361" s="1799">
        <v>188616057.61999997</v>
      </c>
      <c r="X361" s="1799">
        <v>70667243.569999993</v>
      </c>
      <c r="Y361" s="1783"/>
      <c r="Z361" s="1799">
        <v>0</v>
      </c>
      <c r="AA361" s="1783"/>
      <c r="AB361" s="1799">
        <v>0</v>
      </c>
      <c r="AC361" s="1783"/>
      <c r="AD361" s="1799">
        <v>0</v>
      </c>
      <c r="AE361" s="1814"/>
      <c r="AF361" s="1799">
        <v>0</v>
      </c>
      <c r="AG361" s="1783"/>
      <c r="AH361" s="1799">
        <v>259283301.19</v>
      </c>
      <c r="AI361" s="1783"/>
      <c r="AJ361" s="1799">
        <v>222910386.20999998</v>
      </c>
    </row>
    <row r="362" spans="1:36" ht="15" thickTop="1">
      <c r="A362" s="1675">
        <v>8</v>
      </c>
      <c r="B362" s="2015"/>
      <c r="F362" s="1674">
        <f t="shared" si="89"/>
        <v>0</v>
      </c>
      <c r="G362" s="1674">
        <f t="shared" si="75"/>
        <v>0</v>
      </c>
      <c r="H362" s="1674">
        <f t="shared" si="76"/>
        <v>0</v>
      </c>
      <c r="I362" s="1674">
        <f t="shared" si="77"/>
        <v>0</v>
      </c>
      <c r="J362" s="1674">
        <f t="shared" si="78"/>
        <v>0</v>
      </c>
      <c r="K362" s="1674">
        <f t="shared" si="79"/>
        <v>0</v>
      </c>
      <c r="L362" s="1674">
        <f t="shared" si="80"/>
        <v>0</v>
      </c>
      <c r="M362" s="1674">
        <f t="shared" si="81"/>
        <v>0</v>
      </c>
      <c r="N362" s="1674">
        <f t="shared" si="82"/>
        <v>0</v>
      </c>
      <c r="O362" s="1674">
        <f t="shared" si="83"/>
        <v>0</v>
      </c>
      <c r="P362" s="1674">
        <f t="shared" si="84"/>
        <v>0</v>
      </c>
      <c r="Q362" s="2001">
        <f t="shared" si="85"/>
        <v>0</v>
      </c>
      <c r="R362" s="1674">
        <f t="shared" si="86"/>
        <v>0</v>
      </c>
      <c r="S362" s="1783">
        <f t="shared" si="87"/>
        <v>0</v>
      </c>
      <c r="T362" s="1674">
        <f t="shared" si="88"/>
        <v>0</v>
      </c>
      <c r="AG362" s="2001"/>
      <c r="AI362" s="1783"/>
    </row>
    <row r="363" spans="1:36">
      <c r="A363" s="1675">
        <v>9</v>
      </c>
      <c r="B363" s="2015"/>
      <c r="D363" s="1674" t="s">
        <v>8177</v>
      </c>
      <c r="F363" s="1674">
        <f t="shared" si="89"/>
        <v>0</v>
      </c>
      <c r="G363" s="1674">
        <f t="shared" si="75"/>
        <v>0</v>
      </c>
      <c r="H363" s="1674">
        <f t="shared" si="76"/>
        <v>0</v>
      </c>
      <c r="I363" s="1674">
        <f t="shared" si="77"/>
        <v>0</v>
      </c>
      <c r="J363" s="1674">
        <f t="shared" si="78"/>
        <v>0</v>
      </c>
      <c r="K363" s="1674">
        <f t="shared" si="79"/>
        <v>0</v>
      </c>
      <c r="L363" s="1674">
        <f t="shared" si="80"/>
        <v>0</v>
      </c>
      <c r="M363" s="1674">
        <f t="shared" si="81"/>
        <v>0</v>
      </c>
      <c r="N363" s="1674">
        <f t="shared" si="82"/>
        <v>0</v>
      </c>
      <c r="O363" s="1674">
        <f t="shared" si="83"/>
        <v>0</v>
      </c>
      <c r="P363" s="1674">
        <f t="shared" si="84"/>
        <v>0</v>
      </c>
      <c r="Q363" s="2001">
        <f t="shared" si="85"/>
        <v>0</v>
      </c>
      <c r="R363" s="1674">
        <f t="shared" si="86"/>
        <v>0</v>
      </c>
      <c r="S363" s="1674">
        <f t="shared" si="87"/>
        <v>0</v>
      </c>
      <c r="T363" s="1674">
        <f t="shared" si="88"/>
        <v>0</v>
      </c>
      <c r="AG363" s="2001"/>
    </row>
    <row r="364" spans="1:36">
      <c r="A364" s="1675">
        <v>10</v>
      </c>
      <c r="B364" s="2015"/>
      <c r="C364" s="2009">
        <v>34198</v>
      </c>
      <c r="D364" s="1674" t="s">
        <v>2449</v>
      </c>
      <c r="F364" s="1876">
        <f t="shared" si="89"/>
        <v>0</v>
      </c>
      <c r="G364" s="2001">
        <f t="shared" si="75"/>
        <v>0</v>
      </c>
      <c r="H364" s="1876">
        <f t="shared" si="76"/>
        <v>0</v>
      </c>
      <c r="I364" s="1785">
        <f t="shared" si="77"/>
        <v>0</v>
      </c>
      <c r="J364" s="1876">
        <f t="shared" si="78"/>
        <v>0</v>
      </c>
      <c r="K364" s="1786">
        <f t="shared" si="79"/>
        <v>0</v>
      </c>
      <c r="L364" s="1876">
        <f t="shared" si="80"/>
        <v>0</v>
      </c>
      <c r="M364" s="1786">
        <f t="shared" si="81"/>
        <v>0</v>
      </c>
      <c r="N364" s="1876">
        <f t="shared" si="82"/>
        <v>0</v>
      </c>
      <c r="O364" s="1787">
        <f t="shared" si="83"/>
        <v>0</v>
      </c>
      <c r="P364" s="1876">
        <f t="shared" si="84"/>
        <v>0</v>
      </c>
      <c r="Q364" s="1785">
        <f t="shared" si="85"/>
        <v>0</v>
      </c>
      <c r="R364" s="1787">
        <f t="shared" si="86"/>
        <v>0</v>
      </c>
      <c r="S364" s="1786">
        <f t="shared" si="87"/>
        <v>0</v>
      </c>
      <c r="T364" s="1876">
        <f t="shared" si="88"/>
        <v>0</v>
      </c>
      <c r="V364" s="1876">
        <v>0</v>
      </c>
      <c r="W364" s="2001"/>
      <c r="X364" s="1876">
        <v>0</v>
      </c>
      <c r="Y364" s="1785"/>
      <c r="Z364" s="1876">
        <v>0</v>
      </c>
      <c r="AA364" s="1786"/>
      <c r="AB364" s="1876">
        <v>0</v>
      </c>
      <c r="AC364" s="1786"/>
      <c r="AD364" s="1876">
        <v>0</v>
      </c>
      <c r="AE364" s="1787"/>
      <c r="AF364" s="1876">
        <v>0</v>
      </c>
      <c r="AG364" s="1785"/>
      <c r="AH364" s="1787">
        <v>0</v>
      </c>
      <c r="AI364" s="1786"/>
      <c r="AJ364" s="1876">
        <v>0</v>
      </c>
    </row>
    <row r="365" spans="1:36">
      <c r="A365" s="1675">
        <v>11</v>
      </c>
      <c r="B365" s="2015"/>
      <c r="C365" s="1675">
        <v>34398</v>
      </c>
      <c r="D365" s="1674" t="s">
        <v>2496</v>
      </c>
      <c r="F365" s="1876">
        <f t="shared" si="89"/>
        <v>56.806889999999981</v>
      </c>
      <c r="G365" s="2001">
        <f t="shared" si="75"/>
        <v>0</v>
      </c>
      <c r="H365" s="1876">
        <f t="shared" si="76"/>
        <v>32.07696</v>
      </c>
      <c r="I365" s="1785">
        <f t="shared" si="77"/>
        <v>0</v>
      </c>
      <c r="J365" s="1876">
        <f t="shared" si="78"/>
        <v>0</v>
      </c>
      <c r="K365" s="1786">
        <f t="shared" si="79"/>
        <v>0</v>
      </c>
      <c r="L365" s="1876">
        <f t="shared" si="80"/>
        <v>0</v>
      </c>
      <c r="M365" s="1786">
        <f t="shared" si="81"/>
        <v>0</v>
      </c>
      <c r="N365" s="1876">
        <f t="shared" si="82"/>
        <v>0</v>
      </c>
      <c r="O365" s="1787">
        <f t="shared" si="83"/>
        <v>0</v>
      </c>
      <c r="P365" s="1876">
        <f t="shared" si="84"/>
        <v>0</v>
      </c>
      <c r="Q365" s="1785">
        <f t="shared" si="85"/>
        <v>0</v>
      </c>
      <c r="R365" s="1787">
        <f t="shared" si="86"/>
        <v>88.883849999999981</v>
      </c>
      <c r="S365" s="1786">
        <f t="shared" si="87"/>
        <v>0</v>
      </c>
      <c r="T365" s="1876">
        <f t="shared" si="88"/>
        <v>72.845369999999988</v>
      </c>
      <c r="V365" s="1876">
        <v>56806.889999999985</v>
      </c>
      <c r="W365" s="2001"/>
      <c r="X365" s="1876">
        <v>32076.959999999999</v>
      </c>
      <c r="Y365" s="1785"/>
      <c r="Z365" s="1876">
        <v>0</v>
      </c>
      <c r="AA365" s="1786"/>
      <c r="AB365" s="1876">
        <v>0</v>
      </c>
      <c r="AC365" s="1786"/>
      <c r="AD365" s="1876">
        <v>0</v>
      </c>
      <c r="AE365" s="1787"/>
      <c r="AF365" s="1876">
        <v>0</v>
      </c>
      <c r="AG365" s="1785"/>
      <c r="AH365" s="1787">
        <v>88883.849999999977</v>
      </c>
      <c r="AI365" s="1786"/>
      <c r="AJ365" s="1876">
        <v>72845.37</v>
      </c>
    </row>
    <row r="366" spans="1:36">
      <c r="A366" s="1675">
        <v>12</v>
      </c>
      <c r="B366" s="2015"/>
      <c r="C366" s="1675">
        <v>34598</v>
      </c>
      <c r="D366" s="1674" t="s">
        <v>2454</v>
      </c>
      <c r="F366" s="1876">
        <f t="shared" si="89"/>
        <v>0</v>
      </c>
      <c r="G366" s="2001">
        <f t="shared" si="75"/>
        <v>0</v>
      </c>
      <c r="H366" s="1876">
        <f t="shared" si="76"/>
        <v>0</v>
      </c>
      <c r="I366" s="1785">
        <f t="shared" si="77"/>
        <v>0</v>
      </c>
      <c r="J366" s="1876">
        <f t="shared" si="78"/>
        <v>0</v>
      </c>
      <c r="K366" s="1786">
        <f t="shared" si="79"/>
        <v>0</v>
      </c>
      <c r="L366" s="1876">
        <f t="shared" si="80"/>
        <v>0</v>
      </c>
      <c r="M366" s="1786">
        <f t="shared" si="81"/>
        <v>0</v>
      </c>
      <c r="N366" s="1876">
        <f t="shared" si="82"/>
        <v>0</v>
      </c>
      <c r="O366" s="1787">
        <f t="shared" si="83"/>
        <v>0</v>
      </c>
      <c r="P366" s="1876">
        <f t="shared" si="84"/>
        <v>0</v>
      </c>
      <c r="Q366" s="1785">
        <f t="shared" si="85"/>
        <v>0</v>
      </c>
      <c r="R366" s="1787">
        <f t="shared" si="86"/>
        <v>0</v>
      </c>
      <c r="S366" s="1786">
        <f t="shared" si="87"/>
        <v>0</v>
      </c>
      <c r="T366" s="1876">
        <f t="shared" si="88"/>
        <v>0</v>
      </c>
      <c r="V366" s="1876">
        <v>0</v>
      </c>
      <c r="W366" s="2001"/>
      <c r="X366" s="1876">
        <v>0</v>
      </c>
      <c r="Y366" s="1785"/>
      <c r="Z366" s="1876">
        <v>0</v>
      </c>
      <c r="AA366" s="1786"/>
      <c r="AB366" s="1876">
        <v>0</v>
      </c>
      <c r="AC366" s="1786"/>
      <c r="AD366" s="1876">
        <v>0</v>
      </c>
      <c r="AE366" s="1787"/>
      <c r="AF366" s="1876">
        <v>0</v>
      </c>
      <c r="AG366" s="1785"/>
      <c r="AH366" s="1787">
        <v>0</v>
      </c>
      <c r="AI366" s="1786"/>
      <c r="AJ366" s="1876">
        <v>0</v>
      </c>
    </row>
    <row r="367" spans="1:36">
      <c r="A367" s="1675">
        <v>13</v>
      </c>
      <c r="B367" s="2015"/>
      <c r="C367" s="2009">
        <v>34898</v>
      </c>
      <c r="D367" s="1674" t="s">
        <v>8175</v>
      </c>
      <c r="F367" s="1876">
        <f t="shared" si="89"/>
        <v>1.78887</v>
      </c>
      <c r="G367" s="2001">
        <f t="shared" si="75"/>
        <v>0</v>
      </c>
      <c r="H367" s="1876">
        <f t="shared" si="76"/>
        <v>0.99108000000000007</v>
      </c>
      <c r="I367" s="1785">
        <f t="shared" si="77"/>
        <v>0</v>
      </c>
      <c r="J367" s="1876">
        <f t="shared" si="78"/>
        <v>0</v>
      </c>
      <c r="K367" s="1786">
        <f t="shared" si="79"/>
        <v>0</v>
      </c>
      <c r="L367" s="1876">
        <f t="shared" si="80"/>
        <v>0</v>
      </c>
      <c r="M367" s="1786">
        <f t="shared" si="81"/>
        <v>0</v>
      </c>
      <c r="N367" s="1876">
        <f t="shared" si="82"/>
        <v>0</v>
      </c>
      <c r="O367" s="1787">
        <f t="shared" si="83"/>
        <v>0</v>
      </c>
      <c r="P367" s="1876">
        <f t="shared" si="84"/>
        <v>0</v>
      </c>
      <c r="Q367" s="1785">
        <f t="shared" si="85"/>
        <v>0</v>
      </c>
      <c r="R367" s="1787">
        <f t="shared" si="86"/>
        <v>2.7799499999999999</v>
      </c>
      <c r="S367" s="1786">
        <f t="shared" si="87"/>
        <v>0</v>
      </c>
      <c r="T367" s="1876">
        <f t="shared" si="88"/>
        <v>2.2844099999999998</v>
      </c>
      <c r="V367" s="1876">
        <v>1788.87</v>
      </c>
      <c r="W367" s="2001"/>
      <c r="X367" s="1876">
        <v>991.08</v>
      </c>
      <c r="Y367" s="1785"/>
      <c r="Z367" s="1876">
        <v>0</v>
      </c>
      <c r="AA367" s="1786"/>
      <c r="AB367" s="1876">
        <v>0</v>
      </c>
      <c r="AC367" s="1786"/>
      <c r="AD367" s="1876">
        <v>0</v>
      </c>
      <c r="AE367" s="1787"/>
      <c r="AF367" s="1876">
        <v>0</v>
      </c>
      <c r="AG367" s="1785"/>
      <c r="AH367" s="1787">
        <v>2779.95</v>
      </c>
      <c r="AI367" s="1786"/>
      <c r="AJ367" s="1876">
        <v>2284.41</v>
      </c>
    </row>
    <row r="368" spans="1:36" ht="15" thickBot="1">
      <c r="A368" s="1675">
        <v>14</v>
      </c>
      <c r="B368" s="2015"/>
      <c r="C368" s="1675"/>
      <c r="D368" s="1674" t="s">
        <v>8178</v>
      </c>
      <c r="F368" s="1799">
        <f t="shared" si="89"/>
        <v>58.595759999999984</v>
      </c>
      <c r="G368" s="1674">
        <f t="shared" si="75"/>
        <v>0</v>
      </c>
      <c r="H368" s="1799">
        <f t="shared" si="76"/>
        <v>33.068040000000003</v>
      </c>
      <c r="I368" s="1783">
        <f t="shared" si="77"/>
        <v>0</v>
      </c>
      <c r="J368" s="1799">
        <f t="shared" si="78"/>
        <v>0</v>
      </c>
      <c r="K368" s="1783">
        <f t="shared" si="79"/>
        <v>0</v>
      </c>
      <c r="L368" s="1799">
        <f t="shared" si="80"/>
        <v>0</v>
      </c>
      <c r="M368" s="1783">
        <f t="shared" si="81"/>
        <v>0</v>
      </c>
      <c r="N368" s="1799">
        <f t="shared" si="82"/>
        <v>0</v>
      </c>
      <c r="O368" s="1814">
        <f t="shared" si="83"/>
        <v>0</v>
      </c>
      <c r="P368" s="1799">
        <f t="shared" si="84"/>
        <v>0</v>
      </c>
      <c r="Q368" s="1783">
        <f t="shared" si="85"/>
        <v>0</v>
      </c>
      <c r="R368" s="1799">
        <f t="shared" si="86"/>
        <v>91.663799999999981</v>
      </c>
      <c r="S368" s="1783">
        <f t="shared" si="87"/>
        <v>0</v>
      </c>
      <c r="T368" s="1799">
        <f t="shared" si="88"/>
        <v>75.129779999999997</v>
      </c>
      <c r="V368" s="1799">
        <v>58595.759999999987</v>
      </c>
      <c r="X368" s="1799">
        <v>33068.04</v>
      </c>
      <c r="Y368" s="1783"/>
      <c r="Z368" s="1799">
        <v>0</v>
      </c>
      <c r="AA368" s="1783"/>
      <c r="AB368" s="1799">
        <v>0</v>
      </c>
      <c r="AC368" s="1783"/>
      <c r="AD368" s="1799">
        <v>0</v>
      </c>
      <c r="AE368" s="1814"/>
      <c r="AF368" s="1799">
        <v>0</v>
      </c>
      <c r="AG368" s="1783"/>
      <c r="AH368" s="1799">
        <v>91663.799999999974</v>
      </c>
      <c r="AI368" s="1783"/>
      <c r="AJ368" s="1799">
        <v>75129.78</v>
      </c>
    </row>
    <row r="369" spans="1:36" ht="15" thickTop="1">
      <c r="A369" s="1675">
        <v>15</v>
      </c>
      <c r="B369" s="2015"/>
      <c r="F369" s="1674">
        <f t="shared" si="89"/>
        <v>0</v>
      </c>
      <c r="G369" s="1674">
        <f t="shared" si="75"/>
        <v>0</v>
      </c>
      <c r="H369" s="1674">
        <f t="shared" si="76"/>
        <v>0</v>
      </c>
      <c r="I369" s="1674">
        <f t="shared" si="77"/>
        <v>0</v>
      </c>
      <c r="J369" s="1674">
        <f t="shared" si="78"/>
        <v>0</v>
      </c>
      <c r="K369" s="1674">
        <f t="shared" si="79"/>
        <v>0</v>
      </c>
      <c r="L369" s="1674">
        <f t="shared" si="80"/>
        <v>0</v>
      </c>
      <c r="M369" s="1674">
        <f t="shared" si="81"/>
        <v>0</v>
      </c>
      <c r="N369" s="1674">
        <f t="shared" si="82"/>
        <v>0</v>
      </c>
      <c r="O369" s="1674">
        <f t="shared" si="83"/>
        <v>0</v>
      </c>
      <c r="P369" s="1674">
        <f t="shared" si="84"/>
        <v>0</v>
      </c>
      <c r="Q369" s="2001">
        <f t="shared" si="85"/>
        <v>0</v>
      </c>
      <c r="R369" s="1674">
        <f t="shared" si="86"/>
        <v>0</v>
      </c>
      <c r="S369" s="1674">
        <f t="shared" si="87"/>
        <v>0</v>
      </c>
      <c r="T369" s="1674">
        <f t="shared" si="88"/>
        <v>0</v>
      </c>
      <c r="AG369" s="2001"/>
    </row>
    <row r="370" spans="1:36">
      <c r="A370" s="1675">
        <v>16</v>
      </c>
      <c r="B370" s="2015"/>
      <c r="C370" s="2019"/>
      <c r="D370" s="2002" t="s">
        <v>8949</v>
      </c>
      <c r="F370" s="1674">
        <f t="shared" si="89"/>
        <v>0</v>
      </c>
      <c r="G370" s="1674">
        <f t="shared" si="75"/>
        <v>0</v>
      </c>
      <c r="H370" s="1674">
        <f t="shared" si="76"/>
        <v>0</v>
      </c>
      <c r="I370" s="1674">
        <f t="shared" si="77"/>
        <v>0</v>
      </c>
      <c r="J370" s="1674">
        <f t="shared" si="78"/>
        <v>0</v>
      </c>
      <c r="K370" s="1674">
        <f t="shared" si="79"/>
        <v>0</v>
      </c>
      <c r="L370" s="1674">
        <f t="shared" si="80"/>
        <v>0</v>
      </c>
      <c r="M370" s="1674">
        <f t="shared" si="81"/>
        <v>0</v>
      </c>
      <c r="N370" s="1674">
        <f t="shared" si="82"/>
        <v>0</v>
      </c>
      <c r="O370" s="1674">
        <f t="shared" si="83"/>
        <v>0</v>
      </c>
      <c r="P370" s="1674">
        <f t="shared" si="84"/>
        <v>0</v>
      </c>
      <c r="Q370" s="2001">
        <f t="shared" si="85"/>
        <v>0</v>
      </c>
      <c r="R370" s="1674">
        <f t="shared" si="86"/>
        <v>0</v>
      </c>
      <c r="S370" s="1674">
        <f t="shared" si="87"/>
        <v>0</v>
      </c>
      <c r="T370" s="1674">
        <f t="shared" si="88"/>
        <v>0</v>
      </c>
      <c r="AG370" s="2001"/>
    </row>
    <row r="371" spans="1:36">
      <c r="A371" s="1675">
        <v>17</v>
      </c>
      <c r="B371" s="2015"/>
      <c r="C371" s="2009">
        <v>34120</v>
      </c>
      <c r="D371" s="1674" t="s">
        <v>2449</v>
      </c>
      <c r="F371" s="1876">
        <f t="shared" si="89"/>
        <v>0</v>
      </c>
      <c r="G371" s="2001">
        <f t="shared" si="75"/>
        <v>0</v>
      </c>
      <c r="H371" s="1876">
        <f t="shared" si="76"/>
        <v>0</v>
      </c>
      <c r="I371" s="1785">
        <f t="shared" si="77"/>
        <v>0</v>
      </c>
      <c r="J371" s="1876">
        <f t="shared" si="78"/>
        <v>0</v>
      </c>
      <c r="K371" s="1786">
        <f t="shared" si="79"/>
        <v>0</v>
      </c>
      <c r="L371" s="1876">
        <f t="shared" si="80"/>
        <v>0</v>
      </c>
      <c r="M371" s="1786">
        <f t="shared" si="81"/>
        <v>0</v>
      </c>
      <c r="N371" s="1876">
        <f t="shared" si="82"/>
        <v>0</v>
      </c>
      <c r="O371" s="1787">
        <f t="shared" si="83"/>
        <v>0</v>
      </c>
      <c r="P371" s="1876">
        <f t="shared" si="84"/>
        <v>0</v>
      </c>
      <c r="Q371" s="1785">
        <f t="shared" si="85"/>
        <v>0</v>
      </c>
      <c r="R371" s="1787">
        <f t="shared" si="86"/>
        <v>0</v>
      </c>
      <c r="S371" s="1786">
        <f t="shared" si="87"/>
        <v>0</v>
      </c>
      <c r="T371" s="1876">
        <f t="shared" si="88"/>
        <v>0</v>
      </c>
      <c r="V371" s="1876">
        <v>0</v>
      </c>
      <c r="W371" s="2001"/>
      <c r="X371" s="1876">
        <v>0</v>
      </c>
      <c r="Y371" s="1785"/>
      <c r="Z371" s="1876">
        <v>0</v>
      </c>
      <c r="AA371" s="1786"/>
      <c r="AB371" s="1876">
        <v>0</v>
      </c>
      <c r="AC371" s="1786"/>
      <c r="AD371" s="1876">
        <v>0</v>
      </c>
      <c r="AE371" s="1787"/>
      <c r="AF371" s="1876">
        <v>0</v>
      </c>
      <c r="AG371" s="1785"/>
      <c r="AH371" s="1787">
        <v>0</v>
      </c>
      <c r="AI371" s="1786"/>
      <c r="AJ371" s="1876">
        <v>0</v>
      </c>
    </row>
    <row r="372" spans="1:36">
      <c r="A372" s="1675">
        <v>18</v>
      </c>
      <c r="B372" s="2022"/>
      <c r="C372" s="2009">
        <v>34220</v>
      </c>
      <c r="D372" s="1674" t="s">
        <v>2495</v>
      </c>
      <c r="F372" s="1876">
        <f t="shared" si="89"/>
        <v>0</v>
      </c>
      <c r="G372" s="2001">
        <f t="shared" si="75"/>
        <v>0</v>
      </c>
      <c r="H372" s="1876">
        <f t="shared" si="76"/>
        <v>761.74930000000006</v>
      </c>
      <c r="I372" s="1785">
        <f t="shared" si="77"/>
        <v>0</v>
      </c>
      <c r="J372" s="1876">
        <f t="shared" si="78"/>
        <v>0</v>
      </c>
      <c r="K372" s="1786">
        <f t="shared" si="79"/>
        <v>0</v>
      </c>
      <c r="L372" s="1876">
        <f t="shared" si="80"/>
        <v>0</v>
      </c>
      <c r="M372" s="1786">
        <f t="shared" si="81"/>
        <v>0</v>
      </c>
      <c r="N372" s="1876">
        <f t="shared" si="82"/>
        <v>0</v>
      </c>
      <c r="O372" s="1787">
        <f t="shared" si="83"/>
        <v>0</v>
      </c>
      <c r="P372" s="1876">
        <f t="shared" si="84"/>
        <v>0</v>
      </c>
      <c r="Q372" s="1785">
        <f t="shared" si="85"/>
        <v>0</v>
      </c>
      <c r="R372" s="1787">
        <f t="shared" si="86"/>
        <v>761.74930000000006</v>
      </c>
      <c r="S372" s="1786">
        <f t="shared" si="87"/>
        <v>0</v>
      </c>
      <c r="T372" s="1876">
        <f t="shared" si="88"/>
        <v>261.88681000000003</v>
      </c>
      <c r="V372" s="1876">
        <v>0</v>
      </c>
      <c r="W372" s="2001"/>
      <c r="X372" s="1876">
        <v>761749.3</v>
      </c>
      <c r="Y372" s="1785"/>
      <c r="Z372" s="1876">
        <v>0</v>
      </c>
      <c r="AA372" s="1786"/>
      <c r="AB372" s="1876">
        <v>0</v>
      </c>
      <c r="AC372" s="1786"/>
      <c r="AD372" s="1876">
        <v>0</v>
      </c>
      <c r="AE372" s="1787"/>
      <c r="AF372" s="1876">
        <v>0</v>
      </c>
      <c r="AG372" s="1785"/>
      <c r="AH372" s="1787">
        <v>761749.3</v>
      </c>
      <c r="AI372" s="1786"/>
      <c r="AJ372" s="1876">
        <v>261886.81</v>
      </c>
    </row>
    <row r="373" spans="1:36">
      <c r="A373" s="1675">
        <v>19</v>
      </c>
      <c r="B373" s="2022"/>
      <c r="C373" s="2009">
        <v>34320</v>
      </c>
      <c r="D373" s="1674" t="s">
        <v>2496</v>
      </c>
      <c r="F373" s="1876">
        <f t="shared" si="89"/>
        <v>0</v>
      </c>
      <c r="G373" s="2001">
        <f t="shared" si="75"/>
        <v>0</v>
      </c>
      <c r="H373" s="1876">
        <f t="shared" si="76"/>
        <v>720.19934000000001</v>
      </c>
      <c r="I373" s="1785">
        <f t="shared" si="77"/>
        <v>0</v>
      </c>
      <c r="J373" s="1876">
        <f t="shared" si="78"/>
        <v>0</v>
      </c>
      <c r="K373" s="1786">
        <f t="shared" si="79"/>
        <v>0</v>
      </c>
      <c r="L373" s="1876">
        <f t="shared" si="80"/>
        <v>0</v>
      </c>
      <c r="M373" s="1786">
        <f t="shared" si="81"/>
        <v>0</v>
      </c>
      <c r="N373" s="1876">
        <f t="shared" si="82"/>
        <v>0</v>
      </c>
      <c r="O373" s="1787">
        <f t="shared" si="83"/>
        <v>0</v>
      </c>
      <c r="P373" s="1876">
        <f t="shared" si="84"/>
        <v>0</v>
      </c>
      <c r="Q373" s="1785">
        <f t="shared" si="85"/>
        <v>0</v>
      </c>
      <c r="R373" s="1787">
        <f t="shared" si="86"/>
        <v>720.19934000000001</v>
      </c>
      <c r="S373" s="1786">
        <f t="shared" si="87"/>
        <v>0</v>
      </c>
      <c r="T373" s="1876">
        <f t="shared" si="88"/>
        <v>247.60208</v>
      </c>
      <c r="V373" s="1876">
        <v>0</v>
      </c>
      <c r="W373" s="2001"/>
      <c r="X373" s="1876">
        <v>720199.34</v>
      </c>
      <c r="Y373" s="1785"/>
      <c r="Z373" s="1876">
        <v>0</v>
      </c>
      <c r="AA373" s="1786"/>
      <c r="AB373" s="1876">
        <v>0</v>
      </c>
      <c r="AC373" s="1786"/>
      <c r="AD373" s="1876">
        <v>0</v>
      </c>
      <c r="AE373" s="1787"/>
      <c r="AF373" s="1876">
        <v>0</v>
      </c>
      <c r="AG373" s="1785"/>
      <c r="AH373" s="1787">
        <v>720199.34</v>
      </c>
      <c r="AI373" s="1786"/>
      <c r="AJ373" s="1876">
        <v>247602.08</v>
      </c>
    </row>
    <row r="374" spans="1:36">
      <c r="A374" s="1675">
        <v>20</v>
      </c>
      <c r="B374" s="2015"/>
      <c r="C374" s="2009">
        <v>34520</v>
      </c>
      <c r="D374" s="1674" t="s">
        <v>2454</v>
      </c>
      <c r="F374" s="1876">
        <f t="shared" si="89"/>
        <v>0</v>
      </c>
      <c r="G374" s="2001">
        <f t="shared" si="75"/>
        <v>0</v>
      </c>
      <c r="H374" s="1876">
        <f t="shared" si="76"/>
        <v>0</v>
      </c>
      <c r="I374" s="1785">
        <f t="shared" si="77"/>
        <v>0</v>
      </c>
      <c r="J374" s="1876">
        <f t="shared" si="78"/>
        <v>0</v>
      </c>
      <c r="K374" s="1786">
        <f t="shared" si="79"/>
        <v>0</v>
      </c>
      <c r="L374" s="1876">
        <f t="shared" si="80"/>
        <v>0</v>
      </c>
      <c r="M374" s="1786">
        <f t="shared" si="81"/>
        <v>0</v>
      </c>
      <c r="N374" s="1876">
        <f t="shared" si="82"/>
        <v>0</v>
      </c>
      <c r="O374" s="1787">
        <f t="shared" si="83"/>
        <v>0</v>
      </c>
      <c r="P374" s="1876">
        <f t="shared" si="84"/>
        <v>0</v>
      </c>
      <c r="Q374" s="1785">
        <f t="shared" si="85"/>
        <v>0</v>
      </c>
      <c r="R374" s="1787">
        <f t="shared" si="86"/>
        <v>0</v>
      </c>
      <c r="S374" s="1786">
        <f t="shared" si="87"/>
        <v>0</v>
      </c>
      <c r="T374" s="1876">
        <f t="shared" si="88"/>
        <v>0</v>
      </c>
      <c r="V374" s="1876">
        <v>0</v>
      </c>
      <c r="W374" s="2001"/>
      <c r="X374" s="1876">
        <v>0</v>
      </c>
      <c r="Y374" s="1785"/>
      <c r="Z374" s="1876">
        <v>0</v>
      </c>
      <c r="AA374" s="1786"/>
      <c r="AB374" s="1876">
        <v>0</v>
      </c>
      <c r="AC374" s="1786"/>
      <c r="AD374" s="1876">
        <v>0</v>
      </c>
      <c r="AE374" s="1787"/>
      <c r="AF374" s="1876">
        <v>0</v>
      </c>
      <c r="AG374" s="1785"/>
      <c r="AH374" s="1787">
        <v>0</v>
      </c>
      <c r="AI374" s="1786"/>
      <c r="AJ374" s="1876">
        <v>0</v>
      </c>
    </row>
    <row r="375" spans="1:36">
      <c r="A375" s="1675">
        <v>21</v>
      </c>
      <c r="B375" s="2015"/>
      <c r="C375" s="2009">
        <v>34620</v>
      </c>
      <c r="D375" s="1674" t="s">
        <v>2455</v>
      </c>
      <c r="F375" s="1876">
        <f t="shared" si="89"/>
        <v>0</v>
      </c>
      <c r="G375" s="2001">
        <f t="shared" si="75"/>
        <v>0</v>
      </c>
      <c r="H375" s="1876">
        <f t="shared" si="76"/>
        <v>0</v>
      </c>
      <c r="I375" s="1785">
        <f t="shared" si="77"/>
        <v>0</v>
      </c>
      <c r="J375" s="1876">
        <f t="shared" si="78"/>
        <v>0</v>
      </c>
      <c r="K375" s="1786">
        <f t="shared" si="79"/>
        <v>0</v>
      </c>
      <c r="L375" s="1876">
        <f t="shared" si="80"/>
        <v>0</v>
      </c>
      <c r="M375" s="1786">
        <f t="shared" si="81"/>
        <v>0</v>
      </c>
      <c r="N375" s="1876">
        <f t="shared" si="82"/>
        <v>0</v>
      </c>
      <c r="O375" s="1787">
        <f t="shared" si="83"/>
        <v>0</v>
      </c>
      <c r="P375" s="1876">
        <f t="shared" si="84"/>
        <v>0</v>
      </c>
      <c r="Q375" s="1785">
        <f t="shared" si="85"/>
        <v>0</v>
      </c>
      <c r="R375" s="1787">
        <f t="shared" si="86"/>
        <v>0</v>
      </c>
      <c r="S375" s="1786">
        <f t="shared" si="87"/>
        <v>0</v>
      </c>
      <c r="T375" s="1876">
        <f t="shared" si="88"/>
        <v>0</v>
      </c>
      <c r="V375" s="1876">
        <v>0</v>
      </c>
      <c r="W375" s="2001"/>
      <c r="X375" s="1876">
        <v>0</v>
      </c>
      <c r="Y375" s="1785"/>
      <c r="Z375" s="1876">
        <v>0</v>
      </c>
      <c r="AA375" s="1786"/>
      <c r="AB375" s="1876">
        <v>0</v>
      </c>
      <c r="AC375" s="1786"/>
      <c r="AD375" s="1876">
        <v>0</v>
      </c>
      <c r="AE375" s="1787"/>
      <c r="AF375" s="1876">
        <v>0</v>
      </c>
      <c r="AG375" s="1785"/>
      <c r="AH375" s="1787">
        <v>0</v>
      </c>
      <c r="AI375" s="1786"/>
      <c r="AJ375" s="1876">
        <v>0</v>
      </c>
    </row>
    <row r="376" spans="1:36">
      <c r="A376" s="1675">
        <v>22</v>
      </c>
      <c r="B376" s="2015"/>
      <c r="C376" s="2009">
        <v>34820</v>
      </c>
      <c r="D376" s="1674" t="s">
        <v>8175</v>
      </c>
      <c r="F376" s="1876">
        <f t="shared" si="89"/>
        <v>0</v>
      </c>
      <c r="G376" s="2001">
        <f t="shared" si="75"/>
        <v>0</v>
      </c>
      <c r="H376" s="1876">
        <f t="shared" si="76"/>
        <v>1964.3595299999999</v>
      </c>
      <c r="I376" s="1785">
        <f t="shared" si="77"/>
        <v>0</v>
      </c>
      <c r="J376" s="1876">
        <f t="shared" si="78"/>
        <v>0</v>
      </c>
      <c r="K376" s="1786">
        <f t="shared" si="79"/>
        <v>0</v>
      </c>
      <c r="L376" s="1876">
        <f t="shared" si="80"/>
        <v>0</v>
      </c>
      <c r="M376" s="1786">
        <f t="shared" si="81"/>
        <v>0</v>
      </c>
      <c r="N376" s="1876">
        <f t="shared" si="82"/>
        <v>0</v>
      </c>
      <c r="O376" s="1787">
        <f t="shared" si="83"/>
        <v>0</v>
      </c>
      <c r="P376" s="1876">
        <f t="shared" si="84"/>
        <v>0</v>
      </c>
      <c r="Q376" s="1785">
        <f t="shared" si="85"/>
        <v>0</v>
      </c>
      <c r="R376" s="1787">
        <f t="shared" si="86"/>
        <v>1964.3595299999999</v>
      </c>
      <c r="S376" s="1786">
        <f t="shared" si="87"/>
        <v>0</v>
      </c>
      <c r="T376" s="1876">
        <f t="shared" si="88"/>
        <v>662.58854000000008</v>
      </c>
      <c r="V376" s="1876">
        <v>0</v>
      </c>
      <c r="W376" s="2001"/>
      <c r="X376" s="1876">
        <v>1964359.53</v>
      </c>
      <c r="Y376" s="1785"/>
      <c r="Z376" s="1876">
        <v>0</v>
      </c>
      <c r="AA376" s="1786"/>
      <c r="AB376" s="1876">
        <v>0</v>
      </c>
      <c r="AC376" s="1786"/>
      <c r="AD376" s="1876">
        <v>0</v>
      </c>
      <c r="AE376" s="1787"/>
      <c r="AF376" s="1876">
        <v>0</v>
      </c>
      <c r="AG376" s="1785"/>
      <c r="AH376" s="1787">
        <v>1964359.53</v>
      </c>
      <c r="AI376" s="1786"/>
      <c r="AJ376" s="1876">
        <v>662588.54</v>
      </c>
    </row>
    <row r="377" spans="1:36" ht="15" thickBot="1">
      <c r="A377" s="1675">
        <v>23</v>
      </c>
      <c r="B377" s="2015"/>
      <c r="D377" s="2002" t="s">
        <v>8950</v>
      </c>
      <c r="F377" s="1799">
        <f t="shared" si="89"/>
        <v>0</v>
      </c>
      <c r="G377" s="1674">
        <f t="shared" si="75"/>
        <v>0</v>
      </c>
      <c r="H377" s="1799">
        <f t="shared" si="76"/>
        <v>3446.3081699999998</v>
      </c>
      <c r="I377" s="1783">
        <f t="shared" si="77"/>
        <v>0</v>
      </c>
      <c r="J377" s="1799">
        <f t="shared" si="78"/>
        <v>0</v>
      </c>
      <c r="K377" s="1783">
        <f t="shared" si="79"/>
        <v>0</v>
      </c>
      <c r="L377" s="1799">
        <f t="shared" si="80"/>
        <v>0</v>
      </c>
      <c r="M377" s="1783">
        <f t="shared" si="81"/>
        <v>0</v>
      </c>
      <c r="N377" s="1799">
        <f t="shared" si="82"/>
        <v>0</v>
      </c>
      <c r="O377" s="1814">
        <f t="shared" si="83"/>
        <v>0</v>
      </c>
      <c r="P377" s="1799">
        <f t="shared" si="84"/>
        <v>0</v>
      </c>
      <c r="Q377" s="1783">
        <f t="shared" si="85"/>
        <v>0</v>
      </c>
      <c r="R377" s="1799">
        <f t="shared" si="86"/>
        <v>3446.3081699999998</v>
      </c>
      <c r="S377" s="1674">
        <f t="shared" si="87"/>
        <v>0</v>
      </c>
      <c r="T377" s="1799">
        <f t="shared" si="88"/>
        <v>1172.0774300000003</v>
      </c>
      <c r="V377" s="1799">
        <v>0</v>
      </c>
      <c r="X377" s="1799">
        <v>3446308.17</v>
      </c>
      <c r="Y377" s="1783"/>
      <c r="Z377" s="1799">
        <v>0</v>
      </c>
      <c r="AA377" s="1783"/>
      <c r="AB377" s="1799">
        <v>0</v>
      </c>
      <c r="AC377" s="1783"/>
      <c r="AD377" s="1799">
        <v>0</v>
      </c>
      <c r="AE377" s="1814"/>
      <c r="AF377" s="1799">
        <v>0</v>
      </c>
      <c r="AG377" s="1783"/>
      <c r="AH377" s="1799">
        <v>3446308.17</v>
      </c>
      <c r="AJ377" s="1799">
        <v>1172077.4300000002</v>
      </c>
    </row>
    <row r="378" spans="1:36" ht="15" thickTop="1">
      <c r="A378" s="1675">
        <v>24</v>
      </c>
      <c r="B378" s="2015"/>
      <c r="F378" s="1674">
        <f t="shared" si="89"/>
        <v>0</v>
      </c>
      <c r="G378" s="1674">
        <f t="shared" si="75"/>
        <v>0</v>
      </c>
      <c r="H378" s="1674">
        <f t="shared" si="76"/>
        <v>0</v>
      </c>
      <c r="I378" s="1674">
        <f t="shared" si="77"/>
        <v>0</v>
      </c>
      <c r="J378" s="1674">
        <f t="shared" si="78"/>
        <v>0</v>
      </c>
      <c r="K378" s="1674">
        <f t="shared" si="79"/>
        <v>0</v>
      </c>
      <c r="L378" s="1674">
        <f t="shared" si="80"/>
        <v>0</v>
      </c>
      <c r="M378" s="1674">
        <f t="shared" si="81"/>
        <v>0</v>
      </c>
      <c r="N378" s="1674">
        <f t="shared" si="82"/>
        <v>0</v>
      </c>
      <c r="O378" s="1674">
        <f t="shared" si="83"/>
        <v>0</v>
      </c>
      <c r="P378" s="1674">
        <f t="shared" si="84"/>
        <v>0</v>
      </c>
      <c r="Q378" s="1674">
        <f t="shared" si="85"/>
        <v>0</v>
      </c>
      <c r="R378" s="1674">
        <f t="shared" si="86"/>
        <v>0</v>
      </c>
      <c r="S378" s="1790">
        <f t="shared" si="87"/>
        <v>0</v>
      </c>
      <c r="T378" s="1674">
        <f t="shared" si="88"/>
        <v>0</v>
      </c>
      <c r="AI378" s="1790"/>
    </row>
    <row r="379" spans="1:36" ht="15" thickBot="1">
      <c r="A379" s="1675">
        <v>25</v>
      </c>
      <c r="B379" s="2015"/>
      <c r="C379" s="1675"/>
      <c r="D379" s="1674" t="s">
        <v>2450</v>
      </c>
      <c r="F379" s="1871">
        <f t="shared" si="89"/>
        <v>1375326.2892099998</v>
      </c>
      <c r="G379" s="1674">
        <f t="shared" si="75"/>
        <v>0</v>
      </c>
      <c r="H379" s="1871">
        <f t="shared" si="76"/>
        <v>219936.23557999998</v>
      </c>
      <c r="I379" s="1790">
        <f t="shared" si="77"/>
        <v>0</v>
      </c>
      <c r="J379" s="1871">
        <f t="shared" si="78"/>
        <v>-22082.575860000001</v>
      </c>
      <c r="K379" s="1790">
        <f t="shared" si="79"/>
        <v>0</v>
      </c>
      <c r="L379" s="1871">
        <f t="shared" si="80"/>
        <v>-6710.6127799999995</v>
      </c>
      <c r="M379" s="1790">
        <f t="shared" si="81"/>
        <v>0</v>
      </c>
      <c r="N379" s="1871">
        <f t="shared" si="82"/>
        <v>0</v>
      </c>
      <c r="O379" s="1816">
        <f t="shared" si="83"/>
        <v>0</v>
      </c>
      <c r="P379" s="1871">
        <f t="shared" si="84"/>
        <v>0</v>
      </c>
      <c r="Q379" s="1790">
        <f t="shared" si="85"/>
        <v>0</v>
      </c>
      <c r="R379" s="1871">
        <f t="shared" si="86"/>
        <v>1566469.3361500001</v>
      </c>
      <c r="S379" s="1790">
        <f t="shared" si="87"/>
        <v>0</v>
      </c>
      <c r="T379" s="1871">
        <f t="shared" si="88"/>
        <v>1471881.7228200003</v>
      </c>
      <c r="V379" s="1871">
        <v>1375326289.2099998</v>
      </c>
      <c r="X379" s="1871">
        <v>219936235.57999998</v>
      </c>
      <c r="Y379" s="1790"/>
      <c r="Z379" s="1871">
        <v>-22082575.859999999</v>
      </c>
      <c r="AA379" s="1790"/>
      <c r="AB379" s="1871">
        <v>-6710612.7799999993</v>
      </c>
      <c r="AC379" s="1790"/>
      <c r="AD379" s="1871">
        <v>0</v>
      </c>
      <c r="AE379" s="1816"/>
      <c r="AF379" s="1871">
        <v>0</v>
      </c>
      <c r="AG379" s="1790"/>
      <c r="AH379" s="1871">
        <v>1566469336.1500001</v>
      </c>
      <c r="AI379" s="1790"/>
      <c r="AJ379" s="1871">
        <v>1471881722.8200002</v>
      </c>
    </row>
    <row r="380" spans="1:36" ht="15" thickTop="1">
      <c r="A380" s="1675">
        <v>26</v>
      </c>
      <c r="C380" s="2009"/>
      <c r="F380" s="2031">
        <f t="shared" si="89"/>
        <v>0</v>
      </c>
      <c r="G380" s="1674">
        <f t="shared" si="75"/>
        <v>0</v>
      </c>
      <c r="H380" s="2031">
        <f t="shared" si="76"/>
        <v>0</v>
      </c>
      <c r="I380" s="1790">
        <f t="shared" si="77"/>
        <v>0</v>
      </c>
      <c r="J380" s="2031">
        <f t="shared" si="78"/>
        <v>0</v>
      </c>
      <c r="K380" s="1790">
        <f t="shared" si="79"/>
        <v>0</v>
      </c>
      <c r="L380" s="2031">
        <f t="shared" si="80"/>
        <v>0</v>
      </c>
      <c r="M380" s="1790">
        <f t="shared" si="81"/>
        <v>0</v>
      </c>
      <c r="N380" s="2031">
        <f t="shared" si="82"/>
        <v>0</v>
      </c>
      <c r="O380" s="2031">
        <f t="shared" si="83"/>
        <v>0</v>
      </c>
      <c r="P380" s="2031">
        <f t="shared" si="84"/>
        <v>0</v>
      </c>
      <c r="Q380" s="1790">
        <f t="shared" si="85"/>
        <v>0</v>
      </c>
      <c r="R380" s="2031">
        <f t="shared" si="86"/>
        <v>0</v>
      </c>
      <c r="S380" s="1790">
        <f t="shared" si="87"/>
        <v>0</v>
      </c>
      <c r="T380" s="2031">
        <f t="shared" si="88"/>
        <v>0</v>
      </c>
      <c r="V380" s="2031"/>
      <c r="X380" s="2031"/>
      <c r="Y380" s="1790"/>
      <c r="Z380" s="2031"/>
      <c r="AA380" s="1790"/>
      <c r="AB380" s="2031"/>
      <c r="AC380" s="1790"/>
      <c r="AD380" s="2031"/>
      <c r="AE380" s="2031"/>
      <c r="AF380" s="2031"/>
      <c r="AG380" s="1790"/>
      <c r="AH380" s="2031"/>
      <c r="AI380" s="1790"/>
      <c r="AJ380" s="2031"/>
    </row>
    <row r="381" spans="1:36" ht="15" thickBot="1">
      <c r="A381" s="1675">
        <v>27</v>
      </c>
      <c r="C381" s="2009"/>
      <c r="D381" s="1674" t="s">
        <v>2453</v>
      </c>
      <c r="F381" s="1870">
        <f t="shared" si="89"/>
        <v>1930257.1669799997</v>
      </c>
      <c r="G381" s="1674">
        <f t="shared" si="75"/>
        <v>0</v>
      </c>
      <c r="H381" s="1870">
        <f t="shared" si="76"/>
        <v>279342.16833999997</v>
      </c>
      <c r="I381" s="1790">
        <f t="shared" si="77"/>
        <v>0</v>
      </c>
      <c r="J381" s="1870">
        <f t="shared" si="78"/>
        <v>-25807.018239999998</v>
      </c>
      <c r="K381" s="1790">
        <f t="shared" si="79"/>
        <v>0</v>
      </c>
      <c r="L381" s="1870">
        <f t="shared" si="80"/>
        <v>-8426.9444999999996</v>
      </c>
      <c r="M381" s="1790">
        <f t="shared" si="81"/>
        <v>0</v>
      </c>
      <c r="N381" s="1870">
        <f t="shared" si="82"/>
        <v>0</v>
      </c>
      <c r="O381" s="1813">
        <f t="shared" si="83"/>
        <v>0</v>
      </c>
      <c r="P381" s="1870">
        <f t="shared" si="84"/>
        <v>0</v>
      </c>
      <c r="Q381" s="1790">
        <f t="shared" si="85"/>
        <v>0</v>
      </c>
      <c r="R381" s="1870">
        <f t="shared" si="86"/>
        <v>2175365.3725799997</v>
      </c>
      <c r="S381" s="1674">
        <f t="shared" si="87"/>
        <v>0</v>
      </c>
      <c r="T381" s="1870">
        <f t="shared" si="88"/>
        <v>2054088.0630800005</v>
      </c>
      <c r="V381" s="1870">
        <v>1930257166.9799998</v>
      </c>
      <c r="X381" s="1870">
        <v>279342168.33999997</v>
      </c>
      <c r="Y381" s="1790"/>
      <c r="Z381" s="1870">
        <v>-25807018.239999998</v>
      </c>
      <c r="AA381" s="1790"/>
      <c r="AB381" s="1870">
        <v>-8426944.5</v>
      </c>
      <c r="AC381" s="1790"/>
      <c r="AD381" s="1870">
        <v>0</v>
      </c>
      <c r="AE381" s="1813"/>
      <c r="AF381" s="1870">
        <v>0</v>
      </c>
      <c r="AG381" s="1790"/>
      <c r="AH381" s="1870">
        <v>2175365372.5799999</v>
      </c>
      <c r="AJ381" s="1870">
        <v>2054088063.0800004</v>
      </c>
    </row>
    <row r="382" spans="1:36" ht="15" thickTop="1">
      <c r="A382" s="1675">
        <v>28</v>
      </c>
      <c r="B382" s="2015"/>
      <c r="F382" s="1674">
        <f t="shared" si="89"/>
        <v>0</v>
      </c>
      <c r="G382" s="1674">
        <f t="shared" si="75"/>
        <v>0</v>
      </c>
      <c r="H382" s="1674">
        <f t="shared" si="76"/>
        <v>0</v>
      </c>
      <c r="I382" s="1674">
        <f t="shared" si="77"/>
        <v>0</v>
      </c>
      <c r="J382" s="1674">
        <f t="shared" si="78"/>
        <v>0</v>
      </c>
      <c r="K382" s="1674">
        <f t="shared" si="79"/>
        <v>0</v>
      </c>
      <c r="L382" s="1674">
        <f t="shared" si="80"/>
        <v>0</v>
      </c>
      <c r="M382" s="1674">
        <f t="shared" si="81"/>
        <v>0</v>
      </c>
      <c r="N382" s="1674">
        <f t="shared" si="82"/>
        <v>0</v>
      </c>
      <c r="O382" s="1674">
        <f t="shared" si="83"/>
        <v>0</v>
      </c>
      <c r="P382" s="1674">
        <f t="shared" si="84"/>
        <v>0</v>
      </c>
      <c r="Q382" s="2001">
        <f t="shared" si="85"/>
        <v>0</v>
      </c>
      <c r="R382" s="1674">
        <f t="shared" si="86"/>
        <v>0</v>
      </c>
      <c r="S382" s="1674">
        <f t="shared" si="87"/>
        <v>0</v>
      </c>
      <c r="T382" s="1674">
        <f t="shared" si="88"/>
        <v>0</v>
      </c>
      <c r="AG382" s="2001"/>
    </row>
    <row r="383" spans="1:36">
      <c r="A383" s="1675">
        <v>29</v>
      </c>
      <c r="B383" s="2015"/>
      <c r="C383" s="1675"/>
      <c r="D383" s="2021" t="s">
        <v>2531</v>
      </c>
      <c r="E383" s="2021"/>
      <c r="F383" s="1790">
        <f t="shared" si="89"/>
        <v>0</v>
      </c>
      <c r="G383" s="1674">
        <f t="shared" si="75"/>
        <v>0</v>
      </c>
      <c r="H383" s="1790">
        <f t="shared" si="76"/>
        <v>0</v>
      </c>
      <c r="I383" s="1790">
        <f t="shared" si="77"/>
        <v>0</v>
      </c>
      <c r="J383" s="1790">
        <f t="shared" si="78"/>
        <v>0</v>
      </c>
      <c r="K383" s="2036">
        <f t="shared" si="79"/>
        <v>0</v>
      </c>
      <c r="L383" s="1790">
        <f t="shared" si="80"/>
        <v>0</v>
      </c>
      <c r="M383" s="2036">
        <f t="shared" si="81"/>
        <v>0</v>
      </c>
      <c r="N383" s="1790">
        <f t="shared" si="82"/>
        <v>0</v>
      </c>
      <c r="O383" s="2036">
        <f t="shared" si="83"/>
        <v>0</v>
      </c>
      <c r="P383" s="1790">
        <f t="shared" si="84"/>
        <v>0</v>
      </c>
      <c r="Q383" s="2031">
        <f t="shared" si="85"/>
        <v>0</v>
      </c>
      <c r="R383" s="1790">
        <f t="shared" si="86"/>
        <v>0</v>
      </c>
      <c r="S383" s="2036">
        <f t="shared" si="87"/>
        <v>0</v>
      </c>
      <c r="T383" s="2036">
        <f t="shared" si="88"/>
        <v>0</v>
      </c>
      <c r="V383" s="1790"/>
      <c r="X383" s="1790"/>
      <c r="Y383" s="1790"/>
      <c r="Z383" s="1790"/>
      <c r="AA383" s="2036"/>
      <c r="AB383" s="1790"/>
      <c r="AC383" s="2036"/>
      <c r="AD383" s="1790"/>
      <c r="AE383" s="2036"/>
      <c r="AF383" s="1790"/>
      <c r="AG383" s="2031"/>
      <c r="AH383" s="1790"/>
      <c r="AI383" s="2036"/>
      <c r="AJ383" s="2036"/>
    </row>
    <row r="384" spans="1:36">
      <c r="A384" s="1675">
        <v>30</v>
      </c>
      <c r="B384" s="2015"/>
      <c r="C384" s="2009">
        <v>35001</v>
      </c>
      <c r="D384" s="2038" t="s">
        <v>2532</v>
      </c>
      <c r="F384" s="1876">
        <f t="shared" si="89"/>
        <v>5088.9060300000083</v>
      </c>
      <c r="G384" s="2001">
        <f t="shared" si="75"/>
        <v>0</v>
      </c>
      <c r="H384" s="1876">
        <f t="shared" si="76"/>
        <v>187.29876000000002</v>
      </c>
      <c r="I384" s="1785">
        <f t="shared" si="77"/>
        <v>0</v>
      </c>
      <c r="J384" s="1876">
        <f t="shared" si="78"/>
        <v>0</v>
      </c>
      <c r="K384" s="1786">
        <f t="shared" si="79"/>
        <v>0</v>
      </c>
      <c r="L384" s="1876">
        <f t="shared" si="80"/>
        <v>0</v>
      </c>
      <c r="M384" s="1786">
        <f t="shared" si="81"/>
        <v>0</v>
      </c>
      <c r="N384" s="1876">
        <f t="shared" si="82"/>
        <v>0</v>
      </c>
      <c r="O384" s="1787">
        <f t="shared" si="83"/>
        <v>0</v>
      </c>
      <c r="P384" s="1876">
        <f t="shared" si="84"/>
        <v>0</v>
      </c>
      <c r="Q384" s="1785">
        <f t="shared" si="85"/>
        <v>0</v>
      </c>
      <c r="R384" s="1787">
        <f t="shared" si="86"/>
        <v>5276.2047900000089</v>
      </c>
      <c r="S384" s="1786">
        <f t="shared" si="87"/>
        <v>0</v>
      </c>
      <c r="T384" s="1876">
        <f t="shared" si="88"/>
        <v>5182.5554099999999</v>
      </c>
      <c r="V384" s="1876">
        <v>5088906.0300000086</v>
      </c>
      <c r="W384" s="2001"/>
      <c r="X384" s="1876">
        <v>187298.76</v>
      </c>
      <c r="Y384" s="1785"/>
      <c r="Z384" s="1876">
        <v>0</v>
      </c>
      <c r="AA384" s="1786"/>
      <c r="AB384" s="1876">
        <v>0</v>
      </c>
      <c r="AC384" s="1786"/>
      <c r="AD384" s="1876">
        <v>0</v>
      </c>
      <c r="AE384" s="1787"/>
      <c r="AF384" s="1876">
        <v>0</v>
      </c>
      <c r="AG384" s="1785"/>
      <c r="AH384" s="1787">
        <v>5276204.7900000084</v>
      </c>
      <c r="AI384" s="1786"/>
      <c r="AJ384" s="1876">
        <v>5182555.41</v>
      </c>
    </row>
    <row r="385" spans="1:36">
      <c r="A385" s="1675">
        <v>31</v>
      </c>
      <c r="B385" s="2015"/>
      <c r="C385" s="1675">
        <v>35100</v>
      </c>
      <c r="D385" s="1674" t="s">
        <v>8179</v>
      </c>
      <c r="F385" s="1876">
        <f t="shared" si="89"/>
        <v>0</v>
      </c>
      <c r="G385" s="2001">
        <f t="shared" si="75"/>
        <v>0</v>
      </c>
      <c r="H385" s="1876">
        <f t="shared" si="76"/>
        <v>0</v>
      </c>
      <c r="I385" s="1785">
        <f t="shared" si="77"/>
        <v>0</v>
      </c>
      <c r="J385" s="1876">
        <f t="shared" si="78"/>
        <v>0</v>
      </c>
      <c r="K385" s="1786">
        <f t="shared" si="79"/>
        <v>0</v>
      </c>
      <c r="L385" s="1876">
        <f t="shared" si="80"/>
        <v>0</v>
      </c>
      <c r="M385" s="1786">
        <f t="shared" si="81"/>
        <v>0</v>
      </c>
      <c r="N385" s="1876">
        <f t="shared" si="82"/>
        <v>0</v>
      </c>
      <c r="O385" s="1787">
        <f t="shared" si="83"/>
        <v>0</v>
      </c>
      <c r="P385" s="1876">
        <f t="shared" si="84"/>
        <v>0</v>
      </c>
      <c r="Q385" s="1785">
        <f t="shared" si="85"/>
        <v>0</v>
      </c>
      <c r="R385" s="1787">
        <f t="shared" si="86"/>
        <v>0</v>
      </c>
      <c r="S385" s="1786">
        <f t="shared" si="87"/>
        <v>0</v>
      </c>
      <c r="T385" s="1876">
        <f t="shared" si="88"/>
        <v>0</v>
      </c>
      <c r="V385" s="1876">
        <v>0</v>
      </c>
      <c r="W385" s="2001"/>
      <c r="X385" s="1876">
        <v>0</v>
      </c>
      <c r="Y385" s="1785"/>
      <c r="Z385" s="1876">
        <v>0</v>
      </c>
      <c r="AA385" s="1786"/>
      <c r="AB385" s="1876">
        <v>0</v>
      </c>
      <c r="AC385" s="1786"/>
      <c r="AD385" s="1876">
        <v>0</v>
      </c>
      <c r="AE385" s="1787"/>
      <c r="AF385" s="1876">
        <v>0</v>
      </c>
      <c r="AG385" s="1785"/>
      <c r="AH385" s="1787">
        <v>0</v>
      </c>
      <c r="AI385" s="1786"/>
      <c r="AJ385" s="1876">
        <v>0</v>
      </c>
    </row>
    <row r="386" spans="1:36">
      <c r="A386" s="1675">
        <v>32</v>
      </c>
      <c r="B386" s="2015"/>
      <c r="C386" s="2009">
        <v>35200</v>
      </c>
      <c r="D386" s="2038" t="s">
        <v>2533</v>
      </c>
      <c r="F386" s="1876">
        <f t="shared" si="89"/>
        <v>16146.070070000003</v>
      </c>
      <c r="G386" s="2001">
        <f t="shared" si="75"/>
        <v>0</v>
      </c>
      <c r="H386" s="1876">
        <f t="shared" si="76"/>
        <v>1655.2191599999999</v>
      </c>
      <c r="I386" s="1785">
        <f t="shared" si="77"/>
        <v>0</v>
      </c>
      <c r="J386" s="1876">
        <f t="shared" si="78"/>
        <v>0</v>
      </c>
      <c r="K386" s="1786">
        <f t="shared" si="79"/>
        <v>0</v>
      </c>
      <c r="L386" s="1876">
        <f t="shared" si="80"/>
        <v>0</v>
      </c>
      <c r="M386" s="1786">
        <f t="shared" si="81"/>
        <v>0</v>
      </c>
      <c r="N386" s="1876">
        <f t="shared" si="82"/>
        <v>0</v>
      </c>
      <c r="O386" s="1787">
        <f t="shared" si="83"/>
        <v>0</v>
      </c>
      <c r="P386" s="1876">
        <f t="shared" si="84"/>
        <v>0</v>
      </c>
      <c r="Q386" s="1785">
        <f t="shared" si="85"/>
        <v>0</v>
      </c>
      <c r="R386" s="1787">
        <f t="shared" si="86"/>
        <v>17801.289230000006</v>
      </c>
      <c r="S386" s="1786">
        <f t="shared" si="87"/>
        <v>0</v>
      </c>
      <c r="T386" s="1876">
        <f t="shared" si="88"/>
        <v>16973.679649999998</v>
      </c>
      <c r="V386" s="1876">
        <v>16146070.070000004</v>
      </c>
      <c r="W386" s="2001"/>
      <c r="X386" s="1876">
        <v>1655219.16</v>
      </c>
      <c r="Y386" s="1785"/>
      <c r="Z386" s="1876">
        <v>0</v>
      </c>
      <c r="AA386" s="1786"/>
      <c r="AB386" s="1876">
        <v>0</v>
      </c>
      <c r="AC386" s="1786"/>
      <c r="AD386" s="1876">
        <v>0</v>
      </c>
      <c r="AE386" s="1787"/>
      <c r="AF386" s="1876">
        <v>0</v>
      </c>
      <c r="AG386" s="1785"/>
      <c r="AH386" s="1787">
        <v>17801289.230000004</v>
      </c>
      <c r="AI386" s="1786"/>
      <c r="AJ386" s="1876">
        <v>16973679.649999999</v>
      </c>
    </row>
    <row r="387" spans="1:36">
      <c r="A387" s="1675">
        <v>33</v>
      </c>
      <c r="B387" s="2015"/>
      <c r="C387" s="2009">
        <v>35300</v>
      </c>
      <c r="D387" s="2039" t="s">
        <v>2534</v>
      </c>
      <c r="E387" s="2021"/>
      <c r="F387" s="1876">
        <f t="shared" si="89"/>
        <v>95817.470748700012</v>
      </c>
      <c r="G387" s="2001">
        <f t="shared" si="75"/>
        <v>0</v>
      </c>
      <c r="H387" s="1876">
        <f t="shared" si="76"/>
        <v>10775.99401</v>
      </c>
      <c r="I387" s="1785">
        <f t="shared" si="77"/>
        <v>0</v>
      </c>
      <c r="J387" s="1876">
        <f t="shared" si="78"/>
        <v>-5514.3032800000001</v>
      </c>
      <c r="K387" s="1786">
        <f t="shared" si="79"/>
        <v>0</v>
      </c>
      <c r="L387" s="1876">
        <f t="shared" si="80"/>
        <v>3.8008000000000002</v>
      </c>
      <c r="M387" s="1786">
        <f t="shared" si="81"/>
        <v>0</v>
      </c>
      <c r="N387" s="1876">
        <f t="shared" si="82"/>
        <v>0</v>
      </c>
      <c r="O387" s="1787">
        <f t="shared" si="83"/>
        <v>0</v>
      </c>
      <c r="P387" s="1876">
        <f t="shared" si="84"/>
        <v>0</v>
      </c>
      <c r="Q387" s="1785">
        <f t="shared" si="85"/>
        <v>0</v>
      </c>
      <c r="R387" s="1787">
        <f t="shared" si="86"/>
        <v>101082.96227870001</v>
      </c>
      <c r="S387" s="1786">
        <f t="shared" si="87"/>
        <v>0</v>
      </c>
      <c r="T387" s="1876">
        <f t="shared" si="88"/>
        <v>99557.050690000004</v>
      </c>
      <c r="V387" s="1876">
        <v>95817470.748700008</v>
      </c>
      <c r="W387" s="2001"/>
      <c r="X387" s="1876">
        <v>10775994.01</v>
      </c>
      <c r="Y387" s="1785"/>
      <c r="Z387" s="1876">
        <v>-5514303.2800000003</v>
      </c>
      <c r="AA387" s="1786"/>
      <c r="AB387" s="1876">
        <v>3800.8</v>
      </c>
      <c r="AC387" s="1786"/>
      <c r="AD387" s="1876">
        <v>0</v>
      </c>
      <c r="AE387" s="1787"/>
      <c r="AF387" s="1876">
        <v>0</v>
      </c>
      <c r="AG387" s="1785"/>
      <c r="AH387" s="1787">
        <v>101082962.27870001</v>
      </c>
      <c r="AI387" s="1786"/>
      <c r="AJ387" s="1876">
        <v>99557050.689999998</v>
      </c>
    </row>
    <row r="388" spans="1:36">
      <c r="A388" s="1675">
        <v>34</v>
      </c>
      <c r="B388" s="2015"/>
      <c r="C388" s="2009">
        <v>35400</v>
      </c>
      <c r="D388" s="2039" t="s">
        <v>2535</v>
      </c>
      <c r="E388" s="2021"/>
      <c r="F388" s="1876">
        <f t="shared" si="89"/>
        <v>5281.2702899999904</v>
      </c>
      <c r="G388" s="2001">
        <f t="shared" si="75"/>
        <v>0</v>
      </c>
      <c r="H388" s="1876">
        <f t="shared" si="76"/>
        <v>65.687640000000002</v>
      </c>
      <c r="I388" s="1785">
        <f t="shared" si="77"/>
        <v>0</v>
      </c>
      <c r="J388" s="1876">
        <f t="shared" si="78"/>
        <v>0</v>
      </c>
      <c r="K388" s="1786">
        <f t="shared" si="79"/>
        <v>0</v>
      </c>
      <c r="L388" s="1876">
        <f t="shared" si="80"/>
        <v>0</v>
      </c>
      <c r="M388" s="1786">
        <f t="shared" si="81"/>
        <v>0</v>
      </c>
      <c r="N388" s="1876">
        <f t="shared" si="82"/>
        <v>0</v>
      </c>
      <c r="O388" s="1787">
        <f t="shared" si="83"/>
        <v>0</v>
      </c>
      <c r="P388" s="1876">
        <f t="shared" si="84"/>
        <v>0</v>
      </c>
      <c r="Q388" s="1785">
        <f t="shared" si="85"/>
        <v>0</v>
      </c>
      <c r="R388" s="1787">
        <f t="shared" si="86"/>
        <v>5346.9579299999905</v>
      </c>
      <c r="S388" s="1786">
        <f t="shared" si="87"/>
        <v>0</v>
      </c>
      <c r="T388" s="1876">
        <f t="shared" si="88"/>
        <v>5314.1141100000004</v>
      </c>
      <c r="V388" s="1876">
        <v>5281270.2899999907</v>
      </c>
      <c r="W388" s="2001"/>
      <c r="X388" s="1876">
        <v>65687.64</v>
      </c>
      <c r="Y388" s="1785"/>
      <c r="Z388" s="1876">
        <v>0</v>
      </c>
      <c r="AA388" s="1786"/>
      <c r="AB388" s="1876">
        <v>0</v>
      </c>
      <c r="AC388" s="1786"/>
      <c r="AD388" s="1876">
        <v>0</v>
      </c>
      <c r="AE388" s="1787"/>
      <c r="AF388" s="1876">
        <v>0</v>
      </c>
      <c r="AG388" s="1785"/>
      <c r="AH388" s="1787">
        <v>5346957.9299999904</v>
      </c>
      <c r="AI388" s="1786"/>
      <c r="AJ388" s="1876">
        <v>5314114.1100000003</v>
      </c>
    </row>
    <row r="389" spans="1:36">
      <c r="A389" s="1675">
        <v>35</v>
      </c>
      <c r="B389" s="2015"/>
      <c r="C389" s="2009">
        <v>35500</v>
      </c>
      <c r="D389" s="2038" t="s">
        <v>2536</v>
      </c>
      <c r="F389" s="1876">
        <f t="shared" si="89"/>
        <v>139406.5073136001</v>
      </c>
      <c r="G389" s="2001">
        <f t="shared" si="75"/>
        <v>0</v>
      </c>
      <c r="H389" s="1876">
        <f t="shared" si="76"/>
        <v>15079.041050000002</v>
      </c>
      <c r="I389" s="1785">
        <f t="shared" si="77"/>
        <v>0</v>
      </c>
      <c r="J389" s="1876">
        <f t="shared" si="78"/>
        <v>-5910.2273800000003</v>
      </c>
      <c r="K389" s="1786">
        <f t="shared" si="79"/>
        <v>0</v>
      </c>
      <c r="L389" s="1876">
        <f t="shared" si="80"/>
        <v>-2931.2443399999997</v>
      </c>
      <c r="M389" s="1786">
        <f t="shared" si="81"/>
        <v>0</v>
      </c>
      <c r="N389" s="1876">
        <f t="shared" si="82"/>
        <v>0</v>
      </c>
      <c r="O389" s="1787">
        <f t="shared" si="83"/>
        <v>0</v>
      </c>
      <c r="P389" s="1876">
        <f t="shared" si="84"/>
        <v>0</v>
      </c>
      <c r="Q389" s="1785">
        <f t="shared" si="85"/>
        <v>0</v>
      </c>
      <c r="R389" s="1787">
        <f t="shared" si="86"/>
        <v>145644.0766436001</v>
      </c>
      <c r="S389" s="1786">
        <f t="shared" si="87"/>
        <v>0</v>
      </c>
      <c r="T389" s="1876">
        <f t="shared" si="88"/>
        <v>143297.33716999998</v>
      </c>
      <c r="V389" s="1876">
        <v>139406507.31360009</v>
      </c>
      <c r="W389" s="2001"/>
      <c r="X389" s="1876">
        <v>15079041.050000001</v>
      </c>
      <c r="Y389" s="1785"/>
      <c r="Z389" s="1876">
        <v>-5910227.3799999999</v>
      </c>
      <c r="AA389" s="1786"/>
      <c r="AB389" s="1876">
        <v>-2931244.34</v>
      </c>
      <c r="AC389" s="1786"/>
      <c r="AD389" s="1876">
        <v>0</v>
      </c>
      <c r="AE389" s="1787"/>
      <c r="AF389" s="1876">
        <v>0</v>
      </c>
      <c r="AG389" s="1785"/>
      <c r="AH389" s="1787">
        <v>145644076.64360011</v>
      </c>
      <c r="AI389" s="1786"/>
      <c r="AJ389" s="1876">
        <v>143297337.16999999</v>
      </c>
    </row>
    <row r="390" spans="1:36">
      <c r="A390" s="1675">
        <v>36</v>
      </c>
      <c r="B390" s="2015"/>
      <c r="C390" s="2009">
        <v>35600</v>
      </c>
      <c r="D390" s="2038" t="s">
        <v>2537</v>
      </c>
      <c r="F390" s="1876">
        <f t="shared" si="89"/>
        <v>31677.20646960002</v>
      </c>
      <c r="G390" s="2001">
        <f t="shared" si="75"/>
        <v>0</v>
      </c>
      <c r="H390" s="1876">
        <f t="shared" si="76"/>
        <v>5692.0582100000001</v>
      </c>
      <c r="I390" s="1785">
        <f t="shared" si="77"/>
        <v>0</v>
      </c>
      <c r="J390" s="1876">
        <f t="shared" si="78"/>
        <v>-5696.2254899999998</v>
      </c>
      <c r="K390" s="1786">
        <f t="shared" si="79"/>
        <v>0</v>
      </c>
      <c r="L390" s="1876">
        <f t="shared" si="80"/>
        <v>2.2523299999999997</v>
      </c>
      <c r="M390" s="1786">
        <f t="shared" si="81"/>
        <v>0</v>
      </c>
      <c r="N390" s="1876">
        <f t="shared" si="82"/>
        <v>0</v>
      </c>
      <c r="O390" s="1787">
        <f t="shared" si="83"/>
        <v>0</v>
      </c>
      <c r="P390" s="1876">
        <f t="shared" si="84"/>
        <v>0</v>
      </c>
      <c r="Q390" s="1785">
        <f t="shared" si="85"/>
        <v>0</v>
      </c>
      <c r="R390" s="1787">
        <f t="shared" si="86"/>
        <v>31675.29151960001</v>
      </c>
      <c r="S390" s="1786">
        <f t="shared" si="87"/>
        <v>0</v>
      </c>
      <c r="T390" s="1876">
        <f t="shared" si="88"/>
        <v>32778.268300000003</v>
      </c>
      <c r="V390" s="1876">
        <v>31677206.469600018</v>
      </c>
      <c r="W390" s="2001"/>
      <c r="X390" s="1876">
        <v>5692058.21</v>
      </c>
      <c r="Y390" s="1785"/>
      <c r="Z390" s="1876">
        <v>-5696225.4900000002</v>
      </c>
      <c r="AA390" s="1786"/>
      <c r="AB390" s="1876">
        <v>2252.33</v>
      </c>
      <c r="AC390" s="1786"/>
      <c r="AD390" s="1876">
        <v>0</v>
      </c>
      <c r="AE390" s="1787"/>
      <c r="AF390" s="1876">
        <v>0</v>
      </c>
      <c r="AG390" s="1785"/>
      <c r="AH390" s="1787">
        <v>31675291.519600011</v>
      </c>
      <c r="AI390" s="1786"/>
      <c r="AJ390" s="1876">
        <v>32778268.300000001</v>
      </c>
    </row>
    <row r="391" spans="1:36">
      <c r="A391" s="1675">
        <v>37</v>
      </c>
      <c r="B391" s="2015"/>
      <c r="C391" s="2009">
        <v>35601</v>
      </c>
      <c r="D391" s="2038" t="s">
        <v>2538</v>
      </c>
      <c r="F391" s="1876">
        <f t="shared" si="89"/>
        <v>1797.1330899999966</v>
      </c>
      <c r="G391" s="2001">
        <f t="shared" si="75"/>
        <v>0</v>
      </c>
      <c r="H391" s="1876">
        <f t="shared" si="76"/>
        <v>21.52824</v>
      </c>
      <c r="I391" s="1785">
        <f t="shared" si="77"/>
        <v>0</v>
      </c>
      <c r="J391" s="1876">
        <f t="shared" si="78"/>
        <v>0</v>
      </c>
      <c r="K391" s="1786">
        <f t="shared" si="79"/>
        <v>0</v>
      </c>
      <c r="L391" s="1876">
        <f t="shared" si="80"/>
        <v>0</v>
      </c>
      <c r="M391" s="1786">
        <f t="shared" si="81"/>
        <v>0</v>
      </c>
      <c r="N391" s="1876">
        <f t="shared" si="82"/>
        <v>0</v>
      </c>
      <c r="O391" s="1787">
        <f t="shared" si="83"/>
        <v>0</v>
      </c>
      <c r="P391" s="1876">
        <f t="shared" si="84"/>
        <v>0</v>
      </c>
      <c r="Q391" s="1785">
        <f t="shared" si="85"/>
        <v>0</v>
      </c>
      <c r="R391" s="1787">
        <f t="shared" si="86"/>
        <v>1818.6613299999965</v>
      </c>
      <c r="S391" s="1786">
        <f t="shared" si="87"/>
        <v>0</v>
      </c>
      <c r="T391" s="1876">
        <f t="shared" si="88"/>
        <v>1807.8972099999999</v>
      </c>
      <c r="V391" s="1876">
        <v>1797133.0899999966</v>
      </c>
      <c r="W391" s="2001"/>
      <c r="X391" s="1876">
        <v>21528.240000000002</v>
      </c>
      <c r="Y391" s="1785"/>
      <c r="Z391" s="1876">
        <v>0</v>
      </c>
      <c r="AA391" s="1786"/>
      <c r="AB391" s="1876">
        <v>0</v>
      </c>
      <c r="AC391" s="1786"/>
      <c r="AD391" s="1876">
        <v>0</v>
      </c>
      <c r="AE391" s="1787"/>
      <c r="AF391" s="1876">
        <v>0</v>
      </c>
      <c r="AG391" s="1785"/>
      <c r="AH391" s="1787">
        <v>1818661.3299999966</v>
      </c>
      <c r="AI391" s="1786"/>
      <c r="AJ391" s="1876">
        <v>1807897.21</v>
      </c>
    </row>
    <row r="392" spans="1:36">
      <c r="A392" s="1675">
        <v>38</v>
      </c>
      <c r="B392" s="2015"/>
      <c r="C392" s="2009">
        <v>35700</v>
      </c>
      <c r="D392" s="2038" t="s">
        <v>2539</v>
      </c>
      <c r="F392" s="1876">
        <f t="shared" si="89"/>
        <v>1846.6134600000021</v>
      </c>
      <c r="G392" s="2001">
        <f t="shared" si="75"/>
        <v>0</v>
      </c>
      <c r="H392" s="1876">
        <f t="shared" si="76"/>
        <v>78.676079999999999</v>
      </c>
      <c r="I392" s="1785">
        <f t="shared" si="77"/>
        <v>0</v>
      </c>
      <c r="J392" s="1876">
        <f t="shared" si="78"/>
        <v>0</v>
      </c>
      <c r="K392" s="1786">
        <f t="shared" si="79"/>
        <v>0</v>
      </c>
      <c r="L392" s="1876">
        <f t="shared" si="80"/>
        <v>0</v>
      </c>
      <c r="M392" s="1786">
        <f t="shared" si="81"/>
        <v>0</v>
      </c>
      <c r="N392" s="1876">
        <f t="shared" si="82"/>
        <v>0</v>
      </c>
      <c r="O392" s="1787">
        <f t="shared" si="83"/>
        <v>0</v>
      </c>
      <c r="P392" s="1876">
        <f t="shared" si="84"/>
        <v>0</v>
      </c>
      <c r="Q392" s="1785">
        <f t="shared" si="85"/>
        <v>0</v>
      </c>
      <c r="R392" s="1787">
        <f t="shared" si="86"/>
        <v>1925.289540000002</v>
      </c>
      <c r="S392" s="1786">
        <f t="shared" si="87"/>
        <v>0</v>
      </c>
      <c r="T392" s="1876">
        <f t="shared" si="88"/>
        <v>1885.9514999999999</v>
      </c>
      <c r="V392" s="1876">
        <v>1846613.4600000021</v>
      </c>
      <c r="W392" s="2001"/>
      <c r="X392" s="1876">
        <v>78676.08</v>
      </c>
      <c r="Y392" s="1785"/>
      <c r="Z392" s="1876">
        <v>0</v>
      </c>
      <c r="AA392" s="1786"/>
      <c r="AB392" s="1876">
        <v>0</v>
      </c>
      <c r="AC392" s="1786"/>
      <c r="AD392" s="1876">
        <v>0</v>
      </c>
      <c r="AE392" s="1787"/>
      <c r="AF392" s="1876">
        <v>0</v>
      </c>
      <c r="AG392" s="1785"/>
      <c r="AH392" s="1787">
        <v>1925289.5400000021</v>
      </c>
      <c r="AI392" s="1786"/>
      <c r="AJ392" s="1876">
        <v>1885951.5</v>
      </c>
    </row>
    <row r="393" spans="1:36">
      <c r="A393" s="1675">
        <v>39</v>
      </c>
      <c r="B393" s="2015"/>
      <c r="C393" s="2009">
        <v>35800</v>
      </c>
      <c r="D393" s="2038" t="s">
        <v>2540</v>
      </c>
      <c r="F393" s="1876">
        <f t="shared" si="89"/>
        <v>3964.1492600000024</v>
      </c>
      <c r="G393" s="2001">
        <f t="shared" si="75"/>
        <v>0</v>
      </c>
      <c r="H393" s="1876">
        <f t="shared" si="76"/>
        <v>346.16520000000003</v>
      </c>
      <c r="I393" s="1785">
        <f t="shared" si="77"/>
        <v>0</v>
      </c>
      <c r="J393" s="1876">
        <f t="shared" si="78"/>
        <v>0</v>
      </c>
      <c r="K393" s="1786">
        <f t="shared" si="79"/>
        <v>0</v>
      </c>
      <c r="L393" s="1876">
        <f t="shared" si="80"/>
        <v>0</v>
      </c>
      <c r="M393" s="1786">
        <f t="shared" si="81"/>
        <v>0</v>
      </c>
      <c r="N393" s="1876">
        <f t="shared" si="82"/>
        <v>0</v>
      </c>
      <c r="O393" s="1787">
        <f t="shared" si="83"/>
        <v>0</v>
      </c>
      <c r="P393" s="1876">
        <f t="shared" si="84"/>
        <v>0</v>
      </c>
      <c r="Q393" s="1785">
        <f t="shared" si="85"/>
        <v>0</v>
      </c>
      <c r="R393" s="1787">
        <f t="shared" si="86"/>
        <v>4310.3144600000023</v>
      </c>
      <c r="S393" s="1786">
        <f t="shared" si="87"/>
        <v>0</v>
      </c>
      <c r="T393" s="1876">
        <f t="shared" si="88"/>
        <v>4137.2318599999999</v>
      </c>
      <c r="V393" s="1876">
        <v>3964149.2600000026</v>
      </c>
      <c r="W393" s="2001"/>
      <c r="X393" s="1876">
        <v>346165.2</v>
      </c>
      <c r="Y393" s="1785"/>
      <c r="Z393" s="1876">
        <v>0</v>
      </c>
      <c r="AA393" s="1786"/>
      <c r="AB393" s="1876">
        <v>0</v>
      </c>
      <c r="AC393" s="1786"/>
      <c r="AD393" s="1876">
        <v>0</v>
      </c>
      <c r="AE393" s="1787"/>
      <c r="AF393" s="1876">
        <v>0</v>
      </c>
      <c r="AG393" s="1785"/>
      <c r="AH393" s="1787">
        <v>4310314.4600000028</v>
      </c>
      <c r="AI393" s="1786"/>
      <c r="AJ393" s="1876">
        <v>4137231.86</v>
      </c>
    </row>
    <row r="394" spans="1:36">
      <c r="A394" s="1675">
        <v>40</v>
      </c>
      <c r="B394" s="2015"/>
      <c r="C394" s="2009">
        <v>35900</v>
      </c>
      <c r="D394" s="2040" t="s">
        <v>2541</v>
      </c>
      <c r="E394" s="1676"/>
      <c r="F394" s="1876">
        <f t="shared" si="89"/>
        <v>3556.8593080999999</v>
      </c>
      <c r="G394" s="2001">
        <f t="shared" si="75"/>
        <v>0</v>
      </c>
      <c r="H394" s="1876">
        <f t="shared" si="76"/>
        <v>356.44824999999997</v>
      </c>
      <c r="I394" s="1785">
        <f t="shared" si="77"/>
        <v>0</v>
      </c>
      <c r="J394" s="1876">
        <f t="shared" si="78"/>
        <v>13.61556</v>
      </c>
      <c r="K394" s="1786">
        <f t="shared" si="79"/>
        <v>0</v>
      </c>
      <c r="L394" s="1876">
        <f t="shared" si="80"/>
        <v>0.14077000000000001</v>
      </c>
      <c r="M394" s="1786">
        <f t="shared" si="81"/>
        <v>0</v>
      </c>
      <c r="N394" s="1876">
        <f t="shared" si="82"/>
        <v>0</v>
      </c>
      <c r="O394" s="1787">
        <f t="shared" si="83"/>
        <v>0</v>
      </c>
      <c r="P394" s="1876">
        <f t="shared" si="84"/>
        <v>0</v>
      </c>
      <c r="Q394" s="1785">
        <f t="shared" si="85"/>
        <v>0</v>
      </c>
      <c r="R394" s="1787">
        <f t="shared" si="86"/>
        <v>3927.0638881</v>
      </c>
      <c r="S394" s="1786">
        <f t="shared" si="87"/>
        <v>0</v>
      </c>
      <c r="T394" s="1876">
        <f t="shared" si="88"/>
        <v>3738.0785699999997</v>
      </c>
      <c r="V394" s="1876">
        <v>3556859.3081</v>
      </c>
      <c r="W394" s="2001"/>
      <c r="X394" s="1876">
        <v>356448.25</v>
      </c>
      <c r="Y394" s="1785"/>
      <c r="Z394" s="1876">
        <v>13615.56</v>
      </c>
      <c r="AA394" s="1786"/>
      <c r="AB394" s="1876">
        <v>140.77000000000001</v>
      </c>
      <c r="AC394" s="1786"/>
      <c r="AD394" s="1876">
        <v>0</v>
      </c>
      <c r="AE394" s="1787"/>
      <c r="AF394" s="1876">
        <v>0</v>
      </c>
      <c r="AG394" s="1785"/>
      <c r="AH394" s="1787">
        <v>3927063.8881000001</v>
      </c>
      <c r="AI394" s="1786"/>
      <c r="AJ394" s="1876">
        <v>3738078.57</v>
      </c>
    </row>
    <row r="395" spans="1:36" ht="15" thickBot="1">
      <c r="A395" s="1675">
        <v>41</v>
      </c>
      <c r="B395" s="2015"/>
      <c r="C395" s="2009"/>
      <c r="D395" s="1676" t="s">
        <v>2456</v>
      </c>
      <c r="E395" s="1676"/>
      <c r="F395" s="1798">
        <f t="shared" si="89"/>
        <v>304582.18604</v>
      </c>
      <c r="G395" s="2001">
        <f t="shared" si="75"/>
        <v>0</v>
      </c>
      <c r="H395" s="1798">
        <f t="shared" si="76"/>
        <v>34258.116600000001</v>
      </c>
      <c r="I395" s="1790">
        <f t="shared" si="77"/>
        <v>0</v>
      </c>
      <c r="J395" s="1798">
        <f t="shared" si="78"/>
        <v>-17107.140589999999</v>
      </c>
      <c r="K395" s="1790">
        <f t="shared" si="79"/>
        <v>0</v>
      </c>
      <c r="L395" s="1798">
        <f t="shared" si="80"/>
        <v>-2925.05044</v>
      </c>
      <c r="M395" s="1790">
        <f t="shared" si="81"/>
        <v>0</v>
      </c>
      <c r="N395" s="1798">
        <f t="shared" si="82"/>
        <v>0</v>
      </c>
      <c r="O395" s="1813">
        <f t="shared" si="83"/>
        <v>0</v>
      </c>
      <c r="P395" s="1798">
        <f t="shared" si="84"/>
        <v>0</v>
      </c>
      <c r="Q395" s="1790">
        <f t="shared" si="85"/>
        <v>0</v>
      </c>
      <c r="R395" s="1798">
        <f t="shared" si="86"/>
        <v>318808.1116100002</v>
      </c>
      <c r="S395" s="1790">
        <f t="shared" si="87"/>
        <v>0</v>
      </c>
      <c r="T395" s="1798">
        <f t="shared" si="88"/>
        <v>314672.16446999996</v>
      </c>
      <c r="V395" s="1798">
        <v>304582186.04000002</v>
      </c>
      <c r="W395" s="2001"/>
      <c r="X395" s="1798">
        <v>34258116.600000001</v>
      </c>
      <c r="Y395" s="1790"/>
      <c r="Z395" s="1798">
        <v>-17107140.59</v>
      </c>
      <c r="AA395" s="1790"/>
      <c r="AB395" s="1798">
        <v>-2925050.44</v>
      </c>
      <c r="AC395" s="1790"/>
      <c r="AD395" s="1798">
        <v>0</v>
      </c>
      <c r="AE395" s="1813"/>
      <c r="AF395" s="1798">
        <v>0</v>
      </c>
      <c r="AG395" s="1790"/>
      <c r="AH395" s="1798">
        <v>318808111.61000019</v>
      </c>
      <c r="AI395" s="1790"/>
      <c r="AJ395" s="1798">
        <v>314672164.46999997</v>
      </c>
    </row>
    <row r="396" spans="1:36" ht="15" thickTop="1">
      <c r="A396" s="1675">
        <v>42</v>
      </c>
      <c r="B396" s="2015"/>
      <c r="F396" s="1674">
        <f t="shared" si="89"/>
        <v>0</v>
      </c>
      <c r="G396" s="1674">
        <f t="shared" si="75"/>
        <v>0</v>
      </c>
      <c r="H396" s="1674">
        <f t="shared" si="76"/>
        <v>0</v>
      </c>
      <c r="I396" s="1674">
        <f t="shared" si="77"/>
        <v>0</v>
      </c>
      <c r="J396" s="1674">
        <f t="shared" si="78"/>
        <v>0</v>
      </c>
      <c r="K396" s="1674">
        <f t="shared" si="79"/>
        <v>0</v>
      </c>
      <c r="L396" s="1674">
        <f t="shared" si="80"/>
        <v>0</v>
      </c>
      <c r="M396" s="1674">
        <f t="shared" si="81"/>
        <v>0</v>
      </c>
      <c r="N396" s="1674">
        <f t="shared" si="82"/>
        <v>0</v>
      </c>
      <c r="O396" s="1674">
        <f t="shared" si="83"/>
        <v>0</v>
      </c>
      <c r="P396" s="1674">
        <f t="shared" si="84"/>
        <v>0</v>
      </c>
      <c r="Q396" s="2001">
        <f t="shared" si="85"/>
        <v>0</v>
      </c>
      <c r="R396" s="1674">
        <f t="shared" si="86"/>
        <v>0</v>
      </c>
      <c r="S396" s="1674">
        <f t="shared" si="87"/>
        <v>0</v>
      </c>
      <c r="T396" s="1674">
        <f t="shared" si="88"/>
        <v>0</v>
      </c>
      <c r="AG396" s="2001"/>
    </row>
    <row r="397" spans="1:36">
      <c r="A397" s="1675">
        <v>43</v>
      </c>
      <c r="B397" s="2015"/>
      <c r="F397" s="1674">
        <f t="shared" si="89"/>
        <v>0</v>
      </c>
      <c r="G397" s="1674">
        <f t="shared" si="75"/>
        <v>0</v>
      </c>
      <c r="H397" s="1674">
        <f t="shared" si="76"/>
        <v>0</v>
      </c>
      <c r="I397" s="1674">
        <f t="shared" si="77"/>
        <v>0</v>
      </c>
      <c r="J397" s="1674">
        <f t="shared" si="78"/>
        <v>0</v>
      </c>
      <c r="K397" s="1674">
        <f t="shared" si="79"/>
        <v>0</v>
      </c>
      <c r="L397" s="1674">
        <f t="shared" si="80"/>
        <v>0</v>
      </c>
      <c r="M397" s="1674">
        <f t="shared" si="81"/>
        <v>0</v>
      </c>
      <c r="N397" s="1674">
        <f t="shared" si="82"/>
        <v>0</v>
      </c>
      <c r="O397" s="1674">
        <f t="shared" si="83"/>
        <v>0</v>
      </c>
      <c r="P397" s="1674">
        <f t="shared" si="84"/>
        <v>0</v>
      </c>
      <c r="Q397" s="2001">
        <f t="shared" si="85"/>
        <v>0</v>
      </c>
      <c r="R397" s="1674">
        <f t="shared" si="86"/>
        <v>0</v>
      </c>
      <c r="S397" s="1674">
        <f t="shared" si="87"/>
        <v>0</v>
      </c>
      <c r="T397" s="1674">
        <f t="shared" si="88"/>
        <v>0</v>
      </c>
      <c r="AG397" s="2001"/>
    </row>
    <row r="398" spans="1:36" ht="15" thickBot="1">
      <c r="A398" s="2008">
        <v>44</v>
      </c>
      <c r="B398" s="1869" t="s">
        <v>2476</v>
      </c>
      <c r="C398" s="1997"/>
      <c r="D398" s="1997"/>
      <c r="E398" s="1997"/>
      <c r="F398" s="1997">
        <f t="shared" si="89"/>
        <v>0</v>
      </c>
      <c r="G398" s="1997">
        <f t="shared" si="75"/>
        <v>0</v>
      </c>
      <c r="H398" s="1997">
        <f t="shared" si="76"/>
        <v>0</v>
      </c>
      <c r="I398" s="1997">
        <f t="shared" si="77"/>
        <v>0</v>
      </c>
      <c r="J398" s="1997">
        <f t="shared" si="78"/>
        <v>0</v>
      </c>
      <c r="K398" s="1997">
        <f t="shared" si="79"/>
        <v>0</v>
      </c>
      <c r="L398" s="1997">
        <f t="shared" si="80"/>
        <v>0</v>
      </c>
      <c r="M398" s="1997">
        <f t="shared" si="81"/>
        <v>0</v>
      </c>
      <c r="N398" s="1997">
        <f t="shared" si="82"/>
        <v>0</v>
      </c>
      <c r="O398" s="1997">
        <f t="shared" si="83"/>
        <v>0</v>
      </c>
      <c r="P398" s="1997">
        <f t="shared" si="84"/>
        <v>0</v>
      </c>
      <c r="Q398" s="1998">
        <f t="shared" si="85"/>
        <v>0</v>
      </c>
      <c r="R398" s="1997">
        <f t="shared" si="86"/>
        <v>0</v>
      </c>
      <c r="S398" s="1997">
        <f t="shared" si="87"/>
        <v>0</v>
      </c>
      <c r="T398" s="1997">
        <f t="shared" si="88"/>
        <v>0</v>
      </c>
      <c r="V398" s="1997"/>
      <c r="W398" s="1997"/>
      <c r="X398" s="1997"/>
      <c r="Y398" s="1997"/>
      <c r="Z398" s="1997"/>
      <c r="AA398" s="1997"/>
      <c r="AB398" s="1997"/>
      <c r="AC398" s="1997"/>
      <c r="AD398" s="1997"/>
      <c r="AE398" s="1997"/>
      <c r="AF398" s="1997"/>
      <c r="AG398" s="1998"/>
      <c r="AH398" s="1997"/>
      <c r="AI398" s="1997"/>
      <c r="AJ398" s="1997"/>
    </row>
    <row r="399" spans="1:36">
      <c r="A399" s="1674" t="s">
        <v>8186</v>
      </c>
      <c r="F399" s="1674">
        <f t="shared" si="89"/>
        <v>0</v>
      </c>
      <c r="G399" s="1674">
        <f t="shared" si="75"/>
        <v>0</v>
      </c>
      <c r="H399" s="1674">
        <f t="shared" si="76"/>
        <v>0</v>
      </c>
      <c r="I399" s="1674">
        <f t="shared" si="77"/>
        <v>0</v>
      </c>
      <c r="J399" s="1674">
        <f t="shared" si="78"/>
        <v>0</v>
      </c>
      <c r="K399" s="1674">
        <f t="shared" si="79"/>
        <v>0</v>
      </c>
      <c r="L399" s="1674">
        <f t="shared" si="80"/>
        <v>0</v>
      </c>
      <c r="M399" s="1674">
        <f t="shared" si="81"/>
        <v>0</v>
      </c>
      <c r="N399" s="1674">
        <f t="shared" si="82"/>
        <v>0</v>
      </c>
      <c r="O399" s="1674">
        <f t="shared" si="83"/>
        <v>0</v>
      </c>
      <c r="P399" s="1674">
        <f t="shared" si="84"/>
        <v>0</v>
      </c>
      <c r="Q399" s="2001">
        <f t="shared" si="85"/>
        <v>0</v>
      </c>
      <c r="R399" s="1674" t="str">
        <f t="shared" si="86"/>
        <v>Recap Schedules:  B-03, B-06</v>
      </c>
      <c r="S399" s="1674">
        <f t="shared" si="87"/>
        <v>0</v>
      </c>
      <c r="T399" s="1674">
        <f t="shared" si="88"/>
        <v>0</v>
      </c>
      <c r="AG399" s="2001"/>
      <c r="AH399" s="1674" t="s">
        <v>8948</v>
      </c>
    </row>
    <row r="400" spans="1:36" ht="15" thickBot="1">
      <c r="A400" s="1997" t="s">
        <v>8952</v>
      </c>
      <c r="B400" s="1997"/>
      <c r="C400" s="1997"/>
      <c r="D400" s="1997"/>
      <c r="E400" s="1997"/>
      <c r="F400" s="1997" t="str">
        <f t="shared" si="89"/>
        <v>DEPRECIATION RESERVE BALANCES BY ACCOUNT AND SUB-ACCOUNT</v>
      </c>
      <c r="G400" s="1997">
        <f t="shared" si="75"/>
        <v>0</v>
      </c>
      <c r="H400" s="1997">
        <f t="shared" si="76"/>
        <v>0</v>
      </c>
      <c r="I400" s="1997">
        <f t="shared" si="77"/>
        <v>0</v>
      </c>
      <c r="J400" s="1997">
        <f t="shared" si="78"/>
        <v>0</v>
      </c>
      <c r="K400" s="1997">
        <f t="shared" si="79"/>
        <v>0</v>
      </c>
      <c r="L400" s="1997">
        <f t="shared" si="80"/>
        <v>0</v>
      </c>
      <c r="M400" s="1997">
        <f t="shared" si="81"/>
        <v>0</v>
      </c>
      <c r="N400" s="1997">
        <f t="shared" si="82"/>
        <v>0</v>
      </c>
      <c r="O400" s="1997">
        <f t="shared" si="83"/>
        <v>0</v>
      </c>
      <c r="P400" s="1997">
        <f t="shared" si="84"/>
        <v>0</v>
      </c>
      <c r="Q400" s="1998">
        <f t="shared" si="85"/>
        <v>0</v>
      </c>
      <c r="R400" s="1997">
        <f t="shared" si="86"/>
        <v>0</v>
      </c>
      <c r="S400" s="1997">
        <f t="shared" si="87"/>
        <v>0</v>
      </c>
      <c r="T400" s="1997" t="str">
        <f t="shared" si="88"/>
        <v>Page 8 of 10</v>
      </c>
      <c r="V400" s="1997" t="s">
        <v>2594</v>
      </c>
      <c r="W400" s="1997"/>
      <c r="X400" s="1997"/>
      <c r="Y400" s="1997"/>
      <c r="Z400" s="1997"/>
      <c r="AA400" s="1997"/>
      <c r="AB400" s="1997"/>
      <c r="AC400" s="1997"/>
      <c r="AD400" s="1997"/>
      <c r="AE400" s="1997"/>
      <c r="AF400" s="1997"/>
      <c r="AG400" s="1998"/>
      <c r="AH400" s="1997"/>
      <c r="AI400" s="1997"/>
      <c r="AJ400" s="1997" t="s">
        <v>2542</v>
      </c>
    </row>
    <row r="401" spans="1:36">
      <c r="A401" s="1674" t="s">
        <v>2425</v>
      </c>
      <c r="B401" s="2024"/>
      <c r="E401" s="2001" t="s">
        <v>2426</v>
      </c>
      <c r="F401" s="1674" t="str">
        <f t="shared" si="89"/>
        <v>Provide the depreciation reserve balances for each account or sub-account to which</v>
      </c>
      <c r="G401" s="1674">
        <f t="shared" ref="G401:G464" si="90">+IF(ISNUMBER(W401),W401/1000,W401)</f>
        <v>0</v>
      </c>
      <c r="H401" s="1674">
        <f t="shared" ref="H401:H464" si="91">+IF(ISNUMBER(X401),X401/1000,X401)</f>
        <v>0</v>
      </c>
      <c r="I401" s="1674">
        <f t="shared" ref="I401:I464" si="92">+IF(ISNUMBER(Y401),Y401/1000,Y401)</f>
        <v>0</v>
      </c>
      <c r="J401" s="2003">
        <f t="shared" ref="J401:J464" si="93">+IF(ISNUMBER(Z401),Z401/1000,Z401)</f>
        <v>0</v>
      </c>
      <c r="K401" s="2003">
        <f t="shared" ref="K401:K464" si="94">+IF(ISNUMBER(AA401),AA401/1000,AA401)</f>
        <v>0</v>
      </c>
      <c r="L401" s="1674">
        <f t="shared" ref="L401:L464" si="95">+IF(ISNUMBER(AB401),AB401/1000,AB401)</f>
        <v>0</v>
      </c>
      <c r="M401" s="2003">
        <f t="shared" ref="M401:M464" si="96">+IF(ISNUMBER(AC401),AC401/1000,AC401)</f>
        <v>0</v>
      </c>
      <c r="N401" s="2003">
        <f t="shared" ref="N401:N464" si="97">+IF(ISNUMBER(AD401),AD401/1000,AD401)</f>
        <v>0</v>
      </c>
      <c r="O401" s="2003">
        <f t="shared" ref="O401:O464" si="98">+IF(ISNUMBER(AE401),AE401/1000,AE401)</f>
        <v>0</v>
      </c>
      <c r="P401" s="2003">
        <f t="shared" ref="P401:P464" si="99">+IF(ISNUMBER(AF401),AF401/1000,AF401)</f>
        <v>0</v>
      </c>
      <c r="Q401" s="2004">
        <f t="shared" ref="Q401:Q464" si="100">+IF(ISNUMBER(AG401),AG401/1000,AG401)</f>
        <v>0</v>
      </c>
      <c r="R401" s="1674" t="str">
        <f t="shared" ref="R401:R464" si="101">+IF(ISNUMBER(AH401),AH401/1000,AH401)</f>
        <v>Type of data shown:</v>
      </c>
      <c r="S401" s="1674">
        <f t="shared" ref="S401:S464" si="102">+IF(ISNUMBER(AI401),AI401/1000,AI401)</f>
        <v>0</v>
      </c>
      <c r="T401" s="2005">
        <f t="shared" ref="T401:T464" si="103">+IF(ISNUMBER(AJ401),AJ401/1000,AJ401)</f>
        <v>0</v>
      </c>
      <c r="V401" s="1674" t="s">
        <v>2595</v>
      </c>
      <c r="Z401" s="2003"/>
      <c r="AA401" s="2003"/>
      <c r="AC401" s="2003"/>
      <c r="AD401" s="2003"/>
      <c r="AE401" s="2003"/>
      <c r="AF401" s="2003"/>
      <c r="AG401" s="2004"/>
      <c r="AH401" s="1674" t="s">
        <v>2427</v>
      </c>
      <c r="AJ401" s="2005"/>
    </row>
    <row r="402" spans="1:36">
      <c r="B402" s="2024"/>
      <c r="F402" s="1674" t="str">
        <f t="shared" ref="F402:F465" si="104">+IF(ISNUMBER(V402),V402/1000,V402)</f>
        <v>an individual depreciation rate is applied. (Include Amortization/Recovery amounts).</v>
      </c>
      <c r="G402" s="1674">
        <f t="shared" si="90"/>
        <v>0</v>
      </c>
      <c r="H402" s="1674">
        <f t="shared" si="91"/>
        <v>0</v>
      </c>
      <c r="I402" s="1674">
        <f t="shared" si="92"/>
        <v>0</v>
      </c>
      <c r="J402" s="2001">
        <f t="shared" si="93"/>
        <v>0</v>
      </c>
      <c r="K402" s="2005">
        <f t="shared" si="94"/>
        <v>0</v>
      </c>
      <c r="L402" s="1674">
        <f t="shared" si="95"/>
        <v>0</v>
      </c>
      <c r="M402" s="1674">
        <f t="shared" si="96"/>
        <v>0</v>
      </c>
      <c r="N402" s="2001">
        <f t="shared" si="97"/>
        <v>0</v>
      </c>
      <c r="O402" s="2001">
        <f t="shared" si="98"/>
        <v>0</v>
      </c>
      <c r="P402" s="2001">
        <f t="shared" si="99"/>
        <v>0</v>
      </c>
      <c r="Q402" s="2001" t="str">
        <f t="shared" si="100"/>
        <v>XX</v>
      </c>
      <c r="R402" s="2005" t="str">
        <f t="shared" si="101"/>
        <v>Projected Test Year Ended 12/31/2025</v>
      </c>
      <c r="S402" s="1674">
        <f t="shared" si="102"/>
        <v>0</v>
      </c>
      <c r="T402" s="2001">
        <f t="shared" si="103"/>
        <v>0</v>
      </c>
      <c r="V402" s="1674" t="s">
        <v>8185</v>
      </c>
      <c r="Z402" s="2001"/>
      <c r="AA402" s="2005"/>
      <c r="AD402" s="2001"/>
      <c r="AE402" s="2001"/>
      <c r="AF402" s="2001"/>
      <c r="AG402" s="2001" t="s">
        <v>8157</v>
      </c>
      <c r="AH402" s="2005" t="s">
        <v>8944</v>
      </c>
      <c r="AJ402" s="2001"/>
    </row>
    <row r="403" spans="1:36">
      <c r="A403" s="1674" t="s">
        <v>2428</v>
      </c>
      <c r="B403" s="2024"/>
      <c r="F403" s="1674" t="str">
        <f t="shared" si="104"/>
        <v/>
      </c>
      <c r="G403" s="1674">
        <f t="shared" si="90"/>
        <v>0</v>
      </c>
      <c r="H403" s="1674">
        <f t="shared" si="91"/>
        <v>0</v>
      </c>
      <c r="I403" s="1674">
        <f t="shared" si="92"/>
        <v>0</v>
      </c>
      <c r="J403" s="2001">
        <f t="shared" si="93"/>
        <v>0</v>
      </c>
      <c r="K403" s="2005">
        <f t="shared" si="94"/>
        <v>0</v>
      </c>
      <c r="L403" s="2001">
        <f t="shared" si="95"/>
        <v>0</v>
      </c>
      <c r="M403" s="1674">
        <f t="shared" si="96"/>
        <v>0</v>
      </c>
      <c r="N403" s="1674">
        <f t="shared" si="97"/>
        <v>0</v>
      </c>
      <c r="O403" s="1674">
        <f t="shared" si="98"/>
        <v>0</v>
      </c>
      <c r="P403" s="1674">
        <f t="shared" si="99"/>
        <v>0</v>
      </c>
      <c r="Q403" s="2001" t="str">
        <f t="shared" si="100"/>
        <v/>
      </c>
      <c r="R403" s="2005" t="str">
        <f t="shared" si="101"/>
        <v>Projected Prior Year Ended 12/31/2024</v>
      </c>
      <c r="S403" s="1674">
        <f t="shared" si="102"/>
        <v>0</v>
      </c>
      <c r="T403" s="2001">
        <f t="shared" si="103"/>
        <v>0</v>
      </c>
      <c r="V403" s="1674" t="s">
        <v>2360</v>
      </c>
      <c r="Z403" s="2001"/>
      <c r="AA403" s="2005"/>
      <c r="AB403" s="2001"/>
      <c r="AG403" s="2001" t="s">
        <v>2360</v>
      </c>
      <c r="AH403" s="2005" t="s">
        <v>8945</v>
      </c>
      <c r="AJ403" s="2001"/>
    </row>
    <row r="404" spans="1:36">
      <c r="B404" s="2024"/>
      <c r="F404" s="1674" t="str">
        <f t="shared" si="104"/>
        <v/>
      </c>
      <c r="G404" s="1674">
        <f t="shared" si="90"/>
        <v>0</v>
      </c>
      <c r="H404" s="1674">
        <f t="shared" si="91"/>
        <v>0</v>
      </c>
      <c r="I404" s="1674">
        <f t="shared" si="92"/>
        <v>0</v>
      </c>
      <c r="J404" s="2001">
        <f t="shared" si="93"/>
        <v>0</v>
      </c>
      <c r="K404" s="2005">
        <f t="shared" si="94"/>
        <v>0</v>
      </c>
      <c r="L404" s="2001">
        <f t="shared" si="95"/>
        <v>0</v>
      </c>
      <c r="M404" s="1674">
        <f t="shared" si="96"/>
        <v>0</v>
      </c>
      <c r="N404" s="1674">
        <f t="shared" si="97"/>
        <v>0</v>
      </c>
      <c r="O404" s="1674">
        <f t="shared" si="98"/>
        <v>0</v>
      </c>
      <c r="P404" s="1674">
        <f t="shared" si="99"/>
        <v>0</v>
      </c>
      <c r="Q404" s="2001" t="str">
        <f t="shared" si="100"/>
        <v/>
      </c>
      <c r="R404" s="2005" t="str">
        <f t="shared" si="101"/>
        <v>Historical Prior Year Ended 12/31/2023</v>
      </c>
      <c r="S404" s="1674">
        <f t="shared" si="102"/>
        <v>0</v>
      </c>
      <c r="T404" s="2001">
        <f t="shared" si="103"/>
        <v>0</v>
      </c>
      <c r="V404" s="1674" t="s">
        <v>2360</v>
      </c>
      <c r="Z404" s="2001"/>
      <c r="AA404" s="2005"/>
      <c r="AB404" s="2001"/>
      <c r="AG404" s="2001" t="s">
        <v>2360</v>
      </c>
      <c r="AH404" s="2005" t="s">
        <v>8946</v>
      </c>
      <c r="AJ404" s="2001"/>
    </row>
    <row r="405" spans="1:36">
      <c r="B405" s="2024"/>
      <c r="F405" s="1674">
        <f t="shared" si="104"/>
        <v>0</v>
      </c>
      <c r="G405" s="1674">
        <f t="shared" si="90"/>
        <v>0</v>
      </c>
      <c r="H405" s="1674">
        <f t="shared" si="91"/>
        <v>0</v>
      </c>
      <c r="I405" s="1674">
        <f t="shared" si="92"/>
        <v>0</v>
      </c>
      <c r="J405" s="2001">
        <f t="shared" si="93"/>
        <v>0</v>
      </c>
      <c r="K405" s="2005">
        <f t="shared" si="94"/>
        <v>0</v>
      </c>
      <c r="L405" s="2001">
        <f t="shared" si="95"/>
        <v>0</v>
      </c>
      <c r="M405" s="1674">
        <f t="shared" si="96"/>
        <v>0</v>
      </c>
      <c r="N405" s="1674">
        <f t="shared" si="97"/>
        <v>0</v>
      </c>
      <c r="O405" s="1674">
        <f t="shared" si="98"/>
        <v>0</v>
      </c>
      <c r="P405" s="1674">
        <f t="shared" si="99"/>
        <v>0</v>
      </c>
      <c r="Q405" s="2001">
        <f t="shared" si="100"/>
        <v>0</v>
      </c>
      <c r="R405" s="2005" t="str">
        <f t="shared" si="101"/>
        <v>Witness: D. Avellan</v>
      </c>
      <c r="S405" s="1674">
        <f t="shared" si="102"/>
        <v>0</v>
      </c>
      <c r="T405" s="2001">
        <f t="shared" si="103"/>
        <v>0</v>
      </c>
      <c r="Z405" s="2001"/>
      <c r="AA405" s="2005"/>
      <c r="AB405" s="2001"/>
      <c r="AG405" s="2001"/>
      <c r="AH405" s="2005" t="s">
        <v>8160</v>
      </c>
      <c r="AJ405" s="2001"/>
    </row>
    <row r="406" spans="1:36" ht="15" thickBot="1">
      <c r="A406" s="1997" t="s">
        <v>8158</v>
      </c>
      <c r="B406" s="2025"/>
      <c r="C406" s="1997"/>
      <c r="D406" s="1997"/>
      <c r="E406" s="1997"/>
      <c r="F406" s="1997" t="str">
        <f t="shared" si="104"/>
        <v/>
      </c>
      <c r="G406" s="1997">
        <f t="shared" si="90"/>
        <v>0</v>
      </c>
      <c r="H406" s="2008" t="str">
        <f t="shared" si="91"/>
        <v>(Dollars in cents)</v>
      </c>
      <c r="I406" s="1997">
        <f t="shared" si="92"/>
        <v>0</v>
      </c>
      <c r="J406" s="1997">
        <f t="shared" si="93"/>
        <v>0</v>
      </c>
      <c r="K406" s="1997">
        <f t="shared" si="94"/>
        <v>0</v>
      </c>
      <c r="L406" s="1997">
        <f t="shared" si="95"/>
        <v>0</v>
      </c>
      <c r="M406" s="1997">
        <f t="shared" si="96"/>
        <v>0</v>
      </c>
      <c r="N406" s="1997">
        <f t="shared" si="97"/>
        <v>0</v>
      </c>
      <c r="O406" s="1997">
        <f t="shared" si="98"/>
        <v>0</v>
      </c>
      <c r="P406" s="1997">
        <f t="shared" si="99"/>
        <v>0</v>
      </c>
      <c r="Q406" s="1998">
        <f t="shared" si="100"/>
        <v>0</v>
      </c>
      <c r="R406" s="1997" t="str">
        <f t="shared" si="101"/>
        <v xml:space="preserve"> </v>
      </c>
      <c r="S406" s="1997">
        <f t="shared" si="102"/>
        <v>0</v>
      </c>
      <c r="T406" s="1997">
        <f t="shared" si="103"/>
        <v>0</v>
      </c>
      <c r="V406" s="1997" t="s">
        <v>2360</v>
      </c>
      <c r="W406" s="1997"/>
      <c r="X406" s="2008" t="s">
        <v>8159</v>
      </c>
      <c r="Y406" s="1997"/>
      <c r="Z406" s="1997"/>
      <c r="AA406" s="1997"/>
      <c r="AB406" s="1997"/>
      <c r="AC406" s="1997"/>
      <c r="AD406" s="1997"/>
      <c r="AE406" s="1997"/>
      <c r="AF406" s="1997"/>
      <c r="AG406" s="1998"/>
      <c r="AH406" s="1997" t="s">
        <v>2477</v>
      </c>
      <c r="AI406" s="1997"/>
      <c r="AJ406" s="1997"/>
    </row>
    <row r="407" spans="1:36">
      <c r="C407" s="2009"/>
      <c r="D407" s="2009"/>
      <c r="E407" s="2009"/>
      <c r="F407" s="2009">
        <f t="shared" si="104"/>
        <v>0</v>
      </c>
      <c r="G407" s="2009">
        <f t="shared" si="90"/>
        <v>0</v>
      </c>
      <c r="H407" s="2009">
        <f t="shared" si="91"/>
        <v>0</v>
      </c>
      <c r="I407" s="2009">
        <f t="shared" si="92"/>
        <v>0</v>
      </c>
      <c r="J407" s="2009">
        <f t="shared" si="93"/>
        <v>0</v>
      </c>
      <c r="K407" s="2009">
        <f t="shared" si="94"/>
        <v>0</v>
      </c>
      <c r="L407" s="2009">
        <f t="shared" si="95"/>
        <v>0</v>
      </c>
      <c r="M407" s="2009">
        <f t="shared" si="96"/>
        <v>0</v>
      </c>
      <c r="N407" s="2009">
        <f t="shared" si="97"/>
        <v>0</v>
      </c>
      <c r="O407" s="2009">
        <f t="shared" si="98"/>
        <v>0</v>
      </c>
      <c r="P407" s="2009">
        <f t="shared" si="99"/>
        <v>0</v>
      </c>
      <c r="Q407" s="2010">
        <f t="shared" si="100"/>
        <v>0</v>
      </c>
      <c r="R407" s="2009">
        <f t="shared" si="101"/>
        <v>0</v>
      </c>
      <c r="S407" s="2009">
        <f t="shared" si="102"/>
        <v>0</v>
      </c>
      <c r="T407" s="2009">
        <f t="shared" si="103"/>
        <v>0</v>
      </c>
      <c r="V407" s="2009"/>
      <c r="W407" s="2009"/>
      <c r="X407" s="2009"/>
      <c r="Y407" s="2009"/>
      <c r="Z407" s="2009"/>
      <c r="AA407" s="2009"/>
      <c r="AB407" s="2009"/>
      <c r="AC407" s="2009"/>
      <c r="AD407" s="2009"/>
      <c r="AE407" s="2009"/>
      <c r="AF407" s="2009"/>
      <c r="AG407" s="2010"/>
      <c r="AH407" s="2009"/>
      <c r="AI407" s="2009"/>
      <c r="AJ407" s="2009"/>
    </row>
    <row r="408" spans="1:36">
      <c r="C408" s="2009" t="s">
        <v>2306</v>
      </c>
      <c r="D408" s="2009" t="s">
        <v>2307</v>
      </c>
      <c r="E408" s="2009"/>
      <c r="F408" s="2009" t="str">
        <f t="shared" si="104"/>
        <v>(3)</v>
      </c>
      <c r="G408" s="2009">
        <f t="shared" si="90"/>
        <v>0</v>
      </c>
      <c r="H408" s="2009" t="str">
        <f t="shared" si="91"/>
        <v>(4)</v>
      </c>
      <c r="I408" s="2009">
        <f t="shared" si="92"/>
        <v>0</v>
      </c>
      <c r="J408" s="1675" t="str">
        <f t="shared" si="93"/>
        <v>(5)</v>
      </c>
      <c r="K408" s="1675">
        <f t="shared" si="94"/>
        <v>0</v>
      </c>
      <c r="L408" s="2009" t="str">
        <f t="shared" si="95"/>
        <v>(6)</v>
      </c>
      <c r="M408" s="2009">
        <f t="shared" si="96"/>
        <v>0</v>
      </c>
      <c r="N408" s="2009" t="str">
        <f t="shared" si="97"/>
        <v>(7)</v>
      </c>
      <c r="O408" s="2009">
        <f t="shared" si="98"/>
        <v>0</v>
      </c>
      <c r="P408" s="2009" t="str">
        <f t="shared" si="99"/>
        <v>(8)</v>
      </c>
      <c r="Q408" s="2010">
        <f t="shared" si="100"/>
        <v>0</v>
      </c>
      <c r="R408" s="2009" t="str">
        <f t="shared" si="101"/>
        <v>(9)</v>
      </c>
      <c r="S408" s="2009">
        <f t="shared" si="102"/>
        <v>0</v>
      </c>
      <c r="T408" s="2009" t="str">
        <f t="shared" si="103"/>
        <v>(10)</v>
      </c>
      <c r="V408" s="2009" t="s">
        <v>2308</v>
      </c>
      <c r="W408" s="2009"/>
      <c r="X408" s="2009" t="s">
        <v>2309</v>
      </c>
      <c r="Y408" s="2009"/>
      <c r="Z408" s="1675" t="s">
        <v>2310</v>
      </c>
      <c r="AA408" s="1675"/>
      <c r="AB408" s="2009" t="s">
        <v>2311</v>
      </c>
      <c r="AC408" s="2009"/>
      <c r="AD408" s="2009" t="s">
        <v>2312</v>
      </c>
      <c r="AE408" s="2009"/>
      <c r="AF408" s="2009" t="s">
        <v>2313</v>
      </c>
      <c r="AG408" s="2010"/>
      <c r="AH408" s="2009" t="s">
        <v>2314</v>
      </c>
      <c r="AI408" s="2009"/>
      <c r="AJ408" s="2009" t="s">
        <v>2361</v>
      </c>
    </row>
    <row r="409" spans="1:36">
      <c r="C409" s="1675" t="s">
        <v>2429</v>
      </c>
      <c r="D409" s="1675" t="s">
        <v>2429</v>
      </c>
      <c r="F409" s="1675" t="str">
        <f t="shared" si="104"/>
        <v>Accumulated</v>
      </c>
      <c r="G409" s="1675">
        <f t="shared" si="90"/>
        <v>0</v>
      </c>
      <c r="H409" s="2009" t="str">
        <f t="shared" si="91"/>
        <v>Total</v>
      </c>
      <c r="I409" s="1675">
        <f t="shared" si="92"/>
        <v>0</v>
      </c>
      <c r="J409" s="2009">
        <f t="shared" si="93"/>
        <v>0</v>
      </c>
      <c r="K409" s="1675">
        <f t="shared" si="94"/>
        <v>0</v>
      </c>
      <c r="L409" s="1675">
        <f t="shared" si="95"/>
        <v>0</v>
      </c>
      <c r="M409" s="1675">
        <f t="shared" si="96"/>
        <v>0</v>
      </c>
      <c r="N409" s="1674">
        <f t="shared" si="97"/>
        <v>0</v>
      </c>
      <c r="O409" s="1674">
        <f t="shared" si="98"/>
        <v>0</v>
      </c>
      <c r="P409" s="1674">
        <f t="shared" si="99"/>
        <v>0</v>
      </c>
      <c r="Q409" s="2001">
        <f t="shared" si="100"/>
        <v>0</v>
      </c>
      <c r="R409" s="1675" t="str">
        <f t="shared" si="101"/>
        <v>Accumulated</v>
      </c>
      <c r="S409" s="1674">
        <f t="shared" si="102"/>
        <v>0</v>
      </c>
      <c r="T409" s="1675">
        <f t="shared" si="103"/>
        <v>0</v>
      </c>
      <c r="V409" s="1675" t="s">
        <v>2315</v>
      </c>
      <c r="W409" s="1675"/>
      <c r="X409" s="2009" t="s">
        <v>122</v>
      </c>
      <c r="Y409" s="1675"/>
      <c r="Z409" s="2009"/>
      <c r="AA409" s="1675"/>
      <c r="AB409" s="1675"/>
      <c r="AC409" s="1675"/>
      <c r="AG409" s="2001"/>
      <c r="AH409" s="1675" t="s">
        <v>2315</v>
      </c>
      <c r="AJ409" s="1675"/>
    </row>
    <row r="410" spans="1:36">
      <c r="A410" s="1675" t="s">
        <v>2430</v>
      </c>
      <c r="B410" s="1675"/>
      <c r="C410" s="1675" t="s">
        <v>2431</v>
      </c>
      <c r="D410" s="1675" t="s">
        <v>2431</v>
      </c>
      <c r="E410" s="2009"/>
      <c r="F410" s="1675" t="str">
        <f t="shared" si="104"/>
        <v>Depreciation</v>
      </c>
      <c r="G410" s="1675">
        <f t="shared" si="90"/>
        <v>0</v>
      </c>
      <c r="H410" s="1675" t="str">
        <f t="shared" si="91"/>
        <v>Depreciation</v>
      </c>
      <c r="I410" s="1675">
        <f t="shared" si="92"/>
        <v>0</v>
      </c>
      <c r="J410" s="1675">
        <f t="shared" si="93"/>
        <v>0</v>
      </c>
      <c r="K410" s="2009">
        <f t="shared" si="94"/>
        <v>0</v>
      </c>
      <c r="L410" s="1675" t="str">
        <f t="shared" si="95"/>
        <v>Gross</v>
      </c>
      <c r="M410" s="2005">
        <f t="shared" si="96"/>
        <v>0</v>
      </c>
      <c r="N410" s="1675" t="str">
        <f t="shared" si="97"/>
        <v>Gross</v>
      </c>
      <c r="O410" s="1675">
        <f t="shared" si="98"/>
        <v>0</v>
      </c>
      <c r="P410" s="1675" t="str">
        <f t="shared" si="99"/>
        <v>Adjustments</v>
      </c>
      <c r="Q410" s="2010">
        <f t="shared" si="100"/>
        <v>0</v>
      </c>
      <c r="R410" s="2009" t="str">
        <f t="shared" si="101"/>
        <v>Depreciation</v>
      </c>
      <c r="S410" s="2009">
        <f t="shared" si="102"/>
        <v>0</v>
      </c>
      <c r="T410" s="1675" t="str">
        <f t="shared" si="103"/>
        <v>13-Month</v>
      </c>
      <c r="V410" s="1675" t="s">
        <v>1537</v>
      </c>
      <c r="W410" s="1675"/>
      <c r="X410" s="1675" t="s">
        <v>1537</v>
      </c>
      <c r="Y410" s="1675"/>
      <c r="Z410" s="1675"/>
      <c r="AA410" s="2009"/>
      <c r="AB410" s="1675" t="s">
        <v>2596</v>
      </c>
      <c r="AC410" s="2005"/>
      <c r="AD410" s="1675" t="s">
        <v>2596</v>
      </c>
      <c r="AE410" s="1675"/>
      <c r="AF410" s="1675" t="s">
        <v>593</v>
      </c>
      <c r="AG410" s="2010"/>
      <c r="AH410" s="2009" t="s">
        <v>1537</v>
      </c>
      <c r="AI410" s="2009"/>
      <c r="AJ410" s="1675" t="s">
        <v>2434</v>
      </c>
    </row>
    <row r="411" spans="1:36" ht="15" thickBot="1">
      <c r="A411" s="2008" t="s">
        <v>2435</v>
      </c>
      <c r="B411" s="2008"/>
      <c r="C411" s="2008" t="s">
        <v>2436</v>
      </c>
      <c r="D411" s="2008" t="s">
        <v>2437</v>
      </c>
      <c r="E411" s="2008"/>
      <c r="F411" s="2011" t="str">
        <f t="shared" si="104"/>
        <v>Beg. of Year</v>
      </c>
      <c r="G411" s="2011">
        <f t="shared" si="90"/>
        <v>0</v>
      </c>
      <c r="H411" s="2011" t="str">
        <f t="shared" si="91"/>
        <v>Accrued</v>
      </c>
      <c r="I411" s="2012">
        <f t="shared" si="92"/>
        <v>0</v>
      </c>
      <c r="J411" s="2011" t="str">
        <f t="shared" si="93"/>
        <v>Retirements</v>
      </c>
      <c r="K411" s="2012">
        <f t="shared" si="94"/>
        <v>0</v>
      </c>
      <c r="L411" s="2012" t="str">
        <f t="shared" si="95"/>
        <v>COR</v>
      </c>
      <c r="M411" s="2013">
        <f t="shared" si="96"/>
        <v>0</v>
      </c>
      <c r="N411" s="2013" t="str">
        <f t="shared" si="97"/>
        <v>Salvage</v>
      </c>
      <c r="O411" s="2013">
        <f t="shared" si="98"/>
        <v>0</v>
      </c>
      <c r="P411" s="2013" t="str">
        <f t="shared" si="99"/>
        <v>or Transfers</v>
      </c>
      <c r="Q411" s="2014">
        <f t="shared" si="100"/>
        <v>0</v>
      </c>
      <c r="R411" s="2013" t="str">
        <f t="shared" si="101"/>
        <v>End of Year</v>
      </c>
      <c r="S411" s="2013">
        <f t="shared" si="102"/>
        <v>0</v>
      </c>
      <c r="T411" s="2013" t="str">
        <f t="shared" si="103"/>
        <v>Average</v>
      </c>
      <c r="V411" s="2011" t="s">
        <v>2439</v>
      </c>
      <c r="W411" s="2011"/>
      <c r="X411" s="2011" t="s">
        <v>2597</v>
      </c>
      <c r="Y411" s="2012"/>
      <c r="Z411" s="2011" t="s">
        <v>1535</v>
      </c>
      <c r="AA411" s="2012"/>
      <c r="AB411" s="2012" t="s">
        <v>2598</v>
      </c>
      <c r="AC411" s="2013"/>
      <c r="AD411" s="2013" t="s">
        <v>2599</v>
      </c>
      <c r="AE411" s="2013"/>
      <c r="AF411" s="2013" t="s">
        <v>2442</v>
      </c>
      <c r="AG411" s="2014"/>
      <c r="AH411" s="2013" t="s">
        <v>2443</v>
      </c>
      <c r="AI411" s="2013"/>
      <c r="AJ411" s="2013" t="s">
        <v>2444</v>
      </c>
    </row>
    <row r="412" spans="1:36">
      <c r="A412" s="1675">
        <v>1</v>
      </c>
      <c r="B412" s="1675"/>
      <c r="F412" s="1674">
        <f t="shared" si="104"/>
        <v>0</v>
      </c>
      <c r="G412" s="1674">
        <f t="shared" si="90"/>
        <v>0</v>
      </c>
      <c r="H412" s="1674">
        <f t="shared" si="91"/>
        <v>0</v>
      </c>
      <c r="I412" s="1674">
        <f t="shared" si="92"/>
        <v>0</v>
      </c>
      <c r="J412" s="1674">
        <f t="shared" si="93"/>
        <v>0</v>
      </c>
      <c r="K412" s="1674">
        <f t="shared" si="94"/>
        <v>0</v>
      </c>
      <c r="L412" s="1674">
        <f t="shared" si="95"/>
        <v>0</v>
      </c>
      <c r="M412" s="1674">
        <f t="shared" si="96"/>
        <v>0</v>
      </c>
      <c r="N412" s="1674">
        <f t="shared" si="97"/>
        <v>0</v>
      </c>
      <c r="O412" s="1674">
        <f t="shared" si="98"/>
        <v>0</v>
      </c>
      <c r="P412" s="1674">
        <f t="shared" si="99"/>
        <v>0</v>
      </c>
      <c r="Q412" s="2001">
        <f t="shared" si="100"/>
        <v>0</v>
      </c>
      <c r="R412" s="1674">
        <f t="shared" si="101"/>
        <v>0</v>
      </c>
      <c r="S412" s="1674">
        <f t="shared" si="102"/>
        <v>0</v>
      </c>
      <c r="T412" s="1674">
        <f t="shared" si="103"/>
        <v>0</v>
      </c>
      <c r="AG412" s="2001"/>
    </row>
    <row r="413" spans="1:36">
      <c r="A413" s="1675">
        <v>2</v>
      </c>
      <c r="B413" s="2015"/>
      <c r="C413" s="2019"/>
      <c r="D413" s="1674" t="s">
        <v>2543</v>
      </c>
      <c r="F413" s="2023">
        <f t="shared" si="104"/>
        <v>0</v>
      </c>
      <c r="G413" s="1674">
        <f t="shared" si="90"/>
        <v>0</v>
      </c>
      <c r="H413" s="2041">
        <f t="shared" si="91"/>
        <v>0</v>
      </c>
      <c r="I413" s="2041">
        <f t="shared" si="92"/>
        <v>0</v>
      </c>
      <c r="J413" s="2041">
        <f t="shared" si="93"/>
        <v>0</v>
      </c>
      <c r="K413" s="2041">
        <f t="shared" si="94"/>
        <v>0</v>
      </c>
      <c r="L413" s="2041">
        <f t="shared" si="95"/>
        <v>0</v>
      </c>
      <c r="M413" s="2041">
        <f t="shared" si="96"/>
        <v>0</v>
      </c>
      <c r="N413" s="2041">
        <f t="shared" si="97"/>
        <v>0</v>
      </c>
      <c r="O413" s="2041">
        <f t="shared" si="98"/>
        <v>0</v>
      </c>
      <c r="P413" s="2041">
        <f t="shared" si="99"/>
        <v>0</v>
      </c>
      <c r="Q413" s="2042">
        <f t="shared" si="100"/>
        <v>0</v>
      </c>
      <c r="R413" s="2041">
        <f t="shared" si="101"/>
        <v>0</v>
      </c>
      <c r="S413" s="2041">
        <f t="shared" si="102"/>
        <v>0</v>
      </c>
      <c r="T413" s="1800">
        <f t="shared" si="103"/>
        <v>0</v>
      </c>
      <c r="V413" s="2023"/>
      <c r="X413" s="2041"/>
      <c r="Y413" s="2041"/>
      <c r="Z413" s="2041"/>
      <c r="AA413" s="2041"/>
      <c r="AB413" s="2041"/>
      <c r="AC413" s="2041"/>
      <c r="AD413" s="2041"/>
      <c r="AE413" s="2041"/>
      <c r="AF413" s="2041"/>
      <c r="AG413" s="2042"/>
      <c r="AH413" s="2041"/>
      <c r="AI413" s="2041"/>
      <c r="AJ413" s="1800"/>
    </row>
    <row r="414" spans="1:36">
      <c r="A414" s="1675">
        <v>3</v>
      </c>
      <c r="B414" s="2015"/>
      <c r="C414" s="1675">
        <v>36001</v>
      </c>
      <c r="D414" s="2040" t="s">
        <v>2532</v>
      </c>
      <c r="E414" s="1676"/>
      <c r="F414" s="2023">
        <f t="shared" si="104"/>
        <v>0</v>
      </c>
      <c r="G414" s="2001">
        <f t="shared" si="90"/>
        <v>0</v>
      </c>
      <c r="H414" s="1787">
        <f t="shared" si="91"/>
        <v>0</v>
      </c>
      <c r="I414" s="1790">
        <f t="shared" si="92"/>
        <v>0</v>
      </c>
      <c r="J414" s="1787">
        <f t="shared" si="93"/>
        <v>0</v>
      </c>
      <c r="K414" s="1790">
        <f t="shared" si="94"/>
        <v>0</v>
      </c>
      <c r="L414" s="1787">
        <f t="shared" si="95"/>
        <v>0</v>
      </c>
      <c r="M414" s="1790">
        <f t="shared" si="96"/>
        <v>0</v>
      </c>
      <c r="N414" s="1787">
        <f t="shared" si="97"/>
        <v>0</v>
      </c>
      <c r="O414" s="1787">
        <f t="shared" si="98"/>
        <v>0</v>
      </c>
      <c r="P414" s="1787">
        <f t="shared" si="99"/>
        <v>0</v>
      </c>
      <c r="Q414" s="1790">
        <f t="shared" si="100"/>
        <v>0</v>
      </c>
      <c r="R414" s="1787">
        <f t="shared" si="101"/>
        <v>0</v>
      </c>
      <c r="S414" s="1790">
        <f t="shared" si="102"/>
        <v>0</v>
      </c>
      <c r="T414" s="1787">
        <f t="shared" si="103"/>
        <v>0</v>
      </c>
      <c r="V414" s="2023"/>
      <c r="W414" s="2001"/>
      <c r="X414" s="1787"/>
      <c r="Y414" s="1790"/>
      <c r="Z414" s="1787"/>
      <c r="AA414" s="1790"/>
      <c r="AB414" s="1787"/>
      <c r="AC414" s="1790"/>
      <c r="AD414" s="1787"/>
      <c r="AE414" s="1787"/>
      <c r="AF414" s="1787"/>
      <c r="AG414" s="1790"/>
      <c r="AH414" s="1787"/>
      <c r="AI414" s="1790"/>
      <c r="AJ414" s="1787"/>
    </row>
    <row r="415" spans="1:36">
      <c r="A415" s="1675">
        <v>4</v>
      </c>
      <c r="B415" s="2015"/>
      <c r="C415" s="1675">
        <v>36100</v>
      </c>
      <c r="D415" s="2038" t="s">
        <v>2533</v>
      </c>
      <c r="F415" s="1876">
        <f t="shared" si="104"/>
        <v>9856.4953399999995</v>
      </c>
      <c r="G415" s="2001">
        <f t="shared" si="90"/>
        <v>0</v>
      </c>
      <c r="H415" s="1876">
        <f t="shared" si="91"/>
        <v>880.77323999999999</v>
      </c>
      <c r="I415" s="1785">
        <f t="shared" si="92"/>
        <v>0</v>
      </c>
      <c r="J415" s="1876">
        <f t="shared" si="93"/>
        <v>0</v>
      </c>
      <c r="K415" s="1786">
        <f t="shared" si="94"/>
        <v>0</v>
      </c>
      <c r="L415" s="1876">
        <f t="shared" si="95"/>
        <v>0</v>
      </c>
      <c r="M415" s="1786">
        <f t="shared" si="96"/>
        <v>0</v>
      </c>
      <c r="N415" s="1876">
        <f t="shared" si="97"/>
        <v>0</v>
      </c>
      <c r="O415" s="1787">
        <f t="shared" si="98"/>
        <v>0</v>
      </c>
      <c r="P415" s="1876">
        <f t="shared" si="99"/>
        <v>0</v>
      </c>
      <c r="Q415" s="1785">
        <f t="shared" si="100"/>
        <v>0</v>
      </c>
      <c r="R415" s="1787">
        <f t="shared" si="101"/>
        <v>10737.26858</v>
      </c>
      <c r="S415" s="1786">
        <f t="shared" si="102"/>
        <v>0</v>
      </c>
      <c r="T415" s="1876">
        <f t="shared" si="103"/>
        <v>10296.881960000001</v>
      </c>
      <c r="V415" s="1876">
        <v>9856495.3399999999</v>
      </c>
      <c r="W415" s="2001"/>
      <c r="X415" s="1876">
        <v>880773.24</v>
      </c>
      <c r="Y415" s="1785"/>
      <c r="Z415" s="1876">
        <v>0</v>
      </c>
      <c r="AA415" s="1786"/>
      <c r="AB415" s="1876">
        <v>0</v>
      </c>
      <c r="AC415" s="1786"/>
      <c r="AD415" s="1876">
        <v>0</v>
      </c>
      <c r="AE415" s="1787"/>
      <c r="AF415" s="1876">
        <v>0</v>
      </c>
      <c r="AG415" s="1785"/>
      <c r="AH415" s="1787">
        <v>10737268.58</v>
      </c>
      <c r="AI415" s="1786"/>
      <c r="AJ415" s="1876">
        <v>10296881.960000001</v>
      </c>
    </row>
    <row r="416" spans="1:36">
      <c r="A416" s="1675">
        <v>5</v>
      </c>
      <c r="B416" s="2015"/>
      <c r="C416" s="1675">
        <v>36200</v>
      </c>
      <c r="D416" s="2038" t="s">
        <v>2534</v>
      </c>
      <c r="F416" s="1876">
        <f t="shared" si="104"/>
        <v>79369.59086720011</v>
      </c>
      <c r="G416" s="2001">
        <f t="shared" si="90"/>
        <v>0</v>
      </c>
      <c r="H416" s="1876">
        <f t="shared" si="91"/>
        <v>9114.2612100000006</v>
      </c>
      <c r="I416" s="1785">
        <f t="shared" si="92"/>
        <v>0</v>
      </c>
      <c r="J416" s="1876">
        <f t="shared" si="93"/>
        <v>-1848.8689099999999</v>
      </c>
      <c r="K416" s="1786">
        <f t="shared" si="94"/>
        <v>0</v>
      </c>
      <c r="L416" s="1876">
        <f t="shared" si="95"/>
        <v>-1406.79422</v>
      </c>
      <c r="M416" s="1786">
        <f t="shared" si="96"/>
        <v>0</v>
      </c>
      <c r="N416" s="1876">
        <f t="shared" si="97"/>
        <v>271.25022999999999</v>
      </c>
      <c r="O416" s="1787">
        <f t="shared" si="98"/>
        <v>0</v>
      </c>
      <c r="P416" s="1876">
        <f t="shared" si="99"/>
        <v>0</v>
      </c>
      <c r="Q416" s="1785">
        <f t="shared" si="100"/>
        <v>0</v>
      </c>
      <c r="R416" s="1787">
        <f t="shared" si="101"/>
        <v>85499.439177200125</v>
      </c>
      <c r="S416" s="1786">
        <f t="shared" si="102"/>
        <v>0</v>
      </c>
      <c r="T416" s="1876">
        <f t="shared" si="103"/>
        <v>82677.37148999999</v>
      </c>
      <c r="V416" s="1876">
        <v>79369590.867200106</v>
      </c>
      <c r="W416" s="2001"/>
      <c r="X416" s="1876">
        <v>9114261.2100000009</v>
      </c>
      <c r="Y416" s="1785"/>
      <c r="Z416" s="1876">
        <v>-1848868.91</v>
      </c>
      <c r="AA416" s="1786"/>
      <c r="AB416" s="1876">
        <v>-1406794.22</v>
      </c>
      <c r="AC416" s="1786"/>
      <c r="AD416" s="1876">
        <v>271250.23</v>
      </c>
      <c r="AE416" s="1787"/>
      <c r="AF416" s="1876">
        <v>0</v>
      </c>
      <c r="AG416" s="1785"/>
      <c r="AH416" s="1787">
        <v>85499439.177200124</v>
      </c>
      <c r="AI416" s="1786"/>
      <c r="AJ416" s="1876">
        <v>82677371.489999995</v>
      </c>
    </row>
    <row r="417" spans="1:36">
      <c r="A417" s="1675">
        <v>6</v>
      </c>
      <c r="B417" s="2015"/>
      <c r="C417" s="1675">
        <v>36300</v>
      </c>
      <c r="D417" s="1674" t="s">
        <v>8179</v>
      </c>
      <c r="F417" s="1876">
        <f t="shared" si="104"/>
        <v>0</v>
      </c>
      <c r="G417" s="2001">
        <f t="shared" si="90"/>
        <v>0</v>
      </c>
      <c r="H417" s="1876">
        <f t="shared" si="91"/>
        <v>0</v>
      </c>
      <c r="I417" s="1785">
        <f t="shared" si="92"/>
        <v>0</v>
      </c>
      <c r="J417" s="1876">
        <f t="shared" si="93"/>
        <v>0</v>
      </c>
      <c r="K417" s="1786">
        <f t="shared" si="94"/>
        <v>0</v>
      </c>
      <c r="L417" s="1876">
        <f t="shared" si="95"/>
        <v>0</v>
      </c>
      <c r="M417" s="1786">
        <f t="shared" si="96"/>
        <v>0</v>
      </c>
      <c r="N417" s="1876">
        <f t="shared" si="97"/>
        <v>0</v>
      </c>
      <c r="O417" s="1787">
        <f t="shared" si="98"/>
        <v>0</v>
      </c>
      <c r="P417" s="1876">
        <f t="shared" si="99"/>
        <v>0</v>
      </c>
      <c r="Q417" s="1785">
        <f t="shared" si="100"/>
        <v>0</v>
      </c>
      <c r="R417" s="1787">
        <f t="shared" si="101"/>
        <v>0</v>
      </c>
      <c r="S417" s="1786">
        <f t="shared" si="102"/>
        <v>0</v>
      </c>
      <c r="T417" s="1876">
        <f t="shared" si="103"/>
        <v>0</v>
      </c>
      <c r="V417" s="1876">
        <v>0</v>
      </c>
      <c r="W417" s="2001"/>
      <c r="X417" s="1876">
        <v>0</v>
      </c>
      <c r="Y417" s="1785"/>
      <c r="Z417" s="1876">
        <v>0</v>
      </c>
      <c r="AA417" s="1786"/>
      <c r="AB417" s="1876">
        <v>0</v>
      </c>
      <c r="AC417" s="1786"/>
      <c r="AD417" s="1876">
        <v>0</v>
      </c>
      <c r="AE417" s="1787"/>
      <c r="AF417" s="1876">
        <v>0</v>
      </c>
      <c r="AG417" s="1785"/>
      <c r="AH417" s="1787">
        <v>0</v>
      </c>
      <c r="AI417" s="1786"/>
      <c r="AJ417" s="1876">
        <v>0</v>
      </c>
    </row>
    <row r="418" spans="1:36">
      <c r="A418" s="1675">
        <v>7</v>
      </c>
      <c r="B418" s="1675"/>
      <c r="C418" s="1675">
        <v>36400</v>
      </c>
      <c r="D418" s="2038" t="s">
        <v>2544</v>
      </c>
      <c r="F418" s="1876">
        <f t="shared" si="104"/>
        <v>189632.32778209986</v>
      </c>
      <c r="G418" s="2001">
        <f t="shared" si="90"/>
        <v>0</v>
      </c>
      <c r="H418" s="1876">
        <f t="shared" si="91"/>
        <v>26341.50128</v>
      </c>
      <c r="I418" s="1785">
        <f t="shared" si="92"/>
        <v>0</v>
      </c>
      <c r="J418" s="1876">
        <f t="shared" si="93"/>
        <v>-12934.18655</v>
      </c>
      <c r="K418" s="1786">
        <f t="shared" si="94"/>
        <v>0</v>
      </c>
      <c r="L418" s="1876">
        <f t="shared" si="95"/>
        <v>-7239.63735</v>
      </c>
      <c r="M418" s="1786">
        <f t="shared" si="96"/>
        <v>0</v>
      </c>
      <c r="N418" s="1876">
        <f t="shared" si="97"/>
        <v>644.21929</v>
      </c>
      <c r="O418" s="1787">
        <f t="shared" si="98"/>
        <v>0</v>
      </c>
      <c r="P418" s="1876">
        <f t="shared" si="99"/>
        <v>0</v>
      </c>
      <c r="Q418" s="1785">
        <f t="shared" si="100"/>
        <v>0</v>
      </c>
      <c r="R418" s="1787">
        <f t="shared" si="101"/>
        <v>196444.22445209985</v>
      </c>
      <c r="S418" s="1786">
        <f t="shared" si="102"/>
        <v>0</v>
      </c>
      <c r="T418" s="1876">
        <f t="shared" si="103"/>
        <v>192985.64118999999</v>
      </c>
      <c r="V418" s="1876">
        <v>189632327.78209987</v>
      </c>
      <c r="W418" s="2001"/>
      <c r="X418" s="1876">
        <v>26341501.280000001</v>
      </c>
      <c r="Y418" s="1785"/>
      <c r="Z418" s="1876">
        <v>-12934186.550000001</v>
      </c>
      <c r="AA418" s="1786"/>
      <c r="AB418" s="1876">
        <v>-7239637.3499999996</v>
      </c>
      <c r="AC418" s="1786"/>
      <c r="AD418" s="1876">
        <v>644219.29</v>
      </c>
      <c r="AE418" s="1787"/>
      <c r="AF418" s="1876">
        <v>0</v>
      </c>
      <c r="AG418" s="1785"/>
      <c r="AH418" s="1787">
        <v>196444224.45209986</v>
      </c>
      <c r="AI418" s="1786"/>
      <c r="AJ418" s="1876">
        <v>192985641.19</v>
      </c>
    </row>
    <row r="419" spans="1:36">
      <c r="A419" s="1675">
        <v>8</v>
      </c>
      <c r="B419" s="1675"/>
      <c r="C419" s="1675">
        <v>36500</v>
      </c>
      <c r="D419" s="2038" t="s">
        <v>2537</v>
      </c>
      <c r="F419" s="1876">
        <f t="shared" si="104"/>
        <v>152134.50623360003</v>
      </c>
      <c r="G419" s="2001">
        <f t="shared" si="90"/>
        <v>0</v>
      </c>
      <c r="H419" s="1876">
        <f t="shared" si="91"/>
        <v>7051.0570399999997</v>
      </c>
      <c r="I419" s="1785">
        <f t="shared" si="92"/>
        <v>0</v>
      </c>
      <c r="J419" s="1876">
        <f t="shared" si="93"/>
        <v>-7909.0049200000003</v>
      </c>
      <c r="K419" s="1786">
        <f t="shared" si="94"/>
        <v>0</v>
      </c>
      <c r="L419" s="1876">
        <f t="shared" si="95"/>
        <v>-703.39711</v>
      </c>
      <c r="M419" s="1786">
        <f t="shared" si="96"/>
        <v>0</v>
      </c>
      <c r="N419" s="1876">
        <f t="shared" si="97"/>
        <v>135.62510999999998</v>
      </c>
      <c r="O419" s="1787">
        <f t="shared" si="98"/>
        <v>0</v>
      </c>
      <c r="P419" s="1876">
        <f t="shared" si="99"/>
        <v>0</v>
      </c>
      <c r="Q419" s="1785">
        <f t="shared" si="100"/>
        <v>0</v>
      </c>
      <c r="R419" s="1787">
        <f t="shared" si="101"/>
        <v>150708.78635360004</v>
      </c>
      <c r="S419" s="1786">
        <f t="shared" si="102"/>
        <v>0</v>
      </c>
      <c r="T419" s="1876">
        <f t="shared" si="103"/>
        <v>151439.20053999999</v>
      </c>
      <c r="V419" s="1876">
        <v>152134506.23360002</v>
      </c>
      <c r="W419" s="2001"/>
      <c r="X419" s="1876">
        <v>7051057.04</v>
      </c>
      <c r="Y419" s="1785"/>
      <c r="Z419" s="1876">
        <v>-7909004.9199999999</v>
      </c>
      <c r="AA419" s="1786"/>
      <c r="AB419" s="1876">
        <v>-703397.11</v>
      </c>
      <c r="AC419" s="1786"/>
      <c r="AD419" s="1876">
        <v>135625.10999999999</v>
      </c>
      <c r="AE419" s="1787"/>
      <c r="AF419" s="1876">
        <v>0</v>
      </c>
      <c r="AG419" s="1785"/>
      <c r="AH419" s="1787">
        <v>150708786.35360003</v>
      </c>
      <c r="AI419" s="1786"/>
      <c r="AJ419" s="1876">
        <v>151439200.53999999</v>
      </c>
    </row>
    <row r="420" spans="1:36">
      <c r="A420" s="1675">
        <v>9</v>
      </c>
      <c r="B420" s="1675"/>
      <c r="C420" s="1675">
        <v>36600</v>
      </c>
      <c r="D420" s="2038" t="s">
        <v>2539</v>
      </c>
      <c r="F420" s="1876">
        <f t="shared" si="104"/>
        <v>98415.100006700013</v>
      </c>
      <c r="G420" s="2001">
        <f t="shared" si="90"/>
        <v>0</v>
      </c>
      <c r="H420" s="1876">
        <f t="shared" si="91"/>
        <v>8151.2447199999997</v>
      </c>
      <c r="I420" s="1785">
        <f t="shared" si="92"/>
        <v>0</v>
      </c>
      <c r="J420" s="1876">
        <f t="shared" si="93"/>
        <v>-234.99553</v>
      </c>
      <c r="K420" s="1786">
        <f t="shared" si="94"/>
        <v>0</v>
      </c>
      <c r="L420" s="1876">
        <f t="shared" si="95"/>
        <v>-2286.04061</v>
      </c>
      <c r="M420" s="1786">
        <f t="shared" si="96"/>
        <v>0</v>
      </c>
      <c r="N420" s="1876">
        <f t="shared" si="97"/>
        <v>440.78161999999998</v>
      </c>
      <c r="O420" s="1787">
        <f t="shared" si="98"/>
        <v>0</v>
      </c>
      <c r="P420" s="1876">
        <f t="shared" si="99"/>
        <v>0</v>
      </c>
      <c r="Q420" s="1785">
        <f t="shared" si="100"/>
        <v>0</v>
      </c>
      <c r="R420" s="1787">
        <f t="shared" si="101"/>
        <v>104486.09020670001</v>
      </c>
      <c r="S420" s="1786">
        <f t="shared" si="102"/>
        <v>0</v>
      </c>
      <c r="T420" s="1876">
        <f t="shared" si="103"/>
        <v>101456.61004</v>
      </c>
      <c r="V420" s="1876">
        <v>98415100.006700009</v>
      </c>
      <c r="W420" s="2001"/>
      <c r="X420" s="1876">
        <v>8151244.7199999997</v>
      </c>
      <c r="Y420" s="1785"/>
      <c r="Z420" s="1876">
        <v>-234995.53</v>
      </c>
      <c r="AA420" s="1786"/>
      <c r="AB420" s="1876">
        <v>-2286040.61</v>
      </c>
      <c r="AC420" s="1786"/>
      <c r="AD420" s="1876">
        <v>440781.62</v>
      </c>
      <c r="AE420" s="1787"/>
      <c r="AF420" s="1876">
        <v>0</v>
      </c>
      <c r="AG420" s="1785"/>
      <c r="AH420" s="1787">
        <v>104486090.20670001</v>
      </c>
      <c r="AI420" s="1786"/>
      <c r="AJ420" s="1876">
        <v>101456610.04000001</v>
      </c>
    </row>
    <row r="421" spans="1:36">
      <c r="A421" s="1675">
        <v>10</v>
      </c>
      <c r="B421" s="2015"/>
      <c r="C421" s="1675">
        <v>36700</v>
      </c>
      <c r="D421" s="2038" t="s">
        <v>2540</v>
      </c>
      <c r="F421" s="1876">
        <f t="shared" si="104"/>
        <v>62438.192203100029</v>
      </c>
      <c r="G421" s="2001">
        <f t="shared" si="90"/>
        <v>0</v>
      </c>
      <c r="H421" s="1876">
        <f t="shared" si="91"/>
        <v>27882.617569999999</v>
      </c>
      <c r="I421" s="1785">
        <f t="shared" si="92"/>
        <v>0</v>
      </c>
      <c r="J421" s="1876">
        <f t="shared" si="93"/>
        <v>-16455.22178</v>
      </c>
      <c r="K421" s="1786">
        <f t="shared" si="94"/>
        <v>0</v>
      </c>
      <c r="L421" s="1876">
        <f t="shared" si="95"/>
        <v>-8981.7114999999994</v>
      </c>
      <c r="M421" s="1786">
        <f t="shared" si="96"/>
        <v>0</v>
      </c>
      <c r="N421" s="1876">
        <f t="shared" si="97"/>
        <v>305.15651000000003</v>
      </c>
      <c r="O421" s="1787">
        <f t="shared" si="98"/>
        <v>0</v>
      </c>
      <c r="P421" s="1876">
        <f t="shared" si="99"/>
        <v>0</v>
      </c>
      <c r="Q421" s="1785">
        <f t="shared" si="100"/>
        <v>0</v>
      </c>
      <c r="R421" s="1787">
        <f t="shared" si="101"/>
        <v>65189.033003100012</v>
      </c>
      <c r="S421" s="1786">
        <f t="shared" si="102"/>
        <v>0</v>
      </c>
      <c r="T421" s="1876">
        <f t="shared" si="103"/>
        <v>63380.247600000002</v>
      </c>
      <c r="V421" s="1876">
        <v>62438192.203100026</v>
      </c>
      <c r="W421" s="2001"/>
      <c r="X421" s="1876">
        <v>27882617.57</v>
      </c>
      <c r="Y421" s="1785"/>
      <c r="Z421" s="1876">
        <v>-16455221.779999999</v>
      </c>
      <c r="AA421" s="1786"/>
      <c r="AB421" s="1876">
        <v>-8981711.5</v>
      </c>
      <c r="AC421" s="1786"/>
      <c r="AD421" s="1876">
        <v>305156.51</v>
      </c>
      <c r="AE421" s="1787"/>
      <c r="AF421" s="1876">
        <v>0</v>
      </c>
      <c r="AG421" s="1785"/>
      <c r="AH421" s="1787">
        <v>65189033.003100015</v>
      </c>
      <c r="AI421" s="1786"/>
      <c r="AJ421" s="1876">
        <v>63380247.600000001</v>
      </c>
    </row>
    <row r="422" spans="1:36">
      <c r="A422" s="1675">
        <v>11</v>
      </c>
      <c r="B422" s="2015"/>
      <c r="C422" s="1675">
        <v>36800</v>
      </c>
      <c r="D422" s="2038" t="s">
        <v>2545</v>
      </c>
      <c r="F422" s="1876">
        <f t="shared" si="104"/>
        <v>365510.32888420013</v>
      </c>
      <c r="G422" s="2001">
        <f t="shared" si="90"/>
        <v>0</v>
      </c>
      <c r="H422" s="1876">
        <f t="shared" si="91"/>
        <v>40688.717689999998</v>
      </c>
      <c r="I422" s="1785">
        <f t="shared" si="92"/>
        <v>0</v>
      </c>
      <c r="J422" s="1876">
        <f t="shared" si="93"/>
        <v>-8242.9204300000001</v>
      </c>
      <c r="K422" s="1786">
        <f t="shared" si="94"/>
        <v>0</v>
      </c>
      <c r="L422" s="1876">
        <f t="shared" si="95"/>
        <v>-6682.2725499999997</v>
      </c>
      <c r="M422" s="1786">
        <f t="shared" si="96"/>
        <v>0</v>
      </c>
      <c r="N422" s="1876">
        <f t="shared" si="97"/>
        <v>1288.43858</v>
      </c>
      <c r="O422" s="1787">
        <f t="shared" si="98"/>
        <v>0</v>
      </c>
      <c r="P422" s="1876">
        <f t="shared" si="99"/>
        <v>0</v>
      </c>
      <c r="Q422" s="1785">
        <f t="shared" si="100"/>
        <v>0</v>
      </c>
      <c r="R422" s="1787">
        <f t="shared" si="101"/>
        <v>392562.29217420012</v>
      </c>
      <c r="S422" s="1786">
        <f t="shared" si="102"/>
        <v>0</v>
      </c>
      <c r="T422" s="1876">
        <f t="shared" si="103"/>
        <v>379252.06789999997</v>
      </c>
      <c r="V422" s="1876">
        <v>365510328.88420016</v>
      </c>
      <c r="W422" s="2001"/>
      <c r="X422" s="1876">
        <v>40688717.689999998</v>
      </c>
      <c r="Y422" s="1785"/>
      <c r="Z422" s="1876">
        <v>-8242920.4299999997</v>
      </c>
      <c r="AA422" s="1786"/>
      <c r="AB422" s="1876">
        <v>-6682272.5499999998</v>
      </c>
      <c r="AC422" s="1786"/>
      <c r="AD422" s="1876">
        <v>1288438.58</v>
      </c>
      <c r="AE422" s="1787"/>
      <c r="AF422" s="1876">
        <v>0</v>
      </c>
      <c r="AG422" s="1785"/>
      <c r="AH422" s="1787">
        <v>392562292.17420012</v>
      </c>
      <c r="AI422" s="1786"/>
      <c r="AJ422" s="1876">
        <v>379252067.89999998</v>
      </c>
    </row>
    <row r="423" spans="1:36">
      <c r="A423" s="1675">
        <v>12</v>
      </c>
      <c r="B423" s="2015"/>
      <c r="C423" s="1675">
        <v>36900</v>
      </c>
      <c r="D423" s="2038" t="s">
        <v>2546</v>
      </c>
      <c r="F423" s="1876">
        <f t="shared" si="104"/>
        <v>66612.392865900008</v>
      </c>
      <c r="G423" s="2001">
        <f t="shared" si="90"/>
        <v>0</v>
      </c>
      <c r="H423" s="1876">
        <f t="shared" si="91"/>
        <v>1993.5787399999999</v>
      </c>
      <c r="I423" s="1785">
        <f t="shared" si="92"/>
        <v>0</v>
      </c>
      <c r="J423" s="1876">
        <f t="shared" si="93"/>
        <v>-180.76579999999998</v>
      </c>
      <c r="K423" s="1786">
        <f t="shared" si="94"/>
        <v>0</v>
      </c>
      <c r="L423" s="1876">
        <f t="shared" si="95"/>
        <v>-175.84927999999999</v>
      </c>
      <c r="M423" s="1786">
        <f t="shared" si="96"/>
        <v>0</v>
      </c>
      <c r="N423" s="1876">
        <f t="shared" si="97"/>
        <v>33.906279999999995</v>
      </c>
      <c r="O423" s="1787">
        <f t="shared" si="98"/>
        <v>0</v>
      </c>
      <c r="P423" s="1876">
        <f t="shared" si="99"/>
        <v>0</v>
      </c>
      <c r="Q423" s="1785">
        <f t="shared" si="100"/>
        <v>0</v>
      </c>
      <c r="R423" s="1787">
        <f t="shared" si="101"/>
        <v>68283.262805900013</v>
      </c>
      <c r="S423" s="1786">
        <f t="shared" si="102"/>
        <v>0</v>
      </c>
      <c r="T423" s="1876">
        <f t="shared" si="103"/>
        <v>67453.988900000011</v>
      </c>
      <c r="V423" s="1876">
        <v>66612392.865900002</v>
      </c>
      <c r="W423" s="2001"/>
      <c r="X423" s="1876">
        <v>1993578.74</v>
      </c>
      <c r="Y423" s="1785"/>
      <c r="Z423" s="1876">
        <v>-180765.8</v>
      </c>
      <c r="AA423" s="1786"/>
      <c r="AB423" s="1876">
        <v>-175849.28</v>
      </c>
      <c r="AC423" s="1786"/>
      <c r="AD423" s="1876">
        <v>33906.28</v>
      </c>
      <c r="AE423" s="1787"/>
      <c r="AF423" s="1876">
        <v>0</v>
      </c>
      <c r="AG423" s="1785"/>
      <c r="AH423" s="1787">
        <v>68283262.805900007</v>
      </c>
      <c r="AI423" s="1786"/>
      <c r="AJ423" s="1876">
        <v>67453988.900000006</v>
      </c>
    </row>
    <row r="424" spans="1:36">
      <c r="A424" s="1675">
        <v>13</v>
      </c>
      <c r="B424" s="2015"/>
      <c r="C424" s="1675">
        <v>36902</v>
      </c>
      <c r="D424" s="2038" t="s">
        <v>2547</v>
      </c>
      <c r="F424" s="1876">
        <f t="shared" si="104"/>
        <v>74802.744641799931</v>
      </c>
      <c r="G424" s="2001">
        <f t="shared" si="90"/>
        <v>0</v>
      </c>
      <c r="H424" s="1876">
        <f t="shared" si="91"/>
        <v>4063.3032599999997</v>
      </c>
      <c r="I424" s="1785">
        <f t="shared" si="92"/>
        <v>0</v>
      </c>
      <c r="J424" s="1876">
        <f t="shared" si="93"/>
        <v>-108.45947</v>
      </c>
      <c r="K424" s="1786">
        <f t="shared" si="94"/>
        <v>0</v>
      </c>
      <c r="L424" s="1876">
        <f t="shared" si="95"/>
        <v>-351.69855999999999</v>
      </c>
      <c r="M424" s="1786">
        <f t="shared" si="96"/>
        <v>0</v>
      </c>
      <c r="N424" s="1876">
        <f t="shared" si="97"/>
        <v>67.812559999999991</v>
      </c>
      <c r="O424" s="1787">
        <f t="shared" si="98"/>
        <v>0</v>
      </c>
      <c r="P424" s="1876">
        <f t="shared" si="99"/>
        <v>0</v>
      </c>
      <c r="Q424" s="1785">
        <f t="shared" si="100"/>
        <v>0</v>
      </c>
      <c r="R424" s="1787">
        <f t="shared" si="101"/>
        <v>78473.702431799931</v>
      </c>
      <c r="S424" s="1786">
        <f t="shared" si="102"/>
        <v>0</v>
      </c>
      <c r="T424" s="1876">
        <f t="shared" si="103"/>
        <v>76639.637709999995</v>
      </c>
      <c r="V424" s="1876">
        <v>74802744.641799927</v>
      </c>
      <c r="W424" s="2001"/>
      <c r="X424" s="1876">
        <v>4063303.26</v>
      </c>
      <c r="Y424" s="1785"/>
      <c r="Z424" s="1876">
        <v>-108459.47</v>
      </c>
      <c r="AA424" s="1786"/>
      <c r="AB424" s="1876">
        <v>-351698.56</v>
      </c>
      <c r="AC424" s="1786"/>
      <c r="AD424" s="1876">
        <v>67812.56</v>
      </c>
      <c r="AE424" s="1787"/>
      <c r="AF424" s="1876">
        <v>0</v>
      </c>
      <c r="AG424" s="1785"/>
      <c r="AH424" s="1787">
        <v>78473702.431799933</v>
      </c>
      <c r="AI424" s="1786"/>
      <c r="AJ424" s="1876">
        <v>76639637.709999993</v>
      </c>
    </row>
    <row r="425" spans="1:36">
      <c r="A425" s="1675">
        <v>14</v>
      </c>
      <c r="B425" s="2015"/>
      <c r="C425" s="1675">
        <v>37000</v>
      </c>
      <c r="D425" s="2038" t="s">
        <v>8506</v>
      </c>
      <c r="F425" s="1876">
        <f t="shared" si="104"/>
        <v>5210.3756900000026</v>
      </c>
      <c r="G425" s="2001">
        <f t="shared" si="90"/>
        <v>0</v>
      </c>
      <c r="H425" s="1876">
        <f t="shared" si="91"/>
        <v>1372.3605600000001</v>
      </c>
      <c r="I425" s="1785">
        <f t="shared" si="92"/>
        <v>0</v>
      </c>
      <c r="J425" s="1876">
        <f t="shared" si="93"/>
        <v>0</v>
      </c>
      <c r="K425" s="1786">
        <f t="shared" si="94"/>
        <v>0</v>
      </c>
      <c r="L425" s="1876">
        <f t="shared" si="95"/>
        <v>0</v>
      </c>
      <c r="M425" s="1786">
        <f t="shared" si="96"/>
        <v>0</v>
      </c>
      <c r="N425" s="1876">
        <f t="shared" si="97"/>
        <v>0</v>
      </c>
      <c r="O425" s="1787">
        <f t="shared" si="98"/>
        <v>0</v>
      </c>
      <c r="P425" s="1876">
        <f t="shared" si="99"/>
        <v>0</v>
      </c>
      <c r="Q425" s="1785">
        <f t="shared" si="100"/>
        <v>0</v>
      </c>
      <c r="R425" s="1787">
        <f t="shared" si="101"/>
        <v>6582.7362500000017</v>
      </c>
      <c r="S425" s="1786">
        <f t="shared" si="102"/>
        <v>0</v>
      </c>
      <c r="T425" s="1876">
        <f t="shared" si="103"/>
        <v>5896.5559699999994</v>
      </c>
      <c r="V425" s="1876">
        <v>5210375.6900000023</v>
      </c>
      <c r="W425" s="2001"/>
      <c r="X425" s="1876">
        <v>1372360.56</v>
      </c>
      <c r="Y425" s="1785"/>
      <c r="Z425" s="1876">
        <v>0</v>
      </c>
      <c r="AA425" s="1786"/>
      <c r="AB425" s="1876">
        <v>0</v>
      </c>
      <c r="AC425" s="1786"/>
      <c r="AD425" s="1876">
        <v>0</v>
      </c>
      <c r="AE425" s="1787"/>
      <c r="AF425" s="1876">
        <v>0</v>
      </c>
      <c r="AG425" s="1785"/>
      <c r="AH425" s="1787">
        <v>6582736.2500000019</v>
      </c>
      <c r="AI425" s="1786"/>
      <c r="AJ425" s="1876">
        <v>5896555.9699999997</v>
      </c>
    </row>
    <row r="426" spans="1:36">
      <c r="A426" s="1675">
        <v>15</v>
      </c>
      <c r="B426" s="1675"/>
      <c r="C426" s="1675">
        <v>37001</v>
      </c>
      <c r="D426" s="2038" t="s">
        <v>2549</v>
      </c>
      <c r="F426" s="1876">
        <f t="shared" si="104"/>
        <v>16007.484385400003</v>
      </c>
      <c r="G426" s="2001">
        <f t="shared" si="90"/>
        <v>0</v>
      </c>
      <c r="H426" s="1876">
        <f t="shared" si="91"/>
        <v>13384.252839999999</v>
      </c>
      <c r="I426" s="1785">
        <f t="shared" si="92"/>
        <v>0</v>
      </c>
      <c r="J426" s="1876">
        <f t="shared" si="93"/>
        <v>-7318.7009600000001</v>
      </c>
      <c r="K426" s="1786">
        <f t="shared" si="94"/>
        <v>0</v>
      </c>
      <c r="L426" s="1876">
        <f t="shared" si="95"/>
        <v>-1172.4707100000001</v>
      </c>
      <c r="M426" s="1786">
        <f t="shared" si="96"/>
        <v>0</v>
      </c>
      <c r="N426" s="1876">
        <f t="shared" si="97"/>
        <v>344.58896000000004</v>
      </c>
      <c r="O426" s="1787">
        <f t="shared" si="98"/>
        <v>0</v>
      </c>
      <c r="P426" s="1876">
        <f t="shared" si="99"/>
        <v>0</v>
      </c>
      <c r="Q426" s="1785">
        <f t="shared" si="100"/>
        <v>0</v>
      </c>
      <c r="R426" s="1787">
        <f t="shared" si="101"/>
        <v>21245.154515400001</v>
      </c>
      <c r="S426" s="1786">
        <f t="shared" si="102"/>
        <v>0</v>
      </c>
      <c r="T426" s="1876">
        <f t="shared" si="103"/>
        <v>18779.219929999999</v>
      </c>
      <c r="V426" s="1876">
        <v>16007484.385400003</v>
      </c>
      <c r="W426" s="2001"/>
      <c r="X426" s="1876">
        <v>13384252.84</v>
      </c>
      <c r="Y426" s="1785"/>
      <c r="Z426" s="1876">
        <v>-7318700.96</v>
      </c>
      <c r="AA426" s="1786"/>
      <c r="AB426" s="1876">
        <v>-1172470.71</v>
      </c>
      <c r="AC426" s="1786"/>
      <c r="AD426" s="1876">
        <v>344588.96</v>
      </c>
      <c r="AE426" s="1787"/>
      <c r="AF426" s="1876">
        <v>0</v>
      </c>
      <c r="AG426" s="1785"/>
      <c r="AH426" s="1787">
        <v>21245154.5154</v>
      </c>
      <c r="AI426" s="1786"/>
      <c r="AJ426" s="1876">
        <v>18779219.93</v>
      </c>
    </row>
    <row r="427" spans="1:36">
      <c r="A427" s="1675">
        <v>16</v>
      </c>
      <c r="B427" s="1675"/>
      <c r="C427" s="1675">
        <v>37010</v>
      </c>
      <c r="D427" s="2038" t="s">
        <v>8951</v>
      </c>
      <c r="F427" s="1876">
        <f t="shared" si="104"/>
        <v>409.42498999999998</v>
      </c>
      <c r="G427" s="2001">
        <f t="shared" si="90"/>
        <v>0</v>
      </c>
      <c r="H427" s="1876">
        <f t="shared" si="91"/>
        <v>647.39622999999995</v>
      </c>
      <c r="I427" s="1785">
        <f t="shared" si="92"/>
        <v>0</v>
      </c>
      <c r="J427" s="1876">
        <f t="shared" si="93"/>
        <v>0</v>
      </c>
      <c r="K427" s="1786">
        <f t="shared" si="94"/>
        <v>0</v>
      </c>
      <c r="L427" s="1876">
        <f t="shared" si="95"/>
        <v>-5</v>
      </c>
      <c r="M427" s="1786">
        <f t="shared" si="96"/>
        <v>0</v>
      </c>
      <c r="N427" s="1876">
        <f t="shared" si="97"/>
        <v>0</v>
      </c>
      <c r="O427" s="1787">
        <f t="shared" si="98"/>
        <v>0</v>
      </c>
      <c r="P427" s="1876">
        <f t="shared" si="99"/>
        <v>0</v>
      </c>
      <c r="Q427" s="1785">
        <f t="shared" si="100"/>
        <v>0</v>
      </c>
      <c r="R427" s="1787">
        <f t="shared" si="101"/>
        <v>1051.82122</v>
      </c>
      <c r="S427" s="1786">
        <f t="shared" si="102"/>
        <v>0</v>
      </c>
      <c r="T427" s="1876">
        <f t="shared" si="103"/>
        <v>705.13643999999999</v>
      </c>
      <c r="V427" s="1876">
        <v>409424.99</v>
      </c>
      <c r="W427" s="2001"/>
      <c r="X427" s="1876">
        <v>647396.23</v>
      </c>
      <c r="Y427" s="1785"/>
      <c r="Z427" s="1876">
        <v>0</v>
      </c>
      <c r="AA427" s="1786"/>
      <c r="AB427" s="1876">
        <v>-5000</v>
      </c>
      <c r="AC427" s="1786"/>
      <c r="AD427" s="1876">
        <v>0</v>
      </c>
      <c r="AE427" s="1787"/>
      <c r="AF427" s="1876">
        <v>0</v>
      </c>
      <c r="AG427" s="1785"/>
      <c r="AH427" s="1787">
        <v>1051821.22</v>
      </c>
      <c r="AI427" s="1786"/>
      <c r="AJ427" s="1876">
        <v>705136.44</v>
      </c>
    </row>
    <row r="428" spans="1:36">
      <c r="A428" s="1675">
        <v>17</v>
      </c>
      <c r="B428" s="1675"/>
      <c r="C428" s="1675">
        <v>37300</v>
      </c>
      <c r="D428" s="2038" t="s">
        <v>2550</v>
      </c>
      <c r="F428" s="1876">
        <f t="shared" si="104"/>
        <v>127432.28398999992</v>
      </c>
      <c r="G428" s="2001">
        <f t="shared" si="90"/>
        <v>0</v>
      </c>
      <c r="H428" s="1876">
        <f t="shared" si="91"/>
        <v>14373.022650000001</v>
      </c>
      <c r="I428" s="1785">
        <f t="shared" si="92"/>
        <v>0</v>
      </c>
      <c r="J428" s="1876">
        <f t="shared" si="93"/>
        <v>-5091.1424699999998</v>
      </c>
      <c r="K428" s="1786">
        <f t="shared" si="94"/>
        <v>0</v>
      </c>
      <c r="L428" s="1876">
        <f t="shared" si="95"/>
        <v>-2934.37563</v>
      </c>
      <c r="M428" s="1786">
        <f t="shared" si="96"/>
        <v>0</v>
      </c>
      <c r="N428" s="1876">
        <f t="shared" si="97"/>
        <v>0</v>
      </c>
      <c r="O428" s="1787">
        <f t="shared" si="98"/>
        <v>0</v>
      </c>
      <c r="P428" s="1876">
        <f t="shared" si="99"/>
        <v>0</v>
      </c>
      <c r="Q428" s="1785">
        <f t="shared" si="100"/>
        <v>0</v>
      </c>
      <c r="R428" s="1787">
        <f t="shared" si="101"/>
        <v>133779.78853999992</v>
      </c>
      <c r="S428" s="1786">
        <f t="shared" si="102"/>
        <v>0</v>
      </c>
      <c r="T428" s="1876">
        <f t="shared" si="103"/>
        <v>130582.39112999999</v>
      </c>
      <c r="V428" s="1876">
        <v>127432283.98999992</v>
      </c>
      <c r="W428" s="2001"/>
      <c r="X428" s="1876">
        <v>14373022.65</v>
      </c>
      <c r="Y428" s="1785"/>
      <c r="Z428" s="1876">
        <v>-5091142.47</v>
      </c>
      <c r="AA428" s="1786"/>
      <c r="AB428" s="1876">
        <v>-2934375.63</v>
      </c>
      <c r="AC428" s="1786"/>
      <c r="AD428" s="1876">
        <v>0</v>
      </c>
      <c r="AE428" s="1787"/>
      <c r="AF428" s="1876">
        <v>0</v>
      </c>
      <c r="AG428" s="1785"/>
      <c r="AH428" s="1787">
        <v>133779788.53999993</v>
      </c>
      <c r="AI428" s="1786"/>
      <c r="AJ428" s="1876">
        <v>130582391.13</v>
      </c>
    </row>
    <row r="429" spans="1:36">
      <c r="A429" s="1675">
        <v>18</v>
      </c>
      <c r="B429" s="1675"/>
      <c r="C429" s="1675">
        <v>37302</v>
      </c>
      <c r="D429" s="2038" t="s">
        <v>8180</v>
      </c>
      <c r="F429" s="1876">
        <f t="shared" si="104"/>
        <v>1183.9065900000003</v>
      </c>
      <c r="G429" s="2001">
        <f t="shared" si="90"/>
        <v>0</v>
      </c>
      <c r="H429" s="1876">
        <f t="shared" si="91"/>
        <v>902.56956000000002</v>
      </c>
      <c r="I429" s="1785">
        <f t="shared" si="92"/>
        <v>0</v>
      </c>
      <c r="J429" s="1876">
        <f t="shared" si="93"/>
        <v>0</v>
      </c>
      <c r="K429" s="1786">
        <f t="shared" si="94"/>
        <v>0</v>
      </c>
      <c r="L429" s="1876">
        <f t="shared" si="95"/>
        <v>0</v>
      </c>
      <c r="M429" s="1786">
        <f t="shared" si="96"/>
        <v>0</v>
      </c>
      <c r="N429" s="1876">
        <f t="shared" si="97"/>
        <v>0</v>
      </c>
      <c r="O429" s="1787">
        <f t="shared" si="98"/>
        <v>0</v>
      </c>
      <c r="P429" s="1876">
        <f t="shared" si="99"/>
        <v>0</v>
      </c>
      <c r="Q429" s="1785">
        <f t="shared" si="100"/>
        <v>0</v>
      </c>
      <c r="R429" s="1787">
        <f t="shared" si="101"/>
        <v>2086.4761500000004</v>
      </c>
      <c r="S429" s="1786">
        <f t="shared" si="102"/>
        <v>0</v>
      </c>
      <c r="T429" s="1876">
        <f t="shared" si="103"/>
        <v>1635.19137</v>
      </c>
      <c r="V429" s="1876">
        <v>1183906.5900000003</v>
      </c>
      <c r="W429" s="2001"/>
      <c r="X429" s="1876">
        <v>902569.56</v>
      </c>
      <c r="Y429" s="1785"/>
      <c r="Z429" s="1876">
        <v>0</v>
      </c>
      <c r="AA429" s="1786"/>
      <c r="AB429" s="1876">
        <v>0</v>
      </c>
      <c r="AC429" s="1786"/>
      <c r="AD429" s="1876">
        <v>0</v>
      </c>
      <c r="AE429" s="1787"/>
      <c r="AF429" s="1876">
        <v>0</v>
      </c>
      <c r="AG429" s="1785"/>
      <c r="AH429" s="1787">
        <v>2086476.1500000004</v>
      </c>
      <c r="AI429" s="1786"/>
      <c r="AJ429" s="1876">
        <v>1635191.37</v>
      </c>
    </row>
    <row r="430" spans="1:36" ht="15" thickBot="1">
      <c r="A430" s="1675">
        <v>19</v>
      </c>
      <c r="B430" s="2015"/>
      <c r="D430" s="1674" t="s">
        <v>2458</v>
      </c>
      <c r="F430" s="1798">
        <f t="shared" si="104"/>
        <v>1249015.1544700002</v>
      </c>
      <c r="G430" s="2001">
        <f t="shared" si="90"/>
        <v>0</v>
      </c>
      <c r="H430" s="1798">
        <f t="shared" si="91"/>
        <v>156846.65659</v>
      </c>
      <c r="I430" s="1790">
        <f t="shared" si="92"/>
        <v>0</v>
      </c>
      <c r="J430" s="1798">
        <f t="shared" si="93"/>
        <v>-60324.266819999997</v>
      </c>
      <c r="K430" s="1790">
        <f t="shared" si="94"/>
        <v>0</v>
      </c>
      <c r="L430" s="1798">
        <f t="shared" si="95"/>
        <v>-31939.247520000001</v>
      </c>
      <c r="M430" s="1790">
        <f t="shared" si="96"/>
        <v>0</v>
      </c>
      <c r="N430" s="1798">
        <f t="shared" si="97"/>
        <v>3531.7791399999996</v>
      </c>
      <c r="O430" s="1813">
        <f t="shared" si="98"/>
        <v>0</v>
      </c>
      <c r="P430" s="1798">
        <f t="shared" si="99"/>
        <v>0</v>
      </c>
      <c r="Q430" s="1790">
        <f t="shared" si="100"/>
        <v>0</v>
      </c>
      <c r="R430" s="1798">
        <f t="shared" si="101"/>
        <v>1317130.0758600002</v>
      </c>
      <c r="S430" s="1790">
        <f t="shared" si="102"/>
        <v>0</v>
      </c>
      <c r="T430" s="1798">
        <f t="shared" si="103"/>
        <v>1283180.1421700001</v>
      </c>
      <c r="V430" s="1798">
        <v>1249015154.4700003</v>
      </c>
      <c r="W430" s="2001"/>
      <c r="X430" s="1798">
        <v>156846656.59</v>
      </c>
      <c r="Y430" s="1790"/>
      <c r="Z430" s="1798">
        <v>-60324266.82</v>
      </c>
      <c r="AA430" s="1790"/>
      <c r="AB430" s="1798">
        <v>-31939247.52</v>
      </c>
      <c r="AC430" s="1790"/>
      <c r="AD430" s="1798">
        <v>3531779.1399999997</v>
      </c>
      <c r="AE430" s="1813"/>
      <c r="AF430" s="1798">
        <v>0</v>
      </c>
      <c r="AG430" s="1790"/>
      <c r="AH430" s="1798">
        <v>1317130075.8600001</v>
      </c>
      <c r="AI430" s="1790"/>
      <c r="AJ430" s="1798">
        <v>1283180142.1700001</v>
      </c>
    </row>
    <row r="431" spans="1:36" ht="15" thickTop="1">
      <c r="A431" s="1675">
        <v>20</v>
      </c>
      <c r="B431" s="1675"/>
      <c r="F431" s="1674">
        <f t="shared" si="104"/>
        <v>0</v>
      </c>
      <c r="G431" s="1674">
        <f t="shared" si="90"/>
        <v>0</v>
      </c>
      <c r="H431" s="1674">
        <f t="shared" si="91"/>
        <v>0</v>
      </c>
      <c r="I431" s="1674">
        <f t="shared" si="92"/>
        <v>0</v>
      </c>
      <c r="J431" s="1674">
        <f t="shared" si="93"/>
        <v>0</v>
      </c>
      <c r="K431" s="1674">
        <f t="shared" si="94"/>
        <v>0</v>
      </c>
      <c r="L431" s="1674">
        <f t="shared" si="95"/>
        <v>0</v>
      </c>
      <c r="M431" s="1674">
        <f t="shared" si="96"/>
        <v>0</v>
      </c>
      <c r="N431" s="1674">
        <f t="shared" si="97"/>
        <v>0</v>
      </c>
      <c r="O431" s="1674">
        <f t="shared" si="98"/>
        <v>0</v>
      </c>
      <c r="P431" s="1674">
        <f t="shared" si="99"/>
        <v>0</v>
      </c>
      <c r="Q431" s="2001">
        <f t="shared" si="100"/>
        <v>0</v>
      </c>
      <c r="R431" s="1674">
        <f t="shared" si="101"/>
        <v>0</v>
      </c>
      <c r="S431" s="1674">
        <f t="shared" si="102"/>
        <v>0</v>
      </c>
      <c r="T431" s="1674">
        <f t="shared" si="103"/>
        <v>0</v>
      </c>
      <c r="AG431" s="2001"/>
    </row>
    <row r="432" spans="1:36">
      <c r="A432" s="1675">
        <v>21</v>
      </c>
      <c r="B432" s="1675"/>
      <c r="D432" s="2021" t="s">
        <v>2551</v>
      </c>
      <c r="E432" s="2021"/>
      <c r="F432" s="2023">
        <f t="shared" si="104"/>
        <v>0</v>
      </c>
      <c r="G432" s="1674">
        <f t="shared" si="90"/>
        <v>0</v>
      </c>
      <c r="H432" s="1790">
        <f t="shared" si="91"/>
        <v>0</v>
      </c>
      <c r="I432" s="1790">
        <f t="shared" si="92"/>
        <v>0</v>
      </c>
      <c r="J432" s="1790">
        <f t="shared" si="93"/>
        <v>0</v>
      </c>
      <c r="K432" s="1790">
        <f t="shared" si="94"/>
        <v>0</v>
      </c>
      <c r="L432" s="2031">
        <f t="shared" si="95"/>
        <v>0</v>
      </c>
      <c r="M432" s="1790">
        <f t="shared" si="96"/>
        <v>0</v>
      </c>
      <c r="N432" s="2031">
        <f t="shared" si="97"/>
        <v>0</v>
      </c>
      <c r="O432" s="2031">
        <f t="shared" si="98"/>
        <v>0</v>
      </c>
      <c r="P432" s="2031">
        <f t="shared" si="99"/>
        <v>0</v>
      </c>
      <c r="Q432" s="1790">
        <f t="shared" si="100"/>
        <v>0</v>
      </c>
      <c r="R432" s="2031">
        <f t="shared" si="101"/>
        <v>0</v>
      </c>
      <c r="S432" s="1790">
        <f t="shared" si="102"/>
        <v>0</v>
      </c>
      <c r="T432" s="2031">
        <f t="shared" si="103"/>
        <v>0</v>
      </c>
      <c r="V432" s="2023"/>
      <c r="X432" s="1790"/>
      <c r="Y432" s="1790"/>
      <c r="Z432" s="1790"/>
      <c r="AA432" s="1790"/>
      <c r="AB432" s="2031"/>
      <c r="AC432" s="1790"/>
      <c r="AD432" s="2031"/>
      <c r="AE432" s="2031"/>
      <c r="AF432" s="2031"/>
      <c r="AG432" s="1790"/>
      <c r="AH432" s="2031"/>
      <c r="AI432" s="1790"/>
      <c r="AJ432" s="2031"/>
    </row>
    <row r="433" spans="1:36">
      <c r="A433" s="1675">
        <v>22</v>
      </c>
      <c r="B433" s="1675"/>
      <c r="C433" s="1675">
        <v>39000</v>
      </c>
      <c r="D433" s="2038" t="s">
        <v>2533</v>
      </c>
      <c r="F433" s="1876">
        <f t="shared" si="104"/>
        <v>52207.88203999999</v>
      </c>
      <c r="G433" s="2001">
        <f t="shared" si="90"/>
        <v>0</v>
      </c>
      <c r="H433" s="1876">
        <f t="shared" si="91"/>
        <v>7193.3255899999995</v>
      </c>
      <c r="I433" s="1785">
        <f t="shared" si="92"/>
        <v>0</v>
      </c>
      <c r="J433" s="1876">
        <f t="shared" si="93"/>
        <v>-15499.278039999999</v>
      </c>
      <c r="K433" s="1786">
        <f t="shared" si="94"/>
        <v>0</v>
      </c>
      <c r="L433" s="1876">
        <f t="shared" si="95"/>
        <v>-479.54016999999999</v>
      </c>
      <c r="M433" s="1786">
        <f t="shared" si="96"/>
        <v>0</v>
      </c>
      <c r="N433" s="1876">
        <f t="shared" si="97"/>
        <v>0</v>
      </c>
      <c r="O433" s="1787">
        <f t="shared" si="98"/>
        <v>0</v>
      </c>
      <c r="P433" s="1876">
        <f t="shared" si="99"/>
        <v>0</v>
      </c>
      <c r="Q433" s="1785">
        <f t="shared" si="100"/>
        <v>0</v>
      </c>
      <c r="R433" s="1787">
        <f t="shared" si="101"/>
        <v>43422.389419999992</v>
      </c>
      <c r="S433" s="1786">
        <f t="shared" si="102"/>
        <v>0</v>
      </c>
      <c r="T433" s="1876">
        <f t="shared" si="103"/>
        <v>45485.804700000001</v>
      </c>
      <c r="V433" s="1876">
        <v>52207882.039999992</v>
      </c>
      <c r="W433" s="2001"/>
      <c r="X433" s="1876">
        <v>7193325.5899999999</v>
      </c>
      <c r="Y433" s="1785"/>
      <c r="Z433" s="1876">
        <v>-15499278.039999999</v>
      </c>
      <c r="AA433" s="1786"/>
      <c r="AB433" s="1876">
        <v>-479540.17</v>
      </c>
      <c r="AC433" s="1786"/>
      <c r="AD433" s="1876">
        <v>0</v>
      </c>
      <c r="AE433" s="1787"/>
      <c r="AF433" s="1876">
        <v>0</v>
      </c>
      <c r="AG433" s="1785"/>
      <c r="AH433" s="1787">
        <v>43422389.419999994</v>
      </c>
      <c r="AI433" s="1786"/>
      <c r="AJ433" s="1876">
        <v>45485804.700000003</v>
      </c>
    </row>
    <row r="434" spans="1:36">
      <c r="A434" s="1675">
        <v>23</v>
      </c>
      <c r="B434" s="1675"/>
      <c r="C434" s="1675">
        <v>39101</v>
      </c>
      <c r="D434" s="1674" t="s">
        <v>2552</v>
      </c>
      <c r="F434" s="1876">
        <f t="shared" si="104"/>
        <v>3782.3795600000017</v>
      </c>
      <c r="G434" s="2001">
        <f t="shared" si="90"/>
        <v>0</v>
      </c>
      <c r="H434" s="1876">
        <f t="shared" si="91"/>
        <v>933.53331000000003</v>
      </c>
      <c r="I434" s="1785">
        <f t="shared" si="92"/>
        <v>0</v>
      </c>
      <c r="J434" s="1876">
        <f t="shared" si="93"/>
        <v>-674.91144999999995</v>
      </c>
      <c r="K434" s="1786">
        <f t="shared" si="94"/>
        <v>0</v>
      </c>
      <c r="L434" s="1876">
        <f t="shared" si="95"/>
        <v>0</v>
      </c>
      <c r="M434" s="1786">
        <f t="shared" si="96"/>
        <v>0</v>
      </c>
      <c r="N434" s="1876">
        <f t="shared" si="97"/>
        <v>0</v>
      </c>
      <c r="O434" s="1787">
        <f t="shared" si="98"/>
        <v>0</v>
      </c>
      <c r="P434" s="1876">
        <f t="shared" si="99"/>
        <v>0</v>
      </c>
      <c r="Q434" s="1785">
        <f t="shared" si="100"/>
        <v>0</v>
      </c>
      <c r="R434" s="1787">
        <f t="shared" si="101"/>
        <v>4041.001420000001</v>
      </c>
      <c r="S434" s="1786">
        <f t="shared" si="102"/>
        <v>0</v>
      </c>
      <c r="T434" s="1876">
        <f t="shared" si="103"/>
        <v>3840.8670999999999</v>
      </c>
      <c r="V434" s="1876">
        <v>3782379.5600000015</v>
      </c>
      <c r="W434" s="2001"/>
      <c r="X434" s="1876">
        <v>933533.31</v>
      </c>
      <c r="Y434" s="1785"/>
      <c r="Z434" s="1876">
        <v>-674911.45</v>
      </c>
      <c r="AA434" s="1786"/>
      <c r="AB434" s="1876">
        <v>0</v>
      </c>
      <c r="AC434" s="1786"/>
      <c r="AD434" s="1876">
        <v>0</v>
      </c>
      <c r="AE434" s="1787"/>
      <c r="AF434" s="1876">
        <v>0</v>
      </c>
      <c r="AG434" s="1785"/>
      <c r="AH434" s="1787">
        <v>4041001.4200000009</v>
      </c>
      <c r="AI434" s="1786"/>
      <c r="AJ434" s="1876">
        <v>3840867.1</v>
      </c>
    </row>
    <row r="435" spans="1:36">
      <c r="A435" s="1675">
        <v>24</v>
      </c>
      <c r="B435" s="1675"/>
      <c r="C435" s="1675">
        <v>39102</v>
      </c>
      <c r="D435" s="1674" t="s">
        <v>2553</v>
      </c>
      <c r="F435" s="1876">
        <f t="shared" si="104"/>
        <v>8574.9643599999999</v>
      </c>
      <c r="G435" s="2001">
        <f t="shared" si="90"/>
        <v>0</v>
      </c>
      <c r="H435" s="1876">
        <f t="shared" si="91"/>
        <v>3293.0100200000002</v>
      </c>
      <c r="I435" s="1785">
        <f t="shared" si="92"/>
        <v>0</v>
      </c>
      <c r="J435" s="1876">
        <f t="shared" si="93"/>
        <v>-891.36275999999998</v>
      </c>
      <c r="K435" s="1786">
        <f t="shared" si="94"/>
        <v>0</v>
      </c>
      <c r="L435" s="1876">
        <f t="shared" si="95"/>
        <v>0</v>
      </c>
      <c r="M435" s="1786">
        <f t="shared" si="96"/>
        <v>0</v>
      </c>
      <c r="N435" s="1876">
        <f t="shared" si="97"/>
        <v>0</v>
      </c>
      <c r="O435" s="1787">
        <f t="shared" si="98"/>
        <v>0</v>
      </c>
      <c r="P435" s="1876">
        <f t="shared" si="99"/>
        <v>0</v>
      </c>
      <c r="Q435" s="1785">
        <f t="shared" si="100"/>
        <v>0</v>
      </c>
      <c r="R435" s="1787">
        <f t="shared" si="101"/>
        <v>10976.61162</v>
      </c>
      <c r="S435" s="1786">
        <f t="shared" si="102"/>
        <v>0</v>
      </c>
      <c r="T435" s="1876">
        <f t="shared" si="103"/>
        <v>9594.3766199999991</v>
      </c>
      <c r="V435" s="1876">
        <v>8574964.3599999994</v>
      </c>
      <c r="W435" s="2001"/>
      <c r="X435" s="1876">
        <v>3293010.02</v>
      </c>
      <c r="Y435" s="1785"/>
      <c r="Z435" s="1876">
        <v>-891362.76</v>
      </c>
      <c r="AA435" s="1786"/>
      <c r="AB435" s="1876">
        <v>0</v>
      </c>
      <c r="AC435" s="1786"/>
      <c r="AD435" s="1876">
        <v>0</v>
      </c>
      <c r="AE435" s="1787"/>
      <c r="AF435" s="1876">
        <v>0</v>
      </c>
      <c r="AG435" s="1785"/>
      <c r="AH435" s="1787">
        <v>10976611.619999999</v>
      </c>
      <c r="AI435" s="1786"/>
      <c r="AJ435" s="1876">
        <v>9594376.6199999992</v>
      </c>
    </row>
    <row r="436" spans="1:36">
      <c r="A436" s="1675">
        <v>25</v>
      </c>
      <c r="B436" s="1675"/>
      <c r="C436" s="1675">
        <v>39103</v>
      </c>
      <c r="D436" s="1674" t="s">
        <v>2554</v>
      </c>
      <c r="F436" s="1876">
        <f t="shared" si="104"/>
        <v>0</v>
      </c>
      <c r="G436" s="2001">
        <f t="shared" si="90"/>
        <v>0</v>
      </c>
      <c r="H436" s="1876">
        <f t="shared" si="91"/>
        <v>0</v>
      </c>
      <c r="I436" s="1785">
        <f t="shared" si="92"/>
        <v>0</v>
      </c>
      <c r="J436" s="1876">
        <f t="shared" si="93"/>
        <v>0</v>
      </c>
      <c r="K436" s="1786">
        <f t="shared" si="94"/>
        <v>0</v>
      </c>
      <c r="L436" s="1876">
        <f t="shared" si="95"/>
        <v>0</v>
      </c>
      <c r="M436" s="1786">
        <f t="shared" si="96"/>
        <v>0</v>
      </c>
      <c r="N436" s="1876">
        <f t="shared" si="97"/>
        <v>0</v>
      </c>
      <c r="O436" s="1787">
        <f t="shared" si="98"/>
        <v>0</v>
      </c>
      <c r="P436" s="1876">
        <f t="shared" si="99"/>
        <v>0</v>
      </c>
      <c r="Q436" s="1785">
        <f t="shared" si="100"/>
        <v>0</v>
      </c>
      <c r="R436" s="1787">
        <f t="shared" si="101"/>
        <v>0</v>
      </c>
      <c r="S436" s="1786">
        <f t="shared" si="102"/>
        <v>0</v>
      </c>
      <c r="T436" s="1876">
        <f t="shared" si="103"/>
        <v>0</v>
      </c>
      <c r="V436" s="1876">
        <v>0</v>
      </c>
      <c r="W436" s="2001"/>
      <c r="X436" s="1876">
        <v>0</v>
      </c>
      <c r="Y436" s="1785"/>
      <c r="Z436" s="1876">
        <v>0</v>
      </c>
      <c r="AA436" s="1786"/>
      <c r="AB436" s="1876">
        <v>0</v>
      </c>
      <c r="AC436" s="1786"/>
      <c r="AD436" s="1876">
        <v>0</v>
      </c>
      <c r="AE436" s="1787"/>
      <c r="AF436" s="1876">
        <v>0</v>
      </c>
      <c r="AG436" s="1785"/>
      <c r="AH436" s="1787">
        <v>0</v>
      </c>
      <c r="AI436" s="1786"/>
      <c r="AJ436" s="1876">
        <v>0</v>
      </c>
    </row>
    <row r="437" spans="1:36">
      <c r="A437" s="1675">
        <v>26</v>
      </c>
      <c r="B437" s="1675"/>
      <c r="C437" s="1675">
        <v>39104</v>
      </c>
      <c r="D437" s="1674" t="s">
        <v>2555</v>
      </c>
      <c r="F437" s="1876">
        <f t="shared" si="104"/>
        <v>24183.219899999996</v>
      </c>
      <c r="G437" s="2001">
        <f t="shared" si="90"/>
        <v>0</v>
      </c>
      <c r="H437" s="1876">
        <f t="shared" si="91"/>
        <v>10572.333720000001</v>
      </c>
      <c r="I437" s="1785">
        <f t="shared" si="92"/>
        <v>0</v>
      </c>
      <c r="J437" s="1876">
        <f t="shared" si="93"/>
        <v>-4172.4964399999999</v>
      </c>
      <c r="K437" s="1786">
        <f t="shared" si="94"/>
        <v>0</v>
      </c>
      <c r="L437" s="1876">
        <f t="shared" si="95"/>
        <v>0</v>
      </c>
      <c r="M437" s="1786">
        <f t="shared" si="96"/>
        <v>0</v>
      </c>
      <c r="N437" s="1876">
        <f t="shared" si="97"/>
        <v>0</v>
      </c>
      <c r="O437" s="1787">
        <f t="shared" si="98"/>
        <v>0</v>
      </c>
      <c r="P437" s="1876">
        <f t="shared" si="99"/>
        <v>0</v>
      </c>
      <c r="Q437" s="1785">
        <f t="shared" si="100"/>
        <v>0</v>
      </c>
      <c r="R437" s="1787">
        <f t="shared" si="101"/>
        <v>30583.057179999996</v>
      </c>
      <c r="S437" s="1786">
        <f t="shared" si="102"/>
        <v>0</v>
      </c>
      <c r="T437" s="1876">
        <f t="shared" si="103"/>
        <v>25663.039079999999</v>
      </c>
      <c r="V437" s="1876">
        <v>24183219.899999995</v>
      </c>
      <c r="W437" s="2001"/>
      <c r="X437" s="1876">
        <v>10572333.720000001</v>
      </c>
      <c r="Y437" s="1785"/>
      <c r="Z437" s="1876">
        <v>-4172496.44</v>
      </c>
      <c r="AA437" s="1786"/>
      <c r="AB437" s="1876">
        <v>0</v>
      </c>
      <c r="AC437" s="1786"/>
      <c r="AD437" s="1876">
        <v>0</v>
      </c>
      <c r="AE437" s="1787"/>
      <c r="AF437" s="1876">
        <v>0</v>
      </c>
      <c r="AG437" s="1785"/>
      <c r="AH437" s="1787">
        <v>30583057.179999996</v>
      </c>
      <c r="AI437" s="1786"/>
      <c r="AJ437" s="1876">
        <v>25663039.079999998</v>
      </c>
    </row>
    <row r="438" spans="1:36">
      <c r="A438" s="1675">
        <v>27</v>
      </c>
      <c r="B438" s="1675"/>
      <c r="C438" s="1675">
        <v>39202</v>
      </c>
      <c r="D438" s="2002" t="s">
        <v>2556</v>
      </c>
      <c r="F438" s="1876">
        <f t="shared" si="104"/>
        <v>7607.9824299999955</v>
      </c>
      <c r="G438" s="2001">
        <f t="shared" si="90"/>
        <v>0</v>
      </c>
      <c r="H438" s="1876">
        <f t="shared" si="91"/>
        <v>2166.5242200000002</v>
      </c>
      <c r="I438" s="1785">
        <f t="shared" si="92"/>
        <v>0</v>
      </c>
      <c r="J438" s="1876">
        <f t="shared" si="93"/>
        <v>-19.5</v>
      </c>
      <c r="K438" s="1786">
        <f t="shared" si="94"/>
        <v>0</v>
      </c>
      <c r="L438" s="1876">
        <f t="shared" si="95"/>
        <v>0</v>
      </c>
      <c r="M438" s="1786">
        <f t="shared" si="96"/>
        <v>0</v>
      </c>
      <c r="N438" s="1876">
        <f t="shared" si="97"/>
        <v>35.200000000000003</v>
      </c>
      <c r="O438" s="1787">
        <f t="shared" si="98"/>
        <v>0</v>
      </c>
      <c r="P438" s="1876">
        <f t="shared" si="99"/>
        <v>0</v>
      </c>
      <c r="Q438" s="1785">
        <f t="shared" si="100"/>
        <v>0</v>
      </c>
      <c r="R438" s="1787">
        <f t="shared" si="101"/>
        <v>9790.2066499999946</v>
      </c>
      <c r="S438" s="1786">
        <f t="shared" si="102"/>
        <v>0</v>
      </c>
      <c r="T438" s="1876">
        <f t="shared" si="103"/>
        <v>8690.9626499999995</v>
      </c>
      <c r="V438" s="1876">
        <v>7607982.429999995</v>
      </c>
      <c r="W438" s="2001"/>
      <c r="X438" s="1876">
        <v>2166524.2200000002</v>
      </c>
      <c r="Y438" s="1785"/>
      <c r="Z438" s="1876">
        <v>-19500</v>
      </c>
      <c r="AA438" s="1786"/>
      <c r="AB438" s="1876">
        <v>0</v>
      </c>
      <c r="AC438" s="1786"/>
      <c r="AD438" s="1876">
        <v>35200</v>
      </c>
      <c r="AE438" s="1787"/>
      <c r="AF438" s="1876">
        <v>0</v>
      </c>
      <c r="AG438" s="1785"/>
      <c r="AH438" s="1787">
        <v>9790206.6499999948</v>
      </c>
      <c r="AI438" s="1786"/>
      <c r="AJ438" s="1876">
        <v>8690962.6500000004</v>
      </c>
    </row>
    <row r="439" spans="1:36">
      <c r="A439" s="1675">
        <v>28</v>
      </c>
      <c r="B439" s="1675"/>
      <c r="C439" s="1675">
        <v>39203</v>
      </c>
      <c r="D439" s="2002" t="s">
        <v>2557</v>
      </c>
      <c r="F439" s="1876">
        <f t="shared" si="104"/>
        <v>28088.665460000015</v>
      </c>
      <c r="G439" s="2001">
        <f t="shared" si="90"/>
        <v>0</v>
      </c>
      <c r="H439" s="1876">
        <f t="shared" si="91"/>
        <v>3366.4728</v>
      </c>
      <c r="I439" s="1785">
        <f t="shared" si="92"/>
        <v>0</v>
      </c>
      <c r="J439" s="1876">
        <f t="shared" si="93"/>
        <v>0</v>
      </c>
      <c r="K439" s="1786">
        <f t="shared" si="94"/>
        <v>0</v>
      </c>
      <c r="L439" s="1876">
        <f t="shared" si="95"/>
        <v>56.424999999999997</v>
      </c>
      <c r="M439" s="1786">
        <f t="shared" si="96"/>
        <v>0</v>
      </c>
      <c r="N439" s="1876">
        <f t="shared" si="97"/>
        <v>1000</v>
      </c>
      <c r="O439" s="1787">
        <f t="shared" si="98"/>
        <v>0</v>
      </c>
      <c r="P439" s="1876">
        <f t="shared" si="99"/>
        <v>0</v>
      </c>
      <c r="Q439" s="1785">
        <f t="shared" si="100"/>
        <v>0</v>
      </c>
      <c r="R439" s="1787">
        <f t="shared" si="101"/>
        <v>32511.563260000017</v>
      </c>
      <c r="S439" s="1786">
        <f t="shared" si="102"/>
        <v>0</v>
      </c>
      <c r="T439" s="1876">
        <f t="shared" si="103"/>
        <v>30234.072179999999</v>
      </c>
      <c r="V439" s="1876">
        <v>28088665.460000016</v>
      </c>
      <c r="W439" s="2001"/>
      <c r="X439" s="1876">
        <v>3366472.8</v>
      </c>
      <c r="Y439" s="1785"/>
      <c r="Z439" s="1876">
        <v>0</v>
      </c>
      <c r="AA439" s="1786"/>
      <c r="AB439" s="1876">
        <v>56425</v>
      </c>
      <c r="AC439" s="1786"/>
      <c r="AD439" s="1876">
        <v>1000000</v>
      </c>
      <c r="AE439" s="1787"/>
      <c r="AF439" s="1876">
        <v>0</v>
      </c>
      <c r="AG439" s="1785"/>
      <c r="AH439" s="1787">
        <v>32511563.260000017</v>
      </c>
      <c r="AI439" s="1786"/>
      <c r="AJ439" s="1876">
        <v>30234072.18</v>
      </c>
    </row>
    <row r="440" spans="1:36">
      <c r="A440" s="1675">
        <v>29</v>
      </c>
      <c r="B440" s="2015"/>
      <c r="C440" s="1675">
        <v>39204</v>
      </c>
      <c r="D440" s="2026" t="s">
        <v>2558</v>
      </c>
      <c r="E440" s="1676"/>
      <c r="F440" s="1876">
        <f t="shared" si="104"/>
        <v>0</v>
      </c>
      <c r="G440" s="2001">
        <f t="shared" si="90"/>
        <v>0</v>
      </c>
      <c r="H440" s="1876">
        <f t="shared" si="91"/>
        <v>0</v>
      </c>
      <c r="I440" s="1785">
        <f t="shared" si="92"/>
        <v>0</v>
      </c>
      <c r="J440" s="1876">
        <f t="shared" si="93"/>
        <v>0</v>
      </c>
      <c r="K440" s="1786">
        <f t="shared" si="94"/>
        <v>0</v>
      </c>
      <c r="L440" s="1876">
        <f t="shared" si="95"/>
        <v>0</v>
      </c>
      <c r="M440" s="1786">
        <f t="shared" si="96"/>
        <v>0</v>
      </c>
      <c r="N440" s="1876">
        <f t="shared" si="97"/>
        <v>0</v>
      </c>
      <c r="O440" s="1787">
        <f t="shared" si="98"/>
        <v>0</v>
      </c>
      <c r="P440" s="1876">
        <f t="shared" si="99"/>
        <v>0</v>
      </c>
      <c r="Q440" s="1785">
        <f t="shared" si="100"/>
        <v>0</v>
      </c>
      <c r="R440" s="1787">
        <f t="shared" si="101"/>
        <v>0</v>
      </c>
      <c r="S440" s="1786">
        <f t="shared" si="102"/>
        <v>0</v>
      </c>
      <c r="T440" s="1876">
        <f t="shared" si="103"/>
        <v>0</v>
      </c>
      <c r="V440" s="1876">
        <v>0</v>
      </c>
      <c r="W440" s="2001"/>
      <c r="X440" s="1876">
        <v>0</v>
      </c>
      <c r="Y440" s="1785"/>
      <c r="Z440" s="1876">
        <v>0</v>
      </c>
      <c r="AA440" s="1786"/>
      <c r="AB440" s="1876">
        <v>0</v>
      </c>
      <c r="AC440" s="1786"/>
      <c r="AD440" s="1876">
        <v>0</v>
      </c>
      <c r="AE440" s="1787"/>
      <c r="AF440" s="1876">
        <v>0</v>
      </c>
      <c r="AG440" s="1785"/>
      <c r="AH440" s="1787">
        <v>0</v>
      </c>
      <c r="AI440" s="1786"/>
      <c r="AJ440" s="1876">
        <v>0</v>
      </c>
    </row>
    <row r="441" spans="1:36">
      <c r="A441" s="1675">
        <v>30</v>
      </c>
      <c r="B441" s="2015"/>
      <c r="C441" s="1675">
        <v>39212</v>
      </c>
      <c r="D441" s="1674" t="s">
        <v>2559</v>
      </c>
      <c r="F441" s="1876">
        <f t="shared" si="104"/>
        <v>2193.4214700000011</v>
      </c>
      <c r="G441" s="2001">
        <f t="shared" si="90"/>
        <v>0</v>
      </c>
      <c r="H441" s="1876">
        <f t="shared" si="91"/>
        <v>363.54552000000001</v>
      </c>
      <c r="I441" s="1785">
        <f t="shared" si="92"/>
        <v>0</v>
      </c>
      <c r="J441" s="1876">
        <f t="shared" si="93"/>
        <v>0</v>
      </c>
      <c r="K441" s="1786">
        <f t="shared" si="94"/>
        <v>0</v>
      </c>
      <c r="L441" s="1876">
        <f t="shared" si="95"/>
        <v>0</v>
      </c>
      <c r="M441" s="1786">
        <f t="shared" si="96"/>
        <v>0</v>
      </c>
      <c r="N441" s="1876">
        <f t="shared" si="97"/>
        <v>0</v>
      </c>
      <c r="O441" s="1787">
        <f t="shared" si="98"/>
        <v>0</v>
      </c>
      <c r="P441" s="1876">
        <f t="shared" si="99"/>
        <v>0</v>
      </c>
      <c r="Q441" s="1785">
        <f t="shared" si="100"/>
        <v>0</v>
      </c>
      <c r="R441" s="1787">
        <f t="shared" si="101"/>
        <v>2556.9669900000013</v>
      </c>
      <c r="S441" s="1786">
        <f t="shared" si="102"/>
        <v>0</v>
      </c>
      <c r="T441" s="1876">
        <f t="shared" si="103"/>
        <v>2375.1942300000001</v>
      </c>
      <c r="V441" s="1876">
        <v>2193421.4700000011</v>
      </c>
      <c r="W441" s="2001"/>
      <c r="X441" s="1876">
        <v>363545.52</v>
      </c>
      <c r="Y441" s="1785"/>
      <c r="Z441" s="1876">
        <v>0</v>
      </c>
      <c r="AA441" s="1786"/>
      <c r="AB441" s="1876">
        <v>0</v>
      </c>
      <c r="AC441" s="1786"/>
      <c r="AD441" s="1876">
        <v>0</v>
      </c>
      <c r="AE441" s="1787"/>
      <c r="AF441" s="1876">
        <v>0</v>
      </c>
      <c r="AG441" s="1785"/>
      <c r="AH441" s="1787">
        <v>2556966.9900000012</v>
      </c>
      <c r="AI441" s="1786"/>
      <c r="AJ441" s="1876">
        <v>2375194.23</v>
      </c>
    </row>
    <row r="442" spans="1:36">
      <c r="A442" s="1675">
        <v>31</v>
      </c>
      <c r="B442" s="2015"/>
      <c r="C442" s="1675">
        <v>39213</v>
      </c>
      <c r="D442" s="1674" t="s">
        <v>2560</v>
      </c>
      <c r="F442" s="1876">
        <f t="shared" si="104"/>
        <v>273.20389000000006</v>
      </c>
      <c r="G442" s="2001">
        <f t="shared" si="90"/>
        <v>0</v>
      </c>
      <c r="H442" s="1876">
        <f t="shared" si="91"/>
        <v>64.590239999999994</v>
      </c>
      <c r="I442" s="1785">
        <f t="shared" si="92"/>
        <v>0</v>
      </c>
      <c r="J442" s="1876">
        <f t="shared" si="93"/>
        <v>0</v>
      </c>
      <c r="K442" s="1786">
        <f t="shared" si="94"/>
        <v>0</v>
      </c>
      <c r="L442" s="1876">
        <f t="shared" si="95"/>
        <v>0</v>
      </c>
      <c r="M442" s="1786">
        <f t="shared" si="96"/>
        <v>0</v>
      </c>
      <c r="N442" s="1876">
        <f t="shared" si="97"/>
        <v>0</v>
      </c>
      <c r="O442" s="1787">
        <f t="shared" si="98"/>
        <v>0</v>
      </c>
      <c r="P442" s="1876">
        <f t="shared" si="99"/>
        <v>0</v>
      </c>
      <c r="Q442" s="1785">
        <f t="shared" si="100"/>
        <v>0</v>
      </c>
      <c r="R442" s="1787">
        <f t="shared" si="101"/>
        <v>337.79413000000005</v>
      </c>
      <c r="S442" s="1786">
        <f t="shared" si="102"/>
        <v>0</v>
      </c>
      <c r="T442" s="1876">
        <f t="shared" si="103"/>
        <v>305.49901</v>
      </c>
      <c r="V442" s="1876">
        <v>273203.89000000007</v>
      </c>
      <c r="W442" s="2001"/>
      <c r="X442" s="1876">
        <v>64590.239999999998</v>
      </c>
      <c r="Y442" s="1785"/>
      <c r="Z442" s="1876">
        <v>0</v>
      </c>
      <c r="AA442" s="1786"/>
      <c r="AB442" s="1876">
        <v>0</v>
      </c>
      <c r="AC442" s="1786"/>
      <c r="AD442" s="1876">
        <v>0</v>
      </c>
      <c r="AE442" s="1787"/>
      <c r="AF442" s="1876">
        <v>0</v>
      </c>
      <c r="AG442" s="1785"/>
      <c r="AH442" s="1787">
        <v>337794.13000000006</v>
      </c>
      <c r="AI442" s="1786"/>
      <c r="AJ442" s="1876">
        <v>305499.01</v>
      </c>
    </row>
    <row r="443" spans="1:36">
      <c r="A443" s="1675">
        <v>32</v>
      </c>
      <c r="B443" s="2015"/>
      <c r="C443" s="1675">
        <v>39214</v>
      </c>
      <c r="D443" s="1676" t="s">
        <v>2561</v>
      </c>
      <c r="E443" s="1676"/>
      <c r="F443" s="1876">
        <f t="shared" si="104"/>
        <v>0</v>
      </c>
      <c r="G443" s="2001">
        <f t="shared" si="90"/>
        <v>0</v>
      </c>
      <c r="H443" s="1876">
        <f t="shared" si="91"/>
        <v>0</v>
      </c>
      <c r="I443" s="1785">
        <f t="shared" si="92"/>
        <v>0</v>
      </c>
      <c r="J443" s="1876">
        <f t="shared" si="93"/>
        <v>0</v>
      </c>
      <c r="K443" s="1786">
        <f t="shared" si="94"/>
        <v>0</v>
      </c>
      <c r="L443" s="1876">
        <f t="shared" si="95"/>
        <v>0</v>
      </c>
      <c r="M443" s="1786">
        <f t="shared" si="96"/>
        <v>0</v>
      </c>
      <c r="N443" s="1876">
        <f t="shared" si="97"/>
        <v>0</v>
      </c>
      <c r="O443" s="1787">
        <f t="shared" si="98"/>
        <v>0</v>
      </c>
      <c r="P443" s="1876">
        <f t="shared" si="99"/>
        <v>0</v>
      </c>
      <c r="Q443" s="1785">
        <f t="shared" si="100"/>
        <v>0</v>
      </c>
      <c r="R443" s="1787">
        <f t="shared" si="101"/>
        <v>0</v>
      </c>
      <c r="S443" s="1786">
        <f t="shared" si="102"/>
        <v>0</v>
      </c>
      <c r="T443" s="1876">
        <f t="shared" si="103"/>
        <v>0</v>
      </c>
      <c r="V443" s="1876">
        <v>0</v>
      </c>
      <c r="W443" s="2001"/>
      <c r="X443" s="1876">
        <v>0</v>
      </c>
      <c r="Y443" s="1785"/>
      <c r="Z443" s="1876">
        <v>0</v>
      </c>
      <c r="AA443" s="1786"/>
      <c r="AB443" s="1876">
        <v>0</v>
      </c>
      <c r="AC443" s="1786"/>
      <c r="AD443" s="1876">
        <v>0</v>
      </c>
      <c r="AE443" s="1787"/>
      <c r="AF443" s="1876">
        <v>0</v>
      </c>
      <c r="AG443" s="1785"/>
      <c r="AH443" s="1787">
        <v>0</v>
      </c>
      <c r="AI443" s="1786"/>
      <c r="AJ443" s="1876">
        <v>0</v>
      </c>
    </row>
    <row r="444" spans="1:36">
      <c r="A444" s="1675">
        <v>33</v>
      </c>
      <c r="B444" s="2015"/>
      <c r="C444" s="1675">
        <v>39300</v>
      </c>
      <c r="D444" s="1676" t="s">
        <v>2562</v>
      </c>
      <c r="E444" s="1676"/>
      <c r="F444" s="1876">
        <f t="shared" si="104"/>
        <v>0</v>
      </c>
      <c r="G444" s="2001">
        <f t="shared" si="90"/>
        <v>0</v>
      </c>
      <c r="H444" s="1876">
        <f t="shared" si="91"/>
        <v>0</v>
      </c>
      <c r="I444" s="1785">
        <f t="shared" si="92"/>
        <v>0</v>
      </c>
      <c r="J444" s="1876">
        <f t="shared" si="93"/>
        <v>0</v>
      </c>
      <c r="K444" s="1786">
        <f t="shared" si="94"/>
        <v>0</v>
      </c>
      <c r="L444" s="1876">
        <f t="shared" si="95"/>
        <v>0</v>
      </c>
      <c r="M444" s="1786">
        <f t="shared" si="96"/>
        <v>0</v>
      </c>
      <c r="N444" s="1876">
        <f t="shared" si="97"/>
        <v>0</v>
      </c>
      <c r="O444" s="1787">
        <f t="shared" si="98"/>
        <v>0</v>
      </c>
      <c r="P444" s="1876">
        <f t="shared" si="99"/>
        <v>0</v>
      </c>
      <c r="Q444" s="1785">
        <f t="shared" si="100"/>
        <v>0</v>
      </c>
      <c r="R444" s="1787">
        <f t="shared" si="101"/>
        <v>0</v>
      </c>
      <c r="S444" s="1786">
        <f t="shared" si="102"/>
        <v>0</v>
      </c>
      <c r="T444" s="1876">
        <f t="shared" si="103"/>
        <v>0</v>
      </c>
      <c r="V444" s="1876">
        <v>0</v>
      </c>
      <c r="W444" s="2001"/>
      <c r="X444" s="1876">
        <v>0</v>
      </c>
      <c r="Y444" s="1785"/>
      <c r="Z444" s="1876">
        <v>0</v>
      </c>
      <c r="AA444" s="1786"/>
      <c r="AB444" s="1876">
        <v>0</v>
      </c>
      <c r="AC444" s="1786"/>
      <c r="AD444" s="1876">
        <v>0</v>
      </c>
      <c r="AE444" s="1787"/>
      <c r="AF444" s="1876">
        <v>0</v>
      </c>
      <c r="AG444" s="1785"/>
      <c r="AH444" s="1787">
        <v>0</v>
      </c>
      <c r="AI444" s="1786"/>
      <c r="AJ444" s="1876">
        <v>0</v>
      </c>
    </row>
    <row r="445" spans="1:36">
      <c r="A445" s="1675">
        <v>34</v>
      </c>
      <c r="B445" s="2015"/>
      <c r="C445" s="1675">
        <v>39400</v>
      </c>
      <c r="D445" s="1676" t="s">
        <v>2563</v>
      </c>
      <c r="E445" s="1676"/>
      <c r="F445" s="1876">
        <f t="shared" si="104"/>
        <v>6575.9932300000009</v>
      </c>
      <c r="G445" s="2001">
        <f t="shared" si="90"/>
        <v>0</v>
      </c>
      <c r="H445" s="1876">
        <f t="shared" si="91"/>
        <v>2265.8509199999999</v>
      </c>
      <c r="I445" s="1785">
        <f t="shared" si="92"/>
        <v>0</v>
      </c>
      <c r="J445" s="1876">
        <f t="shared" si="93"/>
        <v>-2311.6172000000001</v>
      </c>
      <c r="K445" s="1786">
        <f t="shared" si="94"/>
        <v>0</v>
      </c>
      <c r="L445" s="1876">
        <f t="shared" si="95"/>
        <v>0</v>
      </c>
      <c r="M445" s="1786">
        <f t="shared" si="96"/>
        <v>0</v>
      </c>
      <c r="N445" s="1876">
        <f t="shared" si="97"/>
        <v>0</v>
      </c>
      <c r="O445" s="1787">
        <f t="shared" si="98"/>
        <v>0</v>
      </c>
      <c r="P445" s="1876">
        <f t="shared" si="99"/>
        <v>0</v>
      </c>
      <c r="Q445" s="1785">
        <f t="shared" si="100"/>
        <v>0</v>
      </c>
      <c r="R445" s="1787">
        <f t="shared" si="101"/>
        <v>6530.226950000002</v>
      </c>
      <c r="S445" s="1786">
        <f t="shared" si="102"/>
        <v>0</v>
      </c>
      <c r="T445" s="1876">
        <f t="shared" si="103"/>
        <v>6796.3145999999997</v>
      </c>
      <c r="V445" s="1876">
        <v>6575993.2300000014</v>
      </c>
      <c r="W445" s="2001"/>
      <c r="X445" s="1876">
        <v>2265850.92</v>
      </c>
      <c r="Y445" s="1785"/>
      <c r="Z445" s="1876">
        <v>-2311617.2000000002</v>
      </c>
      <c r="AA445" s="1786"/>
      <c r="AB445" s="1876">
        <v>0</v>
      </c>
      <c r="AC445" s="1786"/>
      <c r="AD445" s="1876">
        <v>0</v>
      </c>
      <c r="AE445" s="1787"/>
      <c r="AF445" s="1876">
        <v>0</v>
      </c>
      <c r="AG445" s="1785"/>
      <c r="AH445" s="1787">
        <v>6530226.950000002</v>
      </c>
      <c r="AI445" s="1786"/>
      <c r="AJ445" s="1876">
        <v>6796314.5999999996</v>
      </c>
    </row>
    <row r="446" spans="1:36">
      <c r="A446" s="1675">
        <v>35</v>
      </c>
      <c r="B446" s="2015"/>
      <c r="C446" s="1675">
        <v>39401</v>
      </c>
      <c r="D446" s="1674" t="s">
        <v>2564</v>
      </c>
      <c r="F446" s="1876">
        <f t="shared" si="104"/>
        <v>2993.2336700000001</v>
      </c>
      <c r="G446" s="2001">
        <f t="shared" si="90"/>
        <v>0</v>
      </c>
      <c r="H446" s="1876">
        <f t="shared" si="91"/>
        <v>837.70668000000001</v>
      </c>
      <c r="I446" s="1785">
        <f t="shared" si="92"/>
        <v>0</v>
      </c>
      <c r="J446" s="1876">
        <f t="shared" si="93"/>
        <v>0</v>
      </c>
      <c r="K446" s="1786">
        <f t="shared" si="94"/>
        <v>0</v>
      </c>
      <c r="L446" s="1876">
        <f t="shared" si="95"/>
        <v>0</v>
      </c>
      <c r="M446" s="1786">
        <f t="shared" si="96"/>
        <v>0</v>
      </c>
      <c r="N446" s="1876">
        <f t="shared" si="97"/>
        <v>0</v>
      </c>
      <c r="O446" s="1787">
        <f t="shared" si="98"/>
        <v>0</v>
      </c>
      <c r="P446" s="1876">
        <f t="shared" si="99"/>
        <v>0</v>
      </c>
      <c r="Q446" s="1785">
        <f t="shared" si="100"/>
        <v>0</v>
      </c>
      <c r="R446" s="1787">
        <f t="shared" si="101"/>
        <v>3830.9403500000003</v>
      </c>
      <c r="S446" s="1786">
        <f t="shared" si="102"/>
        <v>0</v>
      </c>
      <c r="T446" s="1876">
        <f t="shared" si="103"/>
        <v>3412.0870099999997</v>
      </c>
      <c r="V446" s="1876">
        <v>2993233.67</v>
      </c>
      <c r="W446" s="2001"/>
      <c r="X446" s="1876">
        <v>837706.68</v>
      </c>
      <c r="Y446" s="1785"/>
      <c r="Z446" s="1876">
        <v>0</v>
      </c>
      <c r="AA446" s="1786"/>
      <c r="AB446" s="1876">
        <v>0</v>
      </c>
      <c r="AC446" s="1786"/>
      <c r="AD446" s="1876">
        <v>0</v>
      </c>
      <c r="AE446" s="1787"/>
      <c r="AF446" s="1876">
        <v>0</v>
      </c>
      <c r="AG446" s="1785"/>
      <c r="AH446" s="1787">
        <v>3830940.35</v>
      </c>
      <c r="AI446" s="1786"/>
      <c r="AJ446" s="1876">
        <v>3412087.01</v>
      </c>
    </row>
    <row r="447" spans="1:36">
      <c r="A447" s="1675">
        <v>36</v>
      </c>
      <c r="B447" s="2015"/>
      <c r="C447" s="1675">
        <v>39500</v>
      </c>
      <c r="D447" s="1674" t="s">
        <v>2565</v>
      </c>
      <c r="F447" s="1876">
        <f t="shared" si="104"/>
        <v>1908.0212299999998</v>
      </c>
      <c r="G447" s="2001">
        <f t="shared" si="90"/>
        <v>0</v>
      </c>
      <c r="H447" s="1876">
        <f t="shared" si="91"/>
        <v>2503.6294600000001</v>
      </c>
      <c r="I447" s="1785">
        <f t="shared" si="92"/>
        <v>0</v>
      </c>
      <c r="J447" s="1876">
        <f t="shared" si="93"/>
        <v>-457.52873</v>
      </c>
      <c r="K447" s="1786">
        <f t="shared" si="94"/>
        <v>0</v>
      </c>
      <c r="L447" s="1876">
        <f t="shared" si="95"/>
        <v>0</v>
      </c>
      <c r="M447" s="1786">
        <f t="shared" si="96"/>
        <v>0</v>
      </c>
      <c r="N447" s="1876">
        <f t="shared" si="97"/>
        <v>0</v>
      </c>
      <c r="O447" s="1787">
        <f t="shared" si="98"/>
        <v>0</v>
      </c>
      <c r="P447" s="1876">
        <f t="shared" si="99"/>
        <v>0</v>
      </c>
      <c r="Q447" s="1785">
        <f t="shared" si="100"/>
        <v>0</v>
      </c>
      <c r="R447" s="1787">
        <f t="shared" si="101"/>
        <v>3954.1219599999995</v>
      </c>
      <c r="S447" s="1786">
        <f t="shared" si="102"/>
        <v>0</v>
      </c>
      <c r="T447" s="1876">
        <f t="shared" si="103"/>
        <v>2821.8104199999998</v>
      </c>
      <c r="V447" s="1876">
        <v>1908021.2299999997</v>
      </c>
      <c r="W447" s="2001"/>
      <c r="X447" s="1876">
        <v>2503629.46</v>
      </c>
      <c r="Y447" s="1785"/>
      <c r="Z447" s="1876">
        <v>-457528.73</v>
      </c>
      <c r="AA447" s="1786"/>
      <c r="AB447" s="1876">
        <v>0</v>
      </c>
      <c r="AC447" s="1786"/>
      <c r="AD447" s="1876">
        <v>0</v>
      </c>
      <c r="AE447" s="1787"/>
      <c r="AF447" s="1876">
        <v>0</v>
      </c>
      <c r="AG447" s="1785"/>
      <c r="AH447" s="1787">
        <v>3954121.9599999995</v>
      </c>
      <c r="AI447" s="1786"/>
      <c r="AJ447" s="1876">
        <v>2821810.42</v>
      </c>
    </row>
    <row r="448" spans="1:36">
      <c r="A448" s="1675">
        <v>37</v>
      </c>
      <c r="B448" s="2015"/>
      <c r="C448" s="1675">
        <v>39600</v>
      </c>
      <c r="D448" s="1674" t="s">
        <v>2566</v>
      </c>
      <c r="F448" s="1876">
        <f t="shared" si="104"/>
        <v>0</v>
      </c>
      <c r="G448" s="2001">
        <f t="shared" si="90"/>
        <v>0</v>
      </c>
      <c r="H448" s="1876">
        <f t="shared" si="91"/>
        <v>0</v>
      </c>
      <c r="I448" s="1785">
        <f t="shared" si="92"/>
        <v>0</v>
      </c>
      <c r="J448" s="1876">
        <f t="shared" si="93"/>
        <v>0</v>
      </c>
      <c r="K448" s="1786">
        <f t="shared" si="94"/>
        <v>0</v>
      </c>
      <c r="L448" s="1876">
        <f t="shared" si="95"/>
        <v>0</v>
      </c>
      <c r="M448" s="1786">
        <f t="shared" si="96"/>
        <v>0</v>
      </c>
      <c r="N448" s="1876">
        <f t="shared" si="97"/>
        <v>0</v>
      </c>
      <c r="O448" s="1787">
        <f t="shared" si="98"/>
        <v>0</v>
      </c>
      <c r="P448" s="1876">
        <f t="shared" si="99"/>
        <v>0</v>
      </c>
      <c r="Q448" s="1785">
        <f t="shared" si="100"/>
        <v>0</v>
      </c>
      <c r="R448" s="1787">
        <f t="shared" si="101"/>
        <v>0</v>
      </c>
      <c r="S448" s="1786">
        <f t="shared" si="102"/>
        <v>0</v>
      </c>
      <c r="T448" s="1876">
        <f t="shared" si="103"/>
        <v>0</v>
      </c>
      <c r="V448" s="1876">
        <v>0</v>
      </c>
      <c r="W448" s="2001"/>
      <c r="X448" s="1876">
        <v>0</v>
      </c>
      <c r="Y448" s="1785"/>
      <c r="Z448" s="1876">
        <v>0</v>
      </c>
      <c r="AA448" s="1786"/>
      <c r="AB448" s="1876">
        <v>0</v>
      </c>
      <c r="AC448" s="1786"/>
      <c r="AD448" s="1876">
        <v>0</v>
      </c>
      <c r="AE448" s="1787"/>
      <c r="AF448" s="1876">
        <v>0</v>
      </c>
      <c r="AG448" s="1785"/>
      <c r="AH448" s="1787">
        <v>0</v>
      </c>
      <c r="AI448" s="1786"/>
      <c r="AJ448" s="1876">
        <v>0</v>
      </c>
    </row>
    <row r="449" spans="1:36">
      <c r="A449" s="1675">
        <v>38</v>
      </c>
      <c r="B449" s="2015"/>
      <c r="C449" s="1675">
        <v>39700</v>
      </c>
      <c r="D449" s="1676" t="s">
        <v>2567</v>
      </c>
      <c r="E449" s="1676"/>
      <c r="F449" s="1876">
        <f t="shared" si="104"/>
        <v>25138.803880000003</v>
      </c>
      <c r="G449" s="2001">
        <f t="shared" si="90"/>
        <v>0</v>
      </c>
      <c r="H449" s="1876">
        <f t="shared" si="91"/>
        <v>6539.5904600000003</v>
      </c>
      <c r="I449" s="1785">
        <f t="shared" si="92"/>
        <v>0</v>
      </c>
      <c r="J449" s="1876">
        <f t="shared" si="93"/>
        <v>-13200.6661</v>
      </c>
      <c r="K449" s="1786">
        <f t="shared" si="94"/>
        <v>0</v>
      </c>
      <c r="L449" s="1876">
        <f t="shared" si="95"/>
        <v>-1.96872</v>
      </c>
      <c r="M449" s="1786">
        <f t="shared" si="96"/>
        <v>0</v>
      </c>
      <c r="N449" s="1876">
        <f t="shared" si="97"/>
        <v>0</v>
      </c>
      <c r="O449" s="1787">
        <f t="shared" si="98"/>
        <v>0</v>
      </c>
      <c r="P449" s="1876">
        <f t="shared" si="99"/>
        <v>0</v>
      </c>
      <c r="Q449" s="1785">
        <f t="shared" si="100"/>
        <v>0</v>
      </c>
      <c r="R449" s="1787">
        <f t="shared" si="101"/>
        <v>18475.759520000003</v>
      </c>
      <c r="S449" s="1786">
        <f t="shared" si="102"/>
        <v>0</v>
      </c>
      <c r="T449" s="1876">
        <f t="shared" si="103"/>
        <v>24586.568800000001</v>
      </c>
      <c r="V449" s="1876">
        <v>25138803.880000003</v>
      </c>
      <c r="W449" s="2001"/>
      <c r="X449" s="1876">
        <v>6539590.46</v>
      </c>
      <c r="Y449" s="1785"/>
      <c r="Z449" s="1876">
        <v>-13200666.1</v>
      </c>
      <c r="AA449" s="1786"/>
      <c r="AB449" s="1876">
        <v>-1968.72</v>
      </c>
      <c r="AC449" s="1786"/>
      <c r="AD449" s="1876">
        <v>0</v>
      </c>
      <c r="AE449" s="1787"/>
      <c r="AF449" s="1876">
        <v>0</v>
      </c>
      <c r="AG449" s="1785"/>
      <c r="AH449" s="1787">
        <v>18475759.520000003</v>
      </c>
      <c r="AI449" s="1786"/>
      <c r="AJ449" s="1876">
        <v>24586568.800000001</v>
      </c>
    </row>
    <row r="450" spans="1:36">
      <c r="A450" s="1675">
        <v>39</v>
      </c>
      <c r="B450" s="2015"/>
      <c r="C450" s="2009">
        <v>39725</v>
      </c>
      <c r="D450" s="1676" t="s">
        <v>2568</v>
      </c>
      <c r="E450" s="1676"/>
      <c r="F450" s="1876">
        <f t="shared" si="104"/>
        <v>27439.427159999988</v>
      </c>
      <c r="G450" s="2001">
        <f t="shared" si="90"/>
        <v>0</v>
      </c>
      <c r="H450" s="1876">
        <f t="shared" si="91"/>
        <v>1810.22883</v>
      </c>
      <c r="I450" s="1785">
        <f t="shared" si="92"/>
        <v>0</v>
      </c>
      <c r="J450" s="1876">
        <f t="shared" si="93"/>
        <v>-4244.7310099999995</v>
      </c>
      <c r="K450" s="1786">
        <f t="shared" si="94"/>
        <v>0</v>
      </c>
      <c r="L450" s="1876">
        <f t="shared" si="95"/>
        <v>0</v>
      </c>
      <c r="M450" s="1786">
        <f t="shared" si="96"/>
        <v>0</v>
      </c>
      <c r="N450" s="1876">
        <f t="shared" si="97"/>
        <v>0</v>
      </c>
      <c r="O450" s="1787">
        <f t="shared" si="98"/>
        <v>0</v>
      </c>
      <c r="P450" s="1876">
        <f t="shared" si="99"/>
        <v>0</v>
      </c>
      <c r="Q450" s="1785">
        <f t="shared" si="100"/>
        <v>0</v>
      </c>
      <c r="R450" s="1787">
        <f t="shared" si="101"/>
        <v>25004.924979999989</v>
      </c>
      <c r="S450" s="1786">
        <f t="shared" si="102"/>
        <v>0</v>
      </c>
      <c r="T450" s="1876">
        <f t="shared" si="103"/>
        <v>25897.297409999999</v>
      </c>
      <c r="V450" s="1876">
        <v>27439427.159999989</v>
      </c>
      <c r="W450" s="2001"/>
      <c r="X450" s="1876">
        <v>1810228.83</v>
      </c>
      <c r="Y450" s="1785"/>
      <c r="Z450" s="1876">
        <v>-4244731.01</v>
      </c>
      <c r="AA450" s="1786"/>
      <c r="AB450" s="1876">
        <v>0</v>
      </c>
      <c r="AC450" s="1786"/>
      <c r="AD450" s="1876">
        <v>0</v>
      </c>
      <c r="AE450" s="1787"/>
      <c r="AF450" s="1876">
        <v>0</v>
      </c>
      <c r="AG450" s="1785"/>
      <c r="AH450" s="1787">
        <v>25004924.979999989</v>
      </c>
      <c r="AI450" s="1786"/>
      <c r="AJ450" s="1876">
        <v>25897297.41</v>
      </c>
    </row>
    <row r="451" spans="1:36">
      <c r="A451" s="1675">
        <v>40</v>
      </c>
      <c r="B451" s="2015"/>
      <c r="C451" s="2009">
        <v>39800</v>
      </c>
      <c r="D451" s="1676" t="s">
        <v>2569</v>
      </c>
      <c r="E451" s="1676"/>
      <c r="F451" s="1876">
        <f t="shared" si="104"/>
        <v>2747.1298600000009</v>
      </c>
      <c r="G451" s="2001">
        <f t="shared" si="90"/>
        <v>0</v>
      </c>
      <c r="H451" s="1876">
        <f t="shared" si="91"/>
        <v>705.00037999999995</v>
      </c>
      <c r="I451" s="1785">
        <f t="shared" si="92"/>
        <v>0</v>
      </c>
      <c r="J451" s="1876">
        <f t="shared" si="93"/>
        <v>-692.5711</v>
      </c>
      <c r="K451" s="1786">
        <f t="shared" si="94"/>
        <v>0</v>
      </c>
      <c r="L451" s="1876">
        <f t="shared" si="95"/>
        <v>0</v>
      </c>
      <c r="M451" s="1786">
        <f t="shared" si="96"/>
        <v>0</v>
      </c>
      <c r="N451" s="1876">
        <f t="shared" si="97"/>
        <v>0</v>
      </c>
      <c r="O451" s="1787">
        <f t="shared" si="98"/>
        <v>0</v>
      </c>
      <c r="P451" s="1876">
        <f t="shared" si="99"/>
        <v>0</v>
      </c>
      <c r="Q451" s="1785">
        <f t="shared" si="100"/>
        <v>0</v>
      </c>
      <c r="R451" s="1787">
        <f t="shared" si="101"/>
        <v>2759.5591400000008</v>
      </c>
      <c r="S451" s="1786">
        <f t="shared" si="102"/>
        <v>0</v>
      </c>
      <c r="T451" s="1876">
        <f t="shared" si="103"/>
        <v>2741.4219800000001</v>
      </c>
      <c r="V451" s="1876">
        <v>2747129.8600000008</v>
      </c>
      <c r="W451" s="2001"/>
      <c r="X451" s="1876">
        <v>705000.38</v>
      </c>
      <c r="Y451" s="1785"/>
      <c r="Z451" s="1876">
        <v>-692571.1</v>
      </c>
      <c r="AA451" s="1786"/>
      <c r="AB451" s="1876">
        <v>0</v>
      </c>
      <c r="AC451" s="1786"/>
      <c r="AD451" s="1876">
        <v>0</v>
      </c>
      <c r="AE451" s="1787"/>
      <c r="AF451" s="1876">
        <v>0</v>
      </c>
      <c r="AG451" s="1785"/>
      <c r="AH451" s="1787">
        <v>2759559.1400000006</v>
      </c>
      <c r="AI451" s="1786"/>
      <c r="AJ451" s="1876">
        <v>2741421.98</v>
      </c>
    </row>
    <row r="452" spans="1:36" ht="15" thickBot="1">
      <c r="A452" s="1675">
        <v>41</v>
      </c>
      <c r="B452" s="2015"/>
      <c r="C452" s="2009"/>
      <c r="D452" s="1676" t="s">
        <v>2460</v>
      </c>
      <c r="E452" s="1676"/>
      <c r="F452" s="1798">
        <f t="shared" si="104"/>
        <v>193714.32814</v>
      </c>
      <c r="G452" s="1674">
        <f t="shared" si="90"/>
        <v>0</v>
      </c>
      <c r="H452" s="1798">
        <f t="shared" si="91"/>
        <v>42615.342149999997</v>
      </c>
      <c r="I452" s="1790">
        <f t="shared" si="92"/>
        <v>0</v>
      </c>
      <c r="J452" s="1798">
        <f t="shared" si="93"/>
        <v>-42164.662830000001</v>
      </c>
      <c r="K452" s="1790">
        <f t="shared" si="94"/>
        <v>0</v>
      </c>
      <c r="L452" s="1798">
        <f t="shared" si="95"/>
        <v>-425.08388999999994</v>
      </c>
      <c r="M452" s="1790">
        <f t="shared" si="96"/>
        <v>0</v>
      </c>
      <c r="N452" s="1798">
        <f t="shared" si="97"/>
        <v>1035.2</v>
      </c>
      <c r="O452" s="1813">
        <f t="shared" si="98"/>
        <v>0</v>
      </c>
      <c r="P452" s="1798">
        <f t="shared" si="99"/>
        <v>0</v>
      </c>
      <c r="Q452" s="1790">
        <f t="shared" si="100"/>
        <v>0</v>
      </c>
      <c r="R452" s="1798">
        <f t="shared" si="101"/>
        <v>194775.12357</v>
      </c>
      <c r="S452" s="1790">
        <f t="shared" si="102"/>
        <v>0</v>
      </c>
      <c r="T452" s="1798">
        <f t="shared" si="103"/>
        <v>192445.31578999999</v>
      </c>
      <c r="V452" s="1798">
        <v>193714328.13999999</v>
      </c>
      <c r="X452" s="1798">
        <v>42615342.149999999</v>
      </c>
      <c r="Y452" s="1790"/>
      <c r="Z452" s="1798">
        <v>-42164662.829999998</v>
      </c>
      <c r="AA452" s="1790"/>
      <c r="AB452" s="1798">
        <v>-425083.88999999996</v>
      </c>
      <c r="AC452" s="1790"/>
      <c r="AD452" s="1798">
        <v>1035200</v>
      </c>
      <c r="AE452" s="1813"/>
      <c r="AF452" s="1798">
        <v>0</v>
      </c>
      <c r="AG452" s="1790"/>
      <c r="AH452" s="1798">
        <v>194775123.56999999</v>
      </c>
      <c r="AI452" s="1790"/>
      <c r="AJ452" s="1798">
        <v>192445315.78999999</v>
      </c>
    </row>
    <row r="453" spans="1:36" ht="15" thickTop="1">
      <c r="A453" s="1675">
        <v>42</v>
      </c>
      <c r="B453" s="2015"/>
      <c r="C453" s="2019"/>
      <c r="F453" s="1674">
        <f t="shared" si="104"/>
        <v>0</v>
      </c>
      <c r="G453" s="1674">
        <f t="shared" si="90"/>
        <v>0</v>
      </c>
      <c r="H453" s="1674">
        <f t="shared" si="91"/>
        <v>0</v>
      </c>
      <c r="I453" s="1674">
        <f t="shared" si="92"/>
        <v>0</v>
      </c>
      <c r="J453" s="1674">
        <f t="shared" si="93"/>
        <v>0</v>
      </c>
      <c r="K453" s="1674">
        <f t="shared" si="94"/>
        <v>0</v>
      </c>
      <c r="L453" s="1674">
        <f t="shared" si="95"/>
        <v>0</v>
      </c>
      <c r="M453" s="1674">
        <f t="shared" si="96"/>
        <v>0</v>
      </c>
      <c r="N453" s="1674">
        <f t="shared" si="97"/>
        <v>0</v>
      </c>
      <c r="O453" s="1674">
        <f t="shared" si="98"/>
        <v>0</v>
      </c>
      <c r="P453" s="1674">
        <f t="shared" si="99"/>
        <v>0</v>
      </c>
      <c r="Q453" s="2001">
        <f t="shared" si="100"/>
        <v>0</v>
      </c>
      <c r="R453" s="1674">
        <f t="shared" si="101"/>
        <v>0</v>
      </c>
      <c r="S453" s="1674">
        <f t="shared" si="102"/>
        <v>0</v>
      </c>
      <c r="T453" s="1674">
        <f t="shared" si="103"/>
        <v>0</v>
      </c>
      <c r="AG453" s="2001"/>
    </row>
    <row r="454" spans="1:36" ht="15" thickBot="1">
      <c r="A454" s="1675">
        <v>43</v>
      </c>
      <c r="B454" s="2015"/>
      <c r="C454" s="2019"/>
      <c r="D454" s="2026" t="s">
        <v>2600</v>
      </c>
      <c r="E454" s="1676"/>
      <c r="F454" s="1872">
        <f t="shared" si="104"/>
        <v>3677568.8356300001</v>
      </c>
      <c r="G454" s="2043">
        <f t="shared" si="90"/>
        <v>0</v>
      </c>
      <c r="H454" s="1872">
        <f t="shared" si="91"/>
        <v>513062.28367999993</v>
      </c>
      <c r="I454" s="1790">
        <f t="shared" si="92"/>
        <v>0</v>
      </c>
      <c r="J454" s="1872">
        <f t="shared" si="93"/>
        <v>-145403.08848000001</v>
      </c>
      <c r="K454" s="1790">
        <f t="shared" si="94"/>
        <v>0</v>
      </c>
      <c r="L454" s="1872">
        <f t="shared" si="95"/>
        <v>-43716.326350000003</v>
      </c>
      <c r="M454" s="1790">
        <f t="shared" si="96"/>
        <v>0</v>
      </c>
      <c r="N454" s="1872">
        <f t="shared" si="97"/>
        <v>4566.9791399999995</v>
      </c>
      <c r="O454" s="1814">
        <f t="shared" si="98"/>
        <v>0</v>
      </c>
      <c r="P454" s="1872">
        <f t="shared" si="99"/>
        <v>0</v>
      </c>
      <c r="Q454" s="1790">
        <f t="shared" si="100"/>
        <v>0</v>
      </c>
      <c r="R454" s="1872">
        <f t="shared" si="101"/>
        <v>4006078.6836200003</v>
      </c>
      <c r="S454" s="1790">
        <f t="shared" si="102"/>
        <v>0</v>
      </c>
      <c r="T454" s="1872">
        <f t="shared" si="103"/>
        <v>3844385.6855100002</v>
      </c>
      <c r="V454" s="1872">
        <v>3677568835.6300001</v>
      </c>
      <c r="W454" s="2043"/>
      <c r="X454" s="1872">
        <v>513062283.67999995</v>
      </c>
      <c r="Y454" s="1790"/>
      <c r="Z454" s="1872">
        <v>-145403088.48000002</v>
      </c>
      <c r="AA454" s="1790"/>
      <c r="AB454" s="1872">
        <v>-43716326.350000001</v>
      </c>
      <c r="AC454" s="1790"/>
      <c r="AD454" s="1872">
        <v>4566979.1399999997</v>
      </c>
      <c r="AE454" s="1814"/>
      <c r="AF454" s="1872">
        <v>0</v>
      </c>
      <c r="AG454" s="1790"/>
      <c r="AH454" s="1872">
        <v>4006078683.6200004</v>
      </c>
      <c r="AI454" s="1790"/>
      <c r="AJ454" s="1872">
        <v>3844385685.5100002</v>
      </c>
    </row>
    <row r="455" spans="1:36" ht="15.6" thickTop="1" thickBot="1">
      <c r="A455" s="2008">
        <v>44</v>
      </c>
      <c r="B455" s="1869" t="s">
        <v>2476</v>
      </c>
      <c r="C455" s="1997"/>
      <c r="D455" s="1997"/>
      <c r="E455" s="1997"/>
      <c r="F455" s="1997">
        <f t="shared" si="104"/>
        <v>0</v>
      </c>
      <c r="G455" s="1997">
        <f t="shared" si="90"/>
        <v>0</v>
      </c>
      <c r="H455" s="1997">
        <f t="shared" si="91"/>
        <v>0</v>
      </c>
      <c r="I455" s="1997">
        <f t="shared" si="92"/>
        <v>0</v>
      </c>
      <c r="J455" s="1997">
        <f t="shared" si="93"/>
        <v>0</v>
      </c>
      <c r="K455" s="1997">
        <f t="shared" si="94"/>
        <v>0</v>
      </c>
      <c r="L455" s="1997">
        <f t="shared" si="95"/>
        <v>0</v>
      </c>
      <c r="M455" s="1997">
        <f t="shared" si="96"/>
        <v>0</v>
      </c>
      <c r="N455" s="1997">
        <f t="shared" si="97"/>
        <v>0</v>
      </c>
      <c r="O455" s="1997">
        <f t="shared" si="98"/>
        <v>0</v>
      </c>
      <c r="P455" s="1997">
        <f t="shared" si="99"/>
        <v>0</v>
      </c>
      <c r="Q455" s="1998">
        <f t="shared" si="100"/>
        <v>0</v>
      </c>
      <c r="R455" s="1997">
        <f t="shared" si="101"/>
        <v>0</v>
      </c>
      <c r="S455" s="1997">
        <f t="shared" si="102"/>
        <v>0</v>
      </c>
      <c r="T455" s="1997">
        <f t="shared" si="103"/>
        <v>0</v>
      </c>
      <c r="V455" s="1997"/>
      <c r="W455" s="1997"/>
      <c r="X455" s="1997"/>
      <c r="Y455" s="1997"/>
      <c r="Z455" s="1997"/>
      <c r="AA455" s="1997"/>
      <c r="AB455" s="1997"/>
      <c r="AC455" s="1997"/>
      <c r="AD455" s="1997"/>
      <c r="AE455" s="1997"/>
      <c r="AF455" s="1997"/>
      <c r="AG455" s="1998"/>
      <c r="AH455" s="1997"/>
      <c r="AI455" s="1997"/>
      <c r="AJ455" s="1997"/>
    </row>
    <row r="456" spans="1:36">
      <c r="A456" s="1674" t="s">
        <v>8186</v>
      </c>
      <c r="F456" s="1674">
        <f t="shared" si="104"/>
        <v>0</v>
      </c>
      <c r="G456" s="1674">
        <f t="shared" si="90"/>
        <v>0</v>
      </c>
      <c r="H456" s="1674">
        <f t="shared" si="91"/>
        <v>0</v>
      </c>
      <c r="I456" s="1674">
        <f t="shared" si="92"/>
        <v>0</v>
      </c>
      <c r="J456" s="1674">
        <f t="shared" si="93"/>
        <v>0</v>
      </c>
      <c r="K456" s="1674">
        <f t="shared" si="94"/>
        <v>0</v>
      </c>
      <c r="L456" s="1674">
        <f t="shared" si="95"/>
        <v>0</v>
      </c>
      <c r="M456" s="1674">
        <f t="shared" si="96"/>
        <v>0</v>
      </c>
      <c r="N456" s="1674">
        <f t="shared" si="97"/>
        <v>0</v>
      </c>
      <c r="O456" s="1674">
        <f t="shared" si="98"/>
        <v>0</v>
      </c>
      <c r="P456" s="1674">
        <f t="shared" si="99"/>
        <v>0</v>
      </c>
      <c r="Q456" s="2001">
        <f t="shared" si="100"/>
        <v>0</v>
      </c>
      <c r="R456" s="1674" t="str">
        <f t="shared" si="101"/>
        <v>Recap Schedules:  B-03, B-06</v>
      </c>
      <c r="S456" s="1674">
        <f t="shared" si="102"/>
        <v>0</v>
      </c>
      <c r="T456" s="1674">
        <f t="shared" si="103"/>
        <v>0</v>
      </c>
      <c r="AG456" s="2001"/>
      <c r="AH456" s="1674" t="s">
        <v>8948</v>
      </c>
    </row>
    <row r="457" spans="1:36" ht="15" thickBot="1">
      <c r="A457" s="1997" t="s">
        <v>8952</v>
      </c>
      <c r="B457" s="1997"/>
      <c r="C457" s="1997"/>
      <c r="D457" s="1997"/>
      <c r="E457" s="1997"/>
      <c r="F457" s="1997" t="str">
        <f t="shared" si="104"/>
        <v>DEPRECIATION RESERVE BALANCES BY ACCOUNT AND SUB-ACCOUNT</v>
      </c>
      <c r="G457" s="1997">
        <f t="shared" si="90"/>
        <v>0</v>
      </c>
      <c r="H457" s="1997">
        <f t="shared" si="91"/>
        <v>0</v>
      </c>
      <c r="I457" s="1997">
        <f t="shared" si="92"/>
        <v>0</v>
      </c>
      <c r="J457" s="1997">
        <f t="shared" si="93"/>
        <v>0</v>
      </c>
      <c r="K457" s="1997">
        <f t="shared" si="94"/>
        <v>0</v>
      </c>
      <c r="L457" s="1997">
        <f t="shared" si="95"/>
        <v>0</v>
      </c>
      <c r="M457" s="1997">
        <f t="shared" si="96"/>
        <v>0</v>
      </c>
      <c r="N457" s="1997">
        <f t="shared" si="97"/>
        <v>0</v>
      </c>
      <c r="O457" s="1997">
        <f t="shared" si="98"/>
        <v>0</v>
      </c>
      <c r="P457" s="1997">
        <f t="shared" si="99"/>
        <v>0</v>
      </c>
      <c r="Q457" s="1998">
        <f t="shared" si="100"/>
        <v>0</v>
      </c>
      <c r="R457" s="1997">
        <f t="shared" si="101"/>
        <v>0</v>
      </c>
      <c r="S457" s="1997">
        <f t="shared" si="102"/>
        <v>0</v>
      </c>
      <c r="T457" s="1997" t="str">
        <f t="shared" si="103"/>
        <v>Page 9 of 10</v>
      </c>
      <c r="V457" s="1997" t="s">
        <v>2594</v>
      </c>
      <c r="W457" s="1997"/>
      <c r="X457" s="1997"/>
      <c r="Y457" s="1997"/>
      <c r="Z457" s="1997"/>
      <c r="AA457" s="1997"/>
      <c r="AB457" s="1997"/>
      <c r="AC457" s="1997"/>
      <c r="AD457" s="1997"/>
      <c r="AE457" s="1997"/>
      <c r="AF457" s="1997"/>
      <c r="AG457" s="1998"/>
      <c r="AH457" s="1997"/>
      <c r="AI457" s="1997"/>
      <c r="AJ457" s="1997" t="s">
        <v>2570</v>
      </c>
    </row>
    <row r="458" spans="1:36">
      <c r="A458" s="1674" t="s">
        <v>2425</v>
      </c>
      <c r="B458" s="2024"/>
      <c r="E458" s="2001" t="s">
        <v>2426</v>
      </c>
      <c r="F458" s="1674" t="str">
        <f t="shared" si="104"/>
        <v>Provide the depreciation reserve balances for each account or sub-account to which</v>
      </c>
      <c r="G458" s="1674">
        <f t="shared" si="90"/>
        <v>0</v>
      </c>
      <c r="H458" s="1674">
        <f t="shared" si="91"/>
        <v>0</v>
      </c>
      <c r="I458" s="1674">
        <f t="shared" si="92"/>
        <v>0</v>
      </c>
      <c r="J458" s="2003">
        <f t="shared" si="93"/>
        <v>0</v>
      </c>
      <c r="K458" s="2003">
        <f t="shared" si="94"/>
        <v>0</v>
      </c>
      <c r="L458" s="1674">
        <f t="shared" si="95"/>
        <v>0</v>
      </c>
      <c r="M458" s="2003">
        <f t="shared" si="96"/>
        <v>0</v>
      </c>
      <c r="N458" s="2003">
        <f t="shared" si="97"/>
        <v>0</v>
      </c>
      <c r="O458" s="2003">
        <f t="shared" si="98"/>
        <v>0</v>
      </c>
      <c r="P458" s="2003">
        <f t="shared" si="99"/>
        <v>0</v>
      </c>
      <c r="Q458" s="2004">
        <f t="shared" si="100"/>
        <v>0</v>
      </c>
      <c r="R458" s="1674" t="str">
        <f t="shared" si="101"/>
        <v>Type of data shown:</v>
      </c>
      <c r="S458" s="1674">
        <f t="shared" si="102"/>
        <v>0</v>
      </c>
      <c r="T458" s="2005">
        <f t="shared" si="103"/>
        <v>0</v>
      </c>
      <c r="V458" s="1674" t="s">
        <v>2595</v>
      </c>
      <c r="Z458" s="2003"/>
      <c r="AA458" s="2003"/>
      <c r="AC458" s="2003"/>
      <c r="AD458" s="2003"/>
      <c r="AE458" s="2003"/>
      <c r="AF458" s="2003"/>
      <c r="AG458" s="2004"/>
      <c r="AH458" s="1674" t="s">
        <v>2427</v>
      </c>
      <c r="AJ458" s="2005"/>
    </row>
    <row r="459" spans="1:36">
      <c r="B459" s="2024"/>
      <c r="F459" s="1674" t="str">
        <f t="shared" si="104"/>
        <v>an individual depreciation rate is applied. (Include Amortization/Recovery amounts).</v>
      </c>
      <c r="G459" s="1674">
        <f t="shared" si="90"/>
        <v>0</v>
      </c>
      <c r="H459" s="1674">
        <f t="shared" si="91"/>
        <v>0</v>
      </c>
      <c r="I459" s="1674">
        <f t="shared" si="92"/>
        <v>0</v>
      </c>
      <c r="J459" s="2001">
        <f t="shared" si="93"/>
        <v>0</v>
      </c>
      <c r="K459" s="2005">
        <f t="shared" si="94"/>
        <v>0</v>
      </c>
      <c r="L459" s="1674">
        <f t="shared" si="95"/>
        <v>0</v>
      </c>
      <c r="M459" s="1674">
        <f t="shared" si="96"/>
        <v>0</v>
      </c>
      <c r="N459" s="2001">
        <f t="shared" si="97"/>
        <v>0</v>
      </c>
      <c r="O459" s="2001">
        <f t="shared" si="98"/>
        <v>0</v>
      </c>
      <c r="P459" s="2001">
        <f t="shared" si="99"/>
        <v>0</v>
      </c>
      <c r="Q459" s="2001" t="str">
        <f t="shared" si="100"/>
        <v>XX</v>
      </c>
      <c r="R459" s="2005" t="str">
        <f t="shared" si="101"/>
        <v>Projected Test Year Ended 12/31/2025</v>
      </c>
      <c r="S459" s="1674">
        <f t="shared" si="102"/>
        <v>0</v>
      </c>
      <c r="T459" s="2001">
        <f t="shared" si="103"/>
        <v>0</v>
      </c>
      <c r="V459" s="1674" t="s">
        <v>8185</v>
      </c>
      <c r="Z459" s="2001"/>
      <c r="AA459" s="2005"/>
      <c r="AD459" s="2001"/>
      <c r="AE459" s="2001"/>
      <c r="AF459" s="2001"/>
      <c r="AG459" s="2001" t="s">
        <v>8157</v>
      </c>
      <c r="AH459" s="2005" t="s">
        <v>8944</v>
      </c>
      <c r="AJ459" s="2001"/>
    </row>
    <row r="460" spans="1:36">
      <c r="A460" s="1674" t="s">
        <v>2428</v>
      </c>
      <c r="B460" s="2024"/>
      <c r="F460" s="1674" t="str">
        <f t="shared" si="104"/>
        <v/>
      </c>
      <c r="G460" s="1674">
        <f t="shared" si="90"/>
        <v>0</v>
      </c>
      <c r="H460" s="1674">
        <f t="shared" si="91"/>
        <v>0</v>
      </c>
      <c r="I460" s="1674">
        <f t="shared" si="92"/>
        <v>0</v>
      </c>
      <c r="J460" s="2001">
        <f t="shared" si="93"/>
        <v>0</v>
      </c>
      <c r="K460" s="2005">
        <f t="shared" si="94"/>
        <v>0</v>
      </c>
      <c r="L460" s="2001">
        <f t="shared" si="95"/>
        <v>0</v>
      </c>
      <c r="M460" s="1674">
        <f t="shared" si="96"/>
        <v>0</v>
      </c>
      <c r="N460" s="1674">
        <f t="shared" si="97"/>
        <v>0</v>
      </c>
      <c r="O460" s="1674">
        <f t="shared" si="98"/>
        <v>0</v>
      </c>
      <c r="P460" s="1674">
        <f t="shared" si="99"/>
        <v>0</v>
      </c>
      <c r="Q460" s="2001" t="str">
        <f t="shared" si="100"/>
        <v/>
      </c>
      <c r="R460" s="2005" t="str">
        <f t="shared" si="101"/>
        <v>Projected Prior Year Ended 12/31/2024</v>
      </c>
      <c r="S460" s="1674">
        <f t="shared" si="102"/>
        <v>0</v>
      </c>
      <c r="T460" s="2001">
        <f t="shared" si="103"/>
        <v>0</v>
      </c>
      <c r="V460" s="1674" t="s">
        <v>2360</v>
      </c>
      <c r="Z460" s="2001"/>
      <c r="AA460" s="2005"/>
      <c r="AB460" s="2001"/>
      <c r="AG460" s="2001" t="s">
        <v>2360</v>
      </c>
      <c r="AH460" s="2005" t="s">
        <v>8945</v>
      </c>
      <c r="AJ460" s="2001"/>
    </row>
    <row r="461" spans="1:36">
      <c r="B461" s="2024"/>
      <c r="F461" s="1674" t="str">
        <f t="shared" si="104"/>
        <v/>
      </c>
      <c r="G461" s="1674">
        <f t="shared" si="90"/>
        <v>0</v>
      </c>
      <c r="H461" s="1674">
        <f t="shared" si="91"/>
        <v>0</v>
      </c>
      <c r="I461" s="1674">
        <f t="shared" si="92"/>
        <v>0</v>
      </c>
      <c r="J461" s="2001">
        <f t="shared" si="93"/>
        <v>0</v>
      </c>
      <c r="K461" s="2005">
        <f t="shared" si="94"/>
        <v>0</v>
      </c>
      <c r="L461" s="2001">
        <f t="shared" si="95"/>
        <v>0</v>
      </c>
      <c r="M461" s="1674">
        <f t="shared" si="96"/>
        <v>0</v>
      </c>
      <c r="N461" s="1674">
        <f t="shared" si="97"/>
        <v>0</v>
      </c>
      <c r="O461" s="1674">
        <f t="shared" si="98"/>
        <v>0</v>
      </c>
      <c r="P461" s="1674">
        <f t="shared" si="99"/>
        <v>0</v>
      </c>
      <c r="Q461" s="2001" t="str">
        <f t="shared" si="100"/>
        <v/>
      </c>
      <c r="R461" s="2005" t="str">
        <f t="shared" si="101"/>
        <v>Historical Prior Year Ended 12/31/2023</v>
      </c>
      <c r="S461" s="1674">
        <f t="shared" si="102"/>
        <v>0</v>
      </c>
      <c r="T461" s="2001">
        <f t="shared" si="103"/>
        <v>0</v>
      </c>
      <c r="V461" s="1674" t="s">
        <v>2360</v>
      </c>
      <c r="Z461" s="2001"/>
      <c r="AA461" s="2005"/>
      <c r="AB461" s="2001"/>
      <c r="AG461" s="2001" t="s">
        <v>2360</v>
      </c>
      <c r="AH461" s="2005" t="s">
        <v>8946</v>
      </c>
      <c r="AJ461" s="2001"/>
    </row>
    <row r="462" spans="1:36">
      <c r="B462" s="2024"/>
      <c r="F462" s="1674">
        <f t="shared" si="104"/>
        <v>0</v>
      </c>
      <c r="G462" s="1674">
        <f t="shared" si="90"/>
        <v>0</v>
      </c>
      <c r="H462" s="1674">
        <f t="shared" si="91"/>
        <v>0</v>
      </c>
      <c r="I462" s="1674">
        <f t="shared" si="92"/>
        <v>0</v>
      </c>
      <c r="J462" s="2001">
        <f t="shared" si="93"/>
        <v>0</v>
      </c>
      <c r="K462" s="2005">
        <f t="shared" si="94"/>
        <v>0</v>
      </c>
      <c r="L462" s="2001">
        <f t="shared" si="95"/>
        <v>0</v>
      </c>
      <c r="M462" s="1674">
        <f t="shared" si="96"/>
        <v>0</v>
      </c>
      <c r="N462" s="1674">
        <f t="shared" si="97"/>
        <v>0</v>
      </c>
      <c r="O462" s="1674">
        <f t="shared" si="98"/>
        <v>0</v>
      </c>
      <c r="P462" s="1674">
        <f t="shared" si="99"/>
        <v>0</v>
      </c>
      <c r="Q462" s="2001">
        <f t="shared" si="100"/>
        <v>0</v>
      </c>
      <c r="R462" s="2005" t="str">
        <f t="shared" si="101"/>
        <v>Witness: D. Avellan</v>
      </c>
      <c r="S462" s="1674">
        <f t="shared" si="102"/>
        <v>0</v>
      </c>
      <c r="T462" s="2001">
        <f t="shared" si="103"/>
        <v>0</v>
      </c>
      <c r="Z462" s="2001"/>
      <c r="AA462" s="2005"/>
      <c r="AB462" s="2001"/>
      <c r="AG462" s="2001"/>
      <c r="AH462" s="2005" t="s">
        <v>8160</v>
      </c>
      <c r="AJ462" s="2001"/>
    </row>
    <row r="463" spans="1:36" ht="15" thickBot="1">
      <c r="A463" s="1997" t="s">
        <v>8158</v>
      </c>
      <c r="B463" s="2025"/>
      <c r="C463" s="1997"/>
      <c r="D463" s="1997"/>
      <c r="E463" s="1997"/>
      <c r="F463" s="1997" t="str">
        <f t="shared" si="104"/>
        <v/>
      </c>
      <c r="G463" s="1997">
        <f t="shared" si="90"/>
        <v>0</v>
      </c>
      <c r="H463" s="2008" t="str">
        <f t="shared" si="91"/>
        <v>(Dollars in cents)</v>
      </c>
      <c r="I463" s="1997">
        <f t="shared" si="92"/>
        <v>0</v>
      </c>
      <c r="J463" s="1997">
        <f t="shared" si="93"/>
        <v>0</v>
      </c>
      <c r="K463" s="1997">
        <f t="shared" si="94"/>
        <v>0</v>
      </c>
      <c r="L463" s="1997">
        <f t="shared" si="95"/>
        <v>0</v>
      </c>
      <c r="M463" s="1997">
        <f t="shared" si="96"/>
        <v>0</v>
      </c>
      <c r="N463" s="1997">
        <f t="shared" si="97"/>
        <v>0</v>
      </c>
      <c r="O463" s="1997">
        <f t="shared" si="98"/>
        <v>0</v>
      </c>
      <c r="P463" s="1997">
        <f t="shared" si="99"/>
        <v>0</v>
      </c>
      <c r="Q463" s="1998">
        <f t="shared" si="100"/>
        <v>0</v>
      </c>
      <c r="R463" s="1997" t="str">
        <f t="shared" si="101"/>
        <v xml:space="preserve"> </v>
      </c>
      <c r="S463" s="1997">
        <f t="shared" si="102"/>
        <v>0</v>
      </c>
      <c r="T463" s="1997">
        <f t="shared" si="103"/>
        <v>0</v>
      </c>
      <c r="V463" s="1997" t="s">
        <v>2360</v>
      </c>
      <c r="W463" s="1997"/>
      <c r="X463" s="2008" t="s">
        <v>8159</v>
      </c>
      <c r="Y463" s="1997"/>
      <c r="Z463" s="1997"/>
      <c r="AA463" s="1997"/>
      <c r="AB463" s="1997"/>
      <c r="AC463" s="1997"/>
      <c r="AD463" s="1997"/>
      <c r="AE463" s="1997"/>
      <c r="AF463" s="1997"/>
      <c r="AG463" s="1998"/>
      <c r="AH463" s="1997" t="s">
        <v>2477</v>
      </c>
      <c r="AI463" s="1997"/>
      <c r="AJ463" s="1997"/>
    </row>
    <row r="464" spans="1:36">
      <c r="C464" s="2009"/>
      <c r="D464" s="2009"/>
      <c r="E464" s="2009"/>
      <c r="F464" s="2009">
        <f t="shared" si="104"/>
        <v>0</v>
      </c>
      <c r="G464" s="2009">
        <f t="shared" si="90"/>
        <v>0</v>
      </c>
      <c r="H464" s="2009">
        <f t="shared" si="91"/>
        <v>0</v>
      </c>
      <c r="I464" s="2009">
        <f t="shared" si="92"/>
        <v>0</v>
      </c>
      <c r="J464" s="2009">
        <f t="shared" si="93"/>
        <v>0</v>
      </c>
      <c r="K464" s="2009">
        <f t="shared" si="94"/>
        <v>0</v>
      </c>
      <c r="L464" s="2009">
        <f t="shared" si="95"/>
        <v>0</v>
      </c>
      <c r="M464" s="2009">
        <f t="shared" si="96"/>
        <v>0</v>
      </c>
      <c r="N464" s="2009">
        <f t="shared" si="97"/>
        <v>0</v>
      </c>
      <c r="O464" s="2009">
        <f t="shared" si="98"/>
        <v>0</v>
      </c>
      <c r="P464" s="2009">
        <f t="shared" si="99"/>
        <v>0</v>
      </c>
      <c r="Q464" s="2010">
        <f t="shared" si="100"/>
        <v>0</v>
      </c>
      <c r="R464" s="2009">
        <f t="shared" si="101"/>
        <v>0</v>
      </c>
      <c r="S464" s="2009">
        <f t="shared" si="102"/>
        <v>0</v>
      </c>
      <c r="T464" s="2009">
        <f t="shared" si="103"/>
        <v>0</v>
      </c>
      <c r="V464" s="2009"/>
      <c r="W464" s="2009"/>
      <c r="X464" s="2009"/>
      <c r="Y464" s="2009"/>
      <c r="Z464" s="2009"/>
      <c r="AA464" s="2009"/>
      <c r="AB464" s="2009"/>
      <c r="AC464" s="2009"/>
      <c r="AD464" s="2009"/>
      <c r="AE464" s="2009"/>
      <c r="AF464" s="2009"/>
      <c r="AG464" s="2010"/>
      <c r="AH464" s="2009"/>
      <c r="AI464" s="2009"/>
      <c r="AJ464" s="2009"/>
    </row>
    <row r="465" spans="1:36">
      <c r="C465" s="2009" t="s">
        <v>2306</v>
      </c>
      <c r="D465" s="2009" t="s">
        <v>2307</v>
      </c>
      <c r="E465" s="2009"/>
      <c r="F465" s="2009" t="str">
        <f t="shared" si="104"/>
        <v>(3)</v>
      </c>
      <c r="G465" s="2009">
        <f t="shared" ref="G465:G528" si="105">+IF(ISNUMBER(W465),W465/1000,W465)</f>
        <v>0</v>
      </c>
      <c r="H465" s="2009" t="str">
        <f t="shared" ref="H465:H528" si="106">+IF(ISNUMBER(X465),X465/1000,X465)</f>
        <v>(4)</v>
      </c>
      <c r="I465" s="2009">
        <f t="shared" ref="I465:I528" si="107">+IF(ISNUMBER(Y465),Y465/1000,Y465)</f>
        <v>0</v>
      </c>
      <c r="J465" s="1675" t="str">
        <f t="shared" ref="J465:J528" si="108">+IF(ISNUMBER(Z465),Z465/1000,Z465)</f>
        <v>(5)</v>
      </c>
      <c r="K465" s="1675">
        <f t="shared" ref="K465:K528" si="109">+IF(ISNUMBER(AA465),AA465/1000,AA465)</f>
        <v>0</v>
      </c>
      <c r="L465" s="2009" t="str">
        <f t="shared" ref="L465:L528" si="110">+IF(ISNUMBER(AB465),AB465/1000,AB465)</f>
        <v>(6)</v>
      </c>
      <c r="M465" s="2009">
        <f t="shared" ref="M465:M528" si="111">+IF(ISNUMBER(AC465),AC465/1000,AC465)</f>
        <v>0</v>
      </c>
      <c r="N465" s="2009" t="str">
        <f t="shared" ref="N465:N528" si="112">+IF(ISNUMBER(AD465),AD465/1000,AD465)</f>
        <v>(7)</v>
      </c>
      <c r="O465" s="2009">
        <f t="shared" ref="O465:O528" si="113">+IF(ISNUMBER(AE465),AE465/1000,AE465)</f>
        <v>0</v>
      </c>
      <c r="P465" s="2009" t="str">
        <f t="shared" ref="P465:P528" si="114">+IF(ISNUMBER(AF465),AF465/1000,AF465)</f>
        <v>(8)</v>
      </c>
      <c r="Q465" s="2010">
        <f t="shared" ref="Q465:Q528" si="115">+IF(ISNUMBER(AG465),AG465/1000,AG465)</f>
        <v>0</v>
      </c>
      <c r="R465" s="2009" t="str">
        <f t="shared" ref="R465:R528" si="116">+IF(ISNUMBER(AH465),AH465/1000,AH465)</f>
        <v>(9)</v>
      </c>
      <c r="S465" s="2009">
        <f t="shared" ref="S465:S528" si="117">+IF(ISNUMBER(AI465),AI465/1000,AI465)</f>
        <v>0</v>
      </c>
      <c r="T465" s="2009" t="str">
        <f t="shared" ref="T465:T528" si="118">+IF(ISNUMBER(AJ465),AJ465/1000,AJ465)</f>
        <v>(10)</v>
      </c>
      <c r="V465" s="2009" t="s">
        <v>2308</v>
      </c>
      <c r="W465" s="2009"/>
      <c r="X465" s="2009" t="s">
        <v>2309</v>
      </c>
      <c r="Y465" s="2009"/>
      <c r="Z465" s="1675" t="s">
        <v>2310</v>
      </c>
      <c r="AA465" s="1675"/>
      <c r="AB465" s="2009" t="s">
        <v>2311</v>
      </c>
      <c r="AC465" s="2009"/>
      <c r="AD465" s="2009" t="s">
        <v>2312</v>
      </c>
      <c r="AE465" s="2009"/>
      <c r="AF465" s="2009" t="s">
        <v>2313</v>
      </c>
      <c r="AG465" s="2010"/>
      <c r="AH465" s="2009" t="s">
        <v>2314</v>
      </c>
      <c r="AI465" s="2009"/>
      <c r="AJ465" s="2009" t="s">
        <v>2361</v>
      </c>
    </row>
    <row r="466" spans="1:36">
      <c r="C466" s="1675" t="s">
        <v>2429</v>
      </c>
      <c r="D466" s="1675" t="s">
        <v>2429</v>
      </c>
      <c r="F466" s="1675" t="str">
        <f t="shared" ref="F466:F529" si="119">+IF(ISNUMBER(V466),V466/1000,V466)</f>
        <v>Accumulated</v>
      </c>
      <c r="G466" s="1675">
        <f t="shared" si="105"/>
        <v>0</v>
      </c>
      <c r="H466" s="2009" t="str">
        <f t="shared" si="106"/>
        <v>Total</v>
      </c>
      <c r="I466" s="1675">
        <f t="shared" si="107"/>
        <v>0</v>
      </c>
      <c r="J466" s="2009">
        <f t="shared" si="108"/>
        <v>0</v>
      </c>
      <c r="K466" s="1675">
        <f t="shared" si="109"/>
        <v>0</v>
      </c>
      <c r="L466" s="1675">
        <f t="shared" si="110"/>
        <v>0</v>
      </c>
      <c r="M466" s="1675">
        <f t="shared" si="111"/>
        <v>0</v>
      </c>
      <c r="N466" s="1674">
        <f t="shared" si="112"/>
        <v>0</v>
      </c>
      <c r="O466" s="1674">
        <f t="shared" si="113"/>
        <v>0</v>
      </c>
      <c r="P466" s="1674">
        <f t="shared" si="114"/>
        <v>0</v>
      </c>
      <c r="Q466" s="2001">
        <f t="shared" si="115"/>
        <v>0</v>
      </c>
      <c r="R466" s="1675" t="str">
        <f t="shared" si="116"/>
        <v>Accumulated</v>
      </c>
      <c r="S466" s="1674">
        <f t="shared" si="117"/>
        <v>0</v>
      </c>
      <c r="T466" s="1675">
        <f t="shared" si="118"/>
        <v>0</v>
      </c>
      <c r="V466" s="1675" t="s">
        <v>2315</v>
      </c>
      <c r="W466" s="1675"/>
      <c r="X466" s="2009" t="s">
        <v>122</v>
      </c>
      <c r="Y466" s="1675"/>
      <c r="Z466" s="2009"/>
      <c r="AA466" s="1675"/>
      <c r="AB466" s="1675"/>
      <c r="AC466" s="1675"/>
      <c r="AG466" s="2001"/>
      <c r="AH466" s="1675" t="s">
        <v>2315</v>
      </c>
      <c r="AJ466" s="1675"/>
    </row>
    <row r="467" spans="1:36">
      <c r="A467" s="1675" t="s">
        <v>2430</v>
      </c>
      <c r="B467" s="1675"/>
      <c r="C467" s="1675" t="s">
        <v>2431</v>
      </c>
      <c r="D467" s="1675" t="s">
        <v>2431</v>
      </c>
      <c r="E467" s="2009"/>
      <c r="F467" s="1675" t="str">
        <f t="shared" si="119"/>
        <v>Depreciation</v>
      </c>
      <c r="G467" s="1675">
        <f t="shared" si="105"/>
        <v>0</v>
      </c>
      <c r="H467" s="1675" t="str">
        <f t="shared" si="106"/>
        <v>Depreciation</v>
      </c>
      <c r="I467" s="1675">
        <f t="shared" si="107"/>
        <v>0</v>
      </c>
      <c r="J467" s="1675">
        <f t="shared" si="108"/>
        <v>0</v>
      </c>
      <c r="K467" s="2009">
        <f t="shared" si="109"/>
        <v>0</v>
      </c>
      <c r="L467" s="1675" t="str">
        <f t="shared" si="110"/>
        <v>Gross</v>
      </c>
      <c r="M467" s="2005">
        <f t="shared" si="111"/>
        <v>0</v>
      </c>
      <c r="N467" s="1675" t="str">
        <f t="shared" si="112"/>
        <v>Gross</v>
      </c>
      <c r="O467" s="1675">
        <f t="shared" si="113"/>
        <v>0</v>
      </c>
      <c r="P467" s="1675" t="str">
        <f t="shared" si="114"/>
        <v>Adjustments</v>
      </c>
      <c r="Q467" s="2010">
        <f t="shared" si="115"/>
        <v>0</v>
      </c>
      <c r="R467" s="2009" t="str">
        <f t="shared" si="116"/>
        <v>Depreciation</v>
      </c>
      <c r="S467" s="2009">
        <f t="shared" si="117"/>
        <v>0</v>
      </c>
      <c r="T467" s="1675" t="str">
        <f t="shared" si="118"/>
        <v>13-Month</v>
      </c>
      <c r="V467" s="1675" t="s">
        <v>1537</v>
      </c>
      <c r="W467" s="1675"/>
      <c r="X467" s="1675" t="s">
        <v>1537</v>
      </c>
      <c r="Y467" s="1675"/>
      <c r="Z467" s="1675"/>
      <c r="AA467" s="2009"/>
      <c r="AB467" s="1675" t="s">
        <v>2596</v>
      </c>
      <c r="AC467" s="2005"/>
      <c r="AD467" s="1675" t="s">
        <v>2596</v>
      </c>
      <c r="AE467" s="1675"/>
      <c r="AF467" s="1675" t="s">
        <v>593</v>
      </c>
      <c r="AG467" s="2010"/>
      <c r="AH467" s="2009" t="s">
        <v>1537</v>
      </c>
      <c r="AI467" s="2009"/>
      <c r="AJ467" s="1675" t="s">
        <v>2434</v>
      </c>
    </row>
    <row r="468" spans="1:36" ht="15" thickBot="1">
      <c r="A468" s="2008" t="s">
        <v>2435</v>
      </c>
      <c r="B468" s="2008"/>
      <c r="C468" s="2008" t="s">
        <v>2436</v>
      </c>
      <c r="D468" s="2008" t="s">
        <v>2437</v>
      </c>
      <c r="E468" s="2008"/>
      <c r="F468" s="2011" t="str">
        <f t="shared" si="119"/>
        <v>Beg. of Year</v>
      </c>
      <c r="G468" s="2011">
        <f t="shared" si="105"/>
        <v>0</v>
      </c>
      <c r="H468" s="2011" t="str">
        <f t="shared" si="106"/>
        <v>Accrued</v>
      </c>
      <c r="I468" s="2012">
        <f t="shared" si="107"/>
        <v>0</v>
      </c>
      <c r="J468" s="2011" t="str">
        <f t="shared" si="108"/>
        <v>Retirements</v>
      </c>
      <c r="K468" s="2012">
        <f t="shared" si="109"/>
        <v>0</v>
      </c>
      <c r="L468" s="2012" t="str">
        <f t="shared" si="110"/>
        <v>COR</v>
      </c>
      <c r="M468" s="2013">
        <f t="shared" si="111"/>
        <v>0</v>
      </c>
      <c r="N468" s="2013" t="str">
        <f t="shared" si="112"/>
        <v>Salvage</v>
      </c>
      <c r="O468" s="2013">
        <f t="shared" si="113"/>
        <v>0</v>
      </c>
      <c r="P468" s="2013" t="str">
        <f t="shared" si="114"/>
        <v>or Transfers</v>
      </c>
      <c r="Q468" s="2014">
        <f t="shared" si="115"/>
        <v>0</v>
      </c>
      <c r="R468" s="2013" t="str">
        <f t="shared" si="116"/>
        <v>End of Year</v>
      </c>
      <c r="S468" s="2013">
        <f t="shared" si="117"/>
        <v>0</v>
      </c>
      <c r="T468" s="2013" t="str">
        <f t="shared" si="118"/>
        <v>Average</v>
      </c>
      <c r="V468" s="2011" t="s">
        <v>2439</v>
      </c>
      <c r="W468" s="2011"/>
      <c r="X468" s="2011" t="s">
        <v>2597</v>
      </c>
      <c r="Y468" s="2012"/>
      <c r="Z468" s="2011" t="s">
        <v>1535</v>
      </c>
      <c r="AA468" s="2012"/>
      <c r="AB468" s="2012" t="s">
        <v>2598</v>
      </c>
      <c r="AC468" s="2013"/>
      <c r="AD468" s="2013" t="s">
        <v>2599</v>
      </c>
      <c r="AE468" s="2013"/>
      <c r="AF468" s="2013" t="s">
        <v>2442</v>
      </c>
      <c r="AG468" s="2014"/>
      <c r="AH468" s="2013" t="s">
        <v>2443</v>
      </c>
      <c r="AI468" s="2013"/>
      <c r="AJ468" s="2013" t="s">
        <v>2444</v>
      </c>
    </row>
    <row r="469" spans="1:36">
      <c r="A469" s="1675">
        <v>1</v>
      </c>
      <c r="B469" s="2015"/>
      <c r="F469" s="1674">
        <f t="shared" si="119"/>
        <v>0</v>
      </c>
      <c r="G469" s="1674">
        <f t="shared" si="105"/>
        <v>0</v>
      </c>
      <c r="H469" s="1674">
        <f t="shared" si="106"/>
        <v>0</v>
      </c>
      <c r="I469" s="1674">
        <f t="shared" si="107"/>
        <v>0</v>
      </c>
      <c r="J469" s="1674">
        <f t="shared" si="108"/>
        <v>0</v>
      </c>
      <c r="K469" s="1674">
        <f t="shared" si="109"/>
        <v>0</v>
      </c>
      <c r="L469" s="1674">
        <f t="shared" si="110"/>
        <v>0</v>
      </c>
      <c r="M469" s="1674">
        <f t="shared" si="111"/>
        <v>0</v>
      </c>
      <c r="N469" s="1674">
        <f t="shared" si="112"/>
        <v>0</v>
      </c>
      <c r="O469" s="1674">
        <f t="shared" si="113"/>
        <v>0</v>
      </c>
      <c r="P469" s="1674">
        <f t="shared" si="114"/>
        <v>0</v>
      </c>
      <c r="Q469" s="2001">
        <f t="shared" si="115"/>
        <v>0</v>
      </c>
      <c r="R469" s="1674">
        <f t="shared" si="116"/>
        <v>0</v>
      </c>
      <c r="S469" s="1674">
        <f t="shared" si="117"/>
        <v>0</v>
      </c>
      <c r="T469" s="1674">
        <f t="shared" si="118"/>
        <v>0</v>
      </c>
      <c r="AG469" s="2001"/>
    </row>
    <row r="470" spans="1:36">
      <c r="A470" s="1675">
        <v>2</v>
      </c>
      <c r="B470" s="2015"/>
      <c r="C470" s="2019"/>
      <c r="D470" s="1674" t="s">
        <v>2571</v>
      </c>
      <c r="F470" s="1674">
        <f t="shared" si="119"/>
        <v>0</v>
      </c>
      <c r="G470" s="1674">
        <f t="shared" si="105"/>
        <v>0</v>
      </c>
      <c r="H470" s="2041">
        <f t="shared" si="106"/>
        <v>0</v>
      </c>
      <c r="I470" s="2041">
        <f t="shared" si="107"/>
        <v>0</v>
      </c>
      <c r="J470" s="2041">
        <f t="shared" si="108"/>
        <v>0</v>
      </c>
      <c r="K470" s="2041">
        <f t="shared" si="109"/>
        <v>0</v>
      </c>
      <c r="L470" s="2041">
        <f t="shared" si="110"/>
        <v>0</v>
      </c>
      <c r="M470" s="2041">
        <f t="shared" si="111"/>
        <v>0</v>
      </c>
      <c r="N470" s="2041">
        <f t="shared" si="112"/>
        <v>0</v>
      </c>
      <c r="O470" s="2041">
        <f t="shared" si="113"/>
        <v>0</v>
      </c>
      <c r="P470" s="2041">
        <f t="shared" si="114"/>
        <v>0</v>
      </c>
      <c r="Q470" s="2042">
        <f t="shared" si="115"/>
        <v>0</v>
      </c>
      <c r="R470" s="2041">
        <f t="shared" si="116"/>
        <v>0</v>
      </c>
      <c r="S470" s="2041">
        <f t="shared" si="117"/>
        <v>0</v>
      </c>
      <c r="T470" s="2041">
        <f t="shared" si="118"/>
        <v>0</v>
      </c>
      <c r="X470" s="2041"/>
      <c r="Y470" s="2041"/>
      <c r="Z470" s="2041"/>
      <c r="AA470" s="2041"/>
      <c r="AB470" s="2041"/>
      <c r="AC470" s="2041"/>
      <c r="AD470" s="2041"/>
      <c r="AE470" s="2041"/>
      <c r="AF470" s="2041"/>
      <c r="AG470" s="2042"/>
      <c r="AH470" s="2041"/>
      <c r="AI470" s="2041"/>
      <c r="AJ470" s="2041"/>
    </row>
    <row r="471" spans="1:36">
      <c r="A471" s="1675">
        <v>3</v>
      </c>
      <c r="B471" s="2015"/>
      <c r="C471" s="1675" t="s">
        <v>2572</v>
      </c>
      <c r="D471" s="1801" t="s">
        <v>2573</v>
      </c>
      <c r="E471" s="1781"/>
      <c r="F471" s="1876">
        <f t="shared" si="119"/>
        <v>0</v>
      </c>
      <c r="G471" s="2001">
        <f t="shared" si="105"/>
        <v>0</v>
      </c>
      <c r="H471" s="1876">
        <f t="shared" si="106"/>
        <v>0</v>
      </c>
      <c r="I471" s="1785">
        <f t="shared" si="107"/>
        <v>0</v>
      </c>
      <c r="J471" s="1876">
        <f t="shared" si="108"/>
        <v>0</v>
      </c>
      <c r="K471" s="1786">
        <f t="shared" si="109"/>
        <v>0</v>
      </c>
      <c r="L471" s="1876">
        <f t="shared" si="110"/>
        <v>0</v>
      </c>
      <c r="M471" s="1786">
        <f t="shared" si="111"/>
        <v>0</v>
      </c>
      <c r="N471" s="1876">
        <f t="shared" si="112"/>
        <v>0</v>
      </c>
      <c r="O471" s="1787">
        <f t="shared" si="113"/>
        <v>0</v>
      </c>
      <c r="P471" s="1876">
        <f t="shared" si="114"/>
        <v>0</v>
      </c>
      <c r="Q471" s="1785">
        <f t="shared" si="115"/>
        <v>0</v>
      </c>
      <c r="R471" s="1787">
        <f t="shared" si="116"/>
        <v>0</v>
      </c>
      <c r="S471" s="1786">
        <f t="shared" si="117"/>
        <v>0</v>
      </c>
      <c r="T471" s="1876">
        <f t="shared" si="118"/>
        <v>0</v>
      </c>
      <c r="V471" s="1876">
        <v>0</v>
      </c>
      <c r="W471" s="2001"/>
      <c r="X471" s="1876">
        <v>0</v>
      </c>
      <c r="Y471" s="1785"/>
      <c r="Z471" s="1876">
        <v>0</v>
      </c>
      <c r="AA471" s="1786"/>
      <c r="AB471" s="1876">
        <v>0</v>
      </c>
      <c r="AC471" s="1786"/>
      <c r="AD471" s="1876">
        <v>0</v>
      </c>
      <c r="AE471" s="1787"/>
      <c r="AF471" s="1876">
        <v>0</v>
      </c>
      <c r="AG471" s="1785"/>
      <c r="AH471" s="1787">
        <v>0</v>
      </c>
      <c r="AI471" s="1786"/>
      <c r="AJ471" s="1876">
        <v>0</v>
      </c>
    </row>
    <row r="472" spans="1:36">
      <c r="A472" s="1675">
        <v>4</v>
      </c>
      <c r="B472" s="2015"/>
      <c r="C472" s="1675" t="s">
        <v>2574</v>
      </c>
      <c r="D472" s="1802" t="s">
        <v>2575</v>
      </c>
      <c r="E472" s="1803"/>
      <c r="F472" s="1876">
        <f t="shared" si="119"/>
        <v>0</v>
      </c>
      <c r="G472" s="2001">
        <f t="shared" si="105"/>
        <v>0</v>
      </c>
      <c r="H472" s="1876">
        <f t="shared" si="106"/>
        <v>0</v>
      </c>
      <c r="I472" s="1785">
        <f t="shared" si="107"/>
        <v>0</v>
      </c>
      <c r="J472" s="1876">
        <f t="shared" si="108"/>
        <v>0</v>
      </c>
      <c r="K472" s="1786">
        <f t="shared" si="109"/>
        <v>0</v>
      </c>
      <c r="L472" s="1876">
        <f t="shared" si="110"/>
        <v>0</v>
      </c>
      <c r="M472" s="1786">
        <f t="shared" si="111"/>
        <v>0</v>
      </c>
      <c r="N472" s="1876">
        <f t="shared" si="112"/>
        <v>0</v>
      </c>
      <c r="O472" s="1787">
        <f t="shared" si="113"/>
        <v>0</v>
      </c>
      <c r="P472" s="1876">
        <f t="shared" si="114"/>
        <v>0</v>
      </c>
      <c r="Q472" s="1785">
        <f t="shared" si="115"/>
        <v>0</v>
      </c>
      <c r="R472" s="1787">
        <f t="shared" si="116"/>
        <v>0</v>
      </c>
      <c r="S472" s="1786">
        <f t="shared" si="117"/>
        <v>0</v>
      </c>
      <c r="T472" s="1876">
        <f t="shared" si="118"/>
        <v>0</v>
      </c>
      <c r="V472" s="1876">
        <v>0</v>
      </c>
      <c r="W472" s="2001"/>
      <c r="X472" s="1876">
        <v>0</v>
      </c>
      <c r="Y472" s="1785"/>
      <c r="Z472" s="1876">
        <v>0</v>
      </c>
      <c r="AA472" s="1786"/>
      <c r="AB472" s="1876">
        <v>0</v>
      </c>
      <c r="AC472" s="1786"/>
      <c r="AD472" s="1876">
        <v>0</v>
      </c>
      <c r="AE472" s="1787"/>
      <c r="AF472" s="1876">
        <v>0</v>
      </c>
      <c r="AG472" s="1785"/>
      <c r="AH472" s="1787">
        <v>0</v>
      </c>
      <c r="AI472" s="1786"/>
      <c r="AJ472" s="1876">
        <v>0</v>
      </c>
    </row>
    <row r="473" spans="1:36">
      <c r="A473" s="1675">
        <v>5</v>
      </c>
      <c r="B473" s="2015"/>
      <c r="C473" s="1675">
        <v>35000</v>
      </c>
      <c r="D473" s="1804" t="s">
        <v>2576</v>
      </c>
      <c r="E473" s="1805"/>
      <c r="F473" s="1876">
        <f t="shared" si="119"/>
        <v>0</v>
      </c>
      <c r="G473" s="2001">
        <f t="shared" si="105"/>
        <v>0</v>
      </c>
      <c r="H473" s="1876">
        <f t="shared" si="106"/>
        <v>0</v>
      </c>
      <c r="I473" s="1785">
        <f t="shared" si="107"/>
        <v>0</v>
      </c>
      <c r="J473" s="1876">
        <f t="shared" si="108"/>
        <v>0</v>
      </c>
      <c r="K473" s="1786">
        <f t="shared" si="109"/>
        <v>0</v>
      </c>
      <c r="L473" s="1876">
        <f t="shared" si="110"/>
        <v>0</v>
      </c>
      <c r="M473" s="1786">
        <f t="shared" si="111"/>
        <v>0</v>
      </c>
      <c r="N473" s="1876">
        <f t="shared" si="112"/>
        <v>0</v>
      </c>
      <c r="O473" s="1787">
        <f t="shared" si="113"/>
        <v>0</v>
      </c>
      <c r="P473" s="1876">
        <f t="shared" si="114"/>
        <v>0</v>
      </c>
      <c r="Q473" s="1785">
        <f t="shared" si="115"/>
        <v>0</v>
      </c>
      <c r="R473" s="1787">
        <f t="shared" si="116"/>
        <v>0</v>
      </c>
      <c r="S473" s="1786">
        <f t="shared" si="117"/>
        <v>0</v>
      </c>
      <c r="T473" s="1876">
        <f t="shared" si="118"/>
        <v>0</v>
      </c>
      <c r="V473" s="1876">
        <v>0</v>
      </c>
      <c r="W473" s="2001"/>
      <c r="X473" s="1876">
        <v>0</v>
      </c>
      <c r="Y473" s="1785"/>
      <c r="Z473" s="1876">
        <v>0</v>
      </c>
      <c r="AA473" s="1786"/>
      <c r="AB473" s="1876">
        <v>0</v>
      </c>
      <c r="AC473" s="1786"/>
      <c r="AD473" s="1876">
        <v>0</v>
      </c>
      <c r="AE473" s="1787"/>
      <c r="AF473" s="1876">
        <v>0</v>
      </c>
      <c r="AG473" s="1785"/>
      <c r="AH473" s="1787">
        <v>0</v>
      </c>
      <c r="AI473" s="1786"/>
      <c r="AJ473" s="1876">
        <v>0</v>
      </c>
    </row>
    <row r="474" spans="1:36">
      <c r="A474" s="1675">
        <v>6</v>
      </c>
      <c r="B474" s="2015"/>
      <c r="C474" s="1675">
        <v>36000</v>
      </c>
      <c r="D474" s="1804" t="s">
        <v>2577</v>
      </c>
      <c r="E474" s="1805"/>
      <c r="F474" s="1876">
        <f t="shared" si="119"/>
        <v>0</v>
      </c>
      <c r="G474" s="2001">
        <f t="shared" si="105"/>
        <v>0</v>
      </c>
      <c r="H474" s="1876">
        <f t="shared" si="106"/>
        <v>0</v>
      </c>
      <c r="I474" s="1785">
        <f t="shared" si="107"/>
        <v>0</v>
      </c>
      <c r="J474" s="1876">
        <f t="shared" si="108"/>
        <v>0</v>
      </c>
      <c r="K474" s="1786">
        <f t="shared" si="109"/>
        <v>0</v>
      </c>
      <c r="L474" s="1876">
        <f t="shared" si="110"/>
        <v>0</v>
      </c>
      <c r="M474" s="1786">
        <f t="shared" si="111"/>
        <v>0</v>
      </c>
      <c r="N474" s="1876">
        <f t="shared" si="112"/>
        <v>0</v>
      </c>
      <c r="O474" s="1787">
        <f t="shared" si="113"/>
        <v>0</v>
      </c>
      <c r="P474" s="1876">
        <f t="shared" si="114"/>
        <v>0</v>
      </c>
      <c r="Q474" s="1785">
        <f t="shared" si="115"/>
        <v>0</v>
      </c>
      <c r="R474" s="1787">
        <f t="shared" si="116"/>
        <v>0</v>
      </c>
      <c r="S474" s="1786">
        <f t="shared" si="117"/>
        <v>0</v>
      </c>
      <c r="T474" s="1876">
        <f t="shared" si="118"/>
        <v>0</v>
      </c>
      <c r="V474" s="1876">
        <v>0</v>
      </c>
      <c r="W474" s="2001"/>
      <c r="X474" s="1876">
        <v>0</v>
      </c>
      <c r="Y474" s="1785"/>
      <c r="Z474" s="1876">
        <v>0</v>
      </c>
      <c r="AA474" s="1786"/>
      <c r="AB474" s="1876">
        <v>0</v>
      </c>
      <c r="AC474" s="1786"/>
      <c r="AD474" s="1876">
        <v>0</v>
      </c>
      <c r="AE474" s="1787"/>
      <c r="AF474" s="1876">
        <v>0</v>
      </c>
      <c r="AG474" s="1785"/>
      <c r="AH474" s="1787">
        <v>0</v>
      </c>
      <c r="AI474" s="1786"/>
      <c r="AJ474" s="1876">
        <v>0</v>
      </c>
    </row>
    <row r="475" spans="1:36">
      <c r="A475" s="1675">
        <v>7</v>
      </c>
      <c r="B475" s="2015"/>
      <c r="C475" s="1675">
        <v>38900</v>
      </c>
      <c r="D475" s="1804" t="s">
        <v>2578</v>
      </c>
      <c r="E475" s="1805"/>
      <c r="F475" s="1876">
        <f t="shared" si="119"/>
        <v>0</v>
      </c>
      <c r="G475" s="2001">
        <f t="shared" si="105"/>
        <v>0</v>
      </c>
      <c r="H475" s="1876">
        <f t="shared" si="106"/>
        <v>0</v>
      </c>
      <c r="I475" s="1785">
        <f t="shared" si="107"/>
        <v>0</v>
      </c>
      <c r="J475" s="1876">
        <f t="shared" si="108"/>
        <v>0</v>
      </c>
      <c r="K475" s="1786">
        <f t="shared" si="109"/>
        <v>0</v>
      </c>
      <c r="L475" s="1876">
        <f t="shared" si="110"/>
        <v>0</v>
      </c>
      <c r="M475" s="1786">
        <f t="shared" si="111"/>
        <v>0</v>
      </c>
      <c r="N475" s="1876">
        <f t="shared" si="112"/>
        <v>0</v>
      </c>
      <c r="O475" s="1787">
        <f t="shared" si="113"/>
        <v>0</v>
      </c>
      <c r="P475" s="1876">
        <f t="shared" si="114"/>
        <v>0</v>
      </c>
      <c r="Q475" s="1785">
        <f t="shared" si="115"/>
        <v>0</v>
      </c>
      <c r="R475" s="1787">
        <f t="shared" si="116"/>
        <v>0</v>
      </c>
      <c r="S475" s="1786">
        <f t="shared" si="117"/>
        <v>0</v>
      </c>
      <c r="T475" s="1876">
        <f t="shared" si="118"/>
        <v>0</v>
      </c>
      <c r="V475" s="1876">
        <v>0</v>
      </c>
      <c r="W475" s="2001"/>
      <c r="X475" s="1876">
        <v>0</v>
      </c>
      <c r="Y475" s="1785"/>
      <c r="Z475" s="1876">
        <v>0</v>
      </c>
      <c r="AA475" s="1786"/>
      <c r="AB475" s="1876">
        <v>0</v>
      </c>
      <c r="AC475" s="1786"/>
      <c r="AD475" s="1876">
        <v>0</v>
      </c>
      <c r="AE475" s="1787"/>
      <c r="AF475" s="1876">
        <v>0</v>
      </c>
      <c r="AG475" s="1785"/>
      <c r="AH475" s="1787">
        <v>0</v>
      </c>
      <c r="AI475" s="1786"/>
      <c r="AJ475" s="1876">
        <v>0</v>
      </c>
    </row>
    <row r="476" spans="1:36" ht="15" thickBot="1">
      <c r="A476" s="1675">
        <v>8</v>
      </c>
      <c r="B476" s="2015"/>
      <c r="C476" s="1675"/>
      <c r="D476" s="1802" t="s">
        <v>2462</v>
      </c>
      <c r="E476" s="1803"/>
      <c r="F476" s="1806">
        <f t="shared" si="119"/>
        <v>0</v>
      </c>
      <c r="G476" s="1803">
        <f t="shared" si="105"/>
        <v>0</v>
      </c>
      <c r="H476" s="1806">
        <f t="shared" si="106"/>
        <v>0</v>
      </c>
      <c r="I476" s="1790">
        <f t="shared" si="107"/>
        <v>0</v>
      </c>
      <c r="J476" s="1806">
        <f t="shared" si="108"/>
        <v>0</v>
      </c>
      <c r="K476" s="1790">
        <f t="shared" si="109"/>
        <v>0</v>
      </c>
      <c r="L476" s="1806">
        <f t="shared" si="110"/>
        <v>0</v>
      </c>
      <c r="M476" s="1790">
        <f t="shared" si="111"/>
        <v>0</v>
      </c>
      <c r="N476" s="1806">
        <f t="shared" si="112"/>
        <v>0</v>
      </c>
      <c r="O476" s="1814">
        <f t="shared" si="113"/>
        <v>0</v>
      </c>
      <c r="P476" s="1806">
        <f t="shared" si="114"/>
        <v>0</v>
      </c>
      <c r="Q476" s="1790">
        <f t="shared" si="115"/>
        <v>0</v>
      </c>
      <c r="R476" s="1806">
        <f t="shared" si="116"/>
        <v>0</v>
      </c>
      <c r="S476" s="1790">
        <f t="shared" si="117"/>
        <v>0</v>
      </c>
      <c r="T476" s="1806">
        <f t="shared" si="118"/>
        <v>0</v>
      </c>
      <c r="V476" s="1806">
        <v>0</v>
      </c>
      <c r="W476" s="1803"/>
      <c r="X476" s="1806">
        <v>0</v>
      </c>
      <c r="Y476" s="1790"/>
      <c r="Z476" s="1806">
        <v>0</v>
      </c>
      <c r="AA476" s="1790"/>
      <c r="AB476" s="1806">
        <v>0</v>
      </c>
      <c r="AC476" s="1790"/>
      <c r="AD476" s="1806">
        <v>0</v>
      </c>
      <c r="AE476" s="1814"/>
      <c r="AF476" s="1806">
        <v>0</v>
      </c>
      <c r="AG476" s="1790"/>
      <c r="AH476" s="1806">
        <v>0</v>
      </c>
      <c r="AI476" s="1790"/>
      <c r="AJ476" s="1806">
        <v>0</v>
      </c>
    </row>
    <row r="477" spans="1:36" ht="15" thickTop="1">
      <c r="A477" s="1675">
        <v>9</v>
      </c>
      <c r="B477" s="2015"/>
      <c r="F477" s="1674">
        <f t="shared" si="119"/>
        <v>0</v>
      </c>
      <c r="G477" s="1674">
        <f t="shared" si="105"/>
        <v>0</v>
      </c>
      <c r="H477" s="1674">
        <f t="shared" si="106"/>
        <v>0</v>
      </c>
      <c r="I477" s="1674">
        <f t="shared" si="107"/>
        <v>0</v>
      </c>
      <c r="J477" s="1674">
        <f t="shared" si="108"/>
        <v>0</v>
      </c>
      <c r="K477" s="1674">
        <f t="shared" si="109"/>
        <v>0</v>
      </c>
      <c r="L477" s="1674">
        <f t="shared" si="110"/>
        <v>0</v>
      </c>
      <c r="M477" s="1674">
        <f t="shared" si="111"/>
        <v>0</v>
      </c>
      <c r="N477" s="1674">
        <f t="shared" si="112"/>
        <v>0</v>
      </c>
      <c r="O477" s="1674">
        <f t="shared" si="113"/>
        <v>0</v>
      </c>
      <c r="P477" s="1674">
        <f t="shared" si="114"/>
        <v>0</v>
      </c>
      <c r="Q477" s="2001">
        <f t="shared" si="115"/>
        <v>0</v>
      </c>
      <c r="R477" s="1674">
        <f t="shared" si="116"/>
        <v>0</v>
      </c>
      <c r="S477" s="1674">
        <f t="shared" si="117"/>
        <v>0</v>
      </c>
      <c r="T477" s="1674">
        <f t="shared" si="118"/>
        <v>0</v>
      </c>
      <c r="AG477" s="2001"/>
    </row>
    <row r="478" spans="1:36">
      <c r="A478" s="1675">
        <v>10</v>
      </c>
      <c r="B478" s="2015"/>
      <c r="C478" s="1675"/>
      <c r="D478" s="1807" t="s">
        <v>2579</v>
      </c>
      <c r="E478" s="1781"/>
      <c r="F478" s="1781">
        <f t="shared" si="119"/>
        <v>0</v>
      </c>
      <c r="G478" s="1781">
        <f t="shared" si="105"/>
        <v>0</v>
      </c>
      <c r="H478" s="1790">
        <f t="shared" si="106"/>
        <v>0</v>
      </c>
      <c r="I478" s="1790">
        <f t="shared" si="107"/>
        <v>0</v>
      </c>
      <c r="J478" s="2031">
        <f t="shared" si="108"/>
        <v>0</v>
      </c>
      <c r="K478" s="1790">
        <f t="shared" si="109"/>
        <v>0</v>
      </c>
      <c r="L478" s="2031">
        <f t="shared" si="110"/>
        <v>0</v>
      </c>
      <c r="M478" s="1790">
        <f t="shared" si="111"/>
        <v>0</v>
      </c>
      <c r="N478" s="2031">
        <f t="shared" si="112"/>
        <v>0</v>
      </c>
      <c r="O478" s="2031">
        <f t="shared" si="113"/>
        <v>0</v>
      </c>
      <c r="P478" s="2031">
        <f t="shared" si="114"/>
        <v>0</v>
      </c>
      <c r="Q478" s="1790">
        <f t="shared" si="115"/>
        <v>0</v>
      </c>
      <c r="R478" s="2031">
        <f t="shared" si="116"/>
        <v>0</v>
      </c>
      <c r="S478" s="1790">
        <f t="shared" si="117"/>
        <v>0</v>
      </c>
      <c r="T478" s="2031">
        <f t="shared" si="118"/>
        <v>0</v>
      </c>
      <c r="V478" s="1781"/>
      <c r="W478" s="1781"/>
      <c r="X478" s="1790"/>
      <c r="Y478" s="1790"/>
      <c r="Z478" s="2031"/>
      <c r="AA478" s="1790"/>
      <c r="AB478" s="2031"/>
      <c r="AC478" s="1790"/>
      <c r="AD478" s="2031"/>
      <c r="AE478" s="2031"/>
      <c r="AF478" s="2031"/>
      <c r="AG478" s="1790"/>
      <c r="AH478" s="2031"/>
      <c r="AI478" s="1790"/>
      <c r="AJ478" s="2031"/>
    </row>
    <row r="479" spans="1:36">
      <c r="A479" s="1675">
        <v>11</v>
      </c>
      <c r="B479" s="2015"/>
      <c r="C479" s="1675">
        <v>30315</v>
      </c>
      <c r="D479" s="1808" t="s">
        <v>2580</v>
      </c>
      <c r="F479" s="1876">
        <f t="shared" si="119"/>
        <v>176428.18205000006</v>
      </c>
      <c r="G479" s="2001">
        <f t="shared" si="105"/>
        <v>0</v>
      </c>
      <c r="H479" s="1876">
        <f t="shared" si="106"/>
        <v>39639.069590000006</v>
      </c>
      <c r="I479" s="1785">
        <f t="shared" si="107"/>
        <v>0</v>
      </c>
      <c r="J479" s="1876">
        <f t="shared" si="108"/>
        <v>-4800.4783099999995</v>
      </c>
      <c r="K479" s="1786">
        <f t="shared" si="109"/>
        <v>0</v>
      </c>
      <c r="L479" s="1876">
        <f t="shared" si="110"/>
        <v>0</v>
      </c>
      <c r="M479" s="1786">
        <f t="shared" si="111"/>
        <v>0</v>
      </c>
      <c r="N479" s="1876">
        <f t="shared" si="112"/>
        <v>0</v>
      </c>
      <c r="O479" s="1787">
        <f t="shared" si="113"/>
        <v>0</v>
      </c>
      <c r="P479" s="1876">
        <f t="shared" si="114"/>
        <v>0</v>
      </c>
      <c r="Q479" s="1785">
        <f t="shared" si="115"/>
        <v>0</v>
      </c>
      <c r="R479" s="1787">
        <f t="shared" si="116"/>
        <v>211266.77333000008</v>
      </c>
      <c r="S479" s="1786">
        <f t="shared" si="117"/>
        <v>0</v>
      </c>
      <c r="T479" s="1876">
        <f t="shared" si="118"/>
        <v>192032.00741999998</v>
      </c>
      <c r="V479" s="1876">
        <v>176428182.05000007</v>
      </c>
      <c r="W479" s="2001"/>
      <c r="X479" s="1876">
        <v>39639069.590000004</v>
      </c>
      <c r="Y479" s="1785"/>
      <c r="Z479" s="1876">
        <v>-4800478.3099999996</v>
      </c>
      <c r="AA479" s="1786"/>
      <c r="AB479" s="1876">
        <v>0</v>
      </c>
      <c r="AC479" s="1786"/>
      <c r="AD479" s="1876">
        <v>0</v>
      </c>
      <c r="AE479" s="1787"/>
      <c r="AF479" s="1876">
        <v>0</v>
      </c>
      <c r="AG479" s="1785"/>
      <c r="AH479" s="1787">
        <v>211266773.33000007</v>
      </c>
      <c r="AI479" s="1786"/>
      <c r="AJ479" s="1876">
        <v>192032007.41999999</v>
      </c>
    </row>
    <row r="480" spans="1:36">
      <c r="A480" s="1675">
        <v>12</v>
      </c>
      <c r="B480" s="2015"/>
      <c r="C480" s="1675">
        <v>30302</v>
      </c>
      <c r="D480" s="1674" t="s">
        <v>2581</v>
      </c>
      <c r="F480" s="1876">
        <f t="shared" si="119"/>
        <v>0</v>
      </c>
      <c r="G480" s="2001">
        <f t="shared" si="105"/>
        <v>0</v>
      </c>
      <c r="H480" s="1876">
        <f t="shared" si="106"/>
        <v>0</v>
      </c>
      <c r="I480" s="1785">
        <f t="shared" si="107"/>
        <v>0</v>
      </c>
      <c r="J480" s="1876">
        <f t="shared" si="108"/>
        <v>0</v>
      </c>
      <c r="K480" s="1786">
        <f t="shared" si="109"/>
        <v>0</v>
      </c>
      <c r="L480" s="1876">
        <f t="shared" si="110"/>
        <v>0</v>
      </c>
      <c r="M480" s="1786">
        <f t="shared" si="111"/>
        <v>0</v>
      </c>
      <c r="N480" s="1876">
        <f t="shared" si="112"/>
        <v>0</v>
      </c>
      <c r="O480" s="1787">
        <f t="shared" si="113"/>
        <v>0</v>
      </c>
      <c r="P480" s="1876">
        <f t="shared" si="114"/>
        <v>0</v>
      </c>
      <c r="Q480" s="1785">
        <f t="shared" si="115"/>
        <v>0</v>
      </c>
      <c r="R480" s="1787">
        <f t="shared" si="116"/>
        <v>0</v>
      </c>
      <c r="S480" s="1786">
        <f t="shared" si="117"/>
        <v>0</v>
      </c>
      <c r="T480" s="1876">
        <f t="shared" si="118"/>
        <v>0</v>
      </c>
      <c r="V480" s="1876">
        <v>0</v>
      </c>
      <c r="W480" s="2001"/>
      <c r="X480" s="1876">
        <v>0</v>
      </c>
      <c r="Y480" s="1785"/>
      <c r="Z480" s="1876">
        <v>0</v>
      </c>
      <c r="AA480" s="1786"/>
      <c r="AB480" s="1876">
        <v>0</v>
      </c>
      <c r="AC480" s="1786"/>
      <c r="AD480" s="1876">
        <v>0</v>
      </c>
      <c r="AE480" s="1787"/>
      <c r="AF480" s="1876">
        <v>0</v>
      </c>
      <c r="AG480" s="1785"/>
      <c r="AH480" s="1787">
        <v>0</v>
      </c>
      <c r="AI480" s="1786"/>
      <c r="AJ480" s="1876">
        <v>0</v>
      </c>
    </row>
    <row r="481" spans="1:36">
      <c r="A481" s="1675">
        <v>13</v>
      </c>
      <c r="B481" s="2015"/>
      <c r="C481" s="1675">
        <v>30399</v>
      </c>
      <c r="D481" s="1674" t="s">
        <v>2582</v>
      </c>
      <c r="F481" s="1876">
        <f t="shared" si="119"/>
        <v>362.89123999999987</v>
      </c>
      <c r="G481" s="2001">
        <f t="shared" si="105"/>
        <v>0</v>
      </c>
      <c r="H481" s="1876">
        <f t="shared" si="106"/>
        <v>152.46288000000001</v>
      </c>
      <c r="I481" s="1785">
        <f t="shared" si="107"/>
        <v>0</v>
      </c>
      <c r="J481" s="1876">
        <f t="shared" si="108"/>
        <v>0</v>
      </c>
      <c r="K481" s="1786">
        <f t="shared" si="109"/>
        <v>0</v>
      </c>
      <c r="L481" s="1876">
        <f t="shared" si="110"/>
        <v>0</v>
      </c>
      <c r="M481" s="1786">
        <f t="shared" si="111"/>
        <v>0</v>
      </c>
      <c r="N481" s="1876">
        <f t="shared" si="112"/>
        <v>0</v>
      </c>
      <c r="O481" s="1787">
        <f t="shared" si="113"/>
        <v>0</v>
      </c>
      <c r="P481" s="1876">
        <f t="shared" si="114"/>
        <v>0</v>
      </c>
      <c r="Q481" s="1785">
        <f t="shared" si="115"/>
        <v>0</v>
      </c>
      <c r="R481" s="1787">
        <f t="shared" si="116"/>
        <v>515.35411999999985</v>
      </c>
      <c r="S481" s="1786">
        <f t="shared" si="117"/>
        <v>0</v>
      </c>
      <c r="T481" s="1876">
        <f t="shared" si="118"/>
        <v>439.12268</v>
      </c>
      <c r="V481" s="1876">
        <v>362891.23999999987</v>
      </c>
      <c r="W481" s="2001"/>
      <c r="X481" s="1876">
        <v>152462.88</v>
      </c>
      <c r="Y481" s="1785"/>
      <c r="Z481" s="1876">
        <v>0</v>
      </c>
      <c r="AA481" s="1786"/>
      <c r="AB481" s="1876">
        <v>0</v>
      </c>
      <c r="AC481" s="1786"/>
      <c r="AD481" s="1876">
        <v>0</v>
      </c>
      <c r="AE481" s="1787"/>
      <c r="AF481" s="1876">
        <v>0</v>
      </c>
      <c r="AG481" s="1785"/>
      <c r="AH481" s="1787">
        <v>515354.11999999988</v>
      </c>
      <c r="AI481" s="1786"/>
      <c r="AJ481" s="1876">
        <v>439122.68</v>
      </c>
    </row>
    <row r="482" spans="1:36" ht="15" thickBot="1">
      <c r="A482" s="1675">
        <v>14</v>
      </c>
      <c r="D482" s="1802" t="s">
        <v>2464</v>
      </c>
      <c r="E482" s="1809"/>
      <c r="F482" s="1806">
        <f t="shared" si="119"/>
        <v>176791.07329000009</v>
      </c>
      <c r="G482" s="1803">
        <f t="shared" si="105"/>
        <v>0</v>
      </c>
      <c r="H482" s="1806">
        <f t="shared" si="106"/>
        <v>39791.532470000006</v>
      </c>
      <c r="I482" s="1790">
        <f t="shared" si="107"/>
        <v>0</v>
      </c>
      <c r="J482" s="1806">
        <f t="shared" si="108"/>
        <v>-4800.4783099999995</v>
      </c>
      <c r="K482" s="1790">
        <f t="shared" si="109"/>
        <v>0</v>
      </c>
      <c r="L482" s="1806">
        <f t="shared" si="110"/>
        <v>0</v>
      </c>
      <c r="M482" s="1790">
        <f t="shared" si="111"/>
        <v>0</v>
      </c>
      <c r="N482" s="1806">
        <f t="shared" si="112"/>
        <v>0</v>
      </c>
      <c r="O482" s="1814">
        <f t="shared" si="113"/>
        <v>0</v>
      </c>
      <c r="P482" s="1806">
        <f t="shared" si="114"/>
        <v>0</v>
      </c>
      <c r="Q482" s="1790">
        <f t="shared" si="115"/>
        <v>0</v>
      </c>
      <c r="R482" s="1806">
        <f t="shared" si="116"/>
        <v>211782.12745000009</v>
      </c>
      <c r="S482" s="1790">
        <f t="shared" si="117"/>
        <v>0</v>
      </c>
      <c r="T482" s="1806">
        <f t="shared" si="118"/>
        <v>192471.13009999998</v>
      </c>
      <c r="V482" s="1806">
        <v>176791073.29000008</v>
      </c>
      <c r="W482" s="1803"/>
      <c r="X482" s="1806">
        <v>39791532.470000006</v>
      </c>
      <c r="Y482" s="1790"/>
      <c r="Z482" s="1806">
        <v>-4800478.3099999996</v>
      </c>
      <c r="AA482" s="1790"/>
      <c r="AB482" s="1806">
        <v>0</v>
      </c>
      <c r="AC482" s="1790"/>
      <c r="AD482" s="1806">
        <v>0</v>
      </c>
      <c r="AE482" s="1814"/>
      <c r="AF482" s="1806">
        <v>0</v>
      </c>
      <c r="AG482" s="1790"/>
      <c r="AH482" s="1806">
        <v>211782127.45000008</v>
      </c>
      <c r="AI482" s="1790"/>
      <c r="AJ482" s="1806">
        <v>192471130.09999999</v>
      </c>
    </row>
    <row r="483" spans="1:36" ht="15" thickTop="1">
      <c r="A483" s="1675">
        <v>15</v>
      </c>
      <c r="F483" s="1674">
        <f t="shared" si="119"/>
        <v>0</v>
      </c>
      <c r="G483" s="1674">
        <f t="shared" si="105"/>
        <v>0</v>
      </c>
      <c r="H483" s="1674">
        <f t="shared" si="106"/>
        <v>0</v>
      </c>
      <c r="I483" s="1674">
        <f t="shared" si="107"/>
        <v>0</v>
      </c>
      <c r="J483" s="1674">
        <f t="shared" si="108"/>
        <v>0</v>
      </c>
      <c r="K483" s="1674">
        <f t="shared" si="109"/>
        <v>0</v>
      </c>
      <c r="L483" s="1674">
        <f t="shared" si="110"/>
        <v>0</v>
      </c>
      <c r="M483" s="1674">
        <f t="shared" si="111"/>
        <v>0</v>
      </c>
      <c r="N483" s="1674">
        <f t="shared" si="112"/>
        <v>0</v>
      </c>
      <c r="O483" s="1674">
        <f t="shared" si="113"/>
        <v>0</v>
      </c>
      <c r="P483" s="1674">
        <f t="shared" si="114"/>
        <v>0</v>
      </c>
      <c r="Q483" s="2001">
        <f t="shared" si="115"/>
        <v>0</v>
      </c>
      <c r="R483" s="1674">
        <f t="shared" si="116"/>
        <v>0</v>
      </c>
      <c r="S483" s="1674">
        <f t="shared" si="117"/>
        <v>0</v>
      </c>
      <c r="T483" s="1674">
        <f t="shared" si="118"/>
        <v>0</v>
      </c>
      <c r="AG483" s="2001"/>
    </row>
    <row r="484" spans="1:36">
      <c r="A484" s="1675">
        <v>16</v>
      </c>
      <c r="D484" s="2044" t="s">
        <v>2583</v>
      </c>
      <c r="F484" s="1674">
        <f t="shared" si="119"/>
        <v>0</v>
      </c>
      <c r="G484" s="1674">
        <f t="shared" si="105"/>
        <v>0</v>
      </c>
      <c r="H484" s="1674">
        <f t="shared" si="106"/>
        <v>0</v>
      </c>
      <c r="I484" s="1674">
        <f t="shared" si="107"/>
        <v>0</v>
      </c>
      <c r="J484" s="1674">
        <f t="shared" si="108"/>
        <v>0</v>
      </c>
      <c r="K484" s="1674">
        <f t="shared" si="109"/>
        <v>0</v>
      </c>
      <c r="L484" s="1674">
        <f t="shared" si="110"/>
        <v>0</v>
      </c>
      <c r="M484" s="1674">
        <f t="shared" si="111"/>
        <v>0</v>
      </c>
      <c r="N484" s="1674">
        <f t="shared" si="112"/>
        <v>0</v>
      </c>
      <c r="O484" s="1674">
        <f t="shared" si="113"/>
        <v>0</v>
      </c>
      <c r="P484" s="1674">
        <f t="shared" si="114"/>
        <v>0</v>
      </c>
      <c r="Q484" s="2001">
        <f t="shared" si="115"/>
        <v>0</v>
      </c>
      <c r="R484" s="1674">
        <f t="shared" si="116"/>
        <v>0</v>
      </c>
      <c r="S484" s="1674">
        <f t="shared" si="117"/>
        <v>0</v>
      </c>
      <c r="T484" s="1674">
        <f t="shared" si="118"/>
        <v>0</v>
      </c>
      <c r="AG484" s="2001"/>
    </row>
    <row r="485" spans="1:36">
      <c r="A485" s="1675">
        <v>17</v>
      </c>
      <c r="C485" s="1675">
        <v>31700</v>
      </c>
      <c r="D485" s="1674" t="s">
        <v>2584</v>
      </c>
      <c r="F485" s="1876">
        <f t="shared" si="119"/>
        <v>1504.3388399999881</v>
      </c>
      <c r="G485" s="2001">
        <f t="shared" si="105"/>
        <v>0</v>
      </c>
      <c r="H485" s="1876">
        <f t="shared" si="106"/>
        <v>156.88176000000001</v>
      </c>
      <c r="I485" s="1785">
        <f t="shared" si="107"/>
        <v>0</v>
      </c>
      <c r="J485" s="1876">
        <f t="shared" si="108"/>
        <v>0</v>
      </c>
      <c r="K485" s="1786">
        <f t="shared" si="109"/>
        <v>0</v>
      </c>
      <c r="L485" s="1876">
        <f t="shared" si="110"/>
        <v>0</v>
      </c>
      <c r="M485" s="1786">
        <f t="shared" si="111"/>
        <v>0</v>
      </c>
      <c r="N485" s="1876">
        <f t="shared" si="112"/>
        <v>0</v>
      </c>
      <c r="O485" s="1787">
        <f t="shared" si="113"/>
        <v>0</v>
      </c>
      <c r="P485" s="1876">
        <f t="shared" si="114"/>
        <v>0</v>
      </c>
      <c r="Q485" s="1785">
        <f t="shared" si="115"/>
        <v>0</v>
      </c>
      <c r="R485" s="1787">
        <f t="shared" si="116"/>
        <v>1661.2205999999881</v>
      </c>
      <c r="S485" s="1786">
        <f t="shared" si="117"/>
        <v>0</v>
      </c>
      <c r="T485" s="1876">
        <f t="shared" si="118"/>
        <v>1582.77972</v>
      </c>
      <c r="V485" s="1876">
        <v>1504338.839999988</v>
      </c>
      <c r="W485" s="2001"/>
      <c r="X485" s="1876">
        <v>156881.76</v>
      </c>
      <c r="Y485" s="1785"/>
      <c r="Z485" s="1876">
        <v>0</v>
      </c>
      <c r="AA485" s="1786"/>
      <c r="AB485" s="1876">
        <v>0</v>
      </c>
      <c r="AC485" s="1786"/>
      <c r="AD485" s="1876">
        <v>0</v>
      </c>
      <c r="AE485" s="1787"/>
      <c r="AF485" s="1876">
        <v>0</v>
      </c>
      <c r="AG485" s="1785"/>
      <c r="AH485" s="1787">
        <v>1661220.599999988</v>
      </c>
      <c r="AI485" s="1786"/>
      <c r="AJ485" s="1876">
        <v>1582779.72</v>
      </c>
    </row>
    <row r="486" spans="1:36">
      <c r="A486" s="1675">
        <v>18</v>
      </c>
      <c r="C486" s="1675">
        <v>34700</v>
      </c>
      <c r="D486" s="1674" t="s">
        <v>2585</v>
      </c>
      <c r="F486" s="1876">
        <f t="shared" si="119"/>
        <v>1980.7820799999988</v>
      </c>
      <c r="G486" s="2001">
        <f t="shared" si="105"/>
        <v>0</v>
      </c>
      <c r="H486" s="1876">
        <f t="shared" si="106"/>
        <v>420.79187999999999</v>
      </c>
      <c r="I486" s="1785">
        <f t="shared" si="107"/>
        <v>0</v>
      </c>
      <c r="J486" s="1876">
        <f t="shared" si="108"/>
        <v>0</v>
      </c>
      <c r="K486" s="1786">
        <f t="shared" si="109"/>
        <v>0</v>
      </c>
      <c r="L486" s="1876">
        <f t="shared" si="110"/>
        <v>0</v>
      </c>
      <c r="M486" s="1786">
        <f t="shared" si="111"/>
        <v>0</v>
      </c>
      <c r="N486" s="1876">
        <f t="shared" si="112"/>
        <v>0</v>
      </c>
      <c r="O486" s="1787">
        <f t="shared" si="113"/>
        <v>0</v>
      </c>
      <c r="P486" s="1876">
        <f t="shared" si="114"/>
        <v>0</v>
      </c>
      <c r="Q486" s="1785">
        <f t="shared" si="115"/>
        <v>0</v>
      </c>
      <c r="R486" s="1787">
        <f t="shared" si="116"/>
        <v>2401.5739599999988</v>
      </c>
      <c r="S486" s="1786">
        <f t="shared" si="117"/>
        <v>0</v>
      </c>
      <c r="T486" s="1876">
        <f t="shared" si="118"/>
        <v>2191.1780199999998</v>
      </c>
      <c r="V486" s="1876">
        <v>1980782.0799999989</v>
      </c>
      <c r="W486" s="2001"/>
      <c r="X486" s="1876">
        <v>420791.88</v>
      </c>
      <c r="Y486" s="1785"/>
      <c r="Z486" s="1876">
        <v>0</v>
      </c>
      <c r="AA486" s="1786"/>
      <c r="AB486" s="1876">
        <v>0</v>
      </c>
      <c r="AC486" s="1786"/>
      <c r="AD486" s="1876">
        <v>0</v>
      </c>
      <c r="AE486" s="1787"/>
      <c r="AF486" s="1876">
        <v>0</v>
      </c>
      <c r="AG486" s="1785"/>
      <c r="AH486" s="1787">
        <v>2401573.959999999</v>
      </c>
      <c r="AI486" s="1786"/>
      <c r="AJ486" s="1876">
        <v>2191178.02</v>
      </c>
    </row>
    <row r="487" spans="1:36">
      <c r="A487" s="1675">
        <v>19</v>
      </c>
      <c r="B487" s="2015"/>
      <c r="C487" s="1675">
        <v>37400</v>
      </c>
      <c r="D487" s="1674" t="s">
        <v>2586</v>
      </c>
      <c r="F487" s="1876">
        <f t="shared" si="119"/>
        <v>1867.3122500000011</v>
      </c>
      <c r="G487" s="2001">
        <f t="shared" si="105"/>
        <v>0</v>
      </c>
      <c r="H487" s="1876">
        <f t="shared" si="106"/>
        <v>100.24260000000001</v>
      </c>
      <c r="I487" s="1785">
        <f t="shared" si="107"/>
        <v>0</v>
      </c>
      <c r="J487" s="1876">
        <f t="shared" si="108"/>
        <v>0</v>
      </c>
      <c r="K487" s="1786">
        <f t="shared" si="109"/>
        <v>0</v>
      </c>
      <c r="L487" s="1876">
        <f t="shared" si="110"/>
        <v>0</v>
      </c>
      <c r="M487" s="1786">
        <f t="shared" si="111"/>
        <v>0</v>
      </c>
      <c r="N487" s="1876">
        <f t="shared" si="112"/>
        <v>0</v>
      </c>
      <c r="O487" s="1787">
        <f t="shared" si="113"/>
        <v>0</v>
      </c>
      <c r="P487" s="1876">
        <f t="shared" si="114"/>
        <v>0</v>
      </c>
      <c r="Q487" s="1785">
        <f t="shared" si="115"/>
        <v>0</v>
      </c>
      <c r="R487" s="1787">
        <f t="shared" si="116"/>
        <v>1967.5548500000014</v>
      </c>
      <c r="S487" s="1786">
        <f t="shared" si="117"/>
        <v>0</v>
      </c>
      <c r="T487" s="1876">
        <f t="shared" si="118"/>
        <v>1917.43355</v>
      </c>
      <c r="V487" s="1876">
        <v>1867312.2500000012</v>
      </c>
      <c r="W487" s="2001"/>
      <c r="X487" s="1876">
        <v>100242.6</v>
      </c>
      <c r="Y487" s="1785"/>
      <c r="Z487" s="1876">
        <v>0</v>
      </c>
      <c r="AA487" s="1786"/>
      <c r="AB487" s="1876">
        <v>0</v>
      </c>
      <c r="AC487" s="1786"/>
      <c r="AD487" s="1876">
        <v>0</v>
      </c>
      <c r="AE487" s="1787"/>
      <c r="AF487" s="1876">
        <v>0</v>
      </c>
      <c r="AG487" s="1785"/>
      <c r="AH487" s="1787">
        <v>1967554.8500000013</v>
      </c>
      <c r="AI487" s="1786"/>
      <c r="AJ487" s="1876">
        <v>1917433.55</v>
      </c>
    </row>
    <row r="488" spans="1:36">
      <c r="A488" s="1675">
        <v>20</v>
      </c>
      <c r="B488" s="2015"/>
      <c r="C488" s="1675">
        <v>39910</v>
      </c>
      <c r="D488" s="1674" t="s">
        <v>2587</v>
      </c>
      <c r="F488" s="1876">
        <f t="shared" si="119"/>
        <v>140.83512999999994</v>
      </c>
      <c r="G488" s="2001">
        <f t="shared" si="105"/>
        <v>0</v>
      </c>
      <c r="H488" s="1876">
        <f t="shared" si="106"/>
        <v>11.57508</v>
      </c>
      <c r="I488" s="1785">
        <f t="shared" si="107"/>
        <v>0</v>
      </c>
      <c r="J488" s="1876">
        <f t="shared" si="108"/>
        <v>0</v>
      </c>
      <c r="K488" s="1786">
        <f t="shared" si="109"/>
        <v>0</v>
      </c>
      <c r="L488" s="1876">
        <f t="shared" si="110"/>
        <v>0</v>
      </c>
      <c r="M488" s="1786">
        <f t="shared" si="111"/>
        <v>0</v>
      </c>
      <c r="N488" s="1876">
        <f t="shared" si="112"/>
        <v>0</v>
      </c>
      <c r="O488" s="1787">
        <f t="shared" si="113"/>
        <v>0</v>
      </c>
      <c r="P488" s="1876">
        <f t="shared" si="114"/>
        <v>0</v>
      </c>
      <c r="Q488" s="1785">
        <f t="shared" si="115"/>
        <v>0</v>
      </c>
      <c r="R488" s="1787">
        <f t="shared" si="116"/>
        <v>152.41020999999992</v>
      </c>
      <c r="S488" s="1786">
        <f t="shared" si="117"/>
        <v>0</v>
      </c>
      <c r="T488" s="1876">
        <f t="shared" si="118"/>
        <v>146.62267</v>
      </c>
      <c r="V488" s="1876">
        <v>140835.12999999995</v>
      </c>
      <c r="W488" s="2001"/>
      <c r="X488" s="1876">
        <v>11575.08</v>
      </c>
      <c r="Y488" s="1785"/>
      <c r="Z488" s="1876">
        <v>0</v>
      </c>
      <c r="AA488" s="1786"/>
      <c r="AB488" s="1876">
        <v>0</v>
      </c>
      <c r="AC488" s="1786"/>
      <c r="AD488" s="1876">
        <v>0</v>
      </c>
      <c r="AE488" s="1787"/>
      <c r="AF488" s="1876">
        <v>0</v>
      </c>
      <c r="AG488" s="1785"/>
      <c r="AH488" s="1787">
        <v>152410.20999999993</v>
      </c>
      <c r="AI488" s="1786"/>
      <c r="AJ488" s="1876">
        <v>146622.67000000001</v>
      </c>
    </row>
    <row r="489" spans="1:36" ht="15" thickBot="1">
      <c r="A489" s="1675">
        <v>21</v>
      </c>
      <c r="B489" s="2015"/>
      <c r="D489" s="2044" t="s">
        <v>2588</v>
      </c>
      <c r="F489" s="1806">
        <f t="shared" si="119"/>
        <v>5493.2682999999879</v>
      </c>
      <c r="G489" s="1803">
        <f t="shared" si="105"/>
        <v>0</v>
      </c>
      <c r="H489" s="1806">
        <f t="shared" si="106"/>
        <v>689.49131999999997</v>
      </c>
      <c r="I489" s="1790">
        <f t="shared" si="107"/>
        <v>0</v>
      </c>
      <c r="J489" s="1806">
        <f t="shared" si="108"/>
        <v>0</v>
      </c>
      <c r="K489" s="1790">
        <f t="shared" si="109"/>
        <v>0</v>
      </c>
      <c r="L489" s="1806">
        <f t="shared" si="110"/>
        <v>0</v>
      </c>
      <c r="M489" s="1790">
        <f t="shared" si="111"/>
        <v>0</v>
      </c>
      <c r="N489" s="1806">
        <f t="shared" si="112"/>
        <v>0</v>
      </c>
      <c r="O489" s="1814">
        <f t="shared" si="113"/>
        <v>0</v>
      </c>
      <c r="P489" s="1806">
        <f t="shared" si="114"/>
        <v>0</v>
      </c>
      <c r="Q489" s="1790">
        <f t="shared" si="115"/>
        <v>0</v>
      </c>
      <c r="R489" s="1806">
        <f t="shared" si="116"/>
        <v>6182.759619999988</v>
      </c>
      <c r="S489" s="1790">
        <f t="shared" si="117"/>
        <v>0</v>
      </c>
      <c r="T489" s="1806">
        <f t="shared" si="118"/>
        <v>5838.0139600000002</v>
      </c>
      <c r="V489" s="1806">
        <v>5493268.2999999877</v>
      </c>
      <c r="W489" s="1803"/>
      <c r="X489" s="1806">
        <v>689491.32</v>
      </c>
      <c r="Y489" s="1790"/>
      <c r="Z489" s="1806">
        <v>0</v>
      </c>
      <c r="AA489" s="1790"/>
      <c r="AB489" s="1806">
        <v>0</v>
      </c>
      <c r="AC489" s="1790"/>
      <c r="AD489" s="1806">
        <v>0</v>
      </c>
      <c r="AE489" s="1814"/>
      <c r="AF489" s="1806">
        <v>0</v>
      </c>
      <c r="AG489" s="1790"/>
      <c r="AH489" s="1806">
        <v>6182759.619999988</v>
      </c>
      <c r="AI489" s="1790"/>
      <c r="AJ489" s="1806">
        <v>5838013.96</v>
      </c>
    </row>
    <row r="490" spans="1:36" ht="15" thickTop="1">
      <c r="A490" s="1675">
        <v>22</v>
      </c>
      <c r="B490" s="2015"/>
      <c r="D490" s="2044"/>
      <c r="F490" s="1674">
        <f t="shared" si="119"/>
        <v>0</v>
      </c>
      <c r="G490" s="1674">
        <f t="shared" si="105"/>
        <v>0</v>
      </c>
      <c r="H490" s="2035">
        <f t="shared" si="106"/>
        <v>0</v>
      </c>
      <c r="I490" s="1674">
        <f t="shared" si="107"/>
        <v>0</v>
      </c>
      <c r="J490" s="2035">
        <f t="shared" si="108"/>
        <v>0</v>
      </c>
      <c r="K490" s="1674">
        <f t="shared" si="109"/>
        <v>0</v>
      </c>
      <c r="L490" s="2035">
        <f t="shared" si="110"/>
        <v>0</v>
      </c>
      <c r="M490" s="1674">
        <f t="shared" si="111"/>
        <v>0</v>
      </c>
      <c r="N490" s="2035">
        <f t="shared" si="112"/>
        <v>0</v>
      </c>
      <c r="O490" s="2035">
        <f t="shared" si="113"/>
        <v>0</v>
      </c>
      <c r="P490" s="2035">
        <f t="shared" si="114"/>
        <v>0</v>
      </c>
      <c r="Q490" s="2001">
        <f t="shared" si="115"/>
        <v>0</v>
      </c>
      <c r="R490" s="2035">
        <f t="shared" si="116"/>
        <v>0</v>
      </c>
      <c r="S490" s="1674">
        <f t="shared" si="117"/>
        <v>0</v>
      </c>
      <c r="T490" s="2035">
        <f t="shared" si="118"/>
        <v>0</v>
      </c>
      <c r="X490" s="2035"/>
      <c r="Z490" s="2035"/>
      <c r="AB490" s="2035"/>
      <c r="AD490" s="2035"/>
      <c r="AE490" s="2035"/>
      <c r="AF490" s="2035"/>
      <c r="AG490" s="2001"/>
      <c r="AH490" s="2035"/>
      <c r="AJ490" s="2035"/>
    </row>
    <row r="491" spans="1:36">
      <c r="A491" s="1675">
        <v>23</v>
      </c>
      <c r="B491" s="2015"/>
      <c r="D491" s="1674" t="s">
        <v>8182</v>
      </c>
      <c r="F491" s="1674">
        <f t="shared" si="119"/>
        <v>0</v>
      </c>
      <c r="G491" s="1674">
        <f t="shared" si="105"/>
        <v>0</v>
      </c>
      <c r="H491" s="1674">
        <f t="shared" si="106"/>
        <v>0</v>
      </c>
      <c r="I491" s="1674">
        <f t="shared" si="107"/>
        <v>0</v>
      </c>
      <c r="J491" s="1674">
        <f t="shared" si="108"/>
        <v>0</v>
      </c>
      <c r="K491" s="1674">
        <f t="shared" si="109"/>
        <v>0</v>
      </c>
      <c r="L491" s="1674">
        <f t="shared" si="110"/>
        <v>0</v>
      </c>
      <c r="M491" s="1674">
        <f t="shared" si="111"/>
        <v>0</v>
      </c>
      <c r="N491" s="1674">
        <f t="shared" si="112"/>
        <v>0</v>
      </c>
      <c r="O491" s="1674">
        <f t="shared" si="113"/>
        <v>0</v>
      </c>
      <c r="P491" s="1674">
        <f t="shared" si="114"/>
        <v>0</v>
      </c>
      <c r="Q491" s="2001">
        <f t="shared" si="115"/>
        <v>0</v>
      </c>
      <c r="R491" s="1674">
        <f t="shared" si="116"/>
        <v>0</v>
      </c>
      <c r="S491" s="1674">
        <f t="shared" si="117"/>
        <v>0</v>
      </c>
      <c r="T491" s="1674">
        <f t="shared" si="118"/>
        <v>0</v>
      </c>
      <c r="AG491" s="2001"/>
    </row>
    <row r="492" spans="1:36">
      <c r="A492" s="1675">
        <v>24</v>
      </c>
      <c r="B492" s="2015"/>
      <c r="C492" s="1675">
        <v>10110</v>
      </c>
      <c r="D492" s="1674" t="s">
        <v>8183</v>
      </c>
      <c r="F492" s="1876">
        <f t="shared" si="119"/>
        <v>0</v>
      </c>
      <c r="G492" s="2001">
        <f t="shared" si="105"/>
        <v>0</v>
      </c>
      <c r="H492" s="1876">
        <f t="shared" si="106"/>
        <v>0</v>
      </c>
      <c r="I492" s="1785">
        <f t="shared" si="107"/>
        <v>0</v>
      </c>
      <c r="J492" s="1876">
        <f t="shared" si="108"/>
        <v>0</v>
      </c>
      <c r="K492" s="1786">
        <f t="shared" si="109"/>
        <v>0</v>
      </c>
      <c r="L492" s="1876">
        <f t="shared" si="110"/>
        <v>0</v>
      </c>
      <c r="M492" s="1786">
        <f t="shared" si="111"/>
        <v>0</v>
      </c>
      <c r="N492" s="1876">
        <f t="shared" si="112"/>
        <v>0</v>
      </c>
      <c r="O492" s="1787">
        <f t="shared" si="113"/>
        <v>0</v>
      </c>
      <c r="P492" s="1876">
        <f t="shared" si="114"/>
        <v>0</v>
      </c>
      <c r="Q492" s="1785">
        <f t="shared" si="115"/>
        <v>0</v>
      </c>
      <c r="R492" s="1787">
        <f t="shared" si="116"/>
        <v>0</v>
      </c>
      <c r="S492" s="1786">
        <f t="shared" si="117"/>
        <v>0</v>
      </c>
      <c r="T492" s="1876">
        <f t="shared" si="118"/>
        <v>0</v>
      </c>
      <c r="V492" s="1876">
        <v>0</v>
      </c>
      <c r="W492" s="2001"/>
      <c r="X492" s="1876">
        <v>0</v>
      </c>
      <c r="Y492" s="1785"/>
      <c r="Z492" s="1876">
        <v>0</v>
      </c>
      <c r="AA492" s="1786"/>
      <c r="AB492" s="1876">
        <v>0</v>
      </c>
      <c r="AC492" s="1786"/>
      <c r="AD492" s="1876">
        <v>0</v>
      </c>
      <c r="AE492" s="1787"/>
      <c r="AF492" s="1876">
        <v>0</v>
      </c>
      <c r="AG492" s="1785"/>
      <c r="AH492" s="1787">
        <v>0</v>
      </c>
      <c r="AI492" s="1786"/>
      <c r="AJ492" s="1876">
        <v>0</v>
      </c>
    </row>
    <row r="493" spans="1:36">
      <c r="A493" s="1675">
        <v>25</v>
      </c>
      <c r="B493" s="2015"/>
      <c r="C493" s="1675">
        <v>10112</v>
      </c>
      <c r="D493" s="1674" t="s">
        <v>2589</v>
      </c>
      <c r="F493" s="1876">
        <f t="shared" si="119"/>
        <v>0</v>
      </c>
      <c r="G493" s="2001">
        <f t="shared" si="105"/>
        <v>0</v>
      </c>
      <c r="H493" s="1876">
        <f t="shared" si="106"/>
        <v>0</v>
      </c>
      <c r="I493" s="1785">
        <f t="shared" si="107"/>
        <v>0</v>
      </c>
      <c r="J493" s="1876">
        <f t="shared" si="108"/>
        <v>0</v>
      </c>
      <c r="K493" s="1786">
        <f t="shared" si="109"/>
        <v>0</v>
      </c>
      <c r="L493" s="1876">
        <f t="shared" si="110"/>
        <v>0</v>
      </c>
      <c r="M493" s="1786">
        <f t="shared" si="111"/>
        <v>0</v>
      </c>
      <c r="N493" s="1876">
        <f t="shared" si="112"/>
        <v>0</v>
      </c>
      <c r="O493" s="1787">
        <f t="shared" si="113"/>
        <v>0</v>
      </c>
      <c r="P493" s="1876">
        <f t="shared" si="114"/>
        <v>0</v>
      </c>
      <c r="Q493" s="1785">
        <f t="shared" si="115"/>
        <v>0</v>
      </c>
      <c r="R493" s="1787">
        <f t="shared" si="116"/>
        <v>0</v>
      </c>
      <c r="S493" s="1786">
        <f t="shared" si="117"/>
        <v>0</v>
      </c>
      <c r="T493" s="1876">
        <f t="shared" si="118"/>
        <v>0</v>
      </c>
      <c r="V493" s="1876">
        <v>0</v>
      </c>
      <c r="W493" s="2001"/>
      <c r="X493" s="1876">
        <v>0</v>
      </c>
      <c r="Y493" s="1785"/>
      <c r="Z493" s="1876">
        <v>0</v>
      </c>
      <c r="AA493" s="1786"/>
      <c r="AB493" s="1876">
        <v>0</v>
      </c>
      <c r="AC493" s="1786"/>
      <c r="AD493" s="1876">
        <v>0</v>
      </c>
      <c r="AE493" s="1787"/>
      <c r="AF493" s="1876">
        <v>0</v>
      </c>
      <c r="AG493" s="1785"/>
      <c r="AH493" s="1787">
        <v>0</v>
      </c>
      <c r="AI493" s="1786"/>
      <c r="AJ493" s="1876">
        <v>0</v>
      </c>
    </row>
    <row r="494" spans="1:36" ht="15" thickBot="1">
      <c r="A494" s="1675">
        <v>26</v>
      </c>
      <c r="B494" s="2015"/>
      <c r="C494" s="1675"/>
      <c r="D494" s="1674" t="s">
        <v>2466</v>
      </c>
      <c r="F494" s="1806">
        <f t="shared" si="119"/>
        <v>0</v>
      </c>
      <c r="G494" s="1674">
        <f t="shared" si="105"/>
        <v>0</v>
      </c>
      <c r="H494" s="1806">
        <f t="shared" si="106"/>
        <v>0</v>
      </c>
      <c r="I494" s="1790">
        <f t="shared" si="107"/>
        <v>0</v>
      </c>
      <c r="J494" s="1806">
        <f t="shared" si="108"/>
        <v>0</v>
      </c>
      <c r="K494" s="1790">
        <f t="shared" si="109"/>
        <v>0</v>
      </c>
      <c r="L494" s="1806">
        <f t="shared" si="110"/>
        <v>0</v>
      </c>
      <c r="M494" s="1790">
        <f t="shared" si="111"/>
        <v>0</v>
      </c>
      <c r="N494" s="1806">
        <f t="shared" si="112"/>
        <v>0</v>
      </c>
      <c r="O494" s="1790">
        <f t="shared" si="113"/>
        <v>0</v>
      </c>
      <c r="P494" s="1806">
        <f t="shared" si="114"/>
        <v>0</v>
      </c>
      <c r="Q494" s="1790">
        <f t="shared" si="115"/>
        <v>0</v>
      </c>
      <c r="R494" s="1806">
        <f t="shared" si="116"/>
        <v>0</v>
      </c>
      <c r="S494" s="1674">
        <f t="shared" si="117"/>
        <v>0</v>
      </c>
      <c r="T494" s="1806">
        <f t="shared" si="118"/>
        <v>0</v>
      </c>
      <c r="V494" s="1806">
        <v>0</v>
      </c>
      <c r="X494" s="1806">
        <v>0</v>
      </c>
      <c r="Y494" s="1790"/>
      <c r="Z494" s="1806">
        <v>0</v>
      </c>
      <c r="AA494" s="1790"/>
      <c r="AB494" s="1806">
        <v>0</v>
      </c>
      <c r="AC494" s="1790"/>
      <c r="AD494" s="1806">
        <v>0</v>
      </c>
      <c r="AE494" s="1790"/>
      <c r="AF494" s="1806">
        <v>0</v>
      </c>
      <c r="AG494" s="1790"/>
      <c r="AH494" s="1806">
        <v>0</v>
      </c>
      <c r="AJ494" s="1806">
        <v>0</v>
      </c>
    </row>
    <row r="495" spans="1:36" ht="15" thickTop="1">
      <c r="A495" s="1675">
        <v>27</v>
      </c>
      <c r="B495" s="2015"/>
      <c r="F495" s="1674">
        <f t="shared" si="119"/>
        <v>0</v>
      </c>
      <c r="G495" s="1674">
        <f t="shared" si="105"/>
        <v>0</v>
      </c>
      <c r="H495" s="1674">
        <f t="shared" si="106"/>
        <v>0</v>
      </c>
      <c r="I495" s="1674">
        <f t="shared" si="107"/>
        <v>0</v>
      </c>
      <c r="J495" s="1674">
        <f t="shared" si="108"/>
        <v>0</v>
      </c>
      <c r="K495" s="1674">
        <f t="shared" si="109"/>
        <v>0</v>
      </c>
      <c r="L495" s="1674">
        <f t="shared" si="110"/>
        <v>0</v>
      </c>
      <c r="M495" s="1674">
        <f t="shared" si="111"/>
        <v>0</v>
      </c>
      <c r="N495" s="1674">
        <f t="shared" si="112"/>
        <v>0</v>
      </c>
      <c r="O495" s="1674">
        <f t="shared" si="113"/>
        <v>0</v>
      </c>
      <c r="P495" s="1674">
        <f t="shared" si="114"/>
        <v>0</v>
      </c>
      <c r="Q495" s="2001">
        <f t="shared" si="115"/>
        <v>0</v>
      </c>
      <c r="R495" s="1674">
        <f t="shared" si="116"/>
        <v>0</v>
      </c>
      <c r="S495" s="1674">
        <f t="shared" si="117"/>
        <v>0</v>
      </c>
      <c r="T495" s="1674">
        <f t="shared" si="118"/>
        <v>0</v>
      </c>
      <c r="AG495" s="2001"/>
    </row>
    <row r="496" spans="1:36" ht="15" thickBot="1">
      <c r="A496" s="1675">
        <v>28</v>
      </c>
      <c r="B496" s="2015"/>
      <c r="D496" s="2048" t="s">
        <v>2601</v>
      </c>
      <c r="F496" s="1872">
        <f t="shared" si="119"/>
        <v>3859853.1772200004</v>
      </c>
      <c r="G496" s="1674">
        <f t="shared" si="105"/>
        <v>0</v>
      </c>
      <c r="H496" s="1872">
        <f t="shared" si="106"/>
        <v>553543.30747</v>
      </c>
      <c r="I496" s="1782">
        <f t="shared" si="107"/>
        <v>0</v>
      </c>
      <c r="J496" s="1872">
        <f t="shared" si="108"/>
        <v>-150203.56679000001</v>
      </c>
      <c r="K496" s="1782">
        <f t="shared" si="109"/>
        <v>0</v>
      </c>
      <c r="L496" s="1872">
        <f t="shared" si="110"/>
        <v>-43716.326350000003</v>
      </c>
      <c r="M496" s="1782">
        <f t="shared" si="111"/>
        <v>0</v>
      </c>
      <c r="N496" s="1872">
        <f t="shared" si="112"/>
        <v>4566.9791399999995</v>
      </c>
      <c r="O496" s="1783">
        <f t="shared" si="113"/>
        <v>0</v>
      </c>
      <c r="P496" s="1872">
        <f t="shared" si="114"/>
        <v>0</v>
      </c>
      <c r="Q496" s="1783">
        <f t="shared" si="115"/>
        <v>0</v>
      </c>
      <c r="R496" s="1872">
        <f t="shared" si="116"/>
        <v>4224043.5706900004</v>
      </c>
      <c r="S496" s="1782">
        <f t="shared" si="117"/>
        <v>0</v>
      </c>
      <c r="T496" s="1872">
        <f t="shared" si="118"/>
        <v>4042694.8295700001</v>
      </c>
      <c r="V496" s="1872">
        <v>3859853177.2200003</v>
      </c>
      <c r="X496" s="1872">
        <v>553543307.47000003</v>
      </c>
      <c r="Y496" s="1782"/>
      <c r="Z496" s="1872">
        <v>-150203566.79000002</v>
      </c>
      <c r="AA496" s="1782"/>
      <c r="AB496" s="1872">
        <v>-43716326.350000001</v>
      </c>
      <c r="AC496" s="1782"/>
      <c r="AD496" s="1872">
        <v>4566979.1399999997</v>
      </c>
      <c r="AE496" s="1783"/>
      <c r="AF496" s="1872">
        <v>0</v>
      </c>
      <c r="AG496" s="1783"/>
      <c r="AH496" s="1872">
        <v>4224043570.6900005</v>
      </c>
      <c r="AI496" s="1782"/>
      <c r="AJ496" s="1872">
        <v>4042694829.5700002</v>
      </c>
    </row>
    <row r="497" spans="1:36" ht="15" thickTop="1">
      <c r="A497" s="1675">
        <v>29</v>
      </c>
      <c r="B497" s="2015"/>
      <c r="F497" s="1674">
        <f t="shared" si="119"/>
        <v>0</v>
      </c>
      <c r="G497" s="1674">
        <f t="shared" si="105"/>
        <v>0</v>
      </c>
      <c r="H497" s="1674">
        <f t="shared" si="106"/>
        <v>0</v>
      </c>
      <c r="I497" s="1674">
        <f t="shared" si="107"/>
        <v>0</v>
      </c>
      <c r="J497" s="1674">
        <f t="shared" si="108"/>
        <v>0</v>
      </c>
      <c r="K497" s="1674">
        <f t="shared" si="109"/>
        <v>0</v>
      </c>
      <c r="L497" s="1674">
        <f t="shared" si="110"/>
        <v>0</v>
      </c>
      <c r="M497" s="1674">
        <f t="shared" si="111"/>
        <v>0</v>
      </c>
      <c r="N497" s="1674">
        <f t="shared" si="112"/>
        <v>0</v>
      </c>
      <c r="O497" s="1674">
        <f t="shared" si="113"/>
        <v>0</v>
      </c>
      <c r="P497" s="1674">
        <f t="shared" si="114"/>
        <v>0</v>
      </c>
      <c r="Q497" s="2001">
        <f t="shared" si="115"/>
        <v>0</v>
      </c>
      <c r="R497" s="1674">
        <f t="shared" si="116"/>
        <v>0</v>
      </c>
      <c r="S497" s="1674">
        <f t="shared" si="117"/>
        <v>0</v>
      </c>
      <c r="T497" s="1674">
        <f t="shared" si="118"/>
        <v>0</v>
      </c>
      <c r="AG497" s="2001"/>
    </row>
    <row r="498" spans="1:36">
      <c r="A498" s="1675">
        <v>30</v>
      </c>
      <c r="B498" s="2015"/>
      <c r="D498" s="2002" t="s">
        <v>2590</v>
      </c>
      <c r="F498" s="1674">
        <f t="shared" si="119"/>
        <v>0</v>
      </c>
      <c r="G498" s="1674">
        <f t="shared" si="105"/>
        <v>0</v>
      </c>
      <c r="H498" s="1674">
        <f t="shared" si="106"/>
        <v>0</v>
      </c>
      <c r="I498" s="1674">
        <f t="shared" si="107"/>
        <v>0</v>
      </c>
      <c r="J498" s="1674">
        <f t="shared" si="108"/>
        <v>0</v>
      </c>
      <c r="K498" s="1674">
        <f t="shared" si="109"/>
        <v>0</v>
      </c>
      <c r="L498" s="1674">
        <f t="shared" si="110"/>
        <v>0</v>
      </c>
      <c r="M498" s="1674">
        <f t="shared" si="111"/>
        <v>0</v>
      </c>
      <c r="N498" s="1674">
        <f t="shared" si="112"/>
        <v>0</v>
      </c>
      <c r="O498" s="1674">
        <f t="shared" si="113"/>
        <v>0</v>
      </c>
      <c r="P498" s="1674">
        <f t="shared" si="114"/>
        <v>0</v>
      </c>
      <c r="Q498" s="2001">
        <f t="shared" si="115"/>
        <v>0</v>
      </c>
      <c r="R498" s="1674">
        <f t="shared" si="116"/>
        <v>0</v>
      </c>
      <c r="S498" s="1674">
        <f t="shared" si="117"/>
        <v>0</v>
      </c>
      <c r="T498" s="1674">
        <f t="shared" si="118"/>
        <v>0</v>
      </c>
      <c r="AG498" s="2001"/>
    </row>
    <row r="499" spans="1:36">
      <c r="A499" s="1675">
        <v>31</v>
      </c>
      <c r="B499" s="2015"/>
      <c r="C499" s="1675">
        <v>11401</v>
      </c>
      <c r="D499" s="2002" t="s">
        <v>2591</v>
      </c>
      <c r="F499" s="1876">
        <f t="shared" si="119"/>
        <v>5857.7488600000033</v>
      </c>
      <c r="G499" s="2001">
        <f t="shared" si="105"/>
        <v>0</v>
      </c>
      <c r="H499" s="1876">
        <f t="shared" si="106"/>
        <v>185.74932000000001</v>
      </c>
      <c r="I499" s="1785">
        <f t="shared" si="107"/>
        <v>0</v>
      </c>
      <c r="J499" s="1876">
        <f t="shared" si="108"/>
        <v>0</v>
      </c>
      <c r="K499" s="1786">
        <f t="shared" si="109"/>
        <v>0</v>
      </c>
      <c r="L499" s="1876">
        <f t="shared" si="110"/>
        <v>0</v>
      </c>
      <c r="M499" s="1786">
        <f t="shared" si="111"/>
        <v>0</v>
      </c>
      <c r="N499" s="1876">
        <f t="shared" si="112"/>
        <v>0</v>
      </c>
      <c r="O499" s="1787">
        <f t="shared" si="113"/>
        <v>0</v>
      </c>
      <c r="P499" s="1876">
        <f t="shared" si="114"/>
        <v>0</v>
      </c>
      <c r="Q499" s="1785">
        <f t="shared" si="115"/>
        <v>0</v>
      </c>
      <c r="R499" s="1787">
        <f t="shared" si="116"/>
        <v>6043.4981800000032</v>
      </c>
      <c r="S499" s="1786">
        <f t="shared" si="117"/>
        <v>0</v>
      </c>
      <c r="T499" s="1876">
        <f t="shared" si="118"/>
        <v>5950.6235199999992</v>
      </c>
      <c r="V499" s="1876">
        <v>5857748.8600000031</v>
      </c>
      <c r="W499" s="2001"/>
      <c r="X499" s="1876">
        <v>185749.32</v>
      </c>
      <c r="Y499" s="1785"/>
      <c r="Z499" s="1876">
        <v>0</v>
      </c>
      <c r="AA499" s="1786"/>
      <c r="AB499" s="1876">
        <v>0</v>
      </c>
      <c r="AC499" s="1786"/>
      <c r="AD499" s="1876">
        <v>0</v>
      </c>
      <c r="AE499" s="1787"/>
      <c r="AF499" s="1876">
        <v>0</v>
      </c>
      <c r="AG499" s="1785"/>
      <c r="AH499" s="1787">
        <v>6043498.1800000034</v>
      </c>
      <c r="AI499" s="1786"/>
      <c r="AJ499" s="1876">
        <v>5950623.5199999996</v>
      </c>
    </row>
    <row r="500" spans="1:36">
      <c r="A500" s="1675">
        <v>32</v>
      </c>
      <c r="B500" s="2015"/>
      <c r="C500" s="1675">
        <v>11402</v>
      </c>
      <c r="D500" s="2002" t="s">
        <v>2592</v>
      </c>
      <c r="F500" s="1876">
        <f t="shared" si="119"/>
        <v>886.71492999999884</v>
      </c>
      <c r="G500" s="2001">
        <f t="shared" si="105"/>
        <v>0</v>
      </c>
      <c r="H500" s="1876">
        <f t="shared" si="106"/>
        <v>41.900640000000003</v>
      </c>
      <c r="I500" s="1785">
        <f t="shared" si="107"/>
        <v>0</v>
      </c>
      <c r="J500" s="1876">
        <f t="shared" si="108"/>
        <v>0</v>
      </c>
      <c r="K500" s="1786">
        <f t="shared" si="109"/>
        <v>0</v>
      </c>
      <c r="L500" s="1876">
        <f t="shared" si="110"/>
        <v>0</v>
      </c>
      <c r="M500" s="1786">
        <f t="shared" si="111"/>
        <v>0</v>
      </c>
      <c r="N500" s="1876">
        <f t="shared" si="112"/>
        <v>0</v>
      </c>
      <c r="O500" s="1787">
        <f t="shared" si="113"/>
        <v>0</v>
      </c>
      <c r="P500" s="1876">
        <f t="shared" si="114"/>
        <v>0</v>
      </c>
      <c r="Q500" s="1785">
        <f t="shared" si="115"/>
        <v>0</v>
      </c>
      <c r="R500" s="1787">
        <f t="shared" si="116"/>
        <v>928.61556999999891</v>
      </c>
      <c r="S500" s="1786">
        <f t="shared" si="117"/>
        <v>0</v>
      </c>
      <c r="T500" s="1876">
        <f t="shared" si="118"/>
        <v>907.66525000000001</v>
      </c>
      <c r="V500" s="1876">
        <v>886714.92999999889</v>
      </c>
      <c r="W500" s="2001"/>
      <c r="X500" s="1876">
        <v>41900.639999999999</v>
      </c>
      <c r="Y500" s="1785"/>
      <c r="Z500" s="1876">
        <v>0</v>
      </c>
      <c r="AA500" s="1786"/>
      <c r="AB500" s="1876">
        <v>0</v>
      </c>
      <c r="AC500" s="1786"/>
      <c r="AD500" s="1876">
        <v>0</v>
      </c>
      <c r="AE500" s="1787"/>
      <c r="AF500" s="1876">
        <v>0</v>
      </c>
      <c r="AG500" s="1785"/>
      <c r="AH500" s="1787">
        <v>928615.5699999989</v>
      </c>
      <c r="AI500" s="1786"/>
      <c r="AJ500" s="1876">
        <v>907665.25</v>
      </c>
    </row>
    <row r="501" spans="1:36">
      <c r="A501" s="1675">
        <v>33</v>
      </c>
      <c r="B501" s="2015"/>
      <c r="C501" s="1675">
        <v>11403</v>
      </c>
      <c r="D501" s="1674" t="s">
        <v>2593</v>
      </c>
      <c r="F501" s="1876">
        <f t="shared" si="119"/>
        <v>138.90237999999991</v>
      </c>
      <c r="G501" s="2001">
        <f t="shared" si="105"/>
        <v>0</v>
      </c>
      <c r="H501" s="1876">
        <f t="shared" si="106"/>
        <v>9.0587999999999997</v>
      </c>
      <c r="I501" s="1785">
        <f t="shared" si="107"/>
        <v>0</v>
      </c>
      <c r="J501" s="1876">
        <f t="shared" si="108"/>
        <v>0</v>
      </c>
      <c r="K501" s="1786">
        <f t="shared" si="109"/>
        <v>0</v>
      </c>
      <c r="L501" s="1876">
        <f t="shared" si="110"/>
        <v>0</v>
      </c>
      <c r="M501" s="1786">
        <f t="shared" si="111"/>
        <v>0</v>
      </c>
      <c r="N501" s="1876">
        <f t="shared" si="112"/>
        <v>0</v>
      </c>
      <c r="O501" s="1787">
        <f t="shared" si="113"/>
        <v>0</v>
      </c>
      <c r="P501" s="1876">
        <f t="shared" si="114"/>
        <v>0</v>
      </c>
      <c r="Q501" s="1785">
        <f t="shared" si="115"/>
        <v>0</v>
      </c>
      <c r="R501" s="1787">
        <f t="shared" si="116"/>
        <v>147.9611799999999</v>
      </c>
      <c r="S501" s="1786">
        <f t="shared" si="117"/>
        <v>0</v>
      </c>
      <c r="T501" s="1876">
        <f t="shared" si="118"/>
        <v>143.43178</v>
      </c>
      <c r="V501" s="1876">
        <v>138902.37999999992</v>
      </c>
      <c r="W501" s="2001"/>
      <c r="X501" s="1876">
        <v>9058.7999999999993</v>
      </c>
      <c r="Y501" s="1785"/>
      <c r="Z501" s="1876">
        <v>0</v>
      </c>
      <c r="AA501" s="1786"/>
      <c r="AB501" s="1876">
        <v>0</v>
      </c>
      <c r="AC501" s="1786"/>
      <c r="AD501" s="1876">
        <v>0</v>
      </c>
      <c r="AE501" s="1787"/>
      <c r="AF501" s="1876">
        <v>0</v>
      </c>
      <c r="AG501" s="1785"/>
      <c r="AH501" s="1787">
        <v>147961.17999999991</v>
      </c>
      <c r="AI501" s="1786"/>
      <c r="AJ501" s="1876">
        <v>143431.78</v>
      </c>
    </row>
    <row r="502" spans="1:36" ht="15" thickBot="1">
      <c r="A502" s="1675">
        <v>34</v>
      </c>
      <c r="B502" s="2015"/>
      <c r="D502" s="2002" t="s">
        <v>2468</v>
      </c>
      <c r="F502" s="1806">
        <f t="shared" si="119"/>
        <v>6883.3661700000021</v>
      </c>
      <c r="G502" s="1803">
        <f t="shared" si="105"/>
        <v>0</v>
      </c>
      <c r="H502" s="1806">
        <f t="shared" si="106"/>
        <v>236.70876000000001</v>
      </c>
      <c r="I502" s="1790">
        <f t="shared" si="107"/>
        <v>0</v>
      </c>
      <c r="J502" s="1806">
        <f t="shared" si="108"/>
        <v>0</v>
      </c>
      <c r="K502" s="1790">
        <f t="shared" si="109"/>
        <v>0</v>
      </c>
      <c r="L502" s="1806">
        <f t="shared" si="110"/>
        <v>0</v>
      </c>
      <c r="M502" s="1790">
        <f t="shared" si="111"/>
        <v>0</v>
      </c>
      <c r="N502" s="1806">
        <f t="shared" si="112"/>
        <v>0</v>
      </c>
      <c r="O502" s="1814">
        <f t="shared" si="113"/>
        <v>0</v>
      </c>
      <c r="P502" s="1806">
        <f t="shared" si="114"/>
        <v>0</v>
      </c>
      <c r="Q502" s="1790">
        <f t="shared" si="115"/>
        <v>0</v>
      </c>
      <c r="R502" s="1806">
        <f t="shared" si="116"/>
        <v>7120.0749300000016</v>
      </c>
      <c r="S502" s="1790">
        <f t="shared" si="117"/>
        <v>0</v>
      </c>
      <c r="T502" s="1806">
        <f t="shared" si="118"/>
        <v>7001.72055</v>
      </c>
      <c r="V502" s="1806">
        <v>6883366.1700000018</v>
      </c>
      <c r="W502" s="1803"/>
      <c r="X502" s="1806">
        <v>236708.76</v>
      </c>
      <c r="Y502" s="1790"/>
      <c r="Z502" s="1806">
        <v>0</v>
      </c>
      <c r="AA502" s="1790"/>
      <c r="AB502" s="1806">
        <v>0</v>
      </c>
      <c r="AC502" s="1790"/>
      <c r="AD502" s="1806">
        <v>0</v>
      </c>
      <c r="AE502" s="1814"/>
      <c r="AF502" s="1806">
        <v>0</v>
      </c>
      <c r="AG502" s="1790"/>
      <c r="AH502" s="1806">
        <v>7120074.9300000016</v>
      </c>
      <c r="AI502" s="1790"/>
      <c r="AJ502" s="1806">
        <v>7001720.5499999998</v>
      </c>
    </row>
    <row r="503" spans="1:36" ht="15" thickTop="1">
      <c r="A503" s="1675">
        <v>35</v>
      </c>
      <c r="B503" s="2015"/>
      <c r="F503" s="1674">
        <f t="shared" si="119"/>
        <v>0</v>
      </c>
      <c r="G503" s="1674">
        <f t="shared" si="105"/>
        <v>0</v>
      </c>
      <c r="H503" s="1674">
        <f t="shared" si="106"/>
        <v>0</v>
      </c>
      <c r="I503" s="1674">
        <f t="shared" si="107"/>
        <v>0</v>
      </c>
      <c r="J503" s="1674">
        <f t="shared" si="108"/>
        <v>0</v>
      </c>
      <c r="K503" s="1674">
        <f t="shared" si="109"/>
        <v>0</v>
      </c>
      <c r="L503" s="1674">
        <f t="shared" si="110"/>
        <v>0</v>
      </c>
      <c r="M503" s="1674">
        <f t="shared" si="111"/>
        <v>0</v>
      </c>
      <c r="N503" s="1674">
        <f t="shared" si="112"/>
        <v>0</v>
      </c>
      <c r="O503" s="1674">
        <f t="shared" si="113"/>
        <v>0</v>
      </c>
      <c r="P503" s="1674">
        <f t="shared" si="114"/>
        <v>0</v>
      </c>
      <c r="Q503" s="2001">
        <f t="shared" si="115"/>
        <v>0</v>
      </c>
      <c r="R503" s="1674">
        <f t="shared" si="116"/>
        <v>0</v>
      </c>
      <c r="S503" s="1674">
        <f t="shared" si="117"/>
        <v>0</v>
      </c>
      <c r="T503" s="1674">
        <f t="shared" si="118"/>
        <v>0</v>
      </c>
      <c r="AG503" s="2001"/>
    </row>
    <row r="504" spans="1:36">
      <c r="A504" s="1675">
        <v>36</v>
      </c>
      <c r="B504" s="2015"/>
      <c r="C504" s="1675">
        <v>10200</v>
      </c>
      <c r="D504" s="1808" t="s">
        <v>2470</v>
      </c>
      <c r="F504" s="1876">
        <f t="shared" si="119"/>
        <v>0</v>
      </c>
      <c r="G504" s="2001">
        <f t="shared" si="105"/>
        <v>0</v>
      </c>
      <c r="H504" s="1876">
        <f t="shared" si="106"/>
        <v>0</v>
      </c>
      <c r="I504" s="1785">
        <f t="shared" si="107"/>
        <v>0</v>
      </c>
      <c r="J504" s="1876">
        <f t="shared" si="108"/>
        <v>0</v>
      </c>
      <c r="K504" s="1786">
        <f t="shared" si="109"/>
        <v>0</v>
      </c>
      <c r="L504" s="1876">
        <f t="shared" si="110"/>
        <v>0</v>
      </c>
      <c r="M504" s="1786">
        <f t="shared" si="111"/>
        <v>0</v>
      </c>
      <c r="N504" s="1876">
        <f t="shared" si="112"/>
        <v>0</v>
      </c>
      <c r="O504" s="1787">
        <f t="shared" si="113"/>
        <v>0</v>
      </c>
      <c r="P504" s="1876">
        <f t="shared" si="114"/>
        <v>0</v>
      </c>
      <c r="Q504" s="1785">
        <f t="shared" si="115"/>
        <v>0</v>
      </c>
      <c r="R504" s="1787">
        <f t="shared" si="116"/>
        <v>0</v>
      </c>
      <c r="S504" s="1786">
        <f t="shared" si="117"/>
        <v>0</v>
      </c>
      <c r="T504" s="1876">
        <f t="shared" si="118"/>
        <v>0</v>
      </c>
      <c r="V504" s="1876">
        <v>0</v>
      </c>
      <c r="W504" s="2001"/>
      <c r="X504" s="1876">
        <v>0</v>
      </c>
      <c r="Y504" s="1785"/>
      <c r="Z504" s="1876">
        <v>0</v>
      </c>
      <c r="AA504" s="1786"/>
      <c r="AB504" s="1876">
        <v>0</v>
      </c>
      <c r="AC504" s="1786"/>
      <c r="AD504" s="1876">
        <v>0</v>
      </c>
      <c r="AE504" s="1787"/>
      <c r="AF504" s="1876">
        <v>0</v>
      </c>
      <c r="AG504" s="1785"/>
      <c r="AH504" s="1787">
        <v>0</v>
      </c>
      <c r="AI504" s="1786"/>
      <c r="AJ504" s="1876">
        <v>0</v>
      </c>
    </row>
    <row r="505" spans="1:36">
      <c r="A505" s="1675">
        <v>37</v>
      </c>
      <c r="B505" s="2015"/>
      <c r="C505" s="1675">
        <v>10501</v>
      </c>
      <c r="D505" s="1810" t="s">
        <v>2471</v>
      </c>
      <c r="F505" s="1876">
        <f t="shared" si="119"/>
        <v>0</v>
      </c>
      <c r="G505" s="2001">
        <f t="shared" si="105"/>
        <v>0</v>
      </c>
      <c r="H505" s="1876">
        <f t="shared" si="106"/>
        <v>0</v>
      </c>
      <c r="I505" s="1785">
        <f t="shared" si="107"/>
        <v>0</v>
      </c>
      <c r="J505" s="1876">
        <f t="shared" si="108"/>
        <v>0</v>
      </c>
      <c r="K505" s="1786">
        <f t="shared" si="109"/>
        <v>0</v>
      </c>
      <c r="L505" s="1876">
        <f t="shared" si="110"/>
        <v>0</v>
      </c>
      <c r="M505" s="1786">
        <f t="shared" si="111"/>
        <v>0</v>
      </c>
      <c r="N505" s="1876">
        <f t="shared" si="112"/>
        <v>0</v>
      </c>
      <c r="O505" s="1787">
        <f t="shared" si="113"/>
        <v>0</v>
      </c>
      <c r="P505" s="1876">
        <f t="shared" si="114"/>
        <v>0</v>
      </c>
      <c r="Q505" s="1785">
        <f t="shared" si="115"/>
        <v>0</v>
      </c>
      <c r="R505" s="1787">
        <f t="shared" si="116"/>
        <v>0</v>
      </c>
      <c r="S505" s="1786">
        <f t="shared" si="117"/>
        <v>0</v>
      </c>
      <c r="T505" s="1876">
        <f t="shared" si="118"/>
        <v>0</v>
      </c>
      <c r="V505" s="1876">
        <v>0</v>
      </c>
      <c r="W505" s="2001"/>
      <c r="X505" s="1876">
        <v>0</v>
      </c>
      <c r="Y505" s="1785"/>
      <c r="Z505" s="1876">
        <v>0</v>
      </c>
      <c r="AA505" s="1786"/>
      <c r="AB505" s="1876">
        <v>0</v>
      </c>
      <c r="AC505" s="1786"/>
      <c r="AD505" s="1876">
        <v>0</v>
      </c>
      <c r="AE505" s="1787"/>
      <c r="AF505" s="1876">
        <v>0</v>
      </c>
      <c r="AG505" s="1785"/>
      <c r="AH505" s="1787">
        <v>0</v>
      </c>
      <c r="AI505" s="1786"/>
      <c r="AJ505" s="1876">
        <v>0</v>
      </c>
    </row>
    <row r="506" spans="1:36">
      <c r="A506" s="1675">
        <v>38</v>
      </c>
      <c r="B506" s="2015"/>
      <c r="F506" s="1674">
        <f t="shared" si="119"/>
        <v>0</v>
      </c>
      <c r="G506" s="1674">
        <f t="shared" si="105"/>
        <v>0</v>
      </c>
      <c r="H506" s="1674">
        <f t="shared" si="106"/>
        <v>0</v>
      </c>
      <c r="I506" s="1674">
        <f t="shared" si="107"/>
        <v>0</v>
      </c>
      <c r="J506" s="1674">
        <f t="shared" si="108"/>
        <v>0</v>
      </c>
      <c r="K506" s="1674">
        <f t="shared" si="109"/>
        <v>0</v>
      </c>
      <c r="L506" s="1674">
        <f t="shared" si="110"/>
        <v>0</v>
      </c>
      <c r="M506" s="1674">
        <f t="shared" si="111"/>
        <v>0</v>
      </c>
      <c r="N506" s="1674">
        <f t="shared" si="112"/>
        <v>0</v>
      </c>
      <c r="O506" s="1674">
        <f t="shared" si="113"/>
        <v>0</v>
      </c>
      <c r="P506" s="1674">
        <f t="shared" si="114"/>
        <v>0</v>
      </c>
      <c r="Q506" s="2001">
        <f t="shared" si="115"/>
        <v>0</v>
      </c>
      <c r="R506" s="1674">
        <f t="shared" si="116"/>
        <v>0</v>
      </c>
      <c r="S506" s="1674">
        <f t="shared" si="117"/>
        <v>0</v>
      </c>
      <c r="T506" s="1674">
        <f t="shared" si="118"/>
        <v>0</v>
      </c>
      <c r="AG506" s="2001"/>
    </row>
    <row r="507" spans="1:36">
      <c r="A507" s="1675">
        <v>39</v>
      </c>
      <c r="B507" s="2015"/>
      <c r="C507" s="1675">
        <v>10803</v>
      </c>
      <c r="D507" s="1674" t="s">
        <v>2602</v>
      </c>
      <c r="F507" s="1876">
        <f t="shared" si="119"/>
        <v>75854.965759999963</v>
      </c>
      <c r="G507" s="2001">
        <f t="shared" si="105"/>
        <v>0</v>
      </c>
      <c r="H507" s="1876">
        <f t="shared" si="106"/>
        <v>2301.2224799999985</v>
      </c>
      <c r="I507" s="1785">
        <f t="shared" si="107"/>
        <v>0</v>
      </c>
      <c r="J507" s="1876">
        <f t="shared" si="108"/>
        <v>0</v>
      </c>
      <c r="K507" s="1786">
        <f t="shared" si="109"/>
        <v>0</v>
      </c>
      <c r="L507" s="1876">
        <f t="shared" si="110"/>
        <v>-33255.932999999997</v>
      </c>
      <c r="M507" s="1786">
        <f t="shared" si="111"/>
        <v>0</v>
      </c>
      <c r="N507" s="1876">
        <f t="shared" si="112"/>
        <v>0</v>
      </c>
      <c r="O507" s="1787">
        <f t="shared" si="113"/>
        <v>0</v>
      </c>
      <c r="P507" s="1876">
        <f t="shared" si="114"/>
        <v>33255.932999999997</v>
      </c>
      <c r="Q507" s="1785">
        <f t="shared" si="115"/>
        <v>0</v>
      </c>
      <c r="R507" s="1787">
        <f t="shared" si="116"/>
        <v>78156.188239999959</v>
      </c>
      <c r="S507" s="1786">
        <f t="shared" si="117"/>
        <v>0</v>
      </c>
      <c r="T507" s="1876">
        <f t="shared" si="118"/>
        <v>74601.274470000004</v>
      </c>
      <c r="V507" s="1876">
        <v>75854965.759999961</v>
      </c>
      <c r="W507" s="2001"/>
      <c r="X507" s="1876">
        <v>2301222.4799999986</v>
      </c>
      <c r="Y507" s="1785"/>
      <c r="Z507" s="1876">
        <v>0</v>
      </c>
      <c r="AA507" s="1786"/>
      <c r="AB507" s="1876">
        <v>-33255933</v>
      </c>
      <c r="AC507" s="1786"/>
      <c r="AD507" s="1876">
        <v>0</v>
      </c>
      <c r="AE507" s="1787"/>
      <c r="AF507" s="1876">
        <v>33255933</v>
      </c>
      <c r="AG507" s="1785"/>
      <c r="AH507" s="1787">
        <v>78156188.239999965</v>
      </c>
      <c r="AI507" s="1786"/>
      <c r="AJ507" s="1876">
        <v>74601274.469999999</v>
      </c>
    </row>
    <row r="508" spans="1:36">
      <c r="A508" s="1675">
        <v>40</v>
      </c>
      <c r="B508" s="2015"/>
      <c r="D508" s="1674" t="s">
        <v>2603</v>
      </c>
      <c r="F508" s="1876">
        <f t="shared" si="119"/>
        <v>37781.961080000001</v>
      </c>
      <c r="G508" s="1674">
        <f t="shared" si="105"/>
        <v>0</v>
      </c>
      <c r="H508" s="1876">
        <f t="shared" si="106"/>
        <v>15141.16956</v>
      </c>
      <c r="I508" s="1674">
        <f t="shared" si="107"/>
        <v>0</v>
      </c>
      <c r="J508" s="1876">
        <f t="shared" si="108"/>
        <v>0</v>
      </c>
      <c r="K508" s="1674">
        <f t="shared" si="109"/>
        <v>0</v>
      </c>
      <c r="L508" s="1876">
        <f t="shared" si="110"/>
        <v>0</v>
      </c>
      <c r="M508" s="1674">
        <f t="shared" si="111"/>
        <v>0</v>
      </c>
      <c r="N508" s="1876">
        <f t="shared" si="112"/>
        <v>0</v>
      </c>
      <c r="O508" s="1674">
        <f t="shared" si="113"/>
        <v>0</v>
      </c>
      <c r="P508" s="1876">
        <f t="shared" si="114"/>
        <v>0</v>
      </c>
      <c r="Q508" s="2001">
        <f t="shared" si="115"/>
        <v>0</v>
      </c>
      <c r="R508" s="1787">
        <f t="shared" si="116"/>
        <v>52923.130640000003</v>
      </c>
      <c r="S508" s="1674">
        <f t="shared" si="117"/>
        <v>0</v>
      </c>
      <c r="T508" s="1876">
        <f t="shared" si="118"/>
        <v>45352.545859999998</v>
      </c>
      <c r="V508" s="1876">
        <v>37781961.079999998</v>
      </c>
      <c r="X508" s="1876">
        <v>15141169.560000001</v>
      </c>
      <c r="Z508" s="1876">
        <v>0</v>
      </c>
      <c r="AB508" s="1876">
        <v>0</v>
      </c>
      <c r="AD508" s="1876">
        <v>0</v>
      </c>
      <c r="AF508" s="1876">
        <v>0</v>
      </c>
      <c r="AG508" s="2001"/>
      <c r="AH508" s="1787">
        <v>52923130.640000001</v>
      </c>
      <c r="AJ508" s="1876">
        <v>45352545.859999999</v>
      </c>
    </row>
    <row r="509" spans="1:36" ht="15" thickBot="1">
      <c r="A509" s="1675">
        <v>41</v>
      </c>
      <c r="B509" s="2015"/>
      <c r="D509" s="1674" t="s">
        <v>2604</v>
      </c>
      <c r="F509" s="2045">
        <f t="shared" si="119"/>
        <v>113636.92683999996</v>
      </c>
      <c r="G509" s="1674">
        <f t="shared" si="105"/>
        <v>0</v>
      </c>
      <c r="H509" s="2045">
        <f t="shared" si="106"/>
        <v>17442.392039999999</v>
      </c>
      <c r="I509" s="1674">
        <f t="shared" si="107"/>
        <v>0</v>
      </c>
      <c r="J509" s="2045">
        <f t="shared" si="108"/>
        <v>0</v>
      </c>
      <c r="K509" s="1674">
        <f t="shared" si="109"/>
        <v>0</v>
      </c>
      <c r="L509" s="2045">
        <f t="shared" si="110"/>
        <v>-33255.932999999997</v>
      </c>
      <c r="M509" s="1674">
        <f t="shared" si="111"/>
        <v>0</v>
      </c>
      <c r="N509" s="2045">
        <f t="shared" si="112"/>
        <v>0</v>
      </c>
      <c r="O509" s="1674">
        <f t="shared" si="113"/>
        <v>0</v>
      </c>
      <c r="P509" s="2045">
        <f t="shared" si="114"/>
        <v>33255.932999999997</v>
      </c>
      <c r="Q509" s="2001">
        <f t="shared" si="115"/>
        <v>0</v>
      </c>
      <c r="R509" s="2045">
        <f t="shared" si="116"/>
        <v>131079.31887999998</v>
      </c>
      <c r="S509" s="1674">
        <f t="shared" si="117"/>
        <v>0</v>
      </c>
      <c r="T509" s="2045">
        <f t="shared" si="118"/>
        <v>119953.82033</v>
      </c>
      <c r="V509" s="2045">
        <v>113636926.83999996</v>
      </c>
      <c r="X509" s="2045">
        <v>17442392.039999999</v>
      </c>
      <c r="Z509" s="2045">
        <v>0</v>
      </c>
      <c r="AB509" s="2045">
        <v>-33255933</v>
      </c>
      <c r="AD509" s="2045">
        <v>0</v>
      </c>
      <c r="AF509" s="2045">
        <v>33255933</v>
      </c>
      <c r="AG509" s="2001"/>
      <c r="AH509" s="2045">
        <v>131079318.87999997</v>
      </c>
      <c r="AJ509" s="2045">
        <v>119953820.33</v>
      </c>
    </row>
    <row r="510" spans="1:36" ht="15" thickTop="1">
      <c r="A510" s="1675">
        <v>42</v>
      </c>
      <c r="B510" s="2015"/>
      <c r="F510" s="1674">
        <f t="shared" si="119"/>
        <v>0</v>
      </c>
      <c r="G510" s="1674">
        <f t="shared" si="105"/>
        <v>0</v>
      </c>
      <c r="H510" s="1674">
        <f t="shared" si="106"/>
        <v>0</v>
      </c>
      <c r="I510" s="1674">
        <f t="shared" si="107"/>
        <v>0</v>
      </c>
      <c r="J510" s="1674">
        <f t="shared" si="108"/>
        <v>0</v>
      </c>
      <c r="K510" s="1674">
        <f t="shared" si="109"/>
        <v>0</v>
      </c>
      <c r="L510" s="1674">
        <f t="shared" si="110"/>
        <v>0</v>
      </c>
      <c r="M510" s="1674">
        <f t="shared" si="111"/>
        <v>0</v>
      </c>
      <c r="N510" s="1674">
        <f t="shared" si="112"/>
        <v>0</v>
      </c>
      <c r="O510" s="1674">
        <f t="shared" si="113"/>
        <v>0</v>
      </c>
      <c r="P510" s="1674">
        <f t="shared" si="114"/>
        <v>0</v>
      </c>
      <c r="Q510" s="2001">
        <f t="shared" si="115"/>
        <v>0</v>
      </c>
      <c r="R510" s="1674">
        <f t="shared" si="116"/>
        <v>0</v>
      </c>
      <c r="S510" s="1674">
        <f t="shared" si="117"/>
        <v>0</v>
      </c>
      <c r="T510" s="1674">
        <f t="shared" si="118"/>
        <v>0</v>
      </c>
      <c r="AG510" s="2001"/>
    </row>
    <row r="511" spans="1:36" ht="15" thickBot="1">
      <c r="A511" s="1675">
        <v>43</v>
      </c>
      <c r="B511" s="2015"/>
      <c r="D511" s="2021" t="s">
        <v>2605</v>
      </c>
      <c r="E511" s="2021"/>
      <c r="F511" s="1872">
        <f t="shared" si="119"/>
        <v>3980373.4702300006</v>
      </c>
      <c r="G511" s="1674">
        <f t="shared" si="105"/>
        <v>0</v>
      </c>
      <c r="H511" s="1872">
        <f t="shared" si="106"/>
        <v>571222.40827000001</v>
      </c>
      <c r="I511" s="1872">
        <f t="shared" si="107"/>
        <v>0</v>
      </c>
      <c r="J511" s="1872">
        <f t="shared" si="108"/>
        <v>-150203.56679000001</v>
      </c>
      <c r="K511" s="1783">
        <f t="shared" si="109"/>
        <v>0</v>
      </c>
      <c r="L511" s="1872">
        <f t="shared" si="110"/>
        <v>-76972.259349999993</v>
      </c>
      <c r="M511" s="1783">
        <f t="shared" si="111"/>
        <v>0</v>
      </c>
      <c r="N511" s="1872">
        <f t="shared" si="112"/>
        <v>4566.9791399999995</v>
      </c>
      <c r="O511" s="1814">
        <f t="shared" si="113"/>
        <v>0</v>
      </c>
      <c r="P511" s="1872">
        <f t="shared" si="114"/>
        <v>33255.932999999997</v>
      </c>
      <c r="Q511" s="1783">
        <f t="shared" si="115"/>
        <v>0</v>
      </c>
      <c r="R511" s="1872">
        <f t="shared" si="116"/>
        <v>4362242.9644999998</v>
      </c>
      <c r="S511" s="1783">
        <f t="shared" si="117"/>
        <v>0</v>
      </c>
      <c r="T511" s="1872">
        <f t="shared" si="118"/>
        <v>4169650.3704500003</v>
      </c>
      <c r="V511" s="1872">
        <v>3980373470.2300005</v>
      </c>
      <c r="X511" s="1872">
        <v>571222408.26999998</v>
      </c>
      <c r="Y511" s="1872"/>
      <c r="Z511" s="1872">
        <v>-150203566.79000002</v>
      </c>
      <c r="AA511" s="1783"/>
      <c r="AB511" s="1872">
        <v>-76972259.349999994</v>
      </c>
      <c r="AC511" s="1783"/>
      <c r="AD511" s="1872">
        <v>4566979.1399999997</v>
      </c>
      <c r="AE511" s="1814"/>
      <c r="AF511" s="1872">
        <v>33255933</v>
      </c>
      <c r="AG511" s="1783"/>
      <c r="AH511" s="1872">
        <v>4362242964.5</v>
      </c>
      <c r="AI511" s="1783"/>
      <c r="AJ511" s="1872">
        <v>4169650370.4500003</v>
      </c>
    </row>
    <row r="512" spans="1:36" ht="15.6" thickTop="1" thickBot="1">
      <c r="A512" s="2008">
        <v>44</v>
      </c>
      <c r="B512" s="1869" t="s">
        <v>2476</v>
      </c>
      <c r="C512" s="1997"/>
      <c r="D512" s="1997"/>
      <c r="E512" s="1997"/>
      <c r="F512" s="1997">
        <f t="shared" si="119"/>
        <v>0</v>
      </c>
      <c r="G512" s="1997">
        <f t="shared" si="105"/>
        <v>0</v>
      </c>
      <c r="H512" s="1997">
        <f t="shared" si="106"/>
        <v>0</v>
      </c>
      <c r="I512" s="1997">
        <f t="shared" si="107"/>
        <v>0</v>
      </c>
      <c r="J512" s="1997">
        <f t="shared" si="108"/>
        <v>0</v>
      </c>
      <c r="K512" s="1997">
        <f t="shared" si="109"/>
        <v>0</v>
      </c>
      <c r="L512" s="1997">
        <f t="shared" si="110"/>
        <v>0</v>
      </c>
      <c r="M512" s="1997">
        <f t="shared" si="111"/>
        <v>0</v>
      </c>
      <c r="N512" s="1997">
        <f t="shared" si="112"/>
        <v>0</v>
      </c>
      <c r="O512" s="1997">
        <f t="shared" si="113"/>
        <v>0</v>
      </c>
      <c r="P512" s="1997">
        <f t="shared" si="114"/>
        <v>0</v>
      </c>
      <c r="Q512" s="1998">
        <f t="shared" si="115"/>
        <v>0</v>
      </c>
      <c r="R512" s="1997">
        <f t="shared" si="116"/>
        <v>0</v>
      </c>
      <c r="S512" s="1997">
        <f t="shared" si="117"/>
        <v>0</v>
      </c>
      <c r="T512" s="1997">
        <f t="shared" si="118"/>
        <v>0</v>
      </c>
      <c r="V512" s="1997"/>
      <c r="W512" s="1997"/>
      <c r="X512" s="1997"/>
      <c r="Y512" s="1997"/>
      <c r="Z512" s="1997"/>
      <c r="AA512" s="1997"/>
      <c r="AB512" s="1997"/>
      <c r="AC512" s="1997"/>
      <c r="AD512" s="1997"/>
      <c r="AE512" s="1997"/>
      <c r="AF512" s="1997"/>
      <c r="AG512" s="1998"/>
      <c r="AH512" s="1997"/>
      <c r="AI512" s="1997"/>
      <c r="AJ512" s="1997"/>
    </row>
    <row r="513" spans="1:36">
      <c r="A513" s="1674" t="s">
        <v>8186</v>
      </c>
      <c r="F513" s="1674">
        <f t="shared" si="119"/>
        <v>0</v>
      </c>
      <c r="G513" s="1674">
        <f t="shared" si="105"/>
        <v>0</v>
      </c>
      <c r="H513" s="1674">
        <f t="shared" si="106"/>
        <v>0</v>
      </c>
      <c r="I513" s="1674">
        <f t="shared" si="107"/>
        <v>0</v>
      </c>
      <c r="J513" s="1674">
        <f t="shared" si="108"/>
        <v>0</v>
      </c>
      <c r="K513" s="1674">
        <f t="shared" si="109"/>
        <v>0</v>
      </c>
      <c r="L513" s="1674">
        <f t="shared" si="110"/>
        <v>0</v>
      </c>
      <c r="M513" s="1674">
        <f t="shared" si="111"/>
        <v>0</v>
      </c>
      <c r="N513" s="1674">
        <f t="shared" si="112"/>
        <v>0</v>
      </c>
      <c r="O513" s="1674">
        <f t="shared" si="113"/>
        <v>0</v>
      </c>
      <c r="P513" s="1674">
        <f t="shared" si="114"/>
        <v>0</v>
      </c>
      <c r="Q513" s="2001">
        <f t="shared" si="115"/>
        <v>0</v>
      </c>
      <c r="R513" s="1674" t="str">
        <f t="shared" si="116"/>
        <v>Recap Schedules:  B-03, B-06</v>
      </c>
      <c r="S513" s="1674">
        <f t="shared" si="117"/>
        <v>0</v>
      </c>
      <c r="T513" s="1674">
        <f t="shared" si="118"/>
        <v>0</v>
      </c>
      <c r="AG513" s="2001"/>
      <c r="AH513" s="1674" t="s">
        <v>8948</v>
      </c>
    </row>
    <row r="514" spans="1:36" ht="15" thickBot="1">
      <c r="A514" s="1997" t="s">
        <v>8952</v>
      </c>
      <c r="B514" s="1997"/>
      <c r="C514" s="1997"/>
      <c r="D514" s="1997"/>
      <c r="E514" s="1997"/>
      <c r="F514" s="1997" t="str">
        <f t="shared" si="119"/>
        <v>DEPRECIATION RESERVE BALANCES BY ACCOUNT AND SUB-ACCOUNT</v>
      </c>
      <c r="G514" s="1997">
        <f t="shared" si="105"/>
        <v>0</v>
      </c>
      <c r="H514" s="1997">
        <f t="shared" si="106"/>
        <v>0</v>
      </c>
      <c r="I514" s="1997">
        <f t="shared" si="107"/>
        <v>0</v>
      </c>
      <c r="J514" s="1997">
        <f t="shared" si="108"/>
        <v>0</v>
      </c>
      <c r="K514" s="1997">
        <f t="shared" si="109"/>
        <v>0</v>
      </c>
      <c r="L514" s="1997">
        <f t="shared" si="110"/>
        <v>0</v>
      </c>
      <c r="M514" s="1997">
        <f t="shared" si="111"/>
        <v>0</v>
      </c>
      <c r="N514" s="1997">
        <f t="shared" si="112"/>
        <v>0</v>
      </c>
      <c r="O514" s="1997">
        <f t="shared" si="113"/>
        <v>0</v>
      </c>
      <c r="P514" s="1997">
        <f t="shared" si="114"/>
        <v>0</v>
      </c>
      <c r="Q514" s="1998">
        <f t="shared" si="115"/>
        <v>0</v>
      </c>
      <c r="R514" s="1997">
        <f t="shared" si="116"/>
        <v>0</v>
      </c>
      <c r="S514" s="1997">
        <f t="shared" si="117"/>
        <v>0</v>
      </c>
      <c r="T514" s="1997" t="str">
        <f t="shared" si="118"/>
        <v>Page 10 of 10</v>
      </c>
      <c r="V514" s="1997" t="s">
        <v>2594</v>
      </c>
      <c r="W514" s="1997"/>
      <c r="X514" s="1997"/>
      <c r="Y514" s="1997"/>
      <c r="Z514" s="1997"/>
      <c r="AA514" s="1997"/>
      <c r="AB514" s="1997"/>
      <c r="AC514" s="1997"/>
      <c r="AD514" s="1997"/>
      <c r="AE514" s="1997"/>
      <c r="AF514" s="1997"/>
      <c r="AG514" s="1998"/>
      <c r="AH514" s="1997"/>
      <c r="AI514" s="1997"/>
      <c r="AJ514" s="1997" t="s">
        <v>2424</v>
      </c>
    </row>
    <row r="515" spans="1:36">
      <c r="A515" s="1674" t="s">
        <v>2425</v>
      </c>
      <c r="B515" s="2024"/>
      <c r="E515" s="2001" t="s">
        <v>2426</v>
      </c>
      <c r="F515" s="1674" t="str">
        <f t="shared" si="119"/>
        <v>Provide the depreciation reserve balances for each account or sub-account to which</v>
      </c>
      <c r="G515" s="1674">
        <f t="shared" si="105"/>
        <v>0</v>
      </c>
      <c r="H515" s="1674">
        <f t="shared" si="106"/>
        <v>0</v>
      </c>
      <c r="I515" s="1674">
        <f t="shared" si="107"/>
        <v>0</v>
      </c>
      <c r="J515" s="2003">
        <f t="shared" si="108"/>
        <v>0</v>
      </c>
      <c r="K515" s="2003">
        <f t="shared" si="109"/>
        <v>0</v>
      </c>
      <c r="L515" s="1674">
        <f t="shared" si="110"/>
        <v>0</v>
      </c>
      <c r="M515" s="2003">
        <f t="shared" si="111"/>
        <v>0</v>
      </c>
      <c r="N515" s="2003">
        <f t="shared" si="112"/>
        <v>0</v>
      </c>
      <c r="O515" s="2003">
        <f t="shared" si="113"/>
        <v>0</v>
      </c>
      <c r="P515" s="2003">
        <f t="shared" si="114"/>
        <v>0</v>
      </c>
      <c r="Q515" s="2004">
        <f t="shared" si="115"/>
        <v>0</v>
      </c>
      <c r="R515" s="1674" t="str">
        <f t="shared" si="116"/>
        <v>Type of data shown:</v>
      </c>
      <c r="S515" s="1674">
        <f t="shared" si="117"/>
        <v>0</v>
      </c>
      <c r="T515" s="2005">
        <f t="shared" si="118"/>
        <v>0</v>
      </c>
      <c r="V515" s="1674" t="s">
        <v>2595</v>
      </c>
      <c r="Z515" s="2003"/>
      <c r="AA515" s="2003"/>
      <c r="AC515" s="2003"/>
      <c r="AD515" s="2003"/>
      <c r="AE515" s="2003"/>
      <c r="AF515" s="2003"/>
      <c r="AG515" s="2004"/>
      <c r="AH515" s="1674" t="s">
        <v>2427</v>
      </c>
      <c r="AJ515" s="2005"/>
    </row>
    <row r="516" spans="1:36">
      <c r="B516" s="2024"/>
      <c r="F516" s="1674" t="str">
        <f t="shared" si="119"/>
        <v>an individual depreciation rate is applied. (Include Amortization/Recovery amounts).</v>
      </c>
      <c r="G516" s="1674">
        <f t="shared" si="105"/>
        <v>0</v>
      </c>
      <c r="H516" s="1674">
        <f t="shared" si="106"/>
        <v>0</v>
      </c>
      <c r="I516" s="1674">
        <f t="shared" si="107"/>
        <v>0</v>
      </c>
      <c r="J516" s="2001">
        <f t="shared" si="108"/>
        <v>0</v>
      </c>
      <c r="K516" s="2005">
        <f t="shared" si="109"/>
        <v>0</v>
      </c>
      <c r="L516" s="1674">
        <f t="shared" si="110"/>
        <v>0</v>
      </c>
      <c r="M516" s="1674">
        <f t="shared" si="111"/>
        <v>0</v>
      </c>
      <c r="N516" s="2001">
        <f t="shared" si="112"/>
        <v>0</v>
      </c>
      <c r="O516" s="2001">
        <f t="shared" si="113"/>
        <v>0</v>
      </c>
      <c r="P516" s="2001">
        <f t="shared" si="114"/>
        <v>0</v>
      </c>
      <c r="Q516" s="2001" t="str">
        <f t="shared" si="115"/>
        <v>XX</v>
      </c>
      <c r="R516" s="2005" t="str">
        <f t="shared" si="116"/>
        <v>Projected Test Year Ended 12/31/2025</v>
      </c>
      <c r="S516" s="1674">
        <f t="shared" si="117"/>
        <v>0</v>
      </c>
      <c r="T516" s="2001">
        <f t="shared" si="118"/>
        <v>0</v>
      </c>
      <c r="V516" s="1674" t="s">
        <v>8185</v>
      </c>
      <c r="Z516" s="2001"/>
      <c r="AA516" s="2005"/>
      <c r="AD516" s="2001"/>
      <c r="AE516" s="2001"/>
      <c r="AF516" s="2001"/>
      <c r="AG516" s="2001" t="s">
        <v>8157</v>
      </c>
      <c r="AH516" s="2005" t="s">
        <v>8944</v>
      </c>
      <c r="AJ516" s="2001"/>
    </row>
    <row r="517" spans="1:36">
      <c r="A517" s="1674" t="s">
        <v>2428</v>
      </c>
      <c r="B517" s="2024"/>
      <c r="F517" s="1674" t="str">
        <f t="shared" si="119"/>
        <v/>
      </c>
      <c r="G517" s="1674">
        <f t="shared" si="105"/>
        <v>0</v>
      </c>
      <c r="H517" s="1674">
        <f t="shared" si="106"/>
        <v>0</v>
      </c>
      <c r="I517" s="1674">
        <f t="shared" si="107"/>
        <v>0</v>
      </c>
      <c r="J517" s="2001">
        <f t="shared" si="108"/>
        <v>0</v>
      </c>
      <c r="K517" s="2005">
        <f t="shared" si="109"/>
        <v>0</v>
      </c>
      <c r="L517" s="2001">
        <f t="shared" si="110"/>
        <v>0</v>
      </c>
      <c r="M517" s="1674">
        <f t="shared" si="111"/>
        <v>0</v>
      </c>
      <c r="N517" s="1674">
        <f t="shared" si="112"/>
        <v>0</v>
      </c>
      <c r="O517" s="1674">
        <f t="shared" si="113"/>
        <v>0</v>
      </c>
      <c r="P517" s="1674">
        <f t="shared" si="114"/>
        <v>0</v>
      </c>
      <c r="Q517" s="2001" t="str">
        <f t="shared" si="115"/>
        <v/>
      </c>
      <c r="R517" s="2005" t="str">
        <f t="shared" si="116"/>
        <v>Projected Prior Year Ended 12/31/2024</v>
      </c>
      <c r="S517" s="1674">
        <f t="shared" si="117"/>
        <v>0</v>
      </c>
      <c r="T517" s="2001">
        <f t="shared" si="118"/>
        <v>0</v>
      </c>
      <c r="V517" s="1674" t="s">
        <v>2360</v>
      </c>
      <c r="Z517" s="2001"/>
      <c r="AA517" s="2005"/>
      <c r="AB517" s="2001"/>
      <c r="AG517" s="2001" t="s">
        <v>2360</v>
      </c>
      <c r="AH517" s="2005" t="s">
        <v>8945</v>
      </c>
      <c r="AJ517" s="2001"/>
    </row>
    <row r="518" spans="1:36">
      <c r="B518" s="2024"/>
      <c r="F518" s="1674" t="str">
        <f t="shared" si="119"/>
        <v/>
      </c>
      <c r="G518" s="1674">
        <f t="shared" si="105"/>
        <v>0</v>
      </c>
      <c r="H518" s="1674">
        <f t="shared" si="106"/>
        <v>0</v>
      </c>
      <c r="I518" s="1674">
        <f t="shared" si="107"/>
        <v>0</v>
      </c>
      <c r="J518" s="2001">
        <f t="shared" si="108"/>
        <v>0</v>
      </c>
      <c r="K518" s="2005">
        <f t="shared" si="109"/>
        <v>0</v>
      </c>
      <c r="L518" s="2001">
        <f t="shared" si="110"/>
        <v>0</v>
      </c>
      <c r="M518" s="1674">
        <f t="shared" si="111"/>
        <v>0</v>
      </c>
      <c r="N518" s="1674">
        <f t="shared" si="112"/>
        <v>0</v>
      </c>
      <c r="O518" s="1674">
        <f t="shared" si="113"/>
        <v>0</v>
      </c>
      <c r="P518" s="1674">
        <f t="shared" si="114"/>
        <v>0</v>
      </c>
      <c r="Q518" s="2001" t="str">
        <f t="shared" si="115"/>
        <v/>
      </c>
      <c r="R518" s="2005" t="str">
        <f t="shared" si="116"/>
        <v>Historical Prior Year Ended 12/31/2023</v>
      </c>
      <c r="S518" s="1674">
        <f t="shared" si="117"/>
        <v>0</v>
      </c>
      <c r="T518" s="2001">
        <f t="shared" si="118"/>
        <v>0</v>
      </c>
      <c r="V518" s="1674" t="s">
        <v>2360</v>
      </c>
      <c r="Z518" s="2001"/>
      <c r="AA518" s="2005"/>
      <c r="AB518" s="2001"/>
      <c r="AG518" s="2001" t="s">
        <v>2360</v>
      </c>
      <c r="AH518" s="2005" t="s">
        <v>8946</v>
      </c>
      <c r="AJ518" s="2001"/>
    </row>
    <row r="519" spans="1:36">
      <c r="B519" s="2024"/>
      <c r="F519" s="1674">
        <f t="shared" si="119"/>
        <v>0</v>
      </c>
      <c r="G519" s="1674">
        <f t="shared" si="105"/>
        <v>0</v>
      </c>
      <c r="H519" s="1674">
        <f t="shared" si="106"/>
        <v>0</v>
      </c>
      <c r="I519" s="1674">
        <f t="shared" si="107"/>
        <v>0</v>
      </c>
      <c r="J519" s="2001">
        <f t="shared" si="108"/>
        <v>0</v>
      </c>
      <c r="K519" s="2005">
        <f t="shared" si="109"/>
        <v>0</v>
      </c>
      <c r="L519" s="2001">
        <f t="shared" si="110"/>
        <v>0</v>
      </c>
      <c r="M519" s="1674">
        <f t="shared" si="111"/>
        <v>0</v>
      </c>
      <c r="N519" s="1674">
        <f t="shared" si="112"/>
        <v>0</v>
      </c>
      <c r="O519" s="1674">
        <f t="shared" si="113"/>
        <v>0</v>
      </c>
      <c r="P519" s="1674">
        <f t="shared" si="114"/>
        <v>0</v>
      </c>
      <c r="Q519" s="2001">
        <f t="shared" si="115"/>
        <v>0</v>
      </c>
      <c r="R519" s="2005" t="str">
        <f t="shared" si="116"/>
        <v>Witness: D. Avellan</v>
      </c>
      <c r="S519" s="1674">
        <f t="shared" si="117"/>
        <v>0</v>
      </c>
      <c r="T519" s="2001">
        <f t="shared" si="118"/>
        <v>0</v>
      </c>
      <c r="Z519" s="2001"/>
      <c r="AA519" s="2005"/>
      <c r="AB519" s="2001"/>
      <c r="AG519" s="2001"/>
      <c r="AH519" s="2005" t="s">
        <v>8160</v>
      </c>
      <c r="AJ519" s="2001"/>
    </row>
    <row r="520" spans="1:36" ht="15" thickBot="1">
      <c r="A520" s="1997" t="s">
        <v>8158</v>
      </c>
      <c r="B520" s="2025"/>
      <c r="C520" s="1997"/>
      <c r="D520" s="1997"/>
      <c r="E520" s="1997"/>
      <c r="F520" s="1997" t="str">
        <f t="shared" si="119"/>
        <v/>
      </c>
      <c r="G520" s="1997">
        <f t="shared" si="105"/>
        <v>0</v>
      </c>
      <c r="H520" s="2008" t="str">
        <f t="shared" si="106"/>
        <v>(Dollars in cents)</v>
      </c>
      <c r="I520" s="1997">
        <f t="shared" si="107"/>
        <v>0</v>
      </c>
      <c r="J520" s="1997">
        <f t="shared" si="108"/>
        <v>0</v>
      </c>
      <c r="K520" s="1997">
        <f t="shared" si="109"/>
        <v>0</v>
      </c>
      <c r="L520" s="1997">
        <f t="shared" si="110"/>
        <v>0</v>
      </c>
      <c r="M520" s="1997">
        <f t="shared" si="111"/>
        <v>0</v>
      </c>
      <c r="N520" s="1997">
        <f t="shared" si="112"/>
        <v>0</v>
      </c>
      <c r="O520" s="1997">
        <f t="shared" si="113"/>
        <v>0</v>
      </c>
      <c r="P520" s="1997">
        <f t="shared" si="114"/>
        <v>0</v>
      </c>
      <c r="Q520" s="1998">
        <f t="shared" si="115"/>
        <v>0</v>
      </c>
      <c r="R520" s="1997" t="str">
        <f t="shared" si="116"/>
        <v xml:space="preserve"> </v>
      </c>
      <c r="S520" s="1997">
        <f t="shared" si="117"/>
        <v>0</v>
      </c>
      <c r="T520" s="1997">
        <f t="shared" si="118"/>
        <v>0</v>
      </c>
      <c r="V520" s="1997" t="s">
        <v>2360</v>
      </c>
      <c r="W520" s="1997"/>
      <c r="X520" s="2008" t="s">
        <v>8159</v>
      </c>
      <c r="Y520" s="1997"/>
      <c r="Z520" s="1997"/>
      <c r="AA520" s="1997"/>
      <c r="AB520" s="1997"/>
      <c r="AC520" s="1997"/>
      <c r="AD520" s="1997"/>
      <c r="AE520" s="1997"/>
      <c r="AF520" s="1997"/>
      <c r="AG520" s="1998"/>
      <c r="AH520" s="1997" t="s">
        <v>2477</v>
      </c>
      <c r="AI520" s="1997"/>
      <c r="AJ520" s="1997"/>
    </row>
    <row r="521" spans="1:36">
      <c r="A521" s="1675"/>
      <c r="C521" s="2009"/>
      <c r="D521" s="2009"/>
      <c r="E521" s="2009"/>
      <c r="F521" s="2009">
        <f t="shared" si="119"/>
        <v>0</v>
      </c>
      <c r="G521" s="2009">
        <f t="shared" si="105"/>
        <v>0</v>
      </c>
      <c r="H521" s="2009">
        <f t="shared" si="106"/>
        <v>0</v>
      </c>
      <c r="I521" s="2009">
        <f t="shared" si="107"/>
        <v>0</v>
      </c>
      <c r="J521" s="2009">
        <f t="shared" si="108"/>
        <v>0</v>
      </c>
      <c r="K521" s="2009">
        <f t="shared" si="109"/>
        <v>0</v>
      </c>
      <c r="L521" s="2009">
        <f t="shared" si="110"/>
        <v>0</v>
      </c>
      <c r="M521" s="2009">
        <f t="shared" si="111"/>
        <v>0</v>
      </c>
      <c r="N521" s="2009">
        <f t="shared" si="112"/>
        <v>0</v>
      </c>
      <c r="O521" s="2009">
        <f t="shared" si="113"/>
        <v>0</v>
      </c>
      <c r="P521" s="2009">
        <f t="shared" si="114"/>
        <v>0</v>
      </c>
      <c r="Q521" s="2010">
        <f t="shared" si="115"/>
        <v>0</v>
      </c>
      <c r="R521" s="2009">
        <f t="shared" si="116"/>
        <v>0</v>
      </c>
      <c r="S521" s="2009">
        <f t="shared" si="117"/>
        <v>0</v>
      </c>
      <c r="T521" s="2009">
        <f t="shared" si="118"/>
        <v>0</v>
      </c>
      <c r="V521" s="2009"/>
      <c r="W521" s="2009"/>
      <c r="X521" s="2009"/>
      <c r="Y521" s="2009"/>
      <c r="Z521" s="2009"/>
      <c r="AA521" s="2009"/>
      <c r="AB521" s="2009"/>
      <c r="AC521" s="2009"/>
      <c r="AD521" s="2009"/>
      <c r="AE521" s="2009"/>
      <c r="AF521" s="2009"/>
      <c r="AG521" s="2010"/>
      <c r="AH521" s="2009"/>
      <c r="AI521" s="2009"/>
      <c r="AJ521" s="2009"/>
    </row>
    <row r="522" spans="1:36">
      <c r="A522" s="1675"/>
      <c r="C522" s="2009" t="s">
        <v>2306</v>
      </c>
      <c r="D522" s="2009" t="s">
        <v>2307</v>
      </c>
      <c r="E522" s="2009"/>
      <c r="F522" s="2009" t="str">
        <f t="shared" si="119"/>
        <v>(3)</v>
      </c>
      <c r="G522" s="2009">
        <f t="shared" si="105"/>
        <v>0</v>
      </c>
      <c r="H522" s="2009" t="str">
        <f t="shared" si="106"/>
        <v>(4)</v>
      </c>
      <c r="I522" s="2009">
        <f t="shared" si="107"/>
        <v>0</v>
      </c>
      <c r="J522" s="1675" t="str">
        <f t="shared" si="108"/>
        <v>(5)</v>
      </c>
      <c r="K522" s="1675">
        <f t="shared" si="109"/>
        <v>0</v>
      </c>
      <c r="L522" s="2009" t="str">
        <f t="shared" si="110"/>
        <v>(6)</v>
      </c>
      <c r="M522" s="2009">
        <f t="shared" si="111"/>
        <v>0</v>
      </c>
      <c r="N522" s="2009" t="str">
        <f t="shared" si="112"/>
        <v>(7)</v>
      </c>
      <c r="O522" s="2009">
        <f t="shared" si="113"/>
        <v>0</v>
      </c>
      <c r="P522" s="2009" t="str">
        <f t="shared" si="114"/>
        <v>(8)</v>
      </c>
      <c r="Q522" s="2010">
        <f t="shared" si="115"/>
        <v>0</v>
      </c>
      <c r="R522" s="2009" t="str">
        <f t="shared" si="116"/>
        <v>(9)</v>
      </c>
      <c r="S522" s="2009">
        <f t="shared" si="117"/>
        <v>0</v>
      </c>
      <c r="T522" s="2009" t="str">
        <f t="shared" si="118"/>
        <v>(10)</v>
      </c>
      <c r="V522" s="2009" t="s">
        <v>2308</v>
      </c>
      <c r="W522" s="2009"/>
      <c r="X522" s="2009" t="s">
        <v>2309</v>
      </c>
      <c r="Y522" s="2009"/>
      <c r="Z522" s="1675" t="s">
        <v>2310</v>
      </c>
      <c r="AA522" s="1675"/>
      <c r="AB522" s="2009" t="s">
        <v>2311</v>
      </c>
      <c r="AC522" s="2009"/>
      <c r="AD522" s="2009" t="s">
        <v>2312</v>
      </c>
      <c r="AE522" s="2009"/>
      <c r="AF522" s="2009" t="s">
        <v>2313</v>
      </c>
      <c r="AG522" s="2010"/>
      <c r="AH522" s="2009" t="s">
        <v>2314</v>
      </c>
      <c r="AI522" s="2009"/>
      <c r="AJ522" s="2009" t="s">
        <v>2361</v>
      </c>
    </row>
    <row r="523" spans="1:36">
      <c r="A523" s="1675"/>
      <c r="C523" s="1675" t="s">
        <v>2429</v>
      </c>
      <c r="D523" s="1675" t="s">
        <v>2429</v>
      </c>
      <c r="F523" s="1675" t="str">
        <f t="shared" si="119"/>
        <v>Accumulated</v>
      </c>
      <c r="G523" s="1675">
        <f t="shared" si="105"/>
        <v>0</v>
      </c>
      <c r="H523" s="2009" t="str">
        <f t="shared" si="106"/>
        <v>Total</v>
      </c>
      <c r="I523" s="1675">
        <f t="shared" si="107"/>
        <v>0</v>
      </c>
      <c r="J523" s="2009">
        <f t="shared" si="108"/>
        <v>0</v>
      </c>
      <c r="K523" s="1675">
        <f t="shared" si="109"/>
        <v>0</v>
      </c>
      <c r="L523" s="1675">
        <f t="shared" si="110"/>
        <v>0</v>
      </c>
      <c r="M523" s="1675">
        <f t="shared" si="111"/>
        <v>0</v>
      </c>
      <c r="N523" s="1674">
        <f t="shared" si="112"/>
        <v>0</v>
      </c>
      <c r="O523" s="1674">
        <f t="shared" si="113"/>
        <v>0</v>
      </c>
      <c r="P523" s="1674">
        <f t="shared" si="114"/>
        <v>0</v>
      </c>
      <c r="Q523" s="2001">
        <f t="shared" si="115"/>
        <v>0</v>
      </c>
      <c r="R523" s="1675" t="str">
        <f t="shared" si="116"/>
        <v>Accumulated</v>
      </c>
      <c r="S523" s="1674">
        <f t="shared" si="117"/>
        <v>0</v>
      </c>
      <c r="T523" s="1675">
        <f t="shared" si="118"/>
        <v>0</v>
      </c>
      <c r="V523" s="1675" t="s">
        <v>2315</v>
      </c>
      <c r="W523" s="1675"/>
      <c r="X523" s="2009" t="s">
        <v>122</v>
      </c>
      <c r="Y523" s="1675"/>
      <c r="Z523" s="2009"/>
      <c r="AA523" s="1675"/>
      <c r="AB523" s="1675"/>
      <c r="AC523" s="1675"/>
      <c r="AG523" s="2001"/>
      <c r="AH523" s="1675" t="s">
        <v>2315</v>
      </c>
      <c r="AJ523" s="1675"/>
    </row>
    <row r="524" spans="1:36">
      <c r="A524" s="1675" t="s">
        <v>2430</v>
      </c>
      <c r="B524" s="1675"/>
      <c r="C524" s="1675" t="s">
        <v>2431</v>
      </c>
      <c r="D524" s="1675" t="s">
        <v>2431</v>
      </c>
      <c r="E524" s="2009"/>
      <c r="F524" s="1675" t="str">
        <f t="shared" si="119"/>
        <v>Depreciation</v>
      </c>
      <c r="G524" s="1675">
        <f t="shared" si="105"/>
        <v>0</v>
      </c>
      <c r="H524" s="1675" t="str">
        <f t="shared" si="106"/>
        <v>Depreciation</v>
      </c>
      <c r="I524" s="1675">
        <f t="shared" si="107"/>
        <v>0</v>
      </c>
      <c r="J524" s="1675">
        <f t="shared" si="108"/>
        <v>0</v>
      </c>
      <c r="K524" s="2009">
        <f t="shared" si="109"/>
        <v>0</v>
      </c>
      <c r="L524" s="1675" t="str">
        <f t="shared" si="110"/>
        <v>Gross</v>
      </c>
      <c r="M524" s="2005">
        <f t="shared" si="111"/>
        <v>0</v>
      </c>
      <c r="N524" s="1675" t="str">
        <f t="shared" si="112"/>
        <v>Gross</v>
      </c>
      <c r="O524" s="1675">
        <f t="shared" si="113"/>
        <v>0</v>
      </c>
      <c r="P524" s="1675" t="str">
        <f t="shared" si="114"/>
        <v>Adjustments</v>
      </c>
      <c r="Q524" s="2010">
        <f t="shared" si="115"/>
        <v>0</v>
      </c>
      <c r="R524" s="2009" t="str">
        <f t="shared" si="116"/>
        <v>Depreciation</v>
      </c>
      <c r="S524" s="2009">
        <f t="shared" si="117"/>
        <v>0</v>
      </c>
      <c r="T524" s="1675" t="str">
        <f t="shared" si="118"/>
        <v>13-Month</v>
      </c>
      <c r="V524" s="1675" t="s">
        <v>1537</v>
      </c>
      <c r="W524" s="1675"/>
      <c r="X524" s="1675" t="s">
        <v>1537</v>
      </c>
      <c r="Y524" s="1675"/>
      <c r="Z524" s="1675"/>
      <c r="AA524" s="2009"/>
      <c r="AB524" s="1675" t="s">
        <v>2596</v>
      </c>
      <c r="AC524" s="2005"/>
      <c r="AD524" s="1675" t="s">
        <v>2596</v>
      </c>
      <c r="AE524" s="1675"/>
      <c r="AF524" s="1675" t="s">
        <v>593</v>
      </c>
      <c r="AG524" s="2010"/>
      <c r="AH524" s="2009" t="s">
        <v>1537</v>
      </c>
      <c r="AI524" s="2009"/>
      <c r="AJ524" s="1675" t="s">
        <v>2434</v>
      </c>
    </row>
    <row r="525" spans="1:36" ht="15" thickBot="1">
      <c r="A525" s="2008" t="s">
        <v>2435</v>
      </c>
      <c r="B525" s="2008"/>
      <c r="C525" s="2008" t="s">
        <v>2436</v>
      </c>
      <c r="D525" s="2008" t="s">
        <v>2437</v>
      </c>
      <c r="E525" s="2008"/>
      <c r="F525" s="2011" t="str">
        <f t="shared" si="119"/>
        <v>Beg. of Year</v>
      </c>
      <c r="G525" s="2011">
        <f t="shared" si="105"/>
        <v>0</v>
      </c>
      <c r="H525" s="2011" t="str">
        <f t="shared" si="106"/>
        <v>Accrued</v>
      </c>
      <c r="I525" s="2012">
        <f t="shared" si="107"/>
        <v>0</v>
      </c>
      <c r="J525" s="2011" t="str">
        <f t="shared" si="108"/>
        <v>Retirements</v>
      </c>
      <c r="K525" s="2012">
        <f t="shared" si="109"/>
        <v>0</v>
      </c>
      <c r="L525" s="2012" t="str">
        <f t="shared" si="110"/>
        <v>COR</v>
      </c>
      <c r="M525" s="2013">
        <f t="shared" si="111"/>
        <v>0</v>
      </c>
      <c r="N525" s="2013" t="str">
        <f t="shared" si="112"/>
        <v>Salvage</v>
      </c>
      <c r="O525" s="2013">
        <f t="shared" si="113"/>
        <v>0</v>
      </c>
      <c r="P525" s="2013" t="str">
        <f t="shared" si="114"/>
        <v>or Transfers</v>
      </c>
      <c r="Q525" s="2014">
        <f t="shared" si="115"/>
        <v>0</v>
      </c>
      <c r="R525" s="2013" t="str">
        <f t="shared" si="116"/>
        <v>End of Year</v>
      </c>
      <c r="S525" s="2013">
        <f t="shared" si="117"/>
        <v>0</v>
      </c>
      <c r="T525" s="2013" t="str">
        <f t="shared" si="118"/>
        <v>Average</v>
      </c>
      <c r="V525" s="2011" t="s">
        <v>2439</v>
      </c>
      <c r="W525" s="2011"/>
      <c r="X525" s="2011" t="s">
        <v>2597</v>
      </c>
      <c r="Y525" s="2012"/>
      <c r="Z525" s="2011" t="s">
        <v>1535</v>
      </c>
      <c r="AA525" s="2012"/>
      <c r="AB525" s="2012" t="s">
        <v>2598</v>
      </c>
      <c r="AC525" s="2013"/>
      <c r="AD525" s="2013" t="s">
        <v>2599</v>
      </c>
      <c r="AE525" s="2013"/>
      <c r="AF525" s="2013" t="s">
        <v>2442</v>
      </c>
      <c r="AG525" s="2014"/>
      <c r="AH525" s="2013" t="s">
        <v>2443</v>
      </c>
      <c r="AI525" s="2013"/>
      <c r="AJ525" s="2013" t="s">
        <v>2444</v>
      </c>
    </row>
    <row r="526" spans="1:36">
      <c r="A526" s="1675">
        <v>1</v>
      </c>
      <c r="B526" s="2015"/>
      <c r="F526" s="1674">
        <f t="shared" si="119"/>
        <v>0</v>
      </c>
      <c r="G526" s="1674">
        <f t="shared" si="105"/>
        <v>0</v>
      </c>
      <c r="H526" s="1674">
        <f t="shared" si="106"/>
        <v>0</v>
      </c>
      <c r="I526" s="1674">
        <f t="shared" si="107"/>
        <v>0</v>
      </c>
      <c r="J526" s="1674">
        <f t="shared" si="108"/>
        <v>0</v>
      </c>
      <c r="K526" s="1674">
        <f t="shared" si="109"/>
        <v>0</v>
      </c>
      <c r="L526" s="1674">
        <f t="shared" si="110"/>
        <v>0</v>
      </c>
      <c r="M526" s="1674">
        <f t="shared" si="111"/>
        <v>0</v>
      </c>
      <c r="N526" s="1674">
        <f t="shared" si="112"/>
        <v>0</v>
      </c>
      <c r="O526" s="1674">
        <f t="shared" si="113"/>
        <v>0</v>
      </c>
      <c r="P526" s="1674">
        <f t="shared" si="114"/>
        <v>0</v>
      </c>
      <c r="Q526" s="2001">
        <f t="shared" si="115"/>
        <v>0</v>
      </c>
      <c r="R526" s="1674">
        <f t="shared" si="116"/>
        <v>0</v>
      </c>
      <c r="S526" s="1674">
        <f t="shared" si="117"/>
        <v>0</v>
      </c>
      <c r="T526" s="1674">
        <f t="shared" si="118"/>
        <v>0</v>
      </c>
      <c r="AG526" s="2001"/>
    </row>
    <row r="527" spans="1:36">
      <c r="A527" s="1675">
        <v>2</v>
      </c>
      <c r="B527" s="2015"/>
      <c r="F527" s="1674">
        <f t="shared" si="119"/>
        <v>0</v>
      </c>
      <c r="G527" s="1674">
        <f t="shared" si="105"/>
        <v>0</v>
      </c>
      <c r="H527" s="1674">
        <f t="shared" si="106"/>
        <v>0</v>
      </c>
      <c r="I527" s="1674">
        <f t="shared" si="107"/>
        <v>0</v>
      </c>
      <c r="J527" s="1674">
        <f t="shared" si="108"/>
        <v>0</v>
      </c>
      <c r="K527" s="1674">
        <f t="shared" si="109"/>
        <v>0</v>
      </c>
      <c r="L527" s="1674">
        <f t="shared" si="110"/>
        <v>0</v>
      </c>
      <c r="M527" s="1674">
        <f t="shared" si="111"/>
        <v>0</v>
      </c>
      <c r="N527" s="1674">
        <f t="shared" si="112"/>
        <v>0</v>
      </c>
      <c r="O527" s="1674">
        <f t="shared" si="113"/>
        <v>0</v>
      </c>
      <c r="P527" s="1674">
        <f t="shared" si="114"/>
        <v>0</v>
      </c>
      <c r="Q527" s="2001">
        <f t="shared" si="115"/>
        <v>0</v>
      </c>
      <c r="R527" s="1674">
        <f t="shared" si="116"/>
        <v>0</v>
      </c>
      <c r="S527" s="1674">
        <f t="shared" si="117"/>
        <v>0</v>
      </c>
      <c r="T527" s="1674">
        <f t="shared" si="118"/>
        <v>0</v>
      </c>
      <c r="AG527" s="2001"/>
    </row>
    <row r="528" spans="1:36">
      <c r="A528" s="1675">
        <v>3</v>
      </c>
      <c r="B528" s="2015"/>
      <c r="D528" s="1674" t="s">
        <v>2447</v>
      </c>
      <c r="F528" s="1782">
        <f t="shared" si="119"/>
        <v>554930.87777000002</v>
      </c>
      <c r="G528" s="1782">
        <f t="shared" si="105"/>
        <v>0</v>
      </c>
      <c r="H528" s="1782">
        <f t="shared" si="106"/>
        <v>59405.932759999989</v>
      </c>
      <c r="I528" s="1782">
        <f t="shared" si="107"/>
        <v>0</v>
      </c>
      <c r="J528" s="1782">
        <f t="shared" si="108"/>
        <v>-3724.4423800000004</v>
      </c>
      <c r="K528" s="1782">
        <f t="shared" si="109"/>
        <v>0</v>
      </c>
      <c r="L528" s="1782">
        <f t="shared" si="110"/>
        <v>-1716.3317199999999</v>
      </c>
      <c r="M528" s="1782">
        <f t="shared" si="111"/>
        <v>0</v>
      </c>
      <c r="N528" s="1782">
        <f t="shared" si="112"/>
        <v>0</v>
      </c>
      <c r="O528" s="1782">
        <f t="shared" si="113"/>
        <v>0</v>
      </c>
      <c r="P528" s="1782">
        <f t="shared" si="114"/>
        <v>0</v>
      </c>
      <c r="Q528" s="1783">
        <f t="shared" si="115"/>
        <v>0</v>
      </c>
      <c r="R528" s="1782">
        <f t="shared" si="116"/>
        <v>608896.03643000009</v>
      </c>
      <c r="S528" s="1782">
        <f t="shared" si="117"/>
        <v>0</v>
      </c>
      <c r="T528" s="1782">
        <f t="shared" si="118"/>
        <v>582206.34026000008</v>
      </c>
      <c r="V528" s="1782">
        <v>554930877.76999998</v>
      </c>
      <c r="W528" s="1782"/>
      <c r="X528" s="1782">
        <v>59405932.75999999</v>
      </c>
      <c r="Y528" s="1782"/>
      <c r="Z528" s="1782">
        <v>-3724442.3800000004</v>
      </c>
      <c r="AA528" s="1782"/>
      <c r="AB528" s="1782">
        <v>-1716331.72</v>
      </c>
      <c r="AC528" s="1782"/>
      <c r="AD528" s="1782">
        <v>0</v>
      </c>
      <c r="AE528" s="1782"/>
      <c r="AF528" s="1782">
        <v>0</v>
      </c>
      <c r="AG528" s="1783"/>
      <c r="AH528" s="1782">
        <v>608896036.43000007</v>
      </c>
      <c r="AI528" s="1782"/>
      <c r="AJ528" s="1782">
        <v>582206340.26000011</v>
      </c>
    </row>
    <row r="529" spans="1:36">
      <c r="A529" s="1675">
        <v>4</v>
      </c>
      <c r="B529" s="2015"/>
      <c r="F529" s="1782">
        <f t="shared" si="119"/>
        <v>0</v>
      </c>
      <c r="G529" s="1782">
        <f t="shared" ref="G529:G562" si="120">+IF(ISNUMBER(W529),W529/1000,W529)</f>
        <v>0</v>
      </c>
      <c r="H529" s="1782">
        <f t="shared" ref="H529:H562" si="121">+IF(ISNUMBER(X529),X529/1000,X529)</f>
        <v>0</v>
      </c>
      <c r="I529" s="1782">
        <f t="shared" ref="I529:I562" si="122">+IF(ISNUMBER(Y529),Y529/1000,Y529)</f>
        <v>0</v>
      </c>
      <c r="J529" s="1782">
        <f t="shared" ref="J529:J562" si="123">+IF(ISNUMBER(Z529),Z529/1000,Z529)</f>
        <v>0</v>
      </c>
      <c r="K529" s="1782">
        <f t="shared" ref="K529:K562" si="124">+IF(ISNUMBER(AA529),AA529/1000,AA529)</f>
        <v>0</v>
      </c>
      <c r="L529" s="1782">
        <f t="shared" ref="L529:L562" si="125">+IF(ISNUMBER(AB529),AB529/1000,AB529)</f>
        <v>0</v>
      </c>
      <c r="M529" s="1782">
        <f t="shared" ref="M529:M562" si="126">+IF(ISNUMBER(AC529),AC529/1000,AC529)</f>
        <v>0</v>
      </c>
      <c r="N529" s="1782">
        <f t="shared" ref="N529:N562" si="127">+IF(ISNUMBER(AD529),AD529/1000,AD529)</f>
        <v>0</v>
      </c>
      <c r="O529" s="1782">
        <f t="shared" ref="O529:O562" si="128">+IF(ISNUMBER(AE529),AE529/1000,AE529)</f>
        <v>0</v>
      </c>
      <c r="P529" s="1782">
        <f t="shared" ref="P529:P562" si="129">+IF(ISNUMBER(AF529),AF529/1000,AF529)</f>
        <v>0</v>
      </c>
      <c r="Q529" s="1783">
        <f t="shared" ref="Q529:Q562" si="130">+IF(ISNUMBER(AG529),AG529/1000,AG529)</f>
        <v>0</v>
      </c>
      <c r="R529" s="1782">
        <f t="shared" ref="R529:R562" si="131">+IF(ISNUMBER(AH529),AH529/1000,AH529)</f>
        <v>0</v>
      </c>
      <c r="S529" s="1782">
        <f t="shared" ref="S529:S562" si="132">+IF(ISNUMBER(AI529),AI529/1000,AI529)</f>
        <v>0</v>
      </c>
      <c r="T529" s="1782">
        <f t="shared" ref="T529:T562" si="133">+IF(ISNUMBER(AJ529),AJ529/1000,AJ529)</f>
        <v>0</v>
      </c>
      <c r="V529" s="1782"/>
      <c r="W529" s="1782"/>
      <c r="X529" s="1782"/>
      <c r="Y529" s="1782"/>
      <c r="Z529" s="1782"/>
      <c r="AA529" s="1782"/>
      <c r="AB529" s="1782"/>
      <c r="AC529" s="1782"/>
      <c r="AD529" s="1782"/>
      <c r="AE529" s="1782"/>
      <c r="AF529" s="1782"/>
      <c r="AG529" s="1783"/>
      <c r="AH529" s="1782"/>
      <c r="AI529" s="1782"/>
      <c r="AJ529" s="1782"/>
    </row>
    <row r="530" spans="1:36">
      <c r="A530" s="1675">
        <v>5</v>
      </c>
      <c r="B530" s="2015"/>
      <c r="D530" s="1674" t="s">
        <v>2450</v>
      </c>
      <c r="F530" s="1811">
        <f t="shared" ref="F530:F562" si="134">+IF(ISNUMBER(V530),V530/1000,V530)</f>
        <v>1375326.2892099998</v>
      </c>
      <c r="G530" s="1782">
        <f t="shared" si="120"/>
        <v>0</v>
      </c>
      <c r="H530" s="1811">
        <f t="shared" si="121"/>
        <v>219936.23557999998</v>
      </c>
      <c r="I530" s="1782">
        <f t="shared" si="122"/>
        <v>0</v>
      </c>
      <c r="J530" s="1811">
        <f t="shared" si="123"/>
        <v>-22082.575860000001</v>
      </c>
      <c r="K530" s="1782">
        <f t="shared" si="124"/>
        <v>0</v>
      </c>
      <c r="L530" s="1811">
        <f t="shared" si="125"/>
        <v>-6710.6127799999995</v>
      </c>
      <c r="M530" s="1782">
        <f t="shared" si="126"/>
        <v>0</v>
      </c>
      <c r="N530" s="1811">
        <f t="shared" si="127"/>
        <v>0</v>
      </c>
      <c r="O530" s="1813">
        <f t="shared" si="128"/>
        <v>0</v>
      </c>
      <c r="P530" s="1811">
        <f t="shared" si="129"/>
        <v>0</v>
      </c>
      <c r="Q530" s="1783">
        <f t="shared" si="130"/>
        <v>0</v>
      </c>
      <c r="R530" s="1811">
        <f t="shared" si="131"/>
        <v>1566469.3361500001</v>
      </c>
      <c r="S530" s="1782">
        <f t="shared" si="132"/>
        <v>0</v>
      </c>
      <c r="T530" s="1811">
        <f t="shared" si="133"/>
        <v>1471881.7228200003</v>
      </c>
      <c r="V530" s="1811">
        <v>1375326289.2099998</v>
      </c>
      <c r="W530" s="1782"/>
      <c r="X530" s="1811">
        <v>219936235.57999998</v>
      </c>
      <c r="Y530" s="1782"/>
      <c r="Z530" s="1811">
        <v>-22082575.859999999</v>
      </c>
      <c r="AA530" s="1782"/>
      <c r="AB530" s="1811">
        <v>-6710612.7799999993</v>
      </c>
      <c r="AC530" s="1782"/>
      <c r="AD530" s="1811">
        <v>0</v>
      </c>
      <c r="AE530" s="1813"/>
      <c r="AF530" s="1811">
        <v>0</v>
      </c>
      <c r="AG530" s="1783"/>
      <c r="AH530" s="1811">
        <v>1566469336.1500001</v>
      </c>
      <c r="AI530" s="1782"/>
      <c r="AJ530" s="1811">
        <v>1471881722.8200002</v>
      </c>
    </row>
    <row r="531" spans="1:36">
      <c r="A531" s="1675">
        <v>6</v>
      </c>
      <c r="B531" s="2015"/>
      <c r="F531" s="1812">
        <f t="shared" si="134"/>
        <v>0</v>
      </c>
      <c r="G531" s="1782">
        <f t="shared" si="120"/>
        <v>0</v>
      </c>
      <c r="H531" s="1812">
        <f t="shared" si="121"/>
        <v>0</v>
      </c>
      <c r="I531" s="1782">
        <f t="shared" si="122"/>
        <v>0</v>
      </c>
      <c r="J531" s="1812">
        <f t="shared" si="123"/>
        <v>0</v>
      </c>
      <c r="K531" s="1782">
        <f t="shared" si="124"/>
        <v>0</v>
      </c>
      <c r="L531" s="1812">
        <f t="shared" si="125"/>
        <v>0</v>
      </c>
      <c r="M531" s="1782">
        <f t="shared" si="126"/>
        <v>0</v>
      </c>
      <c r="N531" s="1812">
        <f t="shared" si="127"/>
        <v>0</v>
      </c>
      <c r="O531" s="1782">
        <f t="shared" si="128"/>
        <v>0</v>
      </c>
      <c r="P531" s="1812">
        <f t="shared" si="129"/>
        <v>0</v>
      </c>
      <c r="Q531" s="1783">
        <f t="shared" si="130"/>
        <v>0</v>
      </c>
      <c r="R531" s="1812">
        <f t="shared" si="131"/>
        <v>0</v>
      </c>
      <c r="S531" s="1782">
        <f t="shared" si="132"/>
        <v>0</v>
      </c>
      <c r="T531" s="1812">
        <f t="shared" si="133"/>
        <v>0</v>
      </c>
      <c r="V531" s="1812"/>
      <c r="W531" s="1782"/>
      <c r="X531" s="1812"/>
      <c r="Y531" s="1782"/>
      <c r="Z531" s="1812"/>
      <c r="AA531" s="1782"/>
      <c r="AB531" s="1812"/>
      <c r="AC531" s="1782"/>
      <c r="AD531" s="1812"/>
      <c r="AE531" s="1782"/>
      <c r="AF531" s="1812"/>
      <c r="AG531" s="1783"/>
      <c r="AH531" s="1812"/>
      <c r="AI531" s="1782"/>
      <c r="AJ531" s="1812"/>
    </row>
    <row r="532" spans="1:36" ht="15" thickBot="1">
      <c r="A532" s="1675">
        <v>7</v>
      </c>
      <c r="B532" s="2015"/>
      <c r="D532" s="1674" t="s">
        <v>2453</v>
      </c>
      <c r="F532" s="1870">
        <f t="shared" si="134"/>
        <v>1930257.1669799997</v>
      </c>
      <c r="G532" s="1782">
        <f t="shared" si="120"/>
        <v>0</v>
      </c>
      <c r="H532" s="1870">
        <f t="shared" si="121"/>
        <v>279342.16833999997</v>
      </c>
      <c r="I532" s="1782">
        <f t="shared" si="122"/>
        <v>0</v>
      </c>
      <c r="J532" s="1870">
        <f t="shared" si="123"/>
        <v>-25807.018239999998</v>
      </c>
      <c r="K532" s="1782">
        <f t="shared" si="124"/>
        <v>0</v>
      </c>
      <c r="L532" s="1870">
        <f t="shared" si="125"/>
        <v>-8426.9444999999996</v>
      </c>
      <c r="M532" s="1782">
        <f t="shared" si="126"/>
        <v>0</v>
      </c>
      <c r="N532" s="1870">
        <f t="shared" si="127"/>
        <v>0</v>
      </c>
      <c r="O532" s="1782">
        <f t="shared" si="128"/>
        <v>0</v>
      </c>
      <c r="P532" s="1870">
        <f t="shared" si="129"/>
        <v>0</v>
      </c>
      <c r="Q532" s="1783">
        <f t="shared" si="130"/>
        <v>0</v>
      </c>
      <c r="R532" s="1870">
        <f t="shared" si="131"/>
        <v>2175365.3725799997</v>
      </c>
      <c r="S532" s="1782">
        <f t="shared" si="132"/>
        <v>0</v>
      </c>
      <c r="T532" s="1870">
        <f t="shared" si="133"/>
        <v>2054088.0630800005</v>
      </c>
      <c r="V532" s="1870">
        <v>1930257166.9799998</v>
      </c>
      <c r="W532" s="1782"/>
      <c r="X532" s="1870">
        <v>279342168.33999997</v>
      </c>
      <c r="Y532" s="1782"/>
      <c r="Z532" s="1870">
        <v>-25807018.239999998</v>
      </c>
      <c r="AA532" s="1782"/>
      <c r="AB532" s="1870">
        <v>-8426944.5</v>
      </c>
      <c r="AC532" s="1782"/>
      <c r="AD532" s="1870">
        <v>0</v>
      </c>
      <c r="AE532" s="1782"/>
      <c r="AF532" s="1870">
        <v>0</v>
      </c>
      <c r="AG532" s="1783"/>
      <c r="AH532" s="1870">
        <v>2175365372.5799999</v>
      </c>
      <c r="AI532" s="1782"/>
      <c r="AJ532" s="1870">
        <v>2054088063.0800004</v>
      </c>
    </row>
    <row r="533" spans="1:36" ht="15" thickTop="1">
      <c r="A533" s="1675">
        <v>8</v>
      </c>
      <c r="B533" s="2015"/>
      <c r="F533" s="1782">
        <f t="shared" si="134"/>
        <v>0</v>
      </c>
      <c r="G533" s="1782">
        <f t="shared" si="120"/>
        <v>0</v>
      </c>
      <c r="H533" s="1782">
        <f t="shared" si="121"/>
        <v>0</v>
      </c>
      <c r="I533" s="1782">
        <f t="shared" si="122"/>
        <v>0</v>
      </c>
      <c r="J533" s="1782">
        <f t="shared" si="123"/>
        <v>0</v>
      </c>
      <c r="K533" s="1782">
        <f t="shared" si="124"/>
        <v>0</v>
      </c>
      <c r="L533" s="1782">
        <f t="shared" si="125"/>
        <v>0</v>
      </c>
      <c r="M533" s="1782">
        <f t="shared" si="126"/>
        <v>0</v>
      </c>
      <c r="N533" s="1782">
        <f t="shared" si="127"/>
        <v>0</v>
      </c>
      <c r="O533" s="1782">
        <f t="shared" si="128"/>
        <v>0</v>
      </c>
      <c r="P533" s="1782">
        <f t="shared" si="129"/>
        <v>0</v>
      </c>
      <c r="Q533" s="1783">
        <f t="shared" si="130"/>
        <v>0</v>
      </c>
      <c r="R533" s="1782">
        <f t="shared" si="131"/>
        <v>0</v>
      </c>
      <c r="S533" s="1782">
        <f t="shared" si="132"/>
        <v>0</v>
      </c>
      <c r="T533" s="1782">
        <f t="shared" si="133"/>
        <v>0</v>
      </c>
      <c r="V533" s="1782"/>
      <c r="W533" s="1782"/>
      <c r="X533" s="1782"/>
      <c r="Y533" s="1782"/>
      <c r="Z533" s="1782"/>
      <c r="AA533" s="1782"/>
      <c r="AB533" s="1782"/>
      <c r="AC533" s="1782"/>
      <c r="AD533" s="1782"/>
      <c r="AE533" s="1782"/>
      <c r="AF533" s="1782"/>
      <c r="AG533" s="1783"/>
      <c r="AH533" s="1782"/>
      <c r="AI533" s="1782"/>
      <c r="AJ533" s="1782"/>
    </row>
    <row r="534" spans="1:36">
      <c r="A534" s="1675">
        <v>9</v>
      </c>
      <c r="B534" s="2015"/>
      <c r="D534" s="1674" t="s">
        <v>2456</v>
      </c>
      <c r="F534" s="1782">
        <f t="shared" si="134"/>
        <v>304582.18604</v>
      </c>
      <c r="G534" s="1782">
        <f t="shared" si="120"/>
        <v>0</v>
      </c>
      <c r="H534" s="1782">
        <f t="shared" si="121"/>
        <v>34258.116600000001</v>
      </c>
      <c r="I534" s="1782">
        <f t="shared" si="122"/>
        <v>0</v>
      </c>
      <c r="J534" s="1782">
        <f t="shared" si="123"/>
        <v>-17107.140589999999</v>
      </c>
      <c r="K534" s="1782">
        <f t="shared" si="124"/>
        <v>0</v>
      </c>
      <c r="L534" s="1782">
        <f t="shared" si="125"/>
        <v>-2925.05044</v>
      </c>
      <c r="M534" s="1782">
        <f t="shared" si="126"/>
        <v>0</v>
      </c>
      <c r="N534" s="1782">
        <f t="shared" si="127"/>
        <v>0</v>
      </c>
      <c r="O534" s="1782">
        <f t="shared" si="128"/>
        <v>0</v>
      </c>
      <c r="P534" s="1782">
        <f t="shared" si="129"/>
        <v>0</v>
      </c>
      <c r="Q534" s="1783">
        <f t="shared" si="130"/>
        <v>0</v>
      </c>
      <c r="R534" s="1782">
        <f t="shared" si="131"/>
        <v>318808.1116100002</v>
      </c>
      <c r="S534" s="1782">
        <f t="shared" si="132"/>
        <v>0</v>
      </c>
      <c r="T534" s="1782">
        <f t="shared" si="133"/>
        <v>314672.16446999996</v>
      </c>
      <c r="V534" s="1782">
        <v>304582186.04000002</v>
      </c>
      <c r="W534" s="1782"/>
      <c r="X534" s="1782">
        <v>34258116.600000001</v>
      </c>
      <c r="Y534" s="1782"/>
      <c r="Z534" s="1782">
        <v>-17107140.59</v>
      </c>
      <c r="AA534" s="1782"/>
      <c r="AB534" s="1782">
        <v>-2925050.44</v>
      </c>
      <c r="AC534" s="1782"/>
      <c r="AD534" s="1782">
        <v>0</v>
      </c>
      <c r="AE534" s="1782"/>
      <c r="AF534" s="1782">
        <v>0</v>
      </c>
      <c r="AG534" s="1783"/>
      <c r="AH534" s="1782">
        <v>318808111.61000019</v>
      </c>
      <c r="AI534" s="1782"/>
      <c r="AJ534" s="1782">
        <v>314672164.46999997</v>
      </c>
    </row>
    <row r="535" spans="1:36">
      <c r="A535" s="1675">
        <v>10</v>
      </c>
      <c r="B535" s="2015"/>
      <c r="F535" s="1782">
        <f t="shared" si="134"/>
        <v>0</v>
      </c>
      <c r="G535" s="1782">
        <f t="shared" si="120"/>
        <v>0</v>
      </c>
      <c r="H535" s="1782">
        <f t="shared" si="121"/>
        <v>0</v>
      </c>
      <c r="I535" s="1782">
        <f t="shared" si="122"/>
        <v>0</v>
      </c>
      <c r="J535" s="1782">
        <f t="shared" si="123"/>
        <v>0</v>
      </c>
      <c r="K535" s="1782">
        <f t="shared" si="124"/>
        <v>0</v>
      </c>
      <c r="L535" s="1782">
        <f t="shared" si="125"/>
        <v>0</v>
      </c>
      <c r="M535" s="1782">
        <f t="shared" si="126"/>
        <v>0</v>
      </c>
      <c r="N535" s="1782">
        <f t="shared" si="127"/>
        <v>0</v>
      </c>
      <c r="O535" s="1782">
        <f t="shared" si="128"/>
        <v>0</v>
      </c>
      <c r="P535" s="1782">
        <f t="shared" si="129"/>
        <v>0</v>
      </c>
      <c r="Q535" s="1783">
        <f t="shared" si="130"/>
        <v>0</v>
      </c>
      <c r="R535" s="1782">
        <f t="shared" si="131"/>
        <v>0</v>
      </c>
      <c r="S535" s="1782">
        <f t="shared" si="132"/>
        <v>0</v>
      </c>
      <c r="T535" s="1782">
        <f t="shared" si="133"/>
        <v>0</v>
      </c>
      <c r="V535" s="1782"/>
      <c r="W535" s="1782"/>
      <c r="X535" s="1782"/>
      <c r="Y535" s="1782"/>
      <c r="Z535" s="1782"/>
      <c r="AA535" s="1782"/>
      <c r="AB535" s="1782"/>
      <c r="AC535" s="1782"/>
      <c r="AD535" s="1782"/>
      <c r="AE535" s="1782"/>
      <c r="AF535" s="1782"/>
      <c r="AG535" s="1783"/>
      <c r="AH535" s="1782"/>
      <c r="AI535" s="1782"/>
      <c r="AJ535" s="1782"/>
    </row>
    <row r="536" spans="1:36">
      <c r="A536" s="1675">
        <v>11</v>
      </c>
      <c r="B536" s="2015"/>
      <c r="D536" s="1674" t="s">
        <v>2458</v>
      </c>
      <c r="F536" s="1782">
        <f t="shared" si="134"/>
        <v>1249015.1544700002</v>
      </c>
      <c r="G536" s="1782">
        <f t="shared" si="120"/>
        <v>0</v>
      </c>
      <c r="H536" s="1782">
        <f t="shared" si="121"/>
        <v>156846.65659</v>
      </c>
      <c r="I536" s="1782">
        <f t="shared" si="122"/>
        <v>0</v>
      </c>
      <c r="J536" s="1782">
        <f t="shared" si="123"/>
        <v>-60324.266819999997</v>
      </c>
      <c r="K536" s="1782">
        <f t="shared" si="124"/>
        <v>0</v>
      </c>
      <c r="L536" s="1782">
        <f t="shared" si="125"/>
        <v>-31939.247520000001</v>
      </c>
      <c r="M536" s="1782">
        <f t="shared" si="126"/>
        <v>0</v>
      </c>
      <c r="N536" s="1782">
        <f t="shared" si="127"/>
        <v>3531.7791399999996</v>
      </c>
      <c r="O536" s="1782">
        <f t="shared" si="128"/>
        <v>0</v>
      </c>
      <c r="P536" s="1782">
        <f t="shared" si="129"/>
        <v>0</v>
      </c>
      <c r="Q536" s="1783">
        <f t="shared" si="130"/>
        <v>0</v>
      </c>
      <c r="R536" s="1782">
        <f t="shared" si="131"/>
        <v>1317130.0758600002</v>
      </c>
      <c r="S536" s="1782">
        <f t="shared" si="132"/>
        <v>0</v>
      </c>
      <c r="T536" s="1782">
        <f t="shared" si="133"/>
        <v>1283180.1421700001</v>
      </c>
      <c r="V536" s="1782">
        <v>1249015154.4700003</v>
      </c>
      <c r="W536" s="1782"/>
      <c r="X536" s="1782">
        <v>156846656.59</v>
      </c>
      <c r="Y536" s="1782"/>
      <c r="Z536" s="1782">
        <v>-60324266.82</v>
      </c>
      <c r="AA536" s="1782"/>
      <c r="AB536" s="1782">
        <v>-31939247.52</v>
      </c>
      <c r="AC536" s="1782"/>
      <c r="AD536" s="1782">
        <v>3531779.1399999997</v>
      </c>
      <c r="AE536" s="1782"/>
      <c r="AF536" s="1782">
        <v>0</v>
      </c>
      <c r="AG536" s="1783"/>
      <c r="AH536" s="1782">
        <v>1317130075.8600001</v>
      </c>
      <c r="AI536" s="1782"/>
      <c r="AJ536" s="1782">
        <v>1283180142.1700001</v>
      </c>
    </row>
    <row r="537" spans="1:36">
      <c r="A537" s="1675">
        <v>12</v>
      </c>
      <c r="B537" s="2015"/>
      <c r="F537" s="1782">
        <f t="shared" si="134"/>
        <v>0</v>
      </c>
      <c r="G537" s="1782">
        <f t="shared" si="120"/>
        <v>0</v>
      </c>
      <c r="H537" s="1782">
        <f t="shared" si="121"/>
        <v>0</v>
      </c>
      <c r="I537" s="1782">
        <f t="shared" si="122"/>
        <v>0</v>
      </c>
      <c r="J537" s="1782">
        <f t="shared" si="123"/>
        <v>0</v>
      </c>
      <c r="K537" s="1782">
        <f t="shared" si="124"/>
        <v>0</v>
      </c>
      <c r="L537" s="1782">
        <f t="shared" si="125"/>
        <v>0</v>
      </c>
      <c r="M537" s="1782">
        <f t="shared" si="126"/>
        <v>0</v>
      </c>
      <c r="N537" s="1782">
        <f t="shared" si="127"/>
        <v>0</v>
      </c>
      <c r="O537" s="1782">
        <f t="shared" si="128"/>
        <v>0</v>
      </c>
      <c r="P537" s="1782">
        <f t="shared" si="129"/>
        <v>0</v>
      </c>
      <c r="Q537" s="1783">
        <f t="shared" si="130"/>
        <v>0</v>
      </c>
      <c r="R537" s="1782">
        <f t="shared" si="131"/>
        <v>0</v>
      </c>
      <c r="S537" s="1782">
        <f t="shared" si="132"/>
        <v>0</v>
      </c>
      <c r="T537" s="1782">
        <f t="shared" si="133"/>
        <v>0</v>
      </c>
      <c r="V537" s="1782"/>
      <c r="W537" s="1782"/>
      <c r="X537" s="1782"/>
      <c r="Y537" s="1782"/>
      <c r="Z537" s="1782"/>
      <c r="AA537" s="1782"/>
      <c r="AB537" s="1782"/>
      <c r="AC537" s="1782"/>
      <c r="AD537" s="1782"/>
      <c r="AE537" s="1782"/>
      <c r="AF537" s="1782"/>
      <c r="AG537" s="1783"/>
      <c r="AH537" s="1782"/>
      <c r="AI537" s="1782"/>
      <c r="AJ537" s="1782"/>
    </row>
    <row r="538" spans="1:36">
      <c r="A538" s="1675">
        <v>13</v>
      </c>
      <c r="B538" s="2015"/>
      <c r="D538" s="1674" t="s">
        <v>2460</v>
      </c>
      <c r="F538" s="1811">
        <f t="shared" si="134"/>
        <v>193714.32814</v>
      </c>
      <c r="G538" s="1782">
        <f t="shared" si="120"/>
        <v>0</v>
      </c>
      <c r="H538" s="1811">
        <f t="shared" si="121"/>
        <v>42615.342149999997</v>
      </c>
      <c r="I538" s="1782">
        <f t="shared" si="122"/>
        <v>0</v>
      </c>
      <c r="J538" s="1811">
        <f t="shared" si="123"/>
        <v>-42164.662830000001</v>
      </c>
      <c r="K538" s="1782">
        <f t="shared" si="124"/>
        <v>0</v>
      </c>
      <c r="L538" s="1811">
        <f t="shared" si="125"/>
        <v>-425.08388999999994</v>
      </c>
      <c r="M538" s="1782">
        <f t="shared" si="126"/>
        <v>0</v>
      </c>
      <c r="N538" s="1811">
        <f t="shared" si="127"/>
        <v>1035.2</v>
      </c>
      <c r="O538" s="1813">
        <f t="shared" si="128"/>
        <v>0</v>
      </c>
      <c r="P538" s="1811">
        <f t="shared" si="129"/>
        <v>0</v>
      </c>
      <c r="Q538" s="1783">
        <f t="shared" si="130"/>
        <v>0</v>
      </c>
      <c r="R538" s="1811">
        <f t="shared" si="131"/>
        <v>194775.12357</v>
      </c>
      <c r="S538" s="1782">
        <f t="shared" si="132"/>
        <v>0</v>
      </c>
      <c r="T538" s="1811">
        <f t="shared" si="133"/>
        <v>192445.31578999999</v>
      </c>
      <c r="V538" s="1811">
        <v>193714328.13999999</v>
      </c>
      <c r="W538" s="1782"/>
      <c r="X538" s="1811">
        <v>42615342.149999999</v>
      </c>
      <c r="Y538" s="1782"/>
      <c r="Z538" s="1811">
        <v>-42164662.829999998</v>
      </c>
      <c r="AA538" s="1782"/>
      <c r="AB538" s="1811">
        <v>-425083.88999999996</v>
      </c>
      <c r="AC538" s="1782"/>
      <c r="AD538" s="1811">
        <v>1035200</v>
      </c>
      <c r="AE538" s="1813"/>
      <c r="AF538" s="1811">
        <v>0</v>
      </c>
      <c r="AG538" s="1783"/>
      <c r="AH538" s="1811">
        <v>194775123.56999999</v>
      </c>
      <c r="AI538" s="1782"/>
      <c r="AJ538" s="1811">
        <v>192445315.78999999</v>
      </c>
    </row>
    <row r="539" spans="1:36">
      <c r="A539" s="1675">
        <v>14</v>
      </c>
      <c r="B539" s="2015"/>
      <c r="F539" s="1812">
        <f t="shared" si="134"/>
        <v>0</v>
      </c>
      <c r="G539" s="1782">
        <f t="shared" si="120"/>
        <v>0</v>
      </c>
      <c r="H539" s="1812">
        <f t="shared" si="121"/>
        <v>0</v>
      </c>
      <c r="I539" s="1782">
        <f t="shared" si="122"/>
        <v>0</v>
      </c>
      <c r="J539" s="1812">
        <f t="shared" si="123"/>
        <v>0</v>
      </c>
      <c r="K539" s="1782">
        <f t="shared" si="124"/>
        <v>0</v>
      </c>
      <c r="L539" s="1812">
        <f t="shared" si="125"/>
        <v>0</v>
      </c>
      <c r="M539" s="1782">
        <f t="shared" si="126"/>
        <v>0</v>
      </c>
      <c r="N539" s="1812">
        <f t="shared" si="127"/>
        <v>0</v>
      </c>
      <c r="O539" s="1782">
        <f t="shared" si="128"/>
        <v>0</v>
      </c>
      <c r="P539" s="1812">
        <f t="shared" si="129"/>
        <v>0</v>
      </c>
      <c r="Q539" s="1783">
        <f t="shared" si="130"/>
        <v>0</v>
      </c>
      <c r="R539" s="1812">
        <f t="shared" si="131"/>
        <v>0</v>
      </c>
      <c r="S539" s="1782">
        <f t="shared" si="132"/>
        <v>0</v>
      </c>
      <c r="T539" s="1812">
        <f t="shared" si="133"/>
        <v>0</v>
      </c>
      <c r="V539" s="1812"/>
      <c r="W539" s="1782"/>
      <c r="X539" s="1812"/>
      <c r="Y539" s="1782"/>
      <c r="Z539" s="1812"/>
      <c r="AA539" s="1782"/>
      <c r="AB539" s="1812"/>
      <c r="AC539" s="1782"/>
      <c r="AD539" s="1812"/>
      <c r="AE539" s="1782"/>
      <c r="AF539" s="1812"/>
      <c r="AG539" s="1783"/>
      <c r="AH539" s="1812"/>
      <c r="AI539" s="1782"/>
      <c r="AJ539" s="1812"/>
    </row>
    <row r="540" spans="1:36" ht="15" thickBot="1">
      <c r="A540" s="1675">
        <v>15</v>
      </c>
      <c r="B540" s="2015"/>
      <c r="D540" s="2026" t="s">
        <v>2600</v>
      </c>
      <c r="F540" s="1870">
        <f t="shared" si="134"/>
        <v>3677568.8356300001</v>
      </c>
      <c r="G540" s="1782">
        <f t="shared" si="120"/>
        <v>0</v>
      </c>
      <c r="H540" s="1870">
        <f t="shared" si="121"/>
        <v>513062.28367999993</v>
      </c>
      <c r="I540" s="1782">
        <f t="shared" si="122"/>
        <v>0</v>
      </c>
      <c r="J540" s="1870">
        <f t="shared" si="123"/>
        <v>-145403.08848000001</v>
      </c>
      <c r="K540" s="1782">
        <f t="shared" si="124"/>
        <v>0</v>
      </c>
      <c r="L540" s="1870">
        <f t="shared" si="125"/>
        <v>-43716.326350000003</v>
      </c>
      <c r="M540" s="1782">
        <f t="shared" si="126"/>
        <v>0</v>
      </c>
      <c r="N540" s="1870">
        <f t="shared" si="127"/>
        <v>4566.9791399999995</v>
      </c>
      <c r="O540" s="1782">
        <f t="shared" si="128"/>
        <v>0</v>
      </c>
      <c r="P540" s="1870">
        <f t="shared" si="129"/>
        <v>0</v>
      </c>
      <c r="Q540" s="1783">
        <f t="shared" si="130"/>
        <v>0</v>
      </c>
      <c r="R540" s="1870">
        <f t="shared" si="131"/>
        <v>4006078.6836200003</v>
      </c>
      <c r="S540" s="1782">
        <f t="shared" si="132"/>
        <v>0</v>
      </c>
      <c r="T540" s="1870">
        <f t="shared" si="133"/>
        <v>3844385.6855100002</v>
      </c>
      <c r="V540" s="1870">
        <v>3677568835.6300001</v>
      </c>
      <c r="W540" s="1782"/>
      <c r="X540" s="1870">
        <v>513062283.67999995</v>
      </c>
      <c r="Y540" s="1782"/>
      <c r="Z540" s="1870">
        <v>-145403088.48000002</v>
      </c>
      <c r="AA540" s="1782"/>
      <c r="AB540" s="1870">
        <v>-43716326.350000001</v>
      </c>
      <c r="AC540" s="1782"/>
      <c r="AD540" s="1870">
        <v>4566979.1399999997</v>
      </c>
      <c r="AE540" s="1782"/>
      <c r="AF540" s="1870">
        <v>0</v>
      </c>
      <c r="AG540" s="1783"/>
      <c r="AH540" s="1870">
        <v>4006078683.6200004</v>
      </c>
      <c r="AI540" s="1782"/>
      <c r="AJ540" s="1870">
        <v>3844385685.5100002</v>
      </c>
    </row>
    <row r="541" spans="1:36" ht="15" thickTop="1">
      <c r="A541" s="1675">
        <v>16</v>
      </c>
      <c r="B541" s="2015"/>
      <c r="F541" s="1782">
        <f t="shared" si="134"/>
        <v>0</v>
      </c>
      <c r="G541" s="1782">
        <f t="shared" si="120"/>
        <v>0</v>
      </c>
      <c r="H541" s="1782">
        <f t="shared" si="121"/>
        <v>0</v>
      </c>
      <c r="I541" s="1782">
        <f t="shared" si="122"/>
        <v>0</v>
      </c>
      <c r="J541" s="1782">
        <f t="shared" si="123"/>
        <v>0</v>
      </c>
      <c r="K541" s="1782">
        <f t="shared" si="124"/>
        <v>0</v>
      </c>
      <c r="L541" s="1782">
        <f t="shared" si="125"/>
        <v>0</v>
      </c>
      <c r="M541" s="1782">
        <f t="shared" si="126"/>
        <v>0</v>
      </c>
      <c r="N541" s="1782">
        <f t="shared" si="127"/>
        <v>0</v>
      </c>
      <c r="O541" s="1782">
        <f t="shared" si="128"/>
        <v>0</v>
      </c>
      <c r="P541" s="1782">
        <f t="shared" si="129"/>
        <v>0</v>
      </c>
      <c r="Q541" s="1783">
        <f t="shared" si="130"/>
        <v>0</v>
      </c>
      <c r="R541" s="1782">
        <f t="shared" si="131"/>
        <v>0</v>
      </c>
      <c r="S541" s="1782">
        <f t="shared" si="132"/>
        <v>0</v>
      </c>
      <c r="T541" s="1782">
        <f t="shared" si="133"/>
        <v>0</v>
      </c>
      <c r="V541" s="1782"/>
      <c r="W541" s="1782"/>
      <c r="X541" s="1782"/>
      <c r="Y541" s="1782"/>
      <c r="Z541" s="1782"/>
      <c r="AA541" s="1782"/>
      <c r="AB541" s="1782"/>
      <c r="AC541" s="1782"/>
      <c r="AD541" s="1782"/>
      <c r="AE541" s="1782"/>
      <c r="AF541" s="1782"/>
      <c r="AG541" s="1783"/>
      <c r="AH541" s="1782"/>
      <c r="AI541" s="1782"/>
      <c r="AJ541" s="1782"/>
    </row>
    <row r="542" spans="1:36">
      <c r="A542" s="1675">
        <v>17</v>
      </c>
      <c r="B542" s="2015"/>
      <c r="D542" s="1802" t="s">
        <v>8181</v>
      </c>
      <c r="F542" s="1782">
        <f t="shared" si="134"/>
        <v>0</v>
      </c>
      <c r="G542" s="1782">
        <f t="shared" si="120"/>
        <v>0</v>
      </c>
      <c r="H542" s="1782">
        <f t="shared" si="121"/>
        <v>0</v>
      </c>
      <c r="I542" s="1782">
        <f t="shared" si="122"/>
        <v>0</v>
      </c>
      <c r="J542" s="1782">
        <f t="shared" si="123"/>
        <v>0</v>
      </c>
      <c r="K542" s="1782">
        <f t="shared" si="124"/>
        <v>0</v>
      </c>
      <c r="L542" s="1782">
        <f t="shared" si="125"/>
        <v>0</v>
      </c>
      <c r="M542" s="1782">
        <f t="shared" si="126"/>
        <v>0</v>
      </c>
      <c r="N542" s="1782">
        <f t="shared" si="127"/>
        <v>0</v>
      </c>
      <c r="O542" s="1782">
        <f t="shared" si="128"/>
        <v>0</v>
      </c>
      <c r="P542" s="1782">
        <f t="shared" si="129"/>
        <v>0</v>
      </c>
      <c r="Q542" s="1783">
        <f t="shared" si="130"/>
        <v>0</v>
      </c>
      <c r="R542" s="1782">
        <f t="shared" si="131"/>
        <v>0</v>
      </c>
      <c r="S542" s="1782">
        <f t="shared" si="132"/>
        <v>0</v>
      </c>
      <c r="T542" s="1782">
        <f t="shared" si="133"/>
        <v>0</v>
      </c>
      <c r="V542" s="1782">
        <v>0</v>
      </c>
      <c r="W542" s="1782"/>
      <c r="X542" s="1782">
        <v>0</v>
      </c>
      <c r="Y542" s="1782"/>
      <c r="Z542" s="1782">
        <v>0</v>
      </c>
      <c r="AA542" s="1782"/>
      <c r="AB542" s="1782">
        <v>0</v>
      </c>
      <c r="AC542" s="1782"/>
      <c r="AD542" s="1782">
        <v>0</v>
      </c>
      <c r="AE542" s="1782"/>
      <c r="AF542" s="1782">
        <v>0</v>
      </c>
      <c r="AG542" s="1783"/>
      <c r="AH542" s="1782">
        <v>0</v>
      </c>
      <c r="AI542" s="1782"/>
      <c r="AJ542" s="1782">
        <v>0</v>
      </c>
    </row>
    <row r="543" spans="1:36">
      <c r="A543" s="1675">
        <v>18</v>
      </c>
      <c r="B543" s="2015"/>
      <c r="F543" s="1782">
        <f t="shared" si="134"/>
        <v>0</v>
      </c>
      <c r="G543" s="1782">
        <f t="shared" si="120"/>
        <v>0</v>
      </c>
      <c r="H543" s="1782">
        <f t="shared" si="121"/>
        <v>0</v>
      </c>
      <c r="I543" s="1782">
        <f t="shared" si="122"/>
        <v>0</v>
      </c>
      <c r="J543" s="1782">
        <f t="shared" si="123"/>
        <v>0</v>
      </c>
      <c r="K543" s="1782">
        <f t="shared" si="124"/>
        <v>0</v>
      </c>
      <c r="L543" s="1782">
        <f t="shared" si="125"/>
        <v>0</v>
      </c>
      <c r="M543" s="1782">
        <f t="shared" si="126"/>
        <v>0</v>
      </c>
      <c r="N543" s="1782">
        <f t="shared" si="127"/>
        <v>0</v>
      </c>
      <c r="O543" s="1782">
        <f t="shared" si="128"/>
        <v>0</v>
      </c>
      <c r="P543" s="1782">
        <f t="shared" si="129"/>
        <v>0</v>
      </c>
      <c r="Q543" s="1783">
        <f t="shared" si="130"/>
        <v>0</v>
      </c>
      <c r="R543" s="1782">
        <f t="shared" si="131"/>
        <v>0</v>
      </c>
      <c r="S543" s="1782">
        <f t="shared" si="132"/>
        <v>0</v>
      </c>
      <c r="T543" s="1782">
        <f t="shared" si="133"/>
        <v>0</v>
      </c>
      <c r="V543" s="1782"/>
      <c r="W543" s="1782"/>
      <c r="X543" s="1782"/>
      <c r="Y543" s="1782"/>
      <c r="Z543" s="1782"/>
      <c r="AA543" s="1782"/>
      <c r="AB543" s="1782"/>
      <c r="AC543" s="1782"/>
      <c r="AD543" s="1782"/>
      <c r="AE543" s="1782"/>
      <c r="AF543" s="1782"/>
      <c r="AG543" s="1783"/>
      <c r="AH543" s="1782"/>
      <c r="AI543" s="1782"/>
      <c r="AJ543" s="1782"/>
    </row>
    <row r="544" spans="1:36">
      <c r="A544" s="1675">
        <v>19</v>
      </c>
      <c r="B544" s="2015"/>
      <c r="D544" s="2002" t="s">
        <v>2464</v>
      </c>
      <c r="F544" s="1813">
        <f t="shared" si="134"/>
        <v>176791.07329000009</v>
      </c>
      <c r="G544" s="1782">
        <f t="shared" si="120"/>
        <v>0</v>
      </c>
      <c r="H544" s="1813">
        <f t="shared" si="121"/>
        <v>39791.532470000006</v>
      </c>
      <c r="I544" s="1813">
        <f t="shared" si="122"/>
        <v>0</v>
      </c>
      <c r="J544" s="1813">
        <f t="shared" si="123"/>
        <v>-4800.4783099999995</v>
      </c>
      <c r="K544" s="1813">
        <f t="shared" si="124"/>
        <v>0</v>
      </c>
      <c r="L544" s="1813">
        <f t="shared" si="125"/>
        <v>0</v>
      </c>
      <c r="M544" s="1813">
        <f t="shared" si="126"/>
        <v>0</v>
      </c>
      <c r="N544" s="1813">
        <f t="shared" si="127"/>
        <v>0</v>
      </c>
      <c r="O544" s="1813">
        <f t="shared" si="128"/>
        <v>0</v>
      </c>
      <c r="P544" s="1813">
        <f t="shared" si="129"/>
        <v>0</v>
      </c>
      <c r="Q544" s="1814">
        <f t="shared" si="130"/>
        <v>0</v>
      </c>
      <c r="R544" s="1813">
        <f t="shared" si="131"/>
        <v>211782.12745000009</v>
      </c>
      <c r="S544" s="1813">
        <f t="shared" si="132"/>
        <v>0</v>
      </c>
      <c r="T544" s="1813">
        <f t="shared" si="133"/>
        <v>192471.13009999998</v>
      </c>
      <c r="V544" s="1813">
        <v>176791073.29000008</v>
      </c>
      <c r="W544" s="1782"/>
      <c r="X544" s="1813">
        <v>39791532.470000006</v>
      </c>
      <c r="Y544" s="1813"/>
      <c r="Z544" s="1813">
        <v>-4800478.3099999996</v>
      </c>
      <c r="AA544" s="1813"/>
      <c r="AB544" s="1813">
        <v>0</v>
      </c>
      <c r="AC544" s="1813"/>
      <c r="AD544" s="1813">
        <v>0</v>
      </c>
      <c r="AE544" s="1813"/>
      <c r="AF544" s="1813">
        <v>0</v>
      </c>
      <c r="AG544" s="1814"/>
      <c r="AH544" s="1813">
        <v>211782127.45000008</v>
      </c>
      <c r="AI544" s="1813"/>
      <c r="AJ544" s="1813">
        <v>192471130.09999999</v>
      </c>
    </row>
    <row r="545" spans="1:36">
      <c r="A545" s="1675">
        <v>20</v>
      </c>
      <c r="B545" s="2015"/>
      <c r="D545" s="2002"/>
      <c r="F545" s="1813">
        <f t="shared" si="134"/>
        <v>0</v>
      </c>
      <c r="G545" s="1782">
        <f t="shared" si="120"/>
        <v>0</v>
      </c>
      <c r="H545" s="1813">
        <f t="shared" si="121"/>
        <v>0</v>
      </c>
      <c r="I545" s="1782">
        <f t="shared" si="122"/>
        <v>0</v>
      </c>
      <c r="J545" s="1813">
        <f t="shared" si="123"/>
        <v>0</v>
      </c>
      <c r="K545" s="1782">
        <f t="shared" si="124"/>
        <v>0</v>
      </c>
      <c r="L545" s="1813">
        <f t="shared" si="125"/>
        <v>0</v>
      </c>
      <c r="M545" s="1782">
        <f t="shared" si="126"/>
        <v>0</v>
      </c>
      <c r="N545" s="1813">
        <f t="shared" si="127"/>
        <v>0</v>
      </c>
      <c r="O545" s="1813">
        <f t="shared" si="128"/>
        <v>0</v>
      </c>
      <c r="P545" s="1813">
        <f t="shared" si="129"/>
        <v>0</v>
      </c>
      <c r="Q545" s="1783">
        <f t="shared" si="130"/>
        <v>0</v>
      </c>
      <c r="R545" s="1813">
        <f t="shared" si="131"/>
        <v>0</v>
      </c>
      <c r="S545" s="1782">
        <f t="shared" si="132"/>
        <v>0</v>
      </c>
      <c r="T545" s="1813">
        <f t="shared" si="133"/>
        <v>0</v>
      </c>
      <c r="V545" s="1813"/>
      <c r="W545" s="1782"/>
      <c r="X545" s="1813"/>
      <c r="Y545" s="1782"/>
      <c r="Z545" s="1813"/>
      <c r="AA545" s="1782"/>
      <c r="AB545" s="1813"/>
      <c r="AC545" s="1782"/>
      <c r="AD545" s="1813"/>
      <c r="AE545" s="1813"/>
      <c r="AF545" s="1813"/>
      <c r="AG545" s="1783"/>
      <c r="AH545" s="1813"/>
      <c r="AI545" s="1782"/>
      <c r="AJ545" s="1813"/>
    </row>
    <row r="546" spans="1:36">
      <c r="A546" s="1675">
        <v>21</v>
      </c>
      <c r="B546" s="2015"/>
      <c r="D546" s="2044" t="s">
        <v>2588</v>
      </c>
      <c r="F546" s="1813">
        <f t="shared" si="134"/>
        <v>5493.2682999999879</v>
      </c>
      <c r="G546" s="1674">
        <f t="shared" si="120"/>
        <v>0</v>
      </c>
      <c r="H546" s="1813">
        <f t="shared" si="121"/>
        <v>689.49131999999997</v>
      </c>
      <c r="I546" s="1813">
        <f t="shared" si="122"/>
        <v>0</v>
      </c>
      <c r="J546" s="1813">
        <f t="shared" si="123"/>
        <v>0</v>
      </c>
      <c r="K546" s="1813">
        <f t="shared" si="124"/>
        <v>0</v>
      </c>
      <c r="L546" s="1813">
        <f t="shared" si="125"/>
        <v>0</v>
      </c>
      <c r="M546" s="1813">
        <f t="shared" si="126"/>
        <v>0</v>
      </c>
      <c r="N546" s="1813">
        <f t="shared" si="127"/>
        <v>0</v>
      </c>
      <c r="O546" s="1813">
        <f t="shared" si="128"/>
        <v>0</v>
      </c>
      <c r="P546" s="1813">
        <f t="shared" si="129"/>
        <v>0</v>
      </c>
      <c r="Q546" s="1814">
        <f t="shared" si="130"/>
        <v>0</v>
      </c>
      <c r="R546" s="1813">
        <f t="shared" si="131"/>
        <v>6182.759619999988</v>
      </c>
      <c r="S546" s="1813">
        <f t="shared" si="132"/>
        <v>0</v>
      </c>
      <c r="T546" s="1813">
        <f t="shared" si="133"/>
        <v>5838.0139600000002</v>
      </c>
      <c r="V546" s="1813">
        <v>5493268.2999999877</v>
      </c>
      <c r="X546" s="1813">
        <v>689491.32</v>
      </c>
      <c r="Y546" s="1813"/>
      <c r="Z546" s="1813">
        <v>0</v>
      </c>
      <c r="AA546" s="1813"/>
      <c r="AB546" s="1813">
        <v>0</v>
      </c>
      <c r="AC546" s="1813"/>
      <c r="AD546" s="1813">
        <v>0</v>
      </c>
      <c r="AE546" s="1813"/>
      <c r="AF546" s="1813">
        <v>0</v>
      </c>
      <c r="AG546" s="1814"/>
      <c r="AH546" s="1813">
        <v>6182759.619999988</v>
      </c>
      <c r="AI546" s="1813"/>
      <c r="AJ546" s="1813">
        <v>5838013.96</v>
      </c>
    </row>
    <row r="547" spans="1:36">
      <c r="A547" s="1675">
        <v>22</v>
      </c>
      <c r="B547" s="2015"/>
      <c r="F547" s="1674">
        <f t="shared" si="134"/>
        <v>0</v>
      </c>
      <c r="G547" s="1674">
        <f t="shared" si="120"/>
        <v>0</v>
      </c>
      <c r="H547" s="1674">
        <f t="shared" si="121"/>
        <v>0</v>
      </c>
      <c r="I547" s="1674">
        <f t="shared" si="122"/>
        <v>0</v>
      </c>
      <c r="J547" s="1674">
        <f t="shared" si="123"/>
        <v>0</v>
      </c>
      <c r="K547" s="1674">
        <f t="shared" si="124"/>
        <v>0</v>
      </c>
      <c r="L547" s="1674">
        <f t="shared" si="125"/>
        <v>0</v>
      </c>
      <c r="M547" s="1674">
        <f t="shared" si="126"/>
        <v>0</v>
      </c>
      <c r="N547" s="1674">
        <f t="shared" si="127"/>
        <v>0</v>
      </c>
      <c r="O547" s="1674">
        <f t="shared" si="128"/>
        <v>0</v>
      </c>
      <c r="P547" s="1674">
        <f t="shared" si="129"/>
        <v>0</v>
      </c>
      <c r="Q547" s="2001">
        <f t="shared" si="130"/>
        <v>0</v>
      </c>
      <c r="R547" s="1674">
        <f t="shared" si="131"/>
        <v>0</v>
      </c>
      <c r="S547" s="1674">
        <f t="shared" si="132"/>
        <v>0</v>
      </c>
      <c r="T547" s="1674">
        <f t="shared" si="133"/>
        <v>0</v>
      </c>
      <c r="AG547" s="2001"/>
    </row>
    <row r="548" spans="1:36">
      <c r="A548" s="1675">
        <v>23</v>
      </c>
      <c r="B548" s="2015"/>
      <c r="D548" s="1674" t="s">
        <v>2466</v>
      </c>
      <c r="F548" s="1811">
        <f t="shared" si="134"/>
        <v>0</v>
      </c>
      <c r="G548" s="1782">
        <f t="shared" si="120"/>
        <v>0</v>
      </c>
      <c r="H548" s="1811">
        <f t="shared" si="121"/>
        <v>0</v>
      </c>
      <c r="I548" s="1782">
        <f t="shared" si="122"/>
        <v>0</v>
      </c>
      <c r="J548" s="1811">
        <f t="shared" si="123"/>
        <v>0</v>
      </c>
      <c r="K548" s="1782">
        <f t="shared" si="124"/>
        <v>0</v>
      </c>
      <c r="L548" s="1811">
        <f t="shared" si="125"/>
        <v>0</v>
      </c>
      <c r="M548" s="1782">
        <f t="shared" si="126"/>
        <v>0</v>
      </c>
      <c r="N548" s="1811">
        <f t="shared" si="127"/>
        <v>0</v>
      </c>
      <c r="O548" s="1813">
        <f t="shared" si="128"/>
        <v>0</v>
      </c>
      <c r="P548" s="1811">
        <f t="shared" si="129"/>
        <v>0</v>
      </c>
      <c r="Q548" s="1783">
        <f t="shared" si="130"/>
        <v>0</v>
      </c>
      <c r="R548" s="1811">
        <f t="shared" si="131"/>
        <v>0</v>
      </c>
      <c r="S548" s="1782">
        <f t="shared" si="132"/>
        <v>0</v>
      </c>
      <c r="T548" s="1811">
        <f t="shared" si="133"/>
        <v>0</v>
      </c>
      <c r="V548" s="1811">
        <v>0</v>
      </c>
      <c r="W548" s="1782"/>
      <c r="X548" s="1811">
        <v>0</v>
      </c>
      <c r="Y548" s="1782"/>
      <c r="Z548" s="1811">
        <v>0</v>
      </c>
      <c r="AA548" s="1782"/>
      <c r="AB548" s="1811">
        <v>0</v>
      </c>
      <c r="AC548" s="1782"/>
      <c r="AD548" s="1811">
        <v>0</v>
      </c>
      <c r="AE548" s="1813"/>
      <c r="AF548" s="1811">
        <v>0</v>
      </c>
      <c r="AG548" s="1783"/>
      <c r="AH548" s="1811">
        <v>0</v>
      </c>
      <c r="AI548" s="1782"/>
      <c r="AJ548" s="1811">
        <v>0</v>
      </c>
    </row>
    <row r="549" spans="1:36">
      <c r="A549" s="1675">
        <v>24</v>
      </c>
      <c r="B549" s="2015"/>
      <c r="F549" s="2029">
        <f t="shared" si="134"/>
        <v>0</v>
      </c>
      <c r="G549" s="1674">
        <f t="shared" si="120"/>
        <v>0</v>
      </c>
      <c r="H549" s="2029">
        <f t="shared" si="121"/>
        <v>0</v>
      </c>
      <c r="I549" s="1674">
        <f t="shared" si="122"/>
        <v>0</v>
      </c>
      <c r="J549" s="2029">
        <f t="shared" si="123"/>
        <v>0</v>
      </c>
      <c r="K549" s="1674">
        <f t="shared" si="124"/>
        <v>0</v>
      </c>
      <c r="L549" s="2029">
        <f t="shared" si="125"/>
        <v>0</v>
      </c>
      <c r="M549" s="1674">
        <f t="shared" si="126"/>
        <v>0</v>
      </c>
      <c r="N549" s="2029">
        <f t="shared" si="127"/>
        <v>0</v>
      </c>
      <c r="O549" s="1674">
        <f t="shared" si="128"/>
        <v>0</v>
      </c>
      <c r="P549" s="2029">
        <f t="shared" si="129"/>
        <v>0</v>
      </c>
      <c r="Q549" s="2001">
        <f t="shared" si="130"/>
        <v>0</v>
      </c>
      <c r="R549" s="2029">
        <f t="shared" si="131"/>
        <v>0</v>
      </c>
      <c r="S549" s="1674">
        <f t="shared" si="132"/>
        <v>0</v>
      </c>
      <c r="T549" s="2029">
        <f t="shared" si="133"/>
        <v>0</v>
      </c>
      <c r="V549" s="2029"/>
      <c r="X549" s="2029"/>
      <c r="Z549" s="2029"/>
      <c r="AB549" s="2029"/>
      <c r="AD549" s="2029"/>
      <c r="AF549" s="2029"/>
      <c r="AG549" s="2001"/>
      <c r="AH549" s="2029"/>
      <c r="AJ549" s="2029"/>
    </row>
    <row r="550" spans="1:36" ht="15" thickBot="1">
      <c r="A550" s="1675">
        <v>25</v>
      </c>
      <c r="B550" s="2015"/>
      <c r="D550" s="2048" t="s">
        <v>2601</v>
      </c>
      <c r="F550" s="1870">
        <f t="shared" si="134"/>
        <v>3859853.1772200004</v>
      </c>
      <c r="G550" s="1782">
        <f t="shared" si="120"/>
        <v>0</v>
      </c>
      <c r="H550" s="1870">
        <f t="shared" si="121"/>
        <v>553543.30747</v>
      </c>
      <c r="I550" s="1782">
        <f t="shared" si="122"/>
        <v>0</v>
      </c>
      <c r="J550" s="1870">
        <f t="shared" si="123"/>
        <v>-150203.56679000001</v>
      </c>
      <c r="K550" s="1782">
        <f t="shared" si="124"/>
        <v>0</v>
      </c>
      <c r="L550" s="1870">
        <f t="shared" si="125"/>
        <v>-43716.326350000003</v>
      </c>
      <c r="M550" s="1782">
        <f t="shared" si="126"/>
        <v>0</v>
      </c>
      <c r="N550" s="1870">
        <f t="shared" si="127"/>
        <v>4566.9791399999995</v>
      </c>
      <c r="O550" s="1782">
        <f t="shared" si="128"/>
        <v>0</v>
      </c>
      <c r="P550" s="1870">
        <f t="shared" si="129"/>
        <v>0</v>
      </c>
      <c r="Q550" s="1783">
        <f t="shared" si="130"/>
        <v>0</v>
      </c>
      <c r="R550" s="1870">
        <f t="shared" si="131"/>
        <v>4224043.5706900004</v>
      </c>
      <c r="S550" s="1782">
        <f t="shared" si="132"/>
        <v>0</v>
      </c>
      <c r="T550" s="1870">
        <f t="shared" si="133"/>
        <v>4042694.8295700001</v>
      </c>
      <c r="V550" s="1870">
        <v>3859853177.2200003</v>
      </c>
      <c r="W550" s="1782"/>
      <c r="X550" s="1870">
        <v>553543307.47000003</v>
      </c>
      <c r="Y550" s="1782"/>
      <c r="Z550" s="1870">
        <v>-150203566.79000002</v>
      </c>
      <c r="AA550" s="1782"/>
      <c r="AB550" s="1870">
        <v>-43716326.350000001</v>
      </c>
      <c r="AC550" s="1782"/>
      <c r="AD550" s="1870">
        <v>4566979.1399999997</v>
      </c>
      <c r="AE550" s="1782"/>
      <c r="AF550" s="1870">
        <v>0</v>
      </c>
      <c r="AG550" s="1783"/>
      <c r="AH550" s="1870">
        <v>4224043570.6900005</v>
      </c>
      <c r="AI550" s="1782"/>
      <c r="AJ550" s="1870">
        <v>4042694829.5700002</v>
      </c>
    </row>
    <row r="551" spans="1:36" ht="15" thickTop="1">
      <c r="A551" s="1675">
        <v>26</v>
      </c>
      <c r="B551" s="2015"/>
      <c r="F551" s="1674">
        <f t="shared" si="134"/>
        <v>0</v>
      </c>
      <c r="G551" s="1674">
        <f t="shared" si="120"/>
        <v>0</v>
      </c>
      <c r="H551" s="1674">
        <f t="shared" si="121"/>
        <v>0</v>
      </c>
      <c r="I551" s="1674">
        <f t="shared" si="122"/>
        <v>0</v>
      </c>
      <c r="J551" s="1674">
        <f t="shared" si="123"/>
        <v>0</v>
      </c>
      <c r="K551" s="1674">
        <f t="shared" si="124"/>
        <v>0</v>
      </c>
      <c r="L551" s="1674">
        <f t="shared" si="125"/>
        <v>0</v>
      </c>
      <c r="M551" s="1674">
        <f t="shared" si="126"/>
        <v>0</v>
      </c>
      <c r="N551" s="1674">
        <f t="shared" si="127"/>
        <v>0</v>
      </c>
      <c r="O551" s="1674">
        <f t="shared" si="128"/>
        <v>0</v>
      </c>
      <c r="P551" s="1674">
        <f t="shared" si="129"/>
        <v>0</v>
      </c>
      <c r="Q551" s="2001">
        <f t="shared" si="130"/>
        <v>0</v>
      </c>
      <c r="R551" s="1674">
        <f t="shared" si="131"/>
        <v>0</v>
      </c>
      <c r="S551" s="1674">
        <f t="shared" si="132"/>
        <v>0</v>
      </c>
      <c r="T551" s="1674">
        <f t="shared" si="133"/>
        <v>0</v>
      </c>
      <c r="AG551" s="2001"/>
    </row>
    <row r="552" spans="1:36">
      <c r="A552" s="1675">
        <v>27</v>
      </c>
      <c r="B552" s="2015"/>
      <c r="D552" s="2002" t="s">
        <v>2468</v>
      </c>
      <c r="F552" s="2047">
        <f t="shared" si="134"/>
        <v>6883.3661700000021</v>
      </c>
      <c r="G552" s="1674">
        <f t="shared" si="120"/>
        <v>0</v>
      </c>
      <c r="H552" s="2047">
        <f t="shared" si="121"/>
        <v>236.70876000000001</v>
      </c>
      <c r="I552" s="1674">
        <f t="shared" si="122"/>
        <v>0</v>
      </c>
      <c r="J552" s="2047">
        <f t="shared" si="123"/>
        <v>0</v>
      </c>
      <c r="K552" s="1782">
        <f t="shared" si="124"/>
        <v>0</v>
      </c>
      <c r="L552" s="2047">
        <f t="shared" si="125"/>
        <v>0</v>
      </c>
      <c r="M552" s="1782">
        <f t="shared" si="126"/>
        <v>0</v>
      </c>
      <c r="N552" s="2047">
        <f t="shared" si="127"/>
        <v>0</v>
      </c>
      <c r="O552" s="2047">
        <f t="shared" si="128"/>
        <v>0</v>
      </c>
      <c r="P552" s="2047">
        <f t="shared" si="129"/>
        <v>0</v>
      </c>
      <c r="Q552" s="1783">
        <f t="shared" si="130"/>
        <v>0</v>
      </c>
      <c r="R552" s="2047">
        <f t="shared" si="131"/>
        <v>7120.0749300000016</v>
      </c>
      <c r="S552" s="1782">
        <f t="shared" si="132"/>
        <v>0</v>
      </c>
      <c r="T552" s="2047">
        <f t="shared" si="133"/>
        <v>7001.72055</v>
      </c>
      <c r="V552" s="2047">
        <v>6883366.1700000018</v>
      </c>
      <c r="X552" s="2047">
        <v>236708.76</v>
      </c>
      <c r="Z552" s="2047">
        <v>0</v>
      </c>
      <c r="AA552" s="1782"/>
      <c r="AB552" s="2047">
        <v>0</v>
      </c>
      <c r="AC552" s="1782"/>
      <c r="AD552" s="2047">
        <v>0</v>
      </c>
      <c r="AE552" s="2047"/>
      <c r="AF552" s="2047">
        <v>0</v>
      </c>
      <c r="AG552" s="1783"/>
      <c r="AH552" s="2047">
        <v>7120074.9300000016</v>
      </c>
      <c r="AI552" s="1782"/>
      <c r="AJ552" s="2047">
        <v>7001720.5499999998</v>
      </c>
    </row>
    <row r="553" spans="1:36">
      <c r="A553" s="1675">
        <v>28</v>
      </c>
      <c r="B553" s="2015"/>
      <c r="F553" s="1782">
        <f t="shared" si="134"/>
        <v>0</v>
      </c>
      <c r="G553" s="1782">
        <f t="shared" si="120"/>
        <v>0</v>
      </c>
      <c r="H553" s="1782">
        <f t="shared" si="121"/>
        <v>0</v>
      </c>
      <c r="I553" s="1782">
        <f t="shared" si="122"/>
        <v>0</v>
      </c>
      <c r="J553" s="1782">
        <f t="shared" si="123"/>
        <v>0</v>
      </c>
      <c r="K553" s="1782">
        <f t="shared" si="124"/>
        <v>0</v>
      </c>
      <c r="L553" s="1782">
        <f t="shared" si="125"/>
        <v>0</v>
      </c>
      <c r="M553" s="1782">
        <f t="shared" si="126"/>
        <v>0</v>
      </c>
      <c r="N553" s="1782">
        <f t="shared" si="127"/>
        <v>0</v>
      </c>
      <c r="O553" s="1782">
        <f t="shared" si="128"/>
        <v>0</v>
      </c>
      <c r="P553" s="1782">
        <f t="shared" si="129"/>
        <v>0</v>
      </c>
      <c r="Q553" s="1783">
        <f t="shared" si="130"/>
        <v>0</v>
      </c>
      <c r="R553" s="1782">
        <f t="shared" si="131"/>
        <v>0</v>
      </c>
      <c r="S553" s="1782">
        <f t="shared" si="132"/>
        <v>0</v>
      </c>
      <c r="T553" s="1782">
        <f t="shared" si="133"/>
        <v>0</v>
      </c>
      <c r="V553" s="1782"/>
      <c r="W553" s="1782"/>
      <c r="X553" s="1782"/>
      <c r="Y553" s="1782"/>
      <c r="Z553" s="1782"/>
      <c r="AA553" s="1782"/>
      <c r="AB553" s="1782"/>
      <c r="AC553" s="1782"/>
      <c r="AD553" s="1782"/>
      <c r="AE553" s="1782"/>
      <c r="AF553" s="1782"/>
      <c r="AG553" s="1783"/>
      <c r="AH553" s="1782"/>
      <c r="AI553" s="1782"/>
      <c r="AJ553" s="1782"/>
    </row>
    <row r="554" spans="1:36">
      <c r="A554" s="1675">
        <v>29</v>
      </c>
      <c r="B554" s="2015"/>
      <c r="D554" s="1808" t="s">
        <v>2470</v>
      </c>
      <c r="F554" s="1782">
        <f t="shared" si="134"/>
        <v>0</v>
      </c>
      <c r="G554" s="1782">
        <f t="shared" si="120"/>
        <v>0</v>
      </c>
      <c r="H554" s="1782">
        <f t="shared" si="121"/>
        <v>0</v>
      </c>
      <c r="I554" s="1782">
        <f t="shared" si="122"/>
        <v>0</v>
      </c>
      <c r="J554" s="1782">
        <f t="shared" si="123"/>
        <v>0</v>
      </c>
      <c r="K554" s="1782">
        <f t="shared" si="124"/>
        <v>0</v>
      </c>
      <c r="L554" s="1782">
        <f t="shared" si="125"/>
        <v>0</v>
      </c>
      <c r="M554" s="1782">
        <f t="shared" si="126"/>
        <v>0</v>
      </c>
      <c r="N554" s="1782">
        <f t="shared" si="127"/>
        <v>0</v>
      </c>
      <c r="O554" s="1782">
        <f t="shared" si="128"/>
        <v>0</v>
      </c>
      <c r="P554" s="1782">
        <f t="shared" si="129"/>
        <v>0</v>
      </c>
      <c r="Q554" s="1783">
        <f t="shared" si="130"/>
        <v>0</v>
      </c>
      <c r="R554" s="1782">
        <f t="shared" si="131"/>
        <v>0</v>
      </c>
      <c r="S554" s="1782">
        <f t="shared" si="132"/>
        <v>0</v>
      </c>
      <c r="T554" s="1782">
        <f t="shared" si="133"/>
        <v>0</v>
      </c>
      <c r="V554" s="1782">
        <v>0</v>
      </c>
      <c r="W554" s="1782"/>
      <c r="X554" s="1782">
        <v>0</v>
      </c>
      <c r="Y554" s="1782"/>
      <c r="Z554" s="1782">
        <v>0</v>
      </c>
      <c r="AA554" s="1782"/>
      <c r="AB554" s="1782">
        <v>0</v>
      </c>
      <c r="AC554" s="1782"/>
      <c r="AD554" s="1782">
        <v>0</v>
      </c>
      <c r="AE554" s="1782"/>
      <c r="AF554" s="1782">
        <v>0</v>
      </c>
      <c r="AG554" s="1783"/>
      <c r="AH554" s="1782">
        <v>0</v>
      </c>
      <c r="AI554" s="1782"/>
      <c r="AJ554" s="1782">
        <v>0</v>
      </c>
    </row>
    <row r="555" spans="1:36">
      <c r="A555" s="1675">
        <v>30</v>
      </c>
      <c r="B555" s="2015"/>
      <c r="F555" s="1674">
        <f t="shared" si="134"/>
        <v>0</v>
      </c>
      <c r="G555" s="1674">
        <f t="shared" si="120"/>
        <v>0</v>
      </c>
      <c r="H555" s="1674">
        <f t="shared" si="121"/>
        <v>0</v>
      </c>
      <c r="I555" s="1674">
        <f t="shared" si="122"/>
        <v>0</v>
      </c>
      <c r="J555" s="1674">
        <f t="shared" si="123"/>
        <v>0</v>
      </c>
      <c r="K555" s="1674">
        <f t="shared" si="124"/>
        <v>0</v>
      </c>
      <c r="L555" s="1674">
        <f t="shared" si="125"/>
        <v>0</v>
      </c>
      <c r="M555" s="1674">
        <f t="shared" si="126"/>
        <v>0</v>
      </c>
      <c r="N555" s="1674">
        <f t="shared" si="127"/>
        <v>0</v>
      </c>
      <c r="O555" s="1674">
        <f t="shared" si="128"/>
        <v>0</v>
      </c>
      <c r="P555" s="1674">
        <f t="shared" si="129"/>
        <v>0</v>
      </c>
      <c r="Q555" s="2001">
        <f t="shared" si="130"/>
        <v>0</v>
      </c>
      <c r="R555" s="1674">
        <f t="shared" si="131"/>
        <v>0</v>
      </c>
      <c r="S555" s="1674">
        <f t="shared" si="132"/>
        <v>0</v>
      </c>
      <c r="T555" s="1674">
        <f t="shared" si="133"/>
        <v>0</v>
      </c>
      <c r="AG555" s="2001"/>
    </row>
    <row r="556" spans="1:36">
      <c r="A556" s="1675">
        <v>31</v>
      </c>
      <c r="B556" s="2015"/>
      <c r="D556" s="1674" t="s">
        <v>2471</v>
      </c>
      <c r="F556" s="1782">
        <f t="shared" si="134"/>
        <v>0</v>
      </c>
      <c r="G556" s="1674">
        <f t="shared" si="120"/>
        <v>0</v>
      </c>
      <c r="H556" s="1782">
        <f t="shared" si="121"/>
        <v>0</v>
      </c>
      <c r="I556" s="1674">
        <f t="shared" si="122"/>
        <v>0</v>
      </c>
      <c r="J556" s="1782">
        <f t="shared" si="123"/>
        <v>0</v>
      </c>
      <c r="K556" s="1674">
        <f t="shared" si="124"/>
        <v>0</v>
      </c>
      <c r="L556" s="1782">
        <f t="shared" si="125"/>
        <v>0</v>
      </c>
      <c r="M556" s="1674">
        <f t="shared" si="126"/>
        <v>0</v>
      </c>
      <c r="N556" s="1782">
        <f t="shared" si="127"/>
        <v>0</v>
      </c>
      <c r="O556" s="1782">
        <f t="shared" si="128"/>
        <v>0</v>
      </c>
      <c r="P556" s="1782">
        <f t="shared" si="129"/>
        <v>0</v>
      </c>
      <c r="Q556" s="2001">
        <f t="shared" si="130"/>
        <v>0</v>
      </c>
      <c r="R556" s="1782">
        <f t="shared" si="131"/>
        <v>0</v>
      </c>
      <c r="S556" s="1674">
        <f t="shared" si="132"/>
        <v>0</v>
      </c>
      <c r="T556" s="1782">
        <f t="shared" si="133"/>
        <v>0</v>
      </c>
      <c r="V556" s="1782">
        <v>0</v>
      </c>
      <c r="X556" s="1782">
        <v>0</v>
      </c>
      <c r="Z556" s="1782">
        <v>0</v>
      </c>
      <c r="AB556" s="1782">
        <v>0</v>
      </c>
      <c r="AD556" s="1782">
        <v>0</v>
      </c>
      <c r="AE556" s="1782"/>
      <c r="AF556" s="1782">
        <v>0</v>
      </c>
      <c r="AG556" s="2001"/>
      <c r="AH556" s="1782">
        <v>0</v>
      </c>
      <c r="AJ556" s="1782">
        <v>0</v>
      </c>
    </row>
    <row r="557" spans="1:36">
      <c r="A557" s="1675">
        <v>32</v>
      </c>
      <c r="B557" s="2015"/>
      <c r="F557" s="1674">
        <f t="shared" si="134"/>
        <v>0</v>
      </c>
      <c r="G557" s="1674">
        <f t="shared" si="120"/>
        <v>0</v>
      </c>
      <c r="H557" s="1674">
        <f t="shared" si="121"/>
        <v>0</v>
      </c>
      <c r="I557" s="1674">
        <f t="shared" si="122"/>
        <v>0</v>
      </c>
      <c r="J557" s="1674">
        <f t="shared" si="123"/>
        <v>0</v>
      </c>
      <c r="K557" s="1674">
        <f t="shared" si="124"/>
        <v>0</v>
      </c>
      <c r="L557" s="1674">
        <f t="shared" si="125"/>
        <v>0</v>
      </c>
      <c r="M557" s="1674">
        <f t="shared" si="126"/>
        <v>0</v>
      </c>
      <c r="N557" s="1674">
        <f t="shared" si="127"/>
        <v>0</v>
      </c>
      <c r="O557" s="1674">
        <f t="shared" si="128"/>
        <v>0</v>
      </c>
      <c r="P557" s="1674">
        <f t="shared" si="129"/>
        <v>0</v>
      </c>
      <c r="Q557" s="2001">
        <f t="shared" si="130"/>
        <v>0</v>
      </c>
      <c r="R557" s="1674">
        <f t="shared" si="131"/>
        <v>0</v>
      </c>
      <c r="S557" s="1674">
        <f t="shared" si="132"/>
        <v>0</v>
      </c>
      <c r="T557" s="1674">
        <f t="shared" si="133"/>
        <v>0</v>
      </c>
      <c r="AG557" s="2001"/>
    </row>
    <row r="558" spans="1:36">
      <c r="A558" s="1675">
        <v>33</v>
      </c>
      <c r="B558" s="2015"/>
      <c r="D558" s="1674" t="s">
        <v>2604</v>
      </c>
      <c r="F558" s="2035">
        <f t="shared" si="134"/>
        <v>113636.92683999996</v>
      </c>
      <c r="G558" s="1674">
        <f t="shared" si="120"/>
        <v>0</v>
      </c>
      <c r="H558" s="2035">
        <f t="shared" si="121"/>
        <v>17442.392039999999</v>
      </c>
      <c r="I558" s="1674">
        <f t="shared" si="122"/>
        <v>0</v>
      </c>
      <c r="J558" s="2035">
        <f t="shared" si="123"/>
        <v>0</v>
      </c>
      <c r="K558" s="1674">
        <f t="shared" si="124"/>
        <v>0</v>
      </c>
      <c r="L558" s="2035">
        <f t="shared" si="125"/>
        <v>-33255.932999999997</v>
      </c>
      <c r="M558" s="1674">
        <f t="shared" si="126"/>
        <v>0</v>
      </c>
      <c r="N558" s="2035">
        <f t="shared" si="127"/>
        <v>0</v>
      </c>
      <c r="O558" s="1674">
        <f t="shared" si="128"/>
        <v>0</v>
      </c>
      <c r="P558" s="2035">
        <f t="shared" si="129"/>
        <v>33255.932999999997</v>
      </c>
      <c r="Q558" s="2001">
        <f t="shared" si="130"/>
        <v>0</v>
      </c>
      <c r="R558" s="2035">
        <f t="shared" si="131"/>
        <v>131079.31887999998</v>
      </c>
      <c r="S558" s="1674">
        <f t="shared" si="132"/>
        <v>0</v>
      </c>
      <c r="T558" s="2035">
        <f t="shared" si="133"/>
        <v>119953.82033</v>
      </c>
      <c r="V558" s="2035">
        <v>113636926.83999996</v>
      </c>
      <c r="X558" s="2035">
        <v>17442392.039999999</v>
      </c>
      <c r="Z558" s="2035">
        <v>0</v>
      </c>
      <c r="AB558" s="2035">
        <v>-33255933</v>
      </c>
      <c r="AD558" s="2035">
        <v>0</v>
      </c>
      <c r="AF558" s="2035">
        <v>33255933</v>
      </c>
      <c r="AG558" s="2001"/>
      <c r="AH558" s="2035">
        <v>131079318.87999997</v>
      </c>
      <c r="AJ558" s="2035">
        <v>119953820.33</v>
      </c>
    </row>
    <row r="559" spans="1:36">
      <c r="A559" s="1675">
        <v>34</v>
      </c>
      <c r="B559" s="2015"/>
      <c r="F559" s="1812">
        <f t="shared" si="134"/>
        <v>0</v>
      </c>
      <c r="G559" s="1782">
        <f t="shared" si="120"/>
        <v>0</v>
      </c>
      <c r="H559" s="1812">
        <f t="shared" si="121"/>
        <v>0</v>
      </c>
      <c r="I559" s="1782">
        <f t="shared" si="122"/>
        <v>0</v>
      </c>
      <c r="J559" s="1812">
        <f t="shared" si="123"/>
        <v>0</v>
      </c>
      <c r="K559" s="1782">
        <f t="shared" si="124"/>
        <v>0</v>
      </c>
      <c r="L559" s="1812">
        <f t="shared" si="125"/>
        <v>0</v>
      </c>
      <c r="M559" s="1782">
        <f t="shared" si="126"/>
        <v>0</v>
      </c>
      <c r="N559" s="1812">
        <f t="shared" si="127"/>
        <v>0</v>
      </c>
      <c r="O559" s="1813">
        <f t="shared" si="128"/>
        <v>0</v>
      </c>
      <c r="P559" s="1812">
        <f t="shared" si="129"/>
        <v>0</v>
      </c>
      <c r="Q559" s="1783">
        <f t="shared" si="130"/>
        <v>0</v>
      </c>
      <c r="R559" s="1812">
        <f t="shared" si="131"/>
        <v>0</v>
      </c>
      <c r="S559" s="1782">
        <f t="shared" si="132"/>
        <v>0</v>
      </c>
      <c r="T559" s="1812">
        <f t="shared" si="133"/>
        <v>0</v>
      </c>
      <c r="V559" s="1812"/>
      <c r="W559" s="1782"/>
      <c r="X559" s="1812"/>
      <c r="Y559" s="1782"/>
      <c r="Z559" s="1812"/>
      <c r="AA559" s="1782"/>
      <c r="AB559" s="1812"/>
      <c r="AC559" s="1782"/>
      <c r="AD559" s="1812"/>
      <c r="AE559" s="1813"/>
      <c r="AF559" s="1812"/>
      <c r="AG559" s="1783"/>
      <c r="AH559" s="1812"/>
      <c r="AI559" s="1782"/>
      <c r="AJ559" s="1812"/>
    </row>
    <row r="560" spans="1:36" ht="15" thickBot="1">
      <c r="A560" s="1675">
        <v>35</v>
      </c>
      <c r="B560" s="2015"/>
      <c r="D560" s="2021" t="s">
        <v>2605</v>
      </c>
      <c r="F560" s="1870">
        <f t="shared" si="134"/>
        <v>3980373.4702300006</v>
      </c>
      <c r="G560" s="1782">
        <f t="shared" si="120"/>
        <v>0</v>
      </c>
      <c r="H560" s="1870">
        <f t="shared" si="121"/>
        <v>571222.40827000001</v>
      </c>
      <c r="I560" s="1782">
        <f t="shared" si="122"/>
        <v>0</v>
      </c>
      <c r="J560" s="1870">
        <f t="shared" si="123"/>
        <v>-150203.56679000001</v>
      </c>
      <c r="K560" s="1674">
        <f t="shared" si="124"/>
        <v>0</v>
      </c>
      <c r="L560" s="1870">
        <f t="shared" si="125"/>
        <v>-76972.259349999993</v>
      </c>
      <c r="M560" s="1674">
        <f t="shared" si="126"/>
        <v>0</v>
      </c>
      <c r="N560" s="1870">
        <f t="shared" si="127"/>
        <v>4566.9791399999995</v>
      </c>
      <c r="O560" s="1813">
        <f t="shared" si="128"/>
        <v>0</v>
      </c>
      <c r="P560" s="1870">
        <f t="shared" si="129"/>
        <v>33255.932999999997</v>
      </c>
      <c r="Q560" s="2001">
        <f t="shared" si="130"/>
        <v>0</v>
      </c>
      <c r="R560" s="1870">
        <f t="shared" si="131"/>
        <v>4362242.9644999998</v>
      </c>
      <c r="S560" s="1674">
        <f t="shared" si="132"/>
        <v>0</v>
      </c>
      <c r="T560" s="1870">
        <f t="shared" si="133"/>
        <v>4169650.3704500003</v>
      </c>
      <c r="V560" s="1870">
        <v>3980373470.2300005</v>
      </c>
      <c r="W560" s="1782"/>
      <c r="X560" s="1870">
        <v>571222408.26999998</v>
      </c>
      <c r="Y560" s="1782"/>
      <c r="Z560" s="1870">
        <v>-150203566.79000002</v>
      </c>
      <c r="AB560" s="1870">
        <v>-76972259.349999994</v>
      </c>
      <c r="AD560" s="1870">
        <v>4566979.1399999997</v>
      </c>
      <c r="AE560" s="1813"/>
      <c r="AF560" s="1870">
        <v>33255933</v>
      </c>
      <c r="AG560" s="2001"/>
      <c r="AH560" s="1870">
        <v>4362242964.5</v>
      </c>
      <c r="AJ560" s="1870">
        <v>4169650370.4500003</v>
      </c>
    </row>
    <row r="561" spans="1:36" ht="15" thickTop="1">
      <c r="A561" s="1675">
        <v>36</v>
      </c>
      <c r="B561" s="2015"/>
      <c r="F561" s="2035">
        <f t="shared" si="134"/>
        <v>0</v>
      </c>
      <c r="G561" s="1674">
        <f t="shared" si="120"/>
        <v>0</v>
      </c>
      <c r="H561" s="2035">
        <f t="shared" si="121"/>
        <v>0</v>
      </c>
      <c r="I561" s="1674">
        <f t="shared" si="122"/>
        <v>0</v>
      </c>
      <c r="J561" s="2035">
        <f t="shared" si="123"/>
        <v>0</v>
      </c>
      <c r="K561" s="1674">
        <f t="shared" si="124"/>
        <v>0</v>
      </c>
      <c r="L561" s="2035">
        <f t="shared" si="125"/>
        <v>0</v>
      </c>
      <c r="M561" s="1674">
        <f t="shared" si="126"/>
        <v>0</v>
      </c>
      <c r="N561" s="2035">
        <f t="shared" si="127"/>
        <v>0</v>
      </c>
      <c r="O561" s="1674">
        <f t="shared" si="128"/>
        <v>0</v>
      </c>
      <c r="P561" s="2035">
        <f t="shared" si="129"/>
        <v>0</v>
      </c>
      <c r="Q561" s="2001">
        <f t="shared" si="130"/>
        <v>0</v>
      </c>
      <c r="R561" s="2035">
        <f t="shared" si="131"/>
        <v>0</v>
      </c>
      <c r="S561" s="1674">
        <f t="shared" si="132"/>
        <v>0</v>
      </c>
      <c r="T561" s="2035">
        <f t="shared" si="133"/>
        <v>0</v>
      </c>
      <c r="V561" s="2035">
        <v>0</v>
      </c>
      <c r="X561" s="2035">
        <v>0</v>
      </c>
      <c r="Z561" s="2035">
        <v>0</v>
      </c>
      <c r="AB561" s="2035">
        <v>0</v>
      </c>
      <c r="AD561" s="2035">
        <v>0</v>
      </c>
      <c r="AF561" s="2035">
        <v>0</v>
      </c>
      <c r="AG561" s="2001"/>
      <c r="AH561" s="2035">
        <v>0</v>
      </c>
      <c r="AJ561" s="2035">
        <v>0</v>
      </c>
    </row>
    <row r="562" spans="1:36">
      <c r="A562" s="1675">
        <v>37</v>
      </c>
      <c r="B562" s="2015"/>
      <c r="F562" s="2035">
        <f t="shared" si="134"/>
        <v>0</v>
      </c>
      <c r="G562" s="1674">
        <f t="shared" si="120"/>
        <v>0</v>
      </c>
      <c r="H562" s="2035">
        <f t="shared" si="121"/>
        <v>0</v>
      </c>
      <c r="I562" s="1674">
        <f t="shared" si="122"/>
        <v>0</v>
      </c>
      <c r="J562" s="2035">
        <f t="shared" si="123"/>
        <v>0</v>
      </c>
      <c r="K562" s="1674">
        <f t="shared" si="124"/>
        <v>0</v>
      </c>
      <c r="L562" s="1664">
        <f t="shared" si="125"/>
        <v>-1.4901161193847657E-11</v>
      </c>
      <c r="M562" s="1674">
        <f t="shared" si="126"/>
        <v>0</v>
      </c>
      <c r="N562" s="1664">
        <f t="shared" si="127"/>
        <v>0</v>
      </c>
      <c r="O562" s="1674">
        <f t="shared" si="128"/>
        <v>0</v>
      </c>
      <c r="P562" s="2035">
        <f t="shared" si="129"/>
        <v>0</v>
      </c>
      <c r="Q562" s="2001">
        <f t="shared" si="130"/>
        <v>0</v>
      </c>
      <c r="R562" s="2035">
        <f t="shared" si="131"/>
        <v>0</v>
      </c>
      <c r="S562" s="1674">
        <f t="shared" si="132"/>
        <v>0</v>
      </c>
      <c r="T562" s="2035">
        <f t="shared" si="133"/>
        <v>0</v>
      </c>
      <c r="V562" s="2035">
        <v>0</v>
      </c>
      <c r="X562" s="2035">
        <v>0</v>
      </c>
      <c r="Z562" s="2035">
        <v>0</v>
      </c>
      <c r="AB562" s="1664">
        <v>-1.4901161193847656E-8</v>
      </c>
      <c r="AD562" s="1664">
        <v>0</v>
      </c>
      <c r="AF562" s="2035">
        <v>0</v>
      </c>
      <c r="AG562" s="2001"/>
      <c r="AH562" s="2035">
        <v>0</v>
      </c>
      <c r="AJ562" s="2035">
        <v>0</v>
      </c>
    </row>
    <row r="563" spans="1:36">
      <c r="A563" s="1675">
        <v>38</v>
      </c>
      <c r="B563" s="2015"/>
      <c r="Q563" s="2001"/>
      <c r="AG563" s="2001"/>
    </row>
    <row r="564" spans="1:36">
      <c r="A564" s="1675">
        <v>39</v>
      </c>
      <c r="B564" s="2022"/>
      <c r="Q564" s="2001"/>
      <c r="AG564" s="2001"/>
    </row>
    <row r="565" spans="1:36">
      <c r="A565" s="1675">
        <v>40</v>
      </c>
      <c r="B565" s="2022"/>
      <c r="Q565" s="2001"/>
      <c r="AG565" s="2001"/>
    </row>
    <row r="566" spans="1:36">
      <c r="A566" s="1675">
        <v>41</v>
      </c>
      <c r="B566" s="2022"/>
      <c r="Q566" s="2001"/>
      <c r="AG566" s="2001"/>
    </row>
    <row r="567" spans="1:36">
      <c r="A567" s="1675">
        <v>42</v>
      </c>
      <c r="B567" s="2022"/>
      <c r="Q567" s="2001"/>
      <c r="AG567" s="2001"/>
    </row>
    <row r="568" spans="1:36">
      <c r="A568" s="1675">
        <v>43</v>
      </c>
      <c r="B568" s="2022"/>
      <c r="Q568" s="2001"/>
      <c r="AG568" s="2001"/>
    </row>
    <row r="569" spans="1:36" ht="15" thickBot="1">
      <c r="A569" s="2008">
        <v>44</v>
      </c>
      <c r="B569" s="1869" t="s">
        <v>2476</v>
      </c>
      <c r="C569" s="1997"/>
      <c r="D569" s="1997"/>
      <c r="E569" s="1997"/>
      <c r="F569" s="1997"/>
      <c r="G569" s="1997"/>
      <c r="H569" s="1997"/>
      <c r="I569" s="1997"/>
      <c r="J569" s="1997"/>
      <c r="K569" s="1997"/>
      <c r="L569" s="1997"/>
      <c r="M569" s="1997"/>
      <c r="N569" s="1997"/>
      <c r="O569" s="1997"/>
      <c r="P569" s="1997"/>
      <c r="Q569" s="1998"/>
      <c r="R569" s="1997"/>
      <c r="S569" s="1997"/>
      <c r="T569" s="1997"/>
      <c r="V569" s="1997"/>
      <c r="W569" s="1997"/>
      <c r="X569" s="1997"/>
      <c r="Y569" s="1997"/>
      <c r="Z569" s="1997"/>
      <c r="AA569" s="1997"/>
      <c r="AB569" s="1997"/>
      <c r="AC569" s="1997"/>
      <c r="AD569" s="1997"/>
      <c r="AE569" s="1997"/>
      <c r="AF569" s="1997"/>
      <c r="AG569" s="1998"/>
      <c r="AH569" s="1997"/>
      <c r="AI569" s="1997"/>
      <c r="AJ569" s="1997"/>
    </row>
    <row r="570" spans="1:36">
      <c r="A570" s="1674" t="s">
        <v>8186</v>
      </c>
      <c r="Q570" s="2001"/>
      <c r="R570" s="1674" t="s">
        <v>8948</v>
      </c>
      <c r="AG570" s="2001"/>
      <c r="AH570" s="1674" t="s">
        <v>8948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theme="2" tint="-0.249977111117893"/>
  </sheetPr>
  <dimension ref="C1:U105"/>
  <sheetViews>
    <sheetView tabSelected="1" showOutlineSymbols="0" workbookViewId="0"/>
  </sheetViews>
  <sheetFormatPr defaultRowHeight="14.4"/>
  <cols>
    <col min="4" max="4" width="39.33203125" customWidth="1"/>
    <col min="5" max="5" width="39" bestFit="1" customWidth="1"/>
    <col min="6" max="6" width="17.6640625" bestFit="1" customWidth="1"/>
    <col min="7" max="7" width="11.33203125" bestFit="1" customWidth="1"/>
    <col min="8" max="8" width="11.44140625" bestFit="1" customWidth="1"/>
    <col min="9" max="9" width="15.44140625" bestFit="1" customWidth="1"/>
    <col min="10" max="10" width="10.33203125" bestFit="1" customWidth="1"/>
    <col min="11" max="11" width="10.5546875" bestFit="1" customWidth="1"/>
    <col min="13" max="13" width="10.33203125" bestFit="1" customWidth="1"/>
    <col min="14" max="15" width="11" bestFit="1" customWidth="1"/>
    <col min="16" max="16" width="10.33203125" bestFit="1" customWidth="1"/>
    <col min="17" max="17" width="11" bestFit="1" customWidth="1"/>
    <col min="18" max="18" width="10.33203125" bestFit="1" customWidth="1"/>
    <col min="20" max="20" width="10.33203125" bestFit="1" customWidth="1"/>
  </cols>
  <sheetData>
    <row r="1" spans="3:9">
      <c r="E1" s="2107" t="s">
        <v>116</v>
      </c>
    </row>
    <row r="2" spans="3:9" ht="15" thickBot="1"/>
    <row r="3" spans="3:9" ht="15" thickBot="1">
      <c r="D3" s="113" t="s">
        <v>35</v>
      </c>
      <c r="E3" s="116" t="s">
        <v>4536</v>
      </c>
    </row>
    <row r="4" spans="3:9">
      <c r="D4" s="118" t="s">
        <v>4735</v>
      </c>
      <c r="E4" s="2255">
        <v>61196404.829999998</v>
      </c>
    </row>
    <row r="5" spans="3:9">
      <c r="D5" s="118" t="s">
        <v>4736</v>
      </c>
      <c r="E5" s="2255">
        <v>1823439</v>
      </c>
    </row>
    <row r="6" spans="3:9">
      <c r="D6" s="118" t="s">
        <v>4737</v>
      </c>
      <c r="E6" s="2255">
        <v>1064905</v>
      </c>
    </row>
    <row r="7" spans="3:9">
      <c r="D7" s="118" t="s">
        <v>4738</v>
      </c>
      <c r="E7" s="2705">
        <f>+SUMIFS('900s FERC Accounts'!E:E,'900s FERC Accounts'!C:C,924)</f>
        <v>19611570.9332962</v>
      </c>
    </row>
    <row r="8" spans="3:9">
      <c r="D8" s="118" t="s">
        <v>6898</v>
      </c>
      <c r="E8" s="2539">
        <f>+'0 MDS Labor O&amp;M'!D10</f>
        <v>0</v>
      </c>
    </row>
    <row r="9" spans="3:9">
      <c r="D9" s="118" t="s">
        <v>6899</v>
      </c>
      <c r="E9" s="2539">
        <f>+'0 MDS Labor O&amp;M'!D11</f>
        <v>0</v>
      </c>
    </row>
    <row r="10" spans="3:9" ht="15" thickBot="1">
      <c r="D10" s="914" t="s">
        <v>6900</v>
      </c>
      <c r="E10" s="2989">
        <v>0</v>
      </c>
    </row>
    <row r="13" spans="3:9">
      <c r="C13" s="352" t="s">
        <v>2173</v>
      </c>
      <c r="D13" s="518"/>
      <c r="E13" s="518"/>
      <c r="F13" s="518"/>
      <c r="G13" s="518"/>
      <c r="H13" s="294"/>
      <c r="I13" s="460"/>
    </row>
    <row r="14" spans="3:9">
      <c r="C14" s="353" t="s">
        <v>4681</v>
      </c>
      <c r="D14" s="62"/>
      <c r="E14" s="62"/>
      <c r="F14" s="62"/>
      <c r="G14" s="62"/>
      <c r="I14" s="296"/>
    </row>
    <row r="15" spans="3:9">
      <c r="C15" s="2829" t="s">
        <v>9263</v>
      </c>
      <c r="D15" s="2262"/>
      <c r="E15" s="2262"/>
      <c r="F15" s="62"/>
      <c r="G15" s="62"/>
      <c r="I15" s="296"/>
    </row>
    <row r="16" spans="3:9">
      <c r="C16" s="616"/>
      <c r="D16" s="297" t="s">
        <v>2477</v>
      </c>
      <c r="E16" s="297"/>
      <c r="F16" s="297"/>
      <c r="G16" s="297"/>
      <c r="H16" s="297"/>
      <c r="I16" s="298"/>
    </row>
    <row r="17" spans="3:9">
      <c r="C17" s="353"/>
      <c r="D17" s="62"/>
      <c r="E17" s="62"/>
      <c r="F17" s="60"/>
      <c r="G17" s="60"/>
      <c r="H17" s="60" t="s">
        <v>4214</v>
      </c>
      <c r="I17" s="767" t="s">
        <v>4682</v>
      </c>
    </row>
    <row r="18" spans="3:9">
      <c r="C18" s="363" t="s">
        <v>2182</v>
      </c>
      <c r="D18" s="62"/>
      <c r="E18" s="62"/>
      <c r="F18" s="60" t="s">
        <v>4215</v>
      </c>
      <c r="G18" s="60" t="s">
        <v>4216</v>
      </c>
      <c r="H18" s="60" t="s">
        <v>4215</v>
      </c>
      <c r="I18" s="767" t="s">
        <v>4683</v>
      </c>
    </row>
    <row r="19" spans="3:9">
      <c r="C19" s="522" t="s">
        <v>3216</v>
      </c>
      <c r="D19" s="77" t="s">
        <v>3174</v>
      </c>
      <c r="E19" s="77" t="s">
        <v>1918</v>
      </c>
      <c r="F19" s="77" t="s">
        <v>4684</v>
      </c>
      <c r="G19" s="77" t="s">
        <v>4685</v>
      </c>
      <c r="H19" s="77" t="s">
        <v>4684</v>
      </c>
      <c r="I19" s="364" t="s">
        <v>4686</v>
      </c>
    </row>
    <row r="20" spans="3:9">
      <c r="C20" s="354" t="s">
        <v>2175</v>
      </c>
      <c r="D20" s="355" t="s">
        <v>2176</v>
      </c>
      <c r="E20" s="355" t="s">
        <v>2177</v>
      </c>
      <c r="F20" s="355" t="s">
        <v>2178</v>
      </c>
      <c r="G20" s="355" t="s">
        <v>2179</v>
      </c>
      <c r="H20" s="355" t="s">
        <v>2625</v>
      </c>
      <c r="I20" s="356" t="s">
        <v>2626</v>
      </c>
    </row>
    <row r="21" spans="3:9">
      <c r="C21" s="357"/>
      <c r="I21" s="296"/>
    </row>
    <row r="22" spans="3:9">
      <c r="C22" s="604">
        <v>1</v>
      </c>
      <c r="E22" s="531" t="s">
        <v>4217</v>
      </c>
      <c r="I22" s="296"/>
    </row>
    <row r="23" spans="3:9">
      <c r="C23" s="365">
        <v>2</v>
      </c>
      <c r="D23" s="33" t="s">
        <v>4218</v>
      </c>
      <c r="E23" t="s">
        <v>4219</v>
      </c>
      <c r="F23" s="538">
        <f>+(+SUMIFS('900s FERC Accounts'!E:E,'900s FERC Accounts'!C:C,'0 MDS Other and A&amp;G O&amp;M'!D23)/1000)</f>
        <v>0</v>
      </c>
      <c r="G23" s="538">
        <f>+SUMIFS('Surv Report Sched 2 pg 2'!H:H,'Surv Report Sched 2 pg 2'!B:B,'0 MDS Other and A&amp;G O&amp;M'!E23)/1000</f>
        <v>0</v>
      </c>
      <c r="H23" s="46">
        <f>+F23+G23</f>
        <v>0</v>
      </c>
      <c r="I23" s="2530" t="s">
        <v>4687</v>
      </c>
    </row>
    <row r="24" spans="3:9">
      <c r="C24" s="365">
        <v>3</v>
      </c>
      <c r="D24" s="33" t="s">
        <v>4220</v>
      </c>
      <c r="E24" t="s">
        <v>4688</v>
      </c>
      <c r="F24" s="538">
        <f>+(+SUMIFS('900s FERC Accounts'!E:E,'900s FERC Accounts'!C:C,'0 MDS Other and A&amp;G O&amp;M'!D24)/1000)</f>
        <v>4394.4262944155998</v>
      </c>
      <c r="G24" s="538">
        <f>+SUMIFS('Surv Report Sched 2 pg 2'!H:H,'Surv Report Sched 2 pg 2'!B:B,'0 MDS Other and A&amp;G O&amp;M'!E24)/1000</f>
        <v>0</v>
      </c>
      <c r="H24" s="46">
        <f>+F24+G24</f>
        <v>4394.4262944155998</v>
      </c>
      <c r="I24" s="2530" t="s">
        <v>4688</v>
      </c>
    </row>
    <row r="25" spans="3:9">
      <c r="C25" s="365">
        <v>4</v>
      </c>
      <c r="D25" s="33" t="s">
        <v>4222</v>
      </c>
      <c r="E25" t="s">
        <v>4689</v>
      </c>
      <c r="F25" s="538">
        <f>+(+SUMIFS('900s FERC Accounts'!E:E,'900s FERC Accounts'!C:C,'0 MDS Other and A&amp;G O&amp;M'!D25)/1000)</f>
        <v>29376.6058748381</v>
      </c>
      <c r="G25" s="538">
        <f>+SUMIFS('Surv Report Sched 2 pg 2'!H:H,'Surv Report Sched 2 pg 2'!B:B,'0 MDS Other and A&amp;G O&amp;M'!E25)/1000</f>
        <v>0</v>
      </c>
      <c r="H25" s="46">
        <f>+F25+G25</f>
        <v>29376.6058748381</v>
      </c>
      <c r="I25" s="2530" t="s">
        <v>4687</v>
      </c>
    </row>
    <row r="26" spans="3:9">
      <c r="C26" s="365">
        <v>5</v>
      </c>
      <c r="D26" s="33" t="s">
        <v>4224</v>
      </c>
      <c r="E26" t="s">
        <v>4690</v>
      </c>
      <c r="F26" s="538">
        <f>+(+SUMIFS('900s FERC Accounts'!E:E,'900s FERC Accounts'!C:C,'0 MDS Other and A&amp;G O&amp;M'!D26)/1000)</f>
        <v>5796.7804260915</v>
      </c>
      <c r="G26" s="538">
        <f>+SUMIFS('Surv Report Sched 2 pg 2'!H:H,'Surv Report Sched 2 pg 2'!B:B,'0 MDS Other and A&amp;G O&amp;M'!E26)/1000</f>
        <v>0</v>
      </c>
      <c r="H26" s="46">
        <f>+F26+G26</f>
        <v>5796.7804260915</v>
      </c>
      <c r="I26" s="296" t="s">
        <v>4691</v>
      </c>
    </row>
    <row r="27" spans="3:9">
      <c r="C27" s="365">
        <v>6</v>
      </c>
      <c r="D27" s="33" t="s">
        <v>4226</v>
      </c>
      <c r="E27" t="s">
        <v>4227</v>
      </c>
      <c r="F27" s="538">
        <f>+(+SUMIFS('900s FERC Accounts'!E:E,'900s FERC Accounts'!C:C,'0 MDS Other and A&amp;G O&amp;M'!D27)/1000)</f>
        <v>0</v>
      </c>
      <c r="G27" s="538">
        <f>+SUMIFS('Surv Report Sched 2 pg 2'!H:H,'Surv Report Sched 2 pg 2'!B:B,'0 MDS Other and A&amp;G O&amp;M'!E27)/1000</f>
        <v>0</v>
      </c>
      <c r="H27" s="2990">
        <f>+F27+G27</f>
        <v>0</v>
      </c>
      <c r="I27" s="2530" t="s">
        <v>4687</v>
      </c>
    </row>
    <row r="28" spans="3:9">
      <c r="C28" s="365">
        <v>7</v>
      </c>
      <c r="F28" s="2991"/>
      <c r="G28" s="2992"/>
      <c r="H28" s="46"/>
      <c r="I28" s="296"/>
    </row>
    <row r="29" spans="3:9">
      <c r="C29" s="365">
        <v>8</v>
      </c>
      <c r="E29" t="s">
        <v>4228</v>
      </c>
      <c r="F29" s="2990">
        <f>+SUM(F23:F27)</f>
        <v>39567.812595345196</v>
      </c>
      <c r="G29" s="2990">
        <f>+SUM(G23:G27)</f>
        <v>0</v>
      </c>
      <c r="H29" s="2990">
        <f>+SUM(H23:H27)</f>
        <v>39567.812595345196</v>
      </c>
      <c r="I29" s="296"/>
    </row>
    <row r="30" spans="3:9">
      <c r="C30" s="365">
        <v>9</v>
      </c>
      <c r="I30" s="296"/>
    </row>
    <row r="31" spans="3:9">
      <c r="C31" s="365">
        <v>10</v>
      </c>
      <c r="F31" s="46"/>
      <c r="G31" s="46"/>
      <c r="H31" s="46"/>
      <c r="I31" s="296"/>
    </row>
    <row r="32" spans="3:9">
      <c r="C32" s="365">
        <v>11</v>
      </c>
      <c r="E32" s="531" t="s">
        <v>4692</v>
      </c>
      <c r="F32" s="46"/>
      <c r="G32" s="46"/>
      <c r="H32" s="46"/>
      <c r="I32" s="296"/>
    </row>
    <row r="33" spans="3:10">
      <c r="C33" s="365">
        <v>12</v>
      </c>
      <c r="D33" s="33" t="s">
        <v>4230</v>
      </c>
      <c r="E33" t="s">
        <v>4219</v>
      </c>
      <c r="F33" s="538">
        <f>+(+SUMIFS('900s FERC Accounts'!E:E,'900s FERC Accounts'!C:C,'0 MDS Other and A&amp;G O&amp;M'!D33)/1000)</f>
        <v>0</v>
      </c>
      <c r="G33" s="538">
        <f>+SUMIFS('Surv Report Sched 2 pg 2'!H:H,'Surv Report Sched 2 pg 2'!B:B,'0 MDS Other and A&amp;G O&amp;M'!E33)/1000</f>
        <v>0</v>
      </c>
      <c r="H33" s="46">
        <f>+F33+G33</f>
        <v>0</v>
      </c>
      <c r="I33" s="296"/>
    </row>
    <row r="34" spans="3:10">
      <c r="C34" s="365">
        <v>13</v>
      </c>
      <c r="D34" s="33" t="s">
        <v>4231</v>
      </c>
      <c r="E34" t="s">
        <v>4693</v>
      </c>
      <c r="F34" s="538">
        <f>+(+SUMIFS('900s FERC Accounts'!E:E,'900s FERC Accounts'!C:C,'0 MDS Other and A&amp;G O&amp;M'!D34)/1000)</f>
        <v>62700.664669294412</v>
      </c>
      <c r="G34" s="538">
        <f>-E4/1000</f>
        <v>-61196.404829999999</v>
      </c>
      <c r="H34" s="46">
        <f>+F34+G34</f>
        <v>1504.2598392944128</v>
      </c>
      <c r="I34" s="296"/>
      <c r="J34" s="849"/>
    </row>
    <row r="35" spans="3:10">
      <c r="C35" s="365">
        <v>14</v>
      </c>
      <c r="D35" s="33" t="s">
        <v>4233</v>
      </c>
      <c r="E35" t="s">
        <v>4694</v>
      </c>
      <c r="F35" s="538">
        <f>+(+SUMIFS('900s FERC Accounts'!E:E,'900s FERC Accounts'!C:C,'0 MDS Other and A&amp;G O&amp;M'!D35)/1000)</f>
        <v>5484.1589778819989</v>
      </c>
      <c r="G35" s="538">
        <f>-E5/1000</f>
        <v>-1823.4390000000001</v>
      </c>
      <c r="H35" s="46">
        <f>+F35+G35</f>
        <v>3660.7199778819986</v>
      </c>
      <c r="I35" s="296"/>
      <c r="J35" s="849"/>
    </row>
    <row r="36" spans="3:10">
      <c r="C36" s="365">
        <v>15</v>
      </c>
      <c r="D36" s="33" t="s">
        <v>4235</v>
      </c>
      <c r="E36" t="s">
        <v>4695</v>
      </c>
      <c r="F36" s="538">
        <f>+(+SUMIFS('900s FERC Accounts'!E:E,'900s FERC Accounts'!C:C,'0 MDS Other and A&amp;G O&amp;M'!D36)/1000)</f>
        <v>0</v>
      </c>
      <c r="G36" s="538">
        <f>+SUMIFS('Surv Report Sched 2 pg 2'!H:H,'Surv Report Sched 2 pg 2'!B:B,'0 MDS Other and A&amp;G O&amp;M'!E36)/1000</f>
        <v>0</v>
      </c>
      <c r="H36" s="2990">
        <f>+F36+G36</f>
        <v>0</v>
      </c>
      <c r="I36" s="296"/>
      <c r="J36" s="849"/>
    </row>
    <row r="37" spans="3:10">
      <c r="C37" s="365">
        <v>16</v>
      </c>
      <c r="F37" s="2991"/>
      <c r="G37" s="2992"/>
      <c r="H37" s="46"/>
      <c r="I37" s="296"/>
      <c r="J37" s="849"/>
    </row>
    <row r="38" spans="3:10">
      <c r="C38" s="365">
        <v>17</v>
      </c>
      <c r="E38" t="s">
        <v>4228</v>
      </c>
      <c r="F38" s="2990">
        <f>+SUM(F33:F36)</f>
        <v>68184.82364717641</v>
      </c>
      <c r="G38" s="2990">
        <f>+SUM(G33:G36)</f>
        <v>-63019.843829999998</v>
      </c>
      <c r="H38" s="2990">
        <f>+SUM(H33:H36)</f>
        <v>5164.9798171764114</v>
      </c>
      <c r="I38" s="296" t="s">
        <v>4696</v>
      </c>
      <c r="J38" s="849"/>
    </row>
    <row r="39" spans="3:10">
      <c r="C39" s="365">
        <v>18</v>
      </c>
      <c r="F39" s="46"/>
      <c r="G39" s="46"/>
      <c r="H39" s="46"/>
      <c r="I39" s="296"/>
      <c r="J39" s="96"/>
    </row>
    <row r="40" spans="3:10">
      <c r="C40" s="365">
        <v>19</v>
      </c>
      <c r="E40" s="531" t="s">
        <v>4237</v>
      </c>
      <c r="F40" s="46"/>
      <c r="G40" s="46"/>
      <c r="H40" s="46"/>
      <c r="I40" s="296"/>
      <c r="J40" s="849"/>
    </row>
    <row r="41" spans="3:10">
      <c r="C41" s="365">
        <v>20</v>
      </c>
      <c r="D41" s="33" t="s">
        <v>4238</v>
      </c>
      <c r="E41" t="s">
        <v>4219</v>
      </c>
      <c r="F41" s="538">
        <f>+(+SUMIFS('900s FERC Accounts'!E:E,'900s FERC Accounts'!C:C,'0 MDS Other and A&amp;G O&amp;M'!D41)/1000)</f>
        <v>0</v>
      </c>
      <c r="G41" s="538">
        <f>+SUMIFS('Surv Report Sched 2 pg 2'!H:H,'Surv Report Sched 2 pg 2'!B:B,'0 MDS Other and A&amp;G O&amp;M'!E41)/1000</f>
        <v>0</v>
      </c>
      <c r="H41" s="46">
        <f>+F41+G41</f>
        <v>0</v>
      </c>
      <c r="I41" s="296"/>
      <c r="J41" s="849"/>
    </row>
    <row r="42" spans="3:10">
      <c r="C42" s="365">
        <v>21</v>
      </c>
      <c r="D42" s="33" t="s">
        <v>4239</v>
      </c>
      <c r="E42" t="s">
        <v>4697</v>
      </c>
      <c r="F42" s="538">
        <f>+(+SUMIFS('900s FERC Accounts'!E:E,'900s FERC Accounts'!C:C,'0 MDS Other and A&amp;G O&amp;M'!D42)/1000)</f>
        <v>335.00200000000001</v>
      </c>
      <c r="G42" s="538">
        <f>SUMIFS('Surv Report Sched 2 pg 2'!H:H,'Surv Report Sched 2 pg 2'!B:B,"=Economic Development")/1000</f>
        <v>-23.500100000000003</v>
      </c>
      <c r="H42" s="46">
        <f>+F42+G42</f>
        <v>311.50189999999998</v>
      </c>
      <c r="I42" s="296"/>
      <c r="J42" s="849"/>
    </row>
    <row r="43" spans="3:10">
      <c r="C43" s="365">
        <v>22</v>
      </c>
      <c r="D43" s="33" t="s">
        <v>4241</v>
      </c>
      <c r="E43" t="s">
        <v>975</v>
      </c>
      <c r="F43" s="538">
        <f>+(+SUMIFS('900s FERC Accounts'!E:E,'900s FERC Accounts'!C:C,'0 MDS Other and A&amp;G O&amp;M'!D43)/1000)</f>
        <v>0</v>
      </c>
      <c r="G43" s="538">
        <f>+SUMIFS('Surv Report Sched 2 pg 2'!H:H,'Surv Report Sched 2 pg 2'!B:B,'0 MDS Other and A&amp;G O&amp;M'!E43)/1000</f>
        <v>0</v>
      </c>
      <c r="H43" s="46">
        <f>+F43+G43</f>
        <v>0</v>
      </c>
      <c r="I43" s="296"/>
    </row>
    <row r="44" spans="3:10">
      <c r="C44" s="365">
        <v>23</v>
      </c>
      <c r="D44" s="33" t="s">
        <v>4243</v>
      </c>
      <c r="E44" t="s">
        <v>4244</v>
      </c>
      <c r="F44" s="538">
        <f>+(+SUMIFS('900s FERC Accounts'!E:E,'900s FERC Accounts'!C:C,'0 MDS Other and A&amp;G O&amp;M'!D44)/1000)</f>
        <v>0</v>
      </c>
      <c r="G44" s="538">
        <f>+SUMIFS('Surv Report Sched 2 pg 2'!H:H,'Surv Report Sched 2 pg 2'!B:B,"=Promotional Advertising")/1000</f>
        <v>0</v>
      </c>
      <c r="H44" s="2990">
        <f>+F44+G44</f>
        <v>0</v>
      </c>
      <c r="I44" s="296"/>
    </row>
    <row r="45" spans="3:10">
      <c r="C45" s="365">
        <v>24</v>
      </c>
      <c r="F45" s="2991"/>
      <c r="G45" s="2992"/>
      <c r="H45" s="46"/>
      <c r="I45" s="296"/>
      <c r="J45" s="834"/>
    </row>
    <row r="46" spans="3:10">
      <c r="C46" s="365">
        <v>25</v>
      </c>
      <c r="E46" t="s">
        <v>4228</v>
      </c>
      <c r="F46" s="2990">
        <f>+SUM(F41:F44)</f>
        <v>335.00200000000001</v>
      </c>
      <c r="G46" s="2990">
        <f>+SUM(G41:G44)</f>
        <v>-23.500100000000003</v>
      </c>
      <c r="H46" s="2990">
        <f>+SUM(H41:H44)</f>
        <v>311.50189999999998</v>
      </c>
      <c r="I46" s="296" t="s">
        <v>4698</v>
      </c>
    </row>
    <row r="47" spans="3:10">
      <c r="C47" s="365">
        <v>26</v>
      </c>
      <c r="F47" s="46"/>
      <c r="G47" s="46"/>
      <c r="H47" s="46"/>
      <c r="I47" s="296"/>
    </row>
    <row r="48" spans="3:10">
      <c r="C48" s="365">
        <v>27</v>
      </c>
      <c r="F48" s="46"/>
      <c r="G48" s="46"/>
      <c r="H48" s="46"/>
      <c r="I48" s="296"/>
    </row>
    <row r="49" spans="3:21" ht="15" thickBot="1">
      <c r="C49" s="365">
        <v>28</v>
      </c>
      <c r="D49" t="s">
        <v>4699</v>
      </c>
      <c r="F49" s="2567">
        <f>+F29+F38+F46</f>
        <v>108087.6382425216</v>
      </c>
      <c r="G49" s="2567">
        <f>+G29+G38+G46</f>
        <v>-63043.343929999995</v>
      </c>
      <c r="H49" s="2567">
        <f>+H29+H38+H46</f>
        <v>45044.294312521612</v>
      </c>
      <c r="I49" s="296"/>
    </row>
    <row r="50" spans="3:21" ht="15" thickTop="1">
      <c r="C50" s="365"/>
      <c r="F50" s="46"/>
      <c r="G50" s="46"/>
      <c r="H50" s="46"/>
      <c r="I50" s="296"/>
    </row>
    <row r="51" spans="3:21">
      <c r="C51" s="462" t="s">
        <v>4700</v>
      </c>
      <c r="D51" s="297" t="s">
        <v>4701</v>
      </c>
      <c r="E51" s="297"/>
      <c r="F51" s="2990"/>
      <c r="G51" s="2990"/>
      <c r="H51" s="2990"/>
      <c r="I51" s="298"/>
    </row>
    <row r="52" spans="3:21">
      <c r="C52" s="33"/>
      <c r="F52" s="46"/>
      <c r="G52" s="46"/>
      <c r="H52" s="46"/>
    </row>
    <row r="54" spans="3:21">
      <c r="C54" s="352" t="s">
        <v>2173</v>
      </c>
      <c r="D54" s="294"/>
      <c r="E54" s="402"/>
      <c r="F54" s="402"/>
      <c r="G54" s="402"/>
      <c r="H54" s="402"/>
      <c r="I54" s="402"/>
      <c r="J54" s="402"/>
      <c r="K54" s="402"/>
      <c r="L54" s="402"/>
      <c r="M54" s="402"/>
      <c r="N54" s="402"/>
      <c r="O54" s="402"/>
      <c r="P54" s="402"/>
      <c r="Q54" s="402"/>
      <c r="R54" s="402"/>
      <c r="S54" s="402"/>
      <c r="T54" s="402"/>
      <c r="U54" s="2889"/>
    </row>
    <row r="55" spans="3:21">
      <c r="C55" s="353" t="s">
        <v>4702</v>
      </c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2530"/>
    </row>
    <row r="56" spans="3:21">
      <c r="C56" s="2552" t="s">
        <v>9263</v>
      </c>
      <c r="D56" s="1962"/>
      <c r="E56" s="1973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2530"/>
    </row>
    <row r="57" spans="3:21">
      <c r="C57" s="462"/>
      <c r="D57" s="545"/>
      <c r="E57" s="545"/>
      <c r="F57" s="545"/>
      <c r="G57" s="545"/>
      <c r="H57" s="545"/>
      <c r="I57" s="545"/>
      <c r="J57" s="545"/>
      <c r="K57" s="545"/>
      <c r="L57" s="545"/>
      <c r="M57" s="545"/>
      <c r="N57" s="545"/>
      <c r="O57" s="545"/>
      <c r="P57" s="545"/>
      <c r="Q57" s="545"/>
      <c r="R57" s="545"/>
      <c r="S57" s="545"/>
      <c r="T57" s="545"/>
      <c r="U57" s="2577"/>
    </row>
    <row r="58" spans="3:21">
      <c r="C58" s="363"/>
      <c r="D58" s="62"/>
      <c r="E58" s="62"/>
      <c r="G58" s="3162" t="s">
        <v>2131</v>
      </c>
      <c r="H58" s="3162"/>
      <c r="I58" s="3163"/>
      <c r="J58" s="3159" t="s">
        <v>4372</v>
      </c>
      <c r="K58" s="3160"/>
      <c r="L58" s="3161"/>
      <c r="M58" s="3159" t="s">
        <v>4184</v>
      </c>
      <c r="N58" s="3160"/>
      <c r="O58" s="3161"/>
      <c r="P58" s="3159" t="s">
        <v>4185</v>
      </c>
      <c r="Q58" s="3160"/>
      <c r="R58" s="3160"/>
      <c r="S58" s="3160"/>
      <c r="T58" s="3161"/>
      <c r="U58" s="2993" t="s">
        <v>2161</v>
      </c>
    </row>
    <row r="59" spans="3:21">
      <c r="C59" s="363" t="s">
        <v>2182</v>
      </c>
      <c r="D59" s="62"/>
      <c r="E59" s="60"/>
      <c r="G59" s="363" t="s">
        <v>115</v>
      </c>
      <c r="H59" s="60" t="s">
        <v>115</v>
      </c>
      <c r="I59" s="767" t="s">
        <v>4373</v>
      </c>
      <c r="J59" s="280" t="s">
        <v>115</v>
      </c>
      <c r="K59" s="60" t="s">
        <v>119</v>
      </c>
      <c r="L59" s="767" t="s">
        <v>120</v>
      </c>
      <c r="M59" s="280" t="s">
        <v>115</v>
      </c>
      <c r="N59" s="60" t="s">
        <v>4374</v>
      </c>
      <c r="O59" s="60" t="s">
        <v>4374</v>
      </c>
      <c r="P59" s="521" t="s">
        <v>115</v>
      </c>
      <c r="Q59" s="60" t="s">
        <v>4374</v>
      </c>
      <c r="R59" s="60"/>
      <c r="S59" s="60"/>
      <c r="T59" s="767" t="s">
        <v>4375</v>
      </c>
      <c r="U59" s="280" t="s">
        <v>2161</v>
      </c>
    </row>
    <row r="60" spans="3:21">
      <c r="C60" s="363" t="s">
        <v>3216</v>
      </c>
      <c r="D60" s="60" t="s">
        <v>3174</v>
      </c>
      <c r="E60" s="60" t="s">
        <v>2052</v>
      </c>
      <c r="F60" s="60" t="s">
        <v>4251</v>
      </c>
      <c r="G60" s="363" t="s">
        <v>2620</v>
      </c>
      <c r="H60" s="60" t="s">
        <v>4216</v>
      </c>
      <c r="I60" s="767" t="s">
        <v>2620</v>
      </c>
      <c r="J60" s="2890" t="s">
        <v>4376</v>
      </c>
      <c r="K60" s="60" t="s">
        <v>4703</v>
      </c>
      <c r="L60" s="767"/>
      <c r="M60" s="280" t="s">
        <v>4249</v>
      </c>
      <c r="N60" s="60" t="s">
        <v>4377</v>
      </c>
      <c r="O60" s="767" t="s">
        <v>4378</v>
      </c>
      <c r="P60" s="280" t="s">
        <v>4379</v>
      </c>
      <c r="Q60" s="60" t="s">
        <v>119</v>
      </c>
      <c r="R60" s="60" t="s">
        <v>4380</v>
      </c>
      <c r="S60" s="60" t="s">
        <v>4381</v>
      </c>
      <c r="T60" s="767" t="s">
        <v>4071</v>
      </c>
      <c r="U60" s="280" t="s">
        <v>4071</v>
      </c>
    </row>
    <row r="61" spans="3:21">
      <c r="C61" s="354" t="s">
        <v>2175</v>
      </c>
      <c r="D61" s="355" t="s">
        <v>2176</v>
      </c>
      <c r="E61" s="355" t="s">
        <v>2177</v>
      </c>
      <c r="F61" s="356" t="s">
        <v>2178</v>
      </c>
      <c r="G61" s="355" t="s">
        <v>2179</v>
      </c>
      <c r="H61" s="355" t="s">
        <v>2625</v>
      </c>
      <c r="I61" s="355" t="s">
        <v>2626</v>
      </c>
      <c r="J61" s="525" t="s">
        <v>2627</v>
      </c>
      <c r="K61" s="355" t="s">
        <v>2628</v>
      </c>
      <c r="L61" s="355" t="s">
        <v>2629</v>
      </c>
      <c r="M61" s="525" t="s">
        <v>2630</v>
      </c>
      <c r="N61" s="355" t="s">
        <v>4061</v>
      </c>
      <c r="O61" s="355" t="s">
        <v>4062</v>
      </c>
      <c r="P61" s="525" t="s">
        <v>4063</v>
      </c>
      <c r="Q61" s="355" t="s">
        <v>4064</v>
      </c>
      <c r="R61" s="355" t="s">
        <v>4065</v>
      </c>
      <c r="S61" s="355" t="s">
        <v>4178</v>
      </c>
      <c r="T61" s="355" t="s">
        <v>4306</v>
      </c>
      <c r="U61" s="525" t="s">
        <v>4307</v>
      </c>
    </row>
    <row r="62" spans="3:21">
      <c r="C62" s="604">
        <v>1</v>
      </c>
      <c r="D62" s="96"/>
      <c r="E62" s="531" t="s">
        <v>4704</v>
      </c>
      <c r="G62" s="2415"/>
      <c r="H62" s="96"/>
      <c r="I62" s="2530"/>
      <c r="J62" s="631"/>
      <c r="K62" s="96"/>
      <c r="L62" s="2530"/>
      <c r="M62" s="631"/>
      <c r="N62" s="96"/>
      <c r="O62" s="2530"/>
      <c r="P62" s="631"/>
      <c r="Q62" s="96"/>
      <c r="R62" s="96"/>
      <c r="S62" s="96"/>
      <c r="T62" s="2530"/>
      <c r="U62" s="2530"/>
    </row>
    <row r="63" spans="3:21">
      <c r="C63" s="693">
        <v>2</v>
      </c>
      <c r="D63" s="290" t="s">
        <v>4384</v>
      </c>
      <c r="E63" s="96" t="s">
        <v>4270</v>
      </c>
      <c r="G63" s="620">
        <f>+SUMIFS('900s FERC Accounts'!E:E,'900s FERC Accounts'!C:C,'0 MDS Other and A&amp;G O&amp;M'!D63)/1000</f>
        <v>1860.4143854999995</v>
      </c>
      <c r="H63" s="42">
        <f>+SUMIFS('Surv Report Sched 2 pg 2'!H:H,'Surv Report Sched 2 pg 2'!B:B,"Solaris and Waterfall")/1000</f>
        <v>-3.5103345925557305</v>
      </c>
      <c r="I63" s="903">
        <f>+G63+H63</f>
        <v>1856.9040509074439</v>
      </c>
      <c r="J63" s="2893"/>
      <c r="K63" s="538"/>
      <c r="L63" s="538"/>
      <c r="M63" s="2893"/>
      <c r="N63" s="538"/>
      <c r="O63" s="538"/>
      <c r="P63" s="2893"/>
      <c r="Q63" s="538"/>
      <c r="R63" s="538"/>
      <c r="S63" s="538"/>
      <c r="T63" s="2565"/>
      <c r="U63" s="2565"/>
    </row>
    <row r="64" spans="3:21">
      <c r="C64" s="604">
        <v>3</v>
      </c>
      <c r="D64" s="290">
        <v>407.3</v>
      </c>
      <c r="E64" s="96" t="s">
        <v>9336</v>
      </c>
      <c r="G64" s="620">
        <f>+_xlfn.XLOOKUP("4073212",'Income Statement Accounts'!B:B,'Income Statement Accounts'!R:R)</f>
        <v>-5522.7086771976019</v>
      </c>
      <c r="H64" s="42"/>
      <c r="I64" s="903">
        <f>+G64+H64</f>
        <v>-5522.7086771976019</v>
      </c>
      <c r="J64" s="2893"/>
      <c r="K64" s="538"/>
      <c r="L64" s="538"/>
      <c r="M64" s="2893"/>
      <c r="N64" s="538"/>
      <c r="O64" s="538"/>
      <c r="P64" s="2893"/>
      <c r="Q64" s="538"/>
      <c r="R64" s="538"/>
      <c r="S64" s="538"/>
      <c r="T64" s="2565"/>
      <c r="U64" s="2565"/>
    </row>
    <row r="65" spans="3:21">
      <c r="C65" s="365">
        <v>4</v>
      </c>
      <c r="D65" s="290">
        <v>932</v>
      </c>
      <c r="E65" s="96" t="s">
        <v>4386</v>
      </c>
      <c r="G65" s="947">
        <f>(+SUMIFS('900s FERC Accounts'!E:E,'900s FERC Accounts'!C:C,932)+SUMIFS('900s FERC Accounts'!E:E,'900s FERC Accounts'!C:C,935))/1000</f>
        <v>1934.2816321492</v>
      </c>
      <c r="H65" s="439"/>
      <c r="I65" s="903">
        <f>+G65+H65</f>
        <v>1934.2816321492</v>
      </c>
      <c r="J65" s="2994"/>
      <c r="K65" s="2995"/>
      <c r="L65" s="2996"/>
      <c r="M65" s="2994"/>
      <c r="N65" s="2995"/>
      <c r="O65" s="2996"/>
      <c r="P65" s="2994"/>
      <c r="Q65" s="2995"/>
      <c r="R65" s="2995"/>
      <c r="S65" s="2995"/>
      <c r="T65" s="2996"/>
      <c r="U65" s="2996"/>
    </row>
    <row r="66" spans="3:21">
      <c r="C66" s="365">
        <v>5</v>
      </c>
      <c r="D66" s="290"/>
      <c r="E66" s="96" t="s">
        <v>4705</v>
      </c>
      <c r="F66" s="2554"/>
      <c r="G66" s="947">
        <f>+SUM(G63:G65)</f>
        <v>-1728.0126595484026</v>
      </c>
      <c r="H66" s="439">
        <f>+SUM(H63:H65)</f>
        <v>-3.5103345925557305</v>
      </c>
      <c r="I66" s="873">
        <f>+SUM(I63:I65)</f>
        <v>-1731.522994140958</v>
      </c>
      <c r="J66" s="2994">
        <f>+I66*J67</f>
        <v>-1011.2491483912696</v>
      </c>
      <c r="K66" s="2995">
        <f>+J66*K67</f>
        <v>-923.9103186517433</v>
      </c>
      <c r="L66" s="2996">
        <f>+J66*L67</f>
        <v>-87.338829739526389</v>
      </c>
      <c r="M66" s="2997">
        <f>+I66*M67</f>
        <v>-146.64906906737446</v>
      </c>
      <c r="N66" s="2558">
        <f>+M66*N67</f>
        <v>-71.750061904344818</v>
      </c>
      <c r="O66" s="2558">
        <f>+M66*O67</f>
        <v>-74.899007163029637</v>
      </c>
      <c r="P66" s="2997">
        <f>+I66*P67</f>
        <v>-542.16400093430036</v>
      </c>
      <c r="Q66" s="2558">
        <f>+P66*Q67</f>
        <v>-412.4125414619096</v>
      </c>
      <c r="R66" s="2558">
        <f>+Q66*R67</f>
        <v>-274.4772800652583</v>
      </c>
      <c r="S66" s="2558">
        <f>+Q66*S67</f>
        <v>-137.93526139665133</v>
      </c>
      <c r="T66" s="2998">
        <f>+P66*T67</f>
        <v>-129.75145947239071</v>
      </c>
      <c r="U66" s="2997">
        <f>+I66*U67</f>
        <v>-31.4607757480135</v>
      </c>
    </row>
    <row r="67" spans="3:21">
      <c r="C67" s="365">
        <v>6</v>
      </c>
      <c r="D67" s="290"/>
      <c r="E67" s="96"/>
      <c r="F67" s="2554" t="s">
        <v>4706</v>
      </c>
      <c r="G67" s="620"/>
      <c r="H67" s="42"/>
      <c r="I67" s="948"/>
      <c r="J67" s="949">
        <f>+J95</f>
        <v>0.584022939235046</v>
      </c>
      <c r="K67" s="877">
        <f>+K96</f>
        <v>0.91363272851357358</v>
      </c>
      <c r="L67" s="950">
        <f>+L96</f>
        <v>8.6367271486426506E-2</v>
      </c>
      <c r="M67" s="949">
        <f>+M95</f>
        <v>8.4693688483259144E-2</v>
      </c>
      <c r="N67" s="877">
        <f>+N96</f>
        <v>0.48926367116166924</v>
      </c>
      <c r="O67" s="950">
        <f>+O96</f>
        <v>0.51073632883833076</v>
      </c>
      <c r="P67" s="949">
        <f>+P95</f>
        <v>0.31311394810744536</v>
      </c>
      <c r="Q67" s="877">
        <f>+Q96</f>
        <v>0.76067857834752461</v>
      </c>
      <c r="R67" s="877">
        <f>+R96</f>
        <v>0.66554057520243726</v>
      </c>
      <c r="S67" s="877">
        <f>+S96</f>
        <v>0.33445942479756285</v>
      </c>
      <c r="T67" s="950">
        <f>+T96</f>
        <v>0.23932142165247527</v>
      </c>
      <c r="U67" s="950">
        <f>+U95</f>
        <v>1.8169424174249445E-2</v>
      </c>
    </row>
    <row r="68" spans="3:21">
      <c r="C68" s="365">
        <v>7</v>
      </c>
      <c r="D68" s="33"/>
      <c r="G68" s="891"/>
      <c r="H68" s="512"/>
      <c r="I68" s="892"/>
      <c r="J68" s="36"/>
      <c r="L68" s="296"/>
      <c r="M68" s="36"/>
      <c r="O68" s="296"/>
      <c r="P68" s="36"/>
      <c r="T68" s="296"/>
      <c r="U68" s="296"/>
    </row>
    <row r="69" spans="3:21">
      <c r="C69" s="365">
        <v>8</v>
      </c>
      <c r="D69" s="290" t="s">
        <v>4383</v>
      </c>
      <c r="E69" s="96" t="s">
        <v>104</v>
      </c>
      <c r="G69" s="620">
        <f>+SUMIFS('900s FERC Accounts'!E:E,'900s FERC Accounts'!C:C,'0 MDS Other and A&amp;G O&amp;M'!D69)/1000</f>
        <v>19611.5709332962</v>
      </c>
      <c r="H69" s="42"/>
      <c r="I69" s="903">
        <f>+G69+H69</f>
        <v>19611.5709332962</v>
      </c>
      <c r="J69" s="617">
        <f>+SUM(K69:L69)</f>
        <v>15112.438377674256</v>
      </c>
      <c r="K69" s="42">
        <f>+'Property Insurance'!F51</f>
        <v>15112.438377674256</v>
      </c>
      <c r="L69" s="2285">
        <v>0</v>
      </c>
      <c r="M69" s="617">
        <f>+SUM(N69:O69)</f>
        <v>922.84497712494101</v>
      </c>
      <c r="N69" s="2285">
        <v>0</v>
      </c>
      <c r="O69" s="42">
        <f>+'Property Insurance'!F52</f>
        <v>922.84497712494101</v>
      </c>
      <c r="P69" s="617">
        <f>+Q69+T69</f>
        <v>3576.2875784970001</v>
      </c>
      <c r="Q69" s="42">
        <f>+SUM(R69:S69)</f>
        <v>1090.7933646239273</v>
      </c>
      <c r="R69" s="42">
        <f>+'Property Insurance'!F53</f>
        <v>1090.7933646239273</v>
      </c>
      <c r="S69" s="2285">
        <v>0</v>
      </c>
      <c r="T69" s="903">
        <f>+'Property Insurance'!F54</f>
        <v>2485.494213873073</v>
      </c>
      <c r="U69" s="1728">
        <v>0</v>
      </c>
    </row>
    <row r="70" spans="3:21">
      <c r="C70" s="365">
        <v>9</v>
      </c>
      <c r="D70" s="376" t="s">
        <v>4707</v>
      </c>
      <c r="E70" s="96" t="s">
        <v>4708</v>
      </c>
      <c r="G70" s="947">
        <v>0</v>
      </c>
      <c r="H70" s="506"/>
      <c r="I70" s="911">
        <f>+G70+H70</f>
        <v>0</v>
      </c>
      <c r="J70" s="617">
        <f>+SUM(K70:L70)</f>
        <v>0</v>
      </c>
      <c r="K70" s="951">
        <f>+'Property Insurance'!F35</f>
        <v>0</v>
      </c>
      <c r="L70" s="2285">
        <v>0</v>
      </c>
      <c r="M70" s="617">
        <f>+SUM(N70:O70)</f>
        <v>0</v>
      </c>
      <c r="N70" s="42">
        <f>+'Property Insurance'!F37</f>
        <v>0</v>
      </c>
      <c r="O70" s="42">
        <f>+'Property Insurance'!F38</f>
        <v>0</v>
      </c>
      <c r="P70" s="617">
        <f>+Q70+T70</f>
        <v>0</v>
      </c>
      <c r="Q70" s="42">
        <f>+SUM(R70:S70)</f>
        <v>0</v>
      </c>
      <c r="R70" s="42">
        <f>+'Property Insurance'!F39</f>
        <v>0</v>
      </c>
      <c r="S70" s="42">
        <f>+'Property Insurance'!F40</f>
        <v>0</v>
      </c>
      <c r="T70" s="903">
        <f>+'Property Insurance'!F41</f>
        <v>0</v>
      </c>
      <c r="U70" s="1728">
        <v>0</v>
      </c>
    </row>
    <row r="71" spans="3:21">
      <c r="C71" s="365">
        <v>10</v>
      </c>
      <c r="D71" s="945"/>
      <c r="E71" s="96" t="s">
        <v>4709</v>
      </c>
      <c r="G71" s="874">
        <f t="shared" ref="G71:U71" si="0">+SUM(G69:G70)</f>
        <v>19611.5709332962</v>
      </c>
      <c r="H71" s="872">
        <f t="shared" si="0"/>
        <v>0</v>
      </c>
      <c r="I71" s="873">
        <f t="shared" si="0"/>
        <v>19611.5709332962</v>
      </c>
      <c r="J71" s="618">
        <f t="shared" si="0"/>
        <v>15112.438377674256</v>
      </c>
      <c r="K71" s="872">
        <f t="shared" si="0"/>
        <v>15112.438377674256</v>
      </c>
      <c r="L71" s="873">
        <f t="shared" si="0"/>
        <v>0</v>
      </c>
      <c r="M71" s="618">
        <f t="shared" si="0"/>
        <v>922.84497712494101</v>
      </c>
      <c r="N71" s="872">
        <f t="shared" si="0"/>
        <v>0</v>
      </c>
      <c r="O71" s="873">
        <f t="shared" si="0"/>
        <v>922.84497712494101</v>
      </c>
      <c r="P71" s="618">
        <f t="shared" si="0"/>
        <v>3576.2875784970001</v>
      </c>
      <c r="Q71" s="872">
        <f t="shared" si="0"/>
        <v>1090.7933646239273</v>
      </c>
      <c r="R71" s="872">
        <f t="shared" si="0"/>
        <v>1090.7933646239273</v>
      </c>
      <c r="S71" s="872">
        <f t="shared" si="0"/>
        <v>0</v>
      </c>
      <c r="T71" s="873">
        <f t="shared" si="0"/>
        <v>2485.494213873073</v>
      </c>
      <c r="U71" s="873">
        <f t="shared" si="0"/>
        <v>0</v>
      </c>
    </row>
    <row r="72" spans="3:21">
      <c r="C72" s="365">
        <v>11</v>
      </c>
      <c r="E72" s="96" t="s">
        <v>4710</v>
      </c>
      <c r="G72" s="874">
        <f t="shared" ref="G72:U72" si="1">+G66+G71</f>
        <v>17883.558273747796</v>
      </c>
      <c r="H72" s="872">
        <f t="shared" si="1"/>
        <v>-3.5103345925557305</v>
      </c>
      <c r="I72" s="873">
        <f t="shared" si="1"/>
        <v>17880.047939155244</v>
      </c>
      <c r="J72" s="618">
        <f t="shared" si="1"/>
        <v>14101.189229282987</v>
      </c>
      <c r="K72" s="872">
        <f t="shared" si="1"/>
        <v>14188.528059022512</v>
      </c>
      <c r="L72" s="873">
        <f t="shared" si="1"/>
        <v>-87.338829739526389</v>
      </c>
      <c r="M72" s="618">
        <f t="shared" si="1"/>
        <v>776.19590805756661</v>
      </c>
      <c r="N72" s="872">
        <f t="shared" si="1"/>
        <v>-71.750061904344818</v>
      </c>
      <c r="O72" s="873">
        <f t="shared" si="1"/>
        <v>847.94596996191137</v>
      </c>
      <c r="P72" s="618">
        <f t="shared" si="1"/>
        <v>3034.1235775626997</v>
      </c>
      <c r="Q72" s="872">
        <f t="shared" si="1"/>
        <v>678.3808231620178</v>
      </c>
      <c r="R72" s="872">
        <f t="shared" si="1"/>
        <v>816.31608455866899</v>
      </c>
      <c r="S72" s="872">
        <f t="shared" si="1"/>
        <v>-137.93526139665133</v>
      </c>
      <c r="T72" s="873">
        <f t="shared" si="1"/>
        <v>2355.7427544006823</v>
      </c>
      <c r="U72" s="873">
        <f t="shared" si="1"/>
        <v>-31.4607757480135</v>
      </c>
    </row>
    <row r="73" spans="3:21">
      <c r="C73" s="365">
        <v>12</v>
      </c>
      <c r="D73" s="96"/>
      <c r="E73" s="96"/>
      <c r="G73" s="620"/>
      <c r="H73" s="42"/>
      <c r="I73" s="903"/>
      <c r="J73" s="2907"/>
      <c r="K73" s="538"/>
      <c r="L73" s="2565"/>
      <c r="M73" s="2907"/>
      <c r="N73" s="538"/>
      <c r="O73" s="2565"/>
      <c r="P73" s="2907"/>
      <c r="Q73" s="538"/>
      <c r="R73" s="538"/>
      <c r="S73" s="538"/>
      <c r="T73" s="2565"/>
      <c r="U73" s="2565"/>
    </row>
    <row r="74" spans="3:21">
      <c r="C74" s="365">
        <v>13</v>
      </c>
      <c r="D74" s="96"/>
      <c r="E74" s="531" t="s">
        <v>4711</v>
      </c>
      <c r="G74" s="620"/>
      <c r="H74" s="42"/>
      <c r="I74" s="903"/>
      <c r="J74" s="2907"/>
      <c r="K74" s="538"/>
      <c r="L74" s="2565"/>
      <c r="M74" s="2907"/>
      <c r="N74" s="538"/>
      <c r="O74" s="2565"/>
      <c r="P74" s="2907"/>
      <c r="Q74" s="538"/>
      <c r="R74" s="538"/>
      <c r="S74" s="538"/>
      <c r="T74" s="2565"/>
      <c r="U74" s="2565"/>
    </row>
    <row r="75" spans="3:21">
      <c r="C75" s="365">
        <v>14</v>
      </c>
      <c r="D75" s="290" t="s">
        <v>4391</v>
      </c>
      <c r="E75" s="96" t="s">
        <v>4712</v>
      </c>
      <c r="F75" s="33" t="s">
        <v>4713</v>
      </c>
      <c r="G75" s="620">
        <f>+SUMIFS('900s FERC Accounts'!E:E,'900s FERC Accounts'!C:C,'0 MDS Other and A&amp;G O&amp;M'!D75)/1000</f>
        <v>73042.403672304397</v>
      </c>
      <c r="H75" s="42">
        <f>+SUMIFS('Surv Report Sched 2 pg 2'!H:H,'Surv Report Sched 2 pg 2'!B:B,"Shared Services Adjustment")/1000</f>
        <v>0</v>
      </c>
      <c r="I75" s="903">
        <f>+G75+H75</f>
        <v>73042.403672304397</v>
      </c>
      <c r="J75" s="2907"/>
      <c r="K75" s="538"/>
      <c r="L75" s="2565"/>
      <c r="M75" s="2907"/>
      <c r="N75" s="538"/>
      <c r="O75" s="2565"/>
      <c r="P75" s="2907"/>
      <c r="Q75" s="538"/>
      <c r="R75" s="538"/>
      <c r="S75" s="538"/>
      <c r="T75" s="2565"/>
      <c r="U75" s="2565"/>
    </row>
    <row r="76" spans="3:21">
      <c r="C76" s="365">
        <v>15</v>
      </c>
      <c r="D76" s="290" t="s">
        <v>4393</v>
      </c>
      <c r="E76" s="96" t="s">
        <v>4714</v>
      </c>
      <c r="G76" s="620">
        <f>+SUMIFS('900s FERC Accounts'!E:E,'900s FERC Accounts'!C:C,'0 MDS Other and A&amp;G O&amp;M'!D76)/1000</f>
        <v>5202.8403527057999</v>
      </c>
      <c r="H76" s="42"/>
      <c r="I76" s="903">
        <f t="shared" ref="I76:I82" si="2">+G76+H76</f>
        <v>5202.8403527057999</v>
      </c>
      <c r="J76" s="2907"/>
      <c r="K76" s="538"/>
      <c r="L76" s="2565"/>
      <c r="M76" s="2907"/>
      <c r="N76" s="538"/>
      <c r="O76" s="2565"/>
      <c r="P76" s="2907"/>
      <c r="Q76" s="538"/>
      <c r="R76" s="538"/>
      <c r="S76" s="538"/>
      <c r="T76" s="2565"/>
      <c r="U76" s="2565"/>
    </row>
    <row r="77" spans="3:21">
      <c r="C77" s="365">
        <v>16</v>
      </c>
      <c r="D77" s="290" t="s">
        <v>4394</v>
      </c>
      <c r="E77" s="96" t="s">
        <v>4715</v>
      </c>
      <c r="G77" s="620">
        <f>+SUMIFS('900s FERC Accounts'!E:E,'900s FERC Accounts'!C:C,'0 MDS Other and A&amp;G O&amp;M'!D77)/1000</f>
        <v>-58310.661032536191</v>
      </c>
      <c r="H77" s="42"/>
      <c r="I77" s="903">
        <f t="shared" si="2"/>
        <v>-58310.661032536191</v>
      </c>
      <c r="J77" s="2907"/>
      <c r="K77" s="538"/>
      <c r="L77" s="2565"/>
      <c r="M77" s="2907"/>
      <c r="N77" s="538"/>
      <c r="O77" s="2565"/>
      <c r="P77" s="2907"/>
      <c r="Q77" s="538"/>
      <c r="R77" s="538"/>
      <c r="S77" s="538"/>
      <c r="T77" s="2565"/>
      <c r="U77" s="2565"/>
    </row>
    <row r="78" spans="3:21">
      <c r="C78" s="365">
        <v>17</v>
      </c>
      <c r="D78" s="290" t="s">
        <v>4396</v>
      </c>
      <c r="E78" s="96" t="s">
        <v>103</v>
      </c>
      <c r="G78" s="620">
        <f>+SUMIFS('900s FERC Accounts'!E:E,'900s FERC Accounts'!C:C,'0 MDS Other and A&amp;G O&amp;M'!D78)/1000</f>
        <v>35273.257629188796</v>
      </c>
      <c r="H78" s="42"/>
      <c r="I78" s="903">
        <f t="shared" si="2"/>
        <v>35273.257629188796</v>
      </c>
      <c r="J78" s="2907"/>
      <c r="K78" s="538"/>
      <c r="L78" s="2565"/>
      <c r="M78" s="2907"/>
      <c r="N78" s="538"/>
      <c r="O78" s="2565"/>
      <c r="P78" s="2907"/>
      <c r="Q78" s="538"/>
      <c r="R78" s="538"/>
      <c r="S78" s="538"/>
      <c r="T78" s="2565"/>
      <c r="U78" s="2565"/>
    </row>
    <row r="79" spans="3:21">
      <c r="C79" s="365">
        <v>18</v>
      </c>
      <c r="D79" s="290" t="s">
        <v>4397</v>
      </c>
      <c r="E79" s="96" t="s">
        <v>4398</v>
      </c>
      <c r="G79" s="620">
        <f>+SUMIFS('900s FERC Accounts'!E:E,'900s FERC Accounts'!C:C,'0 MDS Other and A&amp;G O&amp;M'!D79)/1000</f>
        <v>23695.1047669646</v>
      </c>
      <c r="H79" s="42"/>
      <c r="I79" s="903">
        <f t="shared" si="2"/>
        <v>23695.1047669646</v>
      </c>
      <c r="J79" s="2907"/>
      <c r="K79" s="538"/>
      <c r="L79" s="2565"/>
      <c r="M79" s="2907"/>
      <c r="N79" s="538"/>
      <c r="O79" s="2565"/>
      <c r="P79" s="2907"/>
      <c r="Q79" s="538"/>
      <c r="R79" s="538"/>
      <c r="S79" s="538"/>
      <c r="T79" s="2565"/>
      <c r="U79" s="2565"/>
    </row>
    <row r="80" spans="3:21">
      <c r="C80" s="365">
        <v>19</v>
      </c>
      <c r="D80" s="290" t="s">
        <v>4399</v>
      </c>
      <c r="E80" s="96" t="s">
        <v>4716</v>
      </c>
      <c r="F80" s="33" t="s">
        <v>4713</v>
      </c>
      <c r="G80" s="620">
        <f>+SUMIFS('900s FERC Accounts'!E:E,'900s FERC Accounts'!C:C,'0 MDS Other and A&amp;G O&amp;M'!D80)/1000</f>
        <v>42359.1253281112</v>
      </c>
      <c r="H80" s="42">
        <f>(+SUMIFS('Surv Report Sched 2 pg 2'!H:H,'Surv Report Sched 2 pg 2'!B:B,"Incentive Compensation Plan")/1000)-(E6/1000)</f>
        <v>-1064.905</v>
      </c>
      <c r="I80" s="903">
        <f t="shared" si="2"/>
        <v>41294.220328111202</v>
      </c>
      <c r="J80" s="2907"/>
      <c r="K80" s="538"/>
      <c r="L80" s="2565"/>
      <c r="M80" s="2907"/>
      <c r="N80" s="538"/>
      <c r="O80" s="2565"/>
      <c r="P80" s="2907"/>
      <c r="Q80" s="538"/>
      <c r="R80" s="538"/>
      <c r="S80" s="538"/>
      <c r="T80" s="2565"/>
      <c r="U80" s="2565"/>
    </row>
    <row r="81" spans="3:21">
      <c r="C81" s="365">
        <v>20</v>
      </c>
      <c r="D81" s="290" t="s">
        <v>4401</v>
      </c>
      <c r="E81" s="96" t="s">
        <v>4717</v>
      </c>
      <c r="G81" s="620">
        <f>+SUMIFS('900s FERC Accounts'!E:E,'900s FERC Accounts'!C:C,'0 MDS Other and A&amp;G O&amp;M'!D81)/1000</f>
        <v>2105.6526666672003</v>
      </c>
      <c r="H81" s="42">
        <f>+SUMIFS('Surv Report Sched 2 pg 2'!H:H,'Surv Report Sched 2 pg 2'!B:B,"Rate Case Expense")/1000</f>
        <v>0</v>
      </c>
      <c r="I81" s="903">
        <f t="shared" si="2"/>
        <v>2105.6526666672003</v>
      </c>
      <c r="J81" s="2907"/>
      <c r="K81" s="538"/>
      <c r="L81" s="2565"/>
      <c r="M81" s="2907"/>
      <c r="N81" s="538"/>
      <c r="O81" s="2565"/>
      <c r="P81" s="2907"/>
      <c r="Q81" s="538"/>
      <c r="R81" s="538"/>
      <c r="S81" s="538"/>
      <c r="T81" s="2565"/>
      <c r="U81" s="2565"/>
    </row>
    <row r="82" spans="3:21">
      <c r="C82" s="365">
        <v>21</v>
      </c>
      <c r="D82" s="290">
        <v>929</v>
      </c>
      <c r="E82" s="96" t="s">
        <v>4718</v>
      </c>
      <c r="G82" s="620">
        <f>+SUMIFS('900s FERC Accounts'!E:E,'900s FERC Accounts'!C:C,'0 MDS Other and A&amp;G O&amp;M'!D82)/1000</f>
        <v>0</v>
      </c>
      <c r="H82" s="42"/>
      <c r="I82" s="903">
        <f t="shared" si="2"/>
        <v>0</v>
      </c>
      <c r="J82" s="2907"/>
      <c r="K82" s="538"/>
      <c r="L82" s="2565"/>
      <c r="M82" s="2907"/>
      <c r="N82" s="538"/>
      <c r="O82" s="2565"/>
      <c r="P82" s="2907"/>
      <c r="Q82" s="538"/>
      <c r="R82" s="538"/>
      <c r="S82" s="538"/>
      <c r="T82" s="2565"/>
      <c r="U82" s="2565"/>
    </row>
    <row r="83" spans="3:21">
      <c r="C83" s="365">
        <v>22</v>
      </c>
      <c r="D83" s="290" t="s">
        <v>4403</v>
      </c>
      <c r="E83" s="96" t="s">
        <v>4404</v>
      </c>
      <c r="G83" s="620">
        <f>+SUMIFS('900s FERC Accounts'!E:E,'900s FERC Accounts'!C:C,'0 MDS Other and A&amp;G O&amp;M'!D83)/1000</f>
        <v>18419.463989593401</v>
      </c>
      <c r="H83" s="42">
        <f>(+SUMIFS('Surv Report Sched 2 pg 2'!H:H,'Surv Report Sched 2 pg 2'!B:B,"Industry Association Dues")/1000)+(SUMIFS('Surv Report Sched 2 pg 2'!H:H,'Surv Report Sched 2 pg 2'!B:B,"Stockholder Relations")/1000)</f>
        <v>-315.77100000000002</v>
      </c>
      <c r="I83" s="903">
        <f>+G83+H83</f>
        <v>18103.692989593401</v>
      </c>
      <c r="J83" s="2907"/>
      <c r="K83" s="538"/>
      <c r="L83" s="2565"/>
      <c r="M83" s="2907"/>
      <c r="N83" s="538"/>
      <c r="O83" s="2565"/>
      <c r="P83" s="2907"/>
      <c r="Q83" s="538"/>
      <c r="R83" s="538"/>
      <c r="S83" s="538"/>
      <c r="T83" s="2565"/>
      <c r="U83" s="2565"/>
    </row>
    <row r="84" spans="3:21">
      <c r="C84" s="365">
        <v>23</v>
      </c>
      <c r="E84" s="96" t="s">
        <v>4719</v>
      </c>
      <c r="F84" s="2554"/>
      <c r="G84" s="874">
        <f>+SUM(G75:G83)</f>
        <v>141787.18737299921</v>
      </c>
      <c r="H84" s="872">
        <f>+SUM(H75:H83)</f>
        <v>-1380.6759999999999</v>
      </c>
      <c r="I84" s="873">
        <f>+SUM(I75:I83)</f>
        <v>140406.5113729992</v>
      </c>
      <c r="J84" s="2999">
        <f>+I84*J85</f>
        <v>59289.960766707984</v>
      </c>
      <c r="K84" s="2558">
        <f>+J84*K85</f>
        <v>46906.389961900226</v>
      </c>
      <c r="L84" s="2998">
        <f>+J84*L85</f>
        <v>12383.570804807759</v>
      </c>
      <c r="M84" s="2999">
        <f>+I84*M85</f>
        <v>7575.8372819471697</v>
      </c>
      <c r="N84" s="2558">
        <f>+M84*N85</f>
        <v>1987.6089714150337</v>
      </c>
      <c r="O84" s="2998">
        <f>+M84*O85</f>
        <v>5588.2283105321367</v>
      </c>
      <c r="P84" s="2999">
        <f>+I84*P85</f>
        <v>49712.417874852967</v>
      </c>
      <c r="Q84" s="2558">
        <f>+P84*Q85</f>
        <v>32120.771877393097</v>
      </c>
      <c r="R84" s="2558">
        <f>+Q84*R85</f>
        <v>27383.619559478517</v>
      </c>
      <c r="S84" s="2558">
        <f>+Q84*S85</f>
        <v>4737.1523179145861</v>
      </c>
      <c r="T84" s="2998">
        <f>+P84*T85</f>
        <v>17591.645997459873</v>
      </c>
      <c r="U84" s="2998">
        <f>+I84*U85</f>
        <v>23828.295449491074</v>
      </c>
    </row>
    <row r="85" spans="3:21">
      <c r="C85" s="365">
        <v>24</v>
      </c>
      <c r="D85" s="96"/>
      <c r="F85" s="2554" t="s">
        <v>4720</v>
      </c>
      <c r="G85" s="2907"/>
      <c r="H85" s="538"/>
      <c r="I85" s="950"/>
      <c r="J85" s="954">
        <f>+J101</f>
        <v>0.42227358394512254</v>
      </c>
      <c r="K85" s="877">
        <f>+K102</f>
        <v>0.79113545287145337</v>
      </c>
      <c r="L85" s="950">
        <f>+L102</f>
        <v>0.2088645471285466</v>
      </c>
      <c r="M85" s="954">
        <f>+M101</f>
        <v>5.3956452645002026E-2</v>
      </c>
      <c r="N85" s="877">
        <f>+N102</f>
        <v>0.26236162386320039</v>
      </c>
      <c r="O85" s="950">
        <f>+O102</f>
        <v>0.73763837613679972</v>
      </c>
      <c r="P85" s="954">
        <f>+P101</f>
        <v>0.35406063001443455</v>
      </c>
      <c r="Q85" s="877">
        <f>+Q102</f>
        <v>0.64613175642059029</v>
      </c>
      <c r="R85" s="877">
        <f>+R102</f>
        <v>0.85252059520871493</v>
      </c>
      <c r="S85" s="877">
        <f>+S102</f>
        <v>0.14747940479128518</v>
      </c>
      <c r="T85" s="950">
        <f>+T102</f>
        <v>0.35386824357940977</v>
      </c>
      <c r="U85" s="950">
        <f>+U101</f>
        <v>0.16970933339544081</v>
      </c>
    </row>
    <row r="86" spans="3:21">
      <c r="C86" s="365">
        <v>25</v>
      </c>
      <c r="D86" s="96"/>
      <c r="E86" s="96"/>
      <c r="G86" s="2907"/>
      <c r="H86" s="538"/>
      <c r="I86" s="950"/>
      <c r="J86" s="954"/>
      <c r="K86" s="877"/>
      <c r="L86" s="950"/>
      <c r="M86" s="954"/>
      <c r="N86" s="877"/>
      <c r="O86" s="950"/>
      <c r="P86" s="954"/>
      <c r="Q86" s="877"/>
      <c r="R86" s="877"/>
      <c r="S86" s="877"/>
      <c r="T86" s="950"/>
      <c r="U86" s="950"/>
    </row>
    <row r="87" spans="3:21" ht="15" thickBot="1">
      <c r="C87" s="365">
        <v>26</v>
      </c>
      <c r="D87" s="62" t="s">
        <v>4721</v>
      </c>
      <c r="E87" s="96"/>
      <c r="G87" s="3000">
        <f t="shared" ref="G87:U87" si="3">+G72+G84</f>
        <v>159670.745646747</v>
      </c>
      <c r="H87" s="3001">
        <f t="shared" si="3"/>
        <v>-1384.1863345925556</v>
      </c>
      <c r="I87" s="3002">
        <f t="shared" si="3"/>
        <v>158286.55931215445</v>
      </c>
      <c r="J87" s="3000">
        <f t="shared" si="3"/>
        <v>73391.149995990971</v>
      </c>
      <c r="K87" s="3001">
        <f t="shared" si="3"/>
        <v>61094.918020922734</v>
      </c>
      <c r="L87" s="3002">
        <f t="shared" si="3"/>
        <v>12296.231975068233</v>
      </c>
      <c r="M87" s="3000">
        <f t="shared" si="3"/>
        <v>8352.0331900047368</v>
      </c>
      <c r="N87" s="3001">
        <f t="shared" si="3"/>
        <v>1915.8589095106888</v>
      </c>
      <c r="O87" s="3002">
        <f t="shared" si="3"/>
        <v>6436.1742804940477</v>
      </c>
      <c r="P87" s="3000">
        <f t="shared" si="3"/>
        <v>52746.541452415666</v>
      </c>
      <c r="Q87" s="3001">
        <f t="shared" si="3"/>
        <v>32799.152700555118</v>
      </c>
      <c r="R87" s="3001">
        <f t="shared" si="3"/>
        <v>28199.935644037185</v>
      </c>
      <c r="S87" s="3001">
        <f t="shared" si="3"/>
        <v>4599.2170565179349</v>
      </c>
      <c r="T87" s="3002">
        <f t="shared" si="3"/>
        <v>19947.388751860555</v>
      </c>
      <c r="U87" s="3002">
        <f t="shared" si="3"/>
        <v>23796.834673743058</v>
      </c>
    </row>
    <row r="88" spans="3:21" ht="15" thickTop="1">
      <c r="C88" s="365">
        <v>27</v>
      </c>
      <c r="D88" s="96"/>
      <c r="E88" s="96"/>
      <c r="G88" s="2907"/>
      <c r="H88" s="538"/>
      <c r="I88" s="3003"/>
      <c r="J88" s="3003"/>
      <c r="K88" s="3003"/>
      <c r="L88" s="3003"/>
      <c r="M88" s="3003"/>
      <c r="N88" s="3003"/>
      <c r="O88" s="3003"/>
      <c r="P88" s="3003"/>
      <c r="Q88" s="3003"/>
      <c r="R88" s="3003"/>
      <c r="S88" s="3003"/>
      <c r="T88" s="3003"/>
      <c r="U88" s="3004"/>
    </row>
    <row r="89" spans="3:21">
      <c r="C89" s="365">
        <v>28</v>
      </c>
      <c r="D89" s="96"/>
      <c r="E89" s="96"/>
      <c r="G89" s="3005"/>
      <c r="H89" s="2995"/>
      <c r="I89" s="2995"/>
      <c r="J89" s="2995"/>
      <c r="K89" s="2995"/>
      <c r="L89" s="2995"/>
      <c r="M89" s="2995"/>
      <c r="N89" s="2995"/>
      <c r="O89" s="2995"/>
      <c r="P89" s="2995"/>
      <c r="Q89" s="2995"/>
      <c r="R89" s="2995"/>
      <c r="S89" s="2995"/>
      <c r="T89" s="2995"/>
      <c r="U89" s="2996"/>
    </row>
    <row r="90" spans="3:21">
      <c r="C90" s="365">
        <v>29</v>
      </c>
      <c r="U90" s="460"/>
    </row>
    <row r="91" spans="3:21">
      <c r="C91" s="365">
        <v>30</v>
      </c>
      <c r="D91" s="293" t="s">
        <v>4722</v>
      </c>
      <c r="U91" s="296"/>
    </row>
    <row r="92" spans="3:21" ht="15" thickBot="1">
      <c r="C92" s="365">
        <v>31</v>
      </c>
      <c r="D92" s="430"/>
      <c r="E92" s="430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2530"/>
    </row>
    <row r="93" spans="3:21" ht="24">
      <c r="C93" s="365">
        <v>32</v>
      </c>
      <c r="D93" s="2799" t="s">
        <v>4723</v>
      </c>
      <c r="E93" s="3006"/>
      <c r="F93" s="2800"/>
      <c r="G93" s="2851"/>
      <c r="H93" s="2608" t="s">
        <v>4724</v>
      </c>
      <c r="I93" s="3007" t="s">
        <v>4411</v>
      </c>
      <c r="J93" s="3007" t="s">
        <v>4412</v>
      </c>
      <c r="K93" s="3007" t="s">
        <v>4413</v>
      </c>
      <c r="L93" s="3007" t="s">
        <v>4414</v>
      </c>
      <c r="M93" s="3007" t="s">
        <v>4415</v>
      </c>
      <c r="N93" s="3007" t="s">
        <v>4416</v>
      </c>
      <c r="O93" s="3007" t="s">
        <v>4417</v>
      </c>
      <c r="P93" s="3007" t="s">
        <v>4418</v>
      </c>
      <c r="Q93" s="3007" t="s">
        <v>4725</v>
      </c>
      <c r="R93" s="3007" t="s">
        <v>4420</v>
      </c>
      <c r="S93" s="3007" t="s">
        <v>4421</v>
      </c>
      <c r="T93" s="3007" t="s">
        <v>4422</v>
      </c>
      <c r="U93" s="3008" t="s">
        <v>4423</v>
      </c>
    </row>
    <row r="94" spans="3:21">
      <c r="C94" s="365">
        <v>33</v>
      </c>
      <c r="D94" s="98" t="s">
        <v>4726</v>
      </c>
      <c r="E94" s="293"/>
      <c r="G94" s="290"/>
      <c r="H94" s="290"/>
      <c r="I94" s="42">
        <f>+J94+M94+P94+U94</f>
        <v>13492110.214790912</v>
      </c>
      <c r="J94" s="42">
        <f>+SUM(K94:L94)</f>
        <v>7879701.8641253766</v>
      </c>
      <c r="K94" s="764">
        <f>+'0 MDS REPORTS'!F1006</f>
        <v>7199153.5139943594</v>
      </c>
      <c r="L94" s="764">
        <f>+'0 MDS REPORTS'!F1007</f>
        <v>680548.35013101739</v>
      </c>
      <c r="M94" s="42">
        <f>+SUM(N94:O94)</f>
        <v>1142696.5795133002</v>
      </c>
      <c r="N94" s="764">
        <f>+'0 MDS REPORTS'!F1008</f>
        <v>559079.92351655953</v>
      </c>
      <c r="O94" s="764">
        <f>+'0 MDS REPORTS'!F1009</f>
        <v>583616.65599674068</v>
      </c>
      <c r="P94" s="42">
        <f>+SUM(R94:T94)</f>
        <v>4224567.8976539755</v>
      </c>
      <c r="Q94" s="42">
        <f>+SUM(R94:S94)</f>
        <v>3213538.3025200171</v>
      </c>
      <c r="R94" s="764">
        <f>+'0 MDS REPORTS'!F1010</f>
        <v>2138740.1302942359</v>
      </c>
      <c r="S94" s="764">
        <f>+'0 MDS REPORTS'!F1011</f>
        <v>1074798.1722257815</v>
      </c>
      <c r="T94" s="764">
        <f>+'0 MDS REPORTS'!F1012</f>
        <v>1011029.595133958</v>
      </c>
      <c r="U94" s="876">
        <f>+'0 MDS REPORTS'!F1013</f>
        <v>245143.87349825987</v>
      </c>
    </row>
    <row r="95" spans="3:21">
      <c r="C95" s="365">
        <v>34</v>
      </c>
      <c r="D95" s="875" t="s">
        <v>4727</v>
      </c>
      <c r="E95" s="2884"/>
      <c r="F95" s="290" t="s">
        <v>4433</v>
      </c>
      <c r="H95" s="60" t="s">
        <v>4728</v>
      </c>
      <c r="I95" s="2758">
        <f>+SUM(J95:U95)</f>
        <v>1</v>
      </c>
      <c r="J95" s="877">
        <f>+J94/I94</f>
        <v>0.584022939235046</v>
      </c>
      <c r="M95" s="877">
        <f>+M94/I94</f>
        <v>8.4693688483259144E-2</v>
      </c>
      <c r="P95" s="877">
        <f>+P94/I94</f>
        <v>0.31311394810744536</v>
      </c>
      <c r="U95" s="878">
        <f>+U94/I94</f>
        <v>1.8169424174249445E-2</v>
      </c>
    </row>
    <row r="96" spans="3:21">
      <c r="C96" s="365">
        <v>35</v>
      </c>
      <c r="D96" s="875" t="s">
        <v>4428</v>
      </c>
      <c r="E96" s="2884"/>
      <c r="F96" s="290" t="s">
        <v>4729</v>
      </c>
      <c r="H96" s="60" t="s">
        <v>4730</v>
      </c>
      <c r="I96" s="96"/>
      <c r="J96" s="2896">
        <f>+SUM(K96:L96)</f>
        <v>1</v>
      </c>
      <c r="K96" s="877">
        <f>+K94/J94</f>
        <v>0.91363272851357358</v>
      </c>
      <c r="L96" s="877">
        <f>+L94/J94</f>
        <v>8.6367271486426506E-2</v>
      </c>
      <c r="M96" s="2896">
        <f>+SUM(N96:O96)</f>
        <v>1</v>
      </c>
      <c r="N96" s="877">
        <f>+N94/M94</f>
        <v>0.48926367116166924</v>
      </c>
      <c r="O96" s="877">
        <f>+O94/M94</f>
        <v>0.51073632883833076</v>
      </c>
      <c r="P96" s="2896">
        <f>+SUM(Q96,T96)</f>
        <v>0.99999999999999989</v>
      </c>
      <c r="Q96" s="877">
        <f>+Q94/P94</f>
        <v>0.76067857834752461</v>
      </c>
      <c r="R96" s="877">
        <f>+R94/Q94</f>
        <v>0.66554057520243726</v>
      </c>
      <c r="S96" s="877">
        <f>+S94/Q94</f>
        <v>0.33445942479756285</v>
      </c>
      <c r="T96" s="877">
        <f>+T94/P94</f>
        <v>0.23932142165247527</v>
      </c>
      <c r="U96" s="2062"/>
    </row>
    <row r="97" spans="3:21">
      <c r="C97" s="365">
        <v>36</v>
      </c>
      <c r="D97" s="98"/>
      <c r="E97" s="96"/>
      <c r="G97" s="96"/>
      <c r="H97" s="96"/>
      <c r="K97" s="96"/>
      <c r="L97" s="96"/>
      <c r="M97" s="96"/>
      <c r="N97" s="96"/>
      <c r="O97" s="96"/>
      <c r="P97" s="96"/>
      <c r="T97" s="96"/>
      <c r="U97" s="97"/>
    </row>
    <row r="98" spans="3:21">
      <c r="C98" s="365">
        <v>37</v>
      </c>
      <c r="D98" s="98"/>
      <c r="K98" s="96"/>
      <c r="L98" s="538"/>
      <c r="M98" s="933"/>
      <c r="N98" s="96"/>
      <c r="O98" s="538"/>
      <c r="P98" s="933"/>
      <c r="Q98" s="96"/>
      <c r="R98" s="96"/>
      <c r="S98" s="96"/>
      <c r="T98" s="96"/>
      <c r="U98" s="97"/>
    </row>
    <row r="99" spans="3:21">
      <c r="C99" s="365">
        <v>38</v>
      </c>
      <c r="D99" s="2860" t="s">
        <v>4731</v>
      </c>
      <c r="E99" s="2479"/>
      <c r="F99" s="2479"/>
      <c r="G99" s="1961"/>
      <c r="I99" s="3009"/>
      <c r="J99" s="3009"/>
      <c r="K99" s="3009"/>
      <c r="L99" s="3009"/>
      <c r="M99" s="3009"/>
      <c r="N99" s="3009"/>
      <c r="O99" s="3009"/>
      <c r="P99" s="3009"/>
      <c r="Q99" s="3009"/>
      <c r="R99" s="3009"/>
      <c r="S99" s="3009"/>
      <c r="T99" s="3009"/>
      <c r="U99" s="3010"/>
    </row>
    <row r="100" spans="3:21">
      <c r="C100" s="365">
        <v>39</v>
      </c>
      <c r="D100" s="98" t="s">
        <v>4732</v>
      </c>
      <c r="E100" s="290"/>
      <c r="G100" s="290"/>
      <c r="H100" s="96"/>
      <c r="I100" s="42">
        <f>+J100+M100+P100+U100</f>
        <v>96792.232021494099</v>
      </c>
      <c r="J100" s="42">
        <f>+SUM(K100:L100)</f>
        <v>40872.802713764169</v>
      </c>
      <c r="K100" s="2881">
        <f>+'0 MDS Labor O&amp;M'!I108+'0 MDS Labor O&amp;M'!H266</f>
        <v>32335.923285079385</v>
      </c>
      <c r="L100" s="2881">
        <f>+'0 MDS Labor O&amp;M'!I266</f>
        <v>8536.8794286847842</v>
      </c>
      <c r="M100" s="42">
        <f>+SUM(N100:O100)</f>
        <v>5222.5654834717952</v>
      </c>
      <c r="N100" s="2881">
        <f>+'0 MDS Labor O&amp;M'!J108+'0 MDS Labor O&amp;M'!M108</f>
        <v>1370.2007609755603</v>
      </c>
      <c r="O100" s="2881">
        <f>+'0 MDS Labor O&amp;M'!K108+'0 MDS Labor O&amp;M'!N108</f>
        <v>3852.3647224962351</v>
      </c>
      <c r="P100" s="42">
        <f>+SUM(R100:T100)</f>
        <v>34270.318650033529</v>
      </c>
      <c r="Q100" s="42">
        <f>+SUM(R100:S100)</f>
        <v>22143.141182439478</v>
      </c>
      <c r="R100" s="2881">
        <f>+'0 MDS Labor O&amp;M'!R219</f>
        <v>18877.483900643911</v>
      </c>
      <c r="S100" s="2881">
        <f>+'0 MDS Labor O&amp;M'!S219</f>
        <v>3265.6572817955689</v>
      </c>
      <c r="T100" s="2881">
        <f>+'0 MDS Labor O&amp;M'!T219</f>
        <v>12127.177467594054</v>
      </c>
      <c r="U100" s="2898">
        <f>+'0 MDS Labor O&amp;M'!U219</f>
        <v>16426.545174224604</v>
      </c>
    </row>
    <row r="101" spans="3:21">
      <c r="C101" s="365">
        <v>40</v>
      </c>
      <c r="D101" s="98" t="s">
        <v>4733</v>
      </c>
      <c r="F101" s="290" t="s">
        <v>4433</v>
      </c>
      <c r="H101" s="60" t="s">
        <v>4432</v>
      </c>
      <c r="I101" s="2758">
        <f>+SUM(J101:U101)</f>
        <v>0.99999999999999989</v>
      </c>
      <c r="J101" s="877">
        <f>+J100/I100</f>
        <v>0.42227358394512254</v>
      </c>
      <c r="M101" s="877">
        <f>+M100/I100</f>
        <v>5.3956452645002026E-2</v>
      </c>
      <c r="P101" s="877">
        <f>+P100/I100</f>
        <v>0.35406063001443455</v>
      </c>
      <c r="U101" s="878">
        <f>+U100/I100</f>
        <v>0.16970933339544081</v>
      </c>
    </row>
    <row r="102" spans="3:21">
      <c r="C102" s="365">
        <v>41</v>
      </c>
      <c r="D102" s="98" t="s">
        <v>4734</v>
      </c>
      <c r="F102" s="290" t="s">
        <v>4729</v>
      </c>
      <c r="H102" s="60" t="s">
        <v>4407</v>
      </c>
      <c r="I102" s="96"/>
      <c r="J102" s="2896">
        <f>+SUM(K102:L102)</f>
        <v>1</v>
      </c>
      <c r="K102" s="877">
        <f>+K100/J100</f>
        <v>0.79113545287145337</v>
      </c>
      <c r="L102" s="877">
        <f>+L100/J100</f>
        <v>0.2088645471285466</v>
      </c>
      <c r="M102" s="2896">
        <f>+SUM(N102:O102)</f>
        <v>1</v>
      </c>
      <c r="N102" s="877">
        <f>+N100/M100</f>
        <v>0.26236162386320039</v>
      </c>
      <c r="O102" s="877">
        <f>+O100/M100</f>
        <v>0.73763837613679972</v>
      </c>
      <c r="P102" s="2896">
        <f>+SUM(Q102,T102)</f>
        <v>1</v>
      </c>
      <c r="Q102" s="877">
        <f>+Q100/P100</f>
        <v>0.64613175642059029</v>
      </c>
      <c r="R102" s="877">
        <f>+R100/Q100</f>
        <v>0.85252059520871493</v>
      </c>
      <c r="S102" s="877">
        <f>+S100/Q100</f>
        <v>0.14747940479128518</v>
      </c>
      <c r="T102" s="877">
        <f>+T100/P100</f>
        <v>0.35386824357940977</v>
      </c>
      <c r="U102" s="2062"/>
    </row>
    <row r="103" spans="3:21">
      <c r="C103" s="365">
        <v>42</v>
      </c>
      <c r="D103" s="98"/>
      <c r="G103" s="96"/>
      <c r="K103" s="96"/>
      <c r="L103" s="538"/>
      <c r="M103" s="933"/>
      <c r="N103" s="96"/>
      <c r="O103" s="538"/>
      <c r="T103" s="96"/>
      <c r="U103" s="97"/>
    </row>
    <row r="104" spans="3:21" ht="15" thickBot="1">
      <c r="C104" s="365">
        <v>43</v>
      </c>
      <c r="D104" s="2411" t="s">
        <v>4435</v>
      </c>
      <c r="E104" s="946"/>
      <c r="F104" s="946"/>
      <c r="G104" s="946"/>
      <c r="H104" s="946"/>
      <c r="I104" s="946"/>
      <c r="J104" s="946"/>
      <c r="K104" s="2967"/>
      <c r="L104" s="3011"/>
      <c r="M104" s="955"/>
      <c r="N104" s="2967"/>
      <c r="O104" s="3011"/>
      <c r="P104" s="946"/>
      <c r="Q104" s="946"/>
      <c r="R104" s="946"/>
      <c r="S104" s="2967"/>
      <c r="T104" s="2967"/>
      <c r="U104" s="3012"/>
    </row>
    <row r="105" spans="3:21">
      <c r="C105" s="462"/>
      <c r="D105" s="297"/>
      <c r="E105" s="297"/>
      <c r="F105" s="297"/>
      <c r="G105" s="297"/>
      <c r="H105" s="297"/>
      <c r="I105" s="297"/>
      <c r="J105" s="297"/>
      <c r="K105" s="545"/>
      <c r="L105" s="2995"/>
      <c r="M105" s="3013"/>
      <c r="N105" s="545"/>
      <c r="O105" s="2995"/>
      <c r="P105" s="297"/>
      <c r="Q105" s="297"/>
      <c r="R105" s="297"/>
      <c r="S105" s="545"/>
      <c r="T105" s="545"/>
      <c r="U105" s="2577"/>
    </row>
  </sheetData>
  <mergeCells count="4">
    <mergeCell ref="G58:I58"/>
    <mergeCell ref="J58:L58"/>
    <mergeCell ref="M58:O58"/>
    <mergeCell ref="P58:T58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B1:F71"/>
  <sheetViews>
    <sheetView tabSelected="1" showOutlineSymbols="0" workbookViewId="0"/>
  </sheetViews>
  <sheetFormatPr defaultRowHeight="14.4"/>
  <cols>
    <col min="2" max="2" width="39.109375" bestFit="1" customWidth="1"/>
    <col min="3" max="3" width="37.44140625" customWidth="1"/>
    <col min="4" max="4" width="24.33203125" bestFit="1" customWidth="1"/>
    <col min="5" max="5" width="25.88671875" bestFit="1" customWidth="1"/>
    <col min="6" max="6" width="13.109375" customWidth="1"/>
  </cols>
  <sheetData>
    <row r="1" spans="2:6">
      <c r="C1" s="2107" t="s">
        <v>116</v>
      </c>
    </row>
    <row r="2" spans="2:6" ht="15" thickBot="1"/>
    <row r="3" spans="2:6" ht="15" thickBot="1">
      <c r="B3" s="113" t="s">
        <v>35</v>
      </c>
      <c r="C3" s="3014" t="s">
        <v>4536</v>
      </c>
      <c r="D3" s="116" t="s">
        <v>3179</v>
      </c>
    </row>
    <row r="4" spans="2:6">
      <c r="B4" s="118" t="s">
        <v>6843</v>
      </c>
      <c r="C4" s="3015">
        <f>+SUMIFS('Property Insurance Input'!E:E,'Property Insurance Input'!B:B,"TAMPA ELECTRIC SOLAR PRODUCTION PLANTS TOTAL:")</f>
        <v>1627781101.3529139</v>
      </c>
      <c r="D4" s="3016">
        <f t="shared" ref="D4:D9" si="0">+C4/SUM($C$4:$C$9)</f>
        <v>0.16214520444459884</v>
      </c>
    </row>
    <row r="5" spans="2:6">
      <c r="B5" s="118" t="s">
        <v>6844</v>
      </c>
      <c r="C5" s="3015">
        <f>+SUMIFS('Property Insurance Input'!E:E,'Property Insurance Input'!B:B,"TAMPA ELECTRIC PRODUCTION PLANTS TOTAL:")</f>
        <v>6472972737.7830811</v>
      </c>
      <c r="D5" s="3016">
        <f t="shared" si="0"/>
        <v>0.64478048495575968</v>
      </c>
    </row>
    <row r="6" spans="2:6">
      <c r="B6" s="118" t="s">
        <v>6839</v>
      </c>
      <c r="C6" s="3015">
        <f>+SUMIFS('Property Insurance Input'!E:E,'Property Insurance Input'!B:B,"MISCELLANEOUS PRODUCTION TOTAL:")</f>
        <v>8636025.2630554009</v>
      </c>
      <c r="D6" s="3016">
        <f t="shared" si="0"/>
        <v>8.6024471023960262E-4</v>
      </c>
    </row>
    <row r="7" spans="2:6">
      <c r="B7" s="118" t="s">
        <v>6840</v>
      </c>
      <c r="C7" s="3015">
        <f>+SUMIFS('Property Insurance Input'!E:E,'Property Insurance Input'!B:B,"TRANSMISSION SUBSTATION TOTAL:")</f>
        <v>395801123.62957156</v>
      </c>
      <c r="D7" s="3016">
        <f t="shared" si="0"/>
        <v>3.9426218953505815E-2</v>
      </c>
    </row>
    <row r="8" spans="2:6">
      <c r="B8" s="118" t="s">
        <v>6841</v>
      </c>
      <c r="C8" s="3015">
        <f>+SUMIFS('Property Insurance Input'!E:E,'Property Insurance Input'!B:B,"DISTRIBUTION SUBSTATIONS TOTAL:")</f>
        <v>467832897.25526661</v>
      </c>
      <c r="D8" s="3016">
        <f t="shared" si="0"/>
        <v>4.6601389282819754E-2</v>
      </c>
    </row>
    <row r="9" spans="2:6">
      <c r="B9" s="118" t="s">
        <v>6842</v>
      </c>
      <c r="C9" s="3015">
        <f>+SUMIFS('Property Insurance Input'!E:E,'Property Insurance Input'!B:B,"GENERAL STRUCTURES &amp; EQUIPMENT TOTAL:")</f>
        <v>1066009380.7852764</v>
      </c>
      <c r="D9" s="3016">
        <f t="shared" si="0"/>
        <v>0.10618645765307616</v>
      </c>
    </row>
    <row r="10" spans="2:6" ht="15" thickBot="1">
      <c r="B10" s="914" t="s">
        <v>6845</v>
      </c>
      <c r="C10" s="3017">
        <f>+(SUMIFS('900s FERC Accounts'!E:E,'900s FERC Accounts'!C:C,924)-SUMIFS('Other and A&amp;G O&amp;M'!G59:G89,'Other and A&amp;G O&amp;M'!D59:D89,92400))*D4</f>
        <v>3179922.1784590646</v>
      </c>
      <c r="D10" s="3018"/>
    </row>
    <row r="11" spans="2:6">
      <c r="C11" s="64"/>
    </row>
    <row r="12" spans="2:6">
      <c r="C12" s="64"/>
    </row>
    <row r="13" spans="2:6">
      <c r="B13" s="352" t="s">
        <v>2173</v>
      </c>
      <c r="C13" s="294"/>
      <c r="D13" s="294"/>
      <c r="E13" s="294"/>
      <c r="F13" s="460"/>
    </row>
    <row r="14" spans="2:6">
      <c r="B14" s="353" t="s">
        <v>6846</v>
      </c>
      <c r="F14" s="296"/>
    </row>
    <row r="15" spans="2:6">
      <c r="B15" s="2552" t="s">
        <v>9263</v>
      </c>
      <c r="C15" s="1962"/>
      <c r="E15" s="834"/>
      <c r="F15" s="622"/>
    </row>
    <row r="16" spans="2:6">
      <c r="B16" s="616"/>
      <c r="C16" s="297"/>
      <c r="F16" s="296"/>
    </row>
    <row r="17" spans="2:6">
      <c r="B17" s="354" t="s">
        <v>2175</v>
      </c>
      <c r="C17" s="355" t="s">
        <v>2176</v>
      </c>
      <c r="D17" s="355" t="s">
        <v>2177</v>
      </c>
      <c r="E17" s="355" t="s">
        <v>2178</v>
      </c>
      <c r="F17" s="356" t="s">
        <v>2179</v>
      </c>
    </row>
    <row r="18" spans="2:6">
      <c r="B18" s="365">
        <v>1</v>
      </c>
      <c r="C18" s="1005" t="s">
        <v>6847</v>
      </c>
      <c r="D18" s="2479"/>
      <c r="E18" s="2479"/>
      <c r="F18" s="450"/>
    </row>
    <row r="19" spans="2:6">
      <c r="B19" s="365">
        <v>2</v>
      </c>
      <c r="C19" s="2531"/>
      <c r="E19" s="378"/>
      <c r="F19" s="362"/>
    </row>
    <row r="20" spans="2:6">
      <c r="B20" s="365">
        <v>3</v>
      </c>
      <c r="C20" s="683" t="s">
        <v>6848</v>
      </c>
      <c r="D20" s="2657" t="s">
        <v>6849</v>
      </c>
      <c r="E20" s="2657" t="s">
        <v>6850</v>
      </c>
      <c r="F20" s="684" t="s">
        <v>6851</v>
      </c>
    </row>
    <row r="21" spans="2:6">
      <c r="B21" s="365">
        <v>4</v>
      </c>
      <c r="C21" s="604" t="s">
        <v>6852</v>
      </c>
      <c r="D21" t="s">
        <v>4210</v>
      </c>
      <c r="E21" s="837" t="s">
        <v>4210</v>
      </c>
      <c r="F21" s="1574">
        <f>+'Other and A&amp;G O&amp;M'!I69</f>
        <v>19611.5709332962</v>
      </c>
    </row>
    <row r="22" spans="2:6" ht="15.6">
      <c r="B22" s="365">
        <v>5</v>
      </c>
      <c r="C22" s="365">
        <v>6700400</v>
      </c>
      <c r="D22" t="s">
        <v>6853</v>
      </c>
      <c r="E22" s="837" t="s">
        <v>6854</v>
      </c>
      <c r="F22" s="1575">
        <f>+'Other and A&amp;G O&amp;M'!G70</f>
        <v>0</v>
      </c>
    </row>
    <row r="23" spans="2:6">
      <c r="B23" s="365">
        <v>6</v>
      </c>
      <c r="C23" s="365"/>
      <c r="D23" t="s">
        <v>115</v>
      </c>
      <c r="F23" s="838"/>
    </row>
    <row r="24" spans="2:6">
      <c r="B24" s="365">
        <v>7</v>
      </c>
      <c r="C24" s="357"/>
      <c r="E24" s="513"/>
      <c r="F24" s="296"/>
    </row>
    <row r="25" spans="2:6">
      <c r="B25" s="365">
        <v>8</v>
      </c>
      <c r="C25" s="1005" t="s">
        <v>6855</v>
      </c>
      <c r="D25" s="2479"/>
      <c r="E25" s="2479"/>
      <c r="F25" s="450"/>
    </row>
    <row r="26" spans="2:6">
      <c r="B26" s="365">
        <v>9</v>
      </c>
      <c r="C26" s="357"/>
      <c r="D26" s="756"/>
      <c r="E26" s="63"/>
      <c r="F26" s="362"/>
    </row>
    <row r="27" spans="2:6">
      <c r="B27" s="365">
        <v>10</v>
      </c>
      <c r="C27" s="357"/>
      <c r="D27" s="290" t="s">
        <v>6856</v>
      </c>
      <c r="E27" s="290" t="s">
        <v>6857</v>
      </c>
      <c r="F27" s="3019"/>
    </row>
    <row r="28" spans="2:6">
      <c r="B28" s="365">
        <v>11</v>
      </c>
      <c r="C28" s="2415" t="s">
        <v>1918</v>
      </c>
      <c r="D28" s="2657" t="s">
        <v>6858</v>
      </c>
      <c r="E28" s="2657" t="s">
        <v>6859</v>
      </c>
      <c r="F28" s="684" t="s">
        <v>6851</v>
      </c>
    </row>
    <row r="29" spans="2:6" ht="15" thickBot="1">
      <c r="B29" s="365">
        <v>12</v>
      </c>
      <c r="C29" s="2886" t="s">
        <v>6860</v>
      </c>
      <c r="F29" s="1303">
        <f>+F22</f>
        <v>0</v>
      </c>
    </row>
    <row r="30" spans="2:6" ht="15" thickTop="1">
      <c r="B30" s="365">
        <v>13</v>
      </c>
      <c r="C30" s="353"/>
      <c r="F30" s="296"/>
    </row>
    <row r="31" spans="2:6">
      <c r="B31" s="365">
        <v>14</v>
      </c>
      <c r="C31" s="2415" t="s">
        <v>6861</v>
      </c>
      <c r="D31" t="s">
        <v>6862</v>
      </c>
      <c r="E31" s="3020">
        <v>0.28000000000000003</v>
      </c>
      <c r="F31" s="838">
        <f>+F29*E31</f>
        <v>0</v>
      </c>
    </row>
    <row r="32" spans="2:6">
      <c r="B32" s="365">
        <v>15</v>
      </c>
      <c r="C32" s="3021" t="s">
        <v>6863</v>
      </c>
      <c r="D32" t="s">
        <v>1529</v>
      </c>
      <c r="E32" s="3020">
        <v>0.06</v>
      </c>
      <c r="F32" s="838">
        <f>+F29*E32</f>
        <v>0</v>
      </c>
    </row>
    <row r="33" spans="2:6">
      <c r="B33" s="365">
        <v>16</v>
      </c>
      <c r="C33" s="357"/>
      <c r="D33" t="s">
        <v>1530</v>
      </c>
      <c r="E33" s="3020">
        <v>0.66</v>
      </c>
      <c r="F33" s="838">
        <f>+F29*E33</f>
        <v>0</v>
      </c>
    </row>
    <row r="34" spans="2:6">
      <c r="B34" s="365">
        <v>17</v>
      </c>
      <c r="C34" s="357"/>
      <c r="F34" s="838"/>
    </row>
    <row r="35" spans="2:6">
      <c r="B35" s="365">
        <v>18</v>
      </c>
      <c r="C35" s="2810" t="s">
        <v>2254</v>
      </c>
      <c r="D35" s="2285">
        <v>0</v>
      </c>
      <c r="E35" s="877">
        <v>1</v>
      </c>
      <c r="F35" s="1564">
        <f>+F31*E35</f>
        <v>0</v>
      </c>
    </row>
    <row r="36" spans="2:6">
      <c r="B36" s="365">
        <v>19</v>
      </c>
      <c r="C36" s="2759" t="s">
        <v>2255</v>
      </c>
      <c r="D36" s="2824">
        <v>0</v>
      </c>
      <c r="E36" s="959"/>
      <c r="F36" s="953"/>
    </row>
    <row r="37" spans="2:6">
      <c r="B37" s="365">
        <v>20</v>
      </c>
      <c r="C37" s="2810" t="s">
        <v>2246</v>
      </c>
      <c r="D37" s="42">
        <f>+REPORTS!F945</f>
        <v>534187.1509608163</v>
      </c>
      <c r="E37" s="854">
        <f>+D37/SUM(D37:D38)</f>
        <v>0.50433781794352395</v>
      </c>
      <c r="F37" s="838">
        <f>+F32*E37</f>
        <v>0</v>
      </c>
    </row>
    <row r="38" spans="2:6">
      <c r="B38" s="365">
        <v>21</v>
      </c>
      <c r="C38" s="2759" t="s">
        <v>2247</v>
      </c>
      <c r="D38" s="439">
        <f>+REPORTS!F946</f>
        <v>524998.04585628002</v>
      </c>
      <c r="E38" s="1568">
        <f>+D38/SUM(D37:D38)</f>
        <v>0.49566218205647605</v>
      </c>
      <c r="F38" s="840">
        <f>+F32*E38</f>
        <v>0</v>
      </c>
    </row>
    <row r="39" spans="2:6">
      <c r="B39" s="365">
        <v>22</v>
      </c>
      <c r="C39" s="2810" t="s">
        <v>2249</v>
      </c>
      <c r="D39" s="42">
        <f>+REPORTS!F947</f>
        <v>1838573.1984126705</v>
      </c>
      <c r="E39" s="854">
        <f>+D39/SUM(D39:D41)</f>
        <v>0.49841027675071026</v>
      </c>
      <c r="F39" s="838">
        <f>+F33*E39</f>
        <v>0</v>
      </c>
    </row>
    <row r="40" spans="2:6">
      <c r="B40" s="365">
        <v>23</v>
      </c>
      <c r="C40" s="2810" t="s">
        <v>2250</v>
      </c>
      <c r="D40" s="42">
        <f>+REPORTS!F948</f>
        <v>1020055.1022166597</v>
      </c>
      <c r="E40" s="854">
        <f>+D40/SUM(D39:D41)</f>
        <v>0.27652200425618678</v>
      </c>
      <c r="F40" s="838">
        <f>+F33*E40</f>
        <v>0</v>
      </c>
    </row>
    <row r="41" spans="2:6">
      <c r="B41" s="365">
        <v>24</v>
      </c>
      <c r="C41" s="2759" t="s">
        <v>2256</v>
      </c>
      <c r="D41" s="439">
        <f>+REPORTS!F949</f>
        <v>830246.67682678136</v>
      </c>
      <c r="E41" s="1568">
        <f>+D41/SUM(D39:D41)</f>
        <v>0.22506771899310302</v>
      </c>
      <c r="F41" s="840">
        <f>+F33*E41</f>
        <v>0</v>
      </c>
    </row>
    <row r="42" spans="2:6">
      <c r="B42" s="365">
        <v>25</v>
      </c>
      <c r="C42" s="2810"/>
      <c r="D42" s="42"/>
      <c r="E42" s="958"/>
      <c r="F42" s="952"/>
    </row>
    <row r="43" spans="2:6" ht="15" thickBot="1">
      <c r="B43" s="365">
        <v>26</v>
      </c>
      <c r="C43" s="3022" t="s">
        <v>115</v>
      </c>
      <c r="D43" s="655">
        <f>+SUM(D35:D41)</f>
        <v>4748060.1742732078</v>
      </c>
      <c r="E43" s="1299"/>
      <c r="F43" s="2668">
        <f>+SUM(F35:F41)</f>
        <v>0</v>
      </c>
    </row>
    <row r="44" spans="2:6" ht="15" thickTop="1">
      <c r="B44" s="365">
        <v>27</v>
      </c>
      <c r="C44" s="357"/>
      <c r="D44" s="328"/>
      <c r="F44" s="296"/>
    </row>
    <row r="45" spans="2:6">
      <c r="B45" s="365">
        <v>28</v>
      </c>
      <c r="C45" s="1005" t="s">
        <v>6864</v>
      </c>
      <c r="D45" s="2687"/>
      <c r="E45" s="2479"/>
      <c r="F45" s="450"/>
    </row>
    <row r="46" spans="2:6">
      <c r="B46" s="365">
        <v>29</v>
      </c>
      <c r="C46" s="357"/>
      <c r="D46" s="653"/>
      <c r="E46" s="63"/>
      <c r="F46" s="362"/>
    </row>
    <row r="47" spans="2:6">
      <c r="B47" s="365">
        <v>30</v>
      </c>
      <c r="C47" s="357"/>
      <c r="D47" s="290" t="s">
        <v>104</v>
      </c>
      <c r="E47" s="290" t="s">
        <v>104</v>
      </c>
      <c r="F47" s="3019"/>
    </row>
    <row r="48" spans="2:6">
      <c r="B48" s="365">
        <v>31</v>
      </c>
      <c r="C48" s="2415" t="s">
        <v>1918</v>
      </c>
      <c r="D48" s="2657" t="s">
        <v>6865</v>
      </c>
      <c r="E48" s="2657" t="s">
        <v>6866</v>
      </c>
      <c r="F48" s="684" t="s">
        <v>6851</v>
      </c>
    </row>
    <row r="49" spans="2:6" ht="15" thickBot="1">
      <c r="B49" s="365">
        <v>32</v>
      </c>
      <c r="C49" s="2886" t="s">
        <v>6867</v>
      </c>
      <c r="D49" s="328"/>
      <c r="F49" s="1303">
        <f>+F21</f>
        <v>19611.5709332962</v>
      </c>
    </row>
    <row r="50" spans="2:6" ht="15" thickTop="1">
      <c r="B50" s="365">
        <v>33</v>
      </c>
      <c r="C50" s="353"/>
      <c r="D50" s="328"/>
      <c r="F50" s="838"/>
    </row>
    <row r="51" spans="2:6">
      <c r="B51" s="365">
        <v>34</v>
      </c>
      <c r="C51" s="2810" t="s">
        <v>2254</v>
      </c>
      <c r="D51" s="42">
        <f>+SUM(C5:C6)/1000</f>
        <v>6481608.7630461371</v>
      </c>
      <c r="E51" s="854">
        <f>+D51/D56</f>
        <v>0.77058785494927429</v>
      </c>
      <c r="F51" s="838">
        <f>+F49*E51</f>
        <v>15112.438377674256</v>
      </c>
    </row>
    <row r="52" spans="2:6">
      <c r="B52" s="365">
        <v>35</v>
      </c>
      <c r="C52" s="2810" t="s">
        <v>2246</v>
      </c>
      <c r="D52" s="42">
        <f>+C7/1000</f>
        <v>395801.12362957158</v>
      </c>
      <c r="E52" s="854">
        <f>+D52/D56</f>
        <v>4.705614763160814E-2</v>
      </c>
      <c r="F52" s="838">
        <f>+F49*E52</f>
        <v>922.84497712494101</v>
      </c>
    </row>
    <row r="53" spans="2:6">
      <c r="B53" s="365">
        <v>36</v>
      </c>
      <c r="C53" s="2810" t="s">
        <v>2249</v>
      </c>
      <c r="D53" s="42">
        <f>+C8/1000</f>
        <v>467832.89725526661</v>
      </c>
      <c r="E53" s="854">
        <f>+D53/D56</f>
        <v>5.561988727644436E-2</v>
      </c>
      <c r="F53" s="838">
        <f>+F49*E53</f>
        <v>1090.7933646239273</v>
      </c>
    </row>
    <row r="54" spans="2:6">
      <c r="B54" s="365">
        <v>37</v>
      </c>
      <c r="C54" s="2810" t="s">
        <v>2256</v>
      </c>
      <c r="D54" s="42">
        <f>+C9/1000</f>
        <v>1066009.3807852764</v>
      </c>
      <c r="E54" s="854">
        <f>+D54/D56</f>
        <v>0.12673611014267308</v>
      </c>
      <c r="F54" s="838">
        <f>+F49*E54</f>
        <v>2485.494213873073</v>
      </c>
    </row>
    <row r="55" spans="2:6">
      <c r="B55" s="365">
        <v>38</v>
      </c>
      <c r="C55" s="2810"/>
      <c r="D55" s="42"/>
      <c r="E55" s="854"/>
      <c r="F55" s="838"/>
    </row>
    <row r="56" spans="2:6" ht="15" thickBot="1">
      <c r="B56" s="365">
        <v>39</v>
      </c>
      <c r="C56" s="3022" t="s">
        <v>115</v>
      </c>
      <c r="D56" s="655">
        <f>+SUM(D51:D54)</f>
        <v>8411252.1647162531</v>
      </c>
      <c r="E56" s="1565">
        <f>+SUM(E51:E54)</f>
        <v>0.99999999999999989</v>
      </c>
      <c r="F56" s="3023">
        <f>+SUM(F51:F54)</f>
        <v>19611.5709332962</v>
      </c>
    </row>
    <row r="57" spans="2:6" ht="15" thickTop="1">
      <c r="B57" s="365">
        <v>40</v>
      </c>
      <c r="C57" s="357"/>
      <c r="D57" s="756"/>
      <c r="E57" s="756"/>
      <c r="F57" s="296"/>
    </row>
    <row r="58" spans="2:6">
      <c r="B58" s="365">
        <v>41</v>
      </c>
      <c r="C58" s="1005" t="s">
        <v>6868</v>
      </c>
      <c r="D58" s="2479"/>
      <c r="E58" s="2479"/>
      <c r="F58" s="450"/>
    </row>
    <row r="59" spans="2:6">
      <c r="B59" s="365">
        <v>42</v>
      </c>
      <c r="C59" s="353"/>
      <c r="F59" s="838"/>
    </row>
    <row r="60" spans="2:6">
      <c r="B60" s="365">
        <v>43</v>
      </c>
      <c r="C60" s="357"/>
      <c r="F60" s="3019"/>
    </row>
    <row r="61" spans="2:6">
      <c r="B61" s="365">
        <v>44</v>
      </c>
      <c r="C61" s="2417" t="s">
        <v>1918</v>
      </c>
      <c r="D61" s="529"/>
      <c r="E61" s="297"/>
      <c r="F61" s="684" t="s">
        <v>6851</v>
      </c>
    </row>
    <row r="62" spans="2:6">
      <c r="B62" s="365">
        <v>45</v>
      </c>
      <c r="C62" s="2810" t="s">
        <v>2254</v>
      </c>
      <c r="D62" s="445"/>
      <c r="E62" s="854"/>
      <c r="F62" s="838">
        <f>+F35+F51</f>
        <v>15112.438377674256</v>
      </c>
    </row>
    <row r="63" spans="2:6">
      <c r="B63" s="365">
        <v>46</v>
      </c>
      <c r="C63" s="2759" t="s">
        <v>2255</v>
      </c>
      <c r="D63" s="970"/>
      <c r="E63" s="297"/>
      <c r="F63" s="840">
        <f>+F36</f>
        <v>0</v>
      </c>
    </row>
    <row r="64" spans="2:6">
      <c r="B64" s="365">
        <v>47</v>
      </c>
      <c r="C64" s="2810" t="s">
        <v>2246</v>
      </c>
      <c r="D64" s="445"/>
      <c r="E64" s="854"/>
      <c r="F64" s="838">
        <f>+F37+F52</f>
        <v>922.84497712494101</v>
      </c>
    </row>
    <row r="65" spans="2:6">
      <c r="B65" s="365">
        <v>48</v>
      </c>
      <c r="C65" s="2759" t="s">
        <v>2247</v>
      </c>
      <c r="D65" s="970"/>
      <c r="E65" s="1568"/>
      <c r="F65" s="840">
        <f>+F38</f>
        <v>0</v>
      </c>
    </row>
    <row r="66" spans="2:6">
      <c r="B66" s="365">
        <v>49</v>
      </c>
      <c r="C66" s="2810" t="s">
        <v>2249</v>
      </c>
      <c r="D66" s="445"/>
      <c r="E66" s="854"/>
      <c r="F66" s="838">
        <f>+F39+F53</f>
        <v>1090.7933646239273</v>
      </c>
    </row>
    <row r="67" spans="2:6">
      <c r="B67" s="365">
        <v>50</v>
      </c>
      <c r="C67" s="2810" t="s">
        <v>2250</v>
      </c>
      <c r="D67" s="445"/>
      <c r="E67" s="854"/>
      <c r="F67" s="838">
        <f>+F40</f>
        <v>0</v>
      </c>
    </row>
    <row r="68" spans="2:6">
      <c r="B68" s="365">
        <v>51</v>
      </c>
      <c r="C68" s="2759" t="s">
        <v>2256</v>
      </c>
      <c r="D68" s="970"/>
      <c r="E68" s="1568"/>
      <c r="F68" s="840">
        <f>+F41+F54</f>
        <v>2485.494213873073</v>
      </c>
    </row>
    <row r="69" spans="2:6">
      <c r="B69" s="365">
        <v>52</v>
      </c>
      <c r="C69" s="2820" t="s">
        <v>2257</v>
      </c>
      <c r="D69" s="1566"/>
      <c r="E69" s="1569"/>
      <c r="F69" s="3024">
        <v>0</v>
      </c>
    </row>
    <row r="70" spans="2:6" ht="15" thickBot="1">
      <c r="B70" s="365">
        <v>53</v>
      </c>
      <c r="C70" s="3025" t="s">
        <v>2131</v>
      </c>
      <c r="D70" s="501"/>
      <c r="E70" s="1567"/>
      <c r="F70" s="3026">
        <f>+SUM(F62:F69)</f>
        <v>19611.5709332962</v>
      </c>
    </row>
    <row r="71" spans="2:6" ht="15" thickTop="1">
      <c r="B71" s="616"/>
      <c r="C71" s="616"/>
      <c r="D71" s="1570"/>
      <c r="E71" s="1570"/>
      <c r="F71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B1:F91"/>
  <sheetViews>
    <sheetView tabSelected="1" showOutlineSymbols="0"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2107" t="s">
        <v>116</v>
      </c>
    </row>
    <row r="2" spans="2:6" ht="15" thickBot="1">
      <c r="D2" s="2107"/>
    </row>
    <row r="3" spans="2:6" ht="15" thickBot="1">
      <c r="C3" s="3027" t="s">
        <v>35</v>
      </c>
      <c r="D3" s="2702" t="s">
        <v>4536</v>
      </c>
    </row>
    <row r="4" spans="2:6">
      <c r="C4" s="3028" t="s">
        <v>6891</v>
      </c>
      <c r="D4" s="2255">
        <v>5762111</v>
      </c>
    </row>
    <row r="5" spans="2:6">
      <c r="C5" s="3028" t="s">
        <v>7083</v>
      </c>
      <c r="D5" s="2705">
        <v>0</v>
      </c>
    </row>
    <row r="6" spans="2:6">
      <c r="C6" s="3028" t="s">
        <v>9342</v>
      </c>
      <c r="D6" s="2255">
        <v>-48940.21</v>
      </c>
    </row>
    <row r="7" spans="2:6" ht="15" thickBot="1">
      <c r="C7" s="3029" t="s">
        <v>6890</v>
      </c>
      <c r="D7" s="3030">
        <f>+SUMIFS('Surv Report Sched 2 pg 2'!L:L,'Surv Report Sched 2 pg 2'!B:B,"=Acquisition Amortizations")</f>
        <v>-128300</v>
      </c>
    </row>
    <row r="9" spans="2:6">
      <c r="B9" s="352" t="s">
        <v>2173</v>
      </c>
      <c r="C9" s="294"/>
      <c r="D9" s="294"/>
      <c r="E9" s="294"/>
      <c r="F9" s="460"/>
    </row>
    <row r="10" spans="2:6">
      <c r="B10" s="353" t="s">
        <v>6869</v>
      </c>
      <c r="F10" s="296"/>
    </row>
    <row r="11" spans="2:6">
      <c r="B11" s="2495" t="s">
        <v>9263</v>
      </c>
      <c r="C11" s="673"/>
      <c r="D11" s="673"/>
      <c r="E11" s="2650"/>
      <c r="F11" s="2518"/>
    </row>
    <row r="12" spans="2:6">
      <c r="B12" s="461"/>
      <c r="C12" s="297"/>
      <c r="D12" s="297"/>
      <c r="E12" s="2650"/>
      <c r="F12" s="2518"/>
    </row>
    <row r="13" spans="2:6">
      <c r="B13" s="354" t="s">
        <v>2175</v>
      </c>
      <c r="C13" s="355" t="s">
        <v>2176</v>
      </c>
      <c r="D13" s="355" t="s">
        <v>2177</v>
      </c>
      <c r="E13" s="355" t="s">
        <v>2178</v>
      </c>
      <c r="F13" s="356" t="s">
        <v>2179</v>
      </c>
    </row>
    <row r="14" spans="2:6">
      <c r="B14" s="3031">
        <v>1</v>
      </c>
      <c r="C14" s="1005" t="s">
        <v>6870</v>
      </c>
      <c r="D14" s="2687"/>
      <c r="E14" s="2687"/>
      <c r="F14" s="2689"/>
    </row>
    <row r="15" spans="2:6">
      <c r="B15" s="142">
        <v>2</v>
      </c>
      <c r="C15" s="2417" t="s">
        <v>1918</v>
      </c>
      <c r="D15" s="2657" t="s">
        <v>6174</v>
      </c>
      <c r="E15" s="2657" t="s">
        <v>4196</v>
      </c>
      <c r="F15" s="684" t="s">
        <v>6871</v>
      </c>
    </row>
    <row r="16" spans="2:6">
      <c r="B16" s="142">
        <v>3</v>
      </c>
      <c r="C16" s="535" t="s">
        <v>6872</v>
      </c>
      <c r="D16" s="1578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837"/>
      <c r="F16" s="838">
        <f>+D16+E16</f>
        <v>16362.217086941397</v>
      </c>
    </row>
    <row r="17" spans="2:6">
      <c r="B17" s="142">
        <v>4</v>
      </c>
      <c r="C17" s="535" t="s">
        <v>6873</v>
      </c>
      <c r="D17" s="1578">
        <f>+SUMIFS('Income Statement Accounts'!R:R,'Income Statement Accounts'!B:B,6900060)-(D4/1000)+(D7/1000)</f>
        <v>84796.432999999975</v>
      </c>
      <c r="E17" s="837"/>
      <c r="F17" s="838">
        <f>+D17+E17</f>
        <v>84796.432999999975</v>
      </c>
    </row>
    <row r="18" spans="2:6">
      <c r="B18" s="142">
        <v>5</v>
      </c>
      <c r="C18" s="535" t="s">
        <v>6874</v>
      </c>
      <c r="D18" s="837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837"/>
      <c r="F18" s="838">
        <f>+D18+E18</f>
        <v>-135.79069767399989</v>
      </c>
    </row>
    <row r="19" spans="2:6">
      <c r="B19" s="142">
        <v>6</v>
      </c>
      <c r="C19" s="535" t="s">
        <v>6875</v>
      </c>
      <c r="D19" s="837">
        <f>+SUMIFS('Income Statement Accounts'!R:R,'Income Statement Accounts'!B:B,6900070)</f>
        <v>1825.5459990743998</v>
      </c>
      <c r="E19" s="837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838">
        <f>+D19+E19</f>
        <v>1131.5783539698257</v>
      </c>
    </row>
    <row r="20" spans="2:6">
      <c r="B20" s="142">
        <v>7</v>
      </c>
      <c r="C20" s="535" t="s">
        <v>6876</v>
      </c>
      <c r="D20" s="2752">
        <v>0</v>
      </c>
      <c r="E20" s="837"/>
      <c r="F20" s="838">
        <f>+D20+E20</f>
        <v>0</v>
      </c>
    </row>
    <row r="21" spans="2:6" ht="15" thickBot="1">
      <c r="B21" s="142">
        <v>8</v>
      </c>
      <c r="C21" s="535" t="s">
        <v>6877</v>
      </c>
      <c r="D21" s="1577">
        <f>+SUM(D16:D20)</f>
        <v>102848.40538834177</v>
      </c>
      <c r="E21" s="1577"/>
      <c r="F21" s="1303">
        <f>+SUM(F16:F20)</f>
        <v>102154.4377432372</v>
      </c>
    </row>
    <row r="22" spans="2:6" ht="15" thickTop="1">
      <c r="B22" s="142">
        <v>9</v>
      </c>
      <c r="C22" s="535"/>
      <c r="D22" s="653"/>
      <c r="E22" s="653"/>
      <c r="F22" s="536"/>
    </row>
    <row r="23" spans="2:6">
      <c r="B23" s="142">
        <v>10</v>
      </c>
      <c r="C23" s="1005" t="s">
        <v>6878</v>
      </c>
      <c r="D23" s="2687"/>
      <c r="E23" s="2687"/>
      <c r="F23" s="2689"/>
    </row>
    <row r="24" spans="2:6">
      <c r="B24" s="142">
        <v>11</v>
      </c>
      <c r="C24" s="2417" t="s">
        <v>1918</v>
      </c>
      <c r="D24" s="2657" t="s">
        <v>111</v>
      </c>
      <c r="E24" s="2657" t="s">
        <v>4762</v>
      </c>
      <c r="F24" s="2660" t="s">
        <v>3480</v>
      </c>
    </row>
    <row r="25" spans="2:6" ht="15" thickBot="1">
      <c r="B25" s="142">
        <v>12</v>
      </c>
      <c r="C25" s="2886" t="s">
        <v>5457</v>
      </c>
      <c r="D25" s="328"/>
      <c r="E25" s="328"/>
      <c r="F25" s="1303">
        <f>+F16</f>
        <v>16362.217086941397</v>
      </c>
    </row>
    <row r="26" spans="2:6" ht="15" thickTop="1">
      <c r="B26" s="142">
        <v>13</v>
      </c>
      <c r="C26" s="535"/>
      <c r="D26" s="328"/>
      <c r="E26" s="1014"/>
      <c r="F26" s="1015"/>
    </row>
    <row r="27" spans="2:6">
      <c r="B27" s="142">
        <v>14</v>
      </c>
      <c r="C27" s="2810" t="s">
        <v>6879</v>
      </c>
      <c r="D27" s="42">
        <f>+'Labor O&amp;M'!D22</f>
        <v>32335.923285079385</v>
      </c>
      <c r="E27" s="877">
        <f>+'Labor O&amp;M'!E22</f>
        <v>0.33393991748117813</v>
      </c>
      <c r="F27" s="838">
        <f>+$F$25*E27</f>
        <v>5463.9974238223331</v>
      </c>
    </row>
    <row r="28" spans="2:6">
      <c r="B28" s="142">
        <v>15</v>
      </c>
      <c r="C28" s="2810" t="s">
        <v>2255</v>
      </c>
      <c r="D28" s="42">
        <f>+'Labor O&amp;M'!D23</f>
        <v>8536.8794286847842</v>
      </c>
      <c r="E28" s="877">
        <f>+'Labor O&amp;M'!E23</f>
        <v>8.8162159058473452E-2</v>
      </c>
      <c r="F28" s="838">
        <f t="shared" ref="F28:F34" si="0">+$F$25*E28</f>
        <v>1442.5283853681995</v>
      </c>
    </row>
    <row r="29" spans="2:6">
      <c r="B29" s="142">
        <v>16</v>
      </c>
      <c r="C29" s="2810" t="s">
        <v>2246</v>
      </c>
      <c r="D29" s="42">
        <f>+'Labor O&amp;M'!D24</f>
        <v>1370.2007609755603</v>
      </c>
      <c r="E29" s="877">
        <f>+'Labor O&amp;M'!E24</f>
        <v>1.4150352999629922E-2</v>
      </c>
      <c r="F29" s="838">
        <f t="shared" si="0"/>
        <v>231.53114763679716</v>
      </c>
    </row>
    <row r="30" spans="2:6">
      <c r="B30" s="142">
        <v>17</v>
      </c>
      <c r="C30" s="2810" t="s">
        <v>2247</v>
      </c>
      <c r="D30" s="42">
        <f>+'Labor O&amp;M'!D25</f>
        <v>3852.3647224962351</v>
      </c>
      <c r="E30" s="877">
        <f>+'Labor O&amp;M'!E25</f>
        <v>3.9784185105714888E-2</v>
      </c>
      <c r="F30" s="838">
        <f t="shared" si="0"/>
        <v>650.95747332676751</v>
      </c>
    </row>
    <row r="31" spans="2:6">
      <c r="B31" s="142">
        <v>18</v>
      </c>
      <c r="C31" s="2810" t="s">
        <v>2249</v>
      </c>
      <c r="D31" s="42">
        <f>+'Labor O&amp;M'!D26</f>
        <v>18918.831641502202</v>
      </c>
      <c r="E31" s="877">
        <f>+'Labor O&amp;M'!E26</f>
        <v>0.19537877491559733</v>
      </c>
      <c r="F31" s="838">
        <f t="shared" si="0"/>
        <v>3196.8299293496639</v>
      </c>
    </row>
    <row r="32" spans="2:6">
      <c r="B32" s="142">
        <v>19</v>
      </c>
      <c r="C32" s="2810" t="s">
        <v>2250</v>
      </c>
      <c r="D32" s="42">
        <f>+'Labor O&amp;M'!D27</f>
        <v>3263.6378914827483</v>
      </c>
      <c r="E32" s="877">
        <f>+'Labor O&amp;M'!E27</f>
        <v>3.3704278630357951E-2</v>
      </c>
      <c r="F32" s="838">
        <f t="shared" si="0"/>
        <v>551.47672370867667</v>
      </c>
    </row>
    <row r="33" spans="2:6">
      <c r="B33" s="142">
        <v>20</v>
      </c>
      <c r="C33" s="2810" t="s">
        <v>2256</v>
      </c>
      <c r="D33" s="42">
        <f>+'Labor O&amp;M'!D28</f>
        <v>12127.177482167837</v>
      </c>
      <c r="E33" s="877">
        <f>+'Labor O&amp;M'!E28</f>
        <v>0.12523992625698077</v>
      </c>
      <c r="F33" s="838">
        <f t="shared" si="0"/>
        <v>2049.2028613692514</v>
      </c>
    </row>
    <row r="34" spans="2:6">
      <c r="B34" s="142">
        <v>21</v>
      </c>
      <c r="C34" s="2759" t="s">
        <v>2257</v>
      </c>
      <c r="D34" s="42">
        <f>+'Labor O&amp;M'!D29</f>
        <v>16426.545174224604</v>
      </c>
      <c r="E34" s="877">
        <f>+'Labor O&amp;M'!E29</f>
        <v>0.1696404055520675</v>
      </c>
      <c r="F34" s="838">
        <f t="shared" si="0"/>
        <v>2775.6931423597071</v>
      </c>
    </row>
    <row r="35" spans="2:6" ht="15" thickBot="1">
      <c r="B35" s="142">
        <v>22</v>
      </c>
      <c r="C35" s="3022" t="s">
        <v>6877</v>
      </c>
      <c r="D35" s="655">
        <f>+SUM(D27:D34)</f>
        <v>96831.560386613361</v>
      </c>
      <c r="E35" s="1576">
        <f>+SUM(E27:E34)</f>
        <v>1</v>
      </c>
      <c r="F35" s="3023">
        <f>+SUM(F27:F34)</f>
        <v>16362.217086941395</v>
      </c>
    </row>
    <row r="36" spans="2:6" ht="15" thickTop="1">
      <c r="B36" s="142">
        <v>23</v>
      </c>
      <c r="C36" s="535"/>
      <c r="D36" s="653"/>
      <c r="E36" s="653"/>
      <c r="F36" s="536"/>
    </row>
    <row r="37" spans="2:6">
      <c r="B37" s="142">
        <v>24</v>
      </c>
      <c r="C37" s="1005" t="s">
        <v>6880</v>
      </c>
      <c r="D37" s="2687"/>
      <c r="E37" s="2687"/>
      <c r="F37" s="2689"/>
    </row>
    <row r="38" spans="2:6">
      <c r="B38" s="142">
        <v>25</v>
      </c>
      <c r="C38" s="2417" t="s">
        <v>1918</v>
      </c>
      <c r="D38" s="2657" t="s">
        <v>4187</v>
      </c>
      <c r="E38" s="2657" t="s">
        <v>6881</v>
      </c>
      <c r="F38" s="2660" t="s">
        <v>3480</v>
      </c>
    </row>
    <row r="39" spans="2:6" ht="15" thickBot="1">
      <c r="B39" s="142">
        <v>26</v>
      </c>
      <c r="C39" s="2886" t="s">
        <v>6873</v>
      </c>
      <c r="D39" s="328"/>
      <c r="E39" s="328"/>
      <c r="F39" s="1303">
        <f>+F17</f>
        <v>84796.432999999975</v>
      </c>
    </row>
    <row r="40" spans="2:6" ht="15" thickTop="1">
      <c r="B40" s="142">
        <v>27</v>
      </c>
      <c r="C40" s="535"/>
      <c r="D40" s="328"/>
      <c r="E40" s="328"/>
      <c r="F40" s="1015"/>
    </row>
    <row r="41" spans="2:6">
      <c r="B41" s="142">
        <v>28</v>
      </c>
      <c r="C41" s="2810" t="s">
        <v>2254</v>
      </c>
      <c r="D41" s="42">
        <f>+REPORTS!F1439</f>
        <v>7225506.9599943599</v>
      </c>
      <c r="E41" s="921">
        <f>+D41/$D$49</f>
        <v>0.53279144238762954</v>
      </c>
      <c r="F41" s="838">
        <f>+$F$39*E41</f>
        <v>45178.813847395977</v>
      </c>
    </row>
    <row r="42" spans="2:6">
      <c r="B42" s="142">
        <v>29</v>
      </c>
      <c r="C42" s="2810" t="s">
        <v>2255</v>
      </c>
      <c r="D42" s="42">
        <f>+REPORTS!F1440</f>
        <v>680548.35013101739</v>
      </c>
      <c r="E42" s="921">
        <f t="shared" ref="E42:E48" si="1">+D42/$D$49</f>
        <v>5.0181992639186296E-2</v>
      </c>
      <c r="F42" s="838">
        <f t="shared" ref="F42:F48" si="2">+$F$39*E42</f>
        <v>4255.2539766352529</v>
      </c>
    </row>
    <row r="43" spans="2:6">
      <c r="B43" s="142">
        <v>30</v>
      </c>
      <c r="C43" s="2810" t="s">
        <v>2246</v>
      </c>
      <c r="D43" s="42">
        <f>+REPORTS!F1441</f>
        <v>570453.0494615928</v>
      </c>
      <c r="E43" s="921">
        <f t="shared" si="1"/>
        <v>4.2063830914544034E-2</v>
      </c>
      <c r="F43" s="838">
        <f t="shared" si="2"/>
        <v>3566.862819868461</v>
      </c>
    </row>
    <row r="44" spans="2:6">
      <c r="B44" s="142">
        <v>31</v>
      </c>
      <c r="C44" s="2810" t="s">
        <v>2247</v>
      </c>
      <c r="D44" s="42">
        <f>+REPORTS!F1442</f>
        <v>594794.14105170744</v>
      </c>
      <c r="E44" s="921">
        <f t="shared" si="1"/>
        <v>4.3858684254163081E-2</v>
      </c>
      <c r="F44" s="838">
        <f t="shared" si="2"/>
        <v>3719.0599808262937</v>
      </c>
    </row>
    <row r="45" spans="2:6">
      <c r="B45" s="142">
        <v>32</v>
      </c>
      <c r="C45" s="2810" t="s">
        <v>2249</v>
      </c>
      <c r="D45" s="42">
        <f>+REPORTS!F1443</f>
        <v>2159330.6161561045</v>
      </c>
      <c r="E45" s="921">
        <f t="shared" si="1"/>
        <v>0.15922382746891409</v>
      </c>
      <c r="F45" s="838">
        <f t="shared" si="2"/>
        <v>13501.612617971328</v>
      </c>
    </row>
    <row r="46" spans="2:6">
      <c r="B46" s="142">
        <v>33</v>
      </c>
      <c r="C46" s="2810" t="s">
        <v>2250</v>
      </c>
      <c r="D46" s="42">
        <f>+REPORTS!F1444</f>
        <v>1074798.1721466575</v>
      </c>
      <c r="E46" s="921">
        <f t="shared" si="1"/>
        <v>7.9253022879110541E-2</v>
      </c>
      <c r="F46" s="838">
        <f t="shared" si="2"/>
        <v>6720.3736446159619</v>
      </c>
    </row>
    <row r="47" spans="2:6">
      <c r="B47" s="142">
        <v>34</v>
      </c>
      <c r="C47" s="2810" t="s">
        <v>2256</v>
      </c>
      <c r="D47" s="42">
        <f>+REPORTS!F1445</f>
        <v>1011029.5953512132</v>
      </c>
      <c r="E47" s="921">
        <f t="shared" si="1"/>
        <v>7.4550881950043113E-2</v>
      </c>
      <c r="F47" s="838">
        <f t="shared" si="2"/>
        <v>6321.6488663677383</v>
      </c>
    </row>
    <row r="48" spans="2:6">
      <c r="B48" s="142">
        <v>35</v>
      </c>
      <c r="C48" s="2810" t="s">
        <v>2257</v>
      </c>
      <c r="D48" s="42">
        <f>+REPORTS!F1446</f>
        <v>245143.87349825987</v>
      </c>
      <c r="E48" s="921">
        <f t="shared" si="1"/>
        <v>1.8076317506409326E-2</v>
      </c>
      <c r="F48" s="838">
        <f t="shared" si="2"/>
        <v>1532.8072463189651</v>
      </c>
    </row>
    <row r="49" spans="2:6" ht="15" thickBot="1">
      <c r="B49" s="142">
        <v>36</v>
      </c>
      <c r="C49" s="3022" t="s">
        <v>115</v>
      </c>
      <c r="D49" s="655">
        <f>+SUM(D41:D48)</f>
        <v>13561604.757790912</v>
      </c>
      <c r="E49" s="1576">
        <f>+SUM(E41:E48)</f>
        <v>1</v>
      </c>
      <c r="F49" s="3023">
        <f>+SUM(F41:F48)</f>
        <v>84796.432999999975</v>
      </c>
    </row>
    <row r="50" spans="2:6" ht="15" thickTop="1">
      <c r="B50" s="142">
        <v>37</v>
      </c>
      <c r="C50" s="535"/>
      <c r="D50" s="328"/>
      <c r="E50" s="328"/>
      <c r="F50" s="536"/>
    </row>
    <row r="51" spans="2:6">
      <c r="B51" s="142">
        <v>38</v>
      </c>
      <c r="C51" s="1005" t="s">
        <v>6882</v>
      </c>
      <c r="D51" s="2687"/>
      <c r="E51" s="2687"/>
      <c r="F51" s="2689"/>
    </row>
    <row r="52" spans="2:6">
      <c r="B52" s="142">
        <v>39</v>
      </c>
      <c r="C52" s="2417" t="s">
        <v>1918</v>
      </c>
      <c r="D52" s="2657" t="s">
        <v>2305</v>
      </c>
      <c r="E52" s="2657" t="s">
        <v>6883</v>
      </c>
      <c r="F52" s="2660" t="s">
        <v>3480</v>
      </c>
    </row>
    <row r="53" spans="2:6" ht="15" thickBot="1">
      <c r="B53" s="142">
        <v>40</v>
      </c>
      <c r="C53" s="2886" t="s">
        <v>6884</v>
      </c>
      <c r="D53" s="328"/>
      <c r="E53" s="328"/>
      <c r="F53" s="1303">
        <f>+F19</f>
        <v>1131.5783539698257</v>
      </c>
    </row>
    <row r="54" spans="2:6" ht="15" thickTop="1">
      <c r="B54" s="142">
        <v>41</v>
      </c>
      <c r="C54" s="535"/>
      <c r="D54" s="328"/>
      <c r="E54" s="328"/>
      <c r="F54" s="1015"/>
    </row>
    <row r="55" spans="2:6">
      <c r="B55" s="142">
        <v>42</v>
      </c>
      <c r="C55" s="2810" t="s">
        <v>2254</v>
      </c>
      <c r="D55" s="42">
        <f>+REPORTS!F1509</f>
        <v>5483176.4189962763</v>
      </c>
      <c r="E55" s="921">
        <f>+D55/$D$63</f>
        <v>0.55629536248632949</v>
      </c>
      <c r="F55" s="838">
        <f>+$F$53*E55</f>
        <v>629.49179060332824</v>
      </c>
    </row>
    <row r="56" spans="2:6">
      <c r="B56" s="142">
        <v>43</v>
      </c>
      <c r="C56" s="2810" t="s">
        <v>2255</v>
      </c>
      <c r="D56" s="42">
        <f>+REPORTS!F1510</f>
        <v>412366.90327200451</v>
      </c>
      <c r="E56" s="921">
        <f t="shared" ref="E56:E62" si="3">+D56/$D$63</f>
        <v>4.1836661526761049E-2</v>
      </c>
      <c r="F56" s="838">
        <f t="shared" ref="F56:F62" si="4">+$F$53*E56</f>
        <v>47.341460586045002</v>
      </c>
    </row>
    <row r="57" spans="2:6">
      <c r="B57" s="142">
        <v>44</v>
      </c>
      <c r="C57" s="2810" t="s">
        <v>2246</v>
      </c>
      <c r="D57" s="42">
        <f>+REPORTS!F1511</f>
        <v>432533.37598961761</v>
      </c>
      <c r="E57" s="921">
        <f t="shared" si="3"/>
        <v>4.3882649908905579E-2</v>
      </c>
      <c r="F57" s="838">
        <f t="shared" si="4"/>
        <v>49.656656751753495</v>
      </c>
    </row>
    <row r="58" spans="2:6">
      <c r="B58" s="142">
        <v>45</v>
      </c>
      <c r="C58" s="2810" t="s">
        <v>2247</v>
      </c>
      <c r="D58" s="42">
        <f>+REPORTS!F1512</f>
        <v>469527.01948490978</v>
      </c>
      <c r="E58" s="921">
        <f t="shared" si="3"/>
        <v>4.7635837978252937E-2</v>
      </c>
      <c r="F58" s="838">
        <f t="shared" si="4"/>
        <v>53.903683129404769</v>
      </c>
    </row>
    <row r="59" spans="2:6">
      <c r="B59" s="142">
        <v>46</v>
      </c>
      <c r="C59" s="2810" t="s">
        <v>2249</v>
      </c>
      <c r="D59" s="42">
        <f>+REPORTS!F1513</f>
        <v>1529952.1492352316</v>
      </c>
      <c r="E59" s="921">
        <f t="shared" si="3"/>
        <v>0.1552212112849273</v>
      </c>
      <c r="F59" s="838">
        <f t="shared" si="4"/>
        <v>175.64496276700058</v>
      </c>
    </row>
    <row r="60" spans="2:6">
      <c r="B60" s="142">
        <v>47</v>
      </c>
      <c r="C60" s="2810" t="s">
        <v>2250</v>
      </c>
      <c r="D60" s="42">
        <f>+REPORTS!F1514</f>
        <v>672570.78032622824</v>
      </c>
      <c r="E60" s="921">
        <f t="shared" si="3"/>
        <v>6.8235631584471684E-2</v>
      </c>
      <c r="F60" s="838">
        <f t="shared" si="4"/>
        <v>77.21396367044791</v>
      </c>
    </row>
    <row r="61" spans="2:6">
      <c r="B61" s="142">
        <v>48</v>
      </c>
      <c r="C61" s="2810" t="s">
        <v>2256</v>
      </c>
      <c r="D61" s="42">
        <f>+REPORTS!F1515</f>
        <v>656038.10108533443</v>
      </c>
      <c r="E61" s="921">
        <f t="shared" si="3"/>
        <v>6.6558309519961709E-2</v>
      </c>
      <c r="F61" s="838">
        <f t="shared" si="4"/>
        <v>75.315942329612454</v>
      </c>
    </row>
    <row r="62" spans="2:6">
      <c r="B62" s="142">
        <v>49</v>
      </c>
      <c r="C62" s="2810" t="s">
        <v>2257</v>
      </c>
      <c r="D62" s="42">
        <f>+REPORTS!F1516</f>
        <v>200427.25066920705</v>
      </c>
      <c r="E62" s="921">
        <f t="shared" si="3"/>
        <v>2.0334335710390113E-2</v>
      </c>
      <c r="F62" s="838">
        <f t="shared" si="4"/>
        <v>23.009894132233089</v>
      </c>
    </row>
    <row r="63" spans="2:6" ht="15" thickBot="1">
      <c r="B63" s="142">
        <v>50</v>
      </c>
      <c r="C63" s="3022" t="s">
        <v>115</v>
      </c>
      <c r="D63" s="655">
        <f>+SUM(D55:D62)</f>
        <v>9856591.999058811</v>
      </c>
      <c r="E63" s="1576">
        <f>+SUM(E55:E62)</f>
        <v>0.99999999999999967</v>
      </c>
      <c r="F63" s="3023">
        <f>+SUM(F55:F62)</f>
        <v>1131.5783539698255</v>
      </c>
    </row>
    <row r="64" spans="2:6" ht="15" thickTop="1">
      <c r="B64" s="142">
        <v>51</v>
      </c>
      <c r="C64" s="3032"/>
      <c r="D64" s="328"/>
      <c r="E64" s="328"/>
      <c r="F64" s="536"/>
    </row>
    <row r="65" spans="2:6">
      <c r="B65" s="142">
        <v>52</v>
      </c>
      <c r="C65" s="1005" t="s">
        <v>6885</v>
      </c>
      <c r="D65" s="2687"/>
      <c r="E65" s="2687"/>
      <c r="F65" s="2689"/>
    </row>
    <row r="66" spans="2:6">
      <c r="B66" s="142">
        <v>53</v>
      </c>
      <c r="C66" s="2417" t="s">
        <v>1918</v>
      </c>
      <c r="D66" s="2657" t="s">
        <v>2305</v>
      </c>
      <c r="E66" s="2657" t="s">
        <v>6883</v>
      </c>
      <c r="F66" s="2660" t="s">
        <v>3480</v>
      </c>
    </row>
    <row r="67" spans="2:6" ht="15" thickBot="1">
      <c r="B67" s="142">
        <v>54</v>
      </c>
      <c r="C67" s="2886" t="s">
        <v>6886</v>
      </c>
      <c r="D67" s="328"/>
      <c r="E67" s="328"/>
      <c r="F67" s="1303">
        <f>+F18</f>
        <v>-135.79069767399989</v>
      </c>
    </row>
    <row r="68" spans="2:6" ht="15" thickTop="1">
      <c r="B68" s="142">
        <v>55</v>
      </c>
      <c r="C68" s="535"/>
      <c r="D68" s="328"/>
      <c r="E68" s="328"/>
      <c r="F68" s="1015"/>
    </row>
    <row r="69" spans="2:6">
      <c r="B69" s="142">
        <v>56</v>
      </c>
      <c r="C69" s="2810" t="s">
        <v>2254</v>
      </c>
      <c r="D69" s="42">
        <f>+REPORTS!F1509</f>
        <v>5483176.4189962763</v>
      </c>
      <c r="E69" s="921">
        <f>+D69/$D$77</f>
        <v>0.55629536248632949</v>
      </c>
      <c r="F69" s="838">
        <f>+$F$67*E69</f>
        <v>-75.539735384829342</v>
      </c>
    </row>
    <row r="70" spans="2:6">
      <c r="B70" s="142">
        <v>57</v>
      </c>
      <c r="C70" s="2810" t="s">
        <v>2255</v>
      </c>
      <c r="D70" s="42">
        <f>+REPORTS!F1510</f>
        <v>412366.90327200451</v>
      </c>
      <c r="E70" s="921">
        <f t="shared" ref="E70:E76" si="5">+D70/$D$77</f>
        <v>4.1836661526761049E-2</v>
      </c>
      <c r="F70" s="838">
        <f t="shared" ref="F70:F76" si="6">+$F$67*E70</f>
        <v>-5.6810294570698723</v>
      </c>
    </row>
    <row r="71" spans="2:6">
      <c r="B71" s="142">
        <v>58</v>
      </c>
      <c r="C71" s="2810" t="s">
        <v>2246</v>
      </c>
      <c r="D71" s="42">
        <f>+REPORTS!F1511</f>
        <v>432533.37598961761</v>
      </c>
      <c r="E71" s="921">
        <f t="shared" si="5"/>
        <v>4.3882649908905579E-2</v>
      </c>
      <c r="F71" s="838">
        <f t="shared" si="6"/>
        <v>-5.9588556469141762</v>
      </c>
    </row>
    <row r="72" spans="2:6">
      <c r="B72" s="142">
        <v>59</v>
      </c>
      <c r="C72" s="2810" t="s">
        <v>2247</v>
      </c>
      <c r="D72" s="42">
        <f>+REPORTS!F1512</f>
        <v>469527.01948490978</v>
      </c>
      <c r="E72" s="921">
        <f t="shared" si="5"/>
        <v>4.7635837978252937E-2</v>
      </c>
      <c r="F72" s="838">
        <f t="shared" si="6"/>
        <v>-6.4685036733525862</v>
      </c>
    </row>
    <row r="73" spans="2:6">
      <c r="B73" s="142">
        <v>60</v>
      </c>
      <c r="C73" s="2810" t="s">
        <v>2249</v>
      </c>
      <c r="D73" s="42">
        <f>+REPORTS!F1513</f>
        <v>1529952.1492352316</v>
      </c>
      <c r="E73" s="921">
        <f t="shared" si="5"/>
        <v>0.1552212112849273</v>
      </c>
      <c r="F73" s="838">
        <f t="shared" si="6"/>
        <v>-21.077596574183623</v>
      </c>
    </row>
    <row r="74" spans="2:6">
      <c r="B74" s="142">
        <v>61</v>
      </c>
      <c r="C74" s="2810" t="s">
        <v>2250</v>
      </c>
      <c r="D74" s="42">
        <f>+REPORTS!F1514</f>
        <v>672570.78032622824</v>
      </c>
      <c r="E74" s="921">
        <f t="shared" si="5"/>
        <v>6.8235631584471684E-2</v>
      </c>
      <c r="F74" s="838">
        <f t="shared" si="6"/>
        <v>-9.2657640190814323</v>
      </c>
    </row>
    <row r="75" spans="2:6">
      <c r="B75" s="142">
        <v>62</v>
      </c>
      <c r="C75" s="2810" t="s">
        <v>2256</v>
      </c>
      <c r="D75" s="42">
        <f>+REPORTS!F1515</f>
        <v>656038.10108533443</v>
      </c>
      <c r="E75" s="921">
        <f t="shared" si="5"/>
        <v>6.6558309519961709E-2</v>
      </c>
      <c r="F75" s="838">
        <f t="shared" si="6"/>
        <v>-9.0379992857176283</v>
      </c>
    </row>
    <row r="76" spans="2:6">
      <c r="B76" s="142">
        <v>63</v>
      </c>
      <c r="C76" s="2810" t="s">
        <v>2257</v>
      </c>
      <c r="D76" s="42">
        <f>+REPORTS!F1516</f>
        <v>200427.25066920705</v>
      </c>
      <c r="E76" s="921">
        <f t="shared" si="5"/>
        <v>2.0334335710390113E-2</v>
      </c>
      <c r="F76" s="838">
        <f t="shared" si="6"/>
        <v>-2.7612136328512036</v>
      </c>
    </row>
    <row r="77" spans="2:6" ht="15" thickBot="1">
      <c r="B77" s="142">
        <v>64</v>
      </c>
      <c r="C77" s="3022" t="s">
        <v>115</v>
      </c>
      <c r="D77" s="655">
        <f>+SUM(D69:D76)</f>
        <v>9856591.999058811</v>
      </c>
      <c r="E77" s="1576">
        <f>+SUM(E69:E76)</f>
        <v>0.99999999999999967</v>
      </c>
      <c r="F77" s="3023">
        <f>+SUM(F69:F76)</f>
        <v>-135.79069767399983</v>
      </c>
    </row>
    <row r="78" spans="2:6" ht="15" thickTop="1">
      <c r="B78" s="142">
        <v>65</v>
      </c>
      <c r="C78" s="535"/>
      <c r="D78" s="328"/>
      <c r="E78" s="328"/>
      <c r="F78" s="536"/>
    </row>
    <row r="79" spans="2:6">
      <c r="B79" s="142">
        <v>66</v>
      </c>
      <c r="C79" s="1005" t="s">
        <v>6887</v>
      </c>
      <c r="D79" s="2687"/>
      <c r="E79" s="2687"/>
      <c r="F79" s="2689"/>
    </row>
    <row r="80" spans="2:6">
      <c r="B80" s="142">
        <v>67</v>
      </c>
      <c r="C80" s="2417" t="s">
        <v>1918</v>
      </c>
      <c r="D80" s="77"/>
      <c r="E80" s="77"/>
      <c r="F80" s="2660" t="s">
        <v>6888</v>
      </c>
    </row>
    <row r="81" spans="2:6">
      <c r="B81" s="142">
        <v>68</v>
      </c>
      <c r="C81" s="2831" t="s">
        <v>6889</v>
      </c>
      <c r="D81" s="328"/>
      <c r="E81" s="328"/>
      <c r="F81" s="1015"/>
    </row>
    <row r="82" spans="2:6">
      <c r="B82" s="142">
        <v>69</v>
      </c>
      <c r="C82" s="2810" t="s">
        <v>6879</v>
      </c>
      <c r="D82" s="42"/>
      <c r="E82" s="921"/>
      <c r="F82" s="838">
        <f>+F27+F41+F55+F69</f>
        <v>51196.763326436805</v>
      </c>
    </row>
    <row r="83" spans="2:6">
      <c r="B83" s="142">
        <v>70</v>
      </c>
      <c r="C83" s="2810" t="s">
        <v>2255</v>
      </c>
      <c r="D83" s="42"/>
      <c r="E83" s="921"/>
      <c r="F83" s="838">
        <f t="shared" ref="F83:F89" si="7">+F28+F42+F56+F70</f>
        <v>5739.4427931324281</v>
      </c>
    </row>
    <row r="84" spans="2:6">
      <c r="B84" s="142">
        <v>71</v>
      </c>
      <c r="C84" s="2810" t="s">
        <v>2246</v>
      </c>
      <c r="D84" s="42"/>
      <c r="E84" s="921"/>
      <c r="F84" s="838">
        <f t="shared" si="7"/>
        <v>3842.091768610097</v>
      </c>
    </row>
    <row r="85" spans="2:6">
      <c r="B85" s="142">
        <v>72</v>
      </c>
      <c r="C85" s="2810" t="s">
        <v>2247</v>
      </c>
      <c r="D85" s="42"/>
      <c r="E85" s="921"/>
      <c r="F85" s="838">
        <f t="shared" si="7"/>
        <v>4417.4526336091139</v>
      </c>
    </row>
    <row r="86" spans="2:6">
      <c r="B86" s="142">
        <v>73</v>
      </c>
      <c r="C86" s="2810" t="s">
        <v>2249</v>
      </c>
      <c r="D86" s="42"/>
      <c r="E86" s="921"/>
      <c r="F86" s="838">
        <f t="shared" si="7"/>
        <v>16853.009913513808</v>
      </c>
    </row>
    <row r="87" spans="2:6">
      <c r="B87" s="142">
        <v>74</v>
      </c>
      <c r="C87" s="2810" t="s">
        <v>2250</v>
      </c>
      <c r="D87" s="42"/>
      <c r="E87" s="921"/>
      <c r="F87" s="838">
        <f t="shared" si="7"/>
        <v>7339.7985679760041</v>
      </c>
    </row>
    <row r="88" spans="2:6">
      <c r="B88" s="142">
        <v>75</v>
      </c>
      <c r="C88" s="2810" t="s">
        <v>2256</v>
      </c>
      <c r="D88" s="42"/>
      <c r="E88" s="921"/>
      <c r="F88" s="838">
        <f t="shared" si="7"/>
        <v>8437.1296707808851</v>
      </c>
    </row>
    <row r="89" spans="2:6">
      <c r="B89" s="142">
        <v>76</v>
      </c>
      <c r="C89" s="2810" t="s">
        <v>2257</v>
      </c>
      <c r="D89" s="42"/>
      <c r="E89" s="921"/>
      <c r="F89" s="838">
        <f t="shared" si="7"/>
        <v>4328.749069178054</v>
      </c>
    </row>
    <row r="90" spans="2:6" ht="15" thickBot="1">
      <c r="B90" s="142">
        <v>77</v>
      </c>
      <c r="C90" s="3022" t="s">
        <v>6877</v>
      </c>
      <c r="D90" s="655"/>
      <c r="E90" s="1576"/>
      <c r="F90" s="3023">
        <f>+SUM(F82:F89)</f>
        <v>102154.43774323718</v>
      </c>
    </row>
    <row r="91" spans="2:6" ht="15" thickTop="1">
      <c r="B91" s="2926"/>
      <c r="C91" s="616"/>
      <c r="D91" s="297"/>
      <c r="E91" s="297"/>
      <c r="F91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theme="2" tint="-0.499984740745262"/>
  </sheetPr>
  <dimension ref="B1:F91"/>
  <sheetViews>
    <sheetView tabSelected="1" showOutlineSymbols="0" workbookViewId="0"/>
  </sheetViews>
  <sheetFormatPr defaultRowHeight="14.4"/>
  <cols>
    <col min="3" max="3" width="28.6640625" customWidth="1"/>
    <col min="4" max="4" width="20.109375" customWidth="1"/>
    <col min="5" max="5" width="18.88671875" customWidth="1"/>
    <col min="6" max="6" width="20.44140625" customWidth="1"/>
  </cols>
  <sheetData>
    <row r="1" spans="2:6">
      <c r="D1" s="2107" t="s">
        <v>116</v>
      </c>
    </row>
    <row r="2" spans="2:6" ht="15" thickBot="1">
      <c r="D2" s="2107"/>
    </row>
    <row r="3" spans="2:6" ht="15" thickBot="1">
      <c r="C3" s="3027" t="s">
        <v>35</v>
      </c>
      <c r="D3" s="2702" t="s">
        <v>4536</v>
      </c>
    </row>
    <row r="4" spans="2:6">
      <c r="C4" s="3028" t="s">
        <v>6891</v>
      </c>
      <c r="D4" s="2255">
        <v>5762111</v>
      </c>
    </row>
    <row r="5" spans="2:6">
      <c r="C5" s="3028" t="s">
        <v>7083</v>
      </c>
      <c r="D5" s="2705">
        <v>0</v>
      </c>
    </row>
    <row r="6" spans="2:6">
      <c r="C6" s="3028" t="s">
        <v>9342</v>
      </c>
      <c r="D6" s="2255">
        <v>-48940.21</v>
      </c>
    </row>
    <row r="7" spans="2:6" ht="15" thickBot="1">
      <c r="C7" s="3029" t="s">
        <v>6890</v>
      </c>
      <c r="D7" s="3030">
        <f>+SUMIFS('Surv Report Sched 2 pg 2'!L:L,'Surv Report Sched 2 pg 2'!B:B,"=Acquisition Amortizations")</f>
        <v>-128300</v>
      </c>
    </row>
    <row r="9" spans="2:6">
      <c r="B9" s="352" t="s">
        <v>2173</v>
      </c>
      <c r="C9" s="294"/>
      <c r="D9" s="294"/>
      <c r="E9" s="294"/>
      <c r="F9" s="460"/>
    </row>
    <row r="10" spans="2:6">
      <c r="B10" s="353" t="s">
        <v>6869</v>
      </c>
      <c r="F10" s="296"/>
    </row>
    <row r="11" spans="2:6">
      <c r="B11" s="2495" t="s">
        <v>9263</v>
      </c>
      <c r="C11" s="673"/>
      <c r="D11" s="673"/>
      <c r="E11" s="2650"/>
      <c r="F11" s="2518"/>
    </row>
    <row r="12" spans="2:6">
      <c r="B12" s="461"/>
      <c r="C12" s="297"/>
      <c r="D12" s="297"/>
      <c r="E12" s="2650"/>
      <c r="F12" s="2518"/>
    </row>
    <row r="13" spans="2:6">
      <c r="B13" s="354" t="s">
        <v>2175</v>
      </c>
      <c r="C13" s="355" t="s">
        <v>2176</v>
      </c>
      <c r="D13" s="355" t="s">
        <v>2177</v>
      </c>
      <c r="E13" s="355" t="s">
        <v>2178</v>
      </c>
      <c r="F13" s="356" t="s">
        <v>2179</v>
      </c>
    </row>
    <row r="14" spans="2:6">
      <c r="B14" s="3031">
        <v>1</v>
      </c>
      <c r="C14" s="1005" t="s">
        <v>6870</v>
      </c>
      <c r="D14" s="2687"/>
      <c r="E14" s="2687"/>
      <c r="F14" s="2689"/>
    </row>
    <row r="15" spans="2:6">
      <c r="B15" s="142">
        <v>2</v>
      </c>
      <c r="C15" s="2417" t="s">
        <v>1918</v>
      </c>
      <c r="D15" s="2657" t="s">
        <v>6174</v>
      </c>
      <c r="E15" s="2657" t="s">
        <v>4196</v>
      </c>
      <c r="F15" s="684" t="s">
        <v>6871</v>
      </c>
    </row>
    <row r="16" spans="2:6">
      <c r="B16" s="142">
        <v>3</v>
      </c>
      <c r="C16" s="535" t="s">
        <v>6872</v>
      </c>
      <c r="D16" s="1578">
        <f>+SUMIFS('Income Statement Accounts'!R:R,'Income Statement Accounts'!B:B,6900045)+SUMIFS('Income Statement Accounts'!R:R,'Income Statement Accounts'!B:B,6900800)+SUMIFS('Income Statement Accounts'!R:R,'Income Statement Accounts'!B:B,6900040)+SUMIFS('Income Statement Accounts'!R:R,'Income Statement Accounts'!B:B,6900048)+SUMIFS('Income Statement Accounts'!R:R,'Income Statement Accounts'!B:B,6900049)+D6/1000</f>
        <v>16362.217086941397</v>
      </c>
      <c r="E16" s="837"/>
      <c r="F16" s="838">
        <f>+D16+E16</f>
        <v>16362.217086941397</v>
      </c>
    </row>
    <row r="17" spans="2:6">
      <c r="B17" s="142">
        <v>4</v>
      </c>
      <c r="C17" s="535" t="s">
        <v>6873</v>
      </c>
      <c r="D17" s="1578">
        <f>+SUMIFS('Income Statement Accounts'!R:R,'Income Statement Accounts'!B:B,6900060)-(D4/1000)+(D7/1000)</f>
        <v>84796.432999999975</v>
      </c>
      <c r="E17" s="837"/>
      <c r="F17" s="838">
        <f>+D17+E17</f>
        <v>84796.432999999975</v>
      </c>
    </row>
    <row r="18" spans="2:6">
      <c r="B18" s="142">
        <v>5</v>
      </c>
      <c r="C18" s="535" t="s">
        <v>6874</v>
      </c>
      <c r="D18" s="837">
        <f>+SUMIFS('Income Statement Accounts'!R:R,'Income Statement Accounts'!B:B,6900080)+SUMIFS('Income Statement Accounts'!R:R,'Income Statement Accounts'!B:B,6900110)+SUMIFS('Income Statement Accounts'!R:R,'Income Statement Accounts'!B:B,6900120)+SUMIFS('Income Statement Accounts'!R:R,'Income Statement Accounts'!B:B,6900100)+SUMIFS('Income Statement Accounts'!R:R,'Income Statement Accounts'!B:B,6909000)</f>
        <v>-135.79069767399989</v>
      </c>
      <c r="E18" s="837"/>
      <c r="F18" s="838">
        <f>+D18+E18</f>
        <v>-135.79069767399989</v>
      </c>
    </row>
    <row r="19" spans="2:6">
      <c r="B19" s="142">
        <v>6</v>
      </c>
      <c r="C19" s="535" t="s">
        <v>6875</v>
      </c>
      <c r="D19" s="837">
        <f>+SUMIFS('Income Statement Accounts'!R:R,'Income Statement Accounts'!B:B,6900070)</f>
        <v>1825.5459990743998</v>
      </c>
      <c r="E19" s="837">
        <f>+(+SUMIFS('Surv Report Sched 2 pg 2'!L:L,'Surv Report Sched 2 pg 2'!B:B,"=Recoverable Fuel")+SUMIFS('Surv Report Sched 2 pg 2'!L:L,'Surv Report Sched 2 pg 2'!B:B,"=Recoverable Fuel - ROI")+SUMIFS('Surv Report Sched 2 pg 2'!L:L,'Surv Report Sched 2 pg 2'!B:B,"=GPIF Revenues/Penalties")+SUMIFS('Surv Report Sched 2 pg 2'!L:L,'Surv Report Sched 2 pg 2'!B:B,"=Recoverable ECCR")+SUMIFS('Surv Report Sched 2 pg 2'!L:L,'Surv Report Sched 2 pg 2'!B:B,"=Recoverable ECCR - ROI")+SUMIFS('Surv Report Sched 2 pg 2'!L:L,'Surv Report Sched 2 pg 2'!B:B,"=Recoverable ECRC")+SUMIFS('Surv Report Sched 2 pg 2'!L:L,'Surv Report Sched 2 pg 2'!B:B,"=Recoverable ECRC - ROI")+SUMIFS('Surv Report Sched 2 pg 2'!L:L,'Surv Report Sched 2 pg 2'!B:B,"=Recoverable SPPCRC")+SUMIFS('Surv Report Sched 2 pg 2'!L:L,'Surv Report Sched 2 pg 2'!B:B,"=Recoverable SPPCRC - ROI")+D4+SUMIFS('Surv Report Sched 2 pg 2'!L:L,'Surv Report Sched 2 pg 2'!B:B,"=Recoverable CETM")+SUMIFS('Surv Report Sched 2 pg 2'!L:L,'Surv Report Sched 2 pg 2'!B:B,"=Recoverable CETM - ROI"))/1000</f>
        <v>-693.9676451045741</v>
      </c>
      <c r="F19" s="838">
        <f>+D19+E19</f>
        <v>1131.5783539698257</v>
      </c>
    </row>
    <row r="20" spans="2:6">
      <c r="B20" s="142">
        <v>7</v>
      </c>
      <c r="C20" s="535" t="s">
        <v>6876</v>
      </c>
      <c r="D20" s="2752">
        <v>0</v>
      </c>
      <c r="E20" s="837"/>
      <c r="F20" s="838">
        <f>+D20+E20</f>
        <v>0</v>
      </c>
    </row>
    <row r="21" spans="2:6" ht="15" thickBot="1">
      <c r="B21" s="142">
        <v>8</v>
      </c>
      <c r="C21" s="535" t="s">
        <v>6877</v>
      </c>
      <c r="D21" s="1577">
        <f>+SUM(D16:D20)</f>
        <v>102848.40538834177</v>
      </c>
      <c r="E21" s="1577"/>
      <c r="F21" s="1303">
        <f>+SUM(F16:F20)</f>
        <v>102154.4377432372</v>
      </c>
    </row>
    <row r="22" spans="2:6" ht="15" thickTop="1">
      <c r="B22" s="142">
        <v>9</v>
      </c>
      <c r="C22" s="535"/>
      <c r="D22" s="653"/>
      <c r="E22" s="653"/>
      <c r="F22" s="536"/>
    </row>
    <row r="23" spans="2:6">
      <c r="B23" s="142">
        <v>10</v>
      </c>
      <c r="C23" s="1005" t="s">
        <v>6878</v>
      </c>
      <c r="D23" s="2687"/>
      <c r="E23" s="2687"/>
      <c r="F23" s="2689"/>
    </row>
    <row r="24" spans="2:6">
      <c r="B24" s="142">
        <v>11</v>
      </c>
      <c r="C24" s="2417" t="s">
        <v>1918</v>
      </c>
      <c r="D24" s="2657" t="s">
        <v>111</v>
      </c>
      <c r="E24" s="2657" t="s">
        <v>4762</v>
      </c>
      <c r="F24" s="2660" t="s">
        <v>3480</v>
      </c>
    </row>
    <row r="25" spans="2:6" ht="15" thickBot="1">
      <c r="B25" s="142">
        <v>12</v>
      </c>
      <c r="C25" s="2886" t="s">
        <v>5457</v>
      </c>
      <c r="D25" s="328"/>
      <c r="E25" s="328"/>
      <c r="F25" s="1303">
        <f>+F16</f>
        <v>16362.217086941397</v>
      </c>
    </row>
    <row r="26" spans="2:6" ht="15" thickTop="1">
      <c r="B26" s="142">
        <v>13</v>
      </c>
      <c r="C26" s="535"/>
      <c r="D26" s="328"/>
      <c r="E26" s="1014"/>
      <c r="F26" s="1015"/>
    </row>
    <row r="27" spans="2:6">
      <c r="B27" s="142">
        <v>14</v>
      </c>
      <c r="C27" s="2810" t="s">
        <v>6879</v>
      </c>
      <c r="D27" s="42">
        <f>+'0 MDS Labor O&amp;M'!D22</f>
        <v>32335.923285079385</v>
      </c>
      <c r="E27" s="877">
        <f>+'0 MDS Labor O&amp;M'!E22</f>
        <v>0.33393991748117813</v>
      </c>
      <c r="F27" s="838">
        <f>+$F$25*E27</f>
        <v>5463.9974238223331</v>
      </c>
    </row>
    <row r="28" spans="2:6">
      <c r="B28" s="142">
        <v>15</v>
      </c>
      <c r="C28" s="2810" t="s">
        <v>2255</v>
      </c>
      <c r="D28" s="42">
        <f>+'0 MDS Labor O&amp;M'!D23</f>
        <v>8536.8794286847842</v>
      </c>
      <c r="E28" s="877">
        <f>+'0 MDS Labor O&amp;M'!E23</f>
        <v>8.8162159058473452E-2</v>
      </c>
      <c r="F28" s="838">
        <f t="shared" ref="F28:F34" si="0">+$F$25*E28</f>
        <v>1442.5283853681995</v>
      </c>
    </row>
    <row r="29" spans="2:6">
      <c r="B29" s="142">
        <v>16</v>
      </c>
      <c r="C29" s="2810" t="s">
        <v>2246</v>
      </c>
      <c r="D29" s="42">
        <f>+'0 MDS Labor O&amp;M'!D24</f>
        <v>1370.2007609755603</v>
      </c>
      <c r="E29" s="877">
        <f>+'0 MDS Labor O&amp;M'!E24</f>
        <v>1.4150352999629922E-2</v>
      </c>
      <c r="F29" s="838">
        <f t="shared" si="0"/>
        <v>231.53114763679716</v>
      </c>
    </row>
    <row r="30" spans="2:6">
      <c r="B30" s="142">
        <v>17</v>
      </c>
      <c r="C30" s="2810" t="s">
        <v>2247</v>
      </c>
      <c r="D30" s="42">
        <f>+'0 MDS Labor O&amp;M'!D25</f>
        <v>3852.3647224962351</v>
      </c>
      <c r="E30" s="877">
        <f>+'0 MDS Labor O&amp;M'!E25</f>
        <v>3.9784185105714888E-2</v>
      </c>
      <c r="F30" s="838">
        <f t="shared" si="0"/>
        <v>650.95747332676751</v>
      </c>
    </row>
    <row r="31" spans="2:6">
      <c r="B31" s="142">
        <v>18</v>
      </c>
      <c r="C31" s="2810" t="s">
        <v>2249</v>
      </c>
      <c r="D31" s="42">
        <f>+'0 MDS Labor O&amp;M'!D26</f>
        <v>18918.831650768243</v>
      </c>
      <c r="E31" s="877">
        <f>+'0 MDS Labor O&amp;M'!E26</f>
        <v>0.1953787750112897</v>
      </c>
      <c r="F31" s="838">
        <f t="shared" si="0"/>
        <v>3196.8299309154031</v>
      </c>
    </row>
    <row r="32" spans="2:6">
      <c r="B32" s="142">
        <v>19</v>
      </c>
      <c r="C32" s="2810" t="s">
        <v>2250</v>
      </c>
      <c r="D32" s="42">
        <f>+'0 MDS Labor O&amp;M'!D27</f>
        <v>3263.6378967904961</v>
      </c>
      <c r="E32" s="877">
        <f>+'0 MDS Labor O&amp;M'!E27</f>
        <v>3.3704278685172187E-2</v>
      </c>
      <c r="F32" s="838">
        <f t="shared" si="0"/>
        <v>551.47672460555907</v>
      </c>
    </row>
    <row r="33" spans="2:6">
      <c r="B33" s="142">
        <v>20</v>
      </c>
      <c r="C33" s="2810" t="s">
        <v>2256</v>
      </c>
      <c r="D33" s="42">
        <f>+'0 MDS Labor O&amp;M'!D28</f>
        <v>12127.177467594054</v>
      </c>
      <c r="E33" s="877">
        <f>+'0 MDS Labor O&amp;M'!E28</f>
        <v>0.12523992610647422</v>
      </c>
      <c r="F33" s="838">
        <f t="shared" si="0"/>
        <v>2049.2028589066304</v>
      </c>
    </row>
    <row r="34" spans="2:6">
      <c r="B34" s="142">
        <v>21</v>
      </c>
      <c r="C34" s="2759" t="s">
        <v>2257</v>
      </c>
      <c r="D34" s="42">
        <f>+'0 MDS Labor O&amp;M'!D29</f>
        <v>16426.545174224604</v>
      </c>
      <c r="E34" s="877">
        <f>+'0 MDS Labor O&amp;M'!E29</f>
        <v>0.1696404055520675</v>
      </c>
      <c r="F34" s="838">
        <f t="shared" si="0"/>
        <v>2775.6931423597071</v>
      </c>
    </row>
    <row r="35" spans="2:6" ht="15" thickBot="1">
      <c r="B35" s="142">
        <v>22</v>
      </c>
      <c r="C35" s="3022" t="s">
        <v>6877</v>
      </c>
      <c r="D35" s="655">
        <f>+SUM(D27:D34)</f>
        <v>96831.560386613361</v>
      </c>
      <c r="E35" s="1576">
        <f>+SUM(E27:E34)</f>
        <v>1</v>
      </c>
      <c r="F35" s="3023">
        <f>+SUM(F27:F34)</f>
        <v>16362.217086941397</v>
      </c>
    </row>
    <row r="36" spans="2:6" ht="15" thickTop="1">
      <c r="B36" s="142">
        <v>23</v>
      </c>
      <c r="C36" s="535"/>
      <c r="D36" s="653"/>
      <c r="E36" s="653"/>
      <c r="F36" s="536"/>
    </row>
    <row r="37" spans="2:6">
      <c r="B37" s="142">
        <v>24</v>
      </c>
      <c r="C37" s="1005" t="s">
        <v>6880</v>
      </c>
      <c r="D37" s="2687"/>
      <c r="E37" s="2687"/>
      <c r="F37" s="2689"/>
    </row>
    <row r="38" spans="2:6">
      <c r="B38" s="142">
        <v>25</v>
      </c>
      <c r="C38" s="2417" t="s">
        <v>1918</v>
      </c>
      <c r="D38" s="2657" t="s">
        <v>4187</v>
      </c>
      <c r="E38" s="2657" t="s">
        <v>6881</v>
      </c>
      <c r="F38" s="2660" t="s">
        <v>3480</v>
      </c>
    </row>
    <row r="39" spans="2:6" ht="15" thickBot="1">
      <c r="B39" s="142">
        <v>26</v>
      </c>
      <c r="C39" s="2886" t="s">
        <v>6873</v>
      </c>
      <c r="D39" s="328"/>
      <c r="E39" s="328"/>
      <c r="F39" s="1303">
        <f>+F17</f>
        <v>84796.432999999975</v>
      </c>
    </row>
    <row r="40" spans="2:6" ht="15" thickTop="1">
      <c r="B40" s="142">
        <v>27</v>
      </c>
      <c r="C40" s="535"/>
      <c r="D40" s="328"/>
      <c r="E40" s="328"/>
      <c r="F40" s="1015"/>
    </row>
    <row r="41" spans="2:6">
      <c r="B41" s="142">
        <v>28</v>
      </c>
      <c r="C41" s="2810" t="s">
        <v>2254</v>
      </c>
      <c r="D41" s="42">
        <f>+'0 MDS REPORTS'!F1439</f>
        <v>7225506.9599943599</v>
      </c>
      <c r="E41" s="921">
        <f>+D41/$D$49</f>
        <v>0.53279144238762954</v>
      </c>
      <c r="F41" s="838">
        <f>+$F$39*E41</f>
        <v>45178.813847395977</v>
      </c>
    </row>
    <row r="42" spans="2:6">
      <c r="B42" s="142">
        <v>29</v>
      </c>
      <c r="C42" s="2810" t="s">
        <v>2255</v>
      </c>
      <c r="D42" s="42">
        <f>+'0 MDS REPORTS'!F1440</f>
        <v>680548.35013101739</v>
      </c>
      <c r="E42" s="921">
        <f t="shared" ref="E42:E48" si="1">+D42/$D$49</f>
        <v>5.0181992639186296E-2</v>
      </c>
      <c r="F42" s="838">
        <f t="shared" ref="F42:F48" si="2">+$F$39*E42</f>
        <v>4255.2539766352529</v>
      </c>
    </row>
    <row r="43" spans="2:6">
      <c r="B43" s="142">
        <v>30</v>
      </c>
      <c r="C43" s="2810" t="s">
        <v>2246</v>
      </c>
      <c r="D43" s="42">
        <f>+'0 MDS REPORTS'!F1441</f>
        <v>570453.0494615928</v>
      </c>
      <c r="E43" s="921">
        <f t="shared" si="1"/>
        <v>4.2063830914544034E-2</v>
      </c>
      <c r="F43" s="838">
        <f t="shared" si="2"/>
        <v>3566.862819868461</v>
      </c>
    </row>
    <row r="44" spans="2:6">
      <c r="B44" s="142">
        <v>31</v>
      </c>
      <c r="C44" s="2810" t="s">
        <v>2247</v>
      </c>
      <c r="D44" s="42">
        <f>+'0 MDS REPORTS'!F1442</f>
        <v>594794.14105170744</v>
      </c>
      <c r="E44" s="921">
        <f t="shared" si="1"/>
        <v>4.3858684254163081E-2</v>
      </c>
      <c r="F44" s="838">
        <f t="shared" si="2"/>
        <v>3719.0599808262937</v>
      </c>
    </row>
    <row r="45" spans="2:6">
      <c r="B45" s="142">
        <v>32</v>
      </c>
      <c r="C45" s="2810" t="s">
        <v>2249</v>
      </c>
      <c r="D45" s="42">
        <f>+'0 MDS REPORTS'!F1443</f>
        <v>2159330.6162942359</v>
      </c>
      <c r="E45" s="921">
        <f t="shared" si="1"/>
        <v>0.15922382747909955</v>
      </c>
      <c r="F45" s="838">
        <f t="shared" si="2"/>
        <v>13501.612618835021</v>
      </c>
    </row>
    <row r="46" spans="2:6">
      <c r="B46" s="142">
        <v>33</v>
      </c>
      <c r="C46" s="2810" t="s">
        <v>2250</v>
      </c>
      <c r="D46" s="42">
        <f>+'0 MDS REPORTS'!F1444</f>
        <v>1074798.1722257815</v>
      </c>
      <c r="E46" s="921">
        <f t="shared" si="1"/>
        <v>7.9253022884944957E-2</v>
      </c>
      <c r="F46" s="838">
        <f t="shared" si="2"/>
        <v>6720.3736451106997</v>
      </c>
    </row>
    <row r="47" spans="2:6">
      <c r="B47" s="142">
        <v>34</v>
      </c>
      <c r="C47" s="2810" t="s">
        <v>2256</v>
      </c>
      <c r="D47" s="42">
        <f>+'0 MDS REPORTS'!F1445</f>
        <v>1011029.595133958</v>
      </c>
      <c r="E47" s="921">
        <f t="shared" si="1"/>
        <v>7.4550881934023233E-2</v>
      </c>
      <c r="F47" s="838">
        <f t="shared" si="2"/>
        <v>6321.6488650093097</v>
      </c>
    </row>
    <row r="48" spans="2:6">
      <c r="B48" s="142">
        <v>35</v>
      </c>
      <c r="C48" s="2810" t="s">
        <v>2257</v>
      </c>
      <c r="D48" s="42">
        <f>+'0 MDS REPORTS'!F1446</f>
        <v>245143.87349825987</v>
      </c>
      <c r="E48" s="921">
        <f t="shared" si="1"/>
        <v>1.8076317506409326E-2</v>
      </c>
      <c r="F48" s="838">
        <f t="shared" si="2"/>
        <v>1532.8072463189651</v>
      </c>
    </row>
    <row r="49" spans="2:6" ht="15" thickBot="1">
      <c r="B49" s="142">
        <v>36</v>
      </c>
      <c r="C49" s="3022" t="s">
        <v>115</v>
      </c>
      <c r="D49" s="655">
        <f>+SUM(D41:D48)</f>
        <v>13561604.757790912</v>
      </c>
      <c r="E49" s="1576">
        <f>+SUM(E41:E48)</f>
        <v>1</v>
      </c>
      <c r="F49" s="3023">
        <f>+SUM(F41:F48)</f>
        <v>84796.432999999961</v>
      </c>
    </row>
    <row r="50" spans="2:6" ht="15" thickTop="1">
      <c r="B50" s="142">
        <v>37</v>
      </c>
      <c r="C50" s="535"/>
      <c r="D50" s="328"/>
      <c r="E50" s="328"/>
      <c r="F50" s="536"/>
    </row>
    <row r="51" spans="2:6">
      <c r="B51" s="142">
        <v>38</v>
      </c>
      <c r="C51" s="1005" t="s">
        <v>6882</v>
      </c>
      <c r="D51" s="2687"/>
      <c r="E51" s="2687"/>
      <c r="F51" s="2689"/>
    </row>
    <row r="52" spans="2:6">
      <c r="B52" s="142">
        <v>39</v>
      </c>
      <c r="C52" s="2417" t="s">
        <v>1918</v>
      </c>
      <c r="D52" s="2657" t="s">
        <v>2305</v>
      </c>
      <c r="E52" s="2657" t="s">
        <v>6883</v>
      </c>
      <c r="F52" s="2660" t="s">
        <v>3480</v>
      </c>
    </row>
    <row r="53" spans="2:6" ht="15" thickBot="1">
      <c r="B53" s="142">
        <v>40</v>
      </c>
      <c r="C53" s="2886" t="s">
        <v>6884</v>
      </c>
      <c r="D53" s="328"/>
      <c r="E53" s="328"/>
      <c r="F53" s="1303">
        <f>+F19</f>
        <v>1131.5783539698257</v>
      </c>
    </row>
    <row r="54" spans="2:6" ht="15" thickTop="1">
      <c r="B54" s="142">
        <v>41</v>
      </c>
      <c r="C54" s="535"/>
      <c r="D54" s="328"/>
      <c r="E54" s="328"/>
      <c r="F54" s="1015"/>
    </row>
    <row r="55" spans="2:6">
      <c r="B55" s="142">
        <v>42</v>
      </c>
      <c r="C55" s="2810" t="s">
        <v>2254</v>
      </c>
      <c r="D55" s="42">
        <f>+'0 MDS REPORTS'!F1509</f>
        <v>5483176.4189962763</v>
      </c>
      <c r="E55" s="921">
        <f>+D55/$D$63</f>
        <v>0.55629536248632949</v>
      </c>
      <c r="F55" s="838">
        <f>+$F$53*E55</f>
        <v>629.49179060332824</v>
      </c>
    </row>
    <row r="56" spans="2:6">
      <c r="B56" s="142">
        <v>43</v>
      </c>
      <c r="C56" s="2810" t="s">
        <v>2255</v>
      </c>
      <c r="D56" s="42">
        <f>+'0 MDS REPORTS'!F1510</f>
        <v>412366.90327200451</v>
      </c>
      <c r="E56" s="921">
        <f t="shared" ref="E56:E62" si="3">+D56/$D$63</f>
        <v>4.1836661526761049E-2</v>
      </c>
      <c r="F56" s="838">
        <f t="shared" ref="F56:F62" si="4">+$F$53*E56</f>
        <v>47.341460586045002</v>
      </c>
    </row>
    <row r="57" spans="2:6">
      <c r="B57" s="142">
        <v>44</v>
      </c>
      <c r="C57" s="2810" t="s">
        <v>2246</v>
      </c>
      <c r="D57" s="42">
        <f>+'0 MDS REPORTS'!F1511</f>
        <v>432533.37598961761</v>
      </c>
      <c r="E57" s="921">
        <f t="shared" si="3"/>
        <v>4.3882649908905579E-2</v>
      </c>
      <c r="F57" s="838">
        <f t="shared" si="4"/>
        <v>49.656656751753495</v>
      </c>
    </row>
    <row r="58" spans="2:6">
      <c r="B58" s="142">
        <v>45</v>
      </c>
      <c r="C58" s="2810" t="s">
        <v>2247</v>
      </c>
      <c r="D58" s="42">
        <f>+'0 MDS REPORTS'!F1512</f>
        <v>469527.01948490978</v>
      </c>
      <c r="E58" s="921">
        <f t="shared" si="3"/>
        <v>4.7635837978252937E-2</v>
      </c>
      <c r="F58" s="838">
        <f t="shared" si="4"/>
        <v>53.903683129404769</v>
      </c>
    </row>
    <row r="59" spans="2:6">
      <c r="B59" s="142">
        <v>46</v>
      </c>
      <c r="C59" s="2810" t="s">
        <v>2249</v>
      </c>
      <c r="D59" s="42">
        <f>+'0 MDS REPORTS'!F1513</f>
        <v>1529952.1493482229</v>
      </c>
      <c r="E59" s="921">
        <f t="shared" si="3"/>
        <v>0.15522121129639083</v>
      </c>
      <c r="F59" s="838">
        <f t="shared" si="4"/>
        <v>175.64496277997245</v>
      </c>
    </row>
    <row r="60" spans="2:6">
      <c r="B60" s="142">
        <v>47</v>
      </c>
      <c r="C60" s="2810" t="s">
        <v>2250</v>
      </c>
      <c r="D60" s="42">
        <f>+'0 MDS REPORTS'!F1514</f>
        <v>672570.78039095167</v>
      </c>
      <c r="E60" s="921">
        <f t="shared" si="3"/>
        <v>6.8235631591038196E-2</v>
      </c>
      <c r="F60" s="838">
        <f t="shared" si="4"/>
        <v>77.213963677878439</v>
      </c>
    </row>
    <row r="61" spans="2:6">
      <c r="B61" s="142">
        <v>48</v>
      </c>
      <c r="C61" s="2810" t="s">
        <v>2256</v>
      </c>
      <c r="D61" s="42">
        <f>+'0 MDS REPORTS'!F1515</f>
        <v>656038.10090762004</v>
      </c>
      <c r="E61" s="921">
        <f t="shared" si="3"/>
        <v>6.6558309501931701E-2</v>
      </c>
      <c r="F61" s="838">
        <f t="shared" si="4"/>
        <v>75.315942309210087</v>
      </c>
    </row>
    <row r="62" spans="2:6">
      <c r="B62" s="142">
        <v>49</v>
      </c>
      <c r="C62" s="2810" t="s">
        <v>2257</v>
      </c>
      <c r="D62" s="42">
        <f>+'0 MDS REPORTS'!F1516</f>
        <v>200427.25066920705</v>
      </c>
      <c r="E62" s="921">
        <f t="shared" si="3"/>
        <v>2.0334335710390113E-2</v>
      </c>
      <c r="F62" s="838">
        <f t="shared" si="4"/>
        <v>23.009894132233089</v>
      </c>
    </row>
    <row r="63" spans="2:6" ht="15" thickBot="1">
      <c r="B63" s="142">
        <v>50</v>
      </c>
      <c r="C63" s="3022" t="s">
        <v>115</v>
      </c>
      <c r="D63" s="655">
        <f>+SUM(D55:D62)</f>
        <v>9856591.999058811</v>
      </c>
      <c r="E63" s="1576">
        <f>+SUM(E55:E62)</f>
        <v>0.99999999999999989</v>
      </c>
      <c r="F63" s="3023">
        <f>+SUM(F55:F62)</f>
        <v>1131.5783539698255</v>
      </c>
    </row>
    <row r="64" spans="2:6" ht="15" thickTop="1">
      <c r="B64" s="142">
        <v>51</v>
      </c>
      <c r="C64" s="3032"/>
      <c r="D64" s="328"/>
      <c r="E64" s="328"/>
      <c r="F64" s="536"/>
    </row>
    <row r="65" spans="2:6">
      <c r="B65" s="142">
        <v>52</v>
      </c>
      <c r="C65" s="1005" t="s">
        <v>6885</v>
      </c>
      <c r="D65" s="2687"/>
      <c r="E65" s="2687"/>
      <c r="F65" s="2689"/>
    </row>
    <row r="66" spans="2:6">
      <c r="B66" s="142">
        <v>53</v>
      </c>
      <c r="C66" s="2417" t="s">
        <v>1918</v>
      </c>
      <c r="D66" s="2657" t="s">
        <v>2305</v>
      </c>
      <c r="E66" s="2657" t="s">
        <v>6883</v>
      </c>
      <c r="F66" s="2660" t="s">
        <v>3480</v>
      </c>
    </row>
    <row r="67" spans="2:6" ht="15" thickBot="1">
      <c r="B67" s="142">
        <v>54</v>
      </c>
      <c r="C67" s="2886" t="s">
        <v>6886</v>
      </c>
      <c r="D67" s="328"/>
      <c r="E67" s="328"/>
      <c r="F67" s="1303">
        <f>+F18</f>
        <v>-135.79069767399989</v>
      </c>
    </row>
    <row r="68" spans="2:6" ht="15" thickTop="1">
      <c r="B68" s="142">
        <v>55</v>
      </c>
      <c r="C68" s="535"/>
      <c r="D68" s="328"/>
      <c r="E68" s="328"/>
      <c r="F68" s="1015"/>
    </row>
    <row r="69" spans="2:6">
      <c r="B69" s="142">
        <v>56</v>
      </c>
      <c r="C69" s="2810" t="s">
        <v>2254</v>
      </c>
      <c r="D69" s="42">
        <f>+'0 MDS REPORTS'!F1509</f>
        <v>5483176.4189962763</v>
      </c>
      <c r="E69" s="921">
        <f>+D69/$D$77</f>
        <v>0.55629536248632949</v>
      </c>
      <c r="F69" s="838">
        <f>+$F$67*E69</f>
        <v>-75.539735384829342</v>
      </c>
    </row>
    <row r="70" spans="2:6">
      <c r="B70" s="142">
        <v>57</v>
      </c>
      <c r="C70" s="2810" t="s">
        <v>2255</v>
      </c>
      <c r="D70" s="42">
        <f>+'0 MDS REPORTS'!F1510</f>
        <v>412366.90327200451</v>
      </c>
      <c r="E70" s="921">
        <f t="shared" ref="E70:E76" si="5">+D70/$D$77</f>
        <v>4.1836661526761049E-2</v>
      </c>
      <c r="F70" s="838">
        <f t="shared" ref="F70:F76" si="6">+$F$67*E70</f>
        <v>-5.6810294570698723</v>
      </c>
    </row>
    <row r="71" spans="2:6">
      <c r="B71" s="142">
        <v>58</v>
      </c>
      <c r="C71" s="2810" t="s">
        <v>2246</v>
      </c>
      <c r="D71" s="42">
        <f>+'0 MDS REPORTS'!F1511</f>
        <v>432533.37598961761</v>
      </c>
      <c r="E71" s="921">
        <f t="shared" si="5"/>
        <v>4.3882649908905579E-2</v>
      </c>
      <c r="F71" s="838">
        <f t="shared" si="6"/>
        <v>-5.9588556469141762</v>
      </c>
    </row>
    <row r="72" spans="2:6">
      <c r="B72" s="142">
        <v>59</v>
      </c>
      <c r="C72" s="2810" t="s">
        <v>2247</v>
      </c>
      <c r="D72" s="42">
        <f>+'0 MDS REPORTS'!F1512</f>
        <v>469527.01948490978</v>
      </c>
      <c r="E72" s="921">
        <f t="shared" si="5"/>
        <v>4.7635837978252937E-2</v>
      </c>
      <c r="F72" s="838">
        <f t="shared" si="6"/>
        <v>-6.4685036733525862</v>
      </c>
    </row>
    <row r="73" spans="2:6">
      <c r="B73" s="142">
        <v>60</v>
      </c>
      <c r="C73" s="2810" t="s">
        <v>2249</v>
      </c>
      <c r="D73" s="42">
        <f>+'0 MDS REPORTS'!F1513</f>
        <v>1529952.1493482229</v>
      </c>
      <c r="E73" s="921">
        <f t="shared" si="5"/>
        <v>0.15522121129639083</v>
      </c>
      <c r="F73" s="838">
        <f t="shared" si="6"/>
        <v>-21.077596575740262</v>
      </c>
    </row>
    <row r="74" spans="2:6">
      <c r="B74" s="142">
        <v>61</v>
      </c>
      <c r="C74" s="2810" t="s">
        <v>2250</v>
      </c>
      <c r="D74" s="42">
        <f>+'0 MDS REPORTS'!F1514</f>
        <v>672570.78039095167</v>
      </c>
      <c r="E74" s="921">
        <f t="shared" si="5"/>
        <v>6.8235631591038196E-2</v>
      </c>
      <c r="F74" s="838">
        <f t="shared" si="6"/>
        <v>-9.2657640199731031</v>
      </c>
    </row>
    <row r="75" spans="2:6">
      <c r="B75" s="142">
        <v>62</v>
      </c>
      <c r="C75" s="2810" t="s">
        <v>2256</v>
      </c>
      <c r="D75" s="42">
        <f>+'0 MDS REPORTS'!F1515</f>
        <v>656038.10090762004</v>
      </c>
      <c r="E75" s="921">
        <f t="shared" si="5"/>
        <v>6.6558309501931701E-2</v>
      </c>
      <c r="F75" s="838">
        <f t="shared" si="6"/>
        <v>-9.0379992832693219</v>
      </c>
    </row>
    <row r="76" spans="2:6">
      <c r="B76" s="142">
        <v>63</v>
      </c>
      <c r="C76" s="2810" t="s">
        <v>2257</v>
      </c>
      <c r="D76" s="42">
        <f>+'0 MDS REPORTS'!F1516</f>
        <v>200427.25066920705</v>
      </c>
      <c r="E76" s="921">
        <f t="shared" si="5"/>
        <v>2.0334335710390113E-2</v>
      </c>
      <c r="F76" s="838">
        <f t="shared" si="6"/>
        <v>-2.7612136328512036</v>
      </c>
    </row>
    <row r="77" spans="2:6" ht="15" thickBot="1">
      <c r="B77" s="142">
        <v>64</v>
      </c>
      <c r="C77" s="3022" t="s">
        <v>115</v>
      </c>
      <c r="D77" s="655">
        <f>+SUM(D69:D76)</f>
        <v>9856591.999058811</v>
      </c>
      <c r="E77" s="1576">
        <f>+SUM(E69:E76)</f>
        <v>0.99999999999999989</v>
      </c>
      <c r="F77" s="3023">
        <f>+SUM(F69:F76)</f>
        <v>-135.79069767399986</v>
      </c>
    </row>
    <row r="78" spans="2:6" ht="15" thickTop="1">
      <c r="B78" s="142">
        <v>65</v>
      </c>
      <c r="C78" s="535"/>
      <c r="D78" s="328"/>
      <c r="E78" s="328"/>
      <c r="F78" s="536"/>
    </row>
    <row r="79" spans="2:6">
      <c r="B79" s="142">
        <v>66</v>
      </c>
      <c r="C79" s="1005" t="s">
        <v>6887</v>
      </c>
      <c r="D79" s="2687"/>
      <c r="E79" s="2687"/>
      <c r="F79" s="2689"/>
    </row>
    <row r="80" spans="2:6">
      <c r="B80" s="142">
        <v>67</v>
      </c>
      <c r="C80" s="2417" t="s">
        <v>1918</v>
      </c>
      <c r="D80" s="77"/>
      <c r="E80" s="77"/>
      <c r="F80" s="2660" t="s">
        <v>6888</v>
      </c>
    </row>
    <row r="81" spans="2:6">
      <c r="B81" s="142">
        <v>68</v>
      </c>
      <c r="C81" s="2831" t="s">
        <v>6889</v>
      </c>
      <c r="D81" s="328"/>
      <c r="E81" s="328"/>
      <c r="F81" s="1015"/>
    </row>
    <row r="82" spans="2:6">
      <c r="B82" s="142">
        <v>69</v>
      </c>
      <c r="C82" s="2810" t="s">
        <v>6879</v>
      </c>
      <c r="D82" s="42"/>
      <c r="E82" s="921"/>
      <c r="F82" s="838">
        <f>+F27+F41+F55+F69</f>
        <v>51196.763326436805</v>
      </c>
    </row>
    <row r="83" spans="2:6">
      <c r="B83" s="142">
        <v>70</v>
      </c>
      <c r="C83" s="2810" t="s">
        <v>2255</v>
      </c>
      <c r="D83" s="42"/>
      <c r="E83" s="921"/>
      <c r="F83" s="838">
        <f t="shared" ref="F83:F89" si="7">+F28+F42+F56+F70</f>
        <v>5739.4427931324281</v>
      </c>
    </row>
    <row r="84" spans="2:6">
      <c r="B84" s="142">
        <v>71</v>
      </c>
      <c r="C84" s="2810" t="s">
        <v>2246</v>
      </c>
      <c r="D84" s="42"/>
      <c r="E84" s="921"/>
      <c r="F84" s="838">
        <f t="shared" si="7"/>
        <v>3842.091768610097</v>
      </c>
    </row>
    <row r="85" spans="2:6">
      <c r="B85" s="142">
        <v>72</v>
      </c>
      <c r="C85" s="2810" t="s">
        <v>2247</v>
      </c>
      <c r="D85" s="42"/>
      <c r="E85" s="921"/>
      <c r="F85" s="838">
        <f t="shared" si="7"/>
        <v>4417.4526336091139</v>
      </c>
    </row>
    <row r="86" spans="2:6">
      <c r="B86" s="142">
        <v>73</v>
      </c>
      <c r="C86" s="2810" t="s">
        <v>2249</v>
      </c>
      <c r="D86" s="42"/>
      <c r="E86" s="921"/>
      <c r="F86" s="838">
        <f t="shared" si="7"/>
        <v>16853.009915954655</v>
      </c>
    </row>
    <row r="87" spans="2:6">
      <c r="B87" s="142">
        <v>74</v>
      </c>
      <c r="C87" s="2810" t="s">
        <v>2250</v>
      </c>
      <c r="D87" s="42"/>
      <c r="E87" s="921"/>
      <c r="F87" s="838">
        <f t="shared" si="7"/>
        <v>7339.7985693741639</v>
      </c>
    </row>
    <row r="88" spans="2:6">
      <c r="B88" s="142">
        <v>75</v>
      </c>
      <c r="C88" s="2810" t="s">
        <v>2256</v>
      </c>
      <c r="D88" s="42"/>
      <c r="E88" s="921"/>
      <c r="F88" s="838">
        <f t="shared" si="7"/>
        <v>8437.1296669418807</v>
      </c>
    </row>
    <row r="89" spans="2:6">
      <c r="B89" s="142">
        <v>76</v>
      </c>
      <c r="C89" s="2810" t="s">
        <v>2257</v>
      </c>
      <c r="D89" s="42"/>
      <c r="E89" s="921"/>
      <c r="F89" s="838">
        <f t="shared" si="7"/>
        <v>4328.749069178054</v>
      </c>
    </row>
    <row r="90" spans="2:6" ht="15" thickBot="1">
      <c r="B90" s="142">
        <v>77</v>
      </c>
      <c r="C90" s="3022" t="s">
        <v>6877</v>
      </c>
      <c r="D90" s="655"/>
      <c r="E90" s="1576"/>
      <c r="F90" s="3023">
        <f>+SUM(F82:F89)</f>
        <v>102154.4377432372</v>
      </c>
    </row>
    <row r="91" spans="2:6" ht="15" thickTop="1">
      <c r="B91" s="2926"/>
      <c r="C91" s="616"/>
      <c r="D91" s="297"/>
      <c r="E91" s="297"/>
      <c r="F91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B1:R115"/>
  <sheetViews>
    <sheetView tabSelected="1" showOutlineSymbols="0"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2107" t="s">
        <v>116</v>
      </c>
    </row>
    <row r="2" spans="2:6" ht="15" thickBot="1">
      <c r="C2" s="2107"/>
    </row>
    <row r="3" spans="2:6" ht="15" thickBot="1">
      <c r="C3" s="517" t="s">
        <v>35</v>
      </c>
      <c r="D3" s="116" t="s">
        <v>4536</v>
      </c>
    </row>
    <row r="4" spans="2:6">
      <c r="C4" s="260" t="s">
        <v>6935</v>
      </c>
      <c r="D4" s="2255">
        <v>182346952</v>
      </c>
    </row>
    <row r="5" spans="2:6">
      <c r="C5" s="260" t="s">
        <v>8393</v>
      </c>
      <c r="D5" s="2705">
        <f>+'Surv Report Sched 2 pg 2'!N50</f>
        <v>-9168520.0639201738</v>
      </c>
    </row>
    <row r="6" spans="2:6">
      <c r="C6" s="260" t="s">
        <v>8394</v>
      </c>
      <c r="D6" s="2705">
        <f>+'Surv Report Sched 2 pg 2'!P50</f>
        <v>14283684.749999985</v>
      </c>
    </row>
    <row r="7" spans="2:6">
      <c r="C7" s="260" t="s">
        <v>8395</v>
      </c>
      <c r="D7" s="2705">
        <f>+'Surv Report Sched 2 pg 2'!R50</f>
        <v>-12876021</v>
      </c>
    </row>
    <row r="8" spans="2:6">
      <c r="C8" s="260" t="s">
        <v>8396</v>
      </c>
      <c r="D8" s="2705">
        <f>+REPORTS!F25*1000</f>
        <v>67414930.018134937</v>
      </c>
    </row>
    <row r="9" spans="2:6">
      <c r="C9" s="260" t="s">
        <v>6936</v>
      </c>
      <c r="D9" s="2705">
        <f>+SUM(D5:D7)-D8</f>
        <v>-75175786.332055122</v>
      </c>
    </row>
    <row r="10" spans="2:6" ht="15" thickBot="1">
      <c r="C10" s="3033" t="s">
        <v>8397</v>
      </c>
      <c r="D10" s="2648">
        <v>591787</v>
      </c>
    </row>
    <row r="11" spans="2:6">
      <c r="C11" s="2107"/>
    </row>
    <row r="12" spans="2:6">
      <c r="C12" s="2107"/>
    </row>
    <row r="14" spans="2:6">
      <c r="B14" s="962" t="s">
        <v>2173</v>
      </c>
      <c r="C14" s="957"/>
      <c r="D14" s="957"/>
      <c r="E14" s="957"/>
      <c r="F14" s="963"/>
    </row>
    <row r="15" spans="2:6">
      <c r="B15" s="353" t="s">
        <v>6901</v>
      </c>
      <c r="F15" s="296"/>
    </row>
    <row r="16" spans="2:6">
      <c r="B16" s="2552" t="s">
        <v>9263</v>
      </c>
      <c r="C16" s="1962"/>
      <c r="D16" s="1962"/>
      <c r="E16" s="2262"/>
      <c r="F16" s="2649"/>
    </row>
    <row r="17" spans="2:6">
      <c r="B17" s="616"/>
      <c r="C17" s="297"/>
      <c r="D17" s="297"/>
      <c r="E17" s="297"/>
      <c r="F17" s="298"/>
    </row>
    <row r="18" spans="2:6">
      <c r="B18" s="354" t="s">
        <v>2175</v>
      </c>
      <c r="C18" s="355" t="s">
        <v>2176</v>
      </c>
      <c r="D18" s="355" t="s">
        <v>2177</v>
      </c>
      <c r="E18" s="355" t="s">
        <v>2178</v>
      </c>
      <c r="F18" s="356" t="s">
        <v>2179</v>
      </c>
    </row>
    <row r="19" spans="2:6">
      <c r="B19" s="3034">
        <v>1</v>
      </c>
      <c r="C19" s="1005" t="s">
        <v>6902</v>
      </c>
      <c r="D19" s="2479"/>
      <c r="E19" s="2479"/>
      <c r="F19" s="450"/>
    </row>
    <row r="20" spans="2:6">
      <c r="B20" s="142">
        <v>2</v>
      </c>
      <c r="C20" s="2497" t="s">
        <v>1918</v>
      </c>
      <c r="D20" s="2687"/>
      <c r="E20" s="2687"/>
      <c r="F20" s="1961" t="s">
        <v>3480</v>
      </c>
    </row>
    <row r="21" spans="2:6">
      <c r="B21" s="142">
        <v>3</v>
      </c>
      <c r="C21" s="353" t="s">
        <v>6903</v>
      </c>
      <c r="D21" s="328"/>
      <c r="E21" s="328"/>
      <c r="F21" s="1587">
        <f>+SUMIFS('Surv Report Sched 2 pg 2'!T:T,'Surv Report Sched 2 pg 2'!B:B,"=FPSC Adjusted")/1000</f>
        <v>0</v>
      </c>
    </row>
    <row r="22" spans="2:6">
      <c r="B22" s="142">
        <v>4</v>
      </c>
      <c r="C22" s="353" t="s">
        <v>6904</v>
      </c>
      <c r="D22" s="328"/>
      <c r="E22" s="328"/>
      <c r="F22" s="1588">
        <f>+D4</f>
        <v>182346952</v>
      </c>
    </row>
    <row r="23" spans="2:6">
      <c r="B23" s="142">
        <v>5</v>
      </c>
      <c r="C23" s="357"/>
      <c r="D23" s="328"/>
      <c r="E23" s="328"/>
      <c r="F23" s="1588"/>
    </row>
    <row r="24" spans="2:6">
      <c r="B24" s="142">
        <v>6</v>
      </c>
      <c r="C24" s="62" t="s">
        <v>6905</v>
      </c>
      <c r="D24" s="290"/>
      <c r="E24" s="79"/>
      <c r="F24" s="903"/>
    </row>
    <row r="25" spans="2:6">
      <c r="B25" s="142">
        <v>7</v>
      </c>
      <c r="C25" s="96" t="s">
        <v>6906</v>
      </c>
      <c r="D25" s="290"/>
      <c r="E25" s="79"/>
      <c r="F25" s="903">
        <f>+SUMIFS('Income Tax Input'!J:J,'Income Tax Input'!A:A,'Income Taxes'!C25)</f>
        <v>0</v>
      </c>
    </row>
    <row r="26" spans="2:6">
      <c r="B26" s="142">
        <v>8</v>
      </c>
      <c r="C26" s="96" t="s">
        <v>6907</v>
      </c>
      <c r="D26" s="290"/>
      <c r="E26" s="79"/>
      <c r="F26" s="903">
        <f>+SUMIFS('Income Tax Input'!J:J,'Income Tax Input'!A:A,'Income Taxes'!C26)</f>
        <v>1000</v>
      </c>
    </row>
    <row r="27" spans="2:6">
      <c r="B27" s="142">
        <v>9</v>
      </c>
      <c r="C27" s="96" t="s">
        <v>6908</v>
      </c>
      <c r="D27" s="290"/>
      <c r="E27" s="79"/>
      <c r="F27" s="903">
        <f>+SUMIFS('Income Tax Input'!J:J,'Income Tax Input'!A:A,'Income Taxes'!C27)</f>
        <v>867734</v>
      </c>
    </row>
    <row r="28" spans="2:6">
      <c r="B28" s="142">
        <v>10</v>
      </c>
      <c r="C28" s="96" t="s">
        <v>1159</v>
      </c>
      <c r="D28" s="290"/>
      <c r="E28" s="79"/>
      <c r="F28" s="903">
        <f>+SUMIFS('Income Tax Input'!J:J,'Income Tax Input'!A:A,'Income Taxes'!C28)</f>
        <v>75000</v>
      </c>
    </row>
    <row r="29" spans="2:6">
      <c r="B29" s="142">
        <v>11</v>
      </c>
      <c r="C29" s="96" t="s">
        <v>6960</v>
      </c>
      <c r="D29" s="290"/>
      <c r="E29" s="79"/>
      <c r="F29" s="903">
        <f>+SUMIFS('Income Tax Input'!J:J,'Income Tax Input'!A:A,'Income Taxes'!C29)</f>
        <v>6244879.1800000006</v>
      </c>
    </row>
    <row r="30" spans="2:6">
      <c r="B30" s="142">
        <v>12</v>
      </c>
      <c r="C30" s="96" t="s">
        <v>6909</v>
      </c>
      <c r="D30" s="290"/>
      <c r="E30" s="79"/>
      <c r="F30" s="903">
        <f>+SUMIFS('Income Tax Input'!J:J,'Income Tax Input'!A:A,'Income Taxes'!C30)</f>
        <v>131158</v>
      </c>
    </row>
    <row r="31" spans="2:6">
      <c r="B31" s="142">
        <v>13</v>
      </c>
      <c r="C31" s="413" t="s">
        <v>6910</v>
      </c>
      <c r="D31" s="414"/>
      <c r="E31" s="896"/>
      <c r="F31" s="897">
        <f>+SUM(F25:F30)</f>
        <v>7319771.1800000006</v>
      </c>
    </row>
    <row r="32" spans="2:6">
      <c r="B32" s="142">
        <v>14</v>
      </c>
      <c r="C32" s="357"/>
      <c r="D32" s="328"/>
      <c r="E32" s="328"/>
      <c r="F32" s="1588"/>
    </row>
    <row r="33" spans="2:10">
      <c r="B33" s="142">
        <v>15</v>
      </c>
      <c r="C33" s="357"/>
      <c r="D33" s="328"/>
      <c r="E33" s="328"/>
      <c r="F33" s="1588"/>
    </row>
    <row r="34" spans="2:10">
      <c r="B34" s="142">
        <v>16</v>
      </c>
      <c r="C34" s="62" t="s">
        <v>6911</v>
      </c>
      <c r="D34" s="290"/>
      <c r="E34" s="79"/>
      <c r="F34" s="903"/>
    </row>
    <row r="35" spans="2:10">
      <c r="B35" s="142">
        <v>17</v>
      </c>
      <c r="C35" s="2497" t="s">
        <v>6912</v>
      </c>
      <c r="D35" s="414"/>
      <c r="E35" s="896"/>
      <c r="F35" s="897">
        <f>+SUMIFS('Surv Report Sched 2 pg 2'!N:N,'Surv Report Sched 2 pg 2'!B:B,"=Parent Debt Adjustment")</f>
        <v>-12936000</v>
      </c>
    </row>
    <row r="36" spans="2:10">
      <c r="B36" s="142">
        <v>18</v>
      </c>
      <c r="C36" s="96" t="s">
        <v>6913</v>
      </c>
      <c r="D36" s="290"/>
      <c r="E36" s="79"/>
      <c r="F36" s="903"/>
    </row>
    <row r="37" spans="2:10">
      <c r="B37" s="142">
        <v>19</v>
      </c>
      <c r="C37" s="62"/>
      <c r="D37" s="290"/>
      <c r="E37" s="79"/>
      <c r="F37" s="903"/>
    </row>
    <row r="38" spans="2:10">
      <c r="B38" s="142">
        <v>20</v>
      </c>
      <c r="C38" s="531" t="s">
        <v>6914</v>
      </c>
      <c r="D38" s="290"/>
      <c r="E38" s="79"/>
      <c r="F38" s="903"/>
    </row>
    <row r="39" spans="2:10">
      <c r="B39" s="142">
        <v>21</v>
      </c>
      <c r="C39" s="96" t="s">
        <v>6915</v>
      </c>
      <c r="D39" s="290"/>
      <c r="E39" s="79"/>
      <c r="F39" s="903">
        <f>+SUMIFS('Income Tax Input'!J:J,'Income Tax Input'!A:A,'Income Taxes'!C39)</f>
        <v>0</v>
      </c>
    </row>
    <row r="40" spans="2:10">
      <c r="B40" s="142">
        <v>22</v>
      </c>
      <c r="C40" s="96" t="s">
        <v>8674</v>
      </c>
      <c r="D40" s="290"/>
      <c r="E40" s="79"/>
      <c r="F40" s="1728">
        <f>+'Income Tax Input'!J96</f>
        <v>0</v>
      </c>
    </row>
    <row r="41" spans="2:10">
      <c r="B41" s="142">
        <v>23</v>
      </c>
      <c r="C41" s="96"/>
      <c r="D41" s="290"/>
      <c r="E41" s="79"/>
      <c r="F41" s="903"/>
    </row>
    <row r="42" spans="2:10">
      <c r="B42" s="142">
        <v>24</v>
      </c>
      <c r="C42" s="531" t="s">
        <v>9431</v>
      </c>
      <c r="D42" s="290"/>
      <c r="E42" s="79"/>
      <c r="F42" s="903"/>
    </row>
    <row r="43" spans="2:10">
      <c r="B43" s="142">
        <v>25</v>
      </c>
      <c r="C43" s="96" t="s">
        <v>6917</v>
      </c>
      <c r="D43" s="290" t="s">
        <v>9432</v>
      </c>
      <c r="E43" s="79"/>
      <c r="F43" s="903">
        <f>+SUMIFS('Income Tax Input'!J:J,'Income Tax Input'!A:A,'Income Taxes'!C43)</f>
        <v>-26794647.939999998</v>
      </c>
    </row>
    <row r="44" spans="2:10">
      <c r="B44" s="142">
        <v>26</v>
      </c>
      <c r="C44" s="96" t="s">
        <v>9355</v>
      </c>
      <c r="D44" s="290"/>
      <c r="E44" s="79"/>
      <c r="F44" s="903">
        <v>-35387805</v>
      </c>
    </row>
    <row r="45" spans="2:10">
      <c r="B45" s="142">
        <v>27</v>
      </c>
      <c r="C45" s="96"/>
      <c r="D45" s="290"/>
      <c r="E45" s="79"/>
      <c r="F45" s="903"/>
    </row>
    <row r="46" spans="2:10">
      <c r="B46" s="142">
        <v>28</v>
      </c>
      <c r="C46" s="96" t="s">
        <v>6919</v>
      </c>
      <c r="D46" s="290"/>
      <c r="E46" s="79"/>
      <c r="F46" s="1728">
        <v>-1800000</v>
      </c>
    </row>
    <row r="47" spans="2:10">
      <c r="B47" s="142">
        <v>29</v>
      </c>
      <c r="C47" s="96"/>
      <c r="D47" s="290"/>
      <c r="E47" s="79"/>
      <c r="F47" s="903"/>
    </row>
    <row r="48" spans="2:10">
      <c r="B48" s="142">
        <v>30</v>
      </c>
      <c r="C48" s="96" t="s">
        <v>9440</v>
      </c>
      <c r="D48" s="290"/>
      <c r="E48" s="79"/>
      <c r="F48" s="1728">
        <v>-12876018.899999999</v>
      </c>
      <c r="I48" s="3035"/>
      <c r="J48" s="64"/>
    </row>
    <row r="49" spans="2:6">
      <c r="B49" s="142">
        <v>31</v>
      </c>
      <c r="C49" s="413" t="s">
        <v>6920</v>
      </c>
      <c r="D49" s="414"/>
      <c r="E49" s="896"/>
      <c r="F49" s="897">
        <f>+SUM(F39:F48)</f>
        <v>-76858471.840000004</v>
      </c>
    </row>
    <row r="50" spans="2:6">
      <c r="B50" s="142">
        <v>32</v>
      </c>
      <c r="C50" s="357"/>
      <c r="D50" s="328"/>
      <c r="E50" s="328"/>
      <c r="F50" s="1588"/>
    </row>
    <row r="51" spans="2:6">
      <c r="B51" s="142">
        <v>33</v>
      </c>
      <c r="C51" s="353" t="s">
        <v>6921</v>
      </c>
      <c r="D51" s="328"/>
      <c r="E51" s="328"/>
      <c r="F51" s="1588">
        <f>+D10</f>
        <v>591787</v>
      </c>
    </row>
    <row r="52" spans="2:6">
      <c r="B52" s="142">
        <v>34</v>
      </c>
      <c r="C52" s="353"/>
      <c r="D52" s="328"/>
      <c r="E52" s="328"/>
      <c r="F52" s="1588"/>
    </row>
    <row r="53" spans="2:6">
      <c r="B53" s="142">
        <v>35</v>
      </c>
      <c r="C53" s="353" t="s">
        <v>6912</v>
      </c>
      <c r="D53" s="328"/>
      <c r="E53" s="328"/>
      <c r="F53" s="1588">
        <f>+F35</f>
        <v>-12936000</v>
      </c>
    </row>
    <row r="54" spans="2:6">
      <c r="B54" s="142">
        <v>36</v>
      </c>
      <c r="C54" s="357"/>
      <c r="D54" s="328"/>
      <c r="E54" s="328"/>
      <c r="F54" s="1588"/>
    </row>
    <row r="55" spans="2:6">
      <c r="B55" s="142">
        <v>37</v>
      </c>
      <c r="C55" s="413" t="s">
        <v>6922</v>
      </c>
      <c r="D55" s="414"/>
      <c r="E55" s="896"/>
      <c r="F55" s="908">
        <f>+SUM(F49:F53)</f>
        <v>-89202684.840000004</v>
      </c>
    </row>
    <row r="56" spans="2:6">
      <c r="B56" s="142">
        <v>38</v>
      </c>
      <c r="C56" s="616"/>
      <c r="D56" s="3036"/>
      <c r="E56" s="3036"/>
      <c r="F56" s="547"/>
    </row>
    <row r="57" spans="2:6">
      <c r="B57" s="142">
        <v>39</v>
      </c>
      <c r="C57" s="1005" t="s">
        <v>6923</v>
      </c>
      <c r="D57" s="2687"/>
      <c r="E57" s="2687"/>
      <c r="F57" s="2689"/>
    </row>
    <row r="58" spans="2:6">
      <c r="B58" s="142">
        <v>40</v>
      </c>
      <c r="C58" s="2526" t="s">
        <v>1918</v>
      </c>
      <c r="D58" s="2657" t="s">
        <v>6924</v>
      </c>
      <c r="E58" s="2657" t="s">
        <v>6925</v>
      </c>
      <c r="F58" s="2660" t="s">
        <v>3480</v>
      </c>
    </row>
    <row r="59" spans="2:6" ht="15" thickBot="1">
      <c r="B59" s="142">
        <v>41</v>
      </c>
      <c r="C59" s="2886" t="s">
        <v>6926</v>
      </c>
      <c r="D59" s="328"/>
      <c r="E59" s="328"/>
      <c r="F59" s="447">
        <f>+'Surv Report Sched 2 pg 2'!T50</f>
        <v>0</v>
      </c>
    </row>
    <row r="60" spans="2:6" ht="15" thickTop="1">
      <c r="B60" s="142">
        <v>42</v>
      </c>
      <c r="C60" s="357"/>
      <c r="D60" s="328"/>
      <c r="E60" s="1014"/>
      <c r="F60" s="1015"/>
    </row>
    <row r="61" spans="2:6">
      <c r="B61" s="142">
        <v>43</v>
      </c>
      <c r="C61" s="2810" t="s">
        <v>2254</v>
      </c>
      <c r="D61" s="42">
        <f>+REPORTS!F1006</f>
        <v>7199153.5139943594</v>
      </c>
      <c r="E61" s="877">
        <f>+D61/$D$69</f>
        <v>0.533582471487832</v>
      </c>
      <c r="F61" s="838">
        <f>+$F$59*E61</f>
        <v>0</v>
      </c>
    </row>
    <row r="62" spans="2:6">
      <c r="B62" s="142">
        <v>44</v>
      </c>
      <c r="C62" s="2810" t="s">
        <v>2255</v>
      </c>
      <c r="D62" s="42">
        <f>+REPORTS!F1007</f>
        <v>680548.35013101739</v>
      </c>
      <c r="E62" s="877">
        <f t="shared" ref="E62:E68" si="0">+D62/$D$69</f>
        <v>5.0440467747213988E-2</v>
      </c>
      <c r="F62" s="838">
        <f t="shared" ref="F62:F68" si="1">+$F$59*E62</f>
        <v>0</v>
      </c>
    </row>
    <row r="63" spans="2:6">
      <c r="B63" s="142">
        <v>45</v>
      </c>
      <c r="C63" s="2810" t="s">
        <v>2246</v>
      </c>
      <c r="D63" s="42">
        <f>+REPORTS!F1008</f>
        <v>559079.92351655953</v>
      </c>
      <c r="E63" s="877">
        <f t="shared" si="0"/>
        <v>4.1437544951542157E-2</v>
      </c>
      <c r="F63" s="838">
        <f t="shared" si="1"/>
        <v>0</v>
      </c>
    </row>
    <row r="64" spans="2:6">
      <c r="B64" s="142">
        <v>46</v>
      </c>
      <c r="C64" s="2810" t="s">
        <v>2247</v>
      </c>
      <c r="D64" s="42">
        <f>+REPORTS!F1009</f>
        <v>583616.65599674068</v>
      </c>
      <c r="E64" s="877">
        <f t="shared" si="0"/>
        <v>4.3256143531716994E-2</v>
      </c>
      <c r="F64" s="838">
        <f t="shared" si="1"/>
        <v>0</v>
      </c>
    </row>
    <row r="65" spans="2:6">
      <c r="B65" s="142">
        <v>47</v>
      </c>
      <c r="C65" s="2810" t="s">
        <v>2249</v>
      </c>
      <c r="D65" s="42">
        <f>+REPORTS!F1010</f>
        <v>2138740.1301561045</v>
      </c>
      <c r="E65" s="877">
        <f t="shared" si="0"/>
        <v>0.15851783717357135</v>
      </c>
      <c r="F65" s="838">
        <f t="shared" si="1"/>
        <v>0</v>
      </c>
    </row>
    <row r="66" spans="2:6">
      <c r="B66" s="142">
        <v>48</v>
      </c>
      <c r="C66" s="2810" t="s">
        <v>2250</v>
      </c>
      <c r="D66" s="42">
        <f>+REPORTS!F1011</f>
        <v>1074798.1721466575</v>
      </c>
      <c r="E66" s="877">
        <f t="shared" si="0"/>
        <v>7.9661235717478435E-2</v>
      </c>
      <c r="F66" s="838">
        <f t="shared" si="1"/>
        <v>0</v>
      </c>
    </row>
    <row r="67" spans="2:6">
      <c r="B67" s="142">
        <v>49</v>
      </c>
      <c r="C67" s="2810" t="s">
        <v>2256</v>
      </c>
      <c r="D67" s="42">
        <f>+REPORTS!F1012</f>
        <v>1011029.5953512132</v>
      </c>
      <c r="E67" s="877">
        <f t="shared" si="0"/>
        <v>7.493487521639558E-2</v>
      </c>
      <c r="F67" s="838">
        <f t="shared" si="1"/>
        <v>0</v>
      </c>
    </row>
    <row r="68" spans="2:6">
      <c r="B68" s="142">
        <v>50</v>
      </c>
      <c r="C68" s="2810" t="s">
        <v>2257</v>
      </c>
      <c r="D68" s="42">
        <f>+REPORTS!F1013</f>
        <v>245143.87349825987</v>
      </c>
      <c r="E68" s="877">
        <f t="shared" si="0"/>
        <v>1.8169424174249445E-2</v>
      </c>
      <c r="F68" s="838">
        <f t="shared" si="1"/>
        <v>0</v>
      </c>
    </row>
    <row r="69" spans="2:6" ht="15" thickBot="1">
      <c r="B69" s="142">
        <v>51</v>
      </c>
      <c r="C69" s="3022" t="s">
        <v>115</v>
      </c>
      <c r="D69" s="655">
        <f>+SUM(D61:D68)</f>
        <v>13492110.214790912</v>
      </c>
      <c r="E69" s="1576">
        <f>+SUM(E61:E68)</f>
        <v>1</v>
      </c>
      <c r="F69" s="3023">
        <f>+SUM(F61:F68)</f>
        <v>0</v>
      </c>
    </row>
    <row r="70" spans="2:6" ht="15" thickTop="1">
      <c r="B70" s="142">
        <v>52</v>
      </c>
      <c r="C70" s="357"/>
      <c r="D70" s="653"/>
      <c r="E70" s="653"/>
      <c r="F70" s="536"/>
    </row>
    <row r="71" spans="2:6">
      <c r="B71" s="142">
        <v>53</v>
      </c>
      <c r="C71" s="357"/>
      <c r="D71" s="328"/>
      <c r="E71" s="328"/>
      <c r="F71" s="536"/>
    </row>
    <row r="72" spans="2:6">
      <c r="B72" s="142">
        <v>54</v>
      </c>
      <c r="C72" s="1005" t="s">
        <v>6927</v>
      </c>
      <c r="D72" s="2687"/>
      <c r="E72" s="2687"/>
      <c r="F72" s="2689"/>
    </row>
    <row r="73" spans="2:6">
      <c r="B73" s="142">
        <v>55</v>
      </c>
      <c r="C73" s="2526" t="s">
        <v>1918</v>
      </c>
      <c r="D73" s="2657" t="s">
        <v>2305</v>
      </c>
      <c r="E73" s="2657" t="s">
        <v>6883</v>
      </c>
      <c r="F73" s="2660" t="s">
        <v>3480</v>
      </c>
    </row>
    <row r="74" spans="2:6" ht="15" thickBot="1">
      <c r="B74" s="142">
        <v>56</v>
      </c>
      <c r="C74" s="2886" t="s">
        <v>6928</v>
      </c>
      <c r="D74" s="328"/>
      <c r="E74" s="328"/>
      <c r="F74" s="1585">
        <f>+F22/1000</f>
        <v>182346.95199999999</v>
      </c>
    </row>
    <row r="75" spans="2:6" ht="15" thickTop="1">
      <c r="B75" s="142">
        <v>57</v>
      </c>
      <c r="C75" s="357"/>
      <c r="D75" s="328"/>
      <c r="E75" s="328"/>
      <c r="F75" s="1015"/>
    </row>
    <row r="76" spans="2:6">
      <c r="B76" s="142">
        <v>58</v>
      </c>
      <c r="C76" s="2810" t="s">
        <v>2254</v>
      </c>
      <c r="D76" s="42">
        <f>+REPORTS!F1509</f>
        <v>5483176.4189962763</v>
      </c>
      <c r="E76" s="921">
        <f>+D76/$D$84</f>
        <v>0.55629536248632949</v>
      </c>
      <c r="F76" s="838">
        <f>+$F$74*E76</f>
        <v>101438.76376111731</v>
      </c>
    </row>
    <row r="77" spans="2:6">
      <c r="B77" s="142">
        <v>59</v>
      </c>
      <c r="C77" s="2810" t="s">
        <v>2255</v>
      </c>
      <c r="D77" s="42">
        <f>+REPORTS!F1510</f>
        <v>412366.90327200451</v>
      </c>
      <c r="E77" s="921">
        <f t="shared" ref="E77:E83" si="2">+D77/$D$84</f>
        <v>4.1836661526761049E-2</v>
      </c>
      <c r="F77" s="838">
        <f t="shared" ref="F77:F82" si="3">+$F$74*E77</f>
        <v>7628.7877112605429</v>
      </c>
    </row>
    <row r="78" spans="2:6">
      <c r="B78" s="142">
        <v>60</v>
      </c>
      <c r="C78" s="2810" t="s">
        <v>2246</v>
      </c>
      <c r="D78" s="42">
        <f>+REPORTS!F1511</f>
        <v>432533.37598961761</v>
      </c>
      <c r="E78" s="921">
        <f t="shared" si="2"/>
        <v>4.3882649908905579E-2</v>
      </c>
      <c r="F78" s="838">
        <f t="shared" si="3"/>
        <v>8001.8674565720094</v>
      </c>
    </row>
    <row r="79" spans="2:6">
      <c r="B79" s="142">
        <v>61</v>
      </c>
      <c r="C79" s="2810" t="s">
        <v>2247</v>
      </c>
      <c r="D79" s="42">
        <f>+REPORTS!F1512</f>
        <v>469527.01948490978</v>
      </c>
      <c r="E79" s="921">
        <f t="shared" si="2"/>
        <v>4.7635837978252937E-2</v>
      </c>
      <c r="F79" s="838">
        <f t="shared" si="3"/>
        <v>8686.2498613002645</v>
      </c>
    </row>
    <row r="80" spans="2:6">
      <c r="B80" s="142">
        <v>62</v>
      </c>
      <c r="C80" s="2810" t="s">
        <v>2249</v>
      </c>
      <c r="D80" s="42">
        <f>+REPORTS!F1513</f>
        <v>1529952.1492352316</v>
      </c>
      <c r="E80" s="921">
        <f t="shared" si="2"/>
        <v>0.1552212112849273</v>
      </c>
      <c r="F80" s="838">
        <f t="shared" si="3"/>
        <v>28304.114763554495</v>
      </c>
    </row>
    <row r="81" spans="2:14">
      <c r="B81" s="142">
        <v>63</v>
      </c>
      <c r="C81" s="2810" t="s">
        <v>2250</v>
      </c>
      <c r="D81" s="42">
        <f>+REPORTS!F1514</f>
        <v>672570.78032622824</v>
      </c>
      <c r="E81" s="921">
        <f t="shared" si="2"/>
        <v>6.8235631584471684E-2</v>
      </c>
      <c r="F81" s="838">
        <f t="shared" si="3"/>
        <v>12442.559437223341</v>
      </c>
    </row>
    <row r="82" spans="2:14">
      <c r="B82" s="142">
        <v>64</v>
      </c>
      <c r="C82" s="2810" t="s">
        <v>2256</v>
      </c>
      <c r="D82" s="42">
        <f>+REPORTS!F1515</f>
        <v>656038.10108533443</v>
      </c>
      <c r="E82" s="921">
        <f t="shared" si="2"/>
        <v>6.6558309519961709E-2</v>
      </c>
      <c r="F82" s="838">
        <f t="shared" si="3"/>
        <v>12136.7048712376</v>
      </c>
    </row>
    <row r="83" spans="2:14">
      <c r="B83" s="142">
        <v>65</v>
      </c>
      <c r="C83" s="2810" t="s">
        <v>2257</v>
      </c>
      <c r="D83" s="42">
        <f>+REPORTS!F1516</f>
        <v>200427.25066920705</v>
      </c>
      <c r="E83" s="921">
        <f t="shared" si="2"/>
        <v>2.0334335710390113E-2</v>
      </c>
      <c r="F83" s="838">
        <f>+$F$74*E83</f>
        <v>3707.9041377343915</v>
      </c>
    </row>
    <row r="84" spans="2:14" ht="15" thickBot="1">
      <c r="B84" s="142">
        <v>66</v>
      </c>
      <c r="C84" s="3022" t="s">
        <v>115</v>
      </c>
      <c r="D84" s="655">
        <f>+SUM(D76:D83)</f>
        <v>9856591.999058811</v>
      </c>
      <c r="E84" s="1576">
        <f>+SUM(E76:E83)</f>
        <v>0.99999999999999967</v>
      </c>
      <c r="F84" s="3023">
        <f>+SUM(F76:F83)</f>
        <v>182346.95199999996</v>
      </c>
    </row>
    <row r="85" spans="2:14" ht="15" thickTop="1">
      <c r="B85" s="142">
        <v>67</v>
      </c>
      <c r="C85" s="357"/>
      <c r="D85" s="328"/>
      <c r="E85" s="328"/>
      <c r="F85" s="536"/>
    </row>
    <row r="86" spans="2:14">
      <c r="B86" s="142">
        <v>68</v>
      </c>
      <c r="C86" s="357"/>
      <c r="D86" s="328"/>
      <c r="E86" s="328"/>
      <c r="F86" s="536"/>
    </row>
    <row r="87" spans="2:14">
      <c r="B87" s="142">
        <v>69</v>
      </c>
      <c r="C87" s="1005" t="s">
        <v>6929</v>
      </c>
      <c r="D87" s="2687"/>
      <c r="E87" s="2687"/>
      <c r="F87" s="2689"/>
    </row>
    <row r="88" spans="2:14">
      <c r="B88" s="142">
        <v>70</v>
      </c>
      <c r="C88" s="2526" t="s">
        <v>1918</v>
      </c>
      <c r="D88" s="2657" t="s">
        <v>6930</v>
      </c>
      <c r="E88" s="2657" t="s">
        <v>6883</v>
      </c>
      <c r="F88" s="2660" t="s">
        <v>3480</v>
      </c>
    </row>
    <row r="89" spans="2:14" ht="15" thickBot="1">
      <c r="B89" s="142">
        <v>71</v>
      </c>
      <c r="C89" s="2886" t="s">
        <v>6931</v>
      </c>
      <c r="D89" s="328"/>
      <c r="E89" s="328"/>
      <c r="F89" s="447">
        <f>+F31/1000</f>
        <v>7319.7711800000006</v>
      </c>
    </row>
    <row r="90" spans="2:14" ht="15" thickTop="1">
      <c r="B90" s="142">
        <v>72</v>
      </c>
      <c r="C90" s="357"/>
      <c r="D90" s="328"/>
      <c r="E90" s="328"/>
      <c r="F90" s="1015"/>
    </row>
    <row r="91" spans="2:14">
      <c r="B91" s="142">
        <v>73</v>
      </c>
      <c r="C91" s="2810" t="s">
        <v>2254</v>
      </c>
      <c r="D91" s="42">
        <f>+REPORTS!F1509</f>
        <v>5483176.4189962763</v>
      </c>
      <c r="E91" s="921">
        <f>+D91/$D$99</f>
        <v>0.55629536248632949</v>
      </c>
      <c r="F91" s="838">
        <f>+$F$89*E91</f>
        <v>4071.9547618950883</v>
      </c>
      <c r="L91" s="50"/>
    </row>
    <row r="92" spans="2:14">
      <c r="B92" s="142">
        <v>74</v>
      </c>
      <c r="C92" s="2810" t="s">
        <v>2255</v>
      </c>
      <c r="D92" s="42">
        <f>+REPORTS!F1510</f>
        <v>412366.90327200451</v>
      </c>
      <c r="E92" s="921">
        <f t="shared" ref="E92:E98" si="4">+D92/$D$99</f>
        <v>4.1836661526761049E-2</v>
      </c>
      <c r="F92" s="838">
        <f t="shared" ref="F92:F98" si="5">+$F$89*E92</f>
        <v>306.23478931100033</v>
      </c>
      <c r="N92" s="2394"/>
    </row>
    <row r="93" spans="2:14">
      <c r="B93" s="142">
        <v>75</v>
      </c>
      <c r="C93" s="2810" t="s">
        <v>2246</v>
      </c>
      <c r="D93" s="42">
        <f>+REPORTS!F1511</f>
        <v>432533.37598961761</v>
      </c>
      <c r="E93" s="921">
        <f t="shared" si="4"/>
        <v>4.3882649908905579E-2</v>
      </c>
      <c r="F93" s="838">
        <f t="shared" si="5"/>
        <v>321.21095610523673</v>
      </c>
      <c r="L93" s="42"/>
      <c r="M93" s="921"/>
      <c r="N93" s="2394"/>
    </row>
    <row r="94" spans="2:14">
      <c r="B94" s="142">
        <v>76</v>
      </c>
      <c r="C94" s="2810" t="s">
        <v>2247</v>
      </c>
      <c r="D94" s="42">
        <f>+REPORTS!F1512</f>
        <v>469527.01948490978</v>
      </c>
      <c r="E94" s="921">
        <f t="shared" si="4"/>
        <v>4.7635837978252937E-2</v>
      </c>
      <c r="F94" s="838">
        <f t="shared" si="5"/>
        <v>348.68343396836536</v>
      </c>
      <c r="L94" s="42"/>
      <c r="M94" s="921"/>
      <c r="N94" s="2394"/>
    </row>
    <row r="95" spans="2:14">
      <c r="B95" s="142">
        <v>77</v>
      </c>
      <c r="C95" s="2810" t="s">
        <v>2249</v>
      </c>
      <c r="D95" s="42">
        <f>+REPORTS!F1513</f>
        <v>1529952.1492352316</v>
      </c>
      <c r="E95" s="921">
        <f t="shared" si="4"/>
        <v>0.1552212112849273</v>
      </c>
      <c r="F95" s="838">
        <f t="shared" si="5"/>
        <v>1136.1837488881017</v>
      </c>
      <c r="L95" s="42"/>
      <c r="M95" s="921"/>
      <c r="N95" s="2394"/>
    </row>
    <row r="96" spans="2:14">
      <c r="B96" s="142">
        <v>78</v>
      </c>
      <c r="C96" s="2810" t="s">
        <v>2250</v>
      </c>
      <c r="D96" s="42">
        <f>+REPORTS!F1514</f>
        <v>672570.78032622824</v>
      </c>
      <c r="E96" s="921">
        <f t="shared" si="4"/>
        <v>6.8235631584471684E-2</v>
      </c>
      <c r="F96" s="838">
        <f t="shared" si="5"/>
        <v>499.46920952111361</v>
      </c>
      <c r="L96" s="42"/>
      <c r="M96" s="921"/>
      <c r="N96" s="2394"/>
    </row>
    <row r="97" spans="2:18">
      <c r="B97" s="142">
        <v>79</v>
      </c>
      <c r="C97" s="2810" t="s">
        <v>2256</v>
      </c>
      <c r="D97" s="42">
        <f>+REPORTS!F1515</f>
        <v>656038.10108533443</v>
      </c>
      <c r="E97" s="921">
        <f t="shared" si="4"/>
        <v>6.6558309519961709E-2</v>
      </c>
      <c r="F97" s="838">
        <f t="shared" si="5"/>
        <v>487.19159581373538</v>
      </c>
      <c r="L97" s="42"/>
      <c r="M97" s="921"/>
      <c r="N97" s="2394"/>
    </row>
    <row r="98" spans="2:18">
      <c r="B98" s="142">
        <v>80</v>
      </c>
      <c r="C98" s="2810" t="s">
        <v>2257</v>
      </c>
      <c r="D98" s="42">
        <f>+REPORTS!F1516</f>
        <v>200427.25066920705</v>
      </c>
      <c r="E98" s="921">
        <f t="shared" si="4"/>
        <v>2.0334335710390113E-2</v>
      </c>
      <c r="F98" s="838">
        <f t="shared" si="5"/>
        <v>148.84268449735839</v>
      </c>
      <c r="L98" s="42"/>
      <c r="M98" s="921"/>
      <c r="N98" s="2394"/>
    </row>
    <row r="99" spans="2:18" ht="15" thickBot="1">
      <c r="B99" s="142">
        <v>81</v>
      </c>
      <c r="C99" s="3022" t="s">
        <v>115</v>
      </c>
      <c r="D99" s="655">
        <f>+SUM(D91:D98)</f>
        <v>9856591.999058811</v>
      </c>
      <c r="E99" s="1576">
        <f>+SUM(E91:E98)</f>
        <v>0.99999999999999967</v>
      </c>
      <c r="F99" s="3023">
        <f>+SUM(F91:F98)</f>
        <v>7319.7711799999997</v>
      </c>
      <c r="L99" s="42"/>
      <c r="M99" s="921"/>
      <c r="N99" s="2394"/>
    </row>
    <row r="100" spans="2:18" ht="15" thickTop="1">
      <c r="B100" s="142">
        <v>82</v>
      </c>
      <c r="C100" s="357"/>
      <c r="D100" s="328"/>
      <c r="E100" s="328"/>
      <c r="F100" s="536"/>
      <c r="L100" s="42"/>
      <c r="M100" s="921"/>
      <c r="N100" s="2394"/>
    </row>
    <row r="101" spans="2:18">
      <c r="B101" s="142">
        <v>83</v>
      </c>
      <c r="C101" s="357"/>
      <c r="D101" s="328"/>
      <c r="E101" s="328"/>
      <c r="F101" s="536"/>
      <c r="L101" s="162"/>
      <c r="N101" s="2394"/>
    </row>
    <row r="102" spans="2:18">
      <c r="B102" s="142">
        <v>84</v>
      </c>
      <c r="C102" s="1005" t="s">
        <v>6932</v>
      </c>
      <c r="D102" s="2687"/>
      <c r="E102" s="2687"/>
      <c r="F102" s="2689"/>
    </row>
    <row r="103" spans="2:18">
      <c r="B103" s="142">
        <v>85</v>
      </c>
      <c r="C103" s="2526" t="s">
        <v>1918</v>
      </c>
      <c r="D103" s="2657" t="s">
        <v>6930</v>
      </c>
      <c r="E103" s="2657" t="s">
        <v>6883</v>
      </c>
      <c r="F103" s="3037" t="s">
        <v>3480</v>
      </c>
    </row>
    <row r="104" spans="2:18" ht="15" thickBot="1">
      <c r="B104" s="142">
        <v>86</v>
      </c>
      <c r="C104" s="2886" t="s">
        <v>6933</v>
      </c>
      <c r="D104" s="2689"/>
      <c r="E104" s="328"/>
      <c r="F104" s="447">
        <f>+F55/1000</f>
        <v>-89202.684840000002</v>
      </c>
      <c r="H104" s="50" t="s">
        <v>9321</v>
      </c>
      <c r="I104" s="50"/>
      <c r="J104" s="50"/>
      <c r="L104" s="50" t="s">
        <v>9322</v>
      </c>
      <c r="P104" s="50" t="s">
        <v>9442</v>
      </c>
    </row>
    <row r="105" spans="2:18" ht="15" thickTop="1">
      <c r="B105" s="142">
        <v>87</v>
      </c>
      <c r="C105" s="3038"/>
      <c r="D105" s="328"/>
      <c r="E105" s="328"/>
      <c r="F105" s="1015"/>
      <c r="H105" t="s">
        <v>9319</v>
      </c>
      <c r="L105" t="s">
        <v>9320</v>
      </c>
      <c r="P105" t="s">
        <v>9434</v>
      </c>
    </row>
    <row r="106" spans="2:18">
      <c r="B106" s="142">
        <v>88</v>
      </c>
      <c r="C106" s="2810" t="s">
        <v>2254</v>
      </c>
      <c r="D106" s="42">
        <f>+REPORTS!F1509</f>
        <v>5483176.4189962763</v>
      </c>
      <c r="E106" s="921">
        <f>+D106/$D$114</f>
        <v>0.55629536248632949</v>
      </c>
      <c r="F106" s="838">
        <f>+J106+N106+R106</f>
        <v>-68582.838555723458</v>
      </c>
      <c r="H106" s="42">
        <v>5507464.3824273944</v>
      </c>
      <c r="I106" s="921">
        <v>0.55865186152413859</v>
      </c>
      <c r="J106" s="2394">
        <f>+($F$104-$F$53/1000-$F$44/1000-$F$48/1000)*I106</f>
        <v>-15643.85039213259</v>
      </c>
      <c r="L106" s="42">
        <v>5507464.3824273944</v>
      </c>
      <c r="M106" s="921">
        <f>+L106/$L$114</f>
        <v>0.61420702063808075</v>
      </c>
      <c r="N106" s="2394">
        <f>+$F$53/1000*M106</f>
        <v>-7945.3820189742128</v>
      </c>
      <c r="P106" s="1952">
        <v>5507464.3824273944</v>
      </c>
      <c r="Q106" s="921">
        <f>+P106/$P$114</f>
        <v>0.93224287901101555</v>
      </c>
      <c r="R106" s="2394">
        <f>+($F$44/1000+$F$48/1000)*Q106</f>
        <v>-44993.606144616664</v>
      </c>
    </row>
    <row r="107" spans="2:18">
      <c r="B107" s="142">
        <v>89</v>
      </c>
      <c r="C107" s="2810" t="s">
        <v>2255</v>
      </c>
      <c r="D107" s="42">
        <f>+REPORTS!F1510</f>
        <v>412366.90327200451</v>
      </c>
      <c r="E107" s="921">
        <f t="shared" ref="E107:E113" si="6">+D107/$D$114</f>
        <v>4.1836661526761049E-2</v>
      </c>
      <c r="F107" s="838">
        <f>+J107+N107+R107</f>
        <v>-4743.2198332172475</v>
      </c>
      <c r="H107" s="42">
        <v>400292.60496850213</v>
      </c>
      <c r="I107" s="921">
        <v>3.1979487843529261E-2</v>
      </c>
      <c r="J107" s="2394">
        <f t="shared" ref="J107:J113" si="7">+($F$104-$F$53/1000-$F$44/1000-$F$48/1000)*I107</f>
        <v>-895.51715101477043</v>
      </c>
      <c r="L107" s="42">
        <v>400292.60496850213</v>
      </c>
      <c r="M107" s="921">
        <f>+L107/$L$114</f>
        <v>4.4641691930978396E-2</v>
      </c>
      <c r="N107" s="2394">
        <f>+$F$53/1000*M107</f>
        <v>-577.48492681913649</v>
      </c>
      <c r="P107" s="1952">
        <v>400292.60496850213</v>
      </c>
      <c r="Q107" s="921">
        <f>+P107/$P$114</f>
        <v>6.7757120988984468E-2</v>
      </c>
      <c r="R107" s="2394">
        <f>+($F$44/1000+$F$48/1000)*Q107</f>
        <v>-3270.2177553833403</v>
      </c>
    </row>
    <row r="108" spans="2:18">
      <c r="B108" s="142">
        <v>90</v>
      </c>
      <c r="C108" s="2810" t="s">
        <v>2246</v>
      </c>
      <c r="D108" s="42">
        <f>+REPORTS!F1511</f>
        <v>432533.37598961761</v>
      </c>
      <c r="E108" s="921">
        <f t="shared" si="6"/>
        <v>4.3882649908905579E-2</v>
      </c>
      <c r="F108" s="838">
        <f t="shared" ref="F108:F113" si="8">+J108+N108</f>
        <v>-1523.2640792379241</v>
      </c>
      <c r="H108" s="42">
        <v>439704.78427541954</v>
      </c>
      <c r="I108" s="921">
        <v>5.4396730480565106E-2</v>
      </c>
      <c r="J108" s="2394">
        <f t="shared" si="7"/>
        <v>-1523.2640792379241</v>
      </c>
      <c r="L108" s="42"/>
      <c r="M108" s="921"/>
      <c r="N108" s="2394"/>
      <c r="P108" s="2394"/>
    </row>
    <row r="109" spans="2:18">
      <c r="B109" s="142">
        <v>91</v>
      </c>
      <c r="C109" s="2810" t="s">
        <v>2247</v>
      </c>
      <c r="D109" s="42">
        <f>+REPORTS!F1512</f>
        <v>469527.01948490978</v>
      </c>
      <c r="E109" s="921">
        <f t="shared" si="6"/>
        <v>4.7635837978252937E-2</v>
      </c>
      <c r="F109" s="838">
        <f t="shared" si="8"/>
        <v>-1138.8649161845626</v>
      </c>
      <c r="H109" s="42">
        <v>450098.82362195494</v>
      </c>
      <c r="I109" s="921">
        <v>4.0669591532977223E-2</v>
      </c>
      <c r="J109" s="2394">
        <f t="shared" si="7"/>
        <v>-1138.8649161845626</v>
      </c>
      <c r="L109" s="42"/>
      <c r="M109" s="921"/>
      <c r="N109" s="2394"/>
      <c r="P109" s="2394"/>
    </row>
    <row r="110" spans="2:18">
      <c r="B110" s="142">
        <v>92</v>
      </c>
      <c r="C110" s="2810" t="s">
        <v>2249</v>
      </c>
      <c r="D110" s="42">
        <f>+REPORTS!F1513</f>
        <v>1529952.1492352316</v>
      </c>
      <c r="E110" s="921">
        <f t="shared" si="6"/>
        <v>0.1552212112849273</v>
      </c>
      <c r="F110" s="838">
        <f t="shared" si="8"/>
        <v>-4001.5462141957942</v>
      </c>
      <c r="H110" s="42">
        <v>938772.80305310606</v>
      </c>
      <c r="I110" s="921">
        <v>9.4533878817751077E-2</v>
      </c>
      <c r="J110" s="2394">
        <f t="shared" si="7"/>
        <v>-2647.2190626522952</v>
      </c>
      <c r="L110" s="42">
        <v>938772.80305310606</v>
      </c>
      <c r="M110" s="921">
        <f>+L110/$L$114</f>
        <v>0.10469443039142695</v>
      </c>
      <c r="N110" s="2394">
        <f>+$F$53/1000*M110</f>
        <v>-1354.327151543499</v>
      </c>
      <c r="P110" s="2394"/>
    </row>
    <row r="111" spans="2:18">
      <c r="B111" s="142">
        <v>93</v>
      </c>
      <c r="C111" s="2810" t="s">
        <v>2250</v>
      </c>
      <c r="D111" s="42">
        <f>+REPORTS!F1514</f>
        <v>672570.78032622824</v>
      </c>
      <c r="E111" s="921">
        <f t="shared" si="6"/>
        <v>6.8235631584471684E-2</v>
      </c>
      <c r="F111" s="838">
        <f t="shared" si="8"/>
        <v>-1260.2703284984882</v>
      </c>
      <c r="H111" s="42">
        <v>264785.36731018859</v>
      </c>
      <c r="I111" s="921">
        <v>3.1363790575352421E-2</v>
      </c>
      <c r="J111" s="2394">
        <f t="shared" si="7"/>
        <v>-878.27586603287648</v>
      </c>
      <c r="L111" s="42">
        <v>264785.36731018859</v>
      </c>
      <c r="M111" s="921">
        <f>+L111/$L$114</f>
        <v>2.9529565744094908E-2</v>
      </c>
      <c r="N111" s="2394">
        <f>+$F$53/1000*M111</f>
        <v>-381.99446246561172</v>
      </c>
      <c r="P111" s="2394"/>
    </row>
    <row r="112" spans="2:18">
      <c r="B112" s="142">
        <v>94</v>
      </c>
      <c r="C112" s="2810" t="s">
        <v>2256</v>
      </c>
      <c r="D112" s="42">
        <f>+REPORTS!F1515</f>
        <v>656038.10108533443</v>
      </c>
      <c r="E112" s="921">
        <f t="shared" si="6"/>
        <v>6.6558309519961709E-2</v>
      </c>
      <c r="F112" s="838">
        <f t="shared" si="8"/>
        <v>-7111.1672368342252</v>
      </c>
      <c r="H112" s="42">
        <v>1655032.0212425352</v>
      </c>
      <c r="I112" s="921">
        <v>0.16868004035992626</v>
      </c>
      <c r="J112" s="2394">
        <f t="shared" si="7"/>
        <v>-4723.5237135526031</v>
      </c>
      <c r="L112" s="42">
        <v>1655032.0212425352</v>
      </c>
      <c r="M112" s="921">
        <f>+L112/$L$114</f>
        <v>0.18457355622152305</v>
      </c>
      <c r="N112" s="2394">
        <f>+$F$53/1000*M112</f>
        <v>-2387.643523281622</v>
      </c>
      <c r="P112" s="2394"/>
    </row>
    <row r="113" spans="2:16">
      <c r="B113" s="142">
        <v>95</v>
      </c>
      <c r="C113" s="2810" t="s">
        <v>2257</v>
      </c>
      <c r="D113" s="42">
        <f>+REPORTS!F1516</f>
        <v>200427.25066920705</v>
      </c>
      <c r="E113" s="921">
        <f t="shared" si="6"/>
        <v>2.0334335710390113E-2</v>
      </c>
      <c r="F113" s="838">
        <f t="shared" si="8"/>
        <v>-841.51367610829675</v>
      </c>
      <c r="H113" s="42">
        <v>200441.21215970907</v>
      </c>
      <c r="I113" s="921">
        <v>1.9724618865759994E-2</v>
      </c>
      <c r="J113" s="2394">
        <f t="shared" si="7"/>
        <v>-552.34575919237773</v>
      </c>
      <c r="L113" s="42">
        <v>200441.21215970907</v>
      </c>
      <c r="M113" s="921">
        <f>+L113/$L$114</f>
        <v>2.2353735073896024E-2</v>
      </c>
      <c r="N113" s="2394">
        <f>+$F$53/1000*M113</f>
        <v>-289.16791691591897</v>
      </c>
      <c r="P113" s="2394"/>
    </row>
    <row r="114" spans="2:16" ht="15" thickBot="1">
      <c r="B114" s="142">
        <v>96</v>
      </c>
      <c r="C114" s="3022" t="s">
        <v>115</v>
      </c>
      <c r="D114" s="655">
        <f>+SUM(D106:D113)</f>
        <v>9856591.999058811</v>
      </c>
      <c r="E114" s="1576">
        <f>+SUM(E106:E113)</f>
        <v>0.99999999999999967</v>
      </c>
      <c r="F114" s="3023">
        <f>+SUM(F106:F113)</f>
        <v>-89202.684840000002</v>
      </c>
      <c r="H114" s="162">
        <f>+SUM(H106:H113)</f>
        <v>9856591.9990588091</v>
      </c>
      <c r="J114" s="2394">
        <f>+SUM(J106:J113)</f>
        <v>-28002.860940000002</v>
      </c>
      <c r="L114" s="162">
        <f>+SUM(L106:L113)</f>
        <v>8966788.3911614344</v>
      </c>
      <c r="N114" s="2394">
        <f>+SUM(N106:N113)</f>
        <v>-12936.000000000002</v>
      </c>
      <c r="P114" s="162">
        <f>+SUM(P106:P113)</f>
        <v>5907756.9873958966</v>
      </c>
    </row>
    <row r="115" spans="2:16" ht="15" thickTop="1">
      <c r="B115" s="2926"/>
      <c r="C115" s="2417" t="s">
        <v>6934</v>
      </c>
      <c r="D115" s="546"/>
      <c r="E115" s="546"/>
      <c r="F115" s="5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theme="2" tint="-0.499984740745262"/>
  </sheetPr>
  <dimension ref="B1:R115"/>
  <sheetViews>
    <sheetView tabSelected="1" showOutlineSymbols="0" workbookViewId="0"/>
  </sheetViews>
  <sheetFormatPr defaultRowHeight="14.4"/>
  <cols>
    <col min="3" max="3" width="32.109375" customWidth="1"/>
    <col min="4" max="4" width="23.5546875" customWidth="1"/>
    <col min="5" max="5" width="24.33203125" customWidth="1"/>
    <col min="6" max="6" width="27.88671875" customWidth="1"/>
    <col min="8" max="10" width="16.5546875" customWidth="1"/>
    <col min="11" max="11" width="4" customWidth="1"/>
    <col min="12" max="14" width="16.5546875" customWidth="1"/>
    <col min="16" max="16" width="18.33203125" bestFit="1" customWidth="1"/>
    <col min="18" max="18" width="11.33203125" bestFit="1" customWidth="1"/>
  </cols>
  <sheetData>
    <row r="1" spans="2:6">
      <c r="C1" s="2107" t="s">
        <v>116</v>
      </c>
    </row>
    <row r="2" spans="2:6" ht="15" thickBot="1">
      <c r="C2" s="2107"/>
    </row>
    <row r="3" spans="2:6" ht="15" thickBot="1">
      <c r="C3" s="517" t="s">
        <v>35</v>
      </c>
      <c r="D3" s="116" t="s">
        <v>4536</v>
      </c>
    </row>
    <row r="4" spans="2:6">
      <c r="C4" s="260" t="s">
        <v>6935</v>
      </c>
      <c r="D4" s="2255">
        <v>182346952</v>
      </c>
    </row>
    <row r="5" spans="2:6">
      <c r="C5" s="260" t="s">
        <v>8393</v>
      </c>
      <c r="D5" s="2705">
        <f>+'Surv Report Sched 2 pg 2'!N50</f>
        <v>-9168520.0639201738</v>
      </c>
    </row>
    <row r="6" spans="2:6">
      <c r="C6" s="260" t="s">
        <v>8394</v>
      </c>
      <c r="D6" s="2705">
        <f>+'Surv Report Sched 2 pg 2'!P50</f>
        <v>14283684.749999985</v>
      </c>
    </row>
    <row r="7" spans="2:6">
      <c r="C7" s="260" t="s">
        <v>8395</v>
      </c>
      <c r="D7" s="2705">
        <f>+'Surv Report Sched 2 pg 2'!R50</f>
        <v>-12876021</v>
      </c>
    </row>
    <row r="8" spans="2:6">
      <c r="C8" s="3039" t="s">
        <v>9455</v>
      </c>
      <c r="D8" s="2705">
        <f>+'0 MDS REPORTS'!F25*1000</f>
        <v>-7760859.4460476525</v>
      </c>
    </row>
    <row r="9" spans="2:6">
      <c r="C9" s="260" t="s">
        <v>6936</v>
      </c>
      <c r="D9" s="2705">
        <f>+SUM(D5:D7)-D8</f>
        <v>3.1321274638175964</v>
      </c>
    </row>
    <row r="10" spans="2:6" ht="15" thickBot="1">
      <c r="C10" s="3033" t="s">
        <v>8397</v>
      </c>
      <c r="D10" s="2648">
        <v>28703</v>
      </c>
    </row>
    <row r="11" spans="2:6">
      <c r="C11" s="2107"/>
    </row>
    <row r="12" spans="2:6">
      <c r="C12" s="2107"/>
    </row>
    <row r="14" spans="2:6">
      <c r="B14" s="962" t="s">
        <v>2173</v>
      </c>
      <c r="C14" s="957"/>
      <c r="D14" s="957"/>
      <c r="E14" s="957"/>
      <c r="F14" s="963"/>
    </row>
    <row r="15" spans="2:6">
      <c r="B15" s="353" t="s">
        <v>6901</v>
      </c>
      <c r="F15" s="296"/>
    </row>
    <row r="16" spans="2:6">
      <c r="B16" s="2552" t="s">
        <v>9263</v>
      </c>
      <c r="C16" s="1962"/>
      <c r="D16" s="1962"/>
      <c r="E16" s="2262"/>
      <c r="F16" s="2649"/>
    </row>
    <row r="17" spans="2:6">
      <c r="B17" s="616"/>
      <c r="C17" s="297"/>
      <c r="D17" s="297"/>
      <c r="E17" s="297"/>
      <c r="F17" s="298"/>
    </row>
    <row r="18" spans="2:6">
      <c r="B18" s="354" t="s">
        <v>2175</v>
      </c>
      <c r="C18" s="355" t="s">
        <v>2176</v>
      </c>
      <c r="D18" s="355" t="s">
        <v>2177</v>
      </c>
      <c r="E18" s="355" t="s">
        <v>2178</v>
      </c>
      <c r="F18" s="356" t="s">
        <v>2179</v>
      </c>
    </row>
    <row r="19" spans="2:6">
      <c r="B19" s="3034">
        <v>1</v>
      </c>
      <c r="C19" s="1005" t="s">
        <v>6902</v>
      </c>
      <c r="D19" s="2479"/>
      <c r="E19" s="2479"/>
      <c r="F19" s="450"/>
    </row>
    <row r="20" spans="2:6">
      <c r="B20" s="142">
        <v>2</v>
      </c>
      <c r="C20" s="2497" t="s">
        <v>1918</v>
      </c>
      <c r="D20" s="2687"/>
      <c r="E20" s="2687"/>
      <c r="F20" s="1961" t="s">
        <v>3480</v>
      </c>
    </row>
    <row r="21" spans="2:6">
      <c r="B21" s="142">
        <v>3</v>
      </c>
      <c r="C21" s="353" t="s">
        <v>6903</v>
      </c>
      <c r="D21" s="328"/>
      <c r="E21" s="328"/>
      <c r="F21" s="1587">
        <f>+SUMIFS('Surv Report Sched 2 pg 2'!T:T,'Surv Report Sched 2 pg 2'!B:B,"=FPSC Adjusted")/1000</f>
        <v>0</v>
      </c>
    </row>
    <row r="22" spans="2:6">
      <c r="B22" s="142">
        <v>4</v>
      </c>
      <c r="C22" s="353" t="s">
        <v>6904</v>
      </c>
      <c r="D22" s="328"/>
      <c r="E22" s="328"/>
      <c r="F22" s="1588">
        <f>+D4</f>
        <v>182346952</v>
      </c>
    </row>
    <row r="23" spans="2:6">
      <c r="B23" s="142">
        <v>5</v>
      </c>
      <c r="C23" s="357"/>
      <c r="D23" s="328"/>
      <c r="E23" s="328"/>
      <c r="F23" s="1588"/>
    </row>
    <row r="24" spans="2:6">
      <c r="B24" s="142">
        <v>6</v>
      </c>
      <c r="C24" s="62" t="s">
        <v>6905</v>
      </c>
      <c r="D24" s="290"/>
      <c r="E24" s="79"/>
      <c r="F24" s="903"/>
    </row>
    <row r="25" spans="2:6">
      <c r="B25" s="142">
        <v>7</v>
      </c>
      <c r="C25" s="96" t="s">
        <v>6906</v>
      </c>
      <c r="D25" s="290"/>
      <c r="E25" s="79"/>
      <c r="F25" s="903">
        <f>+SUMIFS('Income Tax Input'!J:J,'Income Tax Input'!A:A,'Income Taxes'!C25)</f>
        <v>0</v>
      </c>
    </row>
    <row r="26" spans="2:6">
      <c r="B26" s="142">
        <v>8</v>
      </c>
      <c r="C26" s="96" t="s">
        <v>6907</v>
      </c>
      <c r="D26" s="290"/>
      <c r="E26" s="79"/>
      <c r="F26" s="903">
        <f>+SUMIFS('Income Tax Input'!J:J,'Income Tax Input'!A:A,'Income Taxes'!C26)</f>
        <v>1000</v>
      </c>
    </row>
    <row r="27" spans="2:6">
      <c r="B27" s="142">
        <v>9</v>
      </c>
      <c r="C27" s="96" t="s">
        <v>6908</v>
      </c>
      <c r="D27" s="290"/>
      <c r="E27" s="79"/>
      <c r="F27" s="903">
        <f>+SUMIFS('Income Tax Input'!J:J,'Income Tax Input'!A:A,'Income Taxes'!C27)</f>
        <v>867734</v>
      </c>
    </row>
    <row r="28" spans="2:6">
      <c r="B28" s="142">
        <v>10</v>
      </c>
      <c r="C28" s="96" t="s">
        <v>1159</v>
      </c>
      <c r="D28" s="290"/>
      <c r="E28" s="79"/>
      <c r="F28" s="903">
        <f>+SUMIFS('Income Tax Input'!J:J,'Income Tax Input'!A:A,'Income Taxes'!C28)</f>
        <v>75000</v>
      </c>
    </row>
    <row r="29" spans="2:6">
      <c r="B29" s="142">
        <v>11</v>
      </c>
      <c r="C29" s="96" t="s">
        <v>6960</v>
      </c>
      <c r="D29" s="290"/>
      <c r="E29" s="79"/>
      <c r="F29" s="903">
        <f>+SUMIFS('Income Tax Input'!J:J,'Income Tax Input'!A:A,'Income Taxes'!C29)</f>
        <v>6244879.1800000006</v>
      </c>
    </row>
    <row r="30" spans="2:6">
      <c r="B30" s="142">
        <v>12</v>
      </c>
      <c r="C30" s="96" t="s">
        <v>6909</v>
      </c>
      <c r="D30" s="290"/>
      <c r="E30" s="79"/>
      <c r="F30" s="903">
        <f>+SUMIFS('Income Tax Input'!J:J,'Income Tax Input'!A:A,'Income Taxes'!C30)</f>
        <v>131158</v>
      </c>
    </row>
    <row r="31" spans="2:6">
      <c r="B31" s="142">
        <v>13</v>
      </c>
      <c r="C31" s="413" t="s">
        <v>6910</v>
      </c>
      <c r="D31" s="414"/>
      <c r="E31" s="896"/>
      <c r="F31" s="897">
        <f>+SUM(F25:F30)</f>
        <v>7319771.1800000006</v>
      </c>
    </row>
    <row r="32" spans="2:6">
      <c r="B32" s="142">
        <v>14</v>
      </c>
      <c r="C32" s="357"/>
      <c r="D32" s="328"/>
      <c r="E32" s="328"/>
      <c r="F32" s="1588"/>
    </row>
    <row r="33" spans="2:10">
      <c r="B33" s="142">
        <v>15</v>
      </c>
      <c r="C33" s="357"/>
      <c r="D33" s="328"/>
      <c r="E33" s="328"/>
      <c r="F33" s="1588"/>
    </row>
    <row r="34" spans="2:10">
      <c r="B34" s="142">
        <v>16</v>
      </c>
      <c r="C34" s="62" t="s">
        <v>6911</v>
      </c>
      <c r="D34" s="290"/>
      <c r="E34" s="79"/>
      <c r="F34" s="903"/>
    </row>
    <row r="35" spans="2:10">
      <c r="B35" s="142">
        <v>17</v>
      </c>
      <c r="C35" s="2497" t="s">
        <v>6912</v>
      </c>
      <c r="D35" s="414"/>
      <c r="E35" s="896"/>
      <c r="F35" s="897">
        <f>+SUMIFS('Surv Report Sched 2 pg 2'!N:N,'Surv Report Sched 2 pg 2'!B:B,"=Parent Debt Adjustment")</f>
        <v>-12936000</v>
      </c>
    </row>
    <row r="36" spans="2:10">
      <c r="B36" s="142">
        <v>18</v>
      </c>
      <c r="C36" s="96" t="s">
        <v>6913</v>
      </c>
      <c r="D36" s="290"/>
      <c r="E36" s="79"/>
      <c r="F36" s="903"/>
    </row>
    <row r="37" spans="2:10">
      <c r="B37" s="142">
        <v>19</v>
      </c>
      <c r="C37" s="62"/>
      <c r="D37" s="290"/>
      <c r="E37" s="79"/>
      <c r="F37" s="903"/>
    </row>
    <row r="38" spans="2:10">
      <c r="B38" s="142">
        <v>20</v>
      </c>
      <c r="C38" s="531" t="s">
        <v>6914</v>
      </c>
      <c r="D38" s="290"/>
      <c r="E38" s="79"/>
      <c r="F38" s="903"/>
    </row>
    <row r="39" spans="2:10">
      <c r="B39" s="142">
        <v>21</v>
      </c>
      <c r="C39" s="96" t="s">
        <v>6915</v>
      </c>
      <c r="D39" s="290"/>
      <c r="E39" s="79"/>
      <c r="F39" s="903">
        <f>+SUMIFS('Income Tax Input'!J:J,'Income Tax Input'!A:A,'Income Taxes'!C39)</f>
        <v>0</v>
      </c>
    </row>
    <row r="40" spans="2:10">
      <c r="B40" s="142">
        <v>22</v>
      </c>
      <c r="C40" s="96" t="s">
        <v>8674</v>
      </c>
      <c r="D40" s="290"/>
      <c r="E40" s="79"/>
      <c r="F40" s="1728">
        <f>+'Income Tax Input'!J96</f>
        <v>0</v>
      </c>
    </row>
    <row r="41" spans="2:10">
      <c r="B41" s="142">
        <v>23</v>
      </c>
      <c r="C41" s="96"/>
      <c r="D41" s="290"/>
      <c r="E41" s="79"/>
      <c r="F41" s="903"/>
    </row>
    <row r="42" spans="2:10">
      <c r="B42" s="142">
        <v>24</v>
      </c>
      <c r="C42" s="531" t="s">
        <v>9431</v>
      </c>
      <c r="D42" s="290"/>
      <c r="E42" s="79"/>
      <c r="F42" s="903"/>
    </row>
    <row r="43" spans="2:10">
      <c r="B43" s="142">
        <v>25</v>
      </c>
      <c r="C43" s="96" t="s">
        <v>6917</v>
      </c>
      <c r="D43" s="290" t="s">
        <v>9432</v>
      </c>
      <c r="E43" s="79"/>
      <c r="F43" s="903">
        <f>+SUMIFS('Income Tax Input'!J:J,'Income Tax Input'!A:A,'Income Taxes'!C43)</f>
        <v>-26794647.939999998</v>
      </c>
    </row>
    <row r="44" spans="2:10">
      <c r="B44" s="142">
        <v>26</v>
      </c>
      <c r="C44" s="96" t="s">
        <v>9355</v>
      </c>
      <c r="D44" s="290"/>
      <c r="E44" s="79"/>
      <c r="F44" s="903">
        <v>-35387805</v>
      </c>
    </row>
    <row r="45" spans="2:10">
      <c r="B45" s="142">
        <v>27</v>
      </c>
      <c r="C45" s="96"/>
      <c r="D45" s="290"/>
      <c r="E45" s="79"/>
      <c r="F45" s="903"/>
    </row>
    <row r="46" spans="2:10">
      <c r="B46" s="142">
        <v>28</v>
      </c>
      <c r="C46" s="96" t="s">
        <v>6919</v>
      </c>
      <c r="D46" s="290"/>
      <c r="E46" s="79"/>
      <c r="F46" s="1728">
        <v>-1800000</v>
      </c>
    </row>
    <row r="47" spans="2:10">
      <c r="B47" s="142">
        <v>29</v>
      </c>
      <c r="C47" s="96"/>
      <c r="D47" s="290"/>
      <c r="E47" s="79"/>
      <c r="F47" s="903"/>
    </row>
    <row r="48" spans="2:10">
      <c r="B48" s="142">
        <v>30</v>
      </c>
      <c r="C48" s="96" t="s">
        <v>9440</v>
      </c>
      <c r="D48" s="290"/>
      <c r="E48" s="79"/>
      <c r="F48" s="1728">
        <v>-12876018.899999999</v>
      </c>
      <c r="I48" s="3035"/>
      <c r="J48" s="64"/>
    </row>
    <row r="49" spans="2:6">
      <c r="B49" s="142">
        <v>31</v>
      </c>
      <c r="C49" s="413" t="s">
        <v>6920</v>
      </c>
      <c r="D49" s="414"/>
      <c r="E49" s="896"/>
      <c r="F49" s="897">
        <f>+SUM(F39:F48)</f>
        <v>-76858471.840000004</v>
      </c>
    </row>
    <row r="50" spans="2:6">
      <c r="B50" s="142">
        <v>32</v>
      </c>
      <c r="C50" s="357"/>
      <c r="D50" s="328"/>
      <c r="E50" s="328"/>
      <c r="F50" s="1588"/>
    </row>
    <row r="51" spans="2:6">
      <c r="B51" s="142">
        <v>33</v>
      </c>
      <c r="C51" s="353" t="s">
        <v>6921</v>
      </c>
      <c r="D51" s="328"/>
      <c r="E51" s="328"/>
      <c r="F51" s="1588">
        <f>+D10</f>
        <v>28703</v>
      </c>
    </row>
    <row r="52" spans="2:6">
      <c r="B52" s="142">
        <v>34</v>
      </c>
      <c r="C52" s="353"/>
      <c r="D52" s="328"/>
      <c r="E52" s="328"/>
      <c r="F52" s="1588"/>
    </row>
    <row r="53" spans="2:6">
      <c r="B53" s="142">
        <v>35</v>
      </c>
      <c r="C53" s="353" t="s">
        <v>6912</v>
      </c>
      <c r="D53" s="328"/>
      <c r="E53" s="328"/>
      <c r="F53" s="1588">
        <f>+F35</f>
        <v>-12936000</v>
      </c>
    </row>
    <row r="54" spans="2:6">
      <c r="B54" s="142">
        <v>36</v>
      </c>
      <c r="C54" s="357"/>
      <c r="D54" s="328"/>
      <c r="E54" s="328"/>
      <c r="F54" s="1588"/>
    </row>
    <row r="55" spans="2:6">
      <c r="B55" s="142">
        <v>37</v>
      </c>
      <c r="C55" s="413" t="s">
        <v>6922</v>
      </c>
      <c r="D55" s="414"/>
      <c r="E55" s="896"/>
      <c r="F55" s="908">
        <f>+SUM(F49:F53)</f>
        <v>-89765768.840000004</v>
      </c>
    </row>
    <row r="56" spans="2:6">
      <c r="B56" s="142">
        <v>38</v>
      </c>
      <c r="C56" s="616"/>
      <c r="D56" s="3036"/>
      <c r="E56" s="3036"/>
      <c r="F56" s="547"/>
    </row>
    <row r="57" spans="2:6">
      <c r="B57" s="142">
        <v>39</v>
      </c>
      <c r="C57" s="1005" t="s">
        <v>6923</v>
      </c>
      <c r="D57" s="2687"/>
      <c r="E57" s="2687"/>
      <c r="F57" s="2689"/>
    </row>
    <row r="58" spans="2:6">
      <c r="B58" s="142">
        <v>40</v>
      </c>
      <c r="C58" s="2526" t="s">
        <v>1918</v>
      </c>
      <c r="D58" s="2657" t="s">
        <v>6924</v>
      </c>
      <c r="E58" s="2657" t="s">
        <v>6925</v>
      </c>
      <c r="F58" s="2660" t="s">
        <v>3480</v>
      </c>
    </row>
    <row r="59" spans="2:6" ht="15" thickBot="1">
      <c r="B59" s="142">
        <v>41</v>
      </c>
      <c r="C59" s="2886" t="s">
        <v>6926</v>
      </c>
      <c r="D59" s="328"/>
      <c r="E59" s="328"/>
      <c r="F59" s="447">
        <f>+'Surv Report Sched 2 pg 2'!T50</f>
        <v>0</v>
      </c>
    </row>
    <row r="60" spans="2:6" ht="15" thickTop="1">
      <c r="B60" s="142">
        <v>42</v>
      </c>
      <c r="C60" s="357"/>
      <c r="D60" s="328"/>
      <c r="E60" s="1014"/>
      <c r="F60" s="1015"/>
    </row>
    <row r="61" spans="2:6">
      <c r="B61" s="142">
        <v>43</v>
      </c>
      <c r="C61" s="2810" t="s">
        <v>2254</v>
      </c>
      <c r="D61" s="42">
        <f>+'0 MDS REPORTS'!F1006</f>
        <v>7199153.5139943594</v>
      </c>
      <c r="E61" s="877">
        <f>+D61/$D$69</f>
        <v>0.53358247148783211</v>
      </c>
      <c r="F61" s="838">
        <f>+$F$59*E61</f>
        <v>0</v>
      </c>
    </row>
    <row r="62" spans="2:6">
      <c r="B62" s="142">
        <v>44</v>
      </c>
      <c r="C62" s="2810" t="s">
        <v>2255</v>
      </c>
      <c r="D62" s="42">
        <f>+'0 MDS REPORTS'!F1007</f>
        <v>680548.35013101739</v>
      </c>
      <c r="E62" s="877">
        <f t="shared" ref="E62:E68" si="0">+D62/$D$69</f>
        <v>5.0440467747213995E-2</v>
      </c>
      <c r="F62" s="838">
        <f t="shared" ref="F62:F68" si="1">+$F$59*E62</f>
        <v>0</v>
      </c>
    </row>
    <row r="63" spans="2:6">
      <c r="B63" s="142">
        <v>45</v>
      </c>
      <c r="C63" s="2810" t="s">
        <v>2246</v>
      </c>
      <c r="D63" s="42">
        <f>+'0 MDS REPORTS'!F1008</f>
        <v>559079.92351655953</v>
      </c>
      <c r="E63" s="877">
        <f t="shared" si="0"/>
        <v>4.1437544951542164E-2</v>
      </c>
      <c r="F63" s="838">
        <f t="shared" si="1"/>
        <v>0</v>
      </c>
    </row>
    <row r="64" spans="2:6">
      <c r="B64" s="142">
        <v>46</v>
      </c>
      <c r="C64" s="2810" t="s">
        <v>2247</v>
      </c>
      <c r="D64" s="42">
        <f>+'0 MDS REPORTS'!F1009</f>
        <v>583616.65599674068</v>
      </c>
      <c r="E64" s="877">
        <f t="shared" si="0"/>
        <v>4.3256143531717001E-2</v>
      </c>
      <c r="F64" s="838">
        <f t="shared" si="1"/>
        <v>0</v>
      </c>
    </row>
    <row r="65" spans="2:6">
      <c r="B65" s="142">
        <v>47</v>
      </c>
      <c r="C65" s="2810" t="s">
        <v>2249</v>
      </c>
      <c r="D65" s="42">
        <f>+'0 MDS REPORTS'!F1010</f>
        <v>2138740.1302942359</v>
      </c>
      <c r="E65" s="877">
        <f t="shared" si="0"/>
        <v>0.1585178371838093</v>
      </c>
      <c r="F65" s="838">
        <f t="shared" si="1"/>
        <v>0</v>
      </c>
    </row>
    <row r="66" spans="2:6">
      <c r="B66" s="142">
        <v>48</v>
      </c>
      <c r="C66" s="2810" t="s">
        <v>2250</v>
      </c>
      <c r="D66" s="42">
        <f>+'0 MDS REPORTS'!F1011</f>
        <v>1074798.1722257815</v>
      </c>
      <c r="E66" s="877">
        <f t="shared" si="0"/>
        <v>7.966123572334291E-2</v>
      </c>
      <c r="F66" s="838">
        <f t="shared" si="1"/>
        <v>0</v>
      </c>
    </row>
    <row r="67" spans="2:6">
      <c r="B67" s="142">
        <v>49</v>
      </c>
      <c r="C67" s="2810" t="s">
        <v>2256</v>
      </c>
      <c r="D67" s="42">
        <f>+'0 MDS REPORTS'!F1012</f>
        <v>1011029.595133958</v>
      </c>
      <c r="E67" s="877">
        <f t="shared" si="0"/>
        <v>7.4934875200293211E-2</v>
      </c>
      <c r="F67" s="838">
        <f t="shared" si="1"/>
        <v>0</v>
      </c>
    </row>
    <row r="68" spans="2:6">
      <c r="B68" s="142">
        <v>50</v>
      </c>
      <c r="C68" s="2810" t="s">
        <v>2257</v>
      </c>
      <c r="D68" s="42">
        <f>+'0 MDS REPORTS'!F1013</f>
        <v>245143.87349825987</v>
      </c>
      <c r="E68" s="877">
        <f t="shared" si="0"/>
        <v>1.8169424174249448E-2</v>
      </c>
      <c r="F68" s="838">
        <f t="shared" si="1"/>
        <v>0</v>
      </c>
    </row>
    <row r="69" spans="2:6" ht="15" thickBot="1">
      <c r="B69" s="142">
        <v>51</v>
      </c>
      <c r="C69" s="3022" t="s">
        <v>115</v>
      </c>
      <c r="D69" s="655">
        <f>+SUM(D61:D68)</f>
        <v>13492110.21479091</v>
      </c>
      <c r="E69" s="1576">
        <f>+SUM(E61:E68)</f>
        <v>1.0000000000000002</v>
      </c>
      <c r="F69" s="3023">
        <f>+SUM(F61:F68)</f>
        <v>0</v>
      </c>
    </row>
    <row r="70" spans="2:6" ht="15" thickTop="1">
      <c r="B70" s="142">
        <v>52</v>
      </c>
      <c r="C70" s="357"/>
      <c r="D70" s="653"/>
      <c r="E70" s="653"/>
      <c r="F70" s="536"/>
    </row>
    <row r="71" spans="2:6">
      <c r="B71" s="142">
        <v>53</v>
      </c>
      <c r="C71" s="357"/>
      <c r="D71" s="328"/>
      <c r="E71" s="328"/>
      <c r="F71" s="536"/>
    </row>
    <row r="72" spans="2:6">
      <c r="B72" s="142">
        <v>54</v>
      </c>
      <c r="C72" s="1005" t="s">
        <v>6927</v>
      </c>
      <c r="D72" s="2687"/>
      <c r="E72" s="2687"/>
      <c r="F72" s="2689"/>
    </row>
    <row r="73" spans="2:6">
      <c r="B73" s="142">
        <v>55</v>
      </c>
      <c r="C73" s="2526" t="s">
        <v>1918</v>
      </c>
      <c r="D73" s="2657" t="s">
        <v>2305</v>
      </c>
      <c r="E73" s="2657" t="s">
        <v>6883</v>
      </c>
      <c r="F73" s="2660" t="s">
        <v>3480</v>
      </c>
    </row>
    <row r="74" spans="2:6" ht="15" thickBot="1">
      <c r="B74" s="142">
        <v>56</v>
      </c>
      <c r="C74" s="2886" t="s">
        <v>6928</v>
      </c>
      <c r="D74" s="328"/>
      <c r="E74" s="328"/>
      <c r="F74" s="1585">
        <f>+F22/1000</f>
        <v>182346.95199999999</v>
      </c>
    </row>
    <row r="75" spans="2:6" ht="15" thickTop="1">
      <c r="B75" s="142">
        <v>57</v>
      </c>
      <c r="C75" s="357"/>
      <c r="D75" s="328"/>
      <c r="E75" s="328"/>
      <c r="F75" s="1015"/>
    </row>
    <row r="76" spans="2:6">
      <c r="B76" s="142">
        <v>58</v>
      </c>
      <c r="C76" s="2810" t="s">
        <v>2254</v>
      </c>
      <c r="D76" s="42">
        <f>+'0 MDS REPORTS'!F1509</f>
        <v>5483176.4189962763</v>
      </c>
      <c r="E76" s="921">
        <f>+D76/$D$84</f>
        <v>0.55629536248632949</v>
      </c>
      <c r="F76" s="838">
        <f>+$F$74*E76</f>
        <v>101438.76376111731</v>
      </c>
    </row>
    <row r="77" spans="2:6">
      <c r="B77" s="142">
        <v>59</v>
      </c>
      <c r="C77" s="2810" t="s">
        <v>2255</v>
      </c>
      <c r="D77" s="42">
        <f>+'0 MDS REPORTS'!F1510</f>
        <v>412366.90327200451</v>
      </c>
      <c r="E77" s="921">
        <f t="shared" ref="E77:E83" si="2">+D77/$D$84</f>
        <v>4.1836661526761049E-2</v>
      </c>
      <c r="F77" s="838">
        <f t="shared" ref="F77:F82" si="3">+$F$74*E77</f>
        <v>7628.7877112605429</v>
      </c>
    </row>
    <row r="78" spans="2:6">
      <c r="B78" s="142">
        <v>60</v>
      </c>
      <c r="C78" s="2810" t="s">
        <v>2246</v>
      </c>
      <c r="D78" s="42">
        <f>+'0 MDS REPORTS'!F1511</f>
        <v>432533.37598961761</v>
      </c>
      <c r="E78" s="921">
        <f t="shared" si="2"/>
        <v>4.3882649908905579E-2</v>
      </c>
      <c r="F78" s="838">
        <f t="shared" si="3"/>
        <v>8001.8674565720094</v>
      </c>
    </row>
    <row r="79" spans="2:6">
      <c r="B79" s="142">
        <v>61</v>
      </c>
      <c r="C79" s="2810" t="s">
        <v>2247</v>
      </c>
      <c r="D79" s="42">
        <f>+'0 MDS REPORTS'!F1512</f>
        <v>469527.01948490978</v>
      </c>
      <c r="E79" s="921">
        <f t="shared" si="2"/>
        <v>4.7635837978252937E-2</v>
      </c>
      <c r="F79" s="838">
        <f t="shared" si="3"/>
        <v>8686.2498613002645</v>
      </c>
    </row>
    <row r="80" spans="2:6">
      <c r="B80" s="142">
        <v>62</v>
      </c>
      <c r="C80" s="2810" t="s">
        <v>2249</v>
      </c>
      <c r="D80" s="42">
        <f>+'0 MDS REPORTS'!F1513</f>
        <v>1529952.1493482229</v>
      </c>
      <c r="E80" s="921">
        <f t="shared" si="2"/>
        <v>0.15522121129639083</v>
      </c>
      <c r="F80" s="838">
        <f t="shared" si="3"/>
        <v>28304.114765644834</v>
      </c>
    </row>
    <row r="81" spans="2:14">
      <c r="B81" s="142">
        <v>63</v>
      </c>
      <c r="C81" s="2810" t="s">
        <v>2250</v>
      </c>
      <c r="D81" s="42">
        <f>+'0 MDS REPORTS'!F1514</f>
        <v>672570.78039095167</v>
      </c>
      <c r="E81" s="921">
        <f t="shared" si="2"/>
        <v>6.8235631591038196E-2</v>
      </c>
      <c r="F81" s="838">
        <f t="shared" si="3"/>
        <v>12442.559438420725</v>
      </c>
    </row>
    <row r="82" spans="2:14">
      <c r="B82" s="142">
        <v>64</v>
      </c>
      <c r="C82" s="2810" t="s">
        <v>2256</v>
      </c>
      <c r="D82" s="42">
        <f>+'0 MDS REPORTS'!F1515</f>
        <v>656038.10090762004</v>
      </c>
      <c r="E82" s="921">
        <f t="shared" si="2"/>
        <v>6.6558309501931701E-2</v>
      </c>
      <c r="F82" s="838">
        <f t="shared" si="3"/>
        <v>12136.704867949884</v>
      </c>
    </row>
    <row r="83" spans="2:14">
      <c r="B83" s="142">
        <v>65</v>
      </c>
      <c r="C83" s="2810" t="s">
        <v>2257</v>
      </c>
      <c r="D83" s="42">
        <f>+'0 MDS REPORTS'!F1516</f>
        <v>200427.25066920705</v>
      </c>
      <c r="E83" s="921">
        <f t="shared" si="2"/>
        <v>2.0334335710390113E-2</v>
      </c>
      <c r="F83" s="838">
        <f>+$F$74*E83</f>
        <v>3707.9041377343915</v>
      </c>
    </row>
    <row r="84" spans="2:14" ht="15" thickBot="1">
      <c r="B84" s="142">
        <v>66</v>
      </c>
      <c r="C84" s="3022" t="s">
        <v>115</v>
      </c>
      <c r="D84" s="655">
        <f>+SUM(D76:D83)</f>
        <v>9856591.999058811</v>
      </c>
      <c r="E84" s="1576">
        <f>+SUM(E76:E83)</f>
        <v>0.99999999999999989</v>
      </c>
      <c r="F84" s="3023">
        <f>+SUM(F76:F83)</f>
        <v>182346.95199999996</v>
      </c>
    </row>
    <row r="85" spans="2:14" ht="15" thickTop="1">
      <c r="B85" s="142">
        <v>67</v>
      </c>
      <c r="C85" s="357"/>
      <c r="D85" s="328"/>
      <c r="E85" s="328"/>
      <c r="F85" s="536"/>
    </row>
    <row r="86" spans="2:14">
      <c r="B86" s="142">
        <v>68</v>
      </c>
      <c r="C86" s="357"/>
      <c r="D86" s="328"/>
      <c r="E86" s="328"/>
      <c r="F86" s="536"/>
    </row>
    <row r="87" spans="2:14">
      <c r="B87" s="142">
        <v>69</v>
      </c>
      <c r="C87" s="1005" t="s">
        <v>6929</v>
      </c>
      <c r="D87" s="2687"/>
      <c r="E87" s="2687"/>
      <c r="F87" s="2689"/>
    </row>
    <row r="88" spans="2:14">
      <c r="B88" s="142">
        <v>70</v>
      </c>
      <c r="C88" s="2526" t="s">
        <v>1918</v>
      </c>
      <c r="D88" s="2657" t="s">
        <v>6930</v>
      </c>
      <c r="E88" s="2657" t="s">
        <v>6883</v>
      </c>
      <c r="F88" s="2660" t="s">
        <v>3480</v>
      </c>
    </row>
    <row r="89" spans="2:14" ht="15" thickBot="1">
      <c r="B89" s="142">
        <v>71</v>
      </c>
      <c r="C89" s="2886" t="s">
        <v>6931</v>
      </c>
      <c r="D89" s="328"/>
      <c r="E89" s="328"/>
      <c r="F89" s="447">
        <f>+F31/1000</f>
        <v>7319.7711800000006</v>
      </c>
    </row>
    <row r="90" spans="2:14" ht="15" thickTop="1">
      <c r="B90" s="142">
        <v>72</v>
      </c>
      <c r="C90" s="357"/>
      <c r="D90" s="328"/>
      <c r="E90" s="328"/>
      <c r="F90" s="1015"/>
    </row>
    <row r="91" spans="2:14">
      <c r="B91" s="142">
        <v>73</v>
      </c>
      <c r="C91" s="2810" t="s">
        <v>2254</v>
      </c>
      <c r="D91" s="42">
        <f>+'0 MDS REPORTS'!F1509</f>
        <v>5483176.4189962763</v>
      </c>
      <c r="E91" s="921">
        <f>+D91/$D$99</f>
        <v>0.55629536248632949</v>
      </c>
      <c r="F91" s="838">
        <f>+$F$89*E91</f>
        <v>4071.9547618950883</v>
      </c>
      <c r="L91" s="50"/>
    </row>
    <row r="92" spans="2:14">
      <c r="B92" s="142">
        <v>74</v>
      </c>
      <c r="C92" s="2810" t="s">
        <v>2255</v>
      </c>
      <c r="D92" s="42">
        <f>+'0 MDS REPORTS'!F1510</f>
        <v>412366.90327200451</v>
      </c>
      <c r="E92" s="921">
        <f t="shared" ref="E92:E98" si="4">+D92/$D$99</f>
        <v>4.1836661526761049E-2</v>
      </c>
      <c r="F92" s="838">
        <f t="shared" ref="F92:F98" si="5">+$F$89*E92</f>
        <v>306.23478931100033</v>
      </c>
      <c r="N92" s="2394"/>
    </row>
    <row r="93" spans="2:14">
      <c r="B93" s="142">
        <v>75</v>
      </c>
      <c r="C93" s="2810" t="s">
        <v>2246</v>
      </c>
      <c r="D93" s="42">
        <f>+'0 MDS REPORTS'!F1511</f>
        <v>432533.37598961761</v>
      </c>
      <c r="E93" s="921">
        <f t="shared" si="4"/>
        <v>4.3882649908905579E-2</v>
      </c>
      <c r="F93" s="838">
        <f t="shared" si="5"/>
        <v>321.21095610523673</v>
      </c>
      <c r="L93" s="42"/>
      <c r="M93" s="921"/>
      <c r="N93" s="2394"/>
    </row>
    <row r="94" spans="2:14">
      <c r="B94" s="142">
        <v>76</v>
      </c>
      <c r="C94" s="2810" t="s">
        <v>2247</v>
      </c>
      <c r="D94" s="42">
        <f>+'0 MDS REPORTS'!F1512</f>
        <v>469527.01948490978</v>
      </c>
      <c r="E94" s="921">
        <f t="shared" si="4"/>
        <v>4.7635837978252937E-2</v>
      </c>
      <c r="F94" s="838">
        <f t="shared" si="5"/>
        <v>348.68343396836536</v>
      </c>
      <c r="L94" s="42"/>
      <c r="M94" s="921"/>
      <c r="N94" s="2394"/>
    </row>
    <row r="95" spans="2:14">
      <c r="B95" s="142">
        <v>77</v>
      </c>
      <c r="C95" s="2810" t="s">
        <v>2249</v>
      </c>
      <c r="D95" s="42">
        <f>+'0 MDS REPORTS'!F1513</f>
        <v>1529952.1493482229</v>
      </c>
      <c r="E95" s="921">
        <f t="shared" si="4"/>
        <v>0.15522121129639083</v>
      </c>
      <c r="F95" s="838">
        <f t="shared" si="5"/>
        <v>1136.1837489720122</v>
      </c>
      <c r="L95" s="42"/>
      <c r="M95" s="921"/>
      <c r="N95" s="2394"/>
    </row>
    <row r="96" spans="2:14">
      <c r="B96" s="142">
        <v>78</v>
      </c>
      <c r="C96" s="2810" t="s">
        <v>2250</v>
      </c>
      <c r="D96" s="42">
        <f>+'0 MDS REPORTS'!F1514</f>
        <v>672570.78039095167</v>
      </c>
      <c r="E96" s="921">
        <f t="shared" si="4"/>
        <v>6.8235631591038196E-2</v>
      </c>
      <c r="F96" s="838">
        <f t="shared" si="5"/>
        <v>499.46920956917899</v>
      </c>
      <c r="L96" s="42"/>
      <c r="M96" s="921"/>
      <c r="N96" s="2394"/>
    </row>
    <row r="97" spans="2:18">
      <c r="B97" s="142">
        <v>79</v>
      </c>
      <c r="C97" s="2810" t="s">
        <v>2256</v>
      </c>
      <c r="D97" s="42">
        <f>+'0 MDS REPORTS'!F1515</f>
        <v>656038.10090762004</v>
      </c>
      <c r="E97" s="921">
        <f t="shared" si="4"/>
        <v>6.6558309501931701E-2</v>
      </c>
      <c r="F97" s="838">
        <f t="shared" si="5"/>
        <v>487.19159568175985</v>
      </c>
      <c r="L97" s="42"/>
      <c r="M97" s="921"/>
      <c r="N97" s="2394"/>
    </row>
    <row r="98" spans="2:18">
      <c r="B98" s="142">
        <v>80</v>
      </c>
      <c r="C98" s="2810" t="s">
        <v>2257</v>
      </c>
      <c r="D98" s="42">
        <f>+'0 MDS REPORTS'!F1516</f>
        <v>200427.25066920705</v>
      </c>
      <c r="E98" s="921">
        <f t="shared" si="4"/>
        <v>2.0334335710390113E-2</v>
      </c>
      <c r="F98" s="838">
        <f t="shared" si="5"/>
        <v>148.84268449735839</v>
      </c>
      <c r="L98" s="42"/>
      <c r="M98" s="921"/>
      <c r="N98" s="2394"/>
    </row>
    <row r="99" spans="2:18" ht="15" thickBot="1">
      <c r="B99" s="142">
        <v>81</v>
      </c>
      <c r="C99" s="3022" t="s">
        <v>115</v>
      </c>
      <c r="D99" s="655">
        <f>+SUM(D91:D98)</f>
        <v>9856591.999058811</v>
      </c>
      <c r="E99" s="1576">
        <f>+SUM(E91:E98)</f>
        <v>0.99999999999999989</v>
      </c>
      <c r="F99" s="3023">
        <f>+SUM(F91:F98)</f>
        <v>7319.7711799999997</v>
      </c>
      <c r="L99" s="42"/>
      <c r="M99" s="921"/>
      <c r="N99" s="2394"/>
    </row>
    <row r="100" spans="2:18" ht="15" thickTop="1">
      <c r="B100" s="142">
        <v>82</v>
      </c>
      <c r="C100" s="357"/>
      <c r="D100" s="328"/>
      <c r="E100" s="328"/>
      <c r="F100" s="536"/>
      <c r="L100" s="42"/>
      <c r="M100" s="921"/>
      <c r="N100" s="2394"/>
    </row>
    <row r="101" spans="2:18">
      <c r="B101" s="142">
        <v>83</v>
      </c>
      <c r="C101" s="357"/>
      <c r="D101" s="328"/>
      <c r="E101" s="328"/>
      <c r="F101" s="536"/>
      <c r="L101" s="162"/>
      <c r="N101" s="2394"/>
    </row>
    <row r="102" spans="2:18">
      <c r="B102" s="142">
        <v>84</v>
      </c>
      <c r="C102" s="1005" t="s">
        <v>6932</v>
      </c>
      <c r="D102" s="2687"/>
      <c r="E102" s="2687"/>
      <c r="F102" s="2689"/>
    </row>
    <row r="103" spans="2:18">
      <c r="B103" s="142">
        <v>85</v>
      </c>
      <c r="C103" s="2526" t="s">
        <v>1918</v>
      </c>
      <c r="D103" s="2657" t="s">
        <v>6930</v>
      </c>
      <c r="E103" s="2657" t="s">
        <v>6883</v>
      </c>
      <c r="F103" s="3037" t="s">
        <v>3480</v>
      </c>
    </row>
    <row r="104" spans="2:18" ht="15" thickBot="1">
      <c r="B104" s="142">
        <v>86</v>
      </c>
      <c r="C104" s="2886" t="s">
        <v>6933</v>
      </c>
      <c r="D104" s="2689"/>
      <c r="E104" s="328"/>
      <c r="F104" s="447">
        <f>+F55/1000</f>
        <v>-89765.768840000004</v>
      </c>
      <c r="H104" s="50" t="s">
        <v>9321</v>
      </c>
      <c r="I104" s="50"/>
      <c r="J104" s="50"/>
      <c r="L104" s="50" t="s">
        <v>9322</v>
      </c>
      <c r="P104" s="50" t="s">
        <v>9442</v>
      </c>
    </row>
    <row r="105" spans="2:18" ht="15" thickTop="1">
      <c r="B105" s="142">
        <v>87</v>
      </c>
      <c r="C105" s="3038"/>
      <c r="D105" s="328"/>
      <c r="E105" s="328"/>
      <c r="F105" s="1015"/>
      <c r="H105" t="s">
        <v>9319</v>
      </c>
      <c r="L105" t="s">
        <v>9320</v>
      </c>
      <c r="P105" t="s">
        <v>9434</v>
      </c>
    </row>
    <row r="106" spans="2:18">
      <c r="B106" s="142">
        <v>88</v>
      </c>
      <c r="C106" s="2810" t="s">
        <v>2254</v>
      </c>
      <c r="D106" s="42">
        <f>+'0 MDS REPORTS'!F1509</f>
        <v>5483176.4189962763</v>
      </c>
      <c r="E106" s="921">
        <f>+D106/$D$114</f>
        <v>0.55629536248632949</v>
      </c>
      <c r="F106" s="838">
        <f>+J106+N106+R106</f>
        <v>-68897.406480517937</v>
      </c>
      <c r="H106" s="42">
        <v>5507464.3824273944</v>
      </c>
      <c r="I106" s="921">
        <v>0.55865186152413859</v>
      </c>
      <c r="J106" s="2394">
        <f>+($F$104-$F$53/1000-$F$44/1000-$F$48/1000)*I106</f>
        <v>-15958.418316927051</v>
      </c>
      <c r="L106" s="42">
        <v>5507464.3824273944</v>
      </c>
      <c r="M106" s="921">
        <f>+L106/$L$114</f>
        <v>0.61420702063808075</v>
      </c>
      <c r="N106" s="2394">
        <f>+$F$53/1000*M106</f>
        <v>-7945.3820189742128</v>
      </c>
      <c r="P106" s="1952">
        <v>5507464.3824273944</v>
      </c>
      <c r="Q106" s="921">
        <f>+P106/$P$114</f>
        <v>0.93224287901101555</v>
      </c>
      <c r="R106" s="2394">
        <f>+($F$44/1000+$F$48/1000)*Q106</f>
        <v>-44993.606144616664</v>
      </c>
    </row>
    <row r="107" spans="2:18">
      <c r="B107" s="142">
        <v>89</v>
      </c>
      <c r="C107" s="2810" t="s">
        <v>2255</v>
      </c>
      <c r="D107" s="42">
        <f>+'0 MDS REPORTS'!F1510</f>
        <v>412366.90327200451</v>
      </c>
      <c r="E107" s="921">
        <f t="shared" ref="E107:E113" si="6">+D107/$D$114</f>
        <v>4.1836661526761049E-2</v>
      </c>
      <c r="F107" s="838">
        <f>+J107+N107+R107</f>
        <v>-4761.2269711501331</v>
      </c>
      <c r="H107" s="42">
        <v>400292.60496850213</v>
      </c>
      <c r="I107" s="921">
        <v>3.1979487843529261E-2</v>
      </c>
      <c r="J107" s="2394">
        <f t="shared" ref="J107:J113" si="7">+($F$104-$F$53/1000-$F$44/1000-$F$48/1000)*I107</f>
        <v>-913.52428894765637</v>
      </c>
      <c r="L107" s="42">
        <v>400292.60496850213</v>
      </c>
      <c r="M107" s="921">
        <f>+L107/$L$114</f>
        <v>4.4641691930978396E-2</v>
      </c>
      <c r="N107" s="2394">
        <f>+$F$53/1000*M107</f>
        <v>-577.48492681913649</v>
      </c>
      <c r="P107" s="1952">
        <v>400292.60496850213</v>
      </c>
      <c r="Q107" s="921">
        <f>+P107/$P$114</f>
        <v>6.7757120988984468E-2</v>
      </c>
      <c r="R107" s="2394">
        <f>+($F$44/1000+$F$48/1000)*Q107</f>
        <v>-3270.2177553833403</v>
      </c>
    </row>
    <row r="108" spans="2:18">
      <c r="B108" s="142">
        <v>90</v>
      </c>
      <c r="C108" s="2810" t="s">
        <v>2246</v>
      </c>
      <c r="D108" s="42">
        <f>+'0 MDS REPORTS'!F1511</f>
        <v>432533.37598961761</v>
      </c>
      <c r="E108" s="921">
        <f t="shared" si="6"/>
        <v>4.3882649908905579E-2</v>
      </c>
      <c r="F108" s="838">
        <f t="shared" ref="F108:F113" si="8">+J108+N108</f>
        <v>-1553.8940078238429</v>
      </c>
      <c r="H108" s="42">
        <v>439704.78427541954</v>
      </c>
      <c r="I108" s="921">
        <v>5.4396730480565106E-2</v>
      </c>
      <c r="J108" s="2394">
        <f t="shared" si="7"/>
        <v>-1553.8940078238429</v>
      </c>
      <c r="L108" s="42"/>
      <c r="M108" s="921"/>
      <c r="N108" s="2394"/>
      <c r="P108" s="2394"/>
    </row>
    <row r="109" spans="2:18">
      <c r="B109" s="142">
        <v>91</v>
      </c>
      <c r="C109" s="2810" t="s">
        <v>2247</v>
      </c>
      <c r="D109" s="42">
        <f>+'0 MDS REPORTS'!F1512</f>
        <v>469527.01948490978</v>
      </c>
      <c r="E109" s="921">
        <f t="shared" si="6"/>
        <v>4.7635837978252937E-2</v>
      </c>
      <c r="F109" s="838">
        <f t="shared" si="8"/>
        <v>-1161.7653124633177</v>
      </c>
      <c r="H109" s="42">
        <v>450098.82362195494</v>
      </c>
      <c r="I109" s="921">
        <v>4.0669591532977223E-2</v>
      </c>
      <c r="J109" s="2394">
        <f t="shared" si="7"/>
        <v>-1161.7653124633177</v>
      </c>
      <c r="L109" s="42"/>
      <c r="M109" s="921"/>
      <c r="N109" s="2394"/>
      <c r="P109" s="2394"/>
    </row>
    <row r="110" spans="2:18">
      <c r="B110" s="142">
        <v>92</v>
      </c>
      <c r="C110" s="2810" t="s">
        <v>2249</v>
      </c>
      <c r="D110" s="42">
        <f>+'0 MDS REPORTS'!F1513</f>
        <v>1529952.1493482229</v>
      </c>
      <c r="E110" s="921">
        <f t="shared" si="6"/>
        <v>0.15522121129639083</v>
      </c>
      <c r="F110" s="838">
        <f t="shared" si="8"/>
        <v>-4054.7767288160089</v>
      </c>
      <c r="H110" s="42">
        <v>938772.80305310606</v>
      </c>
      <c r="I110" s="921">
        <v>9.4533878817751077E-2</v>
      </c>
      <c r="J110" s="2394">
        <f t="shared" si="7"/>
        <v>-2700.4495772725099</v>
      </c>
      <c r="L110" s="42">
        <v>938772.80305310606</v>
      </c>
      <c r="M110" s="921">
        <f>+L110/$L$114</f>
        <v>0.10469443039142695</v>
      </c>
      <c r="N110" s="2394">
        <f>+$F$53/1000*M110</f>
        <v>-1354.327151543499</v>
      </c>
      <c r="P110" s="2394"/>
    </row>
    <row r="111" spans="2:18">
      <c r="B111" s="142">
        <v>93</v>
      </c>
      <c r="C111" s="2810" t="s">
        <v>2250</v>
      </c>
      <c r="D111" s="42">
        <f>+'0 MDS REPORTS'!F1514</f>
        <v>672570.78039095167</v>
      </c>
      <c r="E111" s="921">
        <f t="shared" si="6"/>
        <v>6.8235631591038196E-2</v>
      </c>
      <c r="F111" s="838">
        <f t="shared" si="8"/>
        <v>-1277.9307771508202</v>
      </c>
      <c r="H111" s="42">
        <v>264785.36731018859</v>
      </c>
      <c r="I111" s="921">
        <v>3.1363790575352421E-2</v>
      </c>
      <c r="J111" s="2394">
        <f t="shared" si="7"/>
        <v>-895.93631468520834</v>
      </c>
      <c r="L111" s="42">
        <v>264785.36731018859</v>
      </c>
      <c r="M111" s="921">
        <f>+L111/$L$114</f>
        <v>2.9529565744094908E-2</v>
      </c>
      <c r="N111" s="2394">
        <f>+$F$53/1000*M111</f>
        <v>-381.99446246561172</v>
      </c>
      <c r="P111" s="2394"/>
    </row>
    <row r="112" spans="2:18">
      <c r="B112" s="142">
        <v>94</v>
      </c>
      <c r="C112" s="2810" t="s">
        <v>2256</v>
      </c>
      <c r="D112" s="42">
        <f>+'0 MDS REPORTS'!F1515</f>
        <v>656038.10090762004</v>
      </c>
      <c r="E112" s="921">
        <f t="shared" si="6"/>
        <v>6.6558309501931701E-2</v>
      </c>
      <c r="F112" s="838">
        <f t="shared" si="8"/>
        <v>-7206.1482686802538</v>
      </c>
      <c r="H112" s="42">
        <v>1655032.0212425352</v>
      </c>
      <c r="I112" s="921">
        <v>0.16868004035992626</v>
      </c>
      <c r="J112" s="2394">
        <f t="shared" si="7"/>
        <v>-4818.5047453986317</v>
      </c>
      <c r="L112" s="42">
        <v>1655032.0212425352</v>
      </c>
      <c r="M112" s="921">
        <f>+L112/$L$114</f>
        <v>0.18457355622152305</v>
      </c>
      <c r="N112" s="2394">
        <f>+$F$53/1000*M112</f>
        <v>-2387.643523281622</v>
      </c>
      <c r="P112" s="2394"/>
    </row>
    <row r="113" spans="2:16">
      <c r="B113" s="142">
        <v>95</v>
      </c>
      <c r="C113" s="2810" t="s">
        <v>2257</v>
      </c>
      <c r="D113" s="42">
        <f>+'0 MDS REPORTS'!F1516</f>
        <v>200427.25066920705</v>
      </c>
      <c r="E113" s="921">
        <f t="shared" si="6"/>
        <v>2.0334335710390113E-2</v>
      </c>
      <c r="F113" s="838">
        <f t="shared" si="8"/>
        <v>-852.62029339770424</v>
      </c>
      <c r="H113" s="42">
        <v>200441.21215970907</v>
      </c>
      <c r="I113" s="921">
        <v>1.9724618865759994E-2</v>
      </c>
      <c r="J113" s="2394">
        <f t="shared" si="7"/>
        <v>-563.45237648178534</v>
      </c>
      <c r="L113" s="42">
        <v>200441.21215970907</v>
      </c>
      <c r="M113" s="921">
        <f>+L113/$L$114</f>
        <v>2.2353735073896024E-2</v>
      </c>
      <c r="N113" s="2394">
        <f>+$F$53/1000*M113</f>
        <v>-289.16791691591897</v>
      </c>
      <c r="P113" s="2394"/>
    </row>
    <row r="114" spans="2:16" ht="15" thickBot="1">
      <c r="B114" s="142">
        <v>96</v>
      </c>
      <c r="C114" s="3022" t="s">
        <v>115</v>
      </c>
      <c r="D114" s="655">
        <f>+SUM(D106:D113)</f>
        <v>9856591.999058811</v>
      </c>
      <c r="E114" s="1576">
        <f>+SUM(E106:E113)</f>
        <v>0.99999999999999989</v>
      </c>
      <c r="F114" s="3023">
        <f>+SUM(F106:F113)</f>
        <v>-89765.768840000004</v>
      </c>
      <c r="H114" s="162">
        <f>+SUM(H106:H113)</f>
        <v>9856591.9990588091</v>
      </c>
      <c r="J114" s="2394">
        <f>+SUM(J106:J113)</f>
        <v>-28565.944940000001</v>
      </c>
      <c r="L114" s="162">
        <f>+SUM(L106:L113)</f>
        <v>8966788.3911614344</v>
      </c>
      <c r="N114" s="2394">
        <f>+SUM(N106:N113)</f>
        <v>-12936.000000000002</v>
      </c>
      <c r="P114" s="162">
        <f>+SUM(P106:P113)</f>
        <v>5907756.9873958966</v>
      </c>
    </row>
    <row r="115" spans="2:16" ht="15" thickTop="1">
      <c r="B115" s="2926"/>
      <c r="C115" s="2417" t="s">
        <v>6934</v>
      </c>
      <c r="D115" s="546"/>
      <c r="E115" s="546"/>
      <c r="F115" s="5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8"/>
  <sheetViews>
    <sheetView tabSelected="1" showOutlineSymbols="0" workbookViewId="0"/>
  </sheetViews>
  <sheetFormatPr defaultRowHeight="14.4"/>
  <cols>
    <col min="1" max="1" width="4.5546875" customWidth="1"/>
    <col min="2" max="2" width="18.6640625" customWidth="1"/>
    <col min="3" max="5" width="20.44140625" customWidth="1"/>
  </cols>
  <sheetData>
    <row r="2" spans="1:5">
      <c r="A2" s="50" t="s">
        <v>9343</v>
      </c>
      <c r="B2" s="50"/>
      <c r="C2" s="1635" t="s">
        <v>9344</v>
      </c>
      <c r="D2" s="1635" t="s">
        <v>9345</v>
      </c>
      <c r="E2" s="1635" t="s">
        <v>3199</v>
      </c>
    </row>
    <row r="3" spans="1:5">
      <c r="A3" t="s">
        <v>4775</v>
      </c>
      <c r="C3" s="1586">
        <f>+SUMIF('Allocation Assignment'!B:B,A3,'Allocation Assignment'!F:F)</f>
        <v>1823092.9455249165</v>
      </c>
      <c r="D3" s="1586">
        <f>+SUMIF('0 MDS Allocation Assignment'!B:B,A3,'0 MDS Allocation Assignment'!F:F)</f>
        <v>1528704.6891072481</v>
      </c>
      <c r="E3" s="516">
        <f>+C3-D3</f>
        <v>294388.25641766842</v>
      </c>
    </row>
    <row r="4" spans="1:5">
      <c r="A4" t="s">
        <v>4682</v>
      </c>
      <c r="C4" s="1586">
        <f>+SUMIF('Allocation Assignment'!B:B,A4,'Allocation Assignment'!F:F)</f>
        <v>394094.27095957589</v>
      </c>
      <c r="D4" s="1586">
        <f>+SUMIF('0 MDS Allocation Assignment'!B:B,A4,'0 MDS Allocation Assignment'!F:F)</f>
        <v>394094.278357976</v>
      </c>
      <c r="E4" s="516">
        <f t="shared" ref="E4:E12" si="0">+C4-D4</f>
        <v>-7.3984001064673066E-3</v>
      </c>
    </row>
    <row r="5" spans="1:5">
      <c r="B5" t="s">
        <v>9346</v>
      </c>
      <c r="C5" s="1586">
        <f>+SUM('Allocation Assignment'!$F$35:$F$41)</f>
        <v>626.46090775325297</v>
      </c>
      <c r="D5" s="1586">
        <f>+SUM('0 MDS Allocation Assignment'!$F$35:$F$41)</f>
        <v>626.46090775325297</v>
      </c>
      <c r="E5" s="516">
        <f t="shared" si="0"/>
        <v>0</v>
      </c>
    </row>
    <row r="6" spans="1:5">
      <c r="B6" t="s">
        <v>4248</v>
      </c>
      <c r="C6" s="1586">
        <f>+SUM('Allocation Assignment'!$F$42:$F$46)</f>
        <v>124402.25928903971</v>
      </c>
      <c r="D6" s="1586">
        <f>+SUM('0 MDS Allocation Assignment'!$F$42:$F$46)</f>
        <v>124402.25928903971</v>
      </c>
      <c r="E6" s="516">
        <f t="shared" si="0"/>
        <v>0</v>
      </c>
    </row>
    <row r="7" spans="1:5">
      <c r="B7" t="s">
        <v>2064</v>
      </c>
      <c r="C7" s="1586">
        <f>+SUM('Allocation Assignment'!$F$47:$F$50)</f>
        <v>11539.59320899329</v>
      </c>
      <c r="D7" s="1586">
        <f>+SUM('0 MDS Allocation Assignment'!$F$47:$F$50)</f>
        <v>11539.59320899329</v>
      </c>
      <c r="E7" s="516">
        <f t="shared" si="0"/>
        <v>0</v>
      </c>
    </row>
    <row r="8" spans="1:5">
      <c r="B8" t="s">
        <v>9347</v>
      </c>
      <c r="C8" s="1586">
        <f>+SUM('Allocation Assignment'!$F$51:$F$70)</f>
        <v>54195.110929113696</v>
      </c>
      <c r="D8" s="1586">
        <f>+SUM('0 MDS Allocation Assignment'!$F$51:$F$70)</f>
        <v>54195.11132751371</v>
      </c>
      <c r="E8" s="516">
        <f t="shared" si="0"/>
        <v>-3.9840001409174874E-4</v>
      </c>
    </row>
    <row r="9" spans="1:5">
      <c r="B9" t="s">
        <v>9348</v>
      </c>
      <c r="C9" s="1586">
        <f>+SUM('Allocation Assignment'!$F$71:$F$75)</f>
        <v>45044.294312521619</v>
      </c>
      <c r="D9" s="1586">
        <f>+SUM('0 MDS Allocation Assignment'!$F$71:$F$75)</f>
        <v>45044.294312521619</v>
      </c>
      <c r="E9" s="516">
        <f t="shared" si="0"/>
        <v>0</v>
      </c>
    </row>
    <row r="10" spans="1:5">
      <c r="B10" t="s">
        <v>1515</v>
      </c>
      <c r="C10" s="1586">
        <f>+SUM('Allocation Assignment'!$F$76:$F$92)</f>
        <v>158286.55231215444</v>
      </c>
      <c r="D10" s="1586">
        <f>+SUM('0 MDS Allocation Assignment'!$F$76:$F$92)</f>
        <v>158286.55931215442</v>
      </c>
      <c r="E10" s="516">
        <f t="shared" si="0"/>
        <v>-6.9999999832361937E-3</v>
      </c>
    </row>
    <row r="11" spans="1:5">
      <c r="A11" t="s">
        <v>4739</v>
      </c>
      <c r="C11" s="1586">
        <f>+SUMIF('Allocation Assignment'!B:B,A11,'Allocation Assignment'!F:F)</f>
        <v>533874.20787373546</v>
      </c>
      <c r="D11" s="1586">
        <f>+SUMIF('0 MDS Allocation Assignment'!B:B,A11,'0 MDS Allocation Assignment'!F:F)</f>
        <v>533874.20787373558</v>
      </c>
      <c r="E11" s="516">
        <f t="shared" si="0"/>
        <v>0</v>
      </c>
    </row>
    <row r="12" spans="1:5">
      <c r="A12" t="s">
        <v>4871</v>
      </c>
      <c r="C12" s="1586">
        <f>+SUMIF('Allocation Assignment'!B:B,A12,'Allocation Assignment'!F:F)</f>
        <v>102154.4377432372</v>
      </c>
      <c r="D12" s="1586">
        <f>+SUMIF('0 MDS Allocation Assignment'!B:B,A12,'0 MDS Allocation Assignment'!F:F)</f>
        <v>102154.43774323718</v>
      </c>
      <c r="E12" s="516">
        <f t="shared" si="0"/>
        <v>0</v>
      </c>
    </row>
    <row r="13" spans="1:5">
      <c r="A13" t="s">
        <v>4877</v>
      </c>
      <c r="C13" s="1586">
        <f>+SUMIF('Allocation Assignment'!B:B,A13,'Allocation Assignment'!F:F)</f>
        <v>100464.03833999997</v>
      </c>
      <c r="D13" s="1586">
        <f>+SUMIF('0 MDS Allocation Assignment'!B:B,A13,'0 MDS Allocation Assignment'!F:F)</f>
        <v>99900.954339999997</v>
      </c>
      <c r="E13" s="516">
        <f t="shared" ref="E13:E18" si="1">+C13-D13</f>
        <v>563.08399999997346</v>
      </c>
    </row>
    <row r="14" spans="1:5">
      <c r="A14" t="s">
        <v>4883</v>
      </c>
      <c r="C14" s="1586">
        <f>+SUMIF('Allocation Assignment'!B:B,A14,'Allocation Assignment'!F:F)</f>
        <v>13492110.214790907</v>
      </c>
      <c r="D14" s="1586">
        <f>+SUMIF('0 MDS Allocation Assignment'!B:B,A14,'0 MDS Allocation Assignment'!F:F)</f>
        <v>13492110.214790903</v>
      </c>
      <c r="E14" s="516">
        <f t="shared" si="1"/>
        <v>0</v>
      </c>
    </row>
    <row r="15" spans="1:5">
      <c r="A15" t="s">
        <v>4890</v>
      </c>
      <c r="C15" s="1586">
        <f>+SUMIF('Allocation Assignment'!B:B,A15,'Allocation Assignment'!F:F)</f>
        <v>69494.543000000005</v>
      </c>
      <c r="D15" s="1586">
        <f>+SUMIF('0 MDS Allocation Assignment'!B:B,A15,'0 MDS Allocation Assignment'!F:F)</f>
        <v>69494.543000000005</v>
      </c>
      <c r="E15" s="516">
        <f t="shared" si="1"/>
        <v>0</v>
      </c>
    </row>
    <row r="16" spans="1:5">
      <c r="A16" t="s">
        <v>4894</v>
      </c>
      <c r="C16" s="1586">
        <f>+SUMIF('Allocation Assignment'!B:B,A16,'Allocation Assignment'!F:F)</f>
        <v>4023596.4966630763</v>
      </c>
      <c r="D16" s="1586">
        <f>+SUMIF('0 MDS Allocation Assignment'!B:B,A16,'0 MDS Allocation Assignment'!F:F)</f>
        <v>4023596.4966630759</v>
      </c>
      <c r="E16" s="516">
        <f t="shared" si="1"/>
        <v>0</v>
      </c>
    </row>
    <row r="17" spans="1:5">
      <c r="A17" t="s">
        <v>4897</v>
      </c>
      <c r="C17" s="1586">
        <f>+SUMIF('Allocation Assignment'!B:B,A17,'Allocation Assignment'!F:F)</f>
        <v>1528126.4914468783</v>
      </c>
      <c r="D17" s="1586">
        <f>+SUMIF('0 MDS Allocation Assignment'!B:B,A17,'0 MDS Allocation Assignment'!F:F)</f>
        <v>1528126.4914468783</v>
      </c>
      <c r="E17" s="516">
        <f t="shared" si="1"/>
        <v>0</v>
      </c>
    </row>
    <row r="18" spans="1:5">
      <c r="A18" t="s">
        <v>2342</v>
      </c>
      <c r="C18" s="1586">
        <f>+SUMIF('Allocation Assignment'!B:B,A18,'Allocation Assignment'!F:F)</f>
        <v>231613.9264123078</v>
      </c>
      <c r="D18" s="1586">
        <f>+SUMIF('0 MDS Allocation Assignment'!B:B,A18,'0 MDS Allocation Assignment'!F:F)</f>
        <v>231613.92641230783</v>
      </c>
      <c r="E18" s="516">
        <f t="shared" si="1"/>
        <v>0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Q522"/>
  <sheetViews>
    <sheetView tabSelected="1" showOutlineSymbols="0" workbookViewId="0"/>
  </sheetViews>
  <sheetFormatPr defaultRowHeight="14.4"/>
  <cols>
    <col min="1" max="1" width="21.88671875" customWidth="1"/>
    <col min="2" max="2" width="15.109375" customWidth="1"/>
    <col min="3" max="3" width="9.109375" style="33"/>
    <col min="4" max="4" width="36.88671875" customWidth="1"/>
    <col min="5" max="5" width="7.109375" customWidth="1"/>
    <col min="6" max="6" width="15.109375" style="512" customWidth="1"/>
    <col min="7" max="7" width="11.88671875" style="972" customWidth="1"/>
    <col min="8" max="8" width="49.109375" customWidth="1"/>
    <col min="9" max="9" width="9.88671875" style="849" customWidth="1"/>
    <col min="10" max="10" width="13.109375" customWidth="1"/>
    <col min="11" max="11" width="6.88671875" style="33" customWidth="1"/>
    <col min="12" max="12" width="35.109375" customWidth="1"/>
    <col min="13" max="13" width="7.5546875" customWidth="1"/>
    <col min="14" max="14" width="16.44140625" style="512" customWidth="1"/>
    <col min="15" max="15" width="12" style="972" customWidth="1"/>
    <col min="16" max="16" width="53.5546875" customWidth="1"/>
  </cols>
  <sheetData>
    <row r="1" spans="1:16" ht="15.6">
      <c r="A1" s="971"/>
    </row>
    <row r="2" spans="1:16">
      <c r="F2" s="973" t="s">
        <v>2173</v>
      </c>
      <c r="H2" s="288" t="s">
        <v>4767</v>
      </c>
      <c r="N2" s="973" t="s">
        <v>2173</v>
      </c>
      <c r="P2" s="288" t="s">
        <v>4767</v>
      </c>
    </row>
    <row r="3" spans="1:16">
      <c r="F3" s="645" t="s">
        <v>4768</v>
      </c>
      <c r="N3" s="645" t="s">
        <v>4769</v>
      </c>
    </row>
    <row r="4" spans="1:16">
      <c r="F4" s="645" t="s">
        <v>9480</v>
      </c>
      <c r="N4" s="645" t="s">
        <v>9480</v>
      </c>
    </row>
    <row r="5" spans="1:16">
      <c r="F5" s="645" t="s">
        <v>4770</v>
      </c>
      <c r="N5" s="645" t="s">
        <v>4770</v>
      </c>
    </row>
    <row r="6" spans="1:16">
      <c r="F6" s="974" t="s">
        <v>4771</v>
      </c>
      <c r="N6" s="974" t="s">
        <v>4771</v>
      </c>
    </row>
    <row r="8" spans="1:16">
      <c r="F8" s="645" t="s">
        <v>4772</v>
      </c>
      <c r="N8" s="645" t="s">
        <v>4772</v>
      </c>
    </row>
    <row r="9" spans="1:16">
      <c r="F9" s="975"/>
      <c r="N9" s="975"/>
      <c r="P9" s="945"/>
    </row>
    <row r="10" spans="1:16">
      <c r="N10" s="975"/>
    </row>
    <row r="11" spans="1:16">
      <c r="C11" s="33" t="s">
        <v>2182</v>
      </c>
      <c r="D11" s="33" t="s">
        <v>2182</v>
      </c>
      <c r="G11" s="976" t="s">
        <v>4251</v>
      </c>
      <c r="K11" s="33" t="s">
        <v>2182</v>
      </c>
      <c r="L11" s="33" t="s">
        <v>2182</v>
      </c>
      <c r="O11" s="976" t="s">
        <v>4251</v>
      </c>
    </row>
    <row r="12" spans="1:16">
      <c r="B12" s="297" t="s">
        <v>4683</v>
      </c>
      <c r="C12" s="529" t="s">
        <v>3216</v>
      </c>
      <c r="D12" s="529" t="s">
        <v>2052</v>
      </c>
      <c r="E12" s="297"/>
      <c r="F12" s="977" t="s">
        <v>2185</v>
      </c>
      <c r="G12" s="978" t="s">
        <v>4773</v>
      </c>
      <c r="H12" s="529" t="s">
        <v>4774</v>
      </c>
      <c r="I12" s="979"/>
      <c r="J12" s="297" t="s">
        <v>4683</v>
      </c>
      <c r="K12" s="529" t="s">
        <v>3216</v>
      </c>
      <c r="L12" s="529" t="s">
        <v>2052</v>
      </c>
      <c r="M12" s="297"/>
      <c r="N12" s="977" t="s">
        <v>2185</v>
      </c>
      <c r="O12" s="978" t="s">
        <v>4773</v>
      </c>
      <c r="P12" s="529" t="s">
        <v>4774</v>
      </c>
    </row>
    <row r="14" spans="1:16">
      <c r="A14" t="s">
        <v>4698</v>
      </c>
      <c r="B14" s="297" t="s">
        <v>4775</v>
      </c>
      <c r="C14" s="529">
        <v>1</v>
      </c>
      <c r="D14" s="297" t="s">
        <v>4776</v>
      </c>
      <c r="E14" s="297" t="s">
        <v>4777</v>
      </c>
      <c r="F14" s="970">
        <f>+'Functionalized Revenues'!G49</f>
        <v>1774352.2642492782</v>
      </c>
      <c r="G14" s="980">
        <v>501</v>
      </c>
      <c r="H14" s="297" t="s">
        <v>4778</v>
      </c>
      <c r="I14" s="297"/>
      <c r="J14" s="297" t="s">
        <v>4775</v>
      </c>
      <c r="K14" s="529">
        <v>1</v>
      </c>
      <c r="L14" s="297" t="s">
        <v>4776</v>
      </c>
      <c r="M14" s="297" t="s">
        <v>4777</v>
      </c>
      <c r="N14" s="970"/>
      <c r="O14" s="980">
        <v>501</v>
      </c>
      <c r="P14" s="297" t="s">
        <v>4778</v>
      </c>
    </row>
    <row r="15" spans="1:16">
      <c r="A15" t="s">
        <v>4779</v>
      </c>
      <c r="B15" s="981" t="s">
        <v>4775</v>
      </c>
      <c r="C15" s="529">
        <v>3</v>
      </c>
      <c r="D15" s="981" t="s">
        <v>4780</v>
      </c>
      <c r="E15" s="981" t="s">
        <v>4071</v>
      </c>
      <c r="F15" s="982">
        <f>+'Functionalized Revenues'!H128</f>
        <v>21444.731936121014</v>
      </c>
      <c r="G15" s="983">
        <v>420</v>
      </c>
      <c r="H15" s="981" t="s">
        <v>4781</v>
      </c>
      <c r="I15" s="297"/>
      <c r="J15" s="981" t="s">
        <v>4775</v>
      </c>
      <c r="K15" s="529">
        <v>3</v>
      </c>
      <c r="L15" s="981" t="s">
        <v>4780</v>
      </c>
      <c r="M15" s="981" t="s">
        <v>4071</v>
      </c>
      <c r="N15" s="982"/>
      <c r="O15" s="983">
        <v>420</v>
      </c>
      <c r="P15" s="981" t="s">
        <v>4781</v>
      </c>
    </row>
    <row r="16" spans="1:16">
      <c r="A16" t="s">
        <v>4782</v>
      </c>
      <c r="B16" t="s">
        <v>4775</v>
      </c>
      <c r="C16" s="33">
        <v>6</v>
      </c>
      <c r="D16" t="s">
        <v>1528</v>
      </c>
      <c r="E16" t="s">
        <v>4067</v>
      </c>
      <c r="F16" s="965">
        <f>+'Functionalized Revenues'!H132</f>
        <v>312.20800000000003</v>
      </c>
      <c r="G16" s="984">
        <v>101</v>
      </c>
      <c r="H16" t="s">
        <v>4783</v>
      </c>
      <c r="I16"/>
      <c r="J16" t="s">
        <v>4775</v>
      </c>
      <c r="K16" s="33">
        <v>6</v>
      </c>
      <c r="L16" t="s">
        <v>1528</v>
      </c>
      <c r="M16" t="s">
        <v>4067</v>
      </c>
      <c r="N16" s="445"/>
      <c r="O16" s="984">
        <v>122</v>
      </c>
      <c r="P16" t="s">
        <v>4784</v>
      </c>
    </row>
    <row r="17" spans="1:16">
      <c r="B17" t="s">
        <v>4775</v>
      </c>
      <c r="C17" s="33">
        <v>7</v>
      </c>
      <c r="D17" t="s">
        <v>1529</v>
      </c>
      <c r="E17" t="s">
        <v>4067</v>
      </c>
      <c r="F17" s="445">
        <f>+'Functionalized Revenues'!H133</f>
        <v>755.73100000000011</v>
      </c>
      <c r="G17" s="984">
        <v>117</v>
      </c>
      <c r="H17" t="s">
        <v>4785</v>
      </c>
      <c r="I17"/>
      <c r="J17" t="s">
        <v>4775</v>
      </c>
      <c r="K17" s="33">
        <v>7</v>
      </c>
      <c r="L17" t="s">
        <v>1529</v>
      </c>
      <c r="M17" t="s">
        <v>4067</v>
      </c>
      <c r="N17" s="445"/>
      <c r="O17" s="984">
        <v>117</v>
      </c>
      <c r="P17" t="s">
        <v>4785</v>
      </c>
    </row>
    <row r="18" spans="1:16">
      <c r="B18" t="s">
        <v>4775</v>
      </c>
      <c r="C18" s="33">
        <v>8</v>
      </c>
      <c r="D18" t="s">
        <v>1953</v>
      </c>
      <c r="E18" t="s">
        <v>4067</v>
      </c>
      <c r="F18" s="445">
        <f>+'Functionalized Revenues'!H134</f>
        <v>148.62792999999999</v>
      </c>
      <c r="G18" s="984">
        <v>117</v>
      </c>
      <c r="H18" t="s">
        <v>4785</v>
      </c>
      <c r="I18"/>
      <c r="J18" t="s">
        <v>4775</v>
      </c>
      <c r="K18" s="33">
        <v>8</v>
      </c>
      <c r="L18" t="s">
        <v>1953</v>
      </c>
      <c r="M18" t="s">
        <v>4067</v>
      </c>
      <c r="N18" s="445"/>
      <c r="O18" s="984">
        <v>117</v>
      </c>
      <c r="P18" t="s">
        <v>4785</v>
      </c>
    </row>
    <row r="19" spans="1:16">
      <c r="B19" t="s">
        <v>4775</v>
      </c>
      <c r="C19" s="33">
        <v>9</v>
      </c>
      <c r="D19" t="s">
        <v>2040</v>
      </c>
      <c r="E19" t="s">
        <v>4067</v>
      </c>
      <c r="F19" s="445">
        <f>+'Functionalized Revenues'!H135</f>
        <v>14488.425089886799</v>
      </c>
      <c r="G19" s="984">
        <v>105</v>
      </c>
      <c r="H19" t="s">
        <v>4786</v>
      </c>
      <c r="I19"/>
      <c r="J19" t="s">
        <v>4775</v>
      </c>
      <c r="K19" s="33">
        <v>9</v>
      </c>
      <c r="L19" t="s">
        <v>2040</v>
      </c>
      <c r="M19" t="s">
        <v>4067</v>
      </c>
      <c r="N19" s="445"/>
      <c r="O19" s="984">
        <v>105</v>
      </c>
      <c r="P19" t="s">
        <v>4786</v>
      </c>
    </row>
    <row r="20" spans="1:16">
      <c r="B20" s="297" t="s">
        <v>4775</v>
      </c>
      <c r="C20" s="529">
        <v>10</v>
      </c>
      <c r="D20" s="297" t="s">
        <v>4787</v>
      </c>
      <c r="E20" s="297" t="s">
        <v>4067</v>
      </c>
      <c r="F20" s="970">
        <f>+'Functionalized Revenues'!H136</f>
        <v>118.96596000000004</v>
      </c>
      <c r="G20" s="980">
        <v>106</v>
      </c>
      <c r="H20" s="297" t="s">
        <v>4788</v>
      </c>
      <c r="I20" s="297"/>
      <c r="J20" s="297" t="s">
        <v>4775</v>
      </c>
      <c r="K20" s="529">
        <v>10</v>
      </c>
      <c r="L20" s="297" t="s">
        <v>4787</v>
      </c>
      <c r="M20" s="297" t="s">
        <v>4067</v>
      </c>
      <c r="N20" s="970"/>
      <c r="O20" s="980">
        <v>106</v>
      </c>
      <c r="P20" s="297" t="s">
        <v>4788</v>
      </c>
    </row>
    <row r="21" spans="1:16">
      <c r="A21" t="s">
        <v>4789</v>
      </c>
      <c r="B21" t="s">
        <v>4775</v>
      </c>
      <c r="C21" s="33">
        <v>14</v>
      </c>
      <c r="D21" t="s">
        <v>1528</v>
      </c>
      <c r="E21" t="s">
        <v>4067</v>
      </c>
      <c r="F21" s="445">
        <f>+'Functionalized Revenues'!H162</f>
        <v>1538.7293105288484</v>
      </c>
      <c r="G21" s="984">
        <v>101</v>
      </c>
      <c r="H21" t="s">
        <v>4783</v>
      </c>
      <c r="I21"/>
      <c r="J21" t="s">
        <v>4775</v>
      </c>
      <c r="K21" s="33">
        <v>14</v>
      </c>
      <c r="L21" t="s">
        <v>1528</v>
      </c>
      <c r="M21" t="s">
        <v>4067</v>
      </c>
      <c r="N21" s="445"/>
      <c r="O21" s="984">
        <v>122</v>
      </c>
      <c r="P21" t="s">
        <v>4784</v>
      </c>
    </row>
    <row r="22" spans="1:16">
      <c r="B22" t="s">
        <v>4775</v>
      </c>
      <c r="C22" s="33">
        <v>15</v>
      </c>
      <c r="D22" t="s">
        <v>1528</v>
      </c>
      <c r="E22" t="s">
        <v>2067</v>
      </c>
      <c r="F22" s="445">
        <f>+'Functionalized Revenues'!H163</f>
        <v>145.45872532694909</v>
      </c>
      <c r="G22" s="984">
        <v>201</v>
      </c>
      <c r="H22" t="s">
        <v>4790</v>
      </c>
      <c r="I22"/>
      <c r="J22" t="s">
        <v>4775</v>
      </c>
      <c r="K22" s="33">
        <v>15</v>
      </c>
      <c r="L22" t="s">
        <v>1528</v>
      </c>
      <c r="M22" t="s">
        <v>2067</v>
      </c>
      <c r="N22" s="445"/>
      <c r="O22" s="984">
        <v>201</v>
      </c>
      <c r="P22" t="s">
        <v>4790</v>
      </c>
    </row>
    <row r="23" spans="1:16">
      <c r="B23" t="s">
        <v>4775</v>
      </c>
      <c r="C23" s="33">
        <v>16</v>
      </c>
      <c r="D23" t="s">
        <v>1529</v>
      </c>
      <c r="E23" t="s">
        <v>4067</v>
      </c>
      <c r="F23" s="445">
        <f>+'Functionalized Revenues'!H164</f>
        <v>240.6963635059152</v>
      </c>
      <c r="G23" s="984">
        <v>117</v>
      </c>
      <c r="H23" t="s">
        <v>4785</v>
      </c>
      <c r="I23"/>
      <c r="J23" t="s">
        <v>4775</v>
      </c>
      <c r="K23" s="33">
        <v>16</v>
      </c>
      <c r="L23" t="s">
        <v>1529</v>
      </c>
      <c r="M23" t="s">
        <v>4067</v>
      </c>
      <c r="N23" s="445"/>
      <c r="O23" s="984">
        <v>117</v>
      </c>
      <c r="P23" t="s">
        <v>4785</v>
      </c>
    </row>
    <row r="24" spans="1:16">
      <c r="B24" t="s">
        <v>4775</v>
      </c>
      <c r="C24" s="33">
        <v>17</v>
      </c>
      <c r="D24" t="s">
        <v>4791</v>
      </c>
      <c r="E24" t="s">
        <v>4067</v>
      </c>
      <c r="F24" s="445">
        <f>+'Functionalized Revenues'!H165</f>
        <v>7929.0305824175994</v>
      </c>
      <c r="G24" s="984">
        <v>202</v>
      </c>
      <c r="H24" t="s">
        <v>4792</v>
      </c>
      <c r="I24"/>
      <c r="J24" t="s">
        <v>4775</v>
      </c>
      <c r="K24" s="33">
        <v>17</v>
      </c>
      <c r="L24" t="s">
        <v>4793</v>
      </c>
      <c r="M24" t="s">
        <v>4067</v>
      </c>
      <c r="N24" s="445"/>
      <c r="O24" s="984">
        <v>202</v>
      </c>
      <c r="P24" t="s">
        <v>4792</v>
      </c>
    </row>
    <row r="25" spans="1:16">
      <c r="B25" t="s">
        <v>4775</v>
      </c>
      <c r="C25" s="33">
        <v>18</v>
      </c>
      <c r="D25" t="s">
        <v>1953</v>
      </c>
      <c r="E25" t="s">
        <v>4067</v>
      </c>
      <c r="F25" s="445">
        <f>+'Functionalized Revenues'!H166</f>
        <v>124.74078416988186</v>
      </c>
      <c r="G25" s="984">
        <v>117</v>
      </c>
      <c r="H25" t="s">
        <v>4785</v>
      </c>
      <c r="I25"/>
      <c r="J25" t="s">
        <v>4775</v>
      </c>
      <c r="K25" s="33">
        <v>18</v>
      </c>
      <c r="L25" t="s">
        <v>1953</v>
      </c>
      <c r="M25" t="s">
        <v>4067</v>
      </c>
      <c r="N25" s="445"/>
      <c r="O25" s="984">
        <v>117</v>
      </c>
      <c r="P25" t="s">
        <v>4785</v>
      </c>
    </row>
    <row r="26" spans="1:16">
      <c r="B26" t="s">
        <v>4775</v>
      </c>
      <c r="C26" s="33">
        <v>19</v>
      </c>
      <c r="D26" t="s">
        <v>2040</v>
      </c>
      <c r="E26" t="s">
        <v>4067</v>
      </c>
      <c r="F26" s="445">
        <f>+'Functionalized Revenues'!H167</f>
        <v>457.1290387791085</v>
      </c>
      <c r="G26" s="984">
        <v>105</v>
      </c>
      <c r="H26" t="s">
        <v>4786</v>
      </c>
      <c r="I26"/>
      <c r="J26" t="s">
        <v>4775</v>
      </c>
      <c r="K26" s="33">
        <v>19</v>
      </c>
      <c r="L26" t="s">
        <v>2040</v>
      </c>
      <c r="M26" t="s">
        <v>4067</v>
      </c>
      <c r="N26" s="445"/>
      <c r="O26" s="984">
        <v>105</v>
      </c>
      <c r="P26" t="s">
        <v>4786</v>
      </c>
    </row>
    <row r="27" spans="1:16">
      <c r="B27" t="s">
        <v>4775</v>
      </c>
      <c r="C27" s="33">
        <v>20</v>
      </c>
      <c r="D27" t="s">
        <v>4787</v>
      </c>
      <c r="E27" t="s">
        <v>4067</v>
      </c>
      <c r="F27" s="445">
        <f>+'Functionalized Revenues'!H168</f>
        <v>229.72470960232238</v>
      </c>
      <c r="G27" s="984">
        <v>106</v>
      </c>
      <c r="H27" t="s">
        <v>4788</v>
      </c>
      <c r="I27"/>
      <c r="J27" t="s">
        <v>4775</v>
      </c>
      <c r="K27" s="33">
        <v>20</v>
      </c>
      <c r="L27" t="s">
        <v>4787</v>
      </c>
      <c r="M27" t="s">
        <v>4067</v>
      </c>
      <c r="N27" s="445"/>
      <c r="O27" s="984">
        <v>106</v>
      </c>
      <c r="P27" t="s">
        <v>4788</v>
      </c>
    </row>
    <row r="28" spans="1:16">
      <c r="B28" t="s">
        <v>4775</v>
      </c>
      <c r="C28" s="33">
        <v>21</v>
      </c>
      <c r="D28" t="s">
        <v>1530</v>
      </c>
      <c r="E28" t="s">
        <v>4071</v>
      </c>
      <c r="F28" s="445">
        <f>+'Functionalized Revenues'!H169</f>
        <v>216.09497132613194</v>
      </c>
      <c r="G28" s="984">
        <v>907</v>
      </c>
      <c r="H28" t="s">
        <v>4794</v>
      </c>
      <c r="I28"/>
      <c r="J28" t="s">
        <v>4775</v>
      </c>
      <c r="K28" s="33">
        <v>21</v>
      </c>
      <c r="L28" t="s">
        <v>1530</v>
      </c>
      <c r="M28" t="s">
        <v>4071</v>
      </c>
      <c r="N28" s="445"/>
      <c r="O28" s="984">
        <v>907</v>
      </c>
      <c r="P28" t="s">
        <v>4794</v>
      </c>
    </row>
    <row r="29" spans="1:16">
      <c r="B29" s="297" t="s">
        <v>4775</v>
      </c>
      <c r="C29" s="529">
        <v>22</v>
      </c>
      <c r="D29" s="297" t="s">
        <v>2338</v>
      </c>
      <c r="E29" s="297" t="s">
        <v>4071</v>
      </c>
      <c r="F29" s="970">
        <f>+'Functionalized Revenues'!H170</f>
        <v>52.39644670933798</v>
      </c>
      <c r="G29" s="980">
        <v>412</v>
      </c>
      <c r="H29" s="297" t="s">
        <v>4795</v>
      </c>
      <c r="I29" s="297"/>
      <c r="J29" s="297" t="s">
        <v>4775</v>
      </c>
      <c r="K29" s="529">
        <v>22</v>
      </c>
      <c r="L29" s="297" t="s">
        <v>2338</v>
      </c>
      <c r="M29" s="297" t="s">
        <v>4071</v>
      </c>
      <c r="N29" s="970"/>
      <c r="O29" s="980">
        <v>412</v>
      </c>
      <c r="P29" s="297" t="s">
        <v>4795</v>
      </c>
    </row>
    <row r="30" spans="1:16">
      <c r="A30" t="s">
        <v>4796</v>
      </c>
      <c r="B30" t="s">
        <v>4775</v>
      </c>
      <c r="C30" s="33">
        <v>26</v>
      </c>
      <c r="D30" t="s">
        <v>4797</v>
      </c>
      <c r="E30" t="s">
        <v>2067</v>
      </c>
      <c r="F30" s="966">
        <f>+'Functionalized Revenues'!H174</f>
        <v>493.87339000000003</v>
      </c>
      <c r="G30" s="984">
        <v>201</v>
      </c>
      <c r="H30" t="s">
        <v>4790</v>
      </c>
      <c r="I30"/>
      <c r="J30" t="s">
        <v>4775</v>
      </c>
      <c r="K30" s="33">
        <v>26</v>
      </c>
      <c r="L30" t="s">
        <v>4797</v>
      </c>
      <c r="M30" t="s">
        <v>2067</v>
      </c>
      <c r="N30" s="445"/>
      <c r="O30" s="984">
        <v>201</v>
      </c>
      <c r="P30" t="s">
        <v>4790</v>
      </c>
    </row>
    <row r="31" spans="1:16">
      <c r="B31" t="s">
        <v>4775</v>
      </c>
      <c r="C31" s="33">
        <v>27</v>
      </c>
      <c r="D31" t="s">
        <v>4798</v>
      </c>
      <c r="E31" t="s">
        <v>2067</v>
      </c>
      <c r="F31" s="966">
        <f>+'Functionalized Revenues'!H175</f>
        <v>-1.84900420208578E-3</v>
      </c>
      <c r="G31" s="984">
        <v>202</v>
      </c>
      <c r="H31" t="s">
        <v>4792</v>
      </c>
      <c r="I31"/>
      <c r="J31" t="s">
        <v>4775</v>
      </c>
      <c r="K31" s="33">
        <v>27</v>
      </c>
      <c r="L31" t="s">
        <v>4798</v>
      </c>
      <c r="M31" t="s">
        <v>2067</v>
      </c>
      <c r="N31" s="445"/>
      <c r="O31" s="984">
        <v>202</v>
      </c>
      <c r="P31" t="s">
        <v>4792</v>
      </c>
    </row>
    <row r="32" spans="1:16">
      <c r="B32" t="s">
        <v>4775</v>
      </c>
      <c r="C32" s="33">
        <v>29</v>
      </c>
      <c r="D32" t="s">
        <v>4799</v>
      </c>
      <c r="E32" t="s">
        <v>2067</v>
      </c>
      <c r="F32" s="966">
        <f>+'Functionalized Revenues'!H176</f>
        <v>107</v>
      </c>
      <c r="G32" s="984">
        <v>204</v>
      </c>
      <c r="H32" t="s">
        <v>4800</v>
      </c>
      <c r="I32"/>
      <c r="J32" t="s">
        <v>4775</v>
      </c>
      <c r="K32" s="33">
        <v>29</v>
      </c>
      <c r="L32" t="s">
        <v>4799</v>
      </c>
      <c r="M32" t="s">
        <v>2067</v>
      </c>
      <c r="N32" s="445"/>
      <c r="O32" s="984">
        <v>204</v>
      </c>
      <c r="P32" t="s">
        <v>4800</v>
      </c>
    </row>
    <row r="33" spans="1:16">
      <c r="B33" t="s">
        <v>4775</v>
      </c>
      <c r="C33" s="33">
        <v>30</v>
      </c>
      <c r="D33" t="s">
        <v>4801</v>
      </c>
      <c r="E33" t="s">
        <v>2067</v>
      </c>
      <c r="F33" s="966">
        <f>+'Functionalized Revenues'!H177</f>
        <v>0</v>
      </c>
      <c r="G33" s="984">
        <v>201</v>
      </c>
      <c r="H33" t="s">
        <v>4790</v>
      </c>
      <c r="I33"/>
      <c r="J33" t="s">
        <v>4775</v>
      </c>
      <c r="K33" s="33">
        <v>30</v>
      </c>
      <c r="L33" t="s">
        <v>4801</v>
      </c>
      <c r="M33" t="s">
        <v>2067</v>
      </c>
      <c r="N33" s="445"/>
      <c r="O33" s="984">
        <v>201</v>
      </c>
      <c r="P33" t="s">
        <v>4790</v>
      </c>
    </row>
    <row r="34" spans="1:16">
      <c r="B34" s="297" t="s">
        <v>4775</v>
      </c>
      <c r="C34" s="529">
        <v>31</v>
      </c>
      <c r="D34" s="297" t="s">
        <v>877</v>
      </c>
      <c r="E34" s="297" t="s">
        <v>2067</v>
      </c>
      <c r="F34" s="970">
        <f>+'Functionalized Revenues'!H113</f>
        <v>-62.881113731333144</v>
      </c>
      <c r="G34" s="980">
        <v>508</v>
      </c>
      <c r="H34" s="297" t="s">
        <v>4802</v>
      </c>
      <c r="I34" s="297"/>
      <c r="J34" s="297" t="s">
        <v>4775</v>
      </c>
      <c r="K34" s="529">
        <v>31</v>
      </c>
      <c r="L34" s="297" t="s">
        <v>877</v>
      </c>
      <c r="M34" s="297" t="s">
        <v>2067</v>
      </c>
      <c r="N34" s="970"/>
      <c r="O34" s="980">
        <v>508</v>
      </c>
      <c r="P34" s="297" t="s">
        <v>4802</v>
      </c>
    </row>
    <row r="35" spans="1:16">
      <c r="A35" t="s">
        <v>4803</v>
      </c>
      <c r="B35" t="s">
        <v>4682</v>
      </c>
      <c r="C35" s="33">
        <v>2</v>
      </c>
      <c r="D35" t="s">
        <v>4804</v>
      </c>
      <c r="E35" t="s">
        <v>4067</v>
      </c>
      <c r="F35" s="967">
        <f>+'Fuel Interchange'!G28/1000</f>
        <v>0</v>
      </c>
      <c r="G35" s="984">
        <v>202</v>
      </c>
      <c r="H35" t="s">
        <v>4792</v>
      </c>
      <c r="I35"/>
      <c r="J35" t="s">
        <v>4682</v>
      </c>
      <c r="K35" s="33">
        <v>2</v>
      </c>
      <c r="L35" t="s">
        <v>4804</v>
      </c>
      <c r="M35" t="s">
        <v>4067</v>
      </c>
      <c r="N35" s="445"/>
      <c r="O35" s="984">
        <v>201</v>
      </c>
      <c r="P35" t="s">
        <v>4790</v>
      </c>
    </row>
    <row r="36" spans="1:16">
      <c r="B36" t="s">
        <v>4682</v>
      </c>
      <c r="C36" s="33">
        <v>3</v>
      </c>
      <c r="D36" s="79" t="s">
        <v>4805</v>
      </c>
      <c r="E36" t="s">
        <v>2067</v>
      </c>
      <c r="F36" s="967">
        <f>+'Fuel Interchange'!G36/1000</f>
        <v>0</v>
      </c>
      <c r="G36" s="984">
        <v>202</v>
      </c>
      <c r="H36" t="s">
        <v>4792</v>
      </c>
      <c r="I36"/>
      <c r="J36" t="s">
        <v>4682</v>
      </c>
      <c r="K36" s="33">
        <v>3</v>
      </c>
      <c r="L36" s="79" t="s">
        <v>4805</v>
      </c>
      <c r="M36" t="s">
        <v>2067</v>
      </c>
      <c r="N36" s="445"/>
      <c r="O36" s="984">
        <v>201</v>
      </c>
      <c r="P36" t="s">
        <v>4790</v>
      </c>
    </row>
    <row r="37" spans="1:16">
      <c r="B37" t="s">
        <v>4682</v>
      </c>
      <c r="C37" s="33">
        <v>2</v>
      </c>
      <c r="D37" t="s">
        <v>4806</v>
      </c>
      <c r="E37" t="s">
        <v>4067</v>
      </c>
      <c r="F37" s="967">
        <f>+'Fuel Interchange'!G31/1000</f>
        <v>0</v>
      </c>
      <c r="G37" s="984">
        <v>202</v>
      </c>
      <c r="H37" t="s">
        <v>4792</v>
      </c>
      <c r="I37"/>
      <c r="J37" t="s">
        <v>4682</v>
      </c>
      <c r="K37" s="33">
        <v>2</v>
      </c>
      <c r="L37" t="s">
        <v>4806</v>
      </c>
      <c r="M37" t="s">
        <v>4067</v>
      </c>
      <c r="N37" s="445"/>
      <c r="O37" s="984">
        <v>201</v>
      </c>
      <c r="P37" t="s">
        <v>4790</v>
      </c>
    </row>
    <row r="38" spans="1:16">
      <c r="B38" t="s">
        <v>4682</v>
      </c>
      <c r="C38" s="33">
        <v>4</v>
      </c>
      <c r="D38" s="96" t="s">
        <v>4807</v>
      </c>
      <c r="E38" t="s">
        <v>2067</v>
      </c>
      <c r="F38" s="968">
        <f>(+'Fuel Interchange'!G42+'Fuel Interchange'!G45)/1000</f>
        <v>0</v>
      </c>
      <c r="G38" s="984">
        <v>202</v>
      </c>
      <c r="H38" t="s">
        <v>4792</v>
      </c>
      <c r="I38"/>
      <c r="J38" t="s">
        <v>4682</v>
      </c>
      <c r="K38" s="33">
        <v>4</v>
      </c>
      <c r="L38" t="s">
        <v>4808</v>
      </c>
      <c r="M38" t="s">
        <v>2067</v>
      </c>
      <c r="N38" s="445"/>
      <c r="O38" s="984">
        <v>201</v>
      </c>
      <c r="P38" t="s">
        <v>4790</v>
      </c>
    </row>
    <row r="39" spans="1:16">
      <c r="B39" t="s">
        <v>4682</v>
      </c>
      <c r="C39" s="33">
        <v>7</v>
      </c>
      <c r="D39" t="s">
        <v>4809</v>
      </c>
      <c r="E39" t="s">
        <v>2067</v>
      </c>
      <c r="F39" s="967">
        <f>+(+'Fuel Interchange'!I42+'Fuel Interchange'!I45)/1000</f>
        <v>0</v>
      </c>
      <c r="G39" s="984">
        <v>205</v>
      </c>
      <c r="H39" t="s">
        <v>4810</v>
      </c>
      <c r="I39"/>
      <c r="J39" t="s">
        <v>4682</v>
      </c>
      <c r="K39" s="33">
        <v>7</v>
      </c>
      <c r="L39" t="s">
        <v>4809</v>
      </c>
      <c r="M39" t="s">
        <v>2067</v>
      </c>
      <c r="N39" s="445"/>
      <c r="O39" s="984">
        <v>201</v>
      </c>
      <c r="P39" t="s">
        <v>4790</v>
      </c>
    </row>
    <row r="40" spans="1:16">
      <c r="B40" t="s">
        <v>4682</v>
      </c>
      <c r="C40" s="33">
        <v>6</v>
      </c>
      <c r="D40" t="s">
        <v>4811</v>
      </c>
      <c r="E40" t="s">
        <v>4067</v>
      </c>
      <c r="F40" s="967">
        <f>+'Fuel Interchange'!I32/1000</f>
        <v>0</v>
      </c>
      <c r="G40" s="984">
        <v>205</v>
      </c>
      <c r="H40" t="s">
        <v>4810</v>
      </c>
      <c r="I40"/>
      <c r="J40" t="s">
        <v>4682</v>
      </c>
      <c r="K40" s="33">
        <v>6</v>
      </c>
      <c r="L40" t="s">
        <v>4811</v>
      </c>
      <c r="M40" t="s">
        <v>4067</v>
      </c>
      <c r="N40" s="445"/>
      <c r="O40" s="984">
        <v>122</v>
      </c>
      <c r="P40" t="s">
        <v>4784</v>
      </c>
    </row>
    <row r="41" spans="1:16">
      <c r="B41" s="297" t="s">
        <v>4682</v>
      </c>
      <c r="C41" s="529">
        <v>7</v>
      </c>
      <c r="D41" s="545" t="s">
        <v>4812</v>
      </c>
      <c r="E41" s="297" t="s">
        <v>2067</v>
      </c>
      <c r="F41" s="969">
        <f>+'Fuel Interchange'!J53/1000</f>
        <v>626.46090775325297</v>
      </c>
      <c r="G41" s="980">
        <v>205</v>
      </c>
      <c r="H41" s="297" t="s">
        <v>4810</v>
      </c>
      <c r="I41" s="297"/>
      <c r="J41" s="297" t="s">
        <v>4682</v>
      </c>
      <c r="K41" s="529">
        <v>7</v>
      </c>
      <c r="L41" s="297" t="s">
        <v>4812</v>
      </c>
      <c r="M41" s="297" t="s">
        <v>2067</v>
      </c>
      <c r="N41" s="970"/>
      <c r="O41" s="980">
        <v>201</v>
      </c>
      <c r="P41" s="297" t="s">
        <v>4790</v>
      </c>
    </row>
    <row r="42" spans="1:16">
      <c r="A42" t="s">
        <v>1441</v>
      </c>
      <c r="B42" t="s">
        <v>4682</v>
      </c>
      <c r="C42" s="33">
        <v>15</v>
      </c>
      <c r="D42" t="s">
        <v>4813</v>
      </c>
      <c r="E42" t="s">
        <v>4067</v>
      </c>
      <c r="F42" s="445">
        <f>+'Prod O&amp;M'!H58</f>
        <v>21258.613990116999</v>
      </c>
      <c r="G42" s="984">
        <v>101</v>
      </c>
      <c r="H42" t="s">
        <v>4783</v>
      </c>
      <c r="I42"/>
      <c r="J42" t="s">
        <v>4682</v>
      </c>
      <c r="K42" s="33">
        <v>15</v>
      </c>
      <c r="L42" t="s">
        <v>4813</v>
      </c>
      <c r="M42" t="s">
        <v>4067</v>
      </c>
      <c r="N42" s="445"/>
      <c r="O42" s="984">
        <v>122</v>
      </c>
      <c r="P42" t="s">
        <v>4784</v>
      </c>
    </row>
    <row r="43" spans="1:16">
      <c r="B43" t="s">
        <v>4682</v>
      </c>
      <c r="C43" s="33">
        <v>17</v>
      </c>
      <c r="D43" t="s">
        <v>4814</v>
      </c>
      <c r="E43" t="s">
        <v>2067</v>
      </c>
      <c r="F43" s="445">
        <f>+'Prod O&amp;M'!I58</f>
        <v>25468.676308669801</v>
      </c>
      <c r="G43" s="984">
        <v>201</v>
      </c>
      <c r="H43" t="s">
        <v>4790</v>
      </c>
      <c r="I43"/>
      <c r="J43" t="s">
        <v>4682</v>
      </c>
      <c r="K43" s="33">
        <v>17</v>
      </c>
      <c r="L43" t="s">
        <v>4814</v>
      </c>
      <c r="M43" t="s">
        <v>2067</v>
      </c>
      <c r="N43" s="445"/>
      <c r="O43" s="984">
        <v>201</v>
      </c>
      <c r="P43" t="s">
        <v>4790</v>
      </c>
    </row>
    <row r="44" spans="1:16">
      <c r="B44" t="s">
        <v>4682</v>
      </c>
      <c r="C44" s="33">
        <v>15</v>
      </c>
      <c r="D44" t="s">
        <v>4813</v>
      </c>
      <c r="E44" t="s">
        <v>4067</v>
      </c>
      <c r="F44" s="445">
        <f>+'Prod O&amp;M'!H70-F45</f>
        <v>73833.458690158004</v>
      </c>
      <c r="G44" s="984">
        <v>101</v>
      </c>
      <c r="H44" t="s">
        <v>4783</v>
      </c>
      <c r="I44"/>
      <c r="J44" t="s">
        <v>4682</v>
      </c>
      <c r="K44" s="33">
        <v>15</v>
      </c>
      <c r="L44" t="s">
        <v>4813</v>
      </c>
      <c r="M44" t="s">
        <v>4067</v>
      </c>
      <c r="N44" s="445"/>
      <c r="O44" s="984">
        <v>122</v>
      </c>
      <c r="P44" t="s">
        <v>4784</v>
      </c>
    </row>
    <row r="45" spans="1:16">
      <c r="B45" t="s">
        <v>4682</v>
      </c>
      <c r="C45" s="33">
        <v>16</v>
      </c>
      <c r="D45" s="96" t="s">
        <v>4815</v>
      </c>
      <c r="E45" t="s">
        <v>4067</v>
      </c>
      <c r="F45" s="445">
        <f>+'Prod O&amp;M'!H9/1000</f>
        <v>0</v>
      </c>
      <c r="G45" s="984">
        <v>101</v>
      </c>
      <c r="H45" t="s">
        <v>4783</v>
      </c>
      <c r="I45"/>
      <c r="J45" t="s">
        <v>4682</v>
      </c>
      <c r="K45" s="33">
        <v>16</v>
      </c>
      <c r="L45" s="96" t="s">
        <v>4815</v>
      </c>
      <c r="M45" t="s">
        <v>4067</v>
      </c>
      <c r="N45" s="445"/>
      <c r="O45" s="984">
        <v>121</v>
      </c>
      <c r="P45" t="s">
        <v>4816</v>
      </c>
    </row>
    <row r="46" spans="1:16">
      <c r="B46" s="297" t="s">
        <v>4682</v>
      </c>
      <c r="C46" s="529">
        <v>17</v>
      </c>
      <c r="D46" s="297" t="s">
        <v>4814</v>
      </c>
      <c r="E46" s="297" t="s">
        <v>2067</v>
      </c>
      <c r="F46" s="970">
        <f>+'Prod O&amp;M'!I70</f>
        <v>3841.5103000948998</v>
      </c>
      <c r="G46" s="980">
        <v>201</v>
      </c>
      <c r="H46" s="297" t="s">
        <v>4790</v>
      </c>
      <c r="I46" s="297"/>
      <c r="J46" s="297" t="s">
        <v>4682</v>
      </c>
      <c r="K46" s="529">
        <v>17</v>
      </c>
      <c r="L46" s="297" t="s">
        <v>4814</v>
      </c>
      <c r="M46" s="297" t="s">
        <v>2067</v>
      </c>
      <c r="N46" s="970"/>
      <c r="O46" s="980">
        <v>201</v>
      </c>
      <c r="P46" s="297" t="s">
        <v>4790</v>
      </c>
    </row>
    <row r="47" spans="1:16">
      <c r="A47" t="s">
        <v>1760</v>
      </c>
      <c r="B47" t="s">
        <v>4682</v>
      </c>
      <c r="C47" s="33">
        <v>22</v>
      </c>
      <c r="D47" t="s">
        <v>4817</v>
      </c>
      <c r="E47" t="s">
        <v>4067</v>
      </c>
      <c r="F47" s="966">
        <f>+'Transmission O&amp;M'!I47</f>
        <v>3435.0487828274636</v>
      </c>
      <c r="G47" s="984">
        <v>101</v>
      </c>
      <c r="H47" t="s">
        <v>4783</v>
      </c>
      <c r="I47"/>
      <c r="J47" t="s">
        <v>4682</v>
      </c>
      <c r="K47" s="33">
        <v>22</v>
      </c>
      <c r="L47" t="s">
        <v>4817</v>
      </c>
      <c r="M47" t="s">
        <v>4067</v>
      </c>
      <c r="N47" s="445"/>
      <c r="O47" s="984">
        <v>122</v>
      </c>
      <c r="P47" t="s">
        <v>4784</v>
      </c>
    </row>
    <row r="48" spans="1:16">
      <c r="B48" t="s">
        <v>4682</v>
      </c>
      <c r="C48" s="33">
        <v>24</v>
      </c>
      <c r="D48" t="s">
        <v>4818</v>
      </c>
      <c r="E48" t="s">
        <v>4067</v>
      </c>
      <c r="F48" s="966">
        <f>+'Transmission O&amp;M'!J47+'Transmission O&amp;M'!M47</f>
        <v>2130.0112029296843</v>
      </c>
      <c r="G48" s="984">
        <v>117</v>
      </c>
      <c r="H48" t="s">
        <v>4785</v>
      </c>
      <c r="I48"/>
      <c r="J48" t="s">
        <v>4682</v>
      </c>
      <c r="K48" s="33">
        <v>24</v>
      </c>
      <c r="L48" t="s">
        <v>4818</v>
      </c>
      <c r="M48" t="s">
        <v>4067</v>
      </c>
      <c r="N48" s="445"/>
      <c r="O48" s="984">
        <v>117</v>
      </c>
      <c r="P48" t="s">
        <v>4785</v>
      </c>
    </row>
    <row r="49" spans="1:16">
      <c r="B49" t="s">
        <v>4682</v>
      </c>
      <c r="C49" s="33">
        <v>27</v>
      </c>
      <c r="D49" t="s">
        <v>4819</v>
      </c>
      <c r="E49" t="s">
        <v>4067</v>
      </c>
      <c r="F49" s="966">
        <f>+'Transmission O&amp;M'!K47</f>
        <v>4395.4471926732531</v>
      </c>
      <c r="G49" s="984">
        <v>117</v>
      </c>
      <c r="H49" t="s">
        <v>4785</v>
      </c>
      <c r="I49"/>
      <c r="J49" t="s">
        <v>4682</v>
      </c>
      <c r="K49" s="33">
        <v>27</v>
      </c>
      <c r="L49" t="s">
        <v>4819</v>
      </c>
      <c r="M49" t="s">
        <v>4067</v>
      </c>
      <c r="N49" s="445"/>
      <c r="O49" s="984">
        <v>117</v>
      </c>
      <c r="P49" t="s">
        <v>4785</v>
      </c>
    </row>
    <row r="50" spans="1:16">
      <c r="B50" s="297" t="s">
        <v>4682</v>
      </c>
      <c r="C50" s="529">
        <v>28</v>
      </c>
      <c r="D50" s="297" t="s">
        <v>3125</v>
      </c>
      <c r="E50" s="297" t="s">
        <v>4067</v>
      </c>
      <c r="F50" s="970">
        <f>+'Transmission O&amp;M'!N47</f>
        <v>1579.0860305628878</v>
      </c>
      <c r="G50" s="980">
        <v>117</v>
      </c>
      <c r="H50" s="297" t="s">
        <v>4785</v>
      </c>
      <c r="I50" s="297"/>
      <c r="J50" s="297" t="s">
        <v>4682</v>
      </c>
      <c r="K50" s="529">
        <v>28</v>
      </c>
      <c r="L50" s="297" t="s">
        <v>3125</v>
      </c>
      <c r="M50" s="297" t="s">
        <v>4067</v>
      </c>
      <c r="N50" s="970"/>
      <c r="O50" s="980">
        <v>117</v>
      </c>
      <c r="P50" s="297" t="s">
        <v>4785</v>
      </c>
    </row>
    <row r="51" spans="1:16">
      <c r="A51" t="s">
        <v>1762</v>
      </c>
      <c r="B51" t="s">
        <v>4682</v>
      </c>
      <c r="C51" s="33">
        <v>33</v>
      </c>
      <c r="D51" t="s">
        <v>4819</v>
      </c>
      <c r="E51" t="s">
        <v>4067</v>
      </c>
      <c r="F51" s="445">
        <f>+'Distribution O&amp;M'!G44</f>
        <v>5220.568253917193</v>
      </c>
      <c r="G51" s="984">
        <v>105</v>
      </c>
      <c r="H51" t="s">
        <v>4786</v>
      </c>
      <c r="I51"/>
      <c r="J51" t="s">
        <v>4682</v>
      </c>
      <c r="K51" s="33">
        <v>33</v>
      </c>
      <c r="L51" t="s">
        <v>4819</v>
      </c>
      <c r="M51" t="s">
        <v>4067</v>
      </c>
      <c r="N51" s="445"/>
      <c r="O51" s="984">
        <v>105</v>
      </c>
      <c r="P51" t="s">
        <v>4786</v>
      </c>
    </row>
    <row r="52" spans="1:16">
      <c r="B52" t="s">
        <v>4682</v>
      </c>
      <c r="C52" s="33">
        <v>35</v>
      </c>
      <c r="D52" t="s">
        <v>4820</v>
      </c>
      <c r="E52" t="s">
        <v>4071</v>
      </c>
      <c r="F52" s="445">
        <f>+'Distribution O&amp;M'!$H$44</f>
        <v>1266.5742759713339</v>
      </c>
      <c r="G52" s="984">
        <v>310</v>
      </c>
      <c r="H52" t="s">
        <v>4821</v>
      </c>
      <c r="I52"/>
      <c r="J52" t="s">
        <v>4682</v>
      </c>
      <c r="K52" s="33">
        <v>35</v>
      </c>
      <c r="L52" t="s">
        <v>4820</v>
      </c>
      <c r="M52" t="s">
        <v>4071</v>
      </c>
      <c r="N52" s="445"/>
      <c r="O52" s="984">
        <v>310</v>
      </c>
      <c r="P52" t="s">
        <v>4821</v>
      </c>
    </row>
    <row r="53" spans="1:16">
      <c r="B53" t="s">
        <v>4682</v>
      </c>
      <c r="C53" s="33">
        <v>36</v>
      </c>
      <c r="D53" t="s">
        <v>4822</v>
      </c>
      <c r="E53" t="s">
        <v>4067</v>
      </c>
      <c r="F53" s="445">
        <f>+'Distribution O&amp;M'!$I$44</f>
        <v>19118.911569194039</v>
      </c>
      <c r="G53" s="984">
        <v>105</v>
      </c>
      <c r="H53" t="s">
        <v>4786</v>
      </c>
      <c r="I53"/>
      <c r="J53" t="s">
        <v>4682</v>
      </c>
      <c r="K53" s="33">
        <v>36</v>
      </c>
      <c r="L53" t="s">
        <v>4822</v>
      </c>
      <c r="M53" t="s">
        <v>4067</v>
      </c>
      <c r="N53" s="445"/>
      <c r="O53" s="984">
        <v>105</v>
      </c>
      <c r="P53" t="s">
        <v>4786</v>
      </c>
    </row>
    <row r="54" spans="1:16">
      <c r="B54" t="s">
        <v>4682</v>
      </c>
      <c r="C54" s="33">
        <v>37</v>
      </c>
      <c r="D54" t="s">
        <v>4823</v>
      </c>
      <c r="E54" t="s">
        <v>4071</v>
      </c>
      <c r="F54" s="445">
        <f>+'Distribution O&amp;M'!$J$44</f>
        <v>0</v>
      </c>
      <c r="G54" s="984">
        <v>418</v>
      </c>
      <c r="H54" t="s">
        <v>4824</v>
      </c>
      <c r="I54"/>
      <c r="J54" t="s">
        <v>4682</v>
      </c>
      <c r="K54" s="33">
        <v>37</v>
      </c>
      <c r="L54" t="s">
        <v>4823</v>
      </c>
      <c r="M54" t="s">
        <v>4071</v>
      </c>
      <c r="N54" s="445"/>
      <c r="O54" s="984">
        <v>418</v>
      </c>
      <c r="P54" t="s">
        <v>4824</v>
      </c>
    </row>
    <row r="55" spans="1:16">
      <c r="B55" t="s">
        <v>4682</v>
      </c>
      <c r="C55" s="33">
        <v>38</v>
      </c>
      <c r="D55" t="s">
        <v>4825</v>
      </c>
      <c r="E55" t="s">
        <v>4067</v>
      </c>
      <c r="F55" s="445">
        <f>+'Distribution O&amp;M'!$K$44</f>
        <v>4451.4384580897895</v>
      </c>
      <c r="G55" s="984">
        <v>106</v>
      </c>
      <c r="H55" t="s">
        <v>4788</v>
      </c>
      <c r="I55"/>
      <c r="J55" t="s">
        <v>4682</v>
      </c>
      <c r="K55" s="33">
        <v>38</v>
      </c>
      <c r="L55" t="s">
        <v>4825</v>
      </c>
      <c r="M55" t="s">
        <v>4067</v>
      </c>
      <c r="N55" s="445"/>
      <c r="O55" s="984">
        <v>106</v>
      </c>
      <c r="P55" t="s">
        <v>4788</v>
      </c>
    </row>
    <row r="56" spans="1:16">
      <c r="B56" t="s">
        <v>4682</v>
      </c>
      <c r="C56" s="33">
        <v>39</v>
      </c>
      <c r="D56" t="s">
        <v>4826</v>
      </c>
      <c r="E56" t="s">
        <v>4071</v>
      </c>
      <c r="F56" s="445">
        <f>+'Distribution O&amp;M'!$L$44</f>
        <v>0</v>
      </c>
      <c r="G56" s="984">
        <v>420</v>
      </c>
      <c r="H56" t="s">
        <v>4781</v>
      </c>
      <c r="I56"/>
      <c r="J56" t="s">
        <v>4682</v>
      </c>
      <c r="K56" s="33">
        <v>39</v>
      </c>
      <c r="L56" t="s">
        <v>4826</v>
      </c>
      <c r="M56" t="s">
        <v>4071</v>
      </c>
      <c r="N56" s="445"/>
      <c r="O56" s="984">
        <v>420</v>
      </c>
      <c r="P56" t="s">
        <v>4781</v>
      </c>
    </row>
    <row r="57" spans="1:16">
      <c r="B57" t="s">
        <v>4682</v>
      </c>
      <c r="C57" s="33">
        <v>42</v>
      </c>
      <c r="D57" t="s">
        <v>4827</v>
      </c>
      <c r="E57" t="s">
        <v>4071</v>
      </c>
      <c r="F57" s="445">
        <f>+'Distribution O&amp;M'!$M$44</f>
        <v>3.1713748859914901</v>
      </c>
      <c r="G57" s="984">
        <v>310</v>
      </c>
      <c r="H57" t="s">
        <v>4821</v>
      </c>
      <c r="I57"/>
      <c r="J57" t="s">
        <v>4682</v>
      </c>
      <c r="K57" s="33">
        <v>42</v>
      </c>
      <c r="L57" t="s">
        <v>4827</v>
      </c>
      <c r="M57" t="s">
        <v>4071</v>
      </c>
      <c r="N57" s="445"/>
      <c r="O57" s="984">
        <v>310</v>
      </c>
      <c r="P57" t="s">
        <v>4821</v>
      </c>
    </row>
    <row r="58" spans="1:16">
      <c r="B58" t="s">
        <v>4682</v>
      </c>
      <c r="C58" s="33">
        <v>43</v>
      </c>
      <c r="D58" t="s">
        <v>4828</v>
      </c>
      <c r="E58" t="s">
        <v>4067</v>
      </c>
      <c r="F58" s="445">
        <f>+'Distribution O&amp;M'!$N$44</f>
        <v>6192.9745707198108</v>
      </c>
      <c r="G58" s="984">
        <v>105</v>
      </c>
      <c r="H58" t="s">
        <v>4786</v>
      </c>
      <c r="I58"/>
      <c r="J58" t="s">
        <v>4682</v>
      </c>
      <c r="K58" s="33">
        <v>43</v>
      </c>
      <c r="L58" t="s">
        <v>4828</v>
      </c>
      <c r="M58" t="s">
        <v>4067</v>
      </c>
      <c r="N58" s="445"/>
      <c r="O58" s="984">
        <v>105</v>
      </c>
      <c r="P58" t="s">
        <v>4786</v>
      </c>
    </row>
    <row r="59" spans="1:16">
      <c r="B59" t="s">
        <v>4682</v>
      </c>
      <c r="C59" s="33">
        <v>44</v>
      </c>
      <c r="D59" t="s">
        <v>4829</v>
      </c>
      <c r="E59" t="s">
        <v>4071</v>
      </c>
      <c r="F59" s="445">
        <f>+'Distribution O&amp;M'!$O$44</f>
        <v>0</v>
      </c>
      <c r="G59" s="984">
        <v>418</v>
      </c>
      <c r="H59" t="s">
        <v>4824</v>
      </c>
      <c r="I59"/>
      <c r="J59" t="s">
        <v>4682</v>
      </c>
      <c r="K59" s="33">
        <v>44</v>
      </c>
      <c r="L59" t="s">
        <v>4829</v>
      </c>
      <c r="M59" t="s">
        <v>4071</v>
      </c>
      <c r="N59" s="445"/>
      <c r="O59" s="984">
        <v>418</v>
      </c>
      <c r="P59" t="s">
        <v>4824</v>
      </c>
    </row>
    <row r="60" spans="1:16">
      <c r="B60" t="s">
        <v>4682</v>
      </c>
      <c r="C60" s="33">
        <v>45</v>
      </c>
      <c r="D60" t="s">
        <v>4830</v>
      </c>
      <c r="E60" t="s">
        <v>4067</v>
      </c>
      <c r="F60" s="445">
        <f>+'Distribution O&amp;M'!$P$44</f>
        <v>472.19143504708194</v>
      </c>
      <c r="G60" s="984">
        <v>106</v>
      </c>
      <c r="H60" t="s">
        <v>4788</v>
      </c>
      <c r="I60"/>
      <c r="J60" t="s">
        <v>4682</v>
      </c>
      <c r="K60" s="33">
        <v>45</v>
      </c>
      <c r="L60" t="s">
        <v>4830</v>
      </c>
      <c r="M60" t="s">
        <v>4067</v>
      </c>
      <c r="N60" s="445"/>
      <c r="O60" s="984">
        <v>106</v>
      </c>
      <c r="P60" t="s">
        <v>4788</v>
      </c>
    </row>
    <row r="61" spans="1:16">
      <c r="B61" t="s">
        <v>4682</v>
      </c>
      <c r="C61" s="33">
        <v>46</v>
      </c>
      <c r="D61" t="s">
        <v>4831</v>
      </c>
      <c r="E61" t="s">
        <v>4071</v>
      </c>
      <c r="F61" s="445">
        <f>+'Distribution O&amp;M'!$Q$44</f>
        <v>0</v>
      </c>
      <c r="G61" s="984">
        <v>420</v>
      </c>
      <c r="H61" t="s">
        <v>4781</v>
      </c>
      <c r="I61"/>
      <c r="J61" t="s">
        <v>4682</v>
      </c>
      <c r="K61" s="33">
        <v>46</v>
      </c>
      <c r="L61" t="s">
        <v>4831</v>
      </c>
      <c r="M61" t="s">
        <v>4071</v>
      </c>
      <c r="N61" s="445"/>
      <c r="O61" s="984">
        <v>420</v>
      </c>
      <c r="P61" t="s">
        <v>4781</v>
      </c>
    </row>
    <row r="62" spans="1:16">
      <c r="B62" t="s">
        <v>4682</v>
      </c>
      <c r="C62" s="33">
        <v>49</v>
      </c>
      <c r="D62" t="s">
        <v>4832</v>
      </c>
      <c r="E62" t="s">
        <v>4071</v>
      </c>
      <c r="F62" s="445">
        <f>+'Distribution O&amp;M'!$R$44</f>
        <v>0</v>
      </c>
      <c r="G62" s="984">
        <v>310</v>
      </c>
      <c r="H62" t="s">
        <v>4821</v>
      </c>
      <c r="I62"/>
      <c r="J62" t="s">
        <v>4682</v>
      </c>
      <c r="K62" s="33">
        <v>49</v>
      </c>
      <c r="L62" t="s">
        <v>4832</v>
      </c>
      <c r="M62" t="s">
        <v>4071</v>
      </c>
      <c r="N62" s="445"/>
      <c r="O62" s="984">
        <v>310</v>
      </c>
      <c r="P62" t="s">
        <v>4821</v>
      </c>
    </row>
    <row r="63" spans="1:16">
      <c r="B63" t="s">
        <v>4682</v>
      </c>
      <c r="C63" s="33">
        <v>50</v>
      </c>
      <c r="D63" t="s">
        <v>4833</v>
      </c>
      <c r="E63" t="s">
        <v>4067</v>
      </c>
      <c r="F63" s="445">
        <f>+'Distribution O&amp;M'!$S$44</f>
        <v>50.038320628456624</v>
      </c>
      <c r="G63" s="984">
        <v>105</v>
      </c>
      <c r="H63" t="s">
        <v>4786</v>
      </c>
      <c r="I63"/>
      <c r="J63" t="s">
        <v>4682</v>
      </c>
      <c r="K63" s="33">
        <v>50</v>
      </c>
      <c r="L63" t="s">
        <v>4833</v>
      </c>
      <c r="M63" t="s">
        <v>4067</v>
      </c>
      <c r="N63" s="445"/>
      <c r="O63" s="984">
        <v>105</v>
      </c>
      <c r="P63" t="s">
        <v>4786</v>
      </c>
    </row>
    <row r="64" spans="1:16">
      <c r="B64" t="s">
        <v>4682</v>
      </c>
      <c r="C64" s="33">
        <v>51</v>
      </c>
      <c r="D64" t="s">
        <v>4834</v>
      </c>
      <c r="E64" t="s">
        <v>4071</v>
      </c>
      <c r="F64" s="445">
        <f>+'Distribution O&amp;M'!$T$44</f>
        <v>0</v>
      </c>
      <c r="G64" s="984">
        <v>418</v>
      </c>
      <c r="H64" t="s">
        <v>4824</v>
      </c>
      <c r="I64"/>
      <c r="J64" t="s">
        <v>4682</v>
      </c>
      <c r="K64" s="33">
        <v>51</v>
      </c>
      <c r="L64" t="s">
        <v>4834</v>
      </c>
      <c r="M64" t="s">
        <v>4071</v>
      </c>
      <c r="N64" s="445"/>
      <c r="O64" s="984">
        <v>418</v>
      </c>
      <c r="P64" t="s">
        <v>4824</v>
      </c>
    </row>
    <row r="65" spans="1:16">
      <c r="B65" t="s">
        <v>4682</v>
      </c>
      <c r="C65" s="33">
        <v>52</v>
      </c>
      <c r="D65" t="s">
        <v>4835</v>
      </c>
      <c r="E65" t="s">
        <v>4067</v>
      </c>
      <c r="F65" s="445">
        <f>+'Distribution O&amp;M'!$U$44</f>
        <v>254.20882162637275</v>
      </c>
      <c r="G65" s="984">
        <v>106</v>
      </c>
      <c r="H65" t="s">
        <v>4788</v>
      </c>
      <c r="I65"/>
      <c r="J65" t="s">
        <v>4682</v>
      </c>
      <c r="K65" s="33">
        <v>52</v>
      </c>
      <c r="L65" t="s">
        <v>4835</v>
      </c>
      <c r="M65" t="s">
        <v>4067</v>
      </c>
      <c r="N65" s="445"/>
      <c r="O65" s="984">
        <v>106</v>
      </c>
      <c r="P65" t="s">
        <v>4788</v>
      </c>
    </row>
    <row r="66" spans="1:16">
      <c r="B66" t="s">
        <v>4682</v>
      </c>
      <c r="C66" s="33">
        <v>53</v>
      </c>
      <c r="D66" t="s">
        <v>4836</v>
      </c>
      <c r="E66" t="s">
        <v>4071</v>
      </c>
      <c r="F66" s="445">
        <f>+'Distribution O&amp;M'!$V$44</f>
        <v>0</v>
      </c>
      <c r="G66" s="984">
        <v>420</v>
      </c>
      <c r="H66" t="s">
        <v>4781</v>
      </c>
      <c r="I66"/>
      <c r="J66" t="s">
        <v>4682</v>
      </c>
      <c r="K66" s="33">
        <v>53</v>
      </c>
      <c r="L66" t="s">
        <v>4836</v>
      </c>
      <c r="M66" t="s">
        <v>4071</v>
      </c>
      <c r="N66" s="445"/>
      <c r="O66" s="984">
        <v>420</v>
      </c>
      <c r="P66" t="s">
        <v>4781</v>
      </c>
    </row>
    <row r="67" spans="1:16">
      <c r="B67" t="s">
        <v>4682</v>
      </c>
      <c r="C67" s="33">
        <v>56</v>
      </c>
      <c r="D67" t="s">
        <v>4060</v>
      </c>
      <c r="E67" t="s">
        <v>4071</v>
      </c>
      <c r="F67" s="445">
        <f>+'Distribution O&amp;M'!$W$44</f>
        <v>4706.1347865526459</v>
      </c>
      <c r="G67" s="984">
        <v>420</v>
      </c>
      <c r="H67" t="s">
        <v>4781</v>
      </c>
      <c r="I67"/>
      <c r="J67" t="s">
        <v>4682</v>
      </c>
      <c r="K67" s="33">
        <v>56</v>
      </c>
      <c r="L67" t="s">
        <v>4060</v>
      </c>
      <c r="M67" t="s">
        <v>4071</v>
      </c>
      <c r="N67" s="445"/>
      <c r="O67" s="984">
        <v>420</v>
      </c>
      <c r="P67" t="s">
        <v>4781</v>
      </c>
    </row>
    <row r="68" spans="1:16">
      <c r="B68" t="s">
        <v>4682</v>
      </c>
      <c r="C68" s="33">
        <v>57</v>
      </c>
      <c r="D68" t="s">
        <v>4053</v>
      </c>
      <c r="E68" t="s">
        <v>4071</v>
      </c>
      <c r="F68" s="445">
        <f>+'Distribution O&amp;M'!Y44</f>
        <v>9007.3216782124982</v>
      </c>
      <c r="G68" s="984">
        <v>308</v>
      </c>
      <c r="H68" t="s">
        <v>4837</v>
      </c>
      <c r="I68"/>
      <c r="J68" t="s">
        <v>4682</v>
      </c>
      <c r="K68" s="33">
        <v>57</v>
      </c>
      <c r="L68" t="s">
        <v>4053</v>
      </c>
      <c r="M68" t="s">
        <v>4071</v>
      </c>
      <c r="N68" s="445"/>
      <c r="O68" s="984">
        <v>308</v>
      </c>
      <c r="P68" t="s">
        <v>4837</v>
      </c>
    </row>
    <row r="69" spans="1:16">
      <c r="B69" t="s">
        <v>4682</v>
      </c>
      <c r="C69" s="33">
        <v>58</v>
      </c>
      <c r="D69" t="s">
        <v>4838</v>
      </c>
      <c r="E69" t="s">
        <v>4071</v>
      </c>
      <c r="F69" s="445">
        <f>+'Distribution O&amp;M'!Z44</f>
        <v>0</v>
      </c>
      <c r="G69" s="984">
        <v>309</v>
      </c>
      <c r="H69" t="s">
        <v>4839</v>
      </c>
      <c r="I69"/>
      <c r="J69" t="s">
        <v>4682</v>
      </c>
      <c r="K69" s="33">
        <v>58</v>
      </c>
      <c r="L69" t="s">
        <v>4838</v>
      </c>
      <c r="M69" t="s">
        <v>4071</v>
      </c>
      <c r="N69" s="445"/>
      <c r="O69" s="984">
        <v>309</v>
      </c>
      <c r="P69" t="s">
        <v>4839</v>
      </c>
    </row>
    <row r="70" spans="1:16">
      <c r="B70" s="297" t="s">
        <v>4682</v>
      </c>
      <c r="C70" s="529">
        <v>59</v>
      </c>
      <c r="D70" s="297" t="s">
        <v>4840</v>
      </c>
      <c r="E70" s="297" t="s">
        <v>4071</v>
      </c>
      <c r="F70" s="970">
        <f>+'Distribution O&amp;M'!X44</f>
        <v>3451.5773842684866</v>
      </c>
      <c r="G70" s="980">
        <v>310</v>
      </c>
      <c r="H70" s="297" t="s">
        <v>4821</v>
      </c>
      <c r="I70" s="297"/>
      <c r="J70" s="297" t="s">
        <v>4682</v>
      </c>
      <c r="K70" s="529">
        <v>59</v>
      </c>
      <c r="L70" s="297" t="s">
        <v>4840</v>
      </c>
      <c r="M70" s="297" t="s">
        <v>4071</v>
      </c>
      <c r="N70" s="970"/>
      <c r="O70" s="980">
        <v>310</v>
      </c>
      <c r="P70" s="297" t="s">
        <v>4821</v>
      </c>
    </row>
    <row r="71" spans="1:16">
      <c r="A71" t="s">
        <v>4841</v>
      </c>
      <c r="B71" t="s">
        <v>4682</v>
      </c>
      <c r="C71" s="33">
        <v>78</v>
      </c>
      <c r="D71" t="s">
        <v>4691</v>
      </c>
      <c r="E71" t="s">
        <v>4071</v>
      </c>
      <c r="F71" s="966">
        <f>+'Other and A&amp;G O&amp;M'!H26</f>
        <v>5796.7804260915</v>
      </c>
      <c r="G71" s="984">
        <v>507</v>
      </c>
      <c r="H71" t="s">
        <v>4842</v>
      </c>
      <c r="J71" t="s">
        <v>4682</v>
      </c>
      <c r="K71" s="33">
        <v>78</v>
      </c>
      <c r="L71" t="s">
        <v>4691</v>
      </c>
      <c r="M71" t="s">
        <v>4071</v>
      </c>
      <c r="N71" s="445"/>
      <c r="O71" s="984">
        <v>507</v>
      </c>
      <c r="P71" t="s">
        <v>4842</v>
      </c>
    </row>
    <row r="72" spans="1:16">
      <c r="B72" t="s">
        <v>4682</v>
      </c>
      <c r="C72" s="33">
        <v>79</v>
      </c>
      <c r="D72" s="96" t="s">
        <v>4687</v>
      </c>
      <c r="E72" t="s">
        <v>4071</v>
      </c>
      <c r="F72" s="445">
        <f>+'Other and A&amp;G O&amp;M'!H23+'Other and A&amp;G O&amp;M'!H25+'Other and A&amp;G O&amp;M'!H27</f>
        <v>29376.6058748381</v>
      </c>
      <c r="G72" s="984">
        <v>412</v>
      </c>
      <c r="H72" t="s">
        <v>4795</v>
      </c>
      <c r="I72"/>
      <c r="J72" t="s">
        <v>4682</v>
      </c>
      <c r="K72" s="33">
        <v>79</v>
      </c>
      <c r="L72" s="96" t="s">
        <v>4687</v>
      </c>
      <c r="M72" t="s">
        <v>4071</v>
      </c>
      <c r="N72" s="445"/>
      <c r="O72" s="984">
        <v>412</v>
      </c>
      <c r="P72" t="s">
        <v>4795</v>
      </c>
    </row>
    <row r="73" spans="1:16">
      <c r="B73" t="s">
        <v>4682</v>
      </c>
      <c r="C73" s="33">
        <v>80</v>
      </c>
      <c r="D73" s="96" t="s">
        <v>4688</v>
      </c>
      <c r="E73" t="s">
        <v>4071</v>
      </c>
      <c r="F73" s="445">
        <f>+'Other and A&amp;G O&amp;M'!H24</f>
        <v>4394.4262944155998</v>
      </c>
      <c r="G73" s="984">
        <v>311</v>
      </c>
      <c r="H73" t="s">
        <v>4843</v>
      </c>
      <c r="I73"/>
      <c r="J73" t="s">
        <v>4682</v>
      </c>
      <c r="K73" s="33">
        <v>80</v>
      </c>
      <c r="L73" s="96" t="s">
        <v>4688</v>
      </c>
      <c r="M73" t="s">
        <v>4071</v>
      </c>
      <c r="N73" s="445"/>
      <c r="O73" s="984">
        <v>311</v>
      </c>
      <c r="P73" t="s">
        <v>4843</v>
      </c>
    </row>
    <row r="74" spans="1:16">
      <c r="B74" t="s">
        <v>4682</v>
      </c>
      <c r="C74" s="33">
        <v>81</v>
      </c>
      <c r="D74" s="96" t="s">
        <v>4844</v>
      </c>
      <c r="E74" t="s">
        <v>4071</v>
      </c>
      <c r="F74" s="445">
        <f>+'Other and A&amp;G O&amp;M'!H38</f>
        <v>5164.9798171764114</v>
      </c>
      <c r="G74" s="984">
        <v>412</v>
      </c>
      <c r="H74" t="s">
        <v>4795</v>
      </c>
      <c r="I74"/>
      <c r="J74" t="s">
        <v>4682</v>
      </c>
      <c r="K74" s="33">
        <v>81</v>
      </c>
      <c r="L74" s="96" t="s">
        <v>4844</v>
      </c>
      <c r="M74" t="s">
        <v>4071</v>
      </c>
      <c r="N74" s="445"/>
      <c r="O74" s="984">
        <v>412</v>
      </c>
      <c r="P74" t="s">
        <v>4795</v>
      </c>
    </row>
    <row r="75" spans="1:16">
      <c r="B75" s="297" t="s">
        <v>4682</v>
      </c>
      <c r="C75" s="529">
        <v>82</v>
      </c>
      <c r="D75" s="297" t="s">
        <v>4698</v>
      </c>
      <c r="E75" s="297" t="s">
        <v>4071</v>
      </c>
      <c r="F75" s="970">
        <f>+'Other and A&amp;G O&amp;M'!H46</f>
        <v>311.50189999999998</v>
      </c>
      <c r="G75" s="980">
        <v>412</v>
      </c>
      <c r="H75" s="297" t="s">
        <v>4795</v>
      </c>
      <c r="I75" s="297"/>
      <c r="J75" s="297" t="s">
        <v>4682</v>
      </c>
      <c r="K75" s="529">
        <v>82</v>
      </c>
      <c r="L75" s="297" t="s">
        <v>4698</v>
      </c>
      <c r="M75" s="297" t="s">
        <v>4071</v>
      </c>
      <c r="N75" s="970"/>
      <c r="O75" s="980">
        <v>412</v>
      </c>
      <c r="P75" s="297" t="s">
        <v>4795</v>
      </c>
    </row>
    <row r="76" spans="1:16">
      <c r="A76" s="96" t="s">
        <v>1515</v>
      </c>
      <c r="B76" t="s">
        <v>4682</v>
      </c>
      <c r="C76" s="33">
        <v>86</v>
      </c>
      <c r="D76" t="s">
        <v>1528</v>
      </c>
      <c r="E76" t="s">
        <v>4067</v>
      </c>
      <c r="F76" s="966">
        <f>+'Other and A&amp;G O&amp;M'!K87-F77</f>
        <v>57914.988842500505</v>
      </c>
      <c r="G76" s="984">
        <v>101</v>
      </c>
      <c r="H76" t="s">
        <v>4783</v>
      </c>
      <c r="I76"/>
      <c r="J76" t="s">
        <v>4682</v>
      </c>
      <c r="K76" s="33">
        <v>86</v>
      </c>
      <c r="L76" t="s">
        <v>1528</v>
      </c>
      <c r="M76" t="s">
        <v>4067</v>
      </c>
      <c r="N76" s="445"/>
      <c r="O76" s="984">
        <v>122</v>
      </c>
      <c r="P76" t="s">
        <v>4784</v>
      </c>
    </row>
    <row r="77" spans="1:16">
      <c r="A77" s="96" t="s">
        <v>4845</v>
      </c>
      <c r="B77" t="s">
        <v>4682</v>
      </c>
      <c r="C77" s="33">
        <v>87</v>
      </c>
      <c r="D77" s="96" t="s">
        <v>4846</v>
      </c>
      <c r="E77" t="s">
        <v>4067</v>
      </c>
      <c r="F77" s="966">
        <f>(+SUM('Other and A&amp;G O&amp;M'!E8:E10)+'Property Insurance'!C10)/1000</f>
        <v>3179.9221784590645</v>
      </c>
      <c r="G77" s="984">
        <v>101</v>
      </c>
      <c r="H77" t="s">
        <v>4783</v>
      </c>
      <c r="I77"/>
      <c r="J77" t="s">
        <v>4682</v>
      </c>
      <c r="K77" s="33">
        <v>87</v>
      </c>
      <c r="L77" s="96" t="s">
        <v>4847</v>
      </c>
      <c r="M77" t="s">
        <v>4067</v>
      </c>
      <c r="N77" s="445"/>
      <c r="O77" s="984">
        <v>121</v>
      </c>
      <c r="P77" t="s">
        <v>4816</v>
      </c>
    </row>
    <row r="78" spans="1:16">
      <c r="A78" s="96"/>
      <c r="B78" t="s">
        <v>4682</v>
      </c>
      <c r="C78" s="33">
        <v>88</v>
      </c>
      <c r="D78" t="s">
        <v>1528</v>
      </c>
      <c r="E78" t="s">
        <v>2067</v>
      </c>
      <c r="F78" s="966">
        <f>+'Other and A&amp;G O&amp;M'!L87</f>
        <v>12296.231975077957</v>
      </c>
      <c r="G78" s="984">
        <v>201</v>
      </c>
      <c r="H78" t="s">
        <v>4790</v>
      </c>
      <c r="I78"/>
      <c r="J78" t="s">
        <v>4682</v>
      </c>
      <c r="K78" s="33">
        <v>88</v>
      </c>
      <c r="L78" t="s">
        <v>1528</v>
      </c>
      <c r="M78" t="s">
        <v>2067</v>
      </c>
      <c r="N78" s="445"/>
      <c r="O78" s="984">
        <v>201</v>
      </c>
      <c r="P78" t="s">
        <v>4790</v>
      </c>
    </row>
    <row r="79" spans="1:16">
      <c r="B79" t="s">
        <v>4682</v>
      </c>
      <c r="C79" s="33">
        <v>89</v>
      </c>
      <c r="D79" t="s">
        <v>1529</v>
      </c>
      <c r="E79" t="s">
        <v>4067</v>
      </c>
      <c r="F79" s="966">
        <f>+'Other and A&amp;G O&amp;M'!N87</f>
        <v>1915.8589095122497</v>
      </c>
      <c r="G79" s="984">
        <v>117</v>
      </c>
      <c r="H79" t="s">
        <v>4785</v>
      </c>
      <c r="I79"/>
      <c r="J79" t="s">
        <v>4682</v>
      </c>
      <c r="K79" s="33">
        <v>89</v>
      </c>
      <c r="L79" t="s">
        <v>1529</v>
      </c>
      <c r="M79" t="s">
        <v>4067</v>
      </c>
      <c r="N79" s="445"/>
      <c r="O79" s="984">
        <v>117</v>
      </c>
      <c r="P79" t="s">
        <v>4785</v>
      </c>
    </row>
    <row r="80" spans="1:16">
      <c r="B80" t="s">
        <v>4682</v>
      </c>
      <c r="C80" s="33">
        <v>90</v>
      </c>
      <c r="D80" t="s">
        <v>1953</v>
      </c>
      <c r="E80" t="s">
        <v>4067</v>
      </c>
      <c r="F80" s="966">
        <f>+'Other and A&amp;G O&amp;M'!O87</f>
        <v>6436.174280498436</v>
      </c>
      <c r="G80" s="984">
        <v>117</v>
      </c>
      <c r="H80" t="s">
        <v>4785</v>
      </c>
      <c r="I80"/>
      <c r="J80" t="s">
        <v>4682</v>
      </c>
      <c r="K80" s="33">
        <v>90</v>
      </c>
      <c r="L80" t="s">
        <v>1953</v>
      </c>
      <c r="M80" t="s">
        <v>4067</v>
      </c>
      <c r="N80" s="445"/>
      <c r="O80" s="984">
        <v>117</v>
      </c>
      <c r="P80" t="s">
        <v>4785</v>
      </c>
    </row>
    <row r="81" spans="1:17">
      <c r="B81" t="s">
        <v>4682</v>
      </c>
      <c r="C81" s="33">
        <v>91</v>
      </c>
      <c r="D81" t="s">
        <v>2040</v>
      </c>
      <c r="E81" t="s">
        <v>4067</v>
      </c>
      <c r="F81" s="966">
        <f>+'Other and A&amp;G O&amp;M'!R87</f>
        <v>28199.935630517411</v>
      </c>
      <c r="G81" s="984">
        <v>105</v>
      </c>
      <c r="H81" t="s">
        <v>4786</v>
      </c>
      <c r="I81"/>
      <c r="J81" t="s">
        <v>4682</v>
      </c>
      <c r="K81" s="33">
        <v>91</v>
      </c>
      <c r="L81" t="s">
        <v>2040</v>
      </c>
      <c r="M81" t="s">
        <v>4067</v>
      </c>
      <c r="N81" s="445"/>
      <c r="O81" s="984">
        <v>105</v>
      </c>
      <c r="P81" t="s">
        <v>4786</v>
      </c>
    </row>
    <row r="82" spans="1:17">
      <c r="B82" t="s">
        <v>4682</v>
      </c>
      <c r="C82" s="33">
        <v>92</v>
      </c>
      <c r="D82" t="s">
        <v>4787</v>
      </c>
      <c r="E82" t="s">
        <v>4067</v>
      </c>
      <c r="F82" s="966">
        <f>+'Other and A&amp;G O&amp;M'!S87</f>
        <v>4599.217048839866</v>
      </c>
      <c r="G82" s="984">
        <v>106</v>
      </c>
      <c r="H82" t="s">
        <v>4788</v>
      </c>
      <c r="I82"/>
      <c r="J82" t="s">
        <v>4682</v>
      </c>
      <c r="K82" s="33">
        <v>92</v>
      </c>
      <c r="L82" t="s">
        <v>4787</v>
      </c>
      <c r="M82" t="s">
        <v>4067</v>
      </c>
      <c r="N82" s="445"/>
      <c r="O82" s="984">
        <v>106</v>
      </c>
      <c r="P82" t="s">
        <v>4788</v>
      </c>
    </row>
    <row r="83" spans="1:17">
      <c r="B83" t="s">
        <v>4682</v>
      </c>
      <c r="C83" s="33">
        <v>93</v>
      </c>
      <c r="D83" t="s">
        <v>1530</v>
      </c>
      <c r="E83" t="s">
        <v>4071</v>
      </c>
      <c r="F83" s="966">
        <f>+'Other and A&amp;G O&amp;M'!T87</f>
        <v>19947.388772987171</v>
      </c>
      <c r="G83" s="984">
        <v>607</v>
      </c>
      <c r="H83" t="s">
        <v>4848</v>
      </c>
      <c r="I83"/>
      <c r="J83" t="s">
        <v>4682</v>
      </c>
      <c r="K83" s="33">
        <v>93</v>
      </c>
      <c r="L83" t="s">
        <v>1530</v>
      </c>
      <c r="M83" t="s">
        <v>4071</v>
      </c>
      <c r="N83" s="445"/>
      <c r="O83" s="984">
        <v>607</v>
      </c>
      <c r="P83" t="s">
        <v>4848</v>
      </c>
    </row>
    <row r="84" spans="1:17" ht="15" thickBot="1">
      <c r="B84" s="985" t="s">
        <v>4682</v>
      </c>
      <c r="C84" s="986">
        <v>94</v>
      </c>
      <c r="D84" s="985" t="s">
        <v>2338</v>
      </c>
      <c r="E84" s="985" t="s">
        <v>4071</v>
      </c>
      <c r="F84" s="987">
        <f>+'Other and A&amp;G O&amp;M'!U87</f>
        <v>23796.834673761768</v>
      </c>
      <c r="G84" s="988">
        <v>412</v>
      </c>
      <c r="H84" s="985" t="s">
        <v>4795</v>
      </c>
      <c r="I84" s="985"/>
      <c r="J84" s="985" t="s">
        <v>4682</v>
      </c>
      <c r="K84" s="986">
        <v>94</v>
      </c>
      <c r="L84" s="985" t="s">
        <v>2338</v>
      </c>
      <c r="M84" s="985" t="s">
        <v>4071</v>
      </c>
      <c r="N84" s="987"/>
      <c r="O84" s="988">
        <v>412</v>
      </c>
      <c r="P84" s="985" t="s">
        <v>4795</v>
      </c>
      <c r="Q84" s="985"/>
    </row>
    <row r="85" spans="1:17">
      <c r="A85" s="96" t="s">
        <v>1515</v>
      </c>
      <c r="B85" t="s">
        <v>4682</v>
      </c>
      <c r="C85" s="33">
        <v>98</v>
      </c>
      <c r="D85" t="s">
        <v>1528</v>
      </c>
      <c r="E85" t="s">
        <v>4067</v>
      </c>
      <c r="F85" s="966">
        <f>+'Other and A&amp;G O&amp;M'!K70</f>
        <v>0</v>
      </c>
      <c r="G85" s="984">
        <v>101</v>
      </c>
      <c r="H85" t="s">
        <v>4783</v>
      </c>
      <c r="I85"/>
      <c r="J85" t="s">
        <v>4682</v>
      </c>
      <c r="K85" s="33">
        <v>98</v>
      </c>
      <c r="L85" t="s">
        <v>1528</v>
      </c>
      <c r="M85" t="s">
        <v>4067</v>
      </c>
      <c r="N85" s="445"/>
      <c r="O85" s="984">
        <v>122</v>
      </c>
      <c r="P85" t="s">
        <v>4784</v>
      </c>
    </row>
    <row r="86" spans="1:17">
      <c r="A86" s="96" t="s">
        <v>4849</v>
      </c>
      <c r="B86" t="s">
        <v>4682</v>
      </c>
      <c r="C86" s="33">
        <v>99</v>
      </c>
      <c r="D86" t="s">
        <v>1528</v>
      </c>
      <c r="E86" t="s">
        <v>2067</v>
      </c>
      <c r="F86" s="966">
        <f>+'Other and A&amp;G O&amp;M'!L70</f>
        <v>0</v>
      </c>
      <c r="G86" s="984">
        <v>204</v>
      </c>
      <c r="H86" t="s">
        <v>4800</v>
      </c>
      <c r="I86"/>
      <c r="J86" t="s">
        <v>4682</v>
      </c>
      <c r="K86" s="33">
        <v>99</v>
      </c>
      <c r="L86" t="s">
        <v>1528</v>
      </c>
      <c r="M86" t="s">
        <v>2067</v>
      </c>
      <c r="N86" s="445"/>
      <c r="O86" s="984">
        <v>204</v>
      </c>
      <c r="P86" t="s">
        <v>4800</v>
      </c>
    </row>
    <row r="87" spans="1:17">
      <c r="B87" t="s">
        <v>4682</v>
      </c>
      <c r="C87" s="33">
        <v>100</v>
      </c>
      <c r="D87" t="s">
        <v>1529</v>
      </c>
      <c r="E87" t="s">
        <v>4067</v>
      </c>
      <c r="F87" s="966">
        <f>+'Other and A&amp;G O&amp;M'!N70</f>
        <v>0</v>
      </c>
      <c r="G87" s="984">
        <v>817</v>
      </c>
      <c r="H87" t="s">
        <v>4850</v>
      </c>
      <c r="I87"/>
      <c r="J87" t="s">
        <v>4682</v>
      </c>
      <c r="K87" s="33">
        <v>100</v>
      </c>
      <c r="L87" t="s">
        <v>1529</v>
      </c>
      <c r="M87" t="s">
        <v>4067</v>
      </c>
      <c r="N87" s="445"/>
      <c r="O87" s="984">
        <v>817</v>
      </c>
      <c r="P87" t="s">
        <v>4850</v>
      </c>
    </row>
    <row r="88" spans="1:17">
      <c r="B88" t="s">
        <v>4682</v>
      </c>
      <c r="C88" s="33">
        <v>101</v>
      </c>
      <c r="D88" t="s">
        <v>1953</v>
      </c>
      <c r="E88" t="s">
        <v>4067</v>
      </c>
      <c r="F88" s="966">
        <f>+'Other and A&amp;G O&amp;M'!O70</f>
        <v>0</v>
      </c>
      <c r="G88" s="984">
        <v>817</v>
      </c>
      <c r="H88" t="s">
        <v>4850</v>
      </c>
      <c r="I88"/>
      <c r="J88" t="s">
        <v>4682</v>
      </c>
      <c r="K88" s="33">
        <v>101</v>
      </c>
      <c r="L88" t="s">
        <v>1953</v>
      </c>
      <c r="M88" t="s">
        <v>4067</v>
      </c>
      <c r="N88" s="445"/>
      <c r="O88" s="984">
        <v>817</v>
      </c>
      <c r="P88" t="s">
        <v>4850</v>
      </c>
    </row>
    <row r="89" spans="1:17">
      <c r="B89" t="s">
        <v>4682</v>
      </c>
      <c r="C89" s="33">
        <v>102</v>
      </c>
      <c r="D89" t="s">
        <v>2040</v>
      </c>
      <c r="E89" t="s">
        <v>4067</v>
      </c>
      <c r="F89" s="966">
        <f>+'Other and A&amp;G O&amp;M'!R70</f>
        <v>0</v>
      </c>
      <c r="G89" s="984">
        <v>105</v>
      </c>
      <c r="H89" t="s">
        <v>4786</v>
      </c>
      <c r="I89"/>
      <c r="J89" t="s">
        <v>4682</v>
      </c>
      <c r="K89" s="33">
        <v>102</v>
      </c>
      <c r="L89" t="s">
        <v>2040</v>
      </c>
      <c r="M89" t="s">
        <v>4067</v>
      </c>
      <c r="N89" s="445"/>
      <c r="O89" s="984">
        <v>105</v>
      </c>
      <c r="P89" t="s">
        <v>4786</v>
      </c>
    </row>
    <row r="90" spans="1:17">
      <c r="B90" t="s">
        <v>4682</v>
      </c>
      <c r="C90" s="33">
        <v>103</v>
      </c>
      <c r="D90" t="s">
        <v>4787</v>
      </c>
      <c r="E90" t="s">
        <v>4067</v>
      </c>
      <c r="F90" s="966">
        <f>+'Other and A&amp;G O&amp;M'!S70</f>
        <v>0</v>
      </c>
      <c r="G90" s="984">
        <v>106</v>
      </c>
      <c r="H90" t="s">
        <v>4788</v>
      </c>
      <c r="I90"/>
      <c r="J90" t="s">
        <v>4682</v>
      </c>
      <c r="K90" s="33">
        <v>103</v>
      </c>
      <c r="L90" t="s">
        <v>4787</v>
      </c>
      <c r="M90" t="s">
        <v>4067</v>
      </c>
      <c r="N90" s="445"/>
      <c r="O90" s="984">
        <v>106</v>
      </c>
      <c r="P90" t="s">
        <v>4788</v>
      </c>
    </row>
    <row r="91" spans="1:17">
      <c r="B91" t="s">
        <v>4682</v>
      </c>
      <c r="C91" s="33">
        <v>104</v>
      </c>
      <c r="D91" t="s">
        <v>1530</v>
      </c>
      <c r="E91" t="s">
        <v>4071</v>
      </c>
      <c r="F91" s="966">
        <f>+'Other and A&amp;G O&amp;M'!T70</f>
        <v>0</v>
      </c>
      <c r="G91" s="984">
        <v>607</v>
      </c>
      <c r="H91" t="s">
        <v>4848</v>
      </c>
      <c r="I91"/>
      <c r="J91" t="s">
        <v>4682</v>
      </c>
      <c r="K91" s="33">
        <v>104</v>
      </c>
      <c r="L91" t="s">
        <v>1530</v>
      </c>
      <c r="M91" t="s">
        <v>4071</v>
      </c>
      <c r="N91" s="445"/>
      <c r="O91" s="984">
        <v>607</v>
      </c>
      <c r="P91" t="s">
        <v>4848</v>
      </c>
    </row>
    <row r="92" spans="1:17">
      <c r="B92" s="297" t="s">
        <v>4682</v>
      </c>
      <c r="C92" s="529">
        <v>105</v>
      </c>
      <c r="D92" s="297" t="s">
        <v>2338</v>
      </c>
      <c r="E92" s="297" t="s">
        <v>4071</v>
      </c>
      <c r="F92" s="970">
        <f>+'Other and A&amp;G O&amp;M'!U70</f>
        <v>0</v>
      </c>
      <c r="G92" s="980">
        <v>412</v>
      </c>
      <c r="H92" s="297" t="s">
        <v>4795</v>
      </c>
      <c r="I92" s="297"/>
      <c r="J92" s="297" t="s">
        <v>4682</v>
      </c>
      <c r="K92" s="529">
        <v>105</v>
      </c>
      <c r="L92" s="297" t="s">
        <v>2338</v>
      </c>
      <c r="M92" s="297" t="s">
        <v>4071</v>
      </c>
      <c r="N92" s="970"/>
      <c r="O92" s="980">
        <v>412</v>
      </c>
      <c r="P92" s="297" t="s">
        <v>4795</v>
      </c>
    </row>
    <row r="93" spans="1:17">
      <c r="F93" s="966"/>
      <c r="I93"/>
      <c r="N93" s="445"/>
    </row>
    <row r="98" spans="1:16">
      <c r="F98" s="973" t="s">
        <v>2173</v>
      </c>
      <c r="H98" s="288" t="s">
        <v>4851</v>
      </c>
      <c r="N98" s="973" t="s">
        <v>2173</v>
      </c>
      <c r="P98" s="288" t="s">
        <v>4851</v>
      </c>
    </row>
    <row r="99" spans="1:16">
      <c r="F99" s="645" t="s">
        <v>4768</v>
      </c>
      <c r="N99" s="645" t="s">
        <v>4769</v>
      </c>
    </row>
    <row r="100" spans="1:16">
      <c r="F100" s="645" t="s">
        <v>9480</v>
      </c>
      <c r="N100" s="645" t="s">
        <v>9480</v>
      </c>
    </row>
    <row r="101" spans="1:16">
      <c r="F101" s="645" t="s">
        <v>4770</v>
      </c>
      <c r="N101" s="645" t="s">
        <v>4770</v>
      </c>
    </row>
    <row r="102" spans="1:16">
      <c r="F102" s="974" t="s">
        <v>4771</v>
      </c>
      <c r="N102" s="974" t="s">
        <v>4771</v>
      </c>
    </row>
    <row r="104" spans="1:16">
      <c r="F104" s="645" t="s">
        <v>4772</v>
      </c>
      <c r="N104" s="645" t="s">
        <v>4772</v>
      </c>
    </row>
    <row r="105" spans="1:16">
      <c r="F105" s="975"/>
      <c r="N105" s="975"/>
    </row>
    <row r="107" spans="1:16">
      <c r="C107" s="33" t="s">
        <v>2182</v>
      </c>
      <c r="D107" s="33" t="s">
        <v>2182</v>
      </c>
      <c r="K107" s="33" t="s">
        <v>2182</v>
      </c>
      <c r="L107" s="33" t="s">
        <v>2182</v>
      </c>
    </row>
    <row r="108" spans="1:16">
      <c r="B108" s="297" t="s">
        <v>4683</v>
      </c>
      <c r="C108" s="529" t="s">
        <v>3216</v>
      </c>
      <c r="D108" s="529" t="s">
        <v>2052</v>
      </c>
      <c r="E108" s="297"/>
      <c r="F108" s="977" t="s">
        <v>2185</v>
      </c>
      <c r="G108" s="989"/>
      <c r="H108" s="529" t="s">
        <v>4774</v>
      </c>
      <c r="I108" s="979"/>
      <c r="J108" s="297" t="s">
        <v>4683</v>
      </c>
      <c r="K108" s="529" t="s">
        <v>3216</v>
      </c>
      <c r="L108" s="529" t="s">
        <v>2052</v>
      </c>
      <c r="M108" s="297"/>
      <c r="N108" s="977" t="s">
        <v>2185</v>
      </c>
      <c r="O108" s="989"/>
      <c r="P108" s="529" t="s">
        <v>4774</v>
      </c>
    </row>
    <row r="110" spans="1:16">
      <c r="A110" s="96" t="s">
        <v>1441</v>
      </c>
      <c r="B110" t="s">
        <v>4739</v>
      </c>
      <c r="C110" s="33">
        <v>2</v>
      </c>
      <c r="D110" t="s">
        <v>4852</v>
      </c>
      <c r="E110" t="s">
        <v>4067</v>
      </c>
      <c r="F110" s="966">
        <f>+SUM(Generation!F143:F146,Generation!F152)</f>
        <v>38690.881580000001</v>
      </c>
      <c r="G110" s="984">
        <v>101</v>
      </c>
      <c r="H110" t="s">
        <v>4783</v>
      </c>
      <c r="I110"/>
      <c r="J110" t="s">
        <v>4739</v>
      </c>
      <c r="K110" s="33">
        <v>2</v>
      </c>
      <c r="L110" t="s">
        <v>4852</v>
      </c>
      <c r="M110" t="s">
        <v>4067</v>
      </c>
      <c r="N110" s="966"/>
      <c r="O110" s="984">
        <v>122</v>
      </c>
      <c r="P110" t="s">
        <v>4784</v>
      </c>
    </row>
    <row r="111" spans="1:16">
      <c r="B111" t="s">
        <v>4739</v>
      </c>
      <c r="C111" s="33">
        <v>4</v>
      </c>
      <c r="D111" t="s">
        <v>4852</v>
      </c>
      <c r="E111" t="s">
        <v>2067</v>
      </c>
      <c r="F111" s="966">
        <f>+Generation!F147</f>
        <v>12517.474829999997</v>
      </c>
      <c r="G111" s="984">
        <v>101</v>
      </c>
      <c r="H111" t="s">
        <v>4783</v>
      </c>
      <c r="I111"/>
      <c r="J111" t="s">
        <v>4739</v>
      </c>
      <c r="K111" s="33">
        <v>4</v>
      </c>
      <c r="L111" t="s">
        <v>4852</v>
      </c>
      <c r="M111" t="s">
        <v>2067</v>
      </c>
      <c r="N111" s="966"/>
      <c r="O111" s="984">
        <v>201</v>
      </c>
      <c r="P111" t="s">
        <v>4790</v>
      </c>
    </row>
    <row r="112" spans="1:16">
      <c r="B112" t="s">
        <v>4739</v>
      </c>
      <c r="C112" s="33">
        <v>2</v>
      </c>
      <c r="D112" t="s">
        <v>4853</v>
      </c>
      <c r="E112" t="s">
        <v>4067</v>
      </c>
      <c r="F112" s="966">
        <f>+Generation!F184-F113-F114</f>
        <v>151728.58542762313</v>
      </c>
      <c r="G112" s="984">
        <v>101</v>
      </c>
      <c r="H112" t="s">
        <v>4783</v>
      </c>
      <c r="I112"/>
      <c r="J112" t="s">
        <v>4739</v>
      </c>
      <c r="K112" s="33">
        <v>2</v>
      </c>
      <c r="L112" t="s">
        <v>4853</v>
      </c>
      <c r="M112" t="s">
        <v>4067</v>
      </c>
      <c r="N112" s="966"/>
      <c r="O112" s="984">
        <v>122</v>
      </c>
      <c r="P112" t="s">
        <v>4784</v>
      </c>
    </row>
    <row r="113" spans="1:17">
      <c r="B113" t="s">
        <v>4739</v>
      </c>
      <c r="C113" s="33">
        <v>3</v>
      </c>
      <c r="D113" s="96" t="s">
        <v>4854</v>
      </c>
      <c r="E113" t="s">
        <v>4067</v>
      </c>
      <c r="F113" s="966">
        <f>+Generation!F162</f>
        <v>70700.31160999999</v>
      </c>
      <c r="G113" s="984">
        <v>101</v>
      </c>
      <c r="H113" t="s">
        <v>4783</v>
      </c>
      <c r="I113"/>
      <c r="J113" t="s">
        <v>4739</v>
      </c>
      <c r="K113" s="33">
        <v>3</v>
      </c>
      <c r="L113" t="s">
        <v>4854</v>
      </c>
      <c r="M113" t="s">
        <v>4067</v>
      </c>
      <c r="N113" s="966"/>
      <c r="O113" s="984">
        <v>121</v>
      </c>
      <c r="P113" t="s">
        <v>4816</v>
      </c>
    </row>
    <row r="114" spans="1:17">
      <c r="B114" s="297" t="s">
        <v>4739</v>
      </c>
      <c r="C114" s="529">
        <v>4</v>
      </c>
      <c r="D114" s="297" t="s">
        <v>4853</v>
      </c>
      <c r="E114" s="297" t="s">
        <v>2067</v>
      </c>
      <c r="F114" s="970">
        <f>+Generation!J184</f>
        <v>11654.301102376907</v>
      </c>
      <c r="G114" s="980">
        <v>101</v>
      </c>
      <c r="H114" s="297" t="s">
        <v>4783</v>
      </c>
      <c r="I114" s="297"/>
      <c r="J114" s="297" t="s">
        <v>4739</v>
      </c>
      <c r="K114" s="529">
        <v>4</v>
      </c>
      <c r="L114" s="297" t="s">
        <v>4853</v>
      </c>
      <c r="M114" s="297" t="s">
        <v>2067</v>
      </c>
      <c r="N114" s="970"/>
      <c r="O114" s="980">
        <v>201</v>
      </c>
      <c r="P114" s="297" t="s">
        <v>4790</v>
      </c>
    </row>
    <row r="115" spans="1:17">
      <c r="A115" t="s">
        <v>1760</v>
      </c>
      <c r="B115" t="s">
        <v>4739</v>
      </c>
      <c r="C115" s="33">
        <v>9</v>
      </c>
      <c r="D115" t="s">
        <v>4817</v>
      </c>
      <c r="E115" t="s">
        <v>4067</v>
      </c>
      <c r="F115" s="966">
        <f>+Transmission!G175-F116</f>
        <v>4399.5250740593683</v>
      </c>
      <c r="G115" s="984">
        <v>101</v>
      </c>
      <c r="H115" t="s">
        <v>4783</v>
      </c>
      <c r="I115"/>
      <c r="J115" t="s">
        <v>4739</v>
      </c>
      <c r="K115" s="33">
        <v>9</v>
      </c>
      <c r="L115" t="s">
        <v>4817</v>
      </c>
      <c r="M115" t="s">
        <v>4067</v>
      </c>
      <c r="N115" s="445"/>
      <c r="O115" s="984">
        <v>122</v>
      </c>
      <c r="P115" t="s">
        <v>4784</v>
      </c>
    </row>
    <row r="116" spans="1:17" s="765" customFormat="1">
      <c r="B116" t="s">
        <v>4739</v>
      </c>
      <c r="C116" s="33">
        <v>10</v>
      </c>
      <c r="D116" s="763" t="s">
        <v>4855</v>
      </c>
      <c r="E116" s="763" t="s">
        <v>4067</v>
      </c>
      <c r="F116" s="966">
        <f>(+Transmission!D7+Transmission!D14)/1000</f>
        <v>0</v>
      </c>
      <c r="G116" s="984">
        <v>101</v>
      </c>
      <c r="H116" t="s">
        <v>4783</v>
      </c>
      <c r="I116"/>
      <c r="J116" t="s">
        <v>4739</v>
      </c>
      <c r="K116" s="33">
        <v>10</v>
      </c>
      <c r="L116" s="763" t="s">
        <v>4855</v>
      </c>
      <c r="M116" t="s">
        <v>4067</v>
      </c>
      <c r="N116" s="445"/>
      <c r="O116" s="984">
        <v>121</v>
      </c>
      <c r="P116" t="s">
        <v>4816</v>
      </c>
      <c r="Q116"/>
    </row>
    <row r="117" spans="1:17">
      <c r="B117" t="s">
        <v>4739</v>
      </c>
      <c r="C117" s="33">
        <v>13</v>
      </c>
      <c r="D117" t="s">
        <v>4818</v>
      </c>
      <c r="E117" t="s">
        <v>4067</v>
      </c>
      <c r="F117" s="445">
        <f>+Transmission!H175+Transmission!I176</f>
        <v>14335.379063852772</v>
      </c>
      <c r="G117" s="984">
        <v>117</v>
      </c>
      <c r="H117" t="s">
        <v>4785</v>
      </c>
      <c r="I117"/>
      <c r="J117" t="s">
        <v>4739</v>
      </c>
      <c r="K117" s="33">
        <v>13</v>
      </c>
      <c r="L117" t="s">
        <v>4856</v>
      </c>
      <c r="M117" t="s">
        <v>4067</v>
      </c>
      <c r="N117" s="445"/>
      <c r="O117" s="984">
        <v>117</v>
      </c>
      <c r="P117" t="s">
        <v>4785</v>
      </c>
    </row>
    <row r="118" spans="1:17">
      <c r="B118" t="s">
        <v>4739</v>
      </c>
      <c r="C118" s="33">
        <v>16</v>
      </c>
      <c r="D118" t="s">
        <v>4819</v>
      </c>
      <c r="E118" t="s">
        <v>4067</v>
      </c>
      <c r="F118" s="445">
        <f>+Transmission!J175</f>
        <v>5452.3630009842718</v>
      </c>
      <c r="G118" s="984">
        <v>117</v>
      </c>
      <c r="H118" t="s">
        <v>4785</v>
      </c>
      <c r="I118"/>
      <c r="J118" t="s">
        <v>4739</v>
      </c>
      <c r="K118" s="33">
        <v>16</v>
      </c>
      <c r="L118" t="s">
        <v>4819</v>
      </c>
      <c r="M118" t="s">
        <v>4067</v>
      </c>
      <c r="N118" s="445"/>
      <c r="O118" s="984">
        <v>117</v>
      </c>
      <c r="P118" t="s">
        <v>4785</v>
      </c>
    </row>
    <row r="119" spans="1:17">
      <c r="B119" s="297" t="s">
        <v>4739</v>
      </c>
      <c r="C119" s="529">
        <v>17</v>
      </c>
      <c r="D119" s="297" t="s">
        <v>3125</v>
      </c>
      <c r="E119" s="297" t="s">
        <v>4067</v>
      </c>
      <c r="F119" s="970">
        <f>+Transmission!J176</f>
        <v>8138.7001948391526</v>
      </c>
      <c r="G119" s="980">
        <v>117</v>
      </c>
      <c r="H119" s="297" t="s">
        <v>4785</v>
      </c>
      <c r="I119" s="297"/>
      <c r="J119" s="297" t="s">
        <v>4739</v>
      </c>
      <c r="K119" s="529">
        <v>17</v>
      </c>
      <c r="L119" s="297" t="s">
        <v>3125</v>
      </c>
      <c r="M119" s="297" t="s">
        <v>4067</v>
      </c>
      <c r="N119" s="970"/>
      <c r="O119" s="980">
        <v>117</v>
      </c>
      <c r="P119" s="297" t="s">
        <v>4785</v>
      </c>
    </row>
    <row r="120" spans="1:17">
      <c r="A120" t="s">
        <v>1762</v>
      </c>
      <c r="B120" t="s">
        <v>4739</v>
      </c>
      <c r="C120" s="33">
        <v>22</v>
      </c>
      <c r="D120" t="s">
        <v>4819</v>
      </c>
      <c r="E120" t="s">
        <v>4067</v>
      </c>
      <c r="F120" s="445">
        <f>+Distribution!E165</f>
        <v>9806.7207300000009</v>
      </c>
      <c r="G120" s="984">
        <v>105</v>
      </c>
      <c r="H120" t="s">
        <v>4786</v>
      </c>
      <c r="I120"/>
      <c r="J120" t="s">
        <v>4739</v>
      </c>
      <c r="K120" s="33">
        <v>22</v>
      </c>
      <c r="L120" t="s">
        <v>4819</v>
      </c>
      <c r="M120" t="s">
        <v>4067</v>
      </c>
      <c r="N120" s="445"/>
      <c r="O120" s="984">
        <v>105</v>
      </c>
      <c r="P120" t="s">
        <v>4786</v>
      </c>
    </row>
    <row r="121" spans="1:17">
      <c r="B121" t="s">
        <v>4739</v>
      </c>
      <c r="C121" s="33">
        <v>24</v>
      </c>
      <c r="D121" t="s">
        <v>4857</v>
      </c>
      <c r="E121" t="s">
        <v>4071</v>
      </c>
      <c r="F121" s="445">
        <f>+Distribution!E168</f>
        <v>2044.6598045826174</v>
      </c>
      <c r="G121" s="984">
        <v>310</v>
      </c>
      <c r="H121" t="s">
        <v>4821</v>
      </c>
      <c r="I121"/>
      <c r="J121" t="s">
        <v>4739</v>
      </c>
      <c r="K121" s="33">
        <v>24</v>
      </c>
      <c r="L121" t="s">
        <v>4857</v>
      </c>
      <c r="M121" t="s">
        <v>4071</v>
      </c>
      <c r="N121" s="445"/>
      <c r="O121" s="984">
        <v>310</v>
      </c>
      <c r="P121" t="s">
        <v>4821</v>
      </c>
    </row>
    <row r="122" spans="1:17">
      <c r="B122" t="s">
        <v>4739</v>
      </c>
      <c r="C122" s="33">
        <v>25</v>
      </c>
      <c r="D122" t="s">
        <v>4858</v>
      </c>
      <c r="E122" t="s">
        <v>4067</v>
      </c>
      <c r="F122" s="445">
        <f>+Distribution!E169</f>
        <v>19187.392134374531</v>
      </c>
      <c r="G122" s="984">
        <v>105</v>
      </c>
      <c r="H122" t="s">
        <v>4786</v>
      </c>
      <c r="I122"/>
      <c r="J122" t="s">
        <v>4739</v>
      </c>
      <c r="K122" s="33">
        <v>25</v>
      </c>
      <c r="L122" t="s">
        <v>4858</v>
      </c>
      <c r="M122" t="s">
        <v>4067</v>
      </c>
      <c r="N122" s="445"/>
      <c r="O122" s="984">
        <v>105</v>
      </c>
      <c r="P122" t="s">
        <v>4786</v>
      </c>
    </row>
    <row r="123" spans="1:17">
      <c r="B123" t="s">
        <v>4739</v>
      </c>
      <c r="C123" s="33">
        <v>26</v>
      </c>
      <c r="D123" t="s">
        <v>4859</v>
      </c>
      <c r="E123" t="s">
        <v>4071</v>
      </c>
      <c r="F123" s="445">
        <f>+Distribution!E170</f>
        <v>0</v>
      </c>
      <c r="G123" s="984">
        <v>418</v>
      </c>
      <c r="H123" t="s">
        <v>4824</v>
      </c>
      <c r="I123"/>
      <c r="J123" t="s">
        <v>4739</v>
      </c>
      <c r="K123" s="33">
        <v>26</v>
      </c>
      <c r="L123" t="s">
        <v>4859</v>
      </c>
      <c r="M123" t="s">
        <v>4071</v>
      </c>
      <c r="N123" s="445"/>
      <c r="O123" s="984">
        <v>418</v>
      </c>
      <c r="P123" t="s">
        <v>4824</v>
      </c>
    </row>
    <row r="124" spans="1:17">
      <c r="B124" t="s">
        <v>4739</v>
      </c>
      <c r="C124" s="33">
        <v>27</v>
      </c>
      <c r="D124" t="s">
        <v>4860</v>
      </c>
      <c r="E124" t="s">
        <v>4067</v>
      </c>
      <c r="F124" s="445">
        <f>+Distribution!E171</f>
        <v>5762.4819510428561</v>
      </c>
      <c r="G124" s="984">
        <v>106</v>
      </c>
      <c r="H124" t="s">
        <v>4788</v>
      </c>
      <c r="I124"/>
      <c r="J124" t="s">
        <v>4739</v>
      </c>
      <c r="K124" s="33">
        <v>27</v>
      </c>
      <c r="L124" t="s">
        <v>4860</v>
      </c>
      <c r="M124" t="s">
        <v>4067</v>
      </c>
      <c r="N124" s="445"/>
      <c r="O124" s="984">
        <v>106</v>
      </c>
      <c r="P124" t="s">
        <v>4788</v>
      </c>
    </row>
    <row r="125" spans="1:17">
      <c r="B125" t="s">
        <v>4739</v>
      </c>
      <c r="C125" s="33">
        <v>28</v>
      </c>
      <c r="D125" t="s">
        <v>4861</v>
      </c>
      <c r="E125" t="s">
        <v>4071</v>
      </c>
      <c r="F125" s="445">
        <f>+Distribution!E172</f>
        <v>0</v>
      </c>
      <c r="G125" s="984">
        <v>420</v>
      </c>
      <c r="H125" t="s">
        <v>4781</v>
      </c>
      <c r="I125"/>
      <c r="J125" t="s">
        <v>4739</v>
      </c>
      <c r="K125" s="33">
        <v>28</v>
      </c>
      <c r="L125" t="s">
        <v>4861</v>
      </c>
      <c r="M125" t="s">
        <v>4071</v>
      </c>
      <c r="N125" s="445"/>
      <c r="O125" s="984">
        <v>420</v>
      </c>
      <c r="P125" t="s">
        <v>4781</v>
      </c>
    </row>
    <row r="126" spans="1:17">
      <c r="B126" t="s">
        <v>4739</v>
      </c>
      <c r="C126" s="33">
        <v>31</v>
      </c>
      <c r="D126" t="s">
        <v>4820</v>
      </c>
      <c r="E126" t="s">
        <v>4071</v>
      </c>
      <c r="F126" s="445">
        <f>+Distribution!E175</f>
        <v>107.01148424700513</v>
      </c>
      <c r="G126" s="984">
        <v>310</v>
      </c>
      <c r="H126" t="s">
        <v>4821</v>
      </c>
      <c r="I126"/>
      <c r="J126" t="s">
        <v>4739</v>
      </c>
      <c r="K126" s="33">
        <v>31</v>
      </c>
      <c r="L126" t="s">
        <v>4820</v>
      </c>
      <c r="M126" t="s">
        <v>4071</v>
      </c>
      <c r="N126" s="445"/>
      <c r="O126" s="984">
        <v>310</v>
      </c>
      <c r="P126" t="s">
        <v>4821</v>
      </c>
    </row>
    <row r="127" spans="1:17">
      <c r="B127" t="s">
        <v>4739</v>
      </c>
      <c r="C127" s="33">
        <v>32</v>
      </c>
      <c r="D127" t="s">
        <v>4822</v>
      </c>
      <c r="E127" t="s">
        <v>4067</v>
      </c>
      <c r="F127" s="445">
        <f>+Distribution!E176</f>
        <v>5930.0781825408103</v>
      </c>
      <c r="G127" s="984">
        <v>105</v>
      </c>
      <c r="H127" t="s">
        <v>4786</v>
      </c>
      <c r="I127"/>
      <c r="J127" t="s">
        <v>4739</v>
      </c>
      <c r="K127" s="33">
        <v>32</v>
      </c>
      <c r="L127" t="s">
        <v>4822</v>
      </c>
      <c r="M127" t="s">
        <v>4067</v>
      </c>
      <c r="N127" s="445"/>
      <c r="O127" s="984">
        <v>105</v>
      </c>
      <c r="P127" t="s">
        <v>4786</v>
      </c>
    </row>
    <row r="128" spans="1:17">
      <c r="B128" t="s">
        <v>4739</v>
      </c>
      <c r="C128" s="33">
        <v>33</v>
      </c>
      <c r="D128" t="s">
        <v>4823</v>
      </c>
      <c r="E128" t="s">
        <v>4071</v>
      </c>
      <c r="F128" s="445">
        <f>+Distribution!E177</f>
        <v>0</v>
      </c>
      <c r="G128" s="984">
        <v>418</v>
      </c>
      <c r="H128" t="s">
        <v>4824</v>
      </c>
      <c r="I128"/>
      <c r="J128" t="s">
        <v>4739</v>
      </c>
      <c r="K128" s="33">
        <v>33</v>
      </c>
      <c r="L128" t="s">
        <v>4823</v>
      </c>
      <c r="M128" t="s">
        <v>4071</v>
      </c>
      <c r="N128" s="445"/>
      <c r="O128" s="984">
        <v>418</v>
      </c>
      <c r="P128" t="s">
        <v>4824</v>
      </c>
    </row>
    <row r="129" spans="2:17">
      <c r="B129" t="s">
        <v>4739</v>
      </c>
      <c r="C129" s="33">
        <v>34</v>
      </c>
      <c r="D129" t="s">
        <v>4825</v>
      </c>
      <c r="E129" t="s">
        <v>4067</v>
      </c>
      <c r="F129" s="445">
        <f>+Distribution!E178</f>
        <v>902.13325321218497</v>
      </c>
      <c r="G129" s="984">
        <v>106</v>
      </c>
      <c r="H129" t="s">
        <v>4788</v>
      </c>
      <c r="I129"/>
      <c r="J129" t="s">
        <v>4739</v>
      </c>
      <c r="K129" s="33">
        <v>34</v>
      </c>
      <c r="L129" t="s">
        <v>4825</v>
      </c>
      <c r="M129" t="s">
        <v>4067</v>
      </c>
      <c r="N129" s="445"/>
      <c r="O129" s="984">
        <v>106</v>
      </c>
      <c r="P129" t="s">
        <v>4788</v>
      </c>
    </row>
    <row r="130" spans="2:17">
      <c r="B130" t="s">
        <v>4739</v>
      </c>
      <c r="C130" s="33">
        <v>35</v>
      </c>
      <c r="D130" t="s">
        <v>4826</v>
      </c>
      <c r="E130" t="s">
        <v>4071</v>
      </c>
      <c r="F130" s="445">
        <f>+Distribution!E179</f>
        <v>0</v>
      </c>
      <c r="G130" s="984">
        <v>420</v>
      </c>
      <c r="H130" t="s">
        <v>4781</v>
      </c>
      <c r="I130"/>
      <c r="J130" t="s">
        <v>4739</v>
      </c>
      <c r="K130" s="33">
        <v>35</v>
      </c>
      <c r="L130" t="s">
        <v>4826</v>
      </c>
      <c r="M130" t="s">
        <v>4071</v>
      </c>
      <c r="N130" s="445"/>
      <c r="O130" s="984">
        <v>420</v>
      </c>
      <c r="P130" t="s">
        <v>4781</v>
      </c>
    </row>
    <row r="131" spans="2:17">
      <c r="B131" t="s">
        <v>4739</v>
      </c>
      <c r="C131" s="33">
        <v>38</v>
      </c>
      <c r="D131" t="s">
        <v>4827</v>
      </c>
      <c r="E131" t="s">
        <v>4071</v>
      </c>
      <c r="F131" s="445">
        <f>+Distribution!E182</f>
        <v>10.151967899116032</v>
      </c>
      <c r="G131" s="984">
        <v>310</v>
      </c>
      <c r="H131" t="s">
        <v>4821</v>
      </c>
      <c r="I131"/>
      <c r="J131" t="s">
        <v>4739</v>
      </c>
      <c r="K131" s="33">
        <v>38</v>
      </c>
      <c r="L131" t="s">
        <v>4827</v>
      </c>
      <c r="M131" t="s">
        <v>4071</v>
      </c>
      <c r="N131" s="445"/>
      <c r="O131" s="984">
        <v>310</v>
      </c>
      <c r="P131" t="s">
        <v>4821</v>
      </c>
    </row>
    <row r="132" spans="2:17">
      <c r="B132" t="s">
        <v>4739</v>
      </c>
      <c r="C132" s="33">
        <v>39</v>
      </c>
      <c r="D132" t="s">
        <v>4828</v>
      </c>
      <c r="E132" t="s">
        <v>4067</v>
      </c>
      <c r="F132" s="445">
        <f>+Distribution!E183</f>
        <v>19824.48663502411</v>
      </c>
      <c r="G132" s="984">
        <v>105</v>
      </c>
      <c r="H132" t="s">
        <v>4786</v>
      </c>
      <c r="I132"/>
      <c r="J132" t="s">
        <v>4739</v>
      </c>
      <c r="K132" s="33">
        <v>39</v>
      </c>
      <c r="L132" t="s">
        <v>4828</v>
      </c>
      <c r="M132" t="s">
        <v>4067</v>
      </c>
      <c r="N132" s="445"/>
      <c r="O132" s="984">
        <v>105</v>
      </c>
      <c r="P132" t="s">
        <v>4786</v>
      </c>
    </row>
    <row r="133" spans="2:17">
      <c r="B133" t="s">
        <v>4739</v>
      </c>
      <c r="C133" s="33">
        <v>40</v>
      </c>
      <c r="D133" t="s">
        <v>4829</v>
      </c>
      <c r="E133" t="s">
        <v>4071</v>
      </c>
      <c r="F133" s="445">
        <f>+Distribution!E184</f>
        <v>0</v>
      </c>
      <c r="G133" s="984">
        <v>418</v>
      </c>
      <c r="H133" t="s">
        <v>4824</v>
      </c>
      <c r="I133"/>
      <c r="J133" t="s">
        <v>4739</v>
      </c>
      <c r="K133" s="33">
        <v>40</v>
      </c>
      <c r="L133" t="s">
        <v>4829</v>
      </c>
      <c r="M133" t="s">
        <v>4071</v>
      </c>
      <c r="N133" s="445"/>
      <c r="O133" s="984">
        <v>418</v>
      </c>
      <c r="P133" t="s">
        <v>4824</v>
      </c>
    </row>
    <row r="134" spans="2:17">
      <c r="B134" t="s">
        <v>4739</v>
      </c>
      <c r="C134" s="33">
        <v>41</v>
      </c>
      <c r="D134" t="s">
        <v>4830</v>
      </c>
      <c r="E134" t="s">
        <v>4067</v>
      </c>
      <c r="F134" s="445">
        <f>+Distribution!E185</f>
        <v>1511.5438770767803</v>
      </c>
      <c r="G134" s="984">
        <v>106</v>
      </c>
      <c r="H134" t="s">
        <v>4788</v>
      </c>
      <c r="I134"/>
      <c r="J134" t="s">
        <v>4739</v>
      </c>
      <c r="K134" s="33">
        <v>41</v>
      </c>
      <c r="L134" t="s">
        <v>4830</v>
      </c>
      <c r="M134" t="s">
        <v>4067</v>
      </c>
      <c r="N134" s="445"/>
      <c r="O134" s="984">
        <v>106</v>
      </c>
      <c r="P134" t="s">
        <v>4788</v>
      </c>
    </row>
    <row r="135" spans="2:17">
      <c r="B135" t="s">
        <v>4739</v>
      </c>
      <c r="C135" s="33">
        <v>42</v>
      </c>
      <c r="D135" t="s">
        <v>4831</v>
      </c>
      <c r="E135" t="s">
        <v>4071</v>
      </c>
      <c r="F135" s="445">
        <f>+Distribution!E186</f>
        <v>0</v>
      </c>
      <c r="G135" s="984">
        <v>420</v>
      </c>
      <c r="H135" t="s">
        <v>4781</v>
      </c>
      <c r="I135"/>
      <c r="J135" t="s">
        <v>4739</v>
      </c>
      <c r="K135" s="33">
        <v>42</v>
      </c>
      <c r="L135" t="s">
        <v>4831</v>
      </c>
      <c r="M135" t="s">
        <v>4071</v>
      </c>
      <c r="N135" s="445"/>
      <c r="O135" s="984">
        <v>420</v>
      </c>
      <c r="P135" t="s">
        <v>4781</v>
      </c>
    </row>
    <row r="136" spans="2:17">
      <c r="B136" t="s">
        <v>4739</v>
      </c>
      <c r="C136" s="33">
        <v>45</v>
      </c>
      <c r="D136" t="s">
        <v>4832</v>
      </c>
      <c r="E136" t="s">
        <v>4071</v>
      </c>
      <c r="F136" s="445">
        <f>+Distribution!E189</f>
        <v>0</v>
      </c>
      <c r="G136" s="984">
        <v>310</v>
      </c>
      <c r="H136" t="s">
        <v>4821</v>
      </c>
      <c r="I136"/>
      <c r="J136" t="s">
        <v>4739</v>
      </c>
      <c r="K136" s="33">
        <v>45</v>
      </c>
      <c r="L136" t="s">
        <v>4832</v>
      </c>
      <c r="M136" t="s">
        <v>4071</v>
      </c>
      <c r="N136" s="445"/>
      <c r="O136" s="984">
        <v>310</v>
      </c>
      <c r="P136" t="s">
        <v>4821</v>
      </c>
    </row>
    <row r="137" spans="2:17">
      <c r="B137" t="s">
        <v>4739</v>
      </c>
      <c r="C137" s="33">
        <v>46</v>
      </c>
      <c r="D137" t="s">
        <v>4833</v>
      </c>
      <c r="E137" t="s">
        <v>4067</v>
      </c>
      <c r="F137" s="445">
        <f>+Distribution!E190</f>
        <v>6446.2285393647117</v>
      </c>
      <c r="G137" s="984">
        <v>105</v>
      </c>
      <c r="H137" t="s">
        <v>4786</v>
      </c>
      <c r="I137"/>
      <c r="J137" t="s">
        <v>4739</v>
      </c>
      <c r="K137" s="33">
        <v>46</v>
      </c>
      <c r="L137" t="s">
        <v>4833</v>
      </c>
      <c r="M137" t="s">
        <v>4067</v>
      </c>
      <c r="N137" s="445"/>
      <c r="O137" s="984">
        <v>105</v>
      </c>
      <c r="P137" t="s">
        <v>4786</v>
      </c>
    </row>
    <row r="138" spans="2:17">
      <c r="B138" t="s">
        <v>4739</v>
      </c>
      <c r="C138" s="33">
        <v>47</v>
      </c>
      <c r="D138" t="s">
        <v>4834</v>
      </c>
      <c r="E138" t="s">
        <v>4071</v>
      </c>
      <c r="F138" s="445">
        <f>+Distribution!E191</f>
        <v>0</v>
      </c>
      <c r="G138" s="984">
        <v>418</v>
      </c>
      <c r="H138" t="s">
        <v>4824</v>
      </c>
      <c r="I138"/>
      <c r="J138" t="s">
        <v>4739</v>
      </c>
      <c r="K138" s="33">
        <v>47</v>
      </c>
      <c r="L138" t="s">
        <v>4834</v>
      </c>
      <c r="M138" t="s">
        <v>4071</v>
      </c>
      <c r="N138" s="445"/>
      <c r="O138" s="984">
        <v>418</v>
      </c>
      <c r="P138" t="s">
        <v>4824</v>
      </c>
    </row>
    <row r="139" spans="2:17">
      <c r="B139" t="s">
        <v>4739</v>
      </c>
      <c r="C139" s="33">
        <v>48</v>
      </c>
      <c r="D139" t="s">
        <v>4835</v>
      </c>
      <c r="E139" t="s">
        <v>4067</v>
      </c>
      <c r="F139" s="445">
        <f>+Distribution!E192</f>
        <v>32748.664230635288</v>
      </c>
      <c r="G139" s="984">
        <v>106</v>
      </c>
      <c r="H139" t="s">
        <v>4788</v>
      </c>
      <c r="I139"/>
      <c r="J139" t="s">
        <v>4739</v>
      </c>
      <c r="K139" s="33">
        <v>48</v>
      </c>
      <c r="L139" t="s">
        <v>4835</v>
      </c>
      <c r="M139" t="s">
        <v>4067</v>
      </c>
      <c r="N139" s="445"/>
      <c r="O139" s="984">
        <v>106</v>
      </c>
      <c r="P139" t="s">
        <v>4788</v>
      </c>
    </row>
    <row r="140" spans="2:17">
      <c r="B140" t="s">
        <v>4739</v>
      </c>
      <c r="C140" s="33">
        <v>49</v>
      </c>
      <c r="D140" t="s">
        <v>4836</v>
      </c>
      <c r="E140" t="s">
        <v>4071</v>
      </c>
      <c r="F140" s="445">
        <f>+Distribution!E193</f>
        <v>0</v>
      </c>
      <c r="G140" s="984">
        <v>420</v>
      </c>
      <c r="H140" t="s">
        <v>4781</v>
      </c>
      <c r="I140"/>
      <c r="J140" t="s">
        <v>4739</v>
      </c>
      <c r="K140" s="33">
        <v>49</v>
      </c>
      <c r="L140" t="s">
        <v>4836</v>
      </c>
      <c r="M140" t="s">
        <v>4071</v>
      </c>
      <c r="N140" s="445"/>
      <c r="O140" s="984">
        <v>420</v>
      </c>
      <c r="P140" t="s">
        <v>4781</v>
      </c>
    </row>
    <row r="141" spans="2:17">
      <c r="B141" t="s">
        <v>4739</v>
      </c>
      <c r="C141" s="33">
        <v>52</v>
      </c>
      <c r="D141" t="s">
        <v>4060</v>
      </c>
      <c r="E141" t="s">
        <v>4071</v>
      </c>
      <c r="F141" s="445">
        <f>+Distribution!E196</f>
        <v>5782.6588400000001</v>
      </c>
      <c r="G141" s="984">
        <v>420</v>
      </c>
      <c r="H141" t="s">
        <v>4781</v>
      </c>
      <c r="I141"/>
      <c r="J141" t="s">
        <v>4739</v>
      </c>
      <c r="K141" s="33">
        <v>52</v>
      </c>
      <c r="L141" t="s">
        <v>4060</v>
      </c>
      <c r="M141" t="s">
        <v>4071</v>
      </c>
      <c r="N141" s="445"/>
      <c r="O141" s="984">
        <v>420</v>
      </c>
      <c r="P141" t="s">
        <v>4781</v>
      </c>
    </row>
    <row r="142" spans="2:17">
      <c r="B142" t="s">
        <v>4739</v>
      </c>
      <c r="C142" s="33">
        <v>53</v>
      </c>
      <c r="D142" t="s">
        <v>4053</v>
      </c>
      <c r="E142" t="s">
        <v>4071</v>
      </c>
      <c r="F142" s="445">
        <f>+Distribution!E197</f>
        <v>15403.828909999998</v>
      </c>
      <c r="G142" s="984">
        <v>308</v>
      </c>
      <c r="H142" t="s">
        <v>4837</v>
      </c>
      <c r="I142"/>
      <c r="J142" t="s">
        <v>4739</v>
      </c>
      <c r="K142" s="33">
        <v>53</v>
      </c>
      <c r="L142" t="s">
        <v>4053</v>
      </c>
      <c r="M142" t="s">
        <v>4071</v>
      </c>
      <c r="N142" s="445"/>
      <c r="O142" s="984">
        <v>308</v>
      </c>
      <c r="P142" t="s">
        <v>4837</v>
      </c>
    </row>
    <row r="143" spans="2:17">
      <c r="B143" t="s">
        <v>4739</v>
      </c>
      <c r="C143" s="33">
        <v>54</v>
      </c>
      <c r="D143" t="s">
        <v>4862</v>
      </c>
      <c r="E143" t="s">
        <v>4071</v>
      </c>
      <c r="F143" s="445">
        <f>+Distribution!E198</f>
        <v>0</v>
      </c>
      <c r="G143" s="984">
        <v>412</v>
      </c>
      <c r="H143" t="s">
        <v>4795</v>
      </c>
      <c r="I143"/>
      <c r="J143" t="s">
        <v>4739</v>
      </c>
      <c r="K143" s="33">
        <v>54</v>
      </c>
      <c r="L143" t="s">
        <v>4862</v>
      </c>
      <c r="M143" t="s">
        <v>4071</v>
      </c>
      <c r="N143" s="445"/>
      <c r="O143" s="984">
        <v>309</v>
      </c>
      <c r="P143" t="s">
        <v>4839</v>
      </c>
    </row>
    <row r="144" spans="2:17">
      <c r="B144" s="297" t="s">
        <v>4739</v>
      </c>
      <c r="C144" s="529">
        <v>55</v>
      </c>
      <c r="D144" s="297" t="s">
        <v>4840</v>
      </c>
      <c r="E144" s="297" t="s">
        <v>4071</v>
      </c>
      <c r="F144" s="970">
        <f>+Distribution!E199</f>
        <v>15231.66345</v>
      </c>
      <c r="G144" s="980">
        <v>310</v>
      </c>
      <c r="H144" s="297" t="s">
        <v>4821</v>
      </c>
      <c r="I144" s="297"/>
      <c r="J144" s="297" t="s">
        <v>4739</v>
      </c>
      <c r="K144" s="529">
        <v>55</v>
      </c>
      <c r="L144" s="297" t="s">
        <v>4840</v>
      </c>
      <c r="M144" s="297" t="s">
        <v>4071</v>
      </c>
      <c r="N144" s="970"/>
      <c r="O144" s="980">
        <v>310</v>
      </c>
      <c r="P144" s="297" t="s">
        <v>4821</v>
      </c>
      <c r="Q144" s="297"/>
    </row>
    <row r="145" spans="1:16">
      <c r="A145" t="s">
        <v>4863</v>
      </c>
      <c r="B145" t="s">
        <v>4739</v>
      </c>
      <c r="C145" s="33">
        <v>75</v>
      </c>
      <c r="D145" t="s">
        <v>1528</v>
      </c>
      <c r="E145" t="s">
        <v>4067</v>
      </c>
      <c r="F145" s="966">
        <f>+'Communications Equipment'!H53</f>
        <v>2270.0840464485473</v>
      </c>
      <c r="G145" s="984">
        <v>101</v>
      </c>
      <c r="H145" t="s">
        <v>4783</v>
      </c>
      <c r="I145"/>
      <c r="J145" t="s">
        <v>4739</v>
      </c>
      <c r="K145" s="33">
        <v>75</v>
      </c>
      <c r="L145" t="s">
        <v>1528</v>
      </c>
      <c r="M145" t="s">
        <v>4067</v>
      </c>
      <c r="N145" s="445"/>
      <c r="O145" s="984">
        <v>122</v>
      </c>
      <c r="P145" t="s">
        <v>4784</v>
      </c>
    </row>
    <row r="146" spans="1:16">
      <c r="B146" t="s">
        <v>4739</v>
      </c>
      <c r="C146" s="33">
        <v>76</v>
      </c>
      <c r="D146" t="s">
        <v>1528</v>
      </c>
      <c r="E146" t="s">
        <v>2067</v>
      </c>
      <c r="F146" s="966">
        <f>+'Communications Equipment'!H54</f>
        <v>564.04119465374163</v>
      </c>
      <c r="G146" s="984">
        <v>201</v>
      </c>
      <c r="H146" t="s">
        <v>4790</v>
      </c>
      <c r="I146"/>
      <c r="J146" t="s">
        <v>4739</v>
      </c>
      <c r="K146" s="33">
        <v>76</v>
      </c>
      <c r="L146" t="s">
        <v>1528</v>
      </c>
      <c r="M146" t="s">
        <v>2067</v>
      </c>
      <c r="N146" s="445"/>
      <c r="O146" s="984">
        <v>201</v>
      </c>
      <c r="P146" t="s">
        <v>4790</v>
      </c>
    </row>
    <row r="147" spans="1:16">
      <c r="B147" t="s">
        <v>4739</v>
      </c>
      <c r="C147" s="33">
        <v>77</v>
      </c>
      <c r="D147" t="s">
        <v>1529</v>
      </c>
      <c r="E147" t="s">
        <v>4067</v>
      </c>
      <c r="F147" s="966">
        <f>+'Communications Equipment'!H55</f>
        <v>427.86315231558297</v>
      </c>
      <c r="G147" s="984">
        <v>117</v>
      </c>
      <c r="H147" t="s">
        <v>4785</v>
      </c>
      <c r="I147"/>
      <c r="J147" t="s">
        <v>4739</v>
      </c>
      <c r="K147" s="33">
        <v>77</v>
      </c>
      <c r="L147" t="s">
        <v>1529</v>
      </c>
      <c r="M147" t="s">
        <v>4067</v>
      </c>
      <c r="N147" s="445"/>
      <c r="O147" s="984">
        <v>117</v>
      </c>
      <c r="P147" t="s">
        <v>4785</v>
      </c>
    </row>
    <row r="148" spans="1:16">
      <c r="B148" t="s">
        <v>4739</v>
      </c>
      <c r="C148" s="33">
        <v>78</v>
      </c>
      <c r="D148" t="s">
        <v>1953</v>
      </c>
      <c r="E148" t="s">
        <v>4067</v>
      </c>
      <c r="F148" s="966">
        <f>+'Communications Equipment'!H56</f>
        <v>344.4303917378038</v>
      </c>
      <c r="G148" s="984">
        <v>117</v>
      </c>
      <c r="H148" t="s">
        <v>4785</v>
      </c>
      <c r="I148"/>
      <c r="J148" t="s">
        <v>4739</v>
      </c>
      <c r="K148" s="33">
        <v>78</v>
      </c>
      <c r="L148" t="s">
        <v>1953</v>
      </c>
      <c r="M148" t="s">
        <v>4067</v>
      </c>
      <c r="N148" s="445"/>
      <c r="O148" s="984">
        <v>117</v>
      </c>
      <c r="P148" t="s">
        <v>4785</v>
      </c>
    </row>
    <row r="149" spans="1:16">
      <c r="B149" t="s">
        <v>4739</v>
      </c>
      <c r="C149" s="33">
        <v>79</v>
      </c>
      <c r="D149" t="s">
        <v>2040</v>
      </c>
      <c r="E149" t="s">
        <v>4067</v>
      </c>
      <c r="F149" s="966">
        <f>+'Communications Equipment'!H57</f>
        <v>2079.1077250027865</v>
      </c>
      <c r="G149" s="984">
        <v>105</v>
      </c>
      <c r="H149" t="s">
        <v>4786</v>
      </c>
      <c r="I149"/>
      <c r="J149" t="s">
        <v>4739</v>
      </c>
      <c r="K149" s="33">
        <v>79</v>
      </c>
      <c r="L149" t="s">
        <v>2040</v>
      </c>
      <c r="M149" t="s">
        <v>4067</v>
      </c>
      <c r="N149" s="445"/>
      <c r="O149" s="984">
        <v>105</v>
      </c>
      <c r="P149" t="s">
        <v>4786</v>
      </c>
    </row>
    <row r="150" spans="1:16">
      <c r="B150" t="s">
        <v>4739</v>
      </c>
      <c r="C150" s="33">
        <v>80</v>
      </c>
      <c r="D150" t="s">
        <v>4787</v>
      </c>
      <c r="E150" t="s">
        <v>4067</v>
      </c>
      <c r="F150" s="966">
        <f>+'Communications Equipment'!H58</f>
        <v>675.63423200398438</v>
      </c>
      <c r="G150" s="984">
        <v>106</v>
      </c>
      <c r="H150" t="s">
        <v>4788</v>
      </c>
      <c r="I150"/>
      <c r="J150" t="s">
        <v>4739</v>
      </c>
      <c r="K150" s="33">
        <v>80</v>
      </c>
      <c r="L150" t="s">
        <v>4787</v>
      </c>
      <c r="M150" t="s">
        <v>4067</v>
      </c>
      <c r="N150" s="445"/>
      <c r="O150" s="984">
        <v>106</v>
      </c>
      <c r="P150" t="s">
        <v>4788</v>
      </c>
    </row>
    <row r="151" spans="1:16">
      <c r="B151" t="s">
        <v>4739</v>
      </c>
      <c r="C151" s="33">
        <v>81</v>
      </c>
      <c r="D151" t="s">
        <v>1530</v>
      </c>
      <c r="E151" t="s">
        <v>4071</v>
      </c>
      <c r="F151" s="966">
        <f>+'Communications Equipment'!H59</f>
        <v>801.25621217467824</v>
      </c>
      <c r="G151" s="984">
        <v>907</v>
      </c>
      <c r="H151" t="s">
        <v>4794</v>
      </c>
      <c r="I151"/>
      <c r="J151" t="s">
        <v>4739</v>
      </c>
      <c r="K151" s="33">
        <v>81</v>
      </c>
      <c r="L151" t="s">
        <v>1530</v>
      </c>
      <c r="M151" t="s">
        <v>4071</v>
      </c>
      <c r="N151" s="445"/>
      <c r="O151" s="984">
        <v>907</v>
      </c>
      <c r="P151" t="s">
        <v>4794</v>
      </c>
    </row>
    <row r="152" spans="1:16">
      <c r="B152" s="297" t="s">
        <v>4739</v>
      </c>
      <c r="C152" s="529">
        <v>82</v>
      </c>
      <c r="D152" s="297" t="s">
        <v>2338</v>
      </c>
      <c r="E152" s="297" t="s">
        <v>4071</v>
      </c>
      <c r="F152" s="970">
        <f>+'Communications Equipment'!H60</f>
        <v>1085.3202556628742</v>
      </c>
      <c r="G152" s="980">
        <v>412</v>
      </c>
      <c r="H152" s="297" t="s">
        <v>4795</v>
      </c>
      <c r="I152" s="297"/>
      <c r="J152" s="297" t="s">
        <v>4739</v>
      </c>
      <c r="K152" s="529">
        <v>82</v>
      </c>
      <c r="L152" s="297" t="s">
        <v>2338</v>
      </c>
      <c r="M152" s="297" t="s">
        <v>4071</v>
      </c>
      <c r="N152" s="970"/>
      <c r="O152" s="980">
        <v>412</v>
      </c>
      <c r="P152" s="297" t="s">
        <v>4795</v>
      </c>
    </row>
    <row r="153" spans="1:16">
      <c r="A153" t="s">
        <v>4864</v>
      </c>
      <c r="B153" t="s">
        <v>4739</v>
      </c>
      <c r="C153" s="33">
        <v>87</v>
      </c>
      <c r="D153" t="s">
        <v>1528</v>
      </c>
      <c r="E153" t="s">
        <v>4067</v>
      </c>
      <c r="F153" s="445">
        <f>+'Transportation Equipment'!H40</f>
        <v>428.13576</v>
      </c>
      <c r="G153" s="984">
        <v>101</v>
      </c>
      <c r="H153" t="s">
        <v>4783</v>
      </c>
      <c r="I153"/>
      <c r="J153" t="s">
        <v>4739</v>
      </c>
      <c r="K153" s="33">
        <v>87</v>
      </c>
      <c r="L153" t="s">
        <v>1528</v>
      </c>
      <c r="M153" t="s">
        <v>4067</v>
      </c>
      <c r="N153" s="445"/>
      <c r="O153" s="984">
        <v>122</v>
      </c>
      <c r="P153" t="s">
        <v>4784</v>
      </c>
    </row>
    <row r="154" spans="1:16">
      <c r="B154" t="s">
        <v>4739</v>
      </c>
      <c r="C154" s="33">
        <v>88</v>
      </c>
      <c r="D154" t="s">
        <v>1528</v>
      </c>
      <c r="E154" t="s">
        <v>2067</v>
      </c>
      <c r="F154" s="990">
        <v>0</v>
      </c>
      <c r="G154" s="984">
        <v>201</v>
      </c>
      <c r="H154" t="s">
        <v>4790</v>
      </c>
      <c r="I154"/>
      <c r="J154" t="s">
        <v>4739</v>
      </c>
      <c r="K154" s="33">
        <v>88</v>
      </c>
      <c r="L154" t="s">
        <v>1528</v>
      </c>
      <c r="M154" t="s">
        <v>2067</v>
      </c>
      <c r="N154" s="445"/>
      <c r="O154" s="984">
        <v>201</v>
      </c>
      <c r="P154" t="s">
        <v>4790</v>
      </c>
    </row>
    <row r="155" spans="1:16">
      <c r="B155" t="s">
        <v>4739</v>
      </c>
      <c r="C155" s="33">
        <v>89</v>
      </c>
      <c r="D155" t="s">
        <v>1529</v>
      </c>
      <c r="E155" t="s">
        <v>4067</v>
      </c>
      <c r="F155" s="990">
        <f>+'Transportation Equipment'!H41</f>
        <v>0</v>
      </c>
      <c r="G155" s="984">
        <v>117</v>
      </c>
      <c r="H155" t="s">
        <v>4785</v>
      </c>
      <c r="I155"/>
      <c r="J155" t="s">
        <v>4739</v>
      </c>
      <c r="K155" s="33">
        <v>89</v>
      </c>
      <c r="L155" t="s">
        <v>1529</v>
      </c>
      <c r="M155" t="s">
        <v>4067</v>
      </c>
      <c r="N155" s="445"/>
      <c r="O155" s="984">
        <v>117</v>
      </c>
      <c r="P155" t="s">
        <v>4785</v>
      </c>
    </row>
    <row r="156" spans="1:16">
      <c r="B156" t="s">
        <v>4739</v>
      </c>
      <c r="C156" s="33">
        <v>90</v>
      </c>
      <c r="D156" t="s">
        <v>1953</v>
      </c>
      <c r="E156" t="s">
        <v>4067</v>
      </c>
      <c r="F156" s="990">
        <f>+'Transportation Equipment'!H42</f>
        <v>0</v>
      </c>
      <c r="G156" s="984">
        <v>117</v>
      </c>
      <c r="H156" t="s">
        <v>4785</v>
      </c>
      <c r="I156"/>
      <c r="J156" t="s">
        <v>4739</v>
      </c>
      <c r="K156" s="33">
        <v>90</v>
      </c>
      <c r="L156" t="s">
        <v>1953</v>
      </c>
      <c r="M156" t="s">
        <v>4067</v>
      </c>
      <c r="N156" s="445"/>
      <c r="O156" s="984">
        <v>117</v>
      </c>
      <c r="P156" t="s">
        <v>4785</v>
      </c>
    </row>
    <row r="157" spans="1:16">
      <c r="B157" t="s">
        <v>4739</v>
      </c>
      <c r="C157" s="33">
        <v>91</v>
      </c>
      <c r="D157" t="s">
        <v>2040</v>
      </c>
      <c r="E157" t="s">
        <v>4067</v>
      </c>
      <c r="F157" s="990">
        <f>+'Transportation Equipment'!H43</f>
        <v>0</v>
      </c>
      <c r="G157" s="984">
        <v>105</v>
      </c>
      <c r="H157" t="s">
        <v>4786</v>
      </c>
      <c r="I157"/>
      <c r="J157" t="s">
        <v>4739</v>
      </c>
      <c r="K157" s="33">
        <v>91</v>
      </c>
      <c r="L157" t="s">
        <v>2040</v>
      </c>
      <c r="M157" t="s">
        <v>4067</v>
      </c>
      <c r="N157" s="445"/>
      <c r="O157" s="984">
        <v>105</v>
      </c>
      <c r="P157" t="s">
        <v>4786</v>
      </c>
    </row>
    <row r="158" spans="1:16">
      <c r="B158" t="s">
        <v>4739</v>
      </c>
      <c r="C158" s="33">
        <v>92</v>
      </c>
      <c r="D158" t="s">
        <v>4787</v>
      </c>
      <c r="E158" t="s">
        <v>4067</v>
      </c>
      <c r="F158" s="990">
        <f>+'Transportation Equipment'!H44</f>
        <v>0</v>
      </c>
      <c r="G158" s="984">
        <v>106</v>
      </c>
      <c r="H158" t="s">
        <v>4788</v>
      </c>
      <c r="I158"/>
      <c r="J158" t="s">
        <v>4739</v>
      </c>
      <c r="K158" s="33">
        <v>92</v>
      </c>
      <c r="L158" t="s">
        <v>4787</v>
      </c>
      <c r="M158" t="s">
        <v>4067</v>
      </c>
      <c r="N158" s="445"/>
      <c r="O158" s="984">
        <v>106</v>
      </c>
      <c r="P158" t="s">
        <v>4788</v>
      </c>
    </row>
    <row r="159" spans="1:16">
      <c r="B159" t="s">
        <v>4739</v>
      </c>
      <c r="C159" s="33">
        <v>93</v>
      </c>
      <c r="D159" t="s">
        <v>1530</v>
      </c>
      <c r="E159" t="s">
        <v>4071</v>
      </c>
      <c r="F159" s="990">
        <f>+'Transportation Equipment'!H45</f>
        <v>0</v>
      </c>
      <c r="G159" s="984">
        <v>907</v>
      </c>
      <c r="H159" t="s">
        <v>4794</v>
      </c>
      <c r="I159"/>
      <c r="J159" t="s">
        <v>4739</v>
      </c>
      <c r="K159" s="33">
        <v>93</v>
      </c>
      <c r="L159" t="s">
        <v>1530</v>
      </c>
      <c r="M159" t="s">
        <v>4071</v>
      </c>
      <c r="N159" s="445"/>
      <c r="O159" s="984">
        <v>907</v>
      </c>
      <c r="P159" t="s">
        <v>4794</v>
      </c>
    </row>
    <row r="160" spans="1:16">
      <c r="B160" s="297" t="s">
        <v>4739</v>
      </c>
      <c r="C160" s="529">
        <v>94</v>
      </c>
      <c r="D160" s="297" t="s">
        <v>2338</v>
      </c>
      <c r="E160" s="297" t="s">
        <v>4071</v>
      </c>
      <c r="F160" s="959">
        <f>+'Transportation Equipment'!H46</f>
        <v>0</v>
      </c>
      <c r="G160" s="980">
        <v>412</v>
      </c>
      <c r="H160" s="297" t="s">
        <v>4795</v>
      </c>
      <c r="I160" s="297"/>
      <c r="J160" s="297" t="s">
        <v>4739</v>
      </c>
      <c r="K160" s="529">
        <v>94</v>
      </c>
      <c r="L160" s="297" t="s">
        <v>2338</v>
      </c>
      <c r="M160" s="297" t="s">
        <v>4071</v>
      </c>
      <c r="N160" s="970"/>
      <c r="O160" s="980">
        <v>412</v>
      </c>
      <c r="P160" s="297" t="s">
        <v>4795</v>
      </c>
    </row>
    <row r="161" spans="1:16">
      <c r="A161" t="s">
        <v>4865</v>
      </c>
      <c r="B161" t="s">
        <v>4739</v>
      </c>
      <c r="C161" s="33">
        <v>99</v>
      </c>
      <c r="D161" t="s">
        <v>1528</v>
      </c>
      <c r="E161" t="s">
        <v>4067</v>
      </c>
      <c r="F161" s="966">
        <f>+'General Plant'!G47-F162</f>
        <v>22181.809150527879</v>
      </c>
      <c r="G161" s="984">
        <v>101</v>
      </c>
      <c r="H161" t="s">
        <v>4783</v>
      </c>
      <c r="I161"/>
      <c r="J161" t="s">
        <v>4739</v>
      </c>
      <c r="K161" s="33">
        <v>99</v>
      </c>
      <c r="L161" t="s">
        <v>1528</v>
      </c>
      <c r="M161" t="s">
        <v>4067</v>
      </c>
      <c r="N161" s="445"/>
      <c r="O161" s="984">
        <v>122</v>
      </c>
      <c r="P161" t="s">
        <v>4784</v>
      </c>
    </row>
    <row r="162" spans="1:16" s="763" customFormat="1">
      <c r="B162" t="s">
        <v>4739</v>
      </c>
      <c r="C162" s="976">
        <v>100</v>
      </c>
      <c r="D162" s="763" t="s">
        <v>4866</v>
      </c>
      <c r="E162" s="763" t="s">
        <v>4067</v>
      </c>
      <c r="F162" s="966">
        <f>+'General Plant'!I7</f>
        <v>152.46288000000001</v>
      </c>
      <c r="G162" s="984">
        <v>101</v>
      </c>
      <c r="H162" s="763" t="s">
        <v>4783</v>
      </c>
      <c r="J162" s="763" t="s">
        <v>4739</v>
      </c>
      <c r="K162" s="976">
        <v>100</v>
      </c>
      <c r="L162" s="763" t="s">
        <v>4866</v>
      </c>
      <c r="M162" s="763" t="s">
        <v>4067</v>
      </c>
      <c r="N162" s="445"/>
      <c r="O162" s="984">
        <v>121</v>
      </c>
      <c r="P162" s="763" t="s">
        <v>4816</v>
      </c>
    </row>
    <row r="163" spans="1:16">
      <c r="B163" t="s">
        <v>4739</v>
      </c>
      <c r="C163" s="33">
        <v>101</v>
      </c>
      <c r="D163" t="s">
        <v>1528</v>
      </c>
      <c r="E163" t="s">
        <v>2067</v>
      </c>
      <c r="F163" s="966">
        <f>+'General Plant'!G48</f>
        <v>5896.3829723099661</v>
      </c>
      <c r="G163" s="984">
        <v>201</v>
      </c>
      <c r="H163" t="s">
        <v>4790</v>
      </c>
      <c r="I163"/>
      <c r="J163" t="s">
        <v>4739</v>
      </c>
      <c r="K163" s="33">
        <v>101</v>
      </c>
      <c r="L163" t="s">
        <v>1528</v>
      </c>
      <c r="M163" t="s">
        <v>2067</v>
      </c>
      <c r="N163" s="445"/>
      <c r="O163" s="984">
        <v>201</v>
      </c>
      <c r="P163" t="s">
        <v>4790</v>
      </c>
    </row>
    <row r="164" spans="1:16">
      <c r="B164" t="s">
        <v>4739</v>
      </c>
      <c r="C164" s="33">
        <v>102</v>
      </c>
      <c r="D164" t="s">
        <v>1529</v>
      </c>
      <c r="E164" t="s">
        <v>4067</v>
      </c>
      <c r="F164" s="966">
        <f>+'General Plant'!G49</f>
        <v>946.39130178123651</v>
      </c>
      <c r="G164" s="984">
        <v>117</v>
      </c>
      <c r="H164" t="s">
        <v>4785</v>
      </c>
      <c r="I164"/>
      <c r="J164" t="s">
        <v>4739</v>
      </c>
      <c r="K164" s="33">
        <v>102</v>
      </c>
      <c r="L164" t="s">
        <v>1529</v>
      </c>
      <c r="M164" t="s">
        <v>4067</v>
      </c>
      <c r="N164" s="445"/>
      <c r="O164" s="984">
        <v>117</v>
      </c>
      <c r="P164" t="s">
        <v>4785</v>
      </c>
    </row>
    <row r="165" spans="1:16">
      <c r="B165" t="s">
        <v>4739</v>
      </c>
      <c r="C165" s="33">
        <v>103</v>
      </c>
      <c r="D165" t="s">
        <v>1953</v>
      </c>
      <c r="E165" t="s">
        <v>4067</v>
      </c>
      <c r="F165" s="966">
        <f>+'General Plant'!G50</f>
        <v>2660.8104217250198</v>
      </c>
      <c r="G165" s="984">
        <v>117</v>
      </c>
      <c r="H165" t="s">
        <v>4785</v>
      </c>
      <c r="I165"/>
      <c r="J165" t="s">
        <v>4739</v>
      </c>
      <c r="K165" s="33">
        <v>103</v>
      </c>
      <c r="L165" t="s">
        <v>1953</v>
      </c>
      <c r="M165" t="s">
        <v>4067</v>
      </c>
      <c r="N165" s="445"/>
      <c r="O165" s="984">
        <v>117</v>
      </c>
      <c r="P165" t="s">
        <v>4785</v>
      </c>
    </row>
    <row r="166" spans="1:16">
      <c r="B166" t="s">
        <v>4739</v>
      </c>
      <c r="C166" s="33">
        <v>104</v>
      </c>
      <c r="D166" t="s">
        <v>2040</v>
      </c>
      <c r="E166" t="s">
        <v>4067</v>
      </c>
      <c r="F166" s="966">
        <f>+'General Plant'!G51</f>
        <v>13067.149147277894</v>
      </c>
      <c r="G166" s="984">
        <v>105</v>
      </c>
      <c r="H166" t="s">
        <v>4786</v>
      </c>
      <c r="I166"/>
      <c r="J166" t="s">
        <v>4739</v>
      </c>
      <c r="K166" s="33">
        <v>104</v>
      </c>
      <c r="L166" t="s">
        <v>2040</v>
      </c>
      <c r="M166" t="s">
        <v>4067</v>
      </c>
      <c r="N166" s="445"/>
      <c r="O166" s="984">
        <v>105</v>
      </c>
      <c r="P166" t="s">
        <v>4786</v>
      </c>
    </row>
    <row r="167" spans="1:16">
      <c r="B167" t="s">
        <v>4739</v>
      </c>
      <c r="C167" s="33">
        <v>105</v>
      </c>
      <c r="D167" t="s">
        <v>4787</v>
      </c>
      <c r="E167" t="s">
        <v>4067</v>
      </c>
      <c r="F167" s="966">
        <f>+'General Plant'!G52</f>
        <v>2254.1795338544694</v>
      </c>
      <c r="G167" s="984">
        <v>106</v>
      </c>
      <c r="H167" t="s">
        <v>4788</v>
      </c>
      <c r="I167"/>
      <c r="J167" t="s">
        <v>4739</v>
      </c>
      <c r="K167" s="33">
        <v>105</v>
      </c>
      <c r="L167" t="s">
        <v>4787</v>
      </c>
      <c r="M167" t="s">
        <v>4067</v>
      </c>
      <c r="N167" s="445"/>
      <c r="O167" s="984">
        <v>106</v>
      </c>
      <c r="P167" t="s">
        <v>4788</v>
      </c>
    </row>
    <row r="168" spans="1:16">
      <c r="B168" t="s">
        <v>4739</v>
      </c>
      <c r="C168" s="33">
        <v>106</v>
      </c>
      <c r="D168" t="s">
        <v>1530</v>
      </c>
      <c r="E168" t="s">
        <v>4071</v>
      </c>
      <c r="F168" s="966">
        <f>+'General Plant'!G53</f>
        <v>8376.1851629022913</v>
      </c>
      <c r="G168" s="984">
        <v>907</v>
      </c>
      <c r="H168" t="s">
        <v>4794</v>
      </c>
      <c r="I168"/>
      <c r="J168" t="s">
        <v>4739</v>
      </c>
      <c r="K168" s="33">
        <v>106</v>
      </c>
      <c r="L168" t="s">
        <v>1530</v>
      </c>
      <c r="M168" t="s">
        <v>4071</v>
      </c>
      <c r="N168" s="445"/>
      <c r="O168" s="984">
        <v>907</v>
      </c>
      <c r="P168" t="s">
        <v>4794</v>
      </c>
    </row>
    <row r="169" spans="1:16">
      <c r="B169" s="297" t="s">
        <v>4739</v>
      </c>
      <c r="C169" s="529">
        <v>107</v>
      </c>
      <c r="D169" s="297" t="s">
        <v>2338</v>
      </c>
      <c r="E169" s="297" t="s">
        <v>4071</v>
      </c>
      <c r="F169" s="970">
        <f>+'General Plant'!G54</f>
        <v>11345.738459621245</v>
      </c>
      <c r="G169" s="980">
        <v>412</v>
      </c>
      <c r="H169" s="297" t="s">
        <v>4795</v>
      </c>
      <c r="I169" s="297"/>
      <c r="J169" s="297" t="s">
        <v>4739</v>
      </c>
      <c r="K169" s="529">
        <v>107</v>
      </c>
      <c r="L169" s="297" t="s">
        <v>2338</v>
      </c>
      <c r="M169" s="297" t="s">
        <v>4071</v>
      </c>
      <c r="N169" s="970"/>
      <c r="O169" s="980">
        <v>412</v>
      </c>
      <c r="P169" s="297" t="s">
        <v>4795</v>
      </c>
    </row>
    <row r="170" spans="1:16">
      <c r="B170" t="s">
        <v>2477</v>
      </c>
      <c r="I170"/>
      <c r="J170" t="s">
        <v>2477</v>
      </c>
    </row>
    <row r="171" spans="1:16">
      <c r="I171"/>
    </row>
    <row r="172" spans="1:16">
      <c r="I172"/>
    </row>
    <row r="173" spans="1:16">
      <c r="I173"/>
    </row>
    <row r="174" spans="1:16">
      <c r="F174" s="973" t="s">
        <v>2173</v>
      </c>
      <c r="H174" s="288" t="s">
        <v>4867</v>
      </c>
      <c r="I174"/>
      <c r="N174" s="973" t="s">
        <v>2173</v>
      </c>
      <c r="P174" s="288" t="s">
        <v>4867</v>
      </c>
    </row>
    <row r="175" spans="1:16">
      <c r="F175" s="645" t="s">
        <v>4768</v>
      </c>
      <c r="I175"/>
      <c r="N175" s="645" t="s">
        <v>4769</v>
      </c>
    </row>
    <row r="176" spans="1:16">
      <c r="F176" s="645" t="s">
        <v>9480</v>
      </c>
      <c r="I176"/>
      <c r="N176" s="645" t="s">
        <v>9480</v>
      </c>
    </row>
    <row r="177" spans="1:17">
      <c r="F177" s="645" t="s">
        <v>4770</v>
      </c>
      <c r="I177"/>
      <c r="N177" s="645" t="s">
        <v>4770</v>
      </c>
    </row>
    <row r="178" spans="1:17">
      <c r="F178" s="974" t="s">
        <v>4771</v>
      </c>
      <c r="N178" s="974" t="s">
        <v>4771</v>
      </c>
    </row>
    <row r="179" spans="1:17">
      <c r="I179"/>
    </row>
    <row r="180" spans="1:17">
      <c r="F180" s="645" t="s">
        <v>4772</v>
      </c>
      <c r="I180"/>
      <c r="N180" s="645" t="s">
        <v>4772</v>
      </c>
    </row>
    <row r="181" spans="1:17">
      <c r="F181" s="975"/>
      <c r="I181"/>
      <c r="N181" s="975"/>
    </row>
    <row r="182" spans="1:17">
      <c r="I182"/>
      <c r="N182" s="975"/>
    </row>
    <row r="183" spans="1:17">
      <c r="C183" s="33" t="s">
        <v>2430</v>
      </c>
      <c r="D183" t="s">
        <v>2430</v>
      </c>
      <c r="I183"/>
      <c r="K183" s="33" t="s">
        <v>2182</v>
      </c>
      <c r="L183" s="33" t="s">
        <v>2182</v>
      </c>
    </row>
    <row r="184" spans="1:17">
      <c r="B184" s="297" t="s">
        <v>4868</v>
      </c>
      <c r="C184" s="529" t="s">
        <v>4869</v>
      </c>
      <c r="D184" s="297" t="s">
        <v>2437</v>
      </c>
      <c r="E184" s="297"/>
      <c r="F184" s="506" t="s">
        <v>2963</v>
      </c>
      <c r="G184" s="989"/>
      <c r="H184" s="297"/>
      <c r="I184" s="297"/>
      <c r="J184" s="297" t="s">
        <v>4683</v>
      </c>
      <c r="K184" s="529" t="s">
        <v>3216</v>
      </c>
      <c r="L184" s="529" t="s">
        <v>2052</v>
      </c>
      <c r="M184" s="297"/>
      <c r="N184" s="977" t="s">
        <v>2185</v>
      </c>
      <c r="O184" s="989"/>
      <c r="P184" s="297" t="s">
        <v>4774</v>
      </c>
    </row>
    <row r="185" spans="1:17">
      <c r="I185"/>
    </row>
    <row r="186" spans="1:17">
      <c r="A186" t="s">
        <v>4870</v>
      </c>
      <c r="B186" t="s">
        <v>4871</v>
      </c>
      <c r="C186" s="33">
        <v>2</v>
      </c>
      <c r="D186" t="s">
        <v>1528</v>
      </c>
      <c r="E186" t="s">
        <v>4067</v>
      </c>
      <c r="F186" s="966">
        <f>+'Taxes Other'!F27-F187</f>
        <v>5463.9974238223331</v>
      </c>
      <c r="G186" s="984">
        <v>101</v>
      </c>
      <c r="H186" t="s">
        <v>4783</v>
      </c>
      <c r="I186"/>
      <c r="J186" t="s">
        <v>4871</v>
      </c>
      <c r="K186" s="33">
        <v>2</v>
      </c>
      <c r="L186" t="s">
        <v>1528</v>
      </c>
      <c r="M186" t="s">
        <v>4067</v>
      </c>
      <c r="N186" s="445"/>
      <c r="O186" s="984">
        <v>122</v>
      </c>
      <c r="P186" t="s">
        <v>4784</v>
      </c>
    </row>
    <row r="187" spans="1:17" s="765" customFormat="1">
      <c r="B187" t="s">
        <v>4871</v>
      </c>
      <c r="C187" s="33">
        <v>3</v>
      </c>
      <c r="D187" s="96" t="s">
        <v>4872</v>
      </c>
      <c r="E187" t="s">
        <v>4067</v>
      </c>
      <c r="F187" s="966">
        <f>+'Taxes Other'!D5/1000</f>
        <v>0</v>
      </c>
      <c r="G187" s="984">
        <v>101</v>
      </c>
      <c r="H187" t="s">
        <v>4783</v>
      </c>
      <c r="I187"/>
      <c r="J187" t="s">
        <v>4871</v>
      </c>
      <c r="K187" s="33">
        <v>3</v>
      </c>
      <c r="L187" s="96" t="s">
        <v>4872</v>
      </c>
      <c r="M187" t="s">
        <v>4067</v>
      </c>
      <c r="N187" s="445"/>
      <c r="O187" s="984">
        <v>121</v>
      </c>
      <c r="P187" t="s">
        <v>4816</v>
      </c>
      <c r="Q187"/>
    </row>
    <row r="188" spans="1:17">
      <c r="B188" t="s">
        <v>4871</v>
      </c>
      <c r="C188" s="33">
        <v>4</v>
      </c>
      <c r="D188" t="s">
        <v>1528</v>
      </c>
      <c r="E188" t="s">
        <v>2067</v>
      </c>
      <c r="F188" s="966">
        <f>+'Taxes Other'!F28</f>
        <v>1442.5283853681995</v>
      </c>
      <c r="G188" s="984">
        <v>201</v>
      </c>
      <c r="H188" t="s">
        <v>4790</v>
      </c>
      <c r="I188"/>
      <c r="J188" t="s">
        <v>4871</v>
      </c>
      <c r="K188" s="33">
        <v>4</v>
      </c>
      <c r="L188" t="s">
        <v>1528</v>
      </c>
      <c r="M188" t="s">
        <v>2067</v>
      </c>
      <c r="N188" s="445"/>
      <c r="O188" s="984">
        <v>201</v>
      </c>
      <c r="P188" t="s">
        <v>4790</v>
      </c>
    </row>
    <row r="189" spans="1:17">
      <c r="B189" t="s">
        <v>4871</v>
      </c>
      <c r="C189" s="33">
        <v>5</v>
      </c>
      <c r="D189" t="s">
        <v>1529</v>
      </c>
      <c r="E189" t="s">
        <v>4067</v>
      </c>
      <c r="F189" s="966">
        <f>+'Taxes Other'!F29</f>
        <v>231.53114763679716</v>
      </c>
      <c r="G189" s="984">
        <v>117</v>
      </c>
      <c r="H189" t="s">
        <v>4785</v>
      </c>
      <c r="I189"/>
      <c r="J189" t="s">
        <v>4871</v>
      </c>
      <c r="K189" s="33">
        <v>5</v>
      </c>
      <c r="L189" t="s">
        <v>1529</v>
      </c>
      <c r="M189" t="s">
        <v>4067</v>
      </c>
      <c r="N189" s="445"/>
      <c r="O189" s="984">
        <v>117</v>
      </c>
      <c r="P189" t="s">
        <v>4785</v>
      </c>
    </row>
    <row r="190" spans="1:17">
      <c r="B190" t="s">
        <v>4871</v>
      </c>
      <c r="C190" s="33">
        <v>6</v>
      </c>
      <c r="D190" t="s">
        <v>1953</v>
      </c>
      <c r="E190" t="s">
        <v>4067</v>
      </c>
      <c r="F190" s="966">
        <f>+'Taxes Other'!F30</f>
        <v>650.95747332676751</v>
      </c>
      <c r="G190" s="984">
        <v>117</v>
      </c>
      <c r="H190" t="s">
        <v>4785</v>
      </c>
      <c r="I190"/>
      <c r="J190" t="s">
        <v>4871</v>
      </c>
      <c r="K190" s="33">
        <v>6</v>
      </c>
      <c r="L190" t="s">
        <v>1953</v>
      </c>
      <c r="M190" t="s">
        <v>4067</v>
      </c>
      <c r="N190" s="445"/>
      <c r="O190" s="984">
        <v>117</v>
      </c>
      <c r="P190" t="s">
        <v>4785</v>
      </c>
    </row>
    <row r="191" spans="1:17">
      <c r="B191" t="s">
        <v>4871</v>
      </c>
      <c r="C191" s="33">
        <v>7</v>
      </c>
      <c r="D191" t="s">
        <v>2040</v>
      </c>
      <c r="E191" t="s">
        <v>4067</v>
      </c>
      <c r="F191" s="966">
        <f>+'Taxes Other'!F31</f>
        <v>3196.8299293496639</v>
      </c>
      <c r="G191" s="984">
        <v>105</v>
      </c>
      <c r="H191" t="s">
        <v>4786</v>
      </c>
      <c r="I191"/>
      <c r="J191" t="s">
        <v>4871</v>
      </c>
      <c r="K191" s="33">
        <v>7</v>
      </c>
      <c r="L191" t="s">
        <v>2040</v>
      </c>
      <c r="M191" t="s">
        <v>4067</v>
      </c>
      <c r="N191" s="445"/>
      <c r="O191" s="984">
        <v>105</v>
      </c>
      <c r="P191" t="s">
        <v>4786</v>
      </c>
    </row>
    <row r="192" spans="1:17">
      <c r="B192" t="s">
        <v>4871</v>
      </c>
      <c r="C192" s="33">
        <v>8</v>
      </c>
      <c r="D192" t="s">
        <v>4787</v>
      </c>
      <c r="E192" t="s">
        <v>4067</v>
      </c>
      <c r="F192" s="966">
        <f>+'Taxes Other'!F32</f>
        <v>551.47672370867667</v>
      </c>
      <c r="G192" s="984">
        <v>106</v>
      </c>
      <c r="H192" t="s">
        <v>4788</v>
      </c>
      <c r="I192"/>
      <c r="J192" t="s">
        <v>4871</v>
      </c>
      <c r="K192" s="33">
        <v>8</v>
      </c>
      <c r="L192" t="s">
        <v>4787</v>
      </c>
      <c r="M192" t="s">
        <v>4067</v>
      </c>
      <c r="N192" s="445"/>
      <c r="O192" s="984">
        <v>106</v>
      </c>
      <c r="P192" t="s">
        <v>4788</v>
      </c>
    </row>
    <row r="193" spans="1:16">
      <c r="B193" t="s">
        <v>4871</v>
      </c>
      <c r="C193" s="33">
        <v>9</v>
      </c>
      <c r="D193" t="s">
        <v>1530</v>
      </c>
      <c r="E193" t="s">
        <v>4071</v>
      </c>
      <c r="F193" s="966">
        <f>+'Taxes Other'!F33</f>
        <v>2049.2028613692514</v>
      </c>
      <c r="G193" s="984">
        <v>907</v>
      </c>
      <c r="H193" t="s">
        <v>4794</v>
      </c>
      <c r="I193"/>
      <c r="J193" t="s">
        <v>4871</v>
      </c>
      <c r="K193" s="33">
        <v>9</v>
      </c>
      <c r="L193" t="s">
        <v>1530</v>
      </c>
      <c r="M193" t="s">
        <v>4071</v>
      </c>
      <c r="N193" s="445"/>
      <c r="O193" s="984">
        <v>907</v>
      </c>
      <c r="P193" t="s">
        <v>4794</v>
      </c>
    </row>
    <row r="194" spans="1:16">
      <c r="B194" s="297" t="s">
        <v>4871</v>
      </c>
      <c r="C194" s="529">
        <v>10</v>
      </c>
      <c r="D194" s="297" t="s">
        <v>2338</v>
      </c>
      <c r="E194" s="297" t="s">
        <v>4071</v>
      </c>
      <c r="F194" s="970">
        <f>+'Taxes Other'!F34</f>
        <v>2775.6931423597071</v>
      </c>
      <c r="G194" s="980">
        <v>412</v>
      </c>
      <c r="H194" s="297" t="s">
        <v>4795</v>
      </c>
      <c r="I194" s="297"/>
      <c r="J194" s="297" t="s">
        <v>4871</v>
      </c>
      <c r="K194" s="529">
        <v>10</v>
      </c>
      <c r="L194" s="297" t="s">
        <v>2338</v>
      </c>
      <c r="M194" s="297" t="s">
        <v>4071</v>
      </c>
      <c r="N194" s="970"/>
      <c r="O194" s="980">
        <v>412</v>
      </c>
      <c r="P194" s="297" t="s">
        <v>4795</v>
      </c>
    </row>
    <row r="195" spans="1:16">
      <c r="A195" t="s">
        <v>4873</v>
      </c>
      <c r="B195" t="s">
        <v>4871</v>
      </c>
      <c r="C195" s="33">
        <v>14</v>
      </c>
      <c r="D195" t="s">
        <v>1528</v>
      </c>
      <c r="E195" t="s">
        <v>4067</v>
      </c>
      <c r="F195" s="966">
        <f>+'Taxes Other'!F41</f>
        <v>45178.813847395977</v>
      </c>
      <c r="G195" s="984">
        <v>101</v>
      </c>
      <c r="H195" t="s">
        <v>4783</v>
      </c>
      <c r="I195"/>
      <c r="J195" t="s">
        <v>4871</v>
      </c>
      <c r="K195" s="33">
        <v>14</v>
      </c>
      <c r="L195" t="s">
        <v>1528</v>
      </c>
      <c r="M195" t="s">
        <v>4067</v>
      </c>
      <c r="N195" s="445"/>
      <c r="O195" s="984">
        <v>122</v>
      </c>
      <c r="P195" t="s">
        <v>4784</v>
      </c>
    </row>
    <row r="196" spans="1:16">
      <c r="B196" t="s">
        <v>4871</v>
      </c>
      <c r="C196" s="33">
        <v>15</v>
      </c>
      <c r="D196" t="s">
        <v>1528</v>
      </c>
      <c r="E196" t="s">
        <v>2067</v>
      </c>
      <c r="F196" s="966">
        <f>+'Taxes Other'!F42</f>
        <v>4255.2539766352529</v>
      </c>
      <c r="G196" s="984">
        <v>201</v>
      </c>
      <c r="H196" t="s">
        <v>4790</v>
      </c>
      <c r="I196"/>
      <c r="J196" t="s">
        <v>4871</v>
      </c>
      <c r="K196" s="33">
        <v>15</v>
      </c>
      <c r="L196" t="s">
        <v>1528</v>
      </c>
      <c r="M196" t="s">
        <v>2067</v>
      </c>
      <c r="N196" s="445"/>
      <c r="O196" s="984">
        <v>201</v>
      </c>
      <c r="P196" t="s">
        <v>4790</v>
      </c>
    </row>
    <row r="197" spans="1:16">
      <c r="B197" t="s">
        <v>4871</v>
      </c>
      <c r="C197" s="33">
        <v>16</v>
      </c>
      <c r="D197" t="s">
        <v>1529</v>
      </c>
      <c r="E197" t="s">
        <v>4067</v>
      </c>
      <c r="F197" s="966">
        <f>+'Taxes Other'!F43</f>
        <v>3566.862819868461</v>
      </c>
      <c r="G197" s="984">
        <v>117</v>
      </c>
      <c r="H197" t="s">
        <v>4785</v>
      </c>
      <c r="I197"/>
      <c r="J197" t="s">
        <v>4871</v>
      </c>
      <c r="K197" s="33">
        <v>16</v>
      </c>
      <c r="L197" t="s">
        <v>1529</v>
      </c>
      <c r="M197" t="s">
        <v>4067</v>
      </c>
      <c r="N197" s="445"/>
      <c r="O197" s="984">
        <v>117</v>
      </c>
      <c r="P197" t="s">
        <v>4785</v>
      </c>
    </row>
    <row r="198" spans="1:16">
      <c r="B198" t="s">
        <v>4871</v>
      </c>
      <c r="C198" s="33">
        <v>17</v>
      </c>
      <c r="D198" t="s">
        <v>1953</v>
      </c>
      <c r="E198" t="s">
        <v>4067</v>
      </c>
      <c r="F198" s="966">
        <f>+'Taxes Other'!F44</f>
        <v>3719.0599808262937</v>
      </c>
      <c r="G198" s="984">
        <v>117</v>
      </c>
      <c r="H198" t="s">
        <v>4785</v>
      </c>
      <c r="I198"/>
      <c r="J198" t="s">
        <v>4871</v>
      </c>
      <c r="K198" s="33">
        <v>17</v>
      </c>
      <c r="L198" t="s">
        <v>1953</v>
      </c>
      <c r="M198" t="s">
        <v>4067</v>
      </c>
      <c r="N198" s="445"/>
      <c r="O198" s="984">
        <v>117</v>
      </c>
      <c r="P198" t="s">
        <v>4785</v>
      </c>
    </row>
    <row r="199" spans="1:16">
      <c r="B199" t="s">
        <v>4871</v>
      </c>
      <c r="C199" s="33">
        <v>18</v>
      </c>
      <c r="D199" t="s">
        <v>2040</v>
      </c>
      <c r="E199" t="s">
        <v>4067</v>
      </c>
      <c r="F199" s="966">
        <f>+'Taxes Other'!F45</f>
        <v>13501.612617971328</v>
      </c>
      <c r="G199" s="984">
        <v>105</v>
      </c>
      <c r="H199" t="s">
        <v>4786</v>
      </c>
      <c r="I199"/>
      <c r="J199" t="s">
        <v>4871</v>
      </c>
      <c r="K199" s="33">
        <v>18</v>
      </c>
      <c r="L199" t="s">
        <v>2040</v>
      </c>
      <c r="M199" t="s">
        <v>4067</v>
      </c>
      <c r="N199" s="445"/>
      <c r="O199" s="984">
        <v>105</v>
      </c>
      <c r="P199" t="s">
        <v>4786</v>
      </c>
    </row>
    <row r="200" spans="1:16">
      <c r="B200" t="s">
        <v>4871</v>
      </c>
      <c r="C200" s="33">
        <v>19</v>
      </c>
      <c r="D200" t="s">
        <v>4787</v>
      </c>
      <c r="E200" t="s">
        <v>4067</v>
      </c>
      <c r="F200" s="966">
        <f>+'Taxes Other'!F46</f>
        <v>6720.3736446159619</v>
      </c>
      <c r="G200" s="984">
        <v>106</v>
      </c>
      <c r="H200" t="s">
        <v>4788</v>
      </c>
      <c r="I200"/>
      <c r="J200" t="s">
        <v>4871</v>
      </c>
      <c r="K200" s="33">
        <v>19</v>
      </c>
      <c r="L200" t="s">
        <v>4787</v>
      </c>
      <c r="M200" t="s">
        <v>4067</v>
      </c>
      <c r="N200" s="445"/>
      <c r="O200" s="984">
        <v>106</v>
      </c>
      <c r="P200" t="s">
        <v>4788</v>
      </c>
    </row>
    <row r="201" spans="1:16">
      <c r="B201" t="s">
        <v>4871</v>
      </c>
      <c r="C201" s="33">
        <v>20</v>
      </c>
      <c r="D201" t="s">
        <v>1530</v>
      </c>
      <c r="E201" t="s">
        <v>4071</v>
      </c>
      <c r="F201" s="966">
        <f>+'Taxes Other'!F47</f>
        <v>6321.6488663677383</v>
      </c>
      <c r="G201" s="984">
        <v>907</v>
      </c>
      <c r="H201" t="s">
        <v>4794</v>
      </c>
      <c r="I201"/>
      <c r="J201" t="s">
        <v>4871</v>
      </c>
      <c r="K201" s="33">
        <v>20</v>
      </c>
      <c r="L201" t="s">
        <v>1530</v>
      </c>
      <c r="M201" t="s">
        <v>4071</v>
      </c>
      <c r="N201" s="445"/>
      <c r="O201" s="984">
        <v>907</v>
      </c>
      <c r="P201" t="s">
        <v>4794</v>
      </c>
    </row>
    <row r="202" spans="1:16">
      <c r="B202" s="297" t="s">
        <v>4871</v>
      </c>
      <c r="C202" s="529">
        <v>21</v>
      </c>
      <c r="D202" s="297" t="s">
        <v>2338</v>
      </c>
      <c r="E202" s="297" t="s">
        <v>4071</v>
      </c>
      <c r="F202" s="970">
        <f>+'Taxes Other'!F48</f>
        <v>1532.8072463189651</v>
      </c>
      <c r="G202" s="980">
        <v>412</v>
      </c>
      <c r="H202" s="297" t="s">
        <v>4795</v>
      </c>
      <c r="I202" s="297"/>
      <c r="J202" s="297" t="s">
        <v>4871</v>
      </c>
      <c r="K202" s="529">
        <v>21</v>
      </c>
      <c r="L202" s="297" t="s">
        <v>2338</v>
      </c>
      <c r="M202" s="297" t="s">
        <v>4071</v>
      </c>
      <c r="N202" s="970"/>
      <c r="O202" s="980">
        <v>412</v>
      </c>
      <c r="P202" s="297" t="s">
        <v>4795</v>
      </c>
    </row>
    <row r="203" spans="1:16">
      <c r="A203" t="s">
        <v>2338</v>
      </c>
      <c r="B203" t="s">
        <v>4871</v>
      </c>
      <c r="C203" s="33">
        <v>26</v>
      </c>
      <c r="D203" t="s">
        <v>1528</v>
      </c>
      <c r="E203" t="s">
        <v>4067</v>
      </c>
      <c r="F203" s="966">
        <f>+'Taxes Other'!F69</f>
        <v>-75.539735384829342</v>
      </c>
      <c r="G203" s="984">
        <v>101</v>
      </c>
      <c r="H203" t="s">
        <v>4783</v>
      </c>
      <c r="I203"/>
      <c r="J203" t="s">
        <v>4871</v>
      </c>
      <c r="K203" s="33">
        <v>26</v>
      </c>
      <c r="L203" t="s">
        <v>1528</v>
      </c>
      <c r="M203" t="s">
        <v>4067</v>
      </c>
      <c r="N203" s="445"/>
      <c r="O203" s="984">
        <v>122</v>
      </c>
      <c r="P203" t="s">
        <v>4784</v>
      </c>
    </row>
    <row r="204" spans="1:16">
      <c r="B204" t="s">
        <v>4871</v>
      </c>
      <c r="C204" s="33">
        <v>27</v>
      </c>
      <c r="D204" t="s">
        <v>1528</v>
      </c>
      <c r="E204" t="s">
        <v>2067</v>
      </c>
      <c r="F204" s="966">
        <f>+'Taxes Other'!F70</f>
        <v>-5.6810294570698723</v>
      </c>
      <c r="G204" s="984">
        <v>201</v>
      </c>
      <c r="H204" t="s">
        <v>4790</v>
      </c>
      <c r="I204"/>
      <c r="J204" t="s">
        <v>4871</v>
      </c>
      <c r="K204" s="33">
        <v>27</v>
      </c>
      <c r="L204" t="s">
        <v>1528</v>
      </c>
      <c r="M204" t="s">
        <v>2067</v>
      </c>
      <c r="N204" s="445"/>
      <c r="O204" s="984">
        <v>201</v>
      </c>
      <c r="P204" t="s">
        <v>4790</v>
      </c>
    </row>
    <row r="205" spans="1:16">
      <c r="B205" t="s">
        <v>4871</v>
      </c>
      <c r="C205" s="33">
        <v>28</v>
      </c>
      <c r="D205" t="s">
        <v>1529</v>
      </c>
      <c r="E205" t="s">
        <v>4067</v>
      </c>
      <c r="F205" s="966">
        <f>+'Taxes Other'!F71</f>
        <v>-5.9588556469141762</v>
      </c>
      <c r="G205" s="984">
        <v>117</v>
      </c>
      <c r="H205" t="s">
        <v>4785</v>
      </c>
      <c r="I205"/>
      <c r="J205" t="s">
        <v>4871</v>
      </c>
      <c r="K205" s="33">
        <v>28</v>
      </c>
      <c r="L205" t="s">
        <v>1529</v>
      </c>
      <c r="M205" t="s">
        <v>4067</v>
      </c>
      <c r="N205" s="445"/>
      <c r="O205" s="984">
        <v>117</v>
      </c>
      <c r="P205" t="s">
        <v>4785</v>
      </c>
    </row>
    <row r="206" spans="1:16">
      <c r="B206" t="s">
        <v>4871</v>
      </c>
      <c r="C206" s="33">
        <v>29</v>
      </c>
      <c r="D206" t="s">
        <v>1953</v>
      </c>
      <c r="E206" t="s">
        <v>4067</v>
      </c>
      <c r="F206" s="966">
        <f>+'Taxes Other'!F72</f>
        <v>-6.4685036733525862</v>
      </c>
      <c r="G206" s="984">
        <v>117</v>
      </c>
      <c r="H206" t="s">
        <v>4785</v>
      </c>
      <c r="I206"/>
      <c r="J206" t="s">
        <v>4871</v>
      </c>
      <c r="K206" s="33">
        <v>29</v>
      </c>
      <c r="L206" t="s">
        <v>1953</v>
      </c>
      <c r="M206" t="s">
        <v>4067</v>
      </c>
      <c r="N206" s="445"/>
      <c r="O206" s="984">
        <v>117</v>
      </c>
      <c r="P206" t="s">
        <v>4785</v>
      </c>
    </row>
    <row r="207" spans="1:16">
      <c r="B207" t="s">
        <v>4871</v>
      </c>
      <c r="C207" s="33">
        <v>30</v>
      </c>
      <c r="D207" t="s">
        <v>2040</v>
      </c>
      <c r="E207" t="s">
        <v>4067</v>
      </c>
      <c r="F207" s="966">
        <f>+'Taxes Other'!F73</f>
        <v>-21.077596574183623</v>
      </c>
      <c r="G207" s="984">
        <v>105</v>
      </c>
      <c r="H207" t="s">
        <v>4786</v>
      </c>
      <c r="I207"/>
      <c r="J207" t="s">
        <v>4871</v>
      </c>
      <c r="K207" s="33">
        <v>30</v>
      </c>
      <c r="L207" t="s">
        <v>2040</v>
      </c>
      <c r="M207" t="s">
        <v>4067</v>
      </c>
      <c r="N207" s="445"/>
      <c r="O207" s="984">
        <v>105</v>
      </c>
      <c r="P207" t="s">
        <v>4786</v>
      </c>
    </row>
    <row r="208" spans="1:16">
      <c r="B208" t="s">
        <v>4871</v>
      </c>
      <c r="C208" s="33">
        <v>31</v>
      </c>
      <c r="D208" t="s">
        <v>4787</v>
      </c>
      <c r="E208" t="s">
        <v>4067</v>
      </c>
      <c r="F208" s="966">
        <f>+'Taxes Other'!F74</f>
        <v>-9.2657640190814323</v>
      </c>
      <c r="G208" s="984">
        <v>106</v>
      </c>
      <c r="H208" t="s">
        <v>4788</v>
      </c>
      <c r="I208"/>
      <c r="J208" t="s">
        <v>4871</v>
      </c>
      <c r="K208" s="33">
        <v>31</v>
      </c>
      <c r="L208" t="s">
        <v>4787</v>
      </c>
      <c r="M208" t="s">
        <v>4067</v>
      </c>
      <c r="N208" s="445"/>
      <c r="O208" s="984">
        <v>106</v>
      </c>
      <c r="P208" t="s">
        <v>4788</v>
      </c>
    </row>
    <row r="209" spans="1:16">
      <c r="B209" t="s">
        <v>4871</v>
      </c>
      <c r="C209" s="33">
        <v>32</v>
      </c>
      <c r="D209" t="s">
        <v>1530</v>
      </c>
      <c r="E209" t="s">
        <v>4071</v>
      </c>
      <c r="F209" s="966">
        <f>+'Taxes Other'!F75</f>
        <v>-9.0379992857176283</v>
      </c>
      <c r="G209" s="984">
        <v>907</v>
      </c>
      <c r="H209" t="s">
        <v>4794</v>
      </c>
      <c r="I209"/>
      <c r="J209" t="s">
        <v>4871</v>
      </c>
      <c r="K209" s="33">
        <v>32</v>
      </c>
      <c r="L209" t="s">
        <v>1530</v>
      </c>
      <c r="M209" t="s">
        <v>4071</v>
      </c>
      <c r="N209" s="445"/>
      <c r="O209" s="984">
        <v>907</v>
      </c>
      <c r="P209" t="s">
        <v>4794</v>
      </c>
    </row>
    <row r="210" spans="1:16">
      <c r="B210" s="297" t="s">
        <v>4871</v>
      </c>
      <c r="C210" s="529">
        <v>33</v>
      </c>
      <c r="D210" s="297" t="s">
        <v>2338</v>
      </c>
      <c r="E210" s="297" t="s">
        <v>4071</v>
      </c>
      <c r="F210" s="970">
        <f>+'Taxes Other'!F76</f>
        <v>-2.7612136328512036</v>
      </c>
      <c r="G210" s="980">
        <v>412</v>
      </c>
      <c r="H210" s="297" t="s">
        <v>4795</v>
      </c>
      <c r="I210" s="297"/>
      <c r="J210" s="297" t="s">
        <v>4871</v>
      </c>
      <c r="K210" s="529">
        <v>33</v>
      </c>
      <c r="L210" s="297" t="s">
        <v>2338</v>
      </c>
      <c r="M210" s="297" t="s">
        <v>4071</v>
      </c>
      <c r="N210" s="970"/>
      <c r="O210" s="980">
        <v>412</v>
      </c>
      <c r="P210" s="297" t="s">
        <v>4795</v>
      </c>
    </row>
    <row r="211" spans="1:16">
      <c r="A211" t="s">
        <v>4874</v>
      </c>
      <c r="B211" t="s">
        <v>4871</v>
      </c>
      <c r="C211" s="33">
        <v>47</v>
      </c>
      <c r="D211" t="s">
        <v>1528</v>
      </c>
      <c r="E211" t="s">
        <v>4067</v>
      </c>
      <c r="F211" s="966">
        <f>+'Taxes Other'!F55</f>
        <v>629.49179060332824</v>
      </c>
      <c r="G211" s="984">
        <v>507</v>
      </c>
      <c r="H211" t="s">
        <v>4842</v>
      </c>
      <c r="I211"/>
      <c r="J211" t="s">
        <v>4871</v>
      </c>
      <c r="K211" s="33">
        <v>47</v>
      </c>
      <c r="L211" t="s">
        <v>1528</v>
      </c>
      <c r="M211" t="s">
        <v>4067</v>
      </c>
      <c r="N211" s="445"/>
      <c r="O211" s="984">
        <v>122</v>
      </c>
      <c r="P211" t="s">
        <v>4784</v>
      </c>
    </row>
    <row r="212" spans="1:16">
      <c r="B212" t="s">
        <v>4871</v>
      </c>
      <c r="C212" s="33">
        <v>48</v>
      </c>
      <c r="D212" t="s">
        <v>1528</v>
      </c>
      <c r="E212" t="s">
        <v>2067</v>
      </c>
      <c r="F212" s="966">
        <f>+'Taxes Other'!F56</f>
        <v>47.341460586045002</v>
      </c>
      <c r="G212" s="984">
        <v>507</v>
      </c>
      <c r="H212" t="s">
        <v>4842</v>
      </c>
      <c r="I212"/>
      <c r="J212" t="s">
        <v>4871</v>
      </c>
      <c r="K212" s="33">
        <v>48</v>
      </c>
      <c r="L212" t="s">
        <v>1528</v>
      </c>
      <c r="M212" t="s">
        <v>2067</v>
      </c>
      <c r="N212" s="445"/>
      <c r="O212" s="984">
        <v>204</v>
      </c>
      <c r="P212" t="s">
        <v>4800</v>
      </c>
    </row>
    <row r="213" spans="1:16">
      <c r="B213" t="s">
        <v>4871</v>
      </c>
      <c r="C213" s="33">
        <v>49</v>
      </c>
      <c r="D213" t="s">
        <v>1529</v>
      </c>
      <c r="E213" t="s">
        <v>4067</v>
      </c>
      <c r="F213" s="966">
        <f>+'Taxes Other'!F57</f>
        <v>49.656656751753495</v>
      </c>
      <c r="G213" s="984">
        <v>507</v>
      </c>
      <c r="H213" t="s">
        <v>4842</v>
      </c>
      <c r="I213"/>
      <c r="J213" t="s">
        <v>4871</v>
      </c>
      <c r="K213" s="33">
        <v>49</v>
      </c>
      <c r="L213" t="s">
        <v>1529</v>
      </c>
      <c r="M213" t="s">
        <v>4067</v>
      </c>
      <c r="N213" s="445"/>
      <c r="O213" s="984">
        <v>117</v>
      </c>
      <c r="P213" t="s">
        <v>4785</v>
      </c>
    </row>
    <row r="214" spans="1:16">
      <c r="B214" t="s">
        <v>4871</v>
      </c>
      <c r="C214" s="33">
        <v>50</v>
      </c>
      <c r="D214" t="s">
        <v>1953</v>
      </c>
      <c r="E214" t="s">
        <v>4067</v>
      </c>
      <c r="F214" s="966">
        <f>+'Taxes Other'!F58</f>
        <v>53.903683129404769</v>
      </c>
      <c r="G214" s="984">
        <v>507</v>
      </c>
      <c r="H214" t="s">
        <v>4842</v>
      </c>
      <c r="I214"/>
      <c r="J214" t="s">
        <v>4871</v>
      </c>
      <c r="K214" s="33">
        <v>50</v>
      </c>
      <c r="L214" t="s">
        <v>1953</v>
      </c>
      <c r="M214" t="s">
        <v>4067</v>
      </c>
      <c r="N214" s="445"/>
      <c r="O214" s="984">
        <v>117</v>
      </c>
      <c r="P214" t="s">
        <v>4785</v>
      </c>
    </row>
    <row r="215" spans="1:16">
      <c r="B215" t="s">
        <v>4871</v>
      </c>
      <c r="C215" s="33">
        <v>51</v>
      </c>
      <c r="D215" t="s">
        <v>2040</v>
      </c>
      <c r="E215" t="s">
        <v>4067</v>
      </c>
      <c r="F215" s="966">
        <f>+'Taxes Other'!F59</f>
        <v>175.64496276700058</v>
      </c>
      <c r="G215" s="984">
        <v>507</v>
      </c>
      <c r="H215" t="s">
        <v>4842</v>
      </c>
      <c r="I215"/>
      <c r="J215" t="s">
        <v>4871</v>
      </c>
      <c r="K215" s="33">
        <v>51</v>
      </c>
      <c r="L215" t="s">
        <v>2040</v>
      </c>
      <c r="M215" t="s">
        <v>4067</v>
      </c>
      <c r="N215" s="445"/>
      <c r="O215" s="984">
        <v>105</v>
      </c>
      <c r="P215" t="s">
        <v>4786</v>
      </c>
    </row>
    <row r="216" spans="1:16">
      <c r="B216" t="s">
        <v>4871</v>
      </c>
      <c r="C216" s="33">
        <v>52</v>
      </c>
      <c r="D216" t="s">
        <v>4787</v>
      </c>
      <c r="E216" t="s">
        <v>4067</v>
      </c>
      <c r="F216" s="966">
        <f>+'Taxes Other'!F60</f>
        <v>77.21396367044791</v>
      </c>
      <c r="G216" s="984">
        <v>507</v>
      </c>
      <c r="H216" t="s">
        <v>4842</v>
      </c>
      <c r="I216"/>
      <c r="J216" t="s">
        <v>4871</v>
      </c>
      <c r="K216" s="33">
        <v>52</v>
      </c>
      <c r="L216" t="s">
        <v>4787</v>
      </c>
      <c r="M216" t="s">
        <v>4067</v>
      </c>
      <c r="N216" s="445"/>
      <c r="O216" s="984">
        <v>106</v>
      </c>
      <c r="P216" t="s">
        <v>4788</v>
      </c>
    </row>
    <row r="217" spans="1:16">
      <c r="B217" t="s">
        <v>4871</v>
      </c>
      <c r="C217" s="33">
        <v>53</v>
      </c>
      <c r="D217" t="s">
        <v>1530</v>
      </c>
      <c r="E217" t="s">
        <v>4071</v>
      </c>
      <c r="F217" s="966">
        <f>+'Taxes Other'!F61</f>
        <v>75.315942329612454</v>
      </c>
      <c r="G217" s="984">
        <v>507</v>
      </c>
      <c r="H217" t="s">
        <v>4842</v>
      </c>
      <c r="I217"/>
      <c r="J217" t="s">
        <v>4871</v>
      </c>
      <c r="K217" s="33">
        <v>53</v>
      </c>
      <c r="L217" t="s">
        <v>1530</v>
      </c>
      <c r="M217" t="s">
        <v>4071</v>
      </c>
      <c r="N217" s="445"/>
      <c r="O217" s="984">
        <v>907</v>
      </c>
      <c r="P217" t="s">
        <v>4794</v>
      </c>
    </row>
    <row r="218" spans="1:16">
      <c r="B218" s="297" t="s">
        <v>4871</v>
      </c>
      <c r="C218" s="529">
        <v>54</v>
      </c>
      <c r="D218" s="297" t="s">
        <v>2338</v>
      </c>
      <c r="E218" s="297" t="s">
        <v>4071</v>
      </c>
      <c r="F218" s="970">
        <f>+'Taxes Other'!F62</f>
        <v>23.009894132233089</v>
      </c>
      <c r="G218" s="980">
        <v>507</v>
      </c>
      <c r="H218" s="297" t="s">
        <v>4842</v>
      </c>
      <c r="I218" s="297"/>
      <c r="J218" s="297" t="s">
        <v>4871</v>
      </c>
      <c r="K218" s="529">
        <v>54</v>
      </c>
      <c r="L218" s="297" t="s">
        <v>2338</v>
      </c>
      <c r="M218" s="297" t="s">
        <v>4071</v>
      </c>
      <c r="N218" s="970"/>
      <c r="O218" s="980">
        <v>412</v>
      </c>
      <c r="P218" s="297" t="s">
        <v>4795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973" t="s">
        <v>2173</v>
      </c>
      <c r="H223" s="288" t="s">
        <v>4875</v>
      </c>
      <c r="I223"/>
      <c r="N223" s="973" t="s">
        <v>2173</v>
      </c>
      <c r="P223" s="288" t="s">
        <v>4875</v>
      </c>
    </row>
    <row r="224" spans="1:16">
      <c r="F224" s="645" t="s">
        <v>4768</v>
      </c>
      <c r="I224"/>
      <c r="N224" s="645" t="s">
        <v>4769</v>
      </c>
    </row>
    <row r="225" spans="1:16">
      <c r="F225" s="645" t="s">
        <v>9480</v>
      </c>
      <c r="I225"/>
      <c r="N225" s="645" t="s">
        <v>9480</v>
      </c>
    </row>
    <row r="226" spans="1:16">
      <c r="F226" s="645" t="s">
        <v>4770</v>
      </c>
      <c r="I226"/>
      <c r="N226" s="645" t="s">
        <v>4770</v>
      </c>
    </row>
    <row r="227" spans="1:16">
      <c r="F227" s="974" t="s">
        <v>4771</v>
      </c>
      <c r="N227" s="974" t="s">
        <v>4771</v>
      </c>
    </row>
    <row r="228" spans="1:16">
      <c r="I228"/>
    </row>
    <row r="229" spans="1:16">
      <c r="F229" s="645" t="s">
        <v>4772</v>
      </c>
      <c r="I229"/>
      <c r="N229" s="645" t="s">
        <v>4772</v>
      </c>
    </row>
    <row r="230" spans="1:16">
      <c r="F230" s="975"/>
      <c r="I230"/>
      <c r="N230" s="975"/>
    </row>
    <row r="231" spans="1:16">
      <c r="I231"/>
      <c r="N231" s="975"/>
    </row>
    <row r="232" spans="1:16">
      <c r="C232" s="33" t="s">
        <v>2430</v>
      </c>
      <c r="D232" t="s">
        <v>2430</v>
      </c>
      <c r="I232"/>
      <c r="K232" s="33" t="s">
        <v>2182</v>
      </c>
      <c r="L232" s="33" t="s">
        <v>2182</v>
      </c>
    </row>
    <row r="233" spans="1:16">
      <c r="B233" s="297" t="s">
        <v>4868</v>
      </c>
      <c r="C233" s="529" t="s">
        <v>4869</v>
      </c>
      <c r="D233" s="297" t="s">
        <v>2437</v>
      </c>
      <c r="E233" s="297"/>
      <c r="F233" s="506" t="s">
        <v>2963</v>
      </c>
      <c r="G233" s="989"/>
      <c r="H233" s="297"/>
      <c r="I233" s="297"/>
      <c r="J233" s="297" t="s">
        <v>4683</v>
      </c>
      <c r="K233" s="529" t="s">
        <v>3216</v>
      </c>
      <c r="L233" s="529" t="s">
        <v>2052</v>
      </c>
      <c r="M233" s="297"/>
      <c r="N233" s="977" t="s">
        <v>2185</v>
      </c>
      <c r="O233" s="989"/>
      <c r="P233" s="297" t="s">
        <v>4774</v>
      </c>
    </row>
    <row r="234" spans="1:16">
      <c r="I234"/>
      <c r="J234" s="258"/>
      <c r="L234" s="33"/>
      <c r="N234" s="513"/>
    </row>
    <row r="235" spans="1:16">
      <c r="A235" t="s">
        <v>4876</v>
      </c>
      <c r="B235" t="s">
        <v>4877</v>
      </c>
      <c r="C235" s="33">
        <v>62</v>
      </c>
      <c r="D235" t="s">
        <v>1528</v>
      </c>
      <c r="E235" t="s">
        <v>4067</v>
      </c>
      <c r="F235" s="966">
        <f>+'Income Taxes'!F61</f>
        <v>0</v>
      </c>
      <c r="G235" s="984">
        <v>101</v>
      </c>
      <c r="H235" t="s">
        <v>4783</v>
      </c>
      <c r="I235"/>
      <c r="J235" t="s">
        <v>4877</v>
      </c>
      <c r="K235" s="33">
        <v>62</v>
      </c>
      <c r="L235" t="s">
        <v>1528</v>
      </c>
      <c r="M235" t="s">
        <v>4067</v>
      </c>
      <c r="N235" s="445"/>
      <c r="O235" s="984">
        <v>122</v>
      </c>
      <c r="P235" t="s">
        <v>4784</v>
      </c>
    </row>
    <row r="236" spans="1:16">
      <c r="B236" t="s">
        <v>4877</v>
      </c>
      <c r="C236" s="33">
        <v>63</v>
      </c>
      <c r="D236" t="s">
        <v>1528</v>
      </c>
      <c r="E236" t="s">
        <v>2067</v>
      </c>
      <c r="F236" s="966">
        <f>+'Income Taxes'!F62</f>
        <v>0</v>
      </c>
      <c r="G236" s="984">
        <v>101</v>
      </c>
      <c r="H236" t="s">
        <v>4783</v>
      </c>
      <c r="I236"/>
      <c r="J236" t="s">
        <v>4877</v>
      </c>
      <c r="K236" s="33">
        <v>63</v>
      </c>
      <c r="L236" t="s">
        <v>1528</v>
      </c>
      <c r="M236" t="s">
        <v>2067</v>
      </c>
      <c r="N236" s="445"/>
      <c r="O236" s="984">
        <v>201</v>
      </c>
      <c r="P236" t="s">
        <v>4790</v>
      </c>
    </row>
    <row r="237" spans="1:16">
      <c r="B237" t="s">
        <v>4877</v>
      </c>
      <c r="C237" s="33">
        <v>64</v>
      </c>
      <c r="D237" t="s">
        <v>1529</v>
      </c>
      <c r="E237" t="s">
        <v>4067</v>
      </c>
      <c r="F237" s="966">
        <f>+'Income Taxes'!F63</f>
        <v>0</v>
      </c>
      <c r="G237" s="984">
        <v>117</v>
      </c>
      <c r="H237" t="s">
        <v>4785</v>
      </c>
      <c r="I237"/>
      <c r="J237" t="s">
        <v>4877</v>
      </c>
      <c r="K237" s="33">
        <v>64</v>
      </c>
      <c r="L237" t="s">
        <v>1529</v>
      </c>
      <c r="M237" t="s">
        <v>4067</v>
      </c>
      <c r="N237" s="445"/>
      <c r="O237" s="984">
        <v>117</v>
      </c>
      <c r="P237" t="s">
        <v>4785</v>
      </c>
    </row>
    <row r="238" spans="1:16">
      <c r="B238" t="s">
        <v>4877</v>
      </c>
      <c r="C238" s="33">
        <v>65</v>
      </c>
      <c r="D238" t="s">
        <v>1953</v>
      </c>
      <c r="E238" t="s">
        <v>4067</v>
      </c>
      <c r="F238" s="966">
        <f>+'Income Taxes'!F64</f>
        <v>0</v>
      </c>
      <c r="G238" s="984">
        <v>117</v>
      </c>
      <c r="H238" t="s">
        <v>4785</v>
      </c>
      <c r="I238"/>
      <c r="J238" t="s">
        <v>4877</v>
      </c>
      <c r="K238" s="33">
        <v>65</v>
      </c>
      <c r="L238" t="s">
        <v>1953</v>
      </c>
      <c r="M238" t="s">
        <v>4067</v>
      </c>
      <c r="N238" s="445"/>
      <c r="O238" s="984">
        <v>117</v>
      </c>
      <c r="P238" t="s">
        <v>4785</v>
      </c>
    </row>
    <row r="239" spans="1:16">
      <c r="B239" t="s">
        <v>4877</v>
      </c>
      <c r="C239" s="33">
        <v>66</v>
      </c>
      <c r="D239" t="s">
        <v>2040</v>
      </c>
      <c r="E239" t="s">
        <v>4067</v>
      </c>
      <c r="F239" s="966">
        <f>+'Income Taxes'!F65</f>
        <v>0</v>
      </c>
      <c r="G239" s="984">
        <v>105</v>
      </c>
      <c r="H239" t="s">
        <v>4786</v>
      </c>
      <c r="I239"/>
      <c r="J239" t="s">
        <v>4877</v>
      </c>
      <c r="K239" s="33">
        <v>66</v>
      </c>
      <c r="L239" t="s">
        <v>2040</v>
      </c>
      <c r="M239" t="s">
        <v>4067</v>
      </c>
      <c r="N239" s="445"/>
      <c r="O239" s="984">
        <v>105</v>
      </c>
      <c r="P239" t="s">
        <v>4786</v>
      </c>
    </row>
    <row r="240" spans="1:16">
      <c r="B240" t="s">
        <v>4877</v>
      </c>
      <c r="C240" s="33">
        <v>67</v>
      </c>
      <c r="D240" t="s">
        <v>4787</v>
      </c>
      <c r="E240" t="s">
        <v>4067</v>
      </c>
      <c r="F240" s="966">
        <f>+'Income Taxes'!F66</f>
        <v>0</v>
      </c>
      <c r="G240" s="984">
        <v>106</v>
      </c>
      <c r="H240" t="s">
        <v>4788</v>
      </c>
      <c r="I240"/>
      <c r="J240" t="s">
        <v>4877</v>
      </c>
      <c r="K240" s="33">
        <v>67</v>
      </c>
      <c r="L240" t="s">
        <v>4787</v>
      </c>
      <c r="M240" t="s">
        <v>4067</v>
      </c>
      <c r="N240" s="445"/>
      <c r="O240" s="984">
        <v>106</v>
      </c>
      <c r="P240" t="s">
        <v>4788</v>
      </c>
    </row>
    <row r="241" spans="1:16">
      <c r="B241" t="s">
        <v>4877</v>
      </c>
      <c r="C241" s="33">
        <v>68</v>
      </c>
      <c r="D241" t="s">
        <v>1530</v>
      </c>
      <c r="E241" t="s">
        <v>4071</v>
      </c>
      <c r="F241" s="966">
        <f>+'Income Taxes'!F67</f>
        <v>0</v>
      </c>
      <c r="G241" s="984">
        <v>907</v>
      </c>
      <c r="H241" t="s">
        <v>4794</v>
      </c>
      <c r="I241"/>
      <c r="J241" t="s">
        <v>4877</v>
      </c>
      <c r="K241" s="33">
        <v>68</v>
      </c>
      <c r="L241" t="s">
        <v>1530</v>
      </c>
      <c r="M241" t="s">
        <v>4071</v>
      </c>
      <c r="N241" s="445"/>
      <c r="O241" s="984">
        <v>907</v>
      </c>
      <c r="P241" t="s">
        <v>4794</v>
      </c>
    </row>
    <row r="242" spans="1:16">
      <c r="B242" s="297" t="s">
        <v>4877</v>
      </c>
      <c r="C242" s="529">
        <v>69</v>
      </c>
      <c r="D242" s="297" t="s">
        <v>2338</v>
      </c>
      <c r="E242" s="297" t="s">
        <v>4071</v>
      </c>
      <c r="F242" s="970">
        <f>+'Income Taxes'!F68</f>
        <v>0</v>
      </c>
      <c r="G242" s="980">
        <v>412</v>
      </c>
      <c r="H242" s="297" t="s">
        <v>4795</v>
      </c>
      <c r="I242" s="297"/>
      <c r="J242" s="297" t="s">
        <v>4877</v>
      </c>
      <c r="K242" s="529">
        <v>69</v>
      </c>
      <c r="L242" s="297" t="s">
        <v>2338</v>
      </c>
      <c r="M242" s="297" t="s">
        <v>4071</v>
      </c>
      <c r="N242" s="970"/>
      <c r="O242" s="980">
        <v>412</v>
      </c>
      <c r="P242" s="297" t="s">
        <v>4795</v>
      </c>
    </row>
    <row r="243" spans="1:16">
      <c r="A243" t="s">
        <v>4878</v>
      </c>
      <c r="B243" t="s">
        <v>4877</v>
      </c>
      <c r="C243" s="33">
        <v>84</v>
      </c>
      <c r="D243" t="s">
        <v>1528</v>
      </c>
      <c r="E243" t="s">
        <v>4067</v>
      </c>
      <c r="F243" s="966">
        <f>+'Income Taxes'!F76</f>
        <v>101438.76376111731</v>
      </c>
      <c r="G243" s="984">
        <v>101</v>
      </c>
      <c r="H243" t="s">
        <v>4783</v>
      </c>
      <c r="I243"/>
      <c r="J243" t="s">
        <v>4877</v>
      </c>
      <c r="K243" s="33">
        <v>84</v>
      </c>
      <c r="L243" t="s">
        <v>1528</v>
      </c>
      <c r="M243" t="s">
        <v>4067</v>
      </c>
      <c r="N243" s="445"/>
      <c r="O243" s="984">
        <v>122</v>
      </c>
      <c r="P243" t="s">
        <v>4784</v>
      </c>
    </row>
    <row r="244" spans="1:16">
      <c r="B244" t="s">
        <v>4877</v>
      </c>
      <c r="C244" s="33">
        <v>85</v>
      </c>
      <c r="D244" t="s">
        <v>1528</v>
      </c>
      <c r="E244" t="s">
        <v>2067</v>
      </c>
      <c r="F244" s="966">
        <f>+'Income Taxes'!F77</f>
        <v>7628.7877112605429</v>
      </c>
      <c r="G244" s="984">
        <v>101</v>
      </c>
      <c r="H244" t="s">
        <v>4783</v>
      </c>
      <c r="I244"/>
      <c r="J244" t="s">
        <v>4877</v>
      </c>
      <c r="K244" s="33">
        <v>85</v>
      </c>
      <c r="L244" t="s">
        <v>1528</v>
      </c>
      <c r="M244" t="s">
        <v>2067</v>
      </c>
      <c r="N244" s="445"/>
      <c r="O244" s="984">
        <v>201</v>
      </c>
      <c r="P244" t="s">
        <v>4790</v>
      </c>
    </row>
    <row r="245" spans="1:16">
      <c r="B245" t="s">
        <v>4877</v>
      </c>
      <c r="C245" s="33">
        <v>86</v>
      </c>
      <c r="D245" t="s">
        <v>1529</v>
      </c>
      <c r="E245" t="s">
        <v>4067</v>
      </c>
      <c r="F245" s="966">
        <f>+'Income Taxes'!F78</f>
        <v>8001.8674565720094</v>
      </c>
      <c r="G245" s="984">
        <v>117</v>
      </c>
      <c r="H245" t="s">
        <v>4785</v>
      </c>
      <c r="I245"/>
      <c r="J245" t="s">
        <v>4877</v>
      </c>
      <c r="K245" s="33">
        <v>86</v>
      </c>
      <c r="L245" t="s">
        <v>1529</v>
      </c>
      <c r="M245" t="s">
        <v>4067</v>
      </c>
      <c r="N245" s="445"/>
      <c r="O245" s="984">
        <v>117</v>
      </c>
      <c r="P245" t="s">
        <v>4785</v>
      </c>
    </row>
    <row r="246" spans="1:16">
      <c r="B246" t="s">
        <v>4877</v>
      </c>
      <c r="C246" s="33">
        <v>87</v>
      </c>
      <c r="D246" t="s">
        <v>1953</v>
      </c>
      <c r="E246" t="s">
        <v>4067</v>
      </c>
      <c r="F246" s="966">
        <f>+'Income Taxes'!F79</f>
        <v>8686.2498613002645</v>
      </c>
      <c r="G246" s="984">
        <v>117</v>
      </c>
      <c r="H246" t="s">
        <v>4785</v>
      </c>
      <c r="I246"/>
      <c r="J246" t="s">
        <v>4877</v>
      </c>
      <c r="K246" s="33">
        <v>87</v>
      </c>
      <c r="L246" t="s">
        <v>1953</v>
      </c>
      <c r="M246" t="s">
        <v>4067</v>
      </c>
      <c r="N246" s="445"/>
      <c r="O246" s="984">
        <v>117</v>
      </c>
      <c r="P246" t="s">
        <v>4785</v>
      </c>
    </row>
    <row r="247" spans="1:16">
      <c r="B247" t="s">
        <v>4877</v>
      </c>
      <c r="C247" s="33">
        <v>88</v>
      </c>
      <c r="D247" t="s">
        <v>2040</v>
      </c>
      <c r="E247" t="s">
        <v>4067</v>
      </c>
      <c r="F247" s="966">
        <f>+'Income Taxes'!F80</f>
        <v>28304.114763554495</v>
      </c>
      <c r="G247" s="984">
        <v>105</v>
      </c>
      <c r="H247" t="s">
        <v>4786</v>
      </c>
      <c r="I247"/>
      <c r="J247" t="s">
        <v>4877</v>
      </c>
      <c r="K247" s="33">
        <v>88</v>
      </c>
      <c r="L247" t="s">
        <v>2040</v>
      </c>
      <c r="M247" t="s">
        <v>4067</v>
      </c>
      <c r="N247" s="445"/>
      <c r="O247" s="984">
        <v>105</v>
      </c>
      <c r="P247" t="s">
        <v>4786</v>
      </c>
    </row>
    <row r="248" spans="1:16">
      <c r="B248" t="s">
        <v>4877</v>
      </c>
      <c r="C248" s="33">
        <v>89</v>
      </c>
      <c r="D248" t="s">
        <v>4787</v>
      </c>
      <c r="E248" t="s">
        <v>4067</v>
      </c>
      <c r="F248" s="966">
        <f>+'Income Taxes'!F81</f>
        <v>12442.559437223341</v>
      </c>
      <c r="G248" s="984">
        <v>106</v>
      </c>
      <c r="H248" t="s">
        <v>4788</v>
      </c>
      <c r="I248"/>
      <c r="J248" t="s">
        <v>4877</v>
      </c>
      <c r="K248" s="33">
        <v>89</v>
      </c>
      <c r="L248" t="s">
        <v>4787</v>
      </c>
      <c r="M248" t="s">
        <v>4067</v>
      </c>
      <c r="N248" s="445"/>
      <c r="O248" s="984">
        <v>106</v>
      </c>
      <c r="P248" t="s">
        <v>4788</v>
      </c>
    </row>
    <row r="249" spans="1:16">
      <c r="B249" t="s">
        <v>4877</v>
      </c>
      <c r="C249" s="33">
        <v>90</v>
      </c>
      <c r="D249" t="s">
        <v>1530</v>
      </c>
      <c r="E249" t="s">
        <v>4071</v>
      </c>
      <c r="F249" s="966">
        <f>+'Income Taxes'!F82</f>
        <v>12136.7048712376</v>
      </c>
      <c r="G249" s="984">
        <v>907</v>
      </c>
      <c r="H249" t="s">
        <v>4794</v>
      </c>
      <c r="I249"/>
      <c r="J249" t="s">
        <v>4877</v>
      </c>
      <c r="K249" s="33">
        <v>90</v>
      </c>
      <c r="L249" t="s">
        <v>1530</v>
      </c>
      <c r="M249" t="s">
        <v>4071</v>
      </c>
      <c r="N249" s="445"/>
      <c r="O249" s="984">
        <v>907</v>
      </c>
      <c r="P249" t="s">
        <v>4794</v>
      </c>
    </row>
    <row r="250" spans="1:16">
      <c r="B250" s="297" t="s">
        <v>4877</v>
      </c>
      <c r="C250" s="529">
        <v>91</v>
      </c>
      <c r="D250" s="297" t="s">
        <v>2338</v>
      </c>
      <c r="E250" s="297" t="s">
        <v>4071</v>
      </c>
      <c r="F250" s="970">
        <f>+'Income Taxes'!F83</f>
        <v>3707.9041377343915</v>
      </c>
      <c r="G250" s="980">
        <v>412</v>
      </c>
      <c r="H250" s="297" t="s">
        <v>4795</v>
      </c>
      <c r="I250" s="297"/>
      <c r="J250" s="297" t="s">
        <v>4877</v>
      </c>
      <c r="K250" s="529">
        <v>91</v>
      </c>
      <c r="L250" s="297" t="s">
        <v>2338</v>
      </c>
      <c r="M250" s="297" t="s">
        <v>4071</v>
      </c>
      <c r="N250" s="970"/>
      <c r="O250" s="980">
        <v>412</v>
      </c>
      <c r="P250" s="297" t="s">
        <v>4795</v>
      </c>
    </row>
    <row r="251" spans="1:16">
      <c r="A251" t="s">
        <v>4879</v>
      </c>
      <c r="B251" t="s">
        <v>4877</v>
      </c>
      <c r="C251" s="33">
        <v>95</v>
      </c>
      <c r="D251" t="s">
        <v>1528</v>
      </c>
      <c r="E251" t="s">
        <v>4067</v>
      </c>
      <c r="F251" s="966">
        <f>+'Income Taxes'!F91</f>
        <v>4071.9547618950883</v>
      </c>
      <c r="G251" s="984">
        <v>101</v>
      </c>
      <c r="H251" t="s">
        <v>4783</v>
      </c>
      <c r="I251"/>
      <c r="J251" t="s">
        <v>4877</v>
      </c>
      <c r="K251" s="33">
        <v>95</v>
      </c>
      <c r="L251" t="s">
        <v>1528</v>
      </c>
      <c r="M251" t="s">
        <v>4067</v>
      </c>
      <c r="N251" s="445"/>
      <c r="O251" s="984">
        <v>122</v>
      </c>
      <c r="P251" t="s">
        <v>4784</v>
      </c>
    </row>
    <row r="252" spans="1:16">
      <c r="B252" t="s">
        <v>4877</v>
      </c>
      <c r="C252" s="33">
        <v>96</v>
      </c>
      <c r="D252" t="s">
        <v>1528</v>
      </c>
      <c r="E252" t="s">
        <v>2067</v>
      </c>
      <c r="F252" s="966">
        <f>+'Income Taxes'!F92</f>
        <v>306.23478931100033</v>
      </c>
      <c r="G252" s="984">
        <v>101</v>
      </c>
      <c r="H252" t="s">
        <v>4783</v>
      </c>
      <c r="I252"/>
      <c r="J252" t="s">
        <v>4877</v>
      </c>
      <c r="K252" s="33">
        <v>96</v>
      </c>
      <c r="L252" t="s">
        <v>1528</v>
      </c>
      <c r="M252" t="s">
        <v>2067</v>
      </c>
      <c r="N252" s="445"/>
      <c r="O252" s="984">
        <v>201</v>
      </c>
      <c r="P252" t="s">
        <v>4790</v>
      </c>
    </row>
    <row r="253" spans="1:16">
      <c r="B253" t="s">
        <v>4877</v>
      </c>
      <c r="C253" s="33">
        <v>97</v>
      </c>
      <c r="D253" t="s">
        <v>1529</v>
      </c>
      <c r="E253" t="s">
        <v>4067</v>
      </c>
      <c r="F253" s="966">
        <f>+'Income Taxes'!F93</f>
        <v>321.21095610523673</v>
      </c>
      <c r="G253" s="984">
        <v>117</v>
      </c>
      <c r="H253" t="s">
        <v>4785</v>
      </c>
      <c r="I253"/>
      <c r="J253" t="s">
        <v>4877</v>
      </c>
      <c r="K253" s="33">
        <v>97</v>
      </c>
      <c r="L253" t="s">
        <v>1529</v>
      </c>
      <c r="M253" t="s">
        <v>4067</v>
      </c>
      <c r="N253" s="445"/>
      <c r="O253" s="984">
        <v>117</v>
      </c>
      <c r="P253" t="s">
        <v>4785</v>
      </c>
    </row>
    <row r="254" spans="1:16">
      <c r="B254" t="s">
        <v>4877</v>
      </c>
      <c r="C254" s="33">
        <v>98</v>
      </c>
      <c r="D254" t="s">
        <v>1953</v>
      </c>
      <c r="E254" t="s">
        <v>4067</v>
      </c>
      <c r="F254" s="966">
        <f>+'Income Taxes'!F94</f>
        <v>348.68343396836536</v>
      </c>
      <c r="G254" s="984">
        <v>117</v>
      </c>
      <c r="H254" t="s">
        <v>4785</v>
      </c>
      <c r="I254"/>
      <c r="J254" t="s">
        <v>4877</v>
      </c>
      <c r="K254" s="33">
        <v>98</v>
      </c>
      <c r="L254" t="s">
        <v>1953</v>
      </c>
      <c r="M254" t="s">
        <v>4067</v>
      </c>
      <c r="N254" s="445"/>
      <c r="O254" s="984">
        <v>117</v>
      </c>
      <c r="P254" t="s">
        <v>4785</v>
      </c>
    </row>
    <row r="255" spans="1:16">
      <c r="B255" t="s">
        <v>4877</v>
      </c>
      <c r="C255" s="33">
        <v>99</v>
      </c>
      <c r="D255" t="s">
        <v>2040</v>
      </c>
      <c r="E255" t="s">
        <v>4067</v>
      </c>
      <c r="F255" s="966">
        <f>+'Income Taxes'!F95</f>
        <v>1136.1837488881017</v>
      </c>
      <c r="G255" s="984">
        <v>105</v>
      </c>
      <c r="H255" t="s">
        <v>4786</v>
      </c>
      <c r="I255"/>
      <c r="J255" t="s">
        <v>4877</v>
      </c>
      <c r="K255" s="33">
        <v>99</v>
      </c>
      <c r="L255" t="s">
        <v>2040</v>
      </c>
      <c r="M255" t="s">
        <v>4067</v>
      </c>
      <c r="N255" s="445"/>
      <c r="O255" s="984">
        <v>105</v>
      </c>
      <c r="P255" t="s">
        <v>4786</v>
      </c>
    </row>
    <row r="256" spans="1:16">
      <c r="B256" t="s">
        <v>4877</v>
      </c>
      <c r="C256" s="33">
        <v>100</v>
      </c>
      <c r="D256" t="s">
        <v>4787</v>
      </c>
      <c r="E256" t="s">
        <v>4067</v>
      </c>
      <c r="F256" s="966">
        <f>+'Income Taxes'!F96</f>
        <v>499.46920952111361</v>
      </c>
      <c r="G256" s="984">
        <v>106</v>
      </c>
      <c r="H256" t="s">
        <v>4788</v>
      </c>
      <c r="I256"/>
      <c r="J256" t="s">
        <v>4877</v>
      </c>
      <c r="K256" s="33">
        <v>100</v>
      </c>
      <c r="L256" t="s">
        <v>4787</v>
      </c>
      <c r="M256" t="s">
        <v>4067</v>
      </c>
      <c r="N256" s="445"/>
      <c r="O256" s="984">
        <v>106</v>
      </c>
      <c r="P256" t="s">
        <v>4788</v>
      </c>
    </row>
    <row r="257" spans="1:16">
      <c r="B257" t="s">
        <v>4877</v>
      </c>
      <c r="C257" s="33">
        <v>101</v>
      </c>
      <c r="D257" t="s">
        <v>1530</v>
      </c>
      <c r="E257" t="s">
        <v>4071</v>
      </c>
      <c r="F257" s="966">
        <f>+'Income Taxes'!F97</f>
        <v>487.19159581373538</v>
      </c>
      <c r="G257" s="984">
        <v>907</v>
      </c>
      <c r="H257" t="s">
        <v>4794</v>
      </c>
      <c r="I257"/>
      <c r="J257" t="s">
        <v>4877</v>
      </c>
      <c r="K257" s="33">
        <v>101</v>
      </c>
      <c r="L257" t="s">
        <v>1530</v>
      </c>
      <c r="M257" t="s">
        <v>4071</v>
      </c>
      <c r="N257" s="445"/>
      <c r="O257" s="984">
        <v>907</v>
      </c>
      <c r="P257" t="s">
        <v>4794</v>
      </c>
    </row>
    <row r="258" spans="1:16">
      <c r="B258" s="297" t="s">
        <v>4877</v>
      </c>
      <c r="C258" s="529">
        <v>102</v>
      </c>
      <c r="D258" s="297" t="s">
        <v>2338</v>
      </c>
      <c r="E258" s="297" t="s">
        <v>4071</v>
      </c>
      <c r="F258" s="970">
        <f>+'Income Taxes'!F98</f>
        <v>148.84268449735839</v>
      </c>
      <c r="G258" s="980">
        <v>412</v>
      </c>
      <c r="H258" s="297" t="s">
        <v>4795</v>
      </c>
      <c r="I258" s="297"/>
      <c r="J258" s="297" t="s">
        <v>4877</v>
      </c>
      <c r="K258" s="529">
        <v>102</v>
      </c>
      <c r="L258" s="297" t="s">
        <v>2338</v>
      </c>
      <c r="M258" s="297" t="s">
        <v>4071</v>
      </c>
      <c r="N258" s="970"/>
      <c r="O258" s="980">
        <v>412</v>
      </c>
      <c r="P258" s="297" t="s">
        <v>4795</v>
      </c>
    </row>
    <row r="259" spans="1:16">
      <c r="A259" t="s">
        <v>4880</v>
      </c>
      <c r="B259" t="s">
        <v>4877</v>
      </c>
      <c r="C259" s="33">
        <v>153</v>
      </c>
      <c r="D259" t="s">
        <v>1528</v>
      </c>
      <c r="E259" t="s">
        <v>4067</v>
      </c>
      <c r="F259" s="966">
        <f>+'Income Taxes'!F106</f>
        <v>-68582.838555723458</v>
      </c>
      <c r="G259" s="984">
        <v>101</v>
      </c>
      <c r="H259" t="s">
        <v>4783</v>
      </c>
      <c r="I259"/>
      <c r="J259" t="s">
        <v>4877</v>
      </c>
      <c r="K259" s="33">
        <v>153</v>
      </c>
      <c r="L259" t="s">
        <v>1528</v>
      </c>
      <c r="M259" t="s">
        <v>4067</v>
      </c>
      <c r="N259" s="445"/>
      <c r="O259" s="984">
        <v>122</v>
      </c>
      <c r="P259" t="s">
        <v>4784</v>
      </c>
    </row>
    <row r="260" spans="1:16">
      <c r="A260" t="s">
        <v>4881</v>
      </c>
      <c r="B260" t="s">
        <v>4877</v>
      </c>
      <c r="C260" s="33">
        <v>154</v>
      </c>
      <c r="D260" t="s">
        <v>1528</v>
      </c>
      <c r="E260" t="s">
        <v>2067</v>
      </c>
      <c r="F260" s="966">
        <f>+'Income Taxes'!F107</f>
        <v>-4743.2198332172475</v>
      </c>
      <c r="G260" s="984">
        <v>101</v>
      </c>
      <c r="H260" t="s">
        <v>4783</v>
      </c>
      <c r="I260"/>
      <c r="J260" t="s">
        <v>4877</v>
      </c>
      <c r="K260" s="33">
        <v>154</v>
      </c>
      <c r="L260" t="s">
        <v>1528</v>
      </c>
      <c r="M260" t="s">
        <v>2067</v>
      </c>
      <c r="N260" s="445"/>
      <c r="O260" s="984">
        <v>201</v>
      </c>
      <c r="P260" t="s">
        <v>4790</v>
      </c>
    </row>
    <row r="261" spans="1:16">
      <c r="B261" t="s">
        <v>4877</v>
      </c>
      <c r="C261" s="33">
        <v>155</v>
      </c>
      <c r="D261" t="s">
        <v>1529</v>
      </c>
      <c r="E261" t="s">
        <v>4067</v>
      </c>
      <c r="F261" s="966">
        <f>+'Income Taxes'!F108</f>
        <v>-1523.2640792379241</v>
      </c>
      <c r="G261" s="984">
        <v>117</v>
      </c>
      <c r="H261" t="s">
        <v>4785</v>
      </c>
      <c r="I261"/>
      <c r="J261" t="s">
        <v>4877</v>
      </c>
      <c r="K261" s="33">
        <v>155</v>
      </c>
      <c r="L261" t="s">
        <v>1529</v>
      </c>
      <c r="M261" t="s">
        <v>4067</v>
      </c>
      <c r="N261" s="445"/>
      <c r="O261" s="984">
        <v>117</v>
      </c>
      <c r="P261" t="s">
        <v>4785</v>
      </c>
    </row>
    <row r="262" spans="1:16">
      <c r="B262" t="s">
        <v>4877</v>
      </c>
      <c r="C262" s="33">
        <v>156</v>
      </c>
      <c r="D262" t="s">
        <v>1953</v>
      </c>
      <c r="E262" t="s">
        <v>4067</v>
      </c>
      <c r="F262" s="966">
        <f>+'Income Taxes'!F109</f>
        <v>-1138.8649161845626</v>
      </c>
      <c r="G262" s="984">
        <v>117</v>
      </c>
      <c r="H262" t="s">
        <v>4785</v>
      </c>
      <c r="I262"/>
      <c r="J262" t="s">
        <v>4877</v>
      </c>
      <c r="K262" s="33">
        <v>156</v>
      </c>
      <c r="L262" t="s">
        <v>1953</v>
      </c>
      <c r="M262" t="s">
        <v>4067</v>
      </c>
      <c r="N262" s="445"/>
      <c r="O262" s="984">
        <v>117</v>
      </c>
      <c r="P262" t="s">
        <v>4785</v>
      </c>
    </row>
    <row r="263" spans="1:16">
      <c r="B263" t="s">
        <v>4877</v>
      </c>
      <c r="C263" s="33">
        <v>157</v>
      </c>
      <c r="D263" t="s">
        <v>2040</v>
      </c>
      <c r="E263" t="s">
        <v>4067</v>
      </c>
      <c r="F263" s="966">
        <f>+'Income Taxes'!F110</f>
        <v>-4001.5462141957942</v>
      </c>
      <c r="G263" s="984">
        <v>105</v>
      </c>
      <c r="H263" t="s">
        <v>4786</v>
      </c>
      <c r="I263"/>
      <c r="J263" t="s">
        <v>4877</v>
      </c>
      <c r="K263" s="33">
        <v>157</v>
      </c>
      <c r="L263" t="s">
        <v>2040</v>
      </c>
      <c r="M263" t="s">
        <v>4067</v>
      </c>
      <c r="N263" s="445"/>
      <c r="O263" s="984">
        <v>105</v>
      </c>
      <c r="P263" t="s">
        <v>4786</v>
      </c>
    </row>
    <row r="264" spans="1:16">
      <c r="B264" t="s">
        <v>4877</v>
      </c>
      <c r="C264" s="33">
        <v>158</v>
      </c>
      <c r="D264" t="s">
        <v>4787</v>
      </c>
      <c r="E264" t="s">
        <v>4067</v>
      </c>
      <c r="F264" s="966">
        <f>+'Income Taxes'!F111</f>
        <v>-1260.2703284984882</v>
      </c>
      <c r="G264" s="984">
        <v>106</v>
      </c>
      <c r="H264" t="s">
        <v>4788</v>
      </c>
      <c r="I264"/>
      <c r="J264" t="s">
        <v>4877</v>
      </c>
      <c r="K264" s="33">
        <v>158</v>
      </c>
      <c r="L264" t="s">
        <v>4787</v>
      </c>
      <c r="M264" t="s">
        <v>4067</v>
      </c>
      <c r="N264" s="445"/>
      <c r="O264" s="984">
        <v>106</v>
      </c>
      <c r="P264" t="s">
        <v>4788</v>
      </c>
    </row>
    <row r="265" spans="1:16">
      <c r="B265" t="s">
        <v>4877</v>
      </c>
      <c r="C265" s="33">
        <v>159</v>
      </c>
      <c r="D265" t="s">
        <v>1530</v>
      </c>
      <c r="E265" t="s">
        <v>4071</v>
      </c>
      <c r="F265" s="966">
        <f>+'Income Taxes'!F112</f>
        <v>-7111.1672368342252</v>
      </c>
      <c r="G265" s="984">
        <v>907</v>
      </c>
      <c r="H265" t="s">
        <v>4794</v>
      </c>
      <c r="I265"/>
      <c r="J265" t="s">
        <v>4877</v>
      </c>
      <c r="K265" s="33">
        <v>159</v>
      </c>
      <c r="L265" t="s">
        <v>1530</v>
      </c>
      <c r="M265" t="s">
        <v>4071</v>
      </c>
      <c r="N265" s="445"/>
      <c r="O265" s="984">
        <v>907</v>
      </c>
      <c r="P265" t="s">
        <v>4794</v>
      </c>
    </row>
    <row r="266" spans="1:16">
      <c r="B266" s="297" t="s">
        <v>4877</v>
      </c>
      <c r="C266" s="529">
        <v>160</v>
      </c>
      <c r="D266" s="297" t="s">
        <v>2338</v>
      </c>
      <c r="E266" s="297" t="s">
        <v>4071</v>
      </c>
      <c r="F266" s="970">
        <f>+'Income Taxes'!F113</f>
        <v>-841.51367610829675</v>
      </c>
      <c r="G266" s="980">
        <v>412</v>
      </c>
      <c r="H266" s="297" t="s">
        <v>4795</v>
      </c>
      <c r="I266" s="297"/>
      <c r="J266" s="297" t="s">
        <v>4877</v>
      </c>
      <c r="K266" s="529">
        <v>160</v>
      </c>
      <c r="L266" s="297" t="s">
        <v>2338</v>
      </c>
      <c r="M266" s="297" t="s">
        <v>4071</v>
      </c>
      <c r="N266" s="970"/>
      <c r="O266" s="980">
        <v>412</v>
      </c>
      <c r="P266" s="297" t="s">
        <v>4795</v>
      </c>
    </row>
    <row r="267" spans="1:16">
      <c r="I267"/>
    </row>
    <row r="268" spans="1:16">
      <c r="I268"/>
      <c r="J268" s="991"/>
      <c r="K268" s="992"/>
    </row>
    <row r="269" spans="1:16">
      <c r="F269" s="973" t="s">
        <v>2173</v>
      </c>
      <c r="H269" s="288" t="s">
        <v>4882</v>
      </c>
      <c r="I269"/>
      <c r="N269" s="973" t="s">
        <v>2173</v>
      </c>
      <c r="P269" s="288" t="s">
        <v>4882</v>
      </c>
    </row>
    <row r="270" spans="1:16">
      <c r="F270" s="645" t="s">
        <v>4768</v>
      </c>
      <c r="I270"/>
      <c r="N270" s="645" t="s">
        <v>4769</v>
      </c>
    </row>
    <row r="271" spans="1:16">
      <c r="F271" s="645" t="s">
        <v>9480</v>
      </c>
      <c r="I271"/>
      <c r="N271" s="645" t="s">
        <v>9480</v>
      </c>
    </row>
    <row r="272" spans="1:16">
      <c r="F272" s="645" t="s">
        <v>4770</v>
      </c>
      <c r="I272"/>
      <c r="N272" s="645" t="s">
        <v>4770</v>
      </c>
    </row>
    <row r="273" spans="1:17">
      <c r="F273" s="974" t="s">
        <v>4771</v>
      </c>
      <c r="N273" s="974" t="s">
        <v>4771</v>
      </c>
    </row>
    <row r="274" spans="1:17">
      <c r="I274"/>
    </row>
    <row r="275" spans="1:17">
      <c r="F275" s="645" t="s">
        <v>4772</v>
      </c>
      <c r="I275"/>
      <c r="N275" s="645" t="s">
        <v>4772</v>
      </c>
    </row>
    <row r="276" spans="1:17">
      <c r="F276" s="975"/>
      <c r="I276"/>
      <c r="N276" s="975"/>
    </row>
    <row r="277" spans="1:17">
      <c r="I277"/>
    </row>
    <row r="278" spans="1:17">
      <c r="F278" s="975" t="s">
        <v>115</v>
      </c>
      <c r="I278"/>
    </row>
    <row r="279" spans="1:17">
      <c r="C279" s="33" t="s">
        <v>2182</v>
      </c>
      <c r="D279" s="33" t="s">
        <v>2182</v>
      </c>
      <c r="F279" s="975" t="s">
        <v>2620</v>
      </c>
      <c r="I279"/>
      <c r="K279" s="33" t="s">
        <v>2182</v>
      </c>
      <c r="L279" s="33" t="s">
        <v>2182</v>
      </c>
    </row>
    <row r="280" spans="1:17">
      <c r="A280" s="993"/>
      <c r="B280" s="297" t="s">
        <v>4683</v>
      </c>
      <c r="C280" s="529" t="s">
        <v>3216</v>
      </c>
      <c r="D280" s="529" t="s">
        <v>2052</v>
      </c>
      <c r="E280" s="297"/>
      <c r="F280" s="977" t="s">
        <v>2185</v>
      </c>
      <c r="G280" s="989"/>
      <c r="H280" s="529" t="s">
        <v>4774</v>
      </c>
      <c r="I280" s="297"/>
      <c r="J280" s="297" t="s">
        <v>4683</v>
      </c>
      <c r="K280" s="529" t="s">
        <v>3216</v>
      </c>
      <c r="L280" s="529" t="s">
        <v>2052</v>
      </c>
      <c r="M280" s="297"/>
      <c r="N280" s="977" t="s">
        <v>2185</v>
      </c>
      <c r="O280" s="989"/>
      <c r="P280" s="529" t="s">
        <v>4774</v>
      </c>
    </row>
    <row r="281" spans="1:17">
      <c r="A281" s="994"/>
      <c r="I281"/>
    </row>
    <row r="282" spans="1:17">
      <c r="A282" s="96" t="s">
        <v>1441</v>
      </c>
      <c r="B282" t="s">
        <v>4883</v>
      </c>
      <c r="C282" s="33">
        <v>2</v>
      </c>
      <c r="D282" t="s">
        <v>4884</v>
      </c>
      <c r="E282" t="s">
        <v>4067</v>
      </c>
      <c r="F282" s="967">
        <f>+SUM(Generation!F23:F26)</f>
        <v>981942.79195999994</v>
      </c>
      <c r="G282" s="984">
        <v>101</v>
      </c>
      <c r="H282" t="s">
        <v>4783</v>
      </c>
      <c r="I282"/>
      <c r="J282" t="s">
        <v>4883</v>
      </c>
      <c r="K282" s="33">
        <v>2</v>
      </c>
      <c r="L282" t="s">
        <v>4884</v>
      </c>
      <c r="M282" t="s">
        <v>4067</v>
      </c>
      <c r="N282" s="966"/>
      <c r="O282" s="984">
        <v>122</v>
      </c>
      <c r="P282" t="s">
        <v>4784</v>
      </c>
    </row>
    <row r="283" spans="1:17">
      <c r="B283" t="s">
        <v>4883</v>
      </c>
      <c r="C283" s="33">
        <v>4</v>
      </c>
      <c r="D283" t="s">
        <v>4885</v>
      </c>
      <c r="E283" t="s">
        <v>2067</v>
      </c>
      <c r="F283" s="966">
        <f>+Generation!F27</f>
        <v>257984.47235</v>
      </c>
      <c r="G283" s="984">
        <v>101</v>
      </c>
      <c r="H283" t="s">
        <v>4783</v>
      </c>
      <c r="I283"/>
      <c r="J283" t="s">
        <v>4883</v>
      </c>
      <c r="K283" s="33">
        <v>4</v>
      </c>
      <c r="L283" t="s">
        <v>4885</v>
      </c>
      <c r="M283" t="s">
        <v>2067</v>
      </c>
      <c r="N283" s="966"/>
      <c r="O283" s="984">
        <v>201</v>
      </c>
      <c r="P283" t="s">
        <v>4790</v>
      </c>
    </row>
    <row r="284" spans="1:17">
      <c r="B284" t="s">
        <v>4883</v>
      </c>
      <c r="C284" s="33">
        <v>2</v>
      </c>
      <c r="D284" t="s">
        <v>4884</v>
      </c>
      <c r="E284" t="s">
        <v>4067</v>
      </c>
      <c r="F284" s="967">
        <f>+Generation!F64-F285-F286</f>
        <v>3511586.6226959997</v>
      </c>
      <c r="G284" s="984">
        <v>101</v>
      </c>
      <c r="H284" t="s">
        <v>4783</v>
      </c>
      <c r="I284"/>
      <c r="J284" t="s">
        <v>4883</v>
      </c>
      <c r="K284" s="33">
        <v>2</v>
      </c>
      <c r="L284" t="s">
        <v>4884</v>
      </c>
      <c r="M284" t="s">
        <v>4067</v>
      </c>
      <c r="N284" s="967"/>
      <c r="O284" s="984">
        <v>122</v>
      </c>
      <c r="P284" t="s">
        <v>4784</v>
      </c>
    </row>
    <row r="285" spans="1:17">
      <c r="B285" t="s">
        <v>4883</v>
      </c>
      <c r="C285" s="33">
        <v>3</v>
      </c>
      <c r="D285" s="96" t="s">
        <v>4854</v>
      </c>
      <c r="E285" t="s">
        <v>4067</v>
      </c>
      <c r="F285" s="967">
        <f>+Generation!F42</f>
        <v>2068978.4465800002</v>
      </c>
      <c r="G285" s="984">
        <v>101</v>
      </c>
      <c r="H285" t="s">
        <v>4783</v>
      </c>
      <c r="I285"/>
      <c r="J285" t="s">
        <v>4883</v>
      </c>
      <c r="K285" s="33">
        <v>3</v>
      </c>
      <c r="L285" t="s">
        <v>4854</v>
      </c>
      <c r="M285" t="s">
        <v>4067</v>
      </c>
      <c r="N285" s="966"/>
      <c r="O285" s="984">
        <v>121</v>
      </c>
      <c r="P285" t="s">
        <v>4816</v>
      </c>
    </row>
    <row r="286" spans="1:17">
      <c r="B286" s="297" t="s">
        <v>4883</v>
      </c>
      <c r="C286" s="529">
        <v>4</v>
      </c>
      <c r="D286" s="297" t="s">
        <v>4885</v>
      </c>
      <c r="E286" s="297" t="s">
        <v>2067</v>
      </c>
      <c r="F286" s="969">
        <f>+Generation!J64</f>
        <v>312355.26285400003</v>
      </c>
      <c r="G286" s="980">
        <v>101</v>
      </c>
      <c r="H286" s="297" t="s">
        <v>4783</v>
      </c>
      <c r="I286" s="297"/>
      <c r="J286" s="297" t="s">
        <v>4883</v>
      </c>
      <c r="K286" s="529">
        <v>4</v>
      </c>
      <c r="L286" s="297" t="s">
        <v>4885</v>
      </c>
      <c r="M286" s="297" t="s">
        <v>2067</v>
      </c>
      <c r="N286" s="970"/>
      <c r="O286" s="980">
        <v>201</v>
      </c>
      <c r="P286" s="297" t="s">
        <v>4790</v>
      </c>
    </row>
    <row r="287" spans="1:17">
      <c r="A287" t="s">
        <v>1760</v>
      </c>
      <c r="B287" t="s">
        <v>4883</v>
      </c>
      <c r="C287" s="33">
        <v>9</v>
      </c>
      <c r="D287" t="s">
        <v>4817</v>
      </c>
      <c r="E287" t="s">
        <v>4067</v>
      </c>
      <c r="F287" s="966">
        <f>+Transmission!G64-'Allocation Assignment'!F288</f>
        <v>191967.04717290375</v>
      </c>
      <c r="G287" s="984">
        <v>101</v>
      </c>
      <c r="H287" t="s">
        <v>4783</v>
      </c>
      <c r="I287"/>
      <c r="J287" t="s">
        <v>4883</v>
      </c>
      <c r="K287" s="33">
        <v>9</v>
      </c>
      <c r="L287" t="s">
        <v>4817</v>
      </c>
      <c r="M287" t="s">
        <v>4067</v>
      </c>
      <c r="N287" s="966"/>
      <c r="O287" s="984">
        <v>122</v>
      </c>
      <c r="P287" t="s">
        <v>4784</v>
      </c>
    </row>
    <row r="288" spans="1:17" s="765" customFormat="1">
      <c r="B288" t="s">
        <v>4883</v>
      </c>
      <c r="C288" s="33">
        <v>10</v>
      </c>
      <c r="D288" s="763" t="s">
        <v>4855</v>
      </c>
      <c r="E288" s="763" t="s">
        <v>4067</v>
      </c>
      <c r="F288" s="966">
        <f>+(+Transmission!D5+Transmission!D12)/1000</f>
        <v>0</v>
      </c>
      <c r="G288" s="984">
        <v>101</v>
      </c>
      <c r="H288" t="s">
        <v>4783</v>
      </c>
      <c r="I288"/>
      <c r="J288" t="s">
        <v>4883</v>
      </c>
      <c r="K288" s="33">
        <v>10</v>
      </c>
      <c r="L288" s="763" t="s">
        <v>4855</v>
      </c>
      <c r="M288" t="s">
        <v>4067</v>
      </c>
      <c r="N288" s="966"/>
      <c r="O288" s="984">
        <v>121</v>
      </c>
      <c r="P288" t="s">
        <v>4816</v>
      </c>
      <c r="Q288"/>
    </row>
    <row r="289" spans="1:16">
      <c r="B289" t="s">
        <v>4883</v>
      </c>
      <c r="C289" s="33">
        <v>13</v>
      </c>
      <c r="D289" t="s">
        <v>4818</v>
      </c>
      <c r="E289" t="s">
        <v>4067</v>
      </c>
      <c r="F289" s="966">
        <f>+(Transmission!H64+Transmission!I65)</f>
        <v>534187.1509608163</v>
      </c>
      <c r="G289" s="984">
        <v>117</v>
      </c>
      <c r="H289" t="s">
        <v>4785</v>
      </c>
      <c r="I289"/>
      <c r="J289" t="s">
        <v>4883</v>
      </c>
      <c r="K289" s="33">
        <v>13</v>
      </c>
      <c r="L289" t="s">
        <v>4818</v>
      </c>
      <c r="M289" t="s">
        <v>4067</v>
      </c>
      <c r="N289" s="966"/>
      <c r="O289" s="984">
        <v>117</v>
      </c>
      <c r="P289" t="s">
        <v>4785</v>
      </c>
    </row>
    <row r="290" spans="1:16">
      <c r="B290" t="s">
        <v>4883</v>
      </c>
      <c r="C290" s="33">
        <v>16</v>
      </c>
      <c r="D290" t="s">
        <v>4819</v>
      </c>
      <c r="E290" t="s">
        <v>4067</v>
      </c>
      <c r="F290" s="966">
        <f>+Transmission!J64</f>
        <v>240918.39991450205</v>
      </c>
      <c r="G290" s="984">
        <v>117</v>
      </c>
      <c r="H290" t="s">
        <v>4785</v>
      </c>
      <c r="I290"/>
      <c r="J290" t="s">
        <v>4883</v>
      </c>
      <c r="K290" s="33">
        <v>16</v>
      </c>
      <c r="L290" t="s">
        <v>4819</v>
      </c>
      <c r="M290" t="s">
        <v>4067</v>
      </c>
      <c r="N290" s="966"/>
      <c r="O290" s="984">
        <v>117</v>
      </c>
      <c r="P290" t="s">
        <v>4785</v>
      </c>
    </row>
    <row r="291" spans="1:16">
      <c r="B291" s="297" t="s">
        <v>4883</v>
      </c>
      <c r="C291" s="529">
        <v>17</v>
      </c>
      <c r="D291" s="297" t="s">
        <v>3125</v>
      </c>
      <c r="E291" s="297" t="s">
        <v>4067</v>
      </c>
      <c r="F291" s="970">
        <f>+Transmission!J65</f>
        <v>284079.64594177791</v>
      </c>
      <c r="G291" s="980">
        <v>117</v>
      </c>
      <c r="H291" s="297" t="s">
        <v>4785</v>
      </c>
      <c r="I291" s="297"/>
      <c r="J291" s="297" t="s">
        <v>4883</v>
      </c>
      <c r="K291" s="529">
        <v>17</v>
      </c>
      <c r="L291" s="297" t="s">
        <v>3125</v>
      </c>
      <c r="M291" s="297" t="s">
        <v>4067</v>
      </c>
      <c r="N291" s="970"/>
      <c r="O291" s="980">
        <v>117</v>
      </c>
      <c r="P291" s="297" t="s">
        <v>4785</v>
      </c>
    </row>
    <row r="292" spans="1:16">
      <c r="A292" t="s">
        <v>1762</v>
      </c>
      <c r="B292" t="s">
        <v>4883</v>
      </c>
      <c r="C292" s="33">
        <v>22</v>
      </c>
      <c r="D292" t="s">
        <v>4819</v>
      </c>
      <c r="E292" t="s">
        <v>4067</v>
      </c>
      <c r="F292" s="966">
        <f>+Distribution!E15</f>
        <v>368438.48759000003</v>
      </c>
      <c r="G292" s="984">
        <v>105</v>
      </c>
      <c r="H292" t="s">
        <v>4786</v>
      </c>
      <c r="I292"/>
      <c r="J292" t="s">
        <v>4883</v>
      </c>
      <c r="K292" s="33">
        <v>22</v>
      </c>
      <c r="L292" t="s">
        <v>4819</v>
      </c>
      <c r="M292" t="s">
        <v>4067</v>
      </c>
      <c r="N292" s="966"/>
      <c r="O292" s="984">
        <v>105</v>
      </c>
      <c r="P292" t="s">
        <v>4786</v>
      </c>
    </row>
    <row r="293" spans="1:16">
      <c r="B293" t="s">
        <v>4883</v>
      </c>
      <c r="C293" s="33">
        <v>24</v>
      </c>
      <c r="D293" t="s">
        <v>4857</v>
      </c>
      <c r="E293" t="s">
        <v>4071</v>
      </c>
      <c r="F293" s="966">
        <f>+Distribution!E19</f>
        <v>32074.434089827188</v>
      </c>
      <c r="G293" s="984">
        <v>310</v>
      </c>
      <c r="H293" t="s">
        <v>4821</v>
      </c>
      <c r="I293"/>
      <c r="J293" t="s">
        <v>4883</v>
      </c>
      <c r="K293" s="33">
        <v>24</v>
      </c>
      <c r="L293" t="s">
        <v>4857</v>
      </c>
      <c r="M293" t="s">
        <v>4071</v>
      </c>
      <c r="N293" s="966"/>
      <c r="O293" s="984">
        <v>310</v>
      </c>
      <c r="P293" t="s">
        <v>4821</v>
      </c>
    </row>
    <row r="294" spans="1:16">
      <c r="B294" t="s">
        <v>4883</v>
      </c>
      <c r="C294" s="33">
        <v>25</v>
      </c>
      <c r="D294" t="s">
        <v>4858</v>
      </c>
      <c r="E294" t="s">
        <v>4067</v>
      </c>
      <c r="F294" s="966">
        <f>+Distribution!E20</f>
        <v>300991.26661087415</v>
      </c>
      <c r="G294" s="984">
        <v>105</v>
      </c>
      <c r="H294" t="s">
        <v>4786</v>
      </c>
      <c r="I294"/>
      <c r="J294" t="s">
        <v>4883</v>
      </c>
      <c r="K294" s="33">
        <v>25</v>
      </c>
      <c r="L294" t="s">
        <v>4858</v>
      </c>
      <c r="M294" t="s">
        <v>4067</v>
      </c>
      <c r="N294" s="966"/>
      <c r="O294" s="984">
        <v>105</v>
      </c>
      <c r="P294" t="s">
        <v>4786</v>
      </c>
    </row>
    <row r="295" spans="1:16">
      <c r="B295" t="s">
        <v>4883</v>
      </c>
      <c r="C295" s="33">
        <v>26</v>
      </c>
      <c r="D295" t="s">
        <v>4859</v>
      </c>
      <c r="E295" t="s">
        <v>4071</v>
      </c>
      <c r="F295" s="966">
        <f>+Distribution!E21</f>
        <v>0</v>
      </c>
      <c r="G295" s="984">
        <v>418</v>
      </c>
      <c r="H295" t="s">
        <v>4824</v>
      </c>
      <c r="I295"/>
      <c r="J295" t="s">
        <v>4883</v>
      </c>
      <c r="K295" s="33">
        <v>26</v>
      </c>
      <c r="L295" t="s">
        <v>4859</v>
      </c>
      <c r="M295" t="s">
        <v>4071</v>
      </c>
      <c r="N295" s="966"/>
      <c r="O295" s="984">
        <v>418</v>
      </c>
      <c r="P295" t="s">
        <v>4824</v>
      </c>
    </row>
    <row r="296" spans="1:16">
      <c r="B296" t="s">
        <v>4883</v>
      </c>
      <c r="C296" s="33">
        <v>27</v>
      </c>
      <c r="D296" t="s">
        <v>4860</v>
      </c>
      <c r="E296" t="s">
        <v>4067</v>
      </c>
      <c r="F296" s="966">
        <f>+Distribution!E22</f>
        <v>90395.647783701817</v>
      </c>
      <c r="G296" s="984">
        <v>106</v>
      </c>
      <c r="H296" t="s">
        <v>4788</v>
      </c>
      <c r="I296"/>
      <c r="J296" t="s">
        <v>4883</v>
      </c>
      <c r="K296" s="33">
        <v>27</v>
      </c>
      <c r="L296" t="s">
        <v>4860</v>
      </c>
      <c r="M296" t="s">
        <v>4067</v>
      </c>
      <c r="N296" s="966"/>
      <c r="O296" s="984">
        <v>106</v>
      </c>
      <c r="P296" t="s">
        <v>4788</v>
      </c>
    </row>
    <row r="297" spans="1:16">
      <c r="B297" t="s">
        <v>4883</v>
      </c>
      <c r="C297" s="33">
        <v>28</v>
      </c>
      <c r="D297" t="s">
        <v>4861</v>
      </c>
      <c r="E297" t="s">
        <v>4071</v>
      </c>
      <c r="F297" s="966">
        <f>+Distribution!E23</f>
        <v>0</v>
      </c>
      <c r="G297" s="984">
        <v>420</v>
      </c>
      <c r="H297" t="s">
        <v>4781</v>
      </c>
      <c r="I297"/>
      <c r="J297" t="s">
        <v>4883</v>
      </c>
      <c r="K297" s="33">
        <v>28</v>
      </c>
      <c r="L297" t="s">
        <v>4861</v>
      </c>
      <c r="M297" t="s">
        <v>4071</v>
      </c>
      <c r="N297" s="966"/>
      <c r="O297" s="984">
        <v>420</v>
      </c>
      <c r="P297" t="s">
        <v>4781</v>
      </c>
    </row>
    <row r="298" spans="1:16">
      <c r="B298" t="s">
        <v>4883</v>
      </c>
      <c r="C298" s="33">
        <v>31</v>
      </c>
      <c r="D298" t="s">
        <v>4820</v>
      </c>
      <c r="E298" t="s">
        <v>4071</v>
      </c>
      <c r="F298" s="966">
        <f>+Distribution!E26</f>
        <v>4542.9060069542402</v>
      </c>
      <c r="G298" s="984">
        <v>310</v>
      </c>
      <c r="H298" t="s">
        <v>4821</v>
      </c>
      <c r="I298"/>
      <c r="J298" t="s">
        <v>4883</v>
      </c>
      <c r="K298" s="33">
        <v>31</v>
      </c>
      <c r="L298" t="s">
        <v>4820</v>
      </c>
      <c r="M298" t="s">
        <v>4071</v>
      </c>
      <c r="N298" s="966"/>
      <c r="O298" s="984">
        <v>310</v>
      </c>
      <c r="P298" t="s">
        <v>4821</v>
      </c>
    </row>
    <row r="299" spans="1:16">
      <c r="B299" t="s">
        <v>4883</v>
      </c>
      <c r="C299" s="33">
        <v>32</v>
      </c>
      <c r="D299" t="s">
        <v>4822</v>
      </c>
      <c r="E299" t="s">
        <v>4067</v>
      </c>
      <c r="F299" s="966">
        <f>+Distribution!E27</f>
        <v>251746.69790571451</v>
      </c>
      <c r="G299" s="984">
        <v>105</v>
      </c>
      <c r="H299" t="s">
        <v>4786</v>
      </c>
      <c r="I299"/>
      <c r="J299" t="s">
        <v>4883</v>
      </c>
      <c r="K299" s="33">
        <v>32</v>
      </c>
      <c r="L299" t="s">
        <v>4822</v>
      </c>
      <c r="M299" t="s">
        <v>4067</v>
      </c>
      <c r="N299" s="966"/>
      <c r="O299" s="984">
        <v>105</v>
      </c>
      <c r="P299" t="s">
        <v>4786</v>
      </c>
    </row>
    <row r="300" spans="1:16">
      <c r="B300" t="s">
        <v>4883</v>
      </c>
      <c r="C300" s="33">
        <v>33</v>
      </c>
      <c r="D300" t="s">
        <v>4823</v>
      </c>
      <c r="E300" t="s">
        <v>4071</v>
      </c>
      <c r="F300" s="966">
        <f>+Distribution!E28</f>
        <v>0</v>
      </c>
      <c r="G300" s="984">
        <v>418</v>
      </c>
      <c r="H300" t="s">
        <v>4824</v>
      </c>
      <c r="I300"/>
      <c r="J300" t="s">
        <v>4883</v>
      </c>
      <c r="K300" s="33">
        <v>33</v>
      </c>
      <c r="L300" t="s">
        <v>4823</v>
      </c>
      <c r="M300" t="s">
        <v>4071</v>
      </c>
      <c r="N300" s="966"/>
      <c r="O300" s="984">
        <v>418</v>
      </c>
      <c r="P300" t="s">
        <v>4824</v>
      </c>
    </row>
    <row r="301" spans="1:16">
      <c r="B301" t="s">
        <v>4883</v>
      </c>
      <c r="C301" s="33">
        <v>34</v>
      </c>
      <c r="D301" t="s">
        <v>4825</v>
      </c>
      <c r="E301" t="s">
        <v>4067</v>
      </c>
      <c r="F301" s="966">
        <f>+Distribution!E29</f>
        <v>38297.820125838523</v>
      </c>
      <c r="G301" s="984">
        <v>106</v>
      </c>
      <c r="H301" t="s">
        <v>4788</v>
      </c>
      <c r="I301"/>
      <c r="J301" t="s">
        <v>4883</v>
      </c>
      <c r="K301" s="33">
        <v>34</v>
      </c>
      <c r="L301" t="s">
        <v>4825</v>
      </c>
      <c r="M301" t="s">
        <v>4067</v>
      </c>
      <c r="N301" s="966"/>
      <c r="O301" s="984">
        <v>106</v>
      </c>
      <c r="P301" t="s">
        <v>4788</v>
      </c>
    </row>
    <row r="302" spans="1:16">
      <c r="B302" t="s">
        <v>4883</v>
      </c>
      <c r="C302" s="33">
        <v>35</v>
      </c>
      <c r="D302" t="s">
        <v>4886</v>
      </c>
      <c r="E302" t="s">
        <v>4071</v>
      </c>
      <c r="F302" s="966">
        <f>+Distribution!E30</f>
        <v>0</v>
      </c>
      <c r="G302" s="984">
        <v>420</v>
      </c>
      <c r="H302" t="s">
        <v>4781</v>
      </c>
      <c r="I302"/>
      <c r="J302" t="s">
        <v>4883</v>
      </c>
      <c r="K302" s="33">
        <v>35</v>
      </c>
      <c r="L302" t="s">
        <v>4826</v>
      </c>
      <c r="M302" t="s">
        <v>4071</v>
      </c>
      <c r="N302" s="966"/>
      <c r="O302" s="984">
        <v>420</v>
      </c>
      <c r="P302" t="s">
        <v>4781</v>
      </c>
    </row>
    <row r="303" spans="1:16">
      <c r="B303" t="s">
        <v>4883</v>
      </c>
      <c r="C303" s="33">
        <v>38</v>
      </c>
      <c r="D303" t="s">
        <v>4827</v>
      </c>
      <c r="E303" t="s">
        <v>4071</v>
      </c>
      <c r="F303" s="966">
        <f>+Distribution!E33</f>
        <v>385.73180000000002</v>
      </c>
      <c r="G303" s="984">
        <v>310</v>
      </c>
      <c r="H303" t="s">
        <v>4821</v>
      </c>
      <c r="I303"/>
      <c r="J303" t="s">
        <v>4883</v>
      </c>
      <c r="K303" s="33">
        <v>38</v>
      </c>
      <c r="L303" t="s">
        <v>4827</v>
      </c>
      <c r="M303" t="s">
        <v>4071</v>
      </c>
      <c r="N303" s="966"/>
      <c r="O303" s="984">
        <v>310</v>
      </c>
      <c r="P303" t="s">
        <v>4821</v>
      </c>
    </row>
    <row r="304" spans="1:16">
      <c r="B304" t="s">
        <v>4883</v>
      </c>
      <c r="C304" s="33">
        <v>39</v>
      </c>
      <c r="D304" t="s">
        <v>4828</v>
      </c>
      <c r="E304" t="s">
        <v>4067</v>
      </c>
      <c r="F304" s="966">
        <f>+Distribution!E34</f>
        <v>753246.56163162598</v>
      </c>
      <c r="G304" s="984">
        <v>105</v>
      </c>
      <c r="H304" t="s">
        <v>4786</v>
      </c>
      <c r="I304"/>
      <c r="J304" t="s">
        <v>4883</v>
      </c>
      <c r="K304" s="33">
        <v>39</v>
      </c>
      <c r="L304" t="s">
        <v>4828</v>
      </c>
      <c r="M304" t="s">
        <v>4067</v>
      </c>
      <c r="N304" s="966"/>
      <c r="O304" s="984">
        <v>105</v>
      </c>
      <c r="P304" t="s">
        <v>4786</v>
      </c>
    </row>
    <row r="305" spans="1:16">
      <c r="B305" t="s">
        <v>4883</v>
      </c>
      <c r="C305" s="33">
        <v>40</v>
      </c>
      <c r="D305" t="s">
        <v>4829</v>
      </c>
      <c r="E305" t="s">
        <v>4071</v>
      </c>
      <c r="F305" s="966">
        <f>+Distribution!E35</f>
        <v>0</v>
      </c>
      <c r="G305" s="984">
        <v>418</v>
      </c>
      <c r="H305" t="s">
        <v>4824</v>
      </c>
      <c r="I305"/>
      <c r="J305" t="s">
        <v>4883</v>
      </c>
      <c r="K305" s="33">
        <v>40</v>
      </c>
      <c r="L305" t="s">
        <v>4829</v>
      </c>
      <c r="M305" t="s">
        <v>4071</v>
      </c>
      <c r="N305" s="966"/>
      <c r="O305" s="984">
        <v>418</v>
      </c>
      <c r="P305" t="s">
        <v>4824</v>
      </c>
    </row>
    <row r="306" spans="1:16">
      <c r="B306" t="s">
        <v>4883</v>
      </c>
      <c r="C306" s="33">
        <v>41</v>
      </c>
      <c r="D306" t="s">
        <v>4830</v>
      </c>
      <c r="E306" t="s">
        <v>4067</v>
      </c>
      <c r="F306" s="966">
        <f>+Distribution!E36</f>
        <v>57432.267938374134</v>
      </c>
      <c r="G306" s="984">
        <v>106</v>
      </c>
      <c r="H306" t="s">
        <v>4788</v>
      </c>
      <c r="I306"/>
      <c r="J306" t="s">
        <v>4883</v>
      </c>
      <c r="K306" s="33">
        <v>41</v>
      </c>
      <c r="L306" t="s">
        <v>4830</v>
      </c>
      <c r="M306" t="s">
        <v>4067</v>
      </c>
      <c r="N306" s="966"/>
      <c r="O306" s="984">
        <v>106</v>
      </c>
      <c r="P306" t="s">
        <v>4788</v>
      </c>
    </row>
    <row r="307" spans="1:16">
      <c r="B307" t="s">
        <v>4883</v>
      </c>
      <c r="C307" s="33">
        <v>42</v>
      </c>
      <c r="D307" t="s">
        <v>4831</v>
      </c>
      <c r="E307" t="s">
        <v>4071</v>
      </c>
      <c r="F307" s="966">
        <f>+Distribution!E37</f>
        <v>0</v>
      </c>
      <c r="G307" s="984">
        <v>420</v>
      </c>
      <c r="H307" t="s">
        <v>4781</v>
      </c>
      <c r="I307"/>
      <c r="J307" t="s">
        <v>4883</v>
      </c>
      <c r="K307" s="33">
        <v>42</v>
      </c>
      <c r="L307" t="s">
        <v>4831</v>
      </c>
      <c r="M307" t="s">
        <v>4071</v>
      </c>
      <c r="N307" s="966"/>
      <c r="O307" s="984">
        <v>420</v>
      </c>
      <c r="P307" t="s">
        <v>4781</v>
      </c>
    </row>
    <row r="308" spans="1:16">
      <c r="B308" t="s">
        <v>4883</v>
      </c>
      <c r="C308" s="33">
        <v>45</v>
      </c>
      <c r="D308" t="s">
        <v>4832</v>
      </c>
      <c r="E308" t="s">
        <v>4071</v>
      </c>
      <c r="F308" s="966">
        <f>+Distribution!E40</f>
        <v>0</v>
      </c>
      <c r="G308" s="984">
        <v>310</v>
      </c>
      <c r="H308" t="s">
        <v>4821</v>
      </c>
      <c r="I308"/>
      <c r="J308" t="s">
        <v>4883</v>
      </c>
      <c r="K308" s="33">
        <v>45</v>
      </c>
      <c r="L308" t="s">
        <v>4832</v>
      </c>
      <c r="M308" t="s">
        <v>4071</v>
      </c>
      <c r="N308" s="966"/>
      <c r="O308" s="984">
        <v>310</v>
      </c>
      <c r="P308" t="s">
        <v>4821</v>
      </c>
    </row>
    <row r="309" spans="1:16">
      <c r="B309" t="s">
        <v>4883</v>
      </c>
      <c r="C309" s="33">
        <v>46</v>
      </c>
      <c r="D309" t="s">
        <v>4833</v>
      </c>
      <c r="E309" t="s">
        <v>4067</v>
      </c>
      <c r="F309" s="966">
        <f>+Distribution!E41</f>
        <v>164150.18467445605</v>
      </c>
      <c r="G309" s="984">
        <v>105</v>
      </c>
      <c r="H309" t="s">
        <v>4786</v>
      </c>
      <c r="I309"/>
      <c r="J309" t="s">
        <v>4883</v>
      </c>
      <c r="K309" s="33">
        <v>46</v>
      </c>
      <c r="L309" t="s">
        <v>4833</v>
      </c>
      <c r="M309" t="s">
        <v>4067</v>
      </c>
      <c r="N309" s="966"/>
      <c r="O309" s="984">
        <v>105</v>
      </c>
      <c r="P309" t="s">
        <v>4786</v>
      </c>
    </row>
    <row r="310" spans="1:16">
      <c r="B310" t="s">
        <v>4883</v>
      </c>
      <c r="C310" s="33">
        <v>47</v>
      </c>
      <c r="D310" t="s">
        <v>4834</v>
      </c>
      <c r="E310" t="s">
        <v>4071</v>
      </c>
      <c r="F310" s="966">
        <f>+Distribution!E42</f>
        <v>0</v>
      </c>
      <c r="G310" s="984">
        <v>418</v>
      </c>
      <c r="H310" t="s">
        <v>4824</v>
      </c>
      <c r="I310"/>
      <c r="J310" t="s">
        <v>4883</v>
      </c>
      <c r="K310" s="33">
        <v>47</v>
      </c>
      <c r="L310" t="s">
        <v>4834</v>
      </c>
      <c r="M310" t="s">
        <v>4071</v>
      </c>
      <c r="N310" s="966"/>
      <c r="O310" s="984">
        <v>418</v>
      </c>
      <c r="P310" t="s">
        <v>4824</v>
      </c>
    </row>
    <row r="311" spans="1:16">
      <c r="B311" t="s">
        <v>4883</v>
      </c>
      <c r="C311" s="33">
        <v>48</v>
      </c>
      <c r="D311" t="s">
        <v>4835</v>
      </c>
      <c r="E311" t="s">
        <v>4067</v>
      </c>
      <c r="F311" s="966">
        <f>+Distribution!E43</f>
        <v>833929.36636874522</v>
      </c>
      <c r="G311" s="984">
        <v>106</v>
      </c>
      <c r="H311" t="s">
        <v>4788</v>
      </c>
      <c r="I311"/>
      <c r="J311" t="s">
        <v>4883</v>
      </c>
      <c r="K311" s="33">
        <v>48</v>
      </c>
      <c r="L311" t="s">
        <v>4835</v>
      </c>
      <c r="M311" t="s">
        <v>4067</v>
      </c>
      <c r="N311" s="966"/>
      <c r="O311" s="984">
        <v>106</v>
      </c>
      <c r="P311" t="s">
        <v>4788</v>
      </c>
    </row>
    <row r="312" spans="1:16">
      <c r="B312" t="s">
        <v>4883</v>
      </c>
      <c r="C312" s="33">
        <v>49</v>
      </c>
      <c r="D312" t="s">
        <v>4836</v>
      </c>
      <c r="E312" t="s">
        <v>4071</v>
      </c>
      <c r="F312" s="966">
        <f>+Distribution!E44</f>
        <v>0</v>
      </c>
      <c r="G312" s="984">
        <v>420</v>
      </c>
      <c r="H312" t="s">
        <v>4781</v>
      </c>
      <c r="I312"/>
      <c r="J312" t="s">
        <v>4883</v>
      </c>
      <c r="K312" s="33">
        <v>49</v>
      </c>
      <c r="L312" t="s">
        <v>4836</v>
      </c>
      <c r="M312" t="s">
        <v>4071</v>
      </c>
      <c r="N312" s="966"/>
      <c r="O312" s="984">
        <v>420</v>
      </c>
      <c r="P312" t="s">
        <v>4781</v>
      </c>
    </row>
    <row r="313" spans="1:16">
      <c r="B313" t="s">
        <v>4883</v>
      </c>
      <c r="C313" s="33">
        <v>52</v>
      </c>
      <c r="D313" t="s">
        <v>4060</v>
      </c>
      <c r="E313" t="s">
        <v>4071</v>
      </c>
      <c r="F313" s="966">
        <f>+Distribution!E47</f>
        <v>228413.06716999999</v>
      </c>
      <c r="G313" s="984">
        <v>420</v>
      </c>
      <c r="H313" t="s">
        <v>4781</v>
      </c>
      <c r="I313"/>
      <c r="J313" t="s">
        <v>4883</v>
      </c>
      <c r="K313" s="33">
        <v>52</v>
      </c>
      <c r="L313" t="s">
        <v>4060</v>
      </c>
      <c r="M313" t="s">
        <v>4071</v>
      </c>
      <c r="N313" s="966"/>
      <c r="O313" s="984">
        <v>420</v>
      </c>
      <c r="P313" t="s">
        <v>4781</v>
      </c>
    </row>
    <row r="314" spans="1:16">
      <c r="B314" t="s">
        <v>4883</v>
      </c>
      <c r="C314" s="33">
        <v>53</v>
      </c>
      <c r="D314" t="s">
        <v>4053</v>
      </c>
      <c r="E314" t="s">
        <v>4071</v>
      </c>
      <c r="F314" s="966">
        <f>+Distribution!E48</f>
        <v>149851.91621000002</v>
      </c>
      <c r="G314" s="984">
        <v>308</v>
      </c>
      <c r="H314" t="s">
        <v>4837</v>
      </c>
      <c r="I314"/>
      <c r="J314" t="s">
        <v>4883</v>
      </c>
      <c r="K314" s="33">
        <v>53</v>
      </c>
      <c r="L314" t="s">
        <v>4053</v>
      </c>
      <c r="M314" t="s">
        <v>4071</v>
      </c>
      <c r="N314" s="966"/>
      <c r="O314" s="984">
        <v>308</v>
      </c>
      <c r="P314" t="s">
        <v>4837</v>
      </c>
    </row>
    <row r="315" spans="1:16">
      <c r="B315" t="s">
        <v>4883</v>
      </c>
      <c r="C315" s="33">
        <v>54</v>
      </c>
      <c r="D315" t="s">
        <v>4862</v>
      </c>
      <c r="E315" t="s">
        <v>4071</v>
      </c>
      <c r="F315" s="966">
        <f>+Distribution!E49</f>
        <v>0</v>
      </c>
      <c r="G315" s="984">
        <v>412</v>
      </c>
      <c r="H315" t="s">
        <v>4795</v>
      </c>
      <c r="I315"/>
      <c r="J315" t="s">
        <v>4883</v>
      </c>
      <c r="K315" s="33">
        <v>54</v>
      </c>
      <c r="L315" t="s">
        <v>4862</v>
      </c>
      <c r="M315" t="s">
        <v>4071</v>
      </c>
      <c r="N315" s="966"/>
      <c r="O315" s="984">
        <v>309</v>
      </c>
      <c r="P315" t="s">
        <v>4839</v>
      </c>
    </row>
    <row r="316" spans="1:16">
      <c r="B316" s="297" t="s">
        <v>4883</v>
      </c>
      <c r="C316" s="529">
        <v>55</v>
      </c>
      <c r="D316" s="297" t="s">
        <v>4840</v>
      </c>
      <c r="E316" s="297" t="s">
        <v>4071</v>
      </c>
      <c r="F316" s="970">
        <f>+Distribution!E50</f>
        <v>414978.62154999998</v>
      </c>
      <c r="G316" s="980">
        <v>310</v>
      </c>
      <c r="H316" s="297" t="s">
        <v>4821</v>
      </c>
      <c r="I316" s="297"/>
      <c r="J316" s="297" t="s">
        <v>4883</v>
      </c>
      <c r="K316" s="529">
        <v>55</v>
      </c>
      <c r="L316" s="297" t="s">
        <v>4840</v>
      </c>
      <c r="M316" s="297" t="s">
        <v>4071</v>
      </c>
      <c r="N316" s="970"/>
      <c r="O316" s="980">
        <v>310</v>
      </c>
      <c r="P316" s="297" t="s">
        <v>4821</v>
      </c>
    </row>
    <row r="317" spans="1:16">
      <c r="A317" t="s">
        <v>4863</v>
      </c>
      <c r="B317" t="s">
        <v>4883</v>
      </c>
      <c r="C317" s="33">
        <v>74</v>
      </c>
      <c r="D317" t="s">
        <v>1528</v>
      </c>
      <c r="E317" t="s">
        <v>4067</v>
      </c>
      <c r="F317" s="966">
        <f>+'Communications Equipment'!G53</f>
        <v>30059.679439906377</v>
      </c>
      <c r="G317" s="984">
        <v>101</v>
      </c>
      <c r="H317" t="s">
        <v>4783</v>
      </c>
      <c r="I317"/>
      <c r="J317" t="s">
        <v>4883</v>
      </c>
      <c r="K317" s="33">
        <v>74</v>
      </c>
      <c r="L317" t="s">
        <v>1528</v>
      </c>
      <c r="M317" t="s">
        <v>4067</v>
      </c>
      <c r="N317" s="966"/>
      <c r="O317" s="984">
        <v>122</v>
      </c>
      <c r="P317" t="s">
        <v>4784</v>
      </c>
    </row>
    <row r="318" spans="1:16">
      <c r="B318" t="s">
        <v>4883</v>
      </c>
      <c r="C318" s="33">
        <v>75</v>
      </c>
      <c r="D318" t="s">
        <v>1528</v>
      </c>
      <c r="E318" t="s">
        <v>2067</v>
      </c>
      <c r="F318" s="966">
        <f>+'Communications Equipment'!G54</f>
        <v>7468.8413095182732</v>
      </c>
      <c r="G318" s="984">
        <v>201</v>
      </c>
      <c r="H318" t="s">
        <v>4790</v>
      </c>
      <c r="I318"/>
      <c r="J318" t="s">
        <v>4883</v>
      </c>
      <c r="K318" s="33">
        <v>75</v>
      </c>
      <c r="L318" t="s">
        <v>1528</v>
      </c>
      <c r="M318" t="s">
        <v>2067</v>
      </c>
      <c r="N318" s="445"/>
      <c r="O318" s="984">
        <v>201</v>
      </c>
      <c r="P318" t="s">
        <v>4790</v>
      </c>
    </row>
    <row r="319" spans="1:16">
      <c r="B319" t="s">
        <v>4883</v>
      </c>
      <c r="C319" s="33">
        <v>76</v>
      </c>
      <c r="D319" t="s">
        <v>1529</v>
      </c>
      <c r="E319" t="s">
        <v>4067</v>
      </c>
      <c r="F319" s="966">
        <f>+'Communications Equipment'!G55</f>
        <v>5665.6180738662224</v>
      </c>
      <c r="G319" s="984">
        <v>117</v>
      </c>
      <c r="H319" t="s">
        <v>4785</v>
      </c>
      <c r="I319"/>
      <c r="J319" t="s">
        <v>4883</v>
      </c>
      <c r="K319" s="33">
        <v>76</v>
      </c>
      <c r="L319" t="s">
        <v>1529</v>
      </c>
      <c r="M319" t="s">
        <v>4067</v>
      </c>
      <c r="N319" s="445"/>
      <c r="O319" s="984">
        <v>117</v>
      </c>
      <c r="P319" t="s">
        <v>4785</v>
      </c>
    </row>
    <row r="320" spans="1:16">
      <c r="B320" t="s">
        <v>4883</v>
      </c>
      <c r="C320" s="33">
        <v>77</v>
      </c>
      <c r="D320" t="s">
        <v>1953</v>
      </c>
      <c r="E320" t="s">
        <v>4067</v>
      </c>
      <c r="F320" s="966">
        <f>+'Communications Equipment'!G56</f>
        <v>4560.829886980322</v>
      </c>
      <c r="G320" s="984">
        <v>117</v>
      </c>
      <c r="H320" t="s">
        <v>4785</v>
      </c>
      <c r="I320"/>
      <c r="J320" t="s">
        <v>4883</v>
      </c>
      <c r="K320" s="33">
        <v>77</v>
      </c>
      <c r="L320" t="s">
        <v>1953</v>
      </c>
      <c r="M320" t="s">
        <v>4067</v>
      </c>
      <c r="N320" s="445"/>
      <c r="O320" s="984">
        <v>117</v>
      </c>
      <c r="P320" t="s">
        <v>4785</v>
      </c>
    </row>
    <row r="321" spans="1:16">
      <c r="B321" t="s">
        <v>4883</v>
      </c>
      <c r="C321" s="33">
        <v>78</v>
      </c>
      <c r="D321" t="s">
        <v>2040</v>
      </c>
      <c r="E321" t="s">
        <v>4067</v>
      </c>
      <c r="F321" s="966">
        <f>+'Communications Equipment'!G57</f>
        <v>27530.836064149807</v>
      </c>
      <c r="G321" s="984">
        <v>105</v>
      </c>
      <c r="H321" t="s">
        <v>4786</v>
      </c>
      <c r="I321"/>
      <c r="J321" t="s">
        <v>4883</v>
      </c>
      <c r="K321" s="33">
        <v>78</v>
      </c>
      <c r="L321" t="s">
        <v>2040</v>
      </c>
      <c r="M321" t="s">
        <v>4067</v>
      </c>
      <c r="N321" s="445"/>
      <c r="O321" s="984">
        <v>105</v>
      </c>
      <c r="P321" t="s">
        <v>4786</v>
      </c>
    </row>
    <row r="322" spans="1:16">
      <c r="B322" t="s">
        <v>4883</v>
      </c>
      <c r="C322" s="33">
        <v>79</v>
      </c>
      <c r="D322" t="s">
        <v>4787</v>
      </c>
      <c r="E322" t="s">
        <v>4067</v>
      </c>
      <c r="F322" s="966">
        <f>+'Communications Equipment'!G58</f>
        <v>8946.5182861578378</v>
      </c>
      <c r="G322" s="984">
        <v>106</v>
      </c>
      <c r="H322" t="s">
        <v>4788</v>
      </c>
      <c r="I322"/>
      <c r="J322" t="s">
        <v>4883</v>
      </c>
      <c r="K322" s="33">
        <v>79</v>
      </c>
      <c r="L322" t="s">
        <v>4787</v>
      </c>
      <c r="M322" t="s">
        <v>4067</v>
      </c>
      <c r="N322" s="445"/>
      <c r="O322" s="984">
        <v>106</v>
      </c>
      <c r="P322" t="s">
        <v>4788</v>
      </c>
    </row>
    <row r="323" spans="1:16">
      <c r="B323" t="s">
        <v>4883</v>
      </c>
      <c r="C323" s="33">
        <v>80</v>
      </c>
      <c r="D323" t="s">
        <v>1530</v>
      </c>
      <c r="E323" t="s">
        <v>4071</v>
      </c>
      <c r="F323" s="966">
        <f>+'Communications Equipment'!G59</f>
        <v>10609.961743436423</v>
      </c>
      <c r="G323" s="984">
        <v>907</v>
      </c>
      <c r="H323" t="s">
        <v>4794</v>
      </c>
      <c r="I323"/>
      <c r="J323" t="s">
        <v>4883</v>
      </c>
      <c r="K323" s="33">
        <v>80</v>
      </c>
      <c r="L323" t="s">
        <v>1530</v>
      </c>
      <c r="M323" t="s">
        <v>4071</v>
      </c>
      <c r="N323" s="445"/>
      <c r="O323" s="984">
        <v>907</v>
      </c>
      <c r="P323" t="s">
        <v>4794</v>
      </c>
    </row>
    <row r="324" spans="1:16">
      <c r="B324" s="297" t="s">
        <v>4883</v>
      </c>
      <c r="C324" s="529">
        <v>81</v>
      </c>
      <c r="D324" s="297" t="s">
        <v>2338</v>
      </c>
      <c r="E324" s="297" t="s">
        <v>4071</v>
      </c>
      <c r="F324" s="970">
        <f>+'Communications Equipment'!G60</f>
        <v>14371.441015984727</v>
      </c>
      <c r="G324" s="980">
        <v>412</v>
      </c>
      <c r="H324" s="297" t="s">
        <v>4795</v>
      </c>
      <c r="I324" s="297"/>
      <c r="J324" s="297" t="s">
        <v>4883</v>
      </c>
      <c r="K324" s="529">
        <v>81</v>
      </c>
      <c r="L324" s="297" t="s">
        <v>2338</v>
      </c>
      <c r="M324" s="297" t="s">
        <v>4071</v>
      </c>
      <c r="N324" s="970"/>
      <c r="O324" s="980">
        <v>412</v>
      </c>
      <c r="P324" s="297" t="s">
        <v>4795</v>
      </c>
    </row>
    <row r="325" spans="1:16">
      <c r="A325" t="s">
        <v>4864</v>
      </c>
      <c r="B325" t="s">
        <v>4883</v>
      </c>
      <c r="C325" s="33">
        <v>85</v>
      </c>
      <c r="D325" t="s">
        <v>1528</v>
      </c>
      <c r="E325" t="s">
        <v>4067</v>
      </c>
      <c r="F325" s="966">
        <f>+'Transportation Equipment'!F40</f>
        <v>7482.8857100000005</v>
      </c>
      <c r="G325" s="984">
        <v>101</v>
      </c>
      <c r="H325" t="s">
        <v>4783</v>
      </c>
      <c r="I325"/>
      <c r="J325" t="s">
        <v>4883</v>
      </c>
      <c r="K325" s="33">
        <v>85</v>
      </c>
      <c r="L325" t="s">
        <v>1528</v>
      </c>
      <c r="M325" t="s">
        <v>4067</v>
      </c>
      <c r="N325" s="966"/>
      <c r="O325" s="984">
        <v>122</v>
      </c>
      <c r="P325" t="s">
        <v>4784</v>
      </c>
    </row>
    <row r="326" spans="1:16">
      <c r="B326" t="s">
        <v>4883</v>
      </c>
      <c r="C326" s="33">
        <v>87</v>
      </c>
      <c r="D326" t="s">
        <v>1529</v>
      </c>
      <c r="E326" t="s">
        <v>4067</v>
      </c>
      <c r="F326" s="966">
        <f>+'Transportation Equipment'!F41</f>
        <v>2737.0403635800221</v>
      </c>
      <c r="G326" s="984">
        <v>117</v>
      </c>
      <c r="H326" t="s">
        <v>4785</v>
      </c>
      <c r="I326"/>
      <c r="J326" t="s">
        <v>4883</v>
      </c>
      <c r="K326" s="33">
        <v>87</v>
      </c>
      <c r="L326" t="s">
        <v>1529</v>
      </c>
      <c r="M326" t="s">
        <v>4067</v>
      </c>
      <c r="N326" s="445"/>
      <c r="O326" s="984">
        <v>117</v>
      </c>
      <c r="P326" t="s">
        <v>4785</v>
      </c>
    </row>
    <row r="327" spans="1:16">
      <c r="B327" t="s">
        <v>4883</v>
      </c>
      <c r="C327" s="33">
        <v>88</v>
      </c>
      <c r="D327" t="s">
        <v>1953</v>
      </c>
      <c r="E327" t="s">
        <v>4067</v>
      </c>
      <c r="F327" s="966">
        <f>+'Transportation Equipment'!F42</f>
        <v>7695.2794371510481</v>
      </c>
      <c r="G327" s="984">
        <v>117</v>
      </c>
      <c r="H327" t="s">
        <v>4785</v>
      </c>
      <c r="I327"/>
      <c r="J327" t="s">
        <v>4883</v>
      </c>
      <c r="K327" s="33">
        <v>88</v>
      </c>
      <c r="L327" t="s">
        <v>1953</v>
      </c>
      <c r="M327" t="s">
        <v>4067</v>
      </c>
      <c r="N327" s="445"/>
      <c r="O327" s="984">
        <v>117</v>
      </c>
      <c r="P327" t="s">
        <v>4785</v>
      </c>
    </row>
    <row r="328" spans="1:16">
      <c r="B328" t="s">
        <v>4883</v>
      </c>
      <c r="C328" s="33">
        <v>89</v>
      </c>
      <c r="D328" t="s">
        <v>2040</v>
      </c>
      <c r="E328" t="s">
        <v>4067</v>
      </c>
      <c r="F328" s="966">
        <f>+'Transportation Equipment'!F43</f>
        <v>37791.254617096231</v>
      </c>
      <c r="G328" s="984">
        <v>105</v>
      </c>
      <c r="H328" t="s">
        <v>4786</v>
      </c>
      <c r="I328"/>
      <c r="J328" t="s">
        <v>4883</v>
      </c>
      <c r="K328" s="33">
        <v>89</v>
      </c>
      <c r="L328" t="s">
        <v>2040</v>
      </c>
      <c r="M328" t="s">
        <v>4067</v>
      </c>
      <c r="N328" s="445"/>
      <c r="O328" s="984">
        <v>105</v>
      </c>
      <c r="P328" t="s">
        <v>4786</v>
      </c>
    </row>
    <row r="329" spans="1:16">
      <c r="B329" t="s">
        <v>4883</v>
      </c>
      <c r="C329" s="33">
        <v>90</v>
      </c>
      <c r="D329" t="s">
        <v>4787</v>
      </c>
      <c r="E329" t="s">
        <v>4067</v>
      </c>
      <c r="F329" s="966">
        <f>+'Transportation Equipment'!F44</f>
        <v>6519.2699460607055</v>
      </c>
      <c r="G329" s="984">
        <v>106</v>
      </c>
      <c r="H329" t="s">
        <v>4788</v>
      </c>
      <c r="I329"/>
      <c r="J329" t="s">
        <v>4883</v>
      </c>
      <c r="K329" s="33">
        <v>90</v>
      </c>
      <c r="L329" t="s">
        <v>4787</v>
      </c>
      <c r="M329" t="s">
        <v>4067</v>
      </c>
      <c r="N329" s="445"/>
      <c r="O329" s="984">
        <v>106</v>
      </c>
      <c r="P329" t="s">
        <v>4788</v>
      </c>
    </row>
    <row r="330" spans="1:16">
      <c r="B330" t="s">
        <v>4883</v>
      </c>
      <c r="C330" s="33">
        <v>91</v>
      </c>
      <c r="D330" t="s">
        <v>1530</v>
      </c>
      <c r="E330" t="s">
        <v>4071</v>
      </c>
      <c r="F330" s="966">
        <f>+'Transportation Equipment'!F45</f>
        <v>24224.606503181003</v>
      </c>
      <c r="G330" s="984">
        <v>907</v>
      </c>
      <c r="H330" t="s">
        <v>4794</v>
      </c>
      <c r="I330"/>
      <c r="J330" t="s">
        <v>4883</v>
      </c>
      <c r="K330" s="33">
        <v>91</v>
      </c>
      <c r="L330" t="s">
        <v>1530</v>
      </c>
      <c r="M330" t="s">
        <v>4071</v>
      </c>
      <c r="N330" s="445"/>
      <c r="O330" s="984">
        <v>907</v>
      </c>
      <c r="P330" t="s">
        <v>4794</v>
      </c>
    </row>
    <row r="331" spans="1:16">
      <c r="B331" s="297" t="s">
        <v>4883</v>
      </c>
      <c r="C331" s="529">
        <v>92</v>
      </c>
      <c r="D331" s="297" t="s">
        <v>2338</v>
      </c>
      <c r="E331" s="297" t="s">
        <v>4071</v>
      </c>
      <c r="F331" s="970">
        <f>+'Transportation Equipment'!F46</f>
        <v>32812.795362930985</v>
      </c>
      <c r="G331" s="980">
        <v>412</v>
      </c>
      <c r="H331" s="297" t="s">
        <v>4795</v>
      </c>
      <c r="I331" s="297"/>
      <c r="J331" s="297" t="s">
        <v>4883</v>
      </c>
      <c r="K331" s="529">
        <v>92</v>
      </c>
      <c r="L331" s="297" t="s">
        <v>2338</v>
      </c>
      <c r="M331" s="297" t="s">
        <v>4071</v>
      </c>
      <c r="N331" s="970"/>
      <c r="O331" s="980">
        <v>412</v>
      </c>
      <c r="P331" s="297" t="s">
        <v>4795</v>
      </c>
    </row>
    <row r="332" spans="1:16">
      <c r="A332" t="s">
        <v>4865</v>
      </c>
      <c r="B332" t="s">
        <v>4883</v>
      </c>
      <c r="C332" s="33">
        <v>96</v>
      </c>
      <c r="D332" t="s">
        <v>1528</v>
      </c>
      <c r="E332" t="s">
        <v>4067</v>
      </c>
      <c r="F332" s="966">
        <f>+'General Plant'!F47-F333</f>
        <v>402515.95441074861</v>
      </c>
      <c r="G332" s="984">
        <v>101</v>
      </c>
      <c r="H332" t="s">
        <v>4783</v>
      </c>
      <c r="I332"/>
      <c r="J332" t="s">
        <v>4883</v>
      </c>
      <c r="K332" s="33">
        <v>96</v>
      </c>
      <c r="L332" t="s">
        <v>1528</v>
      </c>
      <c r="M332" t="s">
        <v>4067</v>
      </c>
      <c r="N332" s="966"/>
      <c r="O332" s="984">
        <v>122</v>
      </c>
      <c r="P332" t="s">
        <v>4784</v>
      </c>
    </row>
    <row r="333" spans="1:16" s="763" customFormat="1">
      <c r="B333" t="s">
        <v>4883</v>
      </c>
      <c r="C333" s="976">
        <v>97</v>
      </c>
      <c r="D333" s="763" t="s">
        <v>4887</v>
      </c>
      <c r="E333" s="763" t="s">
        <v>4067</v>
      </c>
      <c r="F333" s="966">
        <f>+'General Plant'!I5+'General Plant'!J5</f>
        <v>4620.0860300000004</v>
      </c>
      <c r="G333" s="984">
        <v>101</v>
      </c>
      <c r="H333" s="763" t="s">
        <v>4783</v>
      </c>
      <c r="J333" s="763" t="s">
        <v>4883</v>
      </c>
      <c r="K333" s="976">
        <v>97</v>
      </c>
      <c r="L333" s="763" t="s">
        <v>4866</v>
      </c>
      <c r="M333" s="763" t="s">
        <v>4067</v>
      </c>
      <c r="N333" s="966"/>
      <c r="O333" s="984">
        <v>121</v>
      </c>
      <c r="P333" s="763" t="s">
        <v>4816</v>
      </c>
    </row>
    <row r="334" spans="1:16">
      <c r="B334" t="s">
        <v>4883</v>
      </c>
      <c r="C334" s="33">
        <v>98</v>
      </c>
      <c r="D334" t="s">
        <v>1528</v>
      </c>
      <c r="E334" t="s">
        <v>2067</v>
      </c>
      <c r="F334" s="966">
        <f>+'General Plant'!F48</f>
        <v>102739.773617499</v>
      </c>
      <c r="G334" s="984">
        <v>201</v>
      </c>
      <c r="H334" t="s">
        <v>4790</v>
      </c>
      <c r="I334"/>
      <c r="J334" t="s">
        <v>4883</v>
      </c>
      <c r="K334" s="33">
        <v>98</v>
      </c>
      <c r="L334" t="s">
        <v>1528</v>
      </c>
      <c r="M334" t="s">
        <v>2067</v>
      </c>
      <c r="N334" s="966"/>
      <c r="O334" s="984">
        <v>201</v>
      </c>
      <c r="P334" t="s">
        <v>4790</v>
      </c>
    </row>
    <row r="335" spans="1:16">
      <c r="B335" t="s">
        <v>4883</v>
      </c>
      <c r="C335" s="33">
        <v>99</v>
      </c>
      <c r="D335" t="s">
        <v>1529</v>
      </c>
      <c r="E335" t="s">
        <v>4067</v>
      </c>
      <c r="F335" s="966">
        <f>+'General Plant'!F49</f>
        <v>16490.11411829697</v>
      </c>
      <c r="G335" s="984">
        <v>117</v>
      </c>
      <c r="H335" t="s">
        <v>4785</v>
      </c>
      <c r="I335"/>
      <c r="J335" t="s">
        <v>4883</v>
      </c>
      <c r="K335" s="33">
        <v>99</v>
      </c>
      <c r="L335" t="s">
        <v>1529</v>
      </c>
      <c r="M335" t="s">
        <v>4067</v>
      </c>
      <c r="N335" s="966"/>
      <c r="O335" s="984">
        <v>117</v>
      </c>
      <c r="P335" t="s">
        <v>4785</v>
      </c>
    </row>
    <row r="336" spans="1:16">
      <c r="B336" t="s">
        <v>4883</v>
      </c>
      <c r="C336" s="33">
        <v>100</v>
      </c>
      <c r="D336" t="s">
        <v>1953</v>
      </c>
      <c r="E336" t="s">
        <v>4067</v>
      </c>
      <c r="F336" s="966">
        <f>+'General Plant'!F50</f>
        <v>46362.50081632923</v>
      </c>
      <c r="G336" s="984">
        <v>117</v>
      </c>
      <c r="H336" t="s">
        <v>4785</v>
      </c>
      <c r="I336"/>
      <c r="J336" t="s">
        <v>4883</v>
      </c>
      <c r="K336" s="33">
        <v>100</v>
      </c>
      <c r="L336" t="s">
        <v>1953</v>
      </c>
      <c r="M336" t="s">
        <v>4067</v>
      </c>
      <c r="N336" s="966"/>
      <c r="O336" s="984">
        <v>117</v>
      </c>
      <c r="P336" t="s">
        <v>4785</v>
      </c>
    </row>
    <row r="337" spans="1:16">
      <c r="B337" t="s">
        <v>4883</v>
      </c>
      <c r="C337" s="33">
        <v>101</v>
      </c>
      <c r="D337" t="s">
        <v>2040</v>
      </c>
      <c r="E337" t="s">
        <v>4067</v>
      </c>
      <c r="F337" s="966">
        <f>+'General Plant'!F51</f>
        <v>234844.84106218806</v>
      </c>
      <c r="G337" s="984">
        <v>105</v>
      </c>
      <c r="H337" t="s">
        <v>4786</v>
      </c>
      <c r="I337"/>
      <c r="J337" t="s">
        <v>4883</v>
      </c>
      <c r="K337" s="33">
        <v>101</v>
      </c>
      <c r="L337" t="s">
        <v>2040</v>
      </c>
      <c r="M337" t="s">
        <v>4067</v>
      </c>
      <c r="N337" s="966"/>
      <c r="O337" s="984">
        <v>105</v>
      </c>
      <c r="P337" t="s">
        <v>4786</v>
      </c>
    </row>
    <row r="338" spans="1:16">
      <c r="B338" t="s">
        <v>4883</v>
      </c>
      <c r="C338" s="33">
        <v>102</v>
      </c>
      <c r="D338" t="s">
        <v>4787</v>
      </c>
      <c r="E338" t="s">
        <v>4067</v>
      </c>
      <c r="F338" s="966">
        <f>+'General Plant'!F52</f>
        <v>39277.281697779275</v>
      </c>
      <c r="G338" s="984">
        <v>106</v>
      </c>
      <c r="H338" t="s">
        <v>4788</v>
      </c>
      <c r="I338"/>
      <c r="J338" t="s">
        <v>4883</v>
      </c>
      <c r="K338" s="33">
        <v>102</v>
      </c>
      <c r="L338" t="s">
        <v>4787</v>
      </c>
      <c r="M338" t="s">
        <v>4067</v>
      </c>
      <c r="N338" s="966"/>
      <c r="O338" s="984">
        <v>106</v>
      </c>
      <c r="P338" t="s">
        <v>4788</v>
      </c>
    </row>
    <row r="339" spans="1:16">
      <c r="B339" t="s">
        <v>4883</v>
      </c>
      <c r="C339" s="33">
        <v>103</v>
      </c>
      <c r="D339" t="s">
        <v>1530</v>
      </c>
      <c r="E339" t="s">
        <v>4071</v>
      </c>
      <c r="F339" s="966">
        <f>+'General Plant'!F53</f>
        <v>145948.3502778144</v>
      </c>
      <c r="G339" s="984">
        <v>907</v>
      </c>
      <c r="H339" t="s">
        <v>4794</v>
      </c>
      <c r="I339"/>
      <c r="J339" t="s">
        <v>4883</v>
      </c>
      <c r="K339" s="33">
        <v>103</v>
      </c>
      <c r="L339" t="s">
        <v>1530</v>
      </c>
      <c r="M339" t="s">
        <v>4071</v>
      </c>
      <c r="N339" s="966"/>
      <c r="O339" s="984">
        <v>907</v>
      </c>
      <c r="P339" t="s">
        <v>4794</v>
      </c>
    </row>
    <row r="340" spans="1:16">
      <c r="B340" s="297" t="s">
        <v>4883</v>
      </c>
      <c r="C340" s="529">
        <v>104</v>
      </c>
      <c r="D340" s="297" t="s">
        <v>2338</v>
      </c>
      <c r="E340" s="297" t="s">
        <v>4071</v>
      </c>
      <c r="F340" s="970">
        <f>+'General Plant'!F54</f>
        <v>197959.63711934417</v>
      </c>
      <c r="G340" s="980">
        <v>412</v>
      </c>
      <c r="H340" s="297" t="s">
        <v>4795</v>
      </c>
      <c r="I340" s="297"/>
      <c r="J340" s="297" t="s">
        <v>4883</v>
      </c>
      <c r="K340" s="529">
        <v>104</v>
      </c>
      <c r="L340" s="297" t="s">
        <v>2338</v>
      </c>
      <c r="M340" s="297" t="s">
        <v>4071</v>
      </c>
      <c r="N340" s="970"/>
      <c r="O340" s="980">
        <v>412</v>
      </c>
      <c r="P340" s="297" t="s">
        <v>4795</v>
      </c>
    </row>
    <row r="341" spans="1:16" s="763" customFormat="1" ht="13.2">
      <c r="A341" s="763" t="s">
        <v>4888</v>
      </c>
      <c r="B341" s="995" t="s">
        <v>4883</v>
      </c>
      <c r="C341" s="996">
        <v>108</v>
      </c>
      <c r="D341" s="995" t="s">
        <v>1528</v>
      </c>
      <c r="E341" s="995" t="s">
        <v>4067</v>
      </c>
      <c r="F341" s="997">
        <f>+'ROU Leases'!C42/1000</f>
        <v>-5.1984228193759919E-6</v>
      </c>
      <c r="G341" s="980">
        <v>101</v>
      </c>
      <c r="H341" s="995" t="s">
        <v>4783</v>
      </c>
      <c r="I341" s="995"/>
      <c r="J341" s="995" t="s">
        <v>4883</v>
      </c>
      <c r="K341" s="996">
        <v>108</v>
      </c>
      <c r="L341" s="995" t="s">
        <v>1528</v>
      </c>
      <c r="M341" s="995" t="s">
        <v>4067</v>
      </c>
      <c r="N341" s="997"/>
      <c r="O341" s="980">
        <v>122</v>
      </c>
      <c r="P341" s="995" t="s">
        <v>4784</v>
      </c>
    </row>
    <row r="342" spans="1:16">
      <c r="I342"/>
    </row>
    <row r="343" spans="1:16">
      <c r="I343"/>
    </row>
    <row r="344" spans="1:16">
      <c r="I344"/>
    </row>
    <row r="345" spans="1:16">
      <c r="F345" s="973" t="s">
        <v>2173</v>
      </c>
      <c r="H345" s="288" t="s">
        <v>4889</v>
      </c>
      <c r="I345"/>
      <c r="N345" s="973" t="s">
        <v>2173</v>
      </c>
      <c r="P345" s="288" t="s">
        <v>4889</v>
      </c>
    </row>
    <row r="346" spans="1:16">
      <c r="F346" s="645" t="s">
        <v>4768</v>
      </c>
      <c r="I346"/>
      <c r="N346" s="645" t="s">
        <v>4769</v>
      </c>
    </row>
    <row r="347" spans="1:16">
      <c r="F347" s="645" t="s">
        <v>9480</v>
      </c>
      <c r="I347"/>
      <c r="N347" s="645" t="s">
        <v>9480</v>
      </c>
    </row>
    <row r="348" spans="1:16">
      <c r="F348" s="645" t="s">
        <v>4770</v>
      </c>
      <c r="I348"/>
      <c r="N348" s="645" t="s">
        <v>4770</v>
      </c>
    </row>
    <row r="349" spans="1:16">
      <c r="F349" s="974" t="s">
        <v>4771</v>
      </c>
      <c r="N349" s="974" t="s">
        <v>4771</v>
      </c>
    </row>
    <row r="350" spans="1:16">
      <c r="I350"/>
    </row>
    <row r="351" spans="1:16">
      <c r="F351" s="645" t="s">
        <v>4772</v>
      </c>
      <c r="I351"/>
      <c r="N351" s="645" t="s">
        <v>4772</v>
      </c>
    </row>
    <row r="352" spans="1:16">
      <c r="F352" s="975"/>
      <c r="I352"/>
      <c r="N352" s="975"/>
    </row>
    <row r="353" spans="1:17">
      <c r="I353"/>
      <c r="N353" s="975"/>
    </row>
    <row r="354" spans="1:17">
      <c r="C354" s="33" t="s">
        <v>2430</v>
      </c>
      <c r="D354" t="s">
        <v>2430</v>
      </c>
      <c r="I354"/>
      <c r="K354" s="33" t="s">
        <v>2182</v>
      </c>
      <c r="L354" s="33" t="s">
        <v>2182</v>
      </c>
    </row>
    <row r="355" spans="1:17">
      <c r="B355" s="297" t="s">
        <v>4868</v>
      </c>
      <c r="C355" s="529" t="s">
        <v>4869</v>
      </c>
      <c r="D355" s="297" t="s">
        <v>2437</v>
      </c>
      <c r="E355" s="297"/>
      <c r="F355" s="506" t="s">
        <v>2963</v>
      </c>
      <c r="G355" s="989"/>
      <c r="H355" s="297"/>
      <c r="I355" s="297"/>
      <c r="J355" s="297" t="s">
        <v>4683</v>
      </c>
      <c r="K355" s="529" t="s">
        <v>3216</v>
      </c>
      <c r="L355" s="529" t="s">
        <v>2052</v>
      </c>
      <c r="M355" s="297"/>
      <c r="N355" s="977" t="s">
        <v>2185</v>
      </c>
      <c r="O355" s="989"/>
      <c r="P355" s="297" t="s">
        <v>4774</v>
      </c>
    </row>
    <row r="356" spans="1:17">
      <c r="I356"/>
    </row>
    <row r="357" spans="1:17">
      <c r="A357" t="s">
        <v>1441</v>
      </c>
      <c r="B357" t="s">
        <v>4890</v>
      </c>
      <c r="C357" s="33">
        <v>2</v>
      </c>
      <c r="D357" t="s">
        <v>1528</v>
      </c>
      <c r="E357" t="s">
        <v>4067</v>
      </c>
      <c r="F357" s="966">
        <f>+PHFFU!F42</f>
        <v>26353.446</v>
      </c>
      <c r="G357" s="984">
        <v>101</v>
      </c>
      <c r="H357" t="s">
        <v>4783</v>
      </c>
      <c r="I357"/>
      <c r="J357" t="s">
        <v>4890</v>
      </c>
      <c r="K357" s="33">
        <v>2</v>
      </c>
      <c r="L357" t="s">
        <v>1528</v>
      </c>
      <c r="M357" t="s">
        <v>4067</v>
      </c>
      <c r="N357" s="966"/>
      <c r="O357" s="984">
        <v>122</v>
      </c>
      <c r="P357" t="s">
        <v>4784</v>
      </c>
    </row>
    <row r="358" spans="1:17">
      <c r="B358" t="s">
        <v>4890</v>
      </c>
      <c r="C358" s="33">
        <v>3</v>
      </c>
      <c r="D358" s="96" t="s">
        <v>4891</v>
      </c>
      <c r="E358" t="s">
        <v>4067</v>
      </c>
      <c r="F358" s="966">
        <f>+PHFFU!D8/1000</f>
        <v>0</v>
      </c>
      <c r="G358" s="984">
        <v>101</v>
      </c>
      <c r="H358" t="s">
        <v>4783</v>
      </c>
      <c r="I358"/>
      <c r="J358" t="s">
        <v>4890</v>
      </c>
      <c r="K358" s="33">
        <v>4</v>
      </c>
      <c r="L358" t="s">
        <v>1528</v>
      </c>
      <c r="M358" t="s">
        <v>4067</v>
      </c>
      <c r="N358" s="966"/>
      <c r="O358" s="984">
        <v>201</v>
      </c>
      <c r="P358" t="s">
        <v>4790</v>
      </c>
    </row>
    <row r="359" spans="1:17">
      <c r="A359" t="s">
        <v>1760</v>
      </c>
      <c r="B359" t="s">
        <v>4890</v>
      </c>
      <c r="C359" s="33">
        <v>5</v>
      </c>
      <c r="D359" t="s">
        <v>1529</v>
      </c>
      <c r="E359" t="s">
        <v>4067</v>
      </c>
      <c r="F359" s="966">
        <f>+PHFFU!F43</f>
        <v>11373.125945033229</v>
      </c>
      <c r="G359" s="984">
        <v>117</v>
      </c>
      <c r="H359" t="s">
        <v>4785</v>
      </c>
      <c r="I359"/>
      <c r="J359" t="s">
        <v>4890</v>
      </c>
      <c r="K359" s="33">
        <v>5</v>
      </c>
      <c r="L359" t="s">
        <v>1529</v>
      </c>
      <c r="M359" t="s">
        <v>4067</v>
      </c>
      <c r="N359" s="966"/>
      <c r="O359" s="984">
        <v>117</v>
      </c>
      <c r="P359" t="s">
        <v>4785</v>
      </c>
    </row>
    <row r="360" spans="1:17">
      <c r="B360" t="s">
        <v>4890</v>
      </c>
      <c r="C360" s="33">
        <v>6</v>
      </c>
      <c r="D360" t="s">
        <v>1953</v>
      </c>
      <c r="E360" t="s">
        <v>4067</v>
      </c>
      <c r="F360" s="966">
        <f>+PHFFU!F44</f>
        <v>11177.485054966772</v>
      </c>
      <c r="G360" s="984">
        <v>117</v>
      </c>
      <c r="H360" t="s">
        <v>4785</v>
      </c>
      <c r="I360"/>
      <c r="J360" t="s">
        <v>4890</v>
      </c>
      <c r="K360" s="33">
        <v>6</v>
      </c>
      <c r="L360" t="s">
        <v>1953</v>
      </c>
      <c r="M360" t="s">
        <v>4067</v>
      </c>
      <c r="N360" s="966"/>
      <c r="O360" s="984">
        <v>117</v>
      </c>
      <c r="P360" t="s">
        <v>4785</v>
      </c>
    </row>
    <row r="361" spans="1:17">
      <c r="A361" t="s">
        <v>4892</v>
      </c>
      <c r="B361" t="s">
        <v>4890</v>
      </c>
      <c r="C361" s="33">
        <v>7</v>
      </c>
      <c r="D361" t="s">
        <v>2040</v>
      </c>
      <c r="E361" t="s">
        <v>4067</v>
      </c>
      <c r="F361" s="966">
        <f>+PHFFU!F45</f>
        <v>20590.486000000001</v>
      </c>
      <c r="G361" s="984">
        <v>105</v>
      </c>
      <c r="H361" t="s">
        <v>4786</v>
      </c>
      <c r="I361"/>
      <c r="J361" t="s">
        <v>4890</v>
      </c>
      <c r="K361" s="33">
        <v>7</v>
      </c>
      <c r="L361" t="s">
        <v>2040</v>
      </c>
      <c r="M361" t="s">
        <v>4067</v>
      </c>
      <c r="N361" s="966"/>
      <c r="O361" s="984">
        <v>105</v>
      </c>
      <c r="P361" t="s">
        <v>4786</v>
      </c>
    </row>
    <row r="362" spans="1:17">
      <c r="B362" t="s">
        <v>4890</v>
      </c>
      <c r="C362" s="33">
        <v>8</v>
      </c>
      <c r="D362" t="s">
        <v>4787</v>
      </c>
      <c r="E362" t="s">
        <v>4067</v>
      </c>
      <c r="F362" s="88">
        <v>0</v>
      </c>
      <c r="G362" s="984">
        <v>106</v>
      </c>
      <c r="H362" t="s">
        <v>4788</v>
      </c>
      <c r="I362"/>
      <c r="J362" t="s">
        <v>4890</v>
      </c>
      <c r="K362" s="33">
        <v>8</v>
      </c>
      <c r="L362" t="s">
        <v>4787</v>
      </c>
      <c r="M362" t="s">
        <v>4067</v>
      </c>
      <c r="N362" s="966"/>
      <c r="O362" s="984">
        <v>106</v>
      </c>
      <c r="P362" t="s">
        <v>4788</v>
      </c>
    </row>
    <row r="363" spans="1:17">
      <c r="B363" t="s">
        <v>4890</v>
      </c>
      <c r="C363" s="33">
        <v>9</v>
      </c>
      <c r="D363" t="s">
        <v>1530</v>
      </c>
      <c r="E363" t="s">
        <v>4071</v>
      </c>
      <c r="F363" s="88">
        <v>0</v>
      </c>
      <c r="G363" s="984">
        <v>907</v>
      </c>
      <c r="H363" t="s">
        <v>4794</v>
      </c>
      <c r="I363"/>
      <c r="J363" t="s">
        <v>4890</v>
      </c>
      <c r="K363" s="33">
        <v>9</v>
      </c>
      <c r="L363" t="s">
        <v>1530</v>
      </c>
      <c r="M363" t="s">
        <v>4071</v>
      </c>
      <c r="N363" s="966"/>
      <c r="O363" s="984">
        <v>907</v>
      </c>
      <c r="P363" t="s">
        <v>4794</v>
      </c>
    </row>
    <row r="364" spans="1:17">
      <c r="A364" t="s">
        <v>4893</v>
      </c>
      <c r="B364" s="297" t="s">
        <v>4890</v>
      </c>
      <c r="C364" s="529">
        <v>10</v>
      </c>
      <c r="D364" s="297" t="s">
        <v>2338</v>
      </c>
      <c r="E364" s="297" t="s">
        <v>4071</v>
      </c>
      <c r="F364" s="888">
        <v>0</v>
      </c>
      <c r="G364" s="980">
        <v>412</v>
      </c>
      <c r="H364" s="297" t="s">
        <v>4795</v>
      </c>
      <c r="I364" s="297"/>
      <c r="J364" s="297" t="s">
        <v>4890</v>
      </c>
      <c r="K364" s="529">
        <v>10</v>
      </c>
      <c r="L364" s="297" t="s">
        <v>2338</v>
      </c>
      <c r="M364" s="297" t="s">
        <v>4071</v>
      </c>
      <c r="N364" s="970"/>
      <c r="O364" s="980">
        <v>412</v>
      </c>
      <c r="P364" s="297" t="s">
        <v>4795</v>
      </c>
      <c r="Q364" s="297"/>
    </row>
    <row r="365" spans="1:17">
      <c r="A365" s="96" t="s">
        <v>1441</v>
      </c>
      <c r="B365" t="s">
        <v>4894</v>
      </c>
      <c r="C365" s="33">
        <v>2</v>
      </c>
      <c r="D365" t="s">
        <v>4884</v>
      </c>
      <c r="E365" t="s">
        <v>4067</v>
      </c>
      <c r="F365" s="966">
        <f>+SUM(Generation!F84:F87,Generation!F93)</f>
        <v>419404.27470307692</v>
      </c>
      <c r="G365" s="984">
        <v>101</v>
      </c>
      <c r="H365" t="s">
        <v>4783</v>
      </c>
      <c r="I365"/>
      <c r="J365" t="s">
        <v>4894</v>
      </c>
      <c r="K365" s="33">
        <v>2</v>
      </c>
      <c r="L365" t="s">
        <v>4884</v>
      </c>
      <c r="M365" t="s">
        <v>4067</v>
      </c>
      <c r="N365" s="966"/>
      <c r="O365" s="984">
        <v>122</v>
      </c>
      <c r="P365" t="s">
        <v>4784</v>
      </c>
    </row>
    <row r="366" spans="1:17">
      <c r="B366" t="s">
        <v>4894</v>
      </c>
      <c r="C366" s="33">
        <v>4</v>
      </c>
      <c r="D366" t="s">
        <v>4885</v>
      </c>
      <c r="E366" t="s">
        <v>2067</v>
      </c>
      <c r="F366" s="966">
        <f>+Generation!F88</f>
        <v>125219.77679999999</v>
      </c>
      <c r="G366" s="984">
        <v>101</v>
      </c>
      <c r="H366" t="s">
        <v>4783</v>
      </c>
      <c r="I366"/>
      <c r="J366" t="s">
        <v>4894</v>
      </c>
      <c r="K366" s="33">
        <v>4</v>
      </c>
      <c r="L366" t="s">
        <v>4885</v>
      </c>
      <c r="M366" t="s">
        <v>2067</v>
      </c>
      <c r="N366" s="966"/>
      <c r="O366" s="984">
        <v>201</v>
      </c>
      <c r="P366" t="s">
        <v>4790</v>
      </c>
    </row>
    <row r="367" spans="1:17">
      <c r="B367" t="s">
        <v>4894</v>
      </c>
      <c r="C367" s="33">
        <v>2</v>
      </c>
      <c r="D367" t="s">
        <v>4884</v>
      </c>
      <c r="E367" t="s">
        <v>4067</v>
      </c>
      <c r="F367" s="966">
        <f>+Generation!F125-F368-F369</f>
        <v>1123380.6824930836</v>
      </c>
      <c r="G367" s="984">
        <v>101</v>
      </c>
      <c r="H367" t="s">
        <v>4783</v>
      </c>
      <c r="I367"/>
      <c r="J367" t="s">
        <v>4894</v>
      </c>
      <c r="K367" s="33">
        <v>2</v>
      </c>
      <c r="L367" t="s">
        <v>4884</v>
      </c>
      <c r="M367" t="s">
        <v>4067</v>
      </c>
      <c r="N367" s="966"/>
      <c r="O367" s="984">
        <v>122</v>
      </c>
      <c r="P367" t="s">
        <v>4784</v>
      </c>
    </row>
    <row r="368" spans="1:17">
      <c r="B368" t="s">
        <v>4894</v>
      </c>
      <c r="C368" s="33">
        <v>3</v>
      </c>
      <c r="D368" s="293" t="s">
        <v>4854</v>
      </c>
      <c r="E368" t="s">
        <v>4067</v>
      </c>
      <c r="F368" s="966">
        <f>+Generation!F103</f>
        <v>222985.51598999996</v>
      </c>
      <c r="G368" s="984">
        <v>101</v>
      </c>
      <c r="H368" t="s">
        <v>4783</v>
      </c>
      <c r="I368"/>
      <c r="J368" t="s">
        <v>4894</v>
      </c>
      <c r="K368" s="33">
        <v>3</v>
      </c>
      <c r="L368" t="s">
        <v>4854</v>
      </c>
      <c r="M368" t="s">
        <v>4067</v>
      </c>
      <c r="N368" s="966"/>
      <c r="O368" s="984">
        <v>121</v>
      </c>
      <c r="P368" t="s">
        <v>4816</v>
      </c>
    </row>
    <row r="369" spans="1:16">
      <c r="B369" s="297" t="s">
        <v>4894</v>
      </c>
      <c r="C369" s="529">
        <v>4</v>
      </c>
      <c r="D369" s="297" t="s">
        <v>4885</v>
      </c>
      <c r="E369" s="297" t="s">
        <v>2067</v>
      </c>
      <c r="F369" s="970">
        <f>+Generation!J125</f>
        <v>168528.48019691644</v>
      </c>
      <c r="G369" s="980">
        <v>101</v>
      </c>
      <c r="H369" s="297" t="s">
        <v>4783</v>
      </c>
      <c r="I369" s="297"/>
      <c r="J369" s="297" t="s">
        <v>4894</v>
      </c>
      <c r="K369" s="529">
        <v>4</v>
      </c>
      <c r="L369" s="297" t="s">
        <v>4885</v>
      </c>
      <c r="M369" s="297" t="s">
        <v>2067</v>
      </c>
      <c r="N369" s="970"/>
      <c r="O369" s="980">
        <v>201</v>
      </c>
      <c r="P369" s="297" t="s">
        <v>4790</v>
      </c>
    </row>
    <row r="370" spans="1:16">
      <c r="A370" t="s">
        <v>1760</v>
      </c>
      <c r="B370" t="s">
        <v>4894</v>
      </c>
      <c r="C370" s="33">
        <v>9</v>
      </c>
      <c r="D370" t="s">
        <v>4817</v>
      </c>
      <c r="E370" t="s">
        <v>4067</v>
      </c>
      <c r="F370" s="966">
        <f>+Transmission!G130-F371</f>
        <v>46015.61165400179</v>
      </c>
      <c r="G370" s="984">
        <v>101</v>
      </c>
      <c r="H370" t="s">
        <v>4783</v>
      </c>
      <c r="I370"/>
      <c r="J370" t="s">
        <v>4894</v>
      </c>
      <c r="K370" s="33">
        <v>9</v>
      </c>
      <c r="L370" t="s">
        <v>4817</v>
      </c>
      <c r="M370" t="s">
        <v>4067</v>
      </c>
      <c r="N370" s="966"/>
      <c r="O370" s="984">
        <v>122</v>
      </c>
      <c r="P370" t="s">
        <v>4784</v>
      </c>
    </row>
    <row r="371" spans="1:16" s="765" customFormat="1">
      <c r="B371" t="s">
        <v>4894</v>
      </c>
      <c r="C371" s="33">
        <v>10</v>
      </c>
      <c r="D371" s="763" t="s">
        <v>4855</v>
      </c>
      <c r="E371" s="763" t="s">
        <v>4067</v>
      </c>
      <c r="F371" s="966">
        <f>+SUM(Transmission!D6,Transmission!D13)/1000</f>
        <v>0</v>
      </c>
      <c r="G371" s="984">
        <v>101</v>
      </c>
      <c r="H371" t="s">
        <v>4783</v>
      </c>
      <c r="I371"/>
      <c r="J371" t="s">
        <v>4894</v>
      </c>
      <c r="K371" s="33">
        <v>10</v>
      </c>
      <c r="L371" s="763" t="s">
        <v>4855</v>
      </c>
      <c r="M371" t="s">
        <v>4067</v>
      </c>
      <c r="N371" s="966"/>
      <c r="O371" s="984">
        <v>121</v>
      </c>
      <c r="P371" t="s">
        <v>4816</v>
      </c>
    </row>
    <row r="372" spans="1:16">
      <c r="B372" t="s">
        <v>4894</v>
      </c>
      <c r="C372" s="33">
        <v>13</v>
      </c>
      <c r="D372" t="s">
        <v>4818</v>
      </c>
      <c r="E372" t="s">
        <v>4067</v>
      </c>
      <c r="F372" s="966">
        <f>+Transmission!H130+Transmission!I131</f>
        <v>142075.10412521986</v>
      </c>
      <c r="G372" s="984">
        <v>117</v>
      </c>
      <c r="H372" t="s">
        <v>4785</v>
      </c>
      <c r="I372"/>
      <c r="J372" t="s">
        <v>4894</v>
      </c>
      <c r="K372" s="33">
        <v>13</v>
      </c>
      <c r="L372" t="s">
        <v>4818</v>
      </c>
      <c r="M372" t="s">
        <v>4067</v>
      </c>
      <c r="N372" s="966"/>
      <c r="O372" s="984">
        <v>117</v>
      </c>
      <c r="P372" t="s">
        <v>4785</v>
      </c>
    </row>
    <row r="373" spans="1:16">
      <c r="B373" t="s">
        <v>4894</v>
      </c>
      <c r="C373" s="33">
        <v>16</v>
      </c>
      <c r="D373" t="s">
        <v>4819</v>
      </c>
      <c r="E373" t="s">
        <v>4067</v>
      </c>
      <c r="F373" s="966">
        <f>+Transmission!J130</f>
        <v>46668.032578042963</v>
      </c>
      <c r="G373" s="984">
        <v>117</v>
      </c>
      <c r="H373" t="s">
        <v>4785</v>
      </c>
      <c r="I373"/>
      <c r="J373" t="s">
        <v>4894</v>
      </c>
      <c r="K373" s="33">
        <v>16</v>
      </c>
      <c r="L373" t="s">
        <v>4819</v>
      </c>
      <c r="M373" t="s">
        <v>4067</v>
      </c>
      <c r="N373" s="445"/>
      <c r="O373" s="984">
        <v>117</v>
      </c>
      <c r="P373" t="s">
        <v>4785</v>
      </c>
    </row>
    <row r="374" spans="1:16">
      <c r="B374" s="297" t="s">
        <v>4894</v>
      </c>
      <c r="C374" s="529">
        <v>17</v>
      </c>
      <c r="D374" s="297" t="s">
        <v>3125</v>
      </c>
      <c r="E374" s="297" t="s">
        <v>4067</v>
      </c>
      <c r="F374" s="970">
        <f>+Transmission!J131</f>
        <v>77381.677112735357</v>
      </c>
      <c r="G374" s="980">
        <v>117</v>
      </c>
      <c r="H374" s="297" t="s">
        <v>4785</v>
      </c>
      <c r="I374" s="297"/>
      <c r="J374" s="297" t="s">
        <v>4894</v>
      </c>
      <c r="K374" s="529">
        <v>17</v>
      </c>
      <c r="L374" s="297" t="s">
        <v>3125</v>
      </c>
      <c r="M374" s="297" t="s">
        <v>4067</v>
      </c>
      <c r="N374" s="970"/>
      <c r="O374" s="980">
        <v>117</v>
      </c>
      <c r="P374" s="297" t="s">
        <v>4785</v>
      </c>
    </row>
    <row r="375" spans="1:16">
      <c r="A375" t="s">
        <v>1762</v>
      </c>
      <c r="B375" t="s">
        <v>4894</v>
      </c>
      <c r="C375" s="33">
        <v>22</v>
      </c>
      <c r="D375" t="s">
        <v>4819</v>
      </c>
      <c r="E375" t="s">
        <v>4067</v>
      </c>
      <c r="F375" s="445">
        <f>+Distribution!E107</f>
        <v>92545.866450000001</v>
      </c>
      <c r="G375" s="984">
        <v>105</v>
      </c>
      <c r="H375" t="s">
        <v>4786</v>
      </c>
      <c r="I375"/>
      <c r="J375" t="s">
        <v>4894</v>
      </c>
      <c r="K375" s="33">
        <v>22</v>
      </c>
      <c r="L375" t="s">
        <v>4819</v>
      </c>
      <c r="M375" t="s">
        <v>4067</v>
      </c>
      <c r="N375" s="445"/>
      <c r="O375" s="984">
        <v>105</v>
      </c>
      <c r="P375" t="s">
        <v>4786</v>
      </c>
    </row>
    <row r="376" spans="1:16">
      <c r="B376" t="s">
        <v>4894</v>
      </c>
      <c r="C376" s="33">
        <v>24</v>
      </c>
      <c r="D376" t="s">
        <v>4857</v>
      </c>
      <c r="E376" t="s">
        <v>4071</v>
      </c>
      <c r="F376" s="445">
        <f>+Distribution!E111</f>
        <v>14631.668475942406</v>
      </c>
      <c r="G376" s="984">
        <v>310</v>
      </c>
      <c r="H376" t="s">
        <v>4821</v>
      </c>
      <c r="I376"/>
      <c r="J376" t="s">
        <v>4894</v>
      </c>
      <c r="K376" s="33">
        <v>24</v>
      </c>
      <c r="L376" t="s">
        <v>4857</v>
      </c>
      <c r="M376" t="s">
        <v>4071</v>
      </c>
      <c r="N376" s="445"/>
      <c r="O376" s="984">
        <v>310</v>
      </c>
      <c r="P376" t="s">
        <v>4821</v>
      </c>
    </row>
    <row r="377" spans="1:16">
      <c r="B377" t="s">
        <v>4894</v>
      </c>
      <c r="C377" s="33">
        <v>25</v>
      </c>
      <c r="D377" t="s">
        <v>4858</v>
      </c>
      <c r="E377" t="s">
        <v>4067</v>
      </c>
      <c r="F377" s="445">
        <f>+Distribution!E112</f>
        <v>137305.75619418611</v>
      </c>
      <c r="G377" s="984">
        <v>105</v>
      </c>
      <c r="H377" t="s">
        <v>4786</v>
      </c>
      <c r="I377"/>
      <c r="J377" t="s">
        <v>4894</v>
      </c>
      <c r="K377" s="33">
        <v>25</v>
      </c>
      <c r="L377" t="s">
        <v>4858</v>
      </c>
      <c r="M377" t="s">
        <v>4067</v>
      </c>
      <c r="N377" s="445"/>
      <c r="O377" s="984">
        <v>105</v>
      </c>
      <c r="P377" t="s">
        <v>4786</v>
      </c>
    </row>
    <row r="378" spans="1:16">
      <c r="B378" t="s">
        <v>4894</v>
      </c>
      <c r="C378" s="33">
        <v>26</v>
      </c>
      <c r="D378" t="s">
        <v>4859</v>
      </c>
      <c r="E378" t="s">
        <v>4071</v>
      </c>
      <c r="F378" s="445">
        <f>+Distribution!E113</f>
        <v>0</v>
      </c>
      <c r="G378" s="984">
        <v>418</v>
      </c>
      <c r="H378" t="s">
        <v>4824</v>
      </c>
      <c r="I378"/>
      <c r="J378" t="s">
        <v>4894</v>
      </c>
      <c r="K378" s="33">
        <v>26</v>
      </c>
      <c r="L378" t="s">
        <v>4859</v>
      </c>
      <c r="M378" t="s">
        <v>4071</v>
      </c>
      <c r="N378" s="445"/>
      <c r="O378" s="984">
        <v>418</v>
      </c>
      <c r="P378" t="s">
        <v>4824</v>
      </c>
    </row>
    <row r="379" spans="1:16">
      <c r="B379" t="s">
        <v>4894</v>
      </c>
      <c r="C379" s="33">
        <v>27</v>
      </c>
      <c r="D379" t="s">
        <v>4860</v>
      </c>
      <c r="E379" t="s">
        <v>4067</v>
      </c>
      <c r="F379" s="445">
        <f>+Distribution!E114</f>
        <v>41236.554519871468</v>
      </c>
      <c r="G379" s="984">
        <v>106</v>
      </c>
      <c r="H379" t="s">
        <v>4788</v>
      </c>
      <c r="I379"/>
      <c r="J379" t="s">
        <v>4894</v>
      </c>
      <c r="K379" s="33">
        <v>27</v>
      </c>
      <c r="L379" t="s">
        <v>4860</v>
      </c>
      <c r="M379" t="s">
        <v>4067</v>
      </c>
      <c r="N379" s="445"/>
      <c r="O379" s="984">
        <v>106</v>
      </c>
      <c r="P379" t="s">
        <v>4788</v>
      </c>
    </row>
    <row r="380" spans="1:16">
      <c r="B380" t="s">
        <v>4894</v>
      </c>
      <c r="C380" s="33">
        <v>28</v>
      </c>
      <c r="D380" t="s">
        <v>4861</v>
      </c>
      <c r="E380" t="s">
        <v>4071</v>
      </c>
      <c r="F380" s="445">
        <f>+Distribution!E115</f>
        <v>0</v>
      </c>
      <c r="G380" s="984">
        <v>420</v>
      </c>
      <c r="H380" t="s">
        <v>4781</v>
      </c>
      <c r="I380"/>
      <c r="J380" t="s">
        <v>4894</v>
      </c>
      <c r="K380" s="33">
        <v>28</v>
      </c>
      <c r="L380" t="s">
        <v>4861</v>
      </c>
      <c r="M380" t="s">
        <v>4071</v>
      </c>
      <c r="N380" s="445"/>
      <c r="O380" s="984">
        <v>420</v>
      </c>
      <c r="P380" t="s">
        <v>4781</v>
      </c>
    </row>
    <row r="381" spans="1:16">
      <c r="B381" t="s">
        <v>4894</v>
      </c>
      <c r="C381" s="33">
        <v>31</v>
      </c>
      <c r="D381" t="s">
        <v>4820</v>
      </c>
      <c r="E381" t="s">
        <v>4071</v>
      </c>
      <c r="F381" s="445">
        <f>+Distribution!E118</f>
        <v>2332.0188410518558</v>
      </c>
      <c r="G381" s="984">
        <v>310</v>
      </c>
      <c r="H381" t="s">
        <v>4821</v>
      </c>
      <c r="I381"/>
      <c r="J381" t="s">
        <v>4894</v>
      </c>
      <c r="K381" s="33">
        <v>31</v>
      </c>
      <c r="L381" t="s">
        <v>4820</v>
      </c>
      <c r="M381" t="s">
        <v>4071</v>
      </c>
      <c r="N381" s="445"/>
      <c r="O381" s="984">
        <v>310</v>
      </c>
      <c r="P381" t="s">
        <v>4821</v>
      </c>
    </row>
    <row r="382" spans="1:16">
      <c r="B382" t="s">
        <v>4894</v>
      </c>
      <c r="C382" s="33">
        <v>32</v>
      </c>
      <c r="D382" t="s">
        <v>4822</v>
      </c>
      <c r="E382" t="s">
        <v>4067</v>
      </c>
      <c r="F382" s="445">
        <f>+Distribution!E119</f>
        <v>129229.6256603201</v>
      </c>
      <c r="G382" s="984">
        <v>105</v>
      </c>
      <c r="H382" t="s">
        <v>4786</v>
      </c>
      <c r="I382"/>
      <c r="J382" t="s">
        <v>4894</v>
      </c>
      <c r="K382" s="33">
        <v>32</v>
      </c>
      <c r="L382" t="s">
        <v>4822</v>
      </c>
      <c r="M382" t="s">
        <v>4067</v>
      </c>
      <c r="N382" s="445"/>
      <c r="O382" s="984">
        <v>105</v>
      </c>
      <c r="P382" t="s">
        <v>4786</v>
      </c>
    </row>
    <row r="383" spans="1:16">
      <c r="B383" t="s">
        <v>4894</v>
      </c>
      <c r="C383" s="33">
        <v>33</v>
      </c>
      <c r="D383" t="s">
        <v>4823</v>
      </c>
      <c r="E383" t="s">
        <v>4071</v>
      </c>
      <c r="F383" s="445">
        <f>+Distribution!E120</f>
        <v>0</v>
      </c>
      <c r="G383" s="984">
        <v>418</v>
      </c>
      <c r="H383" t="s">
        <v>4824</v>
      </c>
      <c r="I383"/>
      <c r="J383" t="s">
        <v>4894</v>
      </c>
      <c r="K383" s="33">
        <v>33</v>
      </c>
      <c r="L383" t="s">
        <v>4823</v>
      </c>
      <c r="M383" t="s">
        <v>4071</v>
      </c>
      <c r="N383" s="445"/>
      <c r="O383" s="984">
        <v>418</v>
      </c>
      <c r="P383" t="s">
        <v>4824</v>
      </c>
    </row>
    <row r="384" spans="1:16">
      <c r="B384" t="s">
        <v>4894</v>
      </c>
      <c r="C384" s="33">
        <v>34</v>
      </c>
      <c r="D384" t="s">
        <v>4825</v>
      </c>
      <c r="E384" t="s">
        <v>4067</v>
      </c>
      <c r="F384" s="445">
        <f>+Distribution!E121</f>
        <v>19659.49503862804</v>
      </c>
      <c r="G384" s="984">
        <v>106</v>
      </c>
      <c r="H384" t="s">
        <v>4788</v>
      </c>
      <c r="I384"/>
      <c r="J384" t="s">
        <v>4894</v>
      </c>
      <c r="K384" s="33">
        <v>34</v>
      </c>
      <c r="L384" t="s">
        <v>4825</v>
      </c>
      <c r="M384" t="s">
        <v>4067</v>
      </c>
      <c r="N384" s="445"/>
      <c r="O384" s="984">
        <v>106</v>
      </c>
      <c r="P384" t="s">
        <v>4788</v>
      </c>
    </row>
    <row r="385" spans="1:16">
      <c r="B385" t="s">
        <v>4894</v>
      </c>
      <c r="C385" s="33">
        <v>35</v>
      </c>
      <c r="D385" t="s">
        <v>4886</v>
      </c>
      <c r="E385" t="s">
        <v>4071</v>
      </c>
      <c r="F385" s="445">
        <f>+Distribution!E122</f>
        <v>0</v>
      </c>
      <c r="G385" s="984">
        <v>420</v>
      </c>
      <c r="H385" t="s">
        <v>4781</v>
      </c>
      <c r="I385"/>
      <c r="J385" t="s">
        <v>4894</v>
      </c>
      <c r="K385" s="33">
        <v>35</v>
      </c>
      <c r="L385" t="s">
        <v>4826</v>
      </c>
      <c r="M385" t="s">
        <v>4071</v>
      </c>
      <c r="N385" s="445"/>
      <c r="O385" s="984">
        <v>420</v>
      </c>
      <c r="P385" t="s">
        <v>4781</v>
      </c>
    </row>
    <row r="386" spans="1:16">
      <c r="B386" t="s">
        <v>4894</v>
      </c>
      <c r="C386" s="33">
        <v>38</v>
      </c>
      <c r="D386" t="s">
        <v>4827</v>
      </c>
      <c r="E386" t="s">
        <v>4071</v>
      </c>
      <c r="F386" s="445">
        <f>+Distribution!E125</f>
        <v>72.255280302396912</v>
      </c>
      <c r="G386" s="984">
        <v>310</v>
      </c>
      <c r="H386" t="s">
        <v>4821</v>
      </c>
      <c r="I386"/>
      <c r="J386" t="s">
        <v>4894</v>
      </c>
      <c r="K386" s="33">
        <v>38</v>
      </c>
      <c r="L386" t="s">
        <v>4827</v>
      </c>
      <c r="M386" t="s">
        <v>4071</v>
      </c>
      <c r="N386" s="445"/>
      <c r="O386" s="984">
        <v>310</v>
      </c>
      <c r="P386" t="s">
        <v>4821</v>
      </c>
    </row>
    <row r="387" spans="1:16">
      <c r="B387" t="s">
        <v>4894</v>
      </c>
      <c r="C387" s="33">
        <v>39</v>
      </c>
      <c r="D387" t="s">
        <v>4828</v>
      </c>
      <c r="E387" t="s">
        <v>4067</v>
      </c>
      <c r="F387" s="445">
        <f>+Distribution!E126</f>
        <v>141098.14499999696</v>
      </c>
      <c r="G387" s="984">
        <v>105</v>
      </c>
      <c r="H387" t="s">
        <v>4786</v>
      </c>
      <c r="I387"/>
      <c r="J387" t="s">
        <v>4894</v>
      </c>
      <c r="K387" s="33">
        <v>39</v>
      </c>
      <c r="L387" t="s">
        <v>4828</v>
      </c>
      <c r="M387" t="s">
        <v>4067</v>
      </c>
      <c r="N387" s="445"/>
      <c r="O387" s="984">
        <v>105</v>
      </c>
      <c r="P387" t="s">
        <v>4786</v>
      </c>
    </row>
    <row r="388" spans="1:16">
      <c r="B388" t="s">
        <v>4894</v>
      </c>
      <c r="C388" s="33">
        <v>40</v>
      </c>
      <c r="D388" t="s">
        <v>4829</v>
      </c>
      <c r="E388" t="s">
        <v>4071</v>
      </c>
      <c r="F388" s="445">
        <f>+Distribution!E127</f>
        <v>0</v>
      </c>
      <c r="G388" s="984">
        <v>418</v>
      </c>
      <c r="H388" t="s">
        <v>4824</v>
      </c>
      <c r="I388"/>
      <c r="J388" t="s">
        <v>4894</v>
      </c>
      <c r="K388" s="33">
        <v>40</v>
      </c>
      <c r="L388" t="s">
        <v>4829</v>
      </c>
      <c r="M388" t="s">
        <v>4071</v>
      </c>
      <c r="N388" s="445"/>
      <c r="O388" s="984">
        <v>418</v>
      </c>
      <c r="P388" t="s">
        <v>4824</v>
      </c>
    </row>
    <row r="389" spans="1:16">
      <c r="B389" t="s">
        <v>4894</v>
      </c>
      <c r="C389" s="33">
        <v>41</v>
      </c>
      <c r="D389" t="s">
        <v>4830</v>
      </c>
      <c r="E389" t="s">
        <v>4067</v>
      </c>
      <c r="F389" s="445">
        <f>+Distribution!E128</f>
        <v>10758.21235970067</v>
      </c>
      <c r="G389" s="984">
        <v>106</v>
      </c>
      <c r="H389" t="s">
        <v>4788</v>
      </c>
      <c r="I389"/>
      <c r="J389" t="s">
        <v>4894</v>
      </c>
      <c r="K389" s="33">
        <v>41</v>
      </c>
      <c r="L389" t="s">
        <v>4830</v>
      </c>
      <c r="M389" t="s">
        <v>4067</v>
      </c>
      <c r="N389" s="445"/>
      <c r="O389" s="984">
        <v>106</v>
      </c>
      <c r="P389" t="s">
        <v>4788</v>
      </c>
    </row>
    <row r="390" spans="1:16">
      <c r="B390" t="s">
        <v>4894</v>
      </c>
      <c r="C390" s="33">
        <v>42</v>
      </c>
      <c r="D390" t="s">
        <v>4831</v>
      </c>
      <c r="E390" t="s">
        <v>4071</v>
      </c>
      <c r="F390" s="445">
        <f>+Distribution!E129</f>
        <v>0</v>
      </c>
      <c r="G390" s="984">
        <v>420</v>
      </c>
      <c r="H390" t="s">
        <v>4781</v>
      </c>
      <c r="I390"/>
      <c r="J390" t="s">
        <v>4894</v>
      </c>
      <c r="K390" s="33">
        <v>42</v>
      </c>
      <c r="L390" t="s">
        <v>4831</v>
      </c>
      <c r="M390" t="s">
        <v>4071</v>
      </c>
      <c r="N390" s="445"/>
      <c r="O390" s="984">
        <v>420</v>
      </c>
      <c r="P390" t="s">
        <v>4781</v>
      </c>
    </row>
    <row r="391" spans="1:16">
      <c r="B391" t="s">
        <v>4894</v>
      </c>
      <c r="C391" s="33">
        <v>45</v>
      </c>
      <c r="D391" t="s">
        <v>4832</v>
      </c>
      <c r="E391" t="s">
        <v>4071</v>
      </c>
      <c r="F391" s="445">
        <f>+Distribution!E132</f>
        <v>0</v>
      </c>
      <c r="G391" s="984">
        <v>310</v>
      </c>
      <c r="H391" t="s">
        <v>4821</v>
      </c>
      <c r="I391"/>
      <c r="J391" t="s">
        <v>4894</v>
      </c>
      <c r="K391" s="33">
        <v>45</v>
      </c>
      <c r="L391" t="s">
        <v>4832</v>
      </c>
      <c r="M391" t="s">
        <v>4071</v>
      </c>
      <c r="N391" s="445"/>
      <c r="O391" s="984">
        <v>310</v>
      </c>
      <c r="P391" t="s">
        <v>4821</v>
      </c>
    </row>
    <row r="392" spans="1:16">
      <c r="B392" t="s">
        <v>4894</v>
      </c>
      <c r="C392" s="33">
        <v>46</v>
      </c>
      <c r="D392" t="s">
        <v>4833</v>
      </c>
      <c r="E392" t="s">
        <v>4067</v>
      </c>
      <c r="F392" s="445">
        <f>+Distribution!E133</f>
        <v>61807.293146566983</v>
      </c>
      <c r="G392" s="984">
        <v>105</v>
      </c>
      <c r="H392" t="s">
        <v>4786</v>
      </c>
      <c r="I392"/>
      <c r="J392" t="s">
        <v>4894</v>
      </c>
      <c r="K392" s="33">
        <v>46</v>
      </c>
      <c r="L392" t="s">
        <v>4833</v>
      </c>
      <c r="M392" t="s">
        <v>4067</v>
      </c>
      <c r="N392" s="445"/>
      <c r="O392" s="984">
        <v>105</v>
      </c>
      <c r="P392" t="s">
        <v>4786</v>
      </c>
    </row>
    <row r="393" spans="1:16">
      <c r="B393" t="s">
        <v>4894</v>
      </c>
      <c r="C393" s="33">
        <v>47</v>
      </c>
      <c r="D393" t="s">
        <v>4834</v>
      </c>
      <c r="E393" t="s">
        <v>4071</v>
      </c>
      <c r="F393" s="445">
        <f>+Distribution!E134</f>
        <v>0</v>
      </c>
      <c r="G393" s="984">
        <v>418</v>
      </c>
      <c r="H393" t="s">
        <v>4824</v>
      </c>
      <c r="I393"/>
      <c r="J393" t="s">
        <v>4894</v>
      </c>
      <c r="K393" s="33">
        <v>47</v>
      </c>
      <c r="L393" t="s">
        <v>4834</v>
      </c>
      <c r="M393" t="s">
        <v>4071</v>
      </c>
      <c r="N393" s="445"/>
      <c r="O393" s="984">
        <v>418</v>
      </c>
      <c r="P393" t="s">
        <v>4824</v>
      </c>
    </row>
    <row r="394" spans="1:16">
      <c r="B394" t="s">
        <v>4894</v>
      </c>
      <c r="C394" s="33">
        <v>48</v>
      </c>
      <c r="D394" t="s">
        <v>4835</v>
      </c>
      <c r="E394" t="s">
        <v>4067</v>
      </c>
      <c r="F394" s="445">
        <f>+Distribution!E135</f>
        <v>313998.53075343295</v>
      </c>
      <c r="G394" s="984">
        <v>106</v>
      </c>
      <c r="H394" t="s">
        <v>4788</v>
      </c>
      <c r="I394"/>
      <c r="J394" t="s">
        <v>4894</v>
      </c>
      <c r="K394" s="33">
        <v>48</v>
      </c>
      <c r="L394" t="s">
        <v>4835</v>
      </c>
      <c r="M394" t="s">
        <v>4067</v>
      </c>
      <c r="N394" s="445"/>
      <c r="O394" s="984">
        <v>106</v>
      </c>
      <c r="P394" t="s">
        <v>4788</v>
      </c>
    </row>
    <row r="395" spans="1:16">
      <c r="B395" t="s">
        <v>4894</v>
      </c>
      <c r="C395" s="33">
        <v>49</v>
      </c>
      <c r="D395" t="s">
        <v>4836</v>
      </c>
      <c r="E395" t="s">
        <v>4071</v>
      </c>
      <c r="F395" s="445">
        <f>+Distribution!E136</f>
        <v>0</v>
      </c>
      <c r="G395" s="984">
        <v>420</v>
      </c>
      <c r="H395" t="s">
        <v>4781</v>
      </c>
      <c r="I395"/>
      <c r="J395" t="s">
        <v>4894</v>
      </c>
      <c r="K395" s="33">
        <v>49</v>
      </c>
      <c r="L395" t="s">
        <v>4836</v>
      </c>
      <c r="M395" t="s">
        <v>4071</v>
      </c>
      <c r="N395" s="445"/>
      <c r="O395" s="984">
        <v>420</v>
      </c>
      <c r="P395" t="s">
        <v>4781</v>
      </c>
    </row>
    <row r="396" spans="1:16">
      <c r="B396" t="s">
        <v>4894</v>
      </c>
      <c r="C396" s="33">
        <v>52</v>
      </c>
      <c r="D396" t="s">
        <v>4060</v>
      </c>
      <c r="E396" t="s">
        <v>4071</v>
      </c>
      <c r="F396" s="445">
        <f>+Distribution!E139</f>
        <v>143574.07361000002</v>
      </c>
      <c r="G396" s="984">
        <v>420</v>
      </c>
      <c r="H396" t="s">
        <v>4781</v>
      </c>
      <c r="I396"/>
      <c r="J396" t="s">
        <v>4894</v>
      </c>
      <c r="K396" s="33">
        <v>52</v>
      </c>
      <c r="L396" t="s">
        <v>4060</v>
      </c>
      <c r="M396" t="s">
        <v>4071</v>
      </c>
      <c r="N396" s="445"/>
      <c r="O396" s="984">
        <v>420</v>
      </c>
      <c r="P396" t="s">
        <v>4781</v>
      </c>
    </row>
    <row r="397" spans="1:16">
      <c r="B397" t="s">
        <v>4894</v>
      </c>
      <c r="C397" s="33">
        <v>53</v>
      </c>
      <c r="D397" t="s">
        <v>4053</v>
      </c>
      <c r="E397" t="s">
        <v>4071</v>
      </c>
      <c r="F397" s="445">
        <f>+Distribution!E140</f>
        <v>25380.59634</v>
      </c>
      <c r="G397" s="984">
        <v>308</v>
      </c>
      <c r="H397" t="s">
        <v>4837</v>
      </c>
      <c r="I397"/>
      <c r="J397" t="s">
        <v>4894</v>
      </c>
      <c r="K397" s="33">
        <v>53</v>
      </c>
      <c r="L397" t="s">
        <v>4053</v>
      </c>
      <c r="M397" t="s">
        <v>4071</v>
      </c>
      <c r="N397" s="445"/>
      <c r="O397" s="984">
        <v>308</v>
      </c>
      <c r="P397" t="s">
        <v>4837</v>
      </c>
    </row>
    <row r="398" spans="1:16">
      <c r="B398" t="s">
        <v>4894</v>
      </c>
      <c r="C398" s="33">
        <v>54</v>
      </c>
      <c r="D398" t="s">
        <v>4862</v>
      </c>
      <c r="E398" t="s">
        <v>4071</v>
      </c>
      <c r="F398" s="445">
        <f>+Distribution!E141</f>
        <v>0</v>
      </c>
      <c r="G398" s="984">
        <v>412</v>
      </c>
      <c r="H398" t="s">
        <v>4795</v>
      </c>
      <c r="I398"/>
      <c r="J398" t="s">
        <v>4894</v>
      </c>
      <c r="K398" s="33">
        <v>54</v>
      </c>
      <c r="L398" t="s">
        <v>4862</v>
      </c>
      <c r="M398" t="s">
        <v>4071</v>
      </c>
      <c r="N398" s="445"/>
      <c r="O398" s="984">
        <v>309</v>
      </c>
      <c r="P398" t="s">
        <v>4839</v>
      </c>
    </row>
    <row r="399" spans="1:16">
      <c r="B399" s="297" t="s">
        <v>4894</v>
      </c>
      <c r="C399" s="529">
        <v>55</v>
      </c>
      <c r="D399" s="297" t="s">
        <v>4840</v>
      </c>
      <c r="E399" s="297" t="s">
        <v>4071</v>
      </c>
      <c r="F399" s="970">
        <f>+Distribution!E142</f>
        <v>132134.3505</v>
      </c>
      <c r="G399" s="980">
        <v>310</v>
      </c>
      <c r="H399" s="297" t="s">
        <v>4821</v>
      </c>
      <c r="I399" s="297"/>
      <c r="J399" s="297" t="s">
        <v>4894</v>
      </c>
      <c r="K399" s="529">
        <v>55</v>
      </c>
      <c r="L399" s="297" t="s">
        <v>4840</v>
      </c>
      <c r="M399" s="297" t="s">
        <v>4071</v>
      </c>
      <c r="N399" s="970"/>
      <c r="O399" s="980">
        <v>310</v>
      </c>
      <c r="P399" s="297" t="s">
        <v>4821</v>
      </c>
    </row>
    <row r="400" spans="1:16">
      <c r="A400" t="s">
        <v>4863</v>
      </c>
      <c r="B400" t="s">
        <v>4894</v>
      </c>
      <c r="C400" s="33">
        <v>75</v>
      </c>
      <c r="D400" t="s">
        <v>1528</v>
      </c>
      <c r="E400" t="s">
        <v>4067</v>
      </c>
      <c r="F400" s="966">
        <f>+'Communications Equipment'!I53</f>
        <v>13815.640279301399</v>
      </c>
      <c r="G400" s="984">
        <v>101</v>
      </c>
      <c r="H400" t="s">
        <v>4783</v>
      </c>
      <c r="I400"/>
      <c r="J400" t="s">
        <v>4894</v>
      </c>
      <c r="K400" s="33">
        <v>75</v>
      </c>
      <c r="L400" t="s">
        <v>1528</v>
      </c>
      <c r="M400" t="s">
        <v>4067</v>
      </c>
      <c r="N400" s="445"/>
      <c r="O400" s="984">
        <v>122</v>
      </c>
      <c r="P400" t="s">
        <v>4784</v>
      </c>
    </row>
    <row r="401" spans="1:16">
      <c r="B401" t="s">
        <v>4894</v>
      </c>
      <c r="C401" s="33">
        <v>76</v>
      </c>
      <c r="D401" t="s">
        <v>1528</v>
      </c>
      <c r="E401" t="s">
        <v>2067</v>
      </c>
      <c r="F401" s="966">
        <f>+'Communications Equipment'!I54</f>
        <v>3432.7320436592199</v>
      </c>
      <c r="G401" s="984">
        <v>201</v>
      </c>
      <c r="H401" t="s">
        <v>4790</v>
      </c>
      <c r="I401"/>
      <c r="J401" t="s">
        <v>4894</v>
      </c>
      <c r="K401" s="33">
        <v>76</v>
      </c>
      <c r="L401" t="s">
        <v>1528</v>
      </c>
      <c r="M401" t="s">
        <v>2067</v>
      </c>
      <c r="N401" s="445"/>
      <c r="O401" s="984">
        <v>201</v>
      </c>
      <c r="P401" t="s">
        <v>4790</v>
      </c>
    </row>
    <row r="402" spans="1:16">
      <c r="A402" s="512"/>
      <c r="B402" t="s">
        <v>4894</v>
      </c>
      <c r="C402" s="33">
        <v>77</v>
      </c>
      <c r="D402" t="s">
        <v>1529</v>
      </c>
      <c r="E402" t="s">
        <v>4067</v>
      </c>
      <c r="F402" s="966">
        <f>+'Communications Equipment'!I55</f>
        <v>2603.9579505471925</v>
      </c>
      <c r="G402" s="984">
        <v>117</v>
      </c>
      <c r="H402" t="s">
        <v>4785</v>
      </c>
      <c r="I402"/>
      <c r="J402" t="s">
        <v>4894</v>
      </c>
      <c r="K402" s="33">
        <v>77</v>
      </c>
      <c r="L402" t="s">
        <v>1529</v>
      </c>
      <c r="M402" t="s">
        <v>4067</v>
      </c>
      <c r="N402" s="445"/>
      <c r="O402" s="984">
        <v>117</v>
      </c>
      <c r="P402" t="s">
        <v>4785</v>
      </c>
    </row>
    <row r="403" spans="1:16">
      <c r="B403" t="s">
        <v>4894</v>
      </c>
      <c r="C403" s="33">
        <v>78</v>
      </c>
      <c r="D403" t="s">
        <v>1953</v>
      </c>
      <c r="E403" t="s">
        <v>4067</v>
      </c>
      <c r="F403" s="966">
        <f>+'Communications Equipment'!I56</f>
        <v>2096.1895225654221</v>
      </c>
      <c r="G403" s="984">
        <v>117</v>
      </c>
      <c r="H403" t="s">
        <v>4785</v>
      </c>
      <c r="I403"/>
      <c r="J403" t="s">
        <v>4894</v>
      </c>
      <c r="K403" s="33">
        <v>78</v>
      </c>
      <c r="L403" t="s">
        <v>1953</v>
      </c>
      <c r="M403" t="s">
        <v>4067</v>
      </c>
      <c r="N403" s="445"/>
      <c r="O403" s="984">
        <v>117</v>
      </c>
      <c r="P403" t="s">
        <v>4785</v>
      </c>
    </row>
    <row r="404" spans="1:16">
      <c r="B404" t="s">
        <v>4894</v>
      </c>
      <c r="C404" s="33">
        <v>79</v>
      </c>
      <c r="D404" t="s">
        <v>2040</v>
      </c>
      <c r="E404" t="s">
        <v>4067</v>
      </c>
      <c r="F404" s="966">
        <f>+'Communications Equipment'!I57</f>
        <v>12653.366061707286</v>
      </c>
      <c r="G404" s="984">
        <v>105</v>
      </c>
      <c r="H404" t="s">
        <v>4786</v>
      </c>
      <c r="I404"/>
      <c r="J404" t="s">
        <v>4894</v>
      </c>
      <c r="K404" s="33">
        <v>79</v>
      </c>
      <c r="L404" t="s">
        <v>2040</v>
      </c>
      <c r="M404" t="s">
        <v>4067</v>
      </c>
      <c r="N404" s="445"/>
      <c r="O404" s="984">
        <v>105</v>
      </c>
      <c r="P404" t="s">
        <v>4786</v>
      </c>
    </row>
    <row r="405" spans="1:16">
      <c r="B405" t="s">
        <v>4894</v>
      </c>
      <c r="C405" s="33">
        <v>80</v>
      </c>
      <c r="D405" t="s">
        <v>4787</v>
      </c>
      <c r="E405" t="s">
        <v>4067</v>
      </c>
      <c r="F405" s="966">
        <f>+'Communications Equipment'!I58</f>
        <v>4111.8827844071548</v>
      </c>
      <c r="G405" s="984">
        <v>106</v>
      </c>
      <c r="H405" t="s">
        <v>4788</v>
      </c>
      <c r="I405"/>
      <c r="J405" t="s">
        <v>4894</v>
      </c>
      <c r="K405" s="33">
        <v>80</v>
      </c>
      <c r="L405" t="s">
        <v>4787</v>
      </c>
      <c r="M405" t="s">
        <v>4067</v>
      </c>
      <c r="N405" s="445"/>
      <c r="O405" s="984">
        <v>106</v>
      </c>
      <c r="P405" t="s">
        <v>4788</v>
      </c>
    </row>
    <row r="406" spans="1:16">
      <c r="B406" t="s">
        <v>4894</v>
      </c>
      <c r="C406" s="33">
        <v>81</v>
      </c>
      <c r="D406" t="s">
        <v>1530</v>
      </c>
      <c r="E406" t="s">
        <v>4071</v>
      </c>
      <c r="F406" s="966">
        <f>+'Communications Equipment'!I59</f>
        <v>4876.4131073822145</v>
      </c>
      <c r="G406" s="984">
        <v>907</v>
      </c>
      <c r="H406" t="s">
        <v>4794</v>
      </c>
      <c r="I406"/>
      <c r="J406" t="s">
        <v>4894</v>
      </c>
      <c r="K406" s="33">
        <v>81</v>
      </c>
      <c r="L406" t="s">
        <v>1530</v>
      </c>
      <c r="M406" t="s">
        <v>4071</v>
      </c>
      <c r="N406" s="445"/>
      <c r="O406" s="984">
        <v>907</v>
      </c>
      <c r="P406" t="s">
        <v>4794</v>
      </c>
    </row>
    <row r="407" spans="1:16">
      <c r="B407" s="297" t="s">
        <v>4894</v>
      </c>
      <c r="C407" s="529">
        <v>82</v>
      </c>
      <c r="D407" s="297" t="s">
        <v>2338</v>
      </c>
      <c r="E407" s="297" t="s">
        <v>4071</v>
      </c>
      <c r="F407" s="970">
        <f>+'Communications Equipment'!I60</f>
        <v>6605.2154604301122</v>
      </c>
      <c r="G407" s="980">
        <v>412</v>
      </c>
      <c r="H407" s="297" t="s">
        <v>4795</v>
      </c>
      <c r="I407" s="297"/>
      <c r="J407" s="297" t="s">
        <v>4894</v>
      </c>
      <c r="K407" s="529">
        <v>82</v>
      </c>
      <c r="L407" s="297" t="s">
        <v>2338</v>
      </c>
      <c r="M407" s="297" t="s">
        <v>4071</v>
      </c>
      <c r="N407" s="970"/>
      <c r="O407" s="980">
        <v>412</v>
      </c>
      <c r="P407" s="297" t="s">
        <v>4795</v>
      </c>
    </row>
    <row r="408" spans="1:16">
      <c r="A408" t="s">
        <v>4864</v>
      </c>
      <c r="B408" t="s">
        <v>4894</v>
      </c>
      <c r="C408" s="33">
        <v>86</v>
      </c>
      <c r="D408" t="s">
        <v>1528</v>
      </c>
      <c r="E408" t="s">
        <v>4067</v>
      </c>
      <c r="F408" s="966">
        <f>+'Transportation Equipment'!G40</f>
        <v>2680.6932400000001</v>
      </c>
      <c r="G408" s="984">
        <v>101</v>
      </c>
      <c r="H408" t="s">
        <v>4783</v>
      </c>
      <c r="I408"/>
      <c r="J408" t="s">
        <v>4894</v>
      </c>
      <c r="K408" s="33">
        <v>86</v>
      </c>
      <c r="L408" t="s">
        <v>1528</v>
      </c>
      <c r="M408" t="s">
        <v>4067</v>
      </c>
      <c r="N408" s="445"/>
      <c r="O408" s="984">
        <v>122</v>
      </c>
      <c r="P408" t="s">
        <v>4784</v>
      </c>
    </row>
    <row r="409" spans="1:16">
      <c r="B409" t="s">
        <v>4894</v>
      </c>
      <c r="C409" s="33">
        <v>88</v>
      </c>
      <c r="D409" t="s">
        <v>1529</v>
      </c>
      <c r="E409" t="s">
        <v>4067</v>
      </c>
      <c r="F409" s="966">
        <f>+'Transportation Equipment'!G41</f>
        <v>952.85927294629903</v>
      </c>
      <c r="G409" s="984">
        <v>117</v>
      </c>
      <c r="H409" t="s">
        <v>4785</v>
      </c>
      <c r="I409"/>
      <c r="J409" t="s">
        <v>4894</v>
      </c>
      <c r="K409" s="33">
        <v>88</v>
      </c>
      <c r="L409" t="s">
        <v>1529</v>
      </c>
      <c r="M409" t="s">
        <v>4067</v>
      </c>
      <c r="N409" s="445"/>
      <c r="O409" s="984">
        <v>117</v>
      </c>
      <c r="P409" t="s">
        <v>4785</v>
      </c>
    </row>
    <row r="410" spans="1:16">
      <c r="A410" s="512"/>
      <c r="B410" t="s">
        <v>4894</v>
      </c>
      <c r="C410" s="33">
        <v>89</v>
      </c>
      <c r="D410" t="s">
        <v>1953</v>
      </c>
      <c r="E410" t="s">
        <v>4067</v>
      </c>
      <c r="F410" s="966">
        <f>+'Transportation Equipment'!G42</f>
        <v>2678.9953364120252</v>
      </c>
      <c r="G410" s="984">
        <v>117</v>
      </c>
      <c r="H410" t="s">
        <v>4785</v>
      </c>
      <c r="I410"/>
      <c r="J410" t="s">
        <v>4894</v>
      </c>
      <c r="K410" s="33">
        <v>89</v>
      </c>
      <c r="L410" t="s">
        <v>1953</v>
      </c>
      <c r="M410" t="s">
        <v>4067</v>
      </c>
      <c r="N410" s="445"/>
      <c r="O410" s="984">
        <v>117</v>
      </c>
      <c r="P410" t="s">
        <v>4785</v>
      </c>
    </row>
    <row r="411" spans="1:16">
      <c r="B411" t="s">
        <v>4894</v>
      </c>
      <c r="C411" s="33">
        <v>90</v>
      </c>
      <c r="D411" t="s">
        <v>2040</v>
      </c>
      <c r="E411" t="s">
        <v>4067</v>
      </c>
      <c r="F411" s="966">
        <f>+'Transportation Equipment'!G43</f>
        <v>13156.454642515533</v>
      </c>
      <c r="G411" s="984">
        <v>105</v>
      </c>
      <c r="H411" t="s">
        <v>4786</v>
      </c>
      <c r="I411"/>
      <c r="J411" t="s">
        <v>4894</v>
      </c>
      <c r="K411" s="33">
        <v>90</v>
      </c>
      <c r="L411" t="s">
        <v>2040</v>
      </c>
      <c r="M411" t="s">
        <v>4067</v>
      </c>
      <c r="N411" s="445"/>
      <c r="O411" s="984">
        <v>105</v>
      </c>
      <c r="P411" t="s">
        <v>4786</v>
      </c>
    </row>
    <row r="412" spans="1:16">
      <c r="B412" t="s">
        <v>4894</v>
      </c>
      <c r="C412" s="33">
        <v>91</v>
      </c>
      <c r="D412" t="s">
        <v>4787</v>
      </c>
      <c r="E412" t="s">
        <v>4067</v>
      </c>
      <c r="F412" s="966">
        <f>+'Transportation Equipment'!G44</f>
        <v>2269.5853899717054</v>
      </c>
      <c r="G412" s="984">
        <v>106</v>
      </c>
      <c r="H412" t="s">
        <v>4788</v>
      </c>
      <c r="I412"/>
      <c r="J412" t="s">
        <v>4894</v>
      </c>
      <c r="K412" s="33">
        <v>91</v>
      </c>
      <c r="L412" t="s">
        <v>4787</v>
      </c>
      <c r="M412" t="s">
        <v>4067</v>
      </c>
      <c r="N412" s="445"/>
      <c r="O412" s="984">
        <v>106</v>
      </c>
      <c r="P412" t="s">
        <v>4788</v>
      </c>
    </row>
    <row r="413" spans="1:16">
      <c r="B413" t="s">
        <v>4894</v>
      </c>
      <c r="C413" s="33">
        <v>92</v>
      </c>
      <c r="D413" t="s">
        <v>1530</v>
      </c>
      <c r="E413" t="s">
        <v>4071</v>
      </c>
      <c r="F413" s="966">
        <f>+'Transportation Equipment'!G45</f>
        <v>8433.4309596513831</v>
      </c>
      <c r="G413" s="984">
        <v>907</v>
      </c>
      <c r="H413" t="s">
        <v>4794</v>
      </c>
      <c r="I413"/>
      <c r="J413" t="s">
        <v>4894</v>
      </c>
      <c r="K413" s="33">
        <v>92</v>
      </c>
      <c r="L413" t="s">
        <v>1530</v>
      </c>
      <c r="M413" t="s">
        <v>4071</v>
      </c>
      <c r="N413" s="445"/>
      <c r="O413" s="984">
        <v>907</v>
      </c>
      <c r="P413" t="s">
        <v>4794</v>
      </c>
    </row>
    <row r="414" spans="1:16">
      <c r="B414" s="297" t="s">
        <v>4894</v>
      </c>
      <c r="C414" s="529">
        <v>93</v>
      </c>
      <c r="D414" s="297" t="s">
        <v>2338</v>
      </c>
      <c r="E414" s="297" t="s">
        <v>4071</v>
      </c>
      <c r="F414" s="970">
        <f>+'Transportation Equipment'!G46</f>
        <v>11423.279228503052</v>
      </c>
      <c r="G414" s="980">
        <v>412</v>
      </c>
      <c r="H414" s="297" t="s">
        <v>4795</v>
      </c>
      <c r="I414" s="297"/>
      <c r="J414" s="297" t="s">
        <v>4894</v>
      </c>
      <c r="K414" s="529">
        <v>93</v>
      </c>
      <c r="L414" s="297" t="s">
        <v>2338</v>
      </c>
      <c r="M414" s="297" t="s">
        <v>4071</v>
      </c>
      <c r="N414" s="970"/>
      <c r="O414" s="980">
        <v>412</v>
      </c>
      <c r="P414" s="297" t="s">
        <v>4795</v>
      </c>
    </row>
    <row r="415" spans="1:16">
      <c r="A415" t="s">
        <v>4865</v>
      </c>
      <c r="B415" t="s">
        <v>4894</v>
      </c>
      <c r="C415" s="33">
        <v>97</v>
      </c>
      <c r="D415" t="s">
        <v>1528</v>
      </c>
      <c r="E415" t="s">
        <v>4067</v>
      </c>
      <c r="F415" s="966">
        <f>+'General Plant'!H47-'Allocation Assignment'!F416</f>
        <v>99691.257924697406</v>
      </c>
      <c r="G415" s="984">
        <v>101</v>
      </c>
      <c r="H415" t="s">
        <v>4783</v>
      </c>
      <c r="I415"/>
      <c r="J415" t="s">
        <v>4894</v>
      </c>
      <c r="K415" s="33">
        <v>97</v>
      </c>
      <c r="L415" t="s">
        <v>1528</v>
      </c>
      <c r="M415" t="s">
        <v>4067</v>
      </c>
      <c r="N415" s="445"/>
      <c r="O415" s="984">
        <v>122</v>
      </c>
      <c r="P415" t="s">
        <v>4784</v>
      </c>
    </row>
    <row r="416" spans="1:16" s="763" customFormat="1" ht="13.2">
      <c r="B416" s="763" t="s">
        <v>4894</v>
      </c>
      <c r="C416" s="976">
        <v>98</v>
      </c>
      <c r="D416" s="763" t="s">
        <v>4887</v>
      </c>
      <c r="E416" s="763" t="s">
        <v>4067</v>
      </c>
      <c r="F416" s="966">
        <f>+'General Plant'!I6+'General Plant'!J6</f>
        <v>439.12268</v>
      </c>
      <c r="G416" s="984">
        <v>101</v>
      </c>
      <c r="H416" s="763" t="s">
        <v>4783</v>
      </c>
      <c r="J416" s="763" t="s">
        <v>4894</v>
      </c>
      <c r="K416" s="976">
        <v>98</v>
      </c>
      <c r="L416" s="763" t="s">
        <v>4866</v>
      </c>
      <c r="M416" s="763" t="s">
        <v>4067</v>
      </c>
      <c r="N416" s="445"/>
      <c r="O416" s="984">
        <v>121</v>
      </c>
      <c r="P416" s="763" t="s">
        <v>4816</v>
      </c>
    </row>
    <row r="417" spans="1:16">
      <c r="B417" t="s">
        <v>4894</v>
      </c>
      <c r="C417" s="33">
        <v>99</v>
      </c>
      <c r="D417" t="s">
        <v>1528</v>
      </c>
      <c r="E417" t="s">
        <v>2067</v>
      </c>
      <c r="F417" s="966">
        <f>+'General Plant'!H48</f>
        <v>25438.678738913521</v>
      </c>
      <c r="G417" s="984">
        <v>201</v>
      </c>
      <c r="H417" t="s">
        <v>4790</v>
      </c>
      <c r="I417"/>
      <c r="J417" t="s">
        <v>4894</v>
      </c>
      <c r="K417" s="33">
        <v>99</v>
      </c>
      <c r="L417" t="s">
        <v>1528</v>
      </c>
      <c r="M417" t="s">
        <v>2067</v>
      </c>
      <c r="N417" s="445"/>
      <c r="O417" s="984">
        <v>201</v>
      </c>
      <c r="P417" t="s">
        <v>4790</v>
      </c>
    </row>
    <row r="418" spans="1:16">
      <c r="B418" t="s">
        <v>4894</v>
      </c>
      <c r="C418" s="33">
        <v>100</v>
      </c>
      <c r="D418" t="s">
        <v>1529</v>
      </c>
      <c r="E418" t="s">
        <v>4067</v>
      </c>
      <c r="F418" s="966">
        <f>+'General Plant'!H49</f>
        <v>4083.0021388321447</v>
      </c>
      <c r="G418" s="984">
        <v>117</v>
      </c>
      <c r="H418" t="s">
        <v>4785</v>
      </c>
      <c r="I418"/>
      <c r="J418" t="s">
        <v>4894</v>
      </c>
      <c r="K418" s="33">
        <v>100</v>
      </c>
      <c r="L418" t="s">
        <v>1529</v>
      </c>
      <c r="M418" t="s">
        <v>4067</v>
      </c>
      <c r="N418" s="445"/>
      <c r="O418" s="984">
        <v>117</v>
      </c>
      <c r="P418" t="s">
        <v>4785</v>
      </c>
    </row>
    <row r="419" spans="1:16">
      <c r="A419" s="512"/>
      <c r="B419" t="s">
        <v>4894</v>
      </c>
      <c r="C419" s="33">
        <v>101</v>
      </c>
      <c r="D419" t="s">
        <v>1953</v>
      </c>
      <c r="E419" t="s">
        <v>4067</v>
      </c>
      <c r="F419" s="966">
        <f>+'General Plant'!H50</f>
        <v>11479.495450224891</v>
      </c>
      <c r="G419" s="984">
        <v>117</v>
      </c>
      <c r="H419" t="s">
        <v>4785</v>
      </c>
      <c r="I419"/>
      <c r="J419" t="s">
        <v>4894</v>
      </c>
      <c r="K419" s="33">
        <v>101</v>
      </c>
      <c r="L419" t="s">
        <v>1953</v>
      </c>
      <c r="M419" t="s">
        <v>4067</v>
      </c>
      <c r="N419" s="445"/>
      <c r="O419" s="984">
        <v>117</v>
      </c>
      <c r="P419" t="s">
        <v>4785</v>
      </c>
    </row>
    <row r="420" spans="1:16">
      <c r="B420" t="s">
        <v>4894</v>
      </c>
      <c r="C420" s="33">
        <v>102</v>
      </c>
      <c r="D420" t="s">
        <v>2040</v>
      </c>
      <c r="E420" t="s">
        <v>4067</v>
      </c>
      <c r="F420" s="966">
        <f>+'General Plant'!H51</f>
        <v>58292.843823061834</v>
      </c>
      <c r="G420" s="984">
        <v>105</v>
      </c>
      <c r="H420" t="s">
        <v>4786</v>
      </c>
      <c r="I420"/>
      <c r="J420" t="s">
        <v>4894</v>
      </c>
      <c r="K420" s="33">
        <v>102</v>
      </c>
      <c r="L420" t="s">
        <v>2040</v>
      </c>
      <c r="M420" t="s">
        <v>4067</v>
      </c>
      <c r="N420" s="445"/>
      <c r="O420" s="984">
        <v>105</v>
      </c>
      <c r="P420" t="s">
        <v>4786</v>
      </c>
    </row>
    <row r="421" spans="1:16">
      <c r="B421" t="s">
        <v>4894</v>
      </c>
      <c r="C421" s="33">
        <v>103</v>
      </c>
      <c r="D421" t="s">
        <v>4787</v>
      </c>
      <c r="E421" t="s">
        <v>4067</v>
      </c>
      <c r="F421" s="966">
        <f>+'General Plant'!H52</f>
        <v>9725.1737634492329</v>
      </c>
      <c r="G421" s="984">
        <v>106</v>
      </c>
      <c r="H421" t="s">
        <v>4788</v>
      </c>
      <c r="I421"/>
      <c r="J421" t="s">
        <v>4894</v>
      </c>
      <c r="K421" s="33">
        <v>103</v>
      </c>
      <c r="L421" t="s">
        <v>4787</v>
      </c>
      <c r="M421" t="s">
        <v>4067</v>
      </c>
      <c r="N421" s="445"/>
      <c r="O421" s="984">
        <v>106</v>
      </c>
      <c r="P421" t="s">
        <v>4788</v>
      </c>
    </row>
    <row r="422" spans="1:16">
      <c r="B422" t="s">
        <v>4894</v>
      </c>
      <c r="C422" s="33">
        <v>104</v>
      </c>
      <c r="D422" t="s">
        <v>1530</v>
      </c>
      <c r="E422" t="s">
        <v>4071</v>
      </c>
      <c r="F422" s="966">
        <f>+'General Plant'!H53</f>
        <v>36137.253027384279</v>
      </c>
      <c r="G422" s="984">
        <v>907</v>
      </c>
      <c r="H422" t="s">
        <v>4794</v>
      </c>
      <c r="I422"/>
      <c r="J422" t="s">
        <v>4894</v>
      </c>
      <c r="K422" s="33">
        <v>104</v>
      </c>
      <c r="L422" t="s">
        <v>1530</v>
      </c>
      <c r="M422" t="s">
        <v>4071</v>
      </c>
      <c r="N422" s="445"/>
      <c r="O422" s="984">
        <v>907</v>
      </c>
      <c r="P422" t="s">
        <v>4794</v>
      </c>
    </row>
    <row r="423" spans="1:16">
      <c r="B423" s="297" t="s">
        <v>4894</v>
      </c>
      <c r="C423" s="529">
        <v>105</v>
      </c>
      <c r="D423" s="297" t="s">
        <v>2338</v>
      </c>
      <c r="E423" s="297" t="s">
        <v>4071</v>
      </c>
      <c r="F423" s="970">
        <f>+'General Plant'!H54</f>
        <v>49095.376013436653</v>
      </c>
      <c r="G423" s="980">
        <v>412</v>
      </c>
      <c r="H423" s="297" t="s">
        <v>4795</v>
      </c>
      <c r="I423" s="297"/>
      <c r="J423" s="297" t="s">
        <v>4894</v>
      </c>
      <c r="K423" s="529">
        <v>105</v>
      </c>
      <c r="L423" s="297" t="s">
        <v>2338</v>
      </c>
      <c r="M423" s="297" t="s">
        <v>4071</v>
      </c>
      <c r="N423" s="970"/>
      <c r="O423" s="980">
        <v>412</v>
      </c>
      <c r="P423" s="297" t="s">
        <v>4795</v>
      </c>
    </row>
    <row r="424" spans="1:16">
      <c r="F424" s="445"/>
      <c r="G424" s="984"/>
      <c r="I424"/>
      <c r="N424" s="445"/>
      <c r="O424" s="984"/>
    </row>
    <row r="425" spans="1:16">
      <c r="F425" s="445"/>
      <c r="G425" s="984"/>
      <c r="I425"/>
      <c r="N425" s="445"/>
      <c r="O425" s="984"/>
    </row>
    <row r="426" spans="1:16">
      <c r="F426" s="445"/>
      <c r="G426" s="984"/>
      <c r="I426"/>
      <c r="N426" s="445"/>
      <c r="O426" s="984"/>
    </row>
    <row r="427" spans="1:16">
      <c r="F427" s="445"/>
      <c r="G427" s="984"/>
      <c r="I427"/>
      <c r="N427" s="445"/>
      <c r="O427" s="984"/>
    </row>
    <row r="428" spans="1:16">
      <c r="F428" s="445"/>
      <c r="G428" s="984"/>
      <c r="I428"/>
      <c r="N428" s="445"/>
      <c r="O428" s="984"/>
    </row>
    <row r="429" spans="1:16">
      <c r="F429" s="445"/>
      <c r="G429" s="984"/>
      <c r="I429"/>
      <c r="N429" s="445"/>
      <c r="O429" s="984"/>
    </row>
    <row r="430" spans="1:16">
      <c r="F430" s="445"/>
      <c r="G430" s="984"/>
      <c r="I430"/>
      <c r="N430" s="445"/>
      <c r="O430" s="984"/>
    </row>
    <row r="431" spans="1:16">
      <c r="F431" s="445"/>
      <c r="G431" s="984"/>
      <c r="I431"/>
      <c r="N431" s="445"/>
      <c r="O431" s="984"/>
    </row>
    <row r="432" spans="1:16">
      <c r="F432" s="973" t="s">
        <v>2173</v>
      </c>
      <c r="H432" s="288" t="s">
        <v>4895</v>
      </c>
      <c r="I432"/>
      <c r="N432" s="973" t="s">
        <v>2173</v>
      </c>
      <c r="P432" s="288" t="s">
        <v>4895</v>
      </c>
    </row>
    <row r="433" spans="1:16">
      <c r="F433" s="645" t="s">
        <v>4768</v>
      </c>
      <c r="I433"/>
      <c r="N433" s="645" t="s">
        <v>4769</v>
      </c>
    </row>
    <row r="434" spans="1:16">
      <c r="F434" s="645" t="s">
        <v>9480</v>
      </c>
      <c r="I434"/>
      <c r="N434" s="645" t="s">
        <v>9480</v>
      </c>
    </row>
    <row r="435" spans="1:16">
      <c r="F435" s="645" t="s">
        <v>4770</v>
      </c>
      <c r="I435"/>
      <c r="N435" s="645" t="s">
        <v>4770</v>
      </c>
    </row>
    <row r="436" spans="1:16">
      <c r="F436" s="974" t="s">
        <v>4771</v>
      </c>
      <c r="N436" s="974" t="s">
        <v>4771</v>
      </c>
    </row>
    <row r="437" spans="1:16">
      <c r="I437"/>
    </row>
    <row r="438" spans="1:16">
      <c r="F438" s="645" t="s">
        <v>4772</v>
      </c>
      <c r="I438"/>
      <c r="N438" s="645" t="s">
        <v>4772</v>
      </c>
    </row>
    <row r="439" spans="1:16">
      <c r="F439" s="445"/>
      <c r="G439" s="984"/>
      <c r="I439"/>
      <c r="N439" s="445"/>
      <c r="O439" s="984"/>
    </row>
    <row r="440" spans="1:16">
      <c r="F440" s="445"/>
      <c r="G440" s="984"/>
      <c r="I440"/>
      <c r="N440" s="445"/>
      <c r="O440" s="984"/>
    </row>
    <row r="441" spans="1:16">
      <c r="C441" s="33" t="s">
        <v>2430</v>
      </c>
      <c r="D441" t="s">
        <v>2430</v>
      </c>
      <c r="I441"/>
      <c r="K441" s="33" t="s">
        <v>2182</v>
      </c>
      <c r="L441" s="33" t="s">
        <v>2182</v>
      </c>
    </row>
    <row r="442" spans="1:16">
      <c r="B442" s="297" t="s">
        <v>4868</v>
      </c>
      <c r="C442" s="529" t="s">
        <v>4869</v>
      </c>
      <c r="D442" s="297" t="s">
        <v>2437</v>
      </c>
      <c r="E442" s="297"/>
      <c r="F442" s="506" t="s">
        <v>2963</v>
      </c>
      <c r="G442" s="989"/>
      <c r="H442" s="297"/>
      <c r="I442" s="297"/>
      <c r="J442" s="297" t="s">
        <v>4683</v>
      </c>
      <c r="K442" s="529" t="s">
        <v>3216</v>
      </c>
      <c r="L442" s="529" t="s">
        <v>2052</v>
      </c>
      <c r="M442" s="297"/>
      <c r="N442" s="977" t="s">
        <v>2185</v>
      </c>
      <c r="O442" s="989"/>
      <c r="P442" s="297" t="s">
        <v>4774</v>
      </c>
    </row>
    <row r="443" spans="1:16">
      <c r="F443" s="445"/>
      <c r="G443" s="984"/>
      <c r="I443"/>
      <c r="N443" s="445"/>
      <c r="O443" s="984"/>
    </row>
    <row r="444" spans="1:16">
      <c r="A444" t="s">
        <v>4896</v>
      </c>
      <c r="B444" t="s">
        <v>4897</v>
      </c>
      <c r="C444" s="33">
        <v>2</v>
      </c>
      <c r="D444" t="s">
        <v>1528</v>
      </c>
      <c r="E444" t="s">
        <v>4067</v>
      </c>
      <c r="F444" s="966">
        <f>+'Working Capital'!F52</f>
        <v>91094.96646804089</v>
      </c>
      <c r="G444" s="984">
        <v>101</v>
      </c>
      <c r="H444" t="s">
        <v>4783</v>
      </c>
      <c r="I444"/>
      <c r="J444" t="s">
        <v>4897</v>
      </c>
      <c r="K444" s="33">
        <v>2</v>
      </c>
      <c r="L444" t="s">
        <v>1528</v>
      </c>
      <c r="M444" t="s">
        <v>4067</v>
      </c>
      <c r="N444" s="966"/>
      <c r="O444" s="984">
        <v>122</v>
      </c>
      <c r="P444" t="s">
        <v>4784</v>
      </c>
    </row>
    <row r="445" spans="1:16">
      <c r="B445" t="s">
        <v>4897</v>
      </c>
      <c r="C445" s="33">
        <v>3</v>
      </c>
      <c r="D445" t="s">
        <v>1528</v>
      </c>
      <c r="E445" t="s">
        <v>2067</v>
      </c>
      <c r="F445" s="966">
        <f>+'Working Capital'!F53</f>
        <v>7691.9493755345575</v>
      </c>
      <c r="G445" s="984">
        <v>101</v>
      </c>
      <c r="H445" t="s">
        <v>4783</v>
      </c>
      <c r="I445"/>
      <c r="J445" t="s">
        <v>4897</v>
      </c>
      <c r="K445" s="33">
        <v>3</v>
      </c>
      <c r="L445" t="s">
        <v>1528</v>
      </c>
      <c r="M445" t="s">
        <v>2067</v>
      </c>
      <c r="N445" s="445"/>
      <c r="O445" s="984">
        <v>201</v>
      </c>
      <c r="P445" t="s">
        <v>4790</v>
      </c>
    </row>
    <row r="446" spans="1:16">
      <c r="B446" t="s">
        <v>4897</v>
      </c>
      <c r="C446" s="33">
        <v>4</v>
      </c>
      <c r="D446" t="s">
        <v>1529</v>
      </c>
      <c r="E446" t="s">
        <v>4067</v>
      </c>
      <c r="F446" s="966">
        <f>+'Working Capital'!F54</f>
        <v>7204.3735840743111</v>
      </c>
      <c r="G446" s="984">
        <v>117</v>
      </c>
      <c r="H446" t="s">
        <v>4785</v>
      </c>
      <c r="I446"/>
      <c r="J446" t="s">
        <v>4897</v>
      </c>
      <c r="K446" s="33">
        <v>4</v>
      </c>
      <c r="L446" t="s">
        <v>1529</v>
      </c>
      <c r="M446" t="s">
        <v>4067</v>
      </c>
      <c r="N446" s="445"/>
      <c r="O446" s="984">
        <v>117</v>
      </c>
      <c r="P446" t="s">
        <v>4785</v>
      </c>
    </row>
    <row r="447" spans="1:16">
      <c r="B447" t="s">
        <v>4897</v>
      </c>
      <c r="C447" s="33">
        <v>5</v>
      </c>
      <c r="D447" t="s">
        <v>1953</v>
      </c>
      <c r="E447" t="s">
        <v>4067</v>
      </c>
      <c r="F447" s="966">
        <f>+'Working Capital'!F55</f>
        <v>7080.443710513463</v>
      </c>
      <c r="G447" s="984">
        <v>117</v>
      </c>
      <c r="H447" t="s">
        <v>4785</v>
      </c>
      <c r="I447"/>
      <c r="J447" t="s">
        <v>4897</v>
      </c>
      <c r="K447" s="33">
        <v>5</v>
      </c>
      <c r="L447" t="s">
        <v>1953</v>
      </c>
      <c r="M447" t="s">
        <v>4067</v>
      </c>
      <c r="N447" s="445"/>
      <c r="O447" s="984">
        <v>117</v>
      </c>
      <c r="P447" t="s">
        <v>4785</v>
      </c>
    </row>
    <row r="448" spans="1:16">
      <c r="B448" t="s">
        <v>4897</v>
      </c>
      <c r="C448" s="33">
        <v>6</v>
      </c>
      <c r="D448" t="s">
        <v>2040</v>
      </c>
      <c r="E448" t="s">
        <v>4067</v>
      </c>
      <c r="F448" s="966">
        <f>+'Working Capital'!F56</f>
        <v>24796.119036571257</v>
      </c>
      <c r="G448" s="984">
        <v>105</v>
      </c>
      <c r="H448" t="s">
        <v>4786</v>
      </c>
      <c r="I448"/>
      <c r="J448" t="s">
        <v>4897</v>
      </c>
      <c r="K448" s="33">
        <v>6</v>
      </c>
      <c r="L448" t="s">
        <v>2040</v>
      </c>
      <c r="M448" t="s">
        <v>4067</v>
      </c>
      <c r="N448" s="445"/>
      <c r="O448" s="984">
        <v>105</v>
      </c>
      <c r="P448" t="s">
        <v>4786</v>
      </c>
    </row>
    <row r="449" spans="1:16">
      <c r="B449" t="s">
        <v>4897</v>
      </c>
      <c r="C449" s="33">
        <v>7</v>
      </c>
      <c r="D449" t="s">
        <v>4787</v>
      </c>
      <c r="E449" t="s">
        <v>4067</v>
      </c>
      <c r="F449" s="966">
        <f>+'Working Capital'!F57</f>
        <v>13757.084983215889</v>
      </c>
      <c r="G449" s="984">
        <v>106</v>
      </c>
      <c r="H449" t="s">
        <v>4788</v>
      </c>
      <c r="I449"/>
      <c r="J449" t="s">
        <v>4897</v>
      </c>
      <c r="K449" s="33">
        <v>7</v>
      </c>
      <c r="L449" t="s">
        <v>4787</v>
      </c>
      <c r="M449" t="s">
        <v>4067</v>
      </c>
      <c r="N449" s="445"/>
      <c r="O449" s="984">
        <v>106</v>
      </c>
      <c r="P449" t="s">
        <v>4788</v>
      </c>
    </row>
    <row r="450" spans="1:16">
      <c r="B450" t="s">
        <v>4897</v>
      </c>
      <c r="C450" s="33">
        <v>8</v>
      </c>
      <c r="D450" t="s">
        <v>1530</v>
      </c>
      <c r="E450" t="s">
        <v>4071</v>
      </c>
      <c r="F450" s="966">
        <f>+'Working Capital'!F58</f>
        <v>11197.212842049608</v>
      </c>
      <c r="G450" s="984">
        <v>907</v>
      </c>
      <c r="H450" t="s">
        <v>4794</v>
      </c>
      <c r="I450"/>
      <c r="J450" t="s">
        <v>4897</v>
      </c>
      <c r="K450" s="33">
        <v>8</v>
      </c>
      <c r="L450" t="s">
        <v>1530</v>
      </c>
      <c r="M450" t="s">
        <v>4071</v>
      </c>
      <c r="N450" s="445"/>
      <c r="O450" s="984">
        <v>907</v>
      </c>
      <c r="P450" t="s">
        <v>4794</v>
      </c>
    </row>
    <row r="451" spans="1:16">
      <c r="B451" s="297" t="s">
        <v>4897</v>
      </c>
      <c r="C451" s="529">
        <v>9</v>
      </c>
      <c r="D451" s="297" t="s">
        <v>2338</v>
      </c>
      <c r="E451" s="297" t="s">
        <v>4071</v>
      </c>
      <c r="F451" s="970">
        <f>+'Working Capital'!F59</f>
        <v>0</v>
      </c>
      <c r="G451" s="980">
        <v>412</v>
      </c>
      <c r="H451" s="297" t="s">
        <v>4795</v>
      </c>
      <c r="I451" s="297"/>
      <c r="J451" s="297" t="s">
        <v>4897</v>
      </c>
      <c r="K451" s="529">
        <v>9</v>
      </c>
      <c r="L451" s="297" t="s">
        <v>2338</v>
      </c>
      <c r="M451" s="297" t="s">
        <v>4071</v>
      </c>
      <c r="N451" s="970"/>
      <c r="O451" s="980">
        <v>412</v>
      </c>
      <c r="P451" s="297" t="s">
        <v>4795</v>
      </c>
    </row>
    <row r="452" spans="1:16">
      <c r="A452" s="96" t="s">
        <v>4898</v>
      </c>
      <c r="B452" t="s">
        <v>4897</v>
      </c>
      <c r="C452" s="33">
        <v>13</v>
      </c>
      <c r="D452" t="s">
        <v>1528</v>
      </c>
      <c r="E452" t="s">
        <v>4067</v>
      </c>
      <c r="F452" s="966">
        <f>+'Working Capital'!F32</f>
        <v>-276877.79085390217</v>
      </c>
      <c r="G452" s="984">
        <v>101</v>
      </c>
      <c r="H452" t="s">
        <v>4783</v>
      </c>
      <c r="I452"/>
      <c r="J452" t="s">
        <v>4897</v>
      </c>
      <c r="K452" s="33">
        <v>13</v>
      </c>
      <c r="L452" t="s">
        <v>1528</v>
      </c>
      <c r="M452" t="s">
        <v>4067</v>
      </c>
      <c r="N452" s="966"/>
      <c r="O452" s="984">
        <v>122</v>
      </c>
      <c r="P452" t="s">
        <v>4784</v>
      </c>
    </row>
    <row r="453" spans="1:16">
      <c r="A453" s="96" t="s">
        <v>4899</v>
      </c>
      <c r="B453" t="s">
        <v>4897</v>
      </c>
      <c r="C453" s="33">
        <v>14</v>
      </c>
      <c r="D453" t="s">
        <v>1528</v>
      </c>
      <c r="E453" t="s">
        <v>2067</v>
      </c>
      <c r="F453" s="966">
        <f>+'Working Capital'!F33</f>
        <v>-26078.27032716485</v>
      </c>
      <c r="G453" s="984">
        <v>101</v>
      </c>
      <c r="H453" t="s">
        <v>4783</v>
      </c>
      <c r="I453"/>
      <c r="J453" t="s">
        <v>4897</v>
      </c>
      <c r="K453" s="33">
        <v>14</v>
      </c>
      <c r="L453" t="s">
        <v>1528</v>
      </c>
      <c r="M453" t="s">
        <v>2067</v>
      </c>
      <c r="N453" s="445"/>
      <c r="O453" s="984">
        <v>201</v>
      </c>
      <c r="P453" t="s">
        <v>4790</v>
      </c>
    </row>
    <row r="454" spans="1:16">
      <c r="B454" t="s">
        <v>4897</v>
      </c>
      <c r="C454" s="33">
        <v>15</v>
      </c>
      <c r="D454" t="s">
        <v>1529</v>
      </c>
      <c r="E454" t="s">
        <v>4067</v>
      </c>
      <c r="F454" s="966">
        <f>+'Working Capital'!F34</f>
        <v>-21859.473805132271</v>
      </c>
      <c r="G454" s="984">
        <v>117</v>
      </c>
      <c r="H454" t="s">
        <v>4785</v>
      </c>
      <c r="I454"/>
      <c r="J454" t="s">
        <v>4897</v>
      </c>
      <c r="K454" s="33">
        <v>15</v>
      </c>
      <c r="L454" t="s">
        <v>1529</v>
      </c>
      <c r="M454" t="s">
        <v>4067</v>
      </c>
      <c r="N454" s="445"/>
      <c r="O454" s="984">
        <v>117</v>
      </c>
      <c r="P454" t="s">
        <v>4785</v>
      </c>
    </row>
    <row r="455" spans="1:16">
      <c r="B455" t="s">
        <v>4897</v>
      </c>
      <c r="C455" s="33">
        <v>16</v>
      </c>
      <c r="D455" t="s">
        <v>1953</v>
      </c>
      <c r="E455" t="s">
        <v>4067</v>
      </c>
      <c r="F455" s="966">
        <f>+'Working Capital'!F35</f>
        <v>-22792.212186502355</v>
      </c>
      <c r="G455" s="984">
        <v>117</v>
      </c>
      <c r="H455" t="s">
        <v>4785</v>
      </c>
      <c r="I455"/>
      <c r="J455" t="s">
        <v>4897</v>
      </c>
      <c r="K455" s="33">
        <v>16</v>
      </c>
      <c r="L455" t="s">
        <v>1953</v>
      </c>
      <c r="M455" t="s">
        <v>4067</v>
      </c>
      <c r="N455" s="445"/>
      <c r="O455" s="984">
        <v>117</v>
      </c>
      <c r="P455" t="s">
        <v>4785</v>
      </c>
    </row>
    <row r="456" spans="1:16">
      <c r="B456" t="s">
        <v>4897</v>
      </c>
      <c r="C456" s="33">
        <v>17</v>
      </c>
      <c r="D456" t="s">
        <v>2040</v>
      </c>
      <c r="E456" t="s">
        <v>4067</v>
      </c>
      <c r="F456" s="966">
        <f>+'Working Capital'!F36</f>
        <v>-82744.462642516693</v>
      </c>
      <c r="G456" s="984">
        <v>105</v>
      </c>
      <c r="H456" t="s">
        <v>4786</v>
      </c>
      <c r="I456"/>
      <c r="J456" t="s">
        <v>4897</v>
      </c>
      <c r="K456" s="33">
        <v>17</v>
      </c>
      <c r="L456" t="s">
        <v>2040</v>
      </c>
      <c r="M456" t="s">
        <v>4067</v>
      </c>
      <c r="N456" s="445"/>
      <c r="O456" s="984">
        <v>105</v>
      </c>
      <c r="P456" t="s">
        <v>4786</v>
      </c>
    </row>
    <row r="457" spans="1:16">
      <c r="B457" t="s">
        <v>4897</v>
      </c>
      <c r="C457" s="33">
        <v>18</v>
      </c>
      <c r="D457" t="s">
        <v>4787</v>
      </c>
      <c r="E457" t="s">
        <v>4067</v>
      </c>
      <c r="F457" s="966">
        <f>+'Working Capital'!F37</f>
        <v>-41185.725121495263</v>
      </c>
      <c r="G457" s="984">
        <v>106</v>
      </c>
      <c r="H457" t="s">
        <v>4788</v>
      </c>
      <c r="I457"/>
      <c r="J457" t="s">
        <v>4897</v>
      </c>
      <c r="K457" s="33">
        <v>18</v>
      </c>
      <c r="L457" t="s">
        <v>4787</v>
      </c>
      <c r="M457" t="s">
        <v>4067</v>
      </c>
      <c r="N457" s="445"/>
      <c r="O457" s="984">
        <v>106</v>
      </c>
      <c r="P457" t="s">
        <v>4788</v>
      </c>
    </row>
    <row r="458" spans="1:16">
      <c r="B458" t="s">
        <v>4897</v>
      </c>
      <c r="C458" s="33">
        <v>19</v>
      </c>
      <c r="D458" t="s">
        <v>1530</v>
      </c>
      <c r="E458" t="s">
        <v>4071</v>
      </c>
      <c r="F458" s="966">
        <f>+'Working Capital'!F38</f>
        <v>-38742.145346847341</v>
      </c>
      <c r="G458" s="984">
        <v>907</v>
      </c>
      <c r="H458" t="s">
        <v>4794</v>
      </c>
      <c r="I458"/>
      <c r="J458" t="s">
        <v>4897</v>
      </c>
      <c r="K458" s="33">
        <v>19</v>
      </c>
      <c r="L458" t="s">
        <v>1530</v>
      </c>
      <c r="M458" t="s">
        <v>4071</v>
      </c>
      <c r="N458" s="445"/>
      <c r="O458" s="984">
        <v>907</v>
      </c>
      <c r="P458" t="s">
        <v>4794</v>
      </c>
    </row>
    <row r="459" spans="1:16">
      <c r="B459" s="297" t="s">
        <v>4897</v>
      </c>
      <c r="C459" s="529">
        <v>20</v>
      </c>
      <c r="D459" s="297" t="s">
        <v>2338</v>
      </c>
      <c r="E459" s="297" t="s">
        <v>4071</v>
      </c>
      <c r="F459" s="970">
        <f>+'Working Capital'!F39</f>
        <v>-9393.7898768032774</v>
      </c>
      <c r="G459" s="980">
        <v>412</v>
      </c>
      <c r="H459" s="297" t="s">
        <v>4795</v>
      </c>
      <c r="I459" s="297"/>
      <c r="J459" s="297" t="s">
        <v>4897</v>
      </c>
      <c r="K459" s="529">
        <v>20</v>
      </c>
      <c r="L459" s="297" t="s">
        <v>2338</v>
      </c>
      <c r="M459" s="297" t="s">
        <v>4071</v>
      </c>
      <c r="N459" s="970"/>
      <c r="O459" s="980">
        <v>412</v>
      </c>
      <c r="P459" s="297" t="s">
        <v>4795</v>
      </c>
    </row>
    <row r="460" spans="1:16">
      <c r="A460" t="s">
        <v>4900</v>
      </c>
      <c r="B460" t="s">
        <v>4897</v>
      </c>
      <c r="C460" s="33">
        <v>24</v>
      </c>
      <c r="D460" t="s">
        <v>1528</v>
      </c>
      <c r="E460" t="s">
        <v>4067</v>
      </c>
      <c r="F460" s="966">
        <f>+'Working Capital'!F67</f>
        <v>600863.57050653605</v>
      </c>
      <c r="G460" s="984">
        <v>101</v>
      </c>
      <c r="H460" t="s">
        <v>4783</v>
      </c>
      <c r="I460"/>
      <c r="J460" t="s">
        <v>4897</v>
      </c>
      <c r="K460" s="33">
        <v>24</v>
      </c>
      <c r="L460" t="s">
        <v>1528</v>
      </c>
      <c r="M460" t="s">
        <v>4067</v>
      </c>
      <c r="N460" s="966"/>
      <c r="O460" s="984">
        <v>122</v>
      </c>
      <c r="P460" t="s">
        <v>4784</v>
      </c>
    </row>
    <row r="461" spans="1:16">
      <c r="B461" t="s">
        <v>4897</v>
      </c>
      <c r="C461" s="33">
        <v>25</v>
      </c>
      <c r="D461" t="s">
        <v>1528</v>
      </c>
      <c r="E461" t="s">
        <v>2067</v>
      </c>
      <c r="F461" s="966">
        <f>+'Working Capital'!F68</f>
        <v>56593.497705574773</v>
      </c>
      <c r="G461" s="984">
        <v>101</v>
      </c>
      <c r="H461" t="s">
        <v>4783</v>
      </c>
      <c r="I461"/>
      <c r="J461" t="s">
        <v>4897</v>
      </c>
      <c r="K461" s="33">
        <v>25</v>
      </c>
      <c r="L461" t="s">
        <v>1528</v>
      </c>
      <c r="M461" t="s">
        <v>2067</v>
      </c>
      <c r="N461" s="445"/>
      <c r="O461" s="984">
        <v>201</v>
      </c>
      <c r="P461" t="s">
        <v>4790</v>
      </c>
    </row>
    <row r="462" spans="1:16">
      <c r="B462" t="s">
        <v>4897</v>
      </c>
      <c r="C462" s="33">
        <v>26</v>
      </c>
      <c r="D462" t="s">
        <v>1529</v>
      </c>
      <c r="E462" t="s">
        <v>4067</v>
      </c>
      <c r="F462" s="966">
        <f>+'Working Capital'!F69</f>
        <v>47438.118598961511</v>
      </c>
      <c r="G462" s="984">
        <v>117</v>
      </c>
      <c r="H462" t="s">
        <v>4785</v>
      </c>
      <c r="I462"/>
      <c r="J462" t="s">
        <v>4897</v>
      </c>
      <c r="K462" s="33">
        <v>26</v>
      </c>
      <c r="L462" t="s">
        <v>1529</v>
      </c>
      <c r="M462" t="s">
        <v>4067</v>
      </c>
      <c r="N462" s="445"/>
      <c r="O462" s="984">
        <v>117</v>
      </c>
      <c r="P462" t="s">
        <v>4785</v>
      </c>
    </row>
    <row r="463" spans="1:16">
      <c r="B463" t="s">
        <v>4897</v>
      </c>
      <c r="C463" s="33">
        <v>27</v>
      </c>
      <c r="D463" t="s">
        <v>1953</v>
      </c>
      <c r="E463" t="s">
        <v>4067</v>
      </c>
      <c r="F463" s="966">
        <f>+'Working Capital'!F70</f>
        <v>49462.291474835991</v>
      </c>
      <c r="G463" s="984">
        <v>117</v>
      </c>
      <c r="H463" t="s">
        <v>4785</v>
      </c>
      <c r="I463"/>
      <c r="J463" t="s">
        <v>4897</v>
      </c>
      <c r="K463" s="33">
        <v>27</v>
      </c>
      <c r="L463" t="s">
        <v>1953</v>
      </c>
      <c r="M463" t="s">
        <v>4067</v>
      </c>
      <c r="N463" s="445"/>
      <c r="O463" s="984">
        <v>117</v>
      </c>
      <c r="P463" t="s">
        <v>4785</v>
      </c>
    </row>
    <row r="464" spans="1:16">
      <c r="B464" t="s">
        <v>4897</v>
      </c>
      <c r="C464" s="33">
        <v>28</v>
      </c>
      <c r="D464" t="s">
        <v>2040</v>
      </c>
      <c r="E464" t="s">
        <v>4067</v>
      </c>
      <c r="F464" s="966">
        <f>+'Working Capital'!F71</f>
        <v>179567.06859620108</v>
      </c>
      <c r="G464" s="984">
        <v>105</v>
      </c>
      <c r="H464" t="s">
        <v>4786</v>
      </c>
      <c r="I464"/>
      <c r="J464" t="s">
        <v>4897</v>
      </c>
      <c r="K464" s="33">
        <v>28</v>
      </c>
      <c r="L464" t="s">
        <v>2040</v>
      </c>
      <c r="M464" t="s">
        <v>4067</v>
      </c>
      <c r="N464" s="445"/>
      <c r="O464" s="984">
        <v>105</v>
      </c>
      <c r="P464" t="s">
        <v>4786</v>
      </c>
    </row>
    <row r="465" spans="1:16">
      <c r="B465" t="s">
        <v>4897</v>
      </c>
      <c r="C465" s="33">
        <v>29</v>
      </c>
      <c r="D465" t="s">
        <v>4787</v>
      </c>
      <c r="E465" t="s">
        <v>4067</v>
      </c>
      <c r="F465" s="966">
        <f>+'Working Capital'!F72</f>
        <v>89378.789732761303</v>
      </c>
      <c r="G465" s="984">
        <v>106</v>
      </c>
      <c r="H465" t="s">
        <v>4788</v>
      </c>
      <c r="I465"/>
      <c r="J465" t="s">
        <v>4897</v>
      </c>
      <c r="K465" s="33">
        <v>29</v>
      </c>
      <c r="L465" t="s">
        <v>4787</v>
      </c>
      <c r="M465" t="s">
        <v>4067</v>
      </c>
      <c r="N465" s="445"/>
      <c r="O465" s="984">
        <v>106</v>
      </c>
      <c r="P465" t="s">
        <v>4788</v>
      </c>
    </row>
    <row r="466" spans="1:16">
      <c r="B466" t="s">
        <v>4897</v>
      </c>
      <c r="C466" s="33">
        <v>30</v>
      </c>
      <c r="D466" t="s">
        <v>1530</v>
      </c>
      <c r="E466" t="s">
        <v>4071</v>
      </c>
      <c r="F466" s="966">
        <f>+'Working Capital'!F73</f>
        <v>84075.879507696518</v>
      </c>
      <c r="G466" s="984">
        <v>907</v>
      </c>
      <c r="H466" t="s">
        <v>4794</v>
      </c>
      <c r="I466"/>
      <c r="J466" t="s">
        <v>4897</v>
      </c>
      <c r="K466" s="33">
        <v>30</v>
      </c>
      <c r="L466" t="s">
        <v>1530</v>
      </c>
      <c r="M466" t="s">
        <v>4071</v>
      </c>
      <c r="N466" s="445"/>
      <c r="O466" s="984">
        <v>907</v>
      </c>
      <c r="P466" t="s">
        <v>4794</v>
      </c>
    </row>
    <row r="467" spans="1:16">
      <c r="B467" s="297" t="s">
        <v>4897</v>
      </c>
      <c r="C467" s="529">
        <v>31</v>
      </c>
      <c r="D467" s="297" t="s">
        <v>2338</v>
      </c>
      <c r="E467" s="297" t="s">
        <v>4071</v>
      </c>
      <c r="F467" s="970">
        <f>+'Working Capital'!F74</f>
        <v>20385.839212876766</v>
      </c>
      <c r="G467" s="980">
        <v>412</v>
      </c>
      <c r="H467" s="297" t="s">
        <v>4795</v>
      </c>
      <c r="I467" s="297"/>
      <c r="J467" s="297" t="s">
        <v>4897</v>
      </c>
      <c r="K467" s="529">
        <v>31</v>
      </c>
      <c r="L467" s="297" t="s">
        <v>2338</v>
      </c>
      <c r="M467" s="297" t="s">
        <v>4071</v>
      </c>
      <c r="N467" s="970"/>
      <c r="O467" s="980">
        <v>412</v>
      </c>
      <c r="P467" s="297" t="s">
        <v>4795</v>
      </c>
    </row>
    <row r="468" spans="1:16">
      <c r="A468" t="s">
        <v>4901</v>
      </c>
      <c r="B468" t="s">
        <v>4897</v>
      </c>
      <c r="C468" s="33">
        <v>35</v>
      </c>
      <c r="D468" t="s">
        <v>1528</v>
      </c>
      <c r="E468" t="s">
        <v>4067</v>
      </c>
      <c r="F468" s="966">
        <f>+'Working Capital'!F81</f>
        <v>383917.97310275974</v>
      </c>
      <c r="G468" s="984">
        <v>101</v>
      </c>
      <c r="H468" t="s">
        <v>4783</v>
      </c>
      <c r="I468"/>
      <c r="J468" t="s">
        <v>4897</v>
      </c>
      <c r="K468" s="33">
        <v>35</v>
      </c>
      <c r="L468" t="s">
        <v>1528</v>
      </c>
      <c r="M468" t="s">
        <v>4067</v>
      </c>
      <c r="N468" s="966"/>
      <c r="O468" s="984">
        <v>122</v>
      </c>
      <c r="P468" t="s">
        <v>4784</v>
      </c>
    </row>
    <row r="469" spans="1:16">
      <c r="B469" t="s">
        <v>4897</v>
      </c>
      <c r="C469" s="33">
        <v>36</v>
      </c>
      <c r="D469" t="s">
        <v>1528</v>
      </c>
      <c r="E469" t="s">
        <v>2067</v>
      </c>
      <c r="F469" s="966">
        <f>+'Working Capital'!F82</f>
        <v>36160.056952035855</v>
      </c>
      <c r="G469" s="984">
        <v>101</v>
      </c>
      <c r="H469" t="s">
        <v>4783</v>
      </c>
      <c r="I469"/>
      <c r="J469" t="s">
        <v>4897</v>
      </c>
      <c r="K469" s="33">
        <v>36</v>
      </c>
      <c r="L469" t="s">
        <v>1528</v>
      </c>
      <c r="M469" t="s">
        <v>2067</v>
      </c>
      <c r="N469" s="445"/>
      <c r="O469" s="984">
        <v>201</v>
      </c>
      <c r="P469" t="s">
        <v>4790</v>
      </c>
    </row>
    <row r="470" spans="1:16">
      <c r="B470" t="s">
        <v>4897</v>
      </c>
      <c r="C470" s="33">
        <v>37</v>
      </c>
      <c r="D470" t="s">
        <v>1529</v>
      </c>
      <c r="E470" t="s">
        <v>4067</v>
      </c>
      <c r="F470" s="966">
        <f>+'Working Capital'!F83</f>
        <v>30310.285452932985</v>
      </c>
      <c r="G470" s="984">
        <v>117</v>
      </c>
      <c r="H470" t="s">
        <v>4785</v>
      </c>
      <c r="I470"/>
      <c r="J470" t="s">
        <v>4897</v>
      </c>
      <c r="K470" s="33">
        <v>37</v>
      </c>
      <c r="L470" t="s">
        <v>1529</v>
      </c>
      <c r="M470" t="s">
        <v>4067</v>
      </c>
      <c r="N470" s="445"/>
      <c r="O470" s="984">
        <v>117</v>
      </c>
      <c r="P470" t="s">
        <v>4785</v>
      </c>
    </row>
    <row r="471" spans="1:16">
      <c r="B471" t="s">
        <v>4897</v>
      </c>
      <c r="C471" s="33">
        <v>38</v>
      </c>
      <c r="D471" t="s">
        <v>1953</v>
      </c>
      <c r="E471" t="s">
        <v>4067</v>
      </c>
      <c r="F471" s="966">
        <f>+'Working Capital'!F84</f>
        <v>31603.61789287471</v>
      </c>
      <c r="G471" s="984">
        <v>117</v>
      </c>
      <c r="H471" t="s">
        <v>4785</v>
      </c>
      <c r="I471"/>
      <c r="J471" t="s">
        <v>4897</v>
      </c>
      <c r="K471" s="33">
        <v>38</v>
      </c>
      <c r="L471" t="s">
        <v>1953</v>
      </c>
      <c r="M471" t="s">
        <v>4067</v>
      </c>
      <c r="N471" s="445"/>
      <c r="O471" s="984">
        <v>117</v>
      </c>
      <c r="P471" t="s">
        <v>4785</v>
      </c>
    </row>
    <row r="472" spans="1:16">
      <c r="B472" t="s">
        <v>4897</v>
      </c>
      <c r="C472" s="33">
        <v>39</v>
      </c>
      <c r="D472" t="s">
        <v>2040</v>
      </c>
      <c r="E472" t="s">
        <v>4067</v>
      </c>
      <c r="F472" s="966">
        <f>+'Working Capital'!F85</f>
        <v>114733.24128028135</v>
      </c>
      <c r="G472" s="984">
        <v>105</v>
      </c>
      <c r="H472" t="s">
        <v>4786</v>
      </c>
      <c r="I472"/>
      <c r="J472" t="s">
        <v>4897</v>
      </c>
      <c r="K472" s="33">
        <v>39</v>
      </c>
      <c r="L472" t="s">
        <v>2040</v>
      </c>
      <c r="M472" t="s">
        <v>4067</v>
      </c>
      <c r="N472" s="445"/>
      <c r="O472" s="984">
        <v>105</v>
      </c>
      <c r="P472" t="s">
        <v>4786</v>
      </c>
    </row>
    <row r="473" spans="1:16">
      <c r="B473" t="s">
        <v>4897</v>
      </c>
      <c r="C473" s="33">
        <v>40</v>
      </c>
      <c r="D473" t="s">
        <v>4787</v>
      </c>
      <c r="E473" t="s">
        <v>4067</v>
      </c>
      <c r="F473" s="966">
        <f>+'Working Capital'!F86</f>
        <v>57108.011663366793</v>
      </c>
      <c r="G473" s="984">
        <v>106</v>
      </c>
      <c r="H473" t="s">
        <v>4788</v>
      </c>
      <c r="I473"/>
      <c r="J473" t="s">
        <v>4897</v>
      </c>
      <c r="K473" s="33">
        <v>40</v>
      </c>
      <c r="L473" t="s">
        <v>4787</v>
      </c>
      <c r="M473" t="s">
        <v>4067</v>
      </c>
      <c r="N473" s="445"/>
      <c r="O473" s="984">
        <v>106</v>
      </c>
      <c r="P473" t="s">
        <v>4788</v>
      </c>
    </row>
    <row r="474" spans="1:16">
      <c r="B474" t="s">
        <v>4897</v>
      </c>
      <c r="C474" s="33">
        <v>41</v>
      </c>
      <c r="D474" t="s">
        <v>1530</v>
      </c>
      <c r="E474" t="s">
        <v>4071</v>
      </c>
      <c r="F474" s="966">
        <f>+'Working Capital'!F87</f>
        <v>53719.750758422109</v>
      </c>
      <c r="G474" s="984">
        <v>907</v>
      </c>
      <c r="H474" t="s">
        <v>4794</v>
      </c>
      <c r="I474"/>
      <c r="J474" t="s">
        <v>4897</v>
      </c>
      <c r="K474" s="33">
        <v>41</v>
      </c>
      <c r="L474" t="s">
        <v>1530</v>
      </c>
      <c r="M474" t="s">
        <v>4071</v>
      </c>
      <c r="N474" s="445"/>
      <c r="O474" s="984">
        <v>907</v>
      </c>
      <c r="P474" t="s">
        <v>4794</v>
      </c>
    </row>
    <row r="475" spans="1:16">
      <c r="B475" s="297" t="s">
        <v>4897</v>
      </c>
      <c r="C475" s="529">
        <v>42</v>
      </c>
      <c r="D475" s="297" t="s">
        <v>2338</v>
      </c>
      <c r="E475" s="297" t="s">
        <v>4071</v>
      </c>
      <c r="F475" s="970">
        <f>+'Working Capital'!F88</f>
        <v>13025.402861432542</v>
      </c>
      <c r="G475" s="980">
        <v>412</v>
      </c>
      <c r="H475" s="297" t="s">
        <v>4795</v>
      </c>
      <c r="I475" s="297"/>
      <c r="J475" s="297" t="s">
        <v>4897</v>
      </c>
      <c r="K475" s="529">
        <v>42</v>
      </c>
      <c r="L475" s="297" t="s">
        <v>2338</v>
      </c>
      <c r="M475" s="297" t="s">
        <v>4071</v>
      </c>
      <c r="N475" s="970"/>
      <c r="O475" s="980">
        <v>412</v>
      </c>
      <c r="P475" s="297" t="s">
        <v>4795</v>
      </c>
    </row>
    <row r="476" spans="1:16">
      <c r="A476" t="s">
        <v>4902</v>
      </c>
      <c r="B476" s="297" t="s">
        <v>4897</v>
      </c>
      <c r="C476" s="529">
        <v>45</v>
      </c>
      <c r="D476" s="297" t="s">
        <v>1528</v>
      </c>
      <c r="E476" s="297" t="s">
        <v>2067</v>
      </c>
      <c r="F476" s="970">
        <f>+'Working Capital'!F45</f>
        <v>36634.816307692308</v>
      </c>
      <c r="G476" s="980">
        <v>201</v>
      </c>
      <c r="H476" s="297" t="s">
        <v>4790</v>
      </c>
      <c r="I476" s="297"/>
      <c r="J476" s="297" t="s">
        <v>4897</v>
      </c>
      <c r="K476" s="529">
        <v>45</v>
      </c>
      <c r="L476" s="297" t="s">
        <v>1528</v>
      </c>
      <c r="M476" s="297" t="s">
        <v>2067</v>
      </c>
      <c r="N476" s="970"/>
      <c r="O476" s="980">
        <v>201</v>
      </c>
      <c r="P476" s="297" t="s">
        <v>4790</v>
      </c>
    </row>
    <row r="477" spans="1:16">
      <c r="A477" t="s">
        <v>1441</v>
      </c>
      <c r="B477" t="s">
        <v>2342</v>
      </c>
      <c r="C477" s="33">
        <v>2</v>
      </c>
      <c r="D477" t="s">
        <v>4884</v>
      </c>
      <c r="E477" t="s">
        <v>4067</v>
      </c>
      <c r="F477" s="966">
        <f>+CWIP!G32</f>
        <v>6286.9647214166507</v>
      </c>
      <c r="G477" s="984">
        <v>101</v>
      </c>
      <c r="H477" t="s">
        <v>4783</v>
      </c>
      <c r="I477"/>
      <c r="J477" t="s">
        <v>2342</v>
      </c>
      <c r="K477" s="33">
        <v>2</v>
      </c>
      <c r="L477" t="s">
        <v>4884</v>
      </c>
      <c r="M477" t="s">
        <v>4067</v>
      </c>
      <c r="N477" s="966"/>
      <c r="O477" s="984">
        <v>122</v>
      </c>
      <c r="P477" t="s">
        <v>4784</v>
      </c>
    </row>
    <row r="478" spans="1:16">
      <c r="B478" t="s">
        <v>2342</v>
      </c>
      <c r="C478" s="33">
        <v>4</v>
      </c>
      <c r="D478" t="s">
        <v>4885</v>
      </c>
      <c r="E478" t="s">
        <v>2067</v>
      </c>
      <c r="F478" s="445">
        <f>+CWIP!G33</f>
        <v>3054.4984588409338</v>
      </c>
      <c r="G478" s="984">
        <v>101</v>
      </c>
      <c r="H478" t="s">
        <v>4783</v>
      </c>
      <c r="I478"/>
      <c r="J478" t="s">
        <v>2342</v>
      </c>
      <c r="K478" s="33">
        <v>4</v>
      </c>
      <c r="L478" t="s">
        <v>4885</v>
      </c>
      <c r="M478" t="s">
        <v>2067</v>
      </c>
      <c r="N478" s="966"/>
      <c r="O478" s="984">
        <v>201</v>
      </c>
      <c r="P478" t="s">
        <v>4790</v>
      </c>
    </row>
    <row r="479" spans="1:16">
      <c r="B479" t="s">
        <v>2342</v>
      </c>
      <c r="C479" s="33">
        <v>2</v>
      </c>
      <c r="D479" t="s">
        <v>4884</v>
      </c>
      <c r="E479" t="s">
        <v>4067</v>
      </c>
      <c r="F479" s="445">
        <f>+CWIP!G34-'Allocation Assignment'!F480</f>
        <v>100520.79597270797</v>
      </c>
      <c r="G479" s="984">
        <v>101</v>
      </c>
      <c r="H479" t="s">
        <v>4783</v>
      </c>
      <c r="I479"/>
      <c r="J479" t="s">
        <v>2342</v>
      </c>
      <c r="K479" s="33">
        <v>2</v>
      </c>
      <c r="L479" t="s">
        <v>4884</v>
      </c>
      <c r="M479" t="s">
        <v>4067</v>
      </c>
      <c r="N479" s="445"/>
      <c r="O479" s="984">
        <v>122</v>
      </c>
      <c r="P479" t="s">
        <v>4784</v>
      </c>
    </row>
    <row r="480" spans="1:16">
      <c r="B480" t="s">
        <v>2342</v>
      </c>
      <c r="C480" s="33">
        <v>3</v>
      </c>
      <c r="D480" s="96" t="s">
        <v>4903</v>
      </c>
      <c r="E480" t="s">
        <v>4067</v>
      </c>
      <c r="F480" s="445">
        <f>+(CWIP!H6+CWIP!H7)/1000</f>
        <v>0</v>
      </c>
      <c r="G480" s="984">
        <v>101</v>
      </c>
      <c r="H480" t="s">
        <v>4783</v>
      </c>
      <c r="I480"/>
      <c r="J480" t="s">
        <v>2342</v>
      </c>
      <c r="K480" s="33">
        <v>3</v>
      </c>
      <c r="L480" s="96" t="s">
        <v>4903</v>
      </c>
      <c r="M480" t="s">
        <v>4067</v>
      </c>
      <c r="N480" s="445"/>
      <c r="O480" s="984">
        <v>121</v>
      </c>
      <c r="P480" t="s">
        <v>4816</v>
      </c>
    </row>
    <row r="481" spans="1:16" ht="12" customHeight="1">
      <c r="B481" s="297" t="s">
        <v>2342</v>
      </c>
      <c r="C481" s="529">
        <v>4</v>
      </c>
      <c r="D481" s="297" t="s">
        <v>4885</v>
      </c>
      <c r="E481" s="297" t="s">
        <v>2067</v>
      </c>
      <c r="F481" s="888">
        <v>0</v>
      </c>
      <c r="G481" s="980">
        <v>101</v>
      </c>
      <c r="H481" s="297" t="s">
        <v>4783</v>
      </c>
      <c r="I481" s="297"/>
      <c r="J481" s="297" t="s">
        <v>2342</v>
      </c>
      <c r="K481" s="529">
        <v>4</v>
      </c>
      <c r="L481" s="297" t="s">
        <v>4885</v>
      </c>
      <c r="M481" s="297" t="s">
        <v>2067</v>
      </c>
      <c r="N481" s="970"/>
      <c r="O481" s="980">
        <v>201</v>
      </c>
      <c r="P481" s="297" t="s">
        <v>4790</v>
      </c>
    </row>
    <row r="482" spans="1:16" ht="12" customHeight="1">
      <c r="A482" t="s">
        <v>1760</v>
      </c>
      <c r="B482" t="s">
        <v>2342</v>
      </c>
      <c r="C482" s="33">
        <v>9</v>
      </c>
      <c r="D482" t="s">
        <v>4817</v>
      </c>
      <c r="E482" t="s">
        <v>4067</v>
      </c>
      <c r="F482" s="1573">
        <v>0</v>
      </c>
      <c r="G482" s="984">
        <v>101</v>
      </c>
      <c r="H482" t="s">
        <v>4783</v>
      </c>
      <c r="I482"/>
      <c r="J482" t="s">
        <v>2342</v>
      </c>
      <c r="K482" s="33">
        <v>9</v>
      </c>
      <c r="L482" t="s">
        <v>4817</v>
      </c>
      <c r="M482" t="s">
        <v>4067</v>
      </c>
      <c r="N482" s="966"/>
      <c r="O482" s="984">
        <v>122</v>
      </c>
      <c r="P482" t="s">
        <v>4784</v>
      </c>
    </row>
    <row r="483" spans="1:16">
      <c r="B483" t="s">
        <v>2342</v>
      </c>
      <c r="C483" s="33">
        <v>10</v>
      </c>
      <c r="D483" t="s">
        <v>4904</v>
      </c>
      <c r="E483" t="s">
        <v>4067</v>
      </c>
      <c r="F483" s="445">
        <f>+CWIP!G35</f>
        <v>7283.8333454800486</v>
      </c>
      <c r="G483" s="984">
        <v>117</v>
      </c>
      <c r="H483" t="s">
        <v>4785</v>
      </c>
      <c r="I483"/>
      <c r="J483" t="s">
        <v>2342</v>
      </c>
      <c r="K483" s="33">
        <v>10</v>
      </c>
      <c r="L483" t="s">
        <v>4904</v>
      </c>
      <c r="M483" t="s">
        <v>4067</v>
      </c>
      <c r="N483" s="445"/>
      <c r="O483" s="984">
        <v>117</v>
      </c>
      <c r="P483" t="s">
        <v>4785</v>
      </c>
    </row>
    <row r="484" spans="1:16">
      <c r="B484" s="297" t="s">
        <v>2342</v>
      </c>
      <c r="C484" s="529">
        <v>11</v>
      </c>
      <c r="D484" s="297" t="s">
        <v>1953</v>
      </c>
      <c r="E484" s="297" t="s">
        <v>4067</v>
      </c>
      <c r="F484" s="970">
        <f>+CWIP!G36</f>
        <v>7158.5366024656287</v>
      </c>
      <c r="G484" s="980">
        <v>117</v>
      </c>
      <c r="H484" s="297" t="s">
        <v>4785</v>
      </c>
      <c r="I484" s="297"/>
      <c r="J484" s="297" t="s">
        <v>2342</v>
      </c>
      <c r="K484" s="529">
        <v>11</v>
      </c>
      <c r="L484" s="297" t="s">
        <v>1953</v>
      </c>
      <c r="M484" s="297" t="s">
        <v>4067</v>
      </c>
      <c r="N484" s="970"/>
      <c r="O484" s="980">
        <v>117</v>
      </c>
      <c r="P484" s="297" t="s">
        <v>4785</v>
      </c>
    </row>
    <row r="485" spans="1:16">
      <c r="A485" t="s">
        <v>4892</v>
      </c>
      <c r="B485" t="s">
        <v>2342</v>
      </c>
      <c r="C485" s="33">
        <v>16</v>
      </c>
      <c r="D485" t="s">
        <v>2040</v>
      </c>
      <c r="E485" t="s">
        <v>4067</v>
      </c>
      <c r="F485" s="445">
        <f>+CWIP!G37</f>
        <v>-18323.405026623215</v>
      </c>
      <c r="G485" s="984">
        <v>105</v>
      </c>
      <c r="H485" t="s">
        <v>4786</v>
      </c>
      <c r="I485"/>
      <c r="J485" t="s">
        <v>2342</v>
      </c>
      <c r="K485" s="33">
        <v>16</v>
      </c>
      <c r="L485" t="s">
        <v>2040</v>
      </c>
      <c r="M485" t="s">
        <v>4067</v>
      </c>
      <c r="N485" s="445"/>
      <c r="O485" s="984">
        <v>105</v>
      </c>
      <c r="P485" t="s">
        <v>4786</v>
      </c>
    </row>
    <row r="486" spans="1:16">
      <c r="B486" t="s">
        <v>2342</v>
      </c>
      <c r="C486" s="33">
        <v>17</v>
      </c>
      <c r="D486" t="s">
        <v>4787</v>
      </c>
      <c r="E486" t="s">
        <v>4067</v>
      </c>
      <c r="F486" s="445">
        <f>+CWIP!G38</f>
        <v>-10165.971528099151</v>
      </c>
      <c r="G486" s="984">
        <v>106</v>
      </c>
      <c r="H486" t="s">
        <v>4788</v>
      </c>
      <c r="I486"/>
      <c r="J486" t="s">
        <v>2342</v>
      </c>
      <c r="K486" s="33">
        <v>17</v>
      </c>
      <c r="L486" t="s">
        <v>4787</v>
      </c>
      <c r="M486" t="s">
        <v>4067</v>
      </c>
      <c r="N486" s="445"/>
      <c r="O486" s="984">
        <v>106</v>
      </c>
      <c r="P486" t="s">
        <v>4788</v>
      </c>
    </row>
    <row r="487" spans="1:16">
      <c r="B487" s="297" t="s">
        <v>2342</v>
      </c>
      <c r="C487" s="529">
        <v>18</v>
      </c>
      <c r="D487" s="297" t="s">
        <v>4905</v>
      </c>
      <c r="E487" s="297" t="s">
        <v>4071</v>
      </c>
      <c r="F487" s="970">
        <f>+CWIP!G39</f>
        <v>-8274.3217102474555</v>
      </c>
      <c r="G487" s="980">
        <v>907</v>
      </c>
      <c r="H487" s="297" t="s">
        <v>4794</v>
      </c>
      <c r="I487" s="297"/>
      <c r="J487" s="297" t="s">
        <v>2342</v>
      </c>
      <c r="K487" s="529">
        <v>18</v>
      </c>
      <c r="L487" s="297" t="s">
        <v>4905</v>
      </c>
      <c r="M487" s="297" t="s">
        <v>4071</v>
      </c>
      <c r="N487" s="970"/>
      <c r="O487" s="980">
        <v>907</v>
      </c>
      <c r="P487" s="297" t="s">
        <v>4794</v>
      </c>
    </row>
    <row r="488" spans="1:16">
      <c r="A488" t="s">
        <v>4906</v>
      </c>
      <c r="B488" t="s">
        <v>2342</v>
      </c>
      <c r="C488" s="33">
        <v>33</v>
      </c>
      <c r="D488" t="s">
        <v>1528</v>
      </c>
      <c r="E488" t="s">
        <v>4067</v>
      </c>
      <c r="F488" s="966">
        <f>+CWIP!G46</f>
        <v>48111.724254037937</v>
      </c>
      <c r="G488" s="984">
        <v>101</v>
      </c>
      <c r="H488" t="s">
        <v>4783</v>
      </c>
      <c r="I488"/>
      <c r="J488" t="s">
        <v>2342</v>
      </c>
      <c r="K488" s="33">
        <v>33</v>
      </c>
      <c r="L488" t="s">
        <v>1528</v>
      </c>
      <c r="M488" t="s">
        <v>4067</v>
      </c>
      <c r="N488" s="966"/>
      <c r="O488" s="984">
        <v>122</v>
      </c>
      <c r="P488" t="s">
        <v>4784</v>
      </c>
    </row>
    <row r="489" spans="1:16">
      <c r="B489" t="s">
        <v>2342</v>
      </c>
      <c r="C489" s="33">
        <v>34</v>
      </c>
      <c r="D489" t="s">
        <v>4907</v>
      </c>
      <c r="E489" t="s">
        <v>2067</v>
      </c>
      <c r="F489" s="966">
        <f>+CWIP!G47</f>
        <v>12701.786352034356</v>
      </c>
      <c r="G489" s="984">
        <v>201</v>
      </c>
      <c r="H489" t="s">
        <v>4790</v>
      </c>
      <c r="I489"/>
      <c r="J489" t="s">
        <v>2342</v>
      </c>
      <c r="K489" s="33">
        <v>34</v>
      </c>
      <c r="L489" t="s">
        <v>4907</v>
      </c>
      <c r="M489" t="s">
        <v>2067</v>
      </c>
      <c r="N489" s="966"/>
      <c r="O489" s="984">
        <v>201</v>
      </c>
      <c r="P489" t="s">
        <v>4790</v>
      </c>
    </row>
    <row r="490" spans="1:16">
      <c r="B490" t="s">
        <v>2342</v>
      </c>
      <c r="C490" s="33">
        <v>35</v>
      </c>
      <c r="D490" t="s">
        <v>1529</v>
      </c>
      <c r="E490" t="s">
        <v>4067</v>
      </c>
      <c r="F490" s="966">
        <f>+CWIP!G48</f>
        <v>2038.6837451197048</v>
      </c>
      <c r="G490" s="984">
        <v>117</v>
      </c>
      <c r="H490" t="s">
        <v>4785</v>
      </c>
      <c r="I490"/>
      <c r="J490" t="s">
        <v>2342</v>
      </c>
      <c r="K490" s="33">
        <v>35</v>
      </c>
      <c r="L490" t="s">
        <v>1529</v>
      </c>
      <c r="M490" t="s">
        <v>4067</v>
      </c>
      <c r="N490" s="966"/>
      <c r="O490" s="984">
        <v>117</v>
      </c>
      <c r="P490" t="s">
        <v>4785</v>
      </c>
    </row>
    <row r="491" spans="1:16">
      <c r="B491" t="s">
        <v>2342</v>
      </c>
      <c r="C491" s="33">
        <v>36</v>
      </c>
      <c r="D491" t="s">
        <v>1953</v>
      </c>
      <c r="E491" t="s">
        <v>4067</v>
      </c>
      <c r="F491" s="966">
        <f>+CWIP!G49</f>
        <v>5731.826724745003</v>
      </c>
      <c r="G491" s="984">
        <v>117</v>
      </c>
      <c r="H491" t="s">
        <v>4785</v>
      </c>
      <c r="I491"/>
      <c r="J491" t="s">
        <v>2342</v>
      </c>
      <c r="K491" s="33">
        <v>36</v>
      </c>
      <c r="L491" t="s">
        <v>1953</v>
      </c>
      <c r="M491" t="s">
        <v>4067</v>
      </c>
      <c r="N491" s="966"/>
      <c r="O491" s="984">
        <v>117</v>
      </c>
      <c r="P491" t="s">
        <v>4785</v>
      </c>
    </row>
    <row r="492" spans="1:16">
      <c r="B492" t="s">
        <v>2342</v>
      </c>
      <c r="C492" s="33">
        <v>37</v>
      </c>
      <c r="D492" t="s">
        <v>2040</v>
      </c>
      <c r="E492" t="s">
        <v>4067</v>
      </c>
      <c r="F492" s="966">
        <f>+CWIP!G50</f>
        <v>28148.805374130741</v>
      </c>
      <c r="G492" s="984">
        <v>105</v>
      </c>
      <c r="H492" t="s">
        <v>4786</v>
      </c>
      <c r="I492"/>
      <c r="J492" t="s">
        <v>2342</v>
      </c>
      <c r="K492" s="33">
        <v>37</v>
      </c>
      <c r="L492" t="s">
        <v>2040</v>
      </c>
      <c r="M492" t="s">
        <v>4067</v>
      </c>
      <c r="N492" s="966"/>
      <c r="O492" s="984">
        <v>105</v>
      </c>
      <c r="P492" t="s">
        <v>4786</v>
      </c>
    </row>
    <row r="493" spans="1:16">
      <c r="B493" t="s">
        <v>2342</v>
      </c>
      <c r="C493" s="33">
        <v>38</v>
      </c>
      <c r="D493" t="s">
        <v>4787</v>
      </c>
      <c r="E493" t="s">
        <v>4067</v>
      </c>
      <c r="F493" s="966">
        <f>+CWIP!G51</f>
        <v>4855.8763860161816</v>
      </c>
      <c r="G493" s="984">
        <v>106</v>
      </c>
      <c r="H493" t="s">
        <v>4788</v>
      </c>
      <c r="I493"/>
      <c r="J493" t="s">
        <v>2342</v>
      </c>
      <c r="K493" s="33">
        <v>38</v>
      </c>
      <c r="L493" t="s">
        <v>4787</v>
      </c>
      <c r="M493" t="s">
        <v>4067</v>
      </c>
      <c r="N493" s="966"/>
      <c r="O493" s="984">
        <v>106</v>
      </c>
      <c r="P493" t="s">
        <v>4788</v>
      </c>
    </row>
    <row r="494" spans="1:16">
      <c r="B494" t="s">
        <v>2342</v>
      </c>
      <c r="C494" s="33">
        <v>39</v>
      </c>
      <c r="D494" t="s">
        <v>1530</v>
      </c>
      <c r="E494" t="s">
        <v>4071</v>
      </c>
      <c r="F494" s="966">
        <f>+CWIP!G52</f>
        <v>18043.691341606445</v>
      </c>
      <c r="G494" s="984">
        <v>907</v>
      </c>
      <c r="H494" t="s">
        <v>4794</v>
      </c>
      <c r="I494"/>
      <c r="J494" t="s">
        <v>2342</v>
      </c>
      <c r="K494" s="33">
        <v>39</v>
      </c>
      <c r="L494" t="s">
        <v>1530</v>
      </c>
      <c r="M494" t="s">
        <v>4071</v>
      </c>
      <c r="N494" s="966"/>
      <c r="O494" s="984">
        <v>907</v>
      </c>
      <c r="P494" t="s">
        <v>4794</v>
      </c>
    </row>
    <row r="495" spans="1:16">
      <c r="B495" s="297" t="s">
        <v>2342</v>
      </c>
      <c r="C495" s="529">
        <v>40</v>
      </c>
      <c r="D495" s="297" t="s">
        <v>2338</v>
      </c>
      <c r="E495" s="297" t="s">
        <v>4071</v>
      </c>
      <c r="F495" s="970">
        <f>+CWIP!G53</f>
        <v>24440.601398676023</v>
      </c>
      <c r="G495" s="980">
        <v>412</v>
      </c>
      <c r="H495" s="297" t="s">
        <v>4795</v>
      </c>
      <c r="I495" s="297"/>
      <c r="J495" s="297" t="s">
        <v>2342</v>
      </c>
      <c r="K495" s="529">
        <v>40</v>
      </c>
      <c r="L495" s="297" t="s">
        <v>2338</v>
      </c>
      <c r="M495" s="297" t="s">
        <v>4071</v>
      </c>
      <c r="N495" s="970"/>
      <c r="O495" s="980">
        <v>412</v>
      </c>
      <c r="P495" s="297" t="s">
        <v>4795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theme="2" tint="-0.499984740745262"/>
  </sheetPr>
  <dimension ref="A1:Q522"/>
  <sheetViews>
    <sheetView tabSelected="1" showOutlineSymbols="0" workbookViewId="0"/>
  </sheetViews>
  <sheetFormatPr defaultRowHeight="14.4"/>
  <cols>
    <col min="1" max="1" width="21.88671875" customWidth="1"/>
    <col min="2" max="2" width="15.109375" customWidth="1"/>
    <col min="3" max="3" width="9.109375" style="33"/>
    <col min="4" max="4" width="36.88671875" customWidth="1"/>
    <col min="5" max="5" width="7.109375" customWidth="1"/>
    <col min="6" max="6" width="15.109375" style="512" customWidth="1"/>
    <col min="7" max="7" width="11.88671875" style="972" customWidth="1"/>
    <col min="8" max="8" width="49.109375" customWidth="1"/>
    <col min="9" max="9" width="9.88671875" style="849" customWidth="1"/>
    <col min="10" max="10" width="13.109375" customWidth="1"/>
    <col min="11" max="11" width="6.88671875" style="33" customWidth="1"/>
    <col min="12" max="12" width="35.109375" customWidth="1"/>
    <col min="13" max="13" width="7.5546875" customWidth="1"/>
    <col min="14" max="14" width="16.44140625" style="512" customWidth="1"/>
    <col min="15" max="15" width="12" style="972" customWidth="1"/>
    <col min="16" max="16" width="53.5546875" customWidth="1"/>
  </cols>
  <sheetData>
    <row r="1" spans="1:16" ht="15.6">
      <c r="A1" s="971"/>
    </row>
    <row r="2" spans="1:16">
      <c r="F2" s="973" t="s">
        <v>2173</v>
      </c>
      <c r="H2" s="288" t="s">
        <v>4767</v>
      </c>
      <c r="N2" s="973" t="s">
        <v>2173</v>
      </c>
      <c r="P2" s="288" t="s">
        <v>4767</v>
      </c>
    </row>
    <row r="3" spans="1:16">
      <c r="F3" s="645" t="s">
        <v>4768</v>
      </c>
      <c r="N3" s="645" t="s">
        <v>4769</v>
      </c>
    </row>
    <row r="4" spans="1:16">
      <c r="F4" s="645" t="s">
        <v>9480</v>
      </c>
      <c r="N4" s="645" t="s">
        <v>9480</v>
      </c>
    </row>
    <row r="5" spans="1:16">
      <c r="F5" s="645" t="s">
        <v>4770</v>
      </c>
      <c r="N5" s="645" t="s">
        <v>4770</v>
      </c>
    </row>
    <row r="6" spans="1:16">
      <c r="F6" s="974" t="s">
        <v>4771</v>
      </c>
      <c r="N6" s="974" t="s">
        <v>4771</v>
      </c>
    </row>
    <row r="8" spans="1:16">
      <c r="F8" s="645" t="s">
        <v>4772</v>
      </c>
      <c r="N8" s="645" t="s">
        <v>4772</v>
      </c>
    </row>
    <row r="9" spans="1:16">
      <c r="F9" s="975"/>
      <c r="N9" s="975"/>
      <c r="P9" s="945"/>
    </row>
    <row r="10" spans="1:16">
      <c r="N10" s="975"/>
    </row>
    <row r="11" spans="1:16">
      <c r="C11" s="33" t="s">
        <v>2182</v>
      </c>
      <c r="D11" s="33" t="s">
        <v>2182</v>
      </c>
      <c r="G11" s="976" t="s">
        <v>4251</v>
      </c>
      <c r="K11" s="33" t="s">
        <v>2182</v>
      </c>
      <c r="L11" s="33" t="s">
        <v>2182</v>
      </c>
      <c r="O11" s="976" t="s">
        <v>4251</v>
      </c>
    </row>
    <row r="12" spans="1:16">
      <c r="B12" s="297" t="s">
        <v>4683</v>
      </c>
      <c r="C12" s="529" t="s">
        <v>3216</v>
      </c>
      <c r="D12" s="529" t="s">
        <v>2052</v>
      </c>
      <c r="E12" s="297"/>
      <c r="F12" s="977" t="s">
        <v>2185</v>
      </c>
      <c r="G12" s="978" t="s">
        <v>4773</v>
      </c>
      <c r="H12" s="529" t="s">
        <v>4774</v>
      </c>
      <c r="I12" s="979"/>
      <c r="J12" s="297" t="s">
        <v>4683</v>
      </c>
      <c r="K12" s="529" t="s">
        <v>3216</v>
      </c>
      <c r="L12" s="529" t="s">
        <v>2052</v>
      </c>
      <c r="M12" s="297"/>
      <c r="N12" s="977" t="s">
        <v>2185</v>
      </c>
      <c r="O12" s="978" t="s">
        <v>4773</v>
      </c>
      <c r="P12" s="529" t="s">
        <v>4774</v>
      </c>
    </row>
    <row r="14" spans="1:16">
      <c r="A14" t="s">
        <v>4698</v>
      </c>
      <c r="B14" s="297" t="s">
        <v>4775</v>
      </c>
      <c r="C14" s="529">
        <v>1</v>
      </c>
      <c r="D14" s="297" t="s">
        <v>4776</v>
      </c>
      <c r="E14" s="297" t="s">
        <v>4777</v>
      </c>
      <c r="F14" s="970">
        <f>+'0 MDS Functionalized Revenues'!G49</f>
        <v>1480725.49453</v>
      </c>
      <c r="G14" s="980">
        <v>501</v>
      </c>
      <c r="H14" s="297" t="s">
        <v>4778</v>
      </c>
      <c r="I14" s="297"/>
      <c r="J14" s="297" t="s">
        <v>4775</v>
      </c>
      <c r="K14" s="529">
        <v>1</v>
      </c>
      <c r="L14" s="297" t="s">
        <v>4776</v>
      </c>
      <c r="M14" s="297" t="s">
        <v>4777</v>
      </c>
      <c r="N14" s="970"/>
      <c r="O14" s="980">
        <v>501</v>
      </c>
      <c r="P14" s="297" t="s">
        <v>4778</v>
      </c>
    </row>
    <row r="15" spans="1:16">
      <c r="A15" t="s">
        <v>4779</v>
      </c>
      <c r="B15" s="981" t="s">
        <v>4775</v>
      </c>
      <c r="C15" s="529">
        <v>3</v>
      </c>
      <c r="D15" s="981" t="s">
        <v>4780</v>
      </c>
      <c r="E15" s="981" t="s">
        <v>4071</v>
      </c>
      <c r="F15" s="982">
        <f>+'0 MDS Functionalized Revenues'!H128</f>
        <v>21444.964123999598</v>
      </c>
      <c r="G15" s="983">
        <v>420</v>
      </c>
      <c r="H15" s="981" t="s">
        <v>4781</v>
      </c>
      <c r="I15" s="297"/>
      <c r="J15" s="981" t="s">
        <v>4775</v>
      </c>
      <c r="K15" s="529">
        <v>3</v>
      </c>
      <c r="L15" s="981" t="s">
        <v>4780</v>
      </c>
      <c r="M15" s="981" t="s">
        <v>4071</v>
      </c>
      <c r="N15" s="982"/>
      <c r="O15" s="983">
        <v>420</v>
      </c>
      <c r="P15" s="981" t="s">
        <v>4781</v>
      </c>
    </row>
    <row r="16" spans="1:16">
      <c r="A16" t="s">
        <v>4782</v>
      </c>
      <c r="B16" t="s">
        <v>4775</v>
      </c>
      <c r="C16" s="33">
        <v>6</v>
      </c>
      <c r="D16" t="s">
        <v>1528</v>
      </c>
      <c r="E16" t="s">
        <v>4067</v>
      </c>
      <c r="F16" s="965">
        <f>+'0 MDS Functionalized Revenues'!H132</f>
        <v>312.20800000000003</v>
      </c>
      <c r="G16" s="984">
        <v>101</v>
      </c>
      <c r="H16" t="s">
        <v>4783</v>
      </c>
      <c r="I16"/>
      <c r="J16" t="s">
        <v>4775</v>
      </c>
      <c r="K16" s="33">
        <v>6</v>
      </c>
      <c r="L16" t="s">
        <v>1528</v>
      </c>
      <c r="M16" t="s">
        <v>4067</v>
      </c>
      <c r="N16" s="445"/>
      <c r="O16" s="984">
        <v>122</v>
      </c>
      <c r="P16" t="s">
        <v>4784</v>
      </c>
    </row>
    <row r="17" spans="1:16">
      <c r="B17" t="s">
        <v>4775</v>
      </c>
      <c r="C17" s="33">
        <v>7</v>
      </c>
      <c r="D17" t="s">
        <v>1529</v>
      </c>
      <c r="E17" t="s">
        <v>4067</v>
      </c>
      <c r="F17" s="445">
        <f>+'0 MDS Functionalized Revenues'!H133</f>
        <v>755.73100000000011</v>
      </c>
      <c r="G17" s="984">
        <v>117</v>
      </c>
      <c r="H17" t="s">
        <v>4785</v>
      </c>
      <c r="I17"/>
      <c r="J17" t="s">
        <v>4775</v>
      </c>
      <c r="K17" s="33">
        <v>7</v>
      </c>
      <c r="L17" t="s">
        <v>1529</v>
      </c>
      <c r="M17" t="s">
        <v>4067</v>
      </c>
      <c r="N17" s="445"/>
      <c r="O17" s="984">
        <v>117</v>
      </c>
      <c r="P17" t="s">
        <v>4785</v>
      </c>
    </row>
    <row r="18" spans="1:16">
      <c r="B18" t="s">
        <v>4775</v>
      </c>
      <c r="C18" s="33">
        <v>8</v>
      </c>
      <c r="D18" t="s">
        <v>1953</v>
      </c>
      <c r="E18" t="s">
        <v>4067</v>
      </c>
      <c r="F18" s="445">
        <f>+'0 MDS Functionalized Revenues'!H134</f>
        <v>148.62792999999999</v>
      </c>
      <c r="G18" s="984">
        <v>117</v>
      </c>
      <c r="H18" t="s">
        <v>4785</v>
      </c>
      <c r="I18"/>
      <c r="J18" t="s">
        <v>4775</v>
      </c>
      <c r="K18" s="33">
        <v>8</v>
      </c>
      <c r="L18" t="s">
        <v>1953</v>
      </c>
      <c r="M18" t="s">
        <v>4067</v>
      </c>
      <c r="N18" s="445"/>
      <c r="O18" s="984">
        <v>117</v>
      </c>
      <c r="P18" t="s">
        <v>4785</v>
      </c>
    </row>
    <row r="19" spans="1:16">
      <c r="B19" t="s">
        <v>4775</v>
      </c>
      <c r="C19" s="33">
        <v>9</v>
      </c>
      <c r="D19" t="s">
        <v>2040</v>
      </c>
      <c r="E19" t="s">
        <v>4067</v>
      </c>
      <c r="F19" s="445">
        <f>+'0 MDS Functionalized Revenues'!H135</f>
        <v>13733.925089886799</v>
      </c>
      <c r="G19" s="984">
        <v>105</v>
      </c>
      <c r="H19" t="s">
        <v>4786</v>
      </c>
      <c r="I19"/>
      <c r="J19" t="s">
        <v>4775</v>
      </c>
      <c r="K19" s="33">
        <v>9</v>
      </c>
      <c r="L19" t="s">
        <v>2040</v>
      </c>
      <c r="M19" t="s">
        <v>4067</v>
      </c>
      <c r="N19" s="445"/>
      <c r="O19" s="984">
        <v>105</v>
      </c>
      <c r="P19" t="s">
        <v>4786</v>
      </c>
    </row>
    <row r="20" spans="1:16">
      <c r="B20" s="297" t="s">
        <v>4775</v>
      </c>
      <c r="C20" s="529">
        <v>10</v>
      </c>
      <c r="D20" s="297" t="s">
        <v>4787</v>
      </c>
      <c r="E20" s="297" t="s">
        <v>4067</v>
      </c>
      <c r="F20" s="970">
        <f>+'0 MDS Functionalized Revenues'!H136</f>
        <v>118.96596000000004</v>
      </c>
      <c r="G20" s="980">
        <v>106</v>
      </c>
      <c r="H20" s="297" t="s">
        <v>4788</v>
      </c>
      <c r="I20" s="297"/>
      <c r="J20" s="297" t="s">
        <v>4775</v>
      </c>
      <c r="K20" s="529">
        <v>10</v>
      </c>
      <c r="L20" s="297" t="s">
        <v>4787</v>
      </c>
      <c r="M20" s="297" t="s">
        <v>4067</v>
      </c>
      <c r="N20" s="970"/>
      <c r="O20" s="980">
        <v>106</v>
      </c>
      <c r="P20" s="297" t="s">
        <v>4788</v>
      </c>
    </row>
    <row r="21" spans="1:16">
      <c r="A21" t="s">
        <v>4789</v>
      </c>
      <c r="B21" t="s">
        <v>4775</v>
      </c>
      <c r="C21" s="33">
        <v>14</v>
      </c>
      <c r="D21" t="s">
        <v>1528</v>
      </c>
      <c r="E21" t="s">
        <v>4067</v>
      </c>
      <c r="F21" s="445">
        <f>+'0 MDS Functionalized Revenues'!H162</f>
        <v>1538.7293105288488</v>
      </c>
      <c r="G21" s="984">
        <v>101</v>
      </c>
      <c r="H21" t="s">
        <v>4783</v>
      </c>
      <c r="I21"/>
      <c r="J21" t="s">
        <v>4775</v>
      </c>
      <c r="K21" s="33">
        <v>14</v>
      </c>
      <c r="L21" t="s">
        <v>1528</v>
      </c>
      <c r="M21" t="s">
        <v>4067</v>
      </c>
      <c r="N21" s="445"/>
      <c r="O21" s="984">
        <v>122</v>
      </c>
      <c r="P21" t="s">
        <v>4784</v>
      </c>
    </row>
    <row r="22" spans="1:16">
      <c r="B22" t="s">
        <v>4775</v>
      </c>
      <c r="C22" s="33">
        <v>15</v>
      </c>
      <c r="D22" t="s">
        <v>1528</v>
      </c>
      <c r="E22" t="s">
        <v>2067</v>
      </c>
      <c r="F22" s="445">
        <f>+'0 MDS Functionalized Revenues'!H163</f>
        <v>145.45872532694909</v>
      </c>
      <c r="G22" s="984">
        <v>201</v>
      </c>
      <c r="H22" t="s">
        <v>4790</v>
      </c>
      <c r="I22"/>
      <c r="J22" t="s">
        <v>4775</v>
      </c>
      <c r="K22" s="33">
        <v>15</v>
      </c>
      <c r="L22" t="s">
        <v>1528</v>
      </c>
      <c r="M22" t="s">
        <v>2067</v>
      </c>
      <c r="N22" s="445"/>
      <c r="O22" s="984">
        <v>201</v>
      </c>
      <c r="P22" t="s">
        <v>4790</v>
      </c>
    </row>
    <row r="23" spans="1:16">
      <c r="B23" t="s">
        <v>4775</v>
      </c>
      <c r="C23" s="33">
        <v>16</v>
      </c>
      <c r="D23" t="s">
        <v>1529</v>
      </c>
      <c r="E23" t="s">
        <v>4067</v>
      </c>
      <c r="F23" s="445">
        <f>+'0 MDS Functionalized Revenues'!H164</f>
        <v>240.69636350591523</v>
      </c>
      <c r="G23" s="984">
        <v>117</v>
      </c>
      <c r="H23" t="s">
        <v>4785</v>
      </c>
      <c r="I23"/>
      <c r="J23" t="s">
        <v>4775</v>
      </c>
      <c r="K23" s="33">
        <v>16</v>
      </c>
      <c r="L23" t="s">
        <v>1529</v>
      </c>
      <c r="M23" t="s">
        <v>4067</v>
      </c>
      <c r="N23" s="445"/>
      <c r="O23" s="984">
        <v>117</v>
      </c>
      <c r="P23" t="s">
        <v>4785</v>
      </c>
    </row>
    <row r="24" spans="1:16">
      <c r="B24" t="s">
        <v>4775</v>
      </c>
      <c r="C24" s="33">
        <v>17</v>
      </c>
      <c r="D24" t="s">
        <v>4791</v>
      </c>
      <c r="E24" t="s">
        <v>4067</v>
      </c>
      <c r="F24" s="445">
        <f>+'0 MDS Functionalized Revenues'!H165</f>
        <v>7929.0305824175994</v>
      </c>
      <c r="G24" s="984">
        <v>202</v>
      </c>
      <c r="H24" t="s">
        <v>4792</v>
      </c>
      <c r="I24"/>
      <c r="J24" t="s">
        <v>4775</v>
      </c>
      <c r="K24" s="33">
        <v>17</v>
      </c>
      <c r="L24" t="s">
        <v>4793</v>
      </c>
      <c r="M24" t="s">
        <v>4067</v>
      </c>
      <c r="N24" s="445"/>
      <c r="O24" s="984">
        <v>202</v>
      </c>
      <c r="P24" t="s">
        <v>4792</v>
      </c>
    </row>
    <row r="25" spans="1:16">
      <c r="B25" t="s">
        <v>4775</v>
      </c>
      <c r="C25" s="33">
        <v>18</v>
      </c>
      <c r="D25" t="s">
        <v>1953</v>
      </c>
      <c r="E25" t="s">
        <v>4067</v>
      </c>
      <c r="F25" s="445">
        <f>+'0 MDS Functionalized Revenues'!H166</f>
        <v>124.74078416988189</v>
      </c>
      <c r="G25" s="984">
        <v>117</v>
      </c>
      <c r="H25" t="s">
        <v>4785</v>
      </c>
      <c r="I25"/>
      <c r="J25" t="s">
        <v>4775</v>
      </c>
      <c r="K25" s="33">
        <v>18</v>
      </c>
      <c r="L25" t="s">
        <v>1953</v>
      </c>
      <c r="M25" t="s">
        <v>4067</v>
      </c>
      <c r="N25" s="445"/>
      <c r="O25" s="984">
        <v>117</v>
      </c>
      <c r="P25" t="s">
        <v>4785</v>
      </c>
    </row>
    <row r="26" spans="1:16">
      <c r="B26" t="s">
        <v>4775</v>
      </c>
      <c r="C26" s="33">
        <v>19</v>
      </c>
      <c r="D26" t="s">
        <v>2040</v>
      </c>
      <c r="E26" t="s">
        <v>4067</v>
      </c>
      <c r="F26" s="445">
        <f>+'0 MDS Functionalized Revenues'!H167</f>
        <v>457.1290388086324</v>
      </c>
      <c r="G26" s="984">
        <v>105</v>
      </c>
      <c r="H26" t="s">
        <v>4786</v>
      </c>
      <c r="I26"/>
      <c r="J26" t="s">
        <v>4775</v>
      </c>
      <c r="K26" s="33">
        <v>19</v>
      </c>
      <c r="L26" t="s">
        <v>2040</v>
      </c>
      <c r="M26" t="s">
        <v>4067</v>
      </c>
      <c r="N26" s="445"/>
      <c r="O26" s="984">
        <v>105</v>
      </c>
      <c r="P26" t="s">
        <v>4786</v>
      </c>
    </row>
    <row r="27" spans="1:16">
      <c r="B27" t="s">
        <v>4775</v>
      </c>
      <c r="C27" s="33">
        <v>20</v>
      </c>
      <c r="D27" t="s">
        <v>4787</v>
      </c>
      <c r="E27" t="s">
        <v>4067</v>
      </c>
      <c r="F27" s="445">
        <f>+'0 MDS Functionalized Revenues'!H168</f>
        <v>229.72470961923418</v>
      </c>
      <c r="G27" s="984">
        <v>106</v>
      </c>
      <c r="H27" t="s">
        <v>4788</v>
      </c>
      <c r="I27"/>
      <c r="J27" t="s">
        <v>4775</v>
      </c>
      <c r="K27" s="33">
        <v>20</v>
      </c>
      <c r="L27" t="s">
        <v>4787</v>
      </c>
      <c r="M27" t="s">
        <v>4067</v>
      </c>
      <c r="N27" s="445"/>
      <c r="O27" s="984">
        <v>106</v>
      </c>
      <c r="P27" t="s">
        <v>4788</v>
      </c>
    </row>
    <row r="28" spans="1:16">
      <c r="B28" t="s">
        <v>4775</v>
      </c>
      <c r="C28" s="33">
        <v>21</v>
      </c>
      <c r="D28" t="s">
        <v>1530</v>
      </c>
      <c r="E28" t="s">
        <v>4071</v>
      </c>
      <c r="F28" s="445">
        <f>+'0 MDS Functionalized Revenues'!H169</f>
        <v>216.09497127969638</v>
      </c>
      <c r="G28" s="984">
        <v>907</v>
      </c>
      <c r="H28" t="s">
        <v>4794</v>
      </c>
      <c r="I28"/>
      <c r="J28" t="s">
        <v>4775</v>
      </c>
      <c r="K28" s="33">
        <v>21</v>
      </c>
      <c r="L28" t="s">
        <v>1530</v>
      </c>
      <c r="M28" t="s">
        <v>4071</v>
      </c>
      <c r="N28" s="445"/>
      <c r="O28" s="984">
        <v>907</v>
      </c>
      <c r="P28" t="s">
        <v>4794</v>
      </c>
    </row>
    <row r="29" spans="1:16">
      <c r="B29" s="297" t="s">
        <v>4775</v>
      </c>
      <c r="C29" s="529">
        <v>22</v>
      </c>
      <c r="D29" s="297" t="s">
        <v>2338</v>
      </c>
      <c r="E29" s="297" t="s">
        <v>4071</v>
      </c>
      <c r="F29" s="970">
        <f>+'0 MDS Functionalized Revenues'!H170</f>
        <v>52.396446709337987</v>
      </c>
      <c r="G29" s="980">
        <v>412</v>
      </c>
      <c r="H29" s="297" t="s">
        <v>4795</v>
      </c>
      <c r="I29" s="297"/>
      <c r="J29" s="297" t="s">
        <v>4775</v>
      </c>
      <c r="K29" s="529">
        <v>22</v>
      </c>
      <c r="L29" s="297" t="s">
        <v>2338</v>
      </c>
      <c r="M29" s="297" t="s">
        <v>4071</v>
      </c>
      <c r="N29" s="970"/>
      <c r="O29" s="980">
        <v>412</v>
      </c>
      <c r="P29" s="297" t="s">
        <v>4795</v>
      </c>
    </row>
    <row r="30" spans="1:16">
      <c r="A30" t="s">
        <v>4796</v>
      </c>
      <c r="B30" t="s">
        <v>4775</v>
      </c>
      <c r="C30" s="33">
        <v>26</v>
      </c>
      <c r="D30" t="s">
        <v>4797</v>
      </c>
      <c r="E30" t="s">
        <v>2067</v>
      </c>
      <c r="F30" s="966">
        <f>+'0 MDS Functionalized Revenues'!H174</f>
        <v>493.87339000000003</v>
      </c>
      <c r="G30" s="984">
        <v>201</v>
      </c>
      <c r="H30" t="s">
        <v>4790</v>
      </c>
      <c r="I30"/>
      <c r="J30" t="s">
        <v>4775</v>
      </c>
      <c r="K30" s="33">
        <v>26</v>
      </c>
      <c r="L30" t="s">
        <v>4797</v>
      </c>
      <c r="M30" t="s">
        <v>2067</v>
      </c>
      <c r="N30" s="445"/>
      <c r="O30" s="984">
        <v>201</v>
      </c>
      <c r="P30" t="s">
        <v>4790</v>
      </c>
    </row>
    <row r="31" spans="1:16">
      <c r="B31" t="s">
        <v>4775</v>
      </c>
      <c r="C31" s="33">
        <v>27</v>
      </c>
      <c r="D31" t="s">
        <v>4798</v>
      </c>
      <c r="E31" t="s">
        <v>2067</v>
      </c>
      <c r="F31" s="966">
        <f>+'0 MDS Functionalized Revenues'!H175</f>
        <v>-1.84900420208578E-3</v>
      </c>
      <c r="G31" s="984">
        <v>202</v>
      </c>
      <c r="H31" t="s">
        <v>4792</v>
      </c>
      <c r="I31"/>
      <c r="J31" t="s">
        <v>4775</v>
      </c>
      <c r="K31" s="33">
        <v>27</v>
      </c>
      <c r="L31" t="s">
        <v>4798</v>
      </c>
      <c r="M31" t="s">
        <v>2067</v>
      </c>
      <c r="N31" s="445"/>
      <c r="O31" s="984">
        <v>202</v>
      </c>
      <c r="P31" t="s">
        <v>4792</v>
      </c>
    </row>
    <row r="32" spans="1:16">
      <c r="B32" t="s">
        <v>4775</v>
      </c>
      <c r="C32" s="33">
        <v>29</v>
      </c>
      <c r="D32" t="s">
        <v>4799</v>
      </c>
      <c r="E32" t="s">
        <v>2067</v>
      </c>
      <c r="F32" s="966">
        <f>+'0 MDS Functionalized Revenues'!H176</f>
        <v>107</v>
      </c>
      <c r="G32" s="984">
        <v>204</v>
      </c>
      <c r="H32" t="s">
        <v>4800</v>
      </c>
      <c r="I32"/>
      <c r="J32" t="s">
        <v>4775</v>
      </c>
      <c r="K32" s="33">
        <v>29</v>
      </c>
      <c r="L32" t="s">
        <v>4799</v>
      </c>
      <c r="M32" t="s">
        <v>2067</v>
      </c>
      <c r="N32" s="445"/>
      <c r="O32" s="984">
        <v>204</v>
      </c>
      <c r="P32" t="s">
        <v>4800</v>
      </c>
    </row>
    <row r="33" spans="1:16">
      <c r="B33" t="s">
        <v>4775</v>
      </c>
      <c r="C33" s="33">
        <v>30</v>
      </c>
      <c r="D33" t="s">
        <v>4801</v>
      </c>
      <c r="E33" t="s">
        <v>2067</v>
      </c>
      <c r="F33" s="966">
        <f>+'0 MDS Functionalized Revenues'!H177</f>
        <v>0</v>
      </c>
      <c r="G33" s="984">
        <v>201</v>
      </c>
      <c r="H33" t="s">
        <v>4790</v>
      </c>
      <c r="I33"/>
      <c r="J33" t="s">
        <v>4775</v>
      </c>
      <c r="K33" s="33">
        <v>30</v>
      </c>
      <c r="L33" t="s">
        <v>4801</v>
      </c>
      <c r="M33" t="s">
        <v>2067</v>
      </c>
      <c r="N33" s="445"/>
      <c r="O33" s="984">
        <v>201</v>
      </c>
      <c r="P33" t="s">
        <v>4790</v>
      </c>
    </row>
    <row r="34" spans="1:16">
      <c r="B34" s="297" t="s">
        <v>4775</v>
      </c>
      <c r="C34" s="529">
        <v>31</v>
      </c>
      <c r="D34" s="297" t="s">
        <v>877</v>
      </c>
      <c r="E34" s="297" t="s">
        <v>2067</v>
      </c>
      <c r="F34" s="970">
        <f>+'0 MDS Functionalized Revenues'!H113</f>
        <v>-70.100000000003888</v>
      </c>
      <c r="G34" s="980">
        <v>508</v>
      </c>
      <c r="H34" s="297" t="s">
        <v>4802</v>
      </c>
      <c r="I34" s="297"/>
      <c r="J34" s="297" t="s">
        <v>4775</v>
      </c>
      <c r="K34" s="529">
        <v>31</v>
      </c>
      <c r="L34" s="297" t="s">
        <v>877</v>
      </c>
      <c r="M34" s="297" t="s">
        <v>2067</v>
      </c>
      <c r="N34" s="970"/>
      <c r="O34" s="980">
        <v>508</v>
      </c>
      <c r="P34" s="297" t="s">
        <v>4802</v>
      </c>
    </row>
    <row r="35" spans="1:16">
      <c r="A35" t="s">
        <v>4803</v>
      </c>
      <c r="B35" t="s">
        <v>4682</v>
      </c>
      <c r="C35" s="33">
        <v>2</v>
      </c>
      <c r="D35" t="s">
        <v>4804</v>
      </c>
      <c r="E35" t="s">
        <v>4067</v>
      </c>
      <c r="F35" s="967">
        <f>+'Fuel Interchange'!G28/1000</f>
        <v>0</v>
      </c>
      <c r="G35" s="984">
        <v>202</v>
      </c>
      <c r="H35" t="s">
        <v>4792</v>
      </c>
      <c r="I35"/>
      <c r="J35" t="s">
        <v>4682</v>
      </c>
      <c r="K35" s="33">
        <v>2</v>
      </c>
      <c r="L35" t="s">
        <v>4804</v>
      </c>
      <c r="M35" t="s">
        <v>4067</v>
      </c>
      <c r="N35" s="445"/>
      <c r="O35" s="984">
        <v>201</v>
      </c>
      <c r="P35" t="s">
        <v>4790</v>
      </c>
    </row>
    <row r="36" spans="1:16">
      <c r="B36" t="s">
        <v>4682</v>
      </c>
      <c r="C36" s="33">
        <v>3</v>
      </c>
      <c r="D36" s="79" t="s">
        <v>4805</v>
      </c>
      <c r="E36" t="s">
        <v>2067</v>
      </c>
      <c r="F36" s="967">
        <f>+'Fuel Interchange'!G36/1000</f>
        <v>0</v>
      </c>
      <c r="G36" s="984">
        <v>202</v>
      </c>
      <c r="H36" t="s">
        <v>4792</v>
      </c>
      <c r="I36"/>
      <c r="J36" t="s">
        <v>4682</v>
      </c>
      <c r="K36" s="33">
        <v>3</v>
      </c>
      <c r="L36" s="79" t="s">
        <v>4805</v>
      </c>
      <c r="M36" t="s">
        <v>2067</v>
      </c>
      <c r="N36" s="445"/>
      <c r="O36" s="984">
        <v>201</v>
      </c>
      <c r="P36" t="s">
        <v>4790</v>
      </c>
    </row>
    <row r="37" spans="1:16">
      <c r="B37" t="s">
        <v>4682</v>
      </c>
      <c r="C37" s="33">
        <v>2</v>
      </c>
      <c r="D37" t="s">
        <v>4806</v>
      </c>
      <c r="E37" t="s">
        <v>4067</v>
      </c>
      <c r="F37" s="967">
        <f>+'Fuel Interchange'!G31/1000</f>
        <v>0</v>
      </c>
      <c r="G37" s="984">
        <v>202</v>
      </c>
      <c r="H37" t="s">
        <v>4792</v>
      </c>
      <c r="I37"/>
      <c r="J37" t="s">
        <v>4682</v>
      </c>
      <c r="K37" s="33">
        <v>2</v>
      </c>
      <c r="L37" t="s">
        <v>4806</v>
      </c>
      <c r="M37" t="s">
        <v>4067</v>
      </c>
      <c r="N37" s="445"/>
      <c r="O37" s="984">
        <v>201</v>
      </c>
      <c r="P37" t="s">
        <v>4790</v>
      </c>
    </row>
    <row r="38" spans="1:16">
      <c r="B38" t="s">
        <v>4682</v>
      </c>
      <c r="C38" s="33">
        <v>4</v>
      </c>
      <c r="D38" s="96" t="s">
        <v>4807</v>
      </c>
      <c r="E38" t="s">
        <v>2067</v>
      </c>
      <c r="F38" s="968">
        <f>(+'Fuel Interchange'!G42+'Fuel Interchange'!G45)/1000</f>
        <v>0</v>
      </c>
      <c r="G38" s="984">
        <v>202</v>
      </c>
      <c r="H38" t="s">
        <v>4792</v>
      </c>
      <c r="I38"/>
      <c r="J38" t="s">
        <v>4682</v>
      </c>
      <c r="K38" s="33">
        <v>4</v>
      </c>
      <c r="L38" t="s">
        <v>4808</v>
      </c>
      <c r="M38" t="s">
        <v>2067</v>
      </c>
      <c r="N38" s="445"/>
      <c r="O38" s="984">
        <v>201</v>
      </c>
      <c r="P38" t="s">
        <v>4790</v>
      </c>
    </row>
    <row r="39" spans="1:16">
      <c r="B39" t="s">
        <v>4682</v>
      </c>
      <c r="C39" s="33">
        <v>7</v>
      </c>
      <c r="D39" t="s">
        <v>4809</v>
      </c>
      <c r="E39" t="s">
        <v>2067</v>
      </c>
      <c r="F39" s="967">
        <f>+(+'Fuel Interchange'!I42+'Fuel Interchange'!I45)/1000</f>
        <v>0</v>
      </c>
      <c r="G39" s="984">
        <v>205</v>
      </c>
      <c r="H39" t="s">
        <v>4810</v>
      </c>
      <c r="I39"/>
      <c r="J39" t="s">
        <v>4682</v>
      </c>
      <c r="K39" s="33">
        <v>7</v>
      </c>
      <c r="L39" t="s">
        <v>4809</v>
      </c>
      <c r="M39" t="s">
        <v>2067</v>
      </c>
      <c r="N39" s="445"/>
      <c r="O39" s="984">
        <v>201</v>
      </c>
      <c r="P39" t="s">
        <v>4790</v>
      </c>
    </row>
    <row r="40" spans="1:16">
      <c r="B40" t="s">
        <v>4682</v>
      </c>
      <c r="C40" s="33">
        <v>6</v>
      </c>
      <c r="D40" t="s">
        <v>4811</v>
      </c>
      <c r="E40" t="s">
        <v>4067</v>
      </c>
      <c r="F40" s="967">
        <f>+'Fuel Interchange'!I32/1000</f>
        <v>0</v>
      </c>
      <c r="G40" s="984">
        <v>205</v>
      </c>
      <c r="H40" t="s">
        <v>4810</v>
      </c>
      <c r="I40"/>
      <c r="J40" t="s">
        <v>4682</v>
      </c>
      <c r="K40" s="33">
        <v>6</v>
      </c>
      <c r="L40" t="s">
        <v>4811</v>
      </c>
      <c r="M40" t="s">
        <v>4067</v>
      </c>
      <c r="N40" s="445"/>
      <c r="O40" s="984">
        <v>122</v>
      </c>
      <c r="P40" t="s">
        <v>4784</v>
      </c>
    </row>
    <row r="41" spans="1:16">
      <c r="B41" s="297" t="s">
        <v>4682</v>
      </c>
      <c r="C41" s="529">
        <v>7</v>
      </c>
      <c r="D41" s="545" t="s">
        <v>4812</v>
      </c>
      <c r="E41" s="297" t="s">
        <v>2067</v>
      </c>
      <c r="F41" s="969">
        <f>+'Fuel Interchange'!J53/1000</f>
        <v>626.46090775325297</v>
      </c>
      <c r="G41" s="980">
        <v>205</v>
      </c>
      <c r="H41" s="297" t="s">
        <v>4810</v>
      </c>
      <c r="I41" s="297"/>
      <c r="J41" s="297" t="s">
        <v>4682</v>
      </c>
      <c r="K41" s="529">
        <v>7</v>
      </c>
      <c r="L41" s="297" t="s">
        <v>4812</v>
      </c>
      <c r="M41" s="297" t="s">
        <v>2067</v>
      </c>
      <c r="N41" s="970"/>
      <c r="O41" s="980">
        <v>201</v>
      </c>
      <c r="P41" s="297" t="s">
        <v>4790</v>
      </c>
    </row>
    <row r="42" spans="1:16">
      <c r="A42" t="s">
        <v>1441</v>
      </c>
      <c r="B42" t="s">
        <v>4682</v>
      </c>
      <c r="C42" s="33">
        <v>15</v>
      </c>
      <c r="D42" t="s">
        <v>4813</v>
      </c>
      <c r="E42" t="s">
        <v>4067</v>
      </c>
      <c r="F42" s="445">
        <f>+'Prod O&amp;M'!H58</f>
        <v>21258.613990116999</v>
      </c>
      <c r="G42" s="984">
        <v>101</v>
      </c>
      <c r="H42" t="s">
        <v>4783</v>
      </c>
      <c r="I42"/>
      <c r="J42" t="s">
        <v>4682</v>
      </c>
      <c r="K42" s="33">
        <v>15</v>
      </c>
      <c r="L42" t="s">
        <v>4813</v>
      </c>
      <c r="M42" t="s">
        <v>4067</v>
      </c>
      <c r="N42" s="445"/>
      <c r="O42" s="984">
        <v>122</v>
      </c>
      <c r="P42" t="s">
        <v>4784</v>
      </c>
    </row>
    <row r="43" spans="1:16">
      <c r="B43" t="s">
        <v>4682</v>
      </c>
      <c r="C43" s="33">
        <v>17</v>
      </c>
      <c r="D43" t="s">
        <v>4814</v>
      </c>
      <c r="E43" t="s">
        <v>2067</v>
      </c>
      <c r="F43" s="445">
        <f>+'Prod O&amp;M'!I58</f>
        <v>25468.676308669801</v>
      </c>
      <c r="G43" s="984">
        <v>201</v>
      </c>
      <c r="H43" t="s">
        <v>4790</v>
      </c>
      <c r="I43"/>
      <c r="J43" t="s">
        <v>4682</v>
      </c>
      <c r="K43" s="33">
        <v>17</v>
      </c>
      <c r="L43" t="s">
        <v>4814</v>
      </c>
      <c r="M43" t="s">
        <v>2067</v>
      </c>
      <c r="N43" s="445"/>
      <c r="O43" s="984">
        <v>201</v>
      </c>
      <c r="P43" t="s">
        <v>4790</v>
      </c>
    </row>
    <row r="44" spans="1:16">
      <c r="B44" t="s">
        <v>4682</v>
      </c>
      <c r="C44" s="33">
        <v>15</v>
      </c>
      <c r="D44" t="s">
        <v>4813</v>
      </c>
      <c r="E44" t="s">
        <v>4067</v>
      </c>
      <c r="F44" s="445">
        <f>+'Prod O&amp;M'!H70-F45</f>
        <v>73833.458690158004</v>
      </c>
      <c r="G44" s="984">
        <v>101</v>
      </c>
      <c r="H44" t="s">
        <v>4783</v>
      </c>
      <c r="I44"/>
      <c r="J44" t="s">
        <v>4682</v>
      </c>
      <c r="K44" s="33">
        <v>15</v>
      </c>
      <c r="L44" t="s">
        <v>4813</v>
      </c>
      <c r="M44" t="s">
        <v>4067</v>
      </c>
      <c r="N44" s="445"/>
      <c r="O44" s="984">
        <v>122</v>
      </c>
      <c r="P44" t="s">
        <v>4784</v>
      </c>
    </row>
    <row r="45" spans="1:16">
      <c r="B45" t="s">
        <v>4682</v>
      </c>
      <c r="C45" s="33">
        <v>16</v>
      </c>
      <c r="D45" s="96" t="s">
        <v>4815</v>
      </c>
      <c r="E45" t="s">
        <v>4067</v>
      </c>
      <c r="F45" s="445">
        <f>+'Prod O&amp;M'!H9/1000</f>
        <v>0</v>
      </c>
      <c r="G45" s="984">
        <v>101</v>
      </c>
      <c r="H45" t="s">
        <v>4783</v>
      </c>
      <c r="I45"/>
      <c r="J45" t="s">
        <v>4682</v>
      </c>
      <c r="K45" s="33">
        <v>16</v>
      </c>
      <c r="L45" s="96" t="s">
        <v>4815</v>
      </c>
      <c r="M45" t="s">
        <v>4067</v>
      </c>
      <c r="N45" s="445"/>
      <c r="O45" s="984">
        <v>121</v>
      </c>
      <c r="P45" t="s">
        <v>4816</v>
      </c>
    </row>
    <row r="46" spans="1:16">
      <c r="B46" s="297" t="s">
        <v>4682</v>
      </c>
      <c r="C46" s="529">
        <v>17</v>
      </c>
      <c r="D46" s="297" t="s">
        <v>4814</v>
      </c>
      <c r="E46" s="297" t="s">
        <v>2067</v>
      </c>
      <c r="F46" s="970">
        <f>+'Prod O&amp;M'!I70</f>
        <v>3841.5103000948998</v>
      </c>
      <c r="G46" s="980">
        <v>201</v>
      </c>
      <c r="H46" s="297" t="s">
        <v>4790</v>
      </c>
      <c r="I46" s="297"/>
      <c r="J46" s="297" t="s">
        <v>4682</v>
      </c>
      <c r="K46" s="529">
        <v>17</v>
      </c>
      <c r="L46" s="297" t="s">
        <v>4814</v>
      </c>
      <c r="M46" s="297" t="s">
        <v>2067</v>
      </c>
      <c r="N46" s="970"/>
      <c r="O46" s="980">
        <v>201</v>
      </c>
      <c r="P46" s="297" t="s">
        <v>4790</v>
      </c>
    </row>
    <row r="47" spans="1:16">
      <c r="A47" t="s">
        <v>1760</v>
      </c>
      <c r="B47" t="s">
        <v>4682</v>
      </c>
      <c r="C47" s="33">
        <v>22</v>
      </c>
      <c r="D47" t="s">
        <v>4817</v>
      </c>
      <c r="E47" t="s">
        <v>4067</v>
      </c>
      <c r="F47" s="966">
        <f>+'Transmission O&amp;M'!I47</f>
        <v>3435.0487828274636</v>
      </c>
      <c r="G47" s="984">
        <v>101</v>
      </c>
      <c r="H47" t="s">
        <v>4783</v>
      </c>
      <c r="I47"/>
      <c r="J47" t="s">
        <v>4682</v>
      </c>
      <c r="K47" s="33">
        <v>22</v>
      </c>
      <c r="L47" t="s">
        <v>4817</v>
      </c>
      <c r="M47" t="s">
        <v>4067</v>
      </c>
      <c r="N47" s="445"/>
      <c r="O47" s="984">
        <v>122</v>
      </c>
      <c r="P47" t="s">
        <v>4784</v>
      </c>
    </row>
    <row r="48" spans="1:16">
      <c r="B48" t="s">
        <v>4682</v>
      </c>
      <c r="C48" s="33">
        <v>24</v>
      </c>
      <c r="D48" t="s">
        <v>4818</v>
      </c>
      <c r="E48" t="s">
        <v>4067</v>
      </c>
      <c r="F48" s="966">
        <f>+'Transmission O&amp;M'!J47+'Transmission O&amp;M'!M47</f>
        <v>2130.0112029296843</v>
      </c>
      <c r="G48" s="984">
        <v>117</v>
      </c>
      <c r="H48" t="s">
        <v>4785</v>
      </c>
      <c r="I48"/>
      <c r="J48" t="s">
        <v>4682</v>
      </c>
      <c r="K48" s="33">
        <v>24</v>
      </c>
      <c r="L48" t="s">
        <v>4818</v>
      </c>
      <c r="M48" t="s">
        <v>4067</v>
      </c>
      <c r="N48" s="445"/>
      <c r="O48" s="984">
        <v>117</v>
      </c>
      <c r="P48" t="s">
        <v>4785</v>
      </c>
    </row>
    <row r="49" spans="1:16">
      <c r="B49" t="s">
        <v>4682</v>
      </c>
      <c r="C49" s="33">
        <v>27</v>
      </c>
      <c r="D49" t="s">
        <v>4819</v>
      </c>
      <c r="E49" t="s">
        <v>4067</v>
      </c>
      <c r="F49" s="966">
        <f>+'Transmission O&amp;M'!K47</f>
        <v>4395.4471926732531</v>
      </c>
      <c r="G49" s="984">
        <v>117</v>
      </c>
      <c r="H49" t="s">
        <v>4785</v>
      </c>
      <c r="I49"/>
      <c r="J49" t="s">
        <v>4682</v>
      </c>
      <c r="K49" s="33">
        <v>27</v>
      </c>
      <c r="L49" t="s">
        <v>4819</v>
      </c>
      <c r="M49" t="s">
        <v>4067</v>
      </c>
      <c r="N49" s="445"/>
      <c r="O49" s="984">
        <v>117</v>
      </c>
      <c r="P49" t="s">
        <v>4785</v>
      </c>
    </row>
    <row r="50" spans="1:16">
      <c r="B50" s="297" t="s">
        <v>4682</v>
      </c>
      <c r="C50" s="529">
        <v>28</v>
      </c>
      <c r="D50" s="297" t="s">
        <v>3125</v>
      </c>
      <c r="E50" s="297" t="s">
        <v>4067</v>
      </c>
      <c r="F50" s="970">
        <f>+'Transmission O&amp;M'!N47</f>
        <v>1579.0860305628878</v>
      </c>
      <c r="G50" s="980">
        <v>117</v>
      </c>
      <c r="H50" s="297" t="s">
        <v>4785</v>
      </c>
      <c r="I50" s="297"/>
      <c r="J50" s="297" t="s">
        <v>4682</v>
      </c>
      <c r="K50" s="529">
        <v>28</v>
      </c>
      <c r="L50" s="297" t="s">
        <v>3125</v>
      </c>
      <c r="M50" s="297" t="s">
        <v>4067</v>
      </c>
      <c r="N50" s="970"/>
      <c r="O50" s="980">
        <v>117</v>
      </c>
      <c r="P50" s="297" t="s">
        <v>4785</v>
      </c>
    </row>
    <row r="51" spans="1:16">
      <c r="A51" t="s">
        <v>1762</v>
      </c>
      <c r="B51" t="s">
        <v>4682</v>
      </c>
      <c r="C51" s="33">
        <v>33</v>
      </c>
      <c r="D51" t="s">
        <v>4819</v>
      </c>
      <c r="E51" t="s">
        <v>4067</v>
      </c>
      <c r="F51" s="445">
        <f>+'0 MDS Distribution O&amp;M'!G44</f>
        <v>5220.568238843096</v>
      </c>
      <c r="G51" s="984">
        <v>105</v>
      </c>
      <c r="H51" t="s">
        <v>4786</v>
      </c>
      <c r="I51"/>
      <c r="J51" t="s">
        <v>4682</v>
      </c>
      <c r="K51" s="33">
        <v>33</v>
      </c>
      <c r="L51" t="s">
        <v>4819</v>
      </c>
      <c r="M51" t="s">
        <v>4067</v>
      </c>
      <c r="N51" s="445"/>
      <c r="O51" s="984">
        <v>105</v>
      </c>
      <c r="P51" t="s">
        <v>4786</v>
      </c>
    </row>
    <row r="52" spans="1:16">
      <c r="B52" t="s">
        <v>4682</v>
      </c>
      <c r="C52" s="33">
        <v>35</v>
      </c>
      <c r="D52" t="s">
        <v>4820</v>
      </c>
      <c r="E52" t="s">
        <v>4071</v>
      </c>
      <c r="F52" s="445">
        <f>+'0 MDS Distribution O&amp;M'!$H$44</f>
        <v>1266.574296933371</v>
      </c>
      <c r="G52" s="984">
        <v>310</v>
      </c>
      <c r="H52" t="s">
        <v>4821</v>
      </c>
      <c r="I52"/>
      <c r="J52" t="s">
        <v>4682</v>
      </c>
      <c r="K52" s="33">
        <v>35</v>
      </c>
      <c r="L52" t="s">
        <v>4820</v>
      </c>
      <c r="M52" t="s">
        <v>4071</v>
      </c>
      <c r="N52" s="445"/>
      <c r="O52" s="984">
        <v>310</v>
      </c>
      <c r="P52" t="s">
        <v>4821</v>
      </c>
    </row>
    <row r="53" spans="1:16">
      <c r="B53" t="s">
        <v>4682</v>
      </c>
      <c r="C53" s="33">
        <v>36</v>
      </c>
      <c r="D53" t="s">
        <v>4822</v>
      </c>
      <c r="E53" t="s">
        <v>4067</v>
      </c>
      <c r="F53" s="445">
        <f>+'0 MDS Distribution O&amp;M'!$I$44</f>
        <v>19118.91188561554</v>
      </c>
      <c r="G53" s="984">
        <v>105</v>
      </c>
      <c r="H53" t="s">
        <v>4786</v>
      </c>
      <c r="I53"/>
      <c r="J53" t="s">
        <v>4682</v>
      </c>
      <c r="K53" s="33">
        <v>36</v>
      </c>
      <c r="L53" t="s">
        <v>4822</v>
      </c>
      <c r="M53" t="s">
        <v>4067</v>
      </c>
      <c r="N53" s="445"/>
      <c r="O53" s="984">
        <v>105</v>
      </c>
      <c r="P53" t="s">
        <v>4786</v>
      </c>
    </row>
    <row r="54" spans="1:16">
      <c r="B54" t="s">
        <v>4682</v>
      </c>
      <c r="C54" s="33">
        <v>37</v>
      </c>
      <c r="D54" t="s">
        <v>4823</v>
      </c>
      <c r="E54" t="s">
        <v>4071</v>
      </c>
      <c r="F54" s="445">
        <f>+'0 MDS Distribution O&amp;M'!$J$44</f>
        <v>0</v>
      </c>
      <c r="G54" s="984">
        <v>418</v>
      </c>
      <c r="H54" t="s">
        <v>4824</v>
      </c>
      <c r="I54"/>
      <c r="J54" t="s">
        <v>4682</v>
      </c>
      <c r="K54" s="33">
        <v>37</v>
      </c>
      <c r="L54" t="s">
        <v>4823</v>
      </c>
      <c r="M54" t="s">
        <v>4071</v>
      </c>
      <c r="N54" s="445"/>
      <c r="O54" s="984">
        <v>418</v>
      </c>
      <c r="P54" t="s">
        <v>4824</v>
      </c>
    </row>
    <row r="55" spans="1:16">
      <c r="B55" t="s">
        <v>4682</v>
      </c>
      <c r="C55" s="33">
        <v>38</v>
      </c>
      <c r="D55" t="s">
        <v>4825</v>
      </c>
      <c r="E55" t="s">
        <v>4067</v>
      </c>
      <c r="F55" s="445">
        <f>+'0 MDS Distribution O&amp;M'!$K$44</f>
        <v>4451.4385317619144</v>
      </c>
      <c r="G55" s="984">
        <v>106</v>
      </c>
      <c r="H55" t="s">
        <v>4788</v>
      </c>
      <c r="I55"/>
      <c r="J55" t="s">
        <v>4682</v>
      </c>
      <c r="K55" s="33">
        <v>38</v>
      </c>
      <c r="L55" t="s">
        <v>4825</v>
      </c>
      <c r="M55" t="s">
        <v>4067</v>
      </c>
      <c r="N55" s="445"/>
      <c r="O55" s="984">
        <v>106</v>
      </c>
      <c r="P55" t="s">
        <v>4788</v>
      </c>
    </row>
    <row r="56" spans="1:16">
      <c r="B56" t="s">
        <v>4682</v>
      </c>
      <c r="C56" s="33">
        <v>39</v>
      </c>
      <c r="D56" t="s">
        <v>4826</v>
      </c>
      <c r="E56" t="s">
        <v>4071</v>
      </c>
      <c r="F56" s="445">
        <f>+'0 MDS Distribution O&amp;M'!$L$44</f>
        <v>0</v>
      </c>
      <c r="G56" s="984">
        <v>420</v>
      </c>
      <c r="H56" t="s">
        <v>4781</v>
      </c>
      <c r="I56"/>
      <c r="J56" t="s">
        <v>4682</v>
      </c>
      <c r="K56" s="33">
        <v>39</v>
      </c>
      <c r="L56" t="s">
        <v>4826</v>
      </c>
      <c r="M56" t="s">
        <v>4071</v>
      </c>
      <c r="N56" s="445"/>
      <c r="O56" s="984">
        <v>420</v>
      </c>
      <c r="P56" t="s">
        <v>4781</v>
      </c>
    </row>
    <row r="57" spans="1:16">
      <c r="B57" t="s">
        <v>4682</v>
      </c>
      <c r="C57" s="33">
        <v>42</v>
      </c>
      <c r="D57" t="s">
        <v>4827</v>
      </c>
      <c r="E57" t="s">
        <v>4071</v>
      </c>
      <c r="F57" s="445">
        <f>+'0 MDS Distribution O&amp;M'!$M$44</f>
        <v>3.1713748768343235</v>
      </c>
      <c r="G57" s="984">
        <v>310</v>
      </c>
      <c r="H57" t="s">
        <v>4821</v>
      </c>
      <c r="I57"/>
      <c r="J57" t="s">
        <v>4682</v>
      </c>
      <c r="K57" s="33">
        <v>42</v>
      </c>
      <c r="L57" t="s">
        <v>4827</v>
      </c>
      <c r="M57" t="s">
        <v>4071</v>
      </c>
      <c r="N57" s="445"/>
      <c r="O57" s="984">
        <v>310</v>
      </c>
      <c r="P57" t="s">
        <v>4821</v>
      </c>
    </row>
    <row r="58" spans="1:16">
      <c r="B58" t="s">
        <v>4682</v>
      </c>
      <c r="C58" s="33">
        <v>43</v>
      </c>
      <c r="D58" t="s">
        <v>4828</v>
      </c>
      <c r="E58" t="s">
        <v>4067</v>
      </c>
      <c r="F58" s="445">
        <f>+'0 MDS Distribution O&amp;M'!$N$44</f>
        <v>6192.9745528379444</v>
      </c>
      <c r="G58" s="984">
        <v>105</v>
      </c>
      <c r="H58" t="s">
        <v>4786</v>
      </c>
      <c r="I58"/>
      <c r="J58" t="s">
        <v>4682</v>
      </c>
      <c r="K58" s="33">
        <v>43</v>
      </c>
      <c r="L58" t="s">
        <v>4828</v>
      </c>
      <c r="M58" t="s">
        <v>4067</v>
      </c>
      <c r="N58" s="445"/>
      <c r="O58" s="984">
        <v>105</v>
      </c>
      <c r="P58" t="s">
        <v>4786</v>
      </c>
    </row>
    <row r="59" spans="1:16">
      <c r="B59" t="s">
        <v>4682</v>
      </c>
      <c r="C59" s="33">
        <v>44</v>
      </c>
      <c r="D59" t="s">
        <v>4829</v>
      </c>
      <c r="E59" t="s">
        <v>4071</v>
      </c>
      <c r="F59" s="445">
        <f>+'0 MDS Distribution O&amp;M'!$O$44</f>
        <v>0</v>
      </c>
      <c r="G59" s="984">
        <v>418</v>
      </c>
      <c r="H59" t="s">
        <v>4824</v>
      </c>
      <c r="I59"/>
      <c r="J59" t="s">
        <v>4682</v>
      </c>
      <c r="K59" s="33">
        <v>44</v>
      </c>
      <c r="L59" t="s">
        <v>4829</v>
      </c>
      <c r="M59" t="s">
        <v>4071</v>
      </c>
      <c r="N59" s="445"/>
      <c r="O59" s="984">
        <v>418</v>
      </c>
      <c r="P59" t="s">
        <v>4824</v>
      </c>
    </row>
    <row r="60" spans="1:16">
      <c r="B60" t="s">
        <v>4682</v>
      </c>
      <c r="C60" s="33">
        <v>45</v>
      </c>
      <c r="D60" t="s">
        <v>4830</v>
      </c>
      <c r="E60" t="s">
        <v>4067</v>
      </c>
      <c r="F60" s="445">
        <f>+'0 MDS Distribution O&amp;M'!$P$44</f>
        <v>472.1914336836557</v>
      </c>
      <c r="G60" s="984">
        <v>106</v>
      </c>
      <c r="H60" t="s">
        <v>4788</v>
      </c>
      <c r="I60"/>
      <c r="J60" t="s">
        <v>4682</v>
      </c>
      <c r="K60" s="33">
        <v>45</v>
      </c>
      <c r="L60" t="s">
        <v>4830</v>
      </c>
      <c r="M60" t="s">
        <v>4067</v>
      </c>
      <c r="N60" s="445"/>
      <c r="O60" s="984">
        <v>106</v>
      </c>
      <c r="P60" t="s">
        <v>4788</v>
      </c>
    </row>
    <row r="61" spans="1:16">
      <c r="B61" t="s">
        <v>4682</v>
      </c>
      <c r="C61" s="33">
        <v>46</v>
      </c>
      <c r="D61" t="s">
        <v>4831</v>
      </c>
      <c r="E61" t="s">
        <v>4071</v>
      </c>
      <c r="F61" s="445">
        <f>+'0 MDS Distribution O&amp;M'!$Q$44</f>
        <v>0</v>
      </c>
      <c r="G61" s="984">
        <v>420</v>
      </c>
      <c r="H61" t="s">
        <v>4781</v>
      </c>
      <c r="I61"/>
      <c r="J61" t="s">
        <v>4682</v>
      </c>
      <c r="K61" s="33">
        <v>46</v>
      </c>
      <c r="L61" t="s">
        <v>4831</v>
      </c>
      <c r="M61" t="s">
        <v>4071</v>
      </c>
      <c r="N61" s="445"/>
      <c r="O61" s="984">
        <v>420</v>
      </c>
      <c r="P61" t="s">
        <v>4781</v>
      </c>
    </row>
    <row r="62" spans="1:16">
      <c r="B62" t="s">
        <v>4682</v>
      </c>
      <c r="C62" s="33">
        <v>49</v>
      </c>
      <c r="D62" t="s">
        <v>4832</v>
      </c>
      <c r="E62" t="s">
        <v>4071</v>
      </c>
      <c r="F62" s="445">
        <f>+'0 MDS Distribution O&amp;M'!$R$44</f>
        <v>0</v>
      </c>
      <c r="G62" s="984">
        <v>310</v>
      </c>
      <c r="H62" t="s">
        <v>4821</v>
      </c>
      <c r="I62"/>
      <c r="J62" t="s">
        <v>4682</v>
      </c>
      <c r="K62" s="33">
        <v>49</v>
      </c>
      <c r="L62" t="s">
        <v>4832</v>
      </c>
      <c r="M62" t="s">
        <v>4071</v>
      </c>
      <c r="N62" s="445"/>
      <c r="O62" s="984">
        <v>310</v>
      </c>
      <c r="P62" t="s">
        <v>4821</v>
      </c>
    </row>
    <row r="63" spans="1:16">
      <c r="B63" t="s">
        <v>4682</v>
      </c>
      <c r="C63" s="33">
        <v>50</v>
      </c>
      <c r="D63" t="s">
        <v>4833</v>
      </c>
      <c r="E63" t="s">
        <v>4067</v>
      </c>
      <c r="F63" s="445">
        <f>+'0 MDS Distribution O&amp;M'!$S$44</f>
        <v>50.038320483973791</v>
      </c>
      <c r="G63" s="984">
        <v>105</v>
      </c>
      <c r="H63" t="s">
        <v>4786</v>
      </c>
      <c r="I63"/>
      <c r="J63" t="s">
        <v>4682</v>
      </c>
      <c r="K63" s="33">
        <v>50</v>
      </c>
      <c r="L63" t="s">
        <v>4833</v>
      </c>
      <c r="M63" t="s">
        <v>4067</v>
      </c>
      <c r="N63" s="445"/>
      <c r="O63" s="984">
        <v>105</v>
      </c>
      <c r="P63" t="s">
        <v>4786</v>
      </c>
    </row>
    <row r="64" spans="1:16">
      <c r="B64" t="s">
        <v>4682</v>
      </c>
      <c r="C64" s="33">
        <v>51</v>
      </c>
      <c r="D64" t="s">
        <v>4834</v>
      </c>
      <c r="E64" t="s">
        <v>4071</v>
      </c>
      <c r="F64" s="445">
        <f>+'0 MDS Distribution O&amp;M'!$T$44</f>
        <v>0</v>
      </c>
      <c r="G64" s="984">
        <v>418</v>
      </c>
      <c r="H64" t="s">
        <v>4824</v>
      </c>
      <c r="I64"/>
      <c r="J64" t="s">
        <v>4682</v>
      </c>
      <c r="K64" s="33">
        <v>51</v>
      </c>
      <c r="L64" t="s">
        <v>4834</v>
      </c>
      <c r="M64" t="s">
        <v>4071</v>
      </c>
      <c r="N64" s="445"/>
      <c r="O64" s="984">
        <v>418</v>
      </c>
      <c r="P64" t="s">
        <v>4824</v>
      </c>
    </row>
    <row r="65" spans="1:16">
      <c r="B65" t="s">
        <v>4682</v>
      </c>
      <c r="C65" s="33">
        <v>52</v>
      </c>
      <c r="D65" t="s">
        <v>4835</v>
      </c>
      <c r="E65" t="s">
        <v>4067</v>
      </c>
      <c r="F65" s="445">
        <f>+'0 MDS Distribution O&amp;M'!$U$44</f>
        <v>254.20882089235909</v>
      </c>
      <c r="G65" s="984">
        <v>106</v>
      </c>
      <c r="H65" t="s">
        <v>4788</v>
      </c>
      <c r="I65"/>
      <c r="J65" t="s">
        <v>4682</v>
      </c>
      <c r="K65" s="33">
        <v>52</v>
      </c>
      <c r="L65" t="s">
        <v>4835</v>
      </c>
      <c r="M65" t="s">
        <v>4067</v>
      </c>
      <c r="N65" s="445"/>
      <c r="O65" s="984">
        <v>106</v>
      </c>
      <c r="P65" t="s">
        <v>4788</v>
      </c>
    </row>
    <row r="66" spans="1:16">
      <c r="B66" t="s">
        <v>4682</v>
      </c>
      <c r="C66" s="33">
        <v>53</v>
      </c>
      <c r="D66" t="s">
        <v>4836</v>
      </c>
      <c r="E66" t="s">
        <v>4071</v>
      </c>
      <c r="F66" s="445">
        <f>+'0 MDS Distribution O&amp;M'!$V$44</f>
        <v>0</v>
      </c>
      <c r="G66" s="984">
        <v>420</v>
      </c>
      <c r="H66" t="s">
        <v>4781</v>
      </c>
      <c r="I66"/>
      <c r="J66" t="s">
        <v>4682</v>
      </c>
      <c r="K66" s="33">
        <v>53</v>
      </c>
      <c r="L66" t="s">
        <v>4836</v>
      </c>
      <c r="M66" t="s">
        <v>4071</v>
      </c>
      <c r="N66" s="445"/>
      <c r="O66" s="984">
        <v>420</v>
      </c>
      <c r="P66" t="s">
        <v>4781</v>
      </c>
    </row>
    <row r="67" spans="1:16">
      <c r="B67" t="s">
        <v>4682</v>
      </c>
      <c r="C67" s="33">
        <v>56</v>
      </c>
      <c r="D67" t="s">
        <v>4060</v>
      </c>
      <c r="E67" t="s">
        <v>4071</v>
      </c>
      <c r="F67" s="445">
        <f>+'0 MDS Distribution O&amp;M'!$W$44</f>
        <v>4706.1348450784026</v>
      </c>
      <c r="G67" s="984">
        <v>420</v>
      </c>
      <c r="H67" t="s">
        <v>4781</v>
      </c>
      <c r="I67"/>
      <c r="J67" t="s">
        <v>4682</v>
      </c>
      <c r="K67" s="33">
        <v>56</v>
      </c>
      <c r="L67" t="s">
        <v>4060</v>
      </c>
      <c r="M67" t="s">
        <v>4071</v>
      </c>
      <c r="N67" s="445"/>
      <c r="O67" s="984">
        <v>420</v>
      </c>
      <c r="P67" t="s">
        <v>4781</v>
      </c>
    </row>
    <row r="68" spans="1:16">
      <c r="B68" t="s">
        <v>4682</v>
      </c>
      <c r="C68" s="33">
        <v>57</v>
      </c>
      <c r="D68" t="s">
        <v>4053</v>
      </c>
      <c r="E68" t="s">
        <v>4071</v>
      </c>
      <c r="F68" s="445">
        <f>+'0 MDS Distribution O&amp;M'!Y44</f>
        <v>9007.321652204364</v>
      </c>
      <c r="G68" s="984">
        <v>308</v>
      </c>
      <c r="H68" t="s">
        <v>4837</v>
      </c>
      <c r="I68"/>
      <c r="J68" t="s">
        <v>4682</v>
      </c>
      <c r="K68" s="33">
        <v>57</v>
      </c>
      <c r="L68" t="s">
        <v>4053</v>
      </c>
      <c r="M68" t="s">
        <v>4071</v>
      </c>
      <c r="N68" s="445"/>
      <c r="O68" s="984">
        <v>308</v>
      </c>
      <c r="P68" t="s">
        <v>4837</v>
      </c>
    </row>
    <row r="69" spans="1:16">
      <c r="B69" t="s">
        <v>4682</v>
      </c>
      <c r="C69" s="33">
        <v>58</v>
      </c>
      <c r="D69" t="s">
        <v>4838</v>
      </c>
      <c r="E69" t="s">
        <v>4071</v>
      </c>
      <c r="F69" s="445">
        <f>+'0 MDS Distribution O&amp;M'!Z44</f>
        <v>0</v>
      </c>
      <c r="G69" s="984">
        <v>309</v>
      </c>
      <c r="H69" t="s">
        <v>4839</v>
      </c>
      <c r="I69"/>
      <c r="J69" t="s">
        <v>4682</v>
      </c>
      <c r="K69" s="33">
        <v>58</v>
      </c>
      <c r="L69" t="s">
        <v>4838</v>
      </c>
      <c r="M69" t="s">
        <v>4071</v>
      </c>
      <c r="N69" s="445"/>
      <c r="O69" s="984">
        <v>309</v>
      </c>
      <c r="P69" t="s">
        <v>4839</v>
      </c>
    </row>
    <row r="70" spans="1:16">
      <c r="B70" s="297" t="s">
        <v>4682</v>
      </c>
      <c r="C70" s="529">
        <v>59</v>
      </c>
      <c r="D70" s="297" t="s">
        <v>4840</v>
      </c>
      <c r="E70" s="297" t="s">
        <v>4071</v>
      </c>
      <c r="F70" s="970">
        <f>+'0 MDS Distribution O&amp;M'!X44</f>
        <v>3451.577374302251</v>
      </c>
      <c r="G70" s="980">
        <v>310</v>
      </c>
      <c r="H70" s="297" t="s">
        <v>4821</v>
      </c>
      <c r="I70" s="297"/>
      <c r="J70" s="297" t="s">
        <v>4682</v>
      </c>
      <c r="K70" s="529">
        <v>59</v>
      </c>
      <c r="L70" s="297" t="s">
        <v>4840</v>
      </c>
      <c r="M70" s="297" t="s">
        <v>4071</v>
      </c>
      <c r="N70" s="970"/>
      <c r="O70" s="980">
        <v>310</v>
      </c>
      <c r="P70" s="297" t="s">
        <v>4821</v>
      </c>
    </row>
    <row r="71" spans="1:16">
      <c r="A71" t="s">
        <v>4841</v>
      </c>
      <c r="B71" t="s">
        <v>4682</v>
      </c>
      <c r="C71" s="33">
        <v>78</v>
      </c>
      <c r="D71" t="s">
        <v>4691</v>
      </c>
      <c r="E71" t="s">
        <v>4071</v>
      </c>
      <c r="F71" s="966">
        <f>+'0 MDS Other and A&amp;G O&amp;M'!H26</f>
        <v>5796.7804260915</v>
      </c>
      <c r="G71" s="984">
        <v>507</v>
      </c>
      <c r="H71" t="s">
        <v>4842</v>
      </c>
      <c r="J71" t="s">
        <v>4682</v>
      </c>
      <c r="K71" s="33">
        <v>78</v>
      </c>
      <c r="L71" t="s">
        <v>4691</v>
      </c>
      <c r="M71" t="s">
        <v>4071</v>
      </c>
      <c r="N71" s="445"/>
      <c r="O71" s="984">
        <v>507</v>
      </c>
      <c r="P71" t="s">
        <v>4842</v>
      </c>
    </row>
    <row r="72" spans="1:16">
      <c r="B72" t="s">
        <v>4682</v>
      </c>
      <c r="C72" s="33">
        <v>79</v>
      </c>
      <c r="D72" s="96" t="s">
        <v>4687</v>
      </c>
      <c r="E72" t="s">
        <v>4071</v>
      </c>
      <c r="F72" s="445">
        <f>+'0 MDS Other and A&amp;G O&amp;M'!H23+'0 MDS Other and A&amp;G O&amp;M'!H25+'0 MDS Other and A&amp;G O&amp;M'!H27</f>
        <v>29376.6058748381</v>
      </c>
      <c r="G72" s="984">
        <v>412</v>
      </c>
      <c r="H72" t="s">
        <v>4795</v>
      </c>
      <c r="I72"/>
      <c r="J72" t="s">
        <v>4682</v>
      </c>
      <c r="K72" s="33">
        <v>79</v>
      </c>
      <c r="L72" s="96" t="s">
        <v>4687</v>
      </c>
      <c r="M72" t="s">
        <v>4071</v>
      </c>
      <c r="N72" s="445"/>
      <c r="O72" s="984">
        <v>412</v>
      </c>
      <c r="P72" t="s">
        <v>4795</v>
      </c>
    </row>
    <row r="73" spans="1:16">
      <c r="B73" t="s">
        <v>4682</v>
      </c>
      <c r="C73" s="33">
        <v>80</v>
      </c>
      <c r="D73" s="96" t="s">
        <v>4688</v>
      </c>
      <c r="E73" t="s">
        <v>4071</v>
      </c>
      <c r="F73" s="445">
        <f>+'0 MDS Other and A&amp;G O&amp;M'!H24</f>
        <v>4394.4262944155998</v>
      </c>
      <c r="G73" s="984">
        <v>311</v>
      </c>
      <c r="H73" t="s">
        <v>4843</v>
      </c>
      <c r="I73"/>
      <c r="J73" t="s">
        <v>4682</v>
      </c>
      <c r="K73" s="33">
        <v>80</v>
      </c>
      <c r="L73" s="96" t="s">
        <v>4688</v>
      </c>
      <c r="M73" t="s">
        <v>4071</v>
      </c>
      <c r="N73" s="445"/>
      <c r="O73" s="984">
        <v>311</v>
      </c>
      <c r="P73" t="s">
        <v>4843</v>
      </c>
    </row>
    <row r="74" spans="1:16">
      <c r="B74" t="s">
        <v>4682</v>
      </c>
      <c r="C74" s="33">
        <v>81</v>
      </c>
      <c r="D74" s="96" t="s">
        <v>4844</v>
      </c>
      <c r="E74" t="s">
        <v>4071</v>
      </c>
      <c r="F74" s="445">
        <f>+'0 MDS Other and A&amp;G O&amp;M'!H38</f>
        <v>5164.9798171764114</v>
      </c>
      <c r="G74" s="984">
        <v>412</v>
      </c>
      <c r="H74" t="s">
        <v>4795</v>
      </c>
      <c r="I74"/>
      <c r="J74" t="s">
        <v>4682</v>
      </c>
      <c r="K74" s="33">
        <v>81</v>
      </c>
      <c r="L74" s="96" t="s">
        <v>4844</v>
      </c>
      <c r="M74" t="s">
        <v>4071</v>
      </c>
      <c r="N74" s="445"/>
      <c r="O74" s="984">
        <v>412</v>
      </c>
      <c r="P74" t="s">
        <v>4795</v>
      </c>
    </row>
    <row r="75" spans="1:16">
      <c r="B75" s="297" t="s">
        <v>4682</v>
      </c>
      <c r="C75" s="529">
        <v>82</v>
      </c>
      <c r="D75" s="297" t="s">
        <v>4698</v>
      </c>
      <c r="E75" s="297" t="s">
        <v>4071</v>
      </c>
      <c r="F75" s="970">
        <f>+'0 MDS Other and A&amp;G O&amp;M'!H46</f>
        <v>311.50189999999998</v>
      </c>
      <c r="G75" s="980">
        <v>412</v>
      </c>
      <c r="H75" s="297" t="s">
        <v>4795</v>
      </c>
      <c r="I75" s="297"/>
      <c r="J75" s="297" t="s">
        <v>4682</v>
      </c>
      <c r="K75" s="529">
        <v>82</v>
      </c>
      <c r="L75" s="297" t="s">
        <v>4698</v>
      </c>
      <c r="M75" s="297" t="s">
        <v>4071</v>
      </c>
      <c r="N75" s="970"/>
      <c r="O75" s="980">
        <v>412</v>
      </c>
      <c r="P75" s="297" t="s">
        <v>4795</v>
      </c>
    </row>
    <row r="76" spans="1:16">
      <c r="A76" s="96" t="s">
        <v>1515</v>
      </c>
      <c r="B76" t="s">
        <v>4682</v>
      </c>
      <c r="C76" s="33">
        <v>86</v>
      </c>
      <c r="D76" t="s">
        <v>1528</v>
      </c>
      <c r="E76" t="s">
        <v>4067</v>
      </c>
      <c r="F76" s="966">
        <f>+'0 MDS Other and A&amp;G O&amp;M'!K87-F77</f>
        <v>57914.995842463672</v>
      </c>
      <c r="G76" s="984">
        <v>101</v>
      </c>
      <c r="H76" t="s">
        <v>4783</v>
      </c>
      <c r="I76"/>
      <c r="J76" t="s">
        <v>4682</v>
      </c>
      <c r="K76" s="33">
        <v>86</v>
      </c>
      <c r="L76" t="s">
        <v>1528</v>
      </c>
      <c r="M76" t="s">
        <v>4067</v>
      </c>
      <c r="N76" s="445"/>
      <c r="O76" s="984">
        <v>122</v>
      </c>
      <c r="P76" t="s">
        <v>4784</v>
      </c>
    </row>
    <row r="77" spans="1:16">
      <c r="A77" s="96" t="s">
        <v>4845</v>
      </c>
      <c r="B77" t="s">
        <v>4682</v>
      </c>
      <c r="C77" s="33">
        <v>87</v>
      </c>
      <c r="D77" s="96" t="s">
        <v>4846</v>
      </c>
      <c r="E77" t="s">
        <v>4067</v>
      </c>
      <c r="F77" s="966">
        <f>(+SUM('0 MDS Other and A&amp;G O&amp;M'!E8:E10)+'Property Insurance'!C10)/1000</f>
        <v>3179.9221784590645</v>
      </c>
      <c r="G77" s="984">
        <v>101</v>
      </c>
      <c r="H77" t="s">
        <v>4783</v>
      </c>
      <c r="I77"/>
      <c r="J77" t="s">
        <v>4682</v>
      </c>
      <c r="K77" s="33">
        <v>87</v>
      </c>
      <c r="L77" s="96" t="s">
        <v>4847</v>
      </c>
      <c r="M77" t="s">
        <v>4067</v>
      </c>
      <c r="N77" s="445"/>
      <c r="O77" s="984">
        <v>121</v>
      </c>
      <c r="P77" t="s">
        <v>4816</v>
      </c>
    </row>
    <row r="78" spans="1:16">
      <c r="A78" s="96"/>
      <c r="B78" t="s">
        <v>4682</v>
      </c>
      <c r="C78" s="33">
        <v>88</v>
      </c>
      <c r="D78" t="s">
        <v>1528</v>
      </c>
      <c r="E78" t="s">
        <v>2067</v>
      </c>
      <c r="F78" s="966">
        <f>+'0 MDS Other and A&amp;G O&amp;M'!L87</f>
        <v>12296.231975068233</v>
      </c>
      <c r="G78" s="984">
        <v>201</v>
      </c>
      <c r="H78" t="s">
        <v>4790</v>
      </c>
      <c r="I78"/>
      <c r="J78" t="s">
        <v>4682</v>
      </c>
      <c r="K78" s="33">
        <v>88</v>
      </c>
      <c r="L78" t="s">
        <v>1528</v>
      </c>
      <c r="M78" t="s">
        <v>2067</v>
      </c>
      <c r="N78" s="445"/>
      <c r="O78" s="984">
        <v>201</v>
      </c>
      <c r="P78" t="s">
        <v>4790</v>
      </c>
    </row>
    <row r="79" spans="1:16">
      <c r="B79" t="s">
        <v>4682</v>
      </c>
      <c r="C79" s="33">
        <v>89</v>
      </c>
      <c r="D79" t="s">
        <v>1529</v>
      </c>
      <c r="E79" t="s">
        <v>4067</v>
      </c>
      <c r="F79" s="966">
        <f>+'0 MDS Other and A&amp;G O&amp;M'!N87</f>
        <v>1915.8589095106888</v>
      </c>
      <c r="G79" s="984">
        <v>117</v>
      </c>
      <c r="H79" t="s">
        <v>4785</v>
      </c>
      <c r="I79"/>
      <c r="J79" t="s">
        <v>4682</v>
      </c>
      <c r="K79" s="33">
        <v>89</v>
      </c>
      <c r="L79" t="s">
        <v>1529</v>
      </c>
      <c r="M79" t="s">
        <v>4067</v>
      </c>
      <c r="N79" s="445"/>
      <c r="O79" s="984">
        <v>117</v>
      </c>
      <c r="P79" t="s">
        <v>4785</v>
      </c>
    </row>
    <row r="80" spans="1:16">
      <c r="B80" t="s">
        <v>4682</v>
      </c>
      <c r="C80" s="33">
        <v>90</v>
      </c>
      <c r="D80" t="s">
        <v>1953</v>
      </c>
      <c r="E80" t="s">
        <v>4067</v>
      </c>
      <c r="F80" s="966">
        <f>+'0 MDS Other and A&amp;G O&amp;M'!O87</f>
        <v>6436.1742804940477</v>
      </c>
      <c r="G80" s="984">
        <v>117</v>
      </c>
      <c r="H80" t="s">
        <v>4785</v>
      </c>
      <c r="I80"/>
      <c r="J80" t="s">
        <v>4682</v>
      </c>
      <c r="K80" s="33">
        <v>90</v>
      </c>
      <c r="L80" t="s">
        <v>1953</v>
      </c>
      <c r="M80" t="s">
        <v>4067</v>
      </c>
      <c r="N80" s="445"/>
      <c r="O80" s="984">
        <v>117</v>
      </c>
      <c r="P80" t="s">
        <v>4785</v>
      </c>
    </row>
    <row r="81" spans="1:17">
      <c r="B81" t="s">
        <v>4682</v>
      </c>
      <c r="C81" s="33">
        <v>91</v>
      </c>
      <c r="D81" t="s">
        <v>2040</v>
      </c>
      <c r="E81" t="s">
        <v>4067</v>
      </c>
      <c r="F81" s="966">
        <f>+'0 MDS Other and A&amp;G O&amp;M'!R87</f>
        <v>28199.935644037185</v>
      </c>
      <c r="G81" s="984">
        <v>105</v>
      </c>
      <c r="H81" t="s">
        <v>4786</v>
      </c>
      <c r="I81"/>
      <c r="J81" t="s">
        <v>4682</v>
      </c>
      <c r="K81" s="33">
        <v>91</v>
      </c>
      <c r="L81" t="s">
        <v>2040</v>
      </c>
      <c r="M81" t="s">
        <v>4067</v>
      </c>
      <c r="N81" s="445"/>
      <c r="O81" s="984">
        <v>105</v>
      </c>
      <c r="P81" t="s">
        <v>4786</v>
      </c>
    </row>
    <row r="82" spans="1:17">
      <c r="B82" t="s">
        <v>4682</v>
      </c>
      <c r="C82" s="33">
        <v>92</v>
      </c>
      <c r="D82" t="s">
        <v>4787</v>
      </c>
      <c r="E82" t="s">
        <v>4067</v>
      </c>
      <c r="F82" s="966">
        <f>+'0 MDS Other and A&amp;G O&amp;M'!S87</f>
        <v>4599.2170565179349</v>
      </c>
      <c r="G82" s="984">
        <v>106</v>
      </c>
      <c r="H82" t="s">
        <v>4788</v>
      </c>
      <c r="I82"/>
      <c r="J82" t="s">
        <v>4682</v>
      </c>
      <c r="K82" s="33">
        <v>92</v>
      </c>
      <c r="L82" t="s">
        <v>4787</v>
      </c>
      <c r="M82" t="s">
        <v>4067</v>
      </c>
      <c r="N82" s="445"/>
      <c r="O82" s="984">
        <v>106</v>
      </c>
      <c r="P82" t="s">
        <v>4788</v>
      </c>
    </row>
    <row r="83" spans="1:17">
      <c r="B83" t="s">
        <v>4682</v>
      </c>
      <c r="C83" s="33">
        <v>93</v>
      </c>
      <c r="D83" t="s">
        <v>1530</v>
      </c>
      <c r="E83" t="s">
        <v>4071</v>
      </c>
      <c r="F83" s="966">
        <f>+'0 MDS Other and A&amp;G O&amp;M'!T87</f>
        <v>19947.388751860555</v>
      </c>
      <c r="G83" s="984">
        <v>607</v>
      </c>
      <c r="H83" t="s">
        <v>4848</v>
      </c>
      <c r="I83"/>
      <c r="J83" t="s">
        <v>4682</v>
      </c>
      <c r="K83" s="33">
        <v>93</v>
      </c>
      <c r="L83" t="s">
        <v>1530</v>
      </c>
      <c r="M83" t="s">
        <v>4071</v>
      </c>
      <c r="N83" s="445"/>
      <c r="O83" s="984">
        <v>607</v>
      </c>
      <c r="P83" t="s">
        <v>4848</v>
      </c>
    </row>
    <row r="84" spans="1:17" ht="15" thickBot="1">
      <c r="B84" s="985" t="s">
        <v>4682</v>
      </c>
      <c r="C84" s="986">
        <v>94</v>
      </c>
      <c r="D84" s="985" t="s">
        <v>2338</v>
      </c>
      <c r="E84" s="985" t="s">
        <v>4071</v>
      </c>
      <c r="F84" s="987">
        <f>+'0 MDS Other and A&amp;G O&amp;M'!U87</f>
        <v>23796.834673743058</v>
      </c>
      <c r="G84" s="988">
        <v>412</v>
      </c>
      <c r="H84" s="985" t="s">
        <v>4795</v>
      </c>
      <c r="I84" s="985"/>
      <c r="J84" s="985" t="s">
        <v>4682</v>
      </c>
      <c r="K84" s="986">
        <v>94</v>
      </c>
      <c r="L84" s="985" t="s">
        <v>2338</v>
      </c>
      <c r="M84" s="985" t="s">
        <v>4071</v>
      </c>
      <c r="N84" s="987"/>
      <c r="O84" s="988">
        <v>412</v>
      </c>
      <c r="P84" s="985" t="s">
        <v>4795</v>
      </c>
      <c r="Q84" s="985"/>
    </row>
    <row r="85" spans="1:17">
      <c r="A85" s="96" t="s">
        <v>1515</v>
      </c>
      <c r="B85" t="s">
        <v>4682</v>
      </c>
      <c r="C85" s="33">
        <v>98</v>
      </c>
      <c r="D85" t="s">
        <v>1528</v>
      </c>
      <c r="E85" t="s">
        <v>4067</v>
      </c>
      <c r="F85" s="966">
        <f>+'0 MDS Other and A&amp;G O&amp;M'!K70</f>
        <v>0</v>
      </c>
      <c r="G85" s="984">
        <v>101</v>
      </c>
      <c r="H85" t="s">
        <v>4783</v>
      </c>
      <c r="I85"/>
      <c r="J85" t="s">
        <v>4682</v>
      </c>
      <c r="K85" s="33">
        <v>98</v>
      </c>
      <c r="L85" t="s">
        <v>1528</v>
      </c>
      <c r="M85" t="s">
        <v>4067</v>
      </c>
      <c r="N85" s="445"/>
      <c r="O85" s="984">
        <v>122</v>
      </c>
      <c r="P85" t="s">
        <v>4784</v>
      </c>
    </row>
    <row r="86" spans="1:17">
      <c r="A86" s="96" t="s">
        <v>4849</v>
      </c>
      <c r="B86" t="s">
        <v>4682</v>
      </c>
      <c r="C86" s="33">
        <v>99</v>
      </c>
      <c r="D86" t="s">
        <v>1528</v>
      </c>
      <c r="E86" t="s">
        <v>2067</v>
      </c>
      <c r="F86" s="966">
        <f>+'0 MDS Other and A&amp;G O&amp;M'!L70</f>
        <v>0</v>
      </c>
      <c r="G86" s="984">
        <v>204</v>
      </c>
      <c r="H86" t="s">
        <v>4800</v>
      </c>
      <c r="I86"/>
      <c r="J86" t="s">
        <v>4682</v>
      </c>
      <c r="K86" s="33">
        <v>99</v>
      </c>
      <c r="L86" t="s">
        <v>1528</v>
      </c>
      <c r="M86" t="s">
        <v>2067</v>
      </c>
      <c r="N86" s="445"/>
      <c r="O86" s="984">
        <v>204</v>
      </c>
      <c r="P86" t="s">
        <v>4800</v>
      </c>
    </row>
    <row r="87" spans="1:17">
      <c r="B87" t="s">
        <v>4682</v>
      </c>
      <c r="C87" s="33">
        <v>100</v>
      </c>
      <c r="D87" t="s">
        <v>1529</v>
      </c>
      <c r="E87" t="s">
        <v>4067</v>
      </c>
      <c r="F87" s="966">
        <f>+'0 MDS Other and A&amp;G O&amp;M'!N70</f>
        <v>0</v>
      </c>
      <c r="G87" s="984">
        <v>817</v>
      </c>
      <c r="H87" t="s">
        <v>4850</v>
      </c>
      <c r="I87"/>
      <c r="J87" t="s">
        <v>4682</v>
      </c>
      <c r="K87" s="33">
        <v>100</v>
      </c>
      <c r="L87" t="s">
        <v>1529</v>
      </c>
      <c r="M87" t="s">
        <v>4067</v>
      </c>
      <c r="N87" s="445"/>
      <c r="O87" s="984">
        <v>817</v>
      </c>
      <c r="P87" t="s">
        <v>4850</v>
      </c>
    </row>
    <row r="88" spans="1:17">
      <c r="B88" t="s">
        <v>4682</v>
      </c>
      <c r="C88" s="33">
        <v>101</v>
      </c>
      <c r="D88" t="s">
        <v>1953</v>
      </c>
      <c r="E88" t="s">
        <v>4067</v>
      </c>
      <c r="F88" s="966">
        <f>+'0 MDS Other and A&amp;G O&amp;M'!O70</f>
        <v>0</v>
      </c>
      <c r="G88" s="984">
        <v>817</v>
      </c>
      <c r="H88" t="s">
        <v>4850</v>
      </c>
      <c r="I88"/>
      <c r="J88" t="s">
        <v>4682</v>
      </c>
      <c r="K88" s="33">
        <v>101</v>
      </c>
      <c r="L88" t="s">
        <v>1953</v>
      </c>
      <c r="M88" t="s">
        <v>4067</v>
      </c>
      <c r="N88" s="445"/>
      <c r="O88" s="984">
        <v>817</v>
      </c>
      <c r="P88" t="s">
        <v>4850</v>
      </c>
    </row>
    <row r="89" spans="1:17">
      <c r="B89" t="s">
        <v>4682</v>
      </c>
      <c r="C89" s="33">
        <v>102</v>
      </c>
      <c r="D89" t="s">
        <v>2040</v>
      </c>
      <c r="E89" t="s">
        <v>4067</v>
      </c>
      <c r="F89" s="966">
        <f>+'0 MDS Other and A&amp;G O&amp;M'!R70</f>
        <v>0</v>
      </c>
      <c r="G89" s="984">
        <v>105</v>
      </c>
      <c r="H89" t="s">
        <v>4786</v>
      </c>
      <c r="I89"/>
      <c r="J89" t="s">
        <v>4682</v>
      </c>
      <c r="K89" s="33">
        <v>102</v>
      </c>
      <c r="L89" t="s">
        <v>2040</v>
      </c>
      <c r="M89" t="s">
        <v>4067</v>
      </c>
      <c r="N89" s="445"/>
      <c r="O89" s="984">
        <v>105</v>
      </c>
      <c r="P89" t="s">
        <v>4786</v>
      </c>
    </row>
    <row r="90" spans="1:17">
      <c r="B90" t="s">
        <v>4682</v>
      </c>
      <c r="C90" s="33">
        <v>103</v>
      </c>
      <c r="D90" t="s">
        <v>4787</v>
      </c>
      <c r="E90" t="s">
        <v>4067</v>
      </c>
      <c r="F90" s="966">
        <f>+'0 MDS Other and A&amp;G O&amp;M'!S70</f>
        <v>0</v>
      </c>
      <c r="G90" s="984">
        <v>106</v>
      </c>
      <c r="H90" t="s">
        <v>4788</v>
      </c>
      <c r="I90"/>
      <c r="J90" t="s">
        <v>4682</v>
      </c>
      <c r="K90" s="33">
        <v>103</v>
      </c>
      <c r="L90" t="s">
        <v>4787</v>
      </c>
      <c r="M90" t="s">
        <v>4067</v>
      </c>
      <c r="N90" s="445"/>
      <c r="O90" s="984">
        <v>106</v>
      </c>
      <c r="P90" t="s">
        <v>4788</v>
      </c>
    </row>
    <row r="91" spans="1:17">
      <c r="B91" t="s">
        <v>4682</v>
      </c>
      <c r="C91" s="33">
        <v>104</v>
      </c>
      <c r="D91" t="s">
        <v>1530</v>
      </c>
      <c r="E91" t="s">
        <v>4071</v>
      </c>
      <c r="F91" s="966">
        <f>+'0 MDS Other and A&amp;G O&amp;M'!T70</f>
        <v>0</v>
      </c>
      <c r="G91" s="984">
        <v>607</v>
      </c>
      <c r="H91" t="s">
        <v>4848</v>
      </c>
      <c r="I91"/>
      <c r="J91" t="s">
        <v>4682</v>
      </c>
      <c r="K91" s="33">
        <v>104</v>
      </c>
      <c r="L91" t="s">
        <v>1530</v>
      </c>
      <c r="M91" t="s">
        <v>4071</v>
      </c>
      <c r="N91" s="445"/>
      <c r="O91" s="984">
        <v>607</v>
      </c>
      <c r="P91" t="s">
        <v>4848</v>
      </c>
    </row>
    <row r="92" spans="1:17">
      <c r="B92" s="297" t="s">
        <v>4682</v>
      </c>
      <c r="C92" s="529">
        <v>105</v>
      </c>
      <c r="D92" s="297" t="s">
        <v>2338</v>
      </c>
      <c r="E92" s="297" t="s">
        <v>4071</v>
      </c>
      <c r="F92" s="970">
        <f>+'0 MDS Other and A&amp;G O&amp;M'!U70</f>
        <v>0</v>
      </c>
      <c r="G92" s="980">
        <v>412</v>
      </c>
      <c r="H92" s="297" t="s">
        <v>4795</v>
      </c>
      <c r="I92" s="297"/>
      <c r="J92" s="297" t="s">
        <v>4682</v>
      </c>
      <c r="K92" s="529">
        <v>105</v>
      </c>
      <c r="L92" s="297" t="s">
        <v>2338</v>
      </c>
      <c r="M92" s="297" t="s">
        <v>4071</v>
      </c>
      <c r="N92" s="970"/>
      <c r="O92" s="980">
        <v>412</v>
      </c>
      <c r="P92" s="297" t="s">
        <v>4795</v>
      </c>
    </row>
    <row r="93" spans="1:17">
      <c r="F93" s="966"/>
      <c r="I93"/>
      <c r="N93" s="445"/>
    </row>
    <row r="98" spans="1:16">
      <c r="F98" s="973" t="s">
        <v>2173</v>
      </c>
      <c r="H98" s="288" t="s">
        <v>4851</v>
      </c>
      <c r="N98" s="973" t="s">
        <v>2173</v>
      </c>
      <c r="P98" s="288" t="s">
        <v>4851</v>
      </c>
    </row>
    <row r="99" spans="1:16">
      <c r="F99" s="645" t="s">
        <v>4768</v>
      </c>
      <c r="N99" s="645" t="s">
        <v>4769</v>
      </c>
    </row>
    <row r="100" spans="1:16">
      <c r="F100" s="645" t="s">
        <v>9480</v>
      </c>
      <c r="N100" s="645" t="s">
        <v>9480</v>
      </c>
    </row>
    <row r="101" spans="1:16">
      <c r="F101" s="645" t="s">
        <v>4770</v>
      </c>
      <c r="N101" s="645" t="s">
        <v>4770</v>
      </c>
    </row>
    <row r="102" spans="1:16">
      <c r="F102" s="974" t="s">
        <v>4771</v>
      </c>
      <c r="N102" s="974" t="s">
        <v>4771</v>
      </c>
    </row>
    <row r="104" spans="1:16">
      <c r="F104" s="645" t="s">
        <v>4772</v>
      </c>
      <c r="N104" s="645" t="s">
        <v>4772</v>
      </c>
    </row>
    <row r="105" spans="1:16">
      <c r="F105" s="975"/>
      <c r="N105" s="975"/>
    </row>
    <row r="107" spans="1:16">
      <c r="C107" s="33" t="s">
        <v>2182</v>
      </c>
      <c r="D107" s="33" t="s">
        <v>2182</v>
      </c>
      <c r="K107" s="33" t="s">
        <v>2182</v>
      </c>
      <c r="L107" s="33" t="s">
        <v>2182</v>
      </c>
    </row>
    <row r="108" spans="1:16">
      <c r="B108" s="297" t="s">
        <v>4683</v>
      </c>
      <c r="C108" s="529" t="s">
        <v>3216</v>
      </c>
      <c r="D108" s="529" t="s">
        <v>2052</v>
      </c>
      <c r="E108" s="297"/>
      <c r="F108" s="977" t="s">
        <v>2185</v>
      </c>
      <c r="G108" s="989"/>
      <c r="H108" s="529" t="s">
        <v>4774</v>
      </c>
      <c r="I108" s="979"/>
      <c r="J108" s="297" t="s">
        <v>4683</v>
      </c>
      <c r="K108" s="529" t="s">
        <v>3216</v>
      </c>
      <c r="L108" s="529" t="s">
        <v>2052</v>
      </c>
      <c r="M108" s="297"/>
      <c r="N108" s="977" t="s">
        <v>2185</v>
      </c>
      <c r="O108" s="989"/>
      <c r="P108" s="529" t="s">
        <v>4774</v>
      </c>
    </row>
    <row r="110" spans="1:16">
      <c r="A110" s="96" t="s">
        <v>1441</v>
      </c>
      <c r="B110" t="s">
        <v>4739</v>
      </c>
      <c r="C110" s="33">
        <v>2</v>
      </c>
      <c r="D110" t="s">
        <v>4852</v>
      </c>
      <c r="E110" t="s">
        <v>4067</v>
      </c>
      <c r="F110" s="966">
        <f>+SUM(Generation!F143:F146,Generation!F152)</f>
        <v>38690.881580000001</v>
      </c>
      <c r="G110" s="984">
        <v>101</v>
      </c>
      <c r="H110" t="s">
        <v>4783</v>
      </c>
      <c r="I110"/>
      <c r="J110" t="s">
        <v>4739</v>
      </c>
      <c r="K110" s="33">
        <v>2</v>
      </c>
      <c r="L110" t="s">
        <v>4852</v>
      </c>
      <c r="M110" t="s">
        <v>4067</v>
      </c>
      <c r="N110" s="966"/>
      <c r="O110" s="984">
        <v>122</v>
      </c>
      <c r="P110" t="s">
        <v>4784</v>
      </c>
    </row>
    <row r="111" spans="1:16">
      <c r="B111" t="s">
        <v>4739</v>
      </c>
      <c r="C111" s="33">
        <v>4</v>
      </c>
      <c r="D111" t="s">
        <v>4852</v>
      </c>
      <c r="E111" t="s">
        <v>2067</v>
      </c>
      <c r="F111" s="966">
        <f>+Generation!F147</f>
        <v>12517.474829999997</v>
      </c>
      <c r="G111" s="984">
        <v>101</v>
      </c>
      <c r="H111" t="s">
        <v>4783</v>
      </c>
      <c r="I111"/>
      <c r="J111" t="s">
        <v>4739</v>
      </c>
      <c r="K111" s="33">
        <v>4</v>
      </c>
      <c r="L111" t="s">
        <v>4852</v>
      </c>
      <c r="M111" t="s">
        <v>2067</v>
      </c>
      <c r="N111" s="966"/>
      <c r="O111" s="984">
        <v>201</v>
      </c>
      <c r="P111" t="s">
        <v>4790</v>
      </c>
    </row>
    <row r="112" spans="1:16">
      <c r="B112" t="s">
        <v>4739</v>
      </c>
      <c r="C112" s="33">
        <v>2</v>
      </c>
      <c r="D112" t="s">
        <v>4853</v>
      </c>
      <c r="E112" t="s">
        <v>4067</v>
      </c>
      <c r="F112" s="966">
        <f>+Generation!F184-F113-F114</f>
        <v>151728.58542762313</v>
      </c>
      <c r="G112" s="984">
        <v>101</v>
      </c>
      <c r="H112" t="s">
        <v>4783</v>
      </c>
      <c r="I112"/>
      <c r="J112" t="s">
        <v>4739</v>
      </c>
      <c r="K112" s="33">
        <v>2</v>
      </c>
      <c r="L112" t="s">
        <v>4853</v>
      </c>
      <c r="M112" t="s">
        <v>4067</v>
      </c>
      <c r="N112" s="966"/>
      <c r="O112" s="984">
        <v>122</v>
      </c>
      <c r="P112" t="s">
        <v>4784</v>
      </c>
    </row>
    <row r="113" spans="1:17">
      <c r="B113" t="s">
        <v>4739</v>
      </c>
      <c r="C113" s="33">
        <v>3</v>
      </c>
      <c r="D113" s="96" t="s">
        <v>4854</v>
      </c>
      <c r="E113" t="s">
        <v>4067</v>
      </c>
      <c r="F113" s="966">
        <f>+Generation!F162</f>
        <v>70700.31160999999</v>
      </c>
      <c r="G113" s="984">
        <v>101</v>
      </c>
      <c r="H113" t="s">
        <v>4783</v>
      </c>
      <c r="I113"/>
      <c r="J113" t="s">
        <v>4739</v>
      </c>
      <c r="K113" s="33">
        <v>3</v>
      </c>
      <c r="L113" t="s">
        <v>4854</v>
      </c>
      <c r="M113" t="s">
        <v>4067</v>
      </c>
      <c r="N113" s="966"/>
      <c r="O113" s="984">
        <v>121</v>
      </c>
      <c r="P113" t="s">
        <v>4816</v>
      </c>
    </row>
    <row r="114" spans="1:17">
      <c r="B114" s="297" t="s">
        <v>4739</v>
      </c>
      <c r="C114" s="529">
        <v>4</v>
      </c>
      <c r="D114" s="297" t="s">
        <v>4853</v>
      </c>
      <c r="E114" s="297" t="s">
        <v>2067</v>
      </c>
      <c r="F114" s="970">
        <f>+Generation!J184</f>
        <v>11654.301102376907</v>
      </c>
      <c r="G114" s="980">
        <v>101</v>
      </c>
      <c r="H114" s="297" t="s">
        <v>4783</v>
      </c>
      <c r="I114" s="297"/>
      <c r="J114" s="297" t="s">
        <v>4739</v>
      </c>
      <c r="K114" s="529">
        <v>4</v>
      </c>
      <c r="L114" s="297" t="s">
        <v>4853</v>
      </c>
      <c r="M114" s="297" t="s">
        <v>2067</v>
      </c>
      <c r="N114" s="970"/>
      <c r="O114" s="980">
        <v>201</v>
      </c>
      <c r="P114" s="297" t="s">
        <v>4790</v>
      </c>
    </row>
    <row r="115" spans="1:17">
      <c r="A115" t="s">
        <v>1760</v>
      </c>
      <c r="B115" t="s">
        <v>4739</v>
      </c>
      <c r="C115" s="33">
        <v>9</v>
      </c>
      <c r="D115" t="s">
        <v>4817</v>
      </c>
      <c r="E115" t="s">
        <v>4067</v>
      </c>
      <c r="F115" s="966">
        <f>+Transmission!G175-F116</f>
        <v>4399.5250740593683</v>
      </c>
      <c r="G115" s="984">
        <v>101</v>
      </c>
      <c r="H115" t="s">
        <v>4783</v>
      </c>
      <c r="I115"/>
      <c r="J115" t="s">
        <v>4739</v>
      </c>
      <c r="K115" s="33">
        <v>9</v>
      </c>
      <c r="L115" t="s">
        <v>4817</v>
      </c>
      <c r="M115" t="s">
        <v>4067</v>
      </c>
      <c r="N115" s="445"/>
      <c r="O115" s="984">
        <v>122</v>
      </c>
      <c r="P115" t="s">
        <v>4784</v>
      </c>
    </row>
    <row r="116" spans="1:17" s="765" customFormat="1">
      <c r="B116" t="s">
        <v>4739</v>
      </c>
      <c r="C116" s="33">
        <v>10</v>
      </c>
      <c r="D116" s="763" t="s">
        <v>4855</v>
      </c>
      <c r="E116" s="763" t="s">
        <v>4067</v>
      </c>
      <c r="F116" s="966">
        <f>(+Transmission!D7+Transmission!D14)/1000</f>
        <v>0</v>
      </c>
      <c r="G116" s="984">
        <v>101</v>
      </c>
      <c r="H116" t="s">
        <v>4783</v>
      </c>
      <c r="I116"/>
      <c r="J116" t="s">
        <v>4739</v>
      </c>
      <c r="K116" s="33">
        <v>10</v>
      </c>
      <c r="L116" s="763" t="s">
        <v>4855</v>
      </c>
      <c r="M116" t="s">
        <v>4067</v>
      </c>
      <c r="N116" s="445"/>
      <c r="O116" s="984">
        <v>121</v>
      </c>
      <c r="P116" t="s">
        <v>4816</v>
      </c>
      <c r="Q116"/>
    </row>
    <row r="117" spans="1:17">
      <c r="B117" t="s">
        <v>4739</v>
      </c>
      <c r="C117" s="33">
        <v>13</v>
      </c>
      <c r="D117" t="s">
        <v>4818</v>
      </c>
      <c r="E117" t="s">
        <v>4067</v>
      </c>
      <c r="F117" s="445">
        <f>+Transmission!H175+Transmission!I176</f>
        <v>14335.379063852772</v>
      </c>
      <c r="G117" s="984">
        <v>117</v>
      </c>
      <c r="H117" t="s">
        <v>4785</v>
      </c>
      <c r="I117"/>
      <c r="J117" t="s">
        <v>4739</v>
      </c>
      <c r="K117" s="33">
        <v>13</v>
      </c>
      <c r="L117" t="s">
        <v>4856</v>
      </c>
      <c r="M117" t="s">
        <v>4067</v>
      </c>
      <c r="N117" s="445"/>
      <c r="O117" s="984">
        <v>117</v>
      </c>
      <c r="P117" t="s">
        <v>4785</v>
      </c>
    </row>
    <row r="118" spans="1:17">
      <c r="B118" t="s">
        <v>4739</v>
      </c>
      <c r="C118" s="33">
        <v>16</v>
      </c>
      <c r="D118" t="s">
        <v>4819</v>
      </c>
      <c r="E118" t="s">
        <v>4067</v>
      </c>
      <c r="F118" s="445">
        <f>+Transmission!J175</f>
        <v>5452.3630009842718</v>
      </c>
      <c r="G118" s="984">
        <v>117</v>
      </c>
      <c r="H118" t="s">
        <v>4785</v>
      </c>
      <c r="I118"/>
      <c r="J118" t="s">
        <v>4739</v>
      </c>
      <c r="K118" s="33">
        <v>16</v>
      </c>
      <c r="L118" t="s">
        <v>4819</v>
      </c>
      <c r="M118" t="s">
        <v>4067</v>
      </c>
      <c r="N118" s="445"/>
      <c r="O118" s="984">
        <v>117</v>
      </c>
      <c r="P118" t="s">
        <v>4785</v>
      </c>
    </row>
    <row r="119" spans="1:17">
      <c r="B119" s="297" t="s">
        <v>4739</v>
      </c>
      <c r="C119" s="529">
        <v>17</v>
      </c>
      <c r="D119" s="297" t="s">
        <v>3125</v>
      </c>
      <c r="E119" s="297" t="s">
        <v>4067</v>
      </c>
      <c r="F119" s="970">
        <f>+Transmission!J176</f>
        <v>8138.7001948391526</v>
      </c>
      <c r="G119" s="980">
        <v>117</v>
      </c>
      <c r="H119" s="297" t="s">
        <v>4785</v>
      </c>
      <c r="I119" s="297"/>
      <c r="J119" s="297" t="s">
        <v>4739</v>
      </c>
      <c r="K119" s="529">
        <v>17</v>
      </c>
      <c r="L119" s="297" t="s">
        <v>3125</v>
      </c>
      <c r="M119" s="297" t="s">
        <v>4067</v>
      </c>
      <c r="N119" s="970"/>
      <c r="O119" s="980">
        <v>117</v>
      </c>
      <c r="P119" s="297" t="s">
        <v>4785</v>
      </c>
    </row>
    <row r="120" spans="1:17">
      <c r="A120" t="s">
        <v>1762</v>
      </c>
      <c r="B120" t="s">
        <v>4739</v>
      </c>
      <c r="C120" s="33">
        <v>22</v>
      </c>
      <c r="D120" t="s">
        <v>4819</v>
      </c>
      <c r="E120" t="s">
        <v>4067</v>
      </c>
      <c r="F120" s="445">
        <f>+'0 MDS Distribution'!E165</f>
        <v>9806.7207300000009</v>
      </c>
      <c r="G120" s="984">
        <v>105</v>
      </c>
      <c r="H120" t="s">
        <v>4786</v>
      </c>
      <c r="I120"/>
      <c r="J120" t="s">
        <v>4739</v>
      </c>
      <c r="K120" s="33">
        <v>22</v>
      </c>
      <c r="L120" t="s">
        <v>4819</v>
      </c>
      <c r="M120" t="s">
        <v>4067</v>
      </c>
      <c r="N120" s="445"/>
      <c r="O120" s="984">
        <v>105</v>
      </c>
      <c r="P120" t="s">
        <v>4786</v>
      </c>
    </row>
    <row r="121" spans="1:17">
      <c r="B121" t="s">
        <v>4739</v>
      </c>
      <c r="C121" s="33">
        <v>24</v>
      </c>
      <c r="D121" t="s">
        <v>4857</v>
      </c>
      <c r="E121" t="s">
        <v>4071</v>
      </c>
      <c r="F121" s="445">
        <f>+'0 MDS Distribution'!E168</f>
        <v>2044.6598045826174</v>
      </c>
      <c r="G121" s="984">
        <v>310</v>
      </c>
      <c r="H121" t="s">
        <v>4821</v>
      </c>
      <c r="I121"/>
      <c r="J121" t="s">
        <v>4739</v>
      </c>
      <c r="K121" s="33">
        <v>24</v>
      </c>
      <c r="L121" t="s">
        <v>4857</v>
      </c>
      <c r="M121" t="s">
        <v>4071</v>
      </c>
      <c r="N121" s="445"/>
      <c r="O121" s="984">
        <v>310</v>
      </c>
      <c r="P121" t="s">
        <v>4821</v>
      </c>
    </row>
    <row r="122" spans="1:17">
      <c r="B122" t="s">
        <v>4739</v>
      </c>
      <c r="C122" s="33">
        <v>25</v>
      </c>
      <c r="D122" t="s">
        <v>4858</v>
      </c>
      <c r="E122" t="s">
        <v>4067</v>
      </c>
      <c r="F122" s="445">
        <f>+'0 MDS Distribution'!E169</f>
        <v>19187.392134374531</v>
      </c>
      <c r="G122" s="984">
        <v>105</v>
      </c>
      <c r="H122" t="s">
        <v>4786</v>
      </c>
      <c r="I122"/>
      <c r="J122" t="s">
        <v>4739</v>
      </c>
      <c r="K122" s="33">
        <v>25</v>
      </c>
      <c r="L122" t="s">
        <v>4858</v>
      </c>
      <c r="M122" t="s">
        <v>4067</v>
      </c>
      <c r="N122" s="445"/>
      <c r="O122" s="984">
        <v>105</v>
      </c>
      <c r="P122" t="s">
        <v>4786</v>
      </c>
    </row>
    <row r="123" spans="1:17">
      <c r="B123" t="s">
        <v>4739</v>
      </c>
      <c r="C123" s="33">
        <v>26</v>
      </c>
      <c r="D123" t="s">
        <v>4859</v>
      </c>
      <c r="E123" t="s">
        <v>4071</v>
      </c>
      <c r="F123" s="445">
        <f>+'0 MDS Distribution'!E170</f>
        <v>0</v>
      </c>
      <c r="G123" s="984">
        <v>418</v>
      </c>
      <c r="H123" t="s">
        <v>4824</v>
      </c>
      <c r="I123"/>
      <c r="J123" t="s">
        <v>4739</v>
      </c>
      <c r="K123" s="33">
        <v>26</v>
      </c>
      <c r="L123" t="s">
        <v>4859</v>
      </c>
      <c r="M123" t="s">
        <v>4071</v>
      </c>
      <c r="N123" s="445"/>
      <c r="O123" s="984">
        <v>418</v>
      </c>
      <c r="P123" t="s">
        <v>4824</v>
      </c>
    </row>
    <row r="124" spans="1:17">
      <c r="B124" t="s">
        <v>4739</v>
      </c>
      <c r="C124" s="33">
        <v>27</v>
      </c>
      <c r="D124" t="s">
        <v>4860</v>
      </c>
      <c r="E124" t="s">
        <v>4067</v>
      </c>
      <c r="F124" s="445">
        <f>+'0 MDS Distribution'!E171</f>
        <v>5762.4819510428561</v>
      </c>
      <c r="G124" s="984">
        <v>106</v>
      </c>
      <c r="H124" t="s">
        <v>4788</v>
      </c>
      <c r="I124"/>
      <c r="J124" t="s">
        <v>4739</v>
      </c>
      <c r="K124" s="33">
        <v>27</v>
      </c>
      <c r="L124" t="s">
        <v>4860</v>
      </c>
      <c r="M124" t="s">
        <v>4067</v>
      </c>
      <c r="N124" s="445"/>
      <c r="O124" s="984">
        <v>106</v>
      </c>
      <c r="P124" t="s">
        <v>4788</v>
      </c>
    </row>
    <row r="125" spans="1:17">
      <c r="B125" t="s">
        <v>4739</v>
      </c>
      <c r="C125" s="33">
        <v>28</v>
      </c>
      <c r="D125" t="s">
        <v>4861</v>
      </c>
      <c r="E125" t="s">
        <v>4071</v>
      </c>
      <c r="F125" s="445">
        <f>+'0 MDS Distribution'!E172</f>
        <v>0</v>
      </c>
      <c r="G125" s="984">
        <v>420</v>
      </c>
      <c r="H125" t="s">
        <v>4781</v>
      </c>
      <c r="I125"/>
      <c r="J125" t="s">
        <v>4739</v>
      </c>
      <c r="K125" s="33">
        <v>28</v>
      </c>
      <c r="L125" t="s">
        <v>4861</v>
      </c>
      <c r="M125" t="s">
        <v>4071</v>
      </c>
      <c r="N125" s="445"/>
      <c r="O125" s="984">
        <v>420</v>
      </c>
      <c r="P125" t="s">
        <v>4781</v>
      </c>
    </row>
    <row r="126" spans="1:17">
      <c r="B126" t="s">
        <v>4739</v>
      </c>
      <c r="C126" s="33">
        <v>31</v>
      </c>
      <c r="D126" t="s">
        <v>4820</v>
      </c>
      <c r="E126" t="s">
        <v>4071</v>
      </c>
      <c r="F126" s="445">
        <f>+'0 MDS Distribution'!E175</f>
        <v>107.01148424700513</v>
      </c>
      <c r="G126" s="984">
        <v>310</v>
      </c>
      <c r="H126" t="s">
        <v>4821</v>
      </c>
      <c r="I126"/>
      <c r="J126" t="s">
        <v>4739</v>
      </c>
      <c r="K126" s="33">
        <v>31</v>
      </c>
      <c r="L126" t="s">
        <v>4820</v>
      </c>
      <c r="M126" t="s">
        <v>4071</v>
      </c>
      <c r="N126" s="445"/>
      <c r="O126" s="984">
        <v>310</v>
      </c>
      <c r="P126" t="s">
        <v>4821</v>
      </c>
    </row>
    <row r="127" spans="1:17">
      <c r="B127" t="s">
        <v>4739</v>
      </c>
      <c r="C127" s="33">
        <v>32</v>
      </c>
      <c r="D127" t="s">
        <v>4822</v>
      </c>
      <c r="E127" t="s">
        <v>4067</v>
      </c>
      <c r="F127" s="445">
        <f>+'0 MDS Distribution'!E176</f>
        <v>5930.0781825408103</v>
      </c>
      <c r="G127" s="984">
        <v>105</v>
      </c>
      <c r="H127" t="s">
        <v>4786</v>
      </c>
      <c r="I127"/>
      <c r="J127" t="s">
        <v>4739</v>
      </c>
      <c r="K127" s="33">
        <v>32</v>
      </c>
      <c r="L127" t="s">
        <v>4822</v>
      </c>
      <c r="M127" t="s">
        <v>4067</v>
      </c>
      <c r="N127" s="445"/>
      <c r="O127" s="984">
        <v>105</v>
      </c>
      <c r="P127" t="s">
        <v>4786</v>
      </c>
    </row>
    <row r="128" spans="1:17">
      <c r="B128" t="s">
        <v>4739</v>
      </c>
      <c r="C128" s="33">
        <v>33</v>
      </c>
      <c r="D128" t="s">
        <v>4823</v>
      </c>
      <c r="E128" t="s">
        <v>4071</v>
      </c>
      <c r="F128" s="445">
        <f>+'0 MDS Distribution'!E177</f>
        <v>0</v>
      </c>
      <c r="G128" s="984">
        <v>418</v>
      </c>
      <c r="H128" t="s">
        <v>4824</v>
      </c>
      <c r="I128"/>
      <c r="J128" t="s">
        <v>4739</v>
      </c>
      <c r="K128" s="33">
        <v>33</v>
      </c>
      <c r="L128" t="s">
        <v>4823</v>
      </c>
      <c r="M128" t="s">
        <v>4071</v>
      </c>
      <c r="N128" s="445"/>
      <c r="O128" s="984">
        <v>418</v>
      </c>
      <c r="P128" t="s">
        <v>4824</v>
      </c>
    </row>
    <row r="129" spans="2:17">
      <c r="B129" t="s">
        <v>4739</v>
      </c>
      <c r="C129" s="33">
        <v>34</v>
      </c>
      <c r="D129" t="s">
        <v>4825</v>
      </c>
      <c r="E129" t="s">
        <v>4067</v>
      </c>
      <c r="F129" s="445">
        <f>+'0 MDS Distribution'!E178</f>
        <v>902.13325321218497</v>
      </c>
      <c r="G129" s="984">
        <v>106</v>
      </c>
      <c r="H129" t="s">
        <v>4788</v>
      </c>
      <c r="I129"/>
      <c r="J129" t="s">
        <v>4739</v>
      </c>
      <c r="K129" s="33">
        <v>34</v>
      </c>
      <c r="L129" t="s">
        <v>4825</v>
      </c>
      <c r="M129" t="s">
        <v>4067</v>
      </c>
      <c r="N129" s="445"/>
      <c r="O129" s="984">
        <v>106</v>
      </c>
      <c r="P129" t="s">
        <v>4788</v>
      </c>
    </row>
    <row r="130" spans="2:17">
      <c r="B130" t="s">
        <v>4739</v>
      </c>
      <c r="C130" s="33">
        <v>35</v>
      </c>
      <c r="D130" t="s">
        <v>4826</v>
      </c>
      <c r="E130" t="s">
        <v>4071</v>
      </c>
      <c r="F130" s="445">
        <f>+'0 MDS Distribution'!E179</f>
        <v>0</v>
      </c>
      <c r="G130" s="984">
        <v>420</v>
      </c>
      <c r="H130" t="s">
        <v>4781</v>
      </c>
      <c r="I130"/>
      <c r="J130" t="s">
        <v>4739</v>
      </c>
      <c r="K130" s="33">
        <v>35</v>
      </c>
      <c r="L130" t="s">
        <v>4826</v>
      </c>
      <c r="M130" t="s">
        <v>4071</v>
      </c>
      <c r="N130" s="445"/>
      <c r="O130" s="984">
        <v>420</v>
      </c>
      <c r="P130" t="s">
        <v>4781</v>
      </c>
    </row>
    <row r="131" spans="2:17">
      <c r="B131" t="s">
        <v>4739</v>
      </c>
      <c r="C131" s="33">
        <v>38</v>
      </c>
      <c r="D131" t="s">
        <v>4827</v>
      </c>
      <c r="E131" t="s">
        <v>4071</v>
      </c>
      <c r="F131" s="445">
        <f>+'0 MDS Distribution'!E182</f>
        <v>10.151967899116032</v>
      </c>
      <c r="G131" s="984">
        <v>310</v>
      </c>
      <c r="H131" t="s">
        <v>4821</v>
      </c>
      <c r="I131"/>
      <c r="J131" t="s">
        <v>4739</v>
      </c>
      <c r="K131" s="33">
        <v>38</v>
      </c>
      <c r="L131" t="s">
        <v>4827</v>
      </c>
      <c r="M131" t="s">
        <v>4071</v>
      </c>
      <c r="N131" s="445"/>
      <c r="O131" s="984">
        <v>310</v>
      </c>
      <c r="P131" t="s">
        <v>4821</v>
      </c>
    </row>
    <row r="132" spans="2:17">
      <c r="B132" t="s">
        <v>4739</v>
      </c>
      <c r="C132" s="33">
        <v>39</v>
      </c>
      <c r="D132" t="s">
        <v>4828</v>
      </c>
      <c r="E132" t="s">
        <v>4067</v>
      </c>
      <c r="F132" s="445">
        <f>+'0 MDS Distribution'!E183</f>
        <v>19824.48663502411</v>
      </c>
      <c r="G132" s="984">
        <v>105</v>
      </c>
      <c r="H132" t="s">
        <v>4786</v>
      </c>
      <c r="I132"/>
      <c r="J132" t="s">
        <v>4739</v>
      </c>
      <c r="K132" s="33">
        <v>39</v>
      </c>
      <c r="L132" t="s">
        <v>4828</v>
      </c>
      <c r="M132" t="s">
        <v>4067</v>
      </c>
      <c r="N132" s="445"/>
      <c r="O132" s="984">
        <v>105</v>
      </c>
      <c r="P132" t="s">
        <v>4786</v>
      </c>
    </row>
    <row r="133" spans="2:17">
      <c r="B133" t="s">
        <v>4739</v>
      </c>
      <c r="C133" s="33">
        <v>40</v>
      </c>
      <c r="D133" t="s">
        <v>4829</v>
      </c>
      <c r="E133" t="s">
        <v>4071</v>
      </c>
      <c r="F133" s="445">
        <f>+'0 MDS Distribution'!E184</f>
        <v>0</v>
      </c>
      <c r="G133" s="984">
        <v>418</v>
      </c>
      <c r="H133" t="s">
        <v>4824</v>
      </c>
      <c r="I133"/>
      <c r="J133" t="s">
        <v>4739</v>
      </c>
      <c r="K133" s="33">
        <v>40</v>
      </c>
      <c r="L133" t="s">
        <v>4829</v>
      </c>
      <c r="M133" t="s">
        <v>4071</v>
      </c>
      <c r="N133" s="445"/>
      <c r="O133" s="984">
        <v>418</v>
      </c>
      <c r="P133" t="s">
        <v>4824</v>
      </c>
    </row>
    <row r="134" spans="2:17">
      <c r="B134" t="s">
        <v>4739</v>
      </c>
      <c r="C134" s="33">
        <v>41</v>
      </c>
      <c r="D134" t="s">
        <v>4830</v>
      </c>
      <c r="E134" t="s">
        <v>4067</v>
      </c>
      <c r="F134" s="445">
        <f>+'0 MDS Distribution'!E185</f>
        <v>1511.5438770767803</v>
      </c>
      <c r="G134" s="984">
        <v>106</v>
      </c>
      <c r="H134" t="s">
        <v>4788</v>
      </c>
      <c r="I134"/>
      <c r="J134" t="s">
        <v>4739</v>
      </c>
      <c r="K134" s="33">
        <v>41</v>
      </c>
      <c r="L134" t="s">
        <v>4830</v>
      </c>
      <c r="M134" t="s">
        <v>4067</v>
      </c>
      <c r="N134" s="445"/>
      <c r="O134" s="984">
        <v>106</v>
      </c>
      <c r="P134" t="s">
        <v>4788</v>
      </c>
    </row>
    <row r="135" spans="2:17">
      <c r="B135" t="s">
        <v>4739</v>
      </c>
      <c r="C135" s="33">
        <v>42</v>
      </c>
      <c r="D135" t="s">
        <v>4831</v>
      </c>
      <c r="E135" t="s">
        <v>4071</v>
      </c>
      <c r="F135" s="445">
        <f>+'0 MDS Distribution'!E186</f>
        <v>0</v>
      </c>
      <c r="G135" s="984">
        <v>420</v>
      </c>
      <c r="H135" t="s">
        <v>4781</v>
      </c>
      <c r="I135"/>
      <c r="J135" t="s">
        <v>4739</v>
      </c>
      <c r="K135" s="33">
        <v>42</v>
      </c>
      <c r="L135" t="s">
        <v>4831</v>
      </c>
      <c r="M135" t="s">
        <v>4071</v>
      </c>
      <c r="N135" s="445"/>
      <c r="O135" s="984">
        <v>420</v>
      </c>
      <c r="P135" t="s">
        <v>4781</v>
      </c>
    </row>
    <row r="136" spans="2:17">
      <c r="B136" t="s">
        <v>4739</v>
      </c>
      <c r="C136" s="33">
        <v>45</v>
      </c>
      <c r="D136" t="s">
        <v>4832</v>
      </c>
      <c r="E136" t="s">
        <v>4071</v>
      </c>
      <c r="F136" s="445">
        <f>+'0 MDS Distribution'!E189</f>
        <v>0</v>
      </c>
      <c r="G136" s="984">
        <v>310</v>
      </c>
      <c r="H136" t="s">
        <v>4821</v>
      </c>
      <c r="I136"/>
      <c r="J136" t="s">
        <v>4739</v>
      </c>
      <c r="K136" s="33">
        <v>45</v>
      </c>
      <c r="L136" t="s">
        <v>4832</v>
      </c>
      <c r="M136" t="s">
        <v>4071</v>
      </c>
      <c r="N136" s="445"/>
      <c r="O136" s="984">
        <v>310</v>
      </c>
      <c r="P136" t="s">
        <v>4821</v>
      </c>
    </row>
    <row r="137" spans="2:17">
      <c r="B137" t="s">
        <v>4739</v>
      </c>
      <c r="C137" s="33">
        <v>46</v>
      </c>
      <c r="D137" t="s">
        <v>4833</v>
      </c>
      <c r="E137" t="s">
        <v>4067</v>
      </c>
      <c r="F137" s="445">
        <f>+'0 MDS Distribution'!E190</f>
        <v>6446.2285393647117</v>
      </c>
      <c r="G137" s="984">
        <v>105</v>
      </c>
      <c r="H137" t="s">
        <v>4786</v>
      </c>
      <c r="I137"/>
      <c r="J137" t="s">
        <v>4739</v>
      </c>
      <c r="K137" s="33">
        <v>46</v>
      </c>
      <c r="L137" t="s">
        <v>4833</v>
      </c>
      <c r="M137" t="s">
        <v>4067</v>
      </c>
      <c r="N137" s="445"/>
      <c r="O137" s="984">
        <v>105</v>
      </c>
      <c r="P137" t="s">
        <v>4786</v>
      </c>
    </row>
    <row r="138" spans="2:17">
      <c r="B138" t="s">
        <v>4739</v>
      </c>
      <c r="C138" s="33">
        <v>47</v>
      </c>
      <c r="D138" t="s">
        <v>4834</v>
      </c>
      <c r="E138" t="s">
        <v>4071</v>
      </c>
      <c r="F138" s="445">
        <f>+'0 MDS Distribution'!E191</f>
        <v>0</v>
      </c>
      <c r="G138" s="984">
        <v>418</v>
      </c>
      <c r="H138" t="s">
        <v>4824</v>
      </c>
      <c r="I138"/>
      <c r="J138" t="s">
        <v>4739</v>
      </c>
      <c r="K138" s="33">
        <v>47</v>
      </c>
      <c r="L138" t="s">
        <v>4834</v>
      </c>
      <c r="M138" t="s">
        <v>4071</v>
      </c>
      <c r="N138" s="445"/>
      <c r="O138" s="984">
        <v>418</v>
      </c>
      <c r="P138" t="s">
        <v>4824</v>
      </c>
    </row>
    <row r="139" spans="2:17">
      <c r="B139" t="s">
        <v>4739</v>
      </c>
      <c r="C139" s="33">
        <v>48</v>
      </c>
      <c r="D139" t="s">
        <v>4835</v>
      </c>
      <c r="E139" t="s">
        <v>4067</v>
      </c>
      <c r="F139" s="445">
        <f>+'0 MDS Distribution'!E192</f>
        <v>32748.664230635288</v>
      </c>
      <c r="G139" s="984">
        <v>106</v>
      </c>
      <c r="H139" t="s">
        <v>4788</v>
      </c>
      <c r="I139"/>
      <c r="J139" t="s">
        <v>4739</v>
      </c>
      <c r="K139" s="33">
        <v>48</v>
      </c>
      <c r="L139" t="s">
        <v>4835</v>
      </c>
      <c r="M139" t="s">
        <v>4067</v>
      </c>
      <c r="N139" s="445"/>
      <c r="O139" s="984">
        <v>106</v>
      </c>
      <c r="P139" t="s">
        <v>4788</v>
      </c>
    </row>
    <row r="140" spans="2:17">
      <c r="B140" t="s">
        <v>4739</v>
      </c>
      <c r="C140" s="33">
        <v>49</v>
      </c>
      <c r="D140" t="s">
        <v>4836</v>
      </c>
      <c r="E140" t="s">
        <v>4071</v>
      </c>
      <c r="F140" s="445">
        <f>+'0 MDS Distribution'!E193</f>
        <v>0</v>
      </c>
      <c r="G140" s="984">
        <v>420</v>
      </c>
      <c r="H140" t="s">
        <v>4781</v>
      </c>
      <c r="I140"/>
      <c r="J140" t="s">
        <v>4739</v>
      </c>
      <c r="K140" s="33">
        <v>49</v>
      </c>
      <c r="L140" t="s">
        <v>4836</v>
      </c>
      <c r="M140" t="s">
        <v>4071</v>
      </c>
      <c r="N140" s="445"/>
      <c r="O140" s="984">
        <v>420</v>
      </c>
      <c r="P140" t="s">
        <v>4781</v>
      </c>
    </row>
    <row r="141" spans="2:17">
      <c r="B141" t="s">
        <v>4739</v>
      </c>
      <c r="C141" s="33">
        <v>52</v>
      </c>
      <c r="D141" t="s">
        <v>4060</v>
      </c>
      <c r="E141" t="s">
        <v>4071</v>
      </c>
      <c r="F141" s="445">
        <f>+'0 MDS Distribution'!E196</f>
        <v>5782.6588400000001</v>
      </c>
      <c r="G141" s="984">
        <v>420</v>
      </c>
      <c r="H141" t="s">
        <v>4781</v>
      </c>
      <c r="I141"/>
      <c r="J141" t="s">
        <v>4739</v>
      </c>
      <c r="K141" s="33">
        <v>52</v>
      </c>
      <c r="L141" t="s">
        <v>4060</v>
      </c>
      <c r="M141" t="s">
        <v>4071</v>
      </c>
      <c r="N141" s="445"/>
      <c r="O141" s="984">
        <v>420</v>
      </c>
      <c r="P141" t="s">
        <v>4781</v>
      </c>
    </row>
    <row r="142" spans="2:17">
      <c r="B142" t="s">
        <v>4739</v>
      </c>
      <c r="C142" s="33">
        <v>53</v>
      </c>
      <c r="D142" t="s">
        <v>4053</v>
      </c>
      <c r="E142" t="s">
        <v>4071</v>
      </c>
      <c r="F142" s="445">
        <f>+'0 MDS Distribution'!E197</f>
        <v>15403.828909999998</v>
      </c>
      <c r="G142" s="984">
        <v>308</v>
      </c>
      <c r="H142" t="s">
        <v>4837</v>
      </c>
      <c r="I142"/>
      <c r="J142" t="s">
        <v>4739</v>
      </c>
      <c r="K142" s="33">
        <v>53</v>
      </c>
      <c r="L142" t="s">
        <v>4053</v>
      </c>
      <c r="M142" t="s">
        <v>4071</v>
      </c>
      <c r="N142" s="445"/>
      <c r="O142" s="984">
        <v>308</v>
      </c>
      <c r="P142" t="s">
        <v>4837</v>
      </c>
    </row>
    <row r="143" spans="2:17">
      <c r="B143" t="s">
        <v>4739</v>
      </c>
      <c r="C143" s="33">
        <v>54</v>
      </c>
      <c r="D143" t="s">
        <v>4862</v>
      </c>
      <c r="E143" t="s">
        <v>4071</v>
      </c>
      <c r="F143" s="445">
        <f>+'0 MDS Distribution'!E198</f>
        <v>0</v>
      </c>
      <c r="G143" s="984">
        <v>412</v>
      </c>
      <c r="H143" t="s">
        <v>4795</v>
      </c>
      <c r="I143"/>
      <c r="J143" t="s">
        <v>4739</v>
      </c>
      <c r="K143" s="33">
        <v>54</v>
      </c>
      <c r="L143" t="s">
        <v>4862</v>
      </c>
      <c r="M143" t="s">
        <v>4071</v>
      </c>
      <c r="N143" s="445"/>
      <c r="O143" s="984">
        <v>309</v>
      </c>
      <c r="P143" t="s">
        <v>4839</v>
      </c>
    </row>
    <row r="144" spans="2:17">
      <c r="B144" s="297" t="s">
        <v>4739</v>
      </c>
      <c r="C144" s="529">
        <v>55</v>
      </c>
      <c r="D144" s="297" t="s">
        <v>4840</v>
      </c>
      <c r="E144" s="297" t="s">
        <v>4071</v>
      </c>
      <c r="F144" s="970">
        <f>+'0 MDS Distribution'!E199</f>
        <v>15231.66345</v>
      </c>
      <c r="G144" s="980">
        <v>310</v>
      </c>
      <c r="H144" s="297" t="s">
        <v>4821</v>
      </c>
      <c r="I144" s="297"/>
      <c r="J144" s="297" t="s">
        <v>4739</v>
      </c>
      <c r="K144" s="529">
        <v>55</v>
      </c>
      <c r="L144" s="297" t="s">
        <v>4840</v>
      </c>
      <c r="M144" s="297" t="s">
        <v>4071</v>
      </c>
      <c r="N144" s="970"/>
      <c r="O144" s="980">
        <v>310</v>
      </c>
      <c r="P144" s="297" t="s">
        <v>4821</v>
      </c>
      <c r="Q144" s="297"/>
    </row>
    <row r="145" spans="1:16">
      <c r="A145" t="s">
        <v>4863</v>
      </c>
      <c r="B145" t="s">
        <v>4739</v>
      </c>
      <c r="C145" s="33">
        <v>75</v>
      </c>
      <c r="D145" t="s">
        <v>1528</v>
      </c>
      <c r="E145" t="s">
        <v>4067</v>
      </c>
      <c r="F145" s="966">
        <f>+'0 MDS Communications Equipment'!H53</f>
        <v>2270.0840464485473</v>
      </c>
      <c r="G145" s="984">
        <v>101</v>
      </c>
      <c r="H145" t="s">
        <v>4783</v>
      </c>
      <c r="I145"/>
      <c r="J145" t="s">
        <v>4739</v>
      </c>
      <c r="K145" s="33">
        <v>75</v>
      </c>
      <c r="L145" t="s">
        <v>1528</v>
      </c>
      <c r="M145" t="s">
        <v>4067</v>
      </c>
      <c r="N145" s="445"/>
      <c r="O145" s="984">
        <v>122</v>
      </c>
      <c r="P145" t="s">
        <v>4784</v>
      </c>
    </row>
    <row r="146" spans="1:16">
      <c r="B146" t="s">
        <v>4739</v>
      </c>
      <c r="C146" s="33">
        <v>76</v>
      </c>
      <c r="D146" t="s">
        <v>1528</v>
      </c>
      <c r="E146" t="s">
        <v>2067</v>
      </c>
      <c r="F146" s="966">
        <f>+'0 MDS Communications Equipment'!H54</f>
        <v>564.04119465374163</v>
      </c>
      <c r="G146" s="984">
        <v>201</v>
      </c>
      <c r="H146" t="s">
        <v>4790</v>
      </c>
      <c r="I146"/>
      <c r="J146" t="s">
        <v>4739</v>
      </c>
      <c r="K146" s="33">
        <v>76</v>
      </c>
      <c r="L146" t="s">
        <v>1528</v>
      </c>
      <c r="M146" t="s">
        <v>2067</v>
      </c>
      <c r="N146" s="445"/>
      <c r="O146" s="984">
        <v>201</v>
      </c>
      <c r="P146" t="s">
        <v>4790</v>
      </c>
    </row>
    <row r="147" spans="1:16">
      <c r="B147" t="s">
        <v>4739</v>
      </c>
      <c r="C147" s="33">
        <v>77</v>
      </c>
      <c r="D147" t="s">
        <v>1529</v>
      </c>
      <c r="E147" t="s">
        <v>4067</v>
      </c>
      <c r="F147" s="966">
        <f>+'0 MDS Communications Equipment'!H55</f>
        <v>427.86315231558297</v>
      </c>
      <c r="G147" s="984">
        <v>117</v>
      </c>
      <c r="H147" t="s">
        <v>4785</v>
      </c>
      <c r="I147"/>
      <c r="J147" t="s">
        <v>4739</v>
      </c>
      <c r="K147" s="33">
        <v>77</v>
      </c>
      <c r="L147" t="s">
        <v>1529</v>
      </c>
      <c r="M147" t="s">
        <v>4067</v>
      </c>
      <c r="N147" s="445"/>
      <c r="O147" s="984">
        <v>117</v>
      </c>
      <c r="P147" t="s">
        <v>4785</v>
      </c>
    </row>
    <row r="148" spans="1:16">
      <c r="B148" t="s">
        <v>4739</v>
      </c>
      <c r="C148" s="33">
        <v>78</v>
      </c>
      <c r="D148" t="s">
        <v>1953</v>
      </c>
      <c r="E148" t="s">
        <v>4067</v>
      </c>
      <c r="F148" s="966">
        <f>+'0 MDS Communications Equipment'!H56</f>
        <v>344.4303917378038</v>
      </c>
      <c r="G148" s="984">
        <v>117</v>
      </c>
      <c r="H148" t="s">
        <v>4785</v>
      </c>
      <c r="I148"/>
      <c r="J148" t="s">
        <v>4739</v>
      </c>
      <c r="K148" s="33">
        <v>78</v>
      </c>
      <c r="L148" t="s">
        <v>1953</v>
      </c>
      <c r="M148" t="s">
        <v>4067</v>
      </c>
      <c r="N148" s="445"/>
      <c r="O148" s="984">
        <v>117</v>
      </c>
      <c r="P148" t="s">
        <v>4785</v>
      </c>
    </row>
    <row r="149" spans="1:16">
      <c r="B149" t="s">
        <v>4739</v>
      </c>
      <c r="C149" s="33">
        <v>79</v>
      </c>
      <c r="D149" t="s">
        <v>2040</v>
      </c>
      <c r="E149" t="s">
        <v>4067</v>
      </c>
      <c r="F149" s="966">
        <f>+'0 MDS Communications Equipment'!H57</f>
        <v>2079.1077256150043</v>
      </c>
      <c r="G149" s="984">
        <v>105</v>
      </c>
      <c r="H149" t="s">
        <v>4786</v>
      </c>
      <c r="I149"/>
      <c r="J149" t="s">
        <v>4739</v>
      </c>
      <c r="K149" s="33">
        <v>79</v>
      </c>
      <c r="L149" t="s">
        <v>2040</v>
      </c>
      <c r="M149" t="s">
        <v>4067</v>
      </c>
      <c r="N149" s="445"/>
      <c r="O149" s="984">
        <v>105</v>
      </c>
      <c r="P149" t="s">
        <v>4786</v>
      </c>
    </row>
    <row r="150" spans="1:16">
      <c r="B150" t="s">
        <v>4739</v>
      </c>
      <c r="C150" s="33">
        <v>80</v>
      </c>
      <c r="D150" t="s">
        <v>4787</v>
      </c>
      <c r="E150" t="s">
        <v>4067</v>
      </c>
      <c r="F150" s="966">
        <f>+'0 MDS Communications Equipment'!H58</f>
        <v>675.63423235467326</v>
      </c>
      <c r="G150" s="984">
        <v>106</v>
      </c>
      <c r="H150" t="s">
        <v>4788</v>
      </c>
      <c r="I150"/>
      <c r="J150" t="s">
        <v>4739</v>
      </c>
      <c r="K150" s="33">
        <v>80</v>
      </c>
      <c r="L150" t="s">
        <v>4787</v>
      </c>
      <c r="M150" t="s">
        <v>4067</v>
      </c>
      <c r="N150" s="445"/>
      <c r="O150" s="984">
        <v>106</v>
      </c>
      <c r="P150" t="s">
        <v>4788</v>
      </c>
    </row>
    <row r="151" spans="1:16">
      <c r="B151" t="s">
        <v>4739</v>
      </c>
      <c r="C151" s="33">
        <v>81</v>
      </c>
      <c r="D151" t="s">
        <v>1530</v>
      </c>
      <c r="E151" t="s">
        <v>4071</v>
      </c>
      <c r="F151" s="966">
        <f>+'0 MDS Communications Equipment'!H59</f>
        <v>801.25621121177198</v>
      </c>
      <c r="G151" s="984">
        <v>907</v>
      </c>
      <c r="H151" t="s">
        <v>4794</v>
      </c>
      <c r="I151"/>
      <c r="J151" t="s">
        <v>4739</v>
      </c>
      <c r="K151" s="33">
        <v>81</v>
      </c>
      <c r="L151" t="s">
        <v>1530</v>
      </c>
      <c r="M151" t="s">
        <v>4071</v>
      </c>
      <c r="N151" s="445"/>
      <c r="O151" s="984">
        <v>907</v>
      </c>
      <c r="P151" t="s">
        <v>4794</v>
      </c>
    </row>
    <row r="152" spans="1:16">
      <c r="B152" s="297" t="s">
        <v>4739</v>
      </c>
      <c r="C152" s="529">
        <v>82</v>
      </c>
      <c r="D152" s="297" t="s">
        <v>2338</v>
      </c>
      <c r="E152" s="297" t="s">
        <v>4071</v>
      </c>
      <c r="F152" s="970">
        <f>+'0 MDS Communications Equipment'!H60</f>
        <v>1085.3202556628742</v>
      </c>
      <c r="G152" s="980">
        <v>412</v>
      </c>
      <c r="H152" s="297" t="s">
        <v>4795</v>
      </c>
      <c r="I152" s="297"/>
      <c r="J152" s="297" t="s">
        <v>4739</v>
      </c>
      <c r="K152" s="529">
        <v>82</v>
      </c>
      <c r="L152" s="297" t="s">
        <v>2338</v>
      </c>
      <c r="M152" s="297" t="s">
        <v>4071</v>
      </c>
      <c r="N152" s="970"/>
      <c r="O152" s="980">
        <v>412</v>
      </c>
      <c r="P152" s="297" t="s">
        <v>4795</v>
      </c>
    </row>
    <row r="153" spans="1:16">
      <c r="A153" t="s">
        <v>4864</v>
      </c>
      <c r="B153" t="s">
        <v>4739</v>
      </c>
      <c r="C153" s="33">
        <v>87</v>
      </c>
      <c r="D153" t="s">
        <v>1528</v>
      </c>
      <c r="E153" t="s">
        <v>4067</v>
      </c>
      <c r="F153" s="445">
        <f>+'0 MDS Transportation Equipment'!H40</f>
        <v>428.13576</v>
      </c>
      <c r="G153" s="984">
        <v>101</v>
      </c>
      <c r="H153" t="s">
        <v>4783</v>
      </c>
      <c r="I153"/>
      <c r="J153" t="s">
        <v>4739</v>
      </c>
      <c r="K153" s="33">
        <v>87</v>
      </c>
      <c r="L153" t="s">
        <v>1528</v>
      </c>
      <c r="M153" t="s">
        <v>4067</v>
      </c>
      <c r="N153" s="445"/>
      <c r="O153" s="984">
        <v>122</v>
      </c>
      <c r="P153" t="s">
        <v>4784</v>
      </c>
    </row>
    <row r="154" spans="1:16">
      <c r="B154" t="s">
        <v>4739</v>
      </c>
      <c r="C154" s="33">
        <v>88</v>
      </c>
      <c r="D154" t="s">
        <v>1528</v>
      </c>
      <c r="E154" t="s">
        <v>2067</v>
      </c>
      <c r="F154" s="990">
        <v>0</v>
      </c>
      <c r="G154" s="984">
        <v>201</v>
      </c>
      <c r="H154" t="s">
        <v>4790</v>
      </c>
      <c r="I154"/>
      <c r="J154" t="s">
        <v>4739</v>
      </c>
      <c r="K154" s="33">
        <v>88</v>
      </c>
      <c r="L154" t="s">
        <v>1528</v>
      </c>
      <c r="M154" t="s">
        <v>2067</v>
      </c>
      <c r="N154" s="445"/>
      <c r="O154" s="984">
        <v>201</v>
      </c>
      <c r="P154" t="s">
        <v>4790</v>
      </c>
    </row>
    <row r="155" spans="1:16">
      <c r="B155" t="s">
        <v>4739</v>
      </c>
      <c r="C155" s="33">
        <v>89</v>
      </c>
      <c r="D155" t="s">
        <v>1529</v>
      </c>
      <c r="E155" t="s">
        <v>4067</v>
      </c>
      <c r="F155" s="990">
        <f>+'0 MDS Transportation Equipment'!H41</f>
        <v>0</v>
      </c>
      <c r="G155" s="984">
        <v>117</v>
      </c>
      <c r="H155" t="s">
        <v>4785</v>
      </c>
      <c r="I155"/>
      <c r="J155" t="s">
        <v>4739</v>
      </c>
      <c r="K155" s="33">
        <v>89</v>
      </c>
      <c r="L155" t="s">
        <v>1529</v>
      </c>
      <c r="M155" t="s">
        <v>4067</v>
      </c>
      <c r="N155" s="445"/>
      <c r="O155" s="984">
        <v>117</v>
      </c>
      <c r="P155" t="s">
        <v>4785</v>
      </c>
    </row>
    <row r="156" spans="1:16">
      <c r="B156" t="s">
        <v>4739</v>
      </c>
      <c r="C156" s="33">
        <v>90</v>
      </c>
      <c r="D156" t="s">
        <v>1953</v>
      </c>
      <c r="E156" t="s">
        <v>4067</v>
      </c>
      <c r="F156" s="990">
        <f>+'0 MDS Transportation Equipment'!H42</f>
        <v>0</v>
      </c>
      <c r="G156" s="984">
        <v>117</v>
      </c>
      <c r="H156" t="s">
        <v>4785</v>
      </c>
      <c r="I156"/>
      <c r="J156" t="s">
        <v>4739</v>
      </c>
      <c r="K156" s="33">
        <v>90</v>
      </c>
      <c r="L156" t="s">
        <v>1953</v>
      </c>
      <c r="M156" t="s">
        <v>4067</v>
      </c>
      <c r="N156" s="445"/>
      <c r="O156" s="984">
        <v>117</v>
      </c>
      <c r="P156" t="s">
        <v>4785</v>
      </c>
    </row>
    <row r="157" spans="1:16">
      <c r="B157" t="s">
        <v>4739</v>
      </c>
      <c r="C157" s="33">
        <v>91</v>
      </c>
      <c r="D157" t="s">
        <v>2040</v>
      </c>
      <c r="E157" t="s">
        <v>4067</v>
      </c>
      <c r="F157" s="990">
        <f>+'0 MDS Transportation Equipment'!H43</f>
        <v>0</v>
      </c>
      <c r="G157" s="984">
        <v>105</v>
      </c>
      <c r="H157" t="s">
        <v>4786</v>
      </c>
      <c r="I157"/>
      <c r="J157" t="s">
        <v>4739</v>
      </c>
      <c r="K157" s="33">
        <v>91</v>
      </c>
      <c r="L157" t="s">
        <v>2040</v>
      </c>
      <c r="M157" t="s">
        <v>4067</v>
      </c>
      <c r="N157" s="445"/>
      <c r="O157" s="984">
        <v>105</v>
      </c>
      <c r="P157" t="s">
        <v>4786</v>
      </c>
    </row>
    <row r="158" spans="1:16">
      <c r="B158" t="s">
        <v>4739</v>
      </c>
      <c r="C158" s="33">
        <v>92</v>
      </c>
      <c r="D158" t="s">
        <v>4787</v>
      </c>
      <c r="E158" t="s">
        <v>4067</v>
      </c>
      <c r="F158" s="990">
        <f>+'0 MDS Transportation Equipment'!H44</f>
        <v>0</v>
      </c>
      <c r="G158" s="984">
        <v>106</v>
      </c>
      <c r="H158" t="s">
        <v>4788</v>
      </c>
      <c r="I158"/>
      <c r="J158" t="s">
        <v>4739</v>
      </c>
      <c r="K158" s="33">
        <v>92</v>
      </c>
      <c r="L158" t="s">
        <v>4787</v>
      </c>
      <c r="M158" t="s">
        <v>4067</v>
      </c>
      <c r="N158" s="445"/>
      <c r="O158" s="984">
        <v>106</v>
      </c>
      <c r="P158" t="s">
        <v>4788</v>
      </c>
    </row>
    <row r="159" spans="1:16">
      <c r="B159" t="s">
        <v>4739</v>
      </c>
      <c r="C159" s="33">
        <v>93</v>
      </c>
      <c r="D159" t="s">
        <v>1530</v>
      </c>
      <c r="E159" t="s">
        <v>4071</v>
      </c>
      <c r="F159" s="990">
        <f>+'0 MDS Transportation Equipment'!H45</f>
        <v>0</v>
      </c>
      <c r="G159" s="984">
        <v>907</v>
      </c>
      <c r="H159" t="s">
        <v>4794</v>
      </c>
      <c r="I159"/>
      <c r="J159" t="s">
        <v>4739</v>
      </c>
      <c r="K159" s="33">
        <v>93</v>
      </c>
      <c r="L159" t="s">
        <v>1530</v>
      </c>
      <c r="M159" t="s">
        <v>4071</v>
      </c>
      <c r="N159" s="445"/>
      <c r="O159" s="984">
        <v>907</v>
      </c>
      <c r="P159" t="s">
        <v>4794</v>
      </c>
    </row>
    <row r="160" spans="1:16">
      <c r="B160" s="297" t="s">
        <v>4739</v>
      </c>
      <c r="C160" s="529">
        <v>94</v>
      </c>
      <c r="D160" s="297" t="s">
        <v>2338</v>
      </c>
      <c r="E160" s="297" t="s">
        <v>4071</v>
      </c>
      <c r="F160" s="959">
        <f>+'0 MDS Transportation Equipment'!H46</f>
        <v>0</v>
      </c>
      <c r="G160" s="980">
        <v>412</v>
      </c>
      <c r="H160" s="297" t="s">
        <v>4795</v>
      </c>
      <c r="I160" s="297"/>
      <c r="J160" s="297" t="s">
        <v>4739</v>
      </c>
      <c r="K160" s="529">
        <v>94</v>
      </c>
      <c r="L160" s="297" t="s">
        <v>2338</v>
      </c>
      <c r="M160" s="297" t="s">
        <v>4071</v>
      </c>
      <c r="N160" s="970"/>
      <c r="O160" s="980">
        <v>412</v>
      </c>
      <c r="P160" s="297" t="s">
        <v>4795</v>
      </c>
    </row>
    <row r="161" spans="1:16">
      <c r="A161" t="s">
        <v>4865</v>
      </c>
      <c r="B161" t="s">
        <v>4739</v>
      </c>
      <c r="C161" s="33">
        <v>99</v>
      </c>
      <c r="D161" t="s">
        <v>1528</v>
      </c>
      <c r="E161" t="s">
        <v>4067</v>
      </c>
      <c r="F161" s="966">
        <f>+'0 MDS General Plant'!G47-F162</f>
        <v>22181.809150527879</v>
      </c>
      <c r="G161" s="984">
        <v>101</v>
      </c>
      <c r="H161" t="s">
        <v>4783</v>
      </c>
      <c r="I161"/>
      <c r="J161" t="s">
        <v>4739</v>
      </c>
      <c r="K161" s="33">
        <v>99</v>
      </c>
      <c r="L161" t="s">
        <v>1528</v>
      </c>
      <c r="M161" t="s">
        <v>4067</v>
      </c>
      <c r="N161" s="445"/>
      <c r="O161" s="984">
        <v>122</v>
      </c>
      <c r="P161" t="s">
        <v>4784</v>
      </c>
    </row>
    <row r="162" spans="1:16" s="763" customFormat="1">
      <c r="B162" t="s">
        <v>4739</v>
      </c>
      <c r="C162" s="976">
        <v>100</v>
      </c>
      <c r="D162" s="763" t="s">
        <v>4866</v>
      </c>
      <c r="E162" s="763" t="s">
        <v>4067</v>
      </c>
      <c r="F162" s="966">
        <f>+'0 MDS General Plant'!I7</f>
        <v>152.46288000000001</v>
      </c>
      <c r="G162" s="984">
        <v>101</v>
      </c>
      <c r="H162" s="763" t="s">
        <v>4783</v>
      </c>
      <c r="J162" s="763" t="s">
        <v>4739</v>
      </c>
      <c r="K162" s="976">
        <v>100</v>
      </c>
      <c r="L162" s="763" t="s">
        <v>4866</v>
      </c>
      <c r="M162" s="763" t="s">
        <v>4067</v>
      </c>
      <c r="N162" s="445"/>
      <c r="O162" s="984">
        <v>121</v>
      </c>
      <c r="P162" s="763" t="s">
        <v>4816</v>
      </c>
    </row>
    <row r="163" spans="1:16">
      <c r="B163" t="s">
        <v>4739</v>
      </c>
      <c r="C163" s="33">
        <v>101</v>
      </c>
      <c r="D163" t="s">
        <v>1528</v>
      </c>
      <c r="E163" t="s">
        <v>2067</v>
      </c>
      <c r="F163" s="966">
        <f>+'0 MDS General Plant'!G48</f>
        <v>5896.3829723099661</v>
      </c>
      <c r="G163" s="984">
        <v>201</v>
      </c>
      <c r="H163" t="s">
        <v>4790</v>
      </c>
      <c r="I163"/>
      <c r="J163" t="s">
        <v>4739</v>
      </c>
      <c r="K163" s="33">
        <v>101</v>
      </c>
      <c r="L163" t="s">
        <v>1528</v>
      </c>
      <c r="M163" t="s">
        <v>2067</v>
      </c>
      <c r="N163" s="445"/>
      <c r="O163" s="984">
        <v>201</v>
      </c>
      <c r="P163" t="s">
        <v>4790</v>
      </c>
    </row>
    <row r="164" spans="1:16">
      <c r="B164" t="s">
        <v>4739</v>
      </c>
      <c r="C164" s="33">
        <v>102</v>
      </c>
      <c r="D164" t="s">
        <v>1529</v>
      </c>
      <c r="E164" t="s">
        <v>4067</v>
      </c>
      <c r="F164" s="966">
        <f>+'0 MDS General Plant'!G49</f>
        <v>946.39130178123651</v>
      </c>
      <c r="G164" s="984">
        <v>117</v>
      </c>
      <c r="H164" t="s">
        <v>4785</v>
      </c>
      <c r="I164"/>
      <c r="J164" t="s">
        <v>4739</v>
      </c>
      <c r="K164" s="33">
        <v>102</v>
      </c>
      <c r="L164" t="s">
        <v>1529</v>
      </c>
      <c r="M164" t="s">
        <v>4067</v>
      </c>
      <c r="N164" s="445"/>
      <c r="O164" s="984">
        <v>117</v>
      </c>
      <c r="P164" t="s">
        <v>4785</v>
      </c>
    </row>
    <row r="165" spans="1:16">
      <c r="B165" t="s">
        <v>4739</v>
      </c>
      <c r="C165" s="33">
        <v>103</v>
      </c>
      <c r="D165" t="s">
        <v>1953</v>
      </c>
      <c r="E165" t="s">
        <v>4067</v>
      </c>
      <c r="F165" s="966">
        <f>+'0 MDS General Plant'!G50</f>
        <v>2660.8104217250198</v>
      </c>
      <c r="G165" s="984">
        <v>117</v>
      </c>
      <c r="H165" t="s">
        <v>4785</v>
      </c>
      <c r="I165"/>
      <c r="J165" t="s">
        <v>4739</v>
      </c>
      <c r="K165" s="33">
        <v>103</v>
      </c>
      <c r="L165" t="s">
        <v>1953</v>
      </c>
      <c r="M165" t="s">
        <v>4067</v>
      </c>
      <c r="N165" s="445"/>
      <c r="O165" s="984">
        <v>117</v>
      </c>
      <c r="P165" t="s">
        <v>4785</v>
      </c>
    </row>
    <row r="166" spans="1:16">
      <c r="B166" t="s">
        <v>4739</v>
      </c>
      <c r="C166" s="33">
        <v>104</v>
      </c>
      <c r="D166" t="s">
        <v>2040</v>
      </c>
      <c r="E166" t="s">
        <v>4067</v>
      </c>
      <c r="F166" s="966">
        <f>+'0 MDS General Plant'!G51</f>
        <v>13067.149153677907</v>
      </c>
      <c r="G166" s="984">
        <v>105</v>
      </c>
      <c r="H166" t="s">
        <v>4786</v>
      </c>
      <c r="I166"/>
      <c r="J166" t="s">
        <v>4739</v>
      </c>
      <c r="K166" s="33">
        <v>104</v>
      </c>
      <c r="L166" t="s">
        <v>2040</v>
      </c>
      <c r="M166" t="s">
        <v>4067</v>
      </c>
      <c r="N166" s="445"/>
      <c r="O166" s="984">
        <v>105</v>
      </c>
      <c r="P166" t="s">
        <v>4786</v>
      </c>
    </row>
    <row r="167" spans="1:16">
      <c r="B167" t="s">
        <v>4739</v>
      </c>
      <c r="C167" s="33">
        <v>105</v>
      </c>
      <c r="D167" t="s">
        <v>4787</v>
      </c>
      <c r="E167" t="s">
        <v>4067</v>
      </c>
      <c r="F167" s="966">
        <f>+'0 MDS General Plant'!G52</f>
        <v>2254.1795375205065</v>
      </c>
      <c r="G167" s="984">
        <v>106</v>
      </c>
      <c r="H167" t="s">
        <v>4788</v>
      </c>
      <c r="I167"/>
      <c r="J167" t="s">
        <v>4739</v>
      </c>
      <c r="K167" s="33">
        <v>105</v>
      </c>
      <c r="L167" t="s">
        <v>4787</v>
      </c>
      <c r="M167" t="s">
        <v>4067</v>
      </c>
      <c r="N167" s="445"/>
      <c r="O167" s="984">
        <v>106</v>
      </c>
      <c r="P167" t="s">
        <v>4788</v>
      </c>
    </row>
    <row r="168" spans="1:16">
      <c r="B168" t="s">
        <v>4739</v>
      </c>
      <c r="C168" s="33">
        <v>106</v>
      </c>
      <c r="D168" t="s">
        <v>1530</v>
      </c>
      <c r="E168" t="s">
        <v>4071</v>
      </c>
      <c r="F168" s="966">
        <f>+'0 MDS General Plant'!G53</f>
        <v>8376.1851528362458</v>
      </c>
      <c r="G168" s="984">
        <v>907</v>
      </c>
      <c r="H168" t="s">
        <v>4794</v>
      </c>
      <c r="I168"/>
      <c r="J168" t="s">
        <v>4739</v>
      </c>
      <c r="K168" s="33">
        <v>106</v>
      </c>
      <c r="L168" t="s">
        <v>1530</v>
      </c>
      <c r="M168" t="s">
        <v>4071</v>
      </c>
      <c r="N168" s="445"/>
      <c r="O168" s="984">
        <v>907</v>
      </c>
      <c r="P168" t="s">
        <v>4794</v>
      </c>
    </row>
    <row r="169" spans="1:16">
      <c r="B169" s="297" t="s">
        <v>4739</v>
      </c>
      <c r="C169" s="529">
        <v>107</v>
      </c>
      <c r="D169" s="297" t="s">
        <v>2338</v>
      </c>
      <c r="E169" s="297" t="s">
        <v>4071</v>
      </c>
      <c r="F169" s="970">
        <f>+'0 MDS General Plant'!G54</f>
        <v>11345.738459621245</v>
      </c>
      <c r="G169" s="980">
        <v>412</v>
      </c>
      <c r="H169" s="297" t="s">
        <v>4795</v>
      </c>
      <c r="I169" s="297"/>
      <c r="J169" s="297" t="s">
        <v>4739</v>
      </c>
      <c r="K169" s="529">
        <v>107</v>
      </c>
      <c r="L169" s="297" t="s">
        <v>2338</v>
      </c>
      <c r="M169" s="297" t="s">
        <v>4071</v>
      </c>
      <c r="N169" s="970"/>
      <c r="O169" s="980">
        <v>412</v>
      </c>
      <c r="P169" s="297" t="s">
        <v>4795</v>
      </c>
    </row>
    <row r="170" spans="1:16">
      <c r="B170" t="s">
        <v>2477</v>
      </c>
      <c r="I170"/>
      <c r="J170" t="s">
        <v>2477</v>
      </c>
    </row>
    <row r="171" spans="1:16">
      <c r="I171"/>
    </row>
    <row r="172" spans="1:16">
      <c r="I172"/>
    </row>
    <row r="173" spans="1:16">
      <c r="I173"/>
    </row>
    <row r="174" spans="1:16">
      <c r="F174" s="973" t="s">
        <v>2173</v>
      </c>
      <c r="H174" s="288" t="s">
        <v>4867</v>
      </c>
      <c r="I174"/>
      <c r="N174" s="973" t="s">
        <v>2173</v>
      </c>
      <c r="P174" s="288" t="s">
        <v>4867</v>
      </c>
    </row>
    <row r="175" spans="1:16">
      <c r="F175" s="645" t="s">
        <v>4768</v>
      </c>
      <c r="I175"/>
      <c r="N175" s="645" t="s">
        <v>4769</v>
      </c>
    </row>
    <row r="176" spans="1:16">
      <c r="F176" s="645" t="s">
        <v>9480</v>
      </c>
      <c r="I176"/>
      <c r="N176" s="645" t="s">
        <v>9480</v>
      </c>
    </row>
    <row r="177" spans="1:17">
      <c r="F177" s="645" t="s">
        <v>4770</v>
      </c>
      <c r="I177"/>
      <c r="N177" s="645" t="s">
        <v>4770</v>
      </c>
    </row>
    <row r="178" spans="1:17">
      <c r="F178" s="974" t="s">
        <v>4771</v>
      </c>
      <c r="N178" s="974" t="s">
        <v>4771</v>
      </c>
    </row>
    <row r="179" spans="1:17">
      <c r="I179"/>
    </row>
    <row r="180" spans="1:17">
      <c r="F180" s="645" t="s">
        <v>4772</v>
      </c>
      <c r="I180"/>
      <c r="N180" s="645" t="s">
        <v>4772</v>
      </c>
    </row>
    <row r="181" spans="1:17">
      <c r="F181" s="975"/>
      <c r="I181"/>
      <c r="N181" s="975"/>
    </row>
    <row r="182" spans="1:17">
      <c r="I182"/>
      <c r="N182" s="975"/>
    </row>
    <row r="183" spans="1:17">
      <c r="C183" s="33" t="s">
        <v>2430</v>
      </c>
      <c r="D183" t="s">
        <v>2430</v>
      </c>
      <c r="I183"/>
      <c r="K183" s="33" t="s">
        <v>2182</v>
      </c>
      <c r="L183" s="33" t="s">
        <v>2182</v>
      </c>
    </row>
    <row r="184" spans="1:17">
      <c r="B184" s="297" t="s">
        <v>4868</v>
      </c>
      <c r="C184" s="529" t="s">
        <v>4869</v>
      </c>
      <c r="D184" s="297" t="s">
        <v>2437</v>
      </c>
      <c r="E184" s="297"/>
      <c r="F184" s="506" t="s">
        <v>2963</v>
      </c>
      <c r="G184" s="989"/>
      <c r="H184" s="297"/>
      <c r="I184" s="297"/>
      <c r="J184" s="297" t="s">
        <v>4683</v>
      </c>
      <c r="K184" s="529" t="s">
        <v>3216</v>
      </c>
      <c r="L184" s="529" t="s">
        <v>2052</v>
      </c>
      <c r="M184" s="297"/>
      <c r="N184" s="977" t="s">
        <v>2185</v>
      </c>
      <c r="O184" s="989"/>
      <c r="P184" s="297" t="s">
        <v>4774</v>
      </c>
    </row>
    <row r="185" spans="1:17">
      <c r="I185"/>
    </row>
    <row r="186" spans="1:17">
      <c r="A186" t="s">
        <v>4870</v>
      </c>
      <c r="B186" t="s">
        <v>4871</v>
      </c>
      <c r="C186" s="33">
        <v>2</v>
      </c>
      <c r="D186" t="s">
        <v>1528</v>
      </c>
      <c r="E186" t="s">
        <v>4067</v>
      </c>
      <c r="F186" s="966">
        <f>+'0 MDS Taxes Other'!F27-F187</f>
        <v>5463.9974238223331</v>
      </c>
      <c r="G186" s="984">
        <v>101</v>
      </c>
      <c r="H186" t="s">
        <v>4783</v>
      </c>
      <c r="I186"/>
      <c r="J186" t="s">
        <v>4871</v>
      </c>
      <c r="K186" s="33">
        <v>2</v>
      </c>
      <c r="L186" t="s">
        <v>1528</v>
      </c>
      <c r="M186" t="s">
        <v>4067</v>
      </c>
      <c r="N186" s="445"/>
      <c r="O186" s="984">
        <v>122</v>
      </c>
      <c r="P186" t="s">
        <v>4784</v>
      </c>
    </row>
    <row r="187" spans="1:17" s="765" customFormat="1">
      <c r="B187" t="s">
        <v>4871</v>
      </c>
      <c r="C187" s="33">
        <v>3</v>
      </c>
      <c r="D187" s="96" t="s">
        <v>4872</v>
      </c>
      <c r="E187" t="s">
        <v>4067</v>
      </c>
      <c r="F187" s="966">
        <f>+'0 MDS Taxes Other'!D5/1000</f>
        <v>0</v>
      </c>
      <c r="G187" s="984">
        <v>101</v>
      </c>
      <c r="H187" t="s">
        <v>4783</v>
      </c>
      <c r="I187"/>
      <c r="J187" t="s">
        <v>4871</v>
      </c>
      <c r="K187" s="33">
        <v>3</v>
      </c>
      <c r="L187" s="96" t="s">
        <v>4872</v>
      </c>
      <c r="M187" t="s">
        <v>4067</v>
      </c>
      <c r="N187" s="445"/>
      <c r="O187" s="984">
        <v>121</v>
      </c>
      <c r="P187" t="s">
        <v>4816</v>
      </c>
      <c r="Q187"/>
    </row>
    <row r="188" spans="1:17">
      <c r="B188" t="s">
        <v>4871</v>
      </c>
      <c r="C188" s="33">
        <v>4</v>
      </c>
      <c r="D188" t="s">
        <v>1528</v>
      </c>
      <c r="E188" t="s">
        <v>2067</v>
      </c>
      <c r="F188" s="966">
        <f>+'0 MDS Taxes Other'!F28</f>
        <v>1442.5283853681995</v>
      </c>
      <c r="G188" s="984">
        <v>201</v>
      </c>
      <c r="H188" t="s">
        <v>4790</v>
      </c>
      <c r="I188"/>
      <c r="J188" t="s">
        <v>4871</v>
      </c>
      <c r="K188" s="33">
        <v>4</v>
      </c>
      <c r="L188" t="s">
        <v>1528</v>
      </c>
      <c r="M188" t="s">
        <v>2067</v>
      </c>
      <c r="N188" s="445"/>
      <c r="O188" s="984">
        <v>201</v>
      </c>
      <c r="P188" t="s">
        <v>4790</v>
      </c>
    </row>
    <row r="189" spans="1:17">
      <c r="B189" t="s">
        <v>4871</v>
      </c>
      <c r="C189" s="33">
        <v>5</v>
      </c>
      <c r="D189" t="s">
        <v>1529</v>
      </c>
      <c r="E189" t="s">
        <v>4067</v>
      </c>
      <c r="F189" s="966">
        <f>+'0 MDS Taxes Other'!F29</f>
        <v>231.53114763679716</v>
      </c>
      <c r="G189" s="984">
        <v>117</v>
      </c>
      <c r="H189" t="s">
        <v>4785</v>
      </c>
      <c r="I189"/>
      <c r="J189" t="s">
        <v>4871</v>
      </c>
      <c r="K189" s="33">
        <v>5</v>
      </c>
      <c r="L189" t="s">
        <v>1529</v>
      </c>
      <c r="M189" t="s">
        <v>4067</v>
      </c>
      <c r="N189" s="445"/>
      <c r="O189" s="984">
        <v>117</v>
      </c>
      <c r="P189" t="s">
        <v>4785</v>
      </c>
    </row>
    <row r="190" spans="1:17">
      <c r="B190" t="s">
        <v>4871</v>
      </c>
      <c r="C190" s="33">
        <v>6</v>
      </c>
      <c r="D190" t="s">
        <v>1953</v>
      </c>
      <c r="E190" t="s">
        <v>4067</v>
      </c>
      <c r="F190" s="966">
        <f>+'0 MDS Taxes Other'!F30</f>
        <v>650.95747332676751</v>
      </c>
      <c r="G190" s="984">
        <v>117</v>
      </c>
      <c r="H190" t="s">
        <v>4785</v>
      </c>
      <c r="I190"/>
      <c r="J190" t="s">
        <v>4871</v>
      </c>
      <c r="K190" s="33">
        <v>6</v>
      </c>
      <c r="L190" t="s">
        <v>1953</v>
      </c>
      <c r="M190" t="s">
        <v>4067</v>
      </c>
      <c r="N190" s="445"/>
      <c r="O190" s="984">
        <v>117</v>
      </c>
      <c r="P190" t="s">
        <v>4785</v>
      </c>
    </row>
    <row r="191" spans="1:17">
      <c r="B191" t="s">
        <v>4871</v>
      </c>
      <c r="C191" s="33">
        <v>7</v>
      </c>
      <c r="D191" t="s">
        <v>2040</v>
      </c>
      <c r="E191" t="s">
        <v>4067</v>
      </c>
      <c r="F191" s="966">
        <f>+'0 MDS Taxes Other'!F31</f>
        <v>3196.8299309154031</v>
      </c>
      <c r="G191" s="984">
        <v>105</v>
      </c>
      <c r="H191" t="s">
        <v>4786</v>
      </c>
      <c r="I191"/>
      <c r="J191" t="s">
        <v>4871</v>
      </c>
      <c r="K191" s="33">
        <v>7</v>
      </c>
      <c r="L191" t="s">
        <v>2040</v>
      </c>
      <c r="M191" t="s">
        <v>4067</v>
      </c>
      <c r="N191" s="445"/>
      <c r="O191" s="984">
        <v>105</v>
      </c>
      <c r="P191" t="s">
        <v>4786</v>
      </c>
    </row>
    <row r="192" spans="1:17">
      <c r="B192" t="s">
        <v>4871</v>
      </c>
      <c r="C192" s="33">
        <v>8</v>
      </c>
      <c r="D192" t="s">
        <v>4787</v>
      </c>
      <c r="E192" t="s">
        <v>4067</v>
      </c>
      <c r="F192" s="966">
        <f>+'0 MDS Taxes Other'!F32</f>
        <v>551.47672460555907</v>
      </c>
      <c r="G192" s="984">
        <v>106</v>
      </c>
      <c r="H192" t="s">
        <v>4788</v>
      </c>
      <c r="I192"/>
      <c r="J192" t="s">
        <v>4871</v>
      </c>
      <c r="K192" s="33">
        <v>8</v>
      </c>
      <c r="L192" t="s">
        <v>4787</v>
      </c>
      <c r="M192" t="s">
        <v>4067</v>
      </c>
      <c r="N192" s="445"/>
      <c r="O192" s="984">
        <v>106</v>
      </c>
      <c r="P192" t="s">
        <v>4788</v>
      </c>
    </row>
    <row r="193" spans="1:16">
      <c r="B193" t="s">
        <v>4871</v>
      </c>
      <c r="C193" s="33">
        <v>9</v>
      </c>
      <c r="D193" t="s">
        <v>1530</v>
      </c>
      <c r="E193" t="s">
        <v>4071</v>
      </c>
      <c r="F193" s="966">
        <f>+'0 MDS Taxes Other'!F33</f>
        <v>2049.2028589066304</v>
      </c>
      <c r="G193" s="984">
        <v>907</v>
      </c>
      <c r="H193" t="s">
        <v>4794</v>
      </c>
      <c r="I193"/>
      <c r="J193" t="s">
        <v>4871</v>
      </c>
      <c r="K193" s="33">
        <v>9</v>
      </c>
      <c r="L193" t="s">
        <v>1530</v>
      </c>
      <c r="M193" t="s">
        <v>4071</v>
      </c>
      <c r="N193" s="445"/>
      <c r="O193" s="984">
        <v>907</v>
      </c>
      <c r="P193" t="s">
        <v>4794</v>
      </c>
    </row>
    <row r="194" spans="1:16">
      <c r="B194" s="297" t="s">
        <v>4871</v>
      </c>
      <c r="C194" s="529">
        <v>10</v>
      </c>
      <c r="D194" s="297" t="s">
        <v>2338</v>
      </c>
      <c r="E194" s="297" t="s">
        <v>4071</v>
      </c>
      <c r="F194" s="970">
        <f>+'0 MDS Taxes Other'!F34</f>
        <v>2775.6931423597071</v>
      </c>
      <c r="G194" s="980">
        <v>412</v>
      </c>
      <c r="H194" s="297" t="s">
        <v>4795</v>
      </c>
      <c r="I194" s="297"/>
      <c r="J194" s="297" t="s">
        <v>4871</v>
      </c>
      <c r="K194" s="529">
        <v>10</v>
      </c>
      <c r="L194" s="297" t="s">
        <v>2338</v>
      </c>
      <c r="M194" s="297" t="s">
        <v>4071</v>
      </c>
      <c r="N194" s="970"/>
      <c r="O194" s="980">
        <v>412</v>
      </c>
      <c r="P194" s="297" t="s">
        <v>4795</v>
      </c>
    </row>
    <row r="195" spans="1:16">
      <c r="A195" t="s">
        <v>4873</v>
      </c>
      <c r="B195" t="s">
        <v>4871</v>
      </c>
      <c r="C195" s="33">
        <v>14</v>
      </c>
      <c r="D195" t="s">
        <v>1528</v>
      </c>
      <c r="E195" t="s">
        <v>4067</v>
      </c>
      <c r="F195" s="966">
        <f>+'0 MDS Taxes Other'!F41</f>
        <v>45178.813847395977</v>
      </c>
      <c r="G195" s="984">
        <v>101</v>
      </c>
      <c r="H195" t="s">
        <v>4783</v>
      </c>
      <c r="I195"/>
      <c r="J195" t="s">
        <v>4871</v>
      </c>
      <c r="K195" s="33">
        <v>14</v>
      </c>
      <c r="L195" t="s">
        <v>1528</v>
      </c>
      <c r="M195" t="s">
        <v>4067</v>
      </c>
      <c r="N195" s="445"/>
      <c r="O195" s="984">
        <v>122</v>
      </c>
      <c r="P195" t="s">
        <v>4784</v>
      </c>
    </row>
    <row r="196" spans="1:16">
      <c r="B196" t="s">
        <v>4871</v>
      </c>
      <c r="C196" s="33">
        <v>15</v>
      </c>
      <c r="D196" t="s">
        <v>1528</v>
      </c>
      <c r="E196" t="s">
        <v>2067</v>
      </c>
      <c r="F196" s="966">
        <f>+'0 MDS Taxes Other'!F42</f>
        <v>4255.2539766352529</v>
      </c>
      <c r="G196" s="984">
        <v>201</v>
      </c>
      <c r="H196" t="s">
        <v>4790</v>
      </c>
      <c r="I196"/>
      <c r="J196" t="s">
        <v>4871</v>
      </c>
      <c r="K196" s="33">
        <v>15</v>
      </c>
      <c r="L196" t="s">
        <v>1528</v>
      </c>
      <c r="M196" t="s">
        <v>2067</v>
      </c>
      <c r="N196" s="445"/>
      <c r="O196" s="984">
        <v>201</v>
      </c>
      <c r="P196" t="s">
        <v>4790</v>
      </c>
    </row>
    <row r="197" spans="1:16">
      <c r="B197" t="s">
        <v>4871</v>
      </c>
      <c r="C197" s="33">
        <v>16</v>
      </c>
      <c r="D197" t="s">
        <v>1529</v>
      </c>
      <c r="E197" t="s">
        <v>4067</v>
      </c>
      <c r="F197" s="966">
        <f>+'0 MDS Taxes Other'!F43</f>
        <v>3566.862819868461</v>
      </c>
      <c r="G197" s="984">
        <v>117</v>
      </c>
      <c r="H197" t="s">
        <v>4785</v>
      </c>
      <c r="I197"/>
      <c r="J197" t="s">
        <v>4871</v>
      </c>
      <c r="K197" s="33">
        <v>16</v>
      </c>
      <c r="L197" t="s">
        <v>1529</v>
      </c>
      <c r="M197" t="s">
        <v>4067</v>
      </c>
      <c r="N197" s="445"/>
      <c r="O197" s="984">
        <v>117</v>
      </c>
      <c r="P197" t="s">
        <v>4785</v>
      </c>
    </row>
    <row r="198" spans="1:16">
      <c r="B198" t="s">
        <v>4871</v>
      </c>
      <c r="C198" s="33">
        <v>17</v>
      </c>
      <c r="D198" t="s">
        <v>1953</v>
      </c>
      <c r="E198" t="s">
        <v>4067</v>
      </c>
      <c r="F198" s="966">
        <f>+'0 MDS Taxes Other'!F44</f>
        <v>3719.0599808262937</v>
      </c>
      <c r="G198" s="984">
        <v>117</v>
      </c>
      <c r="H198" t="s">
        <v>4785</v>
      </c>
      <c r="I198"/>
      <c r="J198" t="s">
        <v>4871</v>
      </c>
      <c r="K198" s="33">
        <v>17</v>
      </c>
      <c r="L198" t="s">
        <v>1953</v>
      </c>
      <c r="M198" t="s">
        <v>4067</v>
      </c>
      <c r="N198" s="445"/>
      <c r="O198" s="984">
        <v>117</v>
      </c>
      <c r="P198" t="s">
        <v>4785</v>
      </c>
    </row>
    <row r="199" spans="1:16">
      <c r="B199" t="s">
        <v>4871</v>
      </c>
      <c r="C199" s="33">
        <v>18</v>
      </c>
      <c r="D199" t="s">
        <v>2040</v>
      </c>
      <c r="E199" t="s">
        <v>4067</v>
      </c>
      <c r="F199" s="966">
        <f>+'0 MDS Taxes Other'!F45</f>
        <v>13501.612618835021</v>
      </c>
      <c r="G199" s="984">
        <v>105</v>
      </c>
      <c r="H199" t="s">
        <v>4786</v>
      </c>
      <c r="I199"/>
      <c r="J199" t="s">
        <v>4871</v>
      </c>
      <c r="K199" s="33">
        <v>18</v>
      </c>
      <c r="L199" t="s">
        <v>2040</v>
      </c>
      <c r="M199" t="s">
        <v>4067</v>
      </c>
      <c r="N199" s="445"/>
      <c r="O199" s="984">
        <v>105</v>
      </c>
      <c r="P199" t="s">
        <v>4786</v>
      </c>
    </row>
    <row r="200" spans="1:16">
      <c r="B200" t="s">
        <v>4871</v>
      </c>
      <c r="C200" s="33">
        <v>19</v>
      </c>
      <c r="D200" t="s">
        <v>4787</v>
      </c>
      <c r="E200" t="s">
        <v>4067</v>
      </c>
      <c r="F200" s="966">
        <f>+'0 MDS Taxes Other'!F46</f>
        <v>6720.3736451106997</v>
      </c>
      <c r="G200" s="984">
        <v>106</v>
      </c>
      <c r="H200" t="s">
        <v>4788</v>
      </c>
      <c r="I200"/>
      <c r="J200" t="s">
        <v>4871</v>
      </c>
      <c r="K200" s="33">
        <v>19</v>
      </c>
      <c r="L200" t="s">
        <v>4787</v>
      </c>
      <c r="M200" t="s">
        <v>4067</v>
      </c>
      <c r="N200" s="445"/>
      <c r="O200" s="984">
        <v>106</v>
      </c>
      <c r="P200" t="s">
        <v>4788</v>
      </c>
    </row>
    <row r="201" spans="1:16">
      <c r="B201" t="s">
        <v>4871</v>
      </c>
      <c r="C201" s="33">
        <v>20</v>
      </c>
      <c r="D201" t="s">
        <v>1530</v>
      </c>
      <c r="E201" t="s">
        <v>4071</v>
      </c>
      <c r="F201" s="966">
        <f>+'0 MDS Taxes Other'!F47</f>
        <v>6321.6488650093097</v>
      </c>
      <c r="G201" s="984">
        <v>907</v>
      </c>
      <c r="H201" t="s">
        <v>4794</v>
      </c>
      <c r="I201"/>
      <c r="J201" t="s">
        <v>4871</v>
      </c>
      <c r="K201" s="33">
        <v>20</v>
      </c>
      <c r="L201" t="s">
        <v>1530</v>
      </c>
      <c r="M201" t="s">
        <v>4071</v>
      </c>
      <c r="N201" s="445"/>
      <c r="O201" s="984">
        <v>907</v>
      </c>
      <c r="P201" t="s">
        <v>4794</v>
      </c>
    </row>
    <row r="202" spans="1:16">
      <c r="B202" s="297" t="s">
        <v>4871</v>
      </c>
      <c r="C202" s="529">
        <v>21</v>
      </c>
      <c r="D202" s="297" t="s">
        <v>2338</v>
      </c>
      <c r="E202" s="297" t="s">
        <v>4071</v>
      </c>
      <c r="F202" s="970">
        <f>+'0 MDS Taxes Other'!F48</f>
        <v>1532.8072463189651</v>
      </c>
      <c r="G202" s="980">
        <v>412</v>
      </c>
      <c r="H202" s="297" t="s">
        <v>4795</v>
      </c>
      <c r="I202" s="297"/>
      <c r="J202" s="297" t="s">
        <v>4871</v>
      </c>
      <c r="K202" s="529">
        <v>21</v>
      </c>
      <c r="L202" s="297" t="s">
        <v>2338</v>
      </c>
      <c r="M202" s="297" t="s">
        <v>4071</v>
      </c>
      <c r="N202" s="970"/>
      <c r="O202" s="980">
        <v>412</v>
      </c>
      <c r="P202" s="297" t="s">
        <v>4795</v>
      </c>
    </row>
    <row r="203" spans="1:16">
      <c r="A203" t="s">
        <v>2338</v>
      </c>
      <c r="B203" t="s">
        <v>4871</v>
      </c>
      <c r="C203" s="33">
        <v>26</v>
      </c>
      <c r="D203" t="s">
        <v>1528</v>
      </c>
      <c r="E203" t="s">
        <v>4067</v>
      </c>
      <c r="F203" s="966">
        <f>+'0 MDS Taxes Other'!F69</f>
        <v>-75.539735384829342</v>
      </c>
      <c r="G203" s="984">
        <v>101</v>
      </c>
      <c r="H203" t="s">
        <v>4783</v>
      </c>
      <c r="I203"/>
      <c r="J203" t="s">
        <v>4871</v>
      </c>
      <c r="K203" s="33">
        <v>26</v>
      </c>
      <c r="L203" t="s">
        <v>1528</v>
      </c>
      <c r="M203" t="s">
        <v>4067</v>
      </c>
      <c r="N203" s="445"/>
      <c r="O203" s="984">
        <v>122</v>
      </c>
      <c r="P203" t="s">
        <v>4784</v>
      </c>
    </row>
    <row r="204" spans="1:16">
      <c r="B204" t="s">
        <v>4871</v>
      </c>
      <c r="C204" s="33">
        <v>27</v>
      </c>
      <c r="D204" t="s">
        <v>1528</v>
      </c>
      <c r="E204" t="s">
        <v>2067</v>
      </c>
      <c r="F204" s="966">
        <f>+'0 MDS Taxes Other'!F70</f>
        <v>-5.6810294570698723</v>
      </c>
      <c r="G204" s="984">
        <v>201</v>
      </c>
      <c r="H204" t="s">
        <v>4790</v>
      </c>
      <c r="I204"/>
      <c r="J204" t="s">
        <v>4871</v>
      </c>
      <c r="K204" s="33">
        <v>27</v>
      </c>
      <c r="L204" t="s">
        <v>1528</v>
      </c>
      <c r="M204" t="s">
        <v>2067</v>
      </c>
      <c r="N204" s="445"/>
      <c r="O204" s="984">
        <v>201</v>
      </c>
      <c r="P204" t="s">
        <v>4790</v>
      </c>
    </row>
    <row r="205" spans="1:16">
      <c r="B205" t="s">
        <v>4871</v>
      </c>
      <c r="C205" s="33">
        <v>28</v>
      </c>
      <c r="D205" t="s">
        <v>1529</v>
      </c>
      <c r="E205" t="s">
        <v>4067</v>
      </c>
      <c r="F205" s="966">
        <f>+'0 MDS Taxes Other'!F71</f>
        <v>-5.9588556469141762</v>
      </c>
      <c r="G205" s="984">
        <v>117</v>
      </c>
      <c r="H205" t="s">
        <v>4785</v>
      </c>
      <c r="I205"/>
      <c r="J205" t="s">
        <v>4871</v>
      </c>
      <c r="K205" s="33">
        <v>28</v>
      </c>
      <c r="L205" t="s">
        <v>1529</v>
      </c>
      <c r="M205" t="s">
        <v>4067</v>
      </c>
      <c r="N205" s="445"/>
      <c r="O205" s="984">
        <v>117</v>
      </c>
      <c r="P205" t="s">
        <v>4785</v>
      </c>
    </row>
    <row r="206" spans="1:16">
      <c r="B206" t="s">
        <v>4871</v>
      </c>
      <c r="C206" s="33">
        <v>29</v>
      </c>
      <c r="D206" t="s">
        <v>1953</v>
      </c>
      <c r="E206" t="s">
        <v>4067</v>
      </c>
      <c r="F206" s="966">
        <f>+'0 MDS Taxes Other'!F72</f>
        <v>-6.4685036733525862</v>
      </c>
      <c r="G206" s="984">
        <v>117</v>
      </c>
      <c r="H206" t="s">
        <v>4785</v>
      </c>
      <c r="I206"/>
      <c r="J206" t="s">
        <v>4871</v>
      </c>
      <c r="K206" s="33">
        <v>29</v>
      </c>
      <c r="L206" t="s">
        <v>1953</v>
      </c>
      <c r="M206" t="s">
        <v>4067</v>
      </c>
      <c r="N206" s="445"/>
      <c r="O206" s="984">
        <v>117</v>
      </c>
      <c r="P206" t="s">
        <v>4785</v>
      </c>
    </row>
    <row r="207" spans="1:16">
      <c r="B207" t="s">
        <v>4871</v>
      </c>
      <c r="C207" s="33">
        <v>30</v>
      </c>
      <c r="D207" t="s">
        <v>2040</v>
      </c>
      <c r="E207" t="s">
        <v>4067</v>
      </c>
      <c r="F207" s="966">
        <f>+'0 MDS Taxes Other'!F73</f>
        <v>-21.077596575740262</v>
      </c>
      <c r="G207" s="984">
        <v>105</v>
      </c>
      <c r="H207" t="s">
        <v>4786</v>
      </c>
      <c r="I207"/>
      <c r="J207" t="s">
        <v>4871</v>
      </c>
      <c r="K207" s="33">
        <v>30</v>
      </c>
      <c r="L207" t="s">
        <v>2040</v>
      </c>
      <c r="M207" t="s">
        <v>4067</v>
      </c>
      <c r="N207" s="445"/>
      <c r="O207" s="984">
        <v>105</v>
      </c>
      <c r="P207" t="s">
        <v>4786</v>
      </c>
    </row>
    <row r="208" spans="1:16">
      <c r="B208" t="s">
        <v>4871</v>
      </c>
      <c r="C208" s="33">
        <v>31</v>
      </c>
      <c r="D208" t="s">
        <v>4787</v>
      </c>
      <c r="E208" t="s">
        <v>4067</v>
      </c>
      <c r="F208" s="966">
        <f>+'0 MDS Taxes Other'!F74</f>
        <v>-9.2657640199731031</v>
      </c>
      <c r="G208" s="984">
        <v>106</v>
      </c>
      <c r="H208" t="s">
        <v>4788</v>
      </c>
      <c r="I208"/>
      <c r="J208" t="s">
        <v>4871</v>
      </c>
      <c r="K208" s="33">
        <v>31</v>
      </c>
      <c r="L208" t="s">
        <v>4787</v>
      </c>
      <c r="M208" t="s">
        <v>4067</v>
      </c>
      <c r="N208" s="445"/>
      <c r="O208" s="984">
        <v>106</v>
      </c>
      <c r="P208" t="s">
        <v>4788</v>
      </c>
    </row>
    <row r="209" spans="1:16">
      <c r="B209" t="s">
        <v>4871</v>
      </c>
      <c r="C209" s="33">
        <v>32</v>
      </c>
      <c r="D209" t="s">
        <v>1530</v>
      </c>
      <c r="E209" t="s">
        <v>4071</v>
      </c>
      <c r="F209" s="966">
        <f>+'0 MDS Taxes Other'!F75</f>
        <v>-9.0379992832693219</v>
      </c>
      <c r="G209" s="984">
        <v>907</v>
      </c>
      <c r="H209" t="s">
        <v>4794</v>
      </c>
      <c r="I209"/>
      <c r="J209" t="s">
        <v>4871</v>
      </c>
      <c r="K209" s="33">
        <v>32</v>
      </c>
      <c r="L209" t="s">
        <v>1530</v>
      </c>
      <c r="M209" t="s">
        <v>4071</v>
      </c>
      <c r="N209" s="445"/>
      <c r="O209" s="984">
        <v>907</v>
      </c>
      <c r="P209" t="s">
        <v>4794</v>
      </c>
    </row>
    <row r="210" spans="1:16">
      <c r="B210" s="297" t="s">
        <v>4871</v>
      </c>
      <c r="C210" s="529">
        <v>33</v>
      </c>
      <c r="D210" s="297" t="s">
        <v>2338</v>
      </c>
      <c r="E210" s="297" t="s">
        <v>4071</v>
      </c>
      <c r="F210" s="970">
        <f>+'0 MDS Taxes Other'!F76</f>
        <v>-2.7612136328512036</v>
      </c>
      <c r="G210" s="980">
        <v>412</v>
      </c>
      <c r="H210" s="297" t="s">
        <v>4795</v>
      </c>
      <c r="I210" s="297"/>
      <c r="J210" s="297" t="s">
        <v>4871</v>
      </c>
      <c r="K210" s="529">
        <v>33</v>
      </c>
      <c r="L210" s="297" t="s">
        <v>2338</v>
      </c>
      <c r="M210" s="297" t="s">
        <v>4071</v>
      </c>
      <c r="N210" s="970"/>
      <c r="O210" s="980">
        <v>412</v>
      </c>
      <c r="P210" s="297" t="s">
        <v>4795</v>
      </c>
    </row>
    <row r="211" spans="1:16">
      <c r="A211" t="s">
        <v>4874</v>
      </c>
      <c r="B211" t="s">
        <v>4871</v>
      </c>
      <c r="C211" s="33">
        <v>47</v>
      </c>
      <c r="D211" t="s">
        <v>1528</v>
      </c>
      <c r="E211" t="s">
        <v>4067</v>
      </c>
      <c r="F211" s="966">
        <f>+'0 MDS Taxes Other'!F55</f>
        <v>629.49179060332824</v>
      </c>
      <c r="G211" s="984">
        <v>507</v>
      </c>
      <c r="H211" t="s">
        <v>4842</v>
      </c>
      <c r="I211"/>
      <c r="J211" t="s">
        <v>4871</v>
      </c>
      <c r="K211" s="33">
        <v>47</v>
      </c>
      <c r="L211" t="s">
        <v>1528</v>
      </c>
      <c r="M211" t="s">
        <v>4067</v>
      </c>
      <c r="N211" s="445"/>
      <c r="O211" s="984">
        <v>122</v>
      </c>
      <c r="P211" t="s">
        <v>4784</v>
      </c>
    </row>
    <row r="212" spans="1:16">
      <c r="B212" t="s">
        <v>4871</v>
      </c>
      <c r="C212" s="33">
        <v>48</v>
      </c>
      <c r="D212" t="s">
        <v>1528</v>
      </c>
      <c r="E212" t="s">
        <v>2067</v>
      </c>
      <c r="F212" s="966">
        <f>+'0 MDS Taxes Other'!F56</f>
        <v>47.341460586045002</v>
      </c>
      <c r="G212" s="984">
        <v>507</v>
      </c>
      <c r="H212" t="s">
        <v>4842</v>
      </c>
      <c r="I212"/>
      <c r="J212" t="s">
        <v>4871</v>
      </c>
      <c r="K212" s="33">
        <v>48</v>
      </c>
      <c r="L212" t="s">
        <v>1528</v>
      </c>
      <c r="M212" t="s">
        <v>2067</v>
      </c>
      <c r="N212" s="445"/>
      <c r="O212" s="984">
        <v>204</v>
      </c>
      <c r="P212" t="s">
        <v>4800</v>
      </c>
    </row>
    <row r="213" spans="1:16">
      <c r="B213" t="s">
        <v>4871</v>
      </c>
      <c r="C213" s="33">
        <v>49</v>
      </c>
      <c r="D213" t="s">
        <v>1529</v>
      </c>
      <c r="E213" t="s">
        <v>4067</v>
      </c>
      <c r="F213" s="966">
        <f>+'0 MDS Taxes Other'!F57</f>
        <v>49.656656751753495</v>
      </c>
      <c r="G213" s="984">
        <v>507</v>
      </c>
      <c r="H213" t="s">
        <v>4842</v>
      </c>
      <c r="I213"/>
      <c r="J213" t="s">
        <v>4871</v>
      </c>
      <c r="K213" s="33">
        <v>49</v>
      </c>
      <c r="L213" t="s">
        <v>1529</v>
      </c>
      <c r="M213" t="s">
        <v>4067</v>
      </c>
      <c r="N213" s="445"/>
      <c r="O213" s="984">
        <v>117</v>
      </c>
      <c r="P213" t="s">
        <v>4785</v>
      </c>
    </row>
    <row r="214" spans="1:16">
      <c r="B214" t="s">
        <v>4871</v>
      </c>
      <c r="C214" s="33">
        <v>50</v>
      </c>
      <c r="D214" t="s">
        <v>1953</v>
      </c>
      <c r="E214" t="s">
        <v>4067</v>
      </c>
      <c r="F214" s="966">
        <f>+'0 MDS Taxes Other'!F58</f>
        <v>53.903683129404769</v>
      </c>
      <c r="G214" s="984">
        <v>507</v>
      </c>
      <c r="H214" t="s">
        <v>4842</v>
      </c>
      <c r="I214"/>
      <c r="J214" t="s">
        <v>4871</v>
      </c>
      <c r="K214" s="33">
        <v>50</v>
      </c>
      <c r="L214" t="s">
        <v>1953</v>
      </c>
      <c r="M214" t="s">
        <v>4067</v>
      </c>
      <c r="N214" s="445"/>
      <c r="O214" s="984">
        <v>117</v>
      </c>
      <c r="P214" t="s">
        <v>4785</v>
      </c>
    </row>
    <row r="215" spans="1:16">
      <c r="B215" t="s">
        <v>4871</v>
      </c>
      <c r="C215" s="33">
        <v>51</v>
      </c>
      <c r="D215" t="s">
        <v>2040</v>
      </c>
      <c r="E215" t="s">
        <v>4067</v>
      </c>
      <c r="F215" s="966">
        <f>+'0 MDS Taxes Other'!F59</f>
        <v>175.64496277997245</v>
      </c>
      <c r="G215" s="984">
        <v>507</v>
      </c>
      <c r="H215" t="s">
        <v>4842</v>
      </c>
      <c r="I215"/>
      <c r="J215" t="s">
        <v>4871</v>
      </c>
      <c r="K215" s="33">
        <v>51</v>
      </c>
      <c r="L215" t="s">
        <v>2040</v>
      </c>
      <c r="M215" t="s">
        <v>4067</v>
      </c>
      <c r="N215" s="445"/>
      <c r="O215" s="984">
        <v>105</v>
      </c>
      <c r="P215" t="s">
        <v>4786</v>
      </c>
    </row>
    <row r="216" spans="1:16">
      <c r="B216" t="s">
        <v>4871</v>
      </c>
      <c r="C216" s="33">
        <v>52</v>
      </c>
      <c r="D216" t="s">
        <v>4787</v>
      </c>
      <c r="E216" t="s">
        <v>4067</v>
      </c>
      <c r="F216" s="966">
        <f>+'0 MDS Taxes Other'!F60</f>
        <v>77.213963677878439</v>
      </c>
      <c r="G216" s="984">
        <v>507</v>
      </c>
      <c r="H216" t="s">
        <v>4842</v>
      </c>
      <c r="I216"/>
      <c r="J216" t="s">
        <v>4871</v>
      </c>
      <c r="K216" s="33">
        <v>52</v>
      </c>
      <c r="L216" t="s">
        <v>4787</v>
      </c>
      <c r="M216" t="s">
        <v>4067</v>
      </c>
      <c r="N216" s="445"/>
      <c r="O216" s="984">
        <v>106</v>
      </c>
      <c r="P216" t="s">
        <v>4788</v>
      </c>
    </row>
    <row r="217" spans="1:16">
      <c r="B217" t="s">
        <v>4871</v>
      </c>
      <c r="C217" s="33">
        <v>53</v>
      </c>
      <c r="D217" t="s">
        <v>1530</v>
      </c>
      <c r="E217" t="s">
        <v>4071</v>
      </c>
      <c r="F217" s="966">
        <f>+'0 MDS Taxes Other'!F61</f>
        <v>75.315942309210087</v>
      </c>
      <c r="G217" s="984">
        <v>507</v>
      </c>
      <c r="H217" t="s">
        <v>4842</v>
      </c>
      <c r="I217"/>
      <c r="J217" t="s">
        <v>4871</v>
      </c>
      <c r="K217" s="33">
        <v>53</v>
      </c>
      <c r="L217" t="s">
        <v>1530</v>
      </c>
      <c r="M217" t="s">
        <v>4071</v>
      </c>
      <c r="N217" s="445"/>
      <c r="O217" s="984">
        <v>907</v>
      </c>
      <c r="P217" t="s">
        <v>4794</v>
      </c>
    </row>
    <row r="218" spans="1:16">
      <c r="B218" s="297" t="s">
        <v>4871</v>
      </c>
      <c r="C218" s="529">
        <v>54</v>
      </c>
      <c r="D218" s="297" t="s">
        <v>2338</v>
      </c>
      <c r="E218" s="297" t="s">
        <v>4071</v>
      </c>
      <c r="F218" s="970">
        <f>+'0 MDS Taxes Other'!F62</f>
        <v>23.009894132233089</v>
      </c>
      <c r="G218" s="980">
        <v>507</v>
      </c>
      <c r="H218" s="297" t="s">
        <v>4842</v>
      </c>
      <c r="I218" s="297"/>
      <c r="J218" s="297" t="s">
        <v>4871</v>
      </c>
      <c r="K218" s="529">
        <v>54</v>
      </c>
      <c r="L218" s="297" t="s">
        <v>2338</v>
      </c>
      <c r="M218" s="297" t="s">
        <v>4071</v>
      </c>
      <c r="N218" s="970"/>
      <c r="O218" s="980">
        <v>412</v>
      </c>
      <c r="P218" s="297" t="s">
        <v>4795</v>
      </c>
    </row>
    <row r="219" spans="1:16">
      <c r="I219"/>
    </row>
    <row r="220" spans="1:16">
      <c r="I220"/>
    </row>
    <row r="221" spans="1:16">
      <c r="I221"/>
    </row>
    <row r="222" spans="1:16">
      <c r="I222"/>
    </row>
    <row r="223" spans="1:16">
      <c r="F223" s="973" t="s">
        <v>2173</v>
      </c>
      <c r="H223" s="288" t="s">
        <v>4875</v>
      </c>
      <c r="I223"/>
      <c r="N223" s="973" t="s">
        <v>2173</v>
      </c>
      <c r="P223" s="288" t="s">
        <v>4875</v>
      </c>
    </row>
    <row r="224" spans="1:16">
      <c r="F224" s="645" t="s">
        <v>4768</v>
      </c>
      <c r="I224"/>
      <c r="N224" s="645" t="s">
        <v>4769</v>
      </c>
    </row>
    <row r="225" spans="1:16">
      <c r="F225" s="645" t="s">
        <v>9480</v>
      </c>
      <c r="I225"/>
      <c r="N225" s="645" t="s">
        <v>9480</v>
      </c>
    </row>
    <row r="226" spans="1:16">
      <c r="F226" s="645" t="s">
        <v>4770</v>
      </c>
      <c r="I226"/>
      <c r="N226" s="645" t="s">
        <v>4770</v>
      </c>
    </row>
    <row r="227" spans="1:16">
      <c r="F227" s="974" t="s">
        <v>4771</v>
      </c>
      <c r="N227" s="974" t="s">
        <v>4771</v>
      </c>
    </row>
    <row r="228" spans="1:16">
      <c r="I228"/>
    </row>
    <row r="229" spans="1:16">
      <c r="F229" s="645" t="s">
        <v>4772</v>
      </c>
      <c r="I229"/>
      <c r="N229" s="645" t="s">
        <v>4772</v>
      </c>
    </row>
    <row r="230" spans="1:16">
      <c r="F230" s="975"/>
      <c r="I230"/>
      <c r="N230" s="975"/>
    </row>
    <row r="231" spans="1:16">
      <c r="I231"/>
      <c r="N231" s="975"/>
    </row>
    <row r="232" spans="1:16">
      <c r="C232" s="33" t="s">
        <v>2430</v>
      </c>
      <c r="D232" t="s">
        <v>2430</v>
      </c>
      <c r="I232"/>
      <c r="K232" s="33" t="s">
        <v>2182</v>
      </c>
      <c r="L232" s="33" t="s">
        <v>2182</v>
      </c>
    </row>
    <row r="233" spans="1:16">
      <c r="B233" s="297" t="s">
        <v>4868</v>
      </c>
      <c r="C233" s="529" t="s">
        <v>4869</v>
      </c>
      <c r="D233" s="297" t="s">
        <v>2437</v>
      </c>
      <c r="E233" s="297"/>
      <c r="F233" s="506" t="s">
        <v>2963</v>
      </c>
      <c r="G233" s="989"/>
      <c r="H233" s="297"/>
      <c r="I233" s="297"/>
      <c r="J233" s="297" t="s">
        <v>4683</v>
      </c>
      <c r="K233" s="529" t="s">
        <v>3216</v>
      </c>
      <c r="L233" s="529" t="s">
        <v>2052</v>
      </c>
      <c r="M233" s="297"/>
      <c r="N233" s="977" t="s">
        <v>2185</v>
      </c>
      <c r="O233" s="989"/>
      <c r="P233" s="297" t="s">
        <v>4774</v>
      </c>
    </row>
    <row r="234" spans="1:16">
      <c r="I234"/>
      <c r="J234" s="258"/>
      <c r="L234" s="33"/>
      <c r="N234" s="513"/>
    </row>
    <row r="235" spans="1:16">
      <c r="A235" t="s">
        <v>4876</v>
      </c>
      <c r="B235" t="s">
        <v>4877</v>
      </c>
      <c r="C235" s="33">
        <v>62</v>
      </c>
      <c r="D235" t="s">
        <v>1528</v>
      </c>
      <c r="E235" t="s">
        <v>4067</v>
      </c>
      <c r="F235" s="966">
        <f>+'0 MDS Income Taxes'!F61</f>
        <v>0</v>
      </c>
      <c r="G235" s="984">
        <v>101</v>
      </c>
      <c r="H235" t="s">
        <v>4783</v>
      </c>
      <c r="I235"/>
      <c r="J235" t="s">
        <v>4877</v>
      </c>
      <c r="K235" s="33">
        <v>62</v>
      </c>
      <c r="L235" t="s">
        <v>1528</v>
      </c>
      <c r="M235" t="s">
        <v>4067</v>
      </c>
      <c r="N235" s="445"/>
      <c r="O235" s="984">
        <v>122</v>
      </c>
      <c r="P235" t="s">
        <v>4784</v>
      </c>
    </row>
    <row r="236" spans="1:16">
      <c r="B236" t="s">
        <v>4877</v>
      </c>
      <c r="C236" s="33">
        <v>63</v>
      </c>
      <c r="D236" t="s">
        <v>1528</v>
      </c>
      <c r="E236" t="s">
        <v>2067</v>
      </c>
      <c r="F236" s="966">
        <f>+'0 MDS Income Taxes'!F62</f>
        <v>0</v>
      </c>
      <c r="G236" s="984">
        <v>101</v>
      </c>
      <c r="H236" t="s">
        <v>4783</v>
      </c>
      <c r="I236"/>
      <c r="J236" t="s">
        <v>4877</v>
      </c>
      <c r="K236" s="33">
        <v>63</v>
      </c>
      <c r="L236" t="s">
        <v>1528</v>
      </c>
      <c r="M236" t="s">
        <v>2067</v>
      </c>
      <c r="N236" s="445"/>
      <c r="O236" s="984">
        <v>201</v>
      </c>
      <c r="P236" t="s">
        <v>4790</v>
      </c>
    </row>
    <row r="237" spans="1:16">
      <c r="B237" t="s">
        <v>4877</v>
      </c>
      <c r="C237" s="33">
        <v>64</v>
      </c>
      <c r="D237" t="s">
        <v>1529</v>
      </c>
      <c r="E237" t="s">
        <v>4067</v>
      </c>
      <c r="F237" s="966">
        <f>+'0 MDS Income Taxes'!F63</f>
        <v>0</v>
      </c>
      <c r="G237" s="984">
        <v>117</v>
      </c>
      <c r="H237" t="s">
        <v>4785</v>
      </c>
      <c r="I237"/>
      <c r="J237" t="s">
        <v>4877</v>
      </c>
      <c r="K237" s="33">
        <v>64</v>
      </c>
      <c r="L237" t="s">
        <v>1529</v>
      </c>
      <c r="M237" t="s">
        <v>4067</v>
      </c>
      <c r="N237" s="445"/>
      <c r="O237" s="984">
        <v>117</v>
      </c>
      <c r="P237" t="s">
        <v>4785</v>
      </c>
    </row>
    <row r="238" spans="1:16">
      <c r="B238" t="s">
        <v>4877</v>
      </c>
      <c r="C238" s="33">
        <v>65</v>
      </c>
      <c r="D238" t="s">
        <v>1953</v>
      </c>
      <c r="E238" t="s">
        <v>4067</v>
      </c>
      <c r="F238" s="966">
        <f>+'0 MDS Income Taxes'!F64</f>
        <v>0</v>
      </c>
      <c r="G238" s="984">
        <v>117</v>
      </c>
      <c r="H238" t="s">
        <v>4785</v>
      </c>
      <c r="I238"/>
      <c r="J238" t="s">
        <v>4877</v>
      </c>
      <c r="K238" s="33">
        <v>65</v>
      </c>
      <c r="L238" t="s">
        <v>1953</v>
      </c>
      <c r="M238" t="s">
        <v>4067</v>
      </c>
      <c r="N238" s="445"/>
      <c r="O238" s="984">
        <v>117</v>
      </c>
      <c r="P238" t="s">
        <v>4785</v>
      </c>
    </row>
    <row r="239" spans="1:16">
      <c r="B239" t="s">
        <v>4877</v>
      </c>
      <c r="C239" s="33">
        <v>66</v>
      </c>
      <c r="D239" t="s">
        <v>2040</v>
      </c>
      <c r="E239" t="s">
        <v>4067</v>
      </c>
      <c r="F239" s="966">
        <f>+'0 MDS Income Taxes'!F65</f>
        <v>0</v>
      </c>
      <c r="G239" s="984">
        <v>105</v>
      </c>
      <c r="H239" t="s">
        <v>4786</v>
      </c>
      <c r="I239"/>
      <c r="J239" t="s">
        <v>4877</v>
      </c>
      <c r="K239" s="33">
        <v>66</v>
      </c>
      <c r="L239" t="s">
        <v>2040</v>
      </c>
      <c r="M239" t="s">
        <v>4067</v>
      </c>
      <c r="N239" s="445"/>
      <c r="O239" s="984">
        <v>105</v>
      </c>
      <c r="P239" t="s">
        <v>4786</v>
      </c>
    </row>
    <row r="240" spans="1:16">
      <c r="B240" t="s">
        <v>4877</v>
      </c>
      <c r="C240" s="33">
        <v>67</v>
      </c>
      <c r="D240" t="s">
        <v>4787</v>
      </c>
      <c r="E240" t="s">
        <v>4067</v>
      </c>
      <c r="F240" s="966">
        <f>+'0 MDS Income Taxes'!F66</f>
        <v>0</v>
      </c>
      <c r="G240" s="984">
        <v>106</v>
      </c>
      <c r="H240" t="s">
        <v>4788</v>
      </c>
      <c r="I240"/>
      <c r="J240" t="s">
        <v>4877</v>
      </c>
      <c r="K240" s="33">
        <v>67</v>
      </c>
      <c r="L240" t="s">
        <v>4787</v>
      </c>
      <c r="M240" t="s">
        <v>4067</v>
      </c>
      <c r="N240" s="445"/>
      <c r="O240" s="984">
        <v>106</v>
      </c>
      <c r="P240" t="s">
        <v>4788</v>
      </c>
    </row>
    <row r="241" spans="1:16">
      <c r="B241" t="s">
        <v>4877</v>
      </c>
      <c r="C241" s="33">
        <v>68</v>
      </c>
      <c r="D241" t="s">
        <v>1530</v>
      </c>
      <c r="E241" t="s">
        <v>4071</v>
      </c>
      <c r="F241" s="966">
        <f>+'0 MDS Income Taxes'!F67</f>
        <v>0</v>
      </c>
      <c r="G241" s="984">
        <v>907</v>
      </c>
      <c r="H241" t="s">
        <v>4794</v>
      </c>
      <c r="I241"/>
      <c r="J241" t="s">
        <v>4877</v>
      </c>
      <c r="K241" s="33">
        <v>68</v>
      </c>
      <c r="L241" t="s">
        <v>1530</v>
      </c>
      <c r="M241" t="s">
        <v>4071</v>
      </c>
      <c r="N241" s="445"/>
      <c r="O241" s="984">
        <v>907</v>
      </c>
      <c r="P241" t="s">
        <v>4794</v>
      </c>
    </row>
    <row r="242" spans="1:16">
      <c r="B242" s="297" t="s">
        <v>4877</v>
      </c>
      <c r="C242" s="529">
        <v>69</v>
      </c>
      <c r="D242" s="297" t="s">
        <v>2338</v>
      </c>
      <c r="E242" s="297" t="s">
        <v>4071</v>
      </c>
      <c r="F242" s="970">
        <f>+'0 MDS Income Taxes'!F68</f>
        <v>0</v>
      </c>
      <c r="G242" s="980">
        <v>412</v>
      </c>
      <c r="H242" s="297" t="s">
        <v>4795</v>
      </c>
      <c r="I242" s="297"/>
      <c r="J242" s="297" t="s">
        <v>4877</v>
      </c>
      <c r="K242" s="529">
        <v>69</v>
      </c>
      <c r="L242" s="297" t="s">
        <v>2338</v>
      </c>
      <c r="M242" s="297" t="s">
        <v>4071</v>
      </c>
      <c r="N242" s="970"/>
      <c r="O242" s="980">
        <v>412</v>
      </c>
      <c r="P242" s="297" t="s">
        <v>4795</v>
      </c>
    </row>
    <row r="243" spans="1:16">
      <c r="A243" t="s">
        <v>4878</v>
      </c>
      <c r="B243" t="s">
        <v>4877</v>
      </c>
      <c r="C243" s="33">
        <v>84</v>
      </c>
      <c r="D243" t="s">
        <v>1528</v>
      </c>
      <c r="E243" t="s">
        <v>4067</v>
      </c>
      <c r="F243" s="966">
        <f>+'0 MDS Income Taxes'!F76</f>
        <v>101438.76376111731</v>
      </c>
      <c r="G243" s="984">
        <v>101</v>
      </c>
      <c r="H243" t="s">
        <v>4783</v>
      </c>
      <c r="I243"/>
      <c r="J243" t="s">
        <v>4877</v>
      </c>
      <c r="K243" s="33">
        <v>84</v>
      </c>
      <c r="L243" t="s">
        <v>1528</v>
      </c>
      <c r="M243" t="s">
        <v>4067</v>
      </c>
      <c r="N243" s="445"/>
      <c r="O243" s="984">
        <v>122</v>
      </c>
      <c r="P243" t="s">
        <v>4784</v>
      </c>
    </row>
    <row r="244" spans="1:16">
      <c r="B244" t="s">
        <v>4877</v>
      </c>
      <c r="C244" s="33">
        <v>85</v>
      </c>
      <c r="D244" t="s">
        <v>1528</v>
      </c>
      <c r="E244" t="s">
        <v>2067</v>
      </c>
      <c r="F244" s="966">
        <f>+'0 MDS Income Taxes'!F77</f>
        <v>7628.7877112605429</v>
      </c>
      <c r="G244" s="984">
        <v>101</v>
      </c>
      <c r="H244" t="s">
        <v>4783</v>
      </c>
      <c r="I244"/>
      <c r="J244" t="s">
        <v>4877</v>
      </c>
      <c r="K244" s="33">
        <v>85</v>
      </c>
      <c r="L244" t="s">
        <v>1528</v>
      </c>
      <c r="M244" t="s">
        <v>2067</v>
      </c>
      <c r="N244" s="445"/>
      <c r="O244" s="984">
        <v>201</v>
      </c>
      <c r="P244" t="s">
        <v>4790</v>
      </c>
    </row>
    <row r="245" spans="1:16">
      <c r="B245" t="s">
        <v>4877</v>
      </c>
      <c r="C245" s="33">
        <v>86</v>
      </c>
      <c r="D245" t="s">
        <v>1529</v>
      </c>
      <c r="E245" t="s">
        <v>4067</v>
      </c>
      <c r="F245" s="966">
        <f>+'0 MDS Income Taxes'!F78</f>
        <v>8001.8674565720094</v>
      </c>
      <c r="G245" s="984">
        <v>117</v>
      </c>
      <c r="H245" t="s">
        <v>4785</v>
      </c>
      <c r="I245"/>
      <c r="J245" t="s">
        <v>4877</v>
      </c>
      <c r="K245" s="33">
        <v>86</v>
      </c>
      <c r="L245" t="s">
        <v>1529</v>
      </c>
      <c r="M245" t="s">
        <v>4067</v>
      </c>
      <c r="N245" s="445"/>
      <c r="O245" s="984">
        <v>117</v>
      </c>
      <c r="P245" t="s">
        <v>4785</v>
      </c>
    </row>
    <row r="246" spans="1:16">
      <c r="B246" t="s">
        <v>4877</v>
      </c>
      <c r="C246" s="33">
        <v>87</v>
      </c>
      <c r="D246" t="s">
        <v>1953</v>
      </c>
      <c r="E246" t="s">
        <v>4067</v>
      </c>
      <c r="F246" s="966">
        <f>+'0 MDS Income Taxes'!F79</f>
        <v>8686.2498613002645</v>
      </c>
      <c r="G246" s="984">
        <v>117</v>
      </c>
      <c r="H246" t="s">
        <v>4785</v>
      </c>
      <c r="I246"/>
      <c r="J246" t="s">
        <v>4877</v>
      </c>
      <c r="K246" s="33">
        <v>87</v>
      </c>
      <c r="L246" t="s">
        <v>1953</v>
      </c>
      <c r="M246" t="s">
        <v>4067</v>
      </c>
      <c r="N246" s="445"/>
      <c r="O246" s="984">
        <v>117</v>
      </c>
      <c r="P246" t="s">
        <v>4785</v>
      </c>
    </row>
    <row r="247" spans="1:16">
      <c r="B247" t="s">
        <v>4877</v>
      </c>
      <c r="C247" s="33">
        <v>88</v>
      </c>
      <c r="D247" t="s">
        <v>2040</v>
      </c>
      <c r="E247" t="s">
        <v>4067</v>
      </c>
      <c r="F247" s="966">
        <f>+'0 MDS Income Taxes'!F80</f>
        <v>28304.114765644834</v>
      </c>
      <c r="G247" s="984">
        <v>105</v>
      </c>
      <c r="H247" t="s">
        <v>4786</v>
      </c>
      <c r="I247"/>
      <c r="J247" t="s">
        <v>4877</v>
      </c>
      <c r="K247" s="33">
        <v>88</v>
      </c>
      <c r="L247" t="s">
        <v>2040</v>
      </c>
      <c r="M247" t="s">
        <v>4067</v>
      </c>
      <c r="N247" s="445"/>
      <c r="O247" s="984">
        <v>105</v>
      </c>
      <c r="P247" t="s">
        <v>4786</v>
      </c>
    </row>
    <row r="248" spans="1:16">
      <c r="B248" t="s">
        <v>4877</v>
      </c>
      <c r="C248" s="33">
        <v>89</v>
      </c>
      <c r="D248" t="s">
        <v>4787</v>
      </c>
      <c r="E248" t="s">
        <v>4067</v>
      </c>
      <c r="F248" s="966">
        <f>+'0 MDS Income Taxes'!F81</f>
        <v>12442.559438420725</v>
      </c>
      <c r="G248" s="984">
        <v>106</v>
      </c>
      <c r="H248" t="s">
        <v>4788</v>
      </c>
      <c r="I248"/>
      <c r="J248" t="s">
        <v>4877</v>
      </c>
      <c r="K248" s="33">
        <v>89</v>
      </c>
      <c r="L248" t="s">
        <v>4787</v>
      </c>
      <c r="M248" t="s">
        <v>4067</v>
      </c>
      <c r="N248" s="445"/>
      <c r="O248" s="984">
        <v>106</v>
      </c>
      <c r="P248" t="s">
        <v>4788</v>
      </c>
    </row>
    <row r="249" spans="1:16">
      <c r="B249" t="s">
        <v>4877</v>
      </c>
      <c r="C249" s="33">
        <v>90</v>
      </c>
      <c r="D249" t="s">
        <v>1530</v>
      </c>
      <c r="E249" t="s">
        <v>4071</v>
      </c>
      <c r="F249" s="966">
        <f>+'0 MDS Income Taxes'!F82</f>
        <v>12136.704867949884</v>
      </c>
      <c r="G249" s="984">
        <v>907</v>
      </c>
      <c r="H249" t="s">
        <v>4794</v>
      </c>
      <c r="I249"/>
      <c r="J249" t="s">
        <v>4877</v>
      </c>
      <c r="K249" s="33">
        <v>90</v>
      </c>
      <c r="L249" t="s">
        <v>1530</v>
      </c>
      <c r="M249" t="s">
        <v>4071</v>
      </c>
      <c r="N249" s="445"/>
      <c r="O249" s="984">
        <v>907</v>
      </c>
      <c r="P249" t="s">
        <v>4794</v>
      </c>
    </row>
    <row r="250" spans="1:16">
      <c r="B250" s="297" t="s">
        <v>4877</v>
      </c>
      <c r="C250" s="529">
        <v>91</v>
      </c>
      <c r="D250" s="297" t="s">
        <v>2338</v>
      </c>
      <c r="E250" s="297" t="s">
        <v>4071</v>
      </c>
      <c r="F250" s="970">
        <f>+'0 MDS Income Taxes'!F83</f>
        <v>3707.9041377343915</v>
      </c>
      <c r="G250" s="980">
        <v>412</v>
      </c>
      <c r="H250" s="297" t="s">
        <v>4795</v>
      </c>
      <c r="I250" s="297"/>
      <c r="J250" s="297" t="s">
        <v>4877</v>
      </c>
      <c r="K250" s="529">
        <v>91</v>
      </c>
      <c r="L250" s="297" t="s">
        <v>2338</v>
      </c>
      <c r="M250" s="297" t="s">
        <v>4071</v>
      </c>
      <c r="N250" s="970"/>
      <c r="O250" s="980">
        <v>412</v>
      </c>
      <c r="P250" s="297" t="s">
        <v>4795</v>
      </c>
    </row>
    <row r="251" spans="1:16">
      <c r="A251" t="s">
        <v>4879</v>
      </c>
      <c r="B251" t="s">
        <v>4877</v>
      </c>
      <c r="C251" s="33">
        <v>95</v>
      </c>
      <c r="D251" t="s">
        <v>1528</v>
      </c>
      <c r="E251" t="s">
        <v>4067</v>
      </c>
      <c r="F251" s="966">
        <f>+'0 MDS Income Taxes'!F91</f>
        <v>4071.9547618950883</v>
      </c>
      <c r="G251" s="984">
        <v>101</v>
      </c>
      <c r="H251" t="s">
        <v>4783</v>
      </c>
      <c r="I251"/>
      <c r="J251" t="s">
        <v>4877</v>
      </c>
      <c r="K251" s="33">
        <v>95</v>
      </c>
      <c r="L251" t="s">
        <v>1528</v>
      </c>
      <c r="M251" t="s">
        <v>4067</v>
      </c>
      <c r="N251" s="445"/>
      <c r="O251" s="984">
        <v>122</v>
      </c>
      <c r="P251" t="s">
        <v>4784</v>
      </c>
    </row>
    <row r="252" spans="1:16">
      <c r="B252" t="s">
        <v>4877</v>
      </c>
      <c r="C252" s="33">
        <v>96</v>
      </c>
      <c r="D252" t="s">
        <v>1528</v>
      </c>
      <c r="E252" t="s">
        <v>2067</v>
      </c>
      <c r="F252" s="966">
        <f>+'0 MDS Income Taxes'!F92</f>
        <v>306.23478931100033</v>
      </c>
      <c r="G252" s="984">
        <v>101</v>
      </c>
      <c r="H252" t="s">
        <v>4783</v>
      </c>
      <c r="I252"/>
      <c r="J252" t="s">
        <v>4877</v>
      </c>
      <c r="K252" s="33">
        <v>96</v>
      </c>
      <c r="L252" t="s">
        <v>1528</v>
      </c>
      <c r="M252" t="s">
        <v>2067</v>
      </c>
      <c r="N252" s="445"/>
      <c r="O252" s="984">
        <v>201</v>
      </c>
      <c r="P252" t="s">
        <v>4790</v>
      </c>
    </row>
    <row r="253" spans="1:16">
      <c r="B253" t="s">
        <v>4877</v>
      </c>
      <c r="C253" s="33">
        <v>97</v>
      </c>
      <c r="D253" t="s">
        <v>1529</v>
      </c>
      <c r="E253" t="s">
        <v>4067</v>
      </c>
      <c r="F253" s="966">
        <f>+'0 MDS Income Taxes'!F93</f>
        <v>321.21095610523673</v>
      </c>
      <c r="G253" s="984">
        <v>117</v>
      </c>
      <c r="H253" t="s">
        <v>4785</v>
      </c>
      <c r="I253"/>
      <c r="J253" t="s">
        <v>4877</v>
      </c>
      <c r="K253" s="33">
        <v>97</v>
      </c>
      <c r="L253" t="s">
        <v>1529</v>
      </c>
      <c r="M253" t="s">
        <v>4067</v>
      </c>
      <c r="N253" s="445"/>
      <c r="O253" s="984">
        <v>117</v>
      </c>
      <c r="P253" t="s">
        <v>4785</v>
      </c>
    </row>
    <row r="254" spans="1:16">
      <c r="B254" t="s">
        <v>4877</v>
      </c>
      <c r="C254" s="33">
        <v>98</v>
      </c>
      <c r="D254" t="s">
        <v>1953</v>
      </c>
      <c r="E254" t="s">
        <v>4067</v>
      </c>
      <c r="F254" s="966">
        <f>+'0 MDS Income Taxes'!F94</f>
        <v>348.68343396836536</v>
      </c>
      <c r="G254" s="984">
        <v>117</v>
      </c>
      <c r="H254" t="s">
        <v>4785</v>
      </c>
      <c r="I254"/>
      <c r="J254" t="s">
        <v>4877</v>
      </c>
      <c r="K254" s="33">
        <v>98</v>
      </c>
      <c r="L254" t="s">
        <v>1953</v>
      </c>
      <c r="M254" t="s">
        <v>4067</v>
      </c>
      <c r="N254" s="445"/>
      <c r="O254" s="984">
        <v>117</v>
      </c>
      <c r="P254" t="s">
        <v>4785</v>
      </c>
    </row>
    <row r="255" spans="1:16">
      <c r="B255" t="s">
        <v>4877</v>
      </c>
      <c r="C255" s="33">
        <v>99</v>
      </c>
      <c r="D255" t="s">
        <v>2040</v>
      </c>
      <c r="E255" t="s">
        <v>4067</v>
      </c>
      <c r="F255" s="966">
        <f>+'0 MDS Income Taxes'!F95</f>
        <v>1136.1837489720122</v>
      </c>
      <c r="G255" s="984">
        <v>105</v>
      </c>
      <c r="H255" t="s">
        <v>4786</v>
      </c>
      <c r="I255"/>
      <c r="J255" t="s">
        <v>4877</v>
      </c>
      <c r="K255" s="33">
        <v>99</v>
      </c>
      <c r="L255" t="s">
        <v>2040</v>
      </c>
      <c r="M255" t="s">
        <v>4067</v>
      </c>
      <c r="N255" s="445"/>
      <c r="O255" s="984">
        <v>105</v>
      </c>
      <c r="P255" t="s">
        <v>4786</v>
      </c>
    </row>
    <row r="256" spans="1:16">
      <c r="B256" t="s">
        <v>4877</v>
      </c>
      <c r="C256" s="33">
        <v>100</v>
      </c>
      <c r="D256" t="s">
        <v>4787</v>
      </c>
      <c r="E256" t="s">
        <v>4067</v>
      </c>
      <c r="F256" s="966">
        <f>+'0 MDS Income Taxes'!F96</f>
        <v>499.46920956917899</v>
      </c>
      <c r="G256" s="984">
        <v>106</v>
      </c>
      <c r="H256" t="s">
        <v>4788</v>
      </c>
      <c r="I256"/>
      <c r="J256" t="s">
        <v>4877</v>
      </c>
      <c r="K256" s="33">
        <v>100</v>
      </c>
      <c r="L256" t="s">
        <v>4787</v>
      </c>
      <c r="M256" t="s">
        <v>4067</v>
      </c>
      <c r="N256" s="445"/>
      <c r="O256" s="984">
        <v>106</v>
      </c>
      <c r="P256" t="s">
        <v>4788</v>
      </c>
    </row>
    <row r="257" spans="1:16">
      <c r="B257" t="s">
        <v>4877</v>
      </c>
      <c r="C257" s="33">
        <v>101</v>
      </c>
      <c r="D257" t="s">
        <v>1530</v>
      </c>
      <c r="E257" t="s">
        <v>4071</v>
      </c>
      <c r="F257" s="966">
        <f>+'0 MDS Income Taxes'!F97</f>
        <v>487.19159568175985</v>
      </c>
      <c r="G257" s="984">
        <v>907</v>
      </c>
      <c r="H257" t="s">
        <v>4794</v>
      </c>
      <c r="I257"/>
      <c r="J257" t="s">
        <v>4877</v>
      </c>
      <c r="K257" s="33">
        <v>101</v>
      </c>
      <c r="L257" t="s">
        <v>1530</v>
      </c>
      <c r="M257" t="s">
        <v>4071</v>
      </c>
      <c r="N257" s="445"/>
      <c r="O257" s="984">
        <v>907</v>
      </c>
      <c r="P257" t="s">
        <v>4794</v>
      </c>
    </row>
    <row r="258" spans="1:16">
      <c r="B258" s="297" t="s">
        <v>4877</v>
      </c>
      <c r="C258" s="529">
        <v>102</v>
      </c>
      <c r="D258" s="297" t="s">
        <v>2338</v>
      </c>
      <c r="E258" s="297" t="s">
        <v>4071</v>
      </c>
      <c r="F258" s="970">
        <f>+'0 MDS Income Taxes'!F98</f>
        <v>148.84268449735839</v>
      </c>
      <c r="G258" s="980">
        <v>412</v>
      </c>
      <c r="H258" s="297" t="s">
        <v>4795</v>
      </c>
      <c r="I258" s="297"/>
      <c r="J258" s="297" t="s">
        <v>4877</v>
      </c>
      <c r="K258" s="529">
        <v>102</v>
      </c>
      <c r="L258" s="297" t="s">
        <v>2338</v>
      </c>
      <c r="M258" s="297" t="s">
        <v>4071</v>
      </c>
      <c r="N258" s="970"/>
      <c r="O258" s="980">
        <v>412</v>
      </c>
      <c r="P258" s="297" t="s">
        <v>4795</v>
      </c>
    </row>
    <row r="259" spans="1:16">
      <c r="A259" t="s">
        <v>4880</v>
      </c>
      <c r="B259" t="s">
        <v>4877</v>
      </c>
      <c r="C259" s="33">
        <v>153</v>
      </c>
      <c r="D259" t="s">
        <v>1528</v>
      </c>
      <c r="E259" t="s">
        <v>4067</v>
      </c>
      <c r="F259" s="966">
        <f>+'0 MDS Income Taxes'!F106</f>
        <v>-68897.406480517937</v>
      </c>
      <c r="G259" s="984">
        <v>101</v>
      </c>
      <c r="H259" t="s">
        <v>4783</v>
      </c>
      <c r="I259"/>
      <c r="J259" t="s">
        <v>4877</v>
      </c>
      <c r="K259" s="33">
        <v>153</v>
      </c>
      <c r="L259" t="s">
        <v>1528</v>
      </c>
      <c r="M259" t="s">
        <v>4067</v>
      </c>
      <c r="N259" s="445"/>
      <c r="O259" s="984">
        <v>122</v>
      </c>
      <c r="P259" t="s">
        <v>4784</v>
      </c>
    </row>
    <row r="260" spans="1:16">
      <c r="A260" t="s">
        <v>4881</v>
      </c>
      <c r="B260" t="s">
        <v>4877</v>
      </c>
      <c r="C260" s="33">
        <v>154</v>
      </c>
      <c r="D260" t="s">
        <v>1528</v>
      </c>
      <c r="E260" t="s">
        <v>2067</v>
      </c>
      <c r="F260" s="966">
        <f>+'0 MDS Income Taxes'!F107</f>
        <v>-4761.2269711501331</v>
      </c>
      <c r="G260" s="984">
        <v>101</v>
      </c>
      <c r="H260" t="s">
        <v>4783</v>
      </c>
      <c r="I260"/>
      <c r="J260" t="s">
        <v>4877</v>
      </c>
      <c r="K260" s="33">
        <v>154</v>
      </c>
      <c r="L260" t="s">
        <v>1528</v>
      </c>
      <c r="M260" t="s">
        <v>2067</v>
      </c>
      <c r="N260" s="445"/>
      <c r="O260" s="984">
        <v>201</v>
      </c>
      <c r="P260" t="s">
        <v>4790</v>
      </c>
    </row>
    <row r="261" spans="1:16">
      <c r="B261" t="s">
        <v>4877</v>
      </c>
      <c r="C261" s="33">
        <v>155</v>
      </c>
      <c r="D261" t="s">
        <v>1529</v>
      </c>
      <c r="E261" t="s">
        <v>4067</v>
      </c>
      <c r="F261" s="966">
        <f>+'0 MDS Income Taxes'!F108</f>
        <v>-1553.8940078238429</v>
      </c>
      <c r="G261" s="984">
        <v>117</v>
      </c>
      <c r="H261" t="s">
        <v>4785</v>
      </c>
      <c r="I261"/>
      <c r="J261" t="s">
        <v>4877</v>
      </c>
      <c r="K261" s="33">
        <v>155</v>
      </c>
      <c r="L261" t="s">
        <v>1529</v>
      </c>
      <c r="M261" t="s">
        <v>4067</v>
      </c>
      <c r="N261" s="445"/>
      <c r="O261" s="984">
        <v>117</v>
      </c>
      <c r="P261" t="s">
        <v>4785</v>
      </c>
    </row>
    <row r="262" spans="1:16">
      <c r="B262" t="s">
        <v>4877</v>
      </c>
      <c r="C262" s="33">
        <v>156</v>
      </c>
      <c r="D262" t="s">
        <v>1953</v>
      </c>
      <c r="E262" t="s">
        <v>4067</v>
      </c>
      <c r="F262" s="966">
        <f>+'0 MDS Income Taxes'!F109</f>
        <v>-1161.7653124633177</v>
      </c>
      <c r="G262" s="984">
        <v>117</v>
      </c>
      <c r="H262" t="s">
        <v>4785</v>
      </c>
      <c r="I262"/>
      <c r="J262" t="s">
        <v>4877</v>
      </c>
      <c r="K262" s="33">
        <v>156</v>
      </c>
      <c r="L262" t="s">
        <v>1953</v>
      </c>
      <c r="M262" t="s">
        <v>4067</v>
      </c>
      <c r="N262" s="445"/>
      <c r="O262" s="984">
        <v>117</v>
      </c>
      <c r="P262" t="s">
        <v>4785</v>
      </c>
    </row>
    <row r="263" spans="1:16">
      <c r="B263" t="s">
        <v>4877</v>
      </c>
      <c r="C263" s="33">
        <v>157</v>
      </c>
      <c r="D263" t="s">
        <v>2040</v>
      </c>
      <c r="E263" t="s">
        <v>4067</v>
      </c>
      <c r="F263" s="966">
        <f>+'0 MDS Income Taxes'!F110</f>
        <v>-4054.7767288160089</v>
      </c>
      <c r="G263" s="984">
        <v>105</v>
      </c>
      <c r="H263" t="s">
        <v>4786</v>
      </c>
      <c r="I263"/>
      <c r="J263" t="s">
        <v>4877</v>
      </c>
      <c r="K263" s="33">
        <v>157</v>
      </c>
      <c r="L263" t="s">
        <v>2040</v>
      </c>
      <c r="M263" t="s">
        <v>4067</v>
      </c>
      <c r="N263" s="445"/>
      <c r="O263" s="984">
        <v>105</v>
      </c>
      <c r="P263" t="s">
        <v>4786</v>
      </c>
    </row>
    <row r="264" spans="1:16">
      <c r="B264" t="s">
        <v>4877</v>
      </c>
      <c r="C264" s="33">
        <v>158</v>
      </c>
      <c r="D264" t="s">
        <v>4787</v>
      </c>
      <c r="E264" t="s">
        <v>4067</v>
      </c>
      <c r="F264" s="966">
        <f>+'0 MDS Income Taxes'!F111</f>
        <v>-1277.9307771508202</v>
      </c>
      <c r="G264" s="984">
        <v>106</v>
      </c>
      <c r="H264" t="s">
        <v>4788</v>
      </c>
      <c r="I264"/>
      <c r="J264" t="s">
        <v>4877</v>
      </c>
      <c r="K264" s="33">
        <v>158</v>
      </c>
      <c r="L264" t="s">
        <v>4787</v>
      </c>
      <c r="M264" t="s">
        <v>4067</v>
      </c>
      <c r="N264" s="445"/>
      <c r="O264" s="984">
        <v>106</v>
      </c>
      <c r="P264" t="s">
        <v>4788</v>
      </c>
    </row>
    <row r="265" spans="1:16">
      <c r="B265" t="s">
        <v>4877</v>
      </c>
      <c r="C265" s="33">
        <v>159</v>
      </c>
      <c r="D265" t="s">
        <v>1530</v>
      </c>
      <c r="E265" t="s">
        <v>4071</v>
      </c>
      <c r="F265" s="966">
        <f>+'0 MDS Income Taxes'!F112</f>
        <v>-7206.1482686802538</v>
      </c>
      <c r="G265" s="984">
        <v>907</v>
      </c>
      <c r="H265" t="s">
        <v>4794</v>
      </c>
      <c r="I265"/>
      <c r="J265" t="s">
        <v>4877</v>
      </c>
      <c r="K265" s="33">
        <v>159</v>
      </c>
      <c r="L265" t="s">
        <v>1530</v>
      </c>
      <c r="M265" t="s">
        <v>4071</v>
      </c>
      <c r="N265" s="445"/>
      <c r="O265" s="984">
        <v>907</v>
      </c>
      <c r="P265" t="s">
        <v>4794</v>
      </c>
    </row>
    <row r="266" spans="1:16">
      <c r="B266" s="297" t="s">
        <v>4877</v>
      </c>
      <c r="C266" s="529">
        <v>160</v>
      </c>
      <c r="D266" s="297" t="s">
        <v>2338</v>
      </c>
      <c r="E266" s="297" t="s">
        <v>4071</v>
      </c>
      <c r="F266" s="970">
        <f>+'0 MDS Income Taxes'!F113</f>
        <v>-852.62029339770424</v>
      </c>
      <c r="G266" s="980">
        <v>412</v>
      </c>
      <c r="H266" s="297" t="s">
        <v>4795</v>
      </c>
      <c r="I266" s="297"/>
      <c r="J266" s="297" t="s">
        <v>4877</v>
      </c>
      <c r="K266" s="529">
        <v>160</v>
      </c>
      <c r="L266" s="297" t="s">
        <v>2338</v>
      </c>
      <c r="M266" s="297" t="s">
        <v>4071</v>
      </c>
      <c r="N266" s="970"/>
      <c r="O266" s="980">
        <v>412</v>
      </c>
      <c r="P266" s="297" t="s">
        <v>4795</v>
      </c>
    </row>
    <row r="267" spans="1:16">
      <c r="I267"/>
    </row>
    <row r="268" spans="1:16">
      <c r="I268"/>
      <c r="J268" s="991"/>
      <c r="K268" s="992"/>
    </row>
    <row r="269" spans="1:16">
      <c r="F269" s="973" t="s">
        <v>2173</v>
      </c>
      <c r="H269" s="288" t="s">
        <v>4882</v>
      </c>
      <c r="I269"/>
      <c r="N269" s="973" t="s">
        <v>2173</v>
      </c>
      <c r="P269" s="288" t="s">
        <v>4882</v>
      </c>
    </row>
    <row r="270" spans="1:16">
      <c r="F270" s="645" t="s">
        <v>4768</v>
      </c>
      <c r="I270"/>
      <c r="N270" s="645" t="s">
        <v>4769</v>
      </c>
    </row>
    <row r="271" spans="1:16">
      <c r="F271" s="645" t="s">
        <v>9480</v>
      </c>
      <c r="I271"/>
      <c r="N271" s="645" t="s">
        <v>9480</v>
      </c>
    </row>
    <row r="272" spans="1:16">
      <c r="F272" s="645" t="s">
        <v>4770</v>
      </c>
      <c r="I272"/>
      <c r="N272" s="645" t="s">
        <v>4770</v>
      </c>
    </row>
    <row r="273" spans="1:17">
      <c r="F273" s="974" t="s">
        <v>4771</v>
      </c>
      <c r="N273" s="974" t="s">
        <v>4771</v>
      </c>
    </row>
    <row r="274" spans="1:17">
      <c r="I274"/>
    </row>
    <row r="275" spans="1:17">
      <c r="F275" s="645" t="s">
        <v>4772</v>
      </c>
      <c r="I275"/>
      <c r="N275" s="645" t="s">
        <v>4772</v>
      </c>
    </row>
    <row r="276" spans="1:17">
      <c r="F276" s="975"/>
      <c r="I276"/>
      <c r="N276" s="975"/>
    </row>
    <row r="277" spans="1:17">
      <c r="I277"/>
    </row>
    <row r="278" spans="1:17">
      <c r="F278" s="975" t="s">
        <v>115</v>
      </c>
      <c r="I278"/>
    </row>
    <row r="279" spans="1:17">
      <c r="C279" s="33" t="s">
        <v>2182</v>
      </c>
      <c r="D279" s="33" t="s">
        <v>2182</v>
      </c>
      <c r="F279" s="975" t="s">
        <v>2620</v>
      </c>
      <c r="I279"/>
      <c r="K279" s="33" t="s">
        <v>2182</v>
      </c>
      <c r="L279" s="33" t="s">
        <v>2182</v>
      </c>
    </row>
    <row r="280" spans="1:17">
      <c r="A280" s="993"/>
      <c r="B280" s="297" t="s">
        <v>4683</v>
      </c>
      <c r="C280" s="529" t="s">
        <v>3216</v>
      </c>
      <c r="D280" s="529" t="s">
        <v>2052</v>
      </c>
      <c r="E280" s="297"/>
      <c r="F280" s="977" t="s">
        <v>2185</v>
      </c>
      <c r="G280" s="989"/>
      <c r="H280" s="529" t="s">
        <v>4774</v>
      </c>
      <c r="I280" s="297"/>
      <c r="J280" s="297" t="s">
        <v>4683</v>
      </c>
      <c r="K280" s="529" t="s">
        <v>3216</v>
      </c>
      <c r="L280" s="529" t="s">
        <v>2052</v>
      </c>
      <c r="M280" s="297"/>
      <c r="N280" s="977" t="s">
        <v>2185</v>
      </c>
      <c r="O280" s="989"/>
      <c r="P280" s="529" t="s">
        <v>4774</v>
      </c>
    </row>
    <row r="281" spans="1:17">
      <c r="A281" s="994"/>
      <c r="I281"/>
    </row>
    <row r="282" spans="1:17">
      <c r="A282" s="96" t="s">
        <v>1441</v>
      </c>
      <c r="B282" t="s">
        <v>4883</v>
      </c>
      <c r="C282" s="33">
        <v>2</v>
      </c>
      <c r="D282" t="s">
        <v>4884</v>
      </c>
      <c r="E282" t="s">
        <v>4067</v>
      </c>
      <c r="F282" s="967">
        <f>+SUM(Generation!F23:F26)</f>
        <v>981942.79195999994</v>
      </c>
      <c r="G282" s="984">
        <v>101</v>
      </c>
      <c r="H282" t="s">
        <v>4783</v>
      </c>
      <c r="I282"/>
      <c r="J282" t="s">
        <v>4883</v>
      </c>
      <c r="K282" s="33">
        <v>2</v>
      </c>
      <c r="L282" t="s">
        <v>4884</v>
      </c>
      <c r="M282" t="s">
        <v>4067</v>
      </c>
      <c r="N282" s="966"/>
      <c r="O282" s="984">
        <v>122</v>
      </c>
      <c r="P282" t="s">
        <v>4784</v>
      </c>
    </row>
    <row r="283" spans="1:17">
      <c r="B283" t="s">
        <v>4883</v>
      </c>
      <c r="C283" s="33">
        <v>4</v>
      </c>
      <c r="D283" t="s">
        <v>4885</v>
      </c>
      <c r="E283" t="s">
        <v>2067</v>
      </c>
      <c r="F283" s="966">
        <f>+Generation!F27</f>
        <v>257984.47235</v>
      </c>
      <c r="G283" s="984">
        <v>101</v>
      </c>
      <c r="H283" t="s">
        <v>4783</v>
      </c>
      <c r="I283"/>
      <c r="J283" t="s">
        <v>4883</v>
      </c>
      <c r="K283" s="33">
        <v>4</v>
      </c>
      <c r="L283" t="s">
        <v>4885</v>
      </c>
      <c r="M283" t="s">
        <v>2067</v>
      </c>
      <c r="N283" s="966"/>
      <c r="O283" s="984">
        <v>201</v>
      </c>
      <c r="P283" t="s">
        <v>4790</v>
      </c>
    </row>
    <row r="284" spans="1:17">
      <c r="B284" t="s">
        <v>4883</v>
      </c>
      <c r="C284" s="33">
        <v>2</v>
      </c>
      <c r="D284" t="s">
        <v>4884</v>
      </c>
      <c r="E284" t="s">
        <v>4067</v>
      </c>
      <c r="F284" s="967">
        <f>+Generation!F64-F285-F286</f>
        <v>3511586.6226959997</v>
      </c>
      <c r="G284" s="984">
        <v>101</v>
      </c>
      <c r="H284" t="s">
        <v>4783</v>
      </c>
      <c r="I284"/>
      <c r="J284" t="s">
        <v>4883</v>
      </c>
      <c r="K284" s="33">
        <v>2</v>
      </c>
      <c r="L284" t="s">
        <v>4884</v>
      </c>
      <c r="M284" t="s">
        <v>4067</v>
      </c>
      <c r="N284" s="967"/>
      <c r="O284" s="984">
        <v>122</v>
      </c>
      <c r="P284" t="s">
        <v>4784</v>
      </c>
    </row>
    <row r="285" spans="1:17">
      <c r="B285" t="s">
        <v>4883</v>
      </c>
      <c r="C285" s="33">
        <v>3</v>
      </c>
      <c r="D285" s="96" t="s">
        <v>4854</v>
      </c>
      <c r="E285" t="s">
        <v>4067</v>
      </c>
      <c r="F285" s="967">
        <f>+Generation!F42</f>
        <v>2068978.4465800002</v>
      </c>
      <c r="G285" s="984">
        <v>101</v>
      </c>
      <c r="H285" t="s">
        <v>4783</v>
      </c>
      <c r="I285"/>
      <c r="J285" t="s">
        <v>4883</v>
      </c>
      <c r="K285" s="33">
        <v>3</v>
      </c>
      <c r="L285" t="s">
        <v>4854</v>
      </c>
      <c r="M285" t="s">
        <v>4067</v>
      </c>
      <c r="N285" s="966"/>
      <c r="O285" s="984">
        <v>121</v>
      </c>
      <c r="P285" t="s">
        <v>4816</v>
      </c>
    </row>
    <row r="286" spans="1:17">
      <c r="B286" s="297" t="s">
        <v>4883</v>
      </c>
      <c r="C286" s="529">
        <v>4</v>
      </c>
      <c r="D286" s="297" t="s">
        <v>4885</v>
      </c>
      <c r="E286" s="297" t="s">
        <v>2067</v>
      </c>
      <c r="F286" s="969">
        <f>+Generation!J64</f>
        <v>312355.26285400003</v>
      </c>
      <c r="G286" s="980">
        <v>101</v>
      </c>
      <c r="H286" s="297" t="s">
        <v>4783</v>
      </c>
      <c r="I286" s="297"/>
      <c r="J286" s="297" t="s">
        <v>4883</v>
      </c>
      <c r="K286" s="529">
        <v>4</v>
      </c>
      <c r="L286" s="297" t="s">
        <v>4885</v>
      </c>
      <c r="M286" s="297" t="s">
        <v>2067</v>
      </c>
      <c r="N286" s="970"/>
      <c r="O286" s="980">
        <v>201</v>
      </c>
      <c r="P286" s="297" t="s">
        <v>4790</v>
      </c>
    </row>
    <row r="287" spans="1:17">
      <c r="A287" t="s">
        <v>1760</v>
      </c>
      <c r="B287" t="s">
        <v>4883</v>
      </c>
      <c r="C287" s="33">
        <v>9</v>
      </c>
      <c r="D287" t="s">
        <v>4817</v>
      </c>
      <c r="E287" t="s">
        <v>4067</v>
      </c>
      <c r="F287" s="966">
        <f>+Transmission!G64-'0 MDS Allocation Assignment'!F288</f>
        <v>191967.04717290375</v>
      </c>
      <c r="G287" s="984">
        <v>101</v>
      </c>
      <c r="H287" t="s">
        <v>4783</v>
      </c>
      <c r="I287"/>
      <c r="J287" t="s">
        <v>4883</v>
      </c>
      <c r="K287" s="33">
        <v>9</v>
      </c>
      <c r="L287" t="s">
        <v>4817</v>
      </c>
      <c r="M287" t="s">
        <v>4067</v>
      </c>
      <c r="N287" s="966"/>
      <c r="O287" s="984">
        <v>122</v>
      </c>
      <c r="P287" t="s">
        <v>4784</v>
      </c>
    </row>
    <row r="288" spans="1:17" s="765" customFormat="1">
      <c r="B288" t="s">
        <v>4883</v>
      </c>
      <c r="C288" s="33">
        <v>10</v>
      </c>
      <c r="D288" s="763" t="s">
        <v>4855</v>
      </c>
      <c r="E288" s="763" t="s">
        <v>4067</v>
      </c>
      <c r="F288" s="966">
        <f>+(+Transmission!D5+Transmission!D12)/1000</f>
        <v>0</v>
      </c>
      <c r="G288" s="984">
        <v>101</v>
      </c>
      <c r="H288" t="s">
        <v>4783</v>
      </c>
      <c r="I288"/>
      <c r="J288" t="s">
        <v>4883</v>
      </c>
      <c r="K288" s="33">
        <v>10</v>
      </c>
      <c r="L288" s="763" t="s">
        <v>4855</v>
      </c>
      <c r="M288" t="s">
        <v>4067</v>
      </c>
      <c r="N288" s="966"/>
      <c r="O288" s="984">
        <v>121</v>
      </c>
      <c r="P288" t="s">
        <v>4816</v>
      </c>
      <c r="Q288"/>
    </row>
    <row r="289" spans="1:16">
      <c r="B289" t="s">
        <v>4883</v>
      </c>
      <c r="C289" s="33">
        <v>13</v>
      </c>
      <c r="D289" t="s">
        <v>4818</v>
      </c>
      <c r="E289" t="s">
        <v>4067</v>
      </c>
      <c r="F289" s="966">
        <f>+(Transmission!H64+Transmission!I65)</f>
        <v>534187.1509608163</v>
      </c>
      <c r="G289" s="984">
        <v>117</v>
      </c>
      <c r="H289" t="s">
        <v>4785</v>
      </c>
      <c r="I289"/>
      <c r="J289" t="s">
        <v>4883</v>
      </c>
      <c r="K289" s="33">
        <v>13</v>
      </c>
      <c r="L289" t="s">
        <v>4818</v>
      </c>
      <c r="M289" t="s">
        <v>4067</v>
      </c>
      <c r="N289" s="966"/>
      <c r="O289" s="984">
        <v>117</v>
      </c>
      <c r="P289" t="s">
        <v>4785</v>
      </c>
    </row>
    <row r="290" spans="1:16">
      <c r="B290" t="s">
        <v>4883</v>
      </c>
      <c r="C290" s="33">
        <v>16</v>
      </c>
      <c r="D290" t="s">
        <v>4819</v>
      </c>
      <c r="E290" t="s">
        <v>4067</v>
      </c>
      <c r="F290" s="966">
        <f>+Transmission!J64</f>
        <v>240918.39991450205</v>
      </c>
      <c r="G290" s="984">
        <v>117</v>
      </c>
      <c r="H290" t="s">
        <v>4785</v>
      </c>
      <c r="I290"/>
      <c r="J290" t="s">
        <v>4883</v>
      </c>
      <c r="K290" s="33">
        <v>16</v>
      </c>
      <c r="L290" t="s">
        <v>4819</v>
      </c>
      <c r="M290" t="s">
        <v>4067</v>
      </c>
      <c r="N290" s="966"/>
      <c r="O290" s="984">
        <v>117</v>
      </c>
      <c r="P290" t="s">
        <v>4785</v>
      </c>
    </row>
    <row r="291" spans="1:16">
      <c r="B291" s="297" t="s">
        <v>4883</v>
      </c>
      <c r="C291" s="529">
        <v>17</v>
      </c>
      <c r="D291" s="297" t="s">
        <v>3125</v>
      </c>
      <c r="E291" s="297" t="s">
        <v>4067</v>
      </c>
      <c r="F291" s="970">
        <f>+Transmission!J65</f>
        <v>284079.64594177791</v>
      </c>
      <c r="G291" s="980">
        <v>117</v>
      </c>
      <c r="H291" s="297" t="s">
        <v>4785</v>
      </c>
      <c r="I291" s="297"/>
      <c r="J291" s="297" t="s">
        <v>4883</v>
      </c>
      <c r="K291" s="529">
        <v>17</v>
      </c>
      <c r="L291" s="297" t="s">
        <v>3125</v>
      </c>
      <c r="M291" s="297" t="s">
        <v>4067</v>
      </c>
      <c r="N291" s="970"/>
      <c r="O291" s="980">
        <v>117</v>
      </c>
      <c r="P291" s="297" t="s">
        <v>4785</v>
      </c>
    </row>
    <row r="292" spans="1:16">
      <c r="A292" t="s">
        <v>1762</v>
      </c>
      <c r="B292" t="s">
        <v>4883</v>
      </c>
      <c r="C292" s="33">
        <v>22</v>
      </c>
      <c r="D292" t="s">
        <v>4819</v>
      </c>
      <c r="E292" t="s">
        <v>4067</v>
      </c>
      <c r="F292" s="966">
        <f>+'0 MDS Distribution'!E15</f>
        <v>368438.48759000003</v>
      </c>
      <c r="G292" s="984">
        <v>105</v>
      </c>
      <c r="H292" t="s">
        <v>4786</v>
      </c>
      <c r="I292"/>
      <c r="J292" t="s">
        <v>4883</v>
      </c>
      <c r="K292" s="33">
        <v>22</v>
      </c>
      <c r="L292" t="s">
        <v>4819</v>
      </c>
      <c r="M292" t="s">
        <v>4067</v>
      </c>
      <c r="N292" s="966"/>
      <c r="O292" s="984">
        <v>105</v>
      </c>
      <c r="P292" t="s">
        <v>4786</v>
      </c>
    </row>
    <row r="293" spans="1:16">
      <c r="B293" t="s">
        <v>4883</v>
      </c>
      <c r="C293" s="33">
        <v>24</v>
      </c>
      <c r="D293" t="s">
        <v>4857</v>
      </c>
      <c r="E293" t="s">
        <v>4071</v>
      </c>
      <c r="F293" s="966">
        <f>+'0 MDS Distribution'!E19</f>
        <v>32074.434089827188</v>
      </c>
      <c r="G293" s="984">
        <v>310</v>
      </c>
      <c r="H293" t="s">
        <v>4821</v>
      </c>
      <c r="I293"/>
      <c r="J293" t="s">
        <v>4883</v>
      </c>
      <c r="K293" s="33">
        <v>24</v>
      </c>
      <c r="L293" t="s">
        <v>4857</v>
      </c>
      <c r="M293" t="s">
        <v>4071</v>
      </c>
      <c r="N293" s="966"/>
      <c r="O293" s="984">
        <v>310</v>
      </c>
      <c r="P293" t="s">
        <v>4821</v>
      </c>
    </row>
    <row r="294" spans="1:16">
      <c r="B294" t="s">
        <v>4883</v>
      </c>
      <c r="C294" s="33">
        <v>25</v>
      </c>
      <c r="D294" t="s">
        <v>4858</v>
      </c>
      <c r="E294" t="s">
        <v>4067</v>
      </c>
      <c r="F294" s="966">
        <f>+'0 MDS Distribution'!E20</f>
        <v>300991.26661087415</v>
      </c>
      <c r="G294" s="984">
        <v>105</v>
      </c>
      <c r="H294" t="s">
        <v>4786</v>
      </c>
      <c r="I294"/>
      <c r="J294" t="s">
        <v>4883</v>
      </c>
      <c r="K294" s="33">
        <v>25</v>
      </c>
      <c r="L294" t="s">
        <v>4858</v>
      </c>
      <c r="M294" t="s">
        <v>4067</v>
      </c>
      <c r="N294" s="966"/>
      <c r="O294" s="984">
        <v>105</v>
      </c>
      <c r="P294" t="s">
        <v>4786</v>
      </c>
    </row>
    <row r="295" spans="1:16">
      <c r="B295" t="s">
        <v>4883</v>
      </c>
      <c r="C295" s="33">
        <v>26</v>
      </c>
      <c r="D295" t="s">
        <v>4859</v>
      </c>
      <c r="E295" t="s">
        <v>4071</v>
      </c>
      <c r="F295" s="966">
        <f>+'0 MDS Distribution'!E21</f>
        <v>0</v>
      </c>
      <c r="G295" s="984">
        <v>418</v>
      </c>
      <c r="H295" t="s">
        <v>4824</v>
      </c>
      <c r="I295"/>
      <c r="J295" t="s">
        <v>4883</v>
      </c>
      <c r="K295" s="33">
        <v>26</v>
      </c>
      <c r="L295" t="s">
        <v>4859</v>
      </c>
      <c r="M295" t="s">
        <v>4071</v>
      </c>
      <c r="N295" s="966"/>
      <c r="O295" s="984">
        <v>418</v>
      </c>
      <c r="P295" t="s">
        <v>4824</v>
      </c>
    </row>
    <row r="296" spans="1:16">
      <c r="B296" t="s">
        <v>4883</v>
      </c>
      <c r="C296" s="33">
        <v>27</v>
      </c>
      <c r="D296" t="s">
        <v>4860</v>
      </c>
      <c r="E296" t="s">
        <v>4067</v>
      </c>
      <c r="F296" s="966">
        <f>+'0 MDS Distribution'!E22</f>
        <v>90395.647783701817</v>
      </c>
      <c r="G296" s="984">
        <v>106</v>
      </c>
      <c r="H296" t="s">
        <v>4788</v>
      </c>
      <c r="I296"/>
      <c r="J296" t="s">
        <v>4883</v>
      </c>
      <c r="K296" s="33">
        <v>27</v>
      </c>
      <c r="L296" t="s">
        <v>4860</v>
      </c>
      <c r="M296" t="s">
        <v>4067</v>
      </c>
      <c r="N296" s="966"/>
      <c r="O296" s="984">
        <v>106</v>
      </c>
      <c r="P296" t="s">
        <v>4788</v>
      </c>
    </row>
    <row r="297" spans="1:16">
      <c r="B297" t="s">
        <v>4883</v>
      </c>
      <c r="C297" s="33">
        <v>28</v>
      </c>
      <c r="D297" t="s">
        <v>4861</v>
      </c>
      <c r="E297" t="s">
        <v>4071</v>
      </c>
      <c r="F297" s="966">
        <f>+'0 MDS Distribution'!E23</f>
        <v>0</v>
      </c>
      <c r="G297" s="984">
        <v>420</v>
      </c>
      <c r="H297" t="s">
        <v>4781</v>
      </c>
      <c r="I297"/>
      <c r="J297" t="s">
        <v>4883</v>
      </c>
      <c r="K297" s="33">
        <v>28</v>
      </c>
      <c r="L297" t="s">
        <v>4861</v>
      </c>
      <c r="M297" t="s">
        <v>4071</v>
      </c>
      <c r="N297" s="966"/>
      <c r="O297" s="984">
        <v>420</v>
      </c>
      <c r="P297" t="s">
        <v>4781</v>
      </c>
    </row>
    <row r="298" spans="1:16">
      <c r="B298" t="s">
        <v>4883</v>
      </c>
      <c r="C298" s="33">
        <v>31</v>
      </c>
      <c r="D298" t="s">
        <v>4820</v>
      </c>
      <c r="E298" t="s">
        <v>4071</v>
      </c>
      <c r="F298" s="966">
        <f>+'0 MDS Distribution'!E26</f>
        <v>4542.9060069542402</v>
      </c>
      <c r="G298" s="984">
        <v>310</v>
      </c>
      <c r="H298" t="s">
        <v>4821</v>
      </c>
      <c r="I298"/>
      <c r="J298" t="s">
        <v>4883</v>
      </c>
      <c r="K298" s="33">
        <v>31</v>
      </c>
      <c r="L298" t="s">
        <v>4820</v>
      </c>
      <c r="M298" t="s">
        <v>4071</v>
      </c>
      <c r="N298" s="966"/>
      <c r="O298" s="984">
        <v>310</v>
      </c>
      <c r="P298" t="s">
        <v>4821</v>
      </c>
    </row>
    <row r="299" spans="1:16">
      <c r="B299" t="s">
        <v>4883</v>
      </c>
      <c r="C299" s="33">
        <v>32</v>
      </c>
      <c r="D299" t="s">
        <v>4822</v>
      </c>
      <c r="E299" t="s">
        <v>4067</v>
      </c>
      <c r="F299" s="966">
        <f>+'0 MDS Distribution'!E27</f>
        <v>251746.69790571451</v>
      </c>
      <c r="G299" s="984">
        <v>105</v>
      </c>
      <c r="H299" t="s">
        <v>4786</v>
      </c>
      <c r="I299"/>
      <c r="J299" t="s">
        <v>4883</v>
      </c>
      <c r="K299" s="33">
        <v>32</v>
      </c>
      <c r="L299" t="s">
        <v>4822</v>
      </c>
      <c r="M299" t="s">
        <v>4067</v>
      </c>
      <c r="N299" s="966"/>
      <c r="O299" s="984">
        <v>105</v>
      </c>
      <c r="P299" t="s">
        <v>4786</v>
      </c>
    </row>
    <row r="300" spans="1:16">
      <c r="B300" t="s">
        <v>4883</v>
      </c>
      <c r="C300" s="33">
        <v>33</v>
      </c>
      <c r="D300" t="s">
        <v>4823</v>
      </c>
      <c r="E300" t="s">
        <v>4071</v>
      </c>
      <c r="F300" s="966">
        <f>+'0 MDS Distribution'!E28</f>
        <v>0</v>
      </c>
      <c r="G300" s="984">
        <v>418</v>
      </c>
      <c r="H300" t="s">
        <v>4824</v>
      </c>
      <c r="I300"/>
      <c r="J300" t="s">
        <v>4883</v>
      </c>
      <c r="K300" s="33">
        <v>33</v>
      </c>
      <c r="L300" t="s">
        <v>4823</v>
      </c>
      <c r="M300" t="s">
        <v>4071</v>
      </c>
      <c r="N300" s="966"/>
      <c r="O300" s="984">
        <v>418</v>
      </c>
      <c r="P300" t="s">
        <v>4824</v>
      </c>
    </row>
    <row r="301" spans="1:16">
      <c r="B301" t="s">
        <v>4883</v>
      </c>
      <c r="C301" s="33">
        <v>34</v>
      </c>
      <c r="D301" t="s">
        <v>4825</v>
      </c>
      <c r="E301" t="s">
        <v>4067</v>
      </c>
      <c r="F301" s="966">
        <f>+'0 MDS Distribution'!E29</f>
        <v>38297.820125838523</v>
      </c>
      <c r="G301" s="984">
        <v>106</v>
      </c>
      <c r="H301" t="s">
        <v>4788</v>
      </c>
      <c r="I301"/>
      <c r="J301" t="s">
        <v>4883</v>
      </c>
      <c r="K301" s="33">
        <v>34</v>
      </c>
      <c r="L301" t="s">
        <v>4825</v>
      </c>
      <c r="M301" t="s">
        <v>4067</v>
      </c>
      <c r="N301" s="966"/>
      <c r="O301" s="984">
        <v>106</v>
      </c>
      <c r="P301" t="s">
        <v>4788</v>
      </c>
    </row>
    <row r="302" spans="1:16">
      <c r="B302" t="s">
        <v>4883</v>
      </c>
      <c r="C302" s="33">
        <v>35</v>
      </c>
      <c r="D302" t="s">
        <v>4886</v>
      </c>
      <c r="E302" t="s">
        <v>4071</v>
      </c>
      <c r="F302" s="966">
        <f>+'0 MDS Distribution'!E30</f>
        <v>0</v>
      </c>
      <c r="G302" s="984">
        <v>420</v>
      </c>
      <c r="H302" t="s">
        <v>4781</v>
      </c>
      <c r="I302"/>
      <c r="J302" t="s">
        <v>4883</v>
      </c>
      <c r="K302" s="33">
        <v>35</v>
      </c>
      <c r="L302" t="s">
        <v>4826</v>
      </c>
      <c r="M302" t="s">
        <v>4071</v>
      </c>
      <c r="N302" s="966"/>
      <c r="O302" s="984">
        <v>420</v>
      </c>
      <c r="P302" t="s">
        <v>4781</v>
      </c>
    </row>
    <row r="303" spans="1:16">
      <c r="B303" t="s">
        <v>4883</v>
      </c>
      <c r="C303" s="33">
        <v>38</v>
      </c>
      <c r="D303" t="s">
        <v>4827</v>
      </c>
      <c r="E303" t="s">
        <v>4071</v>
      </c>
      <c r="F303" s="966">
        <f>+'0 MDS Distribution'!E33</f>
        <v>385.73180000000002</v>
      </c>
      <c r="G303" s="984">
        <v>310</v>
      </c>
      <c r="H303" t="s">
        <v>4821</v>
      </c>
      <c r="I303"/>
      <c r="J303" t="s">
        <v>4883</v>
      </c>
      <c r="K303" s="33">
        <v>38</v>
      </c>
      <c r="L303" t="s">
        <v>4827</v>
      </c>
      <c r="M303" t="s">
        <v>4071</v>
      </c>
      <c r="N303" s="966"/>
      <c r="O303" s="984">
        <v>310</v>
      </c>
      <c r="P303" t="s">
        <v>4821</v>
      </c>
    </row>
    <row r="304" spans="1:16">
      <c r="B304" t="s">
        <v>4883</v>
      </c>
      <c r="C304" s="33">
        <v>39</v>
      </c>
      <c r="D304" t="s">
        <v>4828</v>
      </c>
      <c r="E304" t="s">
        <v>4067</v>
      </c>
      <c r="F304" s="966">
        <f>+'0 MDS Distribution'!E34</f>
        <v>753246.56163162598</v>
      </c>
      <c r="G304" s="984">
        <v>105</v>
      </c>
      <c r="H304" t="s">
        <v>4786</v>
      </c>
      <c r="I304"/>
      <c r="J304" t="s">
        <v>4883</v>
      </c>
      <c r="K304" s="33">
        <v>39</v>
      </c>
      <c r="L304" t="s">
        <v>4828</v>
      </c>
      <c r="M304" t="s">
        <v>4067</v>
      </c>
      <c r="N304" s="966"/>
      <c r="O304" s="984">
        <v>105</v>
      </c>
      <c r="P304" t="s">
        <v>4786</v>
      </c>
    </row>
    <row r="305" spans="1:16">
      <c r="B305" t="s">
        <v>4883</v>
      </c>
      <c r="C305" s="33">
        <v>40</v>
      </c>
      <c r="D305" t="s">
        <v>4829</v>
      </c>
      <c r="E305" t="s">
        <v>4071</v>
      </c>
      <c r="F305" s="966">
        <f>+'0 MDS Distribution'!E35</f>
        <v>0</v>
      </c>
      <c r="G305" s="984">
        <v>418</v>
      </c>
      <c r="H305" t="s">
        <v>4824</v>
      </c>
      <c r="I305"/>
      <c r="J305" t="s">
        <v>4883</v>
      </c>
      <c r="K305" s="33">
        <v>40</v>
      </c>
      <c r="L305" t="s">
        <v>4829</v>
      </c>
      <c r="M305" t="s">
        <v>4071</v>
      </c>
      <c r="N305" s="966"/>
      <c r="O305" s="984">
        <v>418</v>
      </c>
      <c r="P305" t="s">
        <v>4824</v>
      </c>
    </row>
    <row r="306" spans="1:16">
      <c r="B306" t="s">
        <v>4883</v>
      </c>
      <c r="C306" s="33">
        <v>41</v>
      </c>
      <c r="D306" t="s">
        <v>4830</v>
      </c>
      <c r="E306" t="s">
        <v>4067</v>
      </c>
      <c r="F306" s="966">
        <f>+'0 MDS Distribution'!E36</f>
        <v>57432.267938374134</v>
      </c>
      <c r="G306" s="984">
        <v>106</v>
      </c>
      <c r="H306" t="s">
        <v>4788</v>
      </c>
      <c r="I306"/>
      <c r="J306" t="s">
        <v>4883</v>
      </c>
      <c r="K306" s="33">
        <v>41</v>
      </c>
      <c r="L306" t="s">
        <v>4830</v>
      </c>
      <c r="M306" t="s">
        <v>4067</v>
      </c>
      <c r="N306" s="966"/>
      <c r="O306" s="984">
        <v>106</v>
      </c>
      <c r="P306" t="s">
        <v>4788</v>
      </c>
    </row>
    <row r="307" spans="1:16">
      <c r="B307" t="s">
        <v>4883</v>
      </c>
      <c r="C307" s="33">
        <v>42</v>
      </c>
      <c r="D307" t="s">
        <v>4831</v>
      </c>
      <c r="E307" t="s">
        <v>4071</v>
      </c>
      <c r="F307" s="966">
        <f>+'0 MDS Distribution'!E37</f>
        <v>0</v>
      </c>
      <c r="G307" s="984">
        <v>420</v>
      </c>
      <c r="H307" t="s">
        <v>4781</v>
      </c>
      <c r="I307"/>
      <c r="J307" t="s">
        <v>4883</v>
      </c>
      <c r="K307" s="33">
        <v>42</v>
      </c>
      <c r="L307" t="s">
        <v>4831</v>
      </c>
      <c r="M307" t="s">
        <v>4071</v>
      </c>
      <c r="N307" s="966"/>
      <c r="O307" s="984">
        <v>420</v>
      </c>
      <c r="P307" t="s">
        <v>4781</v>
      </c>
    </row>
    <row r="308" spans="1:16">
      <c r="B308" t="s">
        <v>4883</v>
      </c>
      <c r="C308" s="33">
        <v>45</v>
      </c>
      <c r="D308" t="s">
        <v>4832</v>
      </c>
      <c r="E308" t="s">
        <v>4071</v>
      </c>
      <c r="F308" s="966">
        <f>+'0 MDS Distribution'!E40</f>
        <v>0</v>
      </c>
      <c r="G308" s="984">
        <v>310</v>
      </c>
      <c r="H308" t="s">
        <v>4821</v>
      </c>
      <c r="I308"/>
      <c r="J308" t="s">
        <v>4883</v>
      </c>
      <c r="K308" s="33">
        <v>45</v>
      </c>
      <c r="L308" t="s">
        <v>4832</v>
      </c>
      <c r="M308" t="s">
        <v>4071</v>
      </c>
      <c r="N308" s="966"/>
      <c r="O308" s="984">
        <v>310</v>
      </c>
      <c r="P308" t="s">
        <v>4821</v>
      </c>
    </row>
    <row r="309" spans="1:16">
      <c r="B309" t="s">
        <v>4883</v>
      </c>
      <c r="C309" s="33">
        <v>46</v>
      </c>
      <c r="D309" t="s">
        <v>4833</v>
      </c>
      <c r="E309" t="s">
        <v>4067</v>
      </c>
      <c r="F309" s="966">
        <f>+'0 MDS Distribution'!E41</f>
        <v>164150.18467445605</v>
      </c>
      <c r="G309" s="984">
        <v>105</v>
      </c>
      <c r="H309" t="s">
        <v>4786</v>
      </c>
      <c r="I309"/>
      <c r="J309" t="s">
        <v>4883</v>
      </c>
      <c r="K309" s="33">
        <v>46</v>
      </c>
      <c r="L309" t="s">
        <v>4833</v>
      </c>
      <c r="M309" t="s">
        <v>4067</v>
      </c>
      <c r="N309" s="966"/>
      <c r="O309" s="984">
        <v>105</v>
      </c>
      <c r="P309" t="s">
        <v>4786</v>
      </c>
    </row>
    <row r="310" spans="1:16">
      <c r="B310" t="s">
        <v>4883</v>
      </c>
      <c r="C310" s="33">
        <v>47</v>
      </c>
      <c r="D310" t="s">
        <v>4834</v>
      </c>
      <c r="E310" t="s">
        <v>4071</v>
      </c>
      <c r="F310" s="966">
        <f>+'0 MDS Distribution'!E42</f>
        <v>0</v>
      </c>
      <c r="G310" s="984">
        <v>418</v>
      </c>
      <c r="H310" t="s">
        <v>4824</v>
      </c>
      <c r="I310"/>
      <c r="J310" t="s">
        <v>4883</v>
      </c>
      <c r="K310" s="33">
        <v>47</v>
      </c>
      <c r="L310" t="s">
        <v>4834</v>
      </c>
      <c r="M310" t="s">
        <v>4071</v>
      </c>
      <c r="N310" s="966"/>
      <c r="O310" s="984">
        <v>418</v>
      </c>
      <c r="P310" t="s">
        <v>4824</v>
      </c>
    </row>
    <row r="311" spans="1:16">
      <c r="B311" t="s">
        <v>4883</v>
      </c>
      <c r="C311" s="33">
        <v>48</v>
      </c>
      <c r="D311" t="s">
        <v>4835</v>
      </c>
      <c r="E311" t="s">
        <v>4067</v>
      </c>
      <c r="F311" s="966">
        <f>+'0 MDS Distribution'!E43</f>
        <v>833929.36636874522</v>
      </c>
      <c r="G311" s="984">
        <v>106</v>
      </c>
      <c r="H311" t="s">
        <v>4788</v>
      </c>
      <c r="I311"/>
      <c r="J311" t="s">
        <v>4883</v>
      </c>
      <c r="K311" s="33">
        <v>48</v>
      </c>
      <c r="L311" t="s">
        <v>4835</v>
      </c>
      <c r="M311" t="s">
        <v>4067</v>
      </c>
      <c r="N311" s="966"/>
      <c r="O311" s="984">
        <v>106</v>
      </c>
      <c r="P311" t="s">
        <v>4788</v>
      </c>
    </row>
    <row r="312" spans="1:16">
      <c r="B312" t="s">
        <v>4883</v>
      </c>
      <c r="C312" s="33">
        <v>49</v>
      </c>
      <c r="D312" t="s">
        <v>4836</v>
      </c>
      <c r="E312" t="s">
        <v>4071</v>
      </c>
      <c r="F312" s="966">
        <f>+'0 MDS Distribution'!E44</f>
        <v>0</v>
      </c>
      <c r="G312" s="984">
        <v>420</v>
      </c>
      <c r="H312" t="s">
        <v>4781</v>
      </c>
      <c r="I312"/>
      <c r="J312" t="s">
        <v>4883</v>
      </c>
      <c r="K312" s="33">
        <v>49</v>
      </c>
      <c r="L312" t="s">
        <v>4836</v>
      </c>
      <c r="M312" t="s">
        <v>4071</v>
      </c>
      <c r="N312" s="966"/>
      <c r="O312" s="984">
        <v>420</v>
      </c>
      <c r="P312" t="s">
        <v>4781</v>
      </c>
    </row>
    <row r="313" spans="1:16">
      <c r="B313" t="s">
        <v>4883</v>
      </c>
      <c r="C313" s="33">
        <v>52</v>
      </c>
      <c r="D313" t="s">
        <v>4060</v>
      </c>
      <c r="E313" t="s">
        <v>4071</v>
      </c>
      <c r="F313" s="966">
        <f>+'0 MDS Distribution'!E47</f>
        <v>228413.06716999999</v>
      </c>
      <c r="G313" s="984">
        <v>420</v>
      </c>
      <c r="H313" t="s">
        <v>4781</v>
      </c>
      <c r="I313"/>
      <c r="J313" t="s">
        <v>4883</v>
      </c>
      <c r="K313" s="33">
        <v>52</v>
      </c>
      <c r="L313" t="s">
        <v>4060</v>
      </c>
      <c r="M313" t="s">
        <v>4071</v>
      </c>
      <c r="N313" s="966"/>
      <c r="O313" s="984">
        <v>420</v>
      </c>
      <c r="P313" t="s">
        <v>4781</v>
      </c>
    </row>
    <row r="314" spans="1:16">
      <c r="B314" t="s">
        <v>4883</v>
      </c>
      <c r="C314" s="33">
        <v>53</v>
      </c>
      <c r="D314" t="s">
        <v>4053</v>
      </c>
      <c r="E314" t="s">
        <v>4071</v>
      </c>
      <c r="F314" s="966">
        <f>+'0 MDS Distribution'!E48</f>
        <v>149851.91621000002</v>
      </c>
      <c r="G314" s="984">
        <v>308</v>
      </c>
      <c r="H314" t="s">
        <v>4837</v>
      </c>
      <c r="I314"/>
      <c r="J314" t="s">
        <v>4883</v>
      </c>
      <c r="K314" s="33">
        <v>53</v>
      </c>
      <c r="L314" t="s">
        <v>4053</v>
      </c>
      <c r="M314" t="s">
        <v>4071</v>
      </c>
      <c r="N314" s="966"/>
      <c r="O314" s="984">
        <v>308</v>
      </c>
      <c r="P314" t="s">
        <v>4837</v>
      </c>
    </row>
    <row r="315" spans="1:16">
      <c r="B315" t="s">
        <v>4883</v>
      </c>
      <c r="C315" s="33">
        <v>54</v>
      </c>
      <c r="D315" t="s">
        <v>4862</v>
      </c>
      <c r="E315" t="s">
        <v>4071</v>
      </c>
      <c r="F315" s="966">
        <f>+'0 MDS Distribution'!E49</f>
        <v>0</v>
      </c>
      <c r="G315" s="984">
        <v>412</v>
      </c>
      <c r="H315" t="s">
        <v>4795</v>
      </c>
      <c r="I315"/>
      <c r="J315" t="s">
        <v>4883</v>
      </c>
      <c r="K315" s="33">
        <v>54</v>
      </c>
      <c r="L315" t="s">
        <v>4862</v>
      </c>
      <c r="M315" t="s">
        <v>4071</v>
      </c>
      <c r="N315" s="966"/>
      <c r="O315" s="984">
        <v>309</v>
      </c>
      <c r="P315" t="s">
        <v>4839</v>
      </c>
    </row>
    <row r="316" spans="1:16">
      <c r="B316" s="297" t="s">
        <v>4883</v>
      </c>
      <c r="C316" s="529">
        <v>55</v>
      </c>
      <c r="D316" s="297" t="s">
        <v>4840</v>
      </c>
      <c r="E316" s="297" t="s">
        <v>4071</v>
      </c>
      <c r="F316" s="970">
        <f>+'0 MDS Distribution'!E50</f>
        <v>414978.62154999998</v>
      </c>
      <c r="G316" s="980">
        <v>310</v>
      </c>
      <c r="H316" s="297" t="s">
        <v>4821</v>
      </c>
      <c r="I316" s="297"/>
      <c r="J316" s="297" t="s">
        <v>4883</v>
      </c>
      <c r="K316" s="529">
        <v>55</v>
      </c>
      <c r="L316" s="297" t="s">
        <v>4840</v>
      </c>
      <c r="M316" s="297" t="s">
        <v>4071</v>
      </c>
      <c r="N316" s="970"/>
      <c r="O316" s="980">
        <v>310</v>
      </c>
      <c r="P316" s="297" t="s">
        <v>4821</v>
      </c>
    </row>
    <row r="317" spans="1:16">
      <c r="A317" t="s">
        <v>4863</v>
      </c>
      <c r="B317" t="s">
        <v>4883</v>
      </c>
      <c r="C317" s="33">
        <v>74</v>
      </c>
      <c r="D317" t="s">
        <v>1528</v>
      </c>
      <c r="E317" t="s">
        <v>4067</v>
      </c>
      <c r="F317" s="966">
        <f>+'0 MDS Communications Equipment'!G53</f>
        <v>30059.679439906377</v>
      </c>
      <c r="G317" s="984">
        <v>101</v>
      </c>
      <c r="H317" t="s">
        <v>4783</v>
      </c>
      <c r="I317"/>
      <c r="J317" t="s">
        <v>4883</v>
      </c>
      <c r="K317" s="33">
        <v>74</v>
      </c>
      <c r="L317" t="s">
        <v>1528</v>
      </c>
      <c r="M317" t="s">
        <v>4067</v>
      </c>
      <c r="N317" s="966"/>
      <c r="O317" s="984">
        <v>122</v>
      </c>
      <c r="P317" t="s">
        <v>4784</v>
      </c>
    </row>
    <row r="318" spans="1:16">
      <c r="B318" t="s">
        <v>4883</v>
      </c>
      <c r="C318" s="33">
        <v>75</v>
      </c>
      <c r="D318" t="s">
        <v>1528</v>
      </c>
      <c r="E318" t="s">
        <v>2067</v>
      </c>
      <c r="F318" s="966">
        <f>+'0 MDS Communications Equipment'!G54</f>
        <v>7468.8413095182732</v>
      </c>
      <c r="G318" s="984">
        <v>201</v>
      </c>
      <c r="H318" t="s">
        <v>4790</v>
      </c>
      <c r="I318"/>
      <c r="J318" t="s">
        <v>4883</v>
      </c>
      <c r="K318" s="33">
        <v>75</v>
      </c>
      <c r="L318" t="s">
        <v>1528</v>
      </c>
      <c r="M318" t="s">
        <v>2067</v>
      </c>
      <c r="N318" s="445"/>
      <c r="O318" s="984">
        <v>201</v>
      </c>
      <c r="P318" t="s">
        <v>4790</v>
      </c>
    </row>
    <row r="319" spans="1:16">
      <c r="B319" t="s">
        <v>4883</v>
      </c>
      <c r="C319" s="33">
        <v>76</v>
      </c>
      <c r="D319" t="s">
        <v>1529</v>
      </c>
      <c r="E319" t="s">
        <v>4067</v>
      </c>
      <c r="F319" s="966">
        <f>+'0 MDS Communications Equipment'!G55</f>
        <v>5665.6180738662224</v>
      </c>
      <c r="G319" s="984">
        <v>117</v>
      </c>
      <c r="H319" t="s">
        <v>4785</v>
      </c>
      <c r="I319"/>
      <c r="J319" t="s">
        <v>4883</v>
      </c>
      <c r="K319" s="33">
        <v>76</v>
      </c>
      <c r="L319" t="s">
        <v>1529</v>
      </c>
      <c r="M319" t="s">
        <v>4067</v>
      </c>
      <c r="N319" s="445"/>
      <c r="O319" s="984">
        <v>117</v>
      </c>
      <c r="P319" t="s">
        <v>4785</v>
      </c>
    </row>
    <row r="320" spans="1:16">
      <c r="B320" t="s">
        <v>4883</v>
      </c>
      <c r="C320" s="33">
        <v>77</v>
      </c>
      <c r="D320" t="s">
        <v>1953</v>
      </c>
      <c r="E320" t="s">
        <v>4067</v>
      </c>
      <c r="F320" s="966">
        <f>+'0 MDS Communications Equipment'!G56</f>
        <v>4560.829886980322</v>
      </c>
      <c r="G320" s="984">
        <v>117</v>
      </c>
      <c r="H320" t="s">
        <v>4785</v>
      </c>
      <c r="I320"/>
      <c r="J320" t="s">
        <v>4883</v>
      </c>
      <c r="K320" s="33">
        <v>77</v>
      </c>
      <c r="L320" t="s">
        <v>1953</v>
      </c>
      <c r="M320" t="s">
        <v>4067</v>
      </c>
      <c r="N320" s="445"/>
      <c r="O320" s="984">
        <v>117</v>
      </c>
      <c r="P320" t="s">
        <v>4785</v>
      </c>
    </row>
    <row r="321" spans="1:16">
      <c r="B321" t="s">
        <v>4883</v>
      </c>
      <c r="C321" s="33">
        <v>78</v>
      </c>
      <c r="D321" t="s">
        <v>2040</v>
      </c>
      <c r="E321" t="s">
        <v>4067</v>
      </c>
      <c r="F321" s="966">
        <f>+'0 MDS Communications Equipment'!G57</f>
        <v>27530.836072256585</v>
      </c>
      <c r="G321" s="984">
        <v>105</v>
      </c>
      <c r="H321" t="s">
        <v>4786</v>
      </c>
      <c r="I321"/>
      <c r="J321" t="s">
        <v>4883</v>
      </c>
      <c r="K321" s="33">
        <v>78</v>
      </c>
      <c r="L321" t="s">
        <v>2040</v>
      </c>
      <c r="M321" t="s">
        <v>4067</v>
      </c>
      <c r="N321" s="445"/>
      <c r="O321" s="984">
        <v>105</v>
      </c>
      <c r="P321" t="s">
        <v>4786</v>
      </c>
    </row>
    <row r="322" spans="1:16">
      <c r="B322" t="s">
        <v>4883</v>
      </c>
      <c r="C322" s="33">
        <v>79</v>
      </c>
      <c r="D322" t="s">
        <v>4787</v>
      </c>
      <c r="E322" t="s">
        <v>4067</v>
      </c>
      <c r="F322" s="966">
        <f>+'0 MDS Communications Equipment'!G58</f>
        <v>8946.5182908015413</v>
      </c>
      <c r="G322" s="984">
        <v>106</v>
      </c>
      <c r="H322" t="s">
        <v>4788</v>
      </c>
      <c r="I322"/>
      <c r="J322" t="s">
        <v>4883</v>
      </c>
      <c r="K322" s="33">
        <v>79</v>
      </c>
      <c r="L322" t="s">
        <v>4787</v>
      </c>
      <c r="M322" t="s">
        <v>4067</v>
      </c>
      <c r="N322" s="445"/>
      <c r="O322" s="984">
        <v>106</v>
      </c>
      <c r="P322" t="s">
        <v>4788</v>
      </c>
    </row>
    <row r="323" spans="1:16">
      <c r="B323" t="s">
        <v>4883</v>
      </c>
      <c r="C323" s="33">
        <v>80</v>
      </c>
      <c r="D323" t="s">
        <v>1530</v>
      </c>
      <c r="E323" t="s">
        <v>4071</v>
      </c>
      <c r="F323" s="966">
        <f>+'0 MDS Communications Equipment'!G59</f>
        <v>10609.961730685945</v>
      </c>
      <c r="G323" s="984">
        <v>907</v>
      </c>
      <c r="H323" t="s">
        <v>4794</v>
      </c>
      <c r="I323"/>
      <c r="J323" t="s">
        <v>4883</v>
      </c>
      <c r="K323" s="33">
        <v>80</v>
      </c>
      <c r="L323" t="s">
        <v>1530</v>
      </c>
      <c r="M323" t="s">
        <v>4071</v>
      </c>
      <c r="N323" s="445"/>
      <c r="O323" s="984">
        <v>907</v>
      </c>
      <c r="P323" t="s">
        <v>4794</v>
      </c>
    </row>
    <row r="324" spans="1:16">
      <c r="B324" s="297" t="s">
        <v>4883</v>
      </c>
      <c r="C324" s="529">
        <v>81</v>
      </c>
      <c r="D324" s="297" t="s">
        <v>2338</v>
      </c>
      <c r="E324" s="297" t="s">
        <v>4071</v>
      </c>
      <c r="F324" s="970">
        <f>+'0 MDS Communications Equipment'!G60</f>
        <v>14371.441015984727</v>
      </c>
      <c r="G324" s="980">
        <v>412</v>
      </c>
      <c r="H324" s="297" t="s">
        <v>4795</v>
      </c>
      <c r="I324" s="297"/>
      <c r="J324" s="297" t="s">
        <v>4883</v>
      </c>
      <c r="K324" s="529">
        <v>81</v>
      </c>
      <c r="L324" s="297" t="s">
        <v>2338</v>
      </c>
      <c r="M324" s="297" t="s">
        <v>4071</v>
      </c>
      <c r="N324" s="970"/>
      <c r="O324" s="980">
        <v>412</v>
      </c>
      <c r="P324" s="297" t="s">
        <v>4795</v>
      </c>
    </row>
    <row r="325" spans="1:16">
      <c r="A325" t="s">
        <v>4864</v>
      </c>
      <c r="B325" t="s">
        <v>4883</v>
      </c>
      <c r="C325" s="33">
        <v>85</v>
      </c>
      <c r="D325" t="s">
        <v>1528</v>
      </c>
      <c r="E325" t="s">
        <v>4067</v>
      </c>
      <c r="F325" s="966">
        <f>+'0 MDS Transportation Equipment'!F40</f>
        <v>7482.8857100000005</v>
      </c>
      <c r="G325" s="984">
        <v>101</v>
      </c>
      <c r="H325" t="s">
        <v>4783</v>
      </c>
      <c r="I325"/>
      <c r="J325" t="s">
        <v>4883</v>
      </c>
      <c r="K325" s="33">
        <v>85</v>
      </c>
      <c r="L325" t="s">
        <v>1528</v>
      </c>
      <c r="M325" t="s">
        <v>4067</v>
      </c>
      <c r="N325" s="966"/>
      <c r="O325" s="984">
        <v>122</v>
      </c>
      <c r="P325" t="s">
        <v>4784</v>
      </c>
    </row>
    <row r="326" spans="1:16">
      <c r="B326" t="s">
        <v>4883</v>
      </c>
      <c r="C326" s="33">
        <v>87</v>
      </c>
      <c r="D326" t="s">
        <v>1529</v>
      </c>
      <c r="E326" t="s">
        <v>4067</v>
      </c>
      <c r="F326" s="966">
        <f>+'0 MDS Transportation Equipment'!F41</f>
        <v>2737.0403635800212</v>
      </c>
      <c r="G326" s="984">
        <v>117</v>
      </c>
      <c r="H326" t="s">
        <v>4785</v>
      </c>
      <c r="I326"/>
      <c r="J326" t="s">
        <v>4883</v>
      </c>
      <c r="K326" s="33">
        <v>87</v>
      </c>
      <c r="L326" t="s">
        <v>1529</v>
      </c>
      <c r="M326" t="s">
        <v>4067</v>
      </c>
      <c r="N326" s="445"/>
      <c r="O326" s="984">
        <v>117</v>
      </c>
      <c r="P326" t="s">
        <v>4785</v>
      </c>
    </row>
    <row r="327" spans="1:16">
      <c r="B327" t="s">
        <v>4883</v>
      </c>
      <c r="C327" s="33">
        <v>88</v>
      </c>
      <c r="D327" t="s">
        <v>1953</v>
      </c>
      <c r="E327" t="s">
        <v>4067</v>
      </c>
      <c r="F327" s="966">
        <f>+'0 MDS Transportation Equipment'!F42</f>
        <v>7695.2794371510454</v>
      </c>
      <c r="G327" s="984">
        <v>117</v>
      </c>
      <c r="H327" t="s">
        <v>4785</v>
      </c>
      <c r="I327"/>
      <c r="J327" t="s">
        <v>4883</v>
      </c>
      <c r="K327" s="33">
        <v>88</v>
      </c>
      <c r="L327" t="s">
        <v>1953</v>
      </c>
      <c r="M327" t="s">
        <v>4067</v>
      </c>
      <c r="N327" s="445"/>
      <c r="O327" s="984">
        <v>117</v>
      </c>
      <c r="P327" t="s">
        <v>4785</v>
      </c>
    </row>
    <row r="328" spans="1:16">
      <c r="B328" t="s">
        <v>4883</v>
      </c>
      <c r="C328" s="33">
        <v>89</v>
      </c>
      <c r="D328" t="s">
        <v>2040</v>
      </c>
      <c r="E328" t="s">
        <v>4067</v>
      </c>
      <c r="F328" s="966">
        <f>+'0 MDS Transportation Equipment'!F43</f>
        <v>37791.254635605575</v>
      </c>
      <c r="G328" s="984">
        <v>105</v>
      </c>
      <c r="H328" t="s">
        <v>4786</v>
      </c>
      <c r="I328"/>
      <c r="J328" t="s">
        <v>4883</v>
      </c>
      <c r="K328" s="33">
        <v>89</v>
      </c>
      <c r="L328" t="s">
        <v>2040</v>
      </c>
      <c r="M328" t="s">
        <v>4067</v>
      </c>
      <c r="N328" s="445"/>
      <c r="O328" s="984">
        <v>105</v>
      </c>
      <c r="P328" t="s">
        <v>4786</v>
      </c>
    </row>
    <row r="329" spans="1:16">
      <c r="B329" t="s">
        <v>4883</v>
      </c>
      <c r="C329" s="33">
        <v>90</v>
      </c>
      <c r="D329" t="s">
        <v>4787</v>
      </c>
      <c r="E329" t="s">
        <v>4067</v>
      </c>
      <c r="F329" s="966">
        <f>+'0 MDS Transportation Equipment'!F44</f>
        <v>6519.2699566631791</v>
      </c>
      <c r="G329" s="984">
        <v>106</v>
      </c>
      <c r="H329" t="s">
        <v>4788</v>
      </c>
      <c r="I329"/>
      <c r="J329" t="s">
        <v>4883</v>
      </c>
      <c r="K329" s="33">
        <v>90</v>
      </c>
      <c r="L329" t="s">
        <v>4787</v>
      </c>
      <c r="M329" t="s">
        <v>4067</v>
      </c>
      <c r="N329" s="445"/>
      <c r="O329" s="984">
        <v>106</v>
      </c>
      <c r="P329" t="s">
        <v>4788</v>
      </c>
    </row>
    <row r="330" spans="1:16">
      <c r="B330" t="s">
        <v>4883</v>
      </c>
      <c r="C330" s="33">
        <v>91</v>
      </c>
      <c r="D330" t="s">
        <v>1530</v>
      </c>
      <c r="E330" t="s">
        <v>4071</v>
      </c>
      <c r="F330" s="966">
        <f>+'0 MDS Transportation Equipment'!F45</f>
        <v>24224.60647406918</v>
      </c>
      <c r="G330" s="984">
        <v>907</v>
      </c>
      <c r="H330" t="s">
        <v>4794</v>
      </c>
      <c r="I330"/>
      <c r="J330" t="s">
        <v>4883</v>
      </c>
      <c r="K330" s="33">
        <v>91</v>
      </c>
      <c r="L330" t="s">
        <v>1530</v>
      </c>
      <c r="M330" t="s">
        <v>4071</v>
      </c>
      <c r="N330" s="445"/>
      <c r="O330" s="984">
        <v>907</v>
      </c>
      <c r="P330" t="s">
        <v>4794</v>
      </c>
    </row>
    <row r="331" spans="1:16">
      <c r="B331" s="297" t="s">
        <v>4883</v>
      </c>
      <c r="C331" s="529">
        <v>92</v>
      </c>
      <c r="D331" s="297" t="s">
        <v>2338</v>
      </c>
      <c r="E331" s="297" t="s">
        <v>4071</v>
      </c>
      <c r="F331" s="970">
        <f>+'0 MDS Transportation Equipment'!F46</f>
        <v>32812.795362930978</v>
      </c>
      <c r="G331" s="980">
        <v>412</v>
      </c>
      <c r="H331" s="297" t="s">
        <v>4795</v>
      </c>
      <c r="I331" s="297"/>
      <c r="J331" s="297" t="s">
        <v>4883</v>
      </c>
      <c r="K331" s="529">
        <v>92</v>
      </c>
      <c r="L331" s="297" t="s">
        <v>2338</v>
      </c>
      <c r="M331" s="297" t="s">
        <v>4071</v>
      </c>
      <c r="N331" s="970"/>
      <c r="O331" s="980">
        <v>412</v>
      </c>
      <c r="P331" s="297" t="s">
        <v>4795</v>
      </c>
    </row>
    <row r="332" spans="1:16">
      <c r="A332" t="s">
        <v>4865</v>
      </c>
      <c r="B332" t="s">
        <v>4883</v>
      </c>
      <c r="C332" s="33">
        <v>96</v>
      </c>
      <c r="D332" t="s">
        <v>1528</v>
      </c>
      <c r="E332" t="s">
        <v>4067</v>
      </c>
      <c r="F332" s="966">
        <f>+'0 MDS General Plant'!F47-F333</f>
        <v>402515.95441074861</v>
      </c>
      <c r="G332" s="984">
        <v>101</v>
      </c>
      <c r="H332" t="s">
        <v>4783</v>
      </c>
      <c r="I332"/>
      <c r="J332" t="s">
        <v>4883</v>
      </c>
      <c r="K332" s="33">
        <v>96</v>
      </c>
      <c r="L332" t="s">
        <v>1528</v>
      </c>
      <c r="M332" t="s">
        <v>4067</v>
      </c>
      <c r="N332" s="966"/>
      <c r="O332" s="984">
        <v>122</v>
      </c>
      <c r="P332" t="s">
        <v>4784</v>
      </c>
    </row>
    <row r="333" spans="1:16" s="763" customFormat="1">
      <c r="B333" t="s">
        <v>4883</v>
      </c>
      <c r="C333" s="976">
        <v>97</v>
      </c>
      <c r="D333" s="763" t="s">
        <v>4887</v>
      </c>
      <c r="E333" s="763" t="s">
        <v>4067</v>
      </c>
      <c r="F333" s="966">
        <f>+'0 MDS General Plant'!I5+'0 MDS General Plant'!J5</f>
        <v>4620.0860300000004</v>
      </c>
      <c r="G333" s="984">
        <v>101</v>
      </c>
      <c r="H333" s="763" t="s">
        <v>4783</v>
      </c>
      <c r="J333" s="763" t="s">
        <v>4883</v>
      </c>
      <c r="K333" s="976">
        <v>97</v>
      </c>
      <c r="L333" s="763" t="s">
        <v>4866</v>
      </c>
      <c r="M333" s="763" t="s">
        <v>4067</v>
      </c>
      <c r="N333" s="966"/>
      <c r="O333" s="984">
        <v>121</v>
      </c>
      <c r="P333" s="763" t="s">
        <v>4816</v>
      </c>
    </row>
    <row r="334" spans="1:16">
      <c r="B334" t="s">
        <v>4883</v>
      </c>
      <c r="C334" s="33">
        <v>98</v>
      </c>
      <c r="D334" t="s">
        <v>1528</v>
      </c>
      <c r="E334" t="s">
        <v>2067</v>
      </c>
      <c r="F334" s="966">
        <f>+'0 MDS General Plant'!F48</f>
        <v>102739.773617499</v>
      </c>
      <c r="G334" s="984">
        <v>201</v>
      </c>
      <c r="H334" t="s">
        <v>4790</v>
      </c>
      <c r="I334"/>
      <c r="J334" t="s">
        <v>4883</v>
      </c>
      <c r="K334" s="33">
        <v>98</v>
      </c>
      <c r="L334" t="s">
        <v>1528</v>
      </c>
      <c r="M334" t="s">
        <v>2067</v>
      </c>
      <c r="N334" s="966"/>
      <c r="O334" s="984">
        <v>201</v>
      </c>
      <c r="P334" t="s">
        <v>4790</v>
      </c>
    </row>
    <row r="335" spans="1:16">
      <c r="B335" t="s">
        <v>4883</v>
      </c>
      <c r="C335" s="33">
        <v>99</v>
      </c>
      <c r="D335" t="s">
        <v>1529</v>
      </c>
      <c r="E335" t="s">
        <v>4067</v>
      </c>
      <c r="F335" s="966">
        <f>+'0 MDS General Plant'!F49</f>
        <v>16490.11411829697</v>
      </c>
      <c r="G335" s="984">
        <v>117</v>
      </c>
      <c r="H335" t="s">
        <v>4785</v>
      </c>
      <c r="I335"/>
      <c r="J335" t="s">
        <v>4883</v>
      </c>
      <c r="K335" s="33">
        <v>99</v>
      </c>
      <c r="L335" t="s">
        <v>1529</v>
      </c>
      <c r="M335" t="s">
        <v>4067</v>
      </c>
      <c r="N335" s="966"/>
      <c r="O335" s="984">
        <v>117</v>
      </c>
      <c r="P335" t="s">
        <v>4785</v>
      </c>
    </row>
    <row r="336" spans="1:16">
      <c r="B336" t="s">
        <v>4883</v>
      </c>
      <c r="C336" s="33">
        <v>100</v>
      </c>
      <c r="D336" t="s">
        <v>1953</v>
      </c>
      <c r="E336" t="s">
        <v>4067</v>
      </c>
      <c r="F336" s="966">
        <f>+'0 MDS General Plant'!F50</f>
        <v>46362.50081632923</v>
      </c>
      <c r="G336" s="984">
        <v>117</v>
      </c>
      <c r="H336" t="s">
        <v>4785</v>
      </c>
      <c r="I336"/>
      <c r="J336" t="s">
        <v>4883</v>
      </c>
      <c r="K336" s="33">
        <v>100</v>
      </c>
      <c r="L336" t="s">
        <v>1953</v>
      </c>
      <c r="M336" t="s">
        <v>4067</v>
      </c>
      <c r="N336" s="966"/>
      <c r="O336" s="984">
        <v>117</v>
      </c>
      <c r="P336" t="s">
        <v>4785</v>
      </c>
    </row>
    <row r="337" spans="1:16">
      <c r="B337" t="s">
        <v>4883</v>
      </c>
      <c r="C337" s="33">
        <v>101</v>
      </c>
      <c r="D337" t="s">
        <v>2040</v>
      </c>
      <c r="E337" t="s">
        <v>4067</v>
      </c>
      <c r="F337" s="966">
        <f>+'0 MDS General Plant'!F51</f>
        <v>234844.84117370314</v>
      </c>
      <c r="G337" s="984">
        <v>105</v>
      </c>
      <c r="H337" t="s">
        <v>4786</v>
      </c>
      <c r="I337"/>
      <c r="J337" t="s">
        <v>4883</v>
      </c>
      <c r="K337" s="33">
        <v>101</v>
      </c>
      <c r="L337" t="s">
        <v>2040</v>
      </c>
      <c r="M337" t="s">
        <v>4067</v>
      </c>
      <c r="N337" s="966"/>
      <c r="O337" s="984">
        <v>105</v>
      </c>
      <c r="P337" t="s">
        <v>4786</v>
      </c>
    </row>
    <row r="338" spans="1:16">
      <c r="B338" t="s">
        <v>4883</v>
      </c>
      <c r="C338" s="33">
        <v>102</v>
      </c>
      <c r="D338" t="s">
        <v>4787</v>
      </c>
      <c r="E338" t="s">
        <v>4067</v>
      </c>
      <c r="F338" s="966">
        <f>+'0 MDS General Plant'!F52</f>
        <v>39277.281761657046</v>
      </c>
      <c r="G338" s="984">
        <v>106</v>
      </c>
      <c r="H338" t="s">
        <v>4788</v>
      </c>
      <c r="I338"/>
      <c r="J338" t="s">
        <v>4883</v>
      </c>
      <c r="K338" s="33">
        <v>102</v>
      </c>
      <c r="L338" t="s">
        <v>4787</v>
      </c>
      <c r="M338" t="s">
        <v>4067</v>
      </c>
      <c r="N338" s="966"/>
      <c r="O338" s="984">
        <v>106</v>
      </c>
      <c r="P338" t="s">
        <v>4788</v>
      </c>
    </row>
    <row r="339" spans="1:16">
      <c r="B339" t="s">
        <v>4883</v>
      </c>
      <c r="C339" s="33">
        <v>103</v>
      </c>
      <c r="D339" t="s">
        <v>1530</v>
      </c>
      <c r="E339" t="s">
        <v>4071</v>
      </c>
      <c r="F339" s="966">
        <f>+'0 MDS General Plant'!F53</f>
        <v>145948.35010242159</v>
      </c>
      <c r="G339" s="984">
        <v>907</v>
      </c>
      <c r="H339" t="s">
        <v>4794</v>
      </c>
      <c r="I339"/>
      <c r="J339" t="s">
        <v>4883</v>
      </c>
      <c r="K339" s="33">
        <v>103</v>
      </c>
      <c r="L339" t="s">
        <v>1530</v>
      </c>
      <c r="M339" t="s">
        <v>4071</v>
      </c>
      <c r="N339" s="966"/>
      <c r="O339" s="984">
        <v>907</v>
      </c>
      <c r="P339" t="s">
        <v>4794</v>
      </c>
    </row>
    <row r="340" spans="1:16">
      <c r="B340" s="297" t="s">
        <v>4883</v>
      </c>
      <c r="C340" s="529">
        <v>104</v>
      </c>
      <c r="D340" s="297" t="s">
        <v>2338</v>
      </c>
      <c r="E340" s="297" t="s">
        <v>4071</v>
      </c>
      <c r="F340" s="970">
        <f>+'0 MDS General Plant'!F54</f>
        <v>197959.63711934417</v>
      </c>
      <c r="G340" s="980">
        <v>412</v>
      </c>
      <c r="H340" s="297" t="s">
        <v>4795</v>
      </c>
      <c r="I340" s="297"/>
      <c r="J340" s="297" t="s">
        <v>4883</v>
      </c>
      <c r="K340" s="529">
        <v>104</v>
      </c>
      <c r="L340" s="297" t="s">
        <v>2338</v>
      </c>
      <c r="M340" s="297" t="s">
        <v>4071</v>
      </c>
      <c r="N340" s="970"/>
      <c r="O340" s="980">
        <v>412</v>
      </c>
      <c r="P340" s="297" t="s">
        <v>4795</v>
      </c>
    </row>
    <row r="341" spans="1:16" s="763" customFormat="1" ht="13.2">
      <c r="A341" s="763" t="s">
        <v>4888</v>
      </c>
      <c r="B341" s="995" t="s">
        <v>4883</v>
      </c>
      <c r="C341" s="996">
        <v>108</v>
      </c>
      <c r="D341" s="995" t="s">
        <v>1528</v>
      </c>
      <c r="E341" s="995" t="s">
        <v>4067</v>
      </c>
      <c r="F341" s="997">
        <f>+'ROU Leases'!C42/1000</f>
        <v>-5.1984228193759919E-6</v>
      </c>
      <c r="G341" s="980">
        <v>101</v>
      </c>
      <c r="H341" s="995" t="s">
        <v>4783</v>
      </c>
      <c r="I341" s="995"/>
      <c r="J341" s="995" t="s">
        <v>4883</v>
      </c>
      <c r="K341" s="996">
        <v>108</v>
      </c>
      <c r="L341" s="995" t="s">
        <v>1528</v>
      </c>
      <c r="M341" s="995" t="s">
        <v>4067</v>
      </c>
      <c r="N341" s="997"/>
      <c r="O341" s="980">
        <v>122</v>
      </c>
      <c r="P341" s="995" t="s">
        <v>4784</v>
      </c>
    </row>
    <row r="342" spans="1:16">
      <c r="I342"/>
    </row>
    <row r="343" spans="1:16">
      <c r="I343"/>
    </row>
    <row r="344" spans="1:16">
      <c r="I344"/>
    </row>
    <row r="345" spans="1:16">
      <c r="F345" s="973" t="s">
        <v>2173</v>
      </c>
      <c r="H345" s="288" t="s">
        <v>4889</v>
      </c>
      <c r="I345"/>
      <c r="N345" s="973" t="s">
        <v>2173</v>
      </c>
      <c r="P345" s="288" t="s">
        <v>4889</v>
      </c>
    </row>
    <row r="346" spans="1:16">
      <c r="F346" s="645" t="s">
        <v>4768</v>
      </c>
      <c r="I346"/>
      <c r="N346" s="645" t="s">
        <v>4769</v>
      </c>
    </row>
    <row r="347" spans="1:16">
      <c r="F347" s="645" t="s">
        <v>9480</v>
      </c>
      <c r="I347"/>
      <c r="N347" s="645" t="s">
        <v>9480</v>
      </c>
    </row>
    <row r="348" spans="1:16">
      <c r="F348" s="645" t="s">
        <v>4770</v>
      </c>
      <c r="I348"/>
      <c r="N348" s="645" t="s">
        <v>4770</v>
      </c>
    </row>
    <row r="349" spans="1:16">
      <c r="F349" s="974" t="s">
        <v>4771</v>
      </c>
      <c r="N349" s="974" t="s">
        <v>4771</v>
      </c>
    </row>
    <row r="350" spans="1:16">
      <c r="I350"/>
    </row>
    <row r="351" spans="1:16">
      <c r="F351" s="645" t="s">
        <v>4772</v>
      </c>
      <c r="I351"/>
      <c r="N351" s="645" t="s">
        <v>4772</v>
      </c>
    </row>
    <row r="352" spans="1:16">
      <c r="F352" s="975"/>
      <c r="I352"/>
      <c r="N352" s="975"/>
    </row>
    <row r="353" spans="1:17">
      <c r="I353"/>
      <c r="N353" s="975"/>
    </row>
    <row r="354" spans="1:17">
      <c r="C354" s="33" t="s">
        <v>2430</v>
      </c>
      <c r="D354" t="s">
        <v>2430</v>
      </c>
      <c r="I354"/>
      <c r="K354" s="33" t="s">
        <v>2182</v>
      </c>
      <c r="L354" s="33" t="s">
        <v>2182</v>
      </c>
    </row>
    <row r="355" spans="1:17">
      <c r="B355" s="297" t="s">
        <v>4868</v>
      </c>
      <c r="C355" s="529" t="s">
        <v>4869</v>
      </c>
      <c r="D355" s="297" t="s">
        <v>2437</v>
      </c>
      <c r="E355" s="297"/>
      <c r="F355" s="506" t="s">
        <v>2963</v>
      </c>
      <c r="G355" s="989"/>
      <c r="H355" s="297"/>
      <c r="I355" s="297"/>
      <c r="J355" s="297" t="s">
        <v>4683</v>
      </c>
      <c r="K355" s="529" t="s">
        <v>3216</v>
      </c>
      <c r="L355" s="529" t="s">
        <v>2052</v>
      </c>
      <c r="M355" s="297"/>
      <c r="N355" s="977" t="s">
        <v>2185</v>
      </c>
      <c r="O355" s="989"/>
      <c r="P355" s="297" t="s">
        <v>4774</v>
      </c>
    </row>
    <row r="356" spans="1:17">
      <c r="I356"/>
    </row>
    <row r="357" spans="1:17">
      <c r="A357" t="s">
        <v>1441</v>
      </c>
      <c r="B357" t="s">
        <v>4890</v>
      </c>
      <c r="C357" s="33">
        <v>2</v>
      </c>
      <c r="D357" t="s">
        <v>1528</v>
      </c>
      <c r="E357" t="s">
        <v>4067</v>
      </c>
      <c r="F357" s="966">
        <f>+'0 MDS PHFFU'!F42</f>
        <v>26353.446</v>
      </c>
      <c r="G357" s="984">
        <v>101</v>
      </c>
      <c r="H357" t="s">
        <v>4783</v>
      </c>
      <c r="I357"/>
      <c r="J357" t="s">
        <v>4890</v>
      </c>
      <c r="K357" s="33">
        <v>2</v>
      </c>
      <c r="L357" t="s">
        <v>1528</v>
      </c>
      <c r="M357" t="s">
        <v>4067</v>
      </c>
      <c r="N357" s="966"/>
      <c r="O357" s="984">
        <v>122</v>
      </c>
      <c r="P357" t="s">
        <v>4784</v>
      </c>
    </row>
    <row r="358" spans="1:17">
      <c r="B358" t="s">
        <v>4890</v>
      </c>
      <c r="C358" s="33">
        <v>3</v>
      </c>
      <c r="D358" s="96" t="s">
        <v>4891</v>
      </c>
      <c r="E358" t="s">
        <v>4067</v>
      </c>
      <c r="F358" s="966">
        <f>+'0 MDS PHFFU'!D8/1000</f>
        <v>0</v>
      </c>
      <c r="G358" s="984">
        <v>101</v>
      </c>
      <c r="H358" t="s">
        <v>4783</v>
      </c>
      <c r="I358"/>
      <c r="J358" t="s">
        <v>4890</v>
      </c>
      <c r="K358" s="33">
        <v>4</v>
      </c>
      <c r="L358" t="s">
        <v>1528</v>
      </c>
      <c r="M358" t="s">
        <v>4067</v>
      </c>
      <c r="N358" s="966"/>
      <c r="O358" s="984">
        <v>201</v>
      </c>
      <c r="P358" t="s">
        <v>4790</v>
      </c>
    </row>
    <row r="359" spans="1:17">
      <c r="A359" t="s">
        <v>1760</v>
      </c>
      <c r="B359" t="s">
        <v>4890</v>
      </c>
      <c r="C359" s="33">
        <v>5</v>
      </c>
      <c r="D359" t="s">
        <v>1529</v>
      </c>
      <c r="E359" t="s">
        <v>4067</v>
      </c>
      <c r="F359" s="966">
        <f>+'0 MDS PHFFU'!F43</f>
        <v>11373.125945033229</v>
      </c>
      <c r="G359" s="984">
        <v>117</v>
      </c>
      <c r="H359" t="s">
        <v>4785</v>
      </c>
      <c r="I359"/>
      <c r="J359" t="s">
        <v>4890</v>
      </c>
      <c r="K359" s="33">
        <v>5</v>
      </c>
      <c r="L359" t="s">
        <v>1529</v>
      </c>
      <c r="M359" t="s">
        <v>4067</v>
      </c>
      <c r="N359" s="966"/>
      <c r="O359" s="984">
        <v>117</v>
      </c>
      <c r="P359" t="s">
        <v>4785</v>
      </c>
    </row>
    <row r="360" spans="1:17">
      <c r="B360" t="s">
        <v>4890</v>
      </c>
      <c r="C360" s="33">
        <v>6</v>
      </c>
      <c r="D360" t="s">
        <v>1953</v>
      </c>
      <c r="E360" t="s">
        <v>4067</v>
      </c>
      <c r="F360" s="966">
        <f>+'0 MDS PHFFU'!F44</f>
        <v>11177.485054966772</v>
      </c>
      <c r="G360" s="984">
        <v>117</v>
      </c>
      <c r="H360" t="s">
        <v>4785</v>
      </c>
      <c r="I360"/>
      <c r="J360" t="s">
        <v>4890</v>
      </c>
      <c r="K360" s="33">
        <v>6</v>
      </c>
      <c r="L360" t="s">
        <v>1953</v>
      </c>
      <c r="M360" t="s">
        <v>4067</v>
      </c>
      <c r="N360" s="966"/>
      <c r="O360" s="984">
        <v>117</v>
      </c>
      <c r="P360" t="s">
        <v>4785</v>
      </c>
    </row>
    <row r="361" spans="1:17">
      <c r="A361" t="s">
        <v>4892</v>
      </c>
      <c r="B361" t="s">
        <v>4890</v>
      </c>
      <c r="C361" s="33">
        <v>7</v>
      </c>
      <c r="D361" t="s">
        <v>2040</v>
      </c>
      <c r="E361" t="s">
        <v>4067</v>
      </c>
      <c r="F361" s="966">
        <f>+'0 MDS PHFFU'!F45</f>
        <v>20590.486000000001</v>
      </c>
      <c r="G361" s="984">
        <v>105</v>
      </c>
      <c r="H361" t="s">
        <v>4786</v>
      </c>
      <c r="I361"/>
      <c r="J361" t="s">
        <v>4890</v>
      </c>
      <c r="K361" s="33">
        <v>7</v>
      </c>
      <c r="L361" t="s">
        <v>2040</v>
      </c>
      <c r="M361" t="s">
        <v>4067</v>
      </c>
      <c r="N361" s="966"/>
      <c r="O361" s="984">
        <v>105</v>
      </c>
      <c r="P361" t="s">
        <v>4786</v>
      </c>
    </row>
    <row r="362" spans="1:17">
      <c r="B362" t="s">
        <v>4890</v>
      </c>
      <c r="C362" s="33">
        <v>8</v>
      </c>
      <c r="D362" t="s">
        <v>4787</v>
      </c>
      <c r="E362" t="s">
        <v>4067</v>
      </c>
      <c r="F362" s="88">
        <v>0</v>
      </c>
      <c r="G362" s="984">
        <v>106</v>
      </c>
      <c r="H362" t="s">
        <v>4788</v>
      </c>
      <c r="I362"/>
      <c r="J362" t="s">
        <v>4890</v>
      </c>
      <c r="K362" s="33">
        <v>8</v>
      </c>
      <c r="L362" t="s">
        <v>4787</v>
      </c>
      <c r="M362" t="s">
        <v>4067</v>
      </c>
      <c r="N362" s="966"/>
      <c r="O362" s="984">
        <v>106</v>
      </c>
      <c r="P362" t="s">
        <v>4788</v>
      </c>
    </row>
    <row r="363" spans="1:17">
      <c r="B363" t="s">
        <v>4890</v>
      </c>
      <c r="C363" s="33">
        <v>9</v>
      </c>
      <c r="D363" t="s">
        <v>1530</v>
      </c>
      <c r="E363" t="s">
        <v>4071</v>
      </c>
      <c r="F363" s="88">
        <v>0</v>
      </c>
      <c r="G363" s="984">
        <v>907</v>
      </c>
      <c r="H363" t="s">
        <v>4794</v>
      </c>
      <c r="I363"/>
      <c r="J363" t="s">
        <v>4890</v>
      </c>
      <c r="K363" s="33">
        <v>9</v>
      </c>
      <c r="L363" t="s">
        <v>1530</v>
      </c>
      <c r="M363" t="s">
        <v>4071</v>
      </c>
      <c r="N363" s="966"/>
      <c r="O363" s="984">
        <v>907</v>
      </c>
      <c r="P363" t="s">
        <v>4794</v>
      </c>
    </row>
    <row r="364" spans="1:17">
      <c r="A364" t="s">
        <v>4893</v>
      </c>
      <c r="B364" s="297" t="s">
        <v>4890</v>
      </c>
      <c r="C364" s="529">
        <v>10</v>
      </c>
      <c r="D364" s="297" t="s">
        <v>2338</v>
      </c>
      <c r="E364" s="297" t="s">
        <v>4071</v>
      </c>
      <c r="F364" s="888">
        <v>0</v>
      </c>
      <c r="G364" s="980">
        <v>412</v>
      </c>
      <c r="H364" s="297" t="s">
        <v>4795</v>
      </c>
      <c r="I364" s="297"/>
      <c r="J364" s="297" t="s">
        <v>4890</v>
      </c>
      <c r="K364" s="529">
        <v>10</v>
      </c>
      <c r="L364" s="297" t="s">
        <v>2338</v>
      </c>
      <c r="M364" s="297" t="s">
        <v>4071</v>
      </c>
      <c r="N364" s="970"/>
      <c r="O364" s="980">
        <v>412</v>
      </c>
      <c r="P364" s="297" t="s">
        <v>4795</v>
      </c>
      <c r="Q364" s="297"/>
    </row>
    <row r="365" spans="1:17">
      <c r="A365" s="96" t="s">
        <v>1441</v>
      </c>
      <c r="B365" t="s">
        <v>4894</v>
      </c>
      <c r="C365" s="33">
        <v>2</v>
      </c>
      <c r="D365" t="s">
        <v>4884</v>
      </c>
      <c r="E365" t="s">
        <v>4067</v>
      </c>
      <c r="F365" s="966">
        <f>+SUM(Generation!F84:F87,Generation!F93)</f>
        <v>419404.27470307692</v>
      </c>
      <c r="G365" s="984">
        <v>101</v>
      </c>
      <c r="H365" t="s">
        <v>4783</v>
      </c>
      <c r="I365"/>
      <c r="J365" t="s">
        <v>4894</v>
      </c>
      <c r="K365" s="33">
        <v>2</v>
      </c>
      <c r="L365" t="s">
        <v>4884</v>
      </c>
      <c r="M365" t="s">
        <v>4067</v>
      </c>
      <c r="N365" s="966"/>
      <c r="O365" s="984">
        <v>122</v>
      </c>
      <c r="P365" t="s">
        <v>4784</v>
      </c>
    </row>
    <row r="366" spans="1:17">
      <c r="B366" t="s">
        <v>4894</v>
      </c>
      <c r="C366" s="33">
        <v>4</v>
      </c>
      <c r="D366" t="s">
        <v>4885</v>
      </c>
      <c r="E366" t="s">
        <v>2067</v>
      </c>
      <c r="F366" s="966">
        <f>+Generation!F88</f>
        <v>125219.77679999999</v>
      </c>
      <c r="G366" s="984">
        <v>101</v>
      </c>
      <c r="H366" t="s">
        <v>4783</v>
      </c>
      <c r="I366"/>
      <c r="J366" t="s">
        <v>4894</v>
      </c>
      <c r="K366" s="33">
        <v>4</v>
      </c>
      <c r="L366" t="s">
        <v>4885</v>
      </c>
      <c r="M366" t="s">
        <v>2067</v>
      </c>
      <c r="N366" s="966"/>
      <c r="O366" s="984">
        <v>201</v>
      </c>
      <c r="P366" t="s">
        <v>4790</v>
      </c>
    </row>
    <row r="367" spans="1:17">
      <c r="B367" t="s">
        <v>4894</v>
      </c>
      <c r="C367" s="33">
        <v>2</v>
      </c>
      <c r="D367" t="s">
        <v>4884</v>
      </c>
      <c r="E367" t="s">
        <v>4067</v>
      </c>
      <c r="F367" s="966">
        <f>+Generation!F125-F368-F369</f>
        <v>1123380.6824930836</v>
      </c>
      <c r="G367" s="984">
        <v>101</v>
      </c>
      <c r="H367" t="s">
        <v>4783</v>
      </c>
      <c r="I367"/>
      <c r="J367" t="s">
        <v>4894</v>
      </c>
      <c r="K367" s="33">
        <v>2</v>
      </c>
      <c r="L367" t="s">
        <v>4884</v>
      </c>
      <c r="M367" t="s">
        <v>4067</v>
      </c>
      <c r="N367" s="966"/>
      <c r="O367" s="984">
        <v>122</v>
      </c>
      <c r="P367" t="s">
        <v>4784</v>
      </c>
    </row>
    <row r="368" spans="1:17">
      <c r="B368" t="s">
        <v>4894</v>
      </c>
      <c r="C368" s="33">
        <v>3</v>
      </c>
      <c r="D368" s="293" t="s">
        <v>4854</v>
      </c>
      <c r="E368" t="s">
        <v>4067</v>
      </c>
      <c r="F368" s="966">
        <f>+Generation!F103</f>
        <v>222985.51598999996</v>
      </c>
      <c r="G368" s="984">
        <v>101</v>
      </c>
      <c r="H368" t="s">
        <v>4783</v>
      </c>
      <c r="I368"/>
      <c r="J368" t="s">
        <v>4894</v>
      </c>
      <c r="K368" s="33">
        <v>3</v>
      </c>
      <c r="L368" t="s">
        <v>4854</v>
      </c>
      <c r="M368" t="s">
        <v>4067</v>
      </c>
      <c r="N368" s="966"/>
      <c r="O368" s="984">
        <v>121</v>
      </c>
      <c r="P368" t="s">
        <v>4816</v>
      </c>
    </row>
    <row r="369" spans="1:16">
      <c r="B369" s="297" t="s">
        <v>4894</v>
      </c>
      <c r="C369" s="529">
        <v>4</v>
      </c>
      <c r="D369" s="297" t="s">
        <v>4885</v>
      </c>
      <c r="E369" s="297" t="s">
        <v>2067</v>
      </c>
      <c r="F369" s="970">
        <f>+Generation!J125</f>
        <v>168528.48019691644</v>
      </c>
      <c r="G369" s="980">
        <v>101</v>
      </c>
      <c r="H369" s="297" t="s">
        <v>4783</v>
      </c>
      <c r="I369" s="297"/>
      <c r="J369" s="297" t="s">
        <v>4894</v>
      </c>
      <c r="K369" s="529">
        <v>4</v>
      </c>
      <c r="L369" s="297" t="s">
        <v>4885</v>
      </c>
      <c r="M369" s="297" t="s">
        <v>2067</v>
      </c>
      <c r="N369" s="970"/>
      <c r="O369" s="980">
        <v>201</v>
      </c>
      <c r="P369" s="297" t="s">
        <v>4790</v>
      </c>
    </row>
    <row r="370" spans="1:16">
      <c r="A370" t="s">
        <v>1760</v>
      </c>
      <c r="B370" t="s">
        <v>4894</v>
      </c>
      <c r="C370" s="33">
        <v>9</v>
      </c>
      <c r="D370" t="s">
        <v>4817</v>
      </c>
      <c r="E370" t="s">
        <v>4067</v>
      </c>
      <c r="F370" s="966">
        <f>+Transmission!G130-F371</f>
        <v>46015.61165400179</v>
      </c>
      <c r="G370" s="984">
        <v>101</v>
      </c>
      <c r="H370" t="s">
        <v>4783</v>
      </c>
      <c r="I370"/>
      <c r="J370" t="s">
        <v>4894</v>
      </c>
      <c r="K370" s="33">
        <v>9</v>
      </c>
      <c r="L370" t="s">
        <v>4817</v>
      </c>
      <c r="M370" t="s">
        <v>4067</v>
      </c>
      <c r="N370" s="966"/>
      <c r="O370" s="984">
        <v>122</v>
      </c>
      <c r="P370" t="s">
        <v>4784</v>
      </c>
    </row>
    <row r="371" spans="1:16" s="765" customFormat="1">
      <c r="B371" t="s">
        <v>4894</v>
      </c>
      <c r="C371" s="33">
        <v>10</v>
      </c>
      <c r="D371" s="763" t="s">
        <v>4855</v>
      </c>
      <c r="E371" s="763" t="s">
        <v>4067</v>
      </c>
      <c r="F371" s="966">
        <f>+SUM(Transmission!D6,Transmission!D13)/1000</f>
        <v>0</v>
      </c>
      <c r="G371" s="984">
        <v>101</v>
      </c>
      <c r="H371" t="s">
        <v>4783</v>
      </c>
      <c r="I371"/>
      <c r="J371" t="s">
        <v>4894</v>
      </c>
      <c r="K371" s="33">
        <v>10</v>
      </c>
      <c r="L371" s="763" t="s">
        <v>4855</v>
      </c>
      <c r="M371" t="s">
        <v>4067</v>
      </c>
      <c r="N371" s="966"/>
      <c r="O371" s="984">
        <v>121</v>
      </c>
      <c r="P371" t="s">
        <v>4816</v>
      </c>
    </row>
    <row r="372" spans="1:16">
      <c r="B372" t="s">
        <v>4894</v>
      </c>
      <c r="C372" s="33">
        <v>13</v>
      </c>
      <c r="D372" t="s">
        <v>4818</v>
      </c>
      <c r="E372" t="s">
        <v>4067</v>
      </c>
      <c r="F372" s="966">
        <f>+Transmission!H130+Transmission!I131</f>
        <v>142075.10412521986</v>
      </c>
      <c r="G372" s="984">
        <v>117</v>
      </c>
      <c r="H372" t="s">
        <v>4785</v>
      </c>
      <c r="I372"/>
      <c r="J372" t="s">
        <v>4894</v>
      </c>
      <c r="K372" s="33">
        <v>13</v>
      </c>
      <c r="L372" t="s">
        <v>4818</v>
      </c>
      <c r="M372" t="s">
        <v>4067</v>
      </c>
      <c r="N372" s="966"/>
      <c r="O372" s="984">
        <v>117</v>
      </c>
      <c r="P372" t="s">
        <v>4785</v>
      </c>
    </row>
    <row r="373" spans="1:16">
      <c r="B373" t="s">
        <v>4894</v>
      </c>
      <c r="C373" s="33">
        <v>16</v>
      </c>
      <c r="D373" t="s">
        <v>4819</v>
      </c>
      <c r="E373" t="s">
        <v>4067</v>
      </c>
      <c r="F373" s="966">
        <f>+Transmission!J130</f>
        <v>46668.032578042963</v>
      </c>
      <c r="G373" s="984">
        <v>117</v>
      </c>
      <c r="H373" t="s">
        <v>4785</v>
      </c>
      <c r="I373"/>
      <c r="J373" t="s">
        <v>4894</v>
      </c>
      <c r="K373" s="33">
        <v>16</v>
      </c>
      <c r="L373" t="s">
        <v>4819</v>
      </c>
      <c r="M373" t="s">
        <v>4067</v>
      </c>
      <c r="N373" s="445"/>
      <c r="O373" s="984">
        <v>117</v>
      </c>
      <c r="P373" t="s">
        <v>4785</v>
      </c>
    </row>
    <row r="374" spans="1:16">
      <c r="B374" s="297" t="s">
        <v>4894</v>
      </c>
      <c r="C374" s="529">
        <v>17</v>
      </c>
      <c r="D374" s="297" t="s">
        <v>3125</v>
      </c>
      <c r="E374" s="297" t="s">
        <v>4067</v>
      </c>
      <c r="F374" s="970">
        <f>+Transmission!J131</f>
        <v>77381.677112735357</v>
      </c>
      <c r="G374" s="980">
        <v>117</v>
      </c>
      <c r="H374" s="297" t="s">
        <v>4785</v>
      </c>
      <c r="I374" s="297"/>
      <c r="J374" s="297" t="s">
        <v>4894</v>
      </c>
      <c r="K374" s="529">
        <v>17</v>
      </c>
      <c r="L374" s="297" t="s">
        <v>3125</v>
      </c>
      <c r="M374" s="297" t="s">
        <v>4067</v>
      </c>
      <c r="N374" s="970"/>
      <c r="O374" s="980">
        <v>117</v>
      </c>
      <c r="P374" s="297" t="s">
        <v>4785</v>
      </c>
    </row>
    <row r="375" spans="1:16">
      <c r="A375" t="s">
        <v>1762</v>
      </c>
      <c r="B375" t="s">
        <v>4894</v>
      </c>
      <c r="C375" s="33">
        <v>22</v>
      </c>
      <c r="D375" t="s">
        <v>4819</v>
      </c>
      <c r="E375" t="s">
        <v>4067</v>
      </c>
      <c r="F375" s="445">
        <f>+'0 MDS Distribution'!E107</f>
        <v>92545.866450000001</v>
      </c>
      <c r="G375" s="984">
        <v>105</v>
      </c>
      <c r="H375" t="s">
        <v>4786</v>
      </c>
      <c r="I375"/>
      <c r="J375" t="s">
        <v>4894</v>
      </c>
      <c r="K375" s="33">
        <v>22</v>
      </c>
      <c r="L375" t="s">
        <v>4819</v>
      </c>
      <c r="M375" t="s">
        <v>4067</v>
      </c>
      <c r="N375" s="445"/>
      <c r="O375" s="984">
        <v>105</v>
      </c>
      <c r="P375" t="s">
        <v>4786</v>
      </c>
    </row>
    <row r="376" spans="1:16">
      <c r="B376" t="s">
        <v>4894</v>
      </c>
      <c r="C376" s="33">
        <v>24</v>
      </c>
      <c r="D376" t="s">
        <v>4857</v>
      </c>
      <c r="E376" t="s">
        <v>4071</v>
      </c>
      <c r="F376" s="445">
        <f>+'0 MDS Distribution'!E111</f>
        <v>14631.668475942406</v>
      </c>
      <c r="G376" s="984">
        <v>310</v>
      </c>
      <c r="H376" t="s">
        <v>4821</v>
      </c>
      <c r="I376"/>
      <c r="J376" t="s">
        <v>4894</v>
      </c>
      <c r="K376" s="33">
        <v>24</v>
      </c>
      <c r="L376" t="s">
        <v>4857</v>
      </c>
      <c r="M376" t="s">
        <v>4071</v>
      </c>
      <c r="N376" s="445"/>
      <c r="O376" s="984">
        <v>310</v>
      </c>
      <c r="P376" t="s">
        <v>4821</v>
      </c>
    </row>
    <row r="377" spans="1:16">
      <c r="B377" t="s">
        <v>4894</v>
      </c>
      <c r="C377" s="33">
        <v>25</v>
      </c>
      <c r="D377" t="s">
        <v>4858</v>
      </c>
      <c r="E377" t="s">
        <v>4067</v>
      </c>
      <c r="F377" s="445">
        <f>+'0 MDS Distribution'!E112</f>
        <v>137305.75619418611</v>
      </c>
      <c r="G377" s="984">
        <v>105</v>
      </c>
      <c r="H377" t="s">
        <v>4786</v>
      </c>
      <c r="I377"/>
      <c r="J377" t="s">
        <v>4894</v>
      </c>
      <c r="K377" s="33">
        <v>25</v>
      </c>
      <c r="L377" t="s">
        <v>4858</v>
      </c>
      <c r="M377" t="s">
        <v>4067</v>
      </c>
      <c r="N377" s="445"/>
      <c r="O377" s="984">
        <v>105</v>
      </c>
      <c r="P377" t="s">
        <v>4786</v>
      </c>
    </row>
    <row r="378" spans="1:16">
      <c r="B378" t="s">
        <v>4894</v>
      </c>
      <c r="C378" s="33">
        <v>26</v>
      </c>
      <c r="D378" t="s">
        <v>4859</v>
      </c>
      <c r="E378" t="s">
        <v>4071</v>
      </c>
      <c r="F378" s="445">
        <f>+'0 MDS Distribution'!E113</f>
        <v>0</v>
      </c>
      <c r="G378" s="984">
        <v>418</v>
      </c>
      <c r="H378" t="s">
        <v>4824</v>
      </c>
      <c r="I378"/>
      <c r="J378" t="s">
        <v>4894</v>
      </c>
      <c r="K378" s="33">
        <v>26</v>
      </c>
      <c r="L378" t="s">
        <v>4859</v>
      </c>
      <c r="M378" t="s">
        <v>4071</v>
      </c>
      <c r="N378" s="445"/>
      <c r="O378" s="984">
        <v>418</v>
      </c>
      <c r="P378" t="s">
        <v>4824</v>
      </c>
    </row>
    <row r="379" spans="1:16">
      <c r="B379" t="s">
        <v>4894</v>
      </c>
      <c r="C379" s="33">
        <v>27</v>
      </c>
      <c r="D379" t="s">
        <v>4860</v>
      </c>
      <c r="E379" t="s">
        <v>4067</v>
      </c>
      <c r="F379" s="445">
        <f>+'0 MDS Distribution'!E114</f>
        <v>41236.554519871468</v>
      </c>
      <c r="G379" s="984">
        <v>106</v>
      </c>
      <c r="H379" t="s">
        <v>4788</v>
      </c>
      <c r="I379"/>
      <c r="J379" t="s">
        <v>4894</v>
      </c>
      <c r="K379" s="33">
        <v>27</v>
      </c>
      <c r="L379" t="s">
        <v>4860</v>
      </c>
      <c r="M379" t="s">
        <v>4067</v>
      </c>
      <c r="N379" s="445"/>
      <c r="O379" s="984">
        <v>106</v>
      </c>
      <c r="P379" t="s">
        <v>4788</v>
      </c>
    </row>
    <row r="380" spans="1:16">
      <c r="B380" t="s">
        <v>4894</v>
      </c>
      <c r="C380" s="33">
        <v>28</v>
      </c>
      <c r="D380" t="s">
        <v>4861</v>
      </c>
      <c r="E380" t="s">
        <v>4071</v>
      </c>
      <c r="F380" s="445">
        <f>+'0 MDS Distribution'!E115</f>
        <v>0</v>
      </c>
      <c r="G380" s="984">
        <v>420</v>
      </c>
      <c r="H380" t="s">
        <v>4781</v>
      </c>
      <c r="I380"/>
      <c r="J380" t="s">
        <v>4894</v>
      </c>
      <c r="K380" s="33">
        <v>28</v>
      </c>
      <c r="L380" t="s">
        <v>4861</v>
      </c>
      <c r="M380" t="s">
        <v>4071</v>
      </c>
      <c r="N380" s="445"/>
      <c r="O380" s="984">
        <v>420</v>
      </c>
      <c r="P380" t="s">
        <v>4781</v>
      </c>
    </row>
    <row r="381" spans="1:16">
      <c r="B381" t="s">
        <v>4894</v>
      </c>
      <c r="C381" s="33">
        <v>31</v>
      </c>
      <c r="D381" t="s">
        <v>4820</v>
      </c>
      <c r="E381" t="s">
        <v>4071</v>
      </c>
      <c r="F381" s="445">
        <f>+'0 MDS Distribution'!E118</f>
        <v>2332.0188410518558</v>
      </c>
      <c r="G381" s="984">
        <v>310</v>
      </c>
      <c r="H381" t="s">
        <v>4821</v>
      </c>
      <c r="I381"/>
      <c r="J381" t="s">
        <v>4894</v>
      </c>
      <c r="K381" s="33">
        <v>31</v>
      </c>
      <c r="L381" t="s">
        <v>4820</v>
      </c>
      <c r="M381" t="s">
        <v>4071</v>
      </c>
      <c r="N381" s="445"/>
      <c r="O381" s="984">
        <v>310</v>
      </c>
      <c r="P381" t="s">
        <v>4821</v>
      </c>
    </row>
    <row r="382" spans="1:16">
      <c r="B382" t="s">
        <v>4894</v>
      </c>
      <c r="C382" s="33">
        <v>32</v>
      </c>
      <c r="D382" t="s">
        <v>4822</v>
      </c>
      <c r="E382" t="s">
        <v>4067</v>
      </c>
      <c r="F382" s="445">
        <f>+'0 MDS Distribution'!E119</f>
        <v>129229.6256603201</v>
      </c>
      <c r="G382" s="984">
        <v>105</v>
      </c>
      <c r="H382" t="s">
        <v>4786</v>
      </c>
      <c r="I382"/>
      <c r="J382" t="s">
        <v>4894</v>
      </c>
      <c r="K382" s="33">
        <v>32</v>
      </c>
      <c r="L382" t="s">
        <v>4822</v>
      </c>
      <c r="M382" t="s">
        <v>4067</v>
      </c>
      <c r="N382" s="445"/>
      <c r="O382" s="984">
        <v>105</v>
      </c>
      <c r="P382" t="s">
        <v>4786</v>
      </c>
    </row>
    <row r="383" spans="1:16">
      <c r="B383" t="s">
        <v>4894</v>
      </c>
      <c r="C383" s="33">
        <v>33</v>
      </c>
      <c r="D383" t="s">
        <v>4823</v>
      </c>
      <c r="E383" t="s">
        <v>4071</v>
      </c>
      <c r="F383" s="445">
        <f>+'0 MDS Distribution'!E120</f>
        <v>0</v>
      </c>
      <c r="G383" s="984">
        <v>418</v>
      </c>
      <c r="H383" t="s">
        <v>4824</v>
      </c>
      <c r="I383"/>
      <c r="J383" t="s">
        <v>4894</v>
      </c>
      <c r="K383" s="33">
        <v>33</v>
      </c>
      <c r="L383" t="s">
        <v>4823</v>
      </c>
      <c r="M383" t="s">
        <v>4071</v>
      </c>
      <c r="N383" s="445"/>
      <c r="O383" s="984">
        <v>418</v>
      </c>
      <c r="P383" t="s">
        <v>4824</v>
      </c>
    </row>
    <row r="384" spans="1:16">
      <c r="B384" t="s">
        <v>4894</v>
      </c>
      <c r="C384" s="33">
        <v>34</v>
      </c>
      <c r="D384" t="s">
        <v>4825</v>
      </c>
      <c r="E384" t="s">
        <v>4067</v>
      </c>
      <c r="F384" s="445">
        <f>+'0 MDS Distribution'!E121</f>
        <v>19659.49503862804</v>
      </c>
      <c r="G384" s="984">
        <v>106</v>
      </c>
      <c r="H384" t="s">
        <v>4788</v>
      </c>
      <c r="I384"/>
      <c r="J384" t="s">
        <v>4894</v>
      </c>
      <c r="K384" s="33">
        <v>34</v>
      </c>
      <c r="L384" t="s">
        <v>4825</v>
      </c>
      <c r="M384" t="s">
        <v>4067</v>
      </c>
      <c r="N384" s="445"/>
      <c r="O384" s="984">
        <v>106</v>
      </c>
      <c r="P384" t="s">
        <v>4788</v>
      </c>
    </row>
    <row r="385" spans="1:16">
      <c r="B385" t="s">
        <v>4894</v>
      </c>
      <c r="C385" s="33">
        <v>35</v>
      </c>
      <c r="D385" t="s">
        <v>4886</v>
      </c>
      <c r="E385" t="s">
        <v>4071</v>
      </c>
      <c r="F385" s="445">
        <f>+'0 MDS Distribution'!E122</f>
        <v>0</v>
      </c>
      <c r="G385" s="984">
        <v>420</v>
      </c>
      <c r="H385" t="s">
        <v>4781</v>
      </c>
      <c r="I385"/>
      <c r="J385" t="s">
        <v>4894</v>
      </c>
      <c r="K385" s="33">
        <v>35</v>
      </c>
      <c r="L385" t="s">
        <v>4826</v>
      </c>
      <c r="M385" t="s">
        <v>4071</v>
      </c>
      <c r="N385" s="445"/>
      <c r="O385" s="984">
        <v>420</v>
      </c>
      <c r="P385" t="s">
        <v>4781</v>
      </c>
    </row>
    <row r="386" spans="1:16">
      <c r="B386" t="s">
        <v>4894</v>
      </c>
      <c r="C386" s="33">
        <v>38</v>
      </c>
      <c r="D386" t="s">
        <v>4827</v>
      </c>
      <c r="E386" t="s">
        <v>4071</v>
      </c>
      <c r="F386" s="445">
        <f>+'0 MDS Distribution'!E125</f>
        <v>72.255280302396912</v>
      </c>
      <c r="G386" s="984">
        <v>310</v>
      </c>
      <c r="H386" t="s">
        <v>4821</v>
      </c>
      <c r="I386"/>
      <c r="J386" t="s">
        <v>4894</v>
      </c>
      <c r="K386" s="33">
        <v>38</v>
      </c>
      <c r="L386" t="s">
        <v>4827</v>
      </c>
      <c r="M386" t="s">
        <v>4071</v>
      </c>
      <c r="N386" s="445"/>
      <c r="O386" s="984">
        <v>310</v>
      </c>
      <c r="P386" t="s">
        <v>4821</v>
      </c>
    </row>
    <row r="387" spans="1:16">
      <c r="B387" t="s">
        <v>4894</v>
      </c>
      <c r="C387" s="33">
        <v>39</v>
      </c>
      <c r="D387" t="s">
        <v>4828</v>
      </c>
      <c r="E387" t="s">
        <v>4067</v>
      </c>
      <c r="F387" s="445">
        <f>+'0 MDS Distribution'!E126</f>
        <v>141098.14499999696</v>
      </c>
      <c r="G387" s="984">
        <v>105</v>
      </c>
      <c r="H387" t="s">
        <v>4786</v>
      </c>
      <c r="I387"/>
      <c r="J387" t="s">
        <v>4894</v>
      </c>
      <c r="K387" s="33">
        <v>39</v>
      </c>
      <c r="L387" t="s">
        <v>4828</v>
      </c>
      <c r="M387" t="s">
        <v>4067</v>
      </c>
      <c r="N387" s="445"/>
      <c r="O387" s="984">
        <v>105</v>
      </c>
      <c r="P387" t="s">
        <v>4786</v>
      </c>
    </row>
    <row r="388" spans="1:16">
      <c r="B388" t="s">
        <v>4894</v>
      </c>
      <c r="C388" s="33">
        <v>40</v>
      </c>
      <c r="D388" t="s">
        <v>4829</v>
      </c>
      <c r="E388" t="s">
        <v>4071</v>
      </c>
      <c r="F388" s="445">
        <f>+'0 MDS Distribution'!E127</f>
        <v>0</v>
      </c>
      <c r="G388" s="984">
        <v>418</v>
      </c>
      <c r="H388" t="s">
        <v>4824</v>
      </c>
      <c r="I388"/>
      <c r="J388" t="s">
        <v>4894</v>
      </c>
      <c r="K388" s="33">
        <v>40</v>
      </c>
      <c r="L388" t="s">
        <v>4829</v>
      </c>
      <c r="M388" t="s">
        <v>4071</v>
      </c>
      <c r="N388" s="445"/>
      <c r="O388" s="984">
        <v>418</v>
      </c>
      <c r="P388" t="s">
        <v>4824</v>
      </c>
    </row>
    <row r="389" spans="1:16">
      <c r="B389" t="s">
        <v>4894</v>
      </c>
      <c r="C389" s="33">
        <v>41</v>
      </c>
      <c r="D389" t="s">
        <v>4830</v>
      </c>
      <c r="E389" t="s">
        <v>4067</v>
      </c>
      <c r="F389" s="445">
        <f>+'0 MDS Distribution'!E128</f>
        <v>10758.21235970067</v>
      </c>
      <c r="G389" s="984">
        <v>106</v>
      </c>
      <c r="H389" t="s">
        <v>4788</v>
      </c>
      <c r="I389"/>
      <c r="J389" t="s">
        <v>4894</v>
      </c>
      <c r="K389" s="33">
        <v>41</v>
      </c>
      <c r="L389" t="s">
        <v>4830</v>
      </c>
      <c r="M389" t="s">
        <v>4067</v>
      </c>
      <c r="N389" s="445"/>
      <c r="O389" s="984">
        <v>106</v>
      </c>
      <c r="P389" t="s">
        <v>4788</v>
      </c>
    </row>
    <row r="390" spans="1:16">
      <c r="B390" t="s">
        <v>4894</v>
      </c>
      <c r="C390" s="33">
        <v>42</v>
      </c>
      <c r="D390" t="s">
        <v>4831</v>
      </c>
      <c r="E390" t="s">
        <v>4071</v>
      </c>
      <c r="F390" s="445">
        <f>+'0 MDS Distribution'!E129</f>
        <v>0</v>
      </c>
      <c r="G390" s="984">
        <v>420</v>
      </c>
      <c r="H390" t="s">
        <v>4781</v>
      </c>
      <c r="I390"/>
      <c r="J390" t="s">
        <v>4894</v>
      </c>
      <c r="K390" s="33">
        <v>42</v>
      </c>
      <c r="L390" t="s">
        <v>4831</v>
      </c>
      <c r="M390" t="s">
        <v>4071</v>
      </c>
      <c r="N390" s="445"/>
      <c r="O390" s="984">
        <v>420</v>
      </c>
      <c r="P390" t="s">
        <v>4781</v>
      </c>
    </row>
    <row r="391" spans="1:16">
      <c r="B391" t="s">
        <v>4894</v>
      </c>
      <c r="C391" s="33">
        <v>45</v>
      </c>
      <c r="D391" t="s">
        <v>4832</v>
      </c>
      <c r="E391" t="s">
        <v>4071</v>
      </c>
      <c r="F391" s="445">
        <f>+'0 MDS Distribution'!E132</f>
        <v>0</v>
      </c>
      <c r="G391" s="984">
        <v>310</v>
      </c>
      <c r="H391" t="s">
        <v>4821</v>
      </c>
      <c r="I391"/>
      <c r="J391" t="s">
        <v>4894</v>
      </c>
      <c r="K391" s="33">
        <v>45</v>
      </c>
      <c r="L391" t="s">
        <v>4832</v>
      </c>
      <c r="M391" t="s">
        <v>4071</v>
      </c>
      <c r="N391" s="445"/>
      <c r="O391" s="984">
        <v>310</v>
      </c>
      <c r="P391" t="s">
        <v>4821</v>
      </c>
    </row>
    <row r="392" spans="1:16">
      <c r="B392" t="s">
        <v>4894</v>
      </c>
      <c r="C392" s="33">
        <v>46</v>
      </c>
      <c r="D392" t="s">
        <v>4833</v>
      </c>
      <c r="E392" t="s">
        <v>4067</v>
      </c>
      <c r="F392" s="445">
        <f>+'0 MDS Distribution'!E133</f>
        <v>61807.293146566983</v>
      </c>
      <c r="G392" s="984">
        <v>105</v>
      </c>
      <c r="H392" t="s">
        <v>4786</v>
      </c>
      <c r="I392"/>
      <c r="J392" t="s">
        <v>4894</v>
      </c>
      <c r="K392" s="33">
        <v>46</v>
      </c>
      <c r="L392" t="s">
        <v>4833</v>
      </c>
      <c r="M392" t="s">
        <v>4067</v>
      </c>
      <c r="N392" s="445"/>
      <c r="O392" s="984">
        <v>105</v>
      </c>
      <c r="P392" t="s">
        <v>4786</v>
      </c>
    </row>
    <row r="393" spans="1:16">
      <c r="B393" t="s">
        <v>4894</v>
      </c>
      <c r="C393" s="33">
        <v>47</v>
      </c>
      <c r="D393" t="s">
        <v>4834</v>
      </c>
      <c r="E393" t="s">
        <v>4071</v>
      </c>
      <c r="F393" s="445">
        <f>+'0 MDS Distribution'!E134</f>
        <v>0</v>
      </c>
      <c r="G393" s="984">
        <v>418</v>
      </c>
      <c r="H393" t="s">
        <v>4824</v>
      </c>
      <c r="I393"/>
      <c r="J393" t="s">
        <v>4894</v>
      </c>
      <c r="K393" s="33">
        <v>47</v>
      </c>
      <c r="L393" t="s">
        <v>4834</v>
      </c>
      <c r="M393" t="s">
        <v>4071</v>
      </c>
      <c r="N393" s="445"/>
      <c r="O393" s="984">
        <v>418</v>
      </c>
      <c r="P393" t="s">
        <v>4824</v>
      </c>
    </row>
    <row r="394" spans="1:16">
      <c r="B394" t="s">
        <v>4894</v>
      </c>
      <c r="C394" s="33">
        <v>48</v>
      </c>
      <c r="D394" t="s">
        <v>4835</v>
      </c>
      <c r="E394" t="s">
        <v>4067</v>
      </c>
      <c r="F394" s="445">
        <f>+'0 MDS Distribution'!E135</f>
        <v>313998.53075343295</v>
      </c>
      <c r="G394" s="984">
        <v>106</v>
      </c>
      <c r="H394" t="s">
        <v>4788</v>
      </c>
      <c r="I394"/>
      <c r="J394" t="s">
        <v>4894</v>
      </c>
      <c r="K394" s="33">
        <v>48</v>
      </c>
      <c r="L394" t="s">
        <v>4835</v>
      </c>
      <c r="M394" t="s">
        <v>4067</v>
      </c>
      <c r="N394" s="445"/>
      <c r="O394" s="984">
        <v>106</v>
      </c>
      <c r="P394" t="s">
        <v>4788</v>
      </c>
    </row>
    <row r="395" spans="1:16">
      <c r="B395" t="s">
        <v>4894</v>
      </c>
      <c r="C395" s="33">
        <v>49</v>
      </c>
      <c r="D395" t="s">
        <v>4836</v>
      </c>
      <c r="E395" t="s">
        <v>4071</v>
      </c>
      <c r="F395" s="445">
        <f>+'0 MDS Distribution'!E136</f>
        <v>0</v>
      </c>
      <c r="G395" s="984">
        <v>420</v>
      </c>
      <c r="H395" t="s">
        <v>4781</v>
      </c>
      <c r="I395"/>
      <c r="J395" t="s">
        <v>4894</v>
      </c>
      <c r="K395" s="33">
        <v>49</v>
      </c>
      <c r="L395" t="s">
        <v>4836</v>
      </c>
      <c r="M395" t="s">
        <v>4071</v>
      </c>
      <c r="N395" s="445"/>
      <c r="O395" s="984">
        <v>420</v>
      </c>
      <c r="P395" t="s">
        <v>4781</v>
      </c>
    </row>
    <row r="396" spans="1:16">
      <c r="B396" t="s">
        <v>4894</v>
      </c>
      <c r="C396" s="33">
        <v>52</v>
      </c>
      <c r="D396" t="s">
        <v>4060</v>
      </c>
      <c r="E396" t="s">
        <v>4071</v>
      </c>
      <c r="F396" s="445">
        <f>+'0 MDS Distribution'!E139</f>
        <v>143574.07361000002</v>
      </c>
      <c r="G396" s="984">
        <v>420</v>
      </c>
      <c r="H396" t="s">
        <v>4781</v>
      </c>
      <c r="I396"/>
      <c r="J396" t="s">
        <v>4894</v>
      </c>
      <c r="K396" s="33">
        <v>52</v>
      </c>
      <c r="L396" t="s">
        <v>4060</v>
      </c>
      <c r="M396" t="s">
        <v>4071</v>
      </c>
      <c r="N396" s="445"/>
      <c r="O396" s="984">
        <v>420</v>
      </c>
      <c r="P396" t="s">
        <v>4781</v>
      </c>
    </row>
    <row r="397" spans="1:16">
      <c r="B397" t="s">
        <v>4894</v>
      </c>
      <c r="C397" s="33">
        <v>53</v>
      </c>
      <c r="D397" t="s">
        <v>4053</v>
      </c>
      <c r="E397" t="s">
        <v>4071</v>
      </c>
      <c r="F397" s="445">
        <f>+'0 MDS Distribution'!E140</f>
        <v>25380.59634</v>
      </c>
      <c r="G397" s="984">
        <v>308</v>
      </c>
      <c r="H397" t="s">
        <v>4837</v>
      </c>
      <c r="I397"/>
      <c r="J397" t="s">
        <v>4894</v>
      </c>
      <c r="K397" s="33">
        <v>53</v>
      </c>
      <c r="L397" t="s">
        <v>4053</v>
      </c>
      <c r="M397" t="s">
        <v>4071</v>
      </c>
      <c r="N397" s="445"/>
      <c r="O397" s="984">
        <v>308</v>
      </c>
      <c r="P397" t="s">
        <v>4837</v>
      </c>
    </row>
    <row r="398" spans="1:16">
      <c r="B398" t="s">
        <v>4894</v>
      </c>
      <c r="C398" s="33">
        <v>54</v>
      </c>
      <c r="D398" t="s">
        <v>4862</v>
      </c>
      <c r="E398" t="s">
        <v>4071</v>
      </c>
      <c r="F398" s="445">
        <f>+'0 MDS Distribution'!E141</f>
        <v>0</v>
      </c>
      <c r="G398" s="984">
        <v>412</v>
      </c>
      <c r="H398" t="s">
        <v>4795</v>
      </c>
      <c r="I398"/>
      <c r="J398" t="s">
        <v>4894</v>
      </c>
      <c r="K398" s="33">
        <v>54</v>
      </c>
      <c r="L398" t="s">
        <v>4862</v>
      </c>
      <c r="M398" t="s">
        <v>4071</v>
      </c>
      <c r="N398" s="445"/>
      <c r="O398" s="984">
        <v>309</v>
      </c>
      <c r="P398" t="s">
        <v>4839</v>
      </c>
    </row>
    <row r="399" spans="1:16">
      <c r="B399" s="297" t="s">
        <v>4894</v>
      </c>
      <c r="C399" s="529">
        <v>55</v>
      </c>
      <c r="D399" s="297" t="s">
        <v>4840</v>
      </c>
      <c r="E399" s="297" t="s">
        <v>4071</v>
      </c>
      <c r="F399" s="970">
        <f>+'0 MDS Distribution'!E142</f>
        <v>132134.3505</v>
      </c>
      <c r="G399" s="980">
        <v>310</v>
      </c>
      <c r="H399" s="297" t="s">
        <v>4821</v>
      </c>
      <c r="I399" s="297"/>
      <c r="J399" s="297" t="s">
        <v>4894</v>
      </c>
      <c r="K399" s="529">
        <v>55</v>
      </c>
      <c r="L399" s="297" t="s">
        <v>4840</v>
      </c>
      <c r="M399" s="297" t="s">
        <v>4071</v>
      </c>
      <c r="N399" s="970"/>
      <c r="O399" s="980">
        <v>310</v>
      </c>
      <c r="P399" s="297" t="s">
        <v>4821</v>
      </c>
    </row>
    <row r="400" spans="1:16">
      <c r="A400" t="s">
        <v>4863</v>
      </c>
      <c r="B400" t="s">
        <v>4894</v>
      </c>
      <c r="C400" s="33">
        <v>75</v>
      </c>
      <c r="D400" t="s">
        <v>1528</v>
      </c>
      <c r="E400" t="s">
        <v>4067</v>
      </c>
      <c r="F400" s="966">
        <f>+'0 MDS Communications Equipment'!I53</f>
        <v>13815.640279301399</v>
      </c>
      <c r="G400" s="984">
        <v>101</v>
      </c>
      <c r="H400" t="s">
        <v>4783</v>
      </c>
      <c r="I400"/>
      <c r="J400" t="s">
        <v>4894</v>
      </c>
      <c r="K400" s="33">
        <v>75</v>
      </c>
      <c r="L400" t="s">
        <v>1528</v>
      </c>
      <c r="M400" t="s">
        <v>4067</v>
      </c>
      <c r="N400" s="445"/>
      <c r="O400" s="984">
        <v>122</v>
      </c>
      <c r="P400" t="s">
        <v>4784</v>
      </c>
    </row>
    <row r="401" spans="1:16">
      <c r="B401" t="s">
        <v>4894</v>
      </c>
      <c r="C401" s="33">
        <v>76</v>
      </c>
      <c r="D401" t="s">
        <v>1528</v>
      </c>
      <c r="E401" t="s">
        <v>2067</v>
      </c>
      <c r="F401" s="966">
        <f>+'0 MDS Communications Equipment'!I54</f>
        <v>3432.7320436592199</v>
      </c>
      <c r="G401" s="984">
        <v>201</v>
      </c>
      <c r="H401" t="s">
        <v>4790</v>
      </c>
      <c r="I401"/>
      <c r="J401" t="s">
        <v>4894</v>
      </c>
      <c r="K401" s="33">
        <v>76</v>
      </c>
      <c r="L401" t="s">
        <v>1528</v>
      </c>
      <c r="M401" t="s">
        <v>2067</v>
      </c>
      <c r="N401" s="445"/>
      <c r="O401" s="984">
        <v>201</v>
      </c>
      <c r="P401" t="s">
        <v>4790</v>
      </c>
    </row>
    <row r="402" spans="1:16">
      <c r="A402" s="512"/>
      <c r="B402" t="s">
        <v>4894</v>
      </c>
      <c r="C402" s="33">
        <v>77</v>
      </c>
      <c r="D402" t="s">
        <v>1529</v>
      </c>
      <c r="E402" t="s">
        <v>4067</v>
      </c>
      <c r="F402" s="966">
        <f>+'0 MDS Communications Equipment'!I55</f>
        <v>2603.9579505471925</v>
      </c>
      <c r="G402" s="984">
        <v>117</v>
      </c>
      <c r="H402" t="s">
        <v>4785</v>
      </c>
      <c r="I402"/>
      <c r="J402" t="s">
        <v>4894</v>
      </c>
      <c r="K402" s="33">
        <v>77</v>
      </c>
      <c r="L402" t="s">
        <v>1529</v>
      </c>
      <c r="M402" t="s">
        <v>4067</v>
      </c>
      <c r="N402" s="445"/>
      <c r="O402" s="984">
        <v>117</v>
      </c>
      <c r="P402" t="s">
        <v>4785</v>
      </c>
    </row>
    <row r="403" spans="1:16">
      <c r="B403" t="s">
        <v>4894</v>
      </c>
      <c r="C403" s="33">
        <v>78</v>
      </c>
      <c r="D403" t="s">
        <v>1953</v>
      </c>
      <c r="E403" t="s">
        <v>4067</v>
      </c>
      <c r="F403" s="966">
        <f>+'0 MDS Communications Equipment'!I56</f>
        <v>2096.1895225654221</v>
      </c>
      <c r="G403" s="984">
        <v>117</v>
      </c>
      <c r="H403" t="s">
        <v>4785</v>
      </c>
      <c r="I403"/>
      <c r="J403" t="s">
        <v>4894</v>
      </c>
      <c r="K403" s="33">
        <v>78</v>
      </c>
      <c r="L403" t="s">
        <v>1953</v>
      </c>
      <c r="M403" t="s">
        <v>4067</v>
      </c>
      <c r="N403" s="445"/>
      <c r="O403" s="984">
        <v>117</v>
      </c>
      <c r="P403" t="s">
        <v>4785</v>
      </c>
    </row>
    <row r="404" spans="1:16">
      <c r="B404" t="s">
        <v>4894</v>
      </c>
      <c r="C404" s="33">
        <v>79</v>
      </c>
      <c r="D404" t="s">
        <v>2040</v>
      </c>
      <c r="E404" t="s">
        <v>4067</v>
      </c>
      <c r="F404" s="966">
        <f>+'0 MDS Communications Equipment'!I57</f>
        <v>12653.366065433218</v>
      </c>
      <c r="G404" s="984">
        <v>105</v>
      </c>
      <c r="H404" t="s">
        <v>4786</v>
      </c>
      <c r="I404"/>
      <c r="J404" t="s">
        <v>4894</v>
      </c>
      <c r="K404" s="33">
        <v>79</v>
      </c>
      <c r="L404" t="s">
        <v>2040</v>
      </c>
      <c r="M404" t="s">
        <v>4067</v>
      </c>
      <c r="N404" s="445"/>
      <c r="O404" s="984">
        <v>105</v>
      </c>
      <c r="P404" t="s">
        <v>4786</v>
      </c>
    </row>
    <row r="405" spans="1:16">
      <c r="B405" t="s">
        <v>4894</v>
      </c>
      <c r="C405" s="33">
        <v>80</v>
      </c>
      <c r="D405" t="s">
        <v>4787</v>
      </c>
      <c r="E405" t="s">
        <v>4067</v>
      </c>
      <c r="F405" s="966">
        <f>+'0 MDS Communications Equipment'!I58</f>
        <v>4111.8827865414332</v>
      </c>
      <c r="G405" s="984">
        <v>106</v>
      </c>
      <c r="H405" t="s">
        <v>4788</v>
      </c>
      <c r="I405"/>
      <c r="J405" t="s">
        <v>4894</v>
      </c>
      <c r="K405" s="33">
        <v>80</v>
      </c>
      <c r="L405" t="s">
        <v>4787</v>
      </c>
      <c r="M405" t="s">
        <v>4067</v>
      </c>
      <c r="N405" s="445"/>
      <c r="O405" s="984">
        <v>106</v>
      </c>
      <c r="P405" t="s">
        <v>4788</v>
      </c>
    </row>
    <row r="406" spans="1:16">
      <c r="B406" t="s">
        <v>4894</v>
      </c>
      <c r="C406" s="33">
        <v>81</v>
      </c>
      <c r="D406" t="s">
        <v>1530</v>
      </c>
      <c r="E406" t="s">
        <v>4071</v>
      </c>
      <c r="F406" s="966">
        <f>+'0 MDS Communications Equipment'!I59</f>
        <v>4876.4131015220055</v>
      </c>
      <c r="G406" s="984">
        <v>907</v>
      </c>
      <c r="H406" t="s">
        <v>4794</v>
      </c>
      <c r="I406"/>
      <c r="J406" t="s">
        <v>4894</v>
      </c>
      <c r="K406" s="33">
        <v>81</v>
      </c>
      <c r="L406" t="s">
        <v>1530</v>
      </c>
      <c r="M406" t="s">
        <v>4071</v>
      </c>
      <c r="N406" s="445"/>
      <c r="O406" s="984">
        <v>907</v>
      </c>
      <c r="P406" t="s">
        <v>4794</v>
      </c>
    </row>
    <row r="407" spans="1:16">
      <c r="B407" s="297" t="s">
        <v>4894</v>
      </c>
      <c r="C407" s="529">
        <v>82</v>
      </c>
      <c r="D407" s="297" t="s">
        <v>2338</v>
      </c>
      <c r="E407" s="297" t="s">
        <v>4071</v>
      </c>
      <c r="F407" s="970">
        <f>+'0 MDS Communications Equipment'!I60</f>
        <v>6605.2154604301122</v>
      </c>
      <c r="G407" s="980">
        <v>412</v>
      </c>
      <c r="H407" s="297" t="s">
        <v>4795</v>
      </c>
      <c r="I407" s="297"/>
      <c r="J407" s="297" t="s">
        <v>4894</v>
      </c>
      <c r="K407" s="529">
        <v>82</v>
      </c>
      <c r="L407" s="297" t="s">
        <v>2338</v>
      </c>
      <c r="M407" s="297" t="s">
        <v>4071</v>
      </c>
      <c r="N407" s="970"/>
      <c r="O407" s="980">
        <v>412</v>
      </c>
      <c r="P407" s="297" t="s">
        <v>4795</v>
      </c>
    </row>
    <row r="408" spans="1:16">
      <c r="A408" t="s">
        <v>4864</v>
      </c>
      <c r="B408" t="s">
        <v>4894</v>
      </c>
      <c r="C408" s="33">
        <v>86</v>
      </c>
      <c r="D408" t="s">
        <v>1528</v>
      </c>
      <c r="E408" t="s">
        <v>4067</v>
      </c>
      <c r="F408" s="966">
        <f>+'0 MDS Transportation Equipment'!G40</f>
        <v>2680.6932400000001</v>
      </c>
      <c r="G408" s="984">
        <v>101</v>
      </c>
      <c r="H408" t="s">
        <v>4783</v>
      </c>
      <c r="I408"/>
      <c r="J408" t="s">
        <v>4894</v>
      </c>
      <c r="K408" s="33">
        <v>86</v>
      </c>
      <c r="L408" t="s">
        <v>1528</v>
      </c>
      <c r="M408" t="s">
        <v>4067</v>
      </c>
      <c r="N408" s="445"/>
      <c r="O408" s="984">
        <v>122</v>
      </c>
      <c r="P408" t="s">
        <v>4784</v>
      </c>
    </row>
    <row r="409" spans="1:16">
      <c r="B409" t="s">
        <v>4894</v>
      </c>
      <c r="C409" s="33">
        <v>88</v>
      </c>
      <c r="D409" t="s">
        <v>1529</v>
      </c>
      <c r="E409" t="s">
        <v>4067</v>
      </c>
      <c r="F409" s="966">
        <f>+'0 MDS Transportation Equipment'!G41</f>
        <v>952.8592729462988</v>
      </c>
      <c r="G409" s="984">
        <v>117</v>
      </c>
      <c r="H409" t="s">
        <v>4785</v>
      </c>
      <c r="I409"/>
      <c r="J409" t="s">
        <v>4894</v>
      </c>
      <c r="K409" s="33">
        <v>88</v>
      </c>
      <c r="L409" t="s">
        <v>1529</v>
      </c>
      <c r="M409" t="s">
        <v>4067</v>
      </c>
      <c r="N409" s="445"/>
      <c r="O409" s="984">
        <v>117</v>
      </c>
      <c r="P409" t="s">
        <v>4785</v>
      </c>
    </row>
    <row r="410" spans="1:16">
      <c r="A410" s="512"/>
      <c r="B410" t="s">
        <v>4894</v>
      </c>
      <c r="C410" s="33">
        <v>89</v>
      </c>
      <c r="D410" t="s">
        <v>1953</v>
      </c>
      <c r="E410" t="s">
        <v>4067</v>
      </c>
      <c r="F410" s="966">
        <f>+'0 MDS Transportation Equipment'!G42</f>
        <v>2678.9953364120242</v>
      </c>
      <c r="G410" s="984">
        <v>117</v>
      </c>
      <c r="H410" t="s">
        <v>4785</v>
      </c>
      <c r="I410"/>
      <c r="J410" t="s">
        <v>4894</v>
      </c>
      <c r="K410" s="33">
        <v>89</v>
      </c>
      <c r="L410" t="s">
        <v>1953</v>
      </c>
      <c r="M410" t="s">
        <v>4067</v>
      </c>
      <c r="N410" s="445"/>
      <c r="O410" s="984">
        <v>117</v>
      </c>
      <c r="P410" t="s">
        <v>4785</v>
      </c>
    </row>
    <row r="411" spans="1:16">
      <c r="B411" t="s">
        <v>4894</v>
      </c>
      <c r="C411" s="33">
        <v>90</v>
      </c>
      <c r="D411" t="s">
        <v>2040</v>
      </c>
      <c r="E411" t="s">
        <v>4067</v>
      </c>
      <c r="F411" s="966">
        <f>+'0 MDS Transportation Equipment'!G43</f>
        <v>13156.454648959279</v>
      </c>
      <c r="G411" s="984">
        <v>105</v>
      </c>
      <c r="H411" t="s">
        <v>4786</v>
      </c>
      <c r="I411"/>
      <c r="J411" t="s">
        <v>4894</v>
      </c>
      <c r="K411" s="33">
        <v>90</v>
      </c>
      <c r="L411" t="s">
        <v>2040</v>
      </c>
      <c r="M411" t="s">
        <v>4067</v>
      </c>
      <c r="N411" s="445"/>
      <c r="O411" s="984">
        <v>105</v>
      </c>
      <c r="P411" t="s">
        <v>4786</v>
      </c>
    </row>
    <row r="412" spans="1:16">
      <c r="B412" t="s">
        <v>4894</v>
      </c>
      <c r="C412" s="33">
        <v>91</v>
      </c>
      <c r="D412" t="s">
        <v>4787</v>
      </c>
      <c r="E412" t="s">
        <v>4067</v>
      </c>
      <c r="F412" s="966">
        <f>+'0 MDS Transportation Equipment'!G44</f>
        <v>2269.5853936627964</v>
      </c>
      <c r="G412" s="984">
        <v>106</v>
      </c>
      <c r="H412" t="s">
        <v>4788</v>
      </c>
      <c r="I412"/>
      <c r="J412" t="s">
        <v>4894</v>
      </c>
      <c r="K412" s="33">
        <v>91</v>
      </c>
      <c r="L412" t="s">
        <v>4787</v>
      </c>
      <c r="M412" t="s">
        <v>4067</v>
      </c>
      <c r="N412" s="445"/>
      <c r="O412" s="984">
        <v>106</v>
      </c>
      <c r="P412" t="s">
        <v>4788</v>
      </c>
    </row>
    <row r="413" spans="1:16">
      <c r="B413" t="s">
        <v>4894</v>
      </c>
      <c r="C413" s="33">
        <v>92</v>
      </c>
      <c r="D413" t="s">
        <v>1530</v>
      </c>
      <c r="E413" t="s">
        <v>4071</v>
      </c>
      <c r="F413" s="966">
        <f>+'0 MDS Transportation Equipment'!G45</f>
        <v>8433.4309495165417</v>
      </c>
      <c r="G413" s="984">
        <v>907</v>
      </c>
      <c r="H413" t="s">
        <v>4794</v>
      </c>
      <c r="I413"/>
      <c r="J413" t="s">
        <v>4894</v>
      </c>
      <c r="K413" s="33">
        <v>92</v>
      </c>
      <c r="L413" t="s">
        <v>1530</v>
      </c>
      <c r="M413" t="s">
        <v>4071</v>
      </c>
      <c r="N413" s="445"/>
      <c r="O413" s="984">
        <v>907</v>
      </c>
      <c r="P413" t="s">
        <v>4794</v>
      </c>
    </row>
    <row r="414" spans="1:16">
      <c r="B414" s="297" t="s">
        <v>4894</v>
      </c>
      <c r="C414" s="529">
        <v>93</v>
      </c>
      <c r="D414" s="297" t="s">
        <v>2338</v>
      </c>
      <c r="E414" s="297" t="s">
        <v>4071</v>
      </c>
      <c r="F414" s="970">
        <f>+'0 MDS Transportation Equipment'!G46</f>
        <v>11423.27922850305</v>
      </c>
      <c r="G414" s="980">
        <v>412</v>
      </c>
      <c r="H414" s="297" t="s">
        <v>4795</v>
      </c>
      <c r="I414" s="297"/>
      <c r="J414" s="297" t="s">
        <v>4894</v>
      </c>
      <c r="K414" s="529">
        <v>93</v>
      </c>
      <c r="L414" s="297" t="s">
        <v>2338</v>
      </c>
      <c r="M414" s="297" t="s">
        <v>4071</v>
      </c>
      <c r="N414" s="970"/>
      <c r="O414" s="980">
        <v>412</v>
      </c>
      <c r="P414" s="297" t="s">
        <v>4795</v>
      </c>
    </row>
    <row r="415" spans="1:16">
      <c r="A415" t="s">
        <v>4865</v>
      </c>
      <c r="B415" t="s">
        <v>4894</v>
      </c>
      <c r="C415" s="33">
        <v>97</v>
      </c>
      <c r="D415" t="s">
        <v>1528</v>
      </c>
      <c r="E415" t="s">
        <v>4067</v>
      </c>
      <c r="F415" s="966">
        <f>+'0 MDS General Plant'!H47-'0 MDS Allocation Assignment'!F416</f>
        <v>99691.257924697406</v>
      </c>
      <c r="G415" s="984">
        <v>101</v>
      </c>
      <c r="H415" t="s">
        <v>4783</v>
      </c>
      <c r="I415"/>
      <c r="J415" t="s">
        <v>4894</v>
      </c>
      <c r="K415" s="33">
        <v>97</v>
      </c>
      <c r="L415" t="s">
        <v>1528</v>
      </c>
      <c r="M415" t="s">
        <v>4067</v>
      </c>
      <c r="N415" s="445"/>
      <c r="O415" s="984">
        <v>122</v>
      </c>
      <c r="P415" t="s">
        <v>4784</v>
      </c>
    </row>
    <row r="416" spans="1:16" s="763" customFormat="1" ht="13.2">
      <c r="B416" s="763" t="s">
        <v>4894</v>
      </c>
      <c r="C416" s="976">
        <v>98</v>
      </c>
      <c r="D416" s="763" t="s">
        <v>4887</v>
      </c>
      <c r="E416" s="763" t="s">
        <v>4067</v>
      </c>
      <c r="F416" s="966">
        <f>+'0 MDS General Plant'!I6+'0 MDS General Plant'!J6</f>
        <v>439.12268</v>
      </c>
      <c r="G416" s="984">
        <v>101</v>
      </c>
      <c r="H416" s="763" t="s">
        <v>4783</v>
      </c>
      <c r="J416" s="763" t="s">
        <v>4894</v>
      </c>
      <c r="K416" s="976">
        <v>98</v>
      </c>
      <c r="L416" s="763" t="s">
        <v>4866</v>
      </c>
      <c r="M416" s="763" t="s">
        <v>4067</v>
      </c>
      <c r="N416" s="445"/>
      <c r="O416" s="984">
        <v>121</v>
      </c>
      <c r="P416" s="763" t="s">
        <v>4816</v>
      </c>
    </row>
    <row r="417" spans="1:16">
      <c r="B417" t="s">
        <v>4894</v>
      </c>
      <c r="C417" s="33">
        <v>99</v>
      </c>
      <c r="D417" t="s">
        <v>1528</v>
      </c>
      <c r="E417" t="s">
        <v>2067</v>
      </c>
      <c r="F417" s="966">
        <f>+'0 MDS General Plant'!H48</f>
        <v>25438.678738913521</v>
      </c>
      <c r="G417" s="984">
        <v>201</v>
      </c>
      <c r="H417" t="s">
        <v>4790</v>
      </c>
      <c r="I417"/>
      <c r="J417" t="s">
        <v>4894</v>
      </c>
      <c r="K417" s="33">
        <v>99</v>
      </c>
      <c r="L417" t="s">
        <v>1528</v>
      </c>
      <c r="M417" t="s">
        <v>2067</v>
      </c>
      <c r="N417" s="445"/>
      <c r="O417" s="984">
        <v>201</v>
      </c>
      <c r="P417" t="s">
        <v>4790</v>
      </c>
    </row>
    <row r="418" spans="1:16">
      <c r="B418" t="s">
        <v>4894</v>
      </c>
      <c r="C418" s="33">
        <v>100</v>
      </c>
      <c r="D418" t="s">
        <v>1529</v>
      </c>
      <c r="E418" t="s">
        <v>4067</v>
      </c>
      <c r="F418" s="966">
        <f>+'0 MDS General Plant'!H49</f>
        <v>4083.0021388321447</v>
      </c>
      <c r="G418" s="984">
        <v>117</v>
      </c>
      <c r="H418" t="s">
        <v>4785</v>
      </c>
      <c r="I418"/>
      <c r="J418" t="s">
        <v>4894</v>
      </c>
      <c r="K418" s="33">
        <v>100</v>
      </c>
      <c r="L418" t="s">
        <v>1529</v>
      </c>
      <c r="M418" t="s">
        <v>4067</v>
      </c>
      <c r="N418" s="445"/>
      <c r="O418" s="984">
        <v>117</v>
      </c>
      <c r="P418" t="s">
        <v>4785</v>
      </c>
    </row>
    <row r="419" spans="1:16">
      <c r="A419" s="512"/>
      <c r="B419" t="s">
        <v>4894</v>
      </c>
      <c r="C419" s="33">
        <v>101</v>
      </c>
      <c r="D419" t="s">
        <v>1953</v>
      </c>
      <c r="E419" t="s">
        <v>4067</v>
      </c>
      <c r="F419" s="966">
        <f>+'0 MDS General Plant'!H50</f>
        <v>11479.495450224891</v>
      </c>
      <c r="G419" s="984">
        <v>117</v>
      </c>
      <c r="H419" t="s">
        <v>4785</v>
      </c>
      <c r="I419"/>
      <c r="J419" t="s">
        <v>4894</v>
      </c>
      <c r="K419" s="33">
        <v>101</v>
      </c>
      <c r="L419" t="s">
        <v>1953</v>
      </c>
      <c r="M419" t="s">
        <v>4067</v>
      </c>
      <c r="N419" s="445"/>
      <c r="O419" s="984">
        <v>117</v>
      </c>
      <c r="P419" t="s">
        <v>4785</v>
      </c>
    </row>
    <row r="420" spans="1:16">
      <c r="B420" t="s">
        <v>4894</v>
      </c>
      <c r="C420" s="33">
        <v>102</v>
      </c>
      <c r="D420" t="s">
        <v>2040</v>
      </c>
      <c r="E420" t="s">
        <v>4067</v>
      </c>
      <c r="F420" s="966">
        <f>+'0 MDS General Plant'!H51</f>
        <v>58292.843850673315</v>
      </c>
      <c r="G420" s="984">
        <v>105</v>
      </c>
      <c r="H420" t="s">
        <v>4786</v>
      </c>
      <c r="I420"/>
      <c r="J420" t="s">
        <v>4894</v>
      </c>
      <c r="K420" s="33">
        <v>102</v>
      </c>
      <c r="L420" t="s">
        <v>2040</v>
      </c>
      <c r="M420" t="s">
        <v>4067</v>
      </c>
      <c r="N420" s="445"/>
      <c r="O420" s="984">
        <v>105</v>
      </c>
      <c r="P420" t="s">
        <v>4786</v>
      </c>
    </row>
    <row r="421" spans="1:16">
      <c r="B421" t="s">
        <v>4894</v>
      </c>
      <c r="C421" s="33">
        <v>103</v>
      </c>
      <c r="D421" t="s">
        <v>4787</v>
      </c>
      <c r="E421" t="s">
        <v>4067</v>
      </c>
      <c r="F421" s="966">
        <f>+'0 MDS General Plant'!H52</f>
        <v>9725.1737792655622</v>
      </c>
      <c r="G421" s="984">
        <v>106</v>
      </c>
      <c r="H421" t="s">
        <v>4788</v>
      </c>
      <c r="I421"/>
      <c r="J421" t="s">
        <v>4894</v>
      </c>
      <c r="K421" s="33">
        <v>103</v>
      </c>
      <c r="L421" t="s">
        <v>4787</v>
      </c>
      <c r="M421" t="s">
        <v>4067</v>
      </c>
      <c r="N421" s="445"/>
      <c r="O421" s="984">
        <v>106</v>
      </c>
      <c r="P421" t="s">
        <v>4788</v>
      </c>
    </row>
    <row r="422" spans="1:16">
      <c r="B422" t="s">
        <v>4894</v>
      </c>
      <c r="C422" s="33">
        <v>104</v>
      </c>
      <c r="D422" t="s">
        <v>1530</v>
      </c>
      <c r="E422" t="s">
        <v>4071</v>
      </c>
      <c r="F422" s="966">
        <f>+'0 MDS General Plant'!H53</f>
        <v>36137.252983956481</v>
      </c>
      <c r="G422" s="984">
        <v>907</v>
      </c>
      <c r="H422" t="s">
        <v>4794</v>
      </c>
      <c r="I422"/>
      <c r="J422" t="s">
        <v>4894</v>
      </c>
      <c r="K422" s="33">
        <v>104</v>
      </c>
      <c r="L422" t="s">
        <v>1530</v>
      </c>
      <c r="M422" t="s">
        <v>4071</v>
      </c>
      <c r="N422" s="445"/>
      <c r="O422" s="984">
        <v>907</v>
      </c>
      <c r="P422" t="s">
        <v>4794</v>
      </c>
    </row>
    <row r="423" spans="1:16">
      <c r="B423" s="297" t="s">
        <v>4894</v>
      </c>
      <c r="C423" s="529">
        <v>105</v>
      </c>
      <c r="D423" s="297" t="s">
        <v>2338</v>
      </c>
      <c r="E423" s="297" t="s">
        <v>4071</v>
      </c>
      <c r="F423" s="970">
        <f>+'0 MDS General Plant'!H54</f>
        <v>49095.376013436653</v>
      </c>
      <c r="G423" s="980">
        <v>412</v>
      </c>
      <c r="H423" s="297" t="s">
        <v>4795</v>
      </c>
      <c r="I423" s="297"/>
      <c r="J423" s="297" t="s">
        <v>4894</v>
      </c>
      <c r="K423" s="529">
        <v>105</v>
      </c>
      <c r="L423" s="297" t="s">
        <v>2338</v>
      </c>
      <c r="M423" s="297" t="s">
        <v>4071</v>
      </c>
      <c r="N423" s="970"/>
      <c r="O423" s="980">
        <v>412</v>
      </c>
      <c r="P423" s="297" t="s">
        <v>4795</v>
      </c>
    </row>
    <row r="424" spans="1:16">
      <c r="F424" s="445"/>
      <c r="G424" s="984"/>
      <c r="I424"/>
      <c r="N424" s="445"/>
      <c r="O424" s="984"/>
    </row>
    <row r="425" spans="1:16">
      <c r="F425" s="445"/>
      <c r="G425" s="984"/>
      <c r="I425"/>
      <c r="N425" s="445"/>
      <c r="O425" s="984"/>
    </row>
    <row r="426" spans="1:16">
      <c r="F426" s="445"/>
      <c r="G426" s="984"/>
      <c r="I426"/>
      <c r="N426" s="445"/>
      <c r="O426" s="984"/>
    </row>
    <row r="427" spans="1:16">
      <c r="F427" s="445"/>
      <c r="G427" s="984"/>
      <c r="I427"/>
      <c r="N427" s="445"/>
      <c r="O427" s="984"/>
    </row>
    <row r="428" spans="1:16">
      <c r="F428" s="445"/>
      <c r="G428" s="984"/>
      <c r="I428"/>
      <c r="N428" s="445"/>
      <c r="O428" s="984"/>
    </row>
    <row r="429" spans="1:16">
      <c r="F429" s="445"/>
      <c r="G429" s="984"/>
      <c r="I429"/>
      <c r="N429" s="445"/>
      <c r="O429" s="984"/>
    </row>
    <row r="430" spans="1:16">
      <c r="F430" s="445"/>
      <c r="G430" s="984"/>
      <c r="I430"/>
      <c r="N430" s="445"/>
      <c r="O430" s="984"/>
    </row>
    <row r="431" spans="1:16">
      <c r="F431" s="445"/>
      <c r="G431" s="984"/>
      <c r="I431"/>
      <c r="N431" s="445"/>
      <c r="O431" s="984"/>
    </row>
    <row r="432" spans="1:16">
      <c r="F432" s="973" t="s">
        <v>2173</v>
      </c>
      <c r="H432" s="288" t="s">
        <v>4895</v>
      </c>
      <c r="I432"/>
      <c r="N432" s="973" t="s">
        <v>2173</v>
      </c>
      <c r="P432" s="288" t="s">
        <v>4895</v>
      </c>
    </row>
    <row r="433" spans="1:16">
      <c r="F433" s="645" t="s">
        <v>4768</v>
      </c>
      <c r="I433"/>
      <c r="N433" s="645" t="s">
        <v>4769</v>
      </c>
    </row>
    <row r="434" spans="1:16">
      <c r="F434" s="645" t="s">
        <v>9480</v>
      </c>
      <c r="I434"/>
      <c r="N434" s="645" t="s">
        <v>9480</v>
      </c>
    </row>
    <row r="435" spans="1:16">
      <c r="F435" s="645" t="s">
        <v>4770</v>
      </c>
      <c r="I435"/>
      <c r="N435" s="645" t="s">
        <v>4770</v>
      </c>
    </row>
    <row r="436" spans="1:16">
      <c r="F436" s="974" t="s">
        <v>4771</v>
      </c>
      <c r="N436" s="974" t="s">
        <v>4771</v>
      </c>
    </row>
    <row r="437" spans="1:16">
      <c r="I437"/>
    </row>
    <row r="438" spans="1:16">
      <c r="F438" s="645" t="s">
        <v>4772</v>
      </c>
      <c r="I438"/>
      <c r="N438" s="645" t="s">
        <v>4772</v>
      </c>
    </row>
    <row r="439" spans="1:16">
      <c r="F439" s="445"/>
      <c r="G439" s="984"/>
      <c r="I439"/>
      <c r="N439" s="445"/>
      <c r="O439" s="984"/>
    </row>
    <row r="440" spans="1:16">
      <c r="F440" s="445"/>
      <c r="G440" s="984"/>
      <c r="I440"/>
      <c r="N440" s="445"/>
      <c r="O440" s="984"/>
    </row>
    <row r="441" spans="1:16">
      <c r="C441" s="33" t="s">
        <v>2430</v>
      </c>
      <c r="D441" t="s">
        <v>2430</v>
      </c>
      <c r="I441"/>
      <c r="K441" s="33" t="s">
        <v>2182</v>
      </c>
      <c r="L441" s="33" t="s">
        <v>2182</v>
      </c>
    </row>
    <row r="442" spans="1:16">
      <c r="B442" s="297" t="s">
        <v>4868</v>
      </c>
      <c r="C442" s="529" t="s">
        <v>4869</v>
      </c>
      <c r="D442" s="297" t="s">
        <v>2437</v>
      </c>
      <c r="E442" s="297"/>
      <c r="F442" s="506" t="s">
        <v>2963</v>
      </c>
      <c r="G442" s="989"/>
      <c r="H442" s="297"/>
      <c r="I442" s="297"/>
      <c r="J442" s="297" t="s">
        <v>4683</v>
      </c>
      <c r="K442" s="529" t="s">
        <v>3216</v>
      </c>
      <c r="L442" s="529" t="s">
        <v>2052</v>
      </c>
      <c r="M442" s="297"/>
      <c r="N442" s="977" t="s">
        <v>2185</v>
      </c>
      <c r="O442" s="989"/>
      <c r="P442" s="297" t="s">
        <v>4774</v>
      </c>
    </row>
    <row r="443" spans="1:16">
      <c r="F443" s="445"/>
      <c r="G443" s="984"/>
      <c r="I443"/>
      <c r="N443" s="445"/>
      <c r="O443" s="984"/>
    </row>
    <row r="444" spans="1:16">
      <c r="A444" t="s">
        <v>4896</v>
      </c>
      <c r="B444" t="s">
        <v>4897</v>
      </c>
      <c r="C444" s="33">
        <v>2</v>
      </c>
      <c r="D444" t="s">
        <v>1528</v>
      </c>
      <c r="E444" t="s">
        <v>4067</v>
      </c>
      <c r="F444" s="966">
        <f>+'0 MDS Working Capital'!F52</f>
        <v>91094.96646804089</v>
      </c>
      <c r="G444" s="984">
        <v>101</v>
      </c>
      <c r="H444" t="s">
        <v>4783</v>
      </c>
      <c r="I444"/>
      <c r="J444" t="s">
        <v>4897</v>
      </c>
      <c r="K444" s="33">
        <v>2</v>
      </c>
      <c r="L444" t="s">
        <v>1528</v>
      </c>
      <c r="M444" t="s">
        <v>4067</v>
      </c>
      <c r="N444" s="966"/>
      <c r="O444" s="984">
        <v>122</v>
      </c>
      <c r="P444" t="s">
        <v>4784</v>
      </c>
    </row>
    <row r="445" spans="1:16">
      <c r="B445" t="s">
        <v>4897</v>
      </c>
      <c r="C445" s="33">
        <v>3</v>
      </c>
      <c r="D445" t="s">
        <v>1528</v>
      </c>
      <c r="E445" t="s">
        <v>2067</v>
      </c>
      <c r="F445" s="966">
        <f>+'0 MDS Working Capital'!F53</f>
        <v>7691.9493755345575</v>
      </c>
      <c r="G445" s="984">
        <v>101</v>
      </c>
      <c r="H445" t="s">
        <v>4783</v>
      </c>
      <c r="I445"/>
      <c r="J445" t="s">
        <v>4897</v>
      </c>
      <c r="K445" s="33">
        <v>3</v>
      </c>
      <c r="L445" t="s">
        <v>1528</v>
      </c>
      <c r="M445" t="s">
        <v>2067</v>
      </c>
      <c r="N445" s="445"/>
      <c r="O445" s="984">
        <v>201</v>
      </c>
      <c r="P445" t="s">
        <v>4790</v>
      </c>
    </row>
    <row r="446" spans="1:16">
      <c r="B446" t="s">
        <v>4897</v>
      </c>
      <c r="C446" s="33">
        <v>4</v>
      </c>
      <c r="D446" t="s">
        <v>1529</v>
      </c>
      <c r="E446" t="s">
        <v>4067</v>
      </c>
      <c r="F446" s="966">
        <f>+'0 MDS Working Capital'!F54</f>
        <v>7204.3735840743111</v>
      </c>
      <c r="G446" s="984">
        <v>117</v>
      </c>
      <c r="H446" t="s">
        <v>4785</v>
      </c>
      <c r="I446"/>
      <c r="J446" t="s">
        <v>4897</v>
      </c>
      <c r="K446" s="33">
        <v>4</v>
      </c>
      <c r="L446" t="s">
        <v>1529</v>
      </c>
      <c r="M446" t="s">
        <v>4067</v>
      </c>
      <c r="N446" s="445"/>
      <c r="O446" s="984">
        <v>117</v>
      </c>
      <c r="P446" t="s">
        <v>4785</v>
      </c>
    </row>
    <row r="447" spans="1:16">
      <c r="B447" t="s">
        <v>4897</v>
      </c>
      <c r="C447" s="33">
        <v>5</v>
      </c>
      <c r="D447" t="s">
        <v>1953</v>
      </c>
      <c r="E447" t="s">
        <v>4067</v>
      </c>
      <c r="F447" s="966">
        <f>+'0 MDS Working Capital'!F55</f>
        <v>7080.443710513463</v>
      </c>
      <c r="G447" s="984">
        <v>117</v>
      </c>
      <c r="H447" t="s">
        <v>4785</v>
      </c>
      <c r="I447"/>
      <c r="J447" t="s">
        <v>4897</v>
      </c>
      <c r="K447" s="33">
        <v>5</v>
      </c>
      <c r="L447" t="s">
        <v>1953</v>
      </c>
      <c r="M447" t="s">
        <v>4067</v>
      </c>
      <c r="N447" s="445"/>
      <c r="O447" s="984">
        <v>117</v>
      </c>
      <c r="P447" t="s">
        <v>4785</v>
      </c>
    </row>
    <row r="448" spans="1:16">
      <c r="B448" t="s">
        <v>4897</v>
      </c>
      <c r="C448" s="33">
        <v>6</v>
      </c>
      <c r="D448" t="s">
        <v>2040</v>
      </c>
      <c r="E448" t="s">
        <v>4067</v>
      </c>
      <c r="F448" s="966">
        <f>+'0 MDS Working Capital'!F56</f>
        <v>24796.119036571257</v>
      </c>
      <c r="G448" s="984">
        <v>105</v>
      </c>
      <c r="H448" t="s">
        <v>4786</v>
      </c>
      <c r="I448"/>
      <c r="J448" t="s">
        <v>4897</v>
      </c>
      <c r="K448" s="33">
        <v>6</v>
      </c>
      <c r="L448" t="s">
        <v>2040</v>
      </c>
      <c r="M448" t="s">
        <v>4067</v>
      </c>
      <c r="N448" s="445"/>
      <c r="O448" s="984">
        <v>105</v>
      </c>
      <c r="P448" t="s">
        <v>4786</v>
      </c>
    </row>
    <row r="449" spans="1:16">
      <c r="B449" t="s">
        <v>4897</v>
      </c>
      <c r="C449" s="33">
        <v>7</v>
      </c>
      <c r="D449" t="s">
        <v>4787</v>
      </c>
      <c r="E449" t="s">
        <v>4067</v>
      </c>
      <c r="F449" s="966">
        <f>+'0 MDS Working Capital'!F57</f>
        <v>13757.084983215889</v>
      </c>
      <c r="G449" s="984">
        <v>106</v>
      </c>
      <c r="H449" t="s">
        <v>4788</v>
      </c>
      <c r="I449"/>
      <c r="J449" t="s">
        <v>4897</v>
      </c>
      <c r="K449" s="33">
        <v>7</v>
      </c>
      <c r="L449" t="s">
        <v>4787</v>
      </c>
      <c r="M449" t="s">
        <v>4067</v>
      </c>
      <c r="N449" s="445"/>
      <c r="O449" s="984">
        <v>106</v>
      </c>
      <c r="P449" t="s">
        <v>4788</v>
      </c>
    </row>
    <row r="450" spans="1:16">
      <c r="B450" t="s">
        <v>4897</v>
      </c>
      <c r="C450" s="33">
        <v>8</v>
      </c>
      <c r="D450" t="s">
        <v>1530</v>
      </c>
      <c r="E450" t="s">
        <v>4071</v>
      </c>
      <c r="F450" s="966">
        <f>+'0 MDS Working Capital'!F58</f>
        <v>11197.212842049608</v>
      </c>
      <c r="G450" s="984">
        <v>907</v>
      </c>
      <c r="H450" t="s">
        <v>4794</v>
      </c>
      <c r="I450"/>
      <c r="J450" t="s">
        <v>4897</v>
      </c>
      <c r="K450" s="33">
        <v>8</v>
      </c>
      <c r="L450" t="s">
        <v>1530</v>
      </c>
      <c r="M450" t="s">
        <v>4071</v>
      </c>
      <c r="N450" s="445"/>
      <c r="O450" s="984">
        <v>907</v>
      </c>
      <c r="P450" t="s">
        <v>4794</v>
      </c>
    </row>
    <row r="451" spans="1:16">
      <c r="B451" s="297" t="s">
        <v>4897</v>
      </c>
      <c r="C451" s="529">
        <v>9</v>
      </c>
      <c r="D451" s="297" t="s">
        <v>2338</v>
      </c>
      <c r="E451" s="297" t="s">
        <v>4071</v>
      </c>
      <c r="F451" s="970">
        <f>+'0 MDS Working Capital'!F59</f>
        <v>0</v>
      </c>
      <c r="G451" s="980">
        <v>412</v>
      </c>
      <c r="H451" s="297" t="s">
        <v>4795</v>
      </c>
      <c r="I451" s="297"/>
      <c r="J451" s="297" t="s">
        <v>4897</v>
      </c>
      <c r="K451" s="529">
        <v>9</v>
      </c>
      <c r="L451" s="297" t="s">
        <v>2338</v>
      </c>
      <c r="M451" s="297" t="s">
        <v>4071</v>
      </c>
      <c r="N451" s="970"/>
      <c r="O451" s="980">
        <v>412</v>
      </c>
      <c r="P451" s="297" t="s">
        <v>4795</v>
      </c>
    </row>
    <row r="452" spans="1:16">
      <c r="A452" s="96" t="s">
        <v>4898</v>
      </c>
      <c r="B452" t="s">
        <v>4897</v>
      </c>
      <c r="C452" s="33">
        <v>13</v>
      </c>
      <c r="D452" t="s">
        <v>1528</v>
      </c>
      <c r="E452" t="s">
        <v>4067</v>
      </c>
      <c r="F452" s="966">
        <f>+'0 MDS Working Capital'!F32</f>
        <v>-276877.79085390217</v>
      </c>
      <c r="G452" s="984">
        <v>101</v>
      </c>
      <c r="H452" t="s">
        <v>4783</v>
      </c>
      <c r="I452"/>
      <c r="J452" t="s">
        <v>4897</v>
      </c>
      <c r="K452" s="33">
        <v>13</v>
      </c>
      <c r="L452" t="s">
        <v>1528</v>
      </c>
      <c r="M452" t="s">
        <v>4067</v>
      </c>
      <c r="N452" s="966"/>
      <c r="O452" s="984">
        <v>122</v>
      </c>
      <c r="P452" t="s">
        <v>4784</v>
      </c>
    </row>
    <row r="453" spans="1:16">
      <c r="A453" s="96" t="s">
        <v>4899</v>
      </c>
      <c r="B453" t="s">
        <v>4897</v>
      </c>
      <c r="C453" s="33">
        <v>14</v>
      </c>
      <c r="D453" t="s">
        <v>1528</v>
      </c>
      <c r="E453" t="s">
        <v>2067</v>
      </c>
      <c r="F453" s="966">
        <f>+'0 MDS Working Capital'!F33</f>
        <v>-26078.27032716485</v>
      </c>
      <c r="G453" s="984">
        <v>101</v>
      </c>
      <c r="H453" t="s">
        <v>4783</v>
      </c>
      <c r="I453"/>
      <c r="J453" t="s">
        <v>4897</v>
      </c>
      <c r="K453" s="33">
        <v>14</v>
      </c>
      <c r="L453" t="s">
        <v>1528</v>
      </c>
      <c r="M453" t="s">
        <v>2067</v>
      </c>
      <c r="N453" s="445"/>
      <c r="O453" s="984">
        <v>201</v>
      </c>
      <c r="P453" t="s">
        <v>4790</v>
      </c>
    </row>
    <row r="454" spans="1:16">
      <c r="B454" t="s">
        <v>4897</v>
      </c>
      <c r="C454" s="33">
        <v>15</v>
      </c>
      <c r="D454" t="s">
        <v>1529</v>
      </c>
      <c r="E454" t="s">
        <v>4067</v>
      </c>
      <c r="F454" s="966">
        <f>+'0 MDS Working Capital'!F34</f>
        <v>-21859.473805132271</v>
      </c>
      <c r="G454" s="984">
        <v>117</v>
      </c>
      <c r="H454" t="s">
        <v>4785</v>
      </c>
      <c r="I454"/>
      <c r="J454" t="s">
        <v>4897</v>
      </c>
      <c r="K454" s="33">
        <v>15</v>
      </c>
      <c r="L454" t="s">
        <v>1529</v>
      </c>
      <c r="M454" t="s">
        <v>4067</v>
      </c>
      <c r="N454" s="445"/>
      <c r="O454" s="984">
        <v>117</v>
      </c>
      <c r="P454" t="s">
        <v>4785</v>
      </c>
    </row>
    <row r="455" spans="1:16">
      <c r="B455" t="s">
        <v>4897</v>
      </c>
      <c r="C455" s="33">
        <v>16</v>
      </c>
      <c r="D455" t="s">
        <v>1953</v>
      </c>
      <c r="E455" t="s">
        <v>4067</v>
      </c>
      <c r="F455" s="966">
        <f>+'0 MDS Working Capital'!F35</f>
        <v>-22792.212186502355</v>
      </c>
      <c r="G455" s="984">
        <v>117</v>
      </c>
      <c r="H455" t="s">
        <v>4785</v>
      </c>
      <c r="I455"/>
      <c r="J455" t="s">
        <v>4897</v>
      </c>
      <c r="K455" s="33">
        <v>16</v>
      </c>
      <c r="L455" t="s">
        <v>1953</v>
      </c>
      <c r="M455" t="s">
        <v>4067</v>
      </c>
      <c r="N455" s="445"/>
      <c r="O455" s="984">
        <v>117</v>
      </c>
      <c r="P455" t="s">
        <v>4785</v>
      </c>
    </row>
    <row r="456" spans="1:16">
      <c r="B456" t="s">
        <v>4897</v>
      </c>
      <c r="C456" s="33">
        <v>17</v>
      </c>
      <c r="D456" t="s">
        <v>2040</v>
      </c>
      <c r="E456" t="s">
        <v>4067</v>
      </c>
      <c r="F456" s="966">
        <f>+'0 MDS Working Capital'!F36</f>
        <v>-82744.462647809807</v>
      </c>
      <c r="G456" s="984">
        <v>105</v>
      </c>
      <c r="H456" t="s">
        <v>4786</v>
      </c>
      <c r="I456"/>
      <c r="J456" t="s">
        <v>4897</v>
      </c>
      <c r="K456" s="33">
        <v>17</v>
      </c>
      <c r="L456" t="s">
        <v>2040</v>
      </c>
      <c r="M456" t="s">
        <v>4067</v>
      </c>
      <c r="N456" s="445"/>
      <c r="O456" s="984">
        <v>105</v>
      </c>
      <c r="P456" t="s">
        <v>4786</v>
      </c>
    </row>
    <row r="457" spans="1:16">
      <c r="B457" t="s">
        <v>4897</v>
      </c>
      <c r="C457" s="33">
        <v>18</v>
      </c>
      <c r="D457" t="s">
        <v>4787</v>
      </c>
      <c r="E457" t="s">
        <v>4067</v>
      </c>
      <c r="F457" s="966">
        <f>+'0 MDS Working Capital'!F37</f>
        <v>-41185.725124527256</v>
      </c>
      <c r="G457" s="984">
        <v>106</v>
      </c>
      <c r="H457" t="s">
        <v>4788</v>
      </c>
      <c r="I457"/>
      <c r="J457" t="s">
        <v>4897</v>
      </c>
      <c r="K457" s="33">
        <v>18</v>
      </c>
      <c r="L457" t="s">
        <v>4787</v>
      </c>
      <c r="M457" t="s">
        <v>4067</v>
      </c>
      <c r="N457" s="445"/>
      <c r="O457" s="984">
        <v>106</v>
      </c>
      <c r="P457" t="s">
        <v>4788</v>
      </c>
    </row>
    <row r="458" spans="1:16">
      <c r="B458" t="s">
        <v>4897</v>
      </c>
      <c r="C458" s="33">
        <v>19</v>
      </c>
      <c r="D458" t="s">
        <v>1530</v>
      </c>
      <c r="E458" t="s">
        <v>4071</v>
      </c>
      <c r="F458" s="966">
        <f>+'0 MDS Working Capital'!F38</f>
        <v>-38742.145338522234</v>
      </c>
      <c r="G458" s="984">
        <v>907</v>
      </c>
      <c r="H458" t="s">
        <v>4794</v>
      </c>
      <c r="I458"/>
      <c r="J458" t="s">
        <v>4897</v>
      </c>
      <c r="K458" s="33">
        <v>19</v>
      </c>
      <c r="L458" t="s">
        <v>1530</v>
      </c>
      <c r="M458" t="s">
        <v>4071</v>
      </c>
      <c r="N458" s="445"/>
      <c r="O458" s="984">
        <v>907</v>
      </c>
      <c r="P458" t="s">
        <v>4794</v>
      </c>
    </row>
    <row r="459" spans="1:16">
      <c r="B459" s="297" t="s">
        <v>4897</v>
      </c>
      <c r="C459" s="529">
        <v>20</v>
      </c>
      <c r="D459" s="297" t="s">
        <v>2338</v>
      </c>
      <c r="E459" s="297" t="s">
        <v>4071</v>
      </c>
      <c r="F459" s="970">
        <f>+'0 MDS Working Capital'!F39</f>
        <v>-9393.7898768032774</v>
      </c>
      <c r="G459" s="980">
        <v>412</v>
      </c>
      <c r="H459" s="297" t="s">
        <v>4795</v>
      </c>
      <c r="I459" s="297"/>
      <c r="J459" s="297" t="s">
        <v>4897</v>
      </c>
      <c r="K459" s="529">
        <v>20</v>
      </c>
      <c r="L459" s="297" t="s">
        <v>2338</v>
      </c>
      <c r="M459" s="297" t="s">
        <v>4071</v>
      </c>
      <c r="N459" s="970"/>
      <c r="O459" s="980">
        <v>412</v>
      </c>
      <c r="P459" s="297" t="s">
        <v>4795</v>
      </c>
    </row>
    <row r="460" spans="1:16">
      <c r="A460" t="s">
        <v>4900</v>
      </c>
      <c r="B460" t="s">
        <v>4897</v>
      </c>
      <c r="C460" s="33">
        <v>24</v>
      </c>
      <c r="D460" t="s">
        <v>1528</v>
      </c>
      <c r="E460" t="s">
        <v>4067</v>
      </c>
      <c r="F460" s="966">
        <f>+'0 MDS Working Capital'!F67</f>
        <v>600863.57050653605</v>
      </c>
      <c r="G460" s="984">
        <v>101</v>
      </c>
      <c r="H460" t="s">
        <v>4783</v>
      </c>
      <c r="I460"/>
      <c r="J460" t="s">
        <v>4897</v>
      </c>
      <c r="K460" s="33">
        <v>24</v>
      </c>
      <c r="L460" t="s">
        <v>1528</v>
      </c>
      <c r="M460" t="s">
        <v>4067</v>
      </c>
      <c r="N460" s="966"/>
      <c r="O460" s="984">
        <v>122</v>
      </c>
      <c r="P460" t="s">
        <v>4784</v>
      </c>
    </row>
    <row r="461" spans="1:16">
      <c r="B461" t="s">
        <v>4897</v>
      </c>
      <c r="C461" s="33">
        <v>25</v>
      </c>
      <c r="D461" t="s">
        <v>1528</v>
      </c>
      <c r="E461" t="s">
        <v>2067</v>
      </c>
      <c r="F461" s="966">
        <f>+'0 MDS Working Capital'!F68</f>
        <v>56593.497705574773</v>
      </c>
      <c r="G461" s="984">
        <v>101</v>
      </c>
      <c r="H461" t="s">
        <v>4783</v>
      </c>
      <c r="I461"/>
      <c r="J461" t="s">
        <v>4897</v>
      </c>
      <c r="K461" s="33">
        <v>25</v>
      </c>
      <c r="L461" t="s">
        <v>1528</v>
      </c>
      <c r="M461" t="s">
        <v>2067</v>
      </c>
      <c r="N461" s="445"/>
      <c r="O461" s="984">
        <v>201</v>
      </c>
      <c r="P461" t="s">
        <v>4790</v>
      </c>
    </row>
    <row r="462" spans="1:16">
      <c r="B462" t="s">
        <v>4897</v>
      </c>
      <c r="C462" s="33">
        <v>26</v>
      </c>
      <c r="D462" t="s">
        <v>1529</v>
      </c>
      <c r="E462" t="s">
        <v>4067</v>
      </c>
      <c r="F462" s="966">
        <f>+'0 MDS Working Capital'!F69</f>
        <v>47438.118598961511</v>
      </c>
      <c r="G462" s="984">
        <v>117</v>
      </c>
      <c r="H462" t="s">
        <v>4785</v>
      </c>
      <c r="I462"/>
      <c r="J462" t="s">
        <v>4897</v>
      </c>
      <c r="K462" s="33">
        <v>26</v>
      </c>
      <c r="L462" t="s">
        <v>1529</v>
      </c>
      <c r="M462" t="s">
        <v>4067</v>
      </c>
      <c r="N462" s="445"/>
      <c r="O462" s="984">
        <v>117</v>
      </c>
      <c r="P462" t="s">
        <v>4785</v>
      </c>
    </row>
    <row r="463" spans="1:16">
      <c r="B463" t="s">
        <v>4897</v>
      </c>
      <c r="C463" s="33">
        <v>27</v>
      </c>
      <c r="D463" t="s">
        <v>1953</v>
      </c>
      <c r="E463" t="s">
        <v>4067</v>
      </c>
      <c r="F463" s="966">
        <f>+'0 MDS Working Capital'!F70</f>
        <v>49462.291474835991</v>
      </c>
      <c r="G463" s="984">
        <v>117</v>
      </c>
      <c r="H463" t="s">
        <v>4785</v>
      </c>
      <c r="I463"/>
      <c r="J463" t="s">
        <v>4897</v>
      </c>
      <c r="K463" s="33">
        <v>27</v>
      </c>
      <c r="L463" t="s">
        <v>1953</v>
      </c>
      <c r="M463" t="s">
        <v>4067</v>
      </c>
      <c r="N463" s="445"/>
      <c r="O463" s="984">
        <v>117</v>
      </c>
      <c r="P463" t="s">
        <v>4785</v>
      </c>
    </row>
    <row r="464" spans="1:16">
      <c r="B464" t="s">
        <v>4897</v>
      </c>
      <c r="C464" s="33">
        <v>28</v>
      </c>
      <c r="D464" t="s">
        <v>2040</v>
      </c>
      <c r="E464" t="s">
        <v>4067</v>
      </c>
      <c r="F464" s="966">
        <f>+'0 MDS Working Capital'!F71</f>
        <v>179567.06860768789</v>
      </c>
      <c r="G464" s="984">
        <v>105</v>
      </c>
      <c r="H464" t="s">
        <v>4786</v>
      </c>
      <c r="I464"/>
      <c r="J464" t="s">
        <v>4897</v>
      </c>
      <c r="K464" s="33">
        <v>28</v>
      </c>
      <c r="L464" t="s">
        <v>2040</v>
      </c>
      <c r="M464" t="s">
        <v>4067</v>
      </c>
      <c r="N464" s="445"/>
      <c r="O464" s="984">
        <v>105</v>
      </c>
      <c r="P464" t="s">
        <v>4786</v>
      </c>
    </row>
    <row r="465" spans="1:16">
      <c r="B465" t="s">
        <v>4897</v>
      </c>
      <c r="C465" s="33">
        <v>29</v>
      </c>
      <c r="D465" t="s">
        <v>4787</v>
      </c>
      <c r="E465" t="s">
        <v>4067</v>
      </c>
      <c r="F465" s="966">
        <f>+'0 MDS Working Capital'!F72</f>
        <v>89378.789739341155</v>
      </c>
      <c r="G465" s="984">
        <v>106</v>
      </c>
      <c r="H465" t="s">
        <v>4788</v>
      </c>
      <c r="I465"/>
      <c r="J465" t="s">
        <v>4897</v>
      </c>
      <c r="K465" s="33">
        <v>29</v>
      </c>
      <c r="L465" t="s">
        <v>4787</v>
      </c>
      <c r="M465" t="s">
        <v>4067</v>
      </c>
      <c r="N465" s="445"/>
      <c r="O465" s="984">
        <v>106</v>
      </c>
      <c r="P465" t="s">
        <v>4788</v>
      </c>
    </row>
    <row r="466" spans="1:16">
      <c r="B466" t="s">
        <v>4897</v>
      </c>
      <c r="C466" s="33">
        <v>30</v>
      </c>
      <c r="D466" t="s">
        <v>1530</v>
      </c>
      <c r="E466" t="s">
        <v>4071</v>
      </c>
      <c r="F466" s="966">
        <f>+'0 MDS Working Capital'!F73</f>
        <v>84075.879489629864</v>
      </c>
      <c r="G466" s="984">
        <v>907</v>
      </c>
      <c r="H466" t="s">
        <v>4794</v>
      </c>
      <c r="I466"/>
      <c r="J466" t="s">
        <v>4897</v>
      </c>
      <c r="K466" s="33">
        <v>30</v>
      </c>
      <c r="L466" t="s">
        <v>1530</v>
      </c>
      <c r="M466" t="s">
        <v>4071</v>
      </c>
      <c r="N466" s="445"/>
      <c r="O466" s="984">
        <v>907</v>
      </c>
      <c r="P466" t="s">
        <v>4794</v>
      </c>
    </row>
    <row r="467" spans="1:16">
      <c r="B467" s="297" t="s">
        <v>4897</v>
      </c>
      <c r="C467" s="529">
        <v>31</v>
      </c>
      <c r="D467" s="297" t="s">
        <v>2338</v>
      </c>
      <c r="E467" s="297" t="s">
        <v>4071</v>
      </c>
      <c r="F467" s="970">
        <f>+'0 MDS Working Capital'!F74</f>
        <v>20385.839212876766</v>
      </c>
      <c r="G467" s="980">
        <v>412</v>
      </c>
      <c r="H467" s="297" t="s">
        <v>4795</v>
      </c>
      <c r="I467" s="297"/>
      <c r="J467" s="297" t="s">
        <v>4897</v>
      </c>
      <c r="K467" s="529">
        <v>31</v>
      </c>
      <c r="L467" s="297" t="s">
        <v>2338</v>
      </c>
      <c r="M467" s="297" t="s">
        <v>4071</v>
      </c>
      <c r="N467" s="970"/>
      <c r="O467" s="980">
        <v>412</v>
      </c>
      <c r="P467" s="297" t="s">
        <v>4795</v>
      </c>
    </row>
    <row r="468" spans="1:16">
      <c r="A468" t="s">
        <v>4901</v>
      </c>
      <c r="B468" t="s">
        <v>4897</v>
      </c>
      <c r="C468" s="33">
        <v>35</v>
      </c>
      <c r="D468" t="s">
        <v>1528</v>
      </c>
      <c r="E468" t="s">
        <v>4067</v>
      </c>
      <c r="F468" s="966">
        <f>+'0 MDS Working Capital'!F81</f>
        <v>383917.97310275974</v>
      </c>
      <c r="G468" s="984">
        <v>101</v>
      </c>
      <c r="H468" t="s">
        <v>4783</v>
      </c>
      <c r="I468"/>
      <c r="J468" t="s">
        <v>4897</v>
      </c>
      <c r="K468" s="33">
        <v>35</v>
      </c>
      <c r="L468" t="s">
        <v>1528</v>
      </c>
      <c r="M468" t="s">
        <v>4067</v>
      </c>
      <c r="N468" s="966"/>
      <c r="O468" s="984">
        <v>122</v>
      </c>
      <c r="P468" t="s">
        <v>4784</v>
      </c>
    </row>
    <row r="469" spans="1:16">
      <c r="B469" t="s">
        <v>4897</v>
      </c>
      <c r="C469" s="33">
        <v>36</v>
      </c>
      <c r="D469" t="s">
        <v>1528</v>
      </c>
      <c r="E469" t="s">
        <v>2067</v>
      </c>
      <c r="F469" s="966">
        <f>+'0 MDS Working Capital'!F82</f>
        <v>36160.056952035855</v>
      </c>
      <c r="G469" s="984">
        <v>101</v>
      </c>
      <c r="H469" t="s">
        <v>4783</v>
      </c>
      <c r="I469"/>
      <c r="J469" t="s">
        <v>4897</v>
      </c>
      <c r="K469" s="33">
        <v>36</v>
      </c>
      <c r="L469" t="s">
        <v>1528</v>
      </c>
      <c r="M469" t="s">
        <v>2067</v>
      </c>
      <c r="N469" s="445"/>
      <c r="O469" s="984">
        <v>201</v>
      </c>
      <c r="P469" t="s">
        <v>4790</v>
      </c>
    </row>
    <row r="470" spans="1:16">
      <c r="B470" t="s">
        <v>4897</v>
      </c>
      <c r="C470" s="33">
        <v>37</v>
      </c>
      <c r="D470" t="s">
        <v>1529</v>
      </c>
      <c r="E470" t="s">
        <v>4067</v>
      </c>
      <c r="F470" s="966">
        <f>+'0 MDS Working Capital'!F83</f>
        <v>30310.285452932985</v>
      </c>
      <c r="G470" s="984">
        <v>117</v>
      </c>
      <c r="H470" t="s">
        <v>4785</v>
      </c>
      <c r="I470"/>
      <c r="J470" t="s">
        <v>4897</v>
      </c>
      <c r="K470" s="33">
        <v>37</v>
      </c>
      <c r="L470" t="s">
        <v>1529</v>
      </c>
      <c r="M470" t="s">
        <v>4067</v>
      </c>
      <c r="N470" s="445"/>
      <c r="O470" s="984">
        <v>117</v>
      </c>
      <c r="P470" t="s">
        <v>4785</v>
      </c>
    </row>
    <row r="471" spans="1:16">
      <c r="B471" t="s">
        <v>4897</v>
      </c>
      <c r="C471" s="33">
        <v>38</v>
      </c>
      <c r="D471" t="s">
        <v>1953</v>
      </c>
      <c r="E471" t="s">
        <v>4067</v>
      </c>
      <c r="F471" s="966">
        <f>+'0 MDS Working Capital'!F84</f>
        <v>31603.61789287471</v>
      </c>
      <c r="G471" s="984">
        <v>117</v>
      </c>
      <c r="H471" t="s">
        <v>4785</v>
      </c>
      <c r="I471"/>
      <c r="J471" t="s">
        <v>4897</v>
      </c>
      <c r="K471" s="33">
        <v>38</v>
      </c>
      <c r="L471" t="s">
        <v>1953</v>
      </c>
      <c r="M471" t="s">
        <v>4067</v>
      </c>
      <c r="N471" s="445"/>
      <c r="O471" s="984">
        <v>117</v>
      </c>
      <c r="P471" t="s">
        <v>4785</v>
      </c>
    </row>
    <row r="472" spans="1:16">
      <c r="B472" t="s">
        <v>4897</v>
      </c>
      <c r="C472" s="33">
        <v>39</v>
      </c>
      <c r="D472" t="s">
        <v>2040</v>
      </c>
      <c r="E472" t="s">
        <v>4067</v>
      </c>
      <c r="F472" s="966">
        <f>+'0 MDS Working Capital'!F85</f>
        <v>114733.24128762077</v>
      </c>
      <c r="G472" s="984">
        <v>105</v>
      </c>
      <c r="H472" t="s">
        <v>4786</v>
      </c>
      <c r="I472"/>
      <c r="J472" t="s">
        <v>4897</v>
      </c>
      <c r="K472" s="33">
        <v>39</v>
      </c>
      <c r="L472" t="s">
        <v>2040</v>
      </c>
      <c r="M472" t="s">
        <v>4067</v>
      </c>
      <c r="N472" s="445"/>
      <c r="O472" s="984">
        <v>105</v>
      </c>
      <c r="P472" t="s">
        <v>4786</v>
      </c>
    </row>
    <row r="473" spans="1:16">
      <c r="B473" t="s">
        <v>4897</v>
      </c>
      <c r="C473" s="33">
        <v>40</v>
      </c>
      <c r="D473" t="s">
        <v>4787</v>
      </c>
      <c r="E473" t="s">
        <v>4067</v>
      </c>
      <c r="F473" s="966">
        <f>+'0 MDS Working Capital'!F86</f>
        <v>57108.011667570951</v>
      </c>
      <c r="G473" s="984">
        <v>106</v>
      </c>
      <c r="H473" t="s">
        <v>4788</v>
      </c>
      <c r="I473"/>
      <c r="J473" t="s">
        <v>4897</v>
      </c>
      <c r="K473" s="33">
        <v>40</v>
      </c>
      <c r="L473" t="s">
        <v>4787</v>
      </c>
      <c r="M473" t="s">
        <v>4067</v>
      </c>
      <c r="N473" s="445"/>
      <c r="O473" s="984">
        <v>106</v>
      </c>
      <c r="P473" t="s">
        <v>4788</v>
      </c>
    </row>
    <row r="474" spans="1:16">
      <c r="B474" t="s">
        <v>4897</v>
      </c>
      <c r="C474" s="33">
        <v>41</v>
      </c>
      <c r="D474" t="s">
        <v>1530</v>
      </c>
      <c r="E474" t="s">
        <v>4071</v>
      </c>
      <c r="F474" s="966">
        <f>+'0 MDS Working Capital'!F87</f>
        <v>53719.750746878526</v>
      </c>
      <c r="G474" s="984">
        <v>907</v>
      </c>
      <c r="H474" t="s">
        <v>4794</v>
      </c>
      <c r="I474"/>
      <c r="J474" t="s">
        <v>4897</v>
      </c>
      <c r="K474" s="33">
        <v>41</v>
      </c>
      <c r="L474" t="s">
        <v>1530</v>
      </c>
      <c r="M474" t="s">
        <v>4071</v>
      </c>
      <c r="N474" s="445"/>
      <c r="O474" s="984">
        <v>907</v>
      </c>
      <c r="P474" t="s">
        <v>4794</v>
      </c>
    </row>
    <row r="475" spans="1:16">
      <c r="B475" s="297" t="s">
        <v>4897</v>
      </c>
      <c r="C475" s="529">
        <v>42</v>
      </c>
      <c r="D475" s="297" t="s">
        <v>2338</v>
      </c>
      <c r="E475" s="297" t="s">
        <v>4071</v>
      </c>
      <c r="F475" s="970">
        <f>+'0 MDS Working Capital'!F88</f>
        <v>13025.402861432542</v>
      </c>
      <c r="G475" s="980">
        <v>412</v>
      </c>
      <c r="H475" s="297" t="s">
        <v>4795</v>
      </c>
      <c r="I475" s="297"/>
      <c r="J475" s="297" t="s">
        <v>4897</v>
      </c>
      <c r="K475" s="529">
        <v>42</v>
      </c>
      <c r="L475" s="297" t="s">
        <v>2338</v>
      </c>
      <c r="M475" s="297" t="s">
        <v>4071</v>
      </c>
      <c r="N475" s="970"/>
      <c r="O475" s="980">
        <v>412</v>
      </c>
      <c r="P475" s="297" t="s">
        <v>4795</v>
      </c>
    </row>
    <row r="476" spans="1:16">
      <c r="A476" t="s">
        <v>4902</v>
      </c>
      <c r="B476" s="297" t="s">
        <v>4897</v>
      </c>
      <c r="C476" s="529">
        <v>45</v>
      </c>
      <c r="D476" s="297" t="s">
        <v>1528</v>
      </c>
      <c r="E476" s="297" t="s">
        <v>2067</v>
      </c>
      <c r="F476" s="970">
        <f>+'0 MDS Working Capital'!F45</f>
        <v>36634.816307692308</v>
      </c>
      <c r="G476" s="980">
        <v>201</v>
      </c>
      <c r="H476" s="297" t="s">
        <v>4790</v>
      </c>
      <c r="I476" s="297"/>
      <c r="J476" s="297" t="s">
        <v>4897</v>
      </c>
      <c r="K476" s="529">
        <v>45</v>
      </c>
      <c r="L476" s="297" t="s">
        <v>1528</v>
      </c>
      <c r="M476" s="297" t="s">
        <v>2067</v>
      </c>
      <c r="N476" s="970"/>
      <c r="O476" s="980">
        <v>201</v>
      </c>
      <c r="P476" s="297" t="s">
        <v>4790</v>
      </c>
    </row>
    <row r="477" spans="1:16">
      <c r="A477" t="s">
        <v>1441</v>
      </c>
      <c r="B477" t="s">
        <v>2342</v>
      </c>
      <c r="C477" s="33">
        <v>2</v>
      </c>
      <c r="D477" t="s">
        <v>4884</v>
      </c>
      <c r="E477" t="s">
        <v>4067</v>
      </c>
      <c r="F477" s="966">
        <f>+'0 MDS CWIP'!G32</f>
        <v>6286.9647214166507</v>
      </c>
      <c r="G477" s="984">
        <v>101</v>
      </c>
      <c r="H477" t="s">
        <v>4783</v>
      </c>
      <c r="I477"/>
      <c r="J477" t="s">
        <v>2342</v>
      </c>
      <c r="K477" s="33">
        <v>2</v>
      </c>
      <c r="L477" t="s">
        <v>4884</v>
      </c>
      <c r="M477" t="s">
        <v>4067</v>
      </c>
      <c r="N477" s="966"/>
      <c r="O477" s="984">
        <v>122</v>
      </c>
      <c r="P477" t="s">
        <v>4784</v>
      </c>
    </row>
    <row r="478" spans="1:16">
      <c r="B478" t="s">
        <v>2342</v>
      </c>
      <c r="C478" s="33">
        <v>4</v>
      </c>
      <c r="D478" t="s">
        <v>4885</v>
      </c>
      <c r="E478" t="s">
        <v>2067</v>
      </c>
      <c r="F478" s="445">
        <f>+'0 MDS CWIP'!G33</f>
        <v>3054.4984588409338</v>
      </c>
      <c r="G478" s="984">
        <v>101</v>
      </c>
      <c r="H478" t="s">
        <v>4783</v>
      </c>
      <c r="I478"/>
      <c r="J478" t="s">
        <v>2342</v>
      </c>
      <c r="K478" s="33">
        <v>4</v>
      </c>
      <c r="L478" t="s">
        <v>4885</v>
      </c>
      <c r="M478" t="s">
        <v>2067</v>
      </c>
      <c r="N478" s="966"/>
      <c r="O478" s="984">
        <v>201</v>
      </c>
      <c r="P478" t="s">
        <v>4790</v>
      </c>
    </row>
    <row r="479" spans="1:16">
      <c r="B479" t="s">
        <v>2342</v>
      </c>
      <c r="C479" s="33">
        <v>2</v>
      </c>
      <c r="D479" t="s">
        <v>4884</v>
      </c>
      <c r="E479" t="s">
        <v>4067</v>
      </c>
      <c r="F479" s="445">
        <f>+'0 MDS CWIP'!G34-'0 MDS Allocation Assignment'!F480</f>
        <v>100520.79597270797</v>
      </c>
      <c r="G479" s="984">
        <v>101</v>
      </c>
      <c r="H479" t="s">
        <v>4783</v>
      </c>
      <c r="I479"/>
      <c r="J479" t="s">
        <v>2342</v>
      </c>
      <c r="K479" s="33">
        <v>2</v>
      </c>
      <c r="L479" t="s">
        <v>4884</v>
      </c>
      <c r="M479" t="s">
        <v>4067</v>
      </c>
      <c r="N479" s="445"/>
      <c r="O479" s="984">
        <v>122</v>
      </c>
      <c r="P479" t="s">
        <v>4784</v>
      </c>
    </row>
    <row r="480" spans="1:16">
      <c r="B480" t="s">
        <v>2342</v>
      </c>
      <c r="C480" s="33">
        <v>3</v>
      </c>
      <c r="D480" s="96" t="s">
        <v>4903</v>
      </c>
      <c r="E480" t="s">
        <v>4067</v>
      </c>
      <c r="F480" s="445">
        <f>+('0 MDS CWIP'!H6+'0 MDS CWIP'!H7)/1000</f>
        <v>0</v>
      </c>
      <c r="G480" s="984">
        <v>101</v>
      </c>
      <c r="H480" t="s">
        <v>4783</v>
      </c>
      <c r="I480"/>
      <c r="J480" t="s">
        <v>2342</v>
      </c>
      <c r="K480" s="33">
        <v>3</v>
      </c>
      <c r="L480" s="96" t="s">
        <v>4903</v>
      </c>
      <c r="M480" t="s">
        <v>4067</v>
      </c>
      <c r="N480" s="445"/>
      <c r="O480" s="984">
        <v>121</v>
      </c>
      <c r="P480" t="s">
        <v>4816</v>
      </c>
    </row>
    <row r="481" spans="1:16" ht="12" customHeight="1">
      <c r="B481" s="297" t="s">
        <v>2342</v>
      </c>
      <c r="C481" s="529">
        <v>4</v>
      </c>
      <c r="D481" s="297" t="s">
        <v>4885</v>
      </c>
      <c r="E481" s="297" t="s">
        <v>2067</v>
      </c>
      <c r="F481" s="888">
        <v>0</v>
      </c>
      <c r="G481" s="980">
        <v>101</v>
      </c>
      <c r="H481" s="297" t="s">
        <v>4783</v>
      </c>
      <c r="I481" s="297"/>
      <c r="J481" s="297" t="s">
        <v>2342</v>
      </c>
      <c r="K481" s="529">
        <v>4</v>
      </c>
      <c r="L481" s="297" t="s">
        <v>4885</v>
      </c>
      <c r="M481" s="297" t="s">
        <v>2067</v>
      </c>
      <c r="N481" s="970"/>
      <c r="O481" s="980">
        <v>201</v>
      </c>
      <c r="P481" s="297" t="s">
        <v>4790</v>
      </c>
    </row>
    <row r="482" spans="1:16" ht="12" customHeight="1">
      <c r="A482" t="s">
        <v>1760</v>
      </c>
      <c r="B482" t="s">
        <v>2342</v>
      </c>
      <c r="C482" s="33">
        <v>9</v>
      </c>
      <c r="D482" t="s">
        <v>4817</v>
      </c>
      <c r="E482" t="s">
        <v>4067</v>
      </c>
      <c r="F482" s="1573">
        <v>0</v>
      </c>
      <c r="G482" s="984">
        <v>101</v>
      </c>
      <c r="H482" t="s">
        <v>4783</v>
      </c>
      <c r="I482"/>
      <c r="J482" t="s">
        <v>2342</v>
      </c>
      <c r="K482" s="33">
        <v>9</v>
      </c>
      <c r="L482" t="s">
        <v>4817</v>
      </c>
      <c r="M482" t="s">
        <v>4067</v>
      </c>
      <c r="N482" s="966"/>
      <c r="O482" s="984">
        <v>122</v>
      </c>
      <c r="P482" t="s">
        <v>4784</v>
      </c>
    </row>
    <row r="483" spans="1:16">
      <c r="B483" t="s">
        <v>2342</v>
      </c>
      <c r="C483" s="33">
        <v>10</v>
      </c>
      <c r="D483" t="s">
        <v>4904</v>
      </c>
      <c r="E483" t="s">
        <v>4067</v>
      </c>
      <c r="F483" s="445">
        <f>+'0 MDS CWIP'!G35</f>
        <v>7283.8333454800486</v>
      </c>
      <c r="G483" s="984">
        <v>117</v>
      </c>
      <c r="H483" t="s">
        <v>4785</v>
      </c>
      <c r="I483"/>
      <c r="J483" t="s">
        <v>2342</v>
      </c>
      <c r="K483" s="33">
        <v>10</v>
      </c>
      <c r="L483" t="s">
        <v>4904</v>
      </c>
      <c r="M483" t="s">
        <v>4067</v>
      </c>
      <c r="N483" s="445"/>
      <c r="O483" s="984">
        <v>117</v>
      </c>
      <c r="P483" t="s">
        <v>4785</v>
      </c>
    </row>
    <row r="484" spans="1:16">
      <c r="B484" s="297" t="s">
        <v>2342</v>
      </c>
      <c r="C484" s="529">
        <v>11</v>
      </c>
      <c r="D484" s="297" t="s">
        <v>1953</v>
      </c>
      <c r="E484" s="297" t="s">
        <v>4067</v>
      </c>
      <c r="F484" s="970">
        <f>+'0 MDS CWIP'!G36</f>
        <v>7158.5366024656287</v>
      </c>
      <c r="G484" s="980">
        <v>117</v>
      </c>
      <c r="H484" s="297" t="s">
        <v>4785</v>
      </c>
      <c r="I484" s="297"/>
      <c r="J484" s="297" t="s">
        <v>2342</v>
      </c>
      <c r="K484" s="529">
        <v>11</v>
      </c>
      <c r="L484" s="297" t="s">
        <v>1953</v>
      </c>
      <c r="M484" s="297" t="s">
        <v>4067</v>
      </c>
      <c r="N484" s="970"/>
      <c r="O484" s="980">
        <v>117</v>
      </c>
      <c r="P484" s="297" t="s">
        <v>4785</v>
      </c>
    </row>
    <row r="485" spans="1:16">
      <c r="A485" t="s">
        <v>4892</v>
      </c>
      <c r="B485" t="s">
        <v>2342</v>
      </c>
      <c r="C485" s="33">
        <v>16</v>
      </c>
      <c r="D485" t="s">
        <v>2040</v>
      </c>
      <c r="E485" t="s">
        <v>4067</v>
      </c>
      <c r="F485" s="445">
        <f>+'0 MDS CWIP'!G37</f>
        <v>-18323.405026623215</v>
      </c>
      <c r="G485" s="984">
        <v>105</v>
      </c>
      <c r="H485" t="s">
        <v>4786</v>
      </c>
      <c r="I485"/>
      <c r="J485" t="s">
        <v>2342</v>
      </c>
      <c r="K485" s="33">
        <v>16</v>
      </c>
      <c r="L485" t="s">
        <v>2040</v>
      </c>
      <c r="M485" t="s">
        <v>4067</v>
      </c>
      <c r="N485" s="445"/>
      <c r="O485" s="984">
        <v>105</v>
      </c>
      <c r="P485" t="s">
        <v>4786</v>
      </c>
    </row>
    <row r="486" spans="1:16">
      <c r="B486" t="s">
        <v>2342</v>
      </c>
      <c r="C486" s="33">
        <v>17</v>
      </c>
      <c r="D486" t="s">
        <v>4787</v>
      </c>
      <c r="E486" t="s">
        <v>4067</v>
      </c>
      <c r="F486" s="445">
        <f>+'0 MDS CWIP'!G38</f>
        <v>-10165.971528099151</v>
      </c>
      <c r="G486" s="984">
        <v>106</v>
      </c>
      <c r="H486" t="s">
        <v>4788</v>
      </c>
      <c r="I486"/>
      <c r="J486" t="s">
        <v>2342</v>
      </c>
      <c r="K486" s="33">
        <v>17</v>
      </c>
      <c r="L486" t="s">
        <v>4787</v>
      </c>
      <c r="M486" t="s">
        <v>4067</v>
      </c>
      <c r="N486" s="445"/>
      <c r="O486" s="984">
        <v>106</v>
      </c>
      <c r="P486" t="s">
        <v>4788</v>
      </c>
    </row>
    <row r="487" spans="1:16">
      <c r="B487" s="297" t="s">
        <v>2342</v>
      </c>
      <c r="C487" s="529">
        <v>18</v>
      </c>
      <c r="D487" s="297" t="s">
        <v>4905</v>
      </c>
      <c r="E487" s="297" t="s">
        <v>4071</v>
      </c>
      <c r="F487" s="970">
        <f>+'0 MDS CWIP'!G39</f>
        <v>-8274.3217102474555</v>
      </c>
      <c r="G487" s="980">
        <v>907</v>
      </c>
      <c r="H487" s="297" t="s">
        <v>4794</v>
      </c>
      <c r="I487" s="297"/>
      <c r="J487" s="297" t="s">
        <v>2342</v>
      </c>
      <c r="K487" s="529">
        <v>18</v>
      </c>
      <c r="L487" s="297" t="s">
        <v>4905</v>
      </c>
      <c r="M487" s="297" t="s">
        <v>4071</v>
      </c>
      <c r="N487" s="970"/>
      <c r="O487" s="980">
        <v>907</v>
      </c>
      <c r="P487" s="297" t="s">
        <v>4794</v>
      </c>
    </row>
    <row r="488" spans="1:16">
      <c r="A488" t="s">
        <v>4906</v>
      </c>
      <c r="B488" t="s">
        <v>2342</v>
      </c>
      <c r="C488" s="33">
        <v>33</v>
      </c>
      <c r="D488" t="s">
        <v>1528</v>
      </c>
      <c r="E488" t="s">
        <v>4067</v>
      </c>
      <c r="F488" s="966">
        <f>+'0 MDS CWIP'!G46</f>
        <v>48111.724254037937</v>
      </c>
      <c r="G488" s="984">
        <v>101</v>
      </c>
      <c r="H488" t="s">
        <v>4783</v>
      </c>
      <c r="I488"/>
      <c r="J488" t="s">
        <v>2342</v>
      </c>
      <c r="K488" s="33">
        <v>33</v>
      </c>
      <c r="L488" t="s">
        <v>1528</v>
      </c>
      <c r="M488" t="s">
        <v>4067</v>
      </c>
      <c r="N488" s="966"/>
      <c r="O488" s="984">
        <v>122</v>
      </c>
      <c r="P488" t="s">
        <v>4784</v>
      </c>
    </row>
    <row r="489" spans="1:16">
      <c r="B489" t="s">
        <v>2342</v>
      </c>
      <c r="C489" s="33">
        <v>34</v>
      </c>
      <c r="D489" t="s">
        <v>4907</v>
      </c>
      <c r="E489" t="s">
        <v>2067</v>
      </c>
      <c r="F489" s="966">
        <f>+'0 MDS CWIP'!G47</f>
        <v>12701.786352034356</v>
      </c>
      <c r="G489" s="984">
        <v>201</v>
      </c>
      <c r="H489" t="s">
        <v>4790</v>
      </c>
      <c r="I489"/>
      <c r="J489" t="s">
        <v>2342</v>
      </c>
      <c r="K489" s="33">
        <v>34</v>
      </c>
      <c r="L489" t="s">
        <v>4907</v>
      </c>
      <c r="M489" t="s">
        <v>2067</v>
      </c>
      <c r="N489" s="966"/>
      <c r="O489" s="984">
        <v>201</v>
      </c>
      <c r="P489" t="s">
        <v>4790</v>
      </c>
    </row>
    <row r="490" spans="1:16">
      <c r="B490" t="s">
        <v>2342</v>
      </c>
      <c r="C490" s="33">
        <v>35</v>
      </c>
      <c r="D490" t="s">
        <v>1529</v>
      </c>
      <c r="E490" t="s">
        <v>4067</v>
      </c>
      <c r="F490" s="966">
        <f>+'0 MDS CWIP'!G48</f>
        <v>2038.6837451197048</v>
      </c>
      <c r="G490" s="984">
        <v>117</v>
      </c>
      <c r="H490" t="s">
        <v>4785</v>
      </c>
      <c r="I490"/>
      <c r="J490" t="s">
        <v>2342</v>
      </c>
      <c r="K490" s="33">
        <v>35</v>
      </c>
      <c r="L490" t="s">
        <v>1529</v>
      </c>
      <c r="M490" t="s">
        <v>4067</v>
      </c>
      <c r="N490" s="966"/>
      <c r="O490" s="984">
        <v>117</v>
      </c>
      <c r="P490" t="s">
        <v>4785</v>
      </c>
    </row>
    <row r="491" spans="1:16">
      <c r="B491" t="s">
        <v>2342</v>
      </c>
      <c r="C491" s="33">
        <v>36</v>
      </c>
      <c r="D491" t="s">
        <v>1953</v>
      </c>
      <c r="E491" t="s">
        <v>4067</v>
      </c>
      <c r="F491" s="966">
        <f>+'0 MDS CWIP'!G49</f>
        <v>5731.826724745003</v>
      </c>
      <c r="G491" s="984">
        <v>117</v>
      </c>
      <c r="H491" t="s">
        <v>4785</v>
      </c>
      <c r="I491"/>
      <c r="J491" t="s">
        <v>2342</v>
      </c>
      <c r="K491" s="33">
        <v>36</v>
      </c>
      <c r="L491" t="s">
        <v>1953</v>
      </c>
      <c r="M491" t="s">
        <v>4067</v>
      </c>
      <c r="N491" s="966"/>
      <c r="O491" s="984">
        <v>117</v>
      </c>
      <c r="P491" t="s">
        <v>4785</v>
      </c>
    </row>
    <row r="492" spans="1:16">
      <c r="B492" t="s">
        <v>2342</v>
      </c>
      <c r="C492" s="33">
        <v>37</v>
      </c>
      <c r="D492" t="s">
        <v>2040</v>
      </c>
      <c r="E492" t="s">
        <v>4067</v>
      </c>
      <c r="F492" s="966">
        <f>+'0 MDS CWIP'!G50</f>
        <v>28148.805387917426</v>
      </c>
      <c r="G492" s="984">
        <v>105</v>
      </c>
      <c r="H492" t="s">
        <v>4786</v>
      </c>
      <c r="I492"/>
      <c r="J492" t="s">
        <v>2342</v>
      </c>
      <c r="K492" s="33">
        <v>37</v>
      </c>
      <c r="L492" t="s">
        <v>2040</v>
      </c>
      <c r="M492" t="s">
        <v>4067</v>
      </c>
      <c r="N492" s="966"/>
      <c r="O492" s="984">
        <v>105</v>
      </c>
      <c r="P492" t="s">
        <v>4786</v>
      </c>
    </row>
    <row r="493" spans="1:16">
      <c r="B493" t="s">
        <v>2342</v>
      </c>
      <c r="C493" s="33">
        <v>38</v>
      </c>
      <c r="D493" t="s">
        <v>4787</v>
      </c>
      <c r="E493" t="s">
        <v>4067</v>
      </c>
      <c r="F493" s="966">
        <f>+'0 MDS CWIP'!G51</f>
        <v>4855.8763939134333</v>
      </c>
      <c r="G493" s="984">
        <v>106</v>
      </c>
      <c r="H493" t="s">
        <v>4788</v>
      </c>
      <c r="I493"/>
      <c r="J493" t="s">
        <v>2342</v>
      </c>
      <c r="K493" s="33">
        <v>38</v>
      </c>
      <c r="L493" t="s">
        <v>4787</v>
      </c>
      <c r="M493" t="s">
        <v>4067</v>
      </c>
      <c r="N493" s="966"/>
      <c r="O493" s="984">
        <v>106</v>
      </c>
      <c r="P493" t="s">
        <v>4788</v>
      </c>
    </row>
    <row r="494" spans="1:16">
      <c r="B494" t="s">
        <v>2342</v>
      </c>
      <c r="C494" s="33">
        <v>39</v>
      </c>
      <c r="D494" t="s">
        <v>1530</v>
      </c>
      <c r="E494" t="s">
        <v>4071</v>
      </c>
      <c r="F494" s="966">
        <f>+'0 MDS CWIP'!G52</f>
        <v>18043.691319922516</v>
      </c>
      <c r="G494" s="984">
        <v>907</v>
      </c>
      <c r="H494" t="s">
        <v>4794</v>
      </c>
      <c r="I494"/>
      <c r="J494" t="s">
        <v>2342</v>
      </c>
      <c r="K494" s="33">
        <v>39</v>
      </c>
      <c r="L494" t="s">
        <v>1530</v>
      </c>
      <c r="M494" t="s">
        <v>4071</v>
      </c>
      <c r="N494" s="966"/>
      <c r="O494" s="984">
        <v>907</v>
      </c>
      <c r="P494" t="s">
        <v>4794</v>
      </c>
    </row>
    <row r="495" spans="1:16">
      <c r="B495" s="297" t="s">
        <v>2342</v>
      </c>
      <c r="C495" s="529">
        <v>40</v>
      </c>
      <c r="D495" s="297" t="s">
        <v>2338</v>
      </c>
      <c r="E495" s="297" t="s">
        <v>4071</v>
      </c>
      <c r="F495" s="970">
        <f>+'0 MDS CWIP'!G53</f>
        <v>24440.601398676023</v>
      </c>
      <c r="G495" s="980">
        <v>412</v>
      </c>
      <c r="H495" s="297" t="s">
        <v>4795</v>
      </c>
      <c r="I495" s="297"/>
      <c r="J495" s="297" t="s">
        <v>2342</v>
      </c>
      <c r="K495" s="529">
        <v>40</v>
      </c>
      <c r="L495" s="297" t="s">
        <v>2338</v>
      </c>
      <c r="M495" s="297" t="s">
        <v>4071</v>
      </c>
      <c r="N495" s="970"/>
      <c r="O495" s="980">
        <v>412</v>
      </c>
      <c r="P495" s="297" t="s">
        <v>4795</v>
      </c>
    </row>
    <row r="502" spans="3:15">
      <c r="I502"/>
    </row>
    <row r="503" spans="3:15">
      <c r="I503"/>
    </row>
    <row r="504" spans="3:15">
      <c r="I504"/>
    </row>
    <row r="505" spans="3:15">
      <c r="C505"/>
      <c r="F505"/>
      <c r="G505"/>
      <c r="I505"/>
      <c r="K505"/>
      <c r="N505"/>
      <c r="O505"/>
    </row>
    <row r="506" spans="3:15">
      <c r="C506"/>
      <c r="F506"/>
      <c r="G506"/>
      <c r="I506"/>
      <c r="K506"/>
      <c r="N506"/>
      <c r="O506"/>
    </row>
    <row r="507" spans="3:15">
      <c r="C507"/>
      <c r="F507"/>
      <c r="G507"/>
      <c r="I507"/>
      <c r="K507"/>
      <c r="N507"/>
      <c r="O507"/>
    </row>
    <row r="508" spans="3:15">
      <c r="C508"/>
      <c r="F508"/>
      <c r="G508"/>
      <c r="I508"/>
      <c r="K508"/>
      <c r="N508"/>
      <c r="O508"/>
    </row>
    <row r="509" spans="3:15">
      <c r="C509"/>
      <c r="F509"/>
      <c r="G509"/>
      <c r="I509"/>
      <c r="K509"/>
      <c r="N509"/>
      <c r="O509"/>
    </row>
    <row r="510" spans="3:15">
      <c r="C510"/>
      <c r="F510"/>
      <c r="G510"/>
      <c r="I510"/>
      <c r="K510"/>
      <c r="N510"/>
      <c r="O510"/>
    </row>
    <row r="511" spans="3:15">
      <c r="C511"/>
      <c r="F511"/>
      <c r="G511"/>
      <c r="I511"/>
      <c r="K511"/>
      <c r="N511"/>
      <c r="O511"/>
    </row>
    <row r="512" spans="3:15">
      <c r="C512"/>
      <c r="F512"/>
      <c r="G512"/>
      <c r="I512"/>
      <c r="K512"/>
      <c r="N512"/>
      <c r="O512"/>
    </row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V2126"/>
  <sheetViews>
    <sheetView tabSelected="1" showOutlineSymbols="0" workbookViewId="0"/>
  </sheetViews>
  <sheetFormatPr defaultColWidth="8.5546875" defaultRowHeight="13.8"/>
  <cols>
    <col min="1" max="2" width="11.88671875" style="1320" customWidth="1"/>
    <col min="3" max="3" width="10.88671875" style="1322" customWidth="1"/>
    <col min="4" max="4" width="75.6640625" style="1320" customWidth="1"/>
    <col min="5" max="5" width="16.109375" style="1320" customWidth="1"/>
    <col min="6" max="6" width="25.88671875" style="1320" customWidth="1"/>
    <col min="7" max="7" width="25.88671875" style="1324" customWidth="1"/>
    <col min="8" max="8" width="25.88671875" style="1320" customWidth="1"/>
    <col min="9" max="9" width="19.5546875" style="1323" customWidth="1"/>
    <col min="10" max="10" width="17.88671875" style="1324" customWidth="1"/>
    <col min="11" max="12" width="15.109375" style="1324" customWidth="1"/>
    <col min="13" max="15" width="15.109375" style="1325" customWidth="1"/>
    <col min="16" max="16" width="15.109375" style="1324" customWidth="1"/>
    <col min="17" max="17" width="12.44140625" style="1324" customWidth="1"/>
    <col min="18" max="18" width="4.109375" style="1320" customWidth="1"/>
    <col min="19" max="19" width="26.44140625" style="1320" customWidth="1"/>
    <col min="20" max="20" width="11.88671875" style="1320" customWidth="1"/>
    <col min="21" max="21" width="24.33203125" style="1324" customWidth="1"/>
    <col min="22" max="22" width="94.88671875" style="1320" customWidth="1"/>
    <col min="23" max="24" width="8.5546875" style="1320"/>
    <col min="25" max="25" width="9.88671875" style="1320" customWidth="1"/>
    <col min="26" max="26" width="8.5546875" style="1320"/>
    <col min="27" max="27" width="14.33203125" style="1320" bestFit="1" customWidth="1"/>
    <col min="28" max="28" width="12.5546875" style="1320" customWidth="1"/>
    <col min="29" max="30" width="8.5546875" style="1320"/>
    <col min="31" max="31" width="13.109375" style="1320" customWidth="1"/>
    <col min="32" max="32" width="9.88671875" style="1320" bestFit="1" customWidth="1"/>
    <col min="33" max="33" width="9.44140625" style="1320" bestFit="1" customWidth="1"/>
    <col min="34" max="35" width="8.5546875" style="1320"/>
    <col min="36" max="36" width="13.109375" style="1320" customWidth="1"/>
    <col min="37" max="37" width="9.88671875" style="1320" bestFit="1" customWidth="1"/>
    <col min="38" max="38" width="8.5546875" style="1320"/>
    <col min="39" max="39" width="9.44140625" style="1320" bestFit="1" customWidth="1"/>
    <col min="40" max="40" width="12.109375" style="1320" customWidth="1"/>
    <col min="41" max="42" width="8.5546875" style="1320"/>
    <col min="43" max="43" width="13.44140625" style="1320" customWidth="1"/>
    <col min="44" max="44" width="13.109375" style="1320" customWidth="1"/>
    <col min="45" max="46" width="8.5546875" style="1320"/>
    <col min="47" max="47" width="13.5546875" style="1320" customWidth="1"/>
    <col min="48" max="16384" width="8.5546875" style="1320"/>
  </cols>
  <sheetData>
    <row r="1" spans="1:24" ht="12.75" customHeight="1">
      <c r="B1" s="1321"/>
      <c r="E1" s="84" t="s">
        <v>116</v>
      </c>
      <c r="G1" s="1320"/>
      <c r="S1" s="1321"/>
      <c r="T1" s="1321"/>
      <c r="U1" s="1326"/>
    </row>
    <row r="2" spans="1:24">
      <c r="C2" s="1580" t="s">
        <v>9478</v>
      </c>
      <c r="G2" s="1327" t="s">
        <v>2173</v>
      </c>
      <c r="I2" s="1328" t="s">
        <v>4767</v>
      </c>
      <c r="L2" s="1329" t="s">
        <v>2173</v>
      </c>
      <c r="M2" s="1330"/>
      <c r="N2" s="1330"/>
      <c r="O2" s="1330"/>
      <c r="R2" s="1331"/>
      <c r="S2" s="1332" t="s">
        <v>4767</v>
      </c>
      <c r="T2" s="1333" t="s">
        <v>2173</v>
      </c>
      <c r="U2" s="1334"/>
      <c r="V2" s="1332" t="s">
        <v>4772</v>
      </c>
    </row>
    <row r="3" spans="1:24">
      <c r="C3" s="1580" t="s">
        <v>9472</v>
      </c>
      <c r="G3" s="1333" t="s">
        <v>4768</v>
      </c>
      <c r="I3" s="1335" t="s">
        <v>5140</v>
      </c>
      <c r="L3" s="1336" t="s">
        <v>5141</v>
      </c>
      <c r="M3" s="1337"/>
      <c r="N3" s="1337"/>
      <c r="O3" s="1337"/>
      <c r="S3" s="1335" t="s">
        <v>5140</v>
      </c>
      <c r="T3" s="1333" t="s">
        <v>5141</v>
      </c>
      <c r="U3" s="1334"/>
      <c r="V3" s="1332" t="s">
        <v>4767</v>
      </c>
    </row>
    <row r="4" spans="1:24">
      <c r="C4" s="1340" t="s">
        <v>9357</v>
      </c>
      <c r="G4" s="1336" t="s">
        <v>2181</v>
      </c>
      <c r="L4" s="1338" t="s">
        <v>2181</v>
      </c>
      <c r="M4" s="1337"/>
      <c r="N4" s="1337"/>
      <c r="O4" s="1337"/>
      <c r="T4" s="1339"/>
    </row>
    <row r="5" spans="1:24">
      <c r="C5" s="1581" t="s">
        <v>9473</v>
      </c>
      <c r="S5" s="1332"/>
      <c r="T5" s="1333"/>
      <c r="U5" s="1334"/>
    </row>
    <row r="6" spans="1:24">
      <c r="C6" s="1522" t="s">
        <v>9358</v>
      </c>
      <c r="D6" s="1340"/>
      <c r="G6" s="1333" t="s">
        <v>3148</v>
      </c>
      <c r="L6" s="1333" t="s">
        <v>5142</v>
      </c>
      <c r="M6" s="1337"/>
      <c r="N6" s="1337"/>
      <c r="O6" s="1337"/>
      <c r="T6" s="1333" t="s">
        <v>5142</v>
      </c>
    </row>
    <row r="7" spans="1:24">
      <c r="C7" s="1341"/>
      <c r="G7" s="1333"/>
      <c r="L7" s="1336"/>
      <c r="M7" s="1337"/>
      <c r="N7" s="1337"/>
      <c r="O7" s="1337"/>
    </row>
    <row r="8" spans="1:24" ht="15.75" customHeight="1">
      <c r="D8" s="907"/>
      <c r="G8" s="1336"/>
      <c r="L8" s="1336"/>
      <c r="M8" s="1337"/>
      <c r="N8" s="1337"/>
      <c r="O8" s="1337"/>
    </row>
    <row r="9" spans="1:24">
      <c r="G9" s="1320"/>
    </row>
    <row r="10" spans="1:24">
      <c r="C10" s="1342"/>
      <c r="F10" s="1333"/>
      <c r="G10" s="1339"/>
      <c r="H10" s="1339"/>
      <c r="I10" s="1343"/>
      <c r="K10" s="1344"/>
      <c r="P10" s="1345"/>
      <c r="Q10" s="1345"/>
      <c r="R10" s="1346"/>
    </row>
    <row r="11" spans="1:24" ht="30" customHeight="1">
      <c r="A11" s="1347" t="s">
        <v>4683</v>
      </c>
      <c r="B11" s="1348" t="s">
        <v>5143</v>
      </c>
      <c r="C11" s="1349" t="s">
        <v>4297</v>
      </c>
      <c r="D11" s="1350"/>
      <c r="E11" s="1350"/>
      <c r="F11" s="1348" t="s">
        <v>5144</v>
      </c>
      <c r="G11" s="1348" t="s">
        <v>4956</v>
      </c>
      <c r="H11" s="1348" t="s">
        <v>4957</v>
      </c>
      <c r="I11" s="1351" t="s">
        <v>5145</v>
      </c>
      <c r="J11" s="1352" t="s">
        <v>4957</v>
      </c>
      <c r="K11" s="1353" t="s">
        <v>1949</v>
      </c>
      <c r="L11" s="1353" t="s">
        <v>1950</v>
      </c>
      <c r="M11" s="1354" t="s">
        <v>1934</v>
      </c>
      <c r="N11" s="1354" t="s">
        <v>1971</v>
      </c>
      <c r="O11" s="1354" t="s">
        <v>1972</v>
      </c>
      <c r="P11" s="1352" t="s">
        <v>5146</v>
      </c>
      <c r="Q11" s="1352" t="s">
        <v>5147</v>
      </c>
      <c r="R11" s="1355"/>
      <c r="S11" s="1348" t="s">
        <v>5143</v>
      </c>
      <c r="T11" s="1348"/>
      <c r="U11" s="1352"/>
      <c r="V11" s="1355" t="s">
        <v>4774</v>
      </c>
      <c r="W11" s="1350"/>
    </row>
    <row r="12" spans="1:24">
      <c r="B12" s="1356"/>
      <c r="C12" s="1357"/>
      <c r="D12" s="1358"/>
      <c r="E12" s="1358"/>
      <c r="F12" s="1346"/>
      <c r="G12" s="1346"/>
      <c r="H12" s="1346"/>
      <c r="I12" s="1359"/>
      <c r="J12" s="1360"/>
      <c r="K12" s="1360"/>
      <c r="L12" s="1360"/>
      <c r="M12" s="1361"/>
      <c r="N12" s="1361"/>
      <c r="O12" s="1361"/>
      <c r="P12" s="1360"/>
      <c r="Q12" s="1360"/>
      <c r="R12" s="1346"/>
      <c r="S12" s="1356"/>
      <c r="T12" s="1356"/>
      <c r="U12" s="1362"/>
    </row>
    <row r="13" spans="1:24">
      <c r="A13" s="1320" t="s">
        <v>5148</v>
      </c>
      <c r="C13" s="1322">
        <v>1</v>
      </c>
      <c r="D13" s="1356" t="s">
        <v>5149</v>
      </c>
      <c r="E13" s="1339"/>
      <c r="G13" s="1320"/>
    </row>
    <row r="14" spans="1:24">
      <c r="A14" s="1320" t="s">
        <v>5148</v>
      </c>
      <c r="C14" s="1322">
        <v>2</v>
      </c>
      <c r="D14" s="1320" t="s">
        <v>4776</v>
      </c>
      <c r="E14" s="1363"/>
      <c r="F14" s="1358">
        <f>+F115+F131</f>
        <v>1782281.2948316957</v>
      </c>
      <c r="G14" s="1358">
        <f>+G115+G131</f>
        <v>7929.0305824175994</v>
      </c>
      <c r="H14" s="1358">
        <f>+H115+H131</f>
        <v>1774352.2642492782</v>
      </c>
      <c r="I14" s="1323">
        <f>IF(F14=0,0,+H14/F14)</f>
        <v>0.99555119014859761</v>
      </c>
      <c r="J14" s="1364">
        <f t="shared" ref="J14:Q14" si="0">+J115</f>
        <v>1774352.2642492782</v>
      </c>
      <c r="K14" s="1364">
        <f t="shared" si="0"/>
        <v>1031095.7438643834</v>
      </c>
      <c r="L14" s="1364">
        <f t="shared" si="0"/>
        <v>95215.926359999998</v>
      </c>
      <c r="M14" s="1364">
        <f t="shared" si="0"/>
        <v>472409.06597747206</v>
      </c>
      <c r="N14" s="1364">
        <f t="shared" si="0"/>
        <v>56248.638876056888</v>
      </c>
      <c r="O14" s="1364">
        <f>+O115</f>
        <v>33101.5829713657</v>
      </c>
      <c r="P14" s="1364">
        <f>+P115</f>
        <v>3573.4600599999999</v>
      </c>
      <c r="Q14" s="1364">
        <f t="shared" si="0"/>
        <v>82707.846140000009</v>
      </c>
      <c r="R14" s="1358"/>
      <c r="S14" s="1324"/>
      <c r="T14" s="1365"/>
      <c r="V14" s="1320" t="s">
        <v>5150</v>
      </c>
      <c r="W14" s="907"/>
      <c r="X14" s="907"/>
    </row>
    <row r="15" spans="1:24">
      <c r="A15" s="1320" t="s">
        <v>5148</v>
      </c>
      <c r="C15" s="1322">
        <v>3</v>
      </c>
      <c r="D15" s="1320" t="s">
        <v>5151</v>
      </c>
      <c r="E15" s="1363"/>
      <c r="F15" s="1350">
        <f>F125+F137+F147+F117-F131</f>
        <v>40811.65069322077</v>
      </c>
      <c r="G15" s="1350">
        <f>G125+G137+G147+G117-G131</f>
        <v>82.264246588621972</v>
      </c>
      <c r="H15" s="1350">
        <f>H125+H137+H147+H117-H131</f>
        <v>40729.386446632147</v>
      </c>
      <c r="I15" s="1323">
        <f>IF(F15=0,0,+H15/F15)</f>
        <v>0.9979842950434179</v>
      </c>
      <c r="J15" s="1366">
        <f t="shared" ref="J15:Q15" si="1">J125+J137+J147+J117-J131</f>
        <v>40729.386446632147</v>
      </c>
      <c r="K15" s="1366">
        <f t="shared" si="1"/>
        <v>30798.593599985277</v>
      </c>
      <c r="L15" s="1366">
        <f t="shared" si="1"/>
        <v>2731.1221004361505</v>
      </c>
      <c r="M15" s="1366">
        <f t="shared" si="1"/>
        <v>6219.6828355399766</v>
      </c>
      <c r="N15" s="1366">
        <f t="shared" si="1"/>
        <v>644.88730209589937</v>
      </c>
      <c r="O15" s="1366">
        <f>O125+O137+O147+O117-O131</f>
        <v>118.12635451814252</v>
      </c>
      <c r="P15" s="1366">
        <f>P125+P137+P147+P117-P131</f>
        <v>99.333348273601672</v>
      </c>
      <c r="Q15" s="1366">
        <f t="shared" si="1"/>
        <v>117.64090578310908</v>
      </c>
      <c r="R15" s="1358"/>
      <c r="S15" s="1324"/>
      <c r="T15" s="1365"/>
      <c r="V15" s="1320" t="s">
        <v>5152</v>
      </c>
      <c r="W15" s="907"/>
      <c r="X15" s="907"/>
    </row>
    <row r="16" spans="1:24">
      <c r="A16" s="1320" t="s">
        <v>5148</v>
      </c>
      <c r="C16" s="1322">
        <v>4</v>
      </c>
      <c r="E16" s="1363"/>
      <c r="F16" s="1358"/>
      <c r="G16" s="1358"/>
      <c r="H16" s="1358"/>
      <c r="J16" s="1364"/>
      <c r="K16" s="1364"/>
      <c r="L16" s="1364"/>
      <c r="M16" s="1364"/>
      <c r="N16" s="1367"/>
      <c r="O16" s="1367"/>
      <c r="P16" s="1367"/>
      <c r="Q16" s="1364"/>
      <c r="R16" s="1358"/>
      <c r="S16" s="1324"/>
      <c r="T16" s="1365"/>
      <c r="W16" s="907"/>
      <c r="X16" s="907"/>
    </row>
    <row r="17" spans="1:27">
      <c r="A17" s="1320" t="s">
        <v>5148</v>
      </c>
      <c r="C17" s="1322">
        <v>5</v>
      </c>
      <c r="D17" s="1320" t="s">
        <v>5153</v>
      </c>
      <c r="E17" s="1363"/>
      <c r="F17" s="1364">
        <f>SUM(F14:F15)</f>
        <v>1823092.9455249165</v>
      </c>
      <c r="G17" s="1358">
        <f>SUM(G14:G15)</f>
        <v>8011.2948290062213</v>
      </c>
      <c r="H17" s="1358">
        <f>SUM(H14:H15)</f>
        <v>1815081.6506959104</v>
      </c>
      <c r="J17" s="1364">
        <f t="shared" ref="J17:Q17" si="2">SUM(J14:J15)</f>
        <v>1815081.6506959104</v>
      </c>
      <c r="K17" s="1364">
        <f t="shared" si="2"/>
        <v>1061894.3374643687</v>
      </c>
      <c r="L17" s="1364">
        <f t="shared" si="2"/>
        <v>97947.048460436141</v>
      </c>
      <c r="M17" s="1364">
        <f t="shared" si="2"/>
        <v>478628.74881301203</v>
      </c>
      <c r="N17" s="1367">
        <f t="shared" si="2"/>
        <v>56893.526178152788</v>
      </c>
      <c r="O17" s="1367">
        <f>SUM(O14:O15)</f>
        <v>33219.709325883843</v>
      </c>
      <c r="P17" s="1367">
        <f>SUM(P14:P15)</f>
        <v>3672.7934082736015</v>
      </c>
      <c r="Q17" s="1364">
        <f t="shared" si="2"/>
        <v>82825.487045783113</v>
      </c>
      <c r="R17" s="1358"/>
      <c r="S17" s="1324"/>
      <c r="T17" s="1365"/>
      <c r="V17" s="1320" t="s">
        <v>5154</v>
      </c>
      <c r="W17" s="907"/>
      <c r="X17" s="907"/>
    </row>
    <row r="18" spans="1:27">
      <c r="A18" s="1320" t="s">
        <v>5148</v>
      </c>
      <c r="C18" s="1322">
        <v>6</v>
      </c>
      <c r="E18" s="1339"/>
      <c r="F18" s="1324"/>
      <c r="G18" s="1320"/>
      <c r="J18" s="1368"/>
      <c r="K18" s="1369"/>
      <c r="L18" s="1369"/>
      <c r="M18" s="1369"/>
      <c r="N18" s="1369"/>
      <c r="O18" s="1369"/>
      <c r="P18" s="1369"/>
      <c r="Q18" s="1369"/>
      <c r="T18" s="1365"/>
      <c r="U18" s="1368"/>
      <c r="W18" s="907"/>
      <c r="X18" s="907"/>
    </row>
    <row r="19" spans="1:27">
      <c r="A19" s="1320" t="s">
        <v>5148</v>
      </c>
      <c r="C19" s="1322">
        <v>7</v>
      </c>
      <c r="E19" s="1339"/>
      <c r="F19" s="1324"/>
      <c r="G19" s="1320"/>
      <c r="J19" s="1370"/>
      <c r="K19" s="1370"/>
      <c r="L19" s="1370"/>
      <c r="M19" s="1370"/>
      <c r="N19" s="1370"/>
      <c r="O19" s="1370"/>
      <c r="P19" s="1370"/>
      <c r="Q19" s="1370"/>
      <c r="R19" s="1371"/>
      <c r="S19" s="1371"/>
      <c r="T19" s="1372"/>
      <c r="W19" s="907"/>
      <c r="X19" s="907"/>
    </row>
    <row r="20" spans="1:27">
      <c r="A20" s="1320" t="s">
        <v>5148</v>
      </c>
      <c r="B20" s="1339"/>
      <c r="C20" s="1322">
        <v>8</v>
      </c>
      <c r="D20" s="1356" t="s">
        <v>5155</v>
      </c>
      <c r="E20" s="1339"/>
      <c r="F20" s="1324"/>
      <c r="G20" s="1320"/>
      <c r="S20" s="1339"/>
      <c r="T20" s="1339"/>
      <c r="U20" s="1344"/>
      <c r="W20" s="907"/>
      <c r="X20" s="907"/>
    </row>
    <row r="21" spans="1:27">
      <c r="A21" s="1320" t="s">
        <v>5148</v>
      </c>
      <c r="C21" s="1322">
        <v>9</v>
      </c>
      <c r="D21" s="1320" t="s">
        <v>5156</v>
      </c>
      <c r="E21" s="1363"/>
      <c r="F21" s="1324">
        <f>+F187</f>
        <v>626.46090775325297</v>
      </c>
      <c r="G21" s="1320">
        <f>+G187</f>
        <v>0</v>
      </c>
      <c r="H21" s="1320">
        <f>+H187</f>
        <v>626.46090775325297</v>
      </c>
      <c r="I21" s="1323">
        <f t="shared" ref="I21:I26" si="3">IF(F21=0,0,+H21/F21)</f>
        <v>1</v>
      </c>
      <c r="J21" s="1324">
        <f t="shared" ref="J21:Q21" si="4">+J187</f>
        <v>626.46090775325297</v>
      </c>
      <c r="K21" s="1324">
        <f t="shared" si="4"/>
        <v>316.13358975594224</v>
      </c>
      <c r="L21" s="1324">
        <f t="shared" si="4"/>
        <v>29.214444451259041</v>
      </c>
      <c r="M21" s="1324">
        <f t="shared" si="4"/>
        <v>217.63626389760336</v>
      </c>
      <c r="N21" s="1324">
        <f t="shared" si="4"/>
        <v>34.64419389080566</v>
      </c>
      <c r="O21" s="1324">
        <f>+O187</f>
        <v>25.522788671559834</v>
      </c>
      <c r="P21" s="1324">
        <f>+P187</f>
        <v>3.3096270860828403</v>
      </c>
      <c r="Q21" s="1324">
        <f t="shared" si="4"/>
        <v>0</v>
      </c>
      <c r="S21" s="1324"/>
      <c r="T21" s="1324"/>
      <c r="V21" s="1324" t="s">
        <v>5157</v>
      </c>
      <c r="W21" s="907"/>
      <c r="X21" s="907"/>
    </row>
    <row r="22" spans="1:27" s="1324" customFormat="1">
      <c r="A22" s="1320" t="s">
        <v>5148</v>
      </c>
      <c r="C22" s="1322">
        <v>10</v>
      </c>
      <c r="D22" s="1324" t="s">
        <v>5158</v>
      </c>
      <c r="E22" s="1373"/>
      <c r="F22" s="1324">
        <f>+F327</f>
        <v>393467.81005182274</v>
      </c>
      <c r="G22" s="1324">
        <f>+G327</f>
        <v>1696.7046513136961</v>
      </c>
      <c r="H22" s="1324">
        <f>+H327</f>
        <v>391771.10540050903</v>
      </c>
      <c r="I22" s="1374">
        <f t="shared" si="3"/>
        <v>0.99568781839843457</v>
      </c>
      <c r="J22" s="1324">
        <f t="shared" ref="J22:Q22" si="5">+J327</f>
        <v>391771.10540050903</v>
      </c>
      <c r="K22" s="1324">
        <f t="shared" si="5"/>
        <v>246053.44580808264</v>
      </c>
      <c r="L22" s="1324">
        <f t="shared" si="5"/>
        <v>23394.766335585584</v>
      </c>
      <c r="M22" s="1324">
        <f t="shared" si="5"/>
        <v>93062.933578015887</v>
      </c>
      <c r="N22" s="1324">
        <f t="shared" si="5"/>
        <v>11372.030588118128</v>
      </c>
      <c r="O22" s="1324">
        <f>+O327</f>
        <v>6943.6197799122192</v>
      </c>
      <c r="P22" s="1324">
        <f>+P327</f>
        <v>844.06435559400143</v>
      </c>
      <c r="Q22" s="1324">
        <f t="shared" si="5"/>
        <v>10100.244955200616</v>
      </c>
      <c r="V22" s="1324" t="s">
        <v>5159</v>
      </c>
      <c r="W22" s="907"/>
      <c r="X22" s="907"/>
      <c r="Y22" s="1320"/>
      <c r="AA22" s="1320"/>
    </row>
    <row r="23" spans="1:27">
      <c r="A23" s="1320" t="s">
        <v>5148</v>
      </c>
      <c r="C23" s="1322">
        <v>11</v>
      </c>
      <c r="D23" s="1320" t="s">
        <v>5160</v>
      </c>
      <c r="E23" s="1373"/>
      <c r="F23" s="1324">
        <f>+F507</f>
        <v>533874.20787373558</v>
      </c>
      <c r="G23" s="1320">
        <f>+G507</f>
        <v>2438.1304602066384</v>
      </c>
      <c r="H23" s="1320">
        <f>+H507</f>
        <v>531436.07741352892</v>
      </c>
      <c r="I23" s="1323">
        <f t="shared" si="3"/>
        <v>0.99543313682465195</v>
      </c>
      <c r="J23" s="1324">
        <f t="shared" ref="J23:Q23" si="6">+J507</f>
        <v>531436.07741352892</v>
      </c>
      <c r="K23" s="1324">
        <f t="shared" si="6"/>
        <v>309279.76690012234</v>
      </c>
      <c r="L23" s="1324">
        <f t="shared" si="6"/>
        <v>27518.260183406866</v>
      </c>
      <c r="M23" s="1324">
        <f t="shared" si="6"/>
        <v>143759.10248502731</v>
      </c>
      <c r="N23" s="1324">
        <f t="shared" si="6"/>
        <v>16855.832265664412</v>
      </c>
      <c r="O23" s="1324">
        <f>+O507</f>
        <v>10505.316813270758</v>
      </c>
      <c r="P23" s="1324">
        <f>+P507</f>
        <v>1128.1637939884699</v>
      </c>
      <c r="Q23" s="1324">
        <f t="shared" si="6"/>
        <v>22389.634972048774</v>
      </c>
      <c r="S23" s="1324"/>
      <c r="T23" s="1324"/>
      <c r="V23" s="1324" t="s">
        <v>5161</v>
      </c>
      <c r="W23" s="907"/>
      <c r="X23" s="907"/>
    </row>
    <row r="24" spans="1:27">
      <c r="A24" s="1320" t="s">
        <v>5148</v>
      </c>
      <c r="C24" s="1322">
        <v>12</v>
      </c>
      <c r="D24" s="1320" t="s">
        <v>5162</v>
      </c>
      <c r="E24" s="1373"/>
      <c r="F24" s="1324">
        <f>+F607</f>
        <v>102154.43774323718</v>
      </c>
      <c r="G24" s="1320">
        <f>+G607</f>
        <v>561.95570653723053</v>
      </c>
      <c r="H24" s="1320">
        <f>+H607</f>
        <v>101592.48203669996</v>
      </c>
      <c r="I24" s="1323">
        <f t="shared" si="3"/>
        <v>0.99449895942896105</v>
      </c>
      <c r="J24" s="1324">
        <f t="shared" ref="J24:Q24" si="7">+J607</f>
        <v>101592.48203669996</v>
      </c>
      <c r="K24" s="1324">
        <f t="shared" si="7"/>
        <v>59575.056414847582</v>
      </c>
      <c r="L24" s="1324">
        <f t="shared" si="7"/>
        <v>5104.0288563173726</v>
      </c>
      <c r="M24" s="1324">
        <f t="shared" si="7"/>
        <v>27011.987438899236</v>
      </c>
      <c r="N24" s="1324">
        <f t="shared" si="7"/>
        <v>3173.8626610955725</v>
      </c>
      <c r="O24" s="1324">
        <f>+O607</f>
        <v>1916.1794873947651</v>
      </c>
      <c r="P24" s="1324">
        <f>+P607</f>
        <v>218.24050523345159</v>
      </c>
      <c r="Q24" s="1324">
        <f t="shared" si="7"/>
        <v>4593.1266729119889</v>
      </c>
      <c r="S24" s="1324"/>
      <c r="T24" s="1324"/>
      <c r="V24" s="1324" t="s">
        <v>5163</v>
      </c>
      <c r="W24" s="907"/>
      <c r="X24" s="907"/>
    </row>
    <row r="25" spans="1:27">
      <c r="A25" s="1320" t="s">
        <v>5148</v>
      </c>
      <c r="C25" s="1322">
        <v>13</v>
      </c>
      <c r="D25" s="1320" t="s">
        <v>5164</v>
      </c>
      <c r="E25" s="1373"/>
      <c r="F25" s="1324">
        <f>+F845</f>
        <v>67414.930018134939</v>
      </c>
      <c r="G25" s="1320">
        <f>+G845</f>
        <v>354.5671908193217</v>
      </c>
      <c r="H25" s="1320">
        <f>+H845</f>
        <v>67060.343142276222</v>
      </c>
      <c r="I25" s="1323">
        <f t="shared" si="3"/>
        <v>0.99474023223396757</v>
      </c>
      <c r="J25" s="1324">
        <f>+J845</f>
        <v>67060.343142276222</v>
      </c>
      <c r="K25" s="1324">
        <f t="shared" ref="K25:Q25" si="8">+K845</f>
        <v>37539.953376545156</v>
      </c>
      <c r="L25" s="1324">
        <f t="shared" si="8"/>
        <v>4112.8966001316348</v>
      </c>
      <c r="M25" s="1324">
        <f t="shared" si="8"/>
        <v>16935.519168368515</v>
      </c>
      <c r="N25" s="1324">
        <f t="shared" si="8"/>
        <v>1808.3984234116497</v>
      </c>
      <c r="O25" s="1324">
        <f t="shared" si="8"/>
        <v>395.01180232226437</v>
      </c>
      <c r="P25" s="1324">
        <f t="shared" si="8"/>
        <v>153.77445886313348</v>
      </c>
      <c r="Q25" s="1324">
        <f t="shared" si="8"/>
        <v>6114.7893126336876</v>
      </c>
      <c r="S25" s="1324"/>
      <c r="T25" s="1324"/>
      <c r="V25" s="1324" t="s">
        <v>5165</v>
      </c>
      <c r="W25" s="907"/>
      <c r="X25" s="907"/>
    </row>
    <row r="26" spans="1:27">
      <c r="A26" s="1320" t="s">
        <v>5148</v>
      </c>
      <c r="C26" s="1322">
        <v>14</v>
      </c>
      <c r="D26" s="1320" t="s">
        <v>5166</v>
      </c>
      <c r="E26" s="1363"/>
      <c r="F26" s="1324">
        <f>+F709</f>
        <v>0</v>
      </c>
      <c r="G26" s="1324">
        <f>+G709</f>
        <v>0</v>
      </c>
      <c r="H26" s="1366">
        <f>+H709</f>
        <v>0</v>
      </c>
      <c r="I26" s="1323">
        <f t="shared" si="3"/>
        <v>0</v>
      </c>
      <c r="J26" s="1324">
        <f t="shared" ref="J26:Q26" si="9">+J709</f>
        <v>0</v>
      </c>
      <c r="K26" s="1324">
        <f t="shared" si="9"/>
        <v>0</v>
      </c>
      <c r="L26" s="1324">
        <f t="shared" si="9"/>
        <v>0</v>
      </c>
      <c r="M26" s="1324">
        <f t="shared" si="9"/>
        <v>0</v>
      </c>
      <c r="N26" s="1324">
        <f t="shared" si="9"/>
        <v>0</v>
      </c>
      <c r="O26" s="1324">
        <f>+O709</f>
        <v>0</v>
      </c>
      <c r="P26" s="1324">
        <f>+P709</f>
        <v>0</v>
      </c>
      <c r="Q26" s="1366">
        <f t="shared" si="9"/>
        <v>0</v>
      </c>
      <c r="R26" s="1364"/>
      <c r="S26" s="1324"/>
      <c r="T26" s="1324"/>
      <c r="V26" s="1324" t="s">
        <v>5167</v>
      </c>
      <c r="W26" s="907"/>
      <c r="X26" s="907"/>
    </row>
    <row r="27" spans="1:27">
      <c r="A27" s="1320" t="s">
        <v>5148</v>
      </c>
      <c r="C27" s="1322">
        <v>15</v>
      </c>
      <c r="F27" s="1375"/>
      <c r="G27" s="1376"/>
      <c r="H27" s="1358"/>
      <c r="J27" s="1375"/>
      <c r="K27" s="1375"/>
      <c r="L27" s="1375"/>
      <c r="M27" s="1375"/>
      <c r="N27" s="1377"/>
      <c r="O27" s="1377"/>
      <c r="P27" s="1377"/>
      <c r="Q27" s="1364"/>
      <c r="R27" s="1358"/>
      <c r="S27" s="1324"/>
      <c r="T27" s="1324"/>
      <c r="V27" s="1324"/>
      <c r="W27" s="907"/>
      <c r="X27" s="907"/>
    </row>
    <row r="28" spans="1:27">
      <c r="A28" s="1320" t="s">
        <v>5148</v>
      </c>
      <c r="C28" s="1322">
        <v>16</v>
      </c>
      <c r="D28" s="1320" t="s">
        <v>5168</v>
      </c>
      <c r="E28" s="1373"/>
      <c r="F28" s="1350">
        <f>SUM(F21:F26)</f>
        <v>1097537.8465946836</v>
      </c>
      <c r="G28" s="1350">
        <f>SUM(G21:G26)</f>
        <v>5051.3580088768867</v>
      </c>
      <c r="H28" s="1350">
        <f>SUM(H21:H26)</f>
        <v>1092486.4689007674</v>
      </c>
      <c r="I28" s="1323">
        <f>IF(F28=0,0,+H28/F28)</f>
        <v>0.99539753666847197</v>
      </c>
      <c r="J28" s="1366">
        <f>SUM(J21:J26)</f>
        <v>1092486.4689007674</v>
      </c>
      <c r="K28" s="1366">
        <f>SUM(K21:K26)</f>
        <v>652764.35608935368</v>
      </c>
      <c r="L28" s="1366">
        <f t="shared" ref="L28:Q28" si="10">SUM(L21:L26)</f>
        <v>60159.166419892717</v>
      </c>
      <c r="M28" s="1366">
        <f t="shared" si="10"/>
        <v>280987.17893420858</v>
      </c>
      <c r="N28" s="1378">
        <f t="shared" si="10"/>
        <v>33244.768132180565</v>
      </c>
      <c r="O28" s="1378">
        <f>SUM(O21:O26)</f>
        <v>19785.650671571566</v>
      </c>
      <c r="P28" s="1378">
        <f>SUM(P21:P26)</f>
        <v>2347.5527407651393</v>
      </c>
      <c r="Q28" s="1366">
        <f t="shared" si="10"/>
        <v>43197.795912795067</v>
      </c>
      <c r="S28" s="1324"/>
      <c r="T28" s="1324"/>
      <c r="V28" s="1320" t="s">
        <v>5169</v>
      </c>
      <c r="W28" s="907"/>
      <c r="X28" s="907"/>
    </row>
    <row r="29" spans="1:27">
      <c r="A29" s="1320" t="s">
        <v>5148</v>
      </c>
      <c r="C29" s="1322">
        <v>17</v>
      </c>
      <c r="E29" s="1373"/>
      <c r="F29" s="1358"/>
      <c r="G29" s="1358"/>
      <c r="H29" s="1358"/>
      <c r="I29" s="1379"/>
      <c r="J29" s="1364"/>
      <c r="K29" s="1364"/>
      <c r="L29" s="1364"/>
      <c r="M29" s="1367"/>
      <c r="N29" s="1367"/>
      <c r="O29" s="1367"/>
      <c r="P29" s="1364"/>
      <c r="Q29" s="1364"/>
      <c r="S29" s="1324"/>
      <c r="T29" s="1324"/>
      <c r="V29" s="1324"/>
      <c r="W29" s="907"/>
      <c r="X29" s="907"/>
    </row>
    <row r="30" spans="1:27">
      <c r="A30" s="1320" t="s">
        <v>5148</v>
      </c>
      <c r="C30" s="1322">
        <v>18</v>
      </c>
      <c r="E30" s="1373"/>
      <c r="F30" s="1364"/>
      <c r="G30" s="1358"/>
      <c r="H30" s="1358"/>
      <c r="I30" s="1379"/>
      <c r="J30" s="1364"/>
      <c r="K30" s="1364"/>
      <c r="L30" s="1364"/>
      <c r="M30" s="1367"/>
      <c r="N30" s="1367"/>
      <c r="O30" s="1367"/>
      <c r="P30" s="1364"/>
      <c r="Q30" s="1364"/>
      <c r="R30" s="1358"/>
      <c r="S30" s="1324"/>
      <c r="T30" s="1324"/>
      <c r="V30" s="1324"/>
      <c r="W30" s="907"/>
      <c r="X30" s="907"/>
    </row>
    <row r="31" spans="1:27" ht="14.4" thickBot="1">
      <c r="A31" s="1320" t="s">
        <v>5148</v>
      </c>
      <c r="C31" s="1322">
        <v>19</v>
      </c>
      <c r="D31" s="1320" t="s">
        <v>5170</v>
      </c>
      <c r="E31" s="1373"/>
      <c r="F31" s="1320">
        <f>+F17-F28</f>
        <v>725555.09893023293</v>
      </c>
      <c r="G31" s="1320">
        <f>+G17-G28</f>
        <v>2959.9368201293346</v>
      </c>
      <c r="H31" s="1320">
        <f>+H17-H28</f>
        <v>722595.18179514306</v>
      </c>
      <c r="I31" s="1323">
        <f>IF(F31=0,0,+H31/F31)</f>
        <v>0.99592047917593851</v>
      </c>
      <c r="J31" s="1324">
        <f>+J17-J28</f>
        <v>722595.18179514306</v>
      </c>
      <c r="K31" s="1380">
        <f>+K17-K28</f>
        <v>409129.98137501499</v>
      </c>
      <c r="L31" s="1324">
        <f t="shared" ref="L31:Q31" si="11">+L17-L28</f>
        <v>37787.882040543423</v>
      </c>
      <c r="M31" s="1324">
        <f t="shared" si="11"/>
        <v>197641.56987880345</v>
      </c>
      <c r="N31" s="1325">
        <f t="shared" si="11"/>
        <v>23648.758045972223</v>
      </c>
      <c r="O31" s="1325">
        <f>+O17-O28</f>
        <v>13434.058654312277</v>
      </c>
      <c r="P31" s="1325">
        <f>+P17-P28</f>
        <v>1325.2406675084621</v>
      </c>
      <c r="Q31" s="1324">
        <f t="shared" si="11"/>
        <v>39627.691132988046</v>
      </c>
      <c r="S31" s="1324"/>
      <c r="T31" s="1324"/>
      <c r="V31" s="1326" t="s">
        <v>5171</v>
      </c>
      <c r="W31" s="907"/>
      <c r="X31" s="907"/>
    </row>
    <row r="32" spans="1:27" ht="14.4" thickTop="1">
      <c r="A32" s="1320" t="s">
        <v>5148</v>
      </c>
      <c r="C32" s="1322">
        <v>20</v>
      </c>
      <c r="F32" s="1381"/>
      <c r="G32" s="1381"/>
      <c r="H32" s="1381"/>
      <c r="J32" s="1381"/>
      <c r="K32" s="1382"/>
      <c r="L32" s="1381"/>
      <c r="M32" s="1381"/>
      <c r="N32" s="1383"/>
      <c r="O32" s="1383"/>
      <c r="P32" s="1383"/>
      <c r="Q32" s="1381"/>
      <c r="R32" s="1364"/>
      <c r="S32" s="1324"/>
      <c r="T32" s="1324"/>
      <c r="V32" s="1326"/>
      <c r="W32" s="907"/>
      <c r="X32" s="907"/>
    </row>
    <row r="33" spans="1:27">
      <c r="A33" s="1320" t="s">
        <v>5148</v>
      </c>
      <c r="C33" s="1322">
        <v>21</v>
      </c>
      <c r="E33" s="1339"/>
      <c r="F33" s="1384"/>
      <c r="G33" s="1320"/>
      <c r="M33" s="1324"/>
      <c r="P33" s="1325"/>
      <c r="S33" s="1324"/>
      <c r="T33" s="1324"/>
      <c r="V33" s="1324"/>
      <c r="W33" s="907"/>
      <c r="X33" s="907"/>
    </row>
    <row r="34" spans="1:27">
      <c r="A34" s="1320" t="s">
        <v>5148</v>
      </c>
      <c r="C34" s="1322">
        <v>22</v>
      </c>
      <c r="D34" s="1356" t="s">
        <v>2305</v>
      </c>
      <c r="E34" s="1339"/>
      <c r="G34" s="1320"/>
      <c r="K34" s="1382"/>
      <c r="M34" s="1324"/>
      <c r="P34" s="1325"/>
      <c r="S34" s="1324"/>
      <c r="T34" s="1324"/>
      <c r="V34" s="1324"/>
      <c r="W34" s="907"/>
      <c r="X34" s="907"/>
    </row>
    <row r="35" spans="1:27">
      <c r="A35" s="1320" t="s">
        <v>5148</v>
      </c>
      <c r="C35" s="1322">
        <v>23</v>
      </c>
      <c r="D35" s="1320" t="s">
        <v>5172</v>
      </c>
      <c r="E35" s="1324"/>
      <c r="F35" s="1324">
        <f>+F1015</f>
        <v>13492110.214790912</v>
      </c>
      <c r="G35" s="1324">
        <f>+G1015</f>
        <v>74031.718711794587</v>
      </c>
      <c r="H35" s="1324">
        <f>+H1015</f>
        <v>13418078.496079115</v>
      </c>
      <c r="I35" s="1323">
        <f>IF(F35=0,0,+H35/F35)</f>
        <v>0.99451296220285546</v>
      </c>
      <c r="J35" s="1324">
        <f t="shared" ref="J35:Q35" si="12">+J1015</f>
        <v>13418078.496079115</v>
      </c>
      <c r="K35" s="1324">
        <f t="shared" si="12"/>
        <v>7803885.0947677484</v>
      </c>
      <c r="L35" s="1324">
        <f t="shared" si="12"/>
        <v>662195.73843000806</v>
      </c>
      <c r="M35" s="1324">
        <f t="shared" si="12"/>
        <v>3678113.1537560457</v>
      </c>
      <c r="N35" s="1324">
        <f t="shared" si="12"/>
        <v>431243.51533000369</v>
      </c>
      <c r="O35" s="1324">
        <f>+O1015</f>
        <v>263579.70031578641</v>
      </c>
      <c r="P35" s="1324">
        <f>+P1015</f>
        <v>28662.380257504039</v>
      </c>
      <c r="Q35" s="1324">
        <f t="shared" si="12"/>
        <v>550398.91322202166</v>
      </c>
      <c r="S35" s="1324"/>
      <c r="T35" s="1324"/>
      <c r="V35" s="1324" t="s">
        <v>5173</v>
      </c>
      <c r="W35" s="907"/>
      <c r="X35" s="907"/>
    </row>
    <row r="36" spans="1:27">
      <c r="A36" s="1320" t="s">
        <v>5148</v>
      </c>
      <c r="C36" s="1322">
        <v>24</v>
      </c>
      <c r="D36" s="1320" t="s">
        <v>5174</v>
      </c>
      <c r="E36" s="1324"/>
      <c r="F36" s="1324">
        <f>+F1043</f>
        <v>69494.543000000005</v>
      </c>
      <c r="G36" s="1324">
        <f>+G1043</f>
        <v>1460.9831868422684</v>
      </c>
      <c r="H36" s="1324">
        <f>+H1043</f>
        <v>68033.559813157728</v>
      </c>
      <c r="I36" s="1323">
        <f>IF(F36=0,0,+H36/F36)</f>
        <v>0.97897700849918134</v>
      </c>
      <c r="J36" s="1324">
        <f t="shared" ref="J36:Q36" si="13">+J1043</f>
        <v>68033.559813157728</v>
      </c>
      <c r="K36" s="1324">
        <f t="shared" si="13"/>
        <v>40180.642536318162</v>
      </c>
      <c r="L36" s="1324">
        <f t="shared" si="13"/>
        <v>3178.9646627556954</v>
      </c>
      <c r="M36" s="1324">
        <f t="shared" si="13"/>
        <v>20697.758064849604</v>
      </c>
      <c r="N36" s="1324">
        <f t="shared" si="13"/>
        <v>2488.0635873788915</v>
      </c>
      <c r="O36" s="1324">
        <f>+O1043</f>
        <v>1327.0255328166152</v>
      </c>
      <c r="P36" s="1324">
        <f>+P1043</f>
        <v>161.10542903876782</v>
      </c>
      <c r="Q36" s="1324">
        <f t="shared" si="13"/>
        <v>0</v>
      </c>
      <c r="S36" s="1324"/>
      <c r="T36" s="1324"/>
      <c r="V36" s="1324" t="s">
        <v>5175</v>
      </c>
      <c r="W36" s="907"/>
      <c r="X36" s="907"/>
    </row>
    <row r="37" spans="1:27">
      <c r="A37" s="1320" t="s">
        <v>5148</v>
      </c>
      <c r="C37" s="1322">
        <v>25</v>
      </c>
      <c r="D37" s="1320" t="s">
        <v>5176</v>
      </c>
      <c r="E37" s="1324"/>
      <c r="F37" s="1324">
        <f>+F1314</f>
        <v>86969.811518665971</v>
      </c>
      <c r="G37" s="1324">
        <f>+G1314</f>
        <v>299.29182373394633</v>
      </c>
      <c r="H37" s="1324">
        <f>+H1314</f>
        <v>86670.519694932023</v>
      </c>
      <c r="I37" s="1323">
        <f>IF(F37=0,0,+H37/F37)</f>
        <v>0.99655866997400921</v>
      </c>
      <c r="J37" s="1324">
        <f t="shared" ref="J37:Q37" si="14">+J1314</f>
        <v>86670.519694932023</v>
      </c>
      <c r="K37" s="1324">
        <f t="shared" si="14"/>
        <v>46961.671164550789</v>
      </c>
      <c r="L37" s="1324">
        <f t="shared" si="14"/>
        <v>4069.3712673520058</v>
      </c>
      <c r="M37" s="1324">
        <f t="shared" si="14"/>
        <v>27470.989961796167</v>
      </c>
      <c r="N37" s="1324">
        <f t="shared" si="14"/>
        <v>3754.3974951654727</v>
      </c>
      <c r="O37" s="1324">
        <f>+O1314</f>
        <v>2585.5014929854365</v>
      </c>
      <c r="P37" s="1324">
        <f>+P1314</f>
        <v>298.18864434022998</v>
      </c>
      <c r="Q37" s="1324">
        <f t="shared" si="14"/>
        <v>1530.3996687419349</v>
      </c>
      <c r="S37" s="1324"/>
      <c r="T37" s="1324"/>
      <c r="V37" s="1324" t="s">
        <v>5177</v>
      </c>
      <c r="W37" s="907"/>
      <c r="X37" s="907"/>
    </row>
    <row r="38" spans="1:27">
      <c r="A38" s="1320" t="s">
        <v>5148</v>
      </c>
      <c r="C38" s="1322">
        <v>26</v>
      </c>
      <c r="D38" s="1320" t="s">
        <v>5178</v>
      </c>
      <c r="E38" s="1324"/>
      <c r="F38" s="1324">
        <f>+F1399</f>
        <v>231613.9264123078</v>
      </c>
      <c r="G38" s="1324">
        <f>+G1399</f>
        <v>1439.1026842580379</v>
      </c>
      <c r="H38" s="1324">
        <f>+H1399</f>
        <v>230174.82372804979</v>
      </c>
      <c r="I38" s="1323">
        <f>IF(F38=0,0,+H38/F38)</f>
        <v>0.99378663145800572</v>
      </c>
      <c r="J38" s="1324">
        <f t="shared" ref="J38:Q38" si="15">+J1399</f>
        <v>230174.82372804979</v>
      </c>
      <c r="K38" s="1324">
        <f t="shared" si="15"/>
        <v>136598.12070567469</v>
      </c>
      <c r="L38" s="1324">
        <f t="shared" si="15"/>
        <v>11908.863082430367</v>
      </c>
      <c r="M38" s="1324">
        <f t="shared" si="15"/>
        <v>62296.490361404241</v>
      </c>
      <c r="N38" s="1324">
        <f t="shared" si="15"/>
        <v>8108.6202811530047</v>
      </c>
      <c r="O38" s="1324">
        <f>+O1399</f>
        <v>5633.8910264736023</v>
      </c>
      <c r="P38" s="1324">
        <f>+P1399</f>
        <v>310.44754062437738</v>
      </c>
      <c r="Q38" s="1324">
        <f t="shared" si="15"/>
        <v>5318.390730289474</v>
      </c>
      <c r="S38" s="1324"/>
      <c r="T38" s="1324"/>
      <c r="V38" s="1324" t="s">
        <v>5179</v>
      </c>
      <c r="W38" s="907"/>
      <c r="X38" s="907"/>
    </row>
    <row r="39" spans="1:27">
      <c r="A39" s="1320" t="s">
        <v>5148</v>
      </c>
      <c r="C39" s="1322">
        <v>27</v>
      </c>
      <c r="D39" s="1320" t="s">
        <v>5180</v>
      </c>
      <c r="E39" s="1324"/>
      <c r="F39" s="1366">
        <f>+F1209</f>
        <v>4023596.4966630763</v>
      </c>
      <c r="G39" s="1366">
        <f>+G1209</f>
        <v>18789.439490788645</v>
      </c>
      <c r="H39" s="1366">
        <f>+H1209</f>
        <v>4004807.0571722877</v>
      </c>
      <c r="I39" s="1323">
        <f>IF(F39=0,0,+H39/F39)</f>
        <v>0.99533018792854322</v>
      </c>
      <c r="J39" s="1366">
        <f t="shared" ref="J39:Q39" si="16">+J1209</f>
        <v>4004807.0571722877</v>
      </c>
      <c r="K39" s="1366">
        <f t="shared" si="16"/>
        <v>2346228.6899014795</v>
      </c>
      <c r="L39" s="1366">
        <f t="shared" si="16"/>
        <v>197813.16002971848</v>
      </c>
      <c r="M39" s="1366">
        <f t="shared" si="16"/>
        <v>1074844.2684083157</v>
      </c>
      <c r="N39" s="1366">
        <f t="shared" si="16"/>
        <v>124843.5281460183</v>
      </c>
      <c r="O39" s="1366">
        <f>+O1209</f>
        <v>75756.22072527741</v>
      </c>
      <c r="P39" s="1366">
        <f>+P1209</f>
        <v>9232.1710149190094</v>
      </c>
      <c r="Q39" s="1366">
        <f t="shared" si="16"/>
        <v>176089.01894656042</v>
      </c>
      <c r="R39" s="1358"/>
      <c r="S39" s="1324"/>
      <c r="T39" s="1324"/>
      <c r="V39" s="1324" t="s">
        <v>5181</v>
      </c>
      <c r="W39" s="907"/>
      <c r="X39" s="907"/>
    </row>
    <row r="40" spans="1:27">
      <c r="A40" s="1320" t="s">
        <v>5148</v>
      </c>
      <c r="C40" s="1322">
        <v>28</v>
      </c>
      <c r="E40" s="1339"/>
      <c r="F40" s="1375"/>
      <c r="G40" s="1375"/>
      <c r="H40" s="1375"/>
      <c r="J40" s="1375"/>
      <c r="K40" s="1375"/>
      <c r="L40" s="1375"/>
      <c r="M40" s="1375"/>
      <c r="N40" s="1377"/>
      <c r="O40" s="1377"/>
      <c r="P40" s="1377"/>
      <c r="Q40" s="1375"/>
      <c r="R40" s="1364"/>
      <c r="S40" s="1324"/>
      <c r="T40" s="1324"/>
      <c r="V40" s="1324"/>
      <c r="W40" s="1324"/>
      <c r="X40" s="1344"/>
    </row>
    <row r="41" spans="1:27" ht="14.4" thickBot="1">
      <c r="A41" s="1320" t="s">
        <v>5148</v>
      </c>
      <c r="C41" s="1322">
        <v>29</v>
      </c>
      <c r="D41" s="1320" t="s">
        <v>5182</v>
      </c>
      <c r="E41" s="1339"/>
      <c r="F41" s="1320">
        <f>SUM(F35:F38)-F39</f>
        <v>9856591.9990588091</v>
      </c>
      <c r="G41" s="1320">
        <f>SUM(G35:G38)-G39</f>
        <v>58441.656915840184</v>
      </c>
      <c r="H41" s="1320">
        <f>SUM(H35:H38)-H39</f>
        <v>9798150.3421429675</v>
      </c>
      <c r="I41" s="1323">
        <f>IF(F41=0,0,+H41/F41)</f>
        <v>0.99407080490686617</v>
      </c>
      <c r="J41" s="1324">
        <f t="shared" ref="J41:Q41" si="17">SUM(J35:J38)-J39</f>
        <v>9798150.3421429675</v>
      </c>
      <c r="K41" s="1324">
        <f t="shared" si="17"/>
        <v>5681396.839272812</v>
      </c>
      <c r="L41" s="1324">
        <f t="shared" si="17"/>
        <v>483539.77741282765</v>
      </c>
      <c r="M41" s="1324">
        <f t="shared" si="17"/>
        <v>2713734.1237357799</v>
      </c>
      <c r="N41" s="1325">
        <f t="shared" si="17"/>
        <v>320751.06854768272</v>
      </c>
      <c r="O41" s="1325">
        <f>SUM(O35:O38)-O39</f>
        <v>197369.89764278461</v>
      </c>
      <c r="P41" s="1325">
        <f>SUM(P35:P38)-P39</f>
        <v>20199.950856588403</v>
      </c>
      <c r="Q41" s="1324">
        <f t="shared" si="17"/>
        <v>381158.68467449269</v>
      </c>
      <c r="S41" s="1324"/>
      <c r="T41" s="1324"/>
      <c r="V41" s="1324" t="s">
        <v>5183</v>
      </c>
      <c r="W41" s="1324"/>
      <c r="X41" s="1324"/>
    </row>
    <row r="42" spans="1:27" ht="14.4" thickTop="1">
      <c r="A42" s="1320" t="s">
        <v>5148</v>
      </c>
      <c r="C42" s="1322">
        <v>30</v>
      </c>
      <c r="F42" s="1381"/>
      <c r="G42" s="1381"/>
      <c r="H42" s="1381"/>
      <c r="J42" s="1381"/>
      <c r="K42" s="1381"/>
      <c r="L42" s="1381"/>
      <c r="M42" s="1381"/>
      <c r="N42" s="1383"/>
      <c r="O42" s="1383"/>
      <c r="P42" s="1383"/>
      <c r="Q42" s="1381"/>
      <c r="R42" s="1364"/>
      <c r="S42" s="1324"/>
      <c r="V42" s="1324"/>
    </row>
    <row r="43" spans="1:27">
      <c r="A43" s="1320" t="s">
        <v>5148</v>
      </c>
      <c r="C43" s="1322">
        <v>31</v>
      </c>
      <c r="E43" s="1953"/>
      <c r="F43" s="1384"/>
      <c r="G43" s="1320"/>
      <c r="M43" s="1324"/>
      <c r="P43" s="1325"/>
      <c r="S43" s="1324"/>
    </row>
    <row r="44" spans="1:27">
      <c r="A44" s="1320" t="s">
        <v>5148</v>
      </c>
      <c r="C44" s="1322">
        <v>32</v>
      </c>
      <c r="D44" s="907"/>
      <c r="E44" s="907"/>
      <c r="F44" s="907"/>
      <c r="G44" s="907"/>
      <c r="H44" s="1385"/>
      <c r="I44" s="1386"/>
      <c r="J44" s="1387"/>
      <c r="M44" s="1324"/>
      <c r="P44" s="1325"/>
      <c r="S44" s="1324"/>
    </row>
    <row r="45" spans="1:27">
      <c r="A45" s="1320" t="s">
        <v>5148</v>
      </c>
      <c r="C45" s="1322">
        <v>33</v>
      </c>
      <c r="D45" s="1320" t="s">
        <v>5184</v>
      </c>
      <c r="F45" s="1388">
        <f>ROUND(IF(F41=0,0,F31/F41*100),4)</f>
        <v>7.3611000000000004</v>
      </c>
      <c r="G45" s="1388">
        <f>ROUND(IF(G41=0,0,G31/G41*100),4)</f>
        <v>5.0648</v>
      </c>
      <c r="H45" s="1388">
        <f>ROUND(IF(H41=0,0,H31/H41*100),4)</f>
        <v>7.3747999999999996</v>
      </c>
      <c r="I45" s="1386"/>
      <c r="J45" s="1389">
        <f t="shared" ref="J45:Q45" si="18">ROUND(IF(J41=0,0,J31/J41*100),4)</f>
        <v>7.3747999999999996</v>
      </c>
      <c r="K45" s="1389">
        <f t="shared" si="18"/>
        <v>7.2012</v>
      </c>
      <c r="L45" s="1389">
        <f t="shared" si="18"/>
        <v>7.8148</v>
      </c>
      <c r="M45" s="1389">
        <f t="shared" si="18"/>
        <v>7.2830000000000004</v>
      </c>
      <c r="N45" s="1390">
        <f t="shared" si="18"/>
        <v>7.3728999999999996</v>
      </c>
      <c r="O45" s="1390">
        <f>ROUND(IF(O41=0,0,O31/O41*100),4)</f>
        <v>6.8064999999999998</v>
      </c>
      <c r="P45" s="1390">
        <f>ROUND(IF(P41=0,0,P31/P41*100),4)</f>
        <v>6.5606</v>
      </c>
      <c r="Q45" s="1390">
        <f t="shared" si="18"/>
        <v>10.396599999999999</v>
      </c>
      <c r="R45" s="1388"/>
      <c r="S45" s="1391"/>
      <c r="V45" s="1320" t="s">
        <v>5185</v>
      </c>
    </row>
    <row r="46" spans="1:27">
      <c r="A46" s="1320" t="s">
        <v>5148</v>
      </c>
      <c r="C46" s="1322">
        <v>34</v>
      </c>
      <c r="G46" s="1320"/>
      <c r="H46" s="1392"/>
      <c r="I46" s="1386"/>
      <c r="J46" s="1387"/>
      <c r="M46" s="1324"/>
      <c r="P46" s="1325"/>
    </row>
    <row r="47" spans="1:27" s="1324" customFormat="1">
      <c r="A47" s="1320" t="s">
        <v>5148</v>
      </c>
      <c r="C47" s="1393">
        <v>35</v>
      </c>
      <c r="D47" s="1324" t="s">
        <v>5186</v>
      </c>
      <c r="F47" s="1394"/>
      <c r="G47" s="1389"/>
      <c r="H47" s="1389"/>
      <c r="I47" s="1395"/>
      <c r="J47" s="1389">
        <f t="shared" ref="J47:Q47" si="19">+J45/$J$45</f>
        <v>1</v>
      </c>
      <c r="K47" s="1389">
        <f t="shared" si="19"/>
        <v>0.976460378586538</v>
      </c>
      <c r="L47" s="1389">
        <f t="shared" si="19"/>
        <v>1.0596626349189131</v>
      </c>
      <c r="M47" s="1389">
        <f t="shared" si="19"/>
        <v>0.98755220480555417</v>
      </c>
      <c r="N47" s="1390">
        <f t="shared" si="19"/>
        <v>0.99974236589466836</v>
      </c>
      <c r="O47" s="1390">
        <f>+O45/$J$45</f>
        <v>0.92294028312632204</v>
      </c>
      <c r="P47" s="1390">
        <f>+P45/$J$45</f>
        <v>0.88959700602050229</v>
      </c>
      <c r="Q47" s="1389">
        <f t="shared" si="19"/>
        <v>1.4097467049953898</v>
      </c>
      <c r="R47" s="1389"/>
      <c r="V47" s="1320" t="s">
        <v>5187</v>
      </c>
      <c r="Y47" s="1320"/>
      <c r="AA47" s="1320"/>
    </row>
    <row r="48" spans="1:27">
      <c r="C48" s="1393"/>
      <c r="D48" s="1324"/>
      <c r="E48" s="1324"/>
      <c r="F48" s="1324"/>
      <c r="H48" s="1324"/>
    </row>
    <row r="49" spans="1:22">
      <c r="C49" s="1393"/>
      <c r="D49" s="1324"/>
      <c r="E49" s="1324"/>
      <c r="F49" s="1324"/>
      <c r="H49" s="1324"/>
    </row>
    <row r="50" spans="1:22">
      <c r="C50" s="1393"/>
      <c r="D50" s="1324"/>
      <c r="E50" s="1324"/>
      <c r="F50" s="1324"/>
      <c r="H50" s="1324"/>
    </row>
    <row r="51" spans="1:22">
      <c r="C51" s="1393"/>
      <c r="D51" s="1324"/>
      <c r="E51" s="1324"/>
      <c r="F51" s="1324"/>
      <c r="H51" s="1324"/>
    </row>
    <row r="52" spans="1:22">
      <c r="C52" s="1393"/>
      <c r="D52" s="1324"/>
      <c r="E52" s="1324"/>
      <c r="F52" s="1324"/>
      <c r="H52" s="1324"/>
    </row>
    <row r="53" spans="1:22">
      <c r="C53" s="1340" t="str">
        <f>+C$2</f>
        <v>RATES WITH REVENUE DEFICIENCY ADDITION</v>
      </c>
      <c r="G53" s="1327" t="s">
        <v>2173</v>
      </c>
      <c r="I53" s="1328" t="s">
        <v>5188</v>
      </c>
      <c r="L53" s="1329" t="s">
        <v>2173</v>
      </c>
      <c r="M53" s="1330"/>
      <c r="N53" s="1330"/>
      <c r="O53" s="1330"/>
      <c r="R53" s="1331"/>
      <c r="S53" s="1332" t="s">
        <v>4851</v>
      </c>
      <c r="T53" s="1333" t="s">
        <v>2173</v>
      </c>
      <c r="U53" s="1334"/>
      <c r="V53" s="1332" t="s">
        <v>4772</v>
      </c>
    </row>
    <row r="54" spans="1:22">
      <c r="C54" s="1340" t="str">
        <f>+C$3</f>
        <v>PROD. CAP. ALLOC. METHOD: 12 CP &amp; 1/13th AD</v>
      </c>
      <c r="G54" s="1333" t="s">
        <v>4768</v>
      </c>
      <c r="L54" s="1336" t="s">
        <v>5141</v>
      </c>
      <c r="M54" s="1337"/>
      <c r="N54" s="1337"/>
      <c r="O54" s="1337"/>
      <c r="S54" s="1335" t="s">
        <v>5189</v>
      </c>
      <c r="T54" s="1333" t="s">
        <v>5141</v>
      </c>
      <c r="U54" s="1334"/>
      <c r="V54" s="1332" t="s">
        <v>4851</v>
      </c>
    </row>
    <row r="55" spans="1:22">
      <c r="C55" s="1340" t="str">
        <f>+C$4</f>
        <v>PROJECTED CALENDAR YEAR 2025; FULLY ADJUSTED DATA</v>
      </c>
      <c r="G55" s="1336" t="s">
        <v>2181</v>
      </c>
      <c r="L55" s="1336" t="s">
        <v>2181</v>
      </c>
      <c r="M55" s="1337"/>
      <c r="N55" s="1337"/>
      <c r="O55" s="1337"/>
      <c r="T55" s="1339"/>
    </row>
    <row r="56" spans="1:22">
      <c r="C56" s="1340" t="str">
        <f>+C$5</f>
        <v>MINIMUM DISTRIBUTION SYSTEM (MDS) NOT EMPLOYED</v>
      </c>
      <c r="S56" s="1332"/>
      <c r="T56" s="1333"/>
      <c r="U56" s="1334"/>
    </row>
    <row r="57" spans="1:22">
      <c r="C57" s="1340" t="str">
        <f>+C$6</f>
        <v>Tampa Electric 2025 OB Budget</v>
      </c>
      <c r="D57" s="1340"/>
      <c r="G57" s="1333" t="s">
        <v>3148</v>
      </c>
      <c r="L57" s="1333" t="s">
        <v>5190</v>
      </c>
      <c r="M57" s="1337"/>
      <c r="N57" s="1337"/>
      <c r="O57" s="1337"/>
      <c r="T57" s="1333" t="s">
        <v>5190</v>
      </c>
    </row>
    <row r="58" spans="1:22">
      <c r="G58" s="1333"/>
      <c r="L58" s="1336"/>
      <c r="M58" s="1337"/>
      <c r="N58" s="1337"/>
      <c r="O58" s="1337"/>
    </row>
    <row r="59" spans="1:22">
      <c r="D59" s="907"/>
      <c r="G59" s="1336"/>
      <c r="L59" s="1336"/>
      <c r="M59" s="1337"/>
      <c r="N59" s="1337"/>
      <c r="O59" s="1337"/>
    </row>
    <row r="60" spans="1:22">
      <c r="G60" s="1320"/>
    </row>
    <row r="61" spans="1:22" ht="30" customHeight="1">
      <c r="A61" s="1347" t="s">
        <v>4683</v>
      </c>
      <c r="B61" s="1348" t="s">
        <v>5143</v>
      </c>
      <c r="C61" s="1349" t="s">
        <v>4297</v>
      </c>
      <c r="D61" s="1350"/>
      <c r="E61" s="1350"/>
      <c r="F61" s="1348" t="s">
        <v>5144</v>
      </c>
      <c r="G61" s="1348" t="s">
        <v>4956</v>
      </c>
      <c r="H61" s="1348" t="s">
        <v>4957</v>
      </c>
      <c r="I61" s="1351" t="s">
        <v>5145</v>
      </c>
      <c r="J61" s="1352" t="s">
        <v>4957</v>
      </c>
      <c r="K61" s="1352" t="s">
        <v>1949</v>
      </c>
      <c r="L61" s="1352" t="s">
        <v>1950</v>
      </c>
      <c r="M61" s="1352" t="s">
        <v>1934</v>
      </c>
      <c r="N61" s="1352" t="s">
        <v>1971</v>
      </c>
      <c r="O61" s="1352" t="s">
        <v>1972</v>
      </c>
      <c r="P61" s="1352" t="s">
        <v>5146</v>
      </c>
      <c r="Q61" s="1352" t="s">
        <v>5147</v>
      </c>
      <c r="R61" s="1355"/>
      <c r="S61" s="1348" t="s">
        <v>5143</v>
      </c>
      <c r="T61" s="1348"/>
      <c r="U61" s="1352"/>
      <c r="V61" s="1355" t="s">
        <v>4774</v>
      </c>
    </row>
    <row r="62" spans="1:22">
      <c r="B62" s="1396"/>
      <c r="C62" s="1397"/>
      <c r="D62" s="1358"/>
      <c r="E62" s="1358"/>
      <c r="F62" s="1396"/>
      <c r="G62" s="1396"/>
      <c r="H62" s="1396"/>
      <c r="I62" s="1398"/>
      <c r="J62" s="1399"/>
      <c r="K62" s="1360"/>
      <c r="L62" s="1360"/>
      <c r="M62" s="1361"/>
      <c r="N62" s="1361"/>
      <c r="O62" s="1361"/>
      <c r="P62" s="1399"/>
      <c r="Q62" s="1399"/>
      <c r="R62" s="1346"/>
      <c r="S62" s="1396"/>
      <c r="T62" s="1396"/>
      <c r="U62" s="1399"/>
    </row>
    <row r="63" spans="1:22" ht="15.6">
      <c r="A63" s="1320" t="s">
        <v>5148</v>
      </c>
      <c r="C63" s="1393"/>
      <c r="D63" s="1324" t="s">
        <v>5191</v>
      </c>
      <c r="E63" s="1324"/>
      <c r="F63" s="1599" t="s">
        <v>5192</v>
      </c>
      <c r="G63" s="1600"/>
      <c r="H63" s="1600"/>
      <c r="J63" s="1600"/>
      <c r="K63" s="1600"/>
      <c r="L63" s="1600"/>
      <c r="M63" s="1600"/>
      <c r="N63" s="1600"/>
      <c r="O63" s="1600"/>
      <c r="P63" s="1600"/>
      <c r="Q63" s="1600"/>
    </row>
    <row r="64" spans="1:22">
      <c r="C64" s="1393"/>
      <c r="D64" s="1324"/>
      <c r="E64" s="1324"/>
      <c r="F64" s="1601"/>
      <c r="G64" s="1601"/>
      <c r="H64" s="1601"/>
      <c r="J64" s="1601"/>
      <c r="K64" s="1601"/>
      <c r="L64" s="1601"/>
      <c r="M64" s="1601"/>
      <c r="N64" s="1601"/>
      <c r="O64" s="1601"/>
      <c r="P64" s="1601"/>
      <c r="Q64" s="1601"/>
      <c r="R64" s="1400"/>
    </row>
    <row r="65" spans="1:48">
      <c r="C65" s="1393"/>
      <c r="D65" s="1324"/>
      <c r="E65" s="1324"/>
      <c r="F65" s="1602"/>
      <c r="G65" s="1602"/>
      <c r="H65" s="1602"/>
      <c r="J65" s="1602"/>
      <c r="K65" s="1602"/>
      <c r="L65" s="1602"/>
      <c r="M65" s="1602"/>
      <c r="N65" s="1602"/>
      <c r="O65" s="1602"/>
      <c r="P65" s="1602"/>
      <c r="Q65" s="1602"/>
      <c r="R65" s="1402"/>
    </row>
    <row r="66" spans="1:48">
      <c r="C66" s="1393"/>
      <c r="D66" s="1324"/>
      <c r="E66" s="1324"/>
      <c r="F66" s="1602"/>
      <c r="G66" s="1602"/>
      <c r="H66" s="1602"/>
      <c r="J66" s="1602"/>
      <c r="K66" s="1602"/>
      <c r="L66" s="1602"/>
      <c r="M66" s="1602"/>
      <c r="N66" s="1602"/>
      <c r="O66" s="1602"/>
      <c r="P66" s="1602"/>
      <c r="Q66" s="1602"/>
      <c r="R66" s="1402"/>
    </row>
    <row r="67" spans="1:48">
      <c r="C67" s="1393"/>
      <c r="D67" s="1324"/>
      <c r="E67" s="1324"/>
      <c r="F67" s="1602"/>
      <c r="G67" s="1602"/>
      <c r="H67" s="1602"/>
      <c r="J67" s="1602"/>
      <c r="K67" s="1602"/>
      <c r="L67" s="1602"/>
      <c r="M67" s="1602"/>
      <c r="N67" s="1602"/>
      <c r="O67" s="1602"/>
      <c r="P67" s="1602"/>
      <c r="Q67" s="1602"/>
      <c r="R67" s="1402"/>
    </row>
    <row r="68" spans="1:48">
      <c r="C68" s="1393"/>
      <c r="D68" s="1324"/>
      <c r="E68" s="1324"/>
      <c r="F68" s="1602"/>
      <c r="G68" s="1602"/>
      <c r="H68" s="1602"/>
      <c r="J68" s="1602"/>
      <c r="K68" s="1602"/>
      <c r="L68" s="1602"/>
      <c r="M68" s="1602"/>
      <c r="N68" s="1602"/>
      <c r="O68" s="1602"/>
      <c r="P68" s="1602"/>
      <c r="Q68" s="1602"/>
      <c r="R68" s="1402"/>
    </row>
    <row r="69" spans="1:48">
      <c r="C69" s="1393"/>
      <c r="D69" s="1324"/>
      <c r="E69" s="1324"/>
      <c r="F69" s="1603"/>
      <c r="G69" s="1603"/>
      <c r="H69" s="1603"/>
      <c r="J69" s="1603"/>
      <c r="K69" s="1603"/>
      <c r="L69" s="1603"/>
      <c r="M69" s="1603"/>
      <c r="N69" s="1603"/>
      <c r="O69" s="1603"/>
      <c r="P69" s="1603"/>
      <c r="Q69" s="1603"/>
      <c r="R69" s="1402"/>
    </row>
    <row r="70" spans="1:48">
      <c r="A70" s="1320" t="s">
        <v>5148</v>
      </c>
      <c r="C70" s="1393"/>
      <c r="D70" s="1324" t="s">
        <v>9139</v>
      </c>
      <c r="E70" s="1324"/>
      <c r="F70" s="1601">
        <f>+'Tax &amp; Debt Inputs'!$C$21</f>
        <v>1.9799999999999998E-2</v>
      </c>
      <c r="G70" s="1601">
        <f>+$F$70</f>
        <v>1.9799999999999998E-2</v>
      </c>
      <c r="H70" s="1601">
        <f>+$F$70</f>
        <v>1.9799999999999998E-2</v>
      </c>
      <c r="J70" s="1601">
        <f>+'Tax &amp; Debt Inputs'!$C$21</f>
        <v>1.9799999999999998E-2</v>
      </c>
      <c r="K70" s="1601">
        <f>+$J$70</f>
        <v>1.9799999999999998E-2</v>
      </c>
      <c r="L70" s="1601">
        <f t="shared" ref="L70:Q70" si="20">+$J$70</f>
        <v>1.9799999999999998E-2</v>
      </c>
      <c r="M70" s="1601">
        <f t="shared" si="20"/>
        <v>1.9799999999999998E-2</v>
      </c>
      <c r="N70" s="1601">
        <f t="shared" si="20"/>
        <v>1.9799999999999998E-2</v>
      </c>
      <c r="O70" s="1601">
        <f t="shared" si="20"/>
        <v>1.9799999999999998E-2</v>
      </c>
      <c r="P70" s="1601">
        <f t="shared" si="20"/>
        <v>1.9799999999999998E-2</v>
      </c>
      <c r="Q70" s="1601">
        <f t="shared" si="20"/>
        <v>1.9799999999999998E-2</v>
      </c>
      <c r="R70" s="1403"/>
    </row>
    <row r="71" spans="1:48">
      <c r="A71" s="1320" t="s">
        <v>5148</v>
      </c>
      <c r="C71" s="1393"/>
      <c r="D71" s="1324"/>
      <c r="E71" s="1324"/>
      <c r="F71" s="1601"/>
      <c r="G71" s="1601"/>
      <c r="H71" s="1601"/>
      <c r="J71" s="1601"/>
      <c r="K71" s="1601"/>
      <c r="L71" s="1601"/>
      <c r="M71" s="1601"/>
      <c r="N71" s="1601"/>
      <c r="O71" s="1601"/>
      <c r="P71" s="1601"/>
      <c r="Q71" s="1601"/>
      <c r="R71" s="1403"/>
    </row>
    <row r="72" spans="1:48">
      <c r="A72" s="1320" t="s">
        <v>5148</v>
      </c>
      <c r="C72" s="1393"/>
      <c r="D72" s="1324" t="s">
        <v>5193</v>
      </c>
      <c r="E72" s="1324"/>
      <c r="F72" s="1601">
        <f>+F45/100-F70</f>
        <v>5.3811000000000012E-2</v>
      </c>
      <c r="G72" s="1601">
        <f>+G45/100-G70</f>
        <v>3.0848E-2</v>
      </c>
      <c r="H72" s="1601">
        <f>+H45/100-H70</f>
        <v>5.3947999999999996E-2</v>
      </c>
      <c r="J72" s="1601">
        <f t="shared" ref="J72:Q72" si="21">+J45/100-J70</f>
        <v>5.3947999999999996E-2</v>
      </c>
      <c r="K72" s="1601">
        <f t="shared" si="21"/>
        <v>5.2212000000000008E-2</v>
      </c>
      <c r="L72" s="1601">
        <f t="shared" si="21"/>
        <v>5.8347999999999997E-2</v>
      </c>
      <c r="M72" s="1601">
        <f t="shared" si="21"/>
        <v>5.3030000000000008E-2</v>
      </c>
      <c r="N72" s="1601">
        <f t="shared" si="21"/>
        <v>5.3928999999999991E-2</v>
      </c>
      <c r="O72" s="1601">
        <f t="shared" si="21"/>
        <v>4.8265000000000002E-2</v>
      </c>
      <c r="P72" s="1601">
        <f t="shared" si="21"/>
        <v>4.5805999999999999E-2</v>
      </c>
      <c r="Q72" s="1601">
        <f t="shared" si="21"/>
        <v>8.4165999999999991E-2</v>
      </c>
      <c r="R72" s="1403"/>
    </row>
    <row r="73" spans="1:48">
      <c r="A73" s="1320" t="s">
        <v>5148</v>
      </c>
      <c r="C73" s="1393"/>
      <c r="D73" s="1324"/>
      <c r="E73" s="1324"/>
      <c r="F73" s="1601"/>
      <c r="G73" s="1601"/>
      <c r="H73" s="1601"/>
      <c r="J73" s="1601"/>
      <c r="K73" s="1601"/>
      <c r="L73" s="1601"/>
      <c r="M73" s="1601"/>
      <c r="N73" s="1601"/>
      <c r="O73" s="1601"/>
      <c r="P73" s="1601"/>
      <c r="Q73" s="1601"/>
      <c r="R73" s="1403"/>
    </row>
    <row r="74" spans="1:48">
      <c r="A74" s="1320" t="s">
        <v>5148</v>
      </c>
      <c r="C74" s="1393"/>
      <c r="D74" s="1324" t="s">
        <v>12</v>
      </c>
      <c r="E74" s="1324"/>
      <c r="F74" s="1603">
        <f>+'Tax &amp; Debt Inputs'!$C$22</f>
        <v>0.46829999999999999</v>
      </c>
      <c r="G74" s="1603">
        <f>+$F$74</f>
        <v>0.46829999999999999</v>
      </c>
      <c r="H74" s="1603">
        <f>+$F$74</f>
        <v>0.46829999999999999</v>
      </c>
      <c r="J74" s="1603">
        <f>+'Tax &amp; Debt Inputs'!$C$22</f>
        <v>0.46829999999999999</v>
      </c>
      <c r="K74" s="1603">
        <f>+$J$74</f>
        <v>0.46829999999999999</v>
      </c>
      <c r="L74" s="1603">
        <f t="shared" ref="L74:Q74" si="22">+$J$74</f>
        <v>0.46829999999999999</v>
      </c>
      <c r="M74" s="1603">
        <f t="shared" si="22"/>
        <v>0.46829999999999999</v>
      </c>
      <c r="N74" s="1603">
        <f t="shared" si="22"/>
        <v>0.46829999999999999</v>
      </c>
      <c r="O74" s="1603">
        <f t="shared" si="22"/>
        <v>0.46829999999999999</v>
      </c>
      <c r="P74" s="1603">
        <f t="shared" si="22"/>
        <v>0.46829999999999999</v>
      </c>
      <c r="Q74" s="1603">
        <f t="shared" si="22"/>
        <v>0.46829999999999999</v>
      </c>
      <c r="R74" s="1402"/>
    </row>
    <row r="75" spans="1:48">
      <c r="A75" s="1320" t="s">
        <v>5148</v>
      </c>
      <c r="C75" s="1393"/>
      <c r="D75" s="1324"/>
      <c r="E75" s="1324"/>
      <c r="F75" s="1604"/>
      <c r="G75" s="1604"/>
      <c r="H75" s="1604"/>
      <c r="J75" s="1604"/>
      <c r="K75" s="1604"/>
      <c r="L75" s="1604"/>
      <c r="M75" s="1604"/>
      <c r="N75" s="1604"/>
      <c r="O75" s="1604"/>
      <c r="P75" s="1604"/>
      <c r="Q75" s="1604"/>
      <c r="R75" s="1404"/>
    </row>
    <row r="76" spans="1:48" ht="14.4" thickBot="1">
      <c r="A76" s="1320" t="s">
        <v>5148</v>
      </c>
      <c r="C76" s="1393"/>
      <c r="D76" s="1324" t="s">
        <v>5194</v>
      </c>
      <c r="E76" s="1324"/>
      <c r="F76" s="1601">
        <f>+F72/F74</f>
        <v>0.11490711082639336</v>
      </c>
      <c r="G76" s="1601">
        <f>+G72/G74</f>
        <v>6.5872304078582106E-2</v>
      </c>
      <c r="H76" s="1601">
        <f>+H72/H74</f>
        <v>0.11519965833867178</v>
      </c>
      <c r="J76" s="1601">
        <f t="shared" ref="J76:Q76" si="23">+J72/J74</f>
        <v>0.11519965833867178</v>
      </c>
      <c r="K76" s="1601">
        <f t="shared" si="23"/>
        <v>0.11149263292761052</v>
      </c>
      <c r="L76" s="1601">
        <f t="shared" si="23"/>
        <v>0.12459534486440316</v>
      </c>
      <c r="M76" s="1601">
        <f t="shared" si="23"/>
        <v>0.11323937646807604</v>
      </c>
      <c r="N76" s="1601">
        <f t="shared" si="23"/>
        <v>0.11515908605594702</v>
      </c>
      <c r="O76" s="1601">
        <f t="shared" si="23"/>
        <v>0.10306427503736922</v>
      </c>
      <c r="P76" s="1601">
        <f t="shared" si="23"/>
        <v>9.7813367499466161E-2</v>
      </c>
      <c r="Q76" s="1601">
        <f t="shared" si="23"/>
        <v>0.17972667093743325</v>
      </c>
      <c r="R76" s="1402"/>
    </row>
    <row r="77" spans="1:48" ht="14.4" thickTop="1">
      <c r="A77" s="1320" t="s">
        <v>5148</v>
      </c>
      <c r="C77" s="1393"/>
      <c r="D77" s="1324"/>
      <c r="E77" s="1324"/>
      <c r="F77" s="1381"/>
      <c r="G77" s="1381"/>
      <c r="H77" s="1381"/>
      <c r="J77" s="1381"/>
      <c r="K77" s="1381"/>
      <c r="L77" s="1381"/>
      <c r="M77" s="1383"/>
      <c r="N77" s="1383"/>
      <c r="O77" s="1383"/>
      <c r="P77" s="1381"/>
      <c r="Q77" s="1381"/>
      <c r="R77" s="1364"/>
    </row>
    <row r="78" spans="1:48" ht="15.6">
      <c r="A78" s="1320" t="s">
        <v>5148</v>
      </c>
      <c r="C78" s="1393">
        <v>36</v>
      </c>
      <c r="D78" s="1405" t="s">
        <v>5195</v>
      </c>
      <c r="E78" s="1406"/>
      <c r="F78" s="1324"/>
      <c r="H78" s="1324"/>
      <c r="I78" s="1320"/>
      <c r="R78" s="1324"/>
    </row>
    <row r="79" spans="1:48">
      <c r="A79" s="1320" t="s">
        <v>5148</v>
      </c>
      <c r="C79" s="1393">
        <v>37</v>
      </c>
      <c r="D79" s="1324" t="s">
        <v>5196</v>
      </c>
      <c r="E79" s="1407"/>
      <c r="F79" s="1324">
        <f>+F41</f>
        <v>9856591.9990588091</v>
      </c>
      <c r="G79" s="1324">
        <f>+G41</f>
        <v>58441.656915840184</v>
      </c>
      <c r="H79" s="1324">
        <f>+H41</f>
        <v>9798150.3421429675</v>
      </c>
      <c r="J79" s="1324">
        <f>+J41</f>
        <v>9798150.3421429675</v>
      </c>
      <c r="K79" s="1324">
        <f>+K41</f>
        <v>5681396.839272812</v>
      </c>
      <c r="L79" s="1324">
        <f>+L41</f>
        <v>483539.77741282765</v>
      </c>
      <c r="M79" s="1324">
        <f>+M41</f>
        <v>2713734.1237357799</v>
      </c>
      <c r="N79" s="1324">
        <f>N41</f>
        <v>320751.06854768272</v>
      </c>
      <c r="O79" s="1324">
        <f>O41</f>
        <v>197369.89764278461</v>
      </c>
      <c r="P79" s="1324">
        <f>P41</f>
        <v>20199.950856588403</v>
      </c>
      <c r="Q79" s="1324">
        <f>Q41</f>
        <v>381158.68467449269</v>
      </c>
      <c r="R79" s="1324"/>
      <c r="S79" s="1324"/>
      <c r="V79" s="1320" t="s">
        <v>5197</v>
      </c>
    </row>
    <row r="80" spans="1:48" ht="14.4">
      <c r="A80" s="1320" t="s">
        <v>5148</v>
      </c>
      <c r="C80" s="1393">
        <v>38</v>
      </c>
      <c r="D80" s="1324" t="s">
        <v>5198</v>
      </c>
      <c r="E80" s="1408"/>
      <c r="F80" s="1400">
        <f>ROUND(+F70+('Tax &amp; Debt Inputs'!$C$6*F74),4)</f>
        <v>7.3700000000000002E-2</v>
      </c>
      <c r="G80" s="1400">
        <f>ROUND(IF(G$45=0,"-",+G70+('Tax &amp; Debt Inputs'!$C$6*G74)),4)</f>
        <v>7.3700000000000002E-2</v>
      </c>
      <c r="H80" s="1400">
        <f>ROUND(IF(H$45=0,"-",+H70+('Tax &amp; Debt Inputs'!$C$6*H74)),4)</f>
        <v>7.3700000000000002E-2</v>
      </c>
      <c r="I80" s="1409"/>
      <c r="J80" s="1400">
        <f>ROUND(IF(J$45=0,"-",+J70+('Tax &amp; Debt Inputs'!$C$6*J74)),4)</f>
        <v>7.3700000000000002E-2</v>
      </c>
      <c r="K80" s="1400">
        <f>ROUND(IF(K$45=0,"-",+K70+('Tax &amp; Debt Inputs'!$C$6*K74)),4)</f>
        <v>7.3700000000000002E-2</v>
      </c>
      <c r="L80" s="1400">
        <f>ROUND(IF(L$45=0,"-",+L70+('Tax &amp; Debt Inputs'!$C$6*L74)),4)</f>
        <v>7.3700000000000002E-2</v>
      </c>
      <c r="M80" s="1400">
        <f>ROUND(IF(M$45=0,0,+M70+('Tax &amp; Debt Inputs'!$C$6*M74)),4)</f>
        <v>7.3700000000000002E-2</v>
      </c>
      <c r="N80" s="1401">
        <f>ROUND(IF(N$45=0,0,+N70+('Tax &amp; Debt Inputs'!$C$6*N74)),4)</f>
        <v>7.3700000000000002E-2</v>
      </c>
      <c r="O80" s="1401">
        <f>ROUND(IF(O$45=0,0,+O70+('Tax &amp; Debt Inputs'!$C$6*O74)),4)</f>
        <v>7.3700000000000002E-2</v>
      </c>
      <c r="P80" s="1401">
        <f>ROUND(IF(P$45=0,0,+P70+('Tax &amp; Debt Inputs'!$C$6*P74)),4)</f>
        <v>7.3700000000000002E-2</v>
      </c>
      <c r="Q80" s="1400">
        <f>ROUND(IF(Q$45=0,0,+Q70+('Tax &amp; Debt Inputs'!$C$6*Q74)),4)</f>
        <v>7.3700000000000002E-2</v>
      </c>
      <c r="R80" s="1400"/>
      <c r="S80" s="1324"/>
      <c r="V80" s="1320" t="s">
        <v>5199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320" t="s">
        <v>5148</v>
      </c>
      <c r="C81" s="1393">
        <v>39</v>
      </c>
      <c r="D81" s="1596" t="str">
        <f>"(@ "&amp;TEXT('Tax &amp; Debt Inputs'!C6,"#.#0%")&amp;" ROE)"</f>
        <v>(@ 11.50% ROE)</v>
      </c>
      <c r="E81" s="1407"/>
      <c r="F81" s="1389"/>
      <c r="H81" s="1324"/>
      <c r="M81" s="1324"/>
      <c r="P81" s="1325"/>
      <c r="R81" s="1324"/>
      <c r="S81" s="1324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320" t="s">
        <v>5148</v>
      </c>
      <c r="C82" s="1393">
        <v>40</v>
      </c>
      <c r="D82" s="1324" t="s">
        <v>5200</v>
      </c>
      <c r="E82" s="1407"/>
      <c r="F82" s="1324">
        <f>+F79*F80</f>
        <v>726430.83033063426</v>
      </c>
      <c r="G82" s="1324">
        <f>IF(G$80="-",0,+G79*G80)</f>
        <v>4307.1501146974215</v>
      </c>
      <c r="H82" s="1324">
        <f>IF(H$80="-",0,+H79*H80)</f>
        <v>722123.68021593674</v>
      </c>
      <c r="J82" s="1324">
        <f t="shared" ref="J82:Q82" si="24">IF(J$80="-",0,+J79*J80)</f>
        <v>722123.68021593674</v>
      </c>
      <c r="K82" s="1324">
        <f t="shared" si="24"/>
        <v>418718.94705440628</v>
      </c>
      <c r="L82" s="1324">
        <f t="shared" si="24"/>
        <v>35636.881595325402</v>
      </c>
      <c r="M82" s="1324">
        <f t="shared" si="24"/>
        <v>200002.20491932699</v>
      </c>
      <c r="N82" s="1325">
        <f t="shared" si="24"/>
        <v>23639.353751964216</v>
      </c>
      <c r="O82" s="1325">
        <f>IF(O$80="-",0,+O79*O80)</f>
        <v>14546.161456273227</v>
      </c>
      <c r="P82" s="1325">
        <f>IF(P$80="-",0,+P79*P80)</f>
        <v>1488.7363781305653</v>
      </c>
      <c r="Q82" s="1324">
        <f t="shared" si="24"/>
        <v>28091.395060510113</v>
      </c>
      <c r="R82" s="1324"/>
      <c r="S82" s="1324"/>
      <c r="V82" s="1320" t="s">
        <v>5201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320" t="s">
        <v>5148</v>
      </c>
      <c r="C83" s="1393">
        <v>41</v>
      </c>
      <c r="D83" s="1324"/>
      <c r="E83" s="1407"/>
      <c r="F83" s="1324"/>
      <c r="H83" s="1324"/>
      <c r="M83" s="1324"/>
      <c r="P83" s="1325"/>
      <c r="R83" s="1324"/>
      <c r="S83" s="1324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320" t="s">
        <v>5148</v>
      </c>
      <c r="C84" s="1393">
        <v>42</v>
      </c>
      <c r="D84" s="1324" t="s">
        <v>5202</v>
      </c>
      <c r="E84" s="1407"/>
      <c r="F84" s="1324">
        <f>+F31</f>
        <v>725555.09893023293</v>
      </c>
      <c r="G84" s="1324">
        <f>+G31</f>
        <v>2959.9368201293346</v>
      </c>
      <c r="H84" s="1324">
        <f>+H31</f>
        <v>722595.18179514306</v>
      </c>
      <c r="J84" s="1324">
        <f t="shared" ref="J84:Q84" si="25">+J31</f>
        <v>722595.18179514306</v>
      </c>
      <c r="K84" s="1324">
        <f t="shared" si="25"/>
        <v>409129.98137501499</v>
      </c>
      <c r="L84" s="1324">
        <f t="shared" si="25"/>
        <v>37787.882040543423</v>
      </c>
      <c r="M84" s="1324">
        <f t="shared" si="25"/>
        <v>197641.56987880345</v>
      </c>
      <c r="N84" s="1325">
        <f t="shared" si="25"/>
        <v>23648.758045972223</v>
      </c>
      <c r="O84" s="1325">
        <f>+O31</f>
        <v>13434.058654312277</v>
      </c>
      <c r="P84" s="1325">
        <f>+P31</f>
        <v>1325.2406675084621</v>
      </c>
      <c r="Q84" s="1324">
        <f t="shared" si="25"/>
        <v>39627.691132988046</v>
      </c>
      <c r="R84" s="1324"/>
      <c r="S84" s="1324"/>
      <c r="V84" s="1320" t="s">
        <v>5203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320" t="s">
        <v>5148</v>
      </c>
      <c r="C85" s="1393">
        <v>43</v>
      </c>
      <c r="D85" s="1324"/>
      <c r="E85" s="1408"/>
      <c r="F85" s="1375"/>
      <c r="G85" s="1375"/>
      <c r="H85" s="1375"/>
      <c r="J85" s="1375"/>
      <c r="K85" s="1375"/>
      <c r="L85" s="1375"/>
      <c r="M85" s="1375"/>
      <c r="N85" s="1377"/>
      <c r="O85" s="1377"/>
      <c r="P85" s="1377"/>
      <c r="Q85" s="1375"/>
      <c r="R85" s="1364"/>
      <c r="S85" s="1324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320" t="s">
        <v>5148</v>
      </c>
      <c r="C86" s="1393">
        <v>44</v>
      </c>
      <c r="D86" s="1324" t="s">
        <v>5204</v>
      </c>
      <c r="E86" s="1407"/>
      <c r="F86" s="1324">
        <f>+F82-F84</f>
        <v>875.73140040133148</v>
      </c>
      <c r="G86" s="1410">
        <f>+G82-G84</f>
        <v>1347.2132945680869</v>
      </c>
      <c r="H86" s="1410">
        <f>+H82-H84</f>
        <v>-471.50157920632046</v>
      </c>
      <c r="J86" s="1324">
        <f t="shared" ref="J86:Q86" si="26">+J82-J84</f>
        <v>-471.50157920632046</v>
      </c>
      <c r="K86" s="1324">
        <f t="shared" si="26"/>
        <v>9588.9656793912873</v>
      </c>
      <c r="L86" s="1324">
        <f t="shared" si="26"/>
        <v>-2151.0004452180219</v>
      </c>
      <c r="M86" s="1324">
        <f t="shared" si="26"/>
        <v>2360.6350405235426</v>
      </c>
      <c r="N86" s="1325">
        <f t="shared" si="26"/>
        <v>-9.4042940080071276</v>
      </c>
      <c r="O86" s="1325">
        <f>+O82-O84</f>
        <v>1112.1028019609494</v>
      </c>
      <c r="P86" s="1325">
        <f>+P82-P84</f>
        <v>163.49571062210316</v>
      </c>
      <c r="Q86" s="1324">
        <f t="shared" si="26"/>
        <v>-11536.296072477933</v>
      </c>
      <c r="R86" s="1324"/>
      <c r="S86" s="1324"/>
      <c r="V86" s="1326" t="s">
        <v>5205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320" t="s">
        <v>5148</v>
      </c>
      <c r="C87" s="1393">
        <v>45</v>
      </c>
      <c r="D87" s="1324" t="s">
        <v>5206</v>
      </c>
      <c r="E87" s="1407"/>
      <c r="F87" s="1411">
        <f>+'Expansion Factor'!$D$3</f>
        <v>1.3436401402136453</v>
      </c>
      <c r="G87" s="1411">
        <f>+'Expansion Factor'!$D$3</f>
        <v>1.3436401402136453</v>
      </c>
      <c r="H87" s="1411">
        <f>+'Expansion Factor'!$D$3</f>
        <v>1.3436401402136453</v>
      </c>
      <c r="J87" s="1411">
        <f>+'Expansion Factor'!$D$3</f>
        <v>1.3436401402136453</v>
      </c>
      <c r="K87" s="1411">
        <f>+'Expansion Factor'!$D$3</f>
        <v>1.3436401402136453</v>
      </c>
      <c r="L87" s="1411">
        <f>+'Expansion Factor'!$D$3</f>
        <v>1.3436401402136453</v>
      </c>
      <c r="M87" s="1411">
        <f>+'Expansion Factor'!$D$3</f>
        <v>1.3436401402136453</v>
      </c>
      <c r="N87" s="1411">
        <f>+'Expansion Factor'!$D$3</f>
        <v>1.3436401402136453</v>
      </c>
      <c r="O87" s="1411">
        <f>+'Expansion Factor'!$D$3</f>
        <v>1.3436401402136453</v>
      </c>
      <c r="P87" s="1411">
        <f>+'Expansion Factor'!$D$3</f>
        <v>1.3436401402136453</v>
      </c>
      <c r="Q87" s="1411">
        <f>+'Expansion Factor'!$D$3</f>
        <v>1.3436401402136453</v>
      </c>
      <c r="R87" s="1411"/>
      <c r="S87" s="1324"/>
      <c r="V87" s="1326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320" t="s">
        <v>5148</v>
      </c>
      <c r="C88" s="1393">
        <v>46</v>
      </c>
      <c r="D88" s="1324"/>
      <c r="E88" s="1407"/>
      <c r="F88" s="1375"/>
      <c r="G88" s="1375"/>
      <c r="H88" s="1375"/>
      <c r="J88" s="1375"/>
      <c r="K88" s="1375"/>
      <c r="L88" s="1375"/>
      <c r="M88" s="1375"/>
      <c r="N88" s="1377"/>
      <c r="O88" s="1377"/>
      <c r="P88" s="1377"/>
      <c r="Q88" s="1375"/>
      <c r="R88" s="1364"/>
      <c r="S88" s="1324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320" t="s">
        <v>5148</v>
      </c>
      <c r="C89" s="1393">
        <v>47</v>
      </c>
      <c r="D89" s="1324" t="s">
        <v>5207</v>
      </c>
      <c r="E89" s="1407"/>
      <c r="F89" s="1324">
        <f>+F86*F87+0.5</f>
        <v>1177.167861624737</v>
      </c>
      <c r="G89" s="1410">
        <f>+G86*G87</f>
        <v>1810.1698600111513</v>
      </c>
      <c r="H89" s="1410">
        <f>+H86*H87+0.5</f>
        <v>-633.02844799573563</v>
      </c>
      <c r="I89" s="1320"/>
      <c r="J89" s="1324">
        <f>+J86*J87+0.5</f>
        <v>-633.02844799573563</v>
      </c>
      <c r="K89" s="1324">
        <f t="shared" ref="K89:N89" si="27">+K86*K87</f>
        <v>12884.119189961142</v>
      </c>
      <c r="L89" s="1324">
        <f t="shared" si="27"/>
        <v>-2890.1705398123563</v>
      </c>
      <c r="M89" s="1324">
        <f t="shared" si="27"/>
        <v>3171.8439968422972</v>
      </c>
      <c r="N89" s="1325">
        <f t="shared" si="27"/>
        <v>-12.63598691952904</v>
      </c>
      <c r="O89" s="1325">
        <f>+O86*O87</f>
        <v>1494.2659647587977</v>
      </c>
      <c r="P89" s="1325">
        <f>+P86*P87</f>
        <v>219.67939954461227</v>
      </c>
      <c r="Q89" s="1324">
        <f>+Q86*Q87+1</f>
        <v>-15499.630472370376</v>
      </c>
      <c r="R89" s="1324"/>
      <c r="S89" s="1324"/>
      <c r="V89" s="1320" t="s">
        <v>5208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s="1324" customFormat="1" ht="15" thickTop="1">
      <c r="A90" s="1320" t="s">
        <v>5148</v>
      </c>
      <c r="C90" s="1393">
        <v>48</v>
      </c>
      <c r="E90" s="1407"/>
      <c r="F90" s="1381"/>
      <c r="G90" s="1381"/>
      <c r="H90" s="1381"/>
      <c r="I90" s="1374"/>
      <c r="J90" s="1381"/>
      <c r="K90" s="1381"/>
      <c r="L90" s="1381"/>
      <c r="M90" s="1381"/>
      <c r="N90" s="1383"/>
      <c r="O90" s="1383"/>
      <c r="P90" s="1383"/>
      <c r="Q90" s="1381"/>
      <c r="R90" s="1364"/>
      <c r="Y90" s="1320"/>
      <c r="AA90" s="132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s="1324" customFormat="1" ht="14.4">
      <c r="A91" s="1320" t="s">
        <v>5148</v>
      </c>
      <c r="C91" s="1393">
        <v>49</v>
      </c>
      <c r="D91" s="1324" t="s">
        <v>5209</v>
      </c>
      <c r="E91" s="1407"/>
      <c r="F91" s="1364">
        <f>F17</f>
        <v>1823092.9455249165</v>
      </c>
      <c r="G91" s="1364">
        <f>G17</f>
        <v>8011.2948290062213</v>
      </c>
      <c r="H91" s="1364">
        <f>H17</f>
        <v>1815081.6506959104</v>
      </c>
      <c r="I91" s="1374"/>
      <c r="J91" s="1364">
        <f t="shared" ref="J91:Q91" si="28">J17</f>
        <v>1815081.6506959104</v>
      </c>
      <c r="K91" s="1364">
        <f>K17</f>
        <v>1061894.3374643687</v>
      </c>
      <c r="L91" s="1364">
        <f t="shared" si="28"/>
        <v>97947.048460436141</v>
      </c>
      <c r="M91" s="1364">
        <f t="shared" si="28"/>
        <v>478628.74881301203</v>
      </c>
      <c r="N91" s="1367">
        <f t="shared" si="28"/>
        <v>56893.526178152788</v>
      </c>
      <c r="O91" s="1367">
        <f>O17</f>
        <v>33219.709325883843</v>
      </c>
      <c r="P91" s="1367">
        <f>P17</f>
        <v>3672.7934082736015</v>
      </c>
      <c r="Q91" s="1364">
        <f t="shared" si="28"/>
        <v>82825.487045783113</v>
      </c>
      <c r="R91" s="1364"/>
      <c r="V91" s="1320" t="s">
        <v>5210</v>
      </c>
      <c r="Y91" s="1320"/>
      <c r="AA91" s="1320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s="1324" customFormat="1" ht="14.4">
      <c r="A92" s="1320" t="s">
        <v>5148</v>
      </c>
      <c r="C92" s="1393">
        <v>50</v>
      </c>
      <c r="E92" s="1407"/>
      <c r="F92" s="1364"/>
      <c r="G92" s="1364"/>
      <c r="H92" s="1364"/>
      <c r="I92" s="1374"/>
      <c r="J92" s="1364"/>
      <c r="K92" s="1364"/>
      <c r="L92" s="1364"/>
      <c r="M92" s="1364"/>
      <c r="N92" s="1367"/>
      <c r="O92" s="1367"/>
      <c r="P92" s="1367"/>
      <c r="Q92" s="1364"/>
      <c r="R92" s="1364"/>
      <c r="Y92" s="1320"/>
      <c r="AA92" s="1320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s="1324" customFormat="1" ht="14.4">
      <c r="A93" s="1320" t="s">
        <v>5148</v>
      </c>
      <c r="C93" s="1393">
        <v>51</v>
      </c>
      <c r="D93" s="1324" t="s">
        <v>5211</v>
      </c>
      <c r="E93" s="1407"/>
      <c r="F93" s="1324">
        <f>F89+F17</f>
        <v>1824270.1133865411</v>
      </c>
      <c r="G93" s="1324">
        <f>G89+G17</f>
        <v>9821.4646890173717</v>
      </c>
      <c r="H93" s="1324">
        <f>H89+H17</f>
        <v>1814448.6222479148</v>
      </c>
      <c r="I93" s="1374"/>
      <c r="J93" s="1324">
        <f t="shared" ref="J93:Q93" si="29">J89+J17</f>
        <v>1814448.6222479148</v>
      </c>
      <c r="K93" s="1324">
        <f>K89+K17</f>
        <v>1074778.4566543298</v>
      </c>
      <c r="L93" s="1324">
        <f t="shared" si="29"/>
        <v>95056.877920623781</v>
      </c>
      <c r="M93" s="1324">
        <f t="shared" si="29"/>
        <v>481800.59280985431</v>
      </c>
      <c r="N93" s="1325">
        <f t="shared" si="29"/>
        <v>56880.890191233259</v>
      </c>
      <c r="O93" s="1325">
        <f>O89+O17</f>
        <v>34713.975290642644</v>
      </c>
      <c r="P93" s="1325">
        <f>P89+P17</f>
        <v>3892.4728078182138</v>
      </c>
      <c r="Q93" s="1324">
        <f t="shared" si="29"/>
        <v>67325.856573412733</v>
      </c>
      <c r="S93" s="1320"/>
      <c r="V93" s="1320" t="s">
        <v>5212</v>
      </c>
      <c r="Y93" s="1320"/>
      <c r="AA93" s="1320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s="1324" customFormat="1" ht="14.4">
      <c r="A94" s="1320" t="s">
        <v>5148</v>
      </c>
      <c r="C94" s="1393">
        <v>52</v>
      </c>
      <c r="D94" s="1324" t="s">
        <v>5213</v>
      </c>
      <c r="E94" s="1407"/>
      <c r="F94" s="1366">
        <f>-F15</f>
        <v>-40811.65069322077</v>
      </c>
      <c r="G94" s="1366">
        <f>-G15</f>
        <v>-82.264246588621972</v>
      </c>
      <c r="H94" s="1366">
        <f>-H15</f>
        <v>-40729.386446632147</v>
      </c>
      <c r="I94" s="1374"/>
      <c r="J94" s="1366">
        <f t="shared" ref="J94:Q94" si="30">-J15</f>
        <v>-40729.386446632147</v>
      </c>
      <c r="K94" s="1366">
        <f t="shared" si="30"/>
        <v>-30798.593599985277</v>
      </c>
      <c r="L94" s="1366">
        <f t="shared" si="30"/>
        <v>-2731.1221004361505</v>
      </c>
      <c r="M94" s="1366">
        <f t="shared" si="30"/>
        <v>-6219.6828355399766</v>
      </c>
      <c r="N94" s="1378">
        <f t="shared" si="30"/>
        <v>-644.88730209589937</v>
      </c>
      <c r="O94" s="1378">
        <f>-O15</f>
        <v>-118.12635451814252</v>
      </c>
      <c r="P94" s="1378">
        <f>-P15</f>
        <v>-99.333348273601672</v>
      </c>
      <c r="Q94" s="1366">
        <f t="shared" si="30"/>
        <v>-117.64090578310908</v>
      </c>
      <c r="R94" s="1364"/>
      <c r="V94" s="1320" t="s">
        <v>5214</v>
      </c>
      <c r="Y94" s="1320"/>
      <c r="AA94" s="1320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s="1324" customFormat="1" ht="14.4">
      <c r="A95" s="1320" t="s">
        <v>5148</v>
      </c>
      <c r="C95" s="1393">
        <v>53</v>
      </c>
      <c r="E95" s="1407"/>
      <c r="F95" s="1364"/>
      <c r="G95" s="1364"/>
      <c r="H95" s="1364"/>
      <c r="I95" s="1374"/>
      <c r="J95" s="1364"/>
      <c r="K95" s="1364"/>
      <c r="L95" s="1364"/>
      <c r="M95" s="1364"/>
      <c r="N95" s="1367"/>
      <c r="O95" s="1367"/>
      <c r="P95" s="1367"/>
      <c r="Q95" s="1364"/>
      <c r="R95" s="1364"/>
      <c r="Y95" s="1320"/>
      <c r="AA95" s="1320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s="1324" customFormat="1" ht="14.4">
      <c r="A96" s="1320" t="s">
        <v>5148</v>
      </c>
      <c r="C96" s="1393">
        <v>54</v>
      </c>
      <c r="D96" s="1324" t="s">
        <v>5215</v>
      </c>
      <c r="E96" s="1407"/>
      <c r="F96" s="1324">
        <f>SUM(F93:F94)</f>
        <v>1783458.4626933204</v>
      </c>
      <c r="G96" s="1324">
        <f>SUM(G93:G94)</f>
        <v>9739.2004424287497</v>
      </c>
      <c r="H96" s="1324">
        <f>SUM(H93:H94)</f>
        <v>1773719.2358012826</v>
      </c>
      <c r="I96" s="1374"/>
      <c r="J96" s="1324">
        <f t="shared" ref="J96:Q96" si="31">SUM(J93:J94)</f>
        <v>1773719.2358012826</v>
      </c>
      <c r="K96" s="1324">
        <f t="shared" si="31"/>
        <v>1043979.8630543445</v>
      </c>
      <c r="L96" s="1324">
        <f t="shared" si="31"/>
        <v>92325.755820187624</v>
      </c>
      <c r="M96" s="1324">
        <f t="shared" si="31"/>
        <v>475580.90997431433</v>
      </c>
      <c r="N96" s="1325">
        <f t="shared" si="31"/>
        <v>56236.002889137359</v>
      </c>
      <c r="O96" s="1325">
        <f>SUM(O93:O94)</f>
        <v>34595.848936124501</v>
      </c>
      <c r="P96" s="1325">
        <f>SUM(P93:P94)</f>
        <v>3793.1394595446122</v>
      </c>
      <c r="Q96" s="1324">
        <f t="shared" si="31"/>
        <v>67208.215667629629</v>
      </c>
      <c r="V96" s="1320" t="s">
        <v>5216</v>
      </c>
      <c r="Y96" s="1320"/>
      <c r="AA96" s="1320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s="1324" customFormat="1" ht="14.4">
      <c r="A97" s="1320" t="s">
        <v>5148</v>
      </c>
      <c r="C97" s="1393">
        <v>55</v>
      </c>
      <c r="E97" s="1407"/>
      <c r="I97" s="1395"/>
      <c r="N97" s="1325"/>
      <c r="O97" s="1325"/>
      <c r="P97" s="1325"/>
      <c r="Y97" s="1320"/>
      <c r="AA97" s="1320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s="1324" customFormat="1" ht="14.4">
      <c r="A98" s="1320" t="s">
        <v>5148</v>
      </c>
      <c r="C98" s="1393">
        <v>56</v>
      </c>
      <c r="D98" s="1324" t="s">
        <v>5217</v>
      </c>
      <c r="E98" s="1407"/>
      <c r="F98" s="1412">
        <f>-F14+F96</f>
        <v>1177.1678616246209</v>
      </c>
      <c r="G98" s="1413"/>
      <c r="H98" s="1413"/>
      <c r="I98" s="1374"/>
      <c r="J98" s="1389">
        <f t="shared" ref="J98:P98" si="32">J14/J96</f>
        <v>1.0003568932642881</v>
      </c>
      <c r="K98" s="1389">
        <f t="shared" si="32"/>
        <v>0.98765865162162569</v>
      </c>
      <c r="L98" s="1389">
        <f t="shared" si="32"/>
        <v>1.03130405501842</v>
      </c>
      <c r="M98" s="1389">
        <f t="shared" si="32"/>
        <v>0.99333059016810921</v>
      </c>
      <c r="N98" s="1389">
        <f t="shared" si="32"/>
        <v>1.0002246956801755</v>
      </c>
      <c r="O98" s="1389">
        <f t="shared" si="32"/>
        <v>0.95680794052726625</v>
      </c>
      <c r="P98" s="1389">
        <f t="shared" si="32"/>
        <v>0.94208507177561407</v>
      </c>
      <c r="Q98" s="1389">
        <f>IF(Q14=0,0,Q14/Q96)</f>
        <v>1.230621067951305</v>
      </c>
      <c r="R98" s="1389"/>
      <c r="S98" s="1320"/>
      <c r="V98" s="1320" t="s">
        <v>5218</v>
      </c>
      <c r="Y98" s="1320"/>
      <c r="AA98" s="1320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1414"/>
      <c r="F99" s="1384"/>
      <c r="G99" s="1384"/>
      <c r="H99" s="1384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G100" s="1320"/>
      <c r="K100" s="1389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G101" s="1320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G102" s="1320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G103" s="1320"/>
      <c r="V103" s="1332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1340" t="str">
        <f>+C$2</f>
        <v>RATES WITH REVENUE DEFICIENCY ADDITION</v>
      </c>
      <c r="F104" s="1333"/>
      <c r="G104" s="1327" t="s">
        <v>2173</v>
      </c>
      <c r="I104" s="1334" t="s">
        <v>4851</v>
      </c>
      <c r="L104" s="1329" t="s">
        <v>2173</v>
      </c>
      <c r="M104" s="1330"/>
      <c r="N104" s="1330"/>
      <c r="O104" s="1330"/>
      <c r="S104" s="1334" t="s">
        <v>4867</v>
      </c>
      <c r="T104" s="1333" t="s">
        <v>2173</v>
      </c>
      <c r="U104" s="1334"/>
      <c r="V104" s="1332" t="s">
        <v>4772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1340" t="str">
        <f>+C$3</f>
        <v>PROD. CAP. ALLOC. METHOD: 12 CP &amp; 1/13th AD</v>
      </c>
      <c r="G105" s="1333" t="s">
        <v>4768</v>
      </c>
      <c r="I105" s="1335" t="s">
        <v>5189</v>
      </c>
      <c r="L105" s="1336" t="s">
        <v>5219</v>
      </c>
      <c r="M105" s="1337"/>
      <c r="N105" s="1337"/>
      <c r="O105" s="1337"/>
      <c r="R105" s="1331"/>
      <c r="S105" s="1335" t="s">
        <v>5220</v>
      </c>
      <c r="T105" s="1333" t="s">
        <v>5219</v>
      </c>
      <c r="V105" s="1332" t="s">
        <v>4867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1340" t="str">
        <f>+C$4</f>
        <v>PROJECTED CALENDAR YEAR 2025; FULLY ADJUSTED DATA</v>
      </c>
      <c r="G106" s="1336" t="s">
        <v>2181</v>
      </c>
      <c r="L106" s="1336" t="s">
        <v>2181</v>
      </c>
      <c r="T106" s="1339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1340" t="str">
        <f>+C$5</f>
        <v>MINIMUM DISTRIBUTION SYSTEM (MDS) NOT EMPLOYED</v>
      </c>
      <c r="T107" s="1333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1340" t="str">
        <f>+C$6</f>
        <v>Tampa Electric 2025 OB Budget</v>
      </c>
      <c r="D108" s="1358"/>
      <c r="F108" s="1327"/>
      <c r="G108" s="1333" t="s">
        <v>5221</v>
      </c>
      <c r="L108" s="1336" t="s">
        <v>5221</v>
      </c>
      <c r="M108" s="1337"/>
      <c r="N108" s="1337"/>
      <c r="O108" s="1337"/>
      <c r="T108" s="1333" t="s">
        <v>5221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333"/>
      <c r="G109" s="1320"/>
      <c r="L109" s="1336"/>
      <c r="M109" s="1337"/>
      <c r="N109" s="1337"/>
      <c r="O109" s="1337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333"/>
      <c r="G110" s="1320"/>
      <c r="L110" s="1336"/>
      <c r="M110" s="1337"/>
      <c r="N110" s="1337"/>
      <c r="O110" s="1337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1342"/>
      <c r="E111" s="1331"/>
      <c r="F111" s="1331"/>
      <c r="G111" s="1331"/>
      <c r="H111" s="1331"/>
      <c r="I111" s="1415"/>
      <c r="J111" s="1416"/>
      <c r="K111" s="1416"/>
      <c r="L111" s="1416"/>
      <c r="M111" s="1417"/>
      <c r="N111" s="1417"/>
      <c r="O111" s="1417"/>
      <c r="P111" s="1416"/>
      <c r="Q111" s="1416"/>
      <c r="R111" s="133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1342"/>
      <c r="E112" s="1331"/>
      <c r="F112" s="1333"/>
      <c r="G112" s="1333"/>
      <c r="H112" s="1333"/>
      <c r="I112" s="1343"/>
      <c r="J112" s="1416"/>
      <c r="K112" s="1336"/>
      <c r="L112" s="1416"/>
      <c r="M112" s="1417"/>
      <c r="N112" s="1417"/>
      <c r="O112" s="1417"/>
      <c r="P112" s="3164"/>
      <c r="Q112" s="3164"/>
      <c r="R112" s="1333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1347" t="s">
        <v>4683</v>
      </c>
      <c r="B113" s="1348" t="s">
        <v>5143</v>
      </c>
      <c r="C113" s="1349" t="s">
        <v>4297</v>
      </c>
      <c r="D113" s="1350"/>
      <c r="E113" s="1418"/>
      <c r="F113" s="1348" t="s">
        <v>5144</v>
      </c>
      <c r="G113" s="1348" t="s">
        <v>4956</v>
      </c>
      <c r="H113" s="1348" t="s">
        <v>4957</v>
      </c>
      <c r="I113" s="1351" t="s">
        <v>5145</v>
      </c>
      <c r="J113" s="1352" t="s">
        <v>4957</v>
      </c>
      <c r="K113" s="1353" t="s">
        <v>1949</v>
      </c>
      <c r="L113" s="1353" t="s">
        <v>1950</v>
      </c>
      <c r="M113" s="1354" t="s">
        <v>1934</v>
      </c>
      <c r="N113" s="1354" t="s">
        <v>1971</v>
      </c>
      <c r="O113" s="1354" t="s">
        <v>1972</v>
      </c>
      <c r="P113" s="1352" t="s">
        <v>5146</v>
      </c>
      <c r="Q113" s="1352" t="s">
        <v>5147</v>
      </c>
      <c r="R113" s="1355"/>
      <c r="S113" s="1348" t="s">
        <v>5143</v>
      </c>
      <c r="T113" s="1348"/>
      <c r="U113" s="1352"/>
      <c r="V113" s="1355" t="s">
        <v>4774</v>
      </c>
      <c r="W113" s="1350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G114" s="1320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320" t="s">
        <v>4775</v>
      </c>
      <c r="B115" s="1320">
        <v>501</v>
      </c>
      <c r="C115" s="1322">
        <v>1</v>
      </c>
      <c r="D115" s="1362" t="s">
        <v>5222</v>
      </c>
      <c r="E115" s="1320" t="s">
        <v>4777</v>
      </c>
      <c r="F115" s="1350">
        <f>+'Allocation Assignment'!F14</f>
        <v>1774352.2642492782</v>
      </c>
      <c r="G115" s="1350">
        <f>+$F$115*G2043</f>
        <v>0</v>
      </c>
      <c r="H115" s="1350">
        <f>+$F$115*H2043</f>
        <v>1774352.2642492782</v>
      </c>
      <c r="I115" s="1323">
        <f t="shared" ref="I115:I141" si="33">IF(E115="","",IF(F115=0,0,+H115/F115))</f>
        <v>1</v>
      </c>
      <c r="J115" s="1366">
        <f>+H115</f>
        <v>1774352.2642492782</v>
      </c>
      <c r="K115" s="1366">
        <f t="shared" ref="K115:Q115" si="34">+$J$115*K2043</f>
        <v>1031095.7438643834</v>
      </c>
      <c r="L115" s="1366">
        <f t="shared" si="34"/>
        <v>95215.926359999998</v>
      </c>
      <c r="M115" s="1366">
        <f t="shared" si="34"/>
        <v>472409.06597747206</v>
      </c>
      <c r="N115" s="1366">
        <f t="shared" si="34"/>
        <v>56248.638876056888</v>
      </c>
      <c r="O115" s="1366">
        <f t="shared" si="34"/>
        <v>33101.5829713657</v>
      </c>
      <c r="P115" s="1366">
        <f t="shared" si="34"/>
        <v>3573.4600599999999</v>
      </c>
      <c r="Q115" s="1366">
        <f t="shared" si="34"/>
        <v>82707.846140000009</v>
      </c>
      <c r="R115" s="1358"/>
      <c r="S115" s="1320">
        <v>501</v>
      </c>
      <c r="V115" s="1321" t="s">
        <v>5223</v>
      </c>
      <c r="W115" s="1321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320" t="s">
        <v>4775</v>
      </c>
      <c r="C116" s="1322">
        <v>2</v>
      </c>
      <c r="G116" s="1320"/>
      <c r="I116" s="1323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s="1324" customFormat="1" ht="14.4">
      <c r="A117" s="1324" t="s">
        <v>4775</v>
      </c>
      <c r="B117" s="1324">
        <v>420</v>
      </c>
      <c r="C117" s="1393">
        <v>3</v>
      </c>
      <c r="D117" s="1362" t="s">
        <v>5224</v>
      </c>
      <c r="E117" s="1324" t="s">
        <v>4071</v>
      </c>
      <c r="F117" s="1366">
        <f>+'Allocation Assignment'!F15</f>
        <v>21444.731936121014</v>
      </c>
      <c r="G117" s="1366">
        <f>+$F$117*G2026</f>
        <v>0</v>
      </c>
      <c r="H117" s="1366">
        <f>+$F$117*H2027</f>
        <v>21444.731936121014</v>
      </c>
      <c r="I117" s="1323">
        <f t="shared" si="33"/>
        <v>1</v>
      </c>
      <c r="J117" s="1366">
        <f>+H117</f>
        <v>21444.731936121014</v>
      </c>
      <c r="K117" s="1366">
        <f t="shared" ref="K117:Q117" si="35">+$J$117*K$2027</f>
        <v>19131.687004991603</v>
      </c>
      <c r="L117" s="1366">
        <f t="shared" si="35"/>
        <v>1854.1721992714524</v>
      </c>
      <c r="M117" s="1366">
        <f t="shared" si="35"/>
        <v>453.44993923341212</v>
      </c>
      <c r="N117" s="1366">
        <f t="shared" si="35"/>
        <v>0</v>
      </c>
      <c r="O117" s="1366">
        <f t="shared" si="35"/>
        <v>0</v>
      </c>
      <c r="P117" s="1366">
        <f t="shared" si="35"/>
        <v>5.4227926245479097</v>
      </c>
      <c r="Q117" s="1366">
        <f t="shared" si="35"/>
        <v>0</v>
      </c>
      <c r="R117" s="1364"/>
      <c r="S117" s="1324">
        <v>420</v>
      </c>
      <c r="T117" s="1368"/>
      <c r="V117" s="1326" t="s">
        <v>5225</v>
      </c>
      <c r="W117" s="1326">
        <v>420</v>
      </c>
      <c r="AA117" s="1320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320" t="s">
        <v>4775</v>
      </c>
      <c r="C118" s="1322">
        <v>4</v>
      </c>
      <c r="F118" s="1324"/>
      <c r="G118" s="1320"/>
      <c r="I118" s="1323" t="str">
        <f t="shared" si="33"/>
        <v/>
      </c>
      <c r="K118" s="1419"/>
      <c r="L118" s="1419"/>
      <c r="M118" s="1419"/>
      <c r="N118" s="1419"/>
      <c r="O118" s="1419"/>
      <c r="P118" s="1419"/>
      <c r="Q118" s="1419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320" t="s">
        <v>4775</v>
      </c>
      <c r="B119" s="1321"/>
      <c r="C119" s="1322">
        <v>5</v>
      </c>
      <c r="D119" s="1362" t="s">
        <v>5226</v>
      </c>
      <c r="F119" s="1324"/>
      <c r="G119" s="1320"/>
      <c r="I119" s="1323" t="str">
        <f t="shared" si="33"/>
        <v/>
      </c>
      <c r="S119" s="1321"/>
      <c r="T119" s="1321"/>
      <c r="U119" s="1326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s="1324" customFormat="1" ht="14.4">
      <c r="A120" s="1320" t="s">
        <v>4775</v>
      </c>
      <c r="B120" s="1324">
        <v>101</v>
      </c>
      <c r="C120" s="1393">
        <v>6</v>
      </c>
      <c r="D120" s="1320" t="s">
        <v>1528</v>
      </c>
      <c r="E120" s="1324" t="s">
        <v>4067</v>
      </c>
      <c r="F120" s="1364">
        <f>+'Allocation Assignment'!F16</f>
        <v>312.20800000000003</v>
      </c>
      <c r="G120" s="1324">
        <f>+$F120*G$1933</f>
        <v>0</v>
      </c>
      <c r="H120" s="1324">
        <f>+$F120*H$1933</f>
        <v>312.20800000000003</v>
      </c>
      <c r="I120" s="1323">
        <f t="shared" si="33"/>
        <v>1</v>
      </c>
      <c r="J120" s="1324">
        <f>+H120</f>
        <v>312.20800000000003</v>
      </c>
      <c r="K120" s="1324">
        <f t="shared" ref="K120:Q120" si="36">+$J120*K$1951</f>
        <v>179.27441265156605</v>
      </c>
      <c r="L120" s="1324">
        <f t="shared" si="36"/>
        <v>14.908575913128811</v>
      </c>
      <c r="M120" s="1324">
        <f t="shared" si="36"/>
        <v>96.486966256247186</v>
      </c>
      <c r="N120" s="1324">
        <f t="shared" si="36"/>
        <v>12.331687303665962</v>
      </c>
      <c r="O120" s="1324">
        <f t="shared" si="36"/>
        <v>8.8751540419379271</v>
      </c>
      <c r="P120" s="1324">
        <f t="shared" si="36"/>
        <v>0.33120383345410209</v>
      </c>
      <c r="Q120" s="1324">
        <f t="shared" si="36"/>
        <v>0</v>
      </c>
      <c r="S120" s="1324">
        <v>122</v>
      </c>
      <c r="T120" s="1320"/>
      <c r="V120" s="1321" t="s">
        <v>9476</v>
      </c>
      <c r="W120" s="1321">
        <v>122</v>
      </c>
      <c r="Y120" s="1320"/>
      <c r="AA120" s="13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320" t="s">
        <v>4775</v>
      </c>
      <c r="B121" s="1320">
        <v>117</v>
      </c>
      <c r="C121" s="1322">
        <v>7</v>
      </c>
      <c r="D121" s="1320" t="s">
        <v>1529</v>
      </c>
      <c r="E121" s="1324" t="s">
        <v>4067</v>
      </c>
      <c r="F121" s="1364">
        <f>+'Allocation Assignment'!F17</f>
        <v>755.73100000000011</v>
      </c>
      <c r="G121" s="1320">
        <f>+$F121*G$1942</f>
        <v>48.961435447380765</v>
      </c>
      <c r="H121" s="1320">
        <f>+$F121*H$1942</f>
        <v>706.76956455261927</v>
      </c>
      <c r="I121" s="1323">
        <f t="shared" si="33"/>
        <v>0.93521314403222733</v>
      </c>
      <c r="J121" s="1324">
        <f>+H121</f>
        <v>706.76956455261927</v>
      </c>
      <c r="K121" s="1324">
        <f t="shared" ref="K121:Q122" si="37">+$J121*K$1945</f>
        <v>409.93556380307996</v>
      </c>
      <c r="L121" s="1324">
        <f t="shared" si="37"/>
        <v>33.815549176103147</v>
      </c>
      <c r="M121" s="1324">
        <f t="shared" si="37"/>
        <v>216.16581736906315</v>
      </c>
      <c r="N121" s="1324">
        <f t="shared" si="37"/>
        <v>26.985436134801954</v>
      </c>
      <c r="O121" s="1324">
        <f t="shared" si="37"/>
        <v>19.366103672467986</v>
      </c>
      <c r="P121" s="1324">
        <f t="shared" si="37"/>
        <v>0.50109439710309511</v>
      </c>
      <c r="Q121" s="1324">
        <f t="shared" si="37"/>
        <v>0</v>
      </c>
      <c r="R121" s="1324"/>
      <c r="S121" s="1324">
        <v>118</v>
      </c>
      <c r="V121" s="1321" t="s">
        <v>9477</v>
      </c>
      <c r="W121" s="1321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320" t="s">
        <v>4775</v>
      </c>
      <c r="B122" s="1320">
        <v>117</v>
      </c>
      <c r="C122" s="1322">
        <v>8</v>
      </c>
      <c r="D122" s="1320" t="s">
        <v>1953</v>
      </c>
      <c r="E122" s="1324" t="s">
        <v>4067</v>
      </c>
      <c r="F122" s="1364">
        <f>+'Allocation Assignment'!F18</f>
        <v>148.62792999999999</v>
      </c>
      <c r="G122" s="1320">
        <f>+$F122*G$1942</f>
        <v>9.6291362936981884</v>
      </c>
      <c r="H122" s="1320">
        <f>+$F122*H$1942</f>
        <v>138.9987937063018</v>
      </c>
      <c r="I122" s="1323">
        <f t="shared" si="33"/>
        <v>0.93521314403222733</v>
      </c>
      <c r="J122" s="1324">
        <f>+H122</f>
        <v>138.9987937063018</v>
      </c>
      <c r="K122" s="1324">
        <f t="shared" si="37"/>
        <v>80.621112911121415</v>
      </c>
      <c r="L122" s="1324">
        <f t="shared" si="37"/>
        <v>6.6504286258700729</v>
      </c>
      <c r="M122" s="1324">
        <f t="shared" si="37"/>
        <v>42.512849112080751</v>
      </c>
      <c r="N122" s="1324">
        <f t="shared" si="37"/>
        <v>5.3071655296167748</v>
      </c>
      <c r="O122" s="1324">
        <f t="shared" si="37"/>
        <v>3.8086884102998479</v>
      </c>
      <c r="P122" s="1324">
        <f t="shared" si="37"/>
        <v>9.854911731294734E-2</v>
      </c>
      <c r="Q122" s="1324">
        <f t="shared" si="37"/>
        <v>0</v>
      </c>
      <c r="R122" s="1324"/>
      <c r="S122" s="1324">
        <v>118</v>
      </c>
      <c r="V122" s="1321" t="s">
        <v>9477</v>
      </c>
      <c r="W122" s="1321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320" t="s">
        <v>4775</v>
      </c>
      <c r="B123" s="1320">
        <v>105</v>
      </c>
      <c r="C123" s="1322">
        <v>9</v>
      </c>
      <c r="D123" s="1320" t="s">
        <v>2040</v>
      </c>
      <c r="E123" s="1324" t="s">
        <v>4067</v>
      </c>
      <c r="F123" s="1364">
        <f>+'Allocation Assignment'!F19</f>
        <v>14488.425089886799</v>
      </c>
      <c r="G123" s="1358">
        <f>+$F123*G1936</f>
        <v>0</v>
      </c>
      <c r="H123" s="1358">
        <f>+$F123*H1936</f>
        <v>14488.425089886799</v>
      </c>
      <c r="I123" s="1323">
        <f t="shared" si="33"/>
        <v>1</v>
      </c>
      <c r="J123" s="1324">
        <f>+H123</f>
        <v>14488.425089886799</v>
      </c>
      <c r="K123" s="1364">
        <f t="shared" ref="K123:Q123" si="38">+$J123*K1936</f>
        <v>9017.8277657234448</v>
      </c>
      <c r="L123" s="1364">
        <f t="shared" si="38"/>
        <v>641.370527945802</v>
      </c>
      <c r="M123" s="1364">
        <f t="shared" si="38"/>
        <v>4294.3761396151367</v>
      </c>
      <c r="N123" s="1364">
        <f t="shared" si="38"/>
        <v>451.68202677441025</v>
      </c>
      <c r="O123" s="1364">
        <f t="shared" si="38"/>
        <v>3.0839968859787322E-4</v>
      </c>
      <c r="P123" s="1364">
        <f t="shared" si="38"/>
        <v>83.168321428320098</v>
      </c>
      <c r="Q123" s="1364">
        <f t="shared" si="38"/>
        <v>0</v>
      </c>
      <c r="R123" s="1364"/>
      <c r="S123" s="1420">
        <v>105</v>
      </c>
      <c r="V123" s="1321" t="s">
        <v>5229</v>
      </c>
      <c r="W123" s="1321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320" t="s">
        <v>4775</v>
      </c>
      <c r="B124" s="1320">
        <v>106</v>
      </c>
      <c r="C124" s="1322">
        <v>10</v>
      </c>
      <c r="D124" s="1320" t="s">
        <v>4787</v>
      </c>
      <c r="E124" s="1324" t="s">
        <v>4067</v>
      </c>
      <c r="F124" s="1364">
        <f>+'Allocation Assignment'!F20</f>
        <v>118.96596000000004</v>
      </c>
      <c r="G124" s="1350">
        <f>+$F124*G$1939</f>
        <v>0</v>
      </c>
      <c r="H124" s="1350">
        <f>+$F124*H$1939</f>
        <v>118.96596000000004</v>
      </c>
      <c r="I124" s="1323">
        <f t="shared" si="33"/>
        <v>1</v>
      </c>
      <c r="J124" s="1324">
        <f>+H124</f>
        <v>118.96596000000004</v>
      </c>
      <c r="K124" s="1366">
        <f t="shared" ref="K124:Q124" si="39">+$J124*K$1939</f>
        <v>86.801521377676025</v>
      </c>
      <c r="L124" s="1366">
        <f t="shared" si="39"/>
        <v>6.989245154207822</v>
      </c>
      <c r="M124" s="1366">
        <f t="shared" si="39"/>
        <v>24.744842648841875</v>
      </c>
      <c r="N124" s="1366">
        <f t="shared" si="39"/>
        <v>0</v>
      </c>
      <c r="O124" s="1366">
        <f t="shared" si="39"/>
        <v>0</v>
      </c>
      <c r="P124" s="1366">
        <f t="shared" si="39"/>
        <v>0.43035081927430446</v>
      </c>
      <c r="Q124" s="1366">
        <f t="shared" si="39"/>
        <v>0</v>
      </c>
      <c r="R124" s="1364"/>
      <c r="S124" s="1324">
        <v>106</v>
      </c>
      <c r="V124" s="1321" t="s">
        <v>5230</v>
      </c>
      <c r="W124" s="1321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320" t="s">
        <v>4775</v>
      </c>
      <c r="C125" s="1322">
        <v>11</v>
      </c>
      <c r="D125" s="1320" t="s">
        <v>5231</v>
      </c>
      <c r="F125" s="1421">
        <f>+SUM(F120:F124)</f>
        <v>15823.957979886798</v>
      </c>
      <c r="G125" s="1366">
        <f>+SUM(G120:G124)</f>
        <v>58.590571741078953</v>
      </c>
      <c r="H125" s="1366">
        <f>+SUM(H120:H124)</f>
        <v>15765.367408145719</v>
      </c>
      <c r="I125" s="1323">
        <f>IF(F125=0,0,+H125/F125)</f>
        <v>0.99629735039643363</v>
      </c>
      <c r="J125" s="1421">
        <f>+SUM(J120:J124)</f>
        <v>15765.367408145719</v>
      </c>
      <c r="K125" s="1366">
        <f>+SUM(K120:K124)</f>
        <v>9774.4603764668882</v>
      </c>
      <c r="L125" s="1366">
        <f t="shared" ref="L125:Q125" si="40">+SUM(L120:L124)</f>
        <v>703.7343268151119</v>
      </c>
      <c r="M125" s="1366">
        <f t="shared" si="40"/>
        <v>4674.2866150013697</v>
      </c>
      <c r="N125" s="1366">
        <f t="shared" si="40"/>
        <v>496.30631574249492</v>
      </c>
      <c r="O125" s="1366">
        <f t="shared" si="40"/>
        <v>32.050254524394362</v>
      </c>
      <c r="P125" s="1366">
        <f t="shared" si="40"/>
        <v>84.529519595464549</v>
      </c>
      <c r="Q125" s="1366">
        <f t="shared" si="40"/>
        <v>0</v>
      </c>
      <c r="R125" s="1364"/>
      <c r="S125" s="1364"/>
      <c r="V125" s="1320" t="s">
        <v>5232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320" t="s">
        <v>4775</v>
      </c>
      <c r="C126" s="1322">
        <v>12</v>
      </c>
      <c r="F126" s="1324"/>
      <c r="G126" s="1320"/>
      <c r="I126" s="1323" t="str">
        <f t="shared" si="33"/>
        <v/>
      </c>
      <c r="R126" s="1324"/>
      <c r="S126" s="1324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320" t="s">
        <v>4775</v>
      </c>
      <c r="C127" s="1322">
        <v>13</v>
      </c>
      <c r="D127" s="1362" t="s">
        <v>5233</v>
      </c>
      <c r="F127" s="1324"/>
      <c r="G127" s="1320"/>
      <c r="I127" s="1323" t="str">
        <f t="shared" si="33"/>
        <v/>
      </c>
      <c r="R127" s="1324"/>
      <c r="S127" s="1324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320" t="s">
        <v>4775</v>
      </c>
      <c r="B128" s="1320">
        <v>101</v>
      </c>
      <c r="C128" s="1322">
        <v>14</v>
      </c>
      <c r="D128" s="1320" t="s">
        <v>5234</v>
      </c>
      <c r="E128" s="1320" t="s">
        <v>4067</v>
      </c>
      <c r="F128" s="1364">
        <f>+'Allocation Assignment'!F21</f>
        <v>1538.7293105288484</v>
      </c>
      <c r="G128" s="1320">
        <f>+$F128*G$1933</f>
        <v>0</v>
      </c>
      <c r="H128" s="1320">
        <f>+$F128*H$1933</f>
        <v>1538.7293105288484</v>
      </c>
      <c r="I128" s="1323">
        <f t="shared" si="33"/>
        <v>1</v>
      </c>
      <c r="J128" s="1324">
        <f>+H128</f>
        <v>1538.7293105288484</v>
      </c>
      <c r="K128" s="1324">
        <f t="shared" ref="K128:Q128" si="41">+$J128*K$1951</f>
        <v>883.56093813998507</v>
      </c>
      <c r="L128" s="1324">
        <f t="shared" si="41"/>
        <v>73.4774981287337</v>
      </c>
      <c r="M128" s="1324">
        <f t="shared" si="41"/>
        <v>475.53977816870633</v>
      </c>
      <c r="N128" s="1324">
        <f t="shared" si="41"/>
        <v>60.777202065377182</v>
      </c>
      <c r="O128" s="1324">
        <f t="shared" si="41"/>
        <v>43.741543009110806</v>
      </c>
      <c r="P128" s="1324">
        <f t="shared" si="41"/>
        <v>1.6323510169353186</v>
      </c>
      <c r="Q128" s="1324">
        <f t="shared" si="41"/>
        <v>0</v>
      </c>
      <c r="R128" s="1324"/>
      <c r="S128" s="1324">
        <v>122</v>
      </c>
      <c r="V128" s="1321" t="s">
        <v>9476</v>
      </c>
      <c r="W128" s="1321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s="1324" customFormat="1" ht="14.4">
      <c r="A129" s="1320" t="s">
        <v>4775</v>
      </c>
      <c r="B129" s="1324">
        <v>201</v>
      </c>
      <c r="C129" s="1393">
        <v>15</v>
      </c>
      <c r="D129" s="1320" t="s">
        <v>5234</v>
      </c>
      <c r="E129" s="1324" t="s">
        <v>2067</v>
      </c>
      <c r="F129" s="1364">
        <f>+'Allocation Assignment'!F22</f>
        <v>145.45872532694909</v>
      </c>
      <c r="G129" s="1324">
        <f>+$F129*G$1969</f>
        <v>0</v>
      </c>
      <c r="H129" s="1324">
        <f>+$F129*H$1969</f>
        <v>145.45872532694909</v>
      </c>
      <c r="I129" s="1323">
        <f t="shared" si="33"/>
        <v>1</v>
      </c>
      <c r="J129" s="1324">
        <f t="shared" ref="J129:J136" si="42">+H129</f>
        <v>145.45872532694909</v>
      </c>
      <c r="K129" s="1324">
        <f t="shared" ref="K129:Q129" si="43">+$J129*K1969</f>
        <v>73.403445338434565</v>
      </c>
      <c r="L129" s="1324">
        <f t="shared" si="43"/>
        <v>6.7833376327591521</v>
      </c>
      <c r="M129" s="1324">
        <f t="shared" si="43"/>
        <v>50.533230628867621</v>
      </c>
      <c r="N129" s="1324">
        <f t="shared" si="43"/>
        <v>8.044077804326653</v>
      </c>
      <c r="O129" s="1324">
        <f t="shared" si="43"/>
        <v>5.9261675565180738</v>
      </c>
      <c r="P129" s="1324">
        <f t="shared" si="43"/>
        <v>0.76846636604302143</v>
      </c>
      <c r="Q129" s="1324">
        <f t="shared" si="43"/>
        <v>0</v>
      </c>
      <c r="S129" s="1324">
        <v>201</v>
      </c>
      <c r="V129" s="1321" t="s">
        <v>5235</v>
      </c>
      <c r="W129" s="1321">
        <v>201</v>
      </c>
      <c r="Y129" s="1320"/>
      <c r="AA129" s="1320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s="1324" customFormat="1" ht="14.4">
      <c r="A130" s="1320" t="s">
        <v>4775</v>
      </c>
      <c r="B130" s="1324">
        <v>117</v>
      </c>
      <c r="C130" s="1393">
        <v>16</v>
      </c>
      <c r="D130" s="1320" t="s">
        <v>5236</v>
      </c>
      <c r="E130" s="1324" t="s">
        <v>4067</v>
      </c>
      <c r="F130" s="1364">
        <f>+'Allocation Assignment'!F23</f>
        <v>240.6963635059152</v>
      </c>
      <c r="G130" s="1324">
        <f>+$F130*G$1942</f>
        <v>15.593960634424366</v>
      </c>
      <c r="H130" s="1324">
        <f>+$F130*H$1942</f>
        <v>225.10240287149082</v>
      </c>
      <c r="I130" s="1323">
        <f t="shared" si="33"/>
        <v>0.93521314403222733</v>
      </c>
      <c r="J130" s="1324">
        <f t="shared" si="42"/>
        <v>225.10240287149082</v>
      </c>
      <c r="K130" s="1324">
        <f t="shared" ref="K130:Q130" si="44">+$J130*K$1945</f>
        <v>130.56232902864699</v>
      </c>
      <c r="L130" s="1324">
        <f t="shared" si="44"/>
        <v>10.770075220737901</v>
      </c>
      <c r="M130" s="1324">
        <f t="shared" si="44"/>
        <v>68.847680133562463</v>
      </c>
      <c r="N130" s="1324">
        <f t="shared" si="44"/>
        <v>8.594720006547238</v>
      </c>
      <c r="O130" s="1324">
        <f t="shared" si="44"/>
        <v>6.1680025422294351</v>
      </c>
      <c r="P130" s="1324">
        <f t="shared" si="44"/>
        <v>0.15959593976680059</v>
      </c>
      <c r="Q130" s="1324">
        <f t="shared" si="44"/>
        <v>0</v>
      </c>
      <c r="S130" s="1324">
        <v>118</v>
      </c>
      <c r="V130" s="1321" t="s">
        <v>9477</v>
      </c>
      <c r="W130" s="1321">
        <v>117</v>
      </c>
      <c r="Y130" s="1320"/>
      <c r="AA130" s="132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s="1324" customFormat="1" ht="14.4">
      <c r="A131" s="1320" t="s">
        <v>4775</v>
      </c>
      <c r="B131" s="1324">
        <v>202</v>
      </c>
      <c r="C131" s="1393">
        <v>17</v>
      </c>
      <c r="D131" s="1324" t="s">
        <v>5237</v>
      </c>
      <c r="E131" s="1324" t="s">
        <v>4777</v>
      </c>
      <c r="F131" s="1364">
        <f>+'Allocation Assignment'!F24</f>
        <v>7929.0305824175994</v>
      </c>
      <c r="G131" s="1324">
        <f>+$F131*G$1972</f>
        <v>7929.0305824175994</v>
      </c>
      <c r="H131" s="1324">
        <f>+$F131*H$1972</f>
        <v>0</v>
      </c>
      <c r="I131" s="1323">
        <f t="shared" si="33"/>
        <v>0</v>
      </c>
      <c r="J131" s="1324">
        <f t="shared" si="42"/>
        <v>0</v>
      </c>
      <c r="K131" s="1324">
        <f t="shared" ref="K131:Q131" si="45">+$J131*K$1972</f>
        <v>0</v>
      </c>
      <c r="L131" s="1324">
        <f t="shared" si="45"/>
        <v>0</v>
      </c>
      <c r="M131" s="1324">
        <f t="shared" si="45"/>
        <v>0</v>
      </c>
      <c r="N131" s="1324">
        <f t="shared" si="45"/>
        <v>0</v>
      </c>
      <c r="O131" s="1324">
        <f t="shared" si="45"/>
        <v>0</v>
      </c>
      <c r="P131" s="1324">
        <f t="shared" si="45"/>
        <v>0</v>
      </c>
      <c r="Q131" s="1324">
        <f t="shared" si="45"/>
        <v>0</v>
      </c>
      <c r="S131" s="1324">
        <v>202</v>
      </c>
      <c r="V131" s="1321" t="s">
        <v>5238</v>
      </c>
      <c r="W131" s="1321">
        <v>202</v>
      </c>
      <c r="Y131" s="1320"/>
      <c r="AA131" s="1320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s="1324" customFormat="1" ht="14.4">
      <c r="A132" s="1320" t="s">
        <v>4775</v>
      </c>
      <c r="B132" s="1324">
        <v>117</v>
      </c>
      <c r="C132" s="1393">
        <v>18</v>
      </c>
      <c r="D132" s="1324" t="s">
        <v>5239</v>
      </c>
      <c r="E132" s="1324" t="s">
        <v>4067</v>
      </c>
      <c r="F132" s="1364">
        <f>+'Allocation Assignment'!F25</f>
        <v>124.74078416988186</v>
      </c>
      <c r="G132" s="1324">
        <f>+$F132*G$1942</f>
        <v>8.0815632173211451</v>
      </c>
      <c r="H132" s="1324">
        <f>+$F132*H$1942</f>
        <v>116.65922095256072</v>
      </c>
      <c r="I132" s="1323">
        <f t="shared" si="33"/>
        <v>0.93521314403222733</v>
      </c>
      <c r="J132" s="1324">
        <f t="shared" si="42"/>
        <v>116.65922095256072</v>
      </c>
      <c r="K132" s="1324">
        <f t="shared" ref="K132:Q132" si="46">+$J132*K$1945</f>
        <v>67.663869403159097</v>
      </c>
      <c r="L132" s="1324">
        <f t="shared" si="46"/>
        <v>5.5815867304137443</v>
      </c>
      <c r="M132" s="1324">
        <f t="shared" si="46"/>
        <v>35.680279847380092</v>
      </c>
      <c r="N132" s="1324">
        <f t="shared" si="46"/>
        <v>4.4542098506233856</v>
      </c>
      <c r="O132" s="1324">
        <f t="shared" si="46"/>
        <v>3.1965645956284514</v>
      </c>
      <c r="P132" s="1324">
        <f t="shared" si="46"/>
        <v>8.271052535594578E-2</v>
      </c>
      <c r="Q132" s="1324">
        <f t="shared" si="46"/>
        <v>0</v>
      </c>
      <c r="S132" s="1324">
        <v>118</v>
      </c>
      <c r="V132" s="1321" t="s">
        <v>9477</v>
      </c>
      <c r="W132" s="1321">
        <v>117</v>
      </c>
      <c r="Y132" s="1320"/>
      <c r="AA132" s="1320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s="1324" customFormat="1" ht="14.4">
      <c r="A133" s="1320" t="s">
        <v>4775</v>
      </c>
      <c r="B133" s="1324">
        <v>105</v>
      </c>
      <c r="C133" s="1393">
        <v>19</v>
      </c>
      <c r="D133" s="1324" t="s">
        <v>5240</v>
      </c>
      <c r="E133" s="1324" t="s">
        <v>4067</v>
      </c>
      <c r="F133" s="1364">
        <f>+'Allocation Assignment'!F26</f>
        <v>457.1290387791085</v>
      </c>
      <c r="G133" s="1324">
        <f>+$F133*G$1936</f>
        <v>0</v>
      </c>
      <c r="H133" s="1324">
        <f>+$F133*H$1936</f>
        <v>457.1290387791085</v>
      </c>
      <c r="I133" s="1323">
        <f t="shared" si="33"/>
        <v>1</v>
      </c>
      <c r="J133" s="1324">
        <f t="shared" si="42"/>
        <v>457.1290387791085</v>
      </c>
      <c r="K133" s="1324">
        <f t="shared" ref="K133:Q133" si="47">+$J133*K$1936</f>
        <v>284.5244333214772</v>
      </c>
      <c r="L133" s="1324">
        <f t="shared" si="47"/>
        <v>20.236091301998414</v>
      </c>
      <c r="M133" s="1324">
        <f t="shared" si="47"/>
        <v>135.49326615412994</v>
      </c>
      <c r="N133" s="1324">
        <f t="shared" si="47"/>
        <v>14.251167359612509</v>
      </c>
      <c r="O133" s="1324">
        <f t="shared" si="47"/>
        <v>9.7304194440655839E-6</v>
      </c>
      <c r="P133" s="1324">
        <f t="shared" si="47"/>
        <v>2.6240709114710925</v>
      </c>
      <c r="Q133" s="1324">
        <f t="shared" si="47"/>
        <v>0</v>
      </c>
      <c r="S133" s="1324">
        <v>105</v>
      </c>
      <c r="V133" s="1321" t="s">
        <v>5229</v>
      </c>
      <c r="W133" s="1321">
        <v>105</v>
      </c>
      <c r="Y133" s="1320"/>
      <c r="AA133" s="1320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s="1324" customFormat="1" ht="14.4">
      <c r="A134" s="1320" t="s">
        <v>4775</v>
      </c>
      <c r="B134" s="1324">
        <v>106</v>
      </c>
      <c r="C134" s="1393">
        <v>20</v>
      </c>
      <c r="D134" s="1324" t="s">
        <v>5241</v>
      </c>
      <c r="E134" s="1324" t="s">
        <v>4067</v>
      </c>
      <c r="F134" s="1364">
        <f>+'Allocation Assignment'!F27</f>
        <v>229.72470960232238</v>
      </c>
      <c r="G134" s="1324">
        <f>+$F134*G$1939</f>
        <v>0</v>
      </c>
      <c r="H134" s="1324">
        <f>+$F134*H$1939</f>
        <v>229.72470960232238</v>
      </c>
      <c r="I134" s="1323">
        <f t="shared" si="33"/>
        <v>1</v>
      </c>
      <c r="J134" s="1324">
        <f t="shared" si="42"/>
        <v>229.72470960232238</v>
      </c>
      <c r="K134" s="1324">
        <f t="shared" ref="K134:Q134" si="48">+$J134*K$1939</f>
        <v>167.61478906677505</v>
      </c>
      <c r="L134" s="1324">
        <f t="shared" si="48"/>
        <v>13.496317042201234</v>
      </c>
      <c r="M134" s="1324">
        <f t="shared" si="48"/>
        <v>47.782590849183748</v>
      </c>
      <c r="N134" s="1324">
        <f t="shared" si="48"/>
        <v>0</v>
      </c>
      <c r="O134" s="1324">
        <f t="shared" si="48"/>
        <v>0</v>
      </c>
      <c r="P134" s="1324">
        <f t="shared" si="48"/>
        <v>0.83101264416233922</v>
      </c>
      <c r="Q134" s="1324">
        <f t="shared" si="48"/>
        <v>0</v>
      </c>
      <c r="S134" s="1324">
        <v>106</v>
      </c>
      <c r="V134" s="1321" t="s">
        <v>5230</v>
      </c>
      <c r="W134" s="1321">
        <v>106</v>
      </c>
      <c r="Y134" s="1320"/>
      <c r="AA134" s="1320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s="1324" customFormat="1" ht="14.4">
      <c r="A135" s="1320" t="s">
        <v>4775</v>
      </c>
      <c r="B135" s="1324">
        <v>907</v>
      </c>
      <c r="C135" s="1393">
        <v>21</v>
      </c>
      <c r="D135" s="1324" t="s">
        <v>5242</v>
      </c>
      <c r="E135" s="1324" t="s">
        <v>4071</v>
      </c>
      <c r="F135" s="1364">
        <f>+'Allocation Assignment'!F28</f>
        <v>216.09497132613194</v>
      </c>
      <c r="G135" s="1324">
        <f>+$F135*G$2055</f>
        <v>0</v>
      </c>
      <c r="H135" s="1324">
        <f>+$F135*H$2055</f>
        <v>216.09497132613194</v>
      </c>
      <c r="I135" s="1323">
        <f t="shared" si="33"/>
        <v>1</v>
      </c>
      <c r="J135" s="1324">
        <f t="shared" si="42"/>
        <v>216.09497132613194</v>
      </c>
      <c r="K135" s="1324">
        <f t="shared" ref="K135:Q135" si="49">+$J135*K$2055</f>
        <v>79.664863621095478</v>
      </c>
      <c r="L135" s="1324">
        <f t="shared" si="49"/>
        <v>12.084112331790104</v>
      </c>
      <c r="M135" s="1324">
        <f t="shared" si="49"/>
        <v>5.8257414082708596</v>
      </c>
      <c r="N135" s="1324">
        <f t="shared" si="49"/>
        <v>0.37555724350818143</v>
      </c>
      <c r="O135" s="1324">
        <f t="shared" si="49"/>
        <v>0.40974871785588124</v>
      </c>
      <c r="P135" s="1324">
        <f t="shared" si="49"/>
        <v>9.4042220502395357E-2</v>
      </c>
      <c r="Q135" s="1324">
        <f t="shared" si="49"/>
        <v>117.64090578310908</v>
      </c>
      <c r="S135" s="1324">
        <v>907</v>
      </c>
      <c r="V135" s="1321" t="s">
        <v>5243</v>
      </c>
      <c r="W135" s="1321">
        <v>907</v>
      </c>
      <c r="Y135" s="1320"/>
      <c r="AA135" s="1320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s="1324" customFormat="1" ht="14.4">
      <c r="A136" s="1320" t="s">
        <v>4775</v>
      </c>
      <c r="B136" s="1324">
        <v>412</v>
      </c>
      <c r="C136" s="1393">
        <v>22</v>
      </c>
      <c r="D136" s="1324" t="s">
        <v>5244</v>
      </c>
      <c r="E136" s="1324" t="s">
        <v>4071</v>
      </c>
      <c r="F136" s="1364">
        <f>+'Allocation Assignment'!F29</f>
        <v>52.39644670933798</v>
      </c>
      <c r="G136" s="1366">
        <f>+$F136*G$2021</f>
        <v>0</v>
      </c>
      <c r="H136" s="1366">
        <f>+$F136*H$2021</f>
        <v>52.39644670933798</v>
      </c>
      <c r="I136" s="1323">
        <f t="shared" si="33"/>
        <v>1</v>
      </c>
      <c r="J136" s="1324">
        <f t="shared" si="42"/>
        <v>52.39644670933798</v>
      </c>
      <c r="K136" s="1324">
        <f t="shared" ref="K136:Q136" si="50">+$J136*K$2021</f>
        <v>46.731699949415137</v>
      </c>
      <c r="L136" s="1324">
        <f t="shared" si="50"/>
        <v>4.5302176222924695</v>
      </c>
      <c r="M136" s="1324">
        <f t="shared" si="50"/>
        <v>1.1157539928398914</v>
      </c>
      <c r="N136" s="1324">
        <f t="shared" si="50"/>
        <v>3.7671811553707593E-3</v>
      </c>
      <c r="O136" s="1324">
        <f t="shared" si="50"/>
        <v>6.683708501464251E-4</v>
      </c>
      <c r="P136" s="1324">
        <f t="shared" si="50"/>
        <v>1.4339592784959665E-2</v>
      </c>
      <c r="Q136" s="1324">
        <f t="shared" si="50"/>
        <v>0</v>
      </c>
      <c r="S136" s="1324">
        <v>412</v>
      </c>
      <c r="V136" s="1321" t="s">
        <v>5245</v>
      </c>
      <c r="W136" s="1321">
        <v>412</v>
      </c>
      <c r="Y136" s="1320"/>
      <c r="AA136" s="1320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s="1324" customFormat="1" ht="14.4">
      <c r="A137" s="1320" t="s">
        <v>4775</v>
      </c>
      <c r="C137" s="1393">
        <v>23</v>
      </c>
      <c r="D137" s="1324" t="s">
        <v>5246</v>
      </c>
      <c r="F137" s="1421">
        <f>+SUM(F128:F136)</f>
        <v>10934.000932366094</v>
      </c>
      <c r="G137" s="1366">
        <f>+SUM(G128:G136)</f>
        <v>7952.7061062693447</v>
      </c>
      <c r="H137" s="1366">
        <f>+SUM(H128:H136)</f>
        <v>2981.2948260967496</v>
      </c>
      <c r="I137" s="1323">
        <f>IF(F137=0,0,+H137/F137)</f>
        <v>0.2726627557961625</v>
      </c>
      <c r="J137" s="1421">
        <f>+SUM(J128:J136)</f>
        <v>2981.2948260967496</v>
      </c>
      <c r="K137" s="1421">
        <f>+SUM(K128:K136)</f>
        <v>1733.7263678689887</v>
      </c>
      <c r="L137" s="1421">
        <f t="shared" ref="L137:Q137" si="51">+SUM(L128:L136)</f>
        <v>146.9592360109267</v>
      </c>
      <c r="M137" s="1421">
        <f t="shared" si="51"/>
        <v>820.81832118294108</v>
      </c>
      <c r="N137" s="1421">
        <f t="shared" si="51"/>
        <v>96.50070151115051</v>
      </c>
      <c r="O137" s="1421">
        <f t="shared" si="51"/>
        <v>59.442704522612246</v>
      </c>
      <c r="P137" s="1421">
        <f t="shared" si="51"/>
        <v>6.2065892170218726</v>
      </c>
      <c r="Q137" s="1421">
        <f t="shared" si="51"/>
        <v>117.64090578310908</v>
      </c>
      <c r="R137" s="1364"/>
      <c r="S137" s="1364"/>
      <c r="V137" s="1320" t="s">
        <v>5247</v>
      </c>
      <c r="Y137" s="1320"/>
      <c r="AA137" s="1320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s="1324" customFormat="1" ht="14.4">
      <c r="A138" s="1320" t="s">
        <v>4775</v>
      </c>
      <c r="C138" s="1393">
        <v>24</v>
      </c>
      <c r="G138" s="1364"/>
      <c r="H138" s="1364"/>
      <c r="I138" s="1323" t="str">
        <f t="shared" si="33"/>
        <v/>
      </c>
      <c r="J138" s="1364"/>
      <c r="K138" s="1364"/>
      <c r="L138" s="1364"/>
      <c r="M138" s="1367"/>
      <c r="N138" s="1367"/>
      <c r="O138" s="1367"/>
      <c r="P138" s="1364"/>
      <c r="Q138" s="1364"/>
      <c r="R138" s="1364"/>
      <c r="Y138" s="1320"/>
      <c r="AA138" s="1320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s="1324" customFormat="1" ht="14.4">
      <c r="A139" s="1320" t="s">
        <v>4775</v>
      </c>
      <c r="C139" s="1393">
        <v>25</v>
      </c>
      <c r="D139" s="1362" t="s">
        <v>5248</v>
      </c>
      <c r="I139" s="1323" t="str">
        <f t="shared" si="33"/>
        <v/>
      </c>
      <c r="M139" s="1325"/>
      <c r="N139" s="1325"/>
      <c r="O139" s="1325"/>
      <c r="Y139" s="1320"/>
      <c r="AA139" s="1320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s="1324" customFormat="1" ht="14.4">
      <c r="A140" s="1320" t="s">
        <v>4775</v>
      </c>
      <c r="B140" s="1324">
        <v>201</v>
      </c>
      <c r="C140" s="1393">
        <v>26</v>
      </c>
      <c r="D140" s="1324" t="s">
        <v>5249</v>
      </c>
      <c r="E140" s="1324" t="s">
        <v>2067</v>
      </c>
      <c r="F140" s="1364">
        <f>+'Allocation Assignment'!F30</f>
        <v>493.87339000000003</v>
      </c>
      <c r="G140" s="1324">
        <f>+$F140*G$1969</f>
        <v>0</v>
      </c>
      <c r="H140" s="1324">
        <f>+$F140*H$1969</f>
        <v>493.87339000000003</v>
      </c>
      <c r="I140" s="1323">
        <f t="shared" si="33"/>
        <v>1</v>
      </c>
      <c r="J140" s="1364">
        <f>+H140</f>
        <v>493.87339000000003</v>
      </c>
      <c r="K140" s="1364">
        <f t="shared" ref="K140:Q140" si="52">+$J140*K$1969</f>
        <v>249.22539576425109</v>
      </c>
      <c r="L140" s="1364">
        <f t="shared" si="52"/>
        <v>23.031344078364917</v>
      </c>
      <c r="M140" s="1364">
        <f t="shared" si="52"/>
        <v>171.57456771489325</v>
      </c>
      <c r="N140" s="1364">
        <f t="shared" si="52"/>
        <v>27.311912473569087</v>
      </c>
      <c r="O140" s="1364">
        <f t="shared" si="52"/>
        <v>20.12100995844046</v>
      </c>
      <c r="P140" s="1364">
        <f t="shared" si="52"/>
        <v>2.6091600104812236</v>
      </c>
      <c r="Q140" s="1364">
        <f t="shared" si="52"/>
        <v>0</v>
      </c>
      <c r="R140" s="1364"/>
      <c r="S140" s="1324">
        <v>201</v>
      </c>
      <c r="V140" s="1321" t="s">
        <v>5235</v>
      </c>
      <c r="W140" s="1321">
        <v>201</v>
      </c>
      <c r="Y140" s="1320"/>
      <c r="AA140" s="132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s="1324" customFormat="1" ht="14.4">
      <c r="A141" s="1320" t="s">
        <v>4775</v>
      </c>
      <c r="B141" s="1324">
        <v>202</v>
      </c>
      <c r="C141" s="1393">
        <v>27</v>
      </c>
      <c r="D141" s="1324" t="s">
        <v>5250</v>
      </c>
      <c r="E141" s="1324" t="s">
        <v>2067</v>
      </c>
      <c r="F141" s="1366">
        <f>+'Allocation Assignment'!F31</f>
        <v>-1.84900420208578E-3</v>
      </c>
      <c r="G141" s="1366">
        <f>+$F141*G$1972</f>
        <v>-1.84900420208578E-3</v>
      </c>
      <c r="H141" s="1366">
        <f>+$F141*$H$1972</f>
        <v>0</v>
      </c>
      <c r="I141" s="1323">
        <f t="shared" si="33"/>
        <v>0</v>
      </c>
      <c r="J141" s="1366">
        <f>+H141</f>
        <v>0</v>
      </c>
      <c r="K141" s="1366">
        <f t="shared" ref="K141:Q141" si="53">+$J141*K$1972</f>
        <v>0</v>
      </c>
      <c r="L141" s="1366">
        <f t="shared" si="53"/>
        <v>0</v>
      </c>
      <c r="M141" s="1366">
        <f t="shared" si="53"/>
        <v>0</v>
      </c>
      <c r="N141" s="1366">
        <f t="shared" si="53"/>
        <v>0</v>
      </c>
      <c r="O141" s="1366">
        <f t="shared" si="53"/>
        <v>0</v>
      </c>
      <c r="P141" s="1366">
        <f t="shared" si="53"/>
        <v>0</v>
      </c>
      <c r="Q141" s="1366">
        <f t="shared" si="53"/>
        <v>0</v>
      </c>
      <c r="R141" s="1364"/>
      <c r="S141" s="1324">
        <v>202</v>
      </c>
      <c r="V141" s="1321" t="s">
        <v>5238</v>
      </c>
      <c r="W141" s="1321">
        <v>202</v>
      </c>
      <c r="Y141" s="1320"/>
      <c r="AA141" s="1320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s="1324" customFormat="1" ht="14.4">
      <c r="A142" s="1320" t="s">
        <v>4775</v>
      </c>
      <c r="C142" s="1393">
        <v>28</v>
      </c>
      <c r="D142" s="1324" t="s">
        <v>5251</v>
      </c>
      <c r="E142" s="1324" t="s">
        <v>4374</v>
      </c>
      <c r="F142" s="1366">
        <f>+SUM(F140:F141)</f>
        <v>493.87154099579794</v>
      </c>
      <c r="G142" s="1366">
        <f>+SUM(G140:G141)</f>
        <v>-1.84900420208578E-3</v>
      </c>
      <c r="H142" s="1366">
        <f>+SUM(H140:H141)</f>
        <v>493.87339000000003</v>
      </c>
      <c r="I142" s="1323">
        <f>IF(E142="","",IF(F142=0,0,+H142/F142))</f>
        <v>1.0000037438970433</v>
      </c>
      <c r="J142" s="1366">
        <f>+SUM(J140:J141)</f>
        <v>493.87339000000003</v>
      </c>
      <c r="K142" s="1366">
        <f>+SUM(K140:K141)</f>
        <v>249.22539576425109</v>
      </c>
      <c r="L142" s="1366">
        <f t="shared" ref="L142:Q142" si="54">+SUM(L140:L141)</f>
        <v>23.031344078364917</v>
      </c>
      <c r="M142" s="1366">
        <f t="shared" si="54"/>
        <v>171.57456771489325</v>
      </c>
      <c r="N142" s="1366">
        <f t="shared" si="54"/>
        <v>27.311912473569087</v>
      </c>
      <c r="O142" s="1366">
        <f t="shared" si="54"/>
        <v>20.12100995844046</v>
      </c>
      <c r="P142" s="1366">
        <f t="shared" si="54"/>
        <v>2.6091600104812236</v>
      </c>
      <c r="Q142" s="1366">
        <f t="shared" si="54"/>
        <v>0</v>
      </c>
      <c r="R142" s="1364"/>
      <c r="V142" s="1320" t="s">
        <v>5252</v>
      </c>
      <c r="W142" s="1321"/>
      <c r="Y142" s="1320"/>
      <c r="AA142" s="1320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s="1324" customFormat="1" ht="14.4">
      <c r="A143" s="1320" t="s">
        <v>4775</v>
      </c>
      <c r="B143" s="1320">
        <v>204</v>
      </c>
      <c r="C143" s="1393">
        <v>29</v>
      </c>
      <c r="D143" s="1324" t="s">
        <v>5253</v>
      </c>
      <c r="E143" s="1324" t="s">
        <v>2067</v>
      </c>
      <c r="F143" s="1364">
        <f>+'Allocation Assignment'!F32</f>
        <v>107</v>
      </c>
      <c r="G143" s="1364">
        <f>+$F143*G$1975</f>
        <v>0</v>
      </c>
      <c r="H143" s="1364">
        <f>+$F143*H$1975</f>
        <v>107</v>
      </c>
      <c r="I143" s="1323">
        <f t="shared" ref="I143:I159" si="55">IF(E143="","",IF(F143=0,0,+H143/F143))</f>
        <v>1</v>
      </c>
      <c r="J143" s="1364">
        <f>+H143</f>
        <v>107</v>
      </c>
      <c r="K143" s="1364">
        <f t="shared" ref="K143:Q143" si="56">+$J143*K$1975</f>
        <v>53.995857818488389</v>
      </c>
      <c r="L143" s="1364">
        <f t="shared" si="56"/>
        <v>4.9898493546798415</v>
      </c>
      <c r="M143" s="1364">
        <f t="shared" si="56"/>
        <v>37.172439570987166</v>
      </c>
      <c r="N143" s="1364">
        <f t="shared" si="56"/>
        <v>5.9172546928918202</v>
      </c>
      <c r="O143" s="1364">
        <f t="shared" si="56"/>
        <v>4.3593117368666672</v>
      </c>
      <c r="P143" s="1364">
        <f t="shared" si="56"/>
        <v>0.56528682608611669</v>
      </c>
      <c r="Q143" s="1364">
        <f t="shared" si="56"/>
        <v>0</v>
      </c>
      <c r="R143" s="1364"/>
      <c r="S143" s="1320">
        <v>204</v>
      </c>
      <c r="T143" s="1320"/>
      <c r="V143" s="1321" t="s">
        <v>5254</v>
      </c>
      <c r="W143" s="1321">
        <v>204</v>
      </c>
      <c r="Y143" s="1320"/>
      <c r="AA143" s="1320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320" t="s">
        <v>4775</v>
      </c>
      <c r="B144" s="1320">
        <v>201</v>
      </c>
      <c r="C144" s="1393">
        <v>30</v>
      </c>
      <c r="D144" s="1324" t="s">
        <v>5255</v>
      </c>
      <c r="E144" s="1324" t="s">
        <v>2067</v>
      </c>
      <c r="F144" s="1364">
        <f>+'Allocation Assignment'!F33</f>
        <v>0</v>
      </c>
      <c r="G144" s="1364">
        <f>+$F144*G$1969</f>
        <v>0</v>
      </c>
      <c r="H144" s="1364">
        <f>+$F144*H$1969</f>
        <v>0</v>
      </c>
      <c r="I144" s="1323">
        <f t="shared" si="55"/>
        <v>0</v>
      </c>
      <c r="J144" s="1364">
        <f>+H144</f>
        <v>0</v>
      </c>
      <c r="K144" s="1364">
        <f t="shared" ref="K144:Q144" si="57">+$J144*K$1969</f>
        <v>0</v>
      </c>
      <c r="L144" s="1364">
        <f t="shared" si="57"/>
        <v>0</v>
      </c>
      <c r="M144" s="1364">
        <f t="shared" si="57"/>
        <v>0</v>
      </c>
      <c r="N144" s="1364">
        <f t="shared" si="57"/>
        <v>0</v>
      </c>
      <c r="O144" s="1364">
        <f t="shared" si="57"/>
        <v>0</v>
      </c>
      <c r="P144" s="1364">
        <f t="shared" si="57"/>
        <v>0</v>
      </c>
      <c r="Q144" s="1364">
        <f t="shared" si="57"/>
        <v>0</v>
      </c>
      <c r="R144" s="1364"/>
      <c r="S144" s="1324">
        <v>201</v>
      </c>
      <c r="T144" s="1324"/>
      <c r="V144" s="1321" t="s">
        <v>5235</v>
      </c>
      <c r="W144" s="1321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s="1324" customFormat="1" ht="14.4">
      <c r="A145" s="1324" t="s">
        <v>4775</v>
      </c>
      <c r="B145" s="1324">
        <v>508</v>
      </c>
      <c r="C145" s="1393">
        <v>31</v>
      </c>
      <c r="D145" s="1324" t="s">
        <v>5256</v>
      </c>
      <c r="E145" s="1324" t="s">
        <v>2067</v>
      </c>
      <c r="F145" s="1366">
        <f>+'Allocation Assignment'!F34</f>
        <v>-62.881113731333144</v>
      </c>
      <c r="G145" s="1366">
        <f>+$F145*G$1975</f>
        <v>0</v>
      </c>
      <c r="H145" s="1366">
        <f>+$F145*H$1975</f>
        <v>-62.881113731333144</v>
      </c>
      <c r="I145" s="1323">
        <f t="shared" si="55"/>
        <v>1</v>
      </c>
      <c r="J145" s="1366">
        <f>+H145</f>
        <v>-62.881113731333144</v>
      </c>
      <c r="K145" s="1366">
        <f t="shared" ref="K145:Q145" si="58">+$J145*K$2049</f>
        <v>-144.50140292494311</v>
      </c>
      <c r="L145" s="1366">
        <f t="shared" si="58"/>
        <v>-1.7648550943851231</v>
      </c>
      <c r="M145" s="1366">
        <f t="shared" si="58"/>
        <v>62.380952836373247</v>
      </c>
      <c r="N145" s="1366">
        <f t="shared" si="58"/>
        <v>18.851117675793031</v>
      </c>
      <c r="O145" s="1366">
        <f t="shared" si="58"/>
        <v>2.1530737758287897</v>
      </c>
      <c r="P145" s="1366">
        <f t="shared" si="58"/>
        <v>0</v>
      </c>
      <c r="Q145" s="1366">
        <f t="shared" si="58"/>
        <v>0</v>
      </c>
      <c r="R145" s="1364"/>
      <c r="S145" s="1324">
        <v>508</v>
      </c>
      <c r="V145" s="1326" t="s">
        <v>5257</v>
      </c>
      <c r="W145" s="1326">
        <v>508</v>
      </c>
      <c r="AA145" s="1320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320" t="s">
        <v>4775</v>
      </c>
      <c r="C146" s="1322">
        <v>32</v>
      </c>
      <c r="D146" s="1320" t="s">
        <v>5258</v>
      </c>
      <c r="E146" s="1320" t="s">
        <v>4374</v>
      </c>
      <c r="F146" s="1350">
        <f>+SUM(F143:F145)</f>
        <v>44.118886268666856</v>
      </c>
      <c r="G146" s="1350">
        <f>+SUM(G143:G145)</f>
        <v>0</v>
      </c>
      <c r="H146" s="1350">
        <f>+SUM(H143:H145)</f>
        <v>44.118886268666856</v>
      </c>
      <c r="I146" s="1323">
        <f t="shared" si="55"/>
        <v>1</v>
      </c>
      <c r="J146" s="1366">
        <f>+SUM(J143:J145)</f>
        <v>44.118886268666856</v>
      </c>
      <c r="K146" s="1366">
        <f>+SUM(K143:K145)</f>
        <v>-90.505545106454719</v>
      </c>
      <c r="L146" s="1366">
        <f t="shared" ref="L146:Q146" si="59">+SUM(L143:L145)</f>
        <v>3.2249942602947184</v>
      </c>
      <c r="M146" s="1366">
        <f t="shared" si="59"/>
        <v>99.553392407360406</v>
      </c>
      <c r="N146" s="1366">
        <f t="shared" si="59"/>
        <v>24.768372368684851</v>
      </c>
      <c r="O146" s="1366">
        <f t="shared" si="59"/>
        <v>6.5123855126954568</v>
      </c>
      <c r="P146" s="1366">
        <f t="shared" si="59"/>
        <v>0.56528682608611669</v>
      </c>
      <c r="Q146" s="1366">
        <f t="shared" si="59"/>
        <v>0</v>
      </c>
      <c r="R146" s="1358"/>
      <c r="V146" s="1320" t="s">
        <v>5259</v>
      </c>
      <c r="W146" s="1321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320" t="s">
        <v>4775</v>
      </c>
      <c r="C147" s="1322">
        <v>33</v>
      </c>
      <c r="D147" s="1320" t="s">
        <v>5260</v>
      </c>
      <c r="F147" s="1350">
        <f>+F142+F146</f>
        <v>537.99042726446476</v>
      </c>
      <c r="G147" s="1350">
        <f>+G142+G146</f>
        <v>-1.84900420208578E-3</v>
      </c>
      <c r="H147" s="1350">
        <f>+H142+H146</f>
        <v>537.99227626866684</v>
      </c>
      <c r="I147" s="1323">
        <f>IF(F147=0,0,+H147/F147)</f>
        <v>1.0000034368719375</v>
      </c>
      <c r="J147" s="1366">
        <f>+J142+J146</f>
        <v>537.99227626866684</v>
      </c>
      <c r="K147" s="1366">
        <f>+K142+K146</f>
        <v>158.71985065779637</v>
      </c>
      <c r="L147" s="1366">
        <f t="shared" ref="L147:Q147" si="60">+L142+L146</f>
        <v>26.256338338659635</v>
      </c>
      <c r="M147" s="1366">
        <f t="shared" si="60"/>
        <v>271.12796012225363</v>
      </c>
      <c r="N147" s="1366">
        <f t="shared" si="60"/>
        <v>52.080284842253938</v>
      </c>
      <c r="O147" s="1366">
        <f t="shared" si="60"/>
        <v>26.633395471135916</v>
      </c>
      <c r="P147" s="1366">
        <f t="shared" si="60"/>
        <v>3.1744468365673404</v>
      </c>
      <c r="Q147" s="1366">
        <f t="shared" si="60"/>
        <v>0</v>
      </c>
      <c r="R147" s="1358"/>
      <c r="V147" s="1320" t="s">
        <v>5261</v>
      </c>
      <c r="W147" s="1321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320" t="s">
        <v>4775</v>
      </c>
      <c r="C148" s="1322">
        <v>34</v>
      </c>
      <c r="G148" s="1320"/>
      <c r="I148" s="1323" t="str">
        <f t="shared" si="55"/>
        <v/>
      </c>
      <c r="V148" s="1321"/>
      <c r="W148" s="1321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320" t="s">
        <v>4775</v>
      </c>
      <c r="C149" s="1322">
        <v>35</v>
      </c>
      <c r="D149" s="1356" t="s">
        <v>5262</v>
      </c>
      <c r="G149" s="1320"/>
      <c r="I149" s="1323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320" t="s">
        <v>4775</v>
      </c>
      <c r="B150" s="1321"/>
      <c r="C150" s="1322">
        <v>36</v>
      </c>
      <c r="D150" s="1320" t="s">
        <v>5263</v>
      </c>
      <c r="E150" s="1320" t="s">
        <v>4777</v>
      </c>
      <c r="F150" s="1320">
        <f>+F115+F131</f>
        <v>1782281.2948316957</v>
      </c>
      <c r="G150" s="1320">
        <f>+G115+G131</f>
        <v>7929.0305824175994</v>
      </c>
      <c r="H150" s="1320">
        <f>+H115+H131</f>
        <v>1774352.2642492782</v>
      </c>
      <c r="I150" s="1323">
        <f t="shared" si="55"/>
        <v>0.99555119014859761</v>
      </c>
      <c r="J150" s="1320">
        <f t="shared" ref="J150:Q150" si="61">+J115+J131</f>
        <v>1774352.2642492782</v>
      </c>
      <c r="K150" s="1320">
        <f t="shared" si="61"/>
        <v>1031095.7438643834</v>
      </c>
      <c r="L150" s="1320">
        <f t="shared" si="61"/>
        <v>95215.926359999998</v>
      </c>
      <c r="M150" s="1320">
        <f t="shared" si="61"/>
        <v>472409.06597747206</v>
      </c>
      <c r="N150" s="1320">
        <f t="shared" si="61"/>
        <v>56248.638876056888</v>
      </c>
      <c r="O150" s="1320">
        <f t="shared" si="61"/>
        <v>33101.5829713657</v>
      </c>
      <c r="P150" s="1320">
        <f t="shared" si="61"/>
        <v>3573.4600599999999</v>
      </c>
      <c r="Q150" s="1320">
        <f t="shared" si="61"/>
        <v>82707.846140000009</v>
      </c>
      <c r="S150" s="1321"/>
      <c r="T150" s="1321"/>
      <c r="U150" s="1326"/>
      <c r="V150" s="1320" t="s">
        <v>5264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320" t="s">
        <v>4775</v>
      </c>
      <c r="B151" s="1321"/>
      <c r="C151" s="1322">
        <v>37</v>
      </c>
      <c r="D151" s="1320" t="s">
        <v>5265</v>
      </c>
      <c r="E151" s="1320" t="s">
        <v>4067</v>
      </c>
      <c r="F151" s="1320">
        <f>+F128+F120</f>
        <v>1850.9373105288485</v>
      </c>
      <c r="G151" s="1320">
        <f>+G128+G120</f>
        <v>0</v>
      </c>
      <c r="H151" s="1320">
        <f>+H128+H120</f>
        <v>1850.9373105288485</v>
      </c>
      <c r="I151" s="1323">
        <f t="shared" si="55"/>
        <v>1</v>
      </c>
      <c r="J151" s="1320">
        <f t="shared" ref="J151:Q151" si="62">+J128+J120</f>
        <v>1850.9373105288485</v>
      </c>
      <c r="K151" s="1320">
        <f t="shared" si="62"/>
        <v>1062.835350791551</v>
      </c>
      <c r="L151" s="1320">
        <f t="shared" si="62"/>
        <v>88.386074041862514</v>
      </c>
      <c r="M151" s="1320">
        <f t="shared" si="62"/>
        <v>572.02674442495356</v>
      </c>
      <c r="N151" s="1320">
        <f t="shared" si="62"/>
        <v>73.108889369043141</v>
      </c>
      <c r="O151" s="1320">
        <f t="shared" si="62"/>
        <v>52.616697051048732</v>
      </c>
      <c r="P151" s="1320">
        <f t="shared" si="62"/>
        <v>1.9635548503894207</v>
      </c>
      <c r="Q151" s="1320">
        <f t="shared" si="62"/>
        <v>0</v>
      </c>
      <c r="S151" s="1321"/>
      <c r="T151" s="1321"/>
      <c r="U151" s="1326"/>
      <c r="V151" s="1320" t="s">
        <v>5266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320" t="s">
        <v>4775</v>
      </c>
      <c r="B152" s="1321"/>
      <c r="C152" s="1322">
        <v>38</v>
      </c>
      <c r="D152" s="1320" t="s">
        <v>5265</v>
      </c>
      <c r="E152" s="1320" t="s">
        <v>2067</v>
      </c>
      <c r="F152" s="1320">
        <f>+F129+F140+F141+F144+F145+F143</f>
        <v>683.44915259141396</v>
      </c>
      <c r="G152" s="1320">
        <f>+G129+G140+G141+G144+G145+G143</f>
        <v>-1.84900420208578E-3</v>
      </c>
      <c r="H152" s="1320">
        <f>+H129+H140+H141+H144+H145+H143</f>
        <v>683.45100159561605</v>
      </c>
      <c r="I152" s="1323">
        <f t="shared" si="55"/>
        <v>1.0000027054012652</v>
      </c>
      <c r="J152" s="1320">
        <f t="shared" ref="J152:Q152" si="63">+J129+J140+J141+J144+J145+J143</f>
        <v>683.45100159561605</v>
      </c>
      <c r="K152" s="1320">
        <f t="shared" si="63"/>
        <v>232.12329599623095</v>
      </c>
      <c r="L152" s="1320">
        <f t="shared" si="63"/>
        <v>33.039675971418788</v>
      </c>
      <c r="M152" s="1320">
        <f t="shared" si="63"/>
        <v>321.66119075112124</v>
      </c>
      <c r="N152" s="1320">
        <f t="shared" si="63"/>
        <v>60.124362646580593</v>
      </c>
      <c r="O152" s="1320">
        <f t="shared" si="63"/>
        <v>32.559563027653994</v>
      </c>
      <c r="P152" s="1320">
        <f t="shared" si="63"/>
        <v>3.9429132026103617</v>
      </c>
      <c r="Q152" s="1320">
        <f t="shared" si="63"/>
        <v>0</v>
      </c>
      <c r="S152" s="1321"/>
      <c r="T152" s="1321"/>
      <c r="U152" s="1326"/>
      <c r="V152" s="1320" t="s">
        <v>5267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320" t="s">
        <v>4775</v>
      </c>
      <c r="B153" s="1321"/>
      <c r="C153" s="1322">
        <v>39</v>
      </c>
      <c r="D153" s="1320" t="s">
        <v>5268</v>
      </c>
      <c r="E153" s="1320" t="s">
        <v>4067</v>
      </c>
      <c r="F153" s="1358">
        <f>+F121+F130</f>
        <v>996.42736350591531</v>
      </c>
      <c r="G153" s="1358">
        <f>+G121+G130</f>
        <v>64.555396081805128</v>
      </c>
      <c r="H153" s="1358">
        <f>+H121+H130</f>
        <v>931.87196742411015</v>
      </c>
      <c r="I153" s="1323">
        <f t="shared" si="55"/>
        <v>0.93521314403222733</v>
      </c>
      <c r="J153" s="1358">
        <f t="shared" ref="J153:Q153" si="64">+J121+J130</f>
        <v>931.87196742411015</v>
      </c>
      <c r="K153" s="1358">
        <f t="shared" si="64"/>
        <v>540.49789283172697</v>
      </c>
      <c r="L153" s="1358">
        <f t="shared" si="64"/>
        <v>44.585624396841048</v>
      </c>
      <c r="M153" s="1358">
        <f t="shared" si="64"/>
        <v>285.01349750262563</v>
      </c>
      <c r="N153" s="1358">
        <f t="shared" si="64"/>
        <v>35.580156141349192</v>
      </c>
      <c r="O153" s="1358">
        <f t="shared" si="64"/>
        <v>25.53410621469742</v>
      </c>
      <c r="P153" s="1358">
        <f t="shared" si="64"/>
        <v>0.66069033686989576</v>
      </c>
      <c r="Q153" s="1358">
        <f t="shared" si="64"/>
        <v>0</v>
      </c>
      <c r="R153" s="1358"/>
      <c r="S153" s="1321"/>
      <c r="T153" s="1321"/>
      <c r="U153" s="1326"/>
      <c r="V153" s="1320" t="s">
        <v>5269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320" t="s">
        <v>4775</v>
      </c>
      <c r="B154" s="1321"/>
      <c r="C154" s="1322">
        <v>40</v>
      </c>
      <c r="D154" s="1320" t="s">
        <v>5239</v>
      </c>
      <c r="E154" s="1320" t="s">
        <v>4067</v>
      </c>
      <c r="F154" s="1358">
        <f t="shared" ref="F154:H156" si="65">+F122+F132</f>
        <v>273.36871416988186</v>
      </c>
      <c r="G154" s="1358">
        <f t="shared" si="65"/>
        <v>17.710699511019335</v>
      </c>
      <c r="H154" s="1358">
        <f t="shared" si="65"/>
        <v>255.6580146588625</v>
      </c>
      <c r="I154" s="1323">
        <f t="shared" si="55"/>
        <v>0.93521314403222733</v>
      </c>
      <c r="J154" s="1358">
        <f t="shared" ref="J154:Q154" si="66">+J122+J132</f>
        <v>255.6580146588625</v>
      </c>
      <c r="K154" s="1358">
        <f t="shared" si="66"/>
        <v>148.28498231428051</v>
      </c>
      <c r="L154" s="1358">
        <f t="shared" si="66"/>
        <v>12.232015356283817</v>
      </c>
      <c r="M154" s="1358">
        <f t="shared" si="66"/>
        <v>78.193128959460836</v>
      </c>
      <c r="N154" s="1358">
        <f t="shared" si="66"/>
        <v>9.7613753802401604</v>
      </c>
      <c r="O154" s="1358">
        <f t="shared" si="66"/>
        <v>7.0052530059282994</v>
      </c>
      <c r="P154" s="1358">
        <f t="shared" si="66"/>
        <v>0.18125964266889311</v>
      </c>
      <c r="Q154" s="1358">
        <f t="shared" si="66"/>
        <v>0</v>
      </c>
      <c r="R154" s="1358"/>
      <c r="S154" s="1321"/>
      <c r="T154" s="1321"/>
      <c r="U154" s="1326"/>
      <c r="V154" s="1320" t="s">
        <v>5270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320" t="s">
        <v>4775</v>
      </c>
      <c r="B155" s="1321"/>
      <c r="C155" s="1322">
        <v>41</v>
      </c>
      <c r="D155" s="1320" t="s">
        <v>5240</v>
      </c>
      <c r="E155" s="1320" t="s">
        <v>4067</v>
      </c>
      <c r="F155" s="1358">
        <f t="shared" si="65"/>
        <v>14945.554128665908</v>
      </c>
      <c r="G155" s="1358">
        <f t="shared" si="65"/>
        <v>0</v>
      </c>
      <c r="H155" s="1358">
        <f t="shared" si="65"/>
        <v>14945.554128665908</v>
      </c>
      <c r="I155" s="1323">
        <f t="shared" si="55"/>
        <v>1</v>
      </c>
      <c r="J155" s="1358">
        <f t="shared" ref="J155:Q155" si="67">+J123+J133</f>
        <v>14945.554128665908</v>
      </c>
      <c r="K155" s="1358">
        <f t="shared" si="67"/>
        <v>9302.3521990449226</v>
      </c>
      <c r="L155" s="1358">
        <f t="shared" si="67"/>
        <v>661.60661924780038</v>
      </c>
      <c r="M155" s="1358">
        <f t="shared" si="67"/>
        <v>4429.8694057692665</v>
      </c>
      <c r="N155" s="1358">
        <f t="shared" si="67"/>
        <v>465.93319413402276</v>
      </c>
      <c r="O155" s="1358">
        <f t="shared" si="67"/>
        <v>3.181301080419388E-4</v>
      </c>
      <c r="P155" s="1358">
        <f t="shared" si="67"/>
        <v>85.792392339791192</v>
      </c>
      <c r="Q155" s="1358">
        <f t="shared" si="67"/>
        <v>0</v>
      </c>
      <c r="R155" s="1358"/>
      <c r="S155" s="1321"/>
      <c r="T155" s="1321"/>
      <c r="U155" s="1326"/>
      <c r="V155" s="1320" t="s">
        <v>5271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320" t="s">
        <v>4775</v>
      </c>
      <c r="B156" s="1321"/>
      <c r="C156" s="1322">
        <v>42</v>
      </c>
      <c r="D156" s="1320" t="s">
        <v>5241</v>
      </c>
      <c r="E156" s="1320" t="s">
        <v>4067</v>
      </c>
      <c r="F156" s="1358">
        <f t="shared" si="65"/>
        <v>348.69066960232243</v>
      </c>
      <c r="G156" s="1358">
        <f t="shared" si="65"/>
        <v>0</v>
      </c>
      <c r="H156" s="1358">
        <f t="shared" si="65"/>
        <v>348.69066960232243</v>
      </c>
      <c r="I156" s="1323">
        <f t="shared" si="55"/>
        <v>1</v>
      </c>
      <c r="J156" s="1358">
        <f t="shared" ref="J156:Q156" si="68">+J124+J134</f>
        <v>348.69066960232243</v>
      </c>
      <c r="K156" s="1358">
        <f t="shared" si="68"/>
        <v>254.41631044445109</v>
      </c>
      <c r="L156" s="1358">
        <f t="shared" si="68"/>
        <v>20.485562196409056</v>
      </c>
      <c r="M156" s="1358">
        <f t="shared" si="68"/>
        <v>72.52743349802563</v>
      </c>
      <c r="N156" s="1358">
        <f t="shared" si="68"/>
        <v>0</v>
      </c>
      <c r="O156" s="1358">
        <f t="shared" si="68"/>
        <v>0</v>
      </c>
      <c r="P156" s="1358">
        <f t="shared" si="68"/>
        <v>1.2613634634366437</v>
      </c>
      <c r="Q156" s="1358">
        <f t="shared" si="68"/>
        <v>0</v>
      </c>
      <c r="R156" s="1358"/>
      <c r="S156" s="1321"/>
      <c r="T156" s="1321"/>
      <c r="U156" s="1326"/>
      <c r="V156" s="1320" t="s">
        <v>5272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320" t="s">
        <v>4775</v>
      </c>
      <c r="B157" s="1321"/>
      <c r="C157" s="1322">
        <v>43</v>
      </c>
      <c r="D157" s="1320" t="s">
        <v>5242</v>
      </c>
      <c r="E157" s="1320" t="s">
        <v>4071</v>
      </c>
      <c r="F157" s="1358">
        <f>+F135</f>
        <v>216.09497132613194</v>
      </c>
      <c r="G157" s="1358">
        <f>+G135</f>
        <v>0</v>
      </c>
      <c r="H157" s="1358">
        <f>+H135</f>
        <v>216.09497132613194</v>
      </c>
      <c r="I157" s="1323">
        <f t="shared" si="55"/>
        <v>1</v>
      </c>
      <c r="J157" s="1358">
        <f t="shared" ref="J157:Q157" si="69">+J135</f>
        <v>216.09497132613194</v>
      </c>
      <c r="K157" s="1358">
        <f t="shared" si="69"/>
        <v>79.664863621095478</v>
      </c>
      <c r="L157" s="1358">
        <f t="shared" si="69"/>
        <v>12.084112331790104</v>
      </c>
      <c r="M157" s="1358">
        <f t="shared" si="69"/>
        <v>5.8257414082708596</v>
      </c>
      <c r="N157" s="1358">
        <f t="shared" si="69"/>
        <v>0.37555724350818143</v>
      </c>
      <c r="O157" s="1358">
        <f t="shared" si="69"/>
        <v>0.40974871785588124</v>
      </c>
      <c r="P157" s="1358">
        <f t="shared" si="69"/>
        <v>9.4042220502395357E-2</v>
      </c>
      <c r="Q157" s="1358">
        <f t="shared" si="69"/>
        <v>117.64090578310908</v>
      </c>
      <c r="R157" s="1358"/>
      <c r="S157" s="1321"/>
      <c r="T157" s="1321"/>
      <c r="U157" s="1326"/>
      <c r="V157" s="1320" t="s">
        <v>5273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320" t="s">
        <v>4775</v>
      </c>
      <c r="B158" s="1321"/>
      <c r="C158" s="1322">
        <v>44</v>
      </c>
      <c r="D158" s="1320" t="s">
        <v>5244</v>
      </c>
      <c r="E158" s="1320" t="s">
        <v>4071</v>
      </c>
      <c r="F158" s="1350">
        <f>+F117+F136</f>
        <v>21497.128382830353</v>
      </c>
      <c r="G158" s="1350">
        <f>+G117+G136</f>
        <v>0</v>
      </c>
      <c r="H158" s="1350">
        <f>+H117+H136</f>
        <v>21497.128382830353</v>
      </c>
      <c r="I158" s="1323">
        <f t="shared" si="55"/>
        <v>1</v>
      </c>
      <c r="J158" s="1350">
        <f t="shared" ref="J158:Q158" si="70">+J117+J136</f>
        <v>21497.128382830353</v>
      </c>
      <c r="K158" s="1350">
        <f t="shared" si="70"/>
        <v>19178.418704941017</v>
      </c>
      <c r="L158" s="1350">
        <f t="shared" si="70"/>
        <v>1858.7024168937448</v>
      </c>
      <c r="M158" s="1350">
        <f t="shared" si="70"/>
        <v>454.56569322625199</v>
      </c>
      <c r="N158" s="1350">
        <f t="shared" si="70"/>
        <v>3.7671811553707593E-3</v>
      </c>
      <c r="O158" s="1350">
        <f t="shared" si="70"/>
        <v>6.683708501464251E-4</v>
      </c>
      <c r="P158" s="1350">
        <f t="shared" si="70"/>
        <v>5.4371322173328691</v>
      </c>
      <c r="Q158" s="1350">
        <f t="shared" si="70"/>
        <v>0</v>
      </c>
      <c r="R158" s="1358"/>
      <c r="S158" s="1321"/>
      <c r="T158" s="1321"/>
      <c r="U158" s="1326"/>
      <c r="V158" s="1320" t="s">
        <v>5274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320" t="s">
        <v>4775</v>
      </c>
      <c r="C159" s="1322">
        <v>45</v>
      </c>
      <c r="G159" s="1320"/>
      <c r="I159" s="1323" t="str">
        <f t="shared" si="55"/>
        <v/>
      </c>
      <c r="J159" s="1320"/>
      <c r="K159" s="1320"/>
      <c r="L159" s="1320"/>
      <c r="M159" s="1320"/>
      <c r="N159" s="1320"/>
      <c r="O159" s="1320"/>
      <c r="P159" s="1320"/>
      <c r="Q159" s="1320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320" t="s">
        <v>4775</v>
      </c>
      <c r="C160" s="1322">
        <v>46</v>
      </c>
      <c r="D160" s="1320" t="s">
        <v>5262</v>
      </c>
      <c r="F160" s="1423">
        <f>+SUM(F150:F158)</f>
        <v>1823092.9455249165</v>
      </c>
      <c r="G160" s="1423">
        <f>+SUM(G150:G158)</f>
        <v>8011.2948290062213</v>
      </c>
      <c r="H160" s="1423">
        <f>+SUM(H150:H158)</f>
        <v>1815081.6506959107</v>
      </c>
      <c r="I160" s="1323">
        <f>IF(F160=0,0,+H160/F160)</f>
        <v>0.99560565749065566</v>
      </c>
      <c r="J160" s="1423">
        <f t="shared" ref="J160:Q160" si="71">+SUM(J150:J158)</f>
        <v>1815081.6506959107</v>
      </c>
      <c r="K160" s="1423">
        <f t="shared" si="71"/>
        <v>1061894.3374643687</v>
      </c>
      <c r="L160" s="1423">
        <f t="shared" si="71"/>
        <v>97947.04846043617</v>
      </c>
      <c r="M160" s="1423">
        <f t="shared" si="71"/>
        <v>478628.74881301197</v>
      </c>
      <c r="N160" s="1423">
        <f t="shared" si="71"/>
        <v>56893.526178152795</v>
      </c>
      <c r="O160" s="1423">
        <f t="shared" si="71"/>
        <v>33219.709325883836</v>
      </c>
      <c r="P160" s="1423">
        <f t="shared" si="71"/>
        <v>3672.7934082736015</v>
      </c>
      <c r="Q160" s="1423">
        <f t="shared" si="71"/>
        <v>82825.487045783113</v>
      </c>
      <c r="R160" s="1358"/>
      <c r="V160" s="1320" t="s">
        <v>5275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G161" s="1320"/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G162" s="1320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G163" s="1320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G164" s="1320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G165" s="1320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1340" t="str">
        <f>+C$2</f>
        <v>RATES WITH REVENUE DEFICIENCY ADDITION</v>
      </c>
      <c r="F166" s="1333"/>
      <c r="G166" s="1327" t="s">
        <v>2173</v>
      </c>
      <c r="I166" s="1334" t="s">
        <v>4867</v>
      </c>
      <c r="L166" s="1329" t="s">
        <v>2173</v>
      </c>
      <c r="M166" s="1330"/>
      <c r="N166" s="1330"/>
      <c r="O166" s="1330"/>
      <c r="S166" s="1334" t="s">
        <v>4875</v>
      </c>
      <c r="T166" s="1333" t="s">
        <v>2173</v>
      </c>
      <c r="U166" s="1334"/>
      <c r="V166" s="1332" t="s">
        <v>4772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1340" t="str">
        <f>+C$3</f>
        <v>PROD. CAP. ALLOC. METHOD: 12 CP &amp; 1/13th AD</v>
      </c>
      <c r="G167" s="1336" t="s">
        <v>4768</v>
      </c>
      <c r="I167" s="1335" t="s">
        <v>5220</v>
      </c>
      <c r="L167" s="1336" t="s">
        <v>5141</v>
      </c>
      <c r="M167" s="1337"/>
      <c r="N167" s="1337"/>
      <c r="O167" s="1337"/>
      <c r="R167" s="1331"/>
      <c r="S167" s="1335" t="s">
        <v>5276</v>
      </c>
      <c r="T167" s="1333" t="s">
        <v>5141</v>
      </c>
      <c r="V167" s="1332" t="s">
        <v>4875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1340" t="str">
        <f>+C$4</f>
        <v>PROJECTED CALENDAR YEAR 2025; FULLY ADJUSTED DATA</v>
      </c>
      <c r="G168" s="1336" t="s">
        <v>2181</v>
      </c>
      <c r="L168" s="1336" t="s">
        <v>2181</v>
      </c>
      <c r="T168" s="1339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1340" t="str">
        <f>+C$5</f>
        <v>MINIMUM DISTRIBUTION SYSTEM (MDS) NOT EMPLOYED</v>
      </c>
      <c r="D169" s="1358"/>
      <c r="G169" s="1320"/>
      <c r="L169" s="1329"/>
      <c r="M169" s="1330"/>
      <c r="N169" s="1330"/>
      <c r="O169" s="1330"/>
      <c r="T169" s="1333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1340" t="str">
        <f>+C$6</f>
        <v>Tampa Electric 2025 OB Budget</v>
      </c>
      <c r="F170" s="1327"/>
      <c r="G170" s="1333" t="s">
        <v>5277</v>
      </c>
      <c r="L170" s="1336" t="s">
        <v>5277</v>
      </c>
      <c r="M170" s="1337"/>
      <c r="N170" s="1337"/>
      <c r="O170" s="1337"/>
      <c r="T170" s="1333" t="s">
        <v>5277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333"/>
      <c r="G171" s="1320"/>
      <c r="L171" s="1336"/>
      <c r="M171" s="1337"/>
      <c r="N171" s="1337"/>
      <c r="O171" s="1337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333"/>
      <c r="G172" s="1320"/>
      <c r="L172" s="1336"/>
      <c r="M172" s="1337"/>
      <c r="N172" s="1337"/>
      <c r="O172" s="1337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G173" s="1320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G174" s="1320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1418" t="s">
        <v>4683</v>
      </c>
      <c r="B175" s="1425" t="s">
        <v>5143</v>
      </c>
      <c r="C175" s="1349" t="s">
        <v>4297</v>
      </c>
      <c r="D175" s="1418"/>
      <c r="E175" s="1418"/>
      <c r="F175" s="1348" t="s">
        <v>5144</v>
      </c>
      <c r="G175" s="1348" t="s">
        <v>4956</v>
      </c>
      <c r="H175" s="1348" t="s">
        <v>4957</v>
      </c>
      <c r="I175" s="1426" t="s">
        <v>5145</v>
      </c>
      <c r="J175" s="1352" t="s">
        <v>4957</v>
      </c>
      <c r="K175" s="1353" t="s">
        <v>1949</v>
      </c>
      <c r="L175" s="1353" t="s">
        <v>1950</v>
      </c>
      <c r="M175" s="1354" t="s">
        <v>1934</v>
      </c>
      <c r="N175" s="1354" t="s">
        <v>1971</v>
      </c>
      <c r="O175" s="1354" t="s">
        <v>1972</v>
      </c>
      <c r="P175" s="1352" t="s">
        <v>5146</v>
      </c>
      <c r="Q175" s="1352" t="s">
        <v>5147</v>
      </c>
      <c r="R175" s="1355"/>
      <c r="S175" s="1348" t="s">
        <v>5143</v>
      </c>
      <c r="T175" s="1348"/>
      <c r="U175" s="1352"/>
      <c r="V175" s="1355" t="s">
        <v>4774</v>
      </c>
      <c r="W175" s="1350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G176" s="1320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320" t="s">
        <v>4682</v>
      </c>
      <c r="B177" s="1321"/>
      <c r="C177" s="1322">
        <v>1</v>
      </c>
      <c r="D177" s="1356" t="s">
        <v>5278</v>
      </c>
      <c r="G177" s="1320"/>
      <c r="S177" s="1321"/>
      <c r="T177" s="1321"/>
      <c r="U177" s="1326"/>
      <c r="W177" s="1321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320" t="s">
        <v>4682</v>
      </c>
      <c r="B178" s="1320">
        <v>202</v>
      </c>
      <c r="C178" s="1322">
        <v>2</v>
      </c>
      <c r="D178" s="1320" t="s">
        <v>5279</v>
      </c>
      <c r="E178" s="1320" t="s">
        <v>4067</v>
      </c>
      <c r="F178" s="1320">
        <f>+'Allocation Assignment'!F35+'Allocation Assignment'!F37</f>
        <v>0</v>
      </c>
      <c r="G178" s="1358">
        <f>+$F178*$G$1972</f>
        <v>0</v>
      </c>
      <c r="H178" s="1358">
        <f>+$F178*$H$1972</f>
        <v>0</v>
      </c>
      <c r="I178" s="1323">
        <f>IF(F178=0,0,+H178/F178)</f>
        <v>0</v>
      </c>
      <c r="J178" s="1364">
        <f>+H178</f>
        <v>0</v>
      </c>
      <c r="K178" s="1364">
        <f t="shared" ref="K178:Q180" si="72">+$J178*K$1969</f>
        <v>0</v>
      </c>
      <c r="L178" s="1364">
        <f t="shared" si="72"/>
        <v>0</v>
      </c>
      <c r="M178" s="1364">
        <f t="shared" si="72"/>
        <v>0</v>
      </c>
      <c r="N178" s="1364">
        <f t="shared" si="72"/>
        <v>0</v>
      </c>
      <c r="O178" s="1364">
        <f t="shared" si="72"/>
        <v>0</v>
      </c>
      <c r="P178" s="1364">
        <f t="shared" si="72"/>
        <v>0</v>
      </c>
      <c r="Q178" s="1364">
        <f t="shared" si="72"/>
        <v>0</v>
      </c>
      <c r="R178" s="1358"/>
      <c r="S178" s="1320">
        <v>201</v>
      </c>
      <c r="V178" s="1321" t="s">
        <v>5235</v>
      </c>
      <c r="W178" s="1321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320" t="s">
        <v>4682</v>
      </c>
      <c r="B179" s="1320">
        <v>202</v>
      </c>
      <c r="C179" s="1322">
        <v>3</v>
      </c>
      <c r="D179" s="1320" t="s">
        <v>4805</v>
      </c>
      <c r="E179" s="1320" t="s">
        <v>2067</v>
      </c>
      <c r="F179" s="1320">
        <f>+'Allocation Assignment'!F36</f>
        <v>0</v>
      </c>
      <c r="G179" s="1358">
        <f>+$F179*$G$1972</f>
        <v>0</v>
      </c>
      <c r="H179" s="1358">
        <f>+$F179*$H$1972</f>
        <v>0</v>
      </c>
      <c r="I179" s="1323">
        <f>IF(F179=0,0,+H179/F179)</f>
        <v>0</v>
      </c>
      <c r="J179" s="1364">
        <f>+H179</f>
        <v>0</v>
      </c>
      <c r="K179" s="1364">
        <f t="shared" si="72"/>
        <v>0</v>
      </c>
      <c r="L179" s="1364">
        <f t="shared" si="72"/>
        <v>0</v>
      </c>
      <c r="M179" s="1364">
        <f t="shared" si="72"/>
        <v>0</v>
      </c>
      <c r="N179" s="1364">
        <f t="shared" si="72"/>
        <v>0</v>
      </c>
      <c r="O179" s="1364">
        <f t="shared" si="72"/>
        <v>0</v>
      </c>
      <c r="P179" s="1364">
        <f t="shared" si="72"/>
        <v>0</v>
      </c>
      <c r="Q179" s="1364">
        <f t="shared" si="72"/>
        <v>0</v>
      </c>
      <c r="R179" s="1358"/>
      <c r="S179" s="1320">
        <v>201</v>
      </c>
      <c r="V179" s="1321" t="s">
        <v>5235</v>
      </c>
      <c r="W179" s="1321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320" t="s">
        <v>4682</v>
      </c>
      <c r="B180" s="1320">
        <v>202</v>
      </c>
      <c r="C180" s="1322">
        <v>4</v>
      </c>
      <c r="D180" s="1320" t="s">
        <v>4808</v>
      </c>
      <c r="E180" s="1320" t="s">
        <v>2067</v>
      </c>
      <c r="F180" s="1320">
        <f>+'Allocation Assignment'!F38</f>
        <v>0</v>
      </c>
      <c r="G180" s="1358">
        <f>+$F180*$G$1972</f>
        <v>0</v>
      </c>
      <c r="H180" s="1358">
        <f>+$F180*$H$1972</f>
        <v>0</v>
      </c>
      <c r="I180" s="1323">
        <f>IF(F180=0,0,+H180/F180)</f>
        <v>0</v>
      </c>
      <c r="J180" s="1364">
        <f>+H180</f>
        <v>0</v>
      </c>
      <c r="K180" s="1364">
        <f t="shared" si="72"/>
        <v>0</v>
      </c>
      <c r="L180" s="1364">
        <f t="shared" si="72"/>
        <v>0</v>
      </c>
      <c r="M180" s="1364">
        <f t="shared" si="72"/>
        <v>0</v>
      </c>
      <c r="N180" s="1364">
        <f t="shared" si="72"/>
        <v>0</v>
      </c>
      <c r="O180" s="1364">
        <f t="shared" si="72"/>
        <v>0</v>
      </c>
      <c r="P180" s="1364">
        <f t="shared" si="72"/>
        <v>0</v>
      </c>
      <c r="Q180" s="1364">
        <f t="shared" si="72"/>
        <v>0</v>
      </c>
      <c r="R180" s="1358"/>
      <c r="S180" s="1320">
        <v>201</v>
      </c>
      <c r="V180" s="1321" t="s">
        <v>5235</v>
      </c>
      <c r="W180" s="1321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320" t="s">
        <v>4682</v>
      </c>
      <c r="B181" s="1321"/>
      <c r="C181" s="1322">
        <v>5</v>
      </c>
      <c r="G181" s="1320"/>
      <c r="M181" s="1324"/>
      <c r="P181" s="1325"/>
      <c r="S181" s="1321"/>
      <c r="T181" s="1321"/>
      <c r="U181" s="1326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320" t="s">
        <v>4682</v>
      </c>
      <c r="B182" s="1321">
        <v>205</v>
      </c>
      <c r="C182" s="1322">
        <v>6</v>
      </c>
      <c r="D182" s="1320" t="s">
        <v>4811</v>
      </c>
      <c r="E182" s="1320" t="s">
        <v>4067</v>
      </c>
      <c r="F182" s="1320">
        <f>+'Allocation Assignment'!F40</f>
        <v>0</v>
      </c>
      <c r="G182" s="1358">
        <f>+$F182*G$1978</f>
        <v>0</v>
      </c>
      <c r="H182" s="1358">
        <f>+$F182*H$1978</f>
        <v>0</v>
      </c>
      <c r="I182" s="1323">
        <f>IF(F182=0,0,+H182/F182)</f>
        <v>0</v>
      </c>
      <c r="J182" s="1324">
        <f>H182</f>
        <v>0</v>
      </c>
      <c r="K182" s="1324">
        <f t="shared" ref="K182:Q182" si="73">$J182*K$1951</f>
        <v>0</v>
      </c>
      <c r="L182" s="1324">
        <f t="shared" si="73"/>
        <v>0</v>
      </c>
      <c r="M182" s="1324">
        <f t="shared" si="73"/>
        <v>0</v>
      </c>
      <c r="N182" s="1324">
        <f t="shared" si="73"/>
        <v>0</v>
      </c>
      <c r="O182" s="1324">
        <f t="shared" si="73"/>
        <v>0</v>
      </c>
      <c r="P182" s="1324">
        <f t="shared" si="73"/>
        <v>0</v>
      </c>
      <c r="Q182" s="1324">
        <f t="shared" si="73"/>
        <v>0</v>
      </c>
      <c r="R182" s="1324"/>
      <c r="S182" s="1324">
        <v>122</v>
      </c>
      <c r="T182" s="1321"/>
      <c r="U182" s="1326"/>
      <c r="V182" s="1321" t="s">
        <v>9476</v>
      </c>
      <c r="W182" s="1321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320" t="s">
        <v>4682</v>
      </c>
      <c r="B183" s="1321">
        <v>205</v>
      </c>
      <c r="C183" s="1322">
        <v>7</v>
      </c>
      <c r="D183" s="1320" t="s">
        <v>5280</v>
      </c>
      <c r="E183" s="1320" t="s">
        <v>2067</v>
      </c>
      <c r="F183" s="1320">
        <f>+'Allocation Assignment'!F39+'Allocation Assignment'!F41</f>
        <v>626.46090775325297</v>
      </c>
      <c r="G183" s="1358">
        <f>+$F183*G$1978</f>
        <v>0</v>
      </c>
      <c r="H183" s="1358">
        <f>+$F183*H$1978</f>
        <v>626.46090775325297</v>
      </c>
      <c r="I183" s="1323">
        <f>IF(F183=0,0,+H183/F183)</f>
        <v>1</v>
      </c>
      <c r="J183" s="1324">
        <f>H183</f>
        <v>626.46090775325297</v>
      </c>
      <c r="K183" s="1364">
        <f t="shared" ref="K183:Q183" si="74">+$J183*K$1969</f>
        <v>316.13358975594224</v>
      </c>
      <c r="L183" s="1364">
        <f t="shared" si="74"/>
        <v>29.214444451259041</v>
      </c>
      <c r="M183" s="1364">
        <f t="shared" si="74"/>
        <v>217.63626389760336</v>
      </c>
      <c r="N183" s="1364">
        <f t="shared" si="74"/>
        <v>34.64419389080566</v>
      </c>
      <c r="O183" s="1364">
        <f t="shared" si="74"/>
        <v>25.522788671559834</v>
      </c>
      <c r="P183" s="1364">
        <f t="shared" si="74"/>
        <v>3.3096270860828403</v>
      </c>
      <c r="Q183" s="1364">
        <f t="shared" si="74"/>
        <v>0</v>
      </c>
      <c r="R183" s="1324"/>
      <c r="S183" s="1324">
        <v>201</v>
      </c>
      <c r="T183" s="1321"/>
      <c r="U183" s="1326"/>
      <c r="V183" s="1321" t="s">
        <v>5235</v>
      </c>
      <c r="W183" s="1321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320" t="s">
        <v>4682</v>
      </c>
      <c r="B184" s="1321"/>
      <c r="C184" s="1322">
        <v>8</v>
      </c>
      <c r="G184" s="1320"/>
      <c r="M184" s="1324"/>
      <c r="P184" s="1325"/>
      <c r="R184" s="1324"/>
      <c r="S184" s="1326"/>
      <c r="T184" s="1321"/>
      <c r="U184" s="1326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320" t="s">
        <v>4682</v>
      </c>
      <c r="B185" s="1321"/>
      <c r="C185" s="1322">
        <v>9</v>
      </c>
      <c r="D185" s="1320" t="s">
        <v>4813</v>
      </c>
      <c r="E185" s="1320" t="s">
        <v>4067</v>
      </c>
      <c r="F185" s="1320">
        <f>+F178+F182</f>
        <v>0</v>
      </c>
      <c r="G185" s="1320">
        <f>+G178+G182</f>
        <v>0</v>
      </c>
      <c r="H185" s="1320">
        <f>+H178+H182</f>
        <v>0</v>
      </c>
      <c r="I185" s="1323">
        <f>IF(F185=0,0,+H185/F185)</f>
        <v>0</v>
      </c>
      <c r="J185" s="1324">
        <f>+H185</f>
        <v>0</v>
      </c>
      <c r="K185" s="1324">
        <f t="shared" ref="K185:Q185" si="75">K178+K182</f>
        <v>0</v>
      </c>
      <c r="L185" s="1324">
        <f t="shared" si="75"/>
        <v>0</v>
      </c>
      <c r="M185" s="1324">
        <f>M178+M182</f>
        <v>0</v>
      </c>
      <c r="N185" s="1324">
        <f t="shared" si="75"/>
        <v>0</v>
      </c>
      <c r="O185" s="1324">
        <f>O178+O182</f>
        <v>0</v>
      </c>
      <c r="P185" s="1324">
        <f>P178+P182</f>
        <v>0</v>
      </c>
      <c r="Q185" s="1324">
        <f t="shared" si="75"/>
        <v>0</v>
      </c>
      <c r="R185" s="1324"/>
      <c r="S185" s="1326"/>
      <c r="T185" s="1321"/>
      <c r="U185" s="1326"/>
      <c r="V185" s="1320" t="s">
        <v>5281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320" t="s">
        <v>4682</v>
      </c>
      <c r="B186" s="1321"/>
      <c r="C186" s="1322">
        <v>10</v>
      </c>
      <c r="D186" s="1320" t="s">
        <v>4814</v>
      </c>
      <c r="E186" s="1320" t="s">
        <v>2067</v>
      </c>
      <c r="F186" s="1350">
        <f>+F179+F180+F183</f>
        <v>626.46090775325297</v>
      </c>
      <c r="G186" s="1350">
        <f>+G179+G180+G183</f>
        <v>0</v>
      </c>
      <c r="H186" s="1350">
        <f>+H179+H180+H183</f>
        <v>626.46090775325297</v>
      </c>
      <c r="I186" s="1323">
        <f>IF(F186=0,0,+H186/F186)</f>
        <v>1</v>
      </c>
      <c r="J186" s="1366">
        <f>+H186</f>
        <v>626.46090775325297</v>
      </c>
      <c r="K186" s="1366">
        <f t="shared" ref="K186:Q186" si="76">K179+K180+K183</f>
        <v>316.13358975594224</v>
      </c>
      <c r="L186" s="1366">
        <f t="shared" si="76"/>
        <v>29.214444451259041</v>
      </c>
      <c r="M186" s="1366">
        <f t="shared" si="76"/>
        <v>217.63626389760336</v>
      </c>
      <c r="N186" s="1366">
        <f t="shared" si="76"/>
        <v>34.64419389080566</v>
      </c>
      <c r="O186" s="1366">
        <f>O179+O180+O183</f>
        <v>25.522788671559834</v>
      </c>
      <c r="P186" s="1366">
        <f>P179+P180+P183</f>
        <v>3.3096270860828403</v>
      </c>
      <c r="Q186" s="1366">
        <f t="shared" si="76"/>
        <v>0</v>
      </c>
      <c r="R186" s="1364"/>
      <c r="S186" s="1326"/>
      <c r="T186" s="1321"/>
      <c r="U186" s="1326"/>
      <c r="V186" s="1320" t="s">
        <v>5282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320" t="s">
        <v>4682</v>
      </c>
      <c r="B187" s="1321"/>
      <c r="C187" s="1322">
        <v>11</v>
      </c>
      <c r="D187" s="1320" t="s">
        <v>5283</v>
      </c>
      <c r="F187" s="1427">
        <f>SUM(F185:F186)</f>
        <v>626.46090775325297</v>
      </c>
      <c r="G187" s="1427">
        <f>SUM(G185:G186)</f>
        <v>0</v>
      </c>
      <c r="H187" s="1427">
        <f>SUM(H185:H186)</f>
        <v>626.46090775325297</v>
      </c>
      <c r="I187" s="1323">
        <f>IF(F187=0,0,+H187/F187)</f>
        <v>1</v>
      </c>
      <c r="J187" s="1421">
        <f t="shared" ref="J187:Q187" si="77">SUM(J185:J186)</f>
        <v>626.46090775325297</v>
      </c>
      <c r="K187" s="1421">
        <f t="shared" si="77"/>
        <v>316.13358975594224</v>
      </c>
      <c r="L187" s="1421">
        <f t="shared" si="77"/>
        <v>29.214444451259041</v>
      </c>
      <c r="M187" s="1421">
        <f t="shared" si="77"/>
        <v>217.63626389760336</v>
      </c>
      <c r="N187" s="1422">
        <f t="shared" si="77"/>
        <v>34.64419389080566</v>
      </c>
      <c r="O187" s="1422">
        <f>SUM(O185:O186)</f>
        <v>25.522788671559834</v>
      </c>
      <c r="P187" s="1422">
        <f>SUM(P185:P186)</f>
        <v>3.3096270860828403</v>
      </c>
      <c r="Q187" s="1421">
        <f t="shared" si="77"/>
        <v>0</v>
      </c>
      <c r="R187" s="1364"/>
      <c r="S187" s="1326"/>
      <c r="T187" s="1321"/>
      <c r="U187" s="1326"/>
      <c r="V187" s="1320" t="s">
        <v>5284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320" t="s">
        <v>4682</v>
      </c>
      <c r="B188" s="1321"/>
      <c r="C188" s="1322">
        <v>12</v>
      </c>
      <c r="G188" s="1320"/>
      <c r="R188" s="1324"/>
      <c r="S188" s="1326"/>
      <c r="T188" s="1321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320" t="s">
        <v>4682</v>
      </c>
      <c r="B189" s="1321"/>
      <c r="C189" s="1322">
        <v>13</v>
      </c>
      <c r="G189" s="1320"/>
      <c r="R189" s="1324"/>
      <c r="S189" s="1326"/>
      <c r="T189" s="1321"/>
      <c r="U189" s="1326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320" t="s">
        <v>4682</v>
      </c>
      <c r="B190" s="1321"/>
      <c r="C190" s="1322">
        <v>14</v>
      </c>
      <c r="D190" s="1356" t="s">
        <v>5285</v>
      </c>
      <c r="G190" s="1320"/>
      <c r="R190" s="1324"/>
      <c r="S190" s="1326"/>
      <c r="T190" s="1321"/>
      <c r="U190" s="1326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320" t="s">
        <v>4682</v>
      </c>
      <c r="B191" s="1320">
        <v>101</v>
      </c>
      <c r="C191" s="1322">
        <v>15</v>
      </c>
      <c r="D191" s="1320" t="s">
        <v>4813</v>
      </c>
      <c r="E191" s="1320" t="s">
        <v>4067</v>
      </c>
      <c r="F191" s="1320">
        <f>+'Allocation Assignment'!F42+'Allocation Assignment'!F44</f>
        <v>95092.072680275</v>
      </c>
      <c r="G191" s="1358">
        <f>+$F191*G$1933</f>
        <v>0</v>
      </c>
      <c r="H191" s="1358">
        <f>+$F191*H$1933</f>
        <v>95092.072680275</v>
      </c>
      <c r="I191" s="1323">
        <f>IF(F191=0,0,+H191/F191)</f>
        <v>1</v>
      </c>
      <c r="J191" s="1364">
        <f>+H191</f>
        <v>95092.072680275</v>
      </c>
      <c r="K191" s="1324">
        <f t="shared" ref="K191:Q191" si="78">$J191*K$1951</f>
        <v>54603.262817020477</v>
      </c>
      <c r="L191" s="1324">
        <f t="shared" si="78"/>
        <v>4540.8425930489993</v>
      </c>
      <c r="M191" s="1324">
        <f t="shared" si="78"/>
        <v>29387.926023478893</v>
      </c>
      <c r="N191" s="1324">
        <f t="shared" si="78"/>
        <v>3755.9758409477913</v>
      </c>
      <c r="O191" s="1324">
        <f t="shared" si="78"/>
        <v>2703.1875967451115</v>
      </c>
      <c r="P191" s="1324">
        <f t="shared" si="78"/>
        <v>100.87780903373125</v>
      </c>
      <c r="Q191" s="1324">
        <f t="shared" si="78"/>
        <v>0</v>
      </c>
      <c r="R191" s="1324"/>
      <c r="S191" s="1324">
        <v>122</v>
      </c>
      <c r="V191" s="1321" t="s">
        <v>9476</v>
      </c>
      <c r="W191" s="1321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s="1324" customFormat="1" ht="14.4">
      <c r="A192" s="1324" t="s">
        <v>4682</v>
      </c>
      <c r="B192" s="1324">
        <v>101</v>
      </c>
      <c r="C192" s="1393">
        <v>16</v>
      </c>
      <c r="D192" s="1324" t="s">
        <v>5286</v>
      </c>
      <c r="E192" s="1324" t="s">
        <v>4067</v>
      </c>
      <c r="F192" s="1324">
        <f>+'Allocation Assignment'!F45</f>
        <v>0</v>
      </c>
      <c r="G192" s="1364">
        <f>+$F192*G$1933</f>
        <v>0</v>
      </c>
      <c r="H192" s="1364">
        <f>+$F192*H$1933</f>
        <v>0</v>
      </c>
      <c r="I192" s="1374">
        <f>IF(F192=0,0,+H192/F192)</f>
        <v>0</v>
      </c>
      <c r="J192" s="1364">
        <f>+H192</f>
        <v>0</v>
      </c>
      <c r="K192" s="1324">
        <f t="shared" ref="K192:Q192" si="79">$J192*K$1948</f>
        <v>0</v>
      </c>
      <c r="L192" s="1324">
        <f t="shared" si="79"/>
        <v>0</v>
      </c>
      <c r="M192" s="1324">
        <f t="shared" si="79"/>
        <v>0</v>
      </c>
      <c r="N192" s="1324">
        <f t="shared" si="79"/>
        <v>0</v>
      </c>
      <c r="O192" s="1324">
        <f t="shared" si="79"/>
        <v>0</v>
      </c>
      <c r="P192" s="1324">
        <f t="shared" si="79"/>
        <v>0</v>
      </c>
      <c r="Q192" s="1324">
        <f t="shared" si="79"/>
        <v>0</v>
      </c>
      <c r="S192" s="1324">
        <v>121</v>
      </c>
      <c r="V192" s="1326" t="s">
        <v>5287</v>
      </c>
      <c r="W192" s="1326">
        <v>121</v>
      </c>
      <c r="AA192" s="1320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320" t="s">
        <v>4682</v>
      </c>
      <c r="B193" s="1324">
        <v>201</v>
      </c>
      <c r="C193" s="1322">
        <v>17</v>
      </c>
      <c r="D193" s="1320" t="s">
        <v>4814</v>
      </c>
      <c r="E193" s="1320" t="s">
        <v>2067</v>
      </c>
      <c r="F193" s="1350">
        <f>+'Allocation Assignment'!F43+'Allocation Assignment'!F46</f>
        <v>29310.186608764699</v>
      </c>
      <c r="G193" s="1358">
        <f>+$F193*G$1969</f>
        <v>0</v>
      </c>
      <c r="H193" s="1358">
        <f>+$F193*H$1969</f>
        <v>29310.186608764699</v>
      </c>
      <c r="I193" s="1323">
        <f>IF(F193=0,0,+H193/F193)</f>
        <v>1</v>
      </c>
      <c r="J193" s="1364">
        <f>+H193</f>
        <v>29310.186608764699</v>
      </c>
      <c r="K193" s="1364">
        <f t="shared" ref="K193:Q193" si="80">+$J193*K$1969</f>
        <v>14790.92213794599</v>
      </c>
      <c r="L193" s="1364">
        <f t="shared" si="80"/>
        <v>1366.8543526662643</v>
      </c>
      <c r="M193" s="1364">
        <f t="shared" si="80"/>
        <v>10182.534023632365</v>
      </c>
      <c r="N193" s="1367">
        <f t="shared" si="80"/>
        <v>1620.8956940210085</v>
      </c>
      <c r="O193" s="1367">
        <f t="shared" si="80"/>
        <v>1194.1330887228053</v>
      </c>
      <c r="P193" s="1367">
        <f t="shared" si="80"/>
        <v>154.8473117762654</v>
      </c>
      <c r="Q193" s="1364">
        <f t="shared" si="80"/>
        <v>0</v>
      </c>
      <c r="R193" s="1364"/>
      <c r="S193" s="1324">
        <v>201</v>
      </c>
      <c r="V193" s="1321" t="s">
        <v>5235</v>
      </c>
      <c r="W193" s="1321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320" t="s">
        <v>4682</v>
      </c>
      <c r="B194" s="1321"/>
      <c r="C194" s="1322">
        <v>18</v>
      </c>
      <c r="D194" s="1320" t="s">
        <v>5288</v>
      </c>
      <c r="F194" s="1427">
        <f>SUM(F191:F193)</f>
        <v>124402.25928903971</v>
      </c>
      <c r="G194" s="1427">
        <f>SUM(G191:G193)</f>
        <v>0</v>
      </c>
      <c r="H194" s="1427">
        <f>SUM(H191:H193)</f>
        <v>124402.25928903971</v>
      </c>
      <c r="I194" s="1323">
        <f>IF(F194=0,0,+H194/F194)</f>
        <v>1</v>
      </c>
      <c r="J194" s="1421">
        <f t="shared" ref="J194:Q194" si="81">SUM(J191:J193)</f>
        <v>124402.25928903971</v>
      </c>
      <c r="K194" s="1421">
        <f t="shared" si="81"/>
        <v>69394.184954966462</v>
      </c>
      <c r="L194" s="1421">
        <f t="shared" si="81"/>
        <v>5907.6969457152636</v>
      </c>
      <c r="M194" s="1421">
        <f t="shared" si="81"/>
        <v>39570.460047111257</v>
      </c>
      <c r="N194" s="1422">
        <f t="shared" si="81"/>
        <v>5376.8715349688</v>
      </c>
      <c r="O194" s="1422">
        <f>SUM(O191:O193)</f>
        <v>3897.3206854679165</v>
      </c>
      <c r="P194" s="1422">
        <f>SUM(P191:P193)</f>
        <v>255.72512080999667</v>
      </c>
      <c r="Q194" s="1421">
        <f t="shared" si="81"/>
        <v>0</v>
      </c>
      <c r="R194" s="1364"/>
      <c r="S194" s="1326"/>
      <c r="T194" s="1321"/>
      <c r="U194" s="1326"/>
      <c r="V194" s="1320" t="s">
        <v>5289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320" t="s">
        <v>4682</v>
      </c>
      <c r="B195" s="1321"/>
      <c r="C195" s="1322">
        <v>19</v>
      </c>
      <c r="G195" s="1320"/>
      <c r="R195" s="1324"/>
      <c r="S195" s="1326"/>
      <c r="T195" s="1321"/>
      <c r="U195" s="1326"/>
    </row>
    <row r="196" spans="1:48">
      <c r="A196" s="1320" t="s">
        <v>4682</v>
      </c>
      <c r="B196" s="1321"/>
      <c r="C196" s="1322">
        <v>20</v>
      </c>
      <c r="G196" s="1320"/>
      <c r="R196" s="1324"/>
      <c r="S196" s="1326"/>
      <c r="T196" s="1321"/>
      <c r="U196" s="1326"/>
    </row>
    <row r="197" spans="1:48">
      <c r="A197" s="1320" t="s">
        <v>4682</v>
      </c>
      <c r="B197" s="1321"/>
      <c r="C197" s="1322">
        <v>21</v>
      </c>
      <c r="D197" s="1356" t="s">
        <v>5290</v>
      </c>
      <c r="G197" s="1320"/>
      <c r="R197" s="1324"/>
      <c r="S197" s="1326"/>
      <c r="T197" s="1321"/>
      <c r="U197" s="1326"/>
    </row>
    <row r="198" spans="1:48">
      <c r="A198" s="1320" t="s">
        <v>4682</v>
      </c>
      <c r="B198" s="1320">
        <v>101</v>
      </c>
      <c r="C198" s="1322">
        <v>22</v>
      </c>
      <c r="D198" s="1320" t="s">
        <v>5291</v>
      </c>
      <c r="E198" s="1320" t="s">
        <v>4067</v>
      </c>
      <c r="F198" s="1350">
        <f>+'Allocation Assignment'!F47</f>
        <v>3435.0487828274636</v>
      </c>
      <c r="G198" s="1350">
        <f>+$F198*G1933</f>
        <v>0</v>
      </c>
      <c r="H198" s="1350">
        <f>+$F198*H1933</f>
        <v>3435.0487828274636</v>
      </c>
      <c r="I198" s="1323">
        <f>IF(F198=0,0,+H198/F198)</f>
        <v>1</v>
      </c>
      <c r="J198" s="1366">
        <f>+H198</f>
        <v>3435.0487828274636</v>
      </c>
      <c r="K198" s="1366">
        <f t="shared" ref="K198:Q198" si="82">$J198*K$1951</f>
        <v>1972.4553918249064</v>
      </c>
      <c r="L198" s="1366">
        <f t="shared" si="82"/>
        <v>164.03066399350419</v>
      </c>
      <c r="M198" s="1366">
        <f t="shared" si="82"/>
        <v>1061.5917465191039</v>
      </c>
      <c r="N198" s="1366">
        <f t="shared" si="82"/>
        <v>135.67860997369269</v>
      </c>
      <c r="O198" s="1366">
        <f t="shared" si="82"/>
        <v>97.648321276729348</v>
      </c>
      <c r="P198" s="1366">
        <f t="shared" si="82"/>
        <v>3.6440492395271846</v>
      </c>
      <c r="Q198" s="1366">
        <f t="shared" si="82"/>
        <v>0</v>
      </c>
      <c r="R198" s="1324"/>
      <c r="S198" s="1324">
        <v>122</v>
      </c>
      <c r="V198" s="1321" t="s">
        <v>9476</v>
      </c>
      <c r="W198" s="1321">
        <v>122</v>
      </c>
    </row>
    <row r="199" spans="1:48">
      <c r="A199" s="1320" t="s">
        <v>4682</v>
      </c>
      <c r="B199" s="1321"/>
      <c r="C199" s="1322">
        <v>23</v>
      </c>
      <c r="G199" s="1320"/>
      <c r="M199" s="1324"/>
      <c r="P199" s="1325"/>
      <c r="R199" s="1324"/>
      <c r="S199" s="1326"/>
      <c r="T199" s="1321"/>
      <c r="U199" s="1326"/>
      <c r="W199" s="1321"/>
    </row>
    <row r="200" spans="1:48">
      <c r="A200" s="1320" t="s">
        <v>4682</v>
      </c>
      <c r="B200" s="1320">
        <v>117</v>
      </c>
      <c r="C200" s="1322">
        <v>24</v>
      </c>
      <c r="D200" s="1320" t="s">
        <v>5292</v>
      </c>
      <c r="E200" s="1320" t="s">
        <v>4067</v>
      </c>
      <c r="F200" s="1350">
        <f>+'Allocation Assignment'!F48</f>
        <v>2130.0112029296843</v>
      </c>
      <c r="G200" s="1350">
        <f>+$F200*G$1942</f>
        <v>137.99672901394752</v>
      </c>
      <c r="H200" s="1350">
        <f>+$F200*H$1942</f>
        <v>1992.0144739157365</v>
      </c>
      <c r="I200" s="1323">
        <f>IF(F200=0,0,+H200/F200)</f>
        <v>0.93521314403222733</v>
      </c>
      <c r="J200" s="1366">
        <f>+H200</f>
        <v>1992.0144739157365</v>
      </c>
      <c r="K200" s="1366">
        <f t="shared" ref="K200:Q200" si="83">+$J200*K$1945</f>
        <v>1155.394370986312</v>
      </c>
      <c r="L200" s="1366">
        <f t="shared" si="83"/>
        <v>95.308381657387812</v>
      </c>
      <c r="M200" s="1366">
        <f t="shared" si="83"/>
        <v>609.25860218325909</v>
      </c>
      <c r="N200" s="1378">
        <f t="shared" si="83"/>
        <v>76.057858263154046</v>
      </c>
      <c r="O200" s="1378">
        <f t="shared" si="83"/>
        <v>54.582937287810743</v>
      </c>
      <c r="P200" s="1378">
        <f t="shared" si="83"/>
        <v>1.41232353781291</v>
      </c>
      <c r="Q200" s="1366">
        <f t="shared" si="83"/>
        <v>0</v>
      </c>
      <c r="R200" s="1364"/>
      <c r="S200" s="1324">
        <v>118</v>
      </c>
      <c r="V200" s="1321" t="s">
        <v>9477</v>
      </c>
      <c r="W200" s="1321">
        <v>117</v>
      </c>
    </row>
    <row r="201" spans="1:48">
      <c r="A201" s="1320" t="s">
        <v>4682</v>
      </c>
      <c r="B201" s="1321"/>
      <c r="C201" s="1322">
        <v>25</v>
      </c>
      <c r="G201" s="1320"/>
      <c r="S201" s="1321"/>
      <c r="T201" s="1321"/>
      <c r="U201" s="1326"/>
    </row>
    <row r="202" spans="1:48">
      <c r="A202" s="1320" t="s">
        <v>4682</v>
      </c>
      <c r="B202" s="1321"/>
      <c r="C202" s="1322">
        <v>26</v>
      </c>
      <c r="D202" s="1320" t="s">
        <v>1953</v>
      </c>
      <c r="G202" s="1320"/>
      <c r="S202" s="1321"/>
      <c r="T202" s="1321"/>
      <c r="U202" s="1326"/>
    </row>
    <row r="203" spans="1:48">
      <c r="A203" s="1320" t="s">
        <v>4682</v>
      </c>
      <c r="B203" s="1320">
        <v>117</v>
      </c>
      <c r="C203" s="1322">
        <v>27</v>
      </c>
      <c r="D203" s="1320" t="s">
        <v>5293</v>
      </c>
      <c r="E203" s="1320" t="s">
        <v>4067</v>
      </c>
      <c r="F203" s="1358">
        <f>+'Allocation Assignment'!F49</f>
        <v>4395.4471926732531</v>
      </c>
      <c r="G203" s="1358">
        <f>+$F203*G$1942</f>
        <v>284.76720418567248</v>
      </c>
      <c r="H203" s="1358">
        <f>+$F203*H$1942</f>
        <v>4110.67998848758</v>
      </c>
      <c r="I203" s="1323">
        <f>IF(F203=0,0,+H203/F203)</f>
        <v>0.93521314403222722</v>
      </c>
      <c r="J203" s="1364">
        <f>+H203</f>
        <v>4110.67998848758</v>
      </c>
      <c r="K203" s="1364">
        <f t="shared" ref="K203:Q204" si="84">+$J203*K$1945</f>
        <v>2384.247997098405</v>
      </c>
      <c r="L203" s="1364">
        <f t="shared" si="84"/>
        <v>196.67641091182827</v>
      </c>
      <c r="M203" s="1364">
        <f t="shared" si="84"/>
        <v>1257.2534871624528</v>
      </c>
      <c r="N203" s="1367">
        <f t="shared" si="84"/>
        <v>156.95142782521637</v>
      </c>
      <c r="O203" s="1367">
        <f t="shared" si="84"/>
        <v>112.6362237623818</v>
      </c>
      <c r="P203" s="1367">
        <f t="shared" si="84"/>
        <v>2.9144417272959493</v>
      </c>
      <c r="Q203" s="1364">
        <f t="shared" si="84"/>
        <v>0</v>
      </c>
      <c r="R203" s="1358"/>
      <c r="S203" s="1320">
        <v>118</v>
      </c>
      <c r="V203" s="1321" t="s">
        <v>9477</v>
      </c>
      <c r="W203" s="1321">
        <v>117</v>
      </c>
    </row>
    <row r="204" spans="1:48">
      <c r="A204" s="1320" t="s">
        <v>4682</v>
      </c>
      <c r="B204" s="1320">
        <v>117</v>
      </c>
      <c r="C204" s="1322">
        <v>28</v>
      </c>
      <c r="D204" s="1320" t="s">
        <v>5294</v>
      </c>
      <c r="E204" s="1320" t="s">
        <v>4067</v>
      </c>
      <c r="F204" s="1358">
        <f>+'Allocation Assignment'!F50</f>
        <v>1579.0860305628878</v>
      </c>
      <c r="G204" s="1358">
        <f>+$F204*G$1942</f>
        <v>102.30401922279958</v>
      </c>
      <c r="H204" s="1358">
        <f>+$F204*H$1942</f>
        <v>1476.782011340088</v>
      </c>
      <c r="I204" s="1323">
        <f>IF(F204=0,0,+H204/F204)</f>
        <v>0.93521314403222733</v>
      </c>
      <c r="J204" s="1364">
        <f>+H204</f>
        <v>1476.782011340088</v>
      </c>
      <c r="K204" s="1364">
        <f t="shared" si="84"/>
        <v>856.55282399738121</v>
      </c>
      <c r="L204" s="1364">
        <f t="shared" si="84"/>
        <v>70.65696831253031</v>
      </c>
      <c r="M204" s="1364">
        <f t="shared" si="84"/>
        <v>451.67450123482564</v>
      </c>
      <c r="N204" s="1367">
        <f t="shared" si="84"/>
        <v>56.385572682757136</v>
      </c>
      <c r="O204" s="1367">
        <f t="shared" si="84"/>
        <v>40.465117582349841</v>
      </c>
      <c r="P204" s="1367">
        <f t="shared" si="84"/>
        <v>1.0470275302440017</v>
      </c>
      <c r="Q204" s="1364">
        <f t="shared" si="84"/>
        <v>0</v>
      </c>
      <c r="R204" s="1358"/>
      <c r="S204" s="1320">
        <v>118</v>
      </c>
      <c r="V204" s="1321" t="s">
        <v>9477</v>
      </c>
      <c r="W204" s="1321">
        <v>117</v>
      </c>
    </row>
    <row r="205" spans="1:48">
      <c r="A205" s="1320" t="s">
        <v>4682</v>
      </c>
      <c r="B205" s="1321"/>
      <c r="C205" s="1322">
        <v>29</v>
      </c>
      <c r="D205" s="1320" t="s">
        <v>1953</v>
      </c>
      <c r="F205" s="1427">
        <f>SUM(F203:F204)</f>
        <v>5974.5332232361407</v>
      </c>
      <c r="G205" s="1427">
        <f>SUM(G203:G204)</f>
        <v>387.07122340847206</v>
      </c>
      <c r="H205" s="1427">
        <f>SUM(H203:H204)</f>
        <v>5587.4619998276685</v>
      </c>
      <c r="I205" s="1323">
        <f>IF(F205=0,0,+H205/F205)</f>
        <v>0.93521314403222733</v>
      </c>
      <c r="J205" s="1421">
        <f t="shared" ref="J205:Q205" si="85">SUM(J203:J204)</f>
        <v>5587.4619998276685</v>
      </c>
      <c r="K205" s="1421">
        <f t="shared" si="85"/>
        <v>3240.800821095786</v>
      </c>
      <c r="L205" s="1421">
        <f t="shared" si="85"/>
        <v>267.33337922435857</v>
      </c>
      <c r="M205" s="1421">
        <f t="shared" si="85"/>
        <v>1708.9279883972783</v>
      </c>
      <c r="N205" s="1422">
        <f t="shared" si="85"/>
        <v>213.3370005079735</v>
      </c>
      <c r="O205" s="1422">
        <f>SUM(O203:O204)</f>
        <v>153.10134134473165</v>
      </c>
      <c r="P205" s="1422">
        <f>SUM(P203:P204)</f>
        <v>3.9614692575399513</v>
      </c>
      <c r="Q205" s="1421">
        <f t="shared" si="85"/>
        <v>0</v>
      </c>
      <c r="R205" s="1358"/>
      <c r="S205" s="1321"/>
      <c r="T205" s="1321"/>
      <c r="U205" s="1326"/>
      <c r="V205" s="1320" t="s">
        <v>5295</v>
      </c>
    </row>
    <row r="206" spans="1:48">
      <c r="A206" s="1320" t="s">
        <v>4682</v>
      </c>
      <c r="C206" s="1322">
        <v>30</v>
      </c>
      <c r="G206" s="1320"/>
      <c r="M206" s="1324"/>
      <c r="P206" s="1325"/>
    </row>
    <row r="207" spans="1:48">
      <c r="A207" s="1320" t="s">
        <v>4682</v>
      </c>
      <c r="C207" s="1322">
        <v>31</v>
      </c>
      <c r="D207" s="1320" t="s">
        <v>5296</v>
      </c>
      <c r="F207" s="1350">
        <f>F198+F200+F205</f>
        <v>11539.593208993288</v>
      </c>
      <c r="G207" s="1350">
        <f>G198+G200+G205</f>
        <v>525.06795242241958</v>
      </c>
      <c r="H207" s="1350">
        <f>H198+H200+H205</f>
        <v>11014.525256570869</v>
      </c>
      <c r="I207" s="1323">
        <f>IF(F207=0,0,+H207/F207)</f>
        <v>0.95449857348409717</v>
      </c>
      <c r="J207" s="1366">
        <f t="shared" ref="J207:Q207" si="86">J198+J200+J205</f>
        <v>11014.525256570869</v>
      </c>
      <c r="K207" s="1366">
        <f t="shared" si="86"/>
        <v>6368.6505839070041</v>
      </c>
      <c r="L207" s="1366">
        <f t="shared" si="86"/>
        <v>526.6724248752505</v>
      </c>
      <c r="M207" s="1366">
        <f t="shared" si="86"/>
        <v>3379.7783370996412</v>
      </c>
      <c r="N207" s="1366">
        <f t="shared" si="86"/>
        <v>425.07346874482027</v>
      </c>
      <c r="O207" s="1366">
        <f>O198+O200+O205</f>
        <v>305.33259990927172</v>
      </c>
      <c r="P207" s="1366">
        <f>P198+P200+P205</f>
        <v>9.0178420348800454</v>
      </c>
      <c r="Q207" s="1366">
        <f t="shared" si="86"/>
        <v>0</v>
      </c>
      <c r="V207" s="1320" t="s">
        <v>5297</v>
      </c>
    </row>
    <row r="208" spans="1:48">
      <c r="G208" s="1320"/>
    </row>
    <row r="209" spans="1:23">
      <c r="G209" s="1320"/>
    </row>
    <row r="210" spans="1:23">
      <c r="G210" s="1320"/>
    </row>
    <row r="211" spans="1:23">
      <c r="G211" s="1320"/>
    </row>
    <row r="212" spans="1:23">
      <c r="G212" s="1320"/>
    </row>
    <row r="213" spans="1:23">
      <c r="C213" s="1340" t="str">
        <f>+C$2</f>
        <v>RATES WITH REVENUE DEFICIENCY ADDITION</v>
      </c>
      <c r="F213" s="1333"/>
      <c r="G213" s="1327" t="s">
        <v>2173</v>
      </c>
      <c r="I213" s="1334" t="s">
        <v>4875</v>
      </c>
      <c r="L213" s="1329" t="s">
        <v>2173</v>
      </c>
      <c r="M213" s="1330"/>
      <c r="N213" s="1330"/>
      <c r="O213" s="1330"/>
      <c r="S213" s="1334" t="s">
        <v>4882</v>
      </c>
      <c r="T213" s="1333" t="s">
        <v>2173</v>
      </c>
      <c r="U213" s="1334"/>
      <c r="V213" s="1332" t="s">
        <v>4772</v>
      </c>
    </row>
    <row r="214" spans="1:23">
      <c r="C214" s="1340" t="str">
        <f>+C$3</f>
        <v>PROD. CAP. ALLOC. METHOD: 12 CP &amp; 1/13th AD</v>
      </c>
      <c r="G214" s="1336" t="s">
        <v>4768</v>
      </c>
      <c r="I214" s="1335" t="s">
        <v>5276</v>
      </c>
      <c r="L214" s="1336" t="s">
        <v>5141</v>
      </c>
      <c r="M214" s="1337"/>
      <c r="N214" s="1337"/>
      <c r="O214" s="1337"/>
      <c r="R214" s="1331"/>
      <c r="S214" s="1335" t="s">
        <v>5298</v>
      </c>
      <c r="T214" s="1333" t="s">
        <v>5141</v>
      </c>
      <c r="V214" s="1332" t="s">
        <v>4882</v>
      </c>
    </row>
    <row r="215" spans="1:23">
      <c r="C215" s="1340" t="str">
        <f>+C$4</f>
        <v>PROJECTED CALENDAR YEAR 2025; FULLY ADJUSTED DATA</v>
      </c>
      <c r="G215" s="1336" t="s">
        <v>2181</v>
      </c>
      <c r="L215" s="1336" t="s">
        <v>2181</v>
      </c>
      <c r="T215" s="1339"/>
    </row>
    <row r="216" spans="1:23">
      <c r="C216" s="1340" t="str">
        <f>+C$5</f>
        <v>MINIMUM DISTRIBUTION SYSTEM (MDS) NOT EMPLOYED</v>
      </c>
      <c r="D216" s="1358"/>
      <c r="G216" s="1320"/>
      <c r="L216" s="1336"/>
      <c r="M216" s="1337"/>
      <c r="N216" s="1337"/>
      <c r="O216" s="1337"/>
      <c r="T216" s="1333"/>
    </row>
    <row r="217" spans="1:23">
      <c r="C217" s="1340" t="str">
        <f>+C$6</f>
        <v>Tampa Electric 2025 OB Budget</v>
      </c>
      <c r="F217" s="1327"/>
      <c r="G217" s="1333" t="s">
        <v>5277</v>
      </c>
      <c r="L217" s="1336" t="s">
        <v>5277</v>
      </c>
      <c r="M217" s="1337"/>
      <c r="N217" s="1337"/>
      <c r="O217" s="1337"/>
      <c r="T217" s="1333" t="s">
        <v>5277</v>
      </c>
    </row>
    <row r="218" spans="1:23" ht="10.5" customHeight="1">
      <c r="F218" s="1333"/>
      <c r="G218" s="1320"/>
      <c r="L218" s="1336"/>
      <c r="M218" s="1337"/>
      <c r="N218" s="1337"/>
      <c r="O218" s="1337"/>
    </row>
    <row r="219" spans="1:23" ht="10.5" customHeight="1">
      <c r="F219" s="1333"/>
      <c r="G219" s="1320"/>
      <c r="L219" s="1336"/>
      <c r="M219" s="1337"/>
      <c r="N219" s="1337"/>
      <c r="O219" s="1337"/>
    </row>
    <row r="220" spans="1:23" ht="10.5" customHeight="1">
      <c r="G220" s="1320"/>
    </row>
    <row r="221" spans="1:23" ht="10.5" customHeight="1">
      <c r="C221" s="1342"/>
      <c r="D221" s="1331"/>
      <c r="E221" s="1331"/>
      <c r="F221" s="1333"/>
      <c r="G221" s="1333"/>
      <c r="H221" s="1333"/>
      <c r="I221" s="1343"/>
      <c r="J221" s="1416"/>
      <c r="K221" s="1336"/>
      <c r="L221" s="1416"/>
      <c r="M221" s="1417"/>
      <c r="N221" s="1417"/>
      <c r="O221" s="1417"/>
      <c r="P221" s="3164"/>
      <c r="Q221" s="3164"/>
      <c r="R221" s="1333"/>
    </row>
    <row r="222" spans="1:23" ht="30" customHeight="1">
      <c r="A222" s="1418" t="s">
        <v>4683</v>
      </c>
      <c r="B222" s="1425" t="s">
        <v>5143</v>
      </c>
      <c r="C222" s="1349" t="s">
        <v>4297</v>
      </c>
      <c r="D222" s="1418"/>
      <c r="E222" s="1418"/>
      <c r="F222" s="1348" t="s">
        <v>5144</v>
      </c>
      <c r="G222" s="1348" t="s">
        <v>4956</v>
      </c>
      <c r="H222" s="1348" t="s">
        <v>4957</v>
      </c>
      <c r="I222" s="1426" t="s">
        <v>5145</v>
      </c>
      <c r="J222" s="1352" t="s">
        <v>4957</v>
      </c>
      <c r="K222" s="1353" t="s">
        <v>1949</v>
      </c>
      <c r="L222" s="1353" t="s">
        <v>1950</v>
      </c>
      <c r="M222" s="1354" t="s">
        <v>1934</v>
      </c>
      <c r="N222" s="1354" t="s">
        <v>1971</v>
      </c>
      <c r="O222" s="1354" t="s">
        <v>1972</v>
      </c>
      <c r="P222" s="1352" t="s">
        <v>5146</v>
      </c>
      <c r="Q222" s="1352" t="s">
        <v>5147</v>
      </c>
      <c r="R222" s="1355"/>
      <c r="S222" s="1348" t="s">
        <v>5299</v>
      </c>
      <c r="T222" s="1348"/>
      <c r="U222" s="1352"/>
      <c r="V222" s="1355" t="s">
        <v>4774</v>
      </c>
      <c r="W222" s="1350"/>
    </row>
    <row r="223" spans="1:23">
      <c r="G223" s="1320"/>
    </row>
    <row r="224" spans="1:23">
      <c r="A224" s="1320" t="s">
        <v>4682</v>
      </c>
      <c r="B224" s="1321"/>
      <c r="C224" s="1322">
        <v>32</v>
      </c>
      <c r="D224" s="1356" t="s">
        <v>5300</v>
      </c>
      <c r="G224" s="1320"/>
      <c r="Q224" s="1387"/>
      <c r="R224" s="1392"/>
      <c r="S224" s="1321"/>
      <c r="T224" s="1321"/>
      <c r="U224" s="1326"/>
    </row>
    <row r="225" spans="1:27">
      <c r="A225" s="1320" t="s">
        <v>4682</v>
      </c>
      <c r="B225" s="1320">
        <v>105</v>
      </c>
      <c r="C225" s="1322">
        <v>33</v>
      </c>
      <c r="D225" s="1320" t="s">
        <v>5293</v>
      </c>
      <c r="E225" s="1320" t="s">
        <v>4067</v>
      </c>
      <c r="F225" s="1350">
        <f>+'Allocation Assignment'!F51</f>
        <v>5220.568253917193</v>
      </c>
      <c r="G225" s="1428">
        <f>+$F225*G$1936</f>
        <v>0</v>
      </c>
      <c r="H225" s="1350">
        <f>+$F225*H$1936</f>
        <v>5220.568253917193</v>
      </c>
      <c r="I225" s="1323">
        <f>IF(F225=0,0,+H225/F225)</f>
        <v>1</v>
      </c>
      <c r="J225" s="1366">
        <f>+H225</f>
        <v>5220.568253917193</v>
      </c>
      <c r="K225" s="1366">
        <f t="shared" ref="K225:Q225" si="87">+$J225*K$1936</f>
        <v>3249.3652733788372</v>
      </c>
      <c r="L225" s="1366">
        <f t="shared" si="87"/>
        <v>231.10300784376869</v>
      </c>
      <c r="M225" s="1366">
        <f t="shared" si="87"/>
        <v>1547.3789322003815</v>
      </c>
      <c r="N225" s="1378">
        <f t="shared" si="87"/>
        <v>162.75315192742494</v>
      </c>
      <c r="O225" s="1378">
        <f t="shared" si="87"/>
        <v>1.1112468151806446E-4</v>
      </c>
      <c r="P225" s="1378">
        <f t="shared" si="87"/>
        <v>29.967777442100253</v>
      </c>
      <c r="Q225" s="1366">
        <f t="shared" si="87"/>
        <v>0</v>
      </c>
      <c r="R225" s="1358"/>
      <c r="S225" s="1320">
        <v>105</v>
      </c>
      <c r="V225" s="1321" t="s">
        <v>5229</v>
      </c>
      <c r="W225" s="1321">
        <v>105</v>
      </c>
    </row>
    <row r="226" spans="1:27">
      <c r="A226" s="1320" t="s">
        <v>4682</v>
      </c>
      <c r="B226" s="1321"/>
      <c r="C226" s="1322">
        <v>34</v>
      </c>
      <c r="G226" s="1320"/>
      <c r="M226" s="1324"/>
      <c r="P226" s="1325"/>
      <c r="S226" s="1321"/>
      <c r="T226" s="1321"/>
      <c r="U226" s="1326"/>
    </row>
    <row r="227" spans="1:27" s="1324" customFormat="1">
      <c r="A227" s="1324" t="s">
        <v>4682</v>
      </c>
      <c r="B227" s="1324">
        <v>310</v>
      </c>
      <c r="C227" s="1393">
        <v>35</v>
      </c>
      <c r="D227" s="1324" t="s">
        <v>5301</v>
      </c>
      <c r="E227" s="1324" t="s">
        <v>4071</v>
      </c>
      <c r="F227" s="1324">
        <f>+'Allocation Assignment'!F52</f>
        <v>1266.5742759713339</v>
      </c>
      <c r="G227" s="1429">
        <f>+$F227*G$1997</f>
        <v>0</v>
      </c>
      <c r="H227" s="1429">
        <f>+$F227*H$1997</f>
        <v>1266.5742759713339</v>
      </c>
      <c r="I227" s="1374">
        <f t="shared" ref="I227:I232" si="88">IF(F227=0,0,+H227/F227)</f>
        <v>1</v>
      </c>
      <c r="J227" s="1364">
        <f>+H227</f>
        <v>1266.5742759713339</v>
      </c>
      <c r="K227" s="1364">
        <f t="shared" ref="K227:Q227" si="89">+$J227*K$1997</f>
        <v>0</v>
      </c>
      <c r="L227" s="1364">
        <f t="shared" si="89"/>
        <v>0</v>
      </c>
      <c r="M227" s="1364">
        <f t="shared" si="89"/>
        <v>0</v>
      </c>
      <c r="N227" s="1367">
        <f t="shared" si="89"/>
        <v>0</v>
      </c>
      <c r="O227" s="1367">
        <f t="shared" si="89"/>
        <v>0</v>
      </c>
      <c r="P227" s="1367">
        <f t="shared" si="89"/>
        <v>0</v>
      </c>
      <c r="Q227" s="1364">
        <f t="shared" si="89"/>
        <v>1266.5742759713339</v>
      </c>
      <c r="R227" s="1364"/>
      <c r="S227" s="1324">
        <v>310</v>
      </c>
      <c r="V227" s="1326" t="s">
        <v>5302</v>
      </c>
      <c r="W227" s="1326">
        <v>310</v>
      </c>
      <c r="AA227" s="1320"/>
    </row>
    <row r="228" spans="1:27" s="1324" customFormat="1">
      <c r="A228" s="1324" t="s">
        <v>4682</v>
      </c>
      <c r="B228" s="1324">
        <v>105</v>
      </c>
      <c r="C228" s="1393">
        <v>36</v>
      </c>
      <c r="D228" s="1324" t="s">
        <v>5303</v>
      </c>
      <c r="E228" s="1324" t="s">
        <v>4067</v>
      </c>
      <c r="F228" s="1324">
        <f>+'Allocation Assignment'!F53</f>
        <v>19118.911569194039</v>
      </c>
      <c r="G228" s="1364">
        <f>+$F228*G$1936</f>
        <v>0</v>
      </c>
      <c r="H228" s="1364">
        <f>+$F228*H$1936</f>
        <v>19118.911569194039</v>
      </c>
      <c r="I228" s="1374">
        <f t="shared" si="88"/>
        <v>1</v>
      </c>
      <c r="J228" s="1364">
        <f>+H228</f>
        <v>19118.911569194039</v>
      </c>
      <c r="K228" s="1364">
        <f t="shared" ref="K228:Q228" si="90">+$J228*K$1936</f>
        <v>11899.916694150246</v>
      </c>
      <c r="L228" s="1364">
        <f t="shared" si="90"/>
        <v>846.35192098569848</v>
      </c>
      <c r="M228" s="1364">
        <f t="shared" si="90"/>
        <v>5666.8545510490794</v>
      </c>
      <c r="N228" s="1367">
        <f t="shared" si="90"/>
        <v>596.03916048281519</v>
      </c>
      <c r="O228" s="1367">
        <f t="shared" si="90"/>
        <v>4.0696392725151509E-4</v>
      </c>
      <c r="P228" s="1367">
        <f t="shared" si="90"/>
        <v>109.74883556227721</v>
      </c>
      <c r="Q228" s="1364">
        <f t="shared" si="90"/>
        <v>0</v>
      </c>
      <c r="R228" s="1364"/>
      <c r="S228" s="1324">
        <v>105</v>
      </c>
      <c r="V228" s="1326" t="s">
        <v>5229</v>
      </c>
      <c r="W228" s="1326">
        <v>105</v>
      </c>
      <c r="AA228" s="1320"/>
    </row>
    <row r="229" spans="1:27" s="1324" customFormat="1">
      <c r="A229" s="1324" t="s">
        <v>4682</v>
      </c>
      <c r="B229" s="1324">
        <v>418</v>
      </c>
      <c r="C229" s="1393">
        <v>37</v>
      </c>
      <c r="D229" s="1324" t="s">
        <v>5304</v>
      </c>
      <c r="E229" s="1324" t="s">
        <v>4071</v>
      </c>
      <c r="F229" s="1324">
        <f>+'Allocation Assignment'!F54</f>
        <v>0</v>
      </c>
      <c r="G229" s="1364">
        <f>+$F229*G$2024</f>
        <v>0</v>
      </c>
      <c r="H229" s="1364">
        <f>+$F229*H$1936</f>
        <v>0</v>
      </c>
      <c r="I229" s="1374">
        <f t="shared" si="88"/>
        <v>0</v>
      </c>
      <c r="J229" s="1364">
        <f>+H229</f>
        <v>0</v>
      </c>
      <c r="K229" s="1364">
        <f t="shared" ref="K229:Q229" si="91">+$J229*K$2024</f>
        <v>0</v>
      </c>
      <c r="L229" s="1364">
        <f t="shared" si="91"/>
        <v>0</v>
      </c>
      <c r="M229" s="1364">
        <f t="shared" si="91"/>
        <v>0</v>
      </c>
      <c r="N229" s="1367">
        <f t="shared" si="91"/>
        <v>0</v>
      </c>
      <c r="O229" s="1367">
        <f t="shared" si="91"/>
        <v>0</v>
      </c>
      <c r="P229" s="1367">
        <f t="shared" si="91"/>
        <v>0</v>
      </c>
      <c r="Q229" s="1364">
        <f t="shared" si="91"/>
        <v>0</v>
      </c>
      <c r="R229" s="1364"/>
      <c r="S229" s="1324">
        <v>418</v>
      </c>
      <c r="V229" s="1326" t="s">
        <v>5305</v>
      </c>
      <c r="W229" s="1326">
        <v>418</v>
      </c>
      <c r="AA229" s="1320"/>
    </row>
    <row r="230" spans="1:27" s="1324" customFormat="1">
      <c r="A230" s="1324" t="s">
        <v>4682</v>
      </c>
      <c r="B230" s="1324">
        <v>106</v>
      </c>
      <c r="C230" s="1393">
        <v>38</v>
      </c>
      <c r="D230" s="1324" t="s">
        <v>5306</v>
      </c>
      <c r="E230" s="1324" t="s">
        <v>4067</v>
      </c>
      <c r="F230" s="1324">
        <f>+'Allocation Assignment'!F55</f>
        <v>4451.4384580897895</v>
      </c>
      <c r="G230" s="1364">
        <f>+$F230*G$1939</f>
        <v>0</v>
      </c>
      <c r="H230" s="1364">
        <f>+$F230*H$1939</f>
        <v>4451.4384580897895</v>
      </c>
      <c r="I230" s="1374">
        <f t="shared" si="88"/>
        <v>1</v>
      </c>
      <c r="J230" s="1364">
        <f>+H230</f>
        <v>4451.4384580897895</v>
      </c>
      <c r="K230" s="1364">
        <f t="shared" ref="K230:Q230" si="92">+$J230*K$1939</f>
        <v>3247.9175596220125</v>
      </c>
      <c r="L230" s="1364">
        <f t="shared" si="92"/>
        <v>261.52182248147614</v>
      </c>
      <c r="M230" s="1364">
        <f t="shared" si="92"/>
        <v>925.89631695011838</v>
      </c>
      <c r="N230" s="1367">
        <f t="shared" si="92"/>
        <v>0</v>
      </c>
      <c r="O230" s="1367">
        <f t="shared" si="92"/>
        <v>0</v>
      </c>
      <c r="P230" s="1367">
        <f t="shared" si="92"/>
        <v>16.102759036182171</v>
      </c>
      <c r="Q230" s="1364">
        <f t="shared" si="92"/>
        <v>0</v>
      </c>
      <c r="R230" s="1364"/>
      <c r="S230" s="1324">
        <v>106</v>
      </c>
      <c r="V230" s="1326" t="s">
        <v>5230</v>
      </c>
      <c r="W230" s="1326">
        <v>106</v>
      </c>
      <c r="AA230" s="1320"/>
    </row>
    <row r="231" spans="1:27" s="1324" customFormat="1">
      <c r="A231" s="1324" t="s">
        <v>4682</v>
      </c>
      <c r="B231" s="1324">
        <v>420</v>
      </c>
      <c r="C231" s="1393">
        <v>39</v>
      </c>
      <c r="D231" s="1324" t="s">
        <v>5307</v>
      </c>
      <c r="E231" s="1324" t="s">
        <v>4071</v>
      </c>
      <c r="F231" s="1324">
        <f>+'Allocation Assignment'!F56</f>
        <v>0</v>
      </c>
      <c r="G231" s="1366">
        <f>+$F231*G$2027</f>
        <v>0</v>
      </c>
      <c r="H231" s="1366">
        <f>+$F231*H$2027</f>
        <v>0</v>
      </c>
      <c r="I231" s="1374">
        <f t="shared" si="88"/>
        <v>0</v>
      </c>
      <c r="J231" s="1364">
        <f>+H231</f>
        <v>0</v>
      </c>
      <c r="K231" s="1364">
        <f t="shared" ref="K231:Q231" si="93">+$J231*K$2027</f>
        <v>0</v>
      </c>
      <c r="L231" s="1364">
        <f t="shared" si="93"/>
        <v>0</v>
      </c>
      <c r="M231" s="1364">
        <f t="shared" si="93"/>
        <v>0</v>
      </c>
      <c r="N231" s="1367">
        <f t="shared" si="93"/>
        <v>0</v>
      </c>
      <c r="O231" s="1367">
        <f t="shared" si="93"/>
        <v>0</v>
      </c>
      <c r="P231" s="1367">
        <f t="shared" si="93"/>
        <v>0</v>
      </c>
      <c r="Q231" s="1364">
        <f t="shared" si="93"/>
        <v>0</v>
      </c>
      <c r="R231" s="1364"/>
      <c r="S231" s="1324">
        <v>420</v>
      </c>
      <c r="V231" s="1326" t="s">
        <v>5225</v>
      </c>
      <c r="W231" s="1326">
        <v>420</v>
      </c>
      <c r="AA231" s="1320"/>
    </row>
    <row r="232" spans="1:27" s="1324" customFormat="1">
      <c r="A232" s="1324" t="s">
        <v>4682</v>
      </c>
      <c r="B232" s="1326"/>
      <c r="C232" s="1393">
        <v>40</v>
      </c>
      <c r="D232" s="1324" t="s">
        <v>5308</v>
      </c>
      <c r="F232" s="1421">
        <f>SUM(F227:F231)</f>
        <v>24836.92430325516</v>
      </c>
      <c r="G232" s="1366">
        <f>SUM(G227:G231)</f>
        <v>0</v>
      </c>
      <c r="H232" s="1366">
        <f>SUM(H227:H231)</f>
        <v>24836.92430325516</v>
      </c>
      <c r="I232" s="1374">
        <f t="shared" si="88"/>
        <v>1</v>
      </c>
      <c r="J232" s="1421">
        <f>SUM(J227:J231)</f>
        <v>24836.92430325516</v>
      </c>
      <c r="K232" s="1421">
        <f t="shared" ref="K232:Q232" si="94">SUM(K227:K231)</f>
        <v>15147.834253772258</v>
      </c>
      <c r="L232" s="1421">
        <f t="shared" si="94"/>
        <v>1107.8737434671746</v>
      </c>
      <c r="M232" s="1421">
        <f>SUM(M227:M231)</f>
        <v>6592.7508679991979</v>
      </c>
      <c r="N232" s="1421">
        <f t="shared" si="94"/>
        <v>596.03916048281519</v>
      </c>
      <c r="O232" s="1421">
        <f>SUM(O227:O231)</f>
        <v>4.0696392725151509E-4</v>
      </c>
      <c r="P232" s="1421">
        <f>SUM(P227:P231)</f>
        <v>125.85159459845937</v>
      </c>
      <c r="Q232" s="1421">
        <f t="shared" si="94"/>
        <v>1266.5742759713339</v>
      </c>
      <c r="R232" s="1364"/>
      <c r="S232" s="1326"/>
      <c r="T232" s="1326"/>
      <c r="U232" s="1326"/>
      <c r="V232" s="1324" t="s">
        <v>5309</v>
      </c>
      <c r="AA232" s="1320"/>
    </row>
    <row r="233" spans="1:27" s="1324" customFormat="1">
      <c r="A233" s="1324" t="s">
        <v>4682</v>
      </c>
      <c r="B233" s="1326"/>
      <c r="C233" s="1393">
        <v>41</v>
      </c>
      <c r="I233" s="1374"/>
      <c r="N233" s="1325"/>
      <c r="O233" s="1325"/>
      <c r="P233" s="1325"/>
      <c r="S233" s="1326"/>
      <c r="T233" s="1326"/>
      <c r="U233" s="1326"/>
      <c r="AA233" s="1320"/>
    </row>
    <row r="234" spans="1:27" s="1324" customFormat="1">
      <c r="A234" s="1324" t="s">
        <v>4682</v>
      </c>
      <c r="B234" s="1324">
        <v>310</v>
      </c>
      <c r="C234" s="1393">
        <v>42</v>
      </c>
      <c r="D234" s="1324" t="s">
        <v>5310</v>
      </c>
      <c r="E234" s="1324" t="s">
        <v>4071</v>
      </c>
      <c r="F234" s="1324">
        <f>+'Allocation Assignment'!F57</f>
        <v>3.1713748859914901</v>
      </c>
      <c r="G234" s="1429">
        <f>+$F234*G$1997</f>
        <v>0</v>
      </c>
      <c r="H234" s="1429">
        <f>+$F234*H$1997</f>
        <v>3.1713748859914901</v>
      </c>
      <c r="I234" s="1374">
        <f t="shared" ref="I234:I239" si="95">IF(F234=0,0,+H234/F234)</f>
        <v>1</v>
      </c>
      <c r="J234" s="1364">
        <f>+H234</f>
        <v>3.1713748859914901</v>
      </c>
      <c r="K234" s="1364">
        <f t="shared" ref="K234:Q234" si="96">+$J234*K$1997</f>
        <v>0</v>
      </c>
      <c r="L234" s="1364">
        <f t="shared" si="96"/>
        <v>0</v>
      </c>
      <c r="M234" s="1364">
        <f t="shared" si="96"/>
        <v>0</v>
      </c>
      <c r="N234" s="1367">
        <f t="shared" si="96"/>
        <v>0</v>
      </c>
      <c r="O234" s="1367">
        <f t="shared" si="96"/>
        <v>0</v>
      </c>
      <c r="P234" s="1367">
        <f t="shared" si="96"/>
        <v>0</v>
      </c>
      <c r="Q234" s="1364">
        <f t="shared" si="96"/>
        <v>3.1713748859914901</v>
      </c>
      <c r="R234" s="1364"/>
      <c r="S234" s="1324">
        <v>310</v>
      </c>
      <c r="V234" s="1326" t="s">
        <v>5302</v>
      </c>
      <c r="W234" s="1326">
        <v>310</v>
      </c>
      <c r="AA234" s="1320"/>
    </row>
    <row r="235" spans="1:27" s="1324" customFormat="1">
      <c r="A235" s="1324" t="s">
        <v>4682</v>
      </c>
      <c r="B235" s="1324">
        <v>105</v>
      </c>
      <c r="C235" s="1393">
        <v>43</v>
      </c>
      <c r="D235" s="1324" t="s">
        <v>5311</v>
      </c>
      <c r="E235" s="1324" t="s">
        <v>4067</v>
      </c>
      <c r="F235" s="1324">
        <f>+'Allocation Assignment'!F58</f>
        <v>6192.9745707198108</v>
      </c>
      <c r="G235" s="1364">
        <f>+$F235*G$1936</f>
        <v>0</v>
      </c>
      <c r="H235" s="1364">
        <f>+$F235*H$1936</f>
        <v>6192.9745707198108</v>
      </c>
      <c r="I235" s="1374">
        <f t="shared" si="95"/>
        <v>1</v>
      </c>
      <c r="J235" s="1364">
        <f>+H235</f>
        <v>6192.9745707198108</v>
      </c>
      <c r="K235" s="1364">
        <f t="shared" ref="K235:Q235" si="97">+$J235*K$1936</f>
        <v>3854.6065352015898</v>
      </c>
      <c r="L235" s="1364">
        <f t="shared" si="97"/>
        <v>274.14928436562911</v>
      </c>
      <c r="M235" s="1364">
        <f t="shared" si="97"/>
        <v>1835.6006304857972</v>
      </c>
      <c r="N235" s="1367">
        <f t="shared" si="97"/>
        <v>193.06827957564866</v>
      </c>
      <c r="O235" s="1367">
        <f t="shared" si="97"/>
        <v>1.3182326010283149E-4</v>
      </c>
      <c r="P235" s="1367">
        <f t="shared" si="97"/>
        <v>35.549709267887181</v>
      </c>
      <c r="Q235" s="1364">
        <f t="shared" si="97"/>
        <v>0</v>
      </c>
      <c r="R235" s="1364"/>
      <c r="S235" s="1324">
        <v>105</v>
      </c>
      <c r="V235" s="1326" t="s">
        <v>5229</v>
      </c>
      <c r="W235" s="1326">
        <v>105</v>
      </c>
      <c r="AA235" s="1320"/>
    </row>
    <row r="236" spans="1:27" s="1324" customFormat="1">
      <c r="A236" s="1324" t="s">
        <v>4682</v>
      </c>
      <c r="B236" s="1324">
        <v>418</v>
      </c>
      <c r="C236" s="1393">
        <v>44</v>
      </c>
      <c r="D236" s="1324" t="s">
        <v>5312</v>
      </c>
      <c r="E236" s="1324" t="s">
        <v>4071</v>
      </c>
      <c r="F236" s="1324">
        <f>+'Allocation Assignment'!F59</f>
        <v>0</v>
      </c>
      <c r="G236" s="1364">
        <f>+$F236*G$2024</f>
        <v>0</v>
      </c>
      <c r="H236" s="1364">
        <f>+$F236*H$1936</f>
        <v>0</v>
      </c>
      <c r="I236" s="1374">
        <f t="shared" si="95"/>
        <v>0</v>
      </c>
      <c r="J236" s="1364">
        <f>+H236</f>
        <v>0</v>
      </c>
      <c r="K236" s="1364">
        <f t="shared" ref="K236:Q236" si="98">+$J236*K$2024</f>
        <v>0</v>
      </c>
      <c r="L236" s="1364">
        <f t="shared" si="98"/>
        <v>0</v>
      </c>
      <c r="M236" s="1364">
        <f t="shared" si="98"/>
        <v>0</v>
      </c>
      <c r="N236" s="1367">
        <f t="shared" si="98"/>
        <v>0</v>
      </c>
      <c r="O236" s="1367">
        <f t="shared" si="98"/>
        <v>0</v>
      </c>
      <c r="P236" s="1367">
        <f t="shared" si="98"/>
        <v>0</v>
      </c>
      <c r="Q236" s="1364">
        <f t="shared" si="98"/>
        <v>0</v>
      </c>
      <c r="R236" s="1364"/>
      <c r="S236" s="1324">
        <v>418</v>
      </c>
      <c r="V236" s="1326" t="s">
        <v>5305</v>
      </c>
      <c r="W236" s="1326">
        <v>418</v>
      </c>
      <c r="AA236" s="1320"/>
    </row>
    <row r="237" spans="1:27" s="1324" customFormat="1">
      <c r="A237" s="1324" t="s">
        <v>4682</v>
      </c>
      <c r="B237" s="1324">
        <v>106</v>
      </c>
      <c r="C237" s="1393">
        <v>45</v>
      </c>
      <c r="D237" s="1324" t="s">
        <v>5313</v>
      </c>
      <c r="E237" s="1324" t="s">
        <v>4067</v>
      </c>
      <c r="F237" s="1324">
        <f>+'Allocation Assignment'!F60</f>
        <v>472.19143504708194</v>
      </c>
      <c r="G237" s="1364">
        <f>+$F237*G$1939</f>
        <v>0</v>
      </c>
      <c r="H237" s="1364">
        <f>+$F237*H$1939</f>
        <v>472.19143504708194</v>
      </c>
      <c r="I237" s="1374">
        <f t="shared" si="95"/>
        <v>1</v>
      </c>
      <c r="J237" s="1364">
        <f>+H237</f>
        <v>472.19143504708194</v>
      </c>
      <c r="K237" s="1364">
        <f t="shared" ref="K237:Q237" si="99">+$J237*K$1939</f>
        <v>344.52657670811709</v>
      </c>
      <c r="L237" s="1364">
        <f t="shared" si="99"/>
        <v>27.741226980064333</v>
      </c>
      <c r="M237" s="1364">
        <f t="shared" si="99"/>
        <v>98.215512743064295</v>
      </c>
      <c r="N237" s="1367">
        <f t="shared" si="99"/>
        <v>0</v>
      </c>
      <c r="O237" s="1367">
        <f t="shared" si="99"/>
        <v>0</v>
      </c>
      <c r="P237" s="1367">
        <f t="shared" si="99"/>
        <v>1.7081186158361701</v>
      </c>
      <c r="Q237" s="1364">
        <f t="shared" si="99"/>
        <v>0</v>
      </c>
      <c r="R237" s="1364"/>
      <c r="S237" s="1324">
        <v>106</v>
      </c>
      <c r="V237" s="1326" t="s">
        <v>5230</v>
      </c>
      <c r="W237" s="1326">
        <v>106</v>
      </c>
      <c r="AA237" s="1320"/>
    </row>
    <row r="238" spans="1:27" s="1324" customFormat="1">
      <c r="A238" s="1324" t="s">
        <v>4682</v>
      </c>
      <c r="B238" s="1324">
        <v>420</v>
      </c>
      <c r="C238" s="1393">
        <v>46</v>
      </c>
      <c r="D238" s="1324" t="s">
        <v>5314</v>
      </c>
      <c r="E238" s="1324" t="s">
        <v>4071</v>
      </c>
      <c r="F238" s="1324">
        <f>+'Allocation Assignment'!F61</f>
        <v>0</v>
      </c>
      <c r="G238" s="1366">
        <f>+$F238*G$2027</f>
        <v>0</v>
      </c>
      <c r="H238" s="1366">
        <f>+$F238*H$2027</f>
        <v>0</v>
      </c>
      <c r="I238" s="1374">
        <f t="shared" si="95"/>
        <v>0</v>
      </c>
      <c r="J238" s="1364">
        <f>+H238</f>
        <v>0</v>
      </c>
      <c r="K238" s="1364">
        <f t="shared" ref="K238:Q238" si="100">+$J238*K$2027</f>
        <v>0</v>
      </c>
      <c r="L238" s="1364">
        <f t="shared" si="100"/>
        <v>0</v>
      </c>
      <c r="M238" s="1364">
        <f t="shared" si="100"/>
        <v>0</v>
      </c>
      <c r="N238" s="1367">
        <f t="shared" si="100"/>
        <v>0</v>
      </c>
      <c r="O238" s="1367">
        <f t="shared" si="100"/>
        <v>0</v>
      </c>
      <c r="P238" s="1367">
        <f t="shared" si="100"/>
        <v>0</v>
      </c>
      <c r="Q238" s="1364">
        <f t="shared" si="100"/>
        <v>0</v>
      </c>
      <c r="R238" s="1364"/>
      <c r="S238" s="1324">
        <v>420</v>
      </c>
      <c r="V238" s="1326" t="s">
        <v>5225</v>
      </c>
      <c r="W238" s="1326">
        <v>420</v>
      </c>
      <c r="AA238" s="1320"/>
    </row>
    <row r="239" spans="1:27" s="1324" customFormat="1">
      <c r="A239" s="1324" t="s">
        <v>4682</v>
      </c>
      <c r="B239" s="1326"/>
      <c r="C239" s="1393">
        <v>47</v>
      </c>
      <c r="D239" s="1324" t="s">
        <v>5315</v>
      </c>
      <c r="F239" s="1421">
        <f>+SUM(F234:F238)</f>
        <v>6668.3373806528834</v>
      </c>
      <c r="G239" s="1366">
        <f>SUM(G234:G238)</f>
        <v>0</v>
      </c>
      <c r="H239" s="1366">
        <f>SUM(H234:H238)</f>
        <v>6668.3373806528834</v>
      </c>
      <c r="I239" s="1374">
        <f t="shared" si="95"/>
        <v>1</v>
      </c>
      <c r="J239" s="1421">
        <f>SUM(J234:J238)</f>
        <v>6668.3373806528834</v>
      </c>
      <c r="K239" s="1421">
        <f t="shared" ref="K239:Q239" si="101">SUM(K234:K238)</f>
        <v>4199.1331119097067</v>
      </c>
      <c r="L239" s="1421">
        <f t="shared" si="101"/>
        <v>301.89051134569343</v>
      </c>
      <c r="M239" s="1421">
        <f>SUM(M234:M238)</f>
        <v>1933.8161432288614</v>
      </c>
      <c r="N239" s="1421">
        <f t="shared" si="101"/>
        <v>193.06827957564866</v>
      </c>
      <c r="O239" s="1421">
        <f>SUM(O234:O238)</f>
        <v>1.3182326010283149E-4</v>
      </c>
      <c r="P239" s="1421">
        <f>SUM(P234:P238)</f>
        <v>37.257827883723351</v>
      </c>
      <c r="Q239" s="1421">
        <f t="shared" si="101"/>
        <v>3.1713748859914901</v>
      </c>
      <c r="R239" s="1364"/>
      <c r="S239" s="1326"/>
      <c r="T239" s="1326"/>
      <c r="U239" s="1326"/>
      <c r="V239" s="1324" t="s">
        <v>5316</v>
      </c>
      <c r="AA239" s="1320"/>
    </row>
    <row r="240" spans="1:27" s="1324" customFormat="1">
      <c r="A240" s="1324" t="s">
        <v>4682</v>
      </c>
      <c r="B240" s="1326"/>
      <c r="C240" s="1393">
        <v>48</v>
      </c>
      <c r="I240" s="1374"/>
      <c r="N240" s="1325"/>
      <c r="O240" s="1325"/>
      <c r="P240" s="1325"/>
      <c r="S240" s="1326"/>
      <c r="T240" s="1326"/>
      <c r="U240" s="1326"/>
      <c r="AA240" s="1320"/>
    </row>
    <row r="241" spans="1:27" s="1324" customFormat="1">
      <c r="A241" s="1324" t="s">
        <v>4682</v>
      </c>
      <c r="B241" s="1324">
        <v>310</v>
      </c>
      <c r="C241" s="1393">
        <v>49</v>
      </c>
      <c r="D241" s="1324" t="s">
        <v>5317</v>
      </c>
      <c r="E241" s="1324" t="s">
        <v>4071</v>
      </c>
      <c r="F241" s="1324">
        <f>+'Allocation Assignment'!F62</f>
        <v>0</v>
      </c>
      <c r="G241" s="1429">
        <f>+$F241*G$1997</f>
        <v>0</v>
      </c>
      <c r="H241" s="1429">
        <f>+$F241*H$1997</f>
        <v>0</v>
      </c>
      <c r="I241" s="1374">
        <f t="shared" ref="I241:I246" si="102">IF(F241=0,0,+H241/F241)</f>
        <v>0</v>
      </c>
      <c r="J241" s="1364">
        <f>+H241</f>
        <v>0</v>
      </c>
      <c r="K241" s="1364">
        <f t="shared" ref="K241:Q241" si="103">+$J241*K$1997</f>
        <v>0</v>
      </c>
      <c r="L241" s="1364">
        <f t="shared" si="103"/>
        <v>0</v>
      </c>
      <c r="M241" s="1364">
        <f t="shared" si="103"/>
        <v>0</v>
      </c>
      <c r="N241" s="1367">
        <f t="shared" si="103"/>
        <v>0</v>
      </c>
      <c r="O241" s="1367">
        <f t="shared" si="103"/>
        <v>0</v>
      </c>
      <c r="P241" s="1367">
        <f t="shared" si="103"/>
        <v>0</v>
      </c>
      <c r="Q241" s="1364">
        <f t="shared" si="103"/>
        <v>0</v>
      </c>
      <c r="R241" s="1364"/>
      <c r="S241" s="1324">
        <v>310</v>
      </c>
      <c r="V241" s="1326" t="s">
        <v>5302</v>
      </c>
      <c r="W241" s="1326">
        <v>310</v>
      </c>
      <c r="AA241" s="1320"/>
    </row>
    <row r="242" spans="1:27" s="1324" customFormat="1">
      <c r="A242" s="1324" t="s">
        <v>4682</v>
      </c>
      <c r="B242" s="1324">
        <v>105</v>
      </c>
      <c r="C242" s="1393">
        <v>50</v>
      </c>
      <c r="D242" s="1324" t="s">
        <v>5318</v>
      </c>
      <c r="E242" s="1324" t="s">
        <v>4067</v>
      </c>
      <c r="F242" s="1324">
        <f>+'Allocation Assignment'!F63</f>
        <v>50.038320628456624</v>
      </c>
      <c r="G242" s="1364">
        <f>+$F242*G$1936</f>
        <v>0</v>
      </c>
      <c r="H242" s="1364">
        <f>+$F242*H$1936</f>
        <v>50.038320628456624</v>
      </c>
      <c r="I242" s="1374">
        <f t="shared" si="102"/>
        <v>1</v>
      </c>
      <c r="J242" s="1364">
        <f>+H242</f>
        <v>50.038320628456624</v>
      </c>
      <c r="K242" s="1364">
        <f t="shared" ref="K242:Q242" si="104">+$J242*K$1936</f>
        <v>31.144651976593401</v>
      </c>
      <c r="L242" s="1364">
        <f t="shared" si="104"/>
        <v>2.2150857612119723</v>
      </c>
      <c r="M242" s="1364">
        <f t="shared" si="104"/>
        <v>14.831382213050112</v>
      </c>
      <c r="N242" s="1367">
        <f t="shared" si="104"/>
        <v>1.5599632077074608</v>
      </c>
      <c r="O242" s="1367">
        <f t="shared" si="104"/>
        <v>1.0651124883510117E-6</v>
      </c>
      <c r="P242" s="1367">
        <f t="shared" si="104"/>
        <v>0.28723640478120016</v>
      </c>
      <c r="Q242" s="1364">
        <f t="shared" si="104"/>
        <v>0</v>
      </c>
      <c r="R242" s="1364"/>
      <c r="S242" s="1324">
        <v>105</v>
      </c>
      <c r="V242" s="1326" t="s">
        <v>5229</v>
      </c>
      <c r="W242" s="1326">
        <v>105</v>
      </c>
      <c r="AA242" s="1320"/>
    </row>
    <row r="243" spans="1:27" s="1324" customFormat="1">
      <c r="A243" s="1324" t="s">
        <v>4682</v>
      </c>
      <c r="B243" s="1324">
        <v>418</v>
      </c>
      <c r="C243" s="1393">
        <v>51</v>
      </c>
      <c r="D243" s="1324" t="s">
        <v>5319</v>
      </c>
      <c r="E243" s="1324" t="s">
        <v>4071</v>
      </c>
      <c r="F243" s="1324">
        <f>+'Allocation Assignment'!F64</f>
        <v>0</v>
      </c>
      <c r="G243" s="1364">
        <f>+$F243*G$2024</f>
        <v>0</v>
      </c>
      <c r="H243" s="1364">
        <f>+$F243*H$1936</f>
        <v>0</v>
      </c>
      <c r="I243" s="1374">
        <f t="shared" si="102"/>
        <v>0</v>
      </c>
      <c r="J243" s="1364">
        <f>+H243</f>
        <v>0</v>
      </c>
      <c r="K243" s="1364">
        <f t="shared" ref="K243:Q243" si="105">+$J243*K$2024</f>
        <v>0</v>
      </c>
      <c r="L243" s="1364">
        <f t="shared" si="105"/>
        <v>0</v>
      </c>
      <c r="M243" s="1364">
        <f t="shared" si="105"/>
        <v>0</v>
      </c>
      <c r="N243" s="1367">
        <f t="shared" si="105"/>
        <v>0</v>
      </c>
      <c r="O243" s="1367">
        <f t="shared" si="105"/>
        <v>0</v>
      </c>
      <c r="P243" s="1367">
        <f t="shared" si="105"/>
        <v>0</v>
      </c>
      <c r="Q243" s="1364">
        <f t="shared" si="105"/>
        <v>0</v>
      </c>
      <c r="R243" s="1364"/>
      <c r="S243" s="1324">
        <v>418</v>
      </c>
      <c r="V243" s="1326" t="s">
        <v>5305</v>
      </c>
      <c r="W243" s="1326">
        <v>418</v>
      </c>
      <c r="AA243" s="1320"/>
    </row>
    <row r="244" spans="1:27" s="1324" customFormat="1">
      <c r="A244" s="1324" t="s">
        <v>4682</v>
      </c>
      <c r="B244" s="1324">
        <v>106</v>
      </c>
      <c r="C244" s="1393">
        <v>52</v>
      </c>
      <c r="D244" s="1324" t="s">
        <v>5320</v>
      </c>
      <c r="E244" s="1324" t="s">
        <v>4067</v>
      </c>
      <c r="F244" s="1324">
        <f>+'Allocation Assignment'!F65</f>
        <v>254.20882162637275</v>
      </c>
      <c r="G244" s="1364">
        <f>+$F244*G$1939</f>
        <v>0</v>
      </c>
      <c r="H244" s="1364">
        <f>+$F244*H$1939</f>
        <v>254.20882162637275</v>
      </c>
      <c r="I244" s="1374">
        <f t="shared" si="102"/>
        <v>1</v>
      </c>
      <c r="J244" s="1364">
        <f>+H244</f>
        <v>254.20882162637275</v>
      </c>
      <c r="K244" s="1364">
        <f t="shared" ref="K244:Q244" si="106">+$J244*K$1939</f>
        <v>185.4792115727509</v>
      </c>
      <c r="L244" s="1364">
        <f t="shared" si="106"/>
        <v>14.934757595441637</v>
      </c>
      <c r="M244" s="1364">
        <f t="shared" si="106"/>
        <v>52.875270296579828</v>
      </c>
      <c r="N244" s="1367">
        <f t="shared" si="106"/>
        <v>0</v>
      </c>
      <c r="O244" s="1367">
        <f t="shared" si="106"/>
        <v>0</v>
      </c>
      <c r="P244" s="1367">
        <f t="shared" si="106"/>
        <v>0.91958216160038553</v>
      </c>
      <c r="Q244" s="1364">
        <f t="shared" si="106"/>
        <v>0</v>
      </c>
      <c r="R244" s="1364"/>
      <c r="S244" s="1324">
        <v>106</v>
      </c>
      <c r="V244" s="1326" t="s">
        <v>5230</v>
      </c>
      <c r="W244" s="1326">
        <v>106</v>
      </c>
      <c r="AA244" s="1320"/>
    </row>
    <row r="245" spans="1:27" s="1324" customFormat="1">
      <c r="A245" s="1324" t="s">
        <v>4682</v>
      </c>
      <c r="B245" s="1324">
        <v>420</v>
      </c>
      <c r="C245" s="1393">
        <v>53</v>
      </c>
      <c r="D245" s="1324" t="s">
        <v>5321</v>
      </c>
      <c r="E245" s="1324" t="s">
        <v>4071</v>
      </c>
      <c r="F245" s="1324">
        <f>+'Allocation Assignment'!F66</f>
        <v>0</v>
      </c>
      <c r="G245" s="1364">
        <f>+$F245*G$2027</f>
        <v>0</v>
      </c>
      <c r="H245" s="1364">
        <f>+$F245*H$2027</f>
        <v>0</v>
      </c>
      <c r="I245" s="1374">
        <f t="shared" si="102"/>
        <v>0</v>
      </c>
      <c r="J245" s="1364">
        <f>+H245</f>
        <v>0</v>
      </c>
      <c r="K245" s="1364">
        <f t="shared" ref="K245:Q245" si="107">+$J245*K$2027</f>
        <v>0</v>
      </c>
      <c r="L245" s="1364">
        <f t="shared" si="107"/>
        <v>0</v>
      </c>
      <c r="M245" s="1364">
        <f t="shared" si="107"/>
        <v>0</v>
      </c>
      <c r="N245" s="1367">
        <f t="shared" si="107"/>
        <v>0</v>
      </c>
      <c r="O245" s="1367">
        <f t="shared" si="107"/>
        <v>0</v>
      </c>
      <c r="P245" s="1367">
        <f t="shared" si="107"/>
        <v>0</v>
      </c>
      <c r="Q245" s="1364">
        <f t="shared" si="107"/>
        <v>0</v>
      </c>
      <c r="R245" s="1364"/>
      <c r="S245" s="1324">
        <v>420</v>
      </c>
      <c r="V245" s="1326" t="s">
        <v>5225</v>
      </c>
      <c r="W245" s="1326">
        <v>420</v>
      </c>
      <c r="AA245" s="1320"/>
    </row>
    <row r="246" spans="1:27" s="1324" customFormat="1">
      <c r="A246" s="1324" t="s">
        <v>4682</v>
      </c>
      <c r="B246" s="1326"/>
      <c r="C246" s="1393">
        <v>54</v>
      </c>
      <c r="D246" s="1324" t="s">
        <v>5322</v>
      </c>
      <c r="F246" s="1421">
        <f>+SUM(F241:F245)</f>
        <v>304.24714225482938</v>
      </c>
      <c r="G246" s="1421">
        <f>SUM(G241:G245)</f>
        <v>0</v>
      </c>
      <c r="H246" s="1421">
        <f>SUM(H241:H245)</f>
        <v>304.24714225482938</v>
      </c>
      <c r="I246" s="1374">
        <f t="shared" si="102"/>
        <v>1</v>
      </c>
      <c r="J246" s="1421">
        <f>SUM(J241:J245)</f>
        <v>304.24714225482938</v>
      </c>
      <c r="K246" s="1421">
        <f t="shared" ref="K246:Q246" si="108">SUM(K241:K245)</f>
        <v>216.62386354934429</v>
      </c>
      <c r="L246" s="1421">
        <f t="shared" si="108"/>
        <v>17.149843356653609</v>
      </c>
      <c r="M246" s="1421">
        <f>SUM(M241:M245)</f>
        <v>67.706652509629947</v>
      </c>
      <c r="N246" s="1421">
        <f t="shared" si="108"/>
        <v>1.5599632077074608</v>
      </c>
      <c r="O246" s="1421">
        <f t="shared" si="108"/>
        <v>1.0651124883510117E-6</v>
      </c>
      <c r="P246" s="1421">
        <f t="shared" si="108"/>
        <v>1.2068185663815858</v>
      </c>
      <c r="Q246" s="1421">
        <f t="shared" si="108"/>
        <v>0</v>
      </c>
      <c r="R246" s="1364"/>
      <c r="S246" s="1326"/>
      <c r="T246" s="1326"/>
      <c r="U246" s="1326"/>
      <c r="V246" s="1324" t="s">
        <v>5323</v>
      </c>
      <c r="AA246" s="1320"/>
    </row>
    <row r="247" spans="1:27" s="1324" customFormat="1">
      <c r="A247" s="1324" t="s">
        <v>4682</v>
      </c>
      <c r="B247" s="1326"/>
      <c r="C247" s="1393">
        <v>55</v>
      </c>
      <c r="I247" s="1374"/>
      <c r="N247" s="1325"/>
      <c r="O247" s="1325"/>
      <c r="P247" s="1325"/>
      <c r="S247" s="1326"/>
      <c r="T247" s="1326"/>
      <c r="U247" s="1326"/>
      <c r="AA247" s="1320"/>
    </row>
    <row r="248" spans="1:27" s="1324" customFormat="1">
      <c r="A248" s="1324" t="s">
        <v>4682</v>
      </c>
      <c r="B248" s="1324">
        <v>420</v>
      </c>
      <c r="C248" s="1393">
        <v>56</v>
      </c>
      <c r="D248" s="1324" t="s">
        <v>5324</v>
      </c>
      <c r="E248" s="1324" t="s">
        <v>4071</v>
      </c>
      <c r="F248" s="1364">
        <f>+'Allocation Assignment'!F67</f>
        <v>4706.1347865526459</v>
      </c>
      <c r="G248" s="1364">
        <f>+$F248*G$2027</f>
        <v>0</v>
      </c>
      <c r="H248" s="1364">
        <f>+$F248*H$2027</f>
        <v>4706.1347865526459</v>
      </c>
      <c r="I248" s="1374">
        <f>IF(F248=0,0,+H248/F248)</f>
        <v>1</v>
      </c>
      <c r="J248" s="1364">
        <f>+H248</f>
        <v>4706.1347865526459</v>
      </c>
      <c r="K248" s="1364">
        <f t="shared" ref="K248:Q248" si="109">+$J248*K$2027</f>
        <v>4198.5275454981611</v>
      </c>
      <c r="L248" s="1364">
        <f t="shared" si="109"/>
        <v>406.90572925989153</v>
      </c>
      <c r="M248" s="1364">
        <f t="shared" si="109"/>
        <v>99.511457608480967</v>
      </c>
      <c r="N248" s="1364">
        <f t="shared" si="109"/>
        <v>0</v>
      </c>
      <c r="O248" s="1364">
        <f t="shared" si="109"/>
        <v>0</v>
      </c>
      <c r="P248" s="1364">
        <f t="shared" si="109"/>
        <v>1.1900541861127243</v>
      </c>
      <c r="Q248" s="1364">
        <f t="shared" si="109"/>
        <v>0</v>
      </c>
      <c r="R248" s="1364"/>
      <c r="S248" s="1324">
        <v>420</v>
      </c>
      <c r="V248" s="1326" t="s">
        <v>5225</v>
      </c>
      <c r="W248" s="1326">
        <v>420</v>
      </c>
      <c r="AA248" s="1320"/>
    </row>
    <row r="249" spans="1:27" s="1324" customFormat="1">
      <c r="A249" s="1324" t="s">
        <v>4682</v>
      </c>
      <c r="B249" s="1324">
        <v>308</v>
      </c>
      <c r="C249" s="1393">
        <v>57</v>
      </c>
      <c r="D249" s="1324" t="s">
        <v>5325</v>
      </c>
      <c r="E249" s="1324" t="s">
        <v>4071</v>
      </c>
      <c r="F249" s="1364">
        <f>+'Allocation Assignment'!F68</f>
        <v>9007.3216782124982</v>
      </c>
      <c r="G249" s="1364">
        <f>+$F249*G1991</f>
        <v>0</v>
      </c>
      <c r="H249" s="1364">
        <f>+$F249*H1991</f>
        <v>9007.3216782124982</v>
      </c>
      <c r="I249" s="1374">
        <f>IF(F249=0,0,+H249/F249)</f>
        <v>1</v>
      </c>
      <c r="J249" s="1364">
        <f>+H249</f>
        <v>9007.3216782124982</v>
      </c>
      <c r="K249" s="1364">
        <f t="shared" ref="K249:Q249" si="110">+$J249*K$1991</f>
        <v>6149.0492277776802</v>
      </c>
      <c r="L249" s="1364">
        <f t="shared" si="110"/>
        <v>1603.5933575907416</v>
      </c>
      <c r="M249" s="1364">
        <f t="shared" si="110"/>
        <v>1055.0757846277622</v>
      </c>
      <c r="N249" s="1364">
        <f t="shared" si="110"/>
        <v>86.730529983003223</v>
      </c>
      <c r="O249" s="1364">
        <f t="shared" si="110"/>
        <v>94.626648996379828</v>
      </c>
      <c r="P249" s="1364">
        <f t="shared" si="110"/>
        <v>18.246129236931502</v>
      </c>
      <c r="Q249" s="1364">
        <f t="shared" si="110"/>
        <v>0</v>
      </c>
      <c r="R249" s="1364"/>
      <c r="S249" s="1324">
        <v>308</v>
      </c>
      <c r="V249" s="1326" t="s">
        <v>5326</v>
      </c>
      <c r="W249" s="1326">
        <v>308</v>
      </c>
      <c r="AA249" s="1320"/>
    </row>
    <row r="250" spans="1:27" s="1324" customFormat="1">
      <c r="A250" s="1324" t="s">
        <v>4682</v>
      </c>
      <c r="B250" s="1324">
        <v>309</v>
      </c>
      <c r="C250" s="1393">
        <v>58</v>
      </c>
      <c r="D250" s="1324" t="s">
        <v>5327</v>
      </c>
      <c r="E250" s="1324" t="s">
        <v>4071</v>
      </c>
      <c r="F250" s="1364">
        <f>+'Allocation Assignment'!F69</f>
        <v>0</v>
      </c>
      <c r="G250" s="1364">
        <f>+$F250*G1994</f>
        <v>0</v>
      </c>
      <c r="H250" s="1364">
        <f>+$F250*H1994</f>
        <v>0</v>
      </c>
      <c r="I250" s="1374">
        <f>IF(F250=0,0,+H250/F250)</f>
        <v>0</v>
      </c>
      <c r="J250" s="1364">
        <f>+H250</f>
        <v>0</v>
      </c>
      <c r="K250" s="1364">
        <f t="shared" ref="K250:Q250" si="111">+$J250*K1994</f>
        <v>0</v>
      </c>
      <c r="L250" s="1364">
        <f t="shared" si="111"/>
        <v>0</v>
      </c>
      <c r="M250" s="1364">
        <f t="shared" si="111"/>
        <v>0</v>
      </c>
      <c r="N250" s="1367">
        <f t="shared" si="111"/>
        <v>0</v>
      </c>
      <c r="O250" s="1367">
        <f t="shared" si="111"/>
        <v>0</v>
      </c>
      <c r="P250" s="1367">
        <f t="shared" si="111"/>
        <v>0</v>
      </c>
      <c r="Q250" s="1364">
        <f t="shared" si="111"/>
        <v>0</v>
      </c>
      <c r="R250" s="1364"/>
      <c r="S250" s="1324">
        <v>309</v>
      </c>
      <c r="V250" s="1326" t="s">
        <v>5328</v>
      </c>
      <c r="W250" s="1326">
        <v>309</v>
      </c>
      <c r="AA250" s="1320"/>
    </row>
    <row r="251" spans="1:27" s="1324" customFormat="1">
      <c r="A251" s="1324" t="s">
        <v>4682</v>
      </c>
      <c r="B251" s="1324">
        <v>310</v>
      </c>
      <c r="C251" s="1393">
        <v>59</v>
      </c>
      <c r="D251" s="1324" t="s">
        <v>5329</v>
      </c>
      <c r="E251" s="1324" t="s">
        <v>4071</v>
      </c>
      <c r="F251" s="1364">
        <f>+'Allocation Assignment'!F70</f>
        <v>3451.5773842684866</v>
      </c>
      <c r="G251" s="1364">
        <f>+$F251*G1997</f>
        <v>0</v>
      </c>
      <c r="H251" s="1364">
        <f>+$F251*H1997</f>
        <v>3451.5773842684866</v>
      </c>
      <c r="I251" s="1374">
        <f>IF(F251=0,0,+H251/F251)</f>
        <v>1</v>
      </c>
      <c r="J251" s="1364">
        <f>+H251</f>
        <v>3451.5773842684866</v>
      </c>
      <c r="K251" s="1364">
        <f t="shared" ref="K251:Q251" si="112">+$J251*K1997</f>
        <v>0</v>
      </c>
      <c r="L251" s="1364">
        <f t="shared" si="112"/>
        <v>0</v>
      </c>
      <c r="M251" s="1364">
        <f t="shared" si="112"/>
        <v>0</v>
      </c>
      <c r="N251" s="1367">
        <f t="shared" si="112"/>
        <v>0</v>
      </c>
      <c r="O251" s="1367">
        <f t="shared" si="112"/>
        <v>0</v>
      </c>
      <c r="P251" s="1367">
        <f t="shared" si="112"/>
        <v>0</v>
      </c>
      <c r="Q251" s="1364">
        <f t="shared" si="112"/>
        <v>3451.5773842684866</v>
      </c>
      <c r="R251" s="1364"/>
      <c r="S251" s="1324">
        <v>310</v>
      </c>
      <c r="V251" s="1326" t="s">
        <v>5302</v>
      </c>
      <c r="W251" s="1326">
        <v>310</v>
      </c>
      <c r="AA251" s="1320"/>
    </row>
    <row r="252" spans="1:27" s="1324" customFormat="1">
      <c r="A252" s="1324" t="s">
        <v>4682</v>
      </c>
      <c r="B252" s="1326"/>
      <c r="C252" s="1393">
        <v>60</v>
      </c>
      <c r="I252" s="1374"/>
      <c r="N252" s="1325"/>
      <c r="O252" s="1325"/>
      <c r="P252" s="1325"/>
      <c r="S252" s="1326"/>
      <c r="T252" s="1326"/>
      <c r="U252" s="1326"/>
      <c r="AA252" s="1320"/>
    </row>
    <row r="253" spans="1:27">
      <c r="A253" s="1320" t="s">
        <v>4682</v>
      </c>
      <c r="B253" s="1321"/>
      <c r="C253" s="1322">
        <v>61</v>
      </c>
      <c r="D253" s="1320" t="s">
        <v>5330</v>
      </c>
      <c r="E253" s="1320" t="s">
        <v>4067</v>
      </c>
      <c r="F253" s="1320">
        <f t="shared" ref="F253:H254" si="113">SUMIF($E$225:$E$251,$E253,F$225:F$251)</f>
        <v>35760.331429222744</v>
      </c>
      <c r="G253" s="1320">
        <f t="shared" si="113"/>
        <v>0</v>
      </c>
      <c r="H253" s="1320">
        <f t="shared" si="113"/>
        <v>35760.331429222744</v>
      </c>
      <c r="I253" s="1323">
        <f>IF(F253=0,0,+H253/F253)</f>
        <v>1</v>
      </c>
      <c r="J253" s="1324">
        <f t="shared" ref="J253:Q253" si="114">SUMIF($E$225:$E$251,$E253,J$225:J$251)</f>
        <v>35760.331429222744</v>
      </c>
      <c r="K253" s="1324">
        <f t="shared" si="114"/>
        <v>22812.956502610148</v>
      </c>
      <c r="L253" s="1324">
        <f t="shared" si="114"/>
        <v>1658.0171060132902</v>
      </c>
      <c r="M253" s="1324">
        <f t="shared" si="114"/>
        <v>10141.652595938071</v>
      </c>
      <c r="N253" s="1324">
        <f t="shared" si="114"/>
        <v>953.42055519359621</v>
      </c>
      <c r="O253" s="1324">
        <f t="shared" si="114"/>
        <v>6.5097698136076213E-4</v>
      </c>
      <c r="P253" s="1324">
        <f t="shared" si="114"/>
        <v>194.28401849066452</v>
      </c>
      <c r="Q253" s="1324">
        <f t="shared" si="114"/>
        <v>0</v>
      </c>
      <c r="S253" s="1321"/>
      <c r="T253" s="1321"/>
      <c r="U253" s="1326"/>
      <c r="V253" s="1326" t="s">
        <v>5331</v>
      </c>
    </row>
    <row r="254" spans="1:27">
      <c r="A254" s="1320" t="s">
        <v>4682</v>
      </c>
      <c r="B254" s="1321"/>
      <c r="C254" s="1322">
        <v>62</v>
      </c>
      <c r="D254" s="1320" t="s">
        <v>5330</v>
      </c>
      <c r="E254" s="1320" t="s">
        <v>4071</v>
      </c>
      <c r="F254" s="1320">
        <f t="shared" si="113"/>
        <v>18434.779499890956</v>
      </c>
      <c r="G254" s="1320">
        <f t="shared" si="113"/>
        <v>0</v>
      </c>
      <c r="H254" s="1320">
        <f t="shared" si="113"/>
        <v>18434.779499890956</v>
      </c>
      <c r="I254" s="1323">
        <f>IF(F254=0,0,+H254/F254)</f>
        <v>1</v>
      </c>
      <c r="J254" s="1324">
        <f t="shared" ref="J254:Q254" si="115">SUMIF($E$225:$E$251,$E$254,J$225:J$251)</f>
        <v>18434.779499890956</v>
      </c>
      <c r="K254" s="1320">
        <f t="shared" si="115"/>
        <v>10347.576773275841</v>
      </c>
      <c r="L254" s="1320">
        <f t="shared" si="115"/>
        <v>2010.4990868506331</v>
      </c>
      <c r="M254" s="1364">
        <f t="shared" si="115"/>
        <v>1154.5872422362431</v>
      </c>
      <c r="N254" s="1324">
        <f t="shared" si="115"/>
        <v>86.730529983003223</v>
      </c>
      <c r="O254" s="1324">
        <f t="shared" si="115"/>
        <v>94.626648996379828</v>
      </c>
      <c r="P254" s="1324">
        <f t="shared" si="115"/>
        <v>19.436183423044227</v>
      </c>
      <c r="Q254" s="1320">
        <f t="shared" si="115"/>
        <v>4721.3230351258117</v>
      </c>
      <c r="S254" s="1321"/>
      <c r="T254" s="1321"/>
      <c r="U254" s="1326"/>
      <c r="V254" s="1326" t="s">
        <v>5332</v>
      </c>
    </row>
    <row r="255" spans="1:27">
      <c r="A255" s="1320" t="s">
        <v>4682</v>
      </c>
      <c r="B255" s="1321"/>
      <c r="C255" s="1322">
        <v>63</v>
      </c>
      <c r="F255" s="1376"/>
      <c r="G255" s="1376"/>
      <c r="H255" s="1376"/>
      <c r="J255" s="1430"/>
      <c r="K255" s="1430"/>
      <c r="L255" s="1430"/>
      <c r="M255" s="1430"/>
      <c r="N255" s="1430"/>
      <c r="O255" s="1430"/>
      <c r="P255" s="1430"/>
      <c r="Q255" s="1430"/>
      <c r="R255" s="1358"/>
      <c r="S255" s="1321"/>
      <c r="T255" s="1321"/>
      <c r="U255" s="1326"/>
    </row>
    <row r="256" spans="1:27">
      <c r="A256" s="1320" t="s">
        <v>4682</v>
      </c>
      <c r="B256" s="1321"/>
      <c r="C256" s="1322">
        <v>64</v>
      </c>
      <c r="D256" s="1320" t="s">
        <v>5333</v>
      </c>
      <c r="F256" s="1350">
        <f>+SUM(F253:F254)</f>
        <v>54195.110929113696</v>
      </c>
      <c r="G256" s="1350">
        <f>SUM(G253:G254)</f>
        <v>0</v>
      </c>
      <c r="H256" s="1350">
        <f>SUM(H253:H254)</f>
        <v>54195.110929113696</v>
      </c>
      <c r="I256" s="1323">
        <f>IF(F256=0,0,+H256/F256)</f>
        <v>1</v>
      </c>
      <c r="J256" s="1366">
        <f t="shared" ref="J256:Q256" si="116">SUM(J253:J254)</f>
        <v>54195.110929113696</v>
      </c>
      <c r="K256" s="1366">
        <f t="shared" si="116"/>
        <v>33160.533275885988</v>
      </c>
      <c r="L256" s="1366">
        <f t="shared" si="116"/>
        <v>3668.5161928639236</v>
      </c>
      <c r="M256" s="1366">
        <f>SUM(M253:M254)</f>
        <v>11296.239838174313</v>
      </c>
      <c r="N256" s="1378">
        <f>SUM(N253:N254)</f>
        <v>1040.1510851765995</v>
      </c>
      <c r="O256" s="1378">
        <f>SUM(O253:O254)</f>
        <v>94.62729997336119</v>
      </c>
      <c r="P256" s="1378">
        <f>SUM(P253:P254)</f>
        <v>213.72020191370876</v>
      </c>
      <c r="Q256" s="1366">
        <f t="shared" si="116"/>
        <v>4721.3230351258117</v>
      </c>
      <c r="R256" s="1358"/>
      <c r="S256" s="1321"/>
      <c r="T256" s="1321"/>
      <c r="U256" s="1326"/>
      <c r="V256" s="1320" t="s">
        <v>5334</v>
      </c>
    </row>
    <row r="257" spans="1:31">
      <c r="A257" s="1320" t="s">
        <v>4682</v>
      </c>
      <c r="B257" s="1321"/>
      <c r="C257" s="1322">
        <v>65</v>
      </c>
      <c r="F257" s="1358"/>
      <c r="G257" s="1358"/>
      <c r="H257" s="1358"/>
      <c r="I257" s="1374"/>
      <c r="K257" s="1364"/>
      <c r="L257" s="1364"/>
      <c r="M257" s="1364"/>
      <c r="N257" s="1367"/>
      <c r="O257" s="1367"/>
      <c r="P257" s="1367"/>
      <c r="Q257" s="1364"/>
      <c r="R257" s="1358"/>
      <c r="S257" s="1321"/>
      <c r="T257" s="1321"/>
      <c r="U257" s="1326"/>
    </row>
    <row r="258" spans="1:31">
      <c r="A258" s="1320" t="s">
        <v>4682</v>
      </c>
      <c r="B258" s="1321"/>
      <c r="C258" s="1322">
        <v>66</v>
      </c>
      <c r="F258" s="1358"/>
      <c r="G258" s="1358"/>
      <c r="H258" s="1358"/>
      <c r="J258" s="1364"/>
      <c r="K258" s="1364"/>
      <c r="L258" s="1364"/>
      <c r="M258" s="1364"/>
      <c r="N258" s="1367"/>
      <c r="O258" s="1367"/>
      <c r="P258" s="1367"/>
      <c r="Q258" s="1364"/>
      <c r="R258" s="1358"/>
      <c r="S258" s="1321"/>
      <c r="T258" s="1321"/>
      <c r="U258" s="1326"/>
    </row>
    <row r="259" spans="1:31">
      <c r="A259" s="1320" t="s">
        <v>4682</v>
      </c>
      <c r="B259" s="1321"/>
      <c r="C259" s="1322">
        <v>67</v>
      </c>
      <c r="D259" s="1356" t="s">
        <v>5335</v>
      </c>
      <c r="G259" s="1320"/>
      <c r="M259" s="1324"/>
      <c r="P259" s="1325"/>
      <c r="S259" s="1321"/>
      <c r="T259" s="1321"/>
      <c r="U259" s="1326"/>
    </row>
    <row r="260" spans="1:31" s="1324" customFormat="1">
      <c r="A260" s="1324" t="s">
        <v>4682</v>
      </c>
      <c r="B260" s="1326"/>
      <c r="C260" s="1393">
        <v>68</v>
      </c>
      <c r="D260" s="1324" t="s">
        <v>5265</v>
      </c>
      <c r="E260" s="1324" t="s">
        <v>4067</v>
      </c>
      <c r="F260" s="1324">
        <f>+F191+F192+F198</f>
        <v>98527.121463102463</v>
      </c>
      <c r="G260" s="1324">
        <f>+G191+G192+G198</f>
        <v>0</v>
      </c>
      <c r="H260" s="1324">
        <f>+H191+H192+H198</f>
        <v>98527.121463102463</v>
      </c>
      <c r="I260" s="1374">
        <f t="shared" ref="I260:I268" si="117">IF(F260=0,0,+H260/F260)</f>
        <v>1</v>
      </c>
      <c r="J260" s="1324">
        <f>+J191+J192+J198</f>
        <v>98527.121463102463</v>
      </c>
      <c r="K260" s="1324">
        <f t="shared" ref="K260:Q260" si="118">+K191+K192+K198</f>
        <v>56575.718208845385</v>
      </c>
      <c r="L260" s="1324">
        <f t="shared" si="118"/>
        <v>4704.8732570425036</v>
      </c>
      <c r="M260" s="1324">
        <f t="shared" si="118"/>
        <v>30449.517769997998</v>
      </c>
      <c r="N260" s="1324">
        <f t="shared" si="118"/>
        <v>3891.6544509214841</v>
      </c>
      <c r="O260" s="1324">
        <f t="shared" si="118"/>
        <v>2800.8359180218408</v>
      </c>
      <c r="P260" s="1324">
        <f t="shared" si="118"/>
        <v>104.52185827325843</v>
      </c>
      <c r="Q260" s="1324">
        <f t="shared" si="118"/>
        <v>0</v>
      </c>
      <c r="S260" s="1326"/>
      <c r="T260" s="1326"/>
      <c r="U260" s="1326"/>
      <c r="V260" s="1324" t="s">
        <v>5336</v>
      </c>
      <c r="AA260" s="1320"/>
    </row>
    <row r="261" spans="1:31" s="1324" customFormat="1">
      <c r="A261" s="1324" t="s">
        <v>4682</v>
      </c>
      <c r="B261" s="1326"/>
      <c r="C261" s="1393">
        <v>69</v>
      </c>
      <c r="D261" s="1324" t="s">
        <v>5265</v>
      </c>
      <c r="E261" s="1324" t="s">
        <v>2067</v>
      </c>
      <c r="F261" s="1324">
        <f>+F193</f>
        <v>29310.186608764699</v>
      </c>
      <c r="G261" s="1324">
        <f>+G193</f>
        <v>0</v>
      </c>
      <c r="H261" s="1324">
        <f>+H193</f>
        <v>29310.186608764699</v>
      </c>
      <c r="I261" s="1374">
        <f t="shared" si="117"/>
        <v>1</v>
      </c>
      <c r="J261" s="1324">
        <f t="shared" ref="J261:Q261" si="119">+J193</f>
        <v>29310.186608764699</v>
      </c>
      <c r="K261" s="1324">
        <f t="shared" si="119"/>
        <v>14790.92213794599</v>
      </c>
      <c r="L261" s="1324">
        <f t="shared" si="119"/>
        <v>1366.8543526662643</v>
      </c>
      <c r="M261" s="1364">
        <f t="shared" si="119"/>
        <v>10182.534023632365</v>
      </c>
      <c r="N261" s="1324">
        <f t="shared" si="119"/>
        <v>1620.8956940210085</v>
      </c>
      <c r="O261" s="1324">
        <f>+O193</f>
        <v>1194.1330887228053</v>
      </c>
      <c r="P261" s="1324">
        <f>+P193</f>
        <v>154.8473117762654</v>
      </c>
      <c r="Q261" s="1324">
        <f t="shared" si="119"/>
        <v>0</v>
      </c>
      <c r="S261" s="1326"/>
      <c r="T261" s="1326"/>
      <c r="U261" s="1326"/>
      <c r="V261" s="1324" t="s">
        <v>5337</v>
      </c>
      <c r="AA261" s="1320"/>
    </row>
    <row r="262" spans="1:31" s="1324" customFormat="1">
      <c r="A262" s="1324" t="s">
        <v>4682</v>
      </c>
      <c r="B262" s="1326"/>
      <c r="C262" s="1393">
        <v>70</v>
      </c>
      <c r="D262" s="1324" t="s">
        <v>5268</v>
      </c>
      <c r="E262" s="1324" t="s">
        <v>4067</v>
      </c>
      <c r="F262" s="1324">
        <f>+F200</f>
        <v>2130.0112029296843</v>
      </c>
      <c r="G262" s="1324">
        <f>+G200</f>
        <v>137.99672901394752</v>
      </c>
      <c r="H262" s="1324">
        <f>+H200</f>
        <v>1992.0144739157365</v>
      </c>
      <c r="I262" s="1374">
        <f t="shared" si="117"/>
        <v>0.93521314403222733</v>
      </c>
      <c r="J262" s="1324">
        <f t="shared" ref="J262:Q262" si="120">+J200</f>
        <v>1992.0144739157365</v>
      </c>
      <c r="K262" s="1324">
        <f t="shared" si="120"/>
        <v>1155.394370986312</v>
      </c>
      <c r="L262" s="1324">
        <f t="shared" si="120"/>
        <v>95.308381657387812</v>
      </c>
      <c r="M262" s="1364">
        <f t="shared" si="120"/>
        <v>609.25860218325909</v>
      </c>
      <c r="N262" s="1324">
        <f t="shared" si="120"/>
        <v>76.057858263154046</v>
      </c>
      <c r="O262" s="1324">
        <f>+O200</f>
        <v>54.582937287810743</v>
      </c>
      <c r="P262" s="1324">
        <f>+P200</f>
        <v>1.41232353781291</v>
      </c>
      <c r="Q262" s="1324">
        <f t="shared" si="120"/>
        <v>0</v>
      </c>
      <c r="S262" s="1326"/>
      <c r="T262" s="1326"/>
      <c r="U262" s="1326"/>
      <c r="V262" s="1324" t="s">
        <v>5338</v>
      </c>
      <c r="AA262" s="1320"/>
    </row>
    <row r="263" spans="1:31" s="1324" customFormat="1">
      <c r="A263" s="1324" t="s">
        <v>4682</v>
      </c>
      <c r="B263" s="1326"/>
      <c r="C263" s="1393">
        <v>71</v>
      </c>
      <c r="D263" s="1324" t="s">
        <v>5239</v>
      </c>
      <c r="E263" s="1324" t="s">
        <v>4067</v>
      </c>
      <c r="F263" s="1324">
        <f>+F205</f>
        <v>5974.5332232361407</v>
      </c>
      <c r="G263" s="1324">
        <f>+G205</f>
        <v>387.07122340847206</v>
      </c>
      <c r="H263" s="1324">
        <f>+H205</f>
        <v>5587.4619998276685</v>
      </c>
      <c r="I263" s="1374">
        <f t="shared" si="117"/>
        <v>0.93521314403222733</v>
      </c>
      <c r="J263" s="1324">
        <f t="shared" ref="J263:Q263" si="121">+J205</f>
        <v>5587.4619998276685</v>
      </c>
      <c r="K263" s="1324">
        <f t="shared" si="121"/>
        <v>3240.800821095786</v>
      </c>
      <c r="L263" s="1324">
        <f t="shared" si="121"/>
        <v>267.33337922435857</v>
      </c>
      <c r="M263" s="1364">
        <f t="shared" si="121"/>
        <v>1708.9279883972783</v>
      </c>
      <c r="N263" s="1324">
        <f t="shared" si="121"/>
        <v>213.3370005079735</v>
      </c>
      <c r="O263" s="1324">
        <f>+O205</f>
        <v>153.10134134473165</v>
      </c>
      <c r="P263" s="1324">
        <f>+P205</f>
        <v>3.9614692575399513</v>
      </c>
      <c r="Q263" s="1324">
        <f t="shared" si="121"/>
        <v>0</v>
      </c>
      <c r="S263" s="1326"/>
      <c r="T263" s="1326"/>
      <c r="U263" s="1326"/>
      <c r="V263" s="1324" t="s">
        <v>5339</v>
      </c>
      <c r="AA263" s="1320"/>
      <c r="AE263" s="1387"/>
    </row>
    <row r="264" spans="1:31" s="1324" customFormat="1">
      <c r="A264" s="1324" t="s">
        <v>4682</v>
      </c>
      <c r="B264" s="1326"/>
      <c r="C264" s="1393">
        <v>72</v>
      </c>
      <c r="D264" s="1324" t="s">
        <v>5240</v>
      </c>
      <c r="E264" s="1324" t="s">
        <v>4067</v>
      </c>
      <c r="F264" s="1324">
        <f>+F225+F228+F235+F242</f>
        <v>30582.492714459502</v>
      </c>
      <c r="G264" s="1324">
        <f>+G225+G228+G235+G242</f>
        <v>0</v>
      </c>
      <c r="H264" s="1324">
        <f>+H225+H228+H235+H242</f>
        <v>30582.492714459502</v>
      </c>
      <c r="I264" s="1374">
        <f t="shared" si="117"/>
        <v>1</v>
      </c>
      <c r="J264" s="1324">
        <f t="shared" ref="J264:Q264" si="122">+J225+J228+J235+J242</f>
        <v>30582.492714459502</v>
      </c>
      <c r="K264" s="1324">
        <f t="shared" si="122"/>
        <v>19035.033154707264</v>
      </c>
      <c r="L264" s="1324">
        <f t="shared" si="122"/>
        <v>1353.8192989563081</v>
      </c>
      <c r="M264" s="1324">
        <f t="shared" si="122"/>
        <v>9064.6654959483076</v>
      </c>
      <c r="N264" s="1324">
        <f t="shared" si="122"/>
        <v>953.42055519359621</v>
      </c>
      <c r="O264" s="1324">
        <f t="shared" si="122"/>
        <v>6.5097698136076213E-4</v>
      </c>
      <c r="P264" s="1324">
        <f t="shared" si="122"/>
        <v>175.55355867704583</v>
      </c>
      <c r="Q264" s="1324">
        <f t="shared" si="122"/>
        <v>0</v>
      </c>
      <c r="S264" s="1326"/>
      <c r="T264" s="1326"/>
      <c r="U264" s="1326"/>
      <c r="V264" s="1324" t="s">
        <v>5340</v>
      </c>
      <c r="AA264" s="1320"/>
    </row>
    <row r="265" spans="1:31" s="1324" customFormat="1">
      <c r="A265" s="1324" t="s">
        <v>4682</v>
      </c>
      <c r="B265" s="1326"/>
      <c r="C265" s="1393">
        <v>73</v>
      </c>
      <c r="D265" s="1324" t="s">
        <v>5241</v>
      </c>
      <c r="E265" s="1324" t="s">
        <v>4067</v>
      </c>
      <c r="F265" s="1324">
        <f>+F230+F237+F244</f>
        <v>5177.8387147632438</v>
      </c>
      <c r="G265" s="1324">
        <f>+G230+G237+G244</f>
        <v>0</v>
      </c>
      <c r="H265" s="1324">
        <f>+H230+H237+H244</f>
        <v>5177.8387147632438</v>
      </c>
      <c r="I265" s="1374">
        <f t="shared" si="117"/>
        <v>1</v>
      </c>
      <c r="J265" s="1324">
        <f t="shared" ref="J265:Q265" si="123">J230+J237+J244</f>
        <v>5177.8387147632438</v>
      </c>
      <c r="K265" s="1324">
        <f t="shared" si="123"/>
        <v>3777.9233479028803</v>
      </c>
      <c r="L265" s="1324">
        <f t="shared" si="123"/>
        <v>304.19780705698207</v>
      </c>
      <c r="M265" s="1364">
        <f t="shared" si="123"/>
        <v>1076.9870999897626</v>
      </c>
      <c r="N265" s="1324">
        <f t="shared" si="123"/>
        <v>0</v>
      </c>
      <c r="O265" s="1324">
        <f>O230+O237+O244</f>
        <v>0</v>
      </c>
      <c r="P265" s="1324">
        <f>P230+P237+P244</f>
        <v>18.730459813618726</v>
      </c>
      <c r="Q265" s="1324">
        <f t="shared" si="123"/>
        <v>0</v>
      </c>
      <c r="S265" s="1326"/>
      <c r="T265" s="1326"/>
      <c r="U265" s="1326"/>
      <c r="V265" s="1324" t="s">
        <v>5341</v>
      </c>
      <c r="AA265" s="1320"/>
    </row>
    <row r="266" spans="1:31" s="1324" customFormat="1">
      <c r="A266" s="1324" t="s">
        <v>4682</v>
      </c>
      <c r="B266" s="1326"/>
      <c r="C266" s="1393">
        <v>74</v>
      </c>
      <c r="D266" s="1324" t="s">
        <v>5242</v>
      </c>
      <c r="E266" s="1324" t="s">
        <v>4071</v>
      </c>
      <c r="F266" s="1324">
        <f>F254</f>
        <v>18434.779499890956</v>
      </c>
      <c r="G266" s="1324">
        <f>G254</f>
        <v>0</v>
      </c>
      <c r="H266" s="1324">
        <f>H254</f>
        <v>18434.779499890956</v>
      </c>
      <c r="I266" s="1374">
        <f t="shared" si="117"/>
        <v>1</v>
      </c>
      <c r="J266" s="1324">
        <f t="shared" ref="J266:Q266" si="124">J254</f>
        <v>18434.779499890956</v>
      </c>
      <c r="K266" s="1324">
        <f t="shared" si="124"/>
        <v>10347.576773275841</v>
      </c>
      <c r="L266" s="1324">
        <f t="shared" si="124"/>
        <v>2010.4990868506331</v>
      </c>
      <c r="M266" s="1364">
        <f t="shared" si="124"/>
        <v>1154.5872422362431</v>
      </c>
      <c r="N266" s="1324">
        <f t="shared" si="124"/>
        <v>86.730529983003223</v>
      </c>
      <c r="O266" s="1324">
        <f>O254</f>
        <v>94.626648996379828</v>
      </c>
      <c r="P266" s="1324">
        <f>P254</f>
        <v>19.436183423044227</v>
      </c>
      <c r="Q266" s="1324">
        <f t="shared" si="124"/>
        <v>4721.3230351258117</v>
      </c>
      <c r="S266" s="1326"/>
      <c r="T266" s="1326"/>
      <c r="U266" s="1326"/>
      <c r="V266" s="1326" t="s">
        <v>5342</v>
      </c>
      <c r="AA266" s="1320"/>
    </row>
    <row r="267" spans="1:31" s="1324" customFormat="1">
      <c r="A267" s="1324" t="s">
        <v>4682</v>
      </c>
      <c r="B267" s="1326"/>
      <c r="C267" s="1393">
        <v>75</v>
      </c>
      <c r="D267" s="1324" t="s">
        <v>5244</v>
      </c>
      <c r="E267" s="1324" t="s">
        <v>4071</v>
      </c>
      <c r="F267" s="1366">
        <v>0</v>
      </c>
      <c r="G267" s="1366">
        <v>0</v>
      </c>
      <c r="H267" s="1366">
        <v>0</v>
      </c>
      <c r="I267" s="1374">
        <f t="shared" si="117"/>
        <v>0</v>
      </c>
      <c r="J267" s="1366">
        <f t="shared" ref="J267:P267" si="125">+H267</f>
        <v>0</v>
      </c>
      <c r="K267" s="1366">
        <f t="shared" si="125"/>
        <v>0</v>
      </c>
      <c r="L267" s="1366">
        <f t="shared" si="125"/>
        <v>0</v>
      </c>
      <c r="M267" s="1364">
        <f t="shared" si="125"/>
        <v>0</v>
      </c>
      <c r="N267" s="1366">
        <f t="shared" si="125"/>
        <v>0</v>
      </c>
      <c r="O267" s="1366">
        <f t="shared" si="125"/>
        <v>0</v>
      </c>
      <c r="P267" s="1366">
        <f t="shared" si="125"/>
        <v>0</v>
      </c>
      <c r="Q267" s="1366">
        <f>+M267</f>
        <v>0</v>
      </c>
      <c r="R267" s="1416"/>
      <c r="S267" s="1326"/>
      <c r="T267" s="1326"/>
      <c r="U267" s="1326"/>
      <c r="V267" s="1324" t="s">
        <v>5343</v>
      </c>
      <c r="AA267" s="1320"/>
    </row>
    <row r="268" spans="1:31" s="1324" customFormat="1">
      <c r="A268" s="1324" t="s">
        <v>4682</v>
      </c>
      <c r="B268" s="1326"/>
      <c r="C268" s="1393">
        <v>76</v>
      </c>
      <c r="D268" s="1324" t="s">
        <v>5344</v>
      </c>
      <c r="F268" s="1421">
        <f>SUM(F260:F267)</f>
        <v>190136.96342714669</v>
      </c>
      <c r="G268" s="1421">
        <f>SUM(G260:G267)</f>
        <v>525.06795242241958</v>
      </c>
      <c r="H268" s="1421">
        <f>SUM(H260:H267)</f>
        <v>189611.89547472427</v>
      </c>
      <c r="I268" s="1374">
        <f t="shared" si="117"/>
        <v>0.99723847513414399</v>
      </c>
      <c r="J268" s="1421">
        <f t="shared" ref="J268:Q268" si="126">SUM(J260:J267)</f>
        <v>189611.89547472427</v>
      </c>
      <c r="K268" s="1421">
        <f t="shared" si="126"/>
        <v>108923.36881475945</v>
      </c>
      <c r="L268" s="1421">
        <f t="shared" si="126"/>
        <v>10102.885563454438</v>
      </c>
      <c r="M268" s="1421">
        <f t="shared" si="126"/>
        <v>54246.478222385216</v>
      </c>
      <c r="N268" s="1422">
        <f t="shared" si="126"/>
        <v>6842.09608889022</v>
      </c>
      <c r="O268" s="1422">
        <f>SUM(O260:O267)</f>
        <v>4297.2805853505497</v>
      </c>
      <c r="P268" s="1422">
        <f>SUM(P260:P267)</f>
        <v>478.46316475858549</v>
      </c>
      <c r="Q268" s="1421">
        <f t="shared" si="126"/>
        <v>4721.3230351258117</v>
      </c>
      <c r="S268" s="1326"/>
      <c r="T268" s="1326"/>
      <c r="U268" s="1326"/>
      <c r="V268" s="1324" t="s">
        <v>5345</v>
      </c>
      <c r="AA268" s="1320"/>
    </row>
    <row r="269" spans="1:31">
      <c r="B269" s="1321"/>
      <c r="F269" s="1358"/>
      <c r="G269" s="1358"/>
      <c r="H269" s="1358"/>
      <c r="J269" s="1364"/>
      <c r="K269" s="1364"/>
      <c r="L269" s="1364"/>
      <c r="M269" s="1367"/>
      <c r="N269" s="1367"/>
      <c r="O269" s="1367"/>
      <c r="P269" s="1364"/>
      <c r="Q269" s="1364"/>
      <c r="S269" s="1321"/>
      <c r="T269" s="1321"/>
      <c r="U269" s="1326"/>
    </row>
    <row r="270" spans="1:31">
      <c r="B270" s="1321"/>
      <c r="F270" s="1358"/>
      <c r="G270" s="1358"/>
      <c r="H270" s="1358"/>
      <c r="J270" s="1364"/>
      <c r="K270" s="1364"/>
      <c r="L270" s="1364"/>
      <c r="M270" s="1367"/>
      <c r="N270" s="1367"/>
      <c r="O270" s="1367"/>
      <c r="P270" s="1364"/>
      <c r="Q270" s="1364"/>
      <c r="S270" s="1321"/>
      <c r="T270" s="1321"/>
      <c r="U270" s="1326"/>
    </row>
    <row r="271" spans="1:31">
      <c r="B271" s="1321"/>
      <c r="F271" s="1358"/>
      <c r="G271" s="1358"/>
      <c r="H271" s="1358"/>
      <c r="J271" s="1364"/>
      <c r="K271" s="1364"/>
      <c r="L271" s="1364"/>
      <c r="M271" s="1367"/>
      <c r="N271" s="1367"/>
      <c r="O271" s="1367"/>
      <c r="P271" s="1364"/>
      <c r="Q271" s="1364"/>
      <c r="S271" s="1321"/>
      <c r="T271" s="1321"/>
      <c r="U271" s="1326"/>
    </row>
    <row r="272" spans="1:31">
      <c r="B272" s="1321"/>
      <c r="F272" s="1358"/>
      <c r="G272" s="1358"/>
      <c r="H272" s="1358"/>
      <c r="J272" s="1364"/>
      <c r="K272" s="1364"/>
      <c r="L272" s="1364"/>
      <c r="M272" s="1367"/>
      <c r="N272" s="1367"/>
      <c r="O272" s="1367"/>
      <c r="P272" s="1364"/>
      <c r="Q272" s="1364"/>
      <c r="S272" s="1321"/>
      <c r="T272" s="1321"/>
      <c r="U272" s="1326"/>
    </row>
    <row r="273" spans="1:27">
      <c r="B273" s="1321"/>
      <c r="F273" s="1358"/>
      <c r="G273" s="1358"/>
      <c r="H273" s="1358"/>
      <c r="J273" s="1364"/>
      <c r="K273" s="1364"/>
      <c r="L273" s="1364"/>
      <c r="M273" s="1367"/>
      <c r="N273" s="1367"/>
      <c r="O273" s="1367"/>
      <c r="P273" s="1364"/>
      <c r="Q273" s="1364"/>
      <c r="S273" s="1321"/>
      <c r="T273" s="1333"/>
      <c r="U273" s="1326"/>
    </row>
    <row r="274" spans="1:27">
      <c r="C274" s="1340" t="str">
        <f>+C$2</f>
        <v>RATES WITH REVENUE DEFICIENCY ADDITION</v>
      </c>
      <c r="F274" s="1333"/>
      <c r="G274" s="1327" t="s">
        <v>2173</v>
      </c>
      <c r="I274" s="1334" t="s">
        <v>4882</v>
      </c>
      <c r="L274" s="1329" t="s">
        <v>2173</v>
      </c>
      <c r="M274" s="1330"/>
      <c r="N274" s="1330"/>
      <c r="O274" s="1330"/>
      <c r="S274" s="1334" t="s">
        <v>4889</v>
      </c>
      <c r="T274" s="1333" t="s">
        <v>2173</v>
      </c>
      <c r="U274" s="1431"/>
      <c r="V274" s="1332" t="s">
        <v>4772</v>
      </c>
    </row>
    <row r="275" spans="1:27" s="1324" customFormat="1">
      <c r="C275" s="1340" t="str">
        <f>+C$3</f>
        <v>PROD. CAP. ALLOC. METHOD: 12 CP &amp; 1/13th AD</v>
      </c>
      <c r="D275" s="1364"/>
      <c r="G275" s="1336" t="s">
        <v>4768</v>
      </c>
      <c r="H275" s="1320"/>
      <c r="I275" s="1335" t="s">
        <v>5298</v>
      </c>
      <c r="L275" s="1336" t="s">
        <v>5141</v>
      </c>
      <c r="M275" s="1337"/>
      <c r="N275" s="1337"/>
      <c r="O275" s="1337"/>
      <c r="R275" s="1331"/>
      <c r="S275" s="1335" t="s">
        <v>5346</v>
      </c>
      <c r="T275" s="1336" t="s">
        <v>5141</v>
      </c>
      <c r="U275" s="1326"/>
      <c r="V275" s="1334" t="s">
        <v>4889</v>
      </c>
      <c r="AA275" s="1320"/>
    </row>
    <row r="276" spans="1:27">
      <c r="B276" s="1321"/>
      <c r="C276" s="1340" t="str">
        <f>+C$4</f>
        <v>PROJECTED CALENDAR YEAR 2025; FULLY ADJUSTED DATA</v>
      </c>
      <c r="G276" s="1336" t="s">
        <v>2181</v>
      </c>
      <c r="L276" s="1336" t="s">
        <v>2181</v>
      </c>
      <c r="S276" s="1321"/>
      <c r="T276" s="1339"/>
      <c r="U276" s="1326"/>
    </row>
    <row r="277" spans="1:27">
      <c r="B277" s="1321"/>
      <c r="C277" s="1340" t="str">
        <f>+C$5</f>
        <v>MINIMUM DISTRIBUTION SYSTEM (MDS) NOT EMPLOYED</v>
      </c>
      <c r="G277" s="1320"/>
      <c r="L277" s="1336"/>
      <c r="M277" s="1337"/>
      <c r="N277" s="1337"/>
      <c r="O277" s="1337"/>
      <c r="S277" s="1321"/>
      <c r="T277" s="1333"/>
      <c r="U277" s="1326"/>
    </row>
    <row r="278" spans="1:27">
      <c r="B278" s="1321"/>
      <c r="C278" s="1340" t="str">
        <f>+C$6</f>
        <v>Tampa Electric 2025 OB Budget</v>
      </c>
      <c r="F278" s="1327"/>
      <c r="G278" s="1333" t="s">
        <v>5277</v>
      </c>
      <c r="L278" s="1336" t="s">
        <v>5277</v>
      </c>
      <c r="M278" s="1337"/>
      <c r="N278" s="1337"/>
      <c r="O278" s="1337"/>
      <c r="S278" s="1321"/>
      <c r="T278" s="1333" t="s">
        <v>5277</v>
      </c>
      <c r="U278" s="1326"/>
    </row>
    <row r="279" spans="1:27">
      <c r="B279" s="1321"/>
      <c r="F279" s="1333"/>
      <c r="G279" s="1320"/>
      <c r="L279" s="1336"/>
      <c r="M279" s="1337"/>
      <c r="N279" s="1337"/>
      <c r="O279" s="1337"/>
      <c r="S279" s="1321"/>
      <c r="T279" s="1321"/>
      <c r="U279" s="1326"/>
    </row>
    <row r="280" spans="1:27" hidden="1">
      <c r="B280" s="1321"/>
      <c r="F280" s="1333"/>
      <c r="G280" s="1320"/>
      <c r="L280" s="1336"/>
      <c r="M280" s="1337"/>
      <c r="N280" s="1337"/>
      <c r="O280" s="1337"/>
      <c r="S280" s="1321"/>
      <c r="T280" s="1321"/>
      <c r="U280" s="1326"/>
    </row>
    <row r="281" spans="1:27" ht="21.75" customHeight="1">
      <c r="B281" s="1321"/>
      <c r="G281" s="1320"/>
      <c r="S281" s="1321"/>
      <c r="T281" s="1321"/>
      <c r="U281" s="1326"/>
    </row>
    <row r="282" spans="1:27">
      <c r="B282" s="1321"/>
      <c r="C282" s="1342"/>
      <c r="D282" s="1331"/>
      <c r="E282" s="1331"/>
      <c r="F282" s="1333"/>
      <c r="G282" s="1333"/>
      <c r="H282" s="1333"/>
      <c r="I282" s="1343"/>
      <c r="J282" s="1416"/>
      <c r="K282" s="1336"/>
      <c r="L282" s="1416"/>
      <c r="M282" s="1417"/>
      <c r="N282" s="1417"/>
      <c r="O282" s="1417"/>
      <c r="P282" s="3164"/>
      <c r="Q282" s="3164"/>
      <c r="R282" s="1333"/>
      <c r="S282" s="1321"/>
      <c r="T282" s="1321"/>
      <c r="U282" s="1326"/>
    </row>
    <row r="283" spans="1:27" ht="30" customHeight="1">
      <c r="A283" s="1418" t="s">
        <v>4683</v>
      </c>
      <c r="B283" s="1425" t="s">
        <v>5143</v>
      </c>
      <c r="C283" s="1349" t="s">
        <v>4297</v>
      </c>
      <c r="D283" s="1418"/>
      <c r="E283" s="1418"/>
      <c r="F283" s="1348" t="s">
        <v>5144</v>
      </c>
      <c r="G283" s="1348" t="s">
        <v>4956</v>
      </c>
      <c r="H283" s="1348" t="s">
        <v>4957</v>
      </c>
      <c r="I283" s="1426" t="s">
        <v>5145</v>
      </c>
      <c r="J283" s="1352" t="s">
        <v>4957</v>
      </c>
      <c r="K283" s="1353" t="s">
        <v>1949</v>
      </c>
      <c r="L283" s="1353" t="s">
        <v>1950</v>
      </c>
      <c r="M283" s="1354" t="s">
        <v>1934</v>
      </c>
      <c r="N283" s="1354" t="s">
        <v>1971</v>
      </c>
      <c r="O283" s="1354" t="s">
        <v>1972</v>
      </c>
      <c r="P283" s="1352" t="s">
        <v>5146</v>
      </c>
      <c r="Q283" s="1352" t="s">
        <v>5147</v>
      </c>
      <c r="R283" s="1355"/>
      <c r="S283" s="1348" t="s">
        <v>5299</v>
      </c>
      <c r="T283" s="1348"/>
      <c r="U283" s="1352"/>
      <c r="V283" s="1355" t="s">
        <v>4774</v>
      </c>
    </row>
    <row r="284" spans="1:27" ht="9" customHeight="1">
      <c r="B284" s="1321"/>
      <c r="G284" s="1320"/>
      <c r="S284" s="1321"/>
      <c r="T284" s="1321"/>
      <c r="U284" s="1326"/>
    </row>
    <row r="285" spans="1:27">
      <c r="A285" s="1320" t="s">
        <v>4682</v>
      </c>
      <c r="B285" s="1321"/>
      <c r="C285" s="1322">
        <v>77</v>
      </c>
      <c r="D285" s="1356" t="s">
        <v>5347</v>
      </c>
      <c r="G285" s="1320"/>
      <c r="S285" s="1321"/>
      <c r="T285" s="1321"/>
      <c r="U285" s="1326"/>
    </row>
    <row r="286" spans="1:27">
      <c r="A286" s="1320" t="s">
        <v>4682</v>
      </c>
      <c r="B286" s="1320">
        <v>507</v>
      </c>
      <c r="C286" s="1322">
        <v>78</v>
      </c>
      <c r="D286" s="1320" t="s">
        <v>5348</v>
      </c>
      <c r="E286" s="1320" t="s">
        <v>4071</v>
      </c>
      <c r="F286" s="1320">
        <f>+'Allocation Assignment'!F71</f>
        <v>5796.7804260915</v>
      </c>
      <c r="G286" s="1358">
        <f>+$F286*G2046</f>
        <v>0</v>
      </c>
      <c r="H286" s="1358">
        <f>+$F286*H2046</f>
        <v>5796.7804260915</v>
      </c>
      <c r="I286" s="1323">
        <f t="shared" ref="I286:I291" si="127">IF(F286=0,0,+H286/F286)</f>
        <v>1</v>
      </c>
      <c r="J286" s="1364">
        <f>+H286</f>
        <v>5796.7804260915</v>
      </c>
      <c r="K286" s="1364">
        <f t="shared" ref="K286:Q286" si="128">+$J286*K2046</f>
        <v>3368.573279324652</v>
      </c>
      <c r="L286" s="1364">
        <f t="shared" si="128"/>
        <v>311.06890626892732</v>
      </c>
      <c r="M286" s="1364">
        <f t="shared" si="128"/>
        <v>1543.3528515968089</v>
      </c>
      <c r="N286" s="1367">
        <f t="shared" si="128"/>
        <v>183.76340222890926</v>
      </c>
      <c r="O286" s="1367">
        <f t="shared" si="128"/>
        <v>108.1423413530803</v>
      </c>
      <c r="P286" s="1367">
        <f t="shared" si="128"/>
        <v>11.674436777069186</v>
      </c>
      <c r="Q286" s="1364">
        <f t="shared" si="128"/>
        <v>270.20520854205262</v>
      </c>
      <c r="R286" s="1364"/>
      <c r="S286" s="1324">
        <v>507</v>
      </c>
      <c r="T286" s="1324"/>
      <c r="V286" s="1321" t="s">
        <v>5349</v>
      </c>
      <c r="W286" s="1321">
        <v>507</v>
      </c>
    </row>
    <row r="287" spans="1:27">
      <c r="A287" s="1320" t="s">
        <v>4682</v>
      </c>
      <c r="B287" s="1320">
        <v>412</v>
      </c>
      <c r="C287" s="1322">
        <v>79</v>
      </c>
      <c r="D287" s="1320" t="s">
        <v>5350</v>
      </c>
      <c r="E287" s="1320" t="s">
        <v>4071</v>
      </c>
      <c r="F287" s="1320">
        <f>+'Allocation Assignment'!F72</f>
        <v>29376.6058748381</v>
      </c>
      <c r="G287" s="1358">
        <f>+$F287*G2000</f>
        <v>0</v>
      </c>
      <c r="H287" s="1358">
        <f>+$F287*H2000</f>
        <v>29376.6058748381</v>
      </c>
      <c r="I287" s="1323">
        <f t="shared" si="127"/>
        <v>1</v>
      </c>
      <c r="J287" s="1364">
        <f>+H287</f>
        <v>29376.6058748381</v>
      </c>
      <c r="K287" s="1364">
        <f t="shared" ref="K287:Q287" si="129">+$J287*K2021</f>
        <v>26200.607436047747</v>
      </c>
      <c r="L287" s="1364">
        <f t="shared" si="129"/>
        <v>2539.9130279881056</v>
      </c>
      <c r="M287" s="1364">
        <f t="shared" si="129"/>
        <v>625.55893308492159</v>
      </c>
      <c r="N287" s="1367">
        <f t="shared" si="129"/>
        <v>2.1121087976509902</v>
      </c>
      <c r="O287" s="1367">
        <f t="shared" si="129"/>
        <v>0.37472898022840156</v>
      </c>
      <c r="P287" s="1367">
        <f t="shared" si="129"/>
        <v>8.0396399394457045</v>
      </c>
      <c r="Q287" s="1364">
        <f t="shared" si="129"/>
        <v>0</v>
      </c>
      <c r="R287" s="1358"/>
      <c r="S287" s="1320">
        <v>412</v>
      </c>
      <c r="V287" s="1321" t="s">
        <v>5245</v>
      </c>
      <c r="W287" s="1321">
        <v>412</v>
      </c>
    </row>
    <row r="288" spans="1:27">
      <c r="A288" s="1320" t="s">
        <v>4682</v>
      </c>
      <c r="B288" s="1320">
        <v>311</v>
      </c>
      <c r="C288" s="1322">
        <v>80</v>
      </c>
      <c r="D288" s="1320" t="s">
        <v>5351</v>
      </c>
      <c r="E288" s="1320" t="s">
        <v>4071</v>
      </c>
      <c r="F288" s="1320">
        <f>+'Allocation Assignment'!F73</f>
        <v>4394.4262944155998</v>
      </c>
      <c r="G288" s="1358">
        <f>+$F288*G2001</f>
        <v>0</v>
      </c>
      <c r="H288" s="1358">
        <f>+$F288*H2000</f>
        <v>4394.4262944155998</v>
      </c>
      <c r="I288" s="1323">
        <f t="shared" si="127"/>
        <v>1</v>
      </c>
      <c r="J288" s="1364">
        <f>+H288</f>
        <v>4394.4262944155998</v>
      </c>
      <c r="K288" s="1364">
        <f t="shared" ref="K288:Q288" si="130">+$J288*K2000</f>
        <v>3896.546152176621</v>
      </c>
      <c r="L288" s="1364">
        <f t="shared" si="130"/>
        <v>381.51978037516085</v>
      </c>
      <c r="M288" s="1364">
        <f t="shared" si="130"/>
        <v>110.63692992499695</v>
      </c>
      <c r="N288" s="1367">
        <f t="shared" si="130"/>
        <v>1.6615471157330242</v>
      </c>
      <c r="O288" s="1367">
        <f t="shared" si="130"/>
        <v>0.59598972629554137</v>
      </c>
      <c r="P288" s="1367">
        <f t="shared" si="130"/>
        <v>3.46589509679188</v>
      </c>
      <c r="Q288" s="1364">
        <f t="shared" si="130"/>
        <v>0</v>
      </c>
      <c r="R288" s="1364"/>
      <c r="S288" s="1320">
        <v>311</v>
      </c>
      <c r="T288" s="1365"/>
      <c r="V288" s="1321" t="s">
        <v>5352</v>
      </c>
      <c r="W288" s="1321">
        <v>311</v>
      </c>
    </row>
    <row r="289" spans="1:27">
      <c r="A289" s="1320" t="s">
        <v>4682</v>
      </c>
      <c r="B289" s="1320">
        <v>412</v>
      </c>
      <c r="C289" s="1322">
        <v>81</v>
      </c>
      <c r="D289" s="1320" t="s">
        <v>5353</v>
      </c>
      <c r="E289" s="1320" t="s">
        <v>4071</v>
      </c>
      <c r="F289" s="1320">
        <f>+'Allocation Assignment'!F74</f>
        <v>5164.9798171764114</v>
      </c>
      <c r="G289" s="1358">
        <f>+$F289*G2021</f>
        <v>0</v>
      </c>
      <c r="H289" s="1358">
        <f>+$F289*H2021</f>
        <v>5164.9798171764114</v>
      </c>
      <c r="I289" s="1323">
        <f t="shared" si="127"/>
        <v>1</v>
      </c>
      <c r="J289" s="1364">
        <f>+H289</f>
        <v>5164.9798171764114</v>
      </c>
      <c r="K289" s="1364">
        <f t="shared" ref="K289:Q289" si="131">+$J289*K2021</f>
        <v>4606.5773963648762</v>
      </c>
      <c r="L289" s="1364">
        <f t="shared" si="131"/>
        <v>446.56620927669678</v>
      </c>
      <c r="M289" s="1364">
        <f t="shared" si="131"/>
        <v>109.98545160744634</v>
      </c>
      <c r="N289" s="1364">
        <f t="shared" si="131"/>
        <v>0.37134988834404353</v>
      </c>
      <c r="O289" s="1364">
        <f t="shared" si="131"/>
        <v>6.5884657609427091E-2</v>
      </c>
      <c r="P289" s="1364">
        <f t="shared" si="131"/>
        <v>1.4135253814386175</v>
      </c>
      <c r="Q289" s="1364">
        <f t="shared" si="131"/>
        <v>0</v>
      </c>
      <c r="R289" s="1358"/>
      <c r="S289" s="1320">
        <v>412</v>
      </c>
      <c r="T289" s="1365"/>
      <c r="V289" s="1321" t="s">
        <v>5245</v>
      </c>
      <c r="W289" s="1321">
        <v>412</v>
      </c>
    </row>
    <row r="290" spans="1:27">
      <c r="A290" s="1320" t="s">
        <v>4682</v>
      </c>
      <c r="B290" s="1320">
        <v>412</v>
      </c>
      <c r="C290" s="1322">
        <v>82</v>
      </c>
      <c r="D290" s="1320" t="s">
        <v>5354</v>
      </c>
      <c r="E290" s="1320" t="s">
        <v>4071</v>
      </c>
      <c r="F290" s="1320">
        <f>+'Allocation Assignment'!F75</f>
        <v>311.50189999999998</v>
      </c>
      <c r="G290" s="1358">
        <f>+$F290*G2021</f>
        <v>0</v>
      </c>
      <c r="H290" s="1358">
        <f>+$F290*H2021</f>
        <v>311.50189999999998</v>
      </c>
      <c r="I290" s="1323">
        <f t="shared" si="127"/>
        <v>1</v>
      </c>
      <c r="J290" s="1364">
        <f>+H290</f>
        <v>311.50189999999998</v>
      </c>
      <c r="K290" s="1364">
        <f t="shared" ref="K290:Q290" si="132">+$J290*K2021</f>
        <v>277.8244373177771</v>
      </c>
      <c r="L290" s="1364">
        <f t="shared" si="132"/>
        <v>26.932578168627806</v>
      </c>
      <c r="M290" s="1364">
        <f t="shared" si="132"/>
        <v>6.6332644774606679</v>
      </c>
      <c r="N290" s="1364">
        <f t="shared" si="132"/>
        <v>2.2396253204953514E-2</v>
      </c>
      <c r="O290" s="1364">
        <f t="shared" si="132"/>
        <v>3.9735287944272363E-3</v>
      </c>
      <c r="P290" s="1364">
        <f t="shared" si="132"/>
        <v>8.5250254134984341E-2</v>
      </c>
      <c r="Q290" s="1364">
        <f t="shared" si="132"/>
        <v>0</v>
      </c>
      <c r="R290" s="1358"/>
      <c r="S290" s="1320">
        <v>412</v>
      </c>
      <c r="V290" s="1321" t="s">
        <v>5245</v>
      </c>
      <c r="W290" s="1321">
        <v>412</v>
      </c>
    </row>
    <row r="291" spans="1:27">
      <c r="A291" s="1320" t="s">
        <v>4682</v>
      </c>
      <c r="B291" s="1321"/>
      <c r="C291" s="1322">
        <v>83</v>
      </c>
      <c r="D291" s="1320" t="s">
        <v>5355</v>
      </c>
      <c r="F291" s="1427">
        <f>+SUM(F286:F290)</f>
        <v>45044.294312521619</v>
      </c>
      <c r="G291" s="1427">
        <f>SUM(G286:G290)</f>
        <v>0</v>
      </c>
      <c r="H291" s="1427">
        <f>SUM(H286:H290)</f>
        <v>45044.294312521619</v>
      </c>
      <c r="I291" s="1323">
        <f t="shared" si="127"/>
        <v>1</v>
      </c>
      <c r="J291" s="1421">
        <f t="shared" ref="J291:Q291" si="133">SUM(J286:J290)</f>
        <v>45044.294312521619</v>
      </c>
      <c r="K291" s="1421">
        <f t="shared" si="133"/>
        <v>38350.128701231675</v>
      </c>
      <c r="L291" s="1421">
        <f t="shared" si="133"/>
        <v>3706.0005020775184</v>
      </c>
      <c r="M291" s="1421">
        <f>SUM(M286:M290)</f>
        <v>2396.1674306916348</v>
      </c>
      <c r="N291" s="1422">
        <f t="shared" si="133"/>
        <v>187.93080428384226</v>
      </c>
      <c r="O291" s="1422">
        <f>SUM(O286:O290)</f>
        <v>109.1829182460081</v>
      </c>
      <c r="P291" s="1422">
        <f>SUM(P286:P290)</f>
        <v>24.678747448880369</v>
      </c>
      <c r="Q291" s="1421">
        <f t="shared" si="133"/>
        <v>270.20520854205262</v>
      </c>
      <c r="R291" s="1358"/>
      <c r="S291" s="1321"/>
      <c r="T291" s="1321"/>
      <c r="U291" s="1326"/>
      <c r="V291" s="1320" t="s">
        <v>5356</v>
      </c>
    </row>
    <row r="292" spans="1:27">
      <c r="A292" s="1320" t="s">
        <v>4682</v>
      </c>
      <c r="B292" s="1321"/>
      <c r="C292" s="1322">
        <v>84</v>
      </c>
      <c r="G292" s="1320"/>
      <c r="M292" s="1324"/>
      <c r="P292" s="1325"/>
      <c r="S292" s="1321"/>
      <c r="T292" s="1321"/>
      <c r="U292" s="1326"/>
    </row>
    <row r="293" spans="1:27">
      <c r="A293" s="1320" t="s">
        <v>4682</v>
      </c>
      <c r="B293" s="1321"/>
      <c r="C293" s="1322">
        <v>85</v>
      </c>
      <c r="D293" s="1356" t="s">
        <v>5357</v>
      </c>
      <c r="G293" s="1320"/>
      <c r="M293" s="1324"/>
      <c r="P293" s="1325"/>
      <c r="S293" s="1321"/>
      <c r="T293" s="1321"/>
      <c r="U293" s="1326"/>
    </row>
    <row r="294" spans="1:27">
      <c r="A294" s="1320" t="s">
        <v>4682</v>
      </c>
      <c r="B294" s="1320">
        <v>101</v>
      </c>
      <c r="C294" s="1322">
        <v>86</v>
      </c>
      <c r="D294" s="1320" t="s">
        <v>5265</v>
      </c>
      <c r="E294" s="1320" t="s">
        <v>4067</v>
      </c>
      <c r="F294" s="1320">
        <f>+'Allocation Assignment'!F76-'Allocation Assignment'!F85</f>
        <v>57914.988842500505</v>
      </c>
      <c r="G294" s="1358">
        <f>+$F294*G$1933</f>
        <v>0</v>
      </c>
      <c r="H294" s="1358">
        <f>+$F294*H$1933</f>
        <v>57914.988842500505</v>
      </c>
      <c r="I294" s="1323">
        <f t="shared" ref="I294:I303" si="134">IF(F294=0,0,+H294/F294)</f>
        <v>1</v>
      </c>
      <c r="J294" s="1364">
        <f t="shared" ref="J294:J302" si="135">+H294</f>
        <v>57914.988842500505</v>
      </c>
      <c r="K294" s="1324">
        <f t="shared" ref="K294:Q294" si="136">$J294*K$1951</f>
        <v>33255.63601336698</v>
      </c>
      <c r="L294" s="1324">
        <f t="shared" si="136"/>
        <v>2765.5601639497604</v>
      </c>
      <c r="M294" s="1324">
        <f t="shared" si="136"/>
        <v>17898.457355920662</v>
      </c>
      <c r="N294" s="1324">
        <f t="shared" si="136"/>
        <v>2287.5439854232413</v>
      </c>
      <c r="O294" s="1324">
        <f t="shared" si="136"/>
        <v>1646.3525832595842</v>
      </c>
      <c r="P294" s="1324">
        <f t="shared" si="136"/>
        <v>61.438740580278903</v>
      </c>
      <c r="Q294" s="1324">
        <f t="shared" si="136"/>
        <v>0</v>
      </c>
      <c r="R294" s="1324"/>
      <c r="S294" s="1324">
        <v>122</v>
      </c>
      <c r="V294" s="1321" t="s">
        <v>9476</v>
      </c>
      <c r="W294" s="1321">
        <v>122</v>
      </c>
    </row>
    <row r="295" spans="1:27" s="1324" customFormat="1">
      <c r="A295" s="1324" t="s">
        <v>4682</v>
      </c>
      <c r="B295" s="1324">
        <v>101</v>
      </c>
      <c r="C295" s="1393">
        <v>87</v>
      </c>
      <c r="D295" s="1324" t="s">
        <v>5358</v>
      </c>
      <c r="E295" s="1324" t="s">
        <v>4067</v>
      </c>
      <c r="F295" s="1320">
        <f>+'Allocation Assignment'!F77-'Allocation Assignment'!F86</f>
        <v>3179.9221784590645</v>
      </c>
      <c r="G295" s="1364">
        <f>+$F295*G$1933</f>
        <v>0</v>
      </c>
      <c r="H295" s="1364">
        <f>+$F295*H$1933</f>
        <v>3179.9221784590645</v>
      </c>
      <c r="I295" s="1374">
        <f>IF(F295=0,0,+H295/F295)</f>
        <v>1</v>
      </c>
      <c r="J295" s="1364">
        <f>+H295</f>
        <v>3179.9221784590645</v>
      </c>
      <c r="K295" s="1324">
        <f t="shared" ref="K295:Q295" si="137">$J295*K$1948</f>
        <v>1825.9579537389725</v>
      </c>
      <c r="L295" s="1324">
        <f t="shared" si="137"/>
        <v>151.84784244926107</v>
      </c>
      <c r="M295" s="1324">
        <f t="shared" si="137"/>
        <v>982.74561808304645</v>
      </c>
      <c r="N295" s="1324">
        <f t="shared" si="137"/>
        <v>125.60154113523501</v>
      </c>
      <c r="O295" s="1324">
        <f t="shared" si="137"/>
        <v>90.395823217851628</v>
      </c>
      <c r="P295" s="1324">
        <f t="shared" si="137"/>
        <v>3.3733998346978979</v>
      </c>
      <c r="Q295" s="1324">
        <f t="shared" si="137"/>
        <v>0</v>
      </c>
      <c r="S295" s="1324">
        <v>121</v>
      </c>
      <c r="V295" s="1326" t="s">
        <v>5287</v>
      </c>
      <c r="W295" s="1326">
        <v>121</v>
      </c>
      <c r="AA295" s="1320"/>
    </row>
    <row r="296" spans="1:27">
      <c r="A296" s="1320" t="s">
        <v>4682</v>
      </c>
      <c r="B296" s="1320">
        <v>201</v>
      </c>
      <c r="C296" s="1322">
        <v>88</v>
      </c>
      <c r="D296" s="1320" t="s">
        <v>5265</v>
      </c>
      <c r="E296" s="1320" t="s">
        <v>2067</v>
      </c>
      <c r="F296" s="1320">
        <f>+'Allocation Assignment'!F78-'Allocation Assignment'!F86</f>
        <v>12296.231975077957</v>
      </c>
      <c r="G296" s="1358">
        <f>+$F296*G$1969</f>
        <v>0</v>
      </c>
      <c r="H296" s="1358">
        <f>+$F296*H$1969</f>
        <v>12296.231975077957</v>
      </c>
      <c r="I296" s="1323">
        <f t="shared" si="134"/>
        <v>1</v>
      </c>
      <c r="J296" s="1364">
        <f t="shared" si="135"/>
        <v>12296.231975077957</v>
      </c>
      <c r="K296" s="1364">
        <f t="shared" ref="K296:Q296" si="138">+$J296*K$1969</f>
        <v>6205.0990040136448</v>
      </c>
      <c r="L296" s="1364">
        <f t="shared" si="138"/>
        <v>573.42378678351758</v>
      </c>
      <c r="M296" s="1364">
        <f t="shared" si="138"/>
        <v>4271.7844863965001</v>
      </c>
      <c r="N296" s="1367">
        <f t="shared" si="138"/>
        <v>679.99940522819156</v>
      </c>
      <c r="O296" s="1367">
        <f t="shared" si="138"/>
        <v>500.9636296092761</v>
      </c>
      <c r="P296" s="1367">
        <f t="shared" si="138"/>
        <v>64.961663046826544</v>
      </c>
      <c r="Q296" s="1364">
        <f t="shared" si="138"/>
        <v>0</v>
      </c>
      <c r="R296" s="1358"/>
      <c r="S296" s="1320">
        <v>201</v>
      </c>
      <c r="V296" s="1321" t="s">
        <v>5235</v>
      </c>
      <c r="W296" s="1321">
        <v>201</v>
      </c>
    </row>
    <row r="297" spans="1:27">
      <c r="A297" s="1320" t="s">
        <v>4682</v>
      </c>
      <c r="B297" s="1320">
        <v>117</v>
      </c>
      <c r="C297" s="1322">
        <v>89</v>
      </c>
      <c r="D297" s="1320" t="s">
        <v>5268</v>
      </c>
      <c r="E297" s="1320" t="s">
        <v>4067</v>
      </c>
      <c r="F297" s="1320">
        <f>+'Allocation Assignment'!F79-'Allocation Assignment'!F87</f>
        <v>1915.8589095122497</v>
      </c>
      <c r="G297" s="1358">
        <f>+$F297*G$1942+(124/541*'Separation F'!C4)</f>
        <v>268.64429818064809</v>
      </c>
      <c r="H297" s="1358">
        <f>+$F297*H$1942+(1792/7811*-'Separation F'!C4)</f>
        <v>1647.0791264124391</v>
      </c>
      <c r="I297" s="1323">
        <f t="shared" si="134"/>
        <v>0.8597079452117703</v>
      </c>
      <c r="J297" s="1364">
        <f t="shared" si="135"/>
        <v>1647.0791264124391</v>
      </c>
      <c r="K297" s="1364">
        <f t="shared" ref="K297:Q298" si="139">+$J297*K$1945</f>
        <v>955.32737143479392</v>
      </c>
      <c r="L297" s="1364">
        <f t="shared" si="139"/>
        <v>78.804872181201844</v>
      </c>
      <c r="M297" s="1364">
        <f t="shared" si="139"/>
        <v>503.75995726109102</v>
      </c>
      <c r="N297" s="1367">
        <f t="shared" si="139"/>
        <v>62.887751261478044</v>
      </c>
      <c r="O297" s="1367">
        <f t="shared" si="139"/>
        <v>45.131407347813884</v>
      </c>
      <c r="P297" s="1367">
        <f t="shared" si="139"/>
        <v>1.1677669260605048</v>
      </c>
      <c r="Q297" s="1364">
        <f t="shared" si="139"/>
        <v>0</v>
      </c>
      <c r="R297" s="1358"/>
      <c r="S297" s="1320">
        <v>118</v>
      </c>
      <c r="V297" s="1321" t="s">
        <v>9477</v>
      </c>
      <c r="W297" s="1321">
        <v>117</v>
      </c>
    </row>
    <row r="298" spans="1:27">
      <c r="A298" s="1320" t="s">
        <v>4682</v>
      </c>
      <c r="B298" s="1320">
        <v>117</v>
      </c>
      <c r="C298" s="1322">
        <v>90</v>
      </c>
      <c r="D298" s="1320" t="s">
        <v>5239</v>
      </c>
      <c r="E298" s="1320" t="s">
        <v>4067</v>
      </c>
      <c r="F298" s="1320">
        <f>+'Allocation Assignment'!F80-'Allocation Assignment'!F88</f>
        <v>6436.174280498436</v>
      </c>
      <c r="G298" s="1358">
        <f>+$F298*G$1942+(417/541*'Separation F'!C4)</f>
        <v>902.99240071062832</v>
      </c>
      <c r="H298" s="1358">
        <f>+$F298*H$1942+(6019/7811*-'Separation F'!C4)</f>
        <v>5533.3173647069689</v>
      </c>
      <c r="I298" s="1323">
        <f t="shared" si="134"/>
        <v>0.85972149347678206</v>
      </c>
      <c r="J298" s="1364">
        <f t="shared" si="135"/>
        <v>5533.3173647069689</v>
      </c>
      <c r="K298" s="1364">
        <f t="shared" si="139"/>
        <v>3209.39622667304</v>
      </c>
      <c r="L298" s="1364">
        <f t="shared" si="139"/>
        <v>264.74281694865402</v>
      </c>
      <c r="M298" s="1364">
        <f t="shared" si="139"/>
        <v>1692.3678252351531</v>
      </c>
      <c r="N298" s="1367">
        <f t="shared" si="139"/>
        <v>211.26968371000603</v>
      </c>
      <c r="O298" s="1367">
        <f t="shared" si="139"/>
        <v>151.61773102866047</v>
      </c>
      <c r="P298" s="1367">
        <f t="shared" si="139"/>
        <v>3.9230811114553812</v>
      </c>
      <c r="Q298" s="1364">
        <f t="shared" si="139"/>
        <v>0</v>
      </c>
      <c r="R298" s="1358"/>
      <c r="S298" s="1320">
        <v>118</v>
      </c>
      <c r="V298" s="1321" t="s">
        <v>9477</v>
      </c>
      <c r="W298" s="1321">
        <v>117</v>
      </c>
    </row>
    <row r="299" spans="1:27">
      <c r="A299" s="1320" t="s">
        <v>4682</v>
      </c>
      <c r="B299" s="1320">
        <v>105</v>
      </c>
      <c r="C299" s="1322">
        <v>91</v>
      </c>
      <c r="D299" s="1320" t="s">
        <v>5240</v>
      </c>
      <c r="E299" s="1320" t="s">
        <v>4067</v>
      </c>
      <c r="F299" s="1320">
        <f>+'Allocation Assignment'!F81-'Allocation Assignment'!F89</f>
        <v>28199.935630517411</v>
      </c>
      <c r="G299" s="1358">
        <f>+$F299*G$1936</f>
        <v>0</v>
      </c>
      <c r="H299" s="1358">
        <f>+$F299*H$1936</f>
        <v>28199.935630517411</v>
      </c>
      <c r="I299" s="1323">
        <f t="shared" si="134"/>
        <v>1</v>
      </c>
      <c r="J299" s="1364">
        <f t="shared" si="135"/>
        <v>28199.935630517411</v>
      </c>
      <c r="K299" s="1364">
        <f t="shared" ref="K299:Q299" si="140">+$J299*K$1936</f>
        <v>17552.091475974266</v>
      </c>
      <c r="L299" s="1364">
        <f t="shared" si="140"/>
        <v>1248.348767459024</v>
      </c>
      <c r="M299" s="1364">
        <f t="shared" si="140"/>
        <v>8358.4744345268864</v>
      </c>
      <c r="N299" s="1367">
        <f t="shared" si="140"/>
        <v>879.14345427309172</v>
      </c>
      <c r="O299" s="1367">
        <f t="shared" si="140"/>
        <v>6.0026202385531947E-4</v>
      </c>
      <c r="P299" s="1367">
        <f t="shared" si="140"/>
        <v>161.87689802212543</v>
      </c>
      <c r="Q299" s="1364">
        <f t="shared" si="140"/>
        <v>0</v>
      </c>
      <c r="R299" s="1358"/>
      <c r="S299" s="1320">
        <v>105</v>
      </c>
      <c r="V299" s="1321" t="s">
        <v>5229</v>
      </c>
      <c r="W299" s="1321">
        <v>105</v>
      </c>
    </row>
    <row r="300" spans="1:27">
      <c r="A300" s="1320" t="s">
        <v>4682</v>
      </c>
      <c r="B300" s="1320">
        <v>106</v>
      </c>
      <c r="C300" s="1322">
        <v>92</v>
      </c>
      <c r="D300" s="1320" t="s">
        <v>5241</v>
      </c>
      <c r="E300" s="1320" t="s">
        <v>4067</v>
      </c>
      <c r="F300" s="1320">
        <f>+'Allocation Assignment'!F82-'Allocation Assignment'!F90</f>
        <v>4599.217048839866</v>
      </c>
      <c r="G300" s="1358">
        <f>+$F300*G$1939</f>
        <v>0</v>
      </c>
      <c r="H300" s="1358">
        <f>+$F300*H$1939</f>
        <v>4599.217048839866</v>
      </c>
      <c r="I300" s="1323">
        <f t="shared" si="134"/>
        <v>1</v>
      </c>
      <c r="J300" s="1364">
        <f t="shared" si="135"/>
        <v>4599.217048839866</v>
      </c>
      <c r="K300" s="1364">
        <f t="shared" ref="K300:Q300" si="141">+$J300*K$1939</f>
        <v>3355.7417347403034</v>
      </c>
      <c r="L300" s="1364">
        <f t="shared" si="141"/>
        <v>270.20380848230894</v>
      </c>
      <c r="M300" s="1364">
        <f t="shared" si="141"/>
        <v>956.63416813862852</v>
      </c>
      <c r="N300" s="1367">
        <f t="shared" si="141"/>
        <v>0</v>
      </c>
      <c r="O300" s="1367">
        <f t="shared" si="141"/>
        <v>0</v>
      </c>
      <c r="P300" s="1367">
        <f t="shared" si="141"/>
        <v>16.637337478624847</v>
      </c>
      <c r="Q300" s="1364">
        <f t="shared" si="141"/>
        <v>0</v>
      </c>
      <c r="R300" s="1358"/>
      <c r="S300" s="1320">
        <v>106</v>
      </c>
      <c r="V300" s="1321" t="s">
        <v>5230</v>
      </c>
      <c r="W300" s="1321">
        <v>106</v>
      </c>
    </row>
    <row r="301" spans="1:27" s="1324" customFormat="1">
      <c r="A301" s="1320" t="s">
        <v>4682</v>
      </c>
      <c r="B301" s="1324">
        <v>607</v>
      </c>
      <c r="C301" s="1393">
        <v>93</v>
      </c>
      <c r="D301" s="1324" t="s">
        <v>5242</v>
      </c>
      <c r="E301" s="1324" t="s">
        <v>4071</v>
      </c>
      <c r="F301" s="1320">
        <f>+'Allocation Assignment'!F83-'Allocation Assignment'!F91</f>
        <v>19947.388772987171</v>
      </c>
      <c r="G301" s="1364">
        <f>+$F301*G$2052</f>
        <v>0</v>
      </c>
      <c r="H301" s="1364">
        <f>+$F301*H$2052</f>
        <v>19947.388772987171</v>
      </c>
      <c r="I301" s="1374">
        <f t="shared" si="134"/>
        <v>1</v>
      </c>
      <c r="J301" s="1364">
        <f t="shared" si="135"/>
        <v>19947.388772987171</v>
      </c>
      <c r="K301" s="1364">
        <f t="shared" ref="K301:Q301" si="142">+$J301*K$2052</f>
        <v>11196.615438556577</v>
      </c>
      <c r="L301" s="1364">
        <f t="shared" si="142"/>
        <v>2175.4644211167538</v>
      </c>
      <c r="M301" s="1364">
        <f t="shared" si="142"/>
        <v>1249.3233560701763</v>
      </c>
      <c r="N301" s="1367">
        <f t="shared" si="142"/>
        <v>93.846937527428466</v>
      </c>
      <c r="O301" s="1367">
        <f t="shared" si="142"/>
        <v>102.39094836078456</v>
      </c>
      <c r="P301" s="1367">
        <f t="shared" si="142"/>
        <v>21.03095982270062</v>
      </c>
      <c r="Q301" s="1364">
        <f t="shared" si="142"/>
        <v>5108.7167115327529</v>
      </c>
      <c r="R301" s="1364"/>
      <c r="S301" s="1324">
        <v>607</v>
      </c>
      <c r="V301" s="1321" t="s">
        <v>5359</v>
      </c>
      <c r="W301" s="1321">
        <v>607</v>
      </c>
      <c r="Y301" s="1320"/>
      <c r="AA301" s="1320"/>
    </row>
    <row r="302" spans="1:27">
      <c r="A302" s="1320" t="s">
        <v>4682</v>
      </c>
      <c r="B302" s="1324">
        <v>412</v>
      </c>
      <c r="C302" s="1393">
        <v>94</v>
      </c>
      <c r="D302" s="1324" t="s">
        <v>5244</v>
      </c>
      <c r="E302" s="1324" t="s">
        <v>4071</v>
      </c>
      <c r="F302" s="1320">
        <f>+'Allocation Assignment'!F84-'Allocation Assignment'!F92</f>
        <v>23796.834673761768</v>
      </c>
      <c r="G302" s="1364">
        <f>+$F302*G$2021</f>
        <v>0</v>
      </c>
      <c r="H302" s="1364">
        <f>+$F302*H$2021</f>
        <v>23796.834673761768</v>
      </c>
      <c r="I302" s="1323">
        <f t="shared" si="134"/>
        <v>1</v>
      </c>
      <c r="J302" s="1364">
        <f t="shared" si="135"/>
        <v>23796.834673761768</v>
      </c>
      <c r="K302" s="1364">
        <f t="shared" ref="K302:Q302" si="143">+$J302*K$2021</f>
        <v>21224.083073592912</v>
      </c>
      <c r="L302" s="1364">
        <f t="shared" si="143"/>
        <v>2057.4837906831435</v>
      </c>
      <c r="M302" s="1364">
        <f t="shared" si="143"/>
        <v>506.74072330688278</v>
      </c>
      <c r="N302" s="1364">
        <f t="shared" si="143"/>
        <v>1.7109363853959989</v>
      </c>
      <c r="O302" s="1364">
        <f t="shared" si="143"/>
        <v>0.30355322966703208</v>
      </c>
      <c r="P302" s="1364">
        <f t="shared" si="143"/>
        <v>6.5125965637654151</v>
      </c>
      <c r="Q302" s="1364">
        <f t="shared" si="143"/>
        <v>0</v>
      </c>
      <c r="R302" s="1358"/>
      <c r="S302" s="1320">
        <v>412</v>
      </c>
      <c r="V302" s="1321" t="s">
        <v>5245</v>
      </c>
      <c r="W302" s="1321">
        <v>412</v>
      </c>
    </row>
    <row r="303" spans="1:27">
      <c r="A303" s="1320" t="s">
        <v>4682</v>
      </c>
      <c r="C303" s="1322">
        <v>95</v>
      </c>
      <c r="D303" s="1320" t="s">
        <v>5360</v>
      </c>
      <c r="F303" s="1427">
        <f>+SUM(F294:F302)</f>
        <v>158286.55231215444</v>
      </c>
      <c r="G303" s="1427">
        <f>SUM(G294:G302)</f>
        <v>1171.6366988912764</v>
      </c>
      <c r="H303" s="1427">
        <f>SUM(H294:H302)</f>
        <v>157114.91561326315</v>
      </c>
      <c r="I303" s="1323">
        <f t="shared" si="134"/>
        <v>0.99259800228271622</v>
      </c>
      <c r="J303" s="1421">
        <f t="shared" ref="J303:Q303" si="144">SUM(J294:J302)</f>
        <v>157114.91561326315</v>
      </c>
      <c r="K303" s="1421">
        <f t="shared" si="144"/>
        <v>98779.948292091489</v>
      </c>
      <c r="L303" s="1421">
        <f t="shared" si="144"/>
        <v>9585.8802700536253</v>
      </c>
      <c r="M303" s="1421">
        <f t="shared" si="144"/>
        <v>36420.287924939024</v>
      </c>
      <c r="N303" s="1422">
        <f t="shared" si="144"/>
        <v>4342.0036949440682</v>
      </c>
      <c r="O303" s="1422">
        <f>SUM(O294:O302)</f>
        <v>2537.1562763156617</v>
      </c>
      <c r="P303" s="1422">
        <f>SUM(P294:P302)</f>
        <v>340.92244338653552</v>
      </c>
      <c r="Q303" s="1421">
        <f t="shared" si="144"/>
        <v>5108.7167115327529</v>
      </c>
      <c r="R303" s="1358"/>
      <c r="V303" s="1320" t="s">
        <v>5361</v>
      </c>
    </row>
    <row r="304" spans="1:27">
      <c r="A304" s="1320" t="s">
        <v>4682</v>
      </c>
      <c r="C304" s="1322">
        <v>96</v>
      </c>
      <c r="F304" s="1358"/>
      <c r="G304" s="1358"/>
      <c r="H304" s="1358"/>
      <c r="J304" s="1364"/>
      <c r="K304" s="1364"/>
      <c r="L304" s="1364"/>
      <c r="M304" s="1364"/>
      <c r="N304" s="1367"/>
      <c r="O304" s="1367"/>
      <c r="P304" s="1367"/>
      <c r="Q304" s="1364"/>
      <c r="R304" s="1358"/>
    </row>
    <row r="305" spans="1:27">
      <c r="A305" s="1320" t="s">
        <v>4682</v>
      </c>
      <c r="C305" s="1322">
        <v>97</v>
      </c>
      <c r="D305" s="1356" t="s">
        <v>5362</v>
      </c>
      <c r="F305" s="1358"/>
      <c r="G305" s="1358"/>
      <c r="H305" s="1358"/>
      <c r="J305" s="1364"/>
      <c r="K305" s="1364"/>
      <c r="L305" s="1364"/>
      <c r="M305" s="1364"/>
      <c r="N305" s="1367"/>
      <c r="O305" s="1367"/>
      <c r="P305" s="1367"/>
      <c r="Q305" s="1364"/>
      <c r="R305" s="1358"/>
    </row>
    <row r="306" spans="1:27" s="1324" customFormat="1">
      <c r="A306" s="1324" t="s">
        <v>4682</v>
      </c>
      <c r="B306" s="1324">
        <v>101</v>
      </c>
      <c r="C306" s="1393">
        <v>98</v>
      </c>
      <c r="D306" s="1324" t="s">
        <v>5265</v>
      </c>
      <c r="E306" s="1324" t="s">
        <v>4067</v>
      </c>
      <c r="F306" s="1364">
        <f>+'Allocation Assignment'!F85</f>
        <v>0</v>
      </c>
      <c r="G306" s="1364">
        <f>$F306*G1933</f>
        <v>0</v>
      </c>
      <c r="H306" s="1364">
        <f>$F306*H1933</f>
        <v>0</v>
      </c>
      <c r="I306" s="1374">
        <f t="shared" ref="I306:I314" si="145">IF(F306=0,0,+H306/F306)</f>
        <v>0</v>
      </c>
      <c r="J306" s="1364">
        <f t="shared" ref="J306:J313" si="146">H306</f>
        <v>0</v>
      </c>
      <c r="K306" s="1324">
        <f t="shared" ref="K306:Q306" si="147">$J306*K$1951</f>
        <v>0</v>
      </c>
      <c r="L306" s="1324">
        <f t="shared" si="147"/>
        <v>0</v>
      </c>
      <c r="M306" s="1324">
        <f t="shared" si="147"/>
        <v>0</v>
      </c>
      <c r="N306" s="1324">
        <f t="shared" si="147"/>
        <v>0</v>
      </c>
      <c r="O306" s="1324">
        <f t="shared" si="147"/>
        <v>0</v>
      </c>
      <c r="P306" s="1324">
        <f t="shared" si="147"/>
        <v>0</v>
      </c>
      <c r="Q306" s="1324">
        <f t="shared" si="147"/>
        <v>0</v>
      </c>
      <c r="S306" s="1324">
        <v>122</v>
      </c>
      <c r="V306" s="1326" t="s">
        <v>9476</v>
      </c>
      <c r="W306" s="1326">
        <v>122</v>
      </c>
      <c r="AA306" s="1320"/>
    </row>
    <row r="307" spans="1:27" s="1324" customFormat="1">
      <c r="A307" s="1324" t="s">
        <v>4682</v>
      </c>
      <c r="B307" s="1324">
        <v>204</v>
      </c>
      <c r="C307" s="1393">
        <v>99</v>
      </c>
      <c r="D307" s="1324" t="s">
        <v>5265</v>
      </c>
      <c r="E307" s="1324" t="s">
        <v>2067</v>
      </c>
      <c r="F307" s="1364">
        <f>+'Allocation Assignment'!F86</f>
        <v>0</v>
      </c>
      <c r="G307" s="1364">
        <f>$F307*G1975</f>
        <v>0</v>
      </c>
      <c r="H307" s="1364">
        <f>$F307*H1975</f>
        <v>0</v>
      </c>
      <c r="I307" s="1374">
        <f t="shared" si="145"/>
        <v>0</v>
      </c>
      <c r="J307" s="1364">
        <f t="shared" si="146"/>
        <v>0</v>
      </c>
      <c r="K307" s="1364">
        <f t="shared" ref="K307:Q307" si="148">$J307*K1975</f>
        <v>0</v>
      </c>
      <c r="L307" s="1364">
        <f t="shared" si="148"/>
        <v>0</v>
      </c>
      <c r="M307" s="1364">
        <f t="shared" si="148"/>
        <v>0</v>
      </c>
      <c r="N307" s="1364">
        <f t="shared" si="148"/>
        <v>0</v>
      </c>
      <c r="O307" s="1364">
        <f t="shared" si="148"/>
        <v>0</v>
      </c>
      <c r="P307" s="1364">
        <f t="shared" si="148"/>
        <v>0</v>
      </c>
      <c r="Q307" s="1364">
        <f t="shared" si="148"/>
        <v>0</v>
      </c>
      <c r="R307" s="1364"/>
      <c r="S307" s="1324">
        <v>204</v>
      </c>
      <c r="V307" s="1326" t="s">
        <v>5254</v>
      </c>
      <c r="W307" s="1326">
        <v>204</v>
      </c>
      <c r="AA307" s="1320"/>
    </row>
    <row r="308" spans="1:27" s="1324" customFormat="1">
      <c r="A308" s="1324" t="s">
        <v>4682</v>
      </c>
      <c r="B308" s="1324">
        <v>817</v>
      </c>
      <c r="C308" s="1393">
        <v>100</v>
      </c>
      <c r="D308" s="1324" t="s">
        <v>5268</v>
      </c>
      <c r="E308" s="1324" t="s">
        <v>4067</v>
      </c>
      <c r="F308" s="1364">
        <f>+'Allocation Assignment'!F87</f>
        <v>0</v>
      </c>
      <c r="G308" s="1364">
        <f>$F308*G2058</f>
        <v>0</v>
      </c>
      <c r="H308" s="1364">
        <f>$F308*H2058</f>
        <v>0</v>
      </c>
      <c r="I308" s="1374">
        <f t="shared" si="145"/>
        <v>0</v>
      </c>
      <c r="J308" s="1364">
        <f t="shared" si="146"/>
        <v>0</v>
      </c>
      <c r="K308" s="1364">
        <f t="shared" ref="K308:Q308" si="149">$J308*K2058</f>
        <v>0</v>
      </c>
      <c r="L308" s="1364">
        <f t="shared" si="149"/>
        <v>0</v>
      </c>
      <c r="M308" s="1364">
        <f t="shared" si="149"/>
        <v>0</v>
      </c>
      <c r="N308" s="1364">
        <f t="shared" si="149"/>
        <v>0</v>
      </c>
      <c r="O308" s="1364">
        <f t="shared" si="149"/>
        <v>0</v>
      </c>
      <c r="P308" s="1364">
        <f t="shared" si="149"/>
        <v>0</v>
      </c>
      <c r="Q308" s="1364">
        <f t="shared" si="149"/>
        <v>0</v>
      </c>
      <c r="R308" s="1364"/>
      <c r="S308" s="1324">
        <v>817</v>
      </c>
      <c r="V308" s="1326" t="s">
        <v>5363</v>
      </c>
      <c r="W308" s="1326">
        <v>817</v>
      </c>
      <c r="AA308" s="1320"/>
    </row>
    <row r="309" spans="1:27" s="1324" customFormat="1">
      <c r="A309" s="1324" t="s">
        <v>4682</v>
      </c>
      <c r="B309" s="1324">
        <v>817</v>
      </c>
      <c r="C309" s="1393">
        <v>101</v>
      </c>
      <c r="D309" s="1324" t="s">
        <v>5239</v>
      </c>
      <c r="E309" s="1324" t="s">
        <v>4067</v>
      </c>
      <c r="F309" s="1364">
        <f>+'Allocation Assignment'!F88</f>
        <v>0</v>
      </c>
      <c r="G309" s="1364">
        <f>$F309*G2058</f>
        <v>0</v>
      </c>
      <c r="H309" s="1364">
        <f>$F309*H2058</f>
        <v>0</v>
      </c>
      <c r="I309" s="1374">
        <f t="shared" si="145"/>
        <v>0</v>
      </c>
      <c r="J309" s="1364">
        <f t="shared" si="146"/>
        <v>0</v>
      </c>
      <c r="K309" s="1364">
        <f t="shared" ref="K309:Q309" si="150">$J309*K2058</f>
        <v>0</v>
      </c>
      <c r="L309" s="1364">
        <f t="shared" si="150"/>
        <v>0</v>
      </c>
      <c r="M309" s="1364">
        <f t="shared" si="150"/>
        <v>0</v>
      </c>
      <c r="N309" s="1364">
        <f t="shared" si="150"/>
        <v>0</v>
      </c>
      <c r="O309" s="1364">
        <f t="shared" si="150"/>
        <v>0</v>
      </c>
      <c r="P309" s="1364">
        <f t="shared" si="150"/>
        <v>0</v>
      </c>
      <c r="Q309" s="1364">
        <f t="shared" si="150"/>
        <v>0</v>
      </c>
      <c r="R309" s="1364"/>
      <c r="S309" s="1324">
        <v>817</v>
      </c>
      <c r="V309" s="1326" t="s">
        <v>5363</v>
      </c>
      <c r="W309" s="1326">
        <v>817</v>
      </c>
      <c r="AA309" s="1320"/>
    </row>
    <row r="310" spans="1:27">
      <c r="A310" s="1320" t="s">
        <v>4682</v>
      </c>
      <c r="B310" s="1320">
        <v>105</v>
      </c>
      <c r="C310" s="1322">
        <v>102</v>
      </c>
      <c r="D310" s="1320" t="s">
        <v>5240</v>
      </c>
      <c r="E310" s="1320" t="s">
        <v>4067</v>
      </c>
      <c r="F310" s="1364">
        <f>+'Allocation Assignment'!F89</f>
        <v>0</v>
      </c>
      <c r="G310" s="1358">
        <f>$F310*G1936</f>
        <v>0</v>
      </c>
      <c r="H310" s="1358">
        <f>$F310*H1936</f>
        <v>0</v>
      </c>
      <c r="I310" s="1323">
        <f t="shared" si="145"/>
        <v>0</v>
      </c>
      <c r="J310" s="1364">
        <f t="shared" si="146"/>
        <v>0</v>
      </c>
      <c r="K310" s="1364">
        <f t="shared" ref="K310:Q310" si="151">$J310*K1936</f>
        <v>0</v>
      </c>
      <c r="L310" s="1364">
        <f t="shared" si="151"/>
        <v>0</v>
      </c>
      <c r="M310" s="1364">
        <f t="shared" si="151"/>
        <v>0</v>
      </c>
      <c r="N310" s="1364">
        <f t="shared" si="151"/>
        <v>0</v>
      </c>
      <c r="O310" s="1364">
        <f t="shared" si="151"/>
        <v>0</v>
      </c>
      <c r="P310" s="1364">
        <f t="shared" si="151"/>
        <v>0</v>
      </c>
      <c r="Q310" s="1364">
        <f t="shared" si="151"/>
        <v>0</v>
      </c>
      <c r="R310" s="1358"/>
      <c r="S310" s="1320">
        <v>105</v>
      </c>
      <c r="V310" s="1321" t="s">
        <v>5229</v>
      </c>
      <c r="W310" s="1321">
        <v>105</v>
      </c>
    </row>
    <row r="311" spans="1:27">
      <c r="A311" s="1320" t="s">
        <v>4682</v>
      </c>
      <c r="B311" s="1320">
        <v>106</v>
      </c>
      <c r="C311" s="1322">
        <v>103</v>
      </c>
      <c r="D311" s="1320" t="s">
        <v>5241</v>
      </c>
      <c r="E311" s="1320" t="s">
        <v>4067</v>
      </c>
      <c r="F311" s="1364">
        <f>+'Allocation Assignment'!F90</f>
        <v>0</v>
      </c>
      <c r="G311" s="1358">
        <f>$F311*G1939</f>
        <v>0</v>
      </c>
      <c r="H311" s="1358">
        <f>$F311*H1939</f>
        <v>0</v>
      </c>
      <c r="I311" s="1323">
        <f t="shared" si="145"/>
        <v>0</v>
      </c>
      <c r="J311" s="1364">
        <f t="shared" si="146"/>
        <v>0</v>
      </c>
      <c r="K311" s="1364">
        <f t="shared" ref="K311:Q311" si="152">$J311*K1939</f>
        <v>0</v>
      </c>
      <c r="L311" s="1364">
        <f t="shared" si="152"/>
        <v>0</v>
      </c>
      <c r="M311" s="1364">
        <f t="shared" si="152"/>
        <v>0</v>
      </c>
      <c r="N311" s="1364">
        <f t="shared" si="152"/>
        <v>0</v>
      </c>
      <c r="O311" s="1364">
        <f t="shared" si="152"/>
        <v>0</v>
      </c>
      <c r="P311" s="1364">
        <f t="shared" si="152"/>
        <v>0</v>
      </c>
      <c r="Q311" s="1364">
        <f t="shared" si="152"/>
        <v>0</v>
      </c>
      <c r="R311" s="1358"/>
      <c r="S311" s="1320">
        <v>106</v>
      </c>
      <c r="V311" s="1321" t="s">
        <v>5230</v>
      </c>
      <c r="W311" s="1321">
        <v>106</v>
      </c>
    </row>
    <row r="312" spans="1:27">
      <c r="A312" s="1320" t="s">
        <v>4682</v>
      </c>
      <c r="B312" s="1324">
        <v>607</v>
      </c>
      <c r="C312" s="1322">
        <v>104</v>
      </c>
      <c r="D312" s="1324" t="s">
        <v>5242</v>
      </c>
      <c r="E312" s="1324" t="s">
        <v>4071</v>
      </c>
      <c r="F312" s="1364">
        <f>+'Allocation Assignment'!F91</f>
        <v>0</v>
      </c>
      <c r="G312" s="1358">
        <f>$F312*G2052</f>
        <v>0</v>
      </c>
      <c r="H312" s="1358">
        <f>$F312*H2052</f>
        <v>0</v>
      </c>
      <c r="I312" s="1374">
        <f t="shared" si="145"/>
        <v>0</v>
      </c>
      <c r="J312" s="1364">
        <f t="shared" si="146"/>
        <v>0</v>
      </c>
      <c r="K312" s="1364">
        <f t="shared" ref="K312:Q312" si="153">+$J312*K$2052</f>
        <v>0</v>
      </c>
      <c r="L312" s="1364">
        <f t="shared" si="153"/>
        <v>0</v>
      </c>
      <c r="M312" s="1364">
        <f t="shared" si="153"/>
        <v>0</v>
      </c>
      <c r="N312" s="1367">
        <f t="shared" si="153"/>
        <v>0</v>
      </c>
      <c r="O312" s="1367">
        <f t="shared" si="153"/>
        <v>0</v>
      </c>
      <c r="P312" s="1367">
        <f t="shared" si="153"/>
        <v>0</v>
      </c>
      <c r="Q312" s="1364">
        <f t="shared" si="153"/>
        <v>0</v>
      </c>
      <c r="R312" s="1358"/>
      <c r="S312" s="1320">
        <v>607</v>
      </c>
      <c r="V312" s="1321" t="s">
        <v>5359</v>
      </c>
      <c r="W312" s="1321">
        <v>607</v>
      </c>
    </row>
    <row r="313" spans="1:27">
      <c r="A313" s="1320" t="s">
        <v>4682</v>
      </c>
      <c r="B313" s="1324">
        <v>412</v>
      </c>
      <c r="C313" s="1393">
        <v>105</v>
      </c>
      <c r="D313" s="1324" t="s">
        <v>5244</v>
      </c>
      <c r="E313" s="1324" t="s">
        <v>4071</v>
      </c>
      <c r="F313" s="1364">
        <f>+'Allocation Assignment'!F92</f>
        <v>0</v>
      </c>
      <c r="G313" s="1364">
        <f>$F313*G2021</f>
        <v>0</v>
      </c>
      <c r="H313" s="1364">
        <f>$F313*H2021</f>
        <v>0</v>
      </c>
      <c r="I313" s="1323">
        <f t="shared" si="145"/>
        <v>0</v>
      </c>
      <c r="J313" s="1364">
        <f t="shared" si="146"/>
        <v>0</v>
      </c>
      <c r="K313" s="1364">
        <f t="shared" ref="K313:Q313" si="154">+$J313*K$2021</f>
        <v>0</v>
      </c>
      <c r="L313" s="1364">
        <f t="shared" si="154"/>
        <v>0</v>
      </c>
      <c r="M313" s="1364">
        <f t="shared" si="154"/>
        <v>0</v>
      </c>
      <c r="N313" s="1364">
        <f t="shared" si="154"/>
        <v>0</v>
      </c>
      <c r="O313" s="1364">
        <f t="shared" si="154"/>
        <v>0</v>
      </c>
      <c r="P313" s="1364">
        <f t="shared" si="154"/>
        <v>0</v>
      </c>
      <c r="Q313" s="1364">
        <f t="shared" si="154"/>
        <v>0</v>
      </c>
      <c r="R313" s="1358"/>
      <c r="S313" s="1320">
        <v>412</v>
      </c>
      <c r="V313" s="1321" t="s">
        <v>5245</v>
      </c>
      <c r="W313" s="1321">
        <v>412</v>
      </c>
    </row>
    <row r="314" spans="1:27">
      <c r="A314" s="1320" t="s">
        <v>4682</v>
      </c>
      <c r="C314" s="1322">
        <v>106</v>
      </c>
      <c r="D314" s="1320" t="s">
        <v>5364</v>
      </c>
      <c r="F314" s="1427">
        <f>SUM(F306:F313)</f>
        <v>0</v>
      </c>
      <c r="G314" s="1427">
        <f>SUM(G306:G313)</f>
        <v>0</v>
      </c>
      <c r="H314" s="1427">
        <f>SUM(H306:H313)</f>
        <v>0</v>
      </c>
      <c r="I314" s="1323">
        <f t="shared" si="145"/>
        <v>0</v>
      </c>
      <c r="J314" s="1421">
        <f t="shared" ref="J314:Q314" si="155">SUM(J306:J313)</f>
        <v>0</v>
      </c>
      <c r="K314" s="1421">
        <f t="shared" si="155"/>
        <v>0</v>
      </c>
      <c r="L314" s="1421">
        <f t="shared" si="155"/>
        <v>0</v>
      </c>
      <c r="M314" s="1421">
        <f t="shared" si="155"/>
        <v>0</v>
      </c>
      <c r="N314" s="1421">
        <f t="shared" si="155"/>
        <v>0</v>
      </c>
      <c r="O314" s="1421">
        <f>SUM(O306:O313)</f>
        <v>0</v>
      </c>
      <c r="P314" s="1421">
        <f>SUM(P306:P313)</f>
        <v>0</v>
      </c>
      <c r="Q314" s="1421">
        <f t="shared" si="155"/>
        <v>0</v>
      </c>
      <c r="R314" s="1358"/>
      <c r="V314" s="1320" t="s">
        <v>5365</v>
      </c>
    </row>
    <row r="315" spans="1:27">
      <c r="A315" s="1320" t="s">
        <v>4682</v>
      </c>
      <c r="C315" s="1322">
        <v>107</v>
      </c>
      <c r="D315" s="1320" t="s">
        <v>5366</v>
      </c>
      <c r="F315" s="1427">
        <f>F314+F303</f>
        <v>158286.55231215444</v>
      </c>
      <c r="G315" s="1427">
        <f>G314+G303</f>
        <v>1171.6366988912764</v>
      </c>
      <c r="H315" s="1427">
        <f>H314+H303</f>
        <v>157114.91561326315</v>
      </c>
      <c r="J315" s="1421">
        <f t="shared" ref="J315:Q315" si="156">J314+J303</f>
        <v>157114.91561326315</v>
      </c>
      <c r="K315" s="1421">
        <f t="shared" si="156"/>
        <v>98779.948292091489</v>
      </c>
      <c r="L315" s="1421">
        <f t="shared" si="156"/>
        <v>9585.8802700536253</v>
      </c>
      <c r="M315" s="1421">
        <f t="shared" si="156"/>
        <v>36420.287924939024</v>
      </c>
      <c r="N315" s="1421">
        <f t="shared" si="156"/>
        <v>4342.0036949440682</v>
      </c>
      <c r="O315" s="1421">
        <f>O314+O303</f>
        <v>2537.1562763156617</v>
      </c>
      <c r="P315" s="1421">
        <f>P314+P303</f>
        <v>340.92244338653552</v>
      </c>
      <c r="Q315" s="1421">
        <f t="shared" si="156"/>
        <v>5108.7167115327529</v>
      </c>
      <c r="R315" s="1358"/>
      <c r="V315" s="1321" t="s">
        <v>5367</v>
      </c>
    </row>
    <row r="316" spans="1:27">
      <c r="A316" s="1320" t="s">
        <v>4682</v>
      </c>
      <c r="C316" s="1322">
        <v>108</v>
      </c>
      <c r="F316" s="1358"/>
      <c r="G316" s="1358"/>
      <c r="H316" s="1358"/>
      <c r="J316" s="1364"/>
      <c r="K316" s="1364"/>
      <c r="L316" s="1364"/>
      <c r="M316" s="1364"/>
      <c r="N316" s="1364"/>
      <c r="O316" s="1364"/>
      <c r="P316" s="1364"/>
      <c r="Q316" s="1364"/>
      <c r="R316" s="1358"/>
      <c r="V316" s="1321"/>
    </row>
    <row r="317" spans="1:27">
      <c r="A317" s="1320" t="s">
        <v>4682</v>
      </c>
      <c r="C317" s="1322">
        <v>109</v>
      </c>
      <c r="D317" s="1356" t="s">
        <v>5368</v>
      </c>
      <c r="G317" s="1320"/>
      <c r="M317" s="1324"/>
      <c r="P317" s="1325"/>
    </row>
    <row r="318" spans="1:27" s="1324" customFormat="1">
      <c r="A318" s="1324" t="s">
        <v>4682</v>
      </c>
      <c r="C318" s="1393">
        <v>110</v>
      </c>
      <c r="D318" s="1324" t="s">
        <v>5265</v>
      </c>
      <c r="E318" s="1324" t="s">
        <v>4067</v>
      </c>
      <c r="F318" s="1324">
        <f>+F260+F294+F295+F306</f>
        <v>159622.03248406202</v>
      </c>
      <c r="G318" s="1324">
        <f>+G260+G294+G295+G306</f>
        <v>0</v>
      </c>
      <c r="H318" s="1324">
        <f>+H260+H294+H295+H306</f>
        <v>159622.03248406202</v>
      </c>
      <c r="I318" s="1374">
        <f t="shared" ref="I318:I325" si="157">IF(F318=0,0,+H318/F318)</f>
        <v>1</v>
      </c>
      <c r="J318" s="1324">
        <f>+J260+J294+J295+J306</f>
        <v>159622.03248406202</v>
      </c>
      <c r="K318" s="1324">
        <f t="shared" ref="K318:Q318" si="158">+K260+K294+K295+K306</f>
        <v>91657.312175951331</v>
      </c>
      <c r="L318" s="1324">
        <f t="shared" si="158"/>
        <v>7622.281263441525</v>
      </c>
      <c r="M318" s="1324">
        <f t="shared" si="158"/>
        <v>49330.720744001708</v>
      </c>
      <c r="N318" s="1324">
        <f t="shared" si="158"/>
        <v>6304.79997747996</v>
      </c>
      <c r="O318" s="1324">
        <f t="shared" si="158"/>
        <v>4537.5843244992775</v>
      </c>
      <c r="P318" s="1324">
        <f t="shared" si="158"/>
        <v>169.33399868823523</v>
      </c>
      <c r="Q318" s="1324">
        <f t="shared" si="158"/>
        <v>0</v>
      </c>
      <c r="V318" s="1324" t="s">
        <v>5369</v>
      </c>
      <c r="AA318" s="1320"/>
    </row>
    <row r="319" spans="1:27">
      <c r="A319" s="1320" t="s">
        <v>4682</v>
      </c>
      <c r="C319" s="1322">
        <v>111</v>
      </c>
      <c r="D319" s="1320" t="s">
        <v>5265</v>
      </c>
      <c r="E319" s="1320" t="s">
        <v>2067</v>
      </c>
      <c r="F319" s="1364">
        <f t="shared" ref="F319:H324" si="159">+F261+F296+F307</f>
        <v>41606.418583842657</v>
      </c>
      <c r="G319" s="1364">
        <f t="shared" si="159"/>
        <v>0</v>
      </c>
      <c r="H319" s="1364">
        <f t="shared" si="159"/>
        <v>41606.418583842657</v>
      </c>
      <c r="I319" s="1323">
        <f t="shared" si="157"/>
        <v>1</v>
      </c>
      <c r="J319" s="1364">
        <f t="shared" ref="J319:Q324" si="160">+J261+J296+J307</f>
        <v>41606.418583842657</v>
      </c>
      <c r="K319" s="1364">
        <f t="shared" si="160"/>
        <v>20996.021141959634</v>
      </c>
      <c r="L319" s="1364">
        <f t="shared" si="160"/>
        <v>1940.278139449782</v>
      </c>
      <c r="M319" s="1364">
        <f t="shared" si="160"/>
        <v>14454.318510028865</v>
      </c>
      <c r="N319" s="1364">
        <f t="shared" si="160"/>
        <v>2300.8950992492</v>
      </c>
      <c r="O319" s="1364">
        <f t="shared" si="160"/>
        <v>1695.0967183320813</v>
      </c>
      <c r="P319" s="1364">
        <f t="shared" si="160"/>
        <v>219.80897482309194</v>
      </c>
      <c r="Q319" s="1364">
        <f t="shared" si="160"/>
        <v>0</v>
      </c>
      <c r="R319" s="1358"/>
      <c r="V319" s="1320" t="s">
        <v>5370</v>
      </c>
    </row>
    <row r="320" spans="1:27">
      <c r="A320" s="1320" t="s">
        <v>4682</v>
      </c>
      <c r="C320" s="1322">
        <v>112</v>
      </c>
      <c r="D320" s="1320" t="s">
        <v>5268</v>
      </c>
      <c r="E320" s="1320" t="s">
        <v>4067</v>
      </c>
      <c r="F320" s="1358">
        <f t="shared" si="159"/>
        <v>4045.870112441934</v>
      </c>
      <c r="G320" s="1358">
        <f>+G262+G297+G308</f>
        <v>406.64102719459561</v>
      </c>
      <c r="H320" s="1358">
        <f>+H262+H297+H308</f>
        <v>3639.0936003281759</v>
      </c>
      <c r="I320" s="1323">
        <f t="shared" si="157"/>
        <v>0.89945883065725918</v>
      </c>
      <c r="J320" s="1364">
        <f t="shared" si="160"/>
        <v>3639.0936003281759</v>
      </c>
      <c r="K320" s="1364">
        <f t="shared" si="160"/>
        <v>2110.7217424211058</v>
      </c>
      <c r="L320" s="1364">
        <f t="shared" si="160"/>
        <v>174.11325383858966</v>
      </c>
      <c r="M320" s="1364">
        <f t="shared" si="160"/>
        <v>1113.0185594443501</v>
      </c>
      <c r="N320" s="1364">
        <f t="shared" si="160"/>
        <v>138.94560952463209</v>
      </c>
      <c r="O320" s="1364">
        <f t="shared" si="160"/>
        <v>99.714344635624627</v>
      </c>
      <c r="P320" s="1364">
        <f t="shared" si="160"/>
        <v>2.5800904638734146</v>
      </c>
      <c r="Q320" s="1364">
        <f t="shared" si="160"/>
        <v>0</v>
      </c>
      <c r="R320" s="1358"/>
      <c r="V320" s="1320" t="s">
        <v>5371</v>
      </c>
    </row>
    <row r="321" spans="1:30">
      <c r="A321" s="1320" t="s">
        <v>4682</v>
      </c>
      <c r="C321" s="1322">
        <v>113</v>
      </c>
      <c r="D321" s="1320" t="s">
        <v>5239</v>
      </c>
      <c r="E321" s="1320" t="s">
        <v>4067</v>
      </c>
      <c r="F321" s="1358">
        <f t="shared" si="159"/>
        <v>12410.707503734577</v>
      </c>
      <c r="G321" s="1358">
        <f>+G263+G298+G309</f>
        <v>1290.0636241191005</v>
      </c>
      <c r="H321" s="1358">
        <f>+H263+H298+H309</f>
        <v>11120.779364534637</v>
      </c>
      <c r="I321" s="1323">
        <f t="shared" si="157"/>
        <v>0.89606328738214325</v>
      </c>
      <c r="J321" s="1364">
        <f t="shared" si="160"/>
        <v>11120.779364534637</v>
      </c>
      <c r="K321" s="1364">
        <f t="shared" si="160"/>
        <v>6450.1970477688265</v>
      </c>
      <c r="L321" s="1364">
        <f t="shared" si="160"/>
        <v>532.07619617301259</v>
      </c>
      <c r="M321" s="1364">
        <f t="shared" si="160"/>
        <v>3401.2958136324314</v>
      </c>
      <c r="N321" s="1364">
        <f t="shared" si="160"/>
        <v>424.60668421797953</v>
      </c>
      <c r="O321" s="1364">
        <f t="shared" si="160"/>
        <v>304.71907237339212</v>
      </c>
      <c r="P321" s="1364">
        <f t="shared" si="160"/>
        <v>7.8845503689953329</v>
      </c>
      <c r="Q321" s="1364">
        <f t="shared" si="160"/>
        <v>0</v>
      </c>
      <c r="R321" s="1358"/>
      <c r="V321" s="1320" t="s">
        <v>5372</v>
      </c>
    </row>
    <row r="322" spans="1:30">
      <c r="A322" s="1320" t="s">
        <v>4682</v>
      </c>
      <c r="C322" s="1322">
        <v>114</v>
      </c>
      <c r="D322" s="1320" t="s">
        <v>5240</v>
      </c>
      <c r="E322" s="1320" t="s">
        <v>4067</v>
      </c>
      <c r="F322" s="1358">
        <f t="shared" si="159"/>
        <v>58782.428344976914</v>
      </c>
      <c r="G322" s="1358">
        <f t="shared" si="159"/>
        <v>0</v>
      </c>
      <c r="H322" s="1358">
        <f t="shared" si="159"/>
        <v>58782.428344976914</v>
      </c>
      <c r="I322" s="1323">
        <f t="shared" si="157"/>
        <v>1</v>
      </c>
      <c r="J322" s="1364">
        <f t="shared" si="160"/>
        <v>58782.428344976914</v>
      </c>
      <c r="K322" s="1364">
        <f t="shared" si="160"/>
        <v>36587.12463068153</v>
      </c>
      <c r="L322" s="1364">
        <f t="shared" si="160"/>
        <v>2602.1680664153319</v>
      </c>
      <c r="M322" s="1364">
        <f t="shared" si="160"/>
        <v>17423.139930475194</v>
      </c>
      <c r="N322" s="1364">
        <f t="shared" si="160"/>
        <v>1832.5640094666878</v>
      </c>
      <c r="O322" s="1364">
        <f t="shared" si="160"/>
        <v>1.2512390052160816E-3</v>
      </c>
      <c r="P322" s="1364">
        <f t="shared" si="160"/>
        <v>337.43045669917126</v>
      </c>
      <c r="Q322" s="1364">
        <f t="shared" si="160"/>
        <v>0</v>
      </c>
      <c r="R322" s="1358"/>
      <c r="V322" s="1320" t="s">
        <v>5373</v>
      </c>
    </row>
    <row r="323" spans="1:30">
      <c r="A323" s="1320" t="s">
        <v>4682</v>
      </c>
      <c r="C323" s="1322">
        <v>115</v>
      </c>
      <c r="D323" s="1320" t="s">
        <v>5241</v>
      </c>
      <c r="E323" s="1320" t="s">
        <v>4067</v>
      </c>
      <c r="F323" s="1358">
        <f t="shared" si="159"/>
        <v>9777.0557636031099</v>
      </c>
      <c r="G323" s="1358">
        <f t="shared" si="159"/>
        <v>0</v>
      </c>
      <c r="H323" s="1358">
        <f t="shared" si="159"/>
        <v>9777.0557636031099</v>
      </c>
      <c r="I323" s="1323">
        <f t="shared" si="157"/>
        <v>1</v>
      </c>
      <c r="J323" s="1364">
        <f t="shared" si="160"/>
        <v>9777.0557636031099</v>
      </c>
      <c r="K323" s="1364">
        <f t="shared" si="160"/>
        <v>7133.6650826431833</v>
      </c>
      <c r="L323" s="1364">
        <f t="shared" si="160"/>
        <v>574.40161553929102</v>
      </c>
      <c r="M323" s="1364">
        <f t="shared" si="160"/>
        <v>2033.621268128391</v>
      </c>
      <c r="N323" s="1364">
        <f t="shared" si="160"/>
        <v>0</v>
      </c>
      <c r="O323" s="1364">
        <f t="shared" si="160"/>
        <v>0</v>
      </c>
      <c r="P323" s="1364">
        <f t="shared" si="160"/>
        <v>35.367797292243573</v>
      </c>
      <c r="Q323" s="1364">
        <f t="shared" si="160"/>
        <v>0</v>
      </c>
      <c r="R323" s="1358"/>
      <c r="V323" s="1320" t="s">
        <v>5374</v>
      </c>
    </row>
    <row r="324" spans="1:30">
      <c r="A324" s="1320" t="s">
        <v>4682</v>
      </c>
      <c r="C324" s="1322">
        <v>116</v>
      </c>
      <c r="D324" s="1320" t="s">
        <v>5242</v>
      </c>
      <c r="E324" s="1320" t="s">
        <v>4071</v>
      </c>
      <c r="F324" s="1358">
        <f t="shared" si="159"/>
        <v>38382.168272878131</v>
      </c>
      <c r="G324" s="1358">
        <f t="shared" si="159"/>
        <v>0</v>
      </c>
      <c r="H324" s="1358">
        <f t="shared" si="159"/>
        <v>38382.168272878131</v>
      </c>
      <c r="I324" s="1323">
        <f t="shared" si="157"/>
        <v>1</v>
      </c>
      <c r="J324" s="1364">
        <f t="shared" si="160"/>
        <v>38382.168272878131</v>
      </c>
      <c r="K324" s="1364">
        <f t="shared" si="160"/>
        <v>21544.192211832418</v>
      </c>
      <c r="L324" s="1364">
        <f t="shared" si="160"/>
        <v>4185.9635079673872</v>
      </c>
      <c r="M324" s="1364">
        <f t="shared" si="160"/>
        <v>2403.9105983064192</v>
      </c>
      <c r="N324" s="1364">
        <f t="shared" si="160"/>
        <v>180.57746751043169</v>
      </c>
      <c r="O324" s="1364">
        <f t="shared" si="160"/>
        <v>197.01759735716439</v>
      </c>
      <c r="P324" s="1364">
        <f t="shared" si="160"/>
        <v>40.46714324574485</v>
      </c>
      <c r="Q324" s="1364">
        <f t="shared" si="160"/>
        <v>9830.0397466585637</v>
      </c>
      <c r="R324" s="1358"/>
      <c r="V324" s="1320" t="s">
        <v>5375</v>
      </c>
    </row>
    <row r="325" spans="1:30">
      <c r="A325" s="1320" t="s">
        <v>4682</v>
      </c>
      <c r="C325" s="1322">
        <v>117</v>
      </c>
      <c r="D325" s="1320" t="s">
        <v>5244</v>
      </c>
      <c r="E325" s="1320" t="s">
        <v>4071</v>
      </c>
      <c r="F325" s="1350">
        <f>+F267+F302+F291+F313</f>
        <v>68841.12898628338</v>
      </c>
      <c r="G325" s="1350">
        <f>+G267+G302+G291+G313</f>
        <v>0</v>
      </c>
      <c r="H325" s="1350">
        <f>+H267+H302+H291+H313</f>
        <v>68841.12898628338</v>
      </c>
      <c r="I325" s="1323">
        <f t="shared" si="157"/>
        <v>1</v>
      </c>
      <c r="J325" s="1366">
        <f t="shared" ref="J325:Q325" si="161">+J267+J302+J291+J313</f>
        <v>68841.12898628338</v>
      </c>
      <c r="K325" s="1366">
        <f t="shared" si="161"/>
        <v>59574.211774824587</v>
      </c>
      <c r="L325" s="1366">
        <f t="shared" si="161"/>
        <v>5763.4842927606624</v>
      </c>
      <c r="M325" s="1366">
        <f t="shared" si="161"/>
        <v>2902.9081539985177</v>
      </c>
      <c r="N325" s="1366">
        <f t="shared" si="161"/>
        <v>189.64174066923826</v>
      </c>
      <c r="O325" s="1366">
        <f>+O267+O302+O291+O313</f>
        <v>109.48647147567513</v>
      </c>
      <c r="P325" s="1366">
        <f>+P267+P302+P291+P313</f>
        <v>31.191344012645786</v>
      </c>
      <c r="Q325" s="1366">
        <f t="shared" si="161"/>
        <v>270.20520854205262</v>
      </c>
      <c r="R325" s="1358"/>
      <c r="V325" s="1320" t="s">
        <v>5376</v>
      </c>
      <c r="AD325" s="1392"/>
    </row>
    <row r="326" spans="1:30">
      <c r="A326" s="1320" t="s">
        <v>4682</v>
      </c>
      <c r="C326" s="1322">
        <v>118</v>
      </c>
      <c r="F326" s="1358"/>
      <c r="G326" s="1358"/>
      <c r="H326" s="1358"/>
      <c r="J326" s="1364"/>
      <c r="K326" s="1364"/>
      <c r="L326" s="1364"/>
      <c r="M326" s="1364"/>
      <c r="N326" s="1367"/>
      <c r="O326" s="1367"/>
      <c r="P326" s="1367"/>
      <c r="Q326" s="1364"/>
      <c r="R326" s="1358"/>
    </row>
    <row r="327" spans="1:30" ht="14.4" thickBot="1">
      <c r="A327" s="1320" t="s">
        <v>4682</v>
      </c>
      <c r="C327" s="1322">
        <v>119</v>
      </c>
      <c r="D327" s="1320" t="s">
        <v>5377</v>
      </c>
      <c r="F327" s="1423">
        <f>SUM(F318:F325)</f>
        <v>393467.81005182274</v>
      </c>
      <c r="G327" s="1423">
        <f>SUM(G318:G325)</f>
        <v>1696.7046513136961</v>
      </c>
      <c r="H327" s="1423">
        <f>SUM(H318:H325)</f>
        <v>391771.10540050903</v>
      </c>
      <c r="I327" s="1323">
        <f>IF(F327=0,0,+H327/F327)</f>
        <v>0.99568781839843457</v>
      </c>
      <c r="J327" s="1380">
        <f t="shared" ref="J327:Q327" si="162">SUM(J318:J325)</f>
        <v>391771.10540050903</v>
      </c>
      <c r="K327" s="1380">
        <f t="shared" si="162"/>
        <v>246053.44580808264</v>
      </c>
      <c r="L327" s="1380">
        <f t="shared" si="162"/>
        <v>23394.766335585584</v>
      </c>
      <c r="M327" s="1380">
        <f t="shared" si="162"/>
        <v>93062.933578015887</v>
      </c>
      <c r="N327" s="1424">
        <f t="shared" si="162"/>
        <v>11372.030588118128</v>
      </c>
      <c r="O327" s="1424">
        <f>SUM(O318:O325)</f>
        <v>6943.6197799122192</v>
      </c>
      <c r="P327" s="1424">
        <f>SUM(P318:P325)</f>
        <v>844.06435559400143</v>
      </c>
      <c r="Q327" s="1380">
        <f t="shared" si="162"/>
        <v>10100.244955200616</v>
      </c>
      <c r="R327" s="1358"/>
      <c r="V327" s="1320" t="s">
        <v>9330</v>
      </c>
    </row>
    <row r="328" spans="1:30" ht="14.4" thickTop="1">
      <c r="A328" s="1320" t="s">
        <v>4682</v>
      </c>
      <c r="C328" s="1322">
        <v>120</v>
      </c>
      <c r="G328" s="1320"/>
      <c r="M328" s="1324"/>
      <c r="P328" s="1325"/>
    </row>
    <row r="329" spans="1:30">
      <c r="A329" s="1320" t="s">
        <v>4682</v>
      </c>
      <c r="C329" s="1322">
        <v>121</v>
      </c>
      <c r="D329" s="1356" t="s">
        <v>5379</v>
      </c>
      <c r="G329" s="1320"/>
      <c r="M329" s="1324"/>
      <c r="P329" s="1325"/>
    </row>
    <row r="330" spans="1:30" s="1324" customFormat="1">
      <c r="A330" s="1324" t="s">
        <v>4682</v>
      </c>
      <c r="C330" s="1393">
        <v>122</v>
      </c>
      <c r="D330" s="1324" t="s">
        <v>5265</v>
      </c>
      <c r="E330" s="1324" t="s">
        <v>4067</v>
      </c>
      <c r="F330" s="1324">
        <f t="shared" ref="F330:H331" si="163">+F318+F185</f>
        <v>159622.03248406202</v>
      </c>
      <c r="G330" s="1324">
        <f t="shared" si="163"/>
        <v>0</v>
      </c>
      <c r="H330" s="1324">
        <f t="shared" si="163"/>
        <v>159622.03248406202</v>
      </c>
      <c r="I330" s="1374">
        <f t="shared" ref="I330:I338" si="164">IF(F330=0,0,+H330/F330)</f>
        <v>1</v>
      </c>
      <c r="J330" s="1324">
        <f t="shared" ref="J330:N331" si="165">+J318+J185</f>
        <v>159622.03248406202</v>
      </c>
      <c r="K330" s="1324">
        <f t="shared" si="165"/>
        <v>91657.312175951331</v>
      </c>
      <c r="L330" s="1324">
        <f t="shared" si="165"/>
        <v>7622.281263441525</v>
      </c>
      <c r="M330" s="1324">
        <f t="shared" si="165"/>
        <v>49330.720744001708</v>
      </c>
      <c r="N330" s="1325">
        <f t="shared" si="165"/>
        <v>6304.79997747996</v>
      </c>
      <c r="O330" s="1325">
        <f t="shared" ref="O330:Q331" si="166">+O318+O185</f>
        <v>4537.5843244992775</v>
      </c>
      <c r="P330" s="1325">
        <f t="shared" si="166"/>
        <v>169.33399868823523</v>
      </c>
      <c r="Q330" s="1324">
        <f t="shared" si="166"/>
        <v>0</v>
      </c>
      <c r="V330" s="1320" t="s">
        <v>5380</v>
      </c>
      <c r="AA330" s="1320"/>
    </row>
    <row r="331" spans="1:30" s="1324" customFormat="1">
      <c r="A331" s="1324" t="s">
        <v>4682</v>
      </c>
      <c r="C331" s="1393">
        <v>123</v>
      </c>
      <c r="D331" s="1324" t="s">
        <v>5265</v>
      </c>
      <c r="E331" s="1324" t="s">
        <v>2067</v>
      </c>
      <c r="F331" s="1324">
        <f t="shared" si="163"/>
        <v>42232.879491595908</v>
      </c>
      <c r="G331" s="1324">
        <f t="shared" si="163"/>
        <v>0</v>
      </c>
      <c r="H331" s="1324">
        <f t="shared" si="163"/>
        <v>42232.879491595908</v>
      </c>
      <c r="I331" s="1374">
        <f t="shared" si="164"/>
        <v>1</v>
      </c>
      <c r="J331" s="1324">
        <f t="shared" si="165"/>
        <v>42232.879491595908</v>
      </c>
      <c r="K331" s="1324">
        <f t="shared" si="165"/>
        <v>21312.154731715578</v>
      </c>
      <c r="L331" s="1324">
        <f t="shared" si="165"/>
        <v>1969.4925839010409</v>
      </c>
      <c r="M331" s="1324">
        <f t="shared" si="165"/>
        <v>14671.954773926467</v>
      </c>
      <c r="N331" s="1325">
        <f t="shared" si="165"/>
        <v>2335.5392931400056</v>
      </c>
      <c r="O331" s="1325">
        <f t="shared" si="166"/>
        <v>1720.619507003641</v>
      </c>
      <c r="P331" s="1325">
        <f t="shared" si="166"/>
        <v>223.11860190917477</v>
      </c>
      <c r="Q331" s="1324">
        <f t="shared" si="166"/>
        <v>0</v>
      </c>
      <c r="V331" s="1320" t="s">
        <v>5381</v>
      </c>
      <c r="AA331" s="1320"/>
    </row>
    <row r="332" spans="1:30" s="1324" customFormat="1">
      <c r="A332" s="1324" t="s">
        <v>4682</v>
      </c>
      <c r="C332" s="1393">
        <v>124</v>
      </c>
      <c r="D332" s="1324" t="s">
        <v>5268</v>
      </c>
      <c r="E332" s="1324" t="s">
        <v>4067</v>
      </c>
      <c r="F332" s="1324">
        <f t="shared" ref="F332:H337" si="167">+F320</f>
        <v>4045.870112441934</v>
      </c>
      <c r="G332" s="1324">
        <f t="shared" si="167"/>
        <v>406.64102719459561</v>
      </c>
      <c r="H332" s="1324">
        <f t="shared" si="167"/>
        <v>3639.0936003281759</v>
      </c>
      <c r="I332" s="1374">
        <f t="shared" si="164"/>
        <v>0.89945883065725918</v>
      </c>
      <c r="J332" s="1324">
        <f t="shared" ref="J332:Q337" si="168">+J320</f>
        <v>3639.0936003281759</v>
      </c>
      <c r="K332" s="1324">
        <f t="shared" si="168"/>
        <v>2110.7217424211058</v>
      </c>
      <c r="L332" s="1324">
        <f t="shared" si="168"/>
        <v>174.11325383858966</v>
      </c>
      <c r="M332" s="1324">
        <f t="shared" si="168"/>
        <v>1113.0185594443501</v>
      </c>
      <c r="N332" s="1325">
        <f t="shared" si="168"/>
        <v>138.94560952463209</v>
      </c>
      <c r="O332" s="1325">
        <f t="shared" si="168"/>
        <v>99.714344635624627</v>
      </c>
      <c r="P332" s="1325">
        <f t="shared" si="168"/>
        <v>2.5800904638734146</v>
      </c>
      <c r="Q332" s="1324">
        <f t="shared" si="168"/>
        <v>0</v>
      </c>
      <c r="V332" s="1320" t="s">
        <v>5382</v>
      </c>
      <c r="AA332" s="1320"/>
    </row>
    <row r="333" spans="1:30" s="1324" customFormat="1">
      <c r="A333" s="1324" t="s">
        <v>4682</v>
      </c>
      <c r="C333" s="1393">
        <v>125</v>
      </c>
      <c r="D333" s="1324" t="s">
        <v>5239</v>
      </c>
      <c r="E333" s="1324" t="s">
        <v>4067</v>
      </c>
      <c r="F333" s="1364">
        <f t="shared" si="167"/>
        <v>12410.707503734577</v>
      </c>
      <c r="G333" s="1364">
        <f t="shared" si="167"/>
        <v>1290.0636241191005</v>
      </c>
      <c r="H333" s="1364">
        <f t="shared" si="167"/>
        <v>11120.779364534637</v>
      </c>
      <c r="I333" s="1374">
        <f t="shared" si="164"/>
        <v>0.89606328738214325</v>
      </c>
      <c r="J333" s="1364">
        <f t="shared" si="168"/>
        <v>11120.779364534637</v>
      </c>
      <c r="K333" s="1364">
        <f t="shared" si="168"/>
        <v>6450.1970477688265</v>
      </c>
      <c r="L333" s="1364">
        <f t="shared" si="168"/>
        <v>532.07619617301259</v>
      </c>
      <c r="M333" s="1364">
        <f t="shared" si="168"/>
        <v>3401.2958136324314</v>
      </c>
      <c r="N333" s="1367">
        <f t="shared" si="168"/>
        <v>424.60668421797953</v>
      </c>
      <c r="O333" s="1367">
        <f t="shared" si="168"/>
        <v>304.71907237339212</v>
      </c>
      <c r="P333" s="1367">
        <f t="shared" si="168"/>
        <v>7.8845503689953329</v>
      </c>
      <c r="Q333" s="1364">
        <f t="shared" si="168"/>
        <v>0</v>
      </c>
      <c r="R333" s="1364"/>
      <c r="V333" s="1320" t="s">
        <v>5383</v>
      </c>
      <c r="AA333" s="1320"/>
    </row>
    <row r="334" spans="1:30" s="1324" customFormat="1">
      <c r="A334" s="1324" t="s">
        <v>4682</v>
      </c>
      <c r="B334" s="1326"/>
      <c r="C334" s="1393">
        <v>126</v>
      </c>
      <c r="D334" s="1324" t="s">
        <v>5240</v>
      </c>
      <c r="E334" s="1324" t="s">
        <v>4067</v>
      </c>
      <c r="F334" s="1364">
        <f t="shared" si="167"/>
        <v>58782.428344976914</v>
      </c>
      <c r="G334" s="1364">
        <f t="shared" si="167"/>
        <v>0</v>
      </c>
      <c r="H334" s="1364">
        <f t="shared" si="167"/>
        <v>58782.428344976914</v>
      </c>
      <c r="I334" s="1374">
        <f t="shared" si="164"/>
        <v>1</v>
      </c>
      <c r="J334" s="1364">
        <f t="shared" si="168"/>
        <v>58782.428344976914</v>
      </c>
      <c r="K334" s="1364">
        <f t="shared" si="168"/>
        <v>36587.12463068153</v>
      </c>
      <c r="L334" s="1364">
        <f t="shared" si="168"/>
        <v>2602.1680664153319</v>
      </c>
      <c r="M334" s="1364">
        <f t="shared" si="168"/>
        <v>17423.139930475194</v>
      </c>
      <c r="N334" s="1367">
        <f t="shared" si="168"/>
        <v>1832.5640094666878</v>
      </c>
      <c r="O334" s="1367">
        <f t="shared" si="168"/>
        <v>1.2512390052160816E-3</v>
      </c>
      <c r="P334" s="1367">
        <f t="shared" si="168"/>
        <v>337.43045669917126</v>
      </c>
      <c r="Q334" s="1364">
        <f t="shared" si="168"/>
        <v>0</v>
      </c>
      <c r="R334" s="1364"/>
      <c r="S334" s="1326"/>
      <c r="T334" s="1326"/>
      <c r="U334" s="1326"/>
      <c r="V334" s="1320" t="s">
        <v>5384</v>
      </c>
      <c r="AA334" s="1320"/>
    </row>
    <row r="335" spans="1:30" s="1324" customFormat="1">
      <c r="A335" s="1324" t="s">
        <v>4682</v>
      </c>
      <c r="B335" s="1326"/>
      <c r="C335" s="1393">
        <v>127</v>
      </c>
      <c r="D335" s="1324" t="s">
        <v>5241</v>
      </c>
      <c r="E335" s="1324" t="s">
        <v>4067</v>
      </c>
      <c r="F335" s="1364">
        <f t="shared" si="167"/>
        <v>9777.0557636031099</v>
      </c>
      <c r="G335" s="1364">
        <f t="shared" si="167"/>
        <v>0</v>
      </c>
      <c r="H335" s="1364">
        <f t="shared" si="167"/>
        <v>9777.0557636031099</v>
      </c>
      <c r="I335" s="1374">
        <f t="shared" si="164"/>
        <v>1</v>
      </c>
      <c r="J335" s="1364">
        <f t="shared" si="168"/>
        <v>9777.0557636031099</v>
      </c>
      <c r="K335" s="1364">
        <f t="shared" si="168"/>
        <v>7133.6650826431833</v>
      </c>
      <c r="L335" s="1364">
        <f t="shared" si="168"/>
        <v>574.40161553929102</v>
      </c>
      <c r="M335" s="1364">
        <f t="shared" si="168"/>
        <v>2033.621268128391</v>
      </c>
      <c r="N335" s="1367">
        <f t="shared" si="168"/>
        <v>0</v>
      </c>
      <c r="O335" s="1367">
        <f t="shared" si="168"/>
        <v>0</v>
      </c>
      <c r="P335" s="1367">
        <f t="shared" si="168"/>
        <v>35.367797292243573</v>
      </c>
      <c r="Q335" s="1364">
        <f t="shared" si="168"/>
        <v>0</v>
      </c>
      <c r="R335" s="1364"/>
      <c r="S335" s="1326"/>
      <c r="T335" s="1326"/>
      <c r="U335" s="1326"/>
      <c r="V335" s="1320" t="s">
        <v>5385</v>
      </c>
      <c r="AA335" s="1320"/>
    </row>
    <row r="336" spans="1:30" s="1324" customFormat="1">
      <c r="A336" s="1324" t="s">
        <v>4682</v>
      </c>
      <c r="B336" s="1326"/>
      <c r="C336" s="1393">
        <v>128</v>
      </c>
      <c r="D336" s="1324" t="s">
        <v>5242</v>
      </c>
      <c r="E336" s="1324" t="s">
        <v>4071</v>
      </c>
      <c r="F336" s="1364">
        <f t="shared" si="167"/>
        <v>38382.168272878131</v>
      </c>
      <c r="G336" s="1364">
        <f t="shared" si="167"/>
        <v>0</v>
      </c>
      <c r="H336" s="1364">
        <f t="shared" si="167"/>
        <v>38382.168272878131</v>
      </c>
      <c r="I336" s="1374">
        <f t="shared" si="164"/>
        <v>1</v>
      </c>
      <c r="J336" s="1364">
        <f t="shared" si="168"/>
        <v>38382.168272878131</v>
      </c>
      <c r="K336" s="1364">
        <f t="shared" si="168"/>
        <v>21544.192211832418</v>
      </c>
      <c r="L336" s="1364">
        <f t="shared" si="168"/>
        <v>4185.9635079673872</v>
      </c>
      <c r="M336" s="1364">
        <f t="shared" si="168"/>
        <v>2403.9105983064192</v>
      </c>
      <c r="N336" s="1367">
        <f t="shared" si="168"/>
        <v>180.57746751043169</v>
      </c>
      <c r="O336" s="1367">
        <f t="shared" si="168"/>
        <v>197.01759735716439</v>
      </c>
      <c r="P336" s="1367">
        <f t="shared" si="168"/>
        <v>40.46714324574485</v>
      </c>
      <c r="Q336" s="1364">
        <f t="shared" si="168"/>
        <v>9830.0397466585637</v>
      </c>
      <c r="R336" s="1364"/>
      <c r="S336" s="1326"/>
      <c r="T336" s="1326"/>
      <c r="U336" s="1326"/>
      <c r="V336" s="1320" t="s">
        <v>5386</v>
      </c>
      <c r="AA336" s="1320"/>
    </row>
    <row r="337" spans="1:27" s="1324" customFormat="1">
      <c r="A337" s="1324" t="s">
        <v>4682</v>
      </c>
      <c r="B337" s="1326"/>
      <c r="C337" s="1393">
        <v>129</v>
      </c>
      <c r="D337" s="1324" t="s">
        <v>5244</v>
      </c>
      <c r="E337" s="1324" t="s">
        <v>4071</v>
      </c>
      <c r="F337" s="1366">
        <f t="shared" si="167"/>
        <v>68841.12898628338</v>
      </c>
      <c r="G337" s="1366">
        <f t="shared" si="167"/>
        <v>0</v>
      </c>
      <c r="H337" s="1366">
        <f t="shared" si="167"/>
        <v>68841.12898628338</v>
      </c>
      <c r="I337" s="1374">
        <f t="shared" si="164"/>
        <v>1</v>
      </c>
      <c r="J337" s="1366">
        <f t="shared" si="168"/>
        <v>68841.12898628338</v>
      </c>
      <c r="K337" s="1366">
        <f t="shared" si="168"/>
        <v>59574.211774824587</v>
      </c>
      <c r="L337" s="1366">
        <f t="shared" si="168"/>
        <v>5763.4842927606624</v>
      </c>
      <c r="M337" s="1366">
        <f t="shared" si="168"/>
        <v>2902.9081539985177</v>
      </c>
      <c r="N337" s="1378">
        <f t="shared" si="168"/>
        <v>189.64174066923826</v>
      </c>
      <c r="O337" s="1378">
        <f t="shared" si="168"/>
        <v>109.48647147567513</v>
      </c>
      <c r="P337" s="1378">
        <f t="shared" si="168"/>
        <v>31.191344012645786</v>
      </c>
      <c r="Q337" s="1366">
        <f t="shared" si="168"/>
        <v>270.20520854205262</v>
      </c>
      <c r="R337" s="1364"/>
      <c r="S337" s="1326"/>
      <c r="T337" s="1326"/>
      <c r="U337" s="1326"/>
      <c r="V337" s="1320" t="s">
        <v>9331</v>
      </c>
      <c r="AA337" s="1320"/>
    </row>
    <row r="338" spans="1:27" ht="14.4" thickBot="1">
      <c r="A338" s="1320" t="s">
        <v>4682</v>
      </c>
      <c r="C338" s="1322">
        <v>130</v>
      </c>
      <c r="D338" s="1320" t="s">
        <v>5388</v>
      </c>
      <c r="F338" s="1423">
        <f>SUM(F330:F337)</f>
        <v>394094.27095957595</v>
      </c>
      <c r="G338" s="1423">
        <f>SUM(G330:G337)</f>
        <v>1696.7046513136961</v>
      </c>
      <c r="H338" s="1423">
        <f>SUM(H330:H337)</f>
        <v>392397.56630826223</v>
      </c>
      <c r="I338" s="1323">
        <f t="shared" si="164"/>
        <v>0.99569467313700744</v>
      </c>
      <c r="J338" s="1380">
        <f t="shared" ref="J338:Q338" si="169">SUM(J330:J337)</f>
        <v>392397.56630826223</v>
      </c>
      <c r="K338" s="1380">
        <f t="shared" si="169"/>
        <v>246369.57939783856</v>
      </c>
      <c r="L338" s="1380">
        <f t="shared" si="169"/>
        <v>23423.98078003684</v>
      </c>
      <c r="M338" s="1380">
        <f t="shared" si="169"/>
        <v>93280.569841913486</v>
      </c>
      <c r="N338" s="1424">
        <f t="shared" si="169"/>
        <v>11406.674782008935</v>
      </c>
      <c r="O338" s="1424">
        <f>SUM(O330:O337)</f>
        <v>6969.1425685837794</v>
      </c>
      <c r="P338" s="1424">
        <f>SUM(P330:P337)</f>
        <v>847.37398268008428</v>
      </c>
      <c r="Q338" s="1380">
        <f t="shared" si="169"/>
        <v>10100.244955200616</v>
      </c>
      <c r="R338" s="1358"/>
      <c r="V338" s="1320" t="s">
        <v>5389</v>
      </c>
    </row>
    <row r="339" spans="1:27" ht="14.4" thickTop="1">
      <c r="G339" s="1320"/>
      <c r="M339" s="1324"/>
      <c r="P339" s="1325"/>
    </row>
    <row r="340" spans="1:27">
      <c r="G340" s="1320"/>
    </row>
    <row r="341" spans="1:27">
      <c r="G341" s="1320"/>
    </row>
    <row r="342" spans="1:27">
      <c r="G342" s="1320"/>
    </row>
    <row r="343" spans="1:27">
      <c r="G343" s="1320"/>
    </row>
    <row r="344" spans="1:27">
      <c r="A344" s="1358"/>
      <c r="B344" s="1432"/>
      <c r="C344" s="1340" t="str">
        <f>+C$2</f>
        <v>RATES WITH REVENUE DEFICIENCY ADDITION</v>
      </c>
      <c r="F344" s="1333"/>
      <c r="G344" s="1327" t="s">
        <v>2173</v>
      </c>
      <c r="H344" s="1358"/>
      <c r="I344" s="1334" t="s">
        <v>4889</v>
      </c>
      <c r="L344" s="1329" t="s">
        <v>2173</v>
      </c>
      <c r="M344" s="1330"/>
      <c r="N344" s="1330"/>
      <c r="O344" s="1330"/>
      <c r="S344" s="1334" t="s">
        <v>4895</v>
      </c>
      <c r="T344" s="1333" t="s">
        <v>2173</v>
      </c>
      <c r="U344" s="1334"/>
      <c r="V344" s="1332" t="s">
        <v>4772</v>
      </c>
    </row>
    <row r="345" spans="1:27" s="1324" customFormat="1">
      <c r="B345" s="1433"/>
      <c r="C345" s="1340" t="str">
        <f>+C$3</f>
        <v>PROD. CAP. ALLOC. METHOD: 12 CP &amp; 1/13th AD</v>
      </c>
      <c r="D345" s="1364"/>
      <c r="G345" s="1336" t="s">
        <v>4768</v>
      </c>
      <c r="H345" s="1320"/>
      <c r="I345" s="1335" t="s">
        <v>5346</v>
      </c>
      <c r="L345" s="1336" t="s">
        <v>5141</v>
      </c>
      <c r="M345" s="1337"/>
      <c r="N345" s="1337"/>
      <c r="O345" s="1337"/>
      <c r="R345" s="1331"/>
      <c r="S345" s="1335" t="s">
        <v>5390</v>
      </c>
      <c r="T345" s="1336" t="s">
        <v>5141</v>
      </c>
      <c r="U345" s="1364"/>
      <c r="V345" s="1334" t="s">
        <v>4895</v>
      </c>
      <c r="AA345" s="1320"/>
    </row>
    <row r="346" spans="1:27">
      <c r="B346" s="1321"/>
      <c r="C346" s="1340" t="str">
        <f>+C$4</f>
        <v>PROJECTED CALENDAR YEAR 2025; FULLY ADJUSTED DATA</v>
      </c>
      <c r="G346" s="1336" t="s">
        <v>2181</v>
      </c>
      <c r="L346" s="1336" t="s">
        <v>2181</v>
      </c>
      <c r="S346" s="1358"/>
      <c r="T346" s="1339"/>
      <c r="U346" s="1364"/>
    </row>
    <row r="347" spans="1:27">
      <c r="B347" s="1321"/>
      <c r="C347" s="1340" t="str">
        <f>+C$5</f>
        <v>MINIMUM DISTRIBUTION SYSTEM (MDS) NOT EMPLOYED</v>
      </c>
      <c r="G347" s="1358"/>
      <c r="H347" s="1358"/>
      <c r="I347" s="1379"/>
      <c r="K347" s="1364"/>
      <c r="L347" s="1336"/>
      <c r="M347" s="1337"/>
      <c r="N347" s="1337"/>
      <c r="O347" s="1337"/>
      <c r="S347" s="1358"/>
      <c r="T347" s="1333"/>
      <c r="U347" s="1364"/>
    </row>
    <row r="348" spans="1:27">
      <c r="B348" s="1321"/>
      <c r="C348" s="1340" t="str">
        <f>+C$6</f>
        <v>Tampa Electric 2025 OB Budget</v>
      </c>
      <c r="F348" s="1327"/>
      <c r="G348" s="1333" t="s">
        <v>5391</v>
      </c>
      <c r="H348" s="1358"/>
      <c r="I348" s="1379"/>
      <c r="K348" s="1364"/>
      <c r="L348" s="1336" t="s">
        <v>5391</v>
      </c>
      <c r="M348" s="1337"/>
      <c r="N348" s="1337"/>
      <c r="O348" s="1337"/>
      <c r="S348" s="1358"/>
      <c r="T348" s="1333" t="s">
        <v>5391</v>
      </c>
      <c r="U348" s="1364"/>
    </row>
    <row r="349" spans="1:27">
      <c r="B349" s="1321"/>
      <c r="F349" s="1333"/>
      <c r="G349" s="1358"/>
      <c r="H349" s="1358"/>
      <c r="I349" s="1379"/>
      <c r="K349" s="1364"/>
      <c r="L349" s="1336"/>
      <c r="M349" s="1337"/>
      <c r="N349" s="1337"/>
      <c r="O349" s="1337"/>
      <c r="S349" s="1358"/>
      <c r="T349" s="1358"/>
      <c r="U349" s="1364"/>
    </row>
    <row r="350" spans="1:27">
      <c r="B350" s="1321"/>
      <c r="F350" s="1333"/>
      <c r="G350" s="1358"/>
      <c r="H350" s="1358"/>
      <c r="I350" s="1379"/>
      <c r="K350" s="1364"/>
      <c r="L350" s="1336"/>
      <c r="M350" s="1337"/>
      <c r="N350" s="1337"/>
      <c r="O350" s="1337"/>
      <c r="S350" s="1358"/>
      <c r="T350" s="1358"/>
      <c r="U350" s="1364"/>
    </row>
    <row r="351" spans="1:27">
      <c r="B351" s="1358"/>
      <c r="C351" s="1434"/>
      <c r="D351" s="1358"/>
      <c r="E351" s="1358"/>
      <c r="G351" s="1358"/>
      <c r="H351" s="1358"/>
      <c r="I351" s="1379"/>
      <c r="K351" s="1364"/>
      <c r="S351" s="1358"/>
      <c r="T351" s="1358"/>
      <c r="U351" s="1364"/>
    </row>
    <row r="352" spans="1:27">
      <c r="B352" s="1358"/>
      <c r="C352" s="1342"/>
      <c r="D352" s="1435"/>
      <c r="E352" s="1435"/>
      <c r="F352" s="1333"/>
      <c r="G352" s="1333"/>
      <c r="H352" s="1333"/>
      <c r="I352" s="1343"/>
      <c r="J352" s="1416"/>
      <c r="K352" s="1336"/>
      <c r="L352" s="1416"/>
      <c r="M352" s="1417"/>
      <c r="N352" s="1417"/>
      <c r="O352" s="1417"/>
      <c r="P352" s="3164"/>
      <c r="Q352" s="3164"/>
      <c r="R352" s="1333"/>
      <c r="S352" s="1358"/>
      <c r="T352" s="1358"/>
      <c r="U352" s="1364"/>
    </row>
    <row r="353" spans="1:27" ht="30" customHeight="1">
      <c r="A353" s="1418" t="s">
        <v>4683</v>
      </c>
      <c r="B353" s="1425" t="s">
        <v>5143</v>
      </c>
      <c r="C353" s="1349" t="s">
        <v>4297</v>
      </c>
      <c r="D353" s="1418"/>
      <c r="E353" s="1418"/>
      <c r="F353" s="1348" t="s">
        <v>5144</v>
      </c>
      <c r="G353" s="1348" t="s">
        <v>4956</v>
      </c>
      <c r="H353" s="1348" t="s">
        <v>4957</v>
      </c>
      <c r="I353" s="1426" t="s">
        <v>5145</v>
      </c>
      <c r="J353" s="1352" t="s">
        <v>4957</v>
      </c>
      <c r="K353" s="1353" t="s">
        <v>1949</v>
      </c>
      <c r="L353" s="1353" t="s">
        <v>1950</v>
      </c>
      <c r="M353" s="1354" t="s">
        <v>1934</v>
      </c>
      <c r="N353" s="1354" t="s">
        <v>1971</v>
      </c>
      <c r="O353" s="1354" t="s">
        <v>1972</v>
      </c>
      <c r="P353" s="1352" t="s">
        <v>5146</v>
      </c>
      <c r="Q353" s="1352" t="s">
        <v>5147</v>
      </c>
      <c r="R353" s="1355"/>
      <c r="S353" s="1348" t="s">
        <v>5299</v>
      </c>
      <c r="T353" s="1348"/>
      <c r="U353" s="1352"/>
      <c r="V353" s="1355" t="s">
        <v>4774</v>
      </c>
    </row>
    <row r="354" spans="1:27">
      <c r="B354" s="1358"/>
      <c r="C354" s="1434"/>
      <c r="D354" s="1358"/>
      <c r="E354" s="1358"/>
      <c r="F354" s="1358"/>
      <c r="G354" s="1358"/>
      <c r="H354" s="1358"/>
      <c r="I354" s="1379"/>
      <c r="K354" s="1364"/>
      <c r="S354" s="1358"/>
      <c r="T354" s="1358"/>
      <c r="U354" s="1364"/>
    </row>
    <row r="355" spans="1:27">
      <c r="A355" s="1320" t="s">
        <v>4739</v>
      </c>
      <c r="B355" s="1436"/>
      <c r="C355" s="1434">
        <v>1</v>
      </c>
      <c r="D355" s="1437" t="s">
        <v>5392</v>
      </c>
      <c r="E355" s="1358"/>
      <c r="F355" s="1358"/>
      <c r="G355" s="1358"/>
      <c r="H355" s="1358"/>
      <c r="I355" s="1379"/>
      <c r="K355" s="1364"/>
      <c r="S355" s="1436"/>
      <c r="T355" s="1436"/>
      <c r="U355" s="1438"/>
    </row>
    <row r="356" spans="1:27">
      <c r="A356" s="1320" t="s">
        <v>4739</v>
      </c>
      <c r="B356" s="1320">
        <v>101</v>
      </c>
      <c r="C356" s="1434">
        <v>2</v>
      </c>
      <c r="D356" s="1320" t="s">
        <v>4813</v>
      </c>
      <c r="E356" s="1358" t="s">
        <v>4067</v>
      </c>
      <c r="F356" s="1358">
        <f>+'Allocation Assignment'!F110+'Allocation Assignment'!F112</f>
        <v>190419.46700762311</v>
      </c>
      <c r="G356" s="1358">
        <f>+$F356*G1933</f>
        <v>0</v>
      </c>
      <c r="H356" s="1358">
        <f>+$F356*H1933</f>
        <v>190419.46700762311</v>
      </c>
      <c r="I356" s="1323">
        <f>IF(F356=0,0,+H356/F356)</f>
        <v>1</v>
      </c>
      <c r="J356" s="1364">
        <f>H356</f>
        <v>190419.46700762311</v>
      </c>
      <c r="K356" s="1324">
        <f t="shared" ref="K356:Q356" si="170">$J356*K$1951</f>
        <v>109341.65077517518</v>
      </c>
      <c r="L356" s="1324">
        <f t="shared" si="170"/>
        <v>9092.9222800846746</v>
      </c>
      <c r="M356" s="1324">
        <f t="shared" si="170"/>
        <v>58848.577511457435</v>
      </c>
      <c r="N356" s="1324">
        <f t="shared" si="170"/>
        <v>7521.2464884588017</v>
      </c>
      <c r="O356" s="1324">
        <f t="shared" si="170"/>
        <v>5413.0646949353377</v>
      </c>
      <c r="P356" s="1324">
        <f t="shared" si="170"/>
        <v>202.00525751169633</v>
      </c>
      <c r="Q356" s="1324">
        <f t="shared" si="170"/>
        <v>0</v>
      </c>
      <c r="R356" s="1324"/>
      <c r="S356" s="1324">
        <v>122</v>
      </c>
      <c r="V356" s="1321" t="s">
        <v>9476</v>
      </c>
      <c r="W356" s="1321">
        <v>122</v>
      </c>
      <c r="Y356" s="1324"/>
    </row>
    <row r="357" spans="1:27" s="1324" customFormat="1">
      <c r="A357" s="1324" t="s">
        <v>4739</v>
      </c>
      <c r="B357" s="1324">
        <v>101</v>
      </c>
      <c r="C357" s="1439">
        <v>3</v>
      </c>
      <c r="D357" s="1324" t="s">
        <v>5393</v>
      </c>
      <c r="E357" s="1364" t="s">
        <v>4067</v>
      </c>
      <c r="F357" s="1364">
        <f>+'Allocation Assignment'!F113</f>
        <v>70700.31160999999</v>
      </c>
      <c r="G357" s="1364">
        <f>+$F357*G1934</f>
        <v>0</v>
      </c>
      <c r="H357" s="1364">
        <f>+$F357*H1933</f>
        <v>70700.31160999999</v>
      </c>
      <c r="I357" s="1374">
        <f>IF(F357=0,0,+H357/F357)</f>
        <v>1</v>
      </c>
      <c r="J357" s="1364">
        <f>H357</f>
        <v>70700.31160999999</v>
      </c>
      <c r="K357" s="1324">
        <f t="shared" ref="K357:Q357" si="171">$J357*K$1948</f>
        <v>40597.155864569271</v>
      </c>
      <c r="L357" s="1324">
        <f t="shared" si="171"/>
        <v>3376.085695176123</v>
      </c>
      <c r="M357" s="1324">
        <f t="shared" si="171"/>
        <v>21849.723839940776</v>
      </c>
      <c r="N357" s="1324">
        <f t="shared" si="171"/>
        <v>2792.542583938477</v>
      </c>
      <c r="O357" s="1324">
        <f t="shared" si="171"/>
        <v>2009.8016589958052</v>
      </c>
      <c r="P357" s="1324">
        <f t="shared" si="171"/>
        <v>75.001967379540417</v>
      </c>
      <c r="Q357" s="1324">
        <f t="shared" si="171"/>
        <v>0</v>
      </c>
      <c r="S357" s="1324">
        <v>121</v>
      </c>
      <c r="V357" s="1326" t="s">
        <v>5287</v>
      </c>
      <c r="W357" s="1326">
        <v>121</v>
      </c>
      <c r="AA357" s="1320"/>
    </row>
    <row r="358" spans="1:27">
      <c r="A358" s="1320" t="s">
        <v>4739</v>
      </c>
      <c r="B358" s="1320">
        <v>101</v>
      </c>
      <c r="C358" s="1434">
        <v>4</v>
      </c>
      <c r="D358" s="1320" t="s">
        <v>4814</v>
      </c>
      <c r="E358" s="1358" t="s">
        <v>2067</v>
      </c>
      <c r="F358" s="1350">
        <f>+'Allocation Assignment'!F111+'Allocation Assignment'!F114</f>
        <v>24171.775932376906</v>
      </c>
      <c r="G358" s="1350">
        <f>+$F358*G1933</f>
        <v>0</v>
      </c>
      <c r="H358" s="1350">
        <f>+$F358*H1933</f>
        <v>24171.775932376906</v>
      </c>
      <c r="I358" s="1323">
        <f>IF(F358=0,0,+H358/F358)</f>
        <v>1</v>
      </c>
      <c r="J358" s="1366">
        <f>H358</f>
        <v>24171.775932376906</v>
      </c>
      <c r="K358" s="1366">
        <f t="shared" ref="K358:Q358" si="172">+$J358*K$1969</f>
        <v>12197.904452943767</v>
      </c>
      <c r="L358" s="1366">
        <f t="shared" si="172"/>
        <v>1127.2291639031462</v>
      </c>
      <c r="M358" s="1366">
        <f t="shared" si="172"/>
        <v>8397.4194408385283</v>
      </c>
      <c r="N358" s="1378">
        <f t="shared" si="172"/>
        <v>1336.7341548727738</v>
      </c>
      <c r="O358" s="1378">
        <f t="shared" si="172"/>
        <v>984.78791142917646</v>
      </c>
      <c r="P358" s="1378">
        <f t="shared" si="172"/>
        <v>127.70080838951519</v>
      </c>
      <c r="Q358" s="1366">
        <f t="shared" si="172"/>
        <v>0</v>
      </c>
      <c r="R358" s="1364"/>
      <c r="S358" s="1324">
        <v>201</v>
      </c>
      <c r="V358" s="1321" t="s">
        <v>5235</v>
      </c>
      <c r="W358" s="1321">
        <v>201</v>
      </c>
      <c r="Y358" s="1324"/>
    </row>
    <row r="359" spans="1:27">
      <c r="A359" s="1320" t="s">
        <v>4739</v>
      </c>
      <c r="C359" s="1434">
        <v>5</v>
      </c>
      <c r="D359" s="1358" t="s">
        <v>5394</v>
      </c>
      <c r="E359" s="1358"/>
      <c r="F359" s="1358">
        <f>+SUM(F356:F358)</f>
        <v>285291.55455</v>
      </c>
      <c r="G359" s="1358">
        <f>SUM(G356:G358)</f>
        <v>0</v>
      </c>
      <c r="H359" s="1358">
        <f>SUM(H356:H358)</f>
        <v>285291.55455</v>
      </c>
      <c r="I359" s="1323">
        <f>IF(F359=0,0,+H359/F359)</f>
        <v>1</v>
      </c>
      <c r="J359" s="1364">
        <f t="shared" ref="J359:Q359" si="173">SUM(J356:J358)</f>
        <v>285291.55455</v>
      </c>
      <c r="K359" s="1364">
        <f t="shared" si="173"/>
        <v>162136.7110926882</v>
      </c>
      <c r="L359" s="1364">
        <f t="shared" si="173"/>
        <v>13596.237139163944</v>
      </c>
      <c r="M359" s="1364">
        <f t="shared" si="173"/>
        <v>89095.720792236738</v>
      </c>
      <c r="N359" s="1367">
        <f t="shared" si="173"/>
        <v>11650.523227270052</v>
      </c>
      <c r="O359" s="1367">
        <f>SUM(O356:O358)</f>
        <v>8407.6542653603192</v>
      </c>
      <c r="P359" s="1367">
        <f>SUM(P356:P358)</f>
        <v>404.70803328075198</v>
      </c>
      <c r="Q359" s="1364">
        <f t="shared" si="173"/>
        <v>0</v>
      </c>
      <c r="R359" s="1364"/>
      <c r="S359" s="1324"/>
      <c r="V359" s="1320" t="s">
        <v>5395</v>
      </c>
      <c r="Y359" s="1324"/>
    </row>
    <row r="360" spans="1:27">
      <c r="A360" s="1320" t="s">
        <v>4739</v>
      </c>
      <c r="C360" s="1434">
        <v>6</v>
      </c>
      <c r="D360" s="1358"/>
      <c r="E360" s="1358"/>
      <c r="F360" s="1358"/>
      <c r="G360" s="1358"/>
      <c r="H360" s="1358"/>
      <c r="I360" s="1379"/>
      <c r="J360" s="1364"/>
      <c r="K360" s="1364"/>
      <c r="L360" s="1364"/>
      <c r="M360" s="1364"/>
      <c r="N360" s="1367"/>
      <c r="O360" s="1367"/>
      <c r="P360" s="1367"/>
      <c r="Q360" s="1364"/>
      <c r="R360" s="1364"/>
      <c r="S360" s="1324"/>
      <c r="Y360" s="1324"/>
    </row>
    <row r="361" spans="1:27">
      <c r="A361" s="1320" t="s">
        <v>4739</v>
      </c>
      <c r="C361" s="1434">
        <v>7</v>
      </c>
      <c r="D361" s="1358"/>
      <c r="E361" s="1358"/>
      <c r="F361" s="1358"/>
      <c r="G361" s="1358"/>
      <c r="H361" s="1358"/>
      <c r="I361" s="1379"/>
      <c r="J361" s="1364"/>
      <c r="K361" s="1364"/>
      <c r="L361" s="1364"/>
      <c r="M361" s="1364"/>
      <c r="N361" s="1367"/>
      <c r="O361" s="1367"/>
      <c r="P361" s="1367"/>
      <c r="Q361" s="1364"/>
      <c r="R361" s="1364"/>
      <c r="S361" s="1324"/>
      <c r="Y361" s="1324"/>
    </row>
    <row r="362" spans="1:27">
      <c r="A362" s="1320" t="s">
        <v>4739</v>
      </c>
      <c r="C362" s="1434">
        <v>8</v>
      </c>
      <c r="D362" s="1437" t="s">
        <v>5396</v>
      </c>
      <c r="E362" s="1358"/>
      <c r="F362" s="1358"/>
      <c r="G362" s="1358"/>
      <c r="H362" s="1358"/>
      <c r="I362" s="1379"/>
      <c r="J362" s="1364"/>
      <c r="K362" s="1364"/>
      <c r="L362" s="1364"/>
      <c r="M362" s="1364"/>
      <c r="N362" s="1367"/>
      <c r="O362" s="1367"/>
      <c r="P362" s="1367"/>
      <c r="Q362" s="1364"/>
      <c r="R362" s="1364"/>
      <c r="S362" s="1324"/>
      <c r="Y362" s="1324"/>
    </row>
    <row r="363" spans="1:27">
      <c r="A363" s="1320" t="s">
        <v>4739</v>
      </c>
      <c r="B363" s="1320">
        <v>101</v>
      </c>
      <c r="C363" s="1434">
        <v>9</v>
      </c>
      <c r="D363" s="1358" t="s">
        <v>5397</v>
      </c>
      <c r="E363" s="1358" t="s">
        <v>4067</v>
      </c>
      <c r="F363" s="1358">
        <f>+'Allocation Assignment'!F115</f>
        <v>4399.5250740593683</v>
      </c>
      <c r="G363" s="1358">
        <f>+$F363*$G$1933</f>
        <v>0</v>
      </c>
      <c r="H363" s="1358">
        <f>+$F363*$H$1933</f>
        <v>4399.5250740593683</v>
      </c>
      <c r="I363" s="1323">
        <f>IF(F363=0,0,+H363/F363)</f>
        <v>1</v>
      </c>
      <c r="J363" s="1364">
        <f>+H363</f>
        <v>4399.5250740593683</v>
      </c>
      <c r="K363" s="1364">
        <f t="shared" ref="K363:Q363" si="174">$J363*K$1951</f>
        <v>2526.2718239053156</v>
      </c>
      <c r="L363" s="1364">
        <f t="shared" si="174"/>
        <v>210.08639608314886</v>
      </c>
      <c r="M363" s="1364">
        <f t="shared" si="174"/>
        <v>1359.660314163249</v>
      </c>
      <c r="N363" s="1364">
        <f t="shared" si="174"/>
        <v>173.77379022298584</v>
      </c>
      <c r="O363" s="1364">
        <f t="shared" si="174"/>
        <v>125.0655420221303</v>
      </c>
      <c r="P363" s="1364">
        <f t="shared" si="174"/>
        <v>4.6672076625387726</v>
      </c>
      <c r="Q363" s="1364">
        <f t="shared" si="174"/>
        <v>0</v>
      </c>
      <c r="R363" s="1324"/>
      <c r="S363" s="1324">
        <v>122</v>
      </c>
      <c r="V363" s="1321" t="s">
        <v>9476</v>
      </c>
      <c r="W363" s="1321">
        <v>122</v>
      </c>
      <c r="Y363" s="1324"/>
    </row>
    <row r="364" spans="1:27" s="1324" customFormat="1">
      <c r="A364" s="1324" t="s">
        <v>4739</v>
      </c>
      <c r="B364" s="1324">
        <v>101</v>
      </c>
      <c r="C364" s="1439">
        <v>10</v>
      </c>
      <c r="D364" s="1364" t="s">
        <v>5398</v>
      </c>
      <c r="E364" s="1364" t="s">
        <v>4067</v>
      </c>
      <c r="F364" s="1366">
        <f>+'Allocation Assignment'!F116</f>
        <v>0</v>
      </c>
      <c r="G364" s="1366">
        <f>+$F364*$G$1933</f>
        <v>0</v>
      </c>
      <c r="H364" s="1366">
        <f>+$F364*$H$1933</f>
        <v>0</v>
      </c>
      <c r="I364" s="1374">
        <f>IF(F364=0,0,+H364/F364)</f>
        <v>0</v>
      </c>
      <c r="J364" s="1366">
        <f>+H364</f>
        <v>0</v>
      </c>
      <c r="K364" s="1366">
        <f t="shared" ref="K364:Q364" si="175">$J364*K$1948</f>
        <v>0</v>
      </c>
      <c r="L364" s="1366">
        <f t="shared" si="175"/>
        <v>0</v>
      </c>
      <c r="M364" s="1366">
        <f t="shared" si="175"/>
        <v>0</v>
      </c>
      <c r="N364" s="1366">
        <f t="shared" si="175"/>
        <v>0</v>
      </c>
      <c r="O364" s="1366">
        <f t="shared" si="175"/>
        <v>0</v>
      </c>
      <c r="P364" s="1366">
        <f t="shared" si="175"/>
        <v>0</v>
      </c>
      <c r="Q364" s="1366">
        <f t="shared" si="175"/>
        <v>0</v>
      </c>
      <c r="S364" s="1324">
        <v>121</v>
      </c>
      <c r="V364" s="1326" t="s">
        <v>5287</v>
      </c>
      <c r="W364" s="1326">
        <v>121</v>
      </c>
      <c r="AA364" s="1320"/>
    </row>
    <row r="365" spans="1:27" s="1324" customFormat="1">
      <c r="C365" s="1439">
        <v>11</v>
      </c>
      <c r="D365" s="1364" t="s">
        <v>5399</v>
      </c>
      <c r="E365" s="1364"/>
      <c r="F365" s="1421">
        <f>+SUM(F363:F364)</f>
        <v>4399.5250740593683</v>
      </c>
      <c r="G365" s="1421">
        <f>SUM(G363:G364)</f>
        <v>0</v>
      </c>
      <c r="H365" s="1421">
        <f>SUM(H363:H364)</f>
        <v>4399.5250740593683</v>
      </c>
      <c r="I365" s="1374">
        <f>IF(F365=0,0,+H365/F365)</f>
        <v>1</v>
      </c>
      <c r="J365" s="1421">
        <f t="shared" ref="J365:Q365" si="176">SUM(J363:J364)</f>
        <v>4399.5250740593683</v>
      </c>
      <c r="K365" s="1421">
        <f t="shared" si="176"/>
        <v>2526.2718239053156</v>
      </c>
      <c r="L365" s="1421">
        <f t="shared" si="176"/>
        <v>210.08639608314886</v>
      </c>
      <c r="M365" s="1421">
        <f t="shared" si="176"/>
        <v>1359.660314163249</v>
      </c>
      <c r="N365" s="1421">
        <f t="shared" si="176"/>
        <v>173.77379022298584</v>
      </c>
      <c r="O365" s="1421">
        <f t="shared" si="176"/>
        <v>125.0655420221303</v>
      </c>
      <c r="P365" s="1421">
        <f t="shared" si="176"/>
        <v>4.6672076625387726</v>
      </c>
      <c r="Q365" s="1421">
        <f t="shared" si="176"/>
        <v>0</v>
      </c>
      <c r="V365" s="1324" t="s">
        <v>5284</v>
      </c>
      <c r="W365" s="1326"/>
      <c r="AA365" s="1320"/>
    </row>
    <row r="366" spans="1:27" s="1324" customFormat="1">
      <c r="A366" s="1324" t="s">
        <v>4739</v>
      </c>
      <c r="C366" s="1439">
        <v>12</v>
      </c>
      <c r="D366" s="1364"/>
      <c r="E366" s="1364"/>
      <c r="F366" s="1364"/>
      <c r="G366" s="1364"/>
      <c r="H366" s="1364"/>
      <c r="I366" s="1440"/>
      <c r="J366" s="1364"/>
      <c r="K366" s="1364"/>
      <c r="L366" s="1364"/>
      <c r="M366" s="1364"/>
      <c r="N366" s="1367"/>
      <c r="O366" s="1367"/>
      <c r="P366" s="1367"/>
      <c r="Q366" s="1364"/>
      <c r="R366" s="1364"/>
      <c r="AA366" s="1320"/>
    </row>
    <row r="367" spans="1:27" s="1324" customFormat="1">
      <c r="A367" s="1324" t="s">
        <v>4739</v>
      </c>
      <c r="B367" s="1324">
        <v>117</v>
      </c>
      <c r="C367" s="1439">
        <v>13</v>
      </c>
      <c r="D367" s="1364" t="s">
        <v>5292</v>
      </c>
      <c r="E367" s="1364" t="s">
        <v>4067</v>
      </c>
      <c r="F367" s="1366">
        <f>+'Allocation Assignment'!F117</f>
        <v>14335.379063852772</v>
      </c>
      <c r="G367" s="1366">
        <f>+$F367*$G$1942+'Separation F'!C5</f>
        <v>1273.8744773790027</v>
      </c>
      <c r="H367" s="1366">
        <f>+$F367*$H$1942-'Separation F'!C5</f>
        <v>13061.504586473768</v>
      </c>
      <c r="I367" s="1374">
        <f>IF(F367=0,0,+H367/F367)</f>
        <v>0.91113771936515242</v>
      </c>
      <c r="J367" s="1366">
        <f>+H367</f>
        <v>13061.504586473768</v>
      </c>
      <c r="K367" s="1366">
        <f t="shared" ref="K367:Q367" si="177">+$J367*K1945</f>
        <v>7575.842983790516</v>
      </c>
      <c r="L367" s="1366">
        <f t="shared" si="177"/>
        <v>624.93063200504741</v>
      </c>
      <c r="M367" s="1366">
        <f t="shared" si="177"/>
        <v>3994.8675729862475</v>
      </c>
      <c r="N367" s="1378">
        <f t="shared" si="177"/>
        <v>498.70624814726176</v>
      </c>
      <c r="O367" s="1378">
        <f t="shared" si="177"/>
        <v>357.89663933842866</v>
      </c>
      <c r="P367" s="1378">
        <f t="shared" si="177"/>
        <v>9.2605102062669573</v>
      </c>
      <c r="Q367" s="1366">
        <f t="shared" si="177"/>
        <v>0</v>
      </c>
      <c r="R367" s="1364"/>
      <c r="S367" s="1324">
        <v>118</v>
      </c>
      <c r="V367" s="1326" t="s">
        <v>9477</v>
      </c>
      <c r="W367" s="1326">
        <v>117</v>
      </c>
      <c r="AA367" s="1320"/>
    </row>
    <row r="368" spans="1:27" s="1324" customFormat="1">
      <c r="A368" s="1324" t="s">
        <v>4739</v>
      </c>
      <c r="C368" s="1439">
        <v>14</v>
      </c>
      <c r="D368" s="1364"/>
      <c r="E368" s="1364"/>
      <c r="F368" s="1364"/>
      <c r="G368" s="1364"/>
      <c r="H368" s="1364"/>
      <c r="I368" s="1440"/>
      <c r="J368" s="1364"/>
      <c r="K368" s="1364"/>
      <c r="N368" s="1325"/>
      <c r="O368" s="1325"/>
      <c r="P368" s="1325"/>
      <c r="AA368" s="1320"/>
    </row>
    <row r="369" spans="1:27" s="1324" customFormat="1">
      <c r="A369" s="1324" t="s">
        <v>4739</v>
      </c>
      <c r="C369" s="1439">
        <v>15</v>
      </c>
      <c r="D369" s="1364" t="s">
        <v>1953</v>
      </c>
      <c r="E369" s="1364"/>
      <c r="F369" s="1364"/>
      <c r="G369" s="1364"/>
      <c r="H369" s="1364"/>
      <c r="I369" s="1440"/>
      <c r="J369" s="1364"/>
      <c r="K369" s="1364"/>
      <c r="N369" s="1325"/>
      <c r="O369" s="1325"/>
      <c r="P369" s="1325"/>
      <c r="AA369" s="1320"/>
    </row>
    <row r="370" spans="1:27" s="1324" customFormat="1">
      <c r="A370" s="1324" t="s">
        <v>4739</v>
      </c>
      <c r="B370" s="1324">
        <v>117</v>
      </c>
      <c r="C370" s="1439">
        <v>16</v>
      </c>
      <c r="D370" s="1364" t="s">
        <v>5293</v>
      </c>
      <c r="E370" s="1364" t="s">
        <v>4067</v>
      </c>
      <c r="F370" s="1364">
        <f>+'Allocation Assignment'!F118</f>
        <v>5452.3630009842718</v>
      </c>
      <c r="G370" s="1364">
        <f>+$F370*$G$1942</f>
        <v>353.2414564287804</v>
      </c>
      <c r="H370" s="1364">
        <f>+$F370*$H$1942</f>
        <v>5099.1215445554908</v>
      </c>
      <c r="I370" s="1374">
        <f>IF(F370=0,0,+H370/F370)</f>
        <v>0.93521314403222733</v>
      </c>
      <c r="J370" s="1364">
        <f>+H370</f>
        <v>5099.1215445554908</v>
      </c>
      <c r="K370" s="1364">
        <f t="shared" ref="K370:Q371" si="178">+$J370*K$1945</f>
        <v>2957.5569890179709</v>
      </c>
      <c r="L370" s="1364">
        <f t="shared" si="178"/>
        <v>243.96862003245727</v>
      </c>
      <c r="M370" s="1364">
        <f t="shared" si="178"/>
        <v>1559.5688210495573</v>
      </c>
      <c r="N370" s="1367">
        <f t="shared" si="178"/>
        <v>194.69148883242605</v>
      </c>
      <c r="O370" s="1367">
        <f t="shared" si="178"/>
        <v>139.72038613870552</v>
      </c>
      <c r="P370" s="1367">
        <f t="shared" si="178"/>
        <v>3.6152394843739843</v>
      </c>
      <c r="Q370" s="1364">
        <f t="shared" si="178"/>
        <v>0</v>
      </c>
      <c r="R370" s="1364"/>
      <c r="S370" s="1324">
        <v>118</v>
      </c>
      <c r="V370" s="1326" t="s">
        <v>9477</v>
      </c>
      <c r="W370" s="1326">
        <v>117</v>
      </c>
      <c r="AA370" s="1320"/>
    </row>
    <row r="371" spans="1:27" s="1324" customFormat="1">
      <c r="A371" s="1324" t="s">
        <v>4739</v>
      </c>
      <c r="B371" s="1324">
        <v>117</v>
      </c>
      <c r="C371" s="1439">
        <v>17</v>
      </c>
      <c r="D371" s="1364" t="s">
        <v>5294</v>
      </c>
      <c r="E371" s="1364" t="s">
        <v>4067</v>
      </c>
      <c r="F371" s="1366">
        <f>+'Allocation Assignment'!F119</f>
        <v>8138.7001948391526</v>
      </c>
      <c r="G371" s="1366">
        <f>+$F371*$G$1942</f>
        <v>527.28079728792704</v>
      </c>
      <c r="H371" s="1366">
        <f>+$F371*$H$1942</f>
        <v>7611.4193975512253</v>
      </c>
      <c r="I371" s="1374">
        <f>IF(F371=0,0,+H371/F371)</f>
        <v>0.93521314403222733</v>
      </c>
      <c r="J371" s="1366">
        <f>+H371</f>
        <v>7611.4193975512253</v>
      </c>
      <c r="K371" s="1366">
        <f t="shared" si="178"/>
        <v>4414.7225044303123</v>
      </c>
      <c r="L371" s="1366">
        <f t="shared" si="178"/>
        <v>364.17007727371725</v>
      </c>
      <c r="M371" s="1366">
        <f t="shared" si="178"/>
        <v>2327.9563494671502</v>
      </c>
      <c r="N371" s="1378">
        <f t="shared" si="178"/>
        <v>290.61448362993201</v>
      </c>
      <c r="O371" s="1378">
        <f t="shared" si="178"/>
        <v>208.55954265789072</v>
      </c>
      <c r="P371" s="1378">
        <f t="shared" si="178"/>
        <v>5.3964400922229832</v>
      </c>
      <c r="Q371" s="1366">
        <f t="shared" si="178"/>
        <v>0</v>
      </c>
      <c r="R371" s="1364"/>
      <c r="S371" s="1324">
        <v>118</v>
      </c>
      <c r="V371" s="1326" t="s">
        <v>9477</v>
      </c>
      <c r="W371" s="1326">
        <v>117</v>
      </c>
      <c r="AA371" s="1320"/>
    </row>
    <row r="372" spans="1:27" s="1324" customFormat="1">
      <c r="A372" s="1324" t="s">
        <v>4739</v>
      </c>
      <c r="C372" s="1439">
        <v>18</v>
      </c>
      <c r="D372" s="1364" t="s">
        <v>1953</v>
      </c>
      <c r="E372" s="1364"/>
      <c r="F372" s="1366">
        <f>SUM(F370:F371)</f>
        <v>13591.063195823424</v>
      </c>
      <c r="G372" s="1366">
        <f>SUM(G370:G371)</f>
        <v>880.52225371670738</v>
      </c>
      <c r="H372" s="1366">
        <f>SUM(H370:H371)</f>
        <v>12710.540942106716</v>
      </c>
      <c r="I372" s="1374">
        <f>IF(F372=0,0,+H372/F372)</f>
        <v>0.93521314403222733</v>
      </c>
      <c r="J372" s="1366">
        <f t="shared" ref="J372:Q372" si="179">SUM(J370:J371)</f>
        <v>12710.540942106716</v>
      </c>
      <c r="K372" s="1366">
        <f t="shared" si="179"/>
        <v>7372.2794934482827</v>
      </c>
      <c r="L372" s="1366">
        <f t="shared" si="179"/>
        <v>608.13869730617455</v>
      </c>
      <c r="M372" s="1366">
        <f t="shared" si="179"/>
        <v>3887.5251705167075</v>
      </c>
      <c r="N372" s="1378">
        <f t="shared" si="179"/>
        <v>485.30597246235806</v>
      </c>
      <c r="O372" s="1378">
        <f>SUM(O370:O371)</f>
        <v>348.27992879659621</v>
      </c>
      <c r="P372" s="1378">
        <f>SUM(P370:P371)</f>
        <v>9.0116795765969684</v>
      </c>
      <c r="Q372" s="1366">
        <f t="shared" si="179"/>
        <v>0</v>
      </c>
      <c r="R372" s="1364"/>
      <c r="V372" s="1324" t="s">
        <v>5400</v>
      </c>
      <c r="AA372" s="1320"/>
    </row>
    <row r="373" spans="1:27" s="1324" customFormat="1">
      <c r="A373" s="1324" t="s">
        <v>4739</v>
      </c>
      <c r="C373" s="1439">
        <v>19</v>
      </c>
      <c r="D373" s="1364"/>
      <c r="E373" s="1364"/>
      <c r="F373" s="1364"/>
      <c r="G373" s="1364"/>
      <c r="H373" s="1364"/>
      <c r="I373" s="1440"/>
      <c r="J373" s="1364"/>
      <c r="K373" s="1364"/>
      <c r="L373" s="1364"/>
      <c r="M373" s="1364"/>
      <c r="N373" s="1367"/>
      <c r="O373" s="1367"/>
      <c r="P373" s="1367"/>
      <c r="Q373" s="1364"/>
      <c r="R373" s="1364"/>
      <c r="AA373" s="1320"/>
    </row>
    <row r="374" spans="1:27" s="1324" customFormat="1">
      <c r="A374" s="1324" t="s">
        <v>4739</v>
      </c>
      <c r="C374" s="1439">
        <v>20</v>
      </c>
      <c r="D374" s="1364" t="s">
        <v>5401</v>
      </c>
      <c r="E374" s="1364"/>
      <c r="F374" s="1366">
        <f>F365+F367+F372</f>
        <v>32325.967333735563</v>
      </c>
      <c r="G374" s="1366">
        <f>G365+G367+G372</f>
        <v>2154.39673109571</v>
      </c>
      <c r="H374" s="1366">
        <f>H365+H367+H372</f>
        <v>30171.570602639851</v>
      </c>
      <c r="I374" s="1374">
        <f>IF(F374=0,0,+H374/F374)</f>
        <v>0.93335399034300914</v>
      </c>
      <c r="J374" s="1366">
        <f>J365+J367+J372</f>
        <v>30171.570602639851</v>
      </c>
      <c r="K374" s="1366">
        <f t="shared" ref="K374:Q374" si="180">K365+K367+K372</f>
        <v>17474.394301144115</v>
      </c>
      <c r="L374" s="1366">
        <f t="shared" si="180"/>
        <v>1443.1557253943708</v>
      </c>
      <c r="M374" s="1366">
        <f t="shared" si="180"/>
        <v>9242.053057666204</v>
      </c>
      <c r="N374" s="1366">
        <f t="shared" si="180"/>
        <v>1157.7860108326056</v>
      </c>
      <c r="O374" s="1366">
        <f t="shared" si="180"/>
        <v>831.24211015715514</v>
      </c>
      <c r="P374" s="1366">
        <f t="shared" si="180"/>
        <v>22.939397445402697</v>
      </c>
      <c r="Q374" s="1366">
        <f t="shared" si="180"/>
        <v>0</v>
      </c>
      <c r="R374" s="1364"/>
      <c r="V374" s="1324" t="s">
        <v>5402</v>
      </c>
      <c r="AA374" s="1320"/>
    </row>
    <row r="375" spans="1:27" s="1324" customFormat="1">
      <c r="C375" s="1439"/>
      <c r="D375" s="1364"/>
      <c r="E375" s="1364"/>
      <c r="F375" s="1364"/>
      <c r="G375" s="1364"/>
      <c r="H375" s="1364"/>
      <c r="I375" s="1440"/>
      <c r="J375" s="1364"/>
      <c r="K375" s="1364"/>
      <c r="M375" s="1325"/>
      <c r="N375" s="1325"/>
      <c r="O375" s="1325"/>
      <c r="AA375" s="1320"/>
    </row>
    <row r="376" spans="1:27">
      <c r="C376" s="1434"/>
      <c r="D376" s="1358"/>
      <c r="E376" s="1358"/>
      <c r="F376" s="1358"/>
      <c r="G376" s="1358"/>
      <c r="H376" s="1358"/>
      <c r="I376" s="1379"/>
      <c r="J376" s="1364"/>
      <c r="K376" s="1364"/>
    </row>
    <row r="377" spans="1:27">
      <c r="C377" s="1434"/>
      <c r="D377" s="1358"/>
      <c r="E377" s="1358"/>
      <c r="F377" s="1358"/>
      <c r="G377" s="1358"/>
      <c r="H377" s="1358"/>
      <c r="I377" s="1379"/>
      <c r="J377" s="1364"/>
      <c r="K377" s="1364"/>
    </row>
    <row r="378" spans="1:27">
      <c r="C378" s="1434"/>
      <c r="D378" s="1358"/>
      <c r="E378" s="1358"/>
      <c r="F378" s="1358"/>
      <c r="G378" s="1358"/>
      <c r="H378" s="1358"/>
      <c r="I378" s="1379"/>
      <c r="J378" s="1364"/>
      <c r="K378" s="1364"/>
    </row>
    <row r="379" spans="1:27">
      <c r="C379" s="1434"/>
      <c r="D379" s="1358"/>
      <c r="E379" s="1358"/>
      <c r="F379" s="1358"/>
      <c r="G379" s="1358"/>
      <c r="H379" s="1358"/>
      <c r="I379" s="1379"/>
      <c r="J379" s="1364"/>
      <c r="K379" s="1364"/>
    </row>
    <row r="380" spans="1:27">
      <c r="B380" s="1432"/>
      <c r="C380" s="1340" t="str">
        <f>+C$2</f>
        <v>RATES WITH REVENUE DEFICIENCY ADDITION</v>
      </c>
      <c r="F380" s="1333"/>
      <c r="G380" s="1327" t="s">
        <v>2173</v>
      </c>
      <c r="H380" s="1358"/>
      <c r="I380" s="1334" t="s">
        <v>4895</v>
      </c>
      <c r="L380" s="1329" t="s">
        <v>2173</v>
      </c>
      <c r="M380" s="1330"/>
      <c r="N380" s="1330"/>
      <c r="O380" s="1330"/>
      <c r="S380" s="1334" t="s">
        <v>5403</v>
      </c>
      <c r="T380" s="1333" t="s">
        <v>2173</v>
      </c>
      <c r="U380" s="1334"/>
      <c r="V380" s="1332" t="s">
        <v>4772</v>
      </c>
    </row>
    <row r="381" spans="1:27" s="1324" customFormat="1">
      <c r="B381" s="1433"/>
      <c r="C381" s="1340" t="str">
        <f>+C$3</f>
        <v>PROD. CAP. ALLOC. METHOD: 12 CP &amp; 1/13th AD</v>
      </c>
      <c r="D381" s="1364"/>
      <c r="G381" s="1336" t="s">
        <v>4768</v>
      </c>
      <c r="H381" s="1320"/>
      <c r="I381" s="1335" t="s">
        <v>5390</v>
      </c>
      <c r="L381" s="1336" t="s">
        <v>5141</v>
      </c>
      <c r="M381" s="1337"/>
      <c r="N381" s="1337"/>
      <c r="O381" s="1337"/>
      <c r="R381" s="1331"/>
      <c r="S381" s="1335" t="s">
        <v>5404</v>
      </c>
      <c r="T381" s="1336" t="s">
        <v>5141</v>
      </c>
      <c r="V381" s="1334" t="s">
        <v>5403</v>
      </c>
      <c r="AA381" s="1320"/>
    </row>
    <row r="382" spans="1:27">
      <c r="B382" s="1321"/>
      <c r="C382" s="1340" t="str">
        <f>+C$4</f>
        <v>PROJECTED CALENDAR YEAR 2025; FULLY ADJUSTED DATA</v>
      </c>
      <c r="G382" s="1336" t="s">
        <v>2181</v>
      </c>
      <c r="L382" s="1336" t="s">
        <v>2181</v>
      </c>
      <c r="T382" s="1339"/>
    </row>
    <row r="383" spans="1:27">
      <c r="B383" s="1321"/>
      <c r="C383" s="1340" t="str">
        <f>+C$5</f>
        <v>MINIMUM DISTRIBUTION SYSTEM (MDS) NOT EMPLOYED</v>
      </c>
      <c r="G383" s="1358"/>
      <c r="H383" s="1358"/>
      <c r="I383" s="1379"/>
      <c r="K383" s="1364"/>
      <c r="L383" s="1336"/>
      <c r="M383" s="1337"/>
      <c r="N383" s="1337"/>
      <c r="O383" s="1337"/>
      <c r="T383" s="1333"/>
    </row>
    <row r="384" spans="1:27">
      <c r="B384" s="1321"/>
      <c r="C384" s="1340" t="str">
        <f>+C$6</f>
        <v>Tampa Electric 2025 OB Budget</v>
      </c>
      <c r="F384" s="1327"/>
      <c r="G384" s="1333" t="s">
        <v>5391</v>
      </c>
      <c r="H384" s="1358"/>
      <c r="I384" s="1379"/>
      <c r="K384" s="1364"/>
      <c r="L384" s="1336" t="s">
        <v>5391</v>
      </c>
      <c r="M384" s="1337"/>
      <c r="N384" s="1337"/>
      <c r="O384" s="1337"/>
      <c r="T384" s="1333" t="s">
        <v>5391</v>
      </c>
    </row>
    <row r="385" spans="1:25" ht="10.5" customHeight="1">
      <c r="B385" s="1321"/>
      <c r="F385" s="1333"/>
      <c r="G385" s="1358"/>
      <c r="H385" s="1358"/>
      <c r="I385" s="1379"/>
      <c r="K385" s="1364"/>
      <c r="L385" s="1336"/>
      <c r="M385" s="1337"/>
      <c r="N385" s="1337"/>
      <c r="O385" s="1337"/>
    </row>
    <row r="386" spans="1:25" ht="10.5" customHeight="1">
      <c r="B386" s="1321"/>
      <c r="F386" s="1333"/>
      <c r="G386" s="1358"/>
      <c r="H386" s="1358"/>
      <c r="I386" s="1379"/>
      <c r="K386" s="1364"/>
      <c r="L386" s="1336"/>
      <c r="M386" s="1337"/>
      <c r="N386" s="1337"/>
      <c r="O386" s="1337"/>
    </row>
    <row r="387" spans="1:25" ht="10.5" customHeight="1">
      <c r="C387" s="1434"/>
      <c r="D387" s="1358"/>
      <c r="E387" s="1358"/>
      <c r="G387" s="1358"/>
      <c r="H387" s="1358"/>
      <c r="I387" s="1379"/>
      <c r="K387" s="1364"/>
    </row>
    <row r="388" spans="1:25" ht="10.5" customHeight="1">
      <c r="C388" s="1434"/>
      <c r="D388" s="1358"/>
      <c r="E388" s="1358"/>
      <c r="F388" s="1358"/>
      <c r="G388" s="1358"/>
      <c r="H388" s="1358"/>
      <c r="I388" s="1379"/>
      <c r="K388" s="1364"/>
    </row>
    <row r="389" spans="1:25" ht="30" customHeight="1">
      <c r="A389" s="1418" t="s">
        <v>4683</v>
      </c>
      <c r="B389" s="1425" t="s">
        <v>5143</v>
      </c>
      <c r="C389" s="1349" t="s">
        <v>4297</v>
      </c>
      <c r="D389" s="1418"/>
      <c r="E389" s="1418"/>
      <c r="F389" s="1348" t="s">
        <v>5144</v>
      </c>
      <c r="G389" s="1348" t="s">
        <v>4956</v>
      </c>
      <c r="H389" s="1348" t="s">
        <v>4957</v>
      </c>
      <c r="I389" s="1426" t="s">
        <v>5145</v>
      </c>
      <c r="J389" s="1352" t="s">
        <v>4957</v>
      </c>
      <c r="K389" s="1353" t="s">
        <v>1949</v>
      </c>
      <c r="L389" s="1353" t="s">
        <v>1950</v>
      </c>
      <c r="M389" s="1354" t="s">
        <v>1934</v>
      </c>
      <c r="N389" s="1354" t="s">
        <v>1971</v>
      </c>
      <c r="O389" s="1354" t="s">
        <v>1972</v>
      </c>
      <c r="P389" s="1352" t="s">
        <v>5146</v>
      </c>
      <c r="Q389" s="1352" t="s">
        <v>5147</v>
      </c>
      <c r="R389" s="1355"/>
      <c r="S389" s="1348" t="s">
        <v>5299</v>
      </c>
      <c r="T389" s="1348"/>
      <c r="U389" s="1352"/>
      <c r="V389" s="1355" t="s">
        <v>4774</v>
      </c>
    </row>
    <row r="390" spans="1:25">
      <c r="C390" s="1434"/>
      <c r="D390" s="1358"/>
      <c r="E390" s="1358"/>
      <c r="F390" s="1358"/>
      <c r="G390" s="1358"/>
      <c r="H390" s="1358"/>
      <c r="I390" s="1379"/>
      <c r="K390" s="1364"/>
    </row>
    <row r="391" spans="1:25">
      <c r="A391" s="1320" t="s">
        <v>4739</v>
      </c>
      <c r="C391" s="1434">
        <v>21</v>
      </c>
      <c r="D391" s="1437" t="s">
        <v>4132</v>
      </c>
      <c r="E391" s="1358"/>
      <c r="F391" s="1358"/>
      <c r="G391" s="1358"/>
      <c r="H391" s="1358"/>
      <c r="I391" s="1379"/>
      <c r="K391" s="1364"/>
    </row>
    <row r="392" spans="1:25">
      <c r="A392" s="1320" t="s">
        <v>4739</v>
      </c>
      <c r="B392" s="1320">
        <v>105</v>
      </c>
      <c r="C392" s="1434">
        <v>22</v>
      </c>
      <c r="D392" s="1358" t="s">
        <v>5293</v>
      </c>
      <c r="E392" s="1358" t="s">
        <v>4067</v>
      </c>
      <c r="F392" s="1358">
        <f>+'Allocation Assignment'!F120</f>
        <v>9806.7207300000009</v>
      </c>
      <c r="G392" s="1358">
        <f>+$F392*G$1936</f>
        <v>0</v>
      </c>
      <c r="H392" s="1358">
        <f>+$F392*H$1936</f>
        <v>9806.7207300000009</v>
      </c>
      <c r="I392" s="1323">
        <f>IF(F392=0,0,+H392/F392)</f>
        <v>1</v>
      </c>
      <c r="J392" s="1364">
        <f>+H392</f>
        <v>9806.7207300000009</v>
      </c>
      <c r="K392" s="1364">
        <f t="shared" ref="K392:Q392" si="181">+$J392*K$1936</f>
        <v>6103.8600083192796</v>
      </c>
      <c r="L392" s="1364">
        <f t="shared" si="181"/>
        <v>434.12183263503931</v>
      </c>
      <c r="M392" s="1364">
        <f t="shared" si="181"/>
        <v>2906.7167238333827</v>
      </c>
      <c r="N392" s="1367">
        <f t="shared" si="181"/>
        <v>305.72815663925502</v>
      </c>
      <c r="O392" s="1367">
        <f t="shared" si="181"/>
        <v>2.087452294183024E-4</v>
      </c>
      <c r="P392" s="1367">
        <f t="shared" si="181"/>
        <v>56.293799827817068</v>
      </c>
      <c r="Q392" s="1364">
        <f t="shared" si="181"/>
        <v>0</v>
      </c>
      <c r="R392" s="1358"/>
      <c r="S392" s="1320">
        <v>105</v>
      </c>
      <c r="V392" s="1321" t="s">
        <v>5229</v>
      </c>
      <c r="W392" s="1321">
        <v>105</v>
      </c>
      <c r="Y392" s="1324"/>
    </row>
    <row r="393" spans="1:25">
      <c r="A393" s="1320" t="s">
        <v>4739</v>
      </c>
      <c r="C393" s="1434">
        <v>23</v>
      </c>
      <c r="D393" s="1358"/>
      <c r="E393" s="1358"/>
      <c r="F393" s="1358"/>
      <c r="G393" s="1358"/>
      <c r="H393" s="1358"/>
      <c r="I393" s="1379"/>
      <c r="K393" s="1364"/>
      <c r="L393" s="1364"/>
      <c r="M393" s="1364"/>
      <c r="N393" s="1367"/>
      <c r="O393" s="1367"/>
      <c r="P393" s="1367"/>
      <c r="Q393" s="1364"/>
      <c r="R393" s="1358"/>
      <c r="Y393" s="1324"/>
    </row>
    <row r="394" spans="1:25">
      <c r="A394" s="1320" t="s">
        <v>4739</v>
      </c>
      <c r="B394" s="1320">
        <v>310</v>
      </c>
      <c r="C394" s="1434">
        <v>24</v>
      </c>
      <c r="D394" s="1358" t="s">
        <v>5405</v>
      </c>
      <c r="E394" s="1358" t="s">
        <v>4071</v>
      </c>
      <c r="F394" s="1358">
        <f>+'Allocation Assignment'!F121</f>
        <v>2044.6598045826174</v>
      </c>
      <c r="G394" s="1358">
        <f>+$F394*G$1997</f>
        <v>0</v>
      </c>
      <c r="H394" s="1358">
        <f>+$F394*H$1997</f>
        <v>2044.6598045826174</v>
      </c>
      <c r="I394" s="1323">
        <f t="shared" ref="I394:I399" si="182">IF(F394=0,0,+H394/F394)</f>
        <v>1</v>
      </c>
      <c r="J394" s="1364">
        <f>+H394</f>
        <v>2044.6598045826174</v>
      </c>
      <c r="K394" s="1364">
        <f t="shared" ref="K394:Q394" si="183">+$J394*K$1997</f>
        <v>0</v>
      </c>
      <c r="L394" s="1364">
        <f t="shared" si="183"/>
        <v>0</v>
      </c>
      <c r="M394" s="1364">
        <f t="shared" si="183"/>
        <v>0</v>
      </c>
      <c r="N394" s="1367">
        <f t="shared" si="183"/>
        <v>0</v>
      </c>
      <c r="O394" s="1367">
        <f t="shared" si="183"/>
        <v>0</v>
      </c>
      <c r="P394" s="1367">
        <f t="shared" si="183"/>
        <v>0</v>
      </c>
      <c r="Q394" s="1364">
        <f t="shared" si="183"/>
        <v>2044.6598045826174</v>
      </c>
      <c r="R394" s="1358"/>
      <c r="S394" s="1320">
        <v>310</v>
      </c>
      <c r="V394" s="1321" t="s">
        <v>5302</v>
      </c>
      <c r="W394" s="1321">
        <v>310</v>
      </c>
      <c r="Y394" s="1324"/>
    </row>
    <row r="395" spans="1:25">
      <c r="A395" s="1320" t="s">
        <v>4739</v>
      </c>
      <c r="B395" s="1320">
        <v>105</v>
      </c>
      <c r="C395" s="1434">
        <v>25</v>
      </c>
      <c r="D395" s="1358" t="s">
        <v>5406</v>
      </c>
      <c r="E395" s="1358" t="s">
        <v>4067</v>
      </c>
      <c r="F395" s="1358">
        <f>+'Allocation Assignment'!F122</f>
        <v>19187.392134374531</v>
      </c>
      <c r="G395" s="1358">
        <f>+$F395*G1936</f>
        <v>0</v>
      </c>
      <c r="H395" s="1358">
        <f>+$F395*H$1936</f>
        <v>19187.392134374531</v>
      </c>
      <c r="I395" s="1323">
        <f t="shared" si="182"/>
        <v>1</v>
      </c>
      <c r="J395" s="1364">
        <f>+H395</f>
        <v>19187.392134374531</v>
      </c>
      <c r="K395" s="1364">
        <f t="shared" ref="K395:Q395" si="184">+$J395*K$1936</f>
        <v>11942.540094434666</v>
      </c>
      <c r="L395" s="1364">
        <f t="shared" si="184"/>
        <v>849.3834041159455</v>
      </c>
      <c r="M395" s="1364">
        <f t="shared" si="184"/>
        <v>5687.1522233850292</v>
      </c>
      <c r="N395" s="1364">
        <f t="shared" si="184"/>
        <v>598.17406750573048</v>
      </c>
      <c r="O395" s="1364">
        <f t="shared" si="184"/>
        <v>4.0842160017632543E-4</v>
      </c>
      <c r="P395" s="1364">
        <f t="shared" si="184"/>
        <v>110.14193651156532</v>
      </c>
      <c r="Q395" s="1364">
        <f t="shared" si="184"/>
        <v>0</v>
      </c>
      <c r="R395" s="1358"/>
      <c r="S395" s="1320">
        <v>105</v>
      </c>
      <c r="V395" s="1321" t="s">
        <v>5229</v>
      </c>
      <c r="W395" s="1321">
        <v>105</v>
      </c>
      <c r="Y395" s="1324"/>
    </row>
    <row r="396" spans="1:25">
      <c r="A396" s="1320" t="s">
        <v>4739</v>
      </c>
      <c r="B396" s="1324">
        <v>418</v>
      </c>
      <c r="C396" s="1439">
        <v>26</v>
      </c>
      <c r="D396" s="1364" t="s">
        <v>5407</v>
      </c>
      <c r="E396" s="1364" t="s">
        <v>4071</v>
      </c>
      <c r="F396" s="1358">
        <f>+'Allocation Assignment'!F123</f>
        <v>0</v>
      </c>
      <c r="G396" s="1364">
        <f>+$F396*G2024</f>
        <v>0</v>
      </c>
      <c r="H396" s="1364">
        <f>+$F396*H$1936</f>
        <v>0</v>
      </c>
      <c r="I396" s="1374">
        <f t="shared" si="182"/>
        <v>0</v>
      </c>
      <c r="J396" s="1364">
        <f>+H396</f>
        <v>0</v>
      </c>
      <c r="K396" s="1364">
        <f t="shared" ref="K396:Q396" si="185">+$J396*K$2024</f>
        <v>0</v>
      </c>
      <c r="L396" s="1364">
        <f t="shared" si="185"/>
        <v>0</v>
      </c>
      <c r="M396" s="1364">
        <f t="shared" si="185"/>
        <v>0</v>
      </c>
      <c r="N396" s="1364">
        <f t="shared" si="185"/>
        <v>0</v>
      </c>
      <c r="O396" s="1364">
        <f t="shared" si="185"/>
        <v>0</v>
      </c>
      <c r="P396" s="1364">
        <f t="shared" si="185"/>
        <v>0</v>
      </c>
      <c r="Q396" s="1364">
        <f t="shared" si="185"/>
        <v>0</v>
      </c>
      <c r="R396" s="1364"/>
      <c r="S396" s="1324">
        <v>418</v>
      </c>
      <c r="V396" s="1321" t="s">
        <v>5305</v>
      </c>
      <c r="W396" s="1321">
        <v>418</v>
      </c>
      <c r="Y396" s="1324"/>
    </row>
    <row r="397" spans="1:25">
      <c r="A397" s="1320" t="s">
        <v>4739</v>
      </c>
      <c r="B397" s="1324">
        <v>106</v>
      </c>
      <c r="C397" s="1439">
        <v>27</v>
      </c>
      <c r="D397" s="1364" t="s">
        <v>5408</v>
      </c>
      <c r="E397" s="1364" t="s">
        <v>4067</v>
      </c>
      <c r="F397" s="1358">
        <f>+'Allocation Assignment'!F124</f>
        <v>5762.4819510428561</v>
      </c>
      <c r="G397" s="1364">
        <f>+$F397*G1939</f>
        <v>0</v>
      </c>
      <c r="H397" s="1364">
        <f>+$F397*H$1939</f>
        <v>5762.4819510428561</v>
      </c>
      <c r="I397" s="1374">
        <f t="shared" si="182"/>
        <v>1</v>
      </c>
      <c r="J397" s="1364">
        <f>+H397</f>
        <v>5762.4819510428561</v>
      </c>
      <c r="K397" s="1364">
        <f t="shared" ref="K397:Q397" si="186">+$J397*K$1939</f>
        <v>4204.4984990825833</v>
      </c>
      <c r="L397" s="1364">
        <f t="shared" si="186"/>
        <v>338.54557263721745</v>
      </c>
      <c r="M397" s="1364">
        <f t="shared" si="186"/>
        <v>1198.5925145759909</v>
      </c>
      <c r="N397" s="1364">
        <f t="shared" si="186"/>
        <v>0</v>
      </c>
      <c r="O397" s="1364">
        <f t="shared" si="186"/>
        <v>0</v>
      </c>
      <c r="P397" s="1364">
        <f t="shared" si="186"/>
        <v>20.845364747064494</v>
      </c>
      <c r="Q397" s="1364">
        <f t="shared" si="186"/>
        <v>0</v>
      </c>
      <c r="R397" s="1364"/>
      <c r="S397" s="1324">
        <v>106</v>
      </c>
      <c r="V397" s="1321" t="s">
        <v>5230</v>
      </c>
      <c r="W397" s="1321">
        <v>106</v>
      </c>
      <c r="Y397" s="1324"/>
    </row>
    <row r="398" spans="1:25">
      <c r="A398" s="1320" t="s">
        <v>4739</v>
      </c>
      <c r="B398" s="1324">
        <v>420</v>
      </c>
      <c r="C398" s="1439">
        <v>28</v>
      </c>
      <c r="D398" s="1364" t="s">
        <v>5409</v>
      </c>
      <c r="E398" s="1364" t="s">
        <v>4071</v>
      </c>
      <c r="F398" s="1358">
        <f>+'Allocation Assignment'!F125</f>
        <v>0</v>
      </c>
      <c r="G398" s="1364">
        <f>+$F398*$G$2027</f>
        <v>0</v>
      </c>
      <c r="H398" s="1364">
        <f>+$F398*$H$2027</f>
        <v>0</v>
      </c>
      <c r="I398" s="1374">
        <f t="shared" si="182"/>
        <v>0</v>
      </c>
      <c r="J398" s="1364">
        <f>+H398</f>
        <v>0</v>
      </c>
      <c r="K398" s="1364">
        <f t="shared" ref="K398:Q398" si="187">+$J398*K$2027</f>
        <v>0</v>
      </c>
      <c r="L398" s="1364">
        <f t="shared" si="187"/>
        <v>0</v>
      </c>
      <c r="M398" s="1364">
        <f t="shared" si="187"/>
        <v>0</v>
      </c>
      <c r="N398" s="1364">
        <f t="shared" si="187"/>
        <v>0</v>
      </c>
      <c r="O398" s="1364">
        <f t="shared" si="187"/>
        <v>0</v>
      </c>
      <c r="P398" s="1364">
        <f t="shared" si="187"/>
        <v>0</v>
      </c>
      <c r="Q398" s="1364">
        <f t="shared" si="187"/>
        <v>0</v>
      </c>
      <c r="R398" s="1364"/>
      <c r="S398" s="1324">
        <v>420</v>
      </c>
      <c r="V398" s="1321" t="s">
        <v>5225</v>
      </c>
      <c r="W398" s="1321">
        <v>420</v>
      </c>
      <c r="Y398" s="1324"/>
    </row>
    <row r="399" spans="1:25">
      <c r="A399" s="1320" t="s">
        <v>4739</v>
      </c>
      <c r="B399" s="1324"/>
      <c r="C399" s="1439">
        <v>29</v>
      </c>
      <c r="D399" s="1364" t="s">
        <v>5410</v>
      </c>
      <c r="E399" s="1364"/>
      <c r="F399" s="1421">
        <f>+SUM(F394:F398)</f>
        <v>26994.533890000006</v>
      </c>
      <c r="G399" s="1421">
        <f>SUM(G394:G398)</f>
        <v>0</v>
      </c>
      <c r="H399" s="1421">
        <f>SUM(H394:H398)</f>
        <v>26994.533890000006</v>
      </c>
      <c r="I399" s="1374">
        <f t="shared" si="182"/>
        <v>1</v>
      </c>
      <c r="J399" s="1421">
        <f>SUM(J394:J398)</f>
        <v>26994.533890000006</v>
      </c>
      <c r="K399" s="1421">
        <f t="shared" ref="K399:Q399" si="188">SUM(K394:K398)</f>
        <v>16147.038593517249</v>
      </c>
      <c r="L399" s="1421">
        <f t="shared" si="188"/>
        <v>1187.9289767531629</v>
      </c>
      <c r="M399" s="1421">
        <f>SUM(M394:M398)</f>
        <v>6885.7447379610203</v>
      </c>
      <c r="N399" s="1421">
        <f t="shared" si="188"/>
        <v>598.17406750573048</v>
      </c>
      <c r="O399" s="1421">
        <f>SUM(O394:O398)</f>
        <v>4.0842160017632543E-4</v>
      </c>
      <c r="P399" s="1421">
        <f>SUM(P394:P398)</f>
        <v>130.98730125862983</v>
      </c>
      <c r="Q399" s="1421">
        <f t="shared" si="188"/>
        <v>2044.6598045826174</v>
      </c>
      <c r="R399" s="1364"/>
      <c r="S399" s="1324"/>
      <c r="V399" s="1320" t="s">
        <v>5411</v>
      </c>
      <c r="Y399" s="1324"/>
    </row>
    <row r="400" spans="1:25">
      <c r="A400" s="1320" t="s">
        <v>4739</v>
      </c>
      <c r="B400" s="1324"/>
      <c r="C400" s="1439">
        <v>30</v>
      </c>
      <c r="D400" s="1364"/>
      <c r="E400" s="1364"/>
      <c r="F400" s="1364"/>
      <c r="G400" s="1364"/>
      <c r="H400" s="1364"/>
      <c r="I400" s="1440"/>
      <c r="K400" s="1364"/>
      <c r="L400" s="1364"/>
      <c r="M400" s="1364"/>
      <c r="N400" s="1367"/>
      <c r="O400" s="1367"/>
      <c r="P400" s="1367"/>
      <c r="Q400" s="1364"/>
      <c r="R400" s="1364"/>
      <c r="S400" s="1324"/>
      <c r="Y400" s="1324"/>
    </row>
    <row r="401" spans="1:27">
      <c r="A401" s="1320" t="s">
        <v>4739</v>
      </c>
      <c r="B401" s="1324">
        <v>310</v>
      </c>
      <c r="C401" s="1439">
        <v>31</v>
      </c>
      <c r="D401" s="1364" t="s">
        <v>5301</v>
      </c>
      <c r="E401" s="1364" t="s">
        <v>4071</v>
      </c>
      <c r="F401" s="1364">
        <f>+'Allocation Assignment'!F126</f>
        <v>107.01148424700513</v>
      </c>
      <c r="G401" s="1364">
        <f>+$F401*G$1997</f>
        <v>0</v>
      </c>
      <c r="H401" s="1364">
        <f>+$F401*H$1997</f>
        <v>107.01148424700513</v>
      </c>
      <c r="I401" s="1374">
        <f t="shared" ref="I401:I406" si="189">IF(F401=0,0,+H401/F401)</f>
        <v>1</v>
      </c>
      <c r="J401" s="1364">
        <f>+H401</f>
        <v>107.01148424700513</v>
      </c>
      <c r="K401" s="1364">
        <f t="shared" ref="K401:Q401" si="190">+$J401*K$1997</f>
        <v>0</v>
      </c>
      <c r="L401" s="1364">
        <f t="shared" si="190"/>
        <v>0</v>
      </c>
      <c r="M401" s="1364">
        <f t="shared" si="190"/>
        <v>0</v>
      </c>
      <c r="N401" s="1367">
        <f t="shared" si="190"/>
        <v>0</v>
      </c>
      <c r="O401" s="1367">
        <f t="shared" si="190"/>
        <v>0</v>
      </c>
      <c r="P401" s="1367">
        <f t="shared" si="190"/>
        <v>0</v>
      </c>
      <c r="Q401" s="1364">
        <f t="shared" si="190"/>
        <v>107.01148424700513</v>
      </c>
      <c r="R401" s="1364"/>
      <c r="S401" s="1324">
        <v>310</v>
      </c>
      <c r="V401" s="1321" t="s">
        <v>5302</v>
      </c>
      <c r="W401" s="1321">
        <v>310</v>
      </c>
      <c r="Y401" s="1324"/>
    </row>
    <row r="402" spans="1:27">
      <c r="A402" s="1320" t="s">
        <v>4739</v>
      </c>
      <c r="B402" s="1324">
        <v>105</v>
      </c>
      <c r="C402" s="1439">
        <v>32</v>
      </c>
      <c r="D402" s="1364" t="s">
        <v>5303</v>
      </c>
      <c r="E402" s="1364" t="s">
        <v>4067</v>
      </c>
      <c r="F402" s="1364">
        <f>+'Allocation Assignment'!F127</f>
        <v>5930.0781825408103</v>
      </c>
      <c r="G402" s="1364">
        <f>+$F402*G$1936</f>
        <v>0</v>
      </c>
      <c r="H402" s="1364">
        <f>+$F402*H$1936</f>
        <v>5930.0781825408103</v>
      </c>
      <c r="I402" s="1374">
        <f t="shared" si="189"/>
        <v>1</v>
      </c>
      <c r="J402" s="1364">
        <f>+H402</f>
        <v>5930.0781825408103</v>
      </c>
      <c r="K402" s="1364">
        <f t="shared" ref="K402:Q402" si="191">+$J402*K$1936</f>
        <v>3690.9756136817741</v>
      </c>
      <c r="L402" s="1364">
        <f t="shared" si="191"/>
        <v>262.51144283107158</v>
      </c>
      <c r="M402" s="1364">
        <f t="shared" si="191"/>
        <v>1757.678015047426</v>
      </c>
      <c r="N402" s="1367">
        <f t="shared" si="191"/>
        <v>184.87238715065007</v>
      </c>
      <c r="O402" s="1367">
        <f t="shared" si="191"/>
        <v>1.2622726442042273E-4</v>
      </c>
      <c r="P402" s="1367">
        <f t="shared" si="191"/>
        <v>34.040597602625688</v>
      </c>
      <c r="Q402" s="1364">
        <f t="shared" si="191"/>
        <v>0</v>
      </c>
      <c r="R402" s="1364"/>
      <c r="S402" s="1324">
        <v>105</v>
      </c>
      <c r="V402" s="1321" t="s">
        <v>5229</v>
      </c>
      <c r="W402" s="1321">
        <v>105</v>
      </c>
    </row>
    <row r="403" spans="1:27">
      <c r="A403" s="1320" t="s">
        <v>4739</v>
      </c>
      <c r="B403" s="1324">
        <v>418</v>
      </c>
      <c r="C403" s="1439">
        <v>33</v>
      </c>
      <c r="D403" s="1364" t="s">
        <v>5304</v>
      </c>
      <c r="E403" s="1364" t="s">
        <v>4071</v>
      </c>
      <c r="F403" s="1364">
        <f>+'Allocation Assignment'!F128</f>
        <v>0</v>
      </c>
      <c r="G403" s="1364">
        <f>+$F403*G$2024</f>
        <v>0</v>
      </c>
      <c r="H403" s="1364">
        <f>+$F403*H$1936</f>
        <v>0</v>
      </c>
      <c r="I403" s="1374">
        <f t="shared" si="189"/>
        <v>0</v>
      </c>
      <c r="J403" s="1364">
        <f>+H403</f>
        <v>0</v>
      </c>
      <c r="K403" s="1364">
        <f t="shared" ref="K403:Q403" si="192">+$J403*K$2024</f>
        <v>0</v>
      </c>
      <c r="L403" s="1364">
        <f t="shared" si="192"/>
        <v>0</v>
      </c>
      <c r="M403" s="1364">
        <f t="shared" si="192"/>
        <v>0</v>
      </c>
      <c r="N403" s="1367">
        <f t="shared" si="192"/>
        <v>0</v>
      </c>
      <c r="O403" s="1367">
        <f t="shared" si="192"/>
        <v>0</v>
      </c>
      <c r="P403" s="1367">
        <f t="shared" si="192"/>
        <v>0</v>
      </c>
      <c r="Q403" s="1364">
        <f t="shared" si="192"/>
        <v>0</v>
      </c>
      <c r="R403" s="1364"/>
      <c r="S403" s="1324">
        <v>418</v>
      </c>
      <c r="V403" s="1321" t="s">
        <v>5305</v>
      </c>
      <c r="W403" s="1321">
        <v>418</v>
      </c>
    </row>
    <row r="404" spans="1:27">
      <c r="A404" s="1320" t="s">
        <v>4739</v>
      </c>
      <c r="B404" s="1324">
        <v>106</v>
      </c>
      <c r="C404" s="1439">
        <v>34</v>
      </c>
      <c r="D404" s="1364" t="s">
        <v>5306</v>
      </c>
      <c r="E404" s="1364" t="s">
        <v>4067</v>
      </c>
      <c r="F404" s="1364">
        <f>+'Allocation Assignment'!F129</f>
        <v>902.13325321218497</v>
      </c>
      <c r="G404" s="1364">
        <f>+$F404*G1939</f>
        <v>0</v>
      </c>
      <c r="H404" s="1364">
        <f>+$F404*H$1939</f>
        <v>902.13325321218497</v>
      </c>
      <c r="I404" s="1374">
        <f t="shared" si="189"/>
        <v>1</v>
      </c>
      <c r="J404" s="1364">
        <f>+H404</f>
        <v>902.13325321218497</v>
      </c>
      <c r="K404" s="1364">
        <f t="shared" ref="K404:Q404" si="193">+$J404*K$1939</f>
        <v>658.22642766224783</v>
      </c>
      <c r="L404" s="1364">
        <f t="shared" si="193"/>
        <v>53.000290742519965</v>
      </c>
      <c r="M404" s="1364">
        <f t="shared" si="193"/>
        <v>187.64313253155217</v>
      </c>
      <c r="N404" s="1364">
        <f t="shared" si="193"/>
        <v>0</v>
      </c>
      <c r="O404" s="1364">
        <f t="shared" si="193"/>
        <v>0</v>
      </c>
      <c r="P404" s="1364">
        <f t="shared" si="193"/>
        <v>3.2634022758649386</v>
      </c>
      <c r="Q404" s="1364">
        <f t="shared" si="193"/>
        <v>0</v>
      </c>
      <c r="R404" s="1364"/>
      <c r="S404" s="1324">
        <v>106</v>
      </c>
      <c r="V404" s="1321" t="s">
        <v>5230</v>
      </c>
      <c r="W404" s="1321">
        <v>106</v>
      </c>
    </row>
    <row r="405" spans="1:27">
      <c r="A405" s="1320" t="s">
        <v>4739</v>
      </c>
      <c r="B405" s="1324">
        <v>420</v>
      </c>
      <c r="C405" s="1439">
        <v>35</v>
      </c>
      <c r="D405" s="1364" t="s">
        <v>5307</v>
      </c>
      <c r="E405" s="1364" t="s">
        <v>4071</v>
      </c>
      <c r="F405" s="1364">
        <f>+'Allocation Assignment'!F130</f>
        <v>0</v>
      </c>
      <c r="G405" s="1364">
        <f>+$F405*$G$2027</f>
        <v>0</v>
      </c>
      <c r="H405" s="1364">
        <f>+$F405*$H$2027</f>
        <v>0</v>
      </c>
      <c r="I405" s="1374">
        <f t="shared" si="189"/>
        <v>0</v>
      </c>
      <c r="J405" s="1364">
        <f>+H405</f>
        <v>0</v>
      </c>
      <c r="K405" s="1364">
        <f t="shared" ref="K405:Q405" si="194">+$J405*K$2027</f>
        <v>0</v>
      </c>
      <c r="L405" s="1364">
        <f t="shared" si="194"/>
        <v>0</v>
      </c>
      <c r="M405" s="1364">
        <f t="shared" si="194"/>
        <v>0</v>
      </c>
      <c r="N405" s="1364">
        <f t="shared" si="194"/>
        <v>0</v>
      </c>
      <c r="O405" s="1364">
        <f t="shared" si="194"/>
        <v>0</v>
      </c>
      <c r="P405" s="1364">
        <f t="shared" si="194"/>
        <v>0</v>
      </c>
      <c r="Q405" s="1364">
        <f t="shared" si="194"/>
        <v>0</v>
      </c>
      <c r="R405" s="1364"/>
      <c r="S405" s="1324">
        <v>420</v>
      </c>
      <c r="V405" s="1321" t="s">
        <v>5225</v>
      </c>
      <c r="W405" s="1321">
        <v>420</v>
      </c>
    </row>
    <row r="406" spans="1:27">
      <c r="A406" s="1320" t="s">
        <v>4739</v>
      </c>
      <c r="B406" s="1324"/>
      <c r="C406" s="1439">
        <v>36</v>
      </c>
      <c r="D406" s="1364" t="s">
        <v>5308</v>
      </c>
      <c r="E406" s="1364"/>
      <c r="F406" s="1421">
        <f>+SUM(F401:F405)</f>
        <v>6939.2229200000002</v>
      </c>
      <c r="G406" s="1421">
        <f>SUM(G401:G405)</f>
        <v>0</v>
      </c>
      <c r="H406" s="1421">
        <f>SUM(H401:H405)</f>
        <v>6939.2229200000002</v>
      </c>
      <c r="I406" s="1374">
        <f t="shared" si="189"/>
        <v>1</v>
      </c>
      <c r="J406" s="1421">
        <f>SUM(J401:J405)</f>
        <v>6939.2229200000002</v>
      </c>
      <c r="K406" s="1421">
        <f t="shared" ref="K406:Q406" si="195">SUM(K401:K405)</f>
        <v>4349.2020413440223</v>
      </c>
      <c r="L406" s="1421">
        <f t="shared" si="195"/>
        <v>315.51173357359153</v>
      </c>
      <c r="M406" s="1421">
        <f>SUM(M401:M405)</f>
        <v>1945.3211475789781</v>
      </c>
      <c r="N406" s="1421">
        <f t="shared" si="195"/>
        <v>184.87238715065007</v>
      </c>
      <c r="O406" s="1421">
        <f>SUM(O401:O405)</f>
        <v>1.2622726442042273E-4</v>
      </c>
      <c r="P406" s="1421">
        <f>SUM(P401:P405)</f>
        <v>37.303999878490629</v>
      </c>
      <c r="Q406" s="1421">
        <f t="shared" si="195"/>
        <v>107.01148424700513</v>
      </c>
      <c r="R406" s="1364"/>
      <c r="S406" s="1324"/>
      <c r="V406" s="1320" t="s">
        <v>5412</v>
      </c>
      <c r="Y406" s="1324"/>
    </row>
    <row r="407" spans="1:27">
      <c r="A407" s="1320" t="s">
        <v>4739</v>
      </c>
      <c r="B407" s="1324"/>
      <c r="C407" s="1439">
        <v>37</v>
      </c>
      <c r="D407" s="1364"/>
      <c r="E407" s="1364"/>
      <c r="F407" s="1364"/>
      <c r="G407" s="1364"/>
      <c r="H407" s="1364"/>
      <c r="I407" s="1440"/>
      <c r="K407" s="1364"/>
      <c r="L407" s="1364"/>
      <c r="M407" s="1364"/>
      <c r="N407" s="1367"/>
      <c r="O407" s="1367"/>
      <c r="P407" s="1367"/>
      <c r="Q407" s="1364"/>
      <c r="R407" s="1364"/>
      <c r="S407" s="1324"/>
      <c r="Y407" s="1324"/>
    </row>
    <row r="408" spans="1:27">
      <c r="A408" s="1320" t="s">
        <v>4739</v>
      </c>
      <c r="B408" s="1324">
        <v>310</v>
      </c>
      <c r="C408" s="1439">
        <v>38</v>
      </c>
      <c r="D408" s="1364" t="s">
        <v>5310</v>
      </c>
      <c r="E408" s="1364" t="s">
        <v>4071</v>
      </c>
      <c r="F408" s="1364">
        <f>+'Allocation Assignment'!F131</f>
        <v>10.151967899116032</v>
      </c>
      <c r="G408" s="1364">
        <f>+$F408*G$1997</f>
        <v>0</v>
      </c>
      <c r="H408" s="1364">
        <f>+$F408*H$1997</f>
        <v>10.151967899116032</v>
      </c>
      <c r="I408" s="1374">
        <f t="shared" ref="I408:I413" si="196">IF(F408=0,0,+H408/F408)</f>
        <v>1</v>
      </c>
      <c r="J408" s="1364">
        <f>+H408</f>
        <v>10.151967899116032</v>
      </c>
      <c r="K408" s="1364">
        <f t="shared" ref="K408:Q408" si="197">+$J408*K$1997</f>
        <v>0</v>
      </c>
      <c r="L408" s="1364">
        <f t="shared" si="197"/>
        <v>0</v>
      </c>
      <c r="M408" s="1364">
        <f t="shared" si="197"/>
        <v>0</v>
      </c>
      <c r="N408" s="1367">
        <f t="shared" si="197"/>
        <v>0</v>
      </c>
      <c r="O408" s="1367">
        <f t="shared" si="197"/>
        <v>0</v>
      </c>
      <c r="P408" s="1367">
        <f t="shared" si="197"/>
        <v>0</v>
      </c>
      <c r="Q408" s="1364">
        <f t="shared" si="197"/>
        <v>10.151967899116032</v>
      </c>
      <c r="R408" s="1364"/>
      <c r="S408" s="1324">
        <v>310</v>
      </c>
      <c r="V408" s="1321" t="s">
        <v>5302</v>
      </c>
      <c r="W408" s="1321">
        <v>310</v>
      </c>
      <c r="Y408" s="1324"/>
    </row>
    <row r="409" spans="1:27">
      <c r="A409" s="1320" t="s">
        <v>4739</v>
      </c>
      <c r="B409" s="1324">
        <v>105</v>
      </c>
      <c r="C409" s="1439">
        <v>39</v>
      </c>
      <c r="D409" s="1364" t="s">
        <v>5311</v>
      </c>
      <c r="E409" s="1364" t="s">
        <v>4067</v>
      </c>
      <c r="F409" s="1364">
        <f>+'Allocation Assignment'!F132</f>
        <v>19824.48663502411</v>
      </c>
      <c r="G409" s="1364">
        <f>+$F409*G$1936</f>
        <v>0</v>
      </c>
      <c r="H409" s="1364">
        <f>+$F409*H$1936</f>
        <v>19824.48663502411</v>
      </c>
      <c r="I409" s="1374">
        <f t="shared" si="196"/>
        <v>1</v>
      </c>
      <c r="J409" s="1364">
        <f>+H409</f>
        <v>19824.48663502411</v>
      </c>
      <c r="K409" s="1364">
        <f t="shared" ref="K409:Q409" si="198">+$J409*K$1936</f>
        <v>12339.077912845154</v>
      </c>
      <c r="L409" s="1364">
        <f t="shared" si="198"/>
        <v>877.58616830169592</v>
      </c>
      <c r="M409" s="1364">
        <f t="shared" si="198"/>
        <v>5875.9873386784984</v>
      </c>
      <c r="N409" s="1367">
        <f t="shared" si="198"/>
        <v>618.03572489878263</v>
      </c>
      <c r="O409" s="1367">
        <f t="shared" si="198"/>
        <v>4.2198275291644582E-4</v>
      </c>
      <c r="P409" s="1367">
        <f t="shared" si="198"/>
        <v>113.79906831723166</v>
      </c>
      <c r="Q409" s="1364">
        <f t="shared" si="198"/>
        <v>0</v>
      </c>
      <c r="R409" s="1364"/>
      <c r="S409" s="1324">
        <v>105</v>
      </c>
      <c r="V409" s="1321" t="s">
        <v>5229</v>
      </c>
      <c r="W409" s="1321">
        <v>105</v>
      </c>
      <c r="Y409" s="1324"/>
    </row>
    <row r="410" spans="1:27">
      <c r="A410" s="1320" t="s">
        <v>4739</v>
      </c>
      <c r="B410" s="1324">
        <v>418</v>
      </c>
      <c r="C410" s="1439">
        <v>40</v>
      </c>
      <c r="D410" s="1364" t="s">
        <v>5312</v>
      </c>
      <c r="E410" s="1364" t="s">
        <v>4071</v>
      </c>
      <c r="F410" s="1364">
        <f>+'Allocation Assignment'!F133</f>
        <v>0</v>
      </c>
      <c r="G410" s="1364">
        <f>+$F410*G$2024</f>
        <v>0</v>
      </c>
      <c r="H410" s="1364">
        <f>+$F410*H$1936</f>
        <v>0</v>
      </c>
      <c r="I410" s="1374">
        <f t="shared" si="196"/>
        <v>0</v>
      </c>
      <c r="J410" s="1364">
        <f>+H410</f>
        <v>0</v>
      </c>
      <c r="K410" s="1364">
        <f t="shared" ref="K410:Q410" si="199">+$J410*K$2024</f>
        <v>0</v>
      </c>
      <c r="L410" s="1364">
        <f t="shared" si="199"/>
        <v>0</v>
      </c>
      <c r="M410" s="1364">
        <f t="shared" si="199"/>
        <v>0</v>
      </c>
      <c r="N410" s="1367">
        <f t="shared" si="199"/>
        <v>0</v>
      </c>
      <c r="O410" s="1367">
        <f t="shared" si="199"/>
        <v>0</v>
      </c>
      <c r="P410" s="1367">
        <f t="shared" si="199"/>
        <v>0</v>
      </c>
      <c r="Q410" s="1364">
        <f t="shared" si="199"/>
        <v>0</v>
      </c>
      <c r="R410" s="1364"/>
      <c r="S410" s="1324">
        <v>418</v>
      </c>
      <c r="V410" s="1321" t="s">
        <v>5305</v>
      </c>
      <c r="W410" s="1321">
        <v>418</v>
      </c>
      <c r="Y410" s="1324"/>
    </row>
    <row r="411" spans="1:27">
      <c r="A411" s="1320" t="s">
        <v>4739</v>
      </c>
      <c r="B411" s="1324">
        <v>106</v>
      </c>
      <c r="C411" s="1439">
        <v>41</v>
      </c>
      <c r="D411" s="1364" t="s">
        <v>5313</v>
      </c>
      <c r="E411" s="1364" t="s">
        <v>4067</v>
      </c>
      <c r="F411" s="1364">
        <f>+'Allocation Assignment'!F134</f>
        <v>1511.5438770767803</v>
      </c>
      <c r="G411" s="1364">
        <f>+$F411*G1939</f>
        <v>0</v>
      </c>
      <c r="H411" s="1364">
        <f>+$F411*H$1939</f>
        <v>1511.5438770767803</v>
      </c>
      <c r="I411" s="1374">
        <f t="shared" si="196"/>
        <v>1</v>
      </c>
      <c r="J411" s="1364">
        <f>+H411</f>
        <v>1511.5438770767803</v>
      </c>
      <c r="K411" s="1364">
        <f t="shared" ref="K411:Q411" si="200">+$J411*K$1939</f>
        <v>1102.8726886192942</v>
      </c>
      <c r="L411" s="1364">
        <f t="shared" si="200"/>
        <v>88.803139303304803</v>
      </c>
      <c r="M411" s="1364">
        <f t="shared" si="200"/>
        <v>314.40014769842821</v>
      </c>
      <c r="N411" s="1364">
        <f t="shared" si="200"/>
        <v>0</v>
      </c>
      <c r="O411" s="1364">
        <f t="shared" si="200"/>
        <v>0</v>
      </c>
      <c r="P411" s="1364">
        <f t="shared" si="200"/>
        <v>5.4679014557529797</v>
      </c>
      <c r="Q411" s="1364">
        <f t="shared" si="200"/>
        <v>0</v>
      </c>
      <c r="R411" s="1364"/>
      <c r="S411" s="1324">
        <v>106</v>
      </c>
      <c r="V411" s="1321" t="s">
        <v>5230</v>
      </c>
      <c r="W411" s="1321">
        <v>106</v>
      </c>
      <c r="Y411" s="1324"/>
    </row>
    <row r="412" spans="1:27">
      <c r="A412" s="1320" t="s">
        <v>4739</v>
      </c>
      <c r="B412" s="1324">
        <v>420</v>
      </c>
      <c r="C412" s="1439">
        <v>42</v>
      </c>
      <c r="D412" s="1364" t="s">
        <v>5314</v>
      </c>
      <c r="E412" s="1364" t="s">
        <v>4071</v>
      </c>
      <c r="F412" s="1364">
        <f>+'Allocation Assignment'!F135</f>
        <v>0</v>
      </c>
      <c r="G412" s="1364">
        <f>+$F412*$G$2027</f>
        <v>0</v>
      </c>
      <c r="H412" s="1364">
        <f>+$F412*$H$2027</f>
        <v>0</v>
      </c>
      <c r="I412" s="1374">
        <f t="shared" si="196"/>
        <v>0</v>
      </c>
      <c r="J412" s="1364">
        <f>+H412</f>
        <v>0</v>
      </c>
      <c r="K412" s="1364">
        <f t="shared" ref="K412:Q412" si="201">+$J412*K$2027</f>
        <v>0</v>
      </c>
      <c r="L412" s="1364">
        <f t="shared" si="201"/>
        <v>0</v>
      </c>
      <c r="M412" s="1364">
        <f t="shared" si="201"/>
        <v>0</v>
      </c>
      <c r="N412" s="1364">
        <f t="shared" si="201"/>
        <v>0</v>
      </c>
      <c r="O412" s="1364">
        <f t="shared" si="201"/>
        <v>0</v>
      </c>
      <c r="P412" s="1364">
        <f t="shared" si="201"/>
        <v>0</v>
      </c>
      <c r="Q412" s="1364">
        <f t="shared" si="201"/>
        <v>0</v>
      </c>
      <c r="R412" s="1364"/>
      <c r="S412" s="1324">
        <v>420</v>
      </c>
      <c r="V412" s="1321" t="s">
        <v>5225</v>
      </c>
      <c r="W412" s="1321">
        <v>420</v>
      </c>
      <c r="Y412" s="1324"/>
    </row>
    <row r="413" spans="1:27">
      <c r="A413" s="1320" t="s">
        <v>4739</v>
      </c>
      <c r="B413" s="1324"/>
      <c r="C413" s="1439">
        <v>43</v>
      </c>
      <c r="D413" s="1364" t="s">
        <v>5413</v>
      </c>
      <c r="E413" s="1364"/>
      <c r="F413" s="1421">
        <f>+SUM(F408:F412)</f>
        <v>21346.182480000007</v>
      </c>
      <c r="G413" s="1421">
        <f>SUM(G408:G412)</f>
        <v>0</v>
      </c>
      <c r="H413" s="1421">
        <f>SUM(H408:H412)</f>
        <v>21346.182480000007</v>
      </c>
      <c r="I413" s="1374">
        <f t="shared" si="196"/>
        <v>1</v>
      </c>
      <c r="J413" s="1421">
        <f>SUM(J408:J412)</f>
        <v>21346.182480000007</v>
      </c>
      <c r="K413" s="1421">
        <f t="shared" ref="K413:Q413" si="202">SUM(K408:K412)</f>
        <v>13441.950601464448</v>
      </c>
      <c r="L413" s="1421">
        <f t="shared" si="202"/>
        <v>966.38930760500068</v>
      </c>
      <c r="M413" s="1421">
        <f>SUM(M408:M412)</f>
        <v>6190.387486376927</v>
      </c>
      <c r="N413" s="1421">
        <f t="shared" si="202"/>
        <v>618.03572489878263</v>
      </c>
      <c r="O413" s="1421">
        <f>SUM(O408:O412)</f>
        <v>4.2198275291644582E-4</v>
      </c>
      <c r="P413" s="1421">
        <f>SUM(P408:P412)</f>
        <v>119.26696977298464</v>
      </c>
      <c r="Q413" s="1421">
        <f t="shared" si="202"/>
        <v>10.151967899116032</v>
      </c>
      <c r="R413" s="1364"/>
      <c r="S413" s="1324"/>
      <c r="V413" s="1320" t="s">
        <v>5414</v>
      </c>
      <c r="Y413" s="1324"/>
    </row>
    <row r="414" spans="1:27">
      <c r="A414" s="1320" t="s">
        <v>4739</v>
      </c>
      <c r="B414" s="1324"/>
      <c r="C414" s="1439">
        <v>44</v>
      </c>
      <c r="D414" s="1364"/>
      <c r="E414" s="1364"/>
      <c r="F414" s="1364"/>
      <c r="G414" s="1364"/>
      <c r="H414" s="1364"/>
      <c r="I414" s="1440"/>
      <c r="K414" s="1364"/>
      <c r="L414" s="1364"/>
      <c r="M414" s="1364"/>
      <c r="N414" s="1367"/>
      <c r="O414" s="1367"/>
      <c r="P414" s="1367"/>
      <c r="Q414" s="1364"/>
      <c r="R414" s="1364"/>
      <c r="S414" s="1324"/>
      <c r="Y414" s="1324"/>
    </row>
    <row r="415" spans="1:27" s="1324" customFormat="1">
      <c r="A415" s="1324" t="s">
        <v>4739</v>
      </c>
      <c r="B415" s="1324">
        <v>310</v>
      </c>
      <c r="C415" s="1439">
        <v>45</v>
      </c>
      <c r="D415" s="1324" t="s">
        <v>5317</v>
      </c>
      <c r="E415" s="1364" t="s">
        <v>4071</v>
      </c>
      <c r="F415" s="1364">
        <f>+'Allocation Assignment'!F136</f>
        <v>0</v>
      </c>
      <c r="G415" s="1364">
        <f>+$F415*G$1997</f>
        <v>0</v>
      </c>
      <c r="H415" s="1364">
        <f>+$F415*H$1997</f>
        <v>0</v>
      </c>
      <c r="I415" s="1374">
        <f t="shared" ref="I415:I420" si="203">IF(F415=0,0,+H415/F415)</f>
        <v>0</v>
      </c>
      <c r="J415" s="1364">
        <f>+H415</f>
        <v>0</v>
      </c>
      <c r="K415" s="1364">
        <f t="shared" ref="K415:Q415" si="204">+$J415*K$1997</f>
        <v>0</v>
      </c>
      <c r="L415" s="1364">
        <f t="shared" si="204"/>
        <v>0</v>
      </c>
      <c r="M415" s="1364">
        <f t="shared" si="204"/>
        <v>0</v>
      </c>
      <c r="N415" s="1367">
        <f t="shared" si="204"/>
        <v>0</v>
      </c>
      <c r="O415" s="1367">
        <f t="shared" si="204"/>
        <v>0</v>
      </c>
      <c r="P415" s="1367">
        <f t="shared" si="204"/>
        <v>0</v>
      </c>
      <c r="Q415" s="1364">
        <f t="shared" si="204"/>
        <v>0</v>
      </c>
      <c r="R415" s="1364"/>
      <c r="S415" s="1324">
        <v>310</v>
      </c>
      <c r="V415" s="1326" t="s">
        <v>5302</v>
      </c>
      <c r="W415" s="1326">
        <v>310</v>
      </c>
      <c r="AA415" s="1320"/>
    </row>
    <row r="416" spans="1:27" s="1324" customFormat="1">
      <c r="A416" s="1324" t="s">
        <v>4739</v>
      </c>
      <c r="B416" s="1324">
        <v>105</v>
      </c>
      <c r="C416" s="1439">
        <v>46</v>
      </c>
      <c r="D416" s="1324" t="s">
        <v>5318</v>
      </c>
      <c r="E416" s="1364" t="s">
        <v>4067</v>
      </c>
      <c r="F416" s="1364">
        <f>+'Allocation Assignment'!F137</f>
        <v>6446.2285393647117</v>
      </c>
      <c r="G416" s="1364">
        <f>+$F416*G$1936</f>
        <v>0</v>
      </c>
      <c r="H416" s="1364">
        <f>+$F416*H$1936</f>
        <v>6446.2285393647117</v>
      </c>
      <c r="I416" s="1374">
        <f t="shared" si="203"/>
        <v>1</v>
      </c>
      <c r="J416" s="1364">
        <f>+H416</f>
        <v>6446.2285393647117</v>
      </c>
      <c r="K416" s="1364">
        <f t="shared" ref="K416:Q416" si="205">+$J416*K$1936</f>
        <v>4012.2358604082183</v>
      </c>
      <c r="L416" s="1364">
        <f t="shared" si="205"/>
        <v>285.36027731803279</v>
      </c>
      <c r="M416" s="1364">
        <f t="shared" si="205"/>
        <v>1910.6652281535344</v>
      </c>
      <c r="N416" s="1367">
        <f t="shared" si="205"/>
        <v>200.96356599473907</v>
      </c>
      <c r="O416" s="1367">
        <f t="shared" si="205"/>
        <v>1.3721400786055574E-4</v>
      </c>
      <c r="P416" s="1367">
        <f t="shared" si="205"/>
        <v>37.003470276180551</v>
      </c>
      <c r="Q416" s="1364">
        <f t="shared" si="205"/>
        <v>0</v>
      </c>
      <c r="R416" s="1364"/>
      <c r="S416" s="1324">
        <v>105</v>
      </c>
      <c r="V416" s="1326" t="s">
        <v>5229</v>
      </c>
      <c r="W416" s="1326">
        <v>105</v>
      </c>
      <c r="AA416" s="1320"/>
    </row>
    <row r="417" spans="1:27" s="1324" customFormat="1">
      <c r="A417" s="1324" t="s">
        <v>4739</v>
      </c>
      <c r="B417" s="1324">
        <v>418</v>
      </c>
      <c r="C417" s="1439">
        <v>47</v>
      </c>
      <c r="D417" s="1324" t="s">
        <v>5319</v>
      </c>
      <c r="E417" s="1364" t="s">
        <v>4071</v>
      </c>
      <c r="F417" s="1364">
        <f>+'Allocation Assignment'!F138</f>
        <v>0</v>
      </c>
      <c r="G417" s="1364">
        <f>+$F417*G$2024</f>
        <v>0</v>
      </c>
      <c r="H417" s="1364">
        <f>+$F417*H$1936</f>
        <v>0</v>
      </c>
      <c r="I417" s="1374">
        <f t="shared" si="203"/>
        <v>0</v>
      </c>
      <c r="J417" s="1364">
        <f>+H417</f>
        <v>0</v>
      </c>
      <c r="K417" s="1364">
        <f t="shared" ref="K417:Q417" si="206">+$J417*K$2024</f>
        <v>0</v>
      </c>
      <c r="L417" s="1364">
        <f t="shared" si="206"/>
        <v>0</v>
      </c>
      <c r="M417" s="1364">
        <f t="shared" si="206"/>
        <v>0</v>
      </c>
      <c r="N417" s="1367">
        <f t="shared" si="206"/>
        <v>0</v>
      </c>
      <c r="O417" s="1367">
        <f t="shared" si="206"/>
        <v>0</v>
      </c>
      <c r="P417" s="1367">
        <f t="shared" si="206"/>
        <v>0</v>
      </c>
      <c r="Q417" s="1364">
        <f t="shared" si="206"/>
        <v>0</v>
      </c>
      <c r="R417" s="1364"/>
      <c r="S417" s="1324">
        <v>418</v>
      </c>
      <c r="V417" s="1326" t="s">
        <v>5305</v>
      </c>
      <c r="W417" s="1326">
        <v>418</v>
      </c>
      <c r="AA417" s="1320"/>
    </row>
    <row r="418" spans="1:27" s="1324" customFormat="1">
      <c r="A418" s="1324" t="s">
        <v>4739</v>
      </c>
      <c r="B418" s="1324">
        <v>106</v>
      </c>
      <c r="C418" s="1439">
        <v>48</v>
      </c>
      <c r="D418" s="1324" t="s">
        <v>5320</v>
      </c>
      <c r="E418" s="1364" t="s">
        <v>4067</v>
      </c>
      <c r="F418" s="1364">
        <f>+'Allocation Assignment'!F139</f>
        <v>32748.664230635288</v>
      </c>
      <c r="G418" s="1364">
        <f>+$F418*G$1939</f>
        <v>0</v>
      </c>
      <c r="H418" s="1364">
        <f>+$F418*H$1939</f>
        <v>32748.664230635288</v>
      </c>
      <c r="I418" s="1374">
        <f t="shared" si="203"/>
        <v>1</v>
      </c>
      <c r="J418" s="1364">
        <f>+H418</f>
        <v>32748.664230635288</v>
      </c>
      <c r="K418" s="1364">
        <f t="shared" ref="K418:Q418" si="207">+$J418*K$1939</f>
        <v>23894.514685594288</v>
      </c>
      <c r="L418" s="1364">
        <f t="shared" si="207"/>
        <v>1923.98264832013</v>
      </c>
      <c r="M418" s="1364">
        <f t="shared" si="207"/>
        <v>6811.7009550196226</v>
      </c>
      <c r="N418" s="1367">
        <f t="shared" si="207"/>
        <v>0</v>
      </c>
      <c r="O418" s="1367">
        <f t="shared" si="207"/>
        <v>0</v>
      </c>
      <c r="P418" s="1367">
        <f t="shared" si="207"/>
        <v>118.465941701248</v>
      </c>
      <c r="Q418" s="1364">
        <f t="shared" si="207"/>
        <v>0</v>
      </c>
      <c r="R418" s="1364"/>
      <c r="S418" s="1324">
        <v>106</v>
      </c>
      <c r="V418" s="1326" t="s">
        <v>5230</v>
      </c>
      <c r="W418" s="1326">
        <v>106</v>
      </c>
      <c r="AA418" s="1320"/>
    </row>
    <row r="419" spans="1:27" s="1324" customFormat="1">
      <c r="A419" s="1324" t="s">
        <v>4739</v>
      </c>
      <c r="B419" s="1324">
        <v>420</v>
      </c>
      <c r="C419" s="1439">
        <v>49</v>
      </c>
      <c r="D419" s="1324" t="s">
        <v>5321</v>
      </c>
      <c r="E419" s="1364" t="s">
        <v>4071</v>
      </c>
      <c r="F419" s="1364">
        <f>+'Allocation Assignment'!F140</f>
        <v>0</v>
      </c>
      <c r="G419" s="1364">
        <f>+$F419*$G$2027</f>
        <v>0</v>
      </c>
      <c r="H419" s="1364">
        <f>+$F419*$H$2027</f>
        <v>0</v>
      </c>
      <c r="I419" s="1374">
        <f t="shared" si="203"/>
        <v>0</v>
      </c>
      <c r="J419" s="1364">
        <f>+H419</f>
        <v>0</v>
      </c>
      <c r="K419" s="1364">
        <f t="shared" ref="K419:Q419" si="208">+$J419*K$2027</f>
        <v>0</v>
      </c>
      <c r="L419" s="1364">
        <f t="shared" si="208"/>
        <v>0</v>
      </c>
      <c r="M419" s="1364">
        <f t="shared" si="208"/>
        <v>0</v>
      </c>
      <c r="N419" s="1367">
        <f t="shared" si="208"/>
        <v>0</v>
      </c>
      <c r="O419" s="1367">
        <f t="shared" si="208"/>
        <v>0</v>
      </c>
      <c r="P419" s="1367">
        <f t="shared" si="208"/>
        <v>0</v>
      </c>
      <c r="Q419" s="1364">
        <f t="shared" si="208"/>
        <v>0</v>
      </c>
      <c r="R419" s="1364"/>
      <c r="S419" s="1324">
        <v>420</v>
      </c>
      <c r="V419" s="1326" t="s">
        <v>5225</v>
      </c>
      <c r="W419" s="1326">
        <v>420</v>
      </c>
      <c r="AA419" s="1320"/>
    </row>
    <row r="420" spans="1:27" s="1324" customFormat="1">
      <c r="A420" s="1324" t="s">
        <v>4739</v>
      </c>
      <c r="C420" s="1439">
        <v>50</v>
      </c>
      <c r="D420" s="1324" t="s">
        <v>5322</v>
      </c>
      <c r="E420" s="1364"/>
      <c r="F420" s="1421">
        <f>+SUM(F415:F419)</f>
        <v>39194.892769999999</v>
      </c>
      <c r="G420" s="1421">
        <f>SUM(G415:G419)</f>
        <v>0</v>
      </c>
      <c r="H420" s="1421">
        <f>SUM(H415:H419)</f>
        <v>39194.892769999999</v>
      </c>
      <c r="I420" s="1374">
        <f t="shared" si="203"/>
        <v>1</v>
      </c>
      <c r="J420" s="1421">
        <f>SUM(J415:J419)</f>
        <v>39194.892769999999</v>
      </c>
      <c r="K420" s="1421">
        <f t="shared" ref="K420:Q420" si="209">SUM(K415:K419)</f>
        <v>27906.750546002506</v>
      </c>
      <c r="L420" s="1421">
        <f t="shared" si="209"/>
        <v>2209.3429256381628</v>
      </c>
      <c r="M420" s="1421">
        <f>SUM(M415:M419)</f>
        <v>8722.366183173157</v>
      </c>
      <c r="N420" s="1421">
        <f t="shared" si="209"/>
        <v>200.96356599473907</v>
      </c>
      <c r="O420" s="1421">
        <f t="shared" si="209"/>
        <v>1.3721400786055574E-4</v>
      </c>
      <c r="P420" s="1421">
        <f t="shared" si="209"/>
        <v>155.46941197742854</v>
      </c>
      <c r="Q420" s="1421">
        <f t="shared" si="209"/>
        <v>0</v>
      </c>
      <c r="R420" s="1364"/>
      <c r="V420" s="1324" t="s">
        <v>5415</v>
      </c>
      <c r="AA420" s="1320"/>
    </row>
    <row r="421" spans="1:27">
      <c r="A421" s="1320" t="s">
        <v>4739</v>
      </c>
      <c r="C421" s="1434">
        <v>51</v>
      </c>
      <c r="D421" s="1358"/>
      <c r="E421" s="1358"/>
      <c r="F421" s="1358"/>
      <c r="G421" s="1358"/>
      <c r="H421" s="1358"/>
      <c r="I421" s="1379"/>
      <c r="K421" s="1364"/>
      <c r="L421" s="1364"/>
      <c r="M421" s="1364"/>
      <c r="N421" s="1367"/>
      <c r="O421" s="1367"/>
      <c r="P421" s="1367"/>
      <c r="Q421" s="1364"/>
      <c r="R421" s="1358"/>
    </row>
    <row r="422" spans="1:27">
      <c r="A422" s="1320" t="s">
        <v>4739</v>
      </c>
      <c r="B422" s="1320">
        <v>420</v>
      </c>
      <c r="C422" s="1434">
        <v>52</v>
      </c>
      <c r="D422" s="1358" t="s">
        <v>5324</v>
      </c>
      <c r="E422" s="1358" t="s">
        <v>4071</v>
      </c>
      <c r="F422" s="1358">
        <f>+'Allocation Assignment'!F141</f>
        <v>5782.6588400000001</v>
      </c>
      <c r="G422" s="1358">
        <f>+$F422*G2027</f>
        <v>0</v>
      </c>
      <c r="H422" s="1358">
        <f>+$F422*H$2027</f>
        <v>5782.6588400000001</v>
      </c>
      <c r="I422" s="1323">
        <f>IF(F422=0,0,+H422/F422)</f>
        <v>1</v>
      </c>
      <c r="J422" s="1364">
        <f>+H422</f>
        <v>5782.6588400000001</v>
      </c>
      <c r="K422" s="1364">
        <f t="shared" ref="K422:Q422" si="210">+$J422*K$2027</f>
        <v>5158.9369040879346</v>
      </c>
      <c r="L422" s="1364">
        <f t="shared" si="210"/>
        <v>499.98504485567105</v>
      </c>
      <c r="M422" s="1364">
        <f t="shared" si="210"/>
        <v>122.27461305724557</v>
      </c>
      <c r="N422" s="1364">
        <f t="shared" si="210"/>
        <v>0</v>
      </c>
      <c r="O422" s="1364">
        <f t="shared" si="210"/>
        <v>0</v>
      </c>
      <c r="P422" s="1364">
        <f t="shared" si="210"/>
        <v>1.4622779991485837</v>
      </c>
      <c r="Q422" s="1364">
        <f t="shared" si="210"/>
        <v>0</v>
      </c>
      <c r="R422" s="1358"/>
      <c r="S422" s="1320">
        <v>420</v>
      </c>
      <c r="V422" s="1321" t="s">
        <v>5225</v>
      </c>
      <c r="W422" s="1321">
        <v>420</v>
      </c>
    </row>
    <row r="423" spans="1:27">
      <c r="A423" s="1320" t="s">
        <v>4739</v>
      </c>
      <c r="B423" s="1320">
        <v>308</v>
      </c>
      <c r="C423" s="1434">
        <v>53</v>
      </c>
      <c r="D423" s="1358" t="s">
        <v>5325</v>
      </c>
      <c r="E423" s="1358" t="s">
        <v>4071</v>
      </c>
      <c r="F423" s="1358">
        <f>+'Allocation Assignment'!F142</f>
        <v>15403.828909999998</v>
      </c>
      <c r="G423" s="1358">
        <f>+$F423*G1991</f>
        <v>0</v>
      </c>
      <c r="H423" s="1358">
        <f>+$F423*H1991</f>
        <v>15403.828909999998</v>
      </c>
      <c r="I423" s="1323">
        <f>IF(F423=0,0,+H423/F423)</f>
        <v>1</v>
      </c>
      <c r="J423" s="1364">
        <f>+H423</f>
        <v>15403.828909999998</v>
      </c>
      <c r="K423" s="1364">
        <f t="shared" ref="K423:Q423" si="211">+$J423*K1991</f>
        <v>10515.767688520251</v>
      </c>
      <c r="L423" s="1364">
        <f t="shared" si="211"/>
        <v>2742.3776571996746</v>
      </c>
      <c r="M423" s="1364">
        <f t="shared" si="211"/>
        <v>1804.3329031760866</v>
      </c>
      <c r="N423" s="1364">
        <f t="shared" si="211"/>
        <v>148.32180895275098</v>
      </c>
      <c r="O423" s="1364">
        <f t="shared" si="211"/>
        <v>161.82531983870714</v>
      </c>
      <c r="P423" s="1364">
        <f t="shared" si="211"/>
        <v>31.203532312528452</v>
      </c>
      <c r="Q423" s="1364">
        <f t="shared" si="211"/>
        <v>0</v>
      </c>
      <c r="R423" s="1364"/>
      <c r="S423" s="1320">
        <v>308</v>
      </c>
      <c r="V423" s="1321" t="s">
        <v>5326</v>
      </c>
      <c r="W423" s="1321">
        <v>308</v>
      </c>
      <c r="Y423" s="1324"/>
    </row>
    <row r="424" spans="1:27">
      <c r="A424" s="1320" t="s">
        <v>4739</v>
      </c>
      <c r="B424" s="1320">
        <v>412</v>
      </c>
      <c r="C424" s="1434">
        <v>54</v>
      </c>
      <c r="D424" s="1358" t="s">
        <v>5416</v>
      </c>
      <c r="E424" s="1358" t="s">
        <v>4071</v>
      </c>
      <c r="F424" s="1358">
        <f>+'Allocation Assignment'!F143</f>
        <v>0</v>
      </c>
      <c r="G424" s="1358">
        <f>+$F424*G1994</f>
        <v>0</v>
      </c>
      <c r="H424" s="1358">
        <f>+$F424*H1994</f>
        <v>0</v>
      </c>
      <c r="I424" s="1323">
        <f>IF(F424=0,0,+H424/F424)</f>
        <v>0</v>
      </c>
      <c r="J424" s="1364">
        <f>+H424</f>
        <v>0</v>
      </c>
      <c r="K424" s="1364">
        <f>+$J424*K2021</f>
        <v>0</v>
      </c>
      <c r="L424" s="1364">
        <f>+$J424*L2021</f>
        <v>0</v>
      </c>
      <c r="M424" s="1364">
        <f>+$J424*M1994</f>
        <v>0</v>
      </c>
      <c r="N424" s="1367">
        <f>+$J424*N2021</f>
        <v>0</v>
      </c>
      <c r="O424" s="1367">
        <f>+$J424*O2021</f>
        <v>0</v>
      </c>
      <c r="P424" s="1367">
        <f>+$J424*P2021</f>
        <v>0</v>
      </c>
      <c r="Q424" s="1364">
        <f>+$J424*Q2021</f>
        <v>0</v>
      </c>
      <c r="R424" s="1358"/>
      <c r="S424" s="1320">
        <v>309</v>
      </c>
      <c r="V424" s="1321" t="s">
        <v>5328</v>
      </c>
      <c r="W424" s="1321">
        <v>309</v>
      </c>
      <c r="Y424" s="1324"/>
    </row>
    <row r="425" spans="1:27">
      <c r="A425" s="1320" t="s">
        <v>4739</v>
      </c>
      <c r="B425" s="1320">
        <v>310</v>
      </c>
      <c r="C425" s="1434">
        <v>55</v>
      </c>
      <c r="D425" s="1358" t="s">
        <v>5329</v>
      </c>
      <c r="E425" s="1358" t="s">
        <v>4071</v>
      </c>
      <c r="F425" s="1350">
        <f>+'Allocation Assignment'!F144</f>
        <v>15231.66345</v>
      </c>
      <c r="G425" s="1350">
        <f>+$F425*G1997</f>
        <v>0</v>
      </c>
      <c r="H425" s="1350">
        <f>+$F425*H1997</f>
        <v>15231.66345</v>
      </c>
      <c r="I425" s="1323">
        <f>IF(F425=0,0,+H425/F425)</f>
        <v>1</v>
      </c>
      <c r="J425" s="1366">
        <f>+H425</f>
        <v>15231.66345</v>
      </c>
      <c r="K425" s="1366">
        <f t="shared" ref="K425:Q425" si="212">+$J425*K1997</f>
        <v>0</v>
      </c>
      <c r="L425" s="1366">
        <f t="shared" si="212"/>
        <v>0</v>
      </c>
      <c r="M425" s="1366">
        <f t="shared" si="212"/>
        <v>0</v>
      </c>
      <c r="N425" s="1378">
        <f t="shared" si="212"/>
        <v>0</v>
      </c>
      <c r="O425" s="1378">
        <f t="shared" si="212"/>
        <v>0</v>
      </c>
      <c r="P425" s="1378">
        <f t="shared" si="212"/>
        <v>0</v>
      </c>
      <c r="Q425" s="1366">
        <f t="shared" si="212"/>
        <v>15231.66345</v>
      </c>
      <c r="R425" s="1358"/>
      <c r="S425" s="1320">
        <v>310</v>
      </c>
      <c r="V425" s="1321" t="s">
        <v>5302</v>
      </c>
      <c r="W425" s="1321">
        <v>310</v>
      </c>
      <c r="Y425" s="1324"/>
    </row>
    <row r="426" spans="1:27">
      <c r="A426" s="1320" t="s">
        <v>4739</v>
      </c>
      <c r="C426" s="1434">
        <v>56</v>
      </c>
      <c r="D426" s="1358"/>
      <c r="E426" s="1358"/>
      <c r="F426" s="1358"/>
      <c r="G426" s="1358"/>
      <c r="H426" s="1358"/>
      <c r="I426" s="1379"/>
      <c r="K426" s="1364"/>
      <c r="L426" s="1364"/>
      <c r="M426" s="1364"/>
      <c r="N426" s="1367"/>
      <c r="O426" s="1367"/>
      <c r="P426" s="1367"/>
      <c r="Q426" s="1364"/>
      <c r="R426" s="1358"/>
      <c r="Y426" s="1324"/>
    </row>
    <row r="427" spans="1:27">
      <c r="A427" s="1320" t="s">
        <v>4739</v>
      </c>
      <c r="C427" s="1434">
        <v>57</v>
      </c>
      <c r="D427" s="1358" t="s">
        <v>5417</v>
      </c>
      <c r="E427" s="1358"/>
      <c r="F427" s="1358"/>
      <c r="G427" s="1358"/>
      <c r="H427" s="1358"/>
      <c r="I427" s="1379"/>
      <c r="K427" s="1364"/>
      <c r="L427" s="1364"/>
      <c r="M427" s="1364"/>
      <c r="N427" s="1367"/>
      <c r="O427" s="1367"/>
      <c r="P427" s="1367"/>
      <c r="Q427" s="1364"/>
      <c r="R427" s="1358"/>
      <c r="Y427" s="1324"/>
    </row>
    <row r="428" spans="1:27">
      <c r="A428" s="1320" t="s">
        <v>4739</v>
      </c>
      <c r="C428" s="1434">
        <v>58</v>
      </c>
      <c r="D428" s="1358" t="s">
        <v>5418</v>
      </c>
      <c r="E428" s="1358" t="s">
        <v>4067</v>
      </c>
      <c r="F428" s="1358">
        <f t="shared" ref="F428:H429" si="213">SUMIF($E$392:$E$425,$E428,F$392:F$425)</f>
        <v>102119.72953327128</v>
      </c>
      <c r="G428" s="1358">
        <f t="shared" si="213"/>
        <v>0</v>
      </c>
      <c r="H428" s="1358">
        <f t="shared" si="213"/>
        <v>102119.72953327128</v>
      </c>
      <c r="I428" s="1323">
        <f>IF(F428=0,0,+H428/F428)</f>
        <v>1</v>
      </c>
      <c r="J428" s="1364">
        <f t="shared" ref="J428:Q429" si="214">SUMIF($E$392:$E$425,$E428,J$392:J$425)</f>
        <v>102119.72953327128</v>
      </c>
      <c r="K428" s="1364">
        <f t="shared" si="214"/>
        <v>67948.8017906475</v>
      </c>
      <c r="L428" s="1364">
        <f t="shared" si="214"/>
        <v>5113.2947762049571</v>
      </c>
      <c r="M428" s="1364">
        <f t="shared" si="214"/>
        <v>26650.536278923464</v>
      </c>
      <c r="N428" s="1364">
        <f t="shared" si="214"/>
        <v>1907.7739021891573</v>
      </c>
      <c r="O428" s="1364">
        <f t="shared" si="214"/>
        <v>1.3025908547920522E-3</v>
      </c>
      <c r="P428" s="1364">
        <f t="shared" si="214"/>
        <v>499.32148271535073</v>
      </c>
      <c r="Q428" s="1364">
        <f t="shared" si="214"/>
        <v>0</v>
      </c>
      <c r="R428" s="1358"/>
      <c r="V428" s="1326" t="s">
        <v>5419</v>
      </c>
      <c r="X428" s="1326"/>
      <c r="Y428" s="1324"/>
    </row>
    <row r="429" spans="1:27">
      <c r="A429" s="1320" t="s">
        <v>4739</v>
      </c>
      <c r="C429" s="1434">
        <v>59</v>
      </c>
      <c r="D429" s="1358" t="s">
        <v>5418</v>
      </c>
      <c r="E429" s="1358" t="s">
        <v>4071</v>
      </c>
      <c r="F429" s="1350">
        <f t="shared" si="213"/>
        <v>38579.974456728742</v>
      </c>
      <c r="G429" s="1350">
        <f t="shared" si="213"/>
        <v>0</v>
      </c>
      <c r="H429" s="1350">
        <f t="shared" si="213"/>
        <v>38579.974456728742</v>
      </c>
      <c r="I429" s="1323">
        <f>IF(F429=0,0,+H429/F429)</f>
        <v>1</v>
      </c>
      <c r="J429" s="1366">
        <f t="shared" si="214"/>
        <v>38579.974456728742</v>
      </c>
      <c r="K429" s="1366">
        <f t="shared" si="214"/>
        <v>15674.704592608185</v>
      </c>
      <c r="L429" s="1366">
        <f t="shared" si="214"/>
        <v>3242.3627020553458</v>
      </c>
      <c r="M429" s="1366">
        <f t="shared" si="214"/>
        <v>1926.6075162333323</v>
      </c>
      <c r="N429" s="1366">
        <f t="shared" si="214"/>
        <v>148.32180895275098</v>
      </c>
      <c r="O429" s="1366">
        <f t="shared" si="214"/>
        <v>161.82531983870714</v>
      </c>
      <c r="P429" s="1366">
        <f t="shared" si="214"/>
        <v>32.665810311677035</v>
      </c>
      <c r="Q429" s="1366">
        <f t="shared" si="214"/>
        <v>17393.486706728738</v>
      </c>
      <c r="R429" s="1358"/>
      <c r="V429" s="1326" t="s">
        <v>5420</v>
      </c>
      <c r="X429" s="1326"/>
      <c r="Y429" s="1324"/>
    </row>
    <row r="430" spans="1:27">
      <c r="A430" s="1320" t="s">
        <v>4739</v>
      </c>
      <c r="C430" s="1434">
        <v>60</v>
      </c>
      <c r="D430" s="1358"/>
      <c r="E430" s="1358"/>
      <c r="F430" s="1358"/>
      <c r="G430" s="1358"/>
      <c r="H430" s="1358"/>
      <c r="I430" s="1379"/>
      <c r="J430" s="1364"/>
      <c r="K430" s="1364"/>
      <c r="L430" s="1364"/>
      <c r="M430" s="1364"/>
      <c r="N430" s="1367"/>
      <c r="O430" s="1367"/>
      <c r="P430" s="1367"/>
      <c r="Q430" s="1364"/>
      <c r="R430" s="1358"/>
      <c r="Y430" s="1324"/>
    </row>
    <row r="431" spans="1:27">
      <c r="A431" s="1320" t="s">
        <v>4739</v>
      </c>
      <c r="C431" s="1434">
        <v>61</v>
      </c>
      <c r="D431" s="1358" t="s">
        <v>5421</v>
      </c>
      <c r="E431" s="1358"/>
      <c r="F431" s="1350">
        <f>+F428+F429</f>
        <v>140699.70399000001</v>
      </c>
      <c r="G431" s="1350">
        <f>+G428+G429</f>
        <v>0</v>
      </c>
      <c r="H431" s="1350">
        <f>+H428+H429</f>
        <v>140699.70399000001</v>
      </c>
      <c r="I431" s="1323">
        <f>IF(F431=0,0,+H431/F431)</f>
        <v>1</v>
      </c>
      <c r="J431" s="1366">
        <f t="shared" ref="J431:Q431" si="215">+J428+J429</f>
        <v>140699.70399000001</v>
      </c>
      <c r="K431" s="1366">
        <f t="shared" si="215"/>
        <v>83623.506383255677</v>
      </c>
      <c r="L431" s="1366">
        <f t="shared" si="215"/>
        <v>8355.657478260302</v>
      </c>
      <c r="M431" s="1366">
        <f t="shared" si="215"/>
        <v>28577.143795156797</v>
      </c>
      <c r="N431" s="1378">
        <f t="shared" si="215"/>
        <v>2056.0957111419084</v>
      </c>
      <c r="O431" s="1378">
        <f>+O428+O429</f>
        <v>161.82662242956195</v>
      </c>
      <c r="P431" s="1378">
        <f>+P428+P429</f>
        <v>531.98729302702782</v>
      </c>
      <c r="Q431" s="1366">
        <f t="shared" si="215"/>
        <v>17393.486706728738</v>
      </c>
      <c r="R431" s="1358"/>
      <c r="V431" s="1320" t="s">
        <v>5422</v>
      </c>
    </row>
    <row r="432" spans="1:27">
      <c r="A432" s="1320" t="s">
        <v>4739</v>
      </c>
      <c r="C432" s="1434">
        <v>62</v>
      </c>
      <c r="D432" s="1358"/>
      <c r="E432" s="1358"/>
      <c r="F432" s="1358"/>
      <c r="G432" s="1358"/>
      <c r="H432" s="1358"/>
      <c r="I432" s="1379"/>
      <c r="J432" s="1364"/>
      <c r="K432" s="1364"/>
      <c r="M432" s="1324"/>
      <c r="P432" s="1325"/>
    </row>
    <row r="433" spans="1:27">
      <c r="A433" s="1320" t="s">
        <v>4739</v>
      </c>
      <c r="C433" s="1434">
        <v>63</v>
      </c>
      <c r="D433" s="1437" t="s">
        <v>5423</v>
      </c>
      <c r="E433" s="1358"/>
      <c r="F433" s="1358"/>
      <c r="G433" s="1358"/>
      <c r="H433" s="1358"/>
      <c r="I433" s="1379"/>
      <c r="K433" s="1364"/>
      <c r="M433" s="1324"/>
      <c r="P433" s="1325"/>
      <c r="Y433" s="1324"/>
    </row>
    <row r="434" spans="1:27" s="1324" customFormat="1">
      <c r="A434" s="1324" t="s">
        <v>4739</v>
      </c>
      <c r="C434" s="1439">
        <v>64</v>
      </c>
      <c r="D434" s="1364" t="s">
        <v>5265</v>
      </c>
      <c r="E434" s="1364" t="s">
        <v>4067</v>
      </c>
      <c r="F434" s="1364">
        <f>+F356+F357+F363+F364</f>
        <v>265519.30369168246</v>
      </c>
      <c r="G434" s="1364">
        <f>+G356+G357+G363+G364</f>
        <v>0</v>
      </c>
      <c r="H434" s="1364">
        <f>+H356+H357+H363+H364</f>
        <v>265519.30369168246</v>
      </c>
      <c r="I434" s="1374">
        <f t="shared" ref="I434:I441" si="216">IF(F434=0,0,+H434/F434)</f>
        <v>1</v>
      </c>
      <c r="J434" s="1364">
        <f>+J356+J357+J363+J364</f>
        <v>265519.30369168246</v>
      </c>
      <c r="K434" s="1364">
        <f t="shared" ref="K434:Q434" si="217">+K356+K357+K363+K364</f>
        <v>152465.07846364976</v>
      </c>
      <c r="L434" s="1364">
        <f t="shared" si="217"/>
        <v>12679.094371343946</v>
      </c>
      <c r="M434" s="1364">
        <f t="shared" si="217"/>
        <v>82057.961665561466</v>
      </c>
      <c r="N434" s="1364">
        <f t="shared" si="217"/>
        <v>10487.562862620263</v>
      </c>
      <c r="O434" s="1364">
        <f t="shared" si="217"/>
        <v>7547.9318959532729</v>
      </c>
      <c r="P434" s="1364">
        <f t="shared" si="217"/>
        <v>281.67443255377555</v>
      </c>
      <c r="Q434" s="1364">
        <f t="shared" si="217"/>
        <v>0</v>
      </c>
      <c r="R434" s="1364"/>
      <c r="V434" s="1324" t="s">
        <v>5424</v>
      </c>
      <c r="AA434" s="1320"/>
    </row>
    <row r="435" spans="1:27" s="1324" customFormat="1">
      <c r="A435" s="1324" t="s">
        <v>4739</v>
      </c>
      <c r="C435" s="1439">
        <v>65</v>
      </c>
      <c r="D435" s="1364" t="s">
        <v>5265</v>
      </c>
      <c r="E435" s="1364" t="s">
        <v>2067</v>
      </c>
      <c r="F435" s="1364">
        <f>+F358</f>
        <v>24171.775932376906</v>
      </c>
      <c r="G435" s="1364">
        <f>+G358</f>
        <v>0</v>
      </c>
      <c r="H435" s="1364">
        <f>+H358</f>
        <v>24171.775932376906</v>
      </c>
      <c r="I435" s="1374">
        <f t="shared" si="216"/>
        <v>1</v>
      </c>
      <c r="J435" s="1364">
        <f t="shared" ref="J435:Q435" si="218">+J358</f>
        <v>24171.775932376906</v>
      </c>
      <c r="K435" s="1364">
        <f t="shared" si="218"/>
        <v>12197.904452943767</v>
      </c>
      <c r="L435" s="1364">
        <f t="shared" si="218"/>
        <v>1127.2291639031462</v>
      </c>
      <c r="M435" s="1364">
        <f t="shared" si="218"/>
        <v>8397.4194408385283</v>
      </c>
      <c r="N435" s="1367">
        <f t="shared" si="218"/>
        <v>1336.7341548727738</v>
      </c>
      <c r="O435" s="1367">
        <f>+O358</f>
        <v>984.78791142917646</v>
      </c>
      <c r="P435" s="1367">
        <f>+P358</f>
        <v>127.70080838951519</v>
      </c>
      <c r="Q435" s="1364">
        <f t="shared" si="218"/>
        <v>0</v>
      </c>
      <c r="R435" s="1364"/>
      <c r="V435" s="1324" t="s">
        <v>5425</v>
      </c>
      <c r="AA435" s="1320"/>
    </row>
    <row r="436" spans="1:27" s="1324" customFormat="1">
      <c r="A436" s="1324" t="s">
        <v>4739</v>
      </c>
      <c r="C436" s="1439">
        <v>66</v>
      </c>
      <c r="D436" s="1364" t="s">
        <v>5268</v>
      </c>
      <c r="E436" s="1364" t="s">
        <v>4067</v>
      </c>
      <c r="F436" s="1364">
        <f>F367</f>
        <v>14335.379063852772</v>
      </c>
      <c r="G436" s="1364">
        <f>G367</f>
        <v>1273.8744773790027</v>
      </c>
      <c r="H436" s="1364">
        <f>H367</f>
        <v>13061.504586473768</v>
      </c>
      <c r="I436" s="1374">
        <f>IF(F436=0,0,+H436/F436)</f>
        <v>0.91113771936515242</v>
      </c>
      <c r="J436" s="1364">
        <f t="shared" ref="J436:Q436" si="219">J367</f>
        <v>13061.504586473768</v>
      </c>
      <c r="K436" s="1364">
        <f t="shared" si="219"/>
        <v>7575.842983790516</v>
      </c>
      <c r="L436" s="1364">
        <f t="shared" si="219"/>
        <v>624.93063200504741</v>
      </c>
      <c r="M436" s="1364">
        <f t="shared" si="219"/>
        <v>3994.8675729862475</v>
      </c>
      <c r="N436" s="1364">
        <f t="shared" si="219"/>
        <v>498.70624814726176</v>
      </c>
      <c r="O436" s="1364">
        <f>O367</f>
        <v>357.89663933842866</v>
      </c>
      <c r="P436" s="1364">
        <f>P367</f>
        <v>9.2605102062669573</v>
      </c>
      <c r="Q436" s="1364">
        <f t="shared" si="219"/>
        <v>0</v>
      </c>
      <c r="R436" s="1364"/>
      <c r="V436" s="1324" t="s">
        <v>5426</v>
      </c>
      <c r="AA436" s="1320"/>
    </row>
    <row r="437" spans="1:27" s="1324" customFormat="1">
      <c r="A437" s="1324" t="s">
        <v>4739</v>
      </c>
      <c r="C437" s="1439">
        <v>67</v>
      </c>
      <c r="D437" s="1364" t="s">
        <v>5239</v>
      </c>
      <c r="E437" s="1364" t="s">
        <v>4067</v>
      </c>
      <c r="F437" s="1364">
        <f>+F372</f>
        <v>13591.063195823424</v>
      </c>
      <c r="G437" s="1364">
        <f>+G372</f>
        <v>880.52225371670738</v>
      </c>
      <c r="H437" s="1364">
        <f>+H372</f>
        <v>12710.540942106716</v>
      </c>
      <c r="I437" s="1374">
        <f>IF(F437=0,0,+H437/F437)</f>
        <v>0.93521314403222733</v>
      </c>
      <c r="J437" s="1364">
        <f t="shared" ref="J437:Q437" si="220">+J372</f>
        <v>12710.540942106716</v>
      </c>
      <c r="K437" s="1364">
        <f t="shared" si="220"/>
        <v>7372.2794934482827</v>
      </c>
      <c r="L437" s="1364">
        <f t="shared" si="220"/>
        <v>608.13869730617455</v>
      </c>
      <c r="M437" s="1364">
        <f t="shared" si="220"/>
        <v>3887.5251705167075</v>
      </c>
      <c r="N437" s="1364">
        <f t="shared" si="220"/>
        <v>485.30597246235806</v>
      </c>
      <c r="O437" s="1364">
        <f>+O372</f>
        <v>348.27992879659621</v>
      </c>
      <c r="P437" s="1364">
        <f>+P372</f>
        <v>9.0116795765969684</v>
      </c>
      <c r="Q437" s="1364">
        <f t="shared" si="220"/>
        <v>0</v>
      </c>
      <c r="R437" s="1364"/>
      <c r="V437" s="1324" t="s">
        <v>5427</v>
      </c>
      <c r="AA437" s="1320"/>
    </row>
    <row r="438" spans="1:27" s="1324" customFormat="1">
      <c r="A438" s="1324" t="s">
        <v>4739</v>
      </c>
      <c r="C438" s="1439">
        <v>68</v>
      </c>
      <c r="D438" s="1364" t="s">
        <v>5240</v>
      </c>
      <c r="E438" s="1364" t="s">
        <v>4067</v>
      </c>
      <c r="F438" s="1364">
        <f>+F392+F395+F402+F409+F416</f>
        <v>61194.906221304169</v>
      </c>
      <c r="G438" s="1364">
        <f t="shared" ref="G438:Q438" si="221">+G392+G395+G402+G409+G416</f>
        <v>0</v>
      </c>
      <c r="H438" s="1364">
        <f t="shared" si="221"/>
        <v>61194.906221304169</v>
      </c>
      <c r="I438" s="1374">
        <f>IF(F438=0,0,+H438/F438)</f>
        <v>1</v>
      </c>
      <c r="J438" s="1364">
        <f t="shared" si="221"/>
        <v>61194.906221304169</v>
      </c>
      <c r="K438" s="1364">
        <f t="shared" si="221"/>
        <v>38088.689489689095</v>
      </c>
      <c r="L438" s="1364">
        <f t="shared" si="221"/>
        <v>2708.9631252017853</v>
      </c>
      <c r="M438" s="1364">
        <f t="shared" si="221"/>
        <v>18138.19952909787</v>
      </c>
      <c r="N438" s="1364">
        <f t="shared" si="221"/>
        <v>1907.7739021891573</v>
      </c>
      <c r="O438" s="1364">
        <f t="shared" si="221"/>
        <v>1.3025908547920522E-3</v>
      </c>
      <c r="P438" s="1364">
        <f t="shared" si="221"/>
        <v>351.27887253542031</v>
      </c>
      <c r="Q438" s="1364">
        <f t="shared" si="221"/>
        <v>0</v>
      </c>
      <c r="R438" s="1364"/>
      <c r="V438" s="1324" t="s">
        <v>5428</v>
      </c>
      <c r="AA438" s="1320"/>
    </row>
    <row r="439" spans="1:27">
      <c r="A439" s="1320" t="s">
        <v>4739</v>
      </c>
      <c r="C439" s="1434">
        <v>69</v>
      </c>
      <c r="D439" s="1364" t="s">
        <v>5241</v>
      </c>
      <c r="E439" s="1364" t="s">
        <v>4067</v>
      </c>
      <c r="F439" s="1364">
        <f>+F397+F404+F411+F418</f>
        <v>40924.823311967106</v>
      </c>
      <c r="G439" s="1364">
        <f>+G397+G404+G411+G418</f>
        <v>0</v>
      </c>
      <c r="H439" s="1364">
        <f>+H397+H404+H411+H418</f>
        <v>40924.823311967106</v>
      </c>
      <c r="I439" s="1374">
        <f t="shared" si="216"/>
        <v>1</v>
      </c>
      <c r="J439" s="1364">
        <f t="shared" ref="J439:Q439" si="222">+J397+J404+J411+J418</f>
        <v>40924.823311967106</v>
      </c>
      <c r="K439" s="1364">
        <f t="shared" si="222"/>
        <v>29860.112300958412</v>
      </c>
      <c r="L439" s="1364">
        <f t="shared" si="222"/>
        <v>2404.3316510031723</v>
      </c>
      <c r="M439" s="1364">
        <f t="shared" si="222"/>
        <v>8512.3367498255939</v>
      </c>
      <c r="N439" s="1364">
        <f t="shared" si="222"/>
        <v>0</v>
      </c>
      <c r="O439" s="1364">
        <f>+O397+O404+O411+O418</f>
        <v>0</v>
      </c>
      <c r="P439" s="1364">
        <f>+P397+P404+P411+P418</f>
        <v>148.04261017993042</v>
      </c>
      <c r="Q439" s="1364">
        <f t="shared" si="222"/>
        <v>0</v>
      </c>
      <c r="R439" s="1358"/>
      <c r="V439" s="1324" t="s">
        <v>5429</v>
      </c>
      <c r="Y439" s="1324"/>
      <c r="Z439" s="1324"/>
    </row>
    <row r="440" spans="1:27">
      <c r="A440" s="1320" t="s">
        <v>4739</v>
      </c>
      <c r="C440" s="1434">
        <v>70</v>
      </c>
      <c r="D440" s="1364" t="s">
        <v>5242</v>
      </c>
      <c r="E440" s="1364" t="s">
        <v>4071</v>
      </c>
      <c r="F440" s="1364">
        <f>F429</f>
        <v>38579.974456728742</v>
      </c>
      <c r="G440" s="1364">
        <f>G429</f>
        <v>0</v>
      </c>
      <c r="H440" s="1364">
        <f>H429</f>
        <v>38579.974456728742</v>
      </c>
      <c r="I440" s="1374">
        <f>IF(F440=0,0,+H440/F440)</f>
        <v>1</v>
      </c>
      <c r="J440" s="1364">
        <f t="shared" ref="J440:Q440" si="223">J429</f>
        <v>38579.974456728742</v>
      </c>
      <c r="K440" s="1364">
        <f t="shared" si="223"/>
        <v>15674.704592608185</v>
      </c>
      <c r="L440" s="1364">
        <f t="shared" si="223"/>
        <v>3242.3627020553458</v>
      </c>
      <c r="M440" s="1364">
        <f t="shared" si="223"/>
        <v>1926.6075162333323</v>
      </c>
      <c r="N440" s="1364">
        <f t="shared" si="223"/>
        <v>148.32180895275098</v>
      </c>
      <c r="O440" s="1364">
        <f>O429</f>
        <v>161.82531983870714</v>
      </c>
      <c r="P440" s="1364">
        <f>P429</f>
        <v>32.665810311677035</v>
      </c>
      <c r="Q440" s="1364">
        <f t="shared" si="223"/>
        <v>17393.486706728738</v>
      </c>
      <c r="R440" s="1358"/>
      <c r="V440" s="1326" t="s">
        <v>5430</v>
      </c>
      <c r="Z440" s="1324"/>
    </row>
    <row r="441" spans="1:27">
      <c r="A441" s="1320" t="s">
        <v>4739</v>
      </c>
      <c r="C441" s="1434">
        <v>71</v>
      </c>
      <c r="D441" s="1358" t="s">
        <v>5244</v>
      </c>
      <c r="E441" s="1358" t="s">
        <v>4071</v>
      </c>
      <c r="F441" s="1350">
        <v>0</v>
      </c>
      <c r="G441" s="1350">
        <v>0</v>
      </c>
      <c r="H441" s="1350">
        <v>0</v>
      </c>
      <c r="I441" s="1323">
        <f t="shared" si="216"/>
        <v>0</v>
      </c>
      <c r="J441" s="1366">
        <v>0</v>
      </c>
      <c r="K441" s="1366">
        <v>0</v>
      </c>
      <c r="L441" s="1366">
        <v>0</v>
      </c>
      <c r="M441" s="1366">
        <v>0</v>
      </c>
      <c r="N441" s="1378">
        <v>0</v>
      </c>
      <c r="O441" s="1378">
        <v>0</v>
      </c>
      <c r="P441" s="1378">
        <v>0</v>
      </c>
      <c r="Q441" s="1366">
        <v>0</v>
      </c>
      <c r="R441" s="1358"/>
      <c r="V441" s="1320" t="s">
        <v>5343</v>
      </c>
      <c r="Z441" s="1324"/>
    </row>
    <row r="442" spans="1:27">
      <c r="A442" s="1320" t="s">
        <v>4739</v>
      </c>
      <c r="C442" s="1434">
        <v>72</v>
      </c>
      <c r="D442" s="1358"/>
      <c r="E442" s="1358"/>
      <c r="F442" s="1358"/>
      <c r="G442" s="1358"/>
      <c r="H442" s="1358"/>
      <c r="I442" s="1379"/>
      <c r="J442" s="1364"/>
      <c r="K442" s="1364"/>
      <c r="L442" s="1364"/>
      <c r="M442" s="1364"/>
      <c r="N442" s="1367"/>
      <c r="O442" s="1367"/>
      <c r="P442" s="1367"/>
      <c r="Q442" s="1364"/>
      <c r="R442" s="1358"/>
      <c r="Z442" s="1324"/>
    </row>
    <row r="443" spans="1:27">
      <c r="A443" s="1320" t="s">
        <v>4739</v>
      </c>
      <c r="C443" s="1434">
        <v>73</v>
      </c>
      <c r="D443" s="1358" t="s">
        <v>5431</v>
      </c>
      <c r="E443" s="1358"/>
      <c r="F443" s="1350">
        <f>SUM(F434:F441)</f>
        <v>458317.22587373556</v>
      </c>
      <c r="G443" s="1350">
        <f>SUM(G434:G441)</f>
        <v>2154.39673109571</v>
      </c>
      <c r="H443" s="1350">
        <f>SUM(H434:H441)</f>
        <v>456162.82914263982</v>
      </c>
      <c r="I443" s="1323">
        <f>IF(F443=0,0,+H443/F443)</f>
        <v>0.99529933284312277</v>
      </c>
      <c r="J443" s="1366">
        <f t="shared" ref="J443:Q443" si="224">SUM(J434:J441)</f>
        <v>456162.82914263982</v>
      </c>
      <c r="K443" s="1366">
        <f t="shared" si="224"/>
        <v>263234.61177708808</v>
      </c>
      <c r="L443" s="1366">
        <f t="shared" si="224"/>
        <v>23395.05034281862</v>
      </c>
      <c r="M443" s="1366">
        <f t="shared" si="224"/>
        <v>126914.91764505973</v>
      </c>
      <c r="N443" s="1378">
        <f t="shared" si="224"/>
        <v>14864.404949244567</v>
      </c>
      <c r="O443" s="1378">
        <f>SUM(O434:O441)</f>
        <v>9400.7229979470358</v>
      </c>
      <c r="P443" s="1378">
        <f>SUM(P434:P441)</f>
        <v>959.63472375318247</v>
      </c>
      <c r="Q443" s="1366">
        <f t="shared" si="224"/>
        <v>17393.486706728738</v>
      </c>
      <c r="R443" s="1358"/>
      <c r="V443" s="1320" t="s">
        <v>5432</v>
      </c>
    </row>
    <row r="444" spans="1:27">
      <c r="C444" s="1434"/>
      <c r="D444" s="1358"/>
      <c r="E444" s="1358"/>
      <c r="F444" s="1358"/>
      <c r="G444" s="1358"/>
      <c r="H444" s="1358"/>
      <c r="I444" s="1379"/>
      <c r="K444" s="1364"/>
    </row>
    <row r="445" spans="1:27">
      <c r="C445" s="1434"/>
      <c r="D445" s="1358"/>
      <c r="E445" s="1358"/>
      <c r="F445" s="1358"/>
      <c r="G445" s="1358"/>
      <c r="H445" s="1358"/>
      <c r="I445" s="1379"/>
      <c r="K445" s="1364"/>
    </row>
    <row r="446" spans="1:27">
      <c r="C446" s="1434"/>
      <c r="D446" s="1358"/>
      <c r="E446" s="1358"/>
      <c r="F446" s="1358"/>
      <c r="G446" s="1358"/>
      <c r="H446" s="1358"/>
      <c r="I446" s="1379"/>
      <c r="K446" s="1364"/>
    </row>
    <row r="447" spans="1:27">
      <c r="C447" s="1434"/>
      <c r="D447" s="1358"/>
      <c r="E447" s="1358"/>
      <c r="F447" s="1358"/>
      <c r="G447" s="1358"/>
      <c r="H447" s="1358"/>
      <c r="I447" s="1379"/>
      <c r="K447" s="1364"/>
    </row>
    <row r="448" spans="1:27">
      <c r="C448" s="1434"/>
      <c r="D448" s="1358"/>
      <c r="E448" s="1358"/>
      <c r="F448" s="1358"/>
      <c r="G448" s="1358"/>
      <c r="H448" s="1358"/>
      <c r="I448" s="1379"/>
      <c r="K448" s="1364"/>
    </row>
    <row r="449" spans="1:27">
      <c r="B449" s="1432"/>
      <c r="C449" s="1340" t="str">
        <f>+C$2</f>
        <v>RATES WITH REVENUE DEFICIENCY ADDITION</v>
      </c>
      <c r="F449" s="1333"/>
      <c r="G449" s="1327" t="s">
        <v>2173</v>
      </c>
      <c r="H449" s="1358"/>
      <c r="I449" s="1334" t="s">
        <v>5403</v>
      </c>
      <c r="L449" s="1329" t="s">
        <v>2173</v>
      </c>
      <c r="M449" s="1330"/>
      <c r="N449" s="1330"/>
      <c r="O449" s="1330"/>
      <c r="S449" s="1334" t="s">
        <v>5433</v>
      </c>
      <c r="T449" s="1333" t="s">
        <v>2173</v>
      </c>
      <c r="U449" s="1334"/>
      <c r="V449" s="1332" t="s">
        <v>4772</v>
      </c>
    </row>
    <row r="450" spans="1:27">
      <c r="B450" s="1432"/>
      <c r="C450" s="1340" t="str">
        <f>+C$3</f>
        <v>PROD. CAP. ALLOC. METHOD: 12 CP &amp; 1/13th AD</v>
      </c>
      <c r="D450" s="1358"/>
      <c r="G450" s="1336" t="s">
        <v>4768</v>
      </c>
      <c r="I450" s="1335" t="s">
        <v>5404</v>
      </c>
      <c r="L450" s="1336" t="s">
        <v>5141</v>
      </c>
      <c r="M450" s="1337"/>
      <c r="N450" s="1337"/>
      <c r="O450" s="1337"/>
      <c r="R450" s="1331"/>
      <c r="S450" s="1335" t="s">
        <v>5434</v>
      </c>
      <c r="T450" s="1333" t="s">
        <v>5141</v>
      </c>
      <c r="V450" s="1332" t="s">
        <v>5433</v>
      </c>
    </row>
    <row r="451" spans="1:27">
      <c r="B451" s="1321"/>
      <c r="C451" s="1340" t="str">
        <f>+C$4</f>
        <v>PROJECTED CALENDAR YEAR 2025; FULLY ADJUSTED DATA</v>
      </c>
      <c r="G451" s="1336" t="s">
        <v>2181</v>
      </c>
      <c r="L451" s="1336" t="s">
        <v>2181</v>
      </c>
      <c r="T451" s="1339"/>
    </row>
    <row r="452" spans="1:27">
      <c r="B452" s="1321"/>
      <c r="C452" s="1340" t="str">
        <f>+C$5</f>
        <v>MINIMUM DISTRIBUTION SYSTEM (MDS) NOT EMPLOYED</v>
      </c>
      <c r="G452" s="1358"/>
      <c r="H452" s="1358"/>
      <c r="I452" s="1379"/>
      <c r="K452" s="1364"/>
      <c r="L452" s="1336"/>
      <c r="M452" s="1337"/>
      <c r="N452" s="1337"/>
      <c r="O452" s="1337"/>
      <c r="T452" s="1333"/>
    </row>
    <row r="453" spans="1:27">
      <c r="B453" s="1321"/>
      <c r="C453" s="1340" t="str">
        <f>+C$6</f>
        <v>Tampa Electric 2025 OB Budget</v>
      </c>
      <c r="F453" s="1327"/>
      <c r="G453" s="1333" t="s">
        <v>5391</v>
      </c>
      <c r="H453" s="1358"/>
      <c r="I453" s="1379"/>
      <c r="K453" s="1364"/>
      <c r="L453" s="1336" t="s">
        <v>5391</v>
      </c>
      <c r="M453" s="1337"/>
      <c r="N453" s="1337"/>
      <c r="O453" s="1337"/>
      <c r="T453" s="1333" t="s">
        <v>5391</v>
      </c>
    </row>
    <row r="454" spans="1:27">
      <c r="B454" s="1321"/>
      <c r="F454" s="1333"/>
      <c r="G454" s="1358"/>
      <c r="H454" s="1358"/>
      <c r="I454" s="1379"/>
      <c r="K454" s="1364"/>
      <c r="L454" s="1336"/>
      <c r="M454" s="1337"/>
      <c r="N454" s="1337"/>
      <c r="O454" s="1337"/>
    </row>
    <row r="455" spans="1:27">
      <c r="B455" s="1321"/>
      <c r="F455" s="1333"/>
      <c r="G455" s="1358"/>
      <c r="H455" s="1358"/>
      <c r="I455" s="1379"/>
      <c r="K455" s="1364"/>
      <c r="L455" s="1336"/>
      <c r="M455" s="1337"/>
      <c r="N455" s="1337"/>
      <c r="O455" s="1337"/>
    </row>
    <row r="456" spans="1:27">
      <c r="C456" s="1434"/>
      <c r="D456" s="1358"/>
      <c r="E456" s="1358"/>
      <c r="F456" s="1358"/>
      <c r="G456" s="1358"/>
      <c r="H456" s="1358"/>
      <c r="I456" s="1379"/>
      <c r="K456" s="1364"/>
    </row>
    <row r="457" spans="1:27">
      <c r="C457" s="1342"/>
      <c r="D457" s="1435"/>
      <c r="E457" s="1435"/>
      <c r="F457" s="1333"/>
      <c r="G457" s="1333"/>
      <c r="H457" s="1333"/>
      <c r="I457" s="1343"/>
      <c r="J457" s="1416"/>
      <c r="K457" s="1336"/>
      <c r="L457" s="1416"/>
      <c r="M457" s="1417"/>
      <c r="N457" s="1417"/>
      <c r="O457" s="1417"/>
      <c r="P457" s="3164"/>
      <c r="Q457" s="3164"/>
      <c r="R457" s="1333"/>
    </row>
    <row r="458" spans="1:27" ht="30" customHeight="1">
      <c r="A458" s="1418" t="s">
        <v>4683</v>
      </c>
      <c r="B458" s="1425" t="s">
        <v>5143</v>
      </c>
      <c r="C458" s="1349" t="s">
        <v>4297</v>
      </c>
      <c r="D458" s="1418"/>
      <c r="E458" s="1418"/>
      <c r="F458" s="1348" t="s">
        <v>5144</v>
      </c>
      <c r="G458" s="1348" t="s">
        <v>4956</v>
      </c>
      <c r="H458" s="1348" t="s">
        <v>4957</v>
      </c>
      <c r="I458" s="1426" t="s">
        <v>5145</v>
      </c>
      <c r="J458" s="1352" t="s">
        <v>4957</v>
      </c>
      <c r="K458" s="1353" t="s">
        <v>1949</v>
      </c>
      <c r="L458" s="1353" t="s">
        <v>1950</v>
      </c>
      <c r="M458" s="1354" t="s">
        <v>1934</v>
      </c>
      <c r="N458" s="1354" t="s">
        <v>1971</v>
      </c>
      <c r="O458" s="1354" t="s">
        <v>1972</v>
      </c>
      <c r="P458" s="1352" t="s">
        <v>5146</v>
      </c>
      <c r="Q458" s="1352" t="s">
        <v>5147</v>
      </c>
      <c r="R458" s="1355"/>
      <c r="S458" s="1348" t="s">
        <v>5299</v>
      </c>
      <c r="T458" s="1348"/>
      <c r="U458" s="1352"/>
      <c r="V458" s="1355" t="s">
        <v>4774</v>
      </c>
      <c r="W458" s="1350"/>
    </row>
    <row r="459" spans="1:27">
      <c r="C459" s="1434"/>
      <c r="D459" s="1358"/>
      <c r="E459" s="1358"/>
      <c r="F459" s="1358"/>
      <c r="G459" s="1358"/>
      <c r="H459" s="1358"/>
      <c r="I459" s="1379"/>
      <c r="K459" s="1364"/>
    </row>
    <row r="460" spans="1:27">
      <c r="A460" s="1320" t="s">
        <v>4739</v>
      </c>
      <c r="C460" s="1434">
        <v>74</v>
      </c>
      <c r="D460" s="1437" t="s">
        <v>5435</v>
      </c>
      <c r="E460" s="1358"/>
      <c r="F460" s="1358"/>
      <c r="G460" s="1358"/>
      <c r="H460" s="1358"/>
      <c r="I460" s="1379"/>
      <c r="K460" s="1364"/>
    </row>
    <row r="461" spans="1:27">
      <c r="A461" s="1320" t="s">
        <v>4739</v>
      </c>
      <c r="B461" s="1320">
        <v>101</v>
      </c>
      <c r="C461" s="1434">
        <v>75</v>
      </c>
      <c r="D461" s="1358" t="s">
        <v>5265</v>
      </c>
      <c r="E461" s="1358" t="s">
        <v>4067</v>
      </c>
      <c r="F461" s="1358">
        <f>+'Allocation Assignment'!F145</f>
        <v>2270.0840464485473</v>
      </c>
      <c r="G461" s="1358">
        <f>+$F461*G$1933</f>
        <v>0</v>
      </c>
      <c r="H461" s="1358">
        <f>+$F461*H$1933</f>
        <v>2270.0840464485473</v>
      </c>
      <c r="I461" s="1323">
        <f t="shared" ref="I461:I468" si="225">IF(F461=0,0,+H461/F461)</f>
        <v>1</v>
      </c>
      <c r="J461" s="1364">
        <f t="shared" ref="J461:J468" si="226">+H461</f>
        <v>2270.0840464485473</v>
      </c>
      <c r="K461" s="1324">
        <f t="shared" ref="K461:Q461" si="227">$J461*K$1951</f>
        <v>1303.5155540433097</v>
      </c>
      <c r="L461" s="1324">
        <f t="shared" si="227"/>
        <v>108.4011951508635</v>
      </c>
      <c r="M461" s="1324">
        <f t="shared" si="227"/>
        <v>701.56281321595225</v>
      </c>
      <c r="N461" s="1324">
        <f t="shared" si="227"/>
        <v>89.664475650349132</v>
      </c>
      <c r="O461" s="1324">
        <f t="shared" si="227"/>
        <v>64.531804439273259</v>
      </c>
      <c r="P461" s="1324">
        <f t="shared" si="227"/>
        <v>2.408203948799386</v>
      </c>
      <c r="Q461" s="1324">
        <f t="shared" si="227"/>
        <v>0</v>
      </c>
      <c r="R461" s="1324"/>
      <c r="S461" s="1324">
        <v>122</v>
      </c>
      <c r="V461" s="1321" t="s">
        <v>9476</v>
      </c>
      <c r="W461" s="1321">
        <v>122</v>
      </c>
      <c r="Y461" s="1324"/>
    </row>
    <row r="462" spans="1:27" s="1324" customFormat="1">
      <c r="A462" s="1320" t="s">
        <v>4739</v>
      </c>
      <c r="B462" s="1324">
        <v>201</v>
      </c>
      <c r="C462" s="1439">
        <v>76</v>
      </c>
      <c r="D462" s="1364" t="s">
        <v>5265</v>
      </c>
      <c r="E462" s="1364" t="s">
        <v>2067</v>
      </c>
      <c r="F462" s="1358">
        <f>+'Allocation Assignment'!F146</f>
        <v>564.04119465374163</v>
      </c>
      <c r="G462" s="1364">
        <f>+$F462*G$1969</f>
        <v>0</v>
      </c>
      <c r="H462" s="1364">
        <f>+$F462*H$1969</f>
        <v>564.04119465374163</v>
      </c>
      <c r="I462" s="1374">
        <f t="shared" si="225"/>
        <v>1</v>
      </c>
      <c r="J462" s="1364">
        <f t="shared" si="226"/>
        <v>564.04119465374163</v>
      </c>
      <c r="K462" s="1364">
        <f t="shared" ref="K462:Q462" si="228">+$J462*K$1969</f>
        <v>284.63446869433426</v>
      </c>
      <c r="L462" s="1364">
        <f t="shared" si="228"/>
        <v>26.303556926689904</v>
      </c>
      <c r="M462" s="1364">
        <f t="shared" si="228"/>
        <v>195.95128246554785</v>
      </c>
      <c r="N462" s="1367">
        <f t="shared" si="228"/>
        <v>31.192293514478145</v>
      </c>
      <c r="O462" s="1367">
        <f t="shared" si="228"/>
        <v>22.979732709629463</v>
      </c>
      <c r="P462" s="1367">
        <f t="shared" si="228"/>
        <v>2.9798603430620108</v>
      </c>
      <c r="Q462" s="1364">
        <f t="shared" si="228"/>
        <v>0</v>
      </c>
      <c r="R462" s="1364"/>
      <c r="S462" s="1324">
        <v>201</v>
      </c>
      <c r="V462" s="1321" t="s">
        <v>5235</v>
      </c>
      <c r="W462" s="1321">
        <v>201</v>
      </c>
      <c r="AA462" s="1320"/>
    </row>
    <row r="463" spans="1:27">
      <c r="A463" s="1320" t="s">
        <v>4739</v>
      </c>
      <c r="B463" s="1320">
        <v>117</v>
      </c>
      <c r="C463" s="1434">
        <v>77</v>
      </c>
      <c r="D463" s="1358" t="s">
        <v>5268</v>
      </c>
      <c r="E463" s="1358" t="s">
        <v>4067</v>
      </c>
      <c r="F463" s="1358">
        <f>+'Allocation Assignment'!F147</f>
        <v>427.86315231558297</v>
      </c>
      <c r="G463" s="1358">
        <f>+$F463*G$1942</f>
        <v>27.719908422986823</v>
      </c>
      <c r="H463" s="1358">
        <f>+$F463*H$1942</f>
        <v>400.1432438925961</v>
      </c>
      <c r="I463" s="1323">
        <f t="shared" si="225"/>
        <v>0.93521314403222733</v>
      </c>
      <c r="J463" s="1364">
        <f t="shared" si="226"/>
        <v>400.1432438925961</v>
      </c>
      <c r="K463" s="1364">
        <f t="shared" ref="K463:Q464" si="229">+$J463*K$1945</f>
        <v>232.08829937511041</v>
      </c>
      <c r="L463" s="1364">
        <f t="shared" si="229"/>
        <v>19.14494372702735</v>
      </c>
      <c r="M463" s="1364">
        <f t="shared" si="229"/>
        <v>122.3840070638917</v>
      </c>
      <c r="N463" s="1367">
        <f t="shared" si="229"/>
        <v>15.278020580401233</v>
      </c>
      <c r="O463" s="1367">
        <f t="shared" si="229"/>
        <v>10.964274543948228</v>
      </c>
      <c r="P463" s="1367">
        <f t="shared" si="229"/>
        <v>0.2836986022172</v>
      </c>
      <c r="Q463" s="1364">
        <f t="shared" si="229"/>
        <v>0</v>
      </c>
      <c r="R463" s="1364"/>
      <c r="S463" s="1324">
        <v>118</v>
      </c>
      <c r="V463" s="1321" t="s">
        <v>9477</v>
      </c>
      <c r="W463" s="1321">
        <v>117</v>
      </c>
      <c r="Y463" s="1324"/>
    </row>
    <row r="464" spans="1:27">
      <c r="A464" s="1320" t="s">
        <v>4739</v>
      </c>
      <c r="B464" s="1320">
        <v>117</v>
      </c>
      <c r="C464" s="1434">
        <v>78</v>
      </c>
      <c r="D464" s="1358" t="s">
        <v>5239</v>
      </c>
      <c r="E464" s="1358" t="s">
        <v>4067</v>
      </c>
      <c r="F464" s="1358">
        <f>+'Allocation Assignment'!F148</f>
        <v>344.4303917378038</v>
      </c>
      <c r="G464" s="1358">
        <f>+$F464*G$1942</f>
        <v>22.314562180440589</v>
      </c>
      <c r="H464" s="1358">
        <f>+$F464*H$1942</f>
        <v>322.11582955736321</v>
      </c>
      <c r="I464" s="1323">
        <f t="shared" si="225"/>
        <v>0.93521314403222744</v>
      </c>
      <c r="J464" s="1364">
        <f t="shared" si="226"/>
        <v>322.11582955736321</v>
      </c>
      <c r="K464" s="1364">
        <f t="shared" si="229"/>
        <v>186.83138157353912</v>
      </c>
      <c r="L464" s="1364">
        <f t="shared" si="229"/>
        <v>15.411704494792692</v>
      </c>
      <c r="M464" s="1364">
        <f t="shared" si="229"/>
        <v>98.519284185442928</v>
      </c>
      <c r="N464" s="1367">
        <f t="shared" si="229"/>
        <v>12.29882635372285</v>
      </c>
      <c r="O464" s="1367">
        <f t="shared" si="229"/>
        <v>8.8262552076639285</v>
      </c>
      <c r="P464" s="1367">
        <f t="shared" si="229"/>
        <v>0.22837774220170623</v>
      </c>
      <c r="Q464" s="1364">
        <f t="shared" si="229"/>
        <v>0</v>
      </c>
      <c r="R464" s="1364"/>
      <c r="S464" s="1324">
        <v>118</v>
      </c>
      <c r="V464" s="1321" t="s">
        <v>9477</v>
      </c>
      <c r="W464" s="1321">
        <v>117</v>
      </c>
      <c r="Y464" s="1324"/>
    </row>
    <row r="465" spans="1:27">
      <c r="A465" s="1320" t="s">
        <v>4739</v>
      </c>
      <c r="B465" s="1320">
        <v>105</v>
      </c>
      <c r="C465" s="1434">
        <v>79</v>
      </c>
      <c r="D465" s="1358" t="s">
        <v>5240</v>
      </c>
      <c r="E465" s="1358" t="s">
        <v>4067</v>
      </c>
      <c r="F465" s="1358">
        <f>+'Allocation Assignment'!F149</f>
        <v>2079.1077250027865</v>
      </c>
      <c r="G465" s="1358">
        <f>+$F465*$G$1936</f>
        <v>0</v>
      </c>
      <c r="H465" s="1358">
        <f>+$F465*$H$1936</f>
        <v>2079.1077250027865</v>
      </c>
      <c r="I465" s="1323">
        <f t="shared" si="225"/>
        <v>1</v>
      </c>
      <c r="J465" s="1364">
        <f t="shared" si="226"/>
        <v>2079.1077250027865</v>
      </c>
      <c r="K465" s="1364">
        <f t="shared" ref="K465:Q465" si="230">+$J465*K$1936</f>
        <v>1294.069938874683</v>
      </c>
      <c r="L465" s="1364">
        <f t="shared" si="230"/>
        <v>92.037499657021129</v>
      </c>
      <c r="M465" s="1364">
        <f t="shared" si="230"/>
        <v>616.24852601637986</v>
      </c>
      <c r="N465" s="1367">
        <f t="shared" si="230"/>
        <v>64.816954588604574</v>
      </c>
      <c r="O465" s="1367">
        <f t="shared" si="230"/>
        <v>4.4255753884517051E-5</v>
      </c>
      <c r="P465" s="1367">
        <f t="shared" si="230"/>
        <v>11.934761610344644</v>
      </c>
      <c r="Q465" s="1364">
        <f t="shared" si="230"/>
        <v>0</v>
      </c>
      <c r="R465" s="1364"/>
      <c r="S465" s="1324">
        <v>105</v>
      </c>
      <c r="V465" s="1321" t="s">
        <v>5229</v>
      </c>
      <c r="W465" s="1321">
        <v>105</v>
      </c>
      <c r="Y465" s="1324"/>
    </row>
    <row r="466" spans="1:27">
      <c r="A466" s="1320" t="s">
        <v>4739</v>
      </c>
      <c r="B466" s="1320">
        <v>106</v>
      </c>
      <c r="C466" s="1434">
        <v>80</v>
      </c>
      <c r="D466" s="1358" t="s">
        <v>5241</v>
      </c>
      <c r="E466" s="1358" t="s">
        <v>4067</v>
      </c>
      <c r="F466" s="1358">
        <f>+'Allocation Assignment'!F150</f>
        <v>675.63423200398438</v>
      </c>
      <c r="G466" s="1358">
        <f>+$F466*$G$1939</f>
        <v>0</v>
      </c>
      <c r="H466" s="1358">
        <f>+$F466*$H$1939</f>
        <v>675.63423200398438</v>
      </c>
      <c r="I466" s="1323">
        <f t="shared" si="225"/>
        <v>1</v>
      </c>
      <c r="J466" s="1364">
        <f t="shared" si="226"/>
        <v>675.63423200398438</v>
      </c>
      <c r="K466" s="1364">
        <f t="shared" ref="K466:Q466" si="231">+$J466*K$1939</f>
        <v>492.96520813839152</v>
      </c>
      <c r="L466" s="1364">
        <f t="shared" si="231"/>
        <v>39.69348275801557</v>
      </c>
      <c r="M466" s="1364">
        <f t="shared" si="231"/>
        <v>140.53148277969356</v>
      </c>
      <c r="N466" s="1367">
        <f t="shared" si="231"/>
        <v>0</v>
      </c>
      <c r="O466" s="1367">
        <f t="shared" si="231"/>
        <v>0</v>
      </c>
      <c r="P466" s="1367">
        <f t="shared" si="231"/>
        <v>2.4440583278837078</v>
      </c>
      <c r="Q466" s="1364">
        <f t="shared" si="231"/>
        <v>0</v>
      </c>
      <c r="R466" s="1364"/>
      <c r="S466" s="1324">
        <v>106</v>
      </c>
      <c r="V466" s="1321" t="s">
        <v>5230</v>
      </c>
      <c r="W466" s="1321">
        <v>106</v>
      </c>
      <c r="Y466" s="1324"/>
    </row>
    <row r="467" spans="1:27">
      <c r="A467" s="1320" t="s">
        <v>4739</v>
      </c>
      <c r="B467" s="1320">
        <v>907</v>
      </c>
      <c r="C467" s="1434">
        <v>81</v>
      </c>
      <c r="D467" s="1358" t="s">
        <v>5242</v>
      </c>
      <c r="E467" s="1358" t="s">
        <v>4071</v>
      </c>
      <c r="F467" s="1358">
        <f>+'Allocation Assignment'!F151</f>
        <v>801.25621217467824</v>
      </c>
      <c r="G467" s="1358">
        <f>+$F467*G2055</f>
        <v>0</v>
      </c>
      <c r="H467" s="1358">
        <f>+$F467*H2055</f>
        <v>801.25621217467824</v>
      </c>
      <c r="I467" s="1323">
        <f t="shared" si="225"/>
        <v>1</v>
      </c>
      <c r="J467" s="1364">
        <f t="shared" si="226"/>
        <v>801.25621217467824</v>
      </c>
      <c r="K467" s="1364">
        <f t="shared" ref="K467:Q467" si="232">+$J467*K2055</f>
        <v>295.38848811116321</v>
      </c>
      <c r="L467" s="1364">
        <f t="shared" si="232"/>
        <v>44.806549708417833</v>
      </c>
      <c r="M467" s="1364">
        <f t="shared" si="232"/>
        <v>21.601203698791501</v>
      </c>
      <c r="N467" s="1367">
        <f t="shared" si="232"/>
        <v>1.3925246503491373</v>
      </c>
      <c r="O467" s="1367">
        <f t="shared" si="232"/>
        <v>1.5193028491030509</v>
      </c>
      <c r="P467" s="1367">
        <f t="shared" si="232"/>
        <v>0.34869813453698356</v>
      </c>
      <c r="Q467" s="1364">
        <f t="shared" si="232"/>
        <v>436.19944502231664</v>
      </c>
      <c r="R467" s="1364"/>
      <c r="S467" s="1324">
        <v>907</v>
      </c>
      <c r="V467" s="1321" t="s">
        <v>5243</v>
      </c>
      <c r="W467" s="1321">
        <v>907</v>
      </c>
      <c r="Y467" s="1324"/>
    </row>
    <row r="468" spans="1:27">
      <c r="A468" s="1320" t="s">
        <v>4739</v>
      </c>
      <c r="B468" s="1324">
        <v>412</v>
      </c>
      <c r="C468" s="1439">
        <v>82</v>
      </c>
      <c r="D468" s="1364" t="s">
        <v>5244</v>
      </c>
      <c r="E468" s="1364" t="s">
        <v>4071</v>
      </c>
      <c r="F468" s="1358">
        <f>+'Allocation Assignment'!F152</f>
        <v>1085.3202556628742</v>
      </c>
      <c r="G468" s="1366">
        <f>+$F468*G2021</f>
        <v>0</v>
      </c>
      <c r="H468" s="1366">
        <f>+$F468*H2021</f>
        <v>1085.3202556628742</v>
      </c>
      <c r="I468" s="1323">
        <f t="shared" si="225"/>
        <v>1</v>
      </c>
      <c r="J468" s="1366">
        <f t="shared" si="226"/>
        <v>1085.3202556628742</v>
      </c>
      <c r="K468" s="1366">
        <f t="shared" ref="K468:Q468" si="233">+$J468*K2021</f>
        <v>967.98282559151016</v>
      </c>
      <c r="L468" s="1366">
        <f t="shared" si="233"/>
        <v>93.837220972441827</v>
      </c>
      <c r="M468" s="1366">
        <f t="shared" si="233"/>
        <v>23.111307823666802</v>
      </c>
      <c r="N468" s="1378">
        <f t="shared" si="233"/>
        <v>7.8031971086823596E-2</v>
      </c>
      <c r="O468" s="1378">
        <f t="shared" si="233"/>
        <v>1.3844381967017089E-2</v>
      </c>
      <c r="P468" s="1378">
        <f t="shared" si="233"/>
        <v>0.29702492220145754</v>
      </c>
      <c r="Q468" s="1366">
        <f t="shared" si="233"/>
        <v>0</v>
      </c>
      <c r="R468" s="1364"/>
      <c r="S468" s="1324">
        <v>412</v>
      </c>
      <c r="V468" s="1321" t="s">
        <v>5245</v>
      </c>
      <c r="W468" s="1321">
        <v>412</v>
      </c>
      <c r="Y468" s="1324"/>
    </row>
    <row r="469" spans="1:27" ht="11.25" customHeight="1">
      <c r="A469" s="1320" t="s">
        <v>4739</v>
      </c>
      <c r="C469" s="1434">
        <v>83</v>
      </c>
      <c r="D469" s="1358"/>
      <c r="E469" s="1358"/>
      <c r="F469" s="1376"/>
      <c r="G469" s="1358"/>
      <c r="H469" s="1358"/>
      <c r="I469" s="1379"/>
      <c r="J469" s="1364"/>
      <c r="K469" s="1364"/>
      <c r="L469" s="1364"/>
      <c r="M469" s="1364"/>
      <c r="N469" s="1367"/>
      <c r="O469" s="1367"/>
      <c r="P469" s="1367"/>
      <c r="Q469" s="1364"/>
      <c r="R469" s="1364"/>
      <c r="S469" s="1324"/>
      <c r="V469" s="1358"/>
    </row>
    <row r="470" spans="1:27">
      <c r="A470" s="1320" t="s">
        <v>4739</v>
      </c>
      <c r="C470" s="1434">
        <v>84</v>
      </c>
      <c r="D470" s="1358" t="s">
        <v>5436</v>
      </c>
      <c r="E470" s="1358"/>
      <c r="F470" s="1350">
        <f>+SUM(F461:F468)</f>
        <v>8247.7372099999993</v>
      </c>
      <c r="G470" s="1350">
        <f>SUM(G461:G468)</f>
        <v>50.034470603427408</v>
      </c>
      <c r="H470" s="1350">
        <f>SUM(H461:H468)</f>
        <v>8197.7027393965709</v>
      </c>
      <c r="I470" s="1323">
        <f>IF(F470=0,0,+H470/F470)</f>
        <v>0.99393355179372544</v>
      </c>
      <c r="J470" s="1366">
        <f t="shared" ref="J470:Q470" si="234">SUM(J461:J468)</f>
        <v>8197.7027393965709</v>
      </c>
      <c r="K470" s="1366">
        <f t="shared" si="234"/>
        <v>5057.4761644020409</v>
      </c>
      <c r="L470" s="1366">
        <f t="shared" si="234"/>
        <v>439.63615339526984</v>
      </c>
      <c r="M470" s="1366">
        <f t="shared" si="234"/>
        <v>1919.9099072493664</v>
      </c>
      <c r="N470" s="1378">
        <f t="shared" si="234"/>
        <v>214.72112730899192</v>
      </c>
      <c r="O470" s="1378">
        <f>SUM(O461:O468)</f>
        <v>108.83525838733884</v>
      </c>
      <c r="P470" s="1378">
        <f>SUM(P461:P468)</f>
        <v>20.924683631247103</v>
      </c>
      <c r="Q470" s="1366">
        <f t="shared" si="234"/>
        <v>436.19944502231664</v>
      </c>
      <c r="R470" s="1364"/>
      <c r="S470" s="1324"/>
      <c r="V470" s="1320" t="s">
        <v>5437</v>
      </c>
    </row>
    <row r="471" spans="1:27">
      <c r="A471" s="1320" t="s">
        <v>4739</v>
      </c>
      <c r="C471" s="1434">
        <v>85</v>
      </c>
      <c r="D471" s="1358"/>
      <c r="E471" s="1358"/>
      <c r="F471" s="1358"/>
      <c r="G471" s="1358"/>
      <c r="H471" s="1358"/>
      <c r="I471" s="1379"/>
      <c r="J471" s="1364"/>
      <c r="K471" s="1364"/>
      <c r="L471" s="1364"/>
      <c r="M471" s="1364"/>
      <c r="N471" s="1367"/>
      <c r="O471" s="1367"/>
      <c r="P471" s="1367"/>
      <c r="Q471" s="1364"/>
      <c r="R471" s="1364"/>
      <c r="S471" s="1324"/>
      <c r="Y471" s="1324"/>
    </row>
    <row r="472" spans="1:27">
      <c r="A472" s="1320" t="s">
        <v>4739</v>
      </c>
      <c r="C472" s="1434">
        <v>86</v>
      </c>
      <c r="D472" s="1437" t="s">
        <v>5438</v>
      </c>
      <c r="E472" s="1358"/>
      <c r="F472" s="1358"/>
      <c r="G472" s="1358"/>
      <c r="H472" s="1358"/>
      <c r="I472" s="1379"/>
      <c r="J472" s="1364"/>
      <c r="K472" s="1364"/>
      <c r="L472" s="1364"/>
      <c r="M472" s="1364"/>
      <c r="N472" s="1367"/>
      <c r="O472" s="1367"/>
      <c r="P472" s="1367"/>
      <c r="Q472" s="1364"/>
      <c r="R472" s="1364"/>
      <c r="S472" s="1324"/>
      <c r="Y472" s="1324"/>
    </row>
    <row r="473" spans="1:27">
      <c r="A473" s="1320" t="s">
        <v>4739</v>
      </c>
      <c r="B473" s="1320">
        <v>101</v>
      </c>
      <c r="C473" s="1434">
        <v>87</v>
      </c>
      <c r="D473" s="1358" t="s">
        <v>5265</v>
      </c>
      <c r="E473" s="1358" t="s">
        <v>4067</v>
      </c>
      <c r="F473" s="1358">
        <f>+'Allocation Assignment'!F153</f>
        <v>428.13576</v>
      </c>
      <c r="G473" s="1358">
        <f>+$F473*G$1933</f>
        <v>0</v>
      </c>
      <c r="H473" s="1358">
        <f>+$F473*H$1933</f>
        <v>428.13576</v>
      </c>
      <c r="I473" s="1323">
        <f t="shared" ref="I473:I480" si="235">IF(F473=0,0,+H473/F473)</f>
        <v>1</v>
      </c>
      <c r="J473" s="1364">
        <f t="shared" ref="J473:J480" si="236">+H473</f>
        <v>428.13576</v>
      </c>
      <c r="K473" s="1324">
        <f t="shared" ref="K473:Q473" si="237">$J473*K$1951</f>
        <v>245.84183271771332</v>
      </c>
      <c r="L473" s="1324">
        <f t="shared" si="237"/>
        <v>20.444365548240587</v>
      </c>
      <c r="M473" s="1324">
        <f t="shared" si="237"/>
        <v>132.31410030560633</v>
      </c>
      <c r="N473" s="1324">
        <f t="shared" si="237"/>
        <v>16.910637510369298</v>
      </c>
      <c r="O473" s="1324">
        <f t="shared" si="237"/>
        <v>12.170638871720667</v>
      </c>
      <c r="P473" s="1324">
        <f t="shared" si="237"/>
        <v>0.4541850463498226</v>
      </c>
      <c r="Q473" s="1324">
        <f t="shared" si="237"/>
        <v>0</v>
      </c>
      <c r="R473" s="1324"/>
      <c r="S473" s="1324">
        <v>122</v>
      </c>
      <c r="V473" s="1321" t="s">
        <v>9476</v>
      </c>
      <c r="W473" s="1321">
        <v>122</v>
      </c>
      <c r="Y473" s="1324"/>
    </row>
    <row r="474" spans="1:27" s="1324" customFormat="1">
      <c r="A474" s="1320" t="s">
        <v>4739</v>
      </c>
      <c r="B474" s="1324">
        <v>201</v>
      </c>
      <c r="C474" s="1439">
        <v>88</v>
      </c>
      <c r="D474" s="1364" t="s">
        <v>5265</v>
      </c>
      <c r="E474" s="1364" t="s">
        <v>2067</v>
      </c>
      <c r="F474" s="1358">
        <f>+'Allocation Assignment'!F154</f>
        <v>0</v>
      </c>
      <c r="G474" s="1364">
        <f>+$F474*G$1969</f>
        <v>0</v>
      </c>
      <c r="H474" s="1364">
        <f>+$F474*H$1969</f>
        <v>0</v>
      </c>
      <c r="I474" s="1374">
        <f t="shared" si="235"/>
        <v>0</v>
      </c>
      <c r="J474" s="1364">
        <f t="shared" si="236"/>
        <v>0</v>
      </c>
      <c r="K474" s="1364">
        <f t="shared" ref="K474:Q474" si="238">+$J474*K$1969</f>
        <v>0</v>
      </c>
      <c r="L474" s="1364">
        <f t="shared" si="238"/>
        <v>0</v>
      </c>
      <c r="M474" s="1364">
        <f t="shared" si="238"/>
        <v>0</v>
      </c>
      <c r="N474" s="1367">
        <f t="shared" si="238"/>
        <v>0</v>
      </c>
      <c r="O474" s="1367">
        <f t="shared" si="238"/>
        <v>0</v>
      </c>
      <c r="P474" s="1367">
        <f t="shared" si="238"/>
        <v>0</v>
      </c>
      <c r="Q474" s="1364">
        <f t="shared" si="238"/>
        <v>0</v>
      </c>
      <c r="R474" s="1364"/>
      <c r="S474" s="1324">
        <v>201</v>
      </c>
      <c r="V474" s="1321" t="s">
        <v>5235</v>
      </c>
      <c r="W474" s="1321">
        <v>201</v>
      </c>
      <c r="AA474" s="1320"/>
    </row>
    <row r="475" spans="1:27">
      <c r="A475" s="1320" t="s">
        <v>4739</v>
      </c>
      <c r="B475" s="1320">
        <v>117</v>
      </c>
      <c r="C475" s="1434">
        <v>89</v>
      </c>
      <c r="D475" s="1358" t="s">
        <v>5268</v>
      </c>
      <c r="E475" s="1358" t="s">
        <v>4067</v>
      </c>
      <c r="F475" s="1358">
        <f>+'Allocation Assignment'!F155</f>
        <v>0</v>
      </c>
      <c r="G475" s="1358">
        <f>+$F475*G$1942</f>
        <v>0</v>
      </c>
      <c r="H475" s="1358">
        <f>+$F475*H$1942</f>
        <v>0</v>
      </c>
      <c r="I475" s="1323">
        <f t="shared" si="235"/>
        <v>0</v>
      </c>
      <c r="J475" s="1364">
        <f t="shared" si="236"/>
        <v>0</v>
      </c>
      <c r="K475" s="1364">
        <f t="shared" ref="K475:Q476" si="239">+$J475*K$1945</f>
        <v>0</v>
      </c>
      <c r="L475" s="1364">
        <f t="shared" si="239"/>
        <v>0</v>
      </c>
      <c r="M475" s="1364">
        <f t="shared" si="239"/>
        <v>0</v>
      </c>
      <c r="N475" s="1367">
        <f t="shared" si="239"/>
        <v>0</v>
      </c>
      <c r="O475" s="1367">
        <f t="shared" si="239"/>
        <v>0</v>
      </c>
      <c r="P475" s="1367">
        <f t="shared" si="239"/>
        <v>0</v>
      </c>
      <c r="Q475" s="1364">
        <f t="shared" si="239"/>
        <v>0</v>
      </c>
      <c r="R475" s="1364"/>
      <c r="S475" s="1324">
        <v>118</v>
      </c>
      <c r="V475" s="1321" t="s">
        <v>9477</v>
      </c>
      <c r="W475" s="1321">
        <v>117</v>
      </c>
      <c r="Y475" s="1324"/>
    </row>
    <row r="476" spans="1:27">
      <c r="A476" s="1320" t="s">
        <v>4739</v>
      </c>
      <c r="B476" s="1320">
        <v>117</v>
      </c>
      <c r="C476" s="1434">
        <v>90</v>
      </c>
      <c r="D476" s="1358" t="s">
        <v>5239</v>
      </c>
      <c r="E476" s="1358" t="s">
        <v>4067</v>
      </c>
      <c r="F476" s="1358">
        <f>+'Allocation Assignment'!F156</f>
        <v>0</v>
      </c>
      <c r="G476" s="1358">
        <f>+$F476*G$1942</f>
        <v>0</v>
      </c>
      <c r="H476" s="1358">
        <f>+$F476*H$1942</f>
        <v>0</v>
      </c>
      <c r="I476" s="1323">
        <f t="shared" si="235"/>
        <v>0</v>
      </c>
      <c r="J476" s="1364">
        <f t="shared" si="236"/>
        <v>0</v>
      </c>
      <c r="K476" s="1364">
        <f t="shared" si="239"/>
        <v>0</v>
      </c>
      <c r="L476" s="1364">
        <f t="shared" si="239"/>
        <v>0</v>
      </c>
      <c r="M476" s="1364">
        <f t="shared" si="239"/>
        <v>0</v>
      </c>
      <c r="N476" s="1367">
        <f t="shared" si="239"/>
        <v>0</v>
      </c>
      <c r="O476" s="1367">
        <f t="shared" si="239"/>
        <v>0</v>
      </c>
      <c r="P476" s="1367">
        <f t="shared" si="239"/>
        <v>0</v>
      </c>
      <c r="Q476" s="1364">
        <f t="shared" si="239"/>
        <v>0</v>
      </c>
      <c r="R476" s="1364"/>
      <c r="S476" s="1324">
        <v>118</v>
      </c>
      <c r="V476" s="1321" t="s">
        <v>9477</v>
      </c>
      <c r="W476" s="1321">
        <v>117</v>
      </c>
      <c r="Y476" s="1324"/>
    </row>
    <row r="477" spans="1:27">
      <c r="A477" s="1320" t="s">
        <v>4739</v>
      </c>
      <c r="B477" s="1320">
        <v>105</v>
      </c>
      <c r="C477" s="1434">
        <v>91</v>
      </c>
      <c r="D477" s="1358" t="s">
        <v>5240</v>
      </c>
      <c r="E477" s="1358" t="s">
        <v>4067</v>
      </c>
      <c r="F477" s="1358">
        <f>+'Allocation Assignment'!F157</f>
        <v>0</v>
      </c>
      <c r="G477" s="1358">
        <f>+$F477*$G$1936</f>
        <v>0</v>
      </c>
      <c r="H477" s="1358">
        <f>+$F477*$H$1936</f>
        <v>0</v>
      </c>
      <c r="I477" s="1323">
        <f t="shared" si="235"/>
        <v>0</v>
      </c>
      <c r="J477" s="1364">
        <f t="shared" si="236"/>
        <v>0</v>
      </c>
      <c r="K477" s="1364">
        <f t="shared" ref="K477:Q477" si="240">+$J477*K$1936</f>
        <v>0</v>
      </c>
      <c r="L477" s="1364">
        <f t="shared" si="240"/>
        <v>0</v>
      </c>
      <c r="M477" s="1364">
        <f t="shared" si="240"/>
        <v>0</v>
      </c>
      <c r="N477" s="1367">
        <f t="shared" si="240"/>
        <v>0</v>
      </c>
      <c r="O477" s="1367">
        <f t="shared" si="240"/>
        <v>0</v>
      </c>
      <c r="P477" s="1367">
        <f t="shared" si="240"/>
        <v>0</v>
      </c>
      <c r="Q477" s="1364">
        <f t="shared" si="240"/>
        <v>0</v>
      </c>
      <c r="R477" s="1364"/>
      <c r="S477" s="1324">
        <v>105</v>
      </c>
      <c r="V477" s="1321" t="s">
        <v>5229</v>
      </c>
      <c r="W477" s="1321">
        <v>105</v>
      </c>
      <c r="Y477" s="1324"/>
    </row>
    <row r="478" spans="1:27">
      <c r="A478" s="1320" t="s">
        <v>4739</v>
      </c>
      <c r="B478" s="1320">
        <v>106</v>
      </c>
      <c r="C478" s="1434">
        <v>92</v>
      </c>
      <c r="D478" s="1358" t="s">
        <v>5241</v>
      </c>
      <c r="E478" s="1358" t="s">
        <v>4067</v>
      </c>
      <c r="F478" s="1358">
        <f>+'Allocation Assignment'!F158</f>
        <v>0</v>
      </c>
      <c r="G478" s="1358">
        <f>+$F478*$G$1939</f>
        <v>0</v>
      </c>
      <c r="H478" s="1358">
        <f>+$F478*$H$1939</f>
        <v>0</v>
      </c>
      <c r="I478" s="1323">
        <f t="shared" si="235"/>
        <v>0</v>
      </c>
      <c r="J478" s="1364">
        <f t="shared" si="236"/>
        <v>0</v>
      </c>
      <c r="K478" s="1364">
        <f t="shared" ref="K478:Q478" si="241">+$J478*K$1939</f>
        <v>0</v>
      </c>
      <c r="L478" s="1364">
        <f t="shared" si="241"/>
        <v>0</v>
      </c>
      <c r="M478" s="1364">
        <f t="shared" si="241"/>
        <v>0</v>
      </c>
      <c r="N478" s="1367">
        <f t="shared" si="241"/>
        <v>0</v>
      </c>
      <c r="O478" s="1367">
        <f t="shared" si="241"/>
        <v>0</v>
      </c>
      <c r="P478" s="1367">
        <f t="shared" si="241"/>
        <v>0</v>
      </c>
      <c r="Q478" s="1364">
        <f t="shared" si="241"/>
        <v>0</v>
      </c>
      <c r="R478" s="1364"/>
      <c r="S478" s="1324">
        <v>106</v>
      </c>
      <c r="V478" s="1321" t="s">
        <v>5230</v>
      </c>
      <c r="W478" s="1321">
        <v>106</v>
      </c>
      <c r="Y478" s="1324"/>
    </row>
    <row r="479" spans="1:27">
      <c r="A479" s="1320" t="s">
        <v>4739</v>
      </c>
      <c r="B479" s="1320">
        <v>907</v>
      </c>
      <c r="C479" s="1434">
        <v>93</v>
      </c>
      <c r="D479" s="1358" t="s">
        <v>5242</v>
      </c>
      <c r="E479" s="1358" t="s">
        <v>4071</v>
      </c>
      <c r="F479" s="1358">
        <f>+'Allocation Assignment'!F159</f>
        <v>0</v>
      </c>
      <c r="G479" s="1358">
        <f>+$F479*G2055</f>
        <v>0</v>
      </c>
      <c r="H479" s="1358">
        <f>+$F479*H2055</f>
        <v>0</v>
      </c>
      <c r="I479" s="1323">
        <f t="shared" si="235"/>
        <v>0</v>
      </c>
      <c r="J479" s="1364">
        <f t="shared" si="236"/>
        <v>0</v>
      </c>
      <c r="K479" s="1364">
        <f t="shared" ref="K479:Q479" si="242">+$J479*K2055</f>
        <v>0</v>
      </c>
      <c r="L479" s="1364">
        <f t="shared" si="242"/>
        <v>0</v>
      </c>
      <c r="M479" s="1364">
        <f t="shared" si="242"/>
        <v>0</v>
      </c>
      <c r="N479" s="1367">
        <f t="shared" si="242"/>
        <v>0</v>
      </c>
      <c r="O479" s="1367">
        <f t="shared" si="242"/>
        <v>0</v>
      </c>
      <c r="P479" s="1367">
        <f t="shared" si="242"/>
        <v>0</v>
      </c>
      <c r="Q479" s="1364">
        <f t="shared" si="242"/>
        <v>0</v>
      </c>
      <c r="R479" s="1364"/>
      <c r="S479" s="1324">
        <v>907</v>
      </c>
      <c r="V479" s="1321" t="s">
        <v>5243</v>
      </c>
      <c r="W479" s="1321">
        <v>907</v>
      </c>
    </row>
    <row r="480" spans="1:27">
      <c r="A480" s="1320" t="s">
        <v>4739</v>
      </c>
      <c r="B480" s="1324">
        <v>412</v>
      </c>
      <c r="C480" s="1439">
        <v>94</v>
      </c>
      <c r="D480" s="1364" t="s">
        <v>5244</v>
      </c>
      <c r="E480" s="1364" t="s">
        <v>4071</v>
      </c>
      <c r="F480" s="1350">
        <f>+'Allocation Assignment'!F160</f>
        <v>0</v>
      </c>
      <c r="G480" s="1366">
        <f>+$F480*G2021</f>
        <v>0</v>
      </c>
      <c r="H480" s="1366">
        <f>+$F480*H2021</f>
        <v>0</v>
      </c>
      <c r="I480" s="1323">
        <f t="shared" si="235"/>
        <v>0</v>
      </c>
      <c r="J480" s="1366">
        <f t="shared" si="236"/>
        <v>0</v>
      </c>
      <c r="K480" s="1366">
        <f t="shared" ref="K480:Q480" si="243">+$J480*K2021</f>
        <v>0</v>
      </c>
      <c r="L480" s="1366">
        <f t="shared" si="243"/>
        <v>0</v>
      </c>
      <c r="M480" s="1366">
        <f t="shared" si="243"/>
        <v>0</v>
      </c>
      <c r="N480" s="1378">
        <f t="shared" si="243"/>
        <v>0</v>
      </c>
      <c r="O480" s="1378">
        <f t="shared" si="243"/>
        <v>0</v>
      </c>
      <c r="P480" s="1378">
        <f t="shared" si="243"/>
        <v>0</v>
      </c>
      <c r="Q480" s="1366">
        <f t="shared" si="243"/>
        <v>0</v>
      </c>
      <c r="R480" s="1364"/>
      <c r="S480" s="1324">
        <v>412</v>
      </c>
      <c r="V480" s="1321" t="s">
        <v>5245</v>
      </c>
      <c r="W480" s="1321">
        <v>412</v>
      </c>
    </row>
    <row r="481" spans="1:27" ht="14.25" customHeight="1">
      <c r="A481" s="1320" t="s">
        <v>4739</v>
      </c>
      <c r="C481" s="1434">
        <v>95</v>
      </c>
      <c r="D481" s="1358"/>
      <c r="E481" s="1358"/>
      <c r="F481" s="1358"/>
      <c r="G481" s="1358"/>
      <c r="H481" s="1358"/>
      <c r="I481" s="1379"/>
      <c r="J481" s="1364"/>
      <c r="K481" s="1364"/>
      <c r="L481" s="1364"/>
      <c r="M481" s="1364"/>
      <c r="N481" s="1367"/>
      <c r="O481" s="1367"/>
      <c r="P481" s="1367"/>
      <c r="Q481" s="1364"/>
      <c r="R481" s="1364"/>
      <c r="S481" s="1324"/>
      <c r="Y481" s="1324"/>
    </row>
    <row r="482" spans="1:27">
      <c r="A482" s="1320" t="s">
        <v>4739</v>
      </c>
      <c r="C482" s="1434">
        <v>96</v>
      </c>
      <c r="D482" s="1358" t="s">
        <v>5439</v>
      </c>
      <c r="E482" s="1358"/>
      <c r="F482" s="1350">
        <f>+SUM(F473:F480)</f>
        <v>428.13576</v>
      </c>
      <c r="G482" s="1350">
        <f>SUM(G473:G480)</f>
        <v>0</v>
      </c>
      <c r="H482" s="1350">
        <f>SUM(H473:H480)</f>
        <v>428.13576</v>
      </c>
      <c r="I482" s="1323">
        <f>IF(F482=0,0,+H482/F482)</f>
        <v>1</v>
      </c>
      <c r="J482" s="1366">
        <f>SUM(J473:J480)</f>
        <v>428.13576</v>
      </c>
      <c r="K482" s="1366">
        <f>SUM(K473:K480)</f>
        <v>245.84183271771332</v>
      </c>
      <c r="L482" s="1366">
        <f t="shared" ref="L482:Q482" si="244">SUM(L473:L480)</f>
        <v>20.444365548240587</v>
      </c>
      <c r="M482" s="1366">
        <f t="shared" si="244"/>
        <v>132.31410030560633</v>
      </c>
      <c r="N482" s="1378">
        <f t="shared" si="244"/>
        <v>16.910637510369298</v>
      </c>
      <c r="O482" s="1378">
        <f>SUM(O473:O480)</f>
        <v>12.170638871720667</v>
      </c>
      <c r="P482" s="1378">
        <f>SUM(P473:P480)</f>
        <v>0.4541850463498226</v>
      </c>
      <c r="Q482" s="1366">
        <f t="shared" si="244"/>
        <v>0</v>
      </c>
      <c r="R482" s="1364"/>
      <c r="S482" s="1324"/>
      <c r="V482" s="1320" t="s">
        <v>5440</v>
      </c>
      <c r="Y482" s="1324"/>
    </row>
    <row r="483" spans="1:27">
      <c r="A483" s="1320" t="s">
        <v>4739</v>
      </c>
      <c r="C483" s="1434">
        <v>97</v>
      </c>
      <c r="D483" s="1358"/>
      <c r="E483" s="1358"/>
      <c r="F483" s="1358"/>
      <c r="G483" s="1358"/>
      <c r="H483" s="1358"/>
      <c r="I483" s="1379"/>
      <c r="J483" s="1364"/>
      <c r="K483" s="1364"/>
      <c r="L483" s="1364"/>
      <c r="M483" s="1364"/>
      <c r="N483" s="1367"/>
      <c r="O483" s="1367"/>
      <c r="P483" s="1367"/>
      <c r="Q483" s="1364"/>
      <c r="R483" s="1364"/>
      <c r="S483" s="1324"/>
      <c r="Y483" s="1324"/>
    </row>
    <row r="484" spans="1:27">
      <c r="A484" s="1320" t="s">
        <v>4739</v>
      </c>
      <c r="C484" s="1434">
        <v>98</v>
      </c>
      <c r="D484" s="1437" t="s">
        <v>5441</v>
      </c>
      <c r="E484" s="1358"/>
      <c r="F484" s="1358"/>
      <c r="G484" s="1358"/>
      <c r="H484" s="1358"/>
      <c r="I484" s="1379"/>
      <c r="J484" s="1364"/>
      <c r="K484" s="1364"/>
      <c r="L484" s="1364"/>
      <c r="M484" s="1364"/>
      <c r="N484" s="1367"/>
      <c r="O484" s="1367"/>
      <c r="P484" s="1367"/>
      <c r="Q484" s="1364"/>
      <c r="R484" s="1364"/>
      <c r="S484" s="1324"/>
      <c r="Y484" s="1324"/>
    </row>
    <row r="485" spans="1:27">
      <c r="A485" s="1320" t="s">
        <v>4739</v>
      </c>
      <c r="B485" s="1320">
        <v>101</v>
      </c>
      <c r="C485" s="1434">
        <v>99</v>
      </c>
      <c r="D485" s="1358" t="s">
        <v>5265</v>
      </c>
      <c r="E485" s="1358" t="s">
        <v>4067</v>
      </c>
      <c r="F485" s="1358">
        <f>+'Allocation Assignment'!F161</f>
        <v>22181.809150527879</v>
      </c>
      <c r="G485" s="1358">
        <f>+$F485*G$1933</f>
        <v>0</v>
      </c>
      <c r="H485" s="1358">
        <f>+$F485*H$1933</f>
        <v>22181.809150527879</v>
      </c>
      <c r="I485" s="1323">
        <f t="shared" ref="I485:I493" si="245">IF(F485=0,0,+H485/F485)</f>
        <v>1</v>
      </c>
      <c r="J485" s="1364">
        <f t="shared" ref="J485:J493" si="246">+H485</f>
        <v>22181.809150527879</v>
      </c>
      <c r="K485" s="1324">
        <f t="shared" ref="K485:Q485" si="247">$J485*K$1951</f>
        <v>12737.120147497881</v>
      </c>
      <c r="L485" s="1324">
        <f t="shared" si="247"/>
        <v>1059.2271357914601</v>
      </c>
      <c r="M485" s="1324">
        <f t="shared" si="247"/>
        <v>6855.2230276274095</v>
      </c>
      <c r="N485" s="1324">
        <f t="shared" si="247"/>
        <v>876.14389853529087</v>
      </c>
      <c r="O485" s="1324">
        <f t="shared" si="247"/>
        <v>630.56351259353755</v>
      </c>
      <c r="P485" s="1324">
        <f t="shared" si="247"/>
        <v>23.531428482300623</v>
      </c>
      <c r="Q485" s="1324">
        <f t="shared" si="247"/>
        <v>0</v>
      </c>
      <c r="R485" s="1324"/>
      <c r="S485" s="1324">
        <v>122</v>
      </c>
      <c r="V485" s="1321" t="s">
        <v>9476</v>
      </c>
      <c r="W485" s="1321">
        <v>122</v>
      </c>
      <c r="Y485" s="1324"/>
    </row>
    <row r="486" spans="1:27" s="1324" customFormat="1">
      <c r="A486" s="1324" t="s">
        <v>4739</v>
      </c>
      <c r="B486" s="1324">
        <v>101</v>
      </c>
      <c r="C486" s="1439">
        <v>100</v>
      </c>
      <c r="D486" s="1364" t="s">
        <v>5358</v>
      </c>
      <c r="E486" s="1364" t="s">
        <v>4067</v>
      </c>
      <c r="F486" s="1358">
        <f>+'Allocation Assignment'!F162</f>
        <v>152.46288000000001</v>
      </c>
      <c r="G486" s="1364">
        <f>+$F486*G$1933</f>
        <v>0</v>
      </c>
      <c r="H486" s="1364">
        <f>+$F486*H$1933</f>
        <v>152.46288000000001</v>
      </c>
      <c r="I486" s="1374">
        <f>IF(F486=0,0,+H486/F486)</f>
        <v>1</v>
      </c>
      <c r="J486" s="1364">
        <f>+H486</f>
        <v>152.46288000000001</v>
      </c>
      <c r="K486" s="1324">
        <f t="shared" ref="K486:Q486" si="248">$J486*K$1948</f>
        <v>87.546421818679207</v>
      </c>
      <c r="L486" s="1324">
        <f t="shared" si="248"/>
        <v>7.2804169669395025</v>
      </c>
      <c r="M486" s="1324">
        <f t="shared" si="248"/>
        <v>47.118205676633089</v>
      </c>
      <c r="N486" s="1324">
        <f t="shared" si="248"/>
        <v>6.0220255777441549</v>
      </c>
      <c r="O486" s="1324">
        <f t="shared" si="248"/>
        <v>4.3340707018317826</v>
      </c>
      <c r="P486" s="1324">
        <f t="shared" si="248"/>
        <v>0.16173925817228499</v>
      </c>
      <c r="Q486" s="1324">
        <f t="shared" si="248"/>
        <v>0</v>
      </c>
      <c r="S486" s="1324">
        <v>121</v>
      </c>
      <c r="V486" s="1326" t="s">
        <v>5287</v>
      </c>
      <c r="W486" s="1326">
        <v>121</v>
      </c>
      <c r="AA486" s="1320"/>
    </row>
    <row r="487" spans="1:27" s="1324" customFormat="1">
      <c r="A487" s="1324" t="s">
        <v>4739</v>
      </c>
      <c r="B487" s="1324">
        <v>201</v>
      </c>
      <c r="C487" s="1439">
        <v>101</v>
      </c>
      <c r="D487" s="1364" t="s">
        <v>5265</v>
      </c>
      <c r="E487" s="1364" t="s">
        <v>2067</v>
      </c>
      <c r="F487" s="1358">
        <f>+'Allocation Assignment'!F163</f>
        <v>5896.3829723099661</v>
      </c>
      <c r="G487" s="1364">
        <f>+$F487*G$1969</f>
        <v>0</v>
      </c>
      <c r="H487" s="1364">
        <f>+$F487*H$1969</f>
        <v>5896.3829723099661</v>
      </c>
      <c r="I487" s="1374">
        <f t="shared" si="245"/>
        <v>1</v>
      </c>
      <c r="J487" s="1364">
        <f t="shared" si="246"/>
        <v>5896.3829723099661</v>
      </c>
      <c r="K487" s="1364">
        <f t="shared" ref="K487:Q487" si="249">+$J487*K$1969</f>
        <v>2975.5164169738773</v>
      </c>
      <c r="L487" s="1364">
        <f t="shared" si="249"/>
        <v>274.97254924603823</v>
      </c>
      <c r="M487" s="1364">
        <f t="shared" si="249"/>
        <v>2048.4386890242045</v>
      </c>
      <c r="N487" s="1367">
        <f t="shared" si="249"/>
        <v>326.07850293447262</v>
      </c>
      <c r="O487" s="1367">
        <f t="shared" si="249"/>
        <v>240.22590183412711</v>
      </c>
      <c r="P487" s="1367">
        <f t="shared" si="249"/>
        <v>31.150912297246016</v>
      </c>
      <c r="Q487" s="1364">
        <f t="shared" si="249"/>
        <v>0</v>
      </c>
      <c r="R487" s="1364"/>
      <c r="S487" s="1324">
        <v>201</v>
      </c>
      <c r="V487" s="1326" t="s">
        <v>5235</v>
      </c>
      <c r="W487" s="1326">
        <v>201</v>
      </c>
      <c r="AA487" s="1320"/>
    </row>
    <row r="488" spans="1:27" s="1324" customFormat="1">
      <c r="A488" s="1324" t="s">
        <v>4739</v>
      </c>
      <c r="B488" s="1324">
        <v>117</v>
      </c>
      <c r="C488" s="1439">
        <v>102</v>
      </c>
      <c r="D488" s="1364" t="s">
        <v>5268</v>
      </c>
      <c r="E488" s="1364" t="s">
        <v>4067</v>
      </c>
      <c r="F488" s="1358">
        <f>+'Allocation Assignment'!F164</f>
        <v>946.39130178123651</v>
      </c>
      <c r="G488" s="1364">
        <f>+$F488*G$1942</f>
        <v>61.313716957653781</v>
      </c>
      <c r="H488" s="1364">
        <f>+$F488*H$1942</f>
        <v>885.0775848235827</v>
      </c>
      <c r="I488" s="1374">
        <f t="shared" si="245"/>
        <v>0.93521314403222733</v>
      </c>
      <c r="J488" s="1364">
        <f t="shared" si="246"/>
        <v>885.0775848235827</v>
      </c>
      <c r="K488" s="1364">
        <f t="shared" ref="K488:Q489" si="250">+$J488*K$1945</f>
        <v>513.35654071888268</v>
      </c>
      <c r="L488" s="1364">
        <f t="shared" si="250"/>
        <v>42.346736610274924</v>
      </c>
      <c r="M488" s="1364">
        <f t="shared" si="250"/>
        <v>270.70141267264768</v>
      </c>
      <c r="N488" s="1367">
        <f t="shared" si="250"/>
        <v>33.793482115659728</v>
      </c>
      <c r="O488" s="1367">
        <f t="shared" si="250"/>
        <v>24.251899240625779</v>
      </c>
      <c r="P488" s="1367">
        <f t="shared" si="250"/>
        <v>0.62751346549193032</v>
      </c>
      <c r="Q488" s="1364">
        <f t="shared" si="250"/>
        <v>0</v>
      </c>
      <c r="R488" s="1364"/>
      <c r="S488" s="1324">
        <v>118</v>
      </c>
      <c r="V488" s="1326" t="s">
        <v>9477</v>
      </c>
      <c r="W488" s="1326">
        <v>117</v>
      </c>
      <c r="AA488" s="1320"/>
    </row>
    <row r="489" spans="1:27" s="1324" customFormat="1">
      <c r="A489" s="1324" t="s">
        <v>4739</v>
      </c>
      <c r="B489" s="1324">
        <v>117</v>
      </c>
      <c r="C489" s="1439">
        <v>103</v>
      </c>
      <c r="D489" s="1364" t="s">
        <v>5239</v>
      </c>
      <c r="E489" s="1364" t="s">
        <v>4067</v>
      </c>
      <c r="F489" s="1358">
        <f>+'Allocation Assignment'!F165</f>
        <v>2660.8104217250198</v>
      </c>
      <c r="G489" s="1364">
        <f>+$F489*G$1942</f>
        <v>172.38554154984712</v>
      </c>
      <c r="H489" s="1364">
        <f>+$F489*H$1942</f>
        <v>2488.4248801751723</v>
      </c>
      <c r="I489" s="1374">
        <f t="shared" si="245"/>
        <v>0.93521314403222733</v>
      </c>
      <c r="J489" s="1364">
        <f t="shared" si="246"/>
        <v>2488.4248801751723</v>
      </c>
      <c r="K489" s="1364">
        <f t="shared" si="250"/>
        <v>1443.3188798698966</v>
      </c>
      <c r="L489" s="1364">
        <f t="shared" si="250"/>
        <v>119.0592494738606</v>
      </c>
      <c r="M489" s="1364">
        <f t="shared" si="250"/>
        <v>761.08596799166685</v>
      </c>
      <c r="N489" s="1367">
        <f t="shared" si="250"/>
        <v>95.011491790433325</v>
      </c>
      <c r="O489" s="1367">
        <f t="shared" si="250"/>
        <v>68.185016202736136</v>
      </c>
      <c r="P489" s="1367">
        <f t="shared" si="250"/>
        <v>1.764274846578916</v>
      </c>
      <c r="Q489" s="1364">
        <f t="shared" si="250"/>
        <v>0</v>
      </c>
      <c r="R489" s="1364"/>
      <c r="S489" s="1324">
        <v>118</v>
      </c>
      <c r="V489" s="1326" t="s">
        <v>9477</v>
      </c>
      <c r="W489" s="1326">
        <v>117</v>
      </c>
      <c r="AA489" s="1320"/>
    </row>
    <row r="490" spans="1:27" s="1324" customFormat="1">
      <c r="A490" s="1324" t="s">
        <v>4739</v>
      </c>
      <c r="B490" s="1324">
        <v>105</v>
      </c>
      <c r="C490" s="1439">
        <v>104</v>
      </c>
      <c r="D490" s="1364" t="s">
        <v>5240</v>
      </c>
      <c r="E490" s="1364" t="s">
        <v>4067</v>
      </c>
      <c r="F490" s="1358">
        <f>+'Allocation Assignment'!F166</f>
        <v>13067.149147277894</v>
      </c>
      <c r="G490" s="1364">
        <f>+$F490*G$1936</f>
        <v>0</v>
      </c>
      <c r="H490" s="1364">
        <f>+$F490*H$1936</f>
        <v>13067.149147277894</v>
      </c>
      <c r="I490" s="1374">
        <f t="shared" si="245"/>
        <v>1</v>
      </c>
      <c r="J490" s="1364">
        <f t="shared" si="246"/>
        <v>13067.149147277894</v>
      </c>
      <c r="K490" s="1364">
        <f t="shared" ref="K490:Q490" si="251">+$J490*K$1936</f>
        <v>8133.2028614638548</v>
      </c>
      <c r="L490" s="1364">
        <f t="shared" si="251"/>
        <v>578.45378606306758</v>
      </c>
      <c r="M490" s="1364">
        <f t="shared" si="251"/>
        <v>3873.1092691387144</v>
      </c>
      <c r="N490" s="1367">
        <f t="shared" si="251"/>
        <v>407.37322202989702</v>
      </c>
      <c r="O490" s="1367">
        <f t="shared" si="251"/>
        <v>2.7814649990463207E-4</v>
      </c>
      <c r="P490" s="1367">
        <f t="shared" si="251"/>
        <v>75.009730435863261</v>
      </c>
      <c r="Q490" s="1364">
        <f t="shared" si="251"/>
        <v>0</v>
      </c>
      <c r="R490" s="1364"/>
      <c r="S490" s="1324">
        <v>105</v>
      </c>
      <c r="V490" s="1326" t="s">
        <v>5229</v>
      </c>
      <c r="W490" s="1326">
        <v>105</v>
      </c>
      <c r="AA490" s="1320"/>
    </row>
    <row r="491" spans="1:27" s="1324" customFormat="1">
      <c r="A491" s="1324" t="s">
        <v>4739</v>
      </c>
      <c r="B491" s="1324">
        <v>106</v>
      </c>
      <c r="C491" s="1439">
        <v>105</v>
      </c>
      <c r="D491" s="1364" t="s">
        <v>5241</v>
      </c>
      <c r="E491" s="1364" t="s">
        <v>4067</v>
      </c>
      <c r="F491" s="1358">
        <f>+'Allocation Assignment'!F167</f>
        <v>2254.1795338544694</v>
      </c>
      <c r="G491" s="1364">
        <f>+$F491*$G$1939</f>
        <v>0</v>
      </c>
      <c r="H491" s="1364">
        <f>+$F491*$H$1939</f>
        <v>2254.1795338544694</v>
      </c>
      <c r="I491" s="1374">
        <f t="shared" si="245"/>
        <v>1</v>
      </c>
      <c r="J491" s="1364">
        <f t="shared" si="246"/>
        <v>2254.1795338544694</v>
      </c>
      <c r="K491" s="1364">
        <f t="shared" ref="K491:Q491" si="252">+$J491*K$1939</f>
        <v>1644.7243648266146</v>
      </c>
      <c r="L491" s="1364">
        <f t="shared" si="252"/>
        <v>132.43295295315394</v>
      </c>
      <c r="M491" s="1364">
        <f t="shared" si="252"/>
        <v>468.86788344723612</v>
      </c>
      <c r="N491" s="1367">
        <f t="shared" si="252"/>
        <v>0</v>
      </c>
      <c r="O491" s="1367">
        <f t="shared" si="252"/>
        <v>0</v>
      </c>
      <c r="P491" s="1367">
        <f t="shared" si="252"/>
        <v>8.1543326274645302</v>
      </c>
      <c r="Q491" s="1364">
        <f t="shared" si="252"/>
        <v>0</v>
      </c>
      <c r="R491" s="1364"/>
      <c r="S491" s="1324">
        <v>106</v>
      </c>
      <c r="V491" s="1326" t="s">
        <v>5230</v>
      </c>
      <c r="W491" s="1326">
        <v>106</v>
      </c>
      <c r="AA491" s="1320"/>
    </row>
    <row r="492" spans="1:27" s="1324" customFormat="1">
      <c r="A492" s="1324" t="s">
        <v>4739</v>
      </c>
      <c r="B492" s="1324">
        <v>907</v>
      </c>
      <c r="C492" s="1439">
        <v>106</v>
      </c>
      <c r="D492" s="1364" t="s">
        <v>5242</v>
      </c>
      <c r="E492" s="1364" t="s">
        <v>4071</v>
      </c>
      <c r="F492" s="1358">
        <f>+'Allocation Assignment'!F168</f>
        <v>8376.1851629022913</v>
      </c>
      <c r="G492" s="1364">
        <f>+$F492*G$2055</f>
        <v>0</v>
      </c>
      <c r="H492" s="1364">
        <f>+$F492*H$2055</f>
        <v>8376.1851629022913</v>
      </c>
      <c r="I492" s="1374">
        <f t="shared" si="245"/>
        <v>1</v>
      </c>
      <c r="J492" s="1364">
        <f t="shared" si="246"/>
        <v>8376.1851629022913</v>
      </c>
      <c r="K492" s="1364">
        <f t="shared" ref="K492:Q492" si="253">+$J492*K$2055</f>
        <v>3087.9369592575085</v>
      </c>
      <c r="L492" s="1364">
        <f t="shared" si="253"/>
        <v>468.39943474494305</v>
      </c>
      <c r="M492" s="1364">
        <f t="shared" si="253"/>
        <v>225.81501294270467</v>
      </c>
      <c r="N492" s="1367">
        <f t="shared" si="253"/>
        <v>14.557196734329118</v>
      </c>
      <c r="O492" s="1367">
        <f t="shared" si="253"/>
        <v>15.882512720959502</v>
      </c>
      <c r="P492" s="1367">
        <f t="shared" si="253"/>
        <v>3.6452262041291323</v>
      </c>
      <c r="Q492" s="1364">
        <f t="shared" si="253"/>
        <v>4559.9488202977182</v>
      </c>
      <c r="R492" s="1364"/>
      <c r="S492" s="1324">
        <v>907</v>
      </c>
      <c r="V492" s="1326" t="s">
        <v>5243</v>
      </c>
      <c r="W492" s="1326">
        <v>907</v>
      </c>
      <c r="AA492" s="1320"/>
    </row>
    <row r="493" spans="1:27" s="1324" customFormat="1">
      <c r="A493" s="1324" t="s">
        <v>4739</v>
      </c>
      <c r="B493" s="1324">
        <v>412</v>
      </c>
      <c r="C493" s="1439">
        <v>107</v>
      </c>
      <c r="D493" s="1364" t="s">
        <v>5244</v>
      </c>
      <c r="E493" s="1364" t="s">
        <v>4071</v>
      </c>
      <c r="F493" s="1358">
        <f>+'Allocation Assignment'!F169</f>
        <v>11345.738459621245</v>
      </c>
      <c r="G493" s="1366">
        <f>+$F493*G$2021</f>
        <v>0</v>
      </c>
      <c r="H493" s="1366">
        <f>+$F493*H$2021</f>
        <v>11345.738459621245</v>
      </c>
      <c r="I493" s="1374">
        <f t="shared" si="245"/>
        <v>1</v>
      </c>
      <c r="J493" s="1366">
        <f t="shared" si="246"/>
        <v>11345.738459621245</v>
      </c>
      <c r="K493" s="1366">
        <f t="shared" ref="K493:Q493" si="254">+$J493*K$2021</f>
        <v>10119.114533487391</v>
      </c>
      <c r="L493" s="1366">
        <f t="shared" si="254"/>
        <v>980.95705979499985</v>
      </c>
      <c r="M493" s="1366">
        <f t="shared" si="254"/>
        <v>241.6013638914078</v>
      </c>
      <c r="N493" s="1378">
        <f t="shared" si="254"/>
        <v>0.81573188265900354</v>
      </c>
      <c r="O493" s="1378">
        <f t="shared" si="254"/>
        <v>0.14472662434272646</v>
      </c>
      <c r="P493" s="1378">
        <f t="shared" si="254"/>
        <v>3.1050439404439492</v>
      </c>
      <c r="Q493" s="1366">
        <f t="shared" si="254"/>
        <v>0</v>
      </c>
      <c r="R493" s="1364"/>
      <c r="S493" s="1324">
        <v>412</v>
      </c>
      <c r="V493" s="1326" t="s">
        <v>5245</v>
      </c>
      <c r="W493" s="1326">
        <v>412</v>
      </c>
      <c r="AA493" s="1320"/>
    </row>
    <row r="494" spans="1:27" s="1324" customFormat="1" ht="12" customHeight="1">
      <c r="A494" s="1324" t="s">
        <v>4739</v>
      </c>
      <c r="C494" s="1439">
        <v>108</v>
      </c>
      <c r="D494" s="1364"/>
      <c r="E494" s="1364"/>
      <c r="F494" s="1375"/>
      <c r="G494" s="1364"/>
      <c r="H494" s="1364"/>
      <c r="I494" s="1440"/>
      <c r="J494" s="1364"/>
      <c r="K494" s="1364"/>
      <c r="L494" s="1364"/>
      <c r="M494" s="1364"/>
      <c r="N494" s="1367"/>
      <c r="O494" s="1367"/>
      <c r="P494" s="1367"/>
      <c r="Q494" s="1364"/>
      <c r="R494" s="1364"/>
      <c r="AA494" s="1320"/>
    </row>
    <row r="495" spans="1:27" s="1324" customFormat="1">
      <c r="A495" s="1324" t="s">
        <v>4739</v>
      </c>
      <c r="C495" s="1439">
        <v>109</v>
      </c>
      <c r="D495" s="1364" t="s">
        <v>5442</v>
      </c>
      <c r="E495" s="1364"/>
      <c r="F495" s="1366">
        <f>+SUM(F485:F493)</f>
        <v>66881.109030000007</v>
      </c>
      <c r="G495" s="1366">
        <f>SUM(G485:G493)</f>
        <v>233.6992585075009</v>
      </c>
      <c r="H495" s="1366">
        <f>SUM(H485:H493)</f>
        <v>66647.409771492501</v>
      </c>
      <c r="I495" s="1374">
        <f>IF(F495=0,0,+H495/F495)</f>
        <v>0.99650575084808057</v>
      </c>
      <c r="J495" s="1366">
        <f t="shared" ref="J495:Q495" si="255">SUM(J485:J493)</f>
        <v>66647.409771492501</v>
      </c>
      <c r="K495" s="1366">
        <f t="shared" si="255"/>
        <v>40741.837125914593</v>
      </c>
      <c r="L495" s="1366">
        <f t="shared" si="255"/>
        <v>3663.1293216447375</v>
      </c>
      <c r="M495" s="1366">
        <f t="shared" si="255"/>
        <v>14791.960832412626</v>
      </c>
      <c r="N495" s="1378">
        <f t="shared" si="255"/>
        <v>1759.7955516004861</v>
      </c>
      <c r="O495" s="1378">
        <f>SUM(O485:O493)</f>
        <v>983.58791806466058</v>
      </c>
      <c r="P495" s="1378">
        <f>SUM(P485:P493)</f>
        <v>147.15020155769065</v>
      </c>
      <c r="Q495" s="1366">
        <f t="shared" si="255"/>
        <v>4559.9488202977182</v>
      </c>
      <c r="R495" s="1364"/>
      <c r="V495" s="1324" t="s">
        <v>5443</v>
      </c>
      <c r="AA495" s="1320"/>
    </row>
    <row r="496" spans="1:27" s="1324" customFormat="1">
      <c r="A496" s="1324" t="s">
        <v>4739</v>
      </c>
      <c r="C496" s="1439">
        <v>110</v>
      </c>
      <c r="D496" s="1364"/>
      <c r="E496" s="1364"/>
      <c r="F496" s="1364"/>
      <c r="G496" s="1364"/>
      <c r="H496" s="1364"/>
      <c r="I496" s="1440"/>
      <c r="J496" s="1364"/>
      <c r="K496" s="1364"/>
      <c r="N496" s="1325"/>
      <c r="O496" s="1325"/>
      <c r="P496" s="1325"/>
      <c r="AA496" s="1320"/>
    </row>
    <row r="497" spans="1:27" s="1324" customFormat="1">
      <c r="A497" s="1324" t="s">
        <v>4739</v>
      </c>
      <c r="C497" s="1439">
        <v>111</v>
      </c>
      <c r="D497" s="1362" t="s">
        <v>5444</v>
      </c>
      <c r="E497" s="1364"/>
      <c r="F497" s="1364"/>
      <c r="G497" s="1364"/>
      <c r="H497" s="1364"/>
      <c r="I497" s="1440"/>
      <c r="J497" s="1364"/>
      <c r="K497" s="1364"/>
      <c r="N497" s="1325"/>
      <c r="O497" s="1325"/>
      <c r="P497" s="1325"/>
      <c r="AA497" s="1320"/>
    </row>
    <row r="498" spans="1:27" s="1324" customFormat="1">
      <c r="A498" s="1324" t="s">
        <v>4739</v>
      </c>
      <c r="C498" s="1439">
        <v>112</v>
      </c>
      <c r="D498" s="1364" t="s">
        <v>5265</v>
      </c>
      <c r="E498" s="1364" t="s">
        <v>4067</v>
      </c>
      <c r="F498" s="1364">
        <f>+F434+F461+F473+F485+F486</f>
        <v>290551.79552865884</v>
      </c>
      <c r="G498" s="1364">
        <f>+G434+G461+G473+G485+G486</f>
        <v>0</v>
      </c>
      <c r="H498" s="1364">
        <f>+H434+H461+H473+H485+H486</f>
        <v>290551.79552865884</v>
      </c>
      <c r="I498" s="1374">
        <f t="shared" ref="I498:I505" si="256">IF(F498=0,0,+H498/F498)</f>
        <v>1</v>
      </c>
      <c r="J498" s="1364">
        <f>+J434+J461+J473+J485+J486</f>
        <v>290551.79552865884</v>
      </c>
      <c r="K498" s="1364">
        <f t="shared" ref="K498:Q498" si="257">+K434+K461+K473+K485+K486</f>
        <v>166839.10241972734</v>
      </c>
      <c r="L498" s="1364">
        <f t="shared" si="257"/>
        <v>13874.447484801451</v>
      </c>
      <c r="M498" s="1364">
        <f t="shared" si="257"/>
        <v>89794.179812387054</v>
      </c>
      <c r="N498" s="1364">
        <f t="shared" si="257"/>
        <v>11476.303899894016</v>
      </c>
      <c r="O498" s="1364">
        <f t="shared" si="257"/>
        <v>8259.5319225596359</v>
      </c>
      <c r="P498" s="1364">
        <f t="shared" si="257"/>
        <v>308.22998928939768</v>
      </c>
      <c r="Q498" s="1364">
        <f t="shared" si="257"/>
        <v>0</v>
      </c>
      <c r="R498" s="1364"/>
      <c r="V498" s="1324" t="s">
        <v>5445</v>
      </c>
      <c r="AA498" s="1320"/>
    </row>
    <row r="499" spans="1:27">
      <c r="A499" s="1320" t="s">
        <v>4739</v>
      </c>
      <c r="C499" s="1434">
        <v>113</v>
      </c>
      <c r="D499" s="1358" t="s">
        <v>5265</v>
      </c>
      <c r="E499" s="1358" t="s">
        <v>2067</v>
      </c>
      <c r="F499" s="1358">
        <f t="shared" ref="F499:H505" si="258">+F435+F462+F474+F487</f>
        <v>30632.200099340615</v>
      </c>
      <c r="G499" s="1358">
        <f t="shared" si="258"/>
        <v>0</v>
      </c>
      <c r="H499" s="1358">
        <f t="shared" si="258"/>
        <v>30632.200099340615</v>
      </c>
      <c r="I499" s="1323">
        <f t="shared" si="256"/>
        <v>1</v>
      </c>
      <c r="J499" s="1364">
        <f t="shared" ref="J499:Q505" si="259">+J435+J462+J474+J487</f>
        <v>30632.200099340615</v>
      </c>
      <c r="K499" s="1364">
        <f t="shared" si="259"/>
        <v>15458.055338611979</v>
      </c>
      <c r="L499" s="1364">
        <f t="shared" si="259"/>
        <v>1428.5052700758743</v>
      </c>
      <c r="M499" s="1364">
        <f t="shared" si="259"/>
        <v>10641.809412328281</v>
      </c>
      <c r="N499" s="1367">
        <f t="shared" si="259"/>
        <v>1694.0049513217248</v>
      </c>
      <c r="O499" s="1367">
        <f t="shared" si="259"/>
        <v>1247.9935459729331</v>
      </c>
      <c r="P499" s="1367">
        <f t="shared" si="259"/>
        <v>161.83158102982321</v>
      </c>
      <c r="Q499" s="1364">
        <f t="shared" si="259"/>
        <v>0</v>
      </c>
      <c r="R499" s="1358"/>
      <c r="V499" s="1320" t="s">
        <v>5446</v>
      </c>
      <c r="Y499" s="1324"/>
    </row>
    <row r="500" spans="1:27">
      <c r="A500" s="1320" t="s">
        <v>4739</v>
      </c>
      <c r="C500" s="1434">
        <v>114</v>
      </c>
      <c r="D500" s="1358" t="s">
        <v>5268</v>
      </c>
      <c r="E500" s="1358" t="s">
        <v>4067</v>
      </c>
      <c r="F500" s="1358">
        <f t="shared" si="258"/>
        <v>15709.633517949591</v>
      </c>
      <c r="G500" s="1358">
        <f t="shared" si="258"/>
        <v>1362.9081027596433</v>
      </c>
      <c r="H500" s="1358">
        <f t="shared" si="258"/>
        <v>14346.725415189947</v>
      </c>
      <c r="I500" s="1323">
        <f t="shared" si="256"/>
        <v>0.91324380029601548</v>
      </c>
      <c r="J500" s="1364">
        <f t="shared" si="259"/>
        <v>14346.725415189947</v>
      </c>
      <c r="K500" s="1364">
        <f t="shared" si="259"/>
        <v>8321.2878238845096</v>
      </c>
      <c r="L500" s="1364">
        <f t="shared" si="259"/>
        <v>686.42231234234964</v>
      </c>
      <c r="M500" s="1364">
        <f t="shared" si="259"/>
        <v>4387.9529927227877</v>
      </c>
      <c r="N500" s="1367">
        <f t="shared" si="259"/>
        <v>547.77775084332268</v>
      </c>
      <c r="O500" s="1367">
        <f t="shared" si="259"/>
        <v>393.1128131230027</v>
      </c>
      <c r="P500" s="1367">
        <f t="shared" si="259"/>
        <v>10.171722273976087</v>
      </c>
      <c r="Q500" s="1364">
        <f t="shared" si="259"/>
        <v>0</v>
      </c>
      <c r="R500" s="1358"/>
      <c r="V500" s="1320" t="s">
        <v>5447</v>
      </c>
      <c r="Z500" s="1324"/>
    </row>
    <row r="501" spans="1:27">
      <c r="A501" s="1320" t="s">
        <v>4739</v>
      </c>
      <c r="C501" s="1434">
        <v>115</v>
      </c>
      <c r="D501" s="1358" t="s">
        <v>5239</v>
      </c>
      <c r="E501" s="1358" t="s">
        <v>4067</v>
      </c>
      <c r="F501" s="1358">
        <f t="shared" si="258"/>
        <v>16596.304009286247</v>
      </c>
      <c r="G501" s="1358">
        <f t="shared" si="258"/>
        <v>1075.2223574469951</v>
      </c>
      <c r="H501" s="1358">
        <f t="shared" si="258"/>
        <v>15521.081651839251</v>
      </c>
      <c r="I501" s="1323">
        <f t="shared" si="256"/>
        <v>0.93521314403222733</v>
      </c>
      <c r="J501" s="1364">
        <f t="shared" si="259"/>
        <v>15521.081651839251</v>
      </c>
      <c r="K501" s="1364">
        <f t="shared" si="259"/>
        <v>9002.4297548917184</v>
      </c>
      <c r="L501" s="1364">
        <f t="shared" si="259"/>
        <v>742.60965127482791</v>
      </c>
      <c r="M501" s="1364">
        <f t="shared" si="259"/>
        <v>4747.1304226938173</v>
      </c>
      <c r="N501" s="1367">
        <f t="shared" si="259"/>
        <v>592.61629060651421</v>
      </c>
      <c r="O501" s="1367">
        <f t="shared" si="259"/>
        <v>425.29120020699622</v>
      </c>
      <c r="P501" s="1367">
        <f t="shared" si="259"/>
        <v>11.004332165377591</v>
      </c>
      <c r="Q501" s="1364">
        <f t="shared" si="259"/>
        <v>0</v>
      </c>
      <c r="R501" s="1358"/>
      <c r="V501" s="1320" t="s">
        <v>5448</v>
      </c>
    </row>
    <row r="502" spans="1:27">
      <c r="A502" s="1320" t="s">
        <v>4739</v>
      </c>
      <c r="C502" s="1439">
        <v>116</v>
      </c>
      <c r="D502" s="1364" t="s">
        <v>5240</v>
      </c>
      <c r="E502" s="1364" t="s">
        <v>4067</v>
      </c>
      <c r="F502" s="1364">
        <f t="shared" si="258"/>
        <v>76341.163093584852</v>
      </c>
      <c r="G502" s="1364">
        <f t="shared" si="258"/>
        <v>0</v>
      </c>
      <c r="H502" s="1364">
        <f t="shared" si="258"/>
        <v>76341.163093584852</v>
      </c>
      <c r="I502" s="1323">
        <f t="shared" si="256"/>
        <v>1</v>
      </c>
      <c r="J502" s="1364">
        <f t="shared" si="259"/>
        <v>76341.163093584852</v>
      </c>
      <c r="K502" s="1364">
        <f t="shared" si="259"/>
        <v>47515.96229002763</v>
      </c>
      <c r="L502" s="1364">
        <f t="shared" si="259"/>
        <v>3379.4544109218741</v>
      </c>
      <c r="M502" s="1364">
        <f t="shared" si="259"/>
        <v>22627.557324252964</v>
      </c>
      <c r="N502" s="1367">
        <f t="shared" si="259"/>
        <v>2379.964078807659</v>
      </c>
      <c r="O502" s="1367">
        <f t="shared" si="259"/>
        <v>1.6249931085812012E-3</v>
      </c>
      <c r="P502" s="1367">
        <f t="shared" si="259"/>
        <v>438.22336458162823</v>
      </c>
      <c r="Q502" s="1364">
        <f t="shared" si="259"/>
        <v>0</v>
      </c>
      <c r="R502" s="1358"/>
      <c r="V502" s="1324" t="s">
        <v>5449</v>
      </c>
      <c r="Y502" s="1324"/>
    </row>
    <row r="503" spans="1:27">
      <c r="A503" s="1320" t="s">
        <v>4739</v>
      </c>
      <c r="C503" s="1439">
        <v>117</v>
      </c>
      <c r="D503" s="1364" t="s">
        <v>5241</v>
      </c>
      <c r="E503" s="1364" t="s">
        <v>4067</v>
      </c>
      <c r="F503" s="1364">
        <f t="shared" si="258"/>
        <v>43854.637077825559</v>
      </c>
      <c r="G503" s="1364">
        <f t="shared" si="258"/>
        <v>0</v>
      </c>
      <c r="H503" s="1364">
        <f t="shared" si="258"/>
        <v>43854.637077825559</v>
      </c>
      <c r="I503" s="1323">
        <f t="shared" si="256"/>
        <v>1</v>
      </c>
      <c r="J503" s="1364">
        <f t="shared" si="259"/>
        <v>43854.637077825559</v>
      </c>
      <c r="K503" s="1364">
        <f t="shared" si="259"/>
        <v>31997.801873923418</v>
      </c>
      <c r="L503" s="1364">
        <f t="shared" si="259"/>
        <v>2576.4580867143418</v>
      </c>
      <c r="M503" s="1364">
        <f t="shared" si="259"/>
        <v>9121.7361160525234</v>
      </c>
      <c r="N503" s="1367">
        <f t="shared" si="259"/>
        <v>0</v>
      </c>
      <c r="O503" s="1367">
        <f t="shared" si="259"/>
        <v>0</v>
      </c>
      <c r="P503" s="1367">
        <f t="shared" si="259"/>
        <v>158.64100113527866</v>
      </c>
      <c r="Q503" s="1364">
        <f t="shared" si="259"/>
        <v>0</v>
      </c>
      <c r="R503" s="1358"/>
      <c r="V503" s="1324" t="s">
        <v>5450</v>
      </c>
      <c r="Y503" s="1324"/>
    </row>
    <row r="504" spans="1:27">
      <c r="A504" s="1320" t="s">
        <v>4739</v>
      </c>
      <c r="C504" s="1439">
        <v>118</v>
      </c>
      <c r="D504" s="1364" t="s">
        <v>5242</v>
      </c>
      <c r="E504" s="1364" t="s">
        <v>4071</v>
      </c>
      <c r="F504" s="1364">
        <f t="shared" si="258"/>
        <v>47757.415831805716</v>
      </c>
      <c r="G504" s="1364">
        <f t="shared" si="258"/>
        <v>0</v>
      </c>
      <c r="H504" s="1364">
        <f t="shared" si="258"/>
        <v>47757.415831805716</v>
      </c>
      <c r="I504" s="1323">
        <f t="shared" si="256"/>
        <v>1</v>
      </c>
      <c r="J504" s="1364">
        <f t="shared" si="259"/>
        <v>47757.415831805716</v>
      </c>
      <c r="K504" s="1364">
        <f t="shared" si="259"/>
        <v>19058.030039976857</v>
      </c>
      <c r="L504" s="1364">
        <f t="shared" si="259"/>
        <v>3755.5686865087068</v>
      </c>
      <c r="M504" s="1364">
        <f t="shared" si="259"/>
        <v>2174.0237328748285</v>
      </c>
      <c r="N504" s="1367">
        <f t="shared" si="259"/>
        <v>164.27153033742925</v>
      </c>
      <c r="O504" s="1367">
        <f t="shared" si="259"/>
        <v>179.2271354087697</v>
      </c>
      <c r="P504" s="1367">
        <f t="shared" si="259"/>
        <v>36.659734650343147</v>
      </c>
      <c r="Q504" s="1364">
        <f t="shared" si="259"/>
        <v>22389.634972048774</v>
      </c>
      <c r="R504" s="1358"/>
      <c r="V504" s="1324" t="s">
        <v>5451</v>
      </c>
      <c r="Y504" s="1324"/>
    </row>
    <row r="505" spans="1:27">
      <c r="A505" s="1320" t="s">
        <v>4739</v>
      </c>
      <c r="C505" s="1434">
        <v>119</v>
      </c>
      <c r="D505" s="1358" t="s">
        <v>5244</v>
      </c>
      <c r="E505" s="1358" t="s">
        <v>4071</v>
      </c>
      <c r="F505" s="1350">
        <f t="shared" si="258"/>
        <v>12431.05871528412</v>
      </c>
      <c r="G505" s="1350">
        <f t="shared" si="258"/>
        <v>0</v>
      </c>
      <c r="H505" s="1350">
        <f t="shared" si="258"/>
        <v>12431.05871528412</v>
      </c>
      <c r="I505" s="1323">
        <f t="shared" si="256"/>
        <v>1</v>
      </c>
      <c r="J505" s="1366">
        <f t="shared" si="259"/>
        <v>12431.05871528412</v>
      </c>
      <c r="K505" s="1366">
        <f t="shared" si="259"/>
        <v>11087.097359078902</v>
      </c>
      <c r="L505" s="1366">
        <f t="shared" si="259"/>
        <v>1074.7942807674417</v>
      </c>
      <c r="M505" s="1366">
        <f t="shared" si="259"/>
        <v>264.71267171507458</v>
      </c>
      <c r="N505" s="1378">
        <f t="shared" si="259"/>
        <v>0.89376385374582712</v>
      </c>
      <c r="O505" s="1378">
        <f t="shared" si="259"/>
        <v>0.15857100630974355</v>
      </c>
      <c r="P505" s="1378">
        <f t="shared" si="259"/>
        <v>3.4020688626454065</v>
      </c>
      <c r="Q505" s="1366">
        <f t="shared" si="259"/>
        <v>0</v>
      </c>
      <c r="R505" s="1358"/>
      <c r="V505" s="1320" t="s">
        <v>5452</v>
      </c>
      <c r="Y505" s="1324"/>
    </row>
    <row r="506" spans="1:27">
      <c r="A506" s="1320" t="s">
        <v>4739</v>
      </c>
      <c r="C506" s="1434">
        <v>120</v>
      </c>
      <c r="D506" s="1358"/>
      <c r="E506" s="1358"/>
      <c r="F506" s="1358"/>
      <c r="G506" s="1358"/>
      <c r="H506" s="1358"/>
      <c r="I506" s="1379"/>
      <c r="J506" s="1364"/>
      <c r="K506" s="1364"/>
      <c r="L506" s="1364"/>
      <c r="M506" s="1364"/>
      <c r="N506" s="1367"/>
      <c r="O506" s="1367"/>
      <c r="P506" s="1367"/>
      <c r="Q506" s="1364"/>
      <c r="R506" s="1358"/>
      <c r="Y506" s="1324"/>
    </row>
    <row r="507" spans="1:27" ht="14.4" thickBot="1">
      <c r="A507" s="1320" t="s">
        <v>4739</v>
      </c>
      <c r="C507" s="1434">
        <v>121</v>
      </c>
      <c r="D507" s="1320" t="s">
        <v>5453</v>
      </c>
      <c r="E507" s="1358"/>
      <c r="F507" s="1423">
        <f>SUM(F498:F505)</f>
        <v>533874.20787373558</v>
      </c>
      <c r="G507" s="1423">
        <f>SUM(G498:G505)</f>
        <v>2438.1304602066384</v>
      </c>
      <c r="H507" s="1423">
        <f>SUM(H498:H505)</f>
        <v>531436.07741352892</v>
      </c>
      <c r="I507" s="1323">
        <f>IF(F507=0,0,+H507/F507)</f>
        <v>0.99543313682465195</v>
      </c>
      <c r="J507" s="1380">
        <f t="shared" ref="J507:Q507" si="260">SUM(J498:J505)</f>
        <v>531436.07741352892</v>
      </c>
      <c r="K507" s="1380">
        <f t="shared" si="260"/>
        <v>309279.76690012234</v>
      </c>
      <c r="L507" s="1380">
        <f t="shared" si="260"/>
        <v>27518.260183406866</v>
      </c>
      <c r="M507" s="1380">
        <f t="shared" si="260"/>
        <v>143759.10248502731</v>
      </c>
      <c r="N507" s="1424">
        <f t="shared" si="260"/>
        <v>16855.832265664412</v>
      </c>
      <c r="O507" s="1424">
        <f>SUM(O498:O505)</f>
        <v>10505.316813270758</v>
      </c>
      <c r="P507" s="1424">
        <f>SUM(P498:P505)</f>
        <v>1128.1637939884699</v>
      </c>
      <c r="Q507" s="1380">
        <f t="shared" si="260"/>
        <v>22389.634972048774</v>
      </c>
      <c r="R507" s="1358"/>
      <c r="V507" s="1320" t="s">
        <v>5454</v>
      </c>
      <c r="Y507" s="1324"/>
    </row>
    <row r="508" spans="1:27" ht="14.4" thickTop="1">
      <c r="G508" s="1320"/>
      <c r="Y508" s="1324"/>
    </row>
    <row r="509" spans="1:27">
      <c r="G509" s="1320"/>
      <c r="Y509" s="1324"/>
    </row>
    <row r="510" spans="1:27">
      <c r="G510" s="1320"/>
    </row>
    <row r="511" spans="1:27">
      <c r="G511" s="1320"/>
    </row>
    <row r="512" spans="1:27">
      <c r="G512" s="1320"/>
    </row>
    <row r="513" spans="1:27">
      <c r="B513" s="1432"/>
      <c r="C513" s="1340" t="str">
        <f>+C$2</f>
        <v>RATES WITH REVENUE DEFICIENCY ADDITION</v>
      </c>
      <c r="F513" s="1333"/>
      <c r="G513" s="1327" t="s">
        <v>2173</v>
      </c>
      <c r="I513" s="1334" t="s">
        <v>5433</v>
      </c>
      <c r="L513" s="1329" t="s">
        <v>2173</v>
      </c>
      <c r="M513" s="1330"/>
      <c r="N513" s="1330"/>
      <c r="O513" s="1330"/>
      <c r="S513" s="1334" t="s">
        <v>5455</v>
      </c>
      <c r="T513" s="1333" t="s">
        <v>2173</v>
      </c>
      <c r="U513" s="1334"/>
      <c r="V513" s="1332" t="s">
        <v>4772</v>
      </c>
      <c r="Y513" s="1324"/>
    </row>
    <row r="514" spans="1:27">
      <c r="B514" s="1432"/>
      <c r="C514" s="1340" t="str">
        <f>+C$3</f>
        <v>PROD. CAP. ALLOC. METHOD: 12 CP &amp; 1/13th AD</v>
      </c>
      <c r="D514" s="1358"/>
      <c r="G514" s="1336" t="s">
        <v>4768</v>
      </c>
      <c r="I514" s="1335" t="s">
        <v>5434</v>
      </c>
      <c r="L514" s="1336" t="s">
        <v>5141</v>
      </c>
      <c r="M514" s="1337"/>
      <c r="N514" s="1337"/>
      <c r="O514" s="1337"/>
      <c r="R514" s="1331"/>
      <c r="S514" s="1335" t="s">
        <v>2629</v>
      </c>
      <c r="T514" s="1333" t="s">
        <v>5141</v>
      </c>
      <c r="V514" s="1332" t="s">
        <v>5455</v>
      </c>
      <c r="Y514" s="1324"/>
    </row>
    <row r="515" spans="1:27">
      <c r="B515" s="1321"/>
      <c r="C515" s="1340" t="str">
        <f>+C$4</f>
        <v>PROJECTED CALENDAR YEAR 2025; FULLY ADJUSTED DATA</v>
      </c>
      <c r="G515" s="1336" t="s">
        <v>2181</v>
      </c>
      <c r="L515" s="1336" t="s">
        <v>2181</v>
      </c>
      <c r="T515" s="1339"/>
      <c r="Y515" s="1324"/>
    </row>
    <row r="516" spans="1:27">
      <c r="B516" s="1321"/>
      <c r="C516" s="1340" t="str">
        <f>+C$5</f>
        <v>MINIMUM DISTRIBUTION SYSTEM (MDS) NOT EMPLOYED</v>
      </c>
      <c r="G516" s="1320"/>
      <c r="L516" s="1336"/>
      <c r="M516" s="1337"/>
      <c r="N516" s="1337"/>
      <c r="O516" s="1337"/>
      <c r="T516" s="1333"/>
      <c r="Y516" s="1324"/>
    </row>
    <row r="517" spans="1:27">
      <c r="B517" s="1321"/>
      <c r="C517" s="1340" t="str">
        <f>+C$6</f>
        <v>Tampa Electric 2025 OB Budget</v>
      </c>
      <c r="F517" s="1327"/>
      <c r="G517" s="1333" t="s">
        <v>5456</v>
      </c>
      <c r="L517" s="1336" t="s">
        <v>5456</v>
      </c>
      <c r="M517" s="1337"/>
      <c r="N517" s="1337"/>
      <c r="O517" s="1337"/>
      <c r="T517" s="1333" t="s">
        <v>5456</v>
      </c>
      <c r="Y517" s="1324"/>
    </row>
    <row r="518" spans="1:27">
      <c r="B518" s="1321"/>
      <c r="F518" s="1333"/>
      <c r="G518" s="1320"/>
      <c r="L518" s="1336"/>
      <c r="M518" s="1337"/>
      <c r="N518" s="1337"/>
      <c r="O518" s="1337"/>
      <c r="Y518" s="1324"/>
    </row>
    <row r="519" spans="1:27">
      <c r="B519" s="1321"/>
      <c r="F519" s="1333"/>
      <c r="G519" s="1320"/>
      <c r="L519" s="1336"/>
      <c r="M519" s="1337"/>
      <c r="N519" s="1337"/>
      <c r="O519" s="1337"/>
      <c r="Y519" s="1324"/>
    </row>
    <row r="520" spans="1:27">
      <c r="G520" s="1320"/>
      <c r="Y520" s="1324"/>
    </row>
    <row r="521" spans="1:27">
      <c r="G521" s="1320"/>
    </row>
    <row r="522" spans="1:27" ht="30" customHeight="1">
      <c r="A522" s="1418" t="s">
        <v>4683</v>
      </c>
      <c r="B522" s="1425" t="s">
        <v>5143</v>
      </c>
      <c r="C522" s="1349" t="s">
        <v>4297</v>
      </c>
      <c r="D522" s="1418"/>
      <c r="E522" s="1418"/>
      <c r="F522" s="1348" t="s">
        <v>5144</v>
      </c>
      <c r="G522" s="1348" t="s">
        <v>4956</v>
      </c>
      <c r="H522" s="1348" t="s">
        <v>4957</v>
      </c>
      <c r="I522" s="1426" t="s">
        <v>5145</v>
      </c>
      <c r="J522" s="1352" t="s">
        <v>4957</v>
      </c>
      <c r="K522" s="1353" t="s">
        <v>1949</v>
      </c>
      <c r="L522" s="1353" t="s">
        <v>1950</v>
      </c>
      <c r="M522" s="1354" t="s">
        <v>1934</v>
      </c>
      <c r="N522" s="1354" t="s">
        <v>1971</v>
      </c>
      <c r="O522" s="1354" t="s">
        <v>1972</v>
      </c>
      <c r="P522" s="1352" t="s">
        <v>5146</v>
      </c>
      <c r="Q522" s="1352" t="s">
        <v>5147</v>
      </c>
      <c r="R522" s="1355"/>
      <c r="S522" s="1348" t="s">
        <v>5299</v>
      </c>
      <c r="T522" s="1348"/>
      <c r="U522" s="1352"/>
      <c r="V522" s="1355" t="s">
        <v>4774</v>
      </c>
    </row>
    <row r="523" spans="1:27">
      <c r="G523" s="1320"/>
      <c r="Y523" s="1324"/>
    </row>
    <row r="524" spans="1:27">
      <c r="A524" s="1320" t="s">
        <v>4871</v>
      </c>
      <c r="B524" s="1321"/>
      <c r="C524" s="1322">
        <v>1</v>
      </c>
      <c r="D524" s="1356" t="s">
        <v>5457</v>
      </c>
      <c r="G524" s="1320"/>
      <c r="S524" s="1321"/>
      <c r="T524" s="1321"/>
      <c r="U524" s="1326"/>
      <c r="Y524" s="1324"/>
    </row>
    <row r="525" spans="1:27">
      <c r="A525" s="1320" t="s">
        <v>4871</v>
      </c>
      <c r="B525" s="1320">
        <v>101</v>
      </c>
      <c r="C525" s="1322">
        <v>2</v>
      </c>
      <c r="D525" s="1320" t="s">
        <v>5265</v>
      </c>
      <c r="E525" s="1320" t="s">
        <v>4067</v>
      </c>
      <c r="F525" s="1320">
        <f>+'Allocation Assignment'!F186</f>
        <v>5463.9974238223331</v>
      </c>
      <c r="G525" s="1358">
        <f>+$F525*G$1933</f>
        <v>0</v>
      </c>
      <c r="H525" s="1358">
        <f>+$F525*H$1933</f>
        <v>5463.9974238223331</v>
      </c>
      <c r="I525" s="1323">
        <f t="shared" ref="I525:I534" si="261">IF(F525=0,0,+H525/F525)</f>
        <v>1</v>
      </c>
      <c r="J525" s="1364">
        <f t="shared" ref="J525:J533" si="262">+H525</f>
        <v>5463.9974238223331</v>
      </c>
      <c r="K525" s="1324">
        <f t="shared" ref="K525:Q525" si="263">$J525*K$1951</f>
        <v>3137.5074594034063</v>
      </c>
      <c r="L525" s="1324">
        <f t="shared" si="263"/>
        <v>260.91714620443901</v>
      </c>
      <c r="M525" s="1324">
        <f t="shared" si="263"/>
        <v>1688.6323702677926</v>
      </c>
      <c r="N525" s="1324">
        <f t="shared" si="263"/>
        <v>215.81864544987121</v>
      </c>
      <c r="O525" s="1324">
        <f t="shared" si="263"/>
        <v>155.32535624063186</v>
      </c>
      <c r="P525" s="1324">
        <f t="shared" si="263"/>
        <v>5.7964462561923291</v>
      </c>
      <c r="Q525" s="1324">
        <f t="shared" si="263"/>
        <v>0</v>
      </c>
      <c r="R525" s="1324"/>
      <c r="S525" s="1324">
        <v>122</v>
      </c>
      <c r="V525" s="1321" t="s">
        <v>9476</v>
      </c>
      <c r="W525" s="1321">
        <v>122</v>
      </c>
      <c r="Y525" s="1324"/>
    </row>
    <row r="526" spans="1:27" s="1324" customFormat="1">
      <c r="A526" s="1324" t="s">
        <v>4871</v>
      </c>
      <c r="B526" s="1324">
        <v>101</v>
      </c>
      <c r="C526" s="1393">
        <v>3</v>
      </c>
      <c r="D526" s="1324" t="s">
        <v>5458</v>
      </c>
      <c r="E526" s="1324" t="s">
        <v>4067</v>
      </c>
      <c r="F526" s="1320">
        <f>+'Allocation Assignment'!F187</f>
        <v>0</v>
      </c>
      <c r="G526" s="1364">
        <f>+$F526*G$1933</f>
        <v>0</v>
      </c>
      <c r="H526" s="1364">
        <f>+$F526*H$1933</f>
        <v>0</v>
      </c>
      <c r="I526" s="1374">
        <f>IF(F526=0,0,+H526/F526)</f>
        <v>0</v>
      </c>
      <c r="J526" s="1364">
        <f>+H526</f>
        <v>0</v>
      </c>
      <c r="K526" s="1324">
        <f t="shared" ref="K526:Q526" si="264">$J526*K$1948</f>
        <v>0</v>
      </c>
      <c r="L526" s="1324">
        <f t="shared" si="264"/>
        <v>0</v>
      </c>
      <c r="M526" s="1324">
        <f t="shared" si="264"/>
        <v>0</v>
      </c>
      <c r="N526" s="1324">
        <f t="shared" si="264"/>
        <v>0</v>
      </c>
      <c r="O526" s="1324">
        <f t="shared" si="264"/>
        <v>0</v>
      </c>
      <c r="P526" s="1324">
        <f t="shared" si="264"/>
        <v>0</v>
      </c>
      <c r="Q526" s="1324">
        <f t="shared" si="264"/>
        <v>0</v>
      </c>
      <c r="S526" s="1324">
        <v>121</v>
      </c>
      <c r="V526" s="1326" t="s">
        <v>5287</v>
      </c>
      <c r="W526" s="1326">
        <v>121</v>
      </c>
      <c r="AA526" s="1320"/>
    </row>
    <row r="527" spans="1:27">
      <c r="A527" s="1320" t="s">
        <v>4871</v>
      </c>
      <c r="B527" s="1320">
        <v>201</v>
      </c>
      <c r="C527" s="1322">
        <v>4</v>
      </c>
      <c r="D527" s="1320" t="s">
        <v>5265</v>
      </c>
      <c r="E527" s="1320" t="s">
        <v>2067</v>
      </c>
      <c r="F527" s="1320">
        <f>+'Allocation Assignment'!F188</f>
        <v>1442.5283853681995</v>
      </c>
      <c r="G527" s="1358">
        <f>+$F527*G$1969</f>
        <v>0</v>
      </c>
      <c r="H527" s="1358">
        <f>+$F527*H$1969</f>
        <v>1442.5283853681995</v>
      </c>
      <c r="I527" s="1323">
        <f t="shared" si="261"/>
        <v>1</v>
      </c>
      <c r="J527" s="1364">
        <f t="shared" si="262"/>
        <v>1442.5283853681995</v>
      </c>
      <c r="K527" s="1364">
        <f t="shared" ref="K527:Q527" si="265">+$J527*K$1969</f>
        <v>727.94913640630773</v>
      </c>
      <c r="L527" s="1364">
        <f t="shared" si="265"/>
        <v>67.271021802213681</v>
      </c>
      <c r="M527" s="1364">
        <f t="shared" si="265"/>
        <v>501.14298350030913</v>
      </c>
      <c r="N527" s="1367">
        <f t="shared" si="265"/>
        <v>79.77390521448261</v>
      </c>
      <c r="O527" s="1367">
        <f t="shared" si="265"/>
        <v>58.770382440176775</v>
      </c>
      <c r="P527" s="1367">
        <f t="shared" si="265"/>
        <v>7.6209560047095337</v>
      </c>
      <c r="Q527" s="1364">
        <f t="shared" si="265"/>
        <v>0</v>
      </c>
      <c r="R527" s="1364"/>
      <c r="S527" s="1324">
        <v>201</v>
      </c>
      <c r="V527" s="1321" t="s">
        <v>5235</v>
      </c>
      <c r="W527" s="1321">
        <v>201</v>
      </c>
      <c r="Y527" s="1324"/>
    </row>
    <row r="528" spans="1:27">
      <c r="A528" s="1320" t="s">
        <v>4871</v>
      </c>
      <c r="B528" s="1320">
        <v>117</v>
      </c>
      <c r="C528" s="1322">
        <v>5</v>
      </c>
      <c r="D528" s="1320" t="s">
        <v>5268</v>
      </c>
      <c r="E528" s="1320" t="s">
        <v>4067</v>
      </c>
      <c r="F528" s="1320">
        <f>+'Allocation Assignment'!F189</f>
        <v>231.53114763679716</v>
      </c>
      <c r="G528" s="1358">
        <f>+$F528*G$1942</f>
        <v>15.000175113998271</v>
      </c>
      <c r="H528" s="1358">
        <f>+$F528*H$1942</f>
        <v>216.53097252279886</v>
      </c>
      <c r="I528" s="1323">
        <f t="shared" si="261"/>
        <v>0.93521314403222733</v>
      </c>
      <c r="J528" s="1364">
        <f t="shared" si="262"/>
        <v>216.53097252279886</v>
      </c>
      <c r="K528" s="1364">
        <f t="shared" ref="K528:Q529" si="266">+$J528*K$1945</f>
        <v>125.59078765389349</v>
      </c>
      <c r="L528" s="1364">
        <f t="shared" si="266"/>
        <v>10.359973203046735</v>
      </c>
      <c r="M528" s="1364">
        <f t="shared" si="266"/>
        <v>66.226103964645461</v>
      </c>
      <c r="N528" s="1367">
        <f t="shared" si="266"/>
        <v>8.2674509815929103</v>
      </c>
      <c r="O528" s="1367">
        <f t="shared" si="266"/>
        <v>5.9331378606140337</v>
      </c>
      <c r="P528" s="1367">
        <f t="shared" si="266"/>
        <v>0.15351885900624501</v>
      </c>
      <c r="Q528" s="1364">
        <f t="shared" si="266"/>
        <v>0</v>
      </c>
      <c r="R528" s="1364"/>
      <c r="S528" s="1324">
        <v>118</v>
      </c>
      <c r="V528" s="1321" t="s">
        <v>9477</v>
      </c>
      <c r="W528" s="1321">
        <v>117</v>
      </c>
      <c r="Y528" s="1324"/>
    </row>
    <row r="529" spans="1:25">
      <c r="A529" s="1320" t="s">
        <v>4871</v>
      </c>
      <c r="B529" s="1320">
        <v>117</v>
      </c>
      <c r="C529" s="1322">
        <v>6</v>
      </c>
      <c r="D529" s="1320" t="s">
        <v>5239</v>
      </c>
      <c r="E529" s="1320" t="s">
        <v>4067</v>
      </c>
      <c r="F529" s="1320">
        <f>+'Allocation Assignment'!F190</f>
        <v>650.95747332676751</v>
      </c>
      <c r="G529" s="1358">
        <f>+$F529*G$1942</f>
        <v>42.17348806556646</v>
      </c>
      <c r="H529" s="1358">
        <f>+$F529*H$1942</f>
        <v>608.783985261201</v>
      </c>
      <c r="I529" s="1323">
        <f t="shared" si="261"/>
        <v>0.93521314403222733</v>
      </c>
      <c r="J529" s="1364">
        <f t="shared" si="262"/>
        <v>608.783985261201</v>
      </c>
      <c r="K529" s="1364">
        <f t="shared" si="266"/>
        <v>353.102650069981</v>
      </c>
      <c r="L529" s="1364">
        <f t="shared" si="266"/>
        <v>29.127407041438236</v>
      </c>
      <c r="M529" s="1364">
        <f t="shared" si="266"/>
        <v>186.19687996678817</v>
      </c>
      <c r="N529" s="1367">
        <f t="shared" si="266"/>
        <v>23.244211661201579</v>
      </c>
      <c r="O529" s="1367">
        <f t="shared" si="266"/>
        <v>16.681213176135412</v>
      </c>
      <c r="P529" s="1367">
        <f t="shared" si="266"/>
        <v>0.43162334565662996</v>
      </c>
      <c r="Q529" s="1364">
        <f t="shared" si="266"/>
        <v>0</v>
      </c>
      <c r="R529" s="1364"/>
      <c r="S529" s="1324">
        <v>118</v>
      </c>
      <c r="V529" s="1321" t="s">
        <v>9477</v>
      </c>
      <c r="W529" s="1321">
        <v>117</v>
      </c>
      <c r="Y529" s="1324"/>
    </row>
    <row r="530" spans="1:25">
      <c r="A530" s="1320" t="s">
        <v>4871</v>
      </c>
      <c r="B530" s="1320">
        <v>105</v>
      </c>
      <c r="C530" s="1322">
        <v>7</v>
      </c>
      <c r="D530" s="1320" t="s">
        <v>5240</v>
      </c>
      <c r="E530" s="1320" t="s">
        <v>4067</v>
      </c>
      <c r="F530" s="1320">
        <f>+'Allocation Assignment'!F191</f>
        <v>3196.8299293496639</v>
      </c>
      <c r="G530" s="1358">
        <f>+$F530*G$1936</f>
        <v>0</v>
      </c>
      <c r="H530" s="1358">
        <f>+$F530*H$1936</f>
        <v>3196.8299293496639</v>
      </c>
      <c r="I530" s="1323">
        <f t="shared" si="261"/>
        <v>1</v>
      </c>
      <c r="J530" s="1364">
        <f t="shared" si="262"/>
        <v>3196.8299293496639</v>
      </c>
      <c r="K530" s="1364">
        <f t="shared" ref="K530:Q530" si="267">+$J530*K$1936</f>
        <v>1989.7581359141609</v>
      </c>
      <c r="L530" s="1364">
        <f t="shared" si="267"/>
        <v>141.5165890577797</v>
      </c>
      <c r="M530" s="1364">
        <f t="shared" si="267"/>
        <v>947.54192300648481</v>
      </c>
      <c r="N530" s="1367">
        <f t="shared" si="267"/>
        <v>99.662358937111549</v>
      </c>
      <c r="O530" s="1367">
        <f t="shared" si="267"/>
        <v>6.8047517145253806E-5</v>
      </c>
      <c r="P530" s="1367">
        <f t="shared" si="267"/>
        <v>18.350854386610493</v>
      </c>
      <c r="Q530" s="1364">
        <f t="shared" si="267"/>
        <v>0</v>
      </c>
      <c r="R530" s="1364"/>
      <c r="S530" s="1324">
        <v>105</v>
      </c>
      <c r="V530" s="1321" t="s">
        <v>5229</v>
      </c>
      <c r="W530" s="1321">
        <v>105</v>
      </c>
      <c r="Y530" s="1324"/>
    </row>
    <row r="531" spans="1:25">
      <c r="A531" s="1320" t="s">
        <v>4871</v>
      </c>
      <c r="B531" s="1320">
        <v>106</v>
      </c>
      <c r="C531" s="1322">
        <v>8</v>
      </c>
      <c r="D531" s="1320" t="s">
        <v>5241</v>
      </c>
      <c r="E531" s="1320" t="s">
        <v>4067</v>
      </c>
      <c r="F531" s="1320">
        <f>+'Allocation Assignment'!F192</f>
        <v>551.47672370867667</v>
      </c>
      <c r="G531" s="1358">
        <f>+$F531*G$1939</f>
        <v>0</v>
      </c>
      <c r="H531" s="1358">
        <f>+$F531*H$1939</f>
        <v>551.47672370867667</v>
      </c>
      <c r="I531" s="1323">
        <f t="shared" si="261"/>
        <v>1</v>
      </c>
      <c r="J531" s="1364">
        <f t="shared" si="262"/>
        <v>551.47672370867667</v>
      </c>
      <c r="K531" s="1364">
        <f t="shared" ref="K531:Q531" si="268">+$J531*K$1939</f>
        <v>402.37576044684903</v>
      </c>
      <c r="L531" s="1364">
        <f t="shared" si="268"/>
        <v>32.399234359469496</v>
      </c>
      <c r="M531" s="1364">
        <f t="shared" si="268"/>
        <v>114.70680144698572</v>
      </c>
      <c r="N531" s="1367">
        <f t="shared" si="268"/>
        <v>0</v>
      </c>
      <c r="O531" s="1367">
        <f t="shared" si="268"/>
        <v>0</v>
      </c>
      <c r="P531" s="1367">
        <f t="shared" si="268"/>
        <v>1.994927455372429</v>
      </c>
      <c r="Q531" s="1364">
        <f t="shared" si="268"/>
        <v>0</v>
      </c>
      <c r="R531" s="1364"/>
      <c r="S531" s="1324">
        <v>106</v>
      </c>
      <c r="V531" s="1321" t="s">
        <v>5230</v>
      </c>
      <c r="W531" s="1321">
        <v>106</v>
      </c>
      <c r="Y531" s="1324"/>
    </row>
    <row r="532" spans="1:25">
      <c r="A532" s="1320" t="s">
        <v>4871</v>
      </c>
      <c r="B532" s="1320">
        <v>907</v>
      </c>
      <c r="C532" s="1322">
        <v>9</v>
      </c>
      <c r="D532" s="1320" t="s">
        <v>5242</v>
      </c>
      <c r="E532" s="1320" t="s">
        <v>4071</v>
      </c>
      <c r="F532" s="1320">
        <f>+'Allocation Assignment'!F193</f>
        <v>2049.2028613692514</v>
      </c>
      <c r="G532" s="1358">
        <f>+$F532*G$2055</f>
        <v>0</v>
      </c>
      <c r="H532" s="1358">
        <f>+$F532*H$2055</f>
        <v>2049.2028613692514</v>
      </c>
      <c r="I532" s="1323">
        <f t="shared" si="261"/>
        <v>1</v>
      </c>
      <c r="J532" s="1364">
        <f t="shared" si="262"/>
        <v>2049.2028613692514</v>
      </c>
      <c r="K532" s="1364">
        <f t="shared" ref="K532:Q532" si="269">+$J532*K$2055</f>
        <v>755.45240817549086</v>
      </c>
      <c r="L532" s="1364">
        <f t="shared" si="269"/>
        <v>114.59219719666481</v>
      </c>
      <c r="M532" s="1364">
        <f t="shared" si="269"/>
        <v>55.244811529690253</v>
      </c>
      <c r="N532" s="1367">
        <f t="shared" si="269"/>
        <v>3.5613645855897285</v>
      </c>
      <c r="O532" s="1367">
        <f t="shared" si="269"/>
        <v>3.8855982622818011</v>
      </c>
      <c r="P532" s="1367">
        <f t="shared" si="269"/>
        <v>0.89179117015261333</v>
      </c>
      <c r="Q532" s="1364">
        <f t="shared" si="269"/>
        <v>1115.5746904493815</v>
      </c>
      <c r="R532" s="1364"/>
      <c r="S532" s="1324">
        <v>907</v>
      </c>
      <c r="V532" s="1321" t="s">
        <v>5243</v>
      </c>
      <c r="W532" s="1321">
        <v>907</v>
      </c>
    </row>
    <row r="533" spans="1:25">
      <c r="A533" s="1320" t="s">
        <v>4871</v>
      </c>
      <c r="B533" s="1324">
        <v>412</v>
      </c>
      <c r="C533" s="1393">
        <v>10</v>
      </c>
      <c r="D533" s="1324" t="s">
        <v>5244</v>
      </c>
      <c r="E533" s="1324" t="s">
        <v>4071</v>
      </c>
      <c r="F533" s="1320">
        <f>+'Allocation Assignment'!F194</f>
        <v>2775.6931423597071</v>
      </c>
      <c r="G533" s="1364">
        <f>+$F533*G$2021</f>
        <v>0</v>
      </c>
      <c r="H533" s="1364">
        <f>+$F533*H$2021</f>
        <v>2775.6931423597071</v>
      </c>
      <c r="I533" s="1323">
        <f t="shared" si="261"/>
        <v>1</v>
      </c>
      <c r="J533" s="1364">
        <f t="shared" si="262"/>
        <v>2775.6931423597071</v>
      </c>
      <c r="K533" s="1364">
        <f t="shared" ref="K533:Q533" si="270">+$J533*K$2021</f>
        <v>2475.6041149119742</v>
      </c>
      <c r="L533" s="1364">
        <f t="shared" si="270"/>
        <v>239.9875330735606</v>
      </c>
      <c r="M533" s="1364">
        <f t="shared" si="270"/>
        <v>59.106884168429865</v>
      </c>
      <c r="N533" s="1367">
        <f t="shared" si="270"/>
        <v>0.19956580179941466</v>
      </c>
      <c r="O533" s="1367">
        <f t="shared" si="270"/>
        <v>3.5406835803121955E-2</v>
      </c>
      <c r="P533" s="1367">
        <f t="shared" si="270"/>
        <v>0.7596375681397074</v>
      </c>
      <c r="Q533" s="1364">
        <f t="shared" si="270"/>
        <v>0</v>
      </c>
      <c r="R533" s="1364"/>
      <c r="S533" s="1324">
        <v>412</v>
      </c>
      <c r="V533" s="1321" t="s">
        <v>5245</v>
      </c>
      <c r="W533" s="1321">
        <v>412</v>
      </c>
    </row>
    <row r="534" spans="1:25">
      <c r="A534" s="1320" t="s">
        <v>4871</v>
      </c>
      <c r="B534" s="1321"/>
      <c r="C534" s="1322">
        <v>11</v>
      </c>
      <c r="D534" s="1320" t="s">
        <v>5459</v>
      </c>
      <c r="F534" s="1427">
        <f>+SUM(F525:F533)</f>
        <v>16362.217086941395</v>
      </c>
      <c r="G534" s="1427">
        <f>SUM(G525:G533)</f>
        <v>57.173663179564727</v>
      </c>
      <c r="H534" s="1427">
        <f>SUM(H525:H533)</f>
        <v>16305.04342376183</v>
      </c>
      <c r="I534" s="1323">
        <f t="shared" si="261"/>
        <v>0.99650575084808068</v>
      </c>
      <c r="J534" s="1421">
        <f t="shared" ref="J534:Q534" si="271">SUM(J525:J533)</f>
        <v>16305.04342376183</v>
      </c>
      <c r="K534" s="1421">
        <f t="shared" si="271"/>
        <v>9967.3404529820637</v>
      </c>
      <c r="L534" s="1421">
        <f t="shared" si="271"/>
        <v>896.17110193861231</v>
      </c>
      <c r="M534" s="1421">
        <f t="shared" si="271"/>
        <v>3618.7987578511265</v>
      </c>
      <c r="N534" s="1422">
        <f t="shared" si="271"/>
        <v>430.52750263164899</v>
      </c>
      <c r="O534" s="1422">
        <f>SUM(O525:O533)</f>
        <v>240.63116286316014</v>
      </c>
      <c r="P534" s="1422">
        <f>SUM(P525:P533)</f>
        <v>35.999755045839983</v>
      </c>
      <c r="Q534" s="1421">
        <f t="shared" si="271"/>
        <v>1115.5746904493815</v>
      </c>
      <c r="R534" s="1364"/>
      <c r="S534" s="1326"/>
      <c r="T534" s="1321"/>
      <c r="U534" s="1326"/>
      <c r="V534" s="1320" t="s">
        <v>5460</v>
      </c>
      <c r="Y534" s="1324"/>
    </row>
    <row r="535" spans="1:25">
      <c r="A535" s="1320" t="s">
        <v>4871</v>
      </c>
      <c r="B535" s="1321"/>
      <c r="C535" s="1322">
        <v>12</v>
      </c>
      <c r="G535" s="1320"/>
      <c r="M535" s="1324"/>
      <c r="P535" s="1325"/>
      <c r="R535" s="1324"/>
      <c r="S535" s="1326"/>
      <c r="T535" s="1321"/>
      <c r="U535" s="1326"/>
      <c r="Y535" s="1324"/>
    </row>
    <row r="536" spans="1:25">
      <c r="A536" s="1320" t="s">
        <v>4871</v>
      </c>
      <c r="C536" s="1322">
        <v>13</v>
      </c>
      <c r="D536" s="1356" t="s">
        <v>5461</v>
      </c>
      <c r="G536" s="1320"/>
      <c r="M536" s="1324"/>
      <c r="P536" s="1325"/>
      <c r="R536" s="1324"/>
      <c r="S536" s="1324"/>
      <c r="Y536" s="1324"/>
    </row>
    <row r="537" spans="1:25">
      <c r="A537" s="1320" t="s">
        <v>4871</v>
      </c>
      <c r="B537" s="1320">
        <v>101</v>
      </c>
      <c r="C537" s="1322">
        <v>14</v>
      </c>
      <c r="D537" s="1320" t="s">
        <v>5265</v>
      </c>
      <c r="E537" s="1320" t="s">
        <v>4067</v>
      </c>
      <c r="F537" s="1358">
        <f>+'Allocation Assignment'!F195</f>
        <v>45178.813847395977</v>
      </c>
      <c r="G537" s="1358">
        <f>+$F537*G$1933</f>
        <v>0</v>
      </c>
      <c r="H537" s="1358">
        <f>+$F537*H$1933</f>
        <v>45178.813847395977</v>
      </c>
      <c r="I537" s="1323">
        <f t="shared" ref="I537:I545" si="272">IF(F537=0,0,+H537/F537)</f>
        <v>1</v>
      </c>
      <c r="J537" s="1364">
        <f t="shared" ref="J537:J544" si="273">+H537</f>
        <v>45178.813847395977</v>
      </c>
      <c r="K537" s="1324">
        <f t="shared" ref="K537:Q537" si="274">$J537*K$1951</f>
        <v>25942.337533908012</v>
      </c>
      <c r="L537" s="1324">
        <f t="shared" si="274"/>
        <v>2157.3815402200389</v>
      </c>
      <c r="M537" s="1324">
        <f t="shared" si="274"/>
        <v>13962.379846739892</v>
      </c>
      <c r="N537" s="1324">
        <f t="shared" si="274"/>
        <v>1784.4866406902479</v>
      </c>
      <c r="O537" s="1324">
        <f t="shared" si="274"/>
        <v>1284.3006339609412</v>
      </c>
      <c r="P537" s="1324">
        <f t="shared" si="274"/>
        <v>47.927651876847541</v>
      </c>
      <c r="Q537" s="1324">
        <f t="shared" si="274"/>
        <v>0</v>
      </c>
      <c r="R537" s="1324"/>
      <c r="S537" s="1324">
        <v>122</v>
      </c>
      <c r="V537" s="1321" t="s">
        <v>9476</v>
      </c>
      <c r="W537" s="1321">
        <v>122</v>
      </c>
      <c r="Y537" s="1324"/>
    </row>
    <row r="538" spans="1:25">
      <c r="A538" s="1320" t="s">
        <v>4871</v>
      </c>
      <c r="B538" s="1320">
        <v>201</v>
      </c>
      <c r="C538" s="1322">
        <v>15</v>
      </c>
      <c r="D538" s="1320" t="s">
        <v>5265</v>
      </c>
      <c r="E538" s="1320" t="s">
        <v>2067</v>
      </c>
      <c r="F538" s="1358">
        <f>+'Allocation Assignment'!F196</f>
        <v>4255.2539766352529</v>
      </c>
      <c r="G538" s="1358">
        <f>+$F538*G$1969</f>
        <v>0</v>
      </c>
      <c r="H538" s="1358">
        <f>+$F538*H$1969</f>
        <v>4255.2539766352529</v>
      </c>
      <c r="I538" s="1323">
        <f t="shared" si="272"/>
        <v>1</v>
      </c>
      <c r="J538" s="1364">
        <f t="shared" si="273"/>
        <v>4255.2539766352529</v>
      </c>
      <c r="K538" s="1364">
        <f t="shared" ref="K538:Q538" si="275">+$J538*K$1969</f>
        <v>2147.3466234014431</v>
      </c>
      <c r="L538" s="1364">
        <f t="shared" si="275"/>
        <v>198.4399655075911</v>
      </c>
      <c r="M538" s="1364">
        <f t="shared" si="275"/>
        <v>1478.300666408194</v>
      </c>
      <c r="N538" s="1367">
        <f t="shared" si="275"/>
        <v>235.32169684758441</v>
      </c>
      <c r="O538" s="1367">
        <f t="shared" si="275"/>
        <v>173.36428601583754</v>
      </c>
      <c r="P538" s="1367">
        <f t="shared" si="275"/>
        <v>22.480738454602513</v>
      </c>
      <c r="Q538" s="1364">
        <f t="shared" si="275"/>
        <v>0</v>
      </c>
      <c r="R538" s="1358"/>
      <c r="S538" s="1320">
        <v>201</v>
      </c>
      <c r="V538" s="1321" t="s">
        <v>5235</v>
      </c>
      <c r="W538" s="1321">
        <v>201</v>
      </c>
      <c r="Y538" s="1324"/>
    </row>
    <row r="539" spans="1:25">
      <c r="A539" s="1320" t="s">
        <v>4871</v>
      </c>
      <c r="B539" s="1320">
        <v>117</v>
      </c>
      <c r="C539" s="1322">
        <v>16</v>
      </c>
      <c r="D539" s="1320" t="s">
        <v>5268</v>
      </c>
      <c r="E539" s="1320" t="s">
        <v>4067</v>
      </c>
      <c r="F539" s="1358">
        <f>+'Allocation Assignment'!F197</f>
        <v>3566.862819868461</v>
      </c>
      <c r="G539" s="1358">
        <f>+$F539*G$1942+(231/472*'Separation F'!C6)</f>
        <v>247.50794166441131</v>
      </c>
      <c r="H539" s="1358">
        <f>+$F539*H$1942+(3336/6814*-'Separation F'!C6)</f>
        <v>3319.3490565130601</v>
      </c>
      <c r="I539" s="1323">
        <f t="shared" si="272"/>
        <v>0.93060743407997715</v>
      </c>
      <c r="J539" s="1364">
        <f t="shared" si="273"/>
        <v>3319.3490565130601</v>
      </c>
      <c r="K539" s="1364">
        <f t="shared" ref="K539:Q540" si="276">+$J539*K$1945</f>
        <v>1925.2657374999299</v>
      </c>
      <c r="L539" s="1364">
        <f t="shared" si="276"/>
        <v>158.81500404480454</v>
      </c>
      <c r="M539" s="1364">
        <f t="shared" si="276"/>
        <v>1015.2245341642097</v>
      </c>
      <c r="N539" s="1367">
        <f t="shared" si="276"/>
        <v>126.73732212895747</v>
      </c>
      <c r="O539" s="1367">
        <f t="shared" si="276"/>
        <v>90.953064729423318</v>
      </c>
      <c r="P539" s="1367">
        <f t="shared" si="276"/>
        <v>2.3533939457353434</v>
      </c>
      <c r="Q539" s="1364">
        <f t="shared" si="276"/>
        <v>0</v>
      </c>
      <c r="R539" s="1358"/>
      <c r="S539" s="1320">
        <v>118</v>
      </c>
      <c r="V539" s="1321" t="s">
        <v>9477</v>
      </c>
      <c r="W539" s="1321">
        <v>117</v>
      </c>
      <c r="Y539" s="1324"/>
    </row>
    <row r="540" spans="1:25">
      <c r="A540" s="1320" t="s">
        <v>4871</v>
      </c>
      <c r="B540" s="1320">
        <v>117</v>
      </c>
      <c r="C540" s="1322">
        <v>17</v>
      </c>
      <c r="D540" s="1320" t="s">
        <v>5239</v>
      </c>
      <c r="E540" s="1320" t="s">
        <v>4067</v>
      </c>
      <c r="F540" s="1358">
        <f>+'Allocation Assignment'!F198</f>
        <v>3719.0599808262937</v>
      </c>
      <c r="G540" s="1358">
        <f>+$F540*G$1942+(241/472*'Separation F'!C6)</f>
        <v>258.0792312315964</v>
      </c>
      <c r="H540" s="1358">
        <f>+$F540*H$1942+(3478/6814*-'Separation F'!C6)</f>
        <v>3460.9865712856863</v>
      </c>
      <c r="I540" s="1323">
        <f t="shared" si="272"/>
        <v>0.93060789262041721</v>
      </c>
      <c r="J540" s="1364">
        <f t="shared" si="273"/>
        <v>3460.9865712856863</v>
      </c>
      <c r="K540" s="1364">
        <f t="shared" si="276"/>
        <v>2007.4173430387686</v>
      </c>
      <c r="L540" s="1364">
        <f t="shared" si="276"/>
        <v>165.59168287506307</v>
      </c>
      <c r="M540" s="1364">
        <f t="shared" si="276"/>
        <v>1058.5444374064043</v>
      </c>
      <c r="N540" s="1367">
        <f t="shared" si="276"/>
        <v>132.14523766590926</v>
      </c>
      <c r="O540" s="1367">
        <f t="shared" si="276"/>
        <v>94.834056402761263</v>
      </c>
      <c r="P540" s="1367">
        <f t="shared" si="276"/>
        <v>2.453813896779919</v>
      </c>
      <c r="Q540" s="1364">
        <f t="shared" si="276"/>
        <v>0</v>
      </c>
      <c r="R540" s="1358"/>
      <c r="S540" s="1320">
        <v>118</v>
      </c>
      <c r="V540" s="1321" t="s">
        <v>9477</v>
      </c>
      <c r="W540" s="1321">
        <v>117</v>
      </c>
      <c r="Y540" s="1324"/>
    </row>
    <row r="541" spans="1:25">
      <c r="A541" s="1320" t="s">
        <v>4871</v>
      </c>
      <c r="B541" s="1320">
        <v>105</v>
      </c>
      <c r="C541" s="1322">
        <v>18</v>
      </c>
      <c r="D541" s="1320" t="s">
        <v>5240</v>
      </c>
      <c r="E541" s="1320" t="s">
        <v>4067</v>
      </c>
      <c r="F541" s="1358">
        <f>+'Allocation Assignment'!F199</f>
        <v>13501.612617971328</v>
      </c>
      <c r="G541" s="1358">
        <f>+$F541*G$1936</f>
        <v>0</v>
      </c>
      <c r="H541" s="1358">
        <f>+$F541*H$1936</f>
        <v>13501.612617971328</v>
      </c>
      <c r="I541" s="1323">
        <f t="shared" si="272"/>
        <v>1</v>
      </c>
      <c r="J541" s="1364">
        <f t="shared" si="273"/>
        <v>13501.612617971328</v>
      </c>
      <c r="K541" s="1364">
        <f t="shared" ref="K541:Q541" si="277">+$J541*K$1936</f>
        <v>8403.6198822859878</v>
      </c>
      <c r="L541" s="1364">
        <f t="shared" si="277"/>
        <v>597.68652280588435</v>
      </c>
      <c r="M541" s="1364">
        <f t="shared" si="277"/>
        <v>4001.8844500507234</v>
      </c>
      <c r="N541" s="1367">
        <f t="shared" si="277"/>
        <v>420.91778189646482</v>
      </c>
      <c r="O541" s="1367">
        <f t="shared" si="277"/>
        <v>2.8739446151797077E-4</v>
      </c>
      <c r="P541" s="1367">
        <f t="shared" si="277"/>
        <v>77.503693537809866</v>
      </c>
      <c r="Q541" s="1364">
        <f t="shared" si="277"/>
        <v>0</v>
      </c>
      <c r="R541" s="1358"/>
      <c r="S541" s="1320">
        <v>105</v>
      </c>
      <c r="V541" s="1321" t="s">
        <v>5229</v>
      </c>
      <c r="W541" s="1321">
        <v>105</v>
      </c>
      <c r="Y541" s="1324"/>
    </row>
    <row r="542" spans="1:25">
      <c r="A542" s="1320" t="s">
        <v>4871</v>
      </c>
      <c r="B542" s="1320">
        <v>106</v>
      </c>
      <c r="C542" s="1322">
        <v>19</v>
      </c>
      <c r="D542" s="1320" t="s">
        <v>5241</v>
      </c>
      <c r="E542" s="1320" t="s">
        <v>4067</v>
      </c>
      <c r="F542" s="1358">
        <f>+'Allocation Assignment'!F200</f>
        <v>6720.3736446159619</v>
      </c>
      <c r="G542" s="1358">
        <f>+$F542*G$1939</f>
        <v>0</v>
      </c>
      <c r="H542" s="1358">
        <f>+$F542*H$1939</f>
        <v>6720.3736446159619</v>
      </c>
      <c r="I542" s="1323">
        <f t="shared" si="272"/>
        <v>1</v>
      </c>
      <c r="J542" s="1364">
        <f t="shared" si="273"/>
        <v>6720.3736446159619</v>
      </c>
      <c r="K542" s="1364">
        <f t="shared" ref="K542:Q542" si="278">+$J542*K$1939</f>
        <v>4903.4081394299919</v>
      </c>
      <c r="L542" s="1364">
        <f t="shared" si="278"/>
        <v>394.82166940945172</v>
      </c>
      <c r="M542" s="1364">
        <f t="shared" si="278"/>
        <v>1397.833366598697</v>
      </c>
      <c r="N542" s="1367">
        <f t="shared" si="278"/>
        <v>0</v>
      </c>
      <c r="O542" s="1367">
        <f t="shared" si="278"/>
        <v>0</v>
      </c>
      <c r="P542" s="1367">
        <f t="shared" si="278"/>
        <v>24.3104691778213</v>
      </c>
      <c r="Q542" s="1364">
        <f t="shared" si="278"/>
        <v>0</v>
      </c>
      <c r="R542" s="1358"/>
      <c r="S542" s="1320">
        <v>106</v>
      </c>
      <c r="V542" s="1321" t="s">
        <v>5230</v>
      </c>
      <c r="W542" s="1321">
        <v>106</v>
      </c>
    </row>
    <row r="543" spans="1:25">
      <c r="A543" s="1320" t="s">
        <v>4871</v>
      </c>
      <c r="B543" s="1320">
        <v>907</v>
      </c>
      <c r="C543" s="1322">
        <v>20</v>
      </c>
      <c r="D543" s="1320" t="s">
        <v>5242</v>
      </c>
      <c r="E543" s="1320" t="s">
        <v>4071</v>
      </c>
      <c r="F543" s="1358">
        <f>+'Allocation Assignment'!F201</f>
        <v>6321.6488663677383</v>
      </c>
      <c r="G543" s="1358">
        <f>+$F543*G$2055</f>
        <v>0</v>
      </c>
      <c r="H543" s="1358">
        <f>+$F543*H$2055</f>
        <v>6321.6488663677383</v>
      </c>
      <c r="I543" s="1323">
        <f t="shared" si="272"/>
        <v>1</v>
      </c>
      <c r="J543" s="1364">
        <f t="shared" si="273"/>
        <v>6321.6488663677383</v>
      </c>
      <c r="K543" s="1364">
        <f t="shared" ref="K543:Q543" si="279">+$J543*K$2055</f>
        <v>2330.5183443606479</v>
      </c>
      <c r="L543" s="1364">
        <f t="shared" si="279"/>
        <v>353.50898984146534</v>
      </c>
      <c r="M543" s="1364">
        <f t="shared" si="279"/>
        <v>170.42641641931397</v>
      </c>
      <c r="N543" s="1367">
        <f t="shared" si="279"/>
        <v>10.986563028792645</v>
      </c>
      <c r="O543" s="1367">
        <f t="shared" si="279"/>
        <v>11.986801459715538</v>
      </c>
      <c r="P543" s="1367">
        <f t="shared" si="279"/>
        <v>2.7511139800307816</v>
      </c>
      <c r="Q543" s="1364">
        <f t="shared" si="279"/>
        <v>3441.4706372777728</v>
      </c>
      <c r="R543" s="1358"/>
      <c r="S543" s="1320">
        <v>907</v>
      </c>
      <c r="V543" s="1321" t="s">
        <v>5243</v>
      </c>
      <c r="W543" s="1321">
        <v>907</v>
      </c>
    </row>
    <row r="544" spans="1:25">
      <c r="A544" s="1320" t="s">
        <v>4871</v>
      </c>
      <c r="B544" s="1324">
        <v>412</v>
      </c>
      <c r="C544" s="1393">
        <v>21</v>
      </c>
      <c r="D544" s="1324" t="s">
        <v>5244</v>
      </c>
      <c r="E544" s="1324" t="s">
        <v>4071</v>
      </c>
      <c r="F544" s="1358">
        <f>+'Allocation Assignment'!F202</f>
        <v>1532.8072463189651</v>
      </c>
      <c r="G544" s="1364">
        <f>+$F544*G$2021</f>
        <v>0</v>
      </c>
      <c r="H544" s="1364">
        <f>+$F544*H$2021</f>
        <v>1532.8072463189651</v>
      </c>
      <c r="I544" s="1323">
        <f t="shared" si="272"/>
        <v>1</v>
      </c>
      <c r="J544" s="1364">
        <f t="shared" si="273"/>
        <v>1532.8072463189651</v>
      </c>
      <c r="K544" s="1364">
        <f t="shared" ref="K544:Q544" si="280">+$J544*K$2021</f>
        <v>1367.0905722410614</v>
      </c>
      <c r="L544" s="1364">
        <f t="shared" si="280"/>
        <v>132.52712416497192</v>
      </c>
      <c r="M544" s="1364">
        <f t="shared" si="280"/>
        <v>32.640301255953482</v>
      </c>
      <c r="N544" s="1367">
        <f t="shared" si="280"/>
        <v>0.11020523214448161</v>
      </c>
      <c r="O544" s="1367">
        <f t="shared" si="280"/>
        <v>1.9552541186924156E-2</v>
      </c>
      <c r="P544" s="1367">
        <f t="shared" si="280"/>
        <v>0.41949088364673642</v>
      </c>
      <c r="Q544" s="1364">
        <f t="shared" si="280"/>
        <v>0</v>
      </c>
      <c r="R544" s="1358"/>
      <c r="S544" s="1320">
        <v>412</v>
      </c>
      <c r="V544" s="1321" t="s">
        <v>5245</v>
      </c>
      <c r="W544" s="1321">
        <v>412</v>
      </c>
      <c r="Y544" s="1324"/>
    </row>
    <row r="545" spans="1:27">
      <c r="A545" s="1320" t="s">
        <v>4871</v>
      </c>
      <c r="B545" s="1321"/>
      <c r="C545" s="1322">
        <v>22</v>
      </c>
      <c r="D545" s="1320" t="s">
        <v>5462</v>
      </c>
      <c r="F545" s="1427">
        <f>+SUM(F537:F544)</f>
        <v>84796.432999999975</v>
      </c>
      <c r="G545" s="1427">
        <f>SUM(G537:G544)</f>
        <v>505.5871728960077</v>
      </c>
      <c r="H545" s="1427">
        <f>SUM(H537:H544)</f>
        <v>84290.845827103971</v>
      </c>
      <c r="I545" s="1323">
        <f t="shared" si="272"/>
        <v>0.9940376363131217</v>
      </c>
      <c r="J545" s="1421">
        <f t="shared" ref="J545:Q545" si="281">SUM(J537:J544)</f>
        <v>84290.845827103971</v>
      </c>
      <c r="K545" s="1421">
        <f t="shared" si="281"/>
        <v>49027.00417616585</v>
      </c>
      <c r="L545" s="1421">
        <f t="shared" si="281"/>
        <v>4158.7724988692707</v>
      </c>
      <c r="M545" s="1421">
        <f t="shared" si="281"/>
        <v>23117.234019043386</v>
      </c>
      <c r="N545" s="1422">
        <f t="shared" si="281"/>
        <v>2710.7054474901015</v>
      </c>
      <c r="O545" s="1422">
        <f>SUM(O537:O544)</f>
        <v>1655.4586825043273</v>
      </c>
      <c r="P545" s="1422">
        <f>SUM(P537:P544)</f>
        <v>180.20036575327401</v>
      </c>
      <c r="Q545" s="1421">
        <f t="shared" si="281"/>
        <v>3441.4706372777728</v>
      </c>
      <c r="R545" s="1358"/>
      <c r="S545" s="1321"/>
      <c r="T545" s="1321"/>
      <c r="U545" s="1326"/>
      <c r="V545" s="1320" t="s">
        <v>5463</v>
      </c>
      <c r="Y545" s="1324"/>
    </row>
    <row r="546" spans="1:27">
      <c r="A546" s="1320" t="s">
        <v>4871</v>
      </c>
      <c r="B546" s="1321"/>
      <c r="C546" s="1322">
        <v>23</v>
      </c>
      <c r="G546" s="1320"/>
      <c r="M546" s="1324"/>
      <c r="P546" s="1325"/>
      <c r="S546" s="1321"/>
      <c r="T546" s="1321"/>
      <c r="U546" s="1326"/>
      <c r="Y546" s="1324"/>
    </row>
    <row r="547" spans="1:27">
      <c r="A547" s="1320" t="s">
        <v>4871</v>
      </c>
      <c r="B547" s="1321"/>
      <c r="C547" s="1322">
        <v>24</v>
      </c>
      <c r="G547" s="1320"/>
      <c r="M547" s="1324"/>
      <c r="P547" s="1325"/>
      <c r="S547" s="1321"/>
      <c r="T547" s="1321"/>
      <c r="U547" s="1326"/>
      <c r="Y547" s="1324"/>
    </row>
    <row r="548" spans="1:27">
      <c r="A548" s="1320" t="s">
        <v>4871</v>
      </c>
      <c r="B548" s="1321"/>
      <c r="C548" s="1322">
        <v>25</v>
      </c>
      <c r="D548" s="1356" t="s">
        <v>5464</v>
      </c>
      <c r="G548" s="1320"/>
      <c r="M548" s="1324"/>
      <c r="P548" s="1325"/>
      <c r="S548" s="1321"/>
      <c r="T548" s="1321"/>
      <c r="U548" s="1326"/>
      <c r="Y548" s="1324"/>
    </row>
    <row r="549" spans="1:27">
      <c r="A549" s="1320" t="s">
        <v>4871</v>
      </c>
      <c r="B549" s="1320">
        <v>101</v>
      </c>
      <c r="C549" s="1322">
        <v>26</v>
      </c>
      <c r="D549" s="1320" t="s">
        <v>5265</v>
      </c>
      <c r="E549" s="1320" t="s">
        <v>4067</v>
      </c>
      <c r="F549" s="1358">
        <f>+'Allocation Assignment'!F203</f>
        <v>-75.539735384829342</v>
      </c>
      <c r="G549" s="1358">
        <f>+$F549*G$1933</f>
        <v>0</v>
      </c>
      <c r="H549" s="1358">
        <f>+$F549*H$1933</f>
        <v>-75.539735384829342</v>
      </c>
      <c r="I549" s="1323">
        <f t="shared" ref="I549:I557" si="282">IF(F549=0,0,+H549/F549)</f>
        <v>1</v>
      </c>
      <c r="J549" s="1364">
        <f t="shared" ref="J549:J556" si="283">+H549</f>
        <v>-75.539735384829342</v>
      </c>
      <c r="K549" s="1324">
        <f t="shared" ref="K549:Q549" si="284">$J549*K$1951</f>
        <v>-43.376023974305589</v>
      </c>
      <c r="L549" s="1324">
        <f t="shared" si="284"/>
        <v>-3.6071781614897462</v>
      </c>
      <c r="M549" s="1324">
        <f t="shared" si="284"/>
        <v>-23.345333556737398</v>
      </c>
      <c r="N549" s="1324">
        <f t="shared" si="284"/>
        <v>-2.9836916279127581</v>
      </c>
      <c r="O549" s="1324">
        <f t="shared" si="284"/>
        <v>-2.1473722256559395</v>
      </c>
      <c r="P549" s="1324">
        <f t="shared" si="284"/>
        <v>-8.0135838727912023E-2</v>
      </c>
      <c r="Q549" s="1324">
        <f t="shared" si="284"/>
        <v>0</v>
      </c>
      <c r="R549" s="1324"/>
      <c r="S549" s="1324">
        <v>122</v>
      </c>
      <c r="V549" s="1321" t="s">
        <v>9476</v>
      </c>
      <c r="W549" s="1321">
        <v>122</v>
      </c>
      <c r="Y549" s="1324"/>
    </row>
    <row r="550" spans="1:27">
      <c r="A550" s="1320" t="s">
        <v>4871</v>
      </c>
      <c r="B550" s="1320">
        <v>201</v>
      </c>
      <c r="C550" s="1322">
        <v>27</v>
      </c>
      <c r="D550" s="1320" t="s">
        <v>5265</v>
      </c>
      <c r="E550" s="1320" t="s">
        <v>2067</v>
      </c>
      <c r="F550" s="1358">
        <f>+'Allocation Assignment'!F204</f>
        <v>-5.6810294570698723</v>
      </c>
      <c r="G550" s="1358">
        <f>+$F550*G$1969</f>
        <v>0</v>
      </c>
      <c r="H550" s="1358">
        <f>+$F550*H$1969</f>
        <v>-5.6810294570698723</v>
      </c>
      <c r="I550" s="1323">
        <f t="shared" si="282"/>
        <v>1</v>
      </c>
      <c r="J550" s="1364">
        <f t="shared" si="283"/>
        <v>-5.6810294570698723</v>
      </c>
      <c r="K550" s="1364">
        <f t="shared" ref="K550:Q550" si="285">+$J550*K$1969</f>
        <v>-2.8668416712765334</v>
      </c>
      <c r="L550" s="1364">
        <f t="shared" si="285"/>
        <v>-0.26492973056333902</v>
      </c>
      <c r="M550" s="1364">
        <f t="shared" si="285"/>
        <v>-1.9736235905974564</v>
      </c>
      <c r="N550" s="1367">
        <f t="shared" si="285"/>
        <v>-0.31416914219909692</v>
      </c>
      <c r="O550" s="1367">
        <f t="shared" si="285"/>
        <v>-0.23145213448308377</v>
      </c>
      <c r="P550" s="1367">
        <f t="shared" si="285"/>
        <v>-3.0013187950362272E-2</v>
      </c>
      <c r="Q550" s="1364">
        <f t="shared" si="285"/>
        <v>0</v>
      </c>
      <c r="R550" s="1358"/>
      <c r="S550" s="1320">
        <v>201</v>
      </c>
      <c r="V550" s="1321" t="s">
        <v>5235</v>
      </c>
      <c r="W550" s="1321">
        <v>201</v>
      </c>
      <c r="Y550" s="1324"/>
    </row>
    <row r="551" spans="1:27">
      <c r="A551" s="1320" t="s">
        <v>4871</v>
      </c>
      <c r="B551" s="1320">
        <v>117</v>
      </c>
      <c r="C551" s="1322">
        <v>28</v>
      </c>
      <c r="D551" s="1320" t="s">
        <v>5268</v>
      </c>
      <c r="E551" s="1320" t="s">
        <v>4067</v>
      </c>
      <c r="F551" s="1358">
        <f>+'Allocation Assignment'!F205</f>
        <v>-5.9588556469141762</v>
      </c>
      <c r="G551" s="1358">
        <f>+$F551*G$1942</f>
        <v>-0.38605552252937719</v>
      </c>
      <c r="H551" s="1358">
        <f>+$F551*H$1942</f>
        <v>-5.5728001243847984</v>
      </c>
      <c r="I551" s="1323">
        <f t="shared" si="282"/>
        <v>0.93521314403222733</v>
      </c>
      <c r="J551" s="1364">
        <f t="shared" si="283"/>
        <v>-5.5728001243847984</v>
      </c>
      <c r="K551" s="1364">
        <f t="shared" ref="K551:Q552" si="286">+$J551*K$1945</f>
        <v>-3.2322967421462523</v>
      </c>
      <c r="L551" s="1364">
        <f t="shared" si="286"/>
        <v>-0.26663187848788289</v>
      </c>
      <c r="M551" s="1364">
        <f t="shared" si="286"/>
        <v>-1.7044436466142849</v>
      </c>
      <c r="N551" s="1367">
        <f t="shared" si="286"/>
        <v>-0.2127771898946933</v>
      </c>
      <c r="O551" s="1367">
        <f t="shared" si="286"/>
        <v>-0.15269959314545944</v>
      </c>
      <c r="P551" s="1367">
        <f t="shared" si="286"/>
        <v>-3.9510740962258161E-3</v>
      </c>
      <c r="Q551" s="1364">
        <f t="shared" si="286"/>
        <v>0</v>
      </c>
      <c r="R551" s="1358"/>
      <c r="S551" s="1320">
        <v>118</v>
      </c>
      <c r="V551" s="1321" t="s">
        <v>9477</v>
      </c>
      <c r="W551" s="1321">
        <v>117</v>
      </c>
      <c r="Y551" s="1324"/>
    </row>
    <row r="552" spans="1:27">
      <c r="A552" s="1320" t="s">
        <v>4871</v>
      </c>
      <c r="B552" s="1320">
        <v>117</v>
      </c>
      <c r="C552" s="1322">
        <v>29</v>
      </c>
      <c r="D552" s="1320" t="s">
        <v>5239</v>
      </c>
      <c r="E552" s="1320" t="s">
        <v>4067</v>
      </c>
      <c r="F552" s="1358">
        <f>+'Allocation Assignment'!F206</f>
        <v>-6.4685036733525862</v>
      </c>
      <c r="G552" s="1358">
        <f>+$F552*G$1942</f>
        <v>-0.41907401581250198</v>
      </c>
      <c r="H552" s="1358">
        <f>+$F552*H$1942</f>
        <v>-6.0494296575400837</v>
      </c>
      <c r="I552" s="1323">
        <f t="shared" si="282"/>
        <v>0.93521314403222733</v>
      </c>
      <c r="J552" s="1364">
        <f t="shared" si="283"/>
        <v>-6.0494296575400837</v>
      </c>
      <c r="K552" s="1364">
        <f t="shared" si="286"/>
        <v>-3.5087480866843967</v>
      </c>
      <c r="L552" s="1364">
        <f t="shared" si="286"/>
        <v>-0.28943632597056124</v>
      </c>
      <c r="M552" s="1364">
        <f t="shared" si="286"/>
        <v>-1.8502210226986178</v>
      </c>
      <c r="N552" s="1367">
        <f t="shared" si="286"/>
        <v>-0.23097556242232758</v>
      </c>
      <c r="O552" s="1367">
        <f t="shared" si="286"/>
        <v>-0.16575965885200708</v>
      </c>
      <c r="P552" s="1367">
        <f t="shared" si="286"/>
        <v>-4.2890009121734716E-3</v>
      </c>
      <c r="Q552" s="1364">
        <f t="shared" si="286"/>
        <v>0</v>
      </c>
      <c r="R552" s="1358"/>
      <c r="S552" s="1320">
        <v>118</v>
      </c>
      <c r="V552" s="1321" t="s">
        <v>9477</v>
      </c>
      <c r="W552" s="1321">
        <v>117</v>
      </c>
    </row>
    <row r="553" spans="1:27">
      <c r="A553" s="1320" t="s">
        <v>4871</v>
      </c>
      <c r="B553" s="1320">
        <v>105</v>
      </c>
      <c r="C553" s="1322">
        <v>30</v>
      </c>
      <c r="D553" s="1320" t="s">
        <v>5240</v>
      </c>
      <c r="E553" s="1320" t="s">
        <v>4067</v>
      </c>
      <c r="F553" s="1358">
        <f>+'Allocation Assignment'!F207</f>
        <v>-21.077596574183623</v>
      </c>
      <c r="G553" s="1358">
        <f>+$F553*G$1936</f>
        <v>0</v>
      </c>
      <c r="H553" s="1358">
        <f>+$F553*H$1936</f>
        <v>-21.077596574183623</v>
      </c>
      <c r="I553" s="1323">
        <f t="shared" si="282"/>
        <v>1</v>
      </c>
      <c r="J553" s="1364">
        <f t="shared" si="283"/>
        <v>-21.077596574183623</v>
      </c>
      <c r="K553" s="1364">
        <f t="shared" ref="K553:Q553" si="287">+$J553*K$1936</f>
        <v>-13.119033603870848</v>
      </c>
      <c r="L553" s="1364">
        <f t="shared" si="287"/>
        <v>-0.93305857322263319</v>
      </c>
      <c r="M553" s="1364">
        <f t="shared" si="287"/>
        <v>-6.247409725145987</v>
      </c>
      <c r="N553" s="1367">
        <f t="shared" si="287"/>
        <v>-0.65710189210323677</v>
      </c>
      <c r="O553" s="1367">
        <f t="shared" si="287"/>
        <v>-4.4865637082992416E-7</v>
      </c>
      <c r="P553" s="1367">
        <f t="shared" si="287"/>
        <v>-0.12099233118455241</v>
      </c>
      <c r="Q553" s="1364">
        <f t="shared" si="287"/>
        <v>0</v>
      </c>
      <c r="R553" s="1358"/>
      <c r="S553" s="1320">
        <v>105</v>
      </c>
      <c r="V553" s="1321" t="s">
        <v>5229</v>
      </c>
      <c r="W553" s="1321">
        <v>105</v>
      </c>
    </row>
    <row r="554" spans="1:27">
      <c r="A554" s="1320" t="s">
        <v>4871</v>
      </c>
      <c r="B554" s="1320">
        <v>106</v>
      </c>
      <c r="C554" s="1322">
        <v>31</v>
      </c>
      <c r="D554" s="1320" t="s">
        <v>5241</v>
      </c>
      <c r="E554" s="1320" t="s">
        <v>4067</v>
      </c>
      <c r="F554" s="1358">
        <f>+'Allocation Assignment'!F208</f>
        <v>-9.2657640190814323</v>
      </c>
      <c r="G554" s="1358">
        <f>+$F554*G$1939</f>
        <v>0</v>
      </c>
      <c r="H554" s="1358">
        <f>+$F554*H$1939</f>
        <v>-9.2657640190814323</v>
      </c>
      <c r="I554" s="1323">
        <f t="shared" si="282"/>
        <v>1</v>
      </c>
      <c r="J554" s="1364">
        <f t="shared" si="283"/>
        <v>-9.2657640190814323</v>
      </c>
      <c r="K554" s="1364">
        <f t="shared" ref="K554:Q554" si="288">+$J554*K$1939</f>
        <v>-6.7606096196155443</v>
      </c>
      <c r="L554" s="1364">
        <f t="shared" si="288"/>
        <v>-0.54436324701955141</v>
      </c>
      <c r="M554" s="1364">
        <f t="shared" si="288"/>
        <v>-1.9272729163322908</v>
      </c>
      <c r="N554" s="1367">
        <f t="shared" si="288"/>
        <v>0</v>
      </c>
      <c r="O554" s="1367">
        <f t="shared" si="288"/>
        <v>0</v>
      </c>
      <c r="P554" s="1367">
        <f t="shared" si="288"/>
        <v>-3.3518236114045273E-2</v>
      </c>
      <c r="Q554" s="1364">
        <f t="shared" si="288"/>
        <v>0</v>
      </c>
      <c r="R554" s="1358"/>
      <c r="S554" s="1320">
        <v>106</v>
      </c>
      <c r="V554" s="1321" t="s">
        <v>5230</v>
      </c>
      <c r="W554" s="1321">
        <v>106</v>
      </c>
      <c r="Y554" s="1324"/>
    </row>
    <row r="555" spans="1:27">
      <c r="A555" s="1320" t="s">
        <v>4871</v>
      </c>
      <c r="B555" s="1320">
        <v>907</v>
      </c>
      <c r="C555" s="1322">
        <v>32</v>
      </c>
      <c r="D555" s="1320" t="s">
        <v>5242</v>
      </c>
      <c r="E555" s="1320" t="s">
        <v>4071</v>
      </c>
      <c r="F555" s="1358">
        <f>+'Allocation Assignment'!F209</f>
        <v>-9.0379992857176283</v>
      </c>
      <c r="G555" s="1358">
        <f>+$F555*G$2055</f>
        <v>0</v>
      </c>
      <c r="H555" s="1358">
        <f>+$F555*H$2055</f>
        <v>-9.0379992857176283</v>
      </c>
      <c r="I555" s="1323">
        <f t="shared" si="282"/>
        <v>1</v>
      </c>
      <c r="J555" s="1364">
        <f t="shared" si="283"/>
        <v>-9.0379992857176283</v>
      </c>
      <c r="K555" s="1364">
        <f t="shared" ref="K555:Q555" si="289">+$J555*K$2055</f>
        <v>-3.3319191838925666</v>
      </c>
      <c r="L555" s="1364">
        <f t="shared" si="289"/>
        <v>-0.50540833020320841</v>
      </c>
      <c r="M555" s="1364">
        <f t="shared" si="289"/>
        <v>-0.24365697342981352</v>
      </c>
      <c r="N555" s="1367">
        <f t="shared" si="289"/>
        <v>-1.5707381239567792E-2</v>
      </c>
      <c r="O555" s="1367">
        <f t="shared" si="289"/>
        <v>-1.7137412298762433E-2</v>
      </c>
      <c r="P555" s="1367">
        <f t="shared" si="289"/>
        <v>-3.9332406326345907E-3</v>
      </c>
      <c r="Q555" s="1364">
        <f t="shared" si="289"/>
        <v>-4.9202367640210758</v>
      </c>
      <c r="R555" s="1358"/>
      <c r="S555" s="1320">
        <v>907</v>
      </c>
      <c r="V555" s="1321" t="s">
        <v>5243</v>
      </c>
      <c r="W555" s="1321">
        <v>907</v>
      </c>
      <c r="Y555" s="1324"/>
    </row>
    <row r="556" spans="1:27">
      <c r="A556" s="1320" t="s">
        <v>4871</v>
      </c>
      <c r="B556" s="1324">
        <v>412</v>
      </c>
      <c r="C556" s="1322">
        <v>33</v>
      </c>
      <c r="D556" s="1324" t="s">
        <v>5244</v>
      </c>
      <c r="E556" s="1324" t="s">
        <v>4071</v>
      </c>
      <c r="F556" s="1358">
        <f>+'Allocation Assignment'!F210</f>
        <v>-2.7612136328512036</v>
      </c>
      <c r="G556" s="1366">
        <f>+$F556*G$2021</f>
        <v>0</v>
      </c>
      <c r="H556" s="1364">
        <f>+$F556*H$2021</f>
        <v>-2.7612136328512036</v>
      </c>
      <c r="I556" s="1323">
        <f t="shared" si="282"/>
        <v>1</v>
      </c>
      <c r="J556" s="1364">
        <f t="shared" si="283"/>
        <v>-2.7612136328512036</v>
      </c>
      <c r="K556" s="1364">
        <f t="shared" ref="K556:Q556" si="290">+$J556*K$2021</f>
        <v>-2.462690031300165</v>
      </c>
      <c r="L556" s="1364">
        <f t="shared" si="290"/>
        <v>-0.23873562892247466</v>
      </c>
      <c r="M556" s="1364">
        <f t="shared" si="290"/>
        <v>-5.8798550845025381E-2</v>
      </c>
      <c r="N556" s="1367">
        <f t="shared" si="290"/>
        <v>-1.9852475915654161E-4</v>
      </c>
      <c r="O556" s="1367">
        <f t="shared" si="290"/>
        <v>-3.5222134689063833E-5</v>
      </c>
      <c r="P556" s="1367">
        <f t="shared" si="290"/>
        <v>-7.5567488969264217E-4</v>
      </c>
      <c r="Q556" s="1364">
        <f t="shared" si="290"/>
        <v>0</v>
      </c>
      <c r="R556" s="1358"/>
      <c r="S556" s="1320">
        <v>412</v>
      </c>
      <c r="V556" s="1321" t="s">
        <v>5245</v>
      </c>
      <c r="W556" s="1321">
        <v>412</v>
      </c>
      <c r="Y556" s="1324"/>
    </row>
    <row r="557" spans="1:27">
      <c r="A557" s="1320" t="s">
        <v>4871</v>
      </c>
      <c r="B557" s="1321"/>
      <c r="C557" s="1322">
        <v>34</v>
      </c>
      <c r="D557" s="1320" t="s">
        <v>5465</v>
      </c>
      <c r="F557" s="1427">
        <f>+SUM(F549:F556)</f>
        <v>-135.79069767399983</v>
      </c>
      <c r="G557" s="1427">
        <f>SUM(G549:G556)</f>
        <v>-0.80512953834187917</v>
      </c>
      <c r="H557" s="1427">
        <f>SUM(H549:H556)</f>
        <v>-134.98556813565796</v>
      </c>
      <c r="I557" s="1323">
        <f t="shared" si="282"/>
        <v>0.99407080490686639</v>
      </c>
      <c r="J557" s="1421">
        <f t="shared" ref="J557:Q557" si="291">SUM(J549:J556)</f>
        <v>-134.98556813565796</v>
      </c>
      <c r="K557" s="1421">
        <f t="shared" si="291"/>
        <v>-78.658162913091914</v>
      </c>
      <c r="L557" s="1421">
        <f t="shared" si="291"/>
        <v>-6.6497418758793954</v>
      </c>
      <c r="M557" s="1421">
        <f t="shared" si="291"/>
        <v>-37.350759982400874</v>
      </c>
      <c r="N557" s="1422">
        <f t="shared" si="291"/>
        <v>-4.4146213205308369</v>
      </c>
      <c r="O557" s="1422">
        <f>SUM(O549:O556)</f>
        <v>-2.7144566952263123</v>
      </c>
      <c r="P557" s="1422">
        <f>SUM(P549:P556)</f>
        <v>-0.27758858450759849</v>
      </c>
      <c r="Q557" s="1421">
        <f t="shared" si="291"/>
        <v>-4.9202367640210758</v>
      </c>
      <c r="R557" s="1358"/>
      <c r="S557" s="1321"/>
      <c r="T557" s="1321"/>
      <c r="U557" s="1326"/>
      <c r="V557" s="1320" t="s">
        <v>5466</v>
      </c>
      <c r="Y557" s="1324"/>
    </row>
    <row r="558" spans="1:27">
      <c r="A558" s="1320" t="s">
        <v>4871</v>
      </c>
      <c r="B558" s="1321"/>
      <c r="C558" s="1322">
        <v>35</v>
      </c>
      <c r="F558" s="1358"/>
      <c r="G558" s="1358"/>
      <c r="H558" s="1358"/>
      <c r="J558" s="1364"/>
      <c r="K558" s="1364"/>
      <c r="L558" s="1364"/>
      <c r="M558" s="1364"/>
      <c r="N558" s="1367"/>
      <c r="O558" s="1367"/>
      <c r="P558" s="1367"/>
      <c r="Q558" s="1364"/>
      <c r="R558" s="1358"/>
      <c r="S558" s="1321"/>
      <c r="T558" s="1321"/>
      <c r="U558" s="1326"/>
      <c r="Y558" s="1324"/>
    </row>
    <row r="559" spans="1:27">
      <c r="A559" s="1320" t="s">
        <v>4871</v>
      </c>
      <c r="B559" s="1321"/>
      <c r="C559" s="1322">
        <v>36</v>
      </c>
      <c r="D559" s="1356" t="s">
        <v>5467</v>
      </c>
      <c r="G559" s="1320"/>
      <c r="M559" s="1324"/>
      <c r="P559" s="1325"/>
      <c r="R559" s="1358"/>
      <c r="S559" s="1321"/>
      <c r="T559" s="1321"/>
      <c r="U559" s="1326"/>
      <c r="Y559" s="1324"/>
    </row>
    <row r="560" spans="1:27" s="1324" customFormat="1">
      <c r="A560" s="1324" t="s">
        <v>4871</v>
      </c>
      <c r="B560" s="1326"/>
      <c r="C560" s="1393">
        <v>37</v>
      </c>
      <c r="D560" s="1324" t="s">
        <v>5265</v>
      </c>
      <c r="E560" s="1324" t="s">
        <v>4067</v>
      </c>
      <c r="F560" s="1324">
        <f>+F525+F526+F537+F549</f>
        <v>50567.271535833475</v>
      </c>
      <c r="G560" s="1324">
        <f>+G525+G526+G537+G549</f>
        <v>0</v>
      </c>
      <c r="H560" s="1324">
        <f>+H525+H526+H537+H549</f>
        <v>50567.271535833475</v>
      </c>
      <c r="I560" s="1374">
        <f t="shared" ref="I560:I568" si="292">IF(F560=0,0,+H560/F560)</f>
        <v>1</v>
      </c>
      <c r="J560" s="1324">
        <f>+J525+J526+J537+J549</f>
        <v>50567.271535833475</v>
      </c>
      <c r="K560" s="1324">
        <f t="shared" ref="K560:Q560" si="293">+K525+K526+K537+K549</f>
        <v>29036.468969337111</v>
      </c>
      <c r="L560" s="1324">
        <f t="shared" si="293"/>
        <v>2414.6915082629885</v>
      </c>
      <c r="M560" s="1324">
        <f t="shared" si="293"/>
        <v>15627.666883450947</v>
      </c>
      <c r="N560" s="1324">
        <f t="shared" si="293"/>
        <v>1997.3215945122063</v>
      </c>
      <c r="O560" s="1324">
        <f t="shared" si="293"/>
        <v>1437.4786179759171</v>
      </c>
      <c r="P560" s="1324">
        <f t="shared" si="293"/>
        <v>53.643962294311962</v>
      </c>
      <c r="Q560" s="1324">
        <f t="shared" si="293"/>
        <v>0</v>
      </c>
      <c r="R560" s="1364"/>
      <c r="S560" s="1326"/>
      <c r="T560" s="1326"/>
      <c r="U560" s="1326"/>
      <c r="V560" s="1324" t="s">
        <v>5468</v>
      </c>
      <c r="AA560" s="1320"/>
    </row>
    <row r="561" spans="1:25">
      <c r="A561" s="1320" t="s">
        <v>4871</v>
      </c>
      <c r="B561" s="1321"/>
      <c r="C561" s="1322">
        <v>38</v>
      </c>
      <c r="D561" s="1320" t="s">
        <v>5265</v>
      </c>
      <c r="E561" s="1320" t="s">
        <v>2067</v>
      </c>
      <c r="F561" s="1320">
        <f t="shared" ref="F561:H567" si="294">+F527+F538+F550</f>
        <v>5692.1013325463828</v>
      </c>
      <c r="G561" s="1320">
        <f t="shared" si="294"/>
        <v>0</v>
      </c>
      <c r="H561" s="1320">
        <f t="shared" si="294"/>
        <v>5692.1013325463828</v>
      </c>
      <c r="I561" s="1323">
        <f t="shared" si="292"/>
        <v>1</v>
      </c>
      <c r="J561" s="1324">
        <f t="shared" ref="J561:Q567" si="295">+J527+J538+J550</f>
        <v>5692.1013325463828</v>
      </c>
      <c r="K561" s="1320">
        <f t="shared" si="295"/>
        <v>2872.4289181364743</v>
      </c>
      <c r="L561" s="1320">
        <f t="shared" si="295"/>
        <v>265.44605757924143</v>
      </c>
      <c r="M561" s="1320">
        <f t="shared" si="295"/>
        <v>1977.4700263179056</v>
      </c>
      <c r="N561" s="1320">
        <f t="shared" si="295"/>
        <v>314.78143291986794</v>
      </c>
      <c r="O561" s="1324">
        <f t="shared" si="295"/>
        <v>231.90321632153123</v>
      </c>
      <c r="P561" s="1324">
        <f t="shared" si="295"/>
        <v>30.071681271361683</v>
      </c>
      <c r="Q561" s="1320">
        <f t="shared" si="295"/>
        <v>0</v>
      </c>
      <c r="R561" s="1358"/>
      <c r="S561" s="1321"/>
      <c r="T561" s="1321"/>
      <c r="U561" s="1326"/>
      <c r="V561" s="1320" t="s">
        <v>5469</v>
      </c>
      <c r="Y561" s="1324"/>
    </row>
    <row r="562" spans="1:25">
      <c r="A562" s="1320" t="s">
        <v>4871</v>
      </c>
      <c r="B562" s="1321"/>
      <c r="C562" s="1322">
        <v>39</v>
      </c>
      <c r="D562" s="1320" t="s">
        <v>5268</v>
      </c>
      <c r="E562" s="1320" t="s">
        <v>4067</v>
      </c>
      <c r="F562" s="1320">
        <f t="shared" si="294"/>
        <v>3792.4351118583436</v>
      </c>
      <c r="G562" s="1320">
        <f t="shared" si="294"/>
        <v>262.12206125588023</v>
      </c>
      <c r="H562" s="1320">
        <f t="shared" si="294"/>
        <v>3530.3072289114743</v>
      </c>
      <c r="I562" s="1323">
        <f t="shared" si="292"/>
        <v>0.93088137958452155</v>
      </c>
      <c r="J562" s="1324">
        <f t="shared" si="295"/>
        <v>3530.3072289114743</v>
      </c>
      <c r="K562" s="1320">
        <f t="shared" si="295"/>
        <v>2047.6242284116772</v>
      </c>
      <c r="L562" s="1320">
        <f t="shared" si="295"/>
        <v>168.90834536936339</v>
      </c>
      <c r="M562" s="1320">
        <f t="shared" si="295"/>
        <v>1079.746194482241</v>
      </c>
      <c r="N562" s="1320">
        <f t="shared" si="295"/>
        <v>134.79199592065569</v>
      </c>
      <c r="O562" s="1324">
        <f t="shared" si="295"/>
        <v>96.7335029968919</v>
      </c>
      <c r="P562" s="1324">
        <f t="shared" si="295"/>
        <v>2.5029617306453624</v>
      </c>
      <c r="Q562" s="1320">
        <f t="shared" si="295"/>
        <v>0</v>
      </c>
      <c r="R562" s="1358"/>
      <c r="S562" s="1321"/>
      <c r="T562" s="1321"/>
      <c r="U562" s="1326"/>
      <c r="V562" s="1320" t="s">
        <v>5470</v>
      </c>
      <c r="Y562" s="1324"/>
    </row>
    <row r="563" spans="1:25">
      <c r="A563" s="1320" t="s">
        <v>4871</v>
      </c>
      <c r="B563" s="1321"/>
      <c r="C563" s="1322">
        <v>40</v>
      </c>
      <c r="D563" s="1320" t="s">
        <v>5239</v>
      </c>
      <c r="E563" s="1320" t="s">
        <v>4067</v>
      </c>
      <c r="F563" s="1320">
        <f t="shared" si="294"/>
        <v>4363.5489504797088</v>
      </c>
      <c r="G563" s="1320">
        <f t="shared" si="294"/>
        <v>299.83364528135036</v>
      </c>
      <c r="H563" s="1320">
        <f t="shared" si="294"/>
        <v>4063.721126889347</v>
      </c>
      <c r="I563" s="1323">
        <f t="shared" si="292"/>
        <v>0.93128808064421964</v>
      </c>
      <c r="J563" s="1324">
        <f t="shared" si="295"/>
        <v>4063.721126889347</v>
      </c>
      <c r="K563" s="1320">
        <f t="shared" si="295"/>
        <v>2357.0112450220649</v>
      </c>
      <c r="L563" s="1320">
        <f t="shared" si="295"/>
        <v>194.42965359053073</v>
      </c>
      <c r="M563" s="1320">
        <f t="shared" si="295"/>
        <v>1242.8910963504939</v>
      </c>
      <c r="N563" s="1320">
        <f t="shared" si="295"/>
        <v>155.15847376468852</v>
      </c>
      <c r="O563" s="1324">
        <f t="shared" si="295"/>
        <v>111.34950992004467</v>
      </c>
      <c r="P563" s="1324">
        <f t="shared" si="295"/>
        <v>2.8811482415243757</v>
      </c>
      <c r="Q563" s="1320">
        <f t="shared" si="295"/>
        <v>0</v>
      </c>
      <c r="R563" s="1358"/>
      <c r="S563" s="1321"/>
      <c r="T563" s="1321"/>
      <c r="U563" s="1326"/>
      <c r="V563" s="1320" t="s">
        <v>5471</v>
      </c>
      <c r="Y563" s="1324"/>
    </row>
    <row r="564" spans="1:25">
      <c r="A564" s="1320" t="s">
        <v>4871</v>
      </c>
      <c r="B564" s="1321"/>
      <c r="C564" s="1322">
        <v>41</v>
      </c>
      <c r="D564" s="1320" t="s">
        <v>5240</v>
      </c>
      <c r="E564" s="1320" t="s">
        <v>4067</v>
      </c>
      <c r="F564" s="1320">
        <f t="shared" si="294"/>
        <v>16677.364950746807</v>
      </c>
      <c r="G564" s="1320">
        <f t="shared" si="294"/>
        <v>0</v>
      </c>
      <c r="H564" s="1320">
        <f t="shared" si="294"/>
        <v>16677.364950746807</v>
      </c>
      <c r="I564" s="1323">
        <f t="shared" si="292"/>
        <v>1</v>
      </c>
      <c r="J564" s="1324">
        <f t="shared" si="295"/>
        <v>16677.364950746807</v>
      </c>
      <c r="K564" s="1320">
        <f t="shared" si="295"/>
        <v>10380.258984596278</v>
      </c>
      <c r="L564" s="1320">
        <f t="shared" si="295"/>
        <v>738.27005329044141</v>
      </c>
      <c r="M564" s="1320">
        <f t="shared" si="295"/>
        <v>4943.1789633320623</v>
      </c>
      <c r="N564" s="1320">
        <f t="shared" si="295"/>
        <v>519.92303894147312</v>
      </c>
      <c r="O564" s="1324">
        <f t="shared" si="295"/>
        <v>3.5499332229239466E-4</v>
      </c>
      <c r="P564" s="1324">
        <f t="shared" si="295"/>
        <v>95.733555593235806</v>
      </c>
      <c r="Q564" s="1320">
        <f t="shared" si="295"/>
        <v>0</v>
      </c>
      <c r="R564" s="1358"/>
      <c r="S564" s="1321"/>
      <c r="T564" s="1321"/>
      <c r="U564" s="1326"/>
      <c r="V564" s="1320" t="s">
        <v>5472</v>
      </c>
      <c r="Y564" s="1324"/>
    </row>
    <row r="565" spans="1:25">
      <c r="A565" s="1320" t="s">
        <v>4871</v>
      </c>
      <c r="B565" s="1321"/>
      <c r="C565" s="1322">
        <v>42</v>
      </c>
      <c r="D565" s="1320" t="s">
        <v>5241</v>
      </c>
      <c r="E565" s="1320" t="s">
        <v>4067</v>
      </c>
      <c r="F565" s="1320">
        <f t="shared" si="294"/>
        <v>7262.5846043055562</v>
      </c>
      <c r="G565" s="1320">
        <f t="shared" si="294"/>
        <v>0</v>
      </c>
      <c r="H565" s="1320">
        <f t="shared" si="294"/>
        <v>7262.5846043055562</v>
      </c>
      <c r="I565" s="1323">
        <f t="shared" si="292"/>
        <v>1</v>
      </c>
      <c r="J565" s="1324">
        <f t="shared" si="295"/>
        <v>7262.5846043055562</v>
      </c>
      <c r="K565" s="1320">
        <f t="shared" si="295"/>
        <v>5299.0232902572252</v>
      </c>
      <c r="L565" s="1320">
        <f t="shared" si="295"/>
        <v>426.6765405219017</v>
      </c>
      <c r="M565" s="1320">
        <f t="shared" si="295"/>
        <v>1510.6128951293506</v>
      </c>
      <c r="N565" s="1320">
        <f t="shared" si="295"/>
        <v>0</v>
      </c>
      <c r="O565" s="1324">
        <f t="shared" si="295"/>
        <v>0</v>
      </c>
      <c r="P565" s="1324">
        <f t="shared" si="295"/>
        <v>26.271878397079686</v>
      </c>
      <c r="Q565" s="1320">
        <f t="shared" si="295"/>
        <v>0</v>
      </c>
      <c r="R565" s="1358"/>
      <c r="S565" s="1321"/>
      <c r="T565" s="1321"/>
      <c r="U565" s="1326"/>
      <c r="V565" s="1320" t="s">
        <v>5473</v>
      </c>
      <c r="Y565" s="1324"/>
    </row>
    <row r="566" spans="1:25">
      <c r="A566" s="1320" t="s">
        <v>4871</v>
      </c>
      <c r="B566" s="1321"/>
      <c r="C566" s="1322">
        <v>43</v>
      </c>
      <c r="D566" s="1320" t="s">
        <v>5242</v>
      </c>
      <c r="E566" s="1320" t="s">
        <v>4071</v>
      </c>
      <c r="F566" s="1320">
        <f t="shared" si="294"/>
        <v>8361.8137284512723</v>
      </c>
      <c r="G566" s="1320">
        <f t="shared" si="294"/>
        <v>0</v>
      </c>
      <c r="H566" s="1320">
        <f t="shared" si="294"/>
        <v>8361.8137284512723</v>
      </c>
      <c r="I566" s="1323">
        <f t="shared" si="292"/>
        <v>1</v>
      </c>
      <c r="J566" s="1324">
        <f t="shared" si="295"/>
        <v>8361.8137284512723</v>
      </c>
      <c r="K566" s="1320">
        <f t="shared" si="295"/>
        <v>3082.6388333522459</v>
      </c>
      <c r="L566" s="1320">
        <f t="shared" si="295"/>
        <v>467.59577870792697</v>
      </c>
      <c r="M566" s="1320">
        <f t="shared" si="295"/>
        <v>225.42757097557441</v>
      </c>
      <c r="N566" s="1320">
        <f t="shared" si="295"/>
        <v>14.532220233142807</v>
      </c>
      <c r="O566" s="1324">
        <f t="shared" si="295"/>
        <v>15.855262309698578</v>
      </c>
      <c r="P566" s="1324">
        <f t="shared" si="295"/>
        <v>3.6389719095507602</v>
      </c>
      <c r="Q566" s="1320">
        <f t="shared" si="295"/>
        <v>4552.1250909631335</v>
      </c>
      <c r="R566" s="1358"/>
      <c r="S566" s="1321"/>
      <c r="T566" s="1321"/>
      <c r="U566" s="1326"/>
      <c r="V566" s="1320" t="s">
        <v>5474</v>
      </c>
      <c r="Y566" s="1324"/>
    </row>
    <row r="567" spans="1:25">
      <c r="A567" s="1320" t="s">
        <v>4871</v>
      </c>
      <c r="B567" s="1321"/>
      <c r="C567" s="1322">
        <v>44</v>
      </c>
      <c r="D567" s="1320" t="s">
        <v>5244</v>
      </c>
      <c r="E567" s="1320" t="s">
        <v>4071</v>
      </c>
      <c r="F567" s="1320">
        <f t="shared" si="294"/>
        <v>4305.739175045821</v>
      </c>
      <c r="G567" s="1320">
        <f t="shared" si="294"/>
        <v>0</v>
      </c>
      <c r="H567" s="1320">
        <f t="shared" si="294"/>
        <v>4305.739175045821</v>
      </c>
      <c r="I567" s="1323">
        <f t="shared" si="292"/>
        <v>1</v>
      </c>
      <c r="J567" s="1324">
        <f t="shared" si="295"/>
        <v>4305.739175045821</v>
      </c>
      <c r="K567" s="1320">
        <f t="shared" si="295"/>
        <v>3840.2319971217353</v>
      </c>
      <c r="L567" s="1320">
        <f t="shared" si="295"/>
        <v>372.27592160961007</v>
      </c>
      <c r="M567" s="1320">
        <f t="shared" si="295"/>
        <v>91.68838687353832</v>
      </c>
      <c r="N567" s="1320">
        <f t="shared" si="295"/>
        <v>0.30957250918473972</v>
      </c>
      <c r="O567" s="1324">
        <f t="shared" si="295"/>
        <v>5.4924154855357045E-2</v>
      </c>
      <c r="P567" s="1324">
        <f t="shared" si="295"/>
        <v>1.1783727768967511</v>
      </c>
      <c r="Q567" s="1320">
        <f t="shared" si="295"/>
        <v>0</v>
      </c>
      <c r="R567" s="1358"/>
      <c r="S567" s="1321"/>
      <c r="T567" s="1321"/>
      <c r="U567" s="1326"/>
      <c r="V567" s="1320" t="s">
        <v>5475</v>
      </c>
      <c r="Y567" s="1324"/>
    </row>
    <row r="568" spans="1:25">
      <c r="A568" s="1320" t="s">
        <v>4871</v>
      </c>
      <c r="B568" s="1321"/>
      <c r="C568" s="1322">
        <v>45</v>
      </c>
      <c r="D568" s="1320" t="s">
        <v>5476</v>
      </c>
      <c r="F568" s="1427">
        <f>SUM(F560:F567)</f>
        <v>101022.85938926735</v>
      </c>
      <c r="G568" s="1427">
        <f>SUM(G560:G567)</f>
        <v>561.95570653723053</v>
      </c>
      <c r="H568" s="1427">
        <f>SUM(H560:H567)</f>
        <v>100460.90368273012</v>
      </c>
      <c r="I568" s="1323">
        <f t="shared" si="292"/>
        <v>0.9944373411133427</v>
      </c>
      <c r="J568" s="1421">
        <f t="shared" ref="J568:Q568" si="296">SUM(J560:J567)</f>
        <v>100460.90368273012</v>
      </c>
      <c r="K568" s="1421">
        <f t="shared" si="296"/>
        <v>58915.686466234809</v>
      </c>
      <c r="L568" s="1421">
        <f t="shared" si="296"/>
        <v>5048.2938589320038</v>
      </c>
      <c r="M568" s="1421">
        <f t="shared" si="296"/>
        <v>26698.682016912113</v>
      </c>
      <c r="N568" s="1422">
        <f t="shared" si="296"/>
        <v>3136.8183288012192</v>
      </c>
      <c r="O568" s="1422">
        <f>SUM(O560:O567)</f>
        <v>1893.3753886722616</v>
      </c>
      <c r="P568" s="1422">
        <f>SUM(P560:P567)</f>
        <v>215.92253221460641</v>
      </c>
      <c r="Q568" s="1421">
        <f t="shared" si="296"/>
        <v>4552.1250909631335</v>
      </c>
      <c r="R568" s="1358"/>
      <c r="S568" s="1321"/>
      <c r="T568" s="1321"/>
      <c r="U568" s="1326"/>
      <c r="V568" s="1320" t="s">
        <v>5477</v>
      </c>
      <c r="Y568" s="1324"/>
    </row>
    <row r="569" spans="1:25">
      <c r="B569" s="1321"/>
      <c r="G569" s="1320"/>
      <c r="S569" s="1321"/>
      <c r="T569" s="1321"/>
      <c r="U569" s="1326"/>
      <c r="Y569" s="1324"/>
    </row>
    <row r="570" spans="1:25">
      <c r="B570" s="1321"/>
      <c r="G570" s="1320"/>
      <c r="S570" s="1321"/>
      <c r="T570" s="1321"/>
      <c r="U570" s="1326"/>
      <c r="Y570" s="1324"/>
    </row>
    <row r="571" spans="1:25">
      <c r="B571" s="1321"/>
      <c r="G571" s="1320"/>
      <c r="S571" s="1321"/>
      <c r="T571" s="1321"/>
      <c r="U571" s="1326"/>
      <c r="Y571" s="1324"/>
    </row>
    <row r="572" spans="1:25">
      <c r="B572" s="1321"/>
      <c r="G572" s="1320"/>
      <c r="S572" s="1321"/>
      <c r="T572" s="1321"/>
      <c r="U572" s="1326"/>
      <c r="Y572" s="1324"/>
    </row>
    <row r="573" spans="1:25">
      <c r="B573" s="1321"/>
      <c r="G573" s="1320"/>
      <c r="S573" s="1321"/>
      <c r="T573" s="1321"/>
      <c r="U573" s="1326"/>
    </row>
    <row r="574" spans="1:25">
      <c r="B574" s="1432"/>
      <c r="C574" s="1340" t="str">
        <f>+C$2</f>
        <v>RATES WITH REVENUE DEFICIENCY ADDITION</v>
      </c>
      <c r="F574" s="1333"/>
      <c r="G574" s="1327" t="s">
        <v>2173</v>
      </c>
      <c r="I574" s="1334" t="s">
        <v>5455</v>
      </c>
      <c r="L574" s="1329" t="s">
        <v>2173</v>
      </c>
      <c r="M574" s="1330"/>
      <c r="N574" s="1330"/>
      <c r="O574" s="1330"/>
      <c r="S574" s="1334" t="s">
        <v>5478</v>
      </c>
      <c r="T574" s="1333" t="s">
        <v>2173</v>
      </c>
      <c r="U574" s="1334"/>
      <c r="V574" s="1332" t="s">
        <v>4772</v>
      </c>
      <c r="Y574" s="1324"/>
    </row>
    <row r="575" spans="1:25">
      <c r="B575" s="1432"/>
      <c r="C575" s="1340" t="str">
        <f>+C$3</f>
        <v>PROD. CAP. ALLOC. METHOD: 12 CP &amp; 1/13th AD</v>
      </c>
      <c r="G575" s="1336" t="s">
        <v>4768</v>
      </c>
      <c r="I575" s="1335" t="s">
        <v>2629</v>
      </c>
      <c r="L575" s="1336" t="s">
        <v>5141</v>
      </c>
      <c r="M575" s="1337"/>
      <c r="N575" s="1337"/>
      <c r="O575" s="1337"/>
      <c r="R575" s="1331"/>
      <c r="S575" s="1335" t="s">
        <v>2630</v>
      </c>
      <c r="T575" s="1333" t="s">
        <v>5141</v>
      </c>
      <c r="U575" s="1326"/>
      <c r="V575" s="1332" t="s">
        <v>5478</v>
      </c>
      <c r="Y575" s="1324"/>
    </row>
    <row r="576" spans="1:25">
      <c r="B576" s="1321"/>
      <c r="C576" s="1340" t="str">
        <f>+C$4</f>
        <v>PROJECTED CALENDAR YEAR 2025; FULLY ADJUSTED DATA</v>
      </c>
      <c r="G576" s="1336" t="s">
        <v>2181</v>
      </c>
      <c r="L576" s="1336" t="s">
        <v>2181</v>
      </c>
      <c r="S576" s="1321"/>
      <c r="T576" s="1339"/>
      <c r="U576" s="1326"/>
      <c r="Y576" s="1324"/>
    </row>
    <row r="577" spans="1:25">
      <c r="B577" s="1321"/>
      <c r="C577" s="1340" t="str">
        <f>+C$5</f>
        <v>MINIMUM DISTRIBUTION SYSTEM (MDS) NOT EMPLOYED</v>
      </c>
      <c r="D577" s="1358"/>
      <c r="G577" s="1320"/>
      <c r="L577" s="1336"/>
      <c r="M577" s="1337"/>
      <c r="N577" s="1337"/>
      <c r="O577" s="1337"/>
      <c r="S577" s="1321"/>
      <c r="T577" s="1333"/>
      <c r="U577" s="1326"/>
      <c r="Y577" s="1324"/>
    </row>
    <row r="578" spans="1:25">
      <c r="B578" s="1321"/>
      <c r="C578" s="1340" t="str">
        <f>+C$6</f>
        <v>Tampa Electric 2025 OB Budget</v>
      </c>
      <c r="F578" s="1327"/>
      <c r="G578" s="1333" t="s">
        <v>5456</v>
      </c>
      <c r="L578" s="1336" t="s">
        <v>5456</v>
      </c>
      <c r="M578" s="1337"/>
      <c r="N578" s="1337"/>
      <c r="O578" s="1337"/>
      <c r="S578" s="1321"/>
      <c r="T578" s="1333" t="s">
        <v>5456</v>
      </c>
      <c r="U578" s="1326"/>
      <c r="Y578" s="1324"/>
    </row>
    <row r="579" spans="1:25">
      <c r="B579" s="1321"/>
      <c r="F579" s="1333"/>
      <c r="G579" s="1320"/>
      <c r="L579" s="1336"/>
      <c r="M579" s="1337"/>
      <c r="N579" s="1337"/>
      <c r="O579" s="1337"/>
      <c r="S579" s="1321"/>
      <c r="T579" s="1321"/>
      <c r="U579" s="1326"/>
      <c r="Y579" s="1324"/>
    </row>
    <row r="580" spans="1:25">
      <c r="B580" s="1321"/>
      <c r="F580" s="1333"/>
      <c r="G580" s="1320"/>
      <c r="L580" s="1336"/>
      <c r="M580" s="1337"/>
      <c r="N580" s="1337"/>
      <c r="O580" s="1337"/>
      <c r="S580" s="1321"/>
      <c r="T580" s="1321"/>
      <c r="U580" s="1326"/>
    </row>
    <row r="581" spans="1:25">
      <c r="B581" s="1321"/>
      <c r="G581" s="1320"/>
      <c r="S581" s="1321"/>
      <c r="T581" s="1321"/>
      <c r="U581" s="1326"/>
    </row>
    <row r="582" spans="1:25">
      <c r="B582" s="1321"/>
      <c r="F582" s="1336"/>
      <c r="G582" s="1320"/>
      <c r="S582" s="1321"/>
      <c r="T582" s="1321"/>
      <c r="U582" s="1326"/>
    </row>
    <row r="583" spans="1:25" ht="30" customHeight="1">
      <c r="A583" s="1418" t="s">
        <v>4683</v>
      </c>
      <c r="B583" s="1425" t="s">
        <v>5143</v>
      </c>
      <c r="C583" s="1349" t="s">
        <v>4297</v>
      </c>
      <c r="D583" s="1418"/>
      <c r="E583" s="1418"/>
      <c r="F583" s="1348" t="s">
        <v>5144</v>
      </c>
      <c r="G583" s="1348" t="s">
        <v>4956</v>
      </c>
      <c r="H583" s="1348" t="s">
        <v>4957</v>
      </c>
      <c r="I583" s="1426" t="s">
        <v>5145</v>
      </c>
      <c r="J583" s="1352" t="s">
        <v>4957</v>
      </c>
      <c r="K583" s="1353" t="s">
        <v>1949</v>
      </c>
      <c r="L583" s="1353" t="s">
        <v>1950</v>
      </c>
      <c r="M583" s="1354" t="s">
        <v>1934</v>
      </c>
      <c r="N583" s="1354" t="s">
        <v>1971</v>
      </c>
      <c r="O583" s="1354" t="s">
        <v>1972</v>
      </c>
      <c r="P583" s="1352" t="s">
        <v>5146</v>
      </c>
      <c r="Q583" s="1352" t="s">
        <v>5147</v>
      </c>
      <c r="R583" s="1355"/>
      <c r="S583" s="1348" t="s">
        <v>5299</v>
      </c>
      <c r="T583" s="1348"/>
      <c r="U583" s="1352"/>
      <c r="V583" s="1355" t="s">
        <v>4774</v>
      </c>
    </row>
    <row r="584" spans="1:25">
      <c r="B584" s="1321"/>
      <c r="G584" s="1320"/>
      <c r="S584" s="1321"/>
      <c r="T584" s="1321"/>
      <c r="U584" s="1326"/>
    </row>
    <row r="585" spans="1:25">
      <c r="A585" s="1320" t="s">
        <v>4871</v>
      </c>
      <c r="B585" s="1321"/>
      <c r="C585" s="1322">
        <v>46</v>
      </c>
      <c r="D585" s="1356" t="s">
        <v>5479</v>
      </c>
      <c r="G585" s="1320"/>
      <c r="T585" s="1321"/>
      <c r="U585" s="1326"/>
    </row>
    <row r="586" spans="1:25">
      <c r="A586" s="1320" t="s">
        <v>4871</v>
      </c>
      <c r="B586" s="1324">
        <v>507</v>
      </c>
      <c r="C586" s="1322">
        <v>47</v>
      </c>
      <c r="D586" s="1320" t="s">
        <v>5265</v>
      </c>
      <c r="E586" s="1320" t="s">
        <v>4067</v>
      </c>
      <c r="F586" s="1358">
        <f>+'Allocation Assignment'!F211</f>
        <v>629.49179060332824</v>
      </c>
      <c r="G586" s="1358">
        <f t="shared" ref="G586:H593" si="297">+$F586*G$2046</f>
        <v>0</v>
      </c>
      <c r="H586" s="1358">
        <f t="shared" si="297"/>
        <v>629.49179060332824</v>
      </c>
      <c r="I586" s="1323">
        <f t="shared" ref="I586:I594" si="298">IF(F586=0,0,+H586/F586)</f>
        <v>1</v>
      </c>
      <c r="J586" s="1364">
        <f t="shared" ref="J586:J593" si="299">+H586</f>
        <v>629.49179060332824</v>
      </c>
      <c r="K586" s="1324">
        <f t="shared" ref="K586:Q586" si="300">$J586*K$1951</f>
        <v>361.46341871250661</v>
      </c>
      <c r="L586" s="1324">
        <f t="shared" si="300"/>
        <v>30.059531296126632</v>
      </c>
      <c r="M586" s="1324">
        <f t="shared" si="300"/>
        <v>194.54259070404328</v>
      </c>
      <c r="N586" s="1324">
        <f t="shared" si="300"/>
        <v>24.863859740765818</v>
      </c>
      <c r="O586" s="1324">
        <f t="shared" si="300"/>
        <v>17.89459786341116</v>
      </c>
      <c r="P586" s="1324">
        <f t="shared" si="300"/>
        <v>0.66779228647475142</v>
      </c>
      <c r="Q586" s="1324">
        <f t="shared" si="300"/>
        <v>0</v>
      </c>
      <c r="R586" s="1324"/>
      <c r="S586" s="1324">
        <v>122</v>
      </c>
      <c r="T586" s="1321"/>
      <c r="U586" s="1326"/>
      <c r="V586" s="1321" t="s">
        <v>9476</v>
      </c>
      <c r="W586" s="1321">
        <v>122</v>
      </c>
      <c r="Y586" s="1324"/>
    </row>
    <row r="587" spans="1:25">
      <c r="A587" s="1320" t="s">
        <v>4871</v>
      </c>
      <c r="B587" s="1324">
        <v>507</v>
      </c>
      <c r="C587" s="1322">
        <v>48</v>
      </c>
      <c r="D587" s="1324" t="s">
        <v>5265</v>
      </c>
      <c r="E587" s="1324" t="s">
        <v>2067</v>
      </c>
      <c r="F587" s="1358">
        <f>+'Allocation Assignment'!F212</f>
        <v>47.341460586045002</v>
      </c>
      <c r="G587" s="1364">
        <f t="shared" si="297"/>
        <v>0</v>
      </c>
      <c r="H587" s="1364">
        <f t="shared" si="297"/>
        <v>47.341460586045002</v>
      </c>
      <c r="I587" s="1374">
        <f t="shared" si="298"/>
        <v>1</v>
      </c>
      <c r="J587" s="1364">
        <f t="shared" si="299"/>
        <v>47.341460586045002</v>
      </c>
      <c r="K587" s="1364">
        <f t="shared" ref="K587:Q587" si="301">+$J587*K$1975</f>
        <v>23.890119389940729</v>
      </c>
      <c r="L587" s="1364">
        <f t="shared" si="301"/>
        <v>2.207726696774559</v>
      </c>
      <c r="M587" s="1364">
        <f t="shared" si="301"/>
        <v>16.446706381654472</v>
      </c>
      <c r="N587" s="1367">
        <f t="shared" si="301"/>
        <v>2.6180512132815696</v>
      </c>
      <c r="O587" s="1367">
        <f t="shared" si="301"/>
        <v>1.9287493904033337</v>
      </c>
      <c r="P587" s="1367">
        <f t="shared" si="301"/>
        <v>0.25010751399033992</v>
      </c>
      <c r="Q587" s="1364">
        <f t="shared" si="301"/>
        <v>0</v>
      </c>
      <c r="R587" s="1364"/>
      <c r="S587" s="1324">
        <v>204</v>
      </c>
      <c r="T587" s="1321"/>
      <c r="U587" s="1326"/>
      <c r="V587" s="1321" t="s">
        <v>5254</v>
      </c>
      <c r="W587" s="1321">
        <v>204</v>
      </c>
      <c r="Y587" s="1324"/>
    </row>
    <row r="588" spans="1:25">
      <c r="A588" s="1320" t="s">
        <v>4871</v>
      </c>
      <c r="B588" s="1324">
        <v>507</v>
      </c>
      <c r="C588" s="1322">
        <v>49</v>
      </c>
      <c r="D588" s="1320" t="s">
        <v>5268</v>
      </c>
      <c r="E588" s="1320" t="s">
        <v>4067</v>
      </c>
      <c r="F588" s="1358">
        <f>+'Allocation Assignment'!F213</f>
        <v>49.656656751753495</v>
      </c>
      <c r="G588" s="1358">
        <f t="shared" si="297"/>
        <v>0</v>
      </c>
      <c r="H588" s="1358">
        <f t="shared" si="297"/>
        <v>49.656656751753495</v>
      </c>
      <c r="I588" s="1323">
        <f t="shared" si="298"/>
        <v>1</v>
      </c>
      <c r="J588" s="1364">
        <f t="shared" si="299"/>
        <v>49.656656751753495</v>
      </c>
      <c r="K588" s="1364">
        <f t="shared" ref="K588:Q589" si="302">+$J588*K$1945</f>
        <v>28.801508444964416</v>
      </c>
      <c r="L588" s="1364">
        <f t="shared" si="302"/>
        <v>2.3758339387077272</v>
      </c>
      <c r="M588" s="1364">
        <f t="shared" si="302"/>
        <v>15.187512780565759</v>
      </c>
      <c r="N588" s="1367">
        <f t="shared" si="302"/>
        <v>1.8959595979354913</v>
      </c>
      <c r="O588" s="1367">
        <f t="shared" si="302"/>
        <v>1.3606357869857311</v>
      </c>
      <c r="P588" s="1367">
        <f t="shared" si="302"/>
        <v>3.5206202594371516E-2</v>
      </c>
      <c r="Q588" s="1364">
        <f t="shared" si="302"/>
        <v>0</v>
      </c>
      <c r="R588" s="1358"/>
      <c r="S588" s="1320">
        <v>118</v>
      </c>
      <c r="T588" s="1321"/>
      <c r="U588" s="1326"/>
      <c r="V588" s="1321" t="s">
        <v>9477</v>
      </c>
      <c r="W588" s="1321">
        <v>117</v>
      </c>
      <c r="Y588" s="1324"/>
    </row>
    <row r="589" spans="1:25">
      <c r="A589" s="1320" t="s">
        <v>4871</v>
      </c>
      <c r="B589" s="1324">
        <v>507</v>
      </c>
      <c r="C589" s="1322">
        <v>50</v>
      </c>
      <c r="D589" s="1320" t="s">
        <v>5239</v>
      </c>
      <c r="E589" s="1320" t="s">
        <v>4067</v>
      </c>
      <c r="F589" s="1358">
        <f>+'Allocation Assignment'!F214</f>
        <v>53.903683129404769</v>
      </c>
      <c r="G589" s="1358">
        <f t="shared" si="297"/>
        <v>0</v>
      </c>
      <c r="H589" s="1358">
        <f t="shared" si="297"/>
        <v>53.903683129404769</v>
      </c>
      <c r="I589" s="1323">
        <f t="shared" si="298"/>
        <v>1</v>
      </c>
      <c r="J589" s="1364">
        <f t="shared" si="299"/>
        <v>53.903683129404769</v>
      </c>
      <c r="K589" s="1364">
        <f t="shared" si="302"/>
        <v>31.264839125751546</v>
      </c>
      <c r="L589" s="1364">
        <f t="shared" si="302"/>
        <v>2.5790338733520293</v>
      </c>
      <c r="M589" s="1364">
        <f t="shared" si="302"/>
        <v>16.48646787761226</v>
      </c>
      <c r="N589" s="1367">
        <f t="shared" si="302"/>
        <v>2.0581169188290045</v>
      </c>
      <c r="O589" s="1367">
        <f t="shared" si="302"/>
        <v>1.4770080209561673</v>
      </c>
      <c r="P589" s="1367">
        <f t="shared" si="302"/>
        <v>3.8217312903765246E-2</v>
      </c>
      <c r="Q589" s="1364">
        <f t="shared" si="302"/>
        <v>0</v>
      </c>
      <c r="R589" s="1358"/>
      <c r="S589" s="1320">
        <v>118</v>
      </c>
      <c r="T589" s="1321"/>
      <c r="U589" s="1326"/>
      <c r="V589" s="1321" t="s">
        <v>9477</v>
      </c>
      <c r="W589" s="1321">
        <v>117</v>
      </c>
    </row>
    <row r="590" spans="1:25">
      <c r="A590" s="1320" t="s">
        <v>4871</v>
      </c>
      <c r="B590" s="1324">
        <v>507</v>
      </c>
      <c r="C590" s="1322">
        <v>51</v>
      </c>
      <c r="D590" s="1320" t="s">
        <v>5240</v>
      </c>
      <c r="E590" s="1320" t="s">
        <v>4067</v>
      </c>
      <c r="F590" s="1358">
        <f>+'Allocation Assignment'!F215</f>
        <v>175.64496276700058</v>
      </c>
      <c r="G590" s="1358">
        <f t="shared" si="297"/>
        <v>0</v>
      </c>
      <c r="H590" s="1358">
        <f t="shared" si="297"/>
        <v>175.64496276700058</v>
      </c>
      <c r="I590" s="1323">
        <f t="shared" si="298"/>
        <v>1</v>
      </c>
      <c r="J590" s="1364">
        <f t="shared" si="299"/>
        <v>175.64496276700058</v>
      </c>
      <c r="K590" s="1364">
        <f t="shared" ref="K590:Q590" si="303">+$J590*K$1936</f>
        <v>109.32423726684665</v>
      </c>
      <c r="L590" s="1364">
        <f t="shared" si="303"/>
        <v>7.775413946097304</v>
      </c>
      <c r="M590" s="1364">
        <f t="shared" si="303"/>
        <v>52.061251134652466</v>
      </c>
      <c r="N590" s="1367">
        <f t="shared" si="303"/>
        <v>5.4757968711652776</v>
      </c>
      <c r="O590" s="1367">
        <f t="shared" si="303"/>
        <v>3.7387674288310966E-6</v>
      </c>
      <c r="P590" s="1367">
        <f t="shared" si="303"/>
        <v>1.0082598094714901</v>
      </c>
      <c r="Q590" s="1364">
        <f t="shared" si="303"/>
        <v>0</v>
      </c>
      <c r="R590" s="1358"/>
      <c r="S590" s="1320">
        <v>105</v>
      </c>
      <c r="T590" s="1321"/>
      <c r="U590" s="1326"/>
      <c r="V590" s="1321" t="s">
        <v>5229</v>
      </c>
      <c r="W590" s="1321">
        <v>105</v>
      </c>
    </row>
    <row r="591" spans="1:25">
      <c r="A591" s="1320" t="s">
        <v>4871</v>
      </c>
      <c r="B591" s="1324">
        <v>507</v>
      </c>
      <c r="C591" s="1322">
        <v>52</v>
      </c>
      <c r="D591" s="1320" t="s">
        <v>5241</v>
      </c>
      <c r="E591" s="1320" t="s">
        <v>4067</v>
      </c>
      <c r="F591" s="1358">
        <f>+'Allocation Assignment'!F216</f>
        <v>77.21396367044791</v>
      </c>
      <c r="G591" s="1358">
        <f t="shared" si="297"/>
        <v>0</v>
      </c>
      <c r="H591" s="1358">
        <f t="shared" si="297"/>
        <v>77.21396367044791</v>
      </c>
      <c r="I591" s="1323">
        <f t="shared" si="298"/>
        <v>1</v>
      </c>
      <c r="J591" s="1364">
        <f t="shared" si="299"/>
        <v>77.21396367044791</v>
      </c>
      <c r="K591" s="1364">
        <f t="shared" ref="K591:Q591" si="304">+$J591*K$1939</f>
        <v>56.33787613024333</v>
      </c>
      <c r="L591" s="1364">
        <f t="shared" si="304"/>
        <v>4.5363171231573869</v>
      </c>
      <c r="M591" s="1364">
        <f t="shared" si="304"/>
        <v>16.060454446957987</v>
      </c>
      <c r="N591" s="1367">
        <f t="shared" si="304"/>
        <v>0</v>
      </c>
      <c r="O591" s="1367">
        <f t="shared" si="304"/>
        <v>0</v>
      </c>
      <c r="P591" s="1367">
        <f t="shared" si="304"/>
        <v>0.27931597008920561</v>
      </c>
      <c r="Q591" s="1364">
        <f t="shared" si="304"/>
        <v>0</v>
      </c>
      <c r="R591" s="1358"/>
      <c r="S591" s="1320">
        <v>106</v>
      </c>
      <c r="T591" s="1321"/>
      <c r="U591" s="1326"/>
      <c r="V591" s="1321" t="s">
        <v>5230</v>
      </c>
      <c r="W591" s="1321">
        <v>106</v>
      </c>
      <c r="Y591" s="1324"/>
    </row>
    <row r="592" spans="1:25">
      <c r="A592" s="1320" t="s">
        <v>4871</v>
      </c>
      <c r="B592" s="1324">
        <v>507</v>
      </c>
      <c r="C592" s="1322">
        <v>53</v>
      </c>
      <c r="D592" s="1320" t="s">
        <v>5242</v>
      </c>
      <c r="E592" s="1320" t="s">
        <v>4071</v>
      </c>
      <c r="F592" s="1358">
        <f>+'Allocation Assignment'!F217</f>
        <v>75.315942329612454</v>
      </c>
      <c r="G592" s="1358">
        <f t="shared" si="297"/>
        <v>0</v>
      </c>
      <c r="H592" s="1358">
        <f t="shared" si="297"/>
        <v>75.315942329612454</v>
      </c>
      <c r="I592" s="1323">
        <f t="shared" si="298"/>
        <v>1</v>
      </c>
      <c r="J592" s="1364">
        <f t="shared" si="299"/>
        <v>75.315942329612454</v>
      </c>
      <c r="K592" s="1364">
        <f t="shared" ref="K592:Q592" si="305">+$J592*K$2055</f>
        <v>27.765728361756171</v>
      </c>
      <c r="L592" s="1364">
        <f t="shared" si="305"/>
        <v>4.2116959126831954</v>
      </c>
      <c r="M592" s="1364">
        <f t="shared" si="305"/>
        <v>2.0304554115253657</v>
      </c>
      <c r="N592" s="1367">
        <f t="shared" si="305"/>
        <v>0.1308935951630352</v>
      </c>
      <c r="O592" s="1367">
        <f t="shared" si="305"/>
        <v>0.14281040699041145</v>
      </c>
      <c r="P592" s="1367">
        <f t="shared" si="305"/>
        <v>3.2776692638615733E-2</v>
      </c>
      <c r="Q592" s="1364">
        <f t="shared" si="305"/>
        <v>41.001581948855673</v>
      </c>
      <c r="R592" s="1358"/>
      <c r="S592" s="1320">
        <v>907</v>
      </c>
      <c r="T592" s="1321"/>
      <c r="U592" s="1326"/>
      <c r="V592" s="1321" t="s">
        <v>5243</v>
      </c>
      <c r="W592" s="1321">
        <v>907</v>
      </c>
      <c r="Y592" s="1324"/>
    </row>
    <row r="593" spans="1:27">
      <c r="A593" s="1320" t="s">
        <v>4871</v>
      </c>
      <c r="B593" s="1324">
        <v>507</v>
      </c>
      <c r="C593" s="1322">
        <v>54</v>
      </c>
      <c r="D593" s="1320" t="s">
        <v>5244</v>
      </c>
      <c r="E593" s="1320" t="s">
        <v>4071</v>
      </c>
      <c r="F593" s="1358">
        <f>+'Allocation Assignment'!F218</f>
        <v>23.009894132233089</v>
      </c>
      <c r="G593" s="1358">
        <f t="shared" si="297"/>
        <v>0</v>
      </c>
      <c r="H593" s="1358">
        <f t="shared" si="297"/>
        <v>23.009894132233089</v>
      </c>
      <c r="I593" s="1323">
        <f t="shared" si="298"/>
        <v>1</v>
      </c>
      <c r="J593" s="1364">
        <f t="shared" si="299"/>
        <v>23.009894132233089</v>
      </c>
      <c r="K593" s="1364">
        <f t="shared" ref="K593:Q593" si="306">+$J593*K$2021</f>
        <v>20.522221180767371</v>
      </c>
      <c r="L593" s="1364">
        <f t="shared" si="306"/>
        <v>1.9894445984702438</v>
      </c>
      <c r="M593" s="1364">
        <f t="shared" si="306"/>
        <v>0.48998325011010341</v>
      </c>
      <c r="N593" s="1367">
        <f t="shared" si="306"/>
        <v>1.6543572132454614E-3</v>
      </c>
      <c r="O593" s="1367">
        <f t="shared" si="306"/>
        <v>2.9351498944677542E-4</v>
      </c>
      <c r="P593" s="1367">
        <f t="shared" si="306"/>
        <v>6.2972306826762723E-3</v>
      </c>
      <c r="Q593" s="1364">
        <f t="shared" si="306"/>
        <v>0</v>
      </c>
      <c r="R593" s="1358"/>
      <c r="S593" s="1320">
        <v>412</v>
      </c>
      <c r="T593" s="1321"/>
      <c r="U593" s="1326"/>
      <c r="V593" s="1321" t="s">
        <v>5245</v>
      </c>
      <c r="W593" s="1321">
        <v>412</v>
      </c>
      <c r="Y593" s="1324"/>
    </row>
    <row r="594" spans="1:27">
      <c r="A594" s="1320" t="s">
        <v>4871</v>
      </c>
      <c r="B594" s="1321"/>
      <c r="C594" s="1322">
        <v>55</v>
      </c>
      <c r="D594" s="1320" t="s">
        <v>5480</v>
      </c>
      <c r="F594" s="1427">
        <f>+SUM(F586:F593)</f>
        <v>1131.5783539698255</v>
      </c>
      <c r="G594" s="1427">
        <f>SUM(G586:G593)</f>
        <v>0</v>
      </c>
      <c r="H594" s="1427">
        <f>SUM(H586:H593)</f>
        <v>1131.5783539698255</v>
      </c>
      <c r="I594" s="1323">
        <f t="shared" si="298"/>
        <v>1</v>
      </c>
      <c r="J594" s="1421">
        <f t="shared" ref="J594:Q594" si="307">SUM(J586:J593)</f>
        <v>1131.5783539698255</v>
      </c>
      <c r="K594" s="1421">
        <f t="shared" si="307"/>
        <v>659.36994861277685</v>
      </c>
      <c r="L594" s="1421">
        <f t="shared" si="307"/>
        <v>55.734997385369084</v>
      </c>
      <c r="M594" s="1421">
        <f t="shared" si="307"/>
        <v>313.30542198712169</v>
      </c>
      <c r="N594" s="1422">
        <f t="shared" si="307"/>
        <v>37.044332294353445</v>
      </c>
      <c r="O594" s="1422">
        <f>SUM(O586:O593)</f>
        <v>22.804098722503678</v>
      </c>
      <c r="P594" s="1422">
        <f>SUM(P586:P593)</f>
        <v>2.3179730188452159</v>
      </c>
      <c r="Q594" s="1421">
        <f t="shared" si="307"/>
        <v>41.001581948855673</v>
      </c>
      <c r="R594" s="1358"/>
      <c r="S594" s="1321"/>
      <c r="T594" s="1321"/>
      <c r="U594" s="1326"/>
      <c r="V594" s="1320" t="s">
        <v>5481</v>
      </c>
      <c r="Y594" s="1324"/>
    </row>
    <row r="595" spans="1:27">
      <c r="A595" s="1320" t="s">
        <v>4871</v>
      </c>
      <c r="B595" s="1321"/>
      <c r="C595" s="1322">
        <v>56</v>
      </c>
      <c r="G595" s="1320"/>
      <c r="M595" s="1324"/>
      <c r="P595" s="1325"/>
      <c r="S595" s="1321"/>
      <c r="T595" s="1321"/>
      <c r="U595" s="1326"/>
      <c r="Y595" s="1324"/>
    </row>
    <row r="596" spans="1:27">
      <c r="A596" s="1320" t="s">
        <v>4871</v>
      </c>
      <c r="B596" s="1321"/>
      <c r="C596" s="1322">
        <v>57</v>
      </c>
      <c r="G596" s="1320"/>
      <c r="M596" s="1324"/>
      <c r="P596" s="1325"/>
      <c r="S596" s="1321"/>
      <c r="T596" s="1321"/>
      <c r="U596" s="1326"/>
      <c r="Y596" s="1324"/>
    </row>
    <row r="597" spans="1:27">
      <c r="A597" s="1320" t="s">
        <v>4871</v>
      </c>
      <c r="C597" s="1322">
        <v>58</v>
      </c>
      <c r="D597" s="1356" t="s">
        <v>5482</v>
      </c>
      <c r="G597" s="1320"/>
      <c r="M597" s="1324"/>
      <c r="P597" s="1325"/>
      <c r="S597" s="1321"/>
      <c r="Y597" s="1324"/>
    </row>
    <row r="598" spans="1:27">
      <c r="A598" s="1320" t="s">
        <v>4871</v>
      </c>
      <c r="C598" s="1322">
        <v>59</v>
      </c>
      <c r="D598" s="1320" t="s">
        <v>5265</v>
      </c>
      <c r="E598" s="1320" t="s">
        <v>4067</v>
      </c>
      <c r="F598" s="1320">
        <f t="shared" ref="F598:H605" si="308">+F560+F586</f>
        <v>51196.763326436805</v>
      </c>
      <c r="G598" s="1320">
        <f t="shared" si="308"/>
        <v>0</v>
      </c>
      <c r="H598" s="1320">
        <f t="shared" si="308"/>
        <v>51196.763326436805</v>
      </c>
      <c r="I598" s="1323">
        <f t="shared" ref="I598:I605" si="309">IF(F598=0,0,+H598/F598)</f>
        <v>1</v>
      </c>
      <c r="J598" s="1324">
        <f t="shared" ref="J598:Q605" si="310">+J560+J586</f>
        <v>51196.763326436805</v>
      </c>
      <c r="K598" s="1324">
        <f t="shared" si="310"/>
        <v>29397.932388049616</v>
      </c>
      <c r="L598" s="1324">
        <f t="shared" si="310"/>
        <v>2444.7510395591153</v>
      </c>
      <c r="M598" s="1324">
        <f t="shared" si="310"/>
        <v>15822.20947415499</v>
      </c>
      <c r="N598" s="1325">
        <f t="shared" si="310"/>
        <v>2022.185454252972</v>
      </c>
      <c r="O598" s="1325">
        <f t="shared" si="310"/>
        <v>1455.3732158393284</v>
      </c>
      <c r="P598" s="1325">
        <f t="shared" si="310"/>
        <v>54.311754580786712</v>
      </c>
      <c r="Q598" s="1324">
        <f t="shared" si="310"/>
        <v>0</v>
      </c>
      <c r="S598" s="1321"/>
      <c r="V598" s="1324" t="s">
        <v>5483</v>
      </c>
      <c r="Y598" s="1324"/>
    </row>
    <row r="599" spans="1:27" s="1324" customFormat="1">
      <c r="A599" s="1320" t="s">
        <v>4871</v>
      </c>
      <c r="C599" s="1393">
        <v>60</v>
      </c>
      <c r="D599" s="1320" t="s">
        <v>5265</v>
      </c>
      <c r="E599" s="1320" t="s">
        <v>2067</v>
      </c>
      <c r="F599" s="1358">
        <f t="shared" si="308"/>
        <v>5739.4427931324281</v>
      </c>
      <c r="G599" s="1358">
        <f t="shared" si="308"/>
        <v>0</v>
      </c>
      <c r="H599" s="1358">
        <f t="shared" si="308"/>
        <v>5739.4427931324281</v>
      </c>
      <c r="I599" s="1323">
        <f t="shared" si="309"/>
        <v>1</v>
      </c>
      <c r="J599" s="1364">
        <f t="shared" si="310"/>
        <v>5739.4427931324281</v>
      </c>
      <c r="K599" s="1364">
        <f t="shared" si="310"/>
        <v>2896.3190375264148</v>
      </c>
      <c r="L599" s="1364">
        <f t="shared" si="310"/>
        <v>267.65378427601598</v>
      </c>
      <c r="M599" s="1364">
        <f t="shared" si="310"/>
        <v>1993.91673269956</v>
      </c>
      <c r="N599" s="1367">
        <f t="shared" si="310"/>
        <v>317.39948413314949</v>
      </c>
      <c r="O599" s="1367">
        <f t="shared" si="310"/>
        <v>233.83196571193457</v>
      </c>
      <c r="P599" s="1367">
        <f t="shared" si="310"/>
        <v>30.321788785352023</v>
      </c>
      <c r="Q599" s="1364">
        <f t="shared" si="310"/>
        <v>0</v>
      </c>
      <c r="R599" s="1358"/>
      <c r="S599" s="1321"/>
      <c r="V599" s="1324" t="s">
        <v>5484</v>
      </c>
      <c r="Y599" s="1320"/>
      <c r="AA599" s="1320"/>
    </row>
    <row r="600" spans="1:27">
      <c r="A600" s="1320" t="s">
        <v>4871</v>
      </c>
      <c r="C600" s="1322">
        <v>61</v>
      </c>
      <c r="D600" s="1320" t="s">
        <v>5268</v>
      </c>
      <c r="E600" s="1320" t="s">
        <v>4067</v>
      </c>
      <c r="F600" s="1358">
        <f t="shared" si="308"/>
        <v>3842.091768610097</v>
      </c>
      <c r="G600" s="1358">
        <f t="shared" si="308"/>
        <v>262.12206125588023</v>
      </c>
      <c r="H600" s="1358">
        <f t="shared" si="308"/>
        <v>3579.9638856632278</v>
      </c>
      <c r="I600" s="1323">
        <f t="shared" si="309"/>
        <v>0.93177469494912768</v>
      </c>
      <c r="J600" s="1364">
        <f t="shared" si="310"/>
        <v>3579.9638856632278</v>
      </c>
      <c r="K600" s="1364">
        <f t="shared" si="310"/>
        <v>2076.4257368566418</v>
      </c>
      <c r="L600" s="1364">
        <f t="shared" si="310"/>
        <v>171.28417930807112</v>
      </c>
      <c r="M600" s="1364">
        <f t="shared" si="310"/>
        <v>1094.9337072628068</v>
      </c>
      <c r="N600" s="1367">
        <f t="shared" si="310"/>
        <v>136.6879555185912</v>
      </c>
      <c r="O600" s="1367">
        <f t="shared" si="310"/>
        <v>98.094138783877625</v>
      </c>
      <c r="P600" s="1367">
        <f t="shared" si="310"/>
        <v>2.538167933239734</v>
      </c>
      <c r="Q600" s="1364">
        <f t="shared" si="310"/>
        <v>0</v>
      </c>
      <c r="R600" s="1358"/>
      <c r="S600" s="1321"/>
      <c r="V600" s="1324" t="s">
        <v>5485</v>
      </c>
    </row>
    <row r="601" spans="1:27">
      <c r="A601" s="1320" t="s">
        <v>4871</v>
      </c>
      <c r="C601" s="1322">
        <v>62</v>
      </c>
      <c r="D601" s="1320" t="s">
        <v>5239</v>
      </c>
      <c r="E601" s="1320" t="s">
        <v>4067</v>
      </c>
      <c r="F601" s="1358">
        <f t="shared" si="308"/>
        <v>4417.4526336091139</v>
      </c>
      <c r="G601" s="1358">
        <f t="shared" si="308"/>
        <v>299.83364528135036</v>
      </c>
      <c r="H601" s="1358">
        <f t="shared" si="308"/>
        <v>4117.6248100187522</v>
      </c>
      <c r="I601" s="1323">
        <f t="shared" si="309"/>
        <v>0.93212653344391416</v>
      </c>
      <c r="J601" s="1364">
        <f t="shared" si="310"/>
        <v>4117.6248100187522</v>
      </c>
      <c r="K601" s="1364">
        <f t="shared" si="310"/>
        <v>2388.2760841478166</v>
      </c>
      <c r="L601" s="1364">
        <f t="shared" si="310"/>
        <v>197.00868746388275</v>
      </c>
      <c r="M601" s="1364">
        <f t="shared" si="310"/>
        <v>1259.3775642281062</v>
      </c>
      <c r="N601" s="1367">
        <f t="shared" si="310"/>
        <v>157.21659068351752</v>
      </c>
      <c r="O601" s="1367">
        <f t="shared" si="310"/>
        <v>112.82651794100083</v>
      </c>
      <c r="P601" s="1367">
        <f t="shared" si="310"/>
        <v>2.9193655544281407</v>
      </c>
      <c r="Q601" s="1364">
        <f t="shared" si="310"/>
        <v>0</v>
      </c>
      <c r="R601" s="1358"/>
      <c r="S601" s="1321"/>
      <c r="V601" s="1324" t="s">
        <v>5486</v>
      </c>
      <c r="Y601" s="1324"/>
    </row>
    <row r="602" spans="1:27">
      <c r="A602" s="1320" t="s">
        <v>4871</v>
      </c>
      <c r="C602" s="1322">
        <v>63</v>
      </c>
      <c r="D602" s="1320" t="s">
        <v>5240</v>
      </c>
      <c r="E602" s="1320" t="s">
        <v>4067</v>
      </c>
      <c r="F602" s="1358">
        <f t="shared" si="308"/>
        <v>16853.009913513808</v>
      </c>
      <c r="G602" s="1358">
        <f t="shared" si="308"/>
        <v>0</v>
      </c>
      <c r="H602" s="1358">
        <f t="shared" si="308"/>
        <v>16853.009913513808</v>
      </c>
      <c r="I602" s="1323">
        <f t="shared" si="309"/>
        <v>1</v>
      </c>
      <c r="J602" s="1364">
        <f t="shared" si="310"/>
        <v>16853.009913513808</v>
      </c>
      <c r="K602" s="1364">
        <f t="shared" si="310"/>
        <v>10489.583221863124</v>
      </c>
      <c r="L602" s="1364">
        <f t="shared" si="310"/>
        <v>746.04546723653868</v>
      </c>
      <c r="M602" s="1364">
        <f t="shared" si="310"/>
        <v>4995.2402144667149</v>
      </c>
      <c r="N602" s="1367">
        <f t="shared" si="310"/>
        <v>525.39883581263837</v>
      </c>
      <c r="O602" s="1367">
        <f t="shared" si="310"/>
        <v>3.5873208972122574E-4</v>
      </c>
      <c r="P602" s="1367">
        <f t="shared" si="310"/>
        <v>96.741815402707303</v>
      </c>
      <c r="Q602" s="1364">
        <f t="shared" si="310"/>
        <v>0</v>
      </c>
      <c r="R602" s="1358"/>
      <c r="S602" s="1321"/>
      <c r="V602" s="1324" t="s">
        <v>5487</v>
      </c>
      <c r="Y602" s="1324"/>
    </row>
    <row r="603" spans="1:27">
      <c r="A603" s="1320" t="s">
        <v>4871</v>
      </c>
      <c r="C603" s="1322">
        <v>64</v>
      </c>
      <c r="D603" s="1320" t="s">
        <v>5241</v>
      </c>
      <c r="E603" s="1320" t="s">
        <v>4067</v>
      </c>
      <c r="F603" s="1358">
        <f t="shared" si="308"/>
        <v>7339.7985679760041</v>
      </c>
      <c r="G603" s="1358">
        <f t="shared" si="308"/>
        <v>0</v>
      </c>
      <c r="H603" s="1358">
        <f t="shared" si="308"/>
        <v>7339.7985679760041</v>
      </c>
      <c r="I603" s="1323">
        <f t="shared" si="309"/>
        <v>1</v>
      </c>
      <c r="J603" s="1364">
        <f t="shared" si="310"/>
        <v>7339.7985679760041</v>
      </c>
      <c r="K603" s="1364">
        <f t="shared" si="310"/>
        <v>5355.361166387469</v>
      </c>
      <c r="L603" s="1364">
        <f t="shared" si="310"/>
        <v>431.2128576450591</v>
      </c>
      <c r="M603" s="1364">
        <f t="shared" si="310"/>
        <v>1526.6733495763085</v>
      </c>
      <c r="N603" s="1367">
        <f t="shared" si="310"/>
        <v>0</v>
      </c>
      <c r="O603" s="1367">
        <f t="shared" si="310"/>
        <v>0</v>
      </c>
      <c r="P603" s="1367">
        <f t="shared" si="310"/>
        <v>26.55119436716889</v>
      </c>
      <c r="Q603" s="1364">
        <f t="shared" si="310"/>
        <v>0</v>
      </c>
      <c r="R603" s="1358"/>
      <c r="S603" s="1321"/>
      <c r="V603" s="1324" t="s">
        <v>5488</v>
      </c>
      <c r="Y603" s="1324"/>
    </row>
    <row r="604" spans="1:27">
      <c r="A604" s="1320" t="s">
        <v>4871</v>
      </c>
      <c r="C604" s="1322">
        <v>65</v>
      </c>
      <c r="D604" s="1320" t="s">
        <v>5242</v>
      </c>
      <c r="E604" s="1320" t="s">
        <v>4071</v>
      </c>
      <c r="F604" s="1358">
        <f t="shared" si="308"/>
        <v>8437.1296707808851</v>
      </c>
      <c r="G604" s="1358">
        <f t="shared" si="308"/>
        <v>0</v>
      </c>
      <c r="H604" s="1358">
        <f t="shared" si="308"/>
        <v>8437.1296707808851</v>
      </c>
      <c r="I604" s="1323">
        <f t="shared" si="309"/>
        <v>1</v>
      </c>
      <c r="J604" s="1364">
        <f t="shared" si="310"/>
        <v>8437.1296707808851</v>
      </c>
      <c r="K604" s="1364">
        <f t="shared" si="310"/>
        <v>3110.4045617140023</v>
      </c>
      <c r="L604" s="1364">
        <f t="shared" si="310"/>
        <v>471.80747462061015</v>
      </c>
      <c r="M604" s="1364">
        <f t="shared" si="310"/>
        <v>227.45802638709978</v>
      </c>
      <c r="N604" s="1367">
        <f t="shared" si="310"/>
        <v>14.663113828305843</v>
      </c>
      <c r="O604" s="1367">
        <f t="shared" si="310"/>
        <v>15.99807271668899</v>
      </c>
      <c r="P604" s="1367">
        <f t="shared" si="310"/>
        <v>3.6717486021893762</v>
      </c>
      <c r="Q604" s="1364">
        <f t="shared" si="310"/>
        <v>4593.1266729119889</v>
      </c>
      <c r="R604" s="1358"/>
      <c r="S604" s="1321"/>
      <c r="V604" s="1324" t="s">
        <v>5489</v>
      </c>
      <c r="Y604" s="1324"/>
    </row>
    <row r="605" spans="1:27">
      <c r="A605" s="1320" t="s">
        <v>4871</v>
      </c>
      <c r="C605" s="1322">
        <v>66</v>
      </c>
      <c r="D605" s="1320" t="s">
        <v>5244</v>
      </c>
      <c r="E605" s="1320" t="s">
        <v>4071</v>
      </c>
      <c r="F605" s="1350">
        <f t="shared" si="308"/>
        <v>4328.749069178054</v>
      </c>
      <c r="G605" s="1350">
        <f t="shared" si="308"/>
        <v>0</v>
      </c>
      <c r="H605" s="1350">
        <f t="shared" si="308"/>
        <v>4328.749069178054</v>
      </c>
      <c r="I605" s="1323">
        <f t="shared" si="309"/>
        <v>1</v>
      </c>
      <c r="J605" s="1366">
        <f t="shared" si="310"/>
        <v>4328.749069178054</v>
      </c>
      <c r="K605" s="1366">
        <f t="shared" si="310"/>
        <v>3860.7542183025025</v>
      </c>
      <c r="L605" s="1366">
        <f t="shared" si="310"/>
        <v>374.26536620808031</v>
      </c>
      <c r="M605" s="1366">
        <f t="shared" si="310"/>
        <v>92.178370123648421</v>
      </c>
      <c r="N605" s="1378">
        <f t="shared" si="310"/>
        <v>0.31122686639798519</v>
      </c>
      <c r="O605" s="1378">
        <f t="shared" si="310"/>
        <v>5.5217669844803821E-2</v>
      </c>
      <c r="P605" s="1378">
        <f t="shared" si="310"/>
        <v>1.1846700075794274</v>
      </c>
      <c r="Q605" s="1366">
        <f t="shared" si="310"/>
        <v>0</v>
      </c>
      <c r="R605" s="1358"/>
      <c r="S605" s="1321"/>
      <c r="V605" s="1324" t="s">
        <v>5490</v>
      </c>
      <c r="Y605" s="1324"/>
    </row>
    <row r="606" spans="1:27">
      <c r="A606" s="1320" t="s">
        <v>4871</v>
      </c>
      <c r="B606" s="1321"/>
      <c r="C606" s="1322">
        <v>67</v>
      </c>
      <c r="F606" s="1358"/>
      <c r="G606" s="1358"/>
      <c r="H606" s="1358"/>
      <c r="J606" s="1364"/>
      <c r="K606" s="1364"/>
      <c r="L606" s="1364"/>
      <c r="M606" s="1364"/>
      <c r="N606" s="1367"/>
      <c r="O606" s="1367"/>
      <c r="P606" s="1367"/>
      <c r="Q606" s="1364"/>
      <c r="R606" s="1358"/>
      <c r="S606" s="1321"/>
      <c r="T606" s="1321"/>
      <c r="U606" s="1326"/>
      <c r="Y606" s="1324"/>
    </row>
    <row r="607" spans="1:27" ht="14.4" thickBot="1">
      <c r="A607" s="1320" t="s">
        <v>4871</v>
      </c>
      <c r="B607" s="1321"/>
      <c r="C607" s="1322">
        <v>68</v>
      </c>
      <c r="D607" s="1320" t="s">
        <v>5491</v>
      </c>
      <c r="F607" s="1423">
        <f>SUM(F598:F605)</f>
        <v>102154.43774323718</v>
      </c>
      <c r="G607" s="1423">
        <f>SUM(G598:G605)</f>
        <v>561.95570653723053</v>
      </c>
      <c r="H607" s="1423">
        <f>SUM(H598:H605)</f>
        <v>101592.48203669996</v>
      </c>
      <c r="I607" s="1323">
        <f>IF(F607=0,0,+H607/F607)</f>
        <v>0.99449895942896105</v>
      </c>
      <c r="J607" s="1380">
        <f t="shared" ref="J607:Q607" si="311">SUM(J598:J605)</f>
        <v>101592.48203669996</v>
      </c>
      <c r="K607" s="1380">
        <f t="shared" si="311"/>
        <v>59575.056414847582</v>
      </c>
      <c r="L607" s="1380">
        <f t="shared" si="311"/>
        <v>5104.0288563173726</v>
      </c>
      <c r="M607" s="1380">
        <f t="shared" si="311"/>
        <v>27011.987438899236</v>
      </c>
      <c r="N607" s="1424">
        <f t="shared" si="311"/>
        <v>3173.8626610955725</v>
      </c>
      <c r="O607" s="1424">
        <f>SUM(O598:O605)</f>
        <v>1916.1794873947651</v>
      </c>
      <c r="P607" s="1424">
        <f>SUM(P598:P605)</f>
        <v>218.24050523345159</v>
      </c>
      <c r="Q607" s="1380">
        <f t="shared" si="311"/>
        <v>4593.1266729119889</v>
      </c>
      <c r="R607" s="1358"/>
      <c r="T607" s="1321"/>
      <c r="U607" s="1326"/>
      <c r="V607" s="1320" t="s">
        <v>5492</v>
      </c>
      <c r="Y607" s="1324"/>
    </row>
    <row r="608" spans="1:27" ht="14.4" thickTop="1">
      <c r="B608" s="1321"/>
      <c r="G608" s="1320"/>
      <c r="I608" s="1320"/>
      <c r="K608" s="1320"/>
      <c r="L608" s="1320"/>
      <c r="M608" s="1320"/>
      <c r="N608" s="1324"/>
      <c r="O608" s="1324"/>
      <c r="P608" s="1320"/>
      <c r="Q608" s="1320"/>
      <c r="T608" s="1321"/>
      <c r="U608" s="1326"/>
      <c r="Y608" s="1324"/>
    </row>
    <row r="609" spans="1:25">
      <c r="B609" s="1321"/>
      <c r="G609" s="1320"/>
      <c r="I609" s="1320"/>
      <c r="K609" s="1320"/>
      <c r="L609" s="1320"/>
      <c r="M609" s="1320"/>
      <c r="N609" s="1324"/>
      <c r="O609" s="1324"/>
      <c r="P609" s="1320"/>
      <c r="Q609" s="1320"/>
      <c r="T609" s="1321"/>
      <c r="U609" s="1326"/>
    </row>
    <row r="610" spans="1:25">
      <c r="B610" s="1321"/>
      <c r="G610" s="1320"/>
      <c r="I610" s="1320"/>
      <c r="K610" s="1320"/>
      <c r="L610" s="1320"/>
      <c r="M610" s="1320"/>
      <c r="N610" s="1324"/>
      <c r="O610" s="1324"/>
      <c r="P610" s="1320"/>
      <c r="Q610" s="1320"/>
      <c r="T610" s="1321"/>
      <c r="U610" s="1326"/>
      <c r="V610" s="1324"/>
    </row>
    <row r="611" spans="1:25">
      <c r="B611" s="1321"/>
      <c r="G611" s="1320"/>
      <c r="I611" s="1320"/>
      <c r="K611" s="1320"/>
      <c r="L611" s="1320"/>
      <c r="M611" s="1320"/>
      <c r="N611" s="1324"/>
      <c r="O611" s="1324"/>
      <c r="P611" s="1320"/>
      <c r="Q611" s="1320"/>
      <c r="T611" s="1321"/>
      <c r="U611" s="1326"/>
      <c r="V611" s="1324"/>
      <c r="Y611" s="1324"/>
    </row>
    <row r="612" spans="1:25">
      <c r="B612" s="1321"/>
      <c r="G612" s="1320"/>
      <c r="I612" s="1320"/>
      <c r="K612" s="1320"/>
      <c r="L612" s="1320"/>
      <c r="M612" s="1320"/>
      <c r="N612" s="1324"/>
      <c r="O612" s="1324"/>
      <c r="P612" s="1320"/>
      <c r="Q612" s="1320"/>
      <c r="T612" s="1321"/>
      <c r="U612" s="1326"/>
      <c r="V612" s="1324"/>
      <c r="Y612" s="1324"/>
    </row>
    <row r="613" spans="1:25">
      <c r="B613" s="1432"/>
      <c r="C613" s="1340" t="str">
        <f>+C$2</f>
        <v>RATES WITH REVENUE DEFICIENCY ADDITION</v>
      </c>
      <c r="F613" s="1333"/>
      <c r="G613" s="1327" t="s">
        <v>2173</v>
      </c>
      <c r="I613" s="1334" t="s">
        <v>5478</v>
      </c>
      <c r="L613" s="1329" t="s">
        <v>2173</v>
      </c>
      <c r="M613" s="1330"/>
      <c r="N613" s="1330"/>
      <c r="O613" s="1330"/>
      <c r="S613" s="1334" t="s">
        <v>5493</v>
      </c>
      <c r="T613" s="1333" t="s">
        <v>2173</v>
      </c>
      <c r="U613" s="1431"/>
      <c r="V613" s="1332" t="s">
        <v>4772</v>
      </c>
    </row>
    <row r="614" spans="1:25">
      <c r="B614" s="1432"/>
      <c r="C614" s="1340" t="str">
        <f>+C$3</f>
        <v>PROD. CAP. ALLOC. METHOD: 12 CP &amp; 1/13th AD</v>
      </c>
      <c r="D614" s="1358"/>
      <c r="G614" s="1336" t="s">
        <v>4768</v>
      </c>
      <c r="I614" s="1335" t="s">
        <v>2630</v>
      </c>
      <c r="L614" s="1336" t="s">
        <v>5141</v>
      </c>
      <c r="M614" s="1337"/>
      <c r="N614" s="1337"/>
      <c r="O614" s="1337"/>
      <c r="R614" s="1331"/>
      <c r="S614" s="1335" t="s">
        <v>4061</v>
      </c>
      <c r="T614" s="1333" t="s">
        <v>5141</v>
      </c>
      <c r="V614" s="1332" t="s">
        <v>5493</v>
      </c>
      <c r="Y614" s="1324"/>
    </row>
    <row r="615" spans="1:25">
      <c r="C615" s="1340" t="str">
        <f>+C$4</f>
        <v>PROJECTED CALENDAR YEAR 2025; FULLY ADJUSTED DATA</v>
      </c>
      <c r="G615" s="1336" t="s">
        <v>2181</v>
      </c>
      <c r="L615" s="1336" t="s">
        <v>2181</v>
      </c>
      <c r="T615" s="1339"/>
      <c r="Y615" s="1324"/>
    </row>
    <row r="616" spans="1:25">
      <c r="C616" s="1340" t="str">
        <f>+C$5</f>
        <v>MINIMUM DISTRIBUTION SYSTEM (MDS) NOT EMPLOYED</v>
      </c>
      <c r="G616" s="1320"/>
      <c r="L616" s="1336"/>
      <c r="M616" s="1337"/>
      <c r="N616" s="1337"/>
      <c r="O616" s="1337"/>
      <c r="T616" s="1333"/>
      <c r="Y616" s="1324"/>
    </row>
    <row r="617" spans="1:25">
      <c r="C617" s="1340" t="str">
        <f>+C$6</f>
        <v>Tampa Electric 2025 OB Budget</v>
      </c>
      <c r="F617" s="1327"/>
      <c r="G617" s="1333" t="s">
        <v>5494</v>
      </c>
      <c r="L617" s="1336" t="s">
        <v>5494</v>
      </c>
      <c r="M617" s="1337"/>
      <c r="N617" s="1337"/>
      <c r="O617" s="1337"/>
      <c r="T617" s="1333" t="s">
        <v>5494</v>
      </c>
      <c r="Y617" s="1324"/>
    </row>
    <row r="618" spans="1:25">
      <c r="F618" s="1333"/>
      <c r="G618" s="1320"/>
      <c r="L618" s="1336"/>
      <c r="M618" s="1337"/>
      <c r="N618" s="1337"/>
      <c r="O618" s="1337"/>
      <c r="Y618" s="1324"/>
    </row>
    <row r="619" spans="1:25">
      <c r="C619" s="1331" t="s">
        <v>5495</v>
      </c>
      <c r="F619" s="1333"/>
      <c r="G619" s="1320"/>
      <c r="L619" s="1336"/>
      <c r="M619" s="1337"/>
      <c r="N619" s="1337"/>
      <c r="O619" s="1337"/>
      <c r="Y619" s="1324"/>
    </row>
    <row r="620" spans="1:25">
      <c r="C620" s="1331"/>
      <c r="G620" s="1320"/>
      <c r="Y620" s="1324"/>
    </row>
    <row r="621" spans="1:25">
      <c r="C621" s="1342"/>
      <c r="D621" s="1331"/>
      <c r="E621" s="1331"/>
      <c r="F621" s="1333"/>
      <c r="G621" s="1333"/>
      <c r="H621" s="1333"/>
      <c r="I621" s="1343"/>
      <c r="J621" s="1416"/>
      <c r="K621" s="1336"/>
      <c r="L621" s="1416"/>
      <c r="M621" s="1417"/>
      <c r="N621" s="1417"/>
      <c r="O621" s="1417"/>
      <c r="P621" s="3164"/>
      <c r="Q621" s="3164"/>
      <c r="R621" s="1333"/>
      <c r="Y621" s="1324"/>
    </row>
    <row r="622" spans="1:25" ht="30" customHeight="1">
      <c r="A622" s="1418" t="s">
        <v>4683</v>
      </c>
      <c r="B622" s="1425" t="s">
        <v>5143</v>
      </c>
      <c r="C622" s="1349" t="s">
        <v>4297</v>
      </c>
      <c r="D622" s="1418"/>
      <c r="E622" s="1418"/>
      <c r="F622" s="1348" t="s">
        <v>5144</v>
      </c>
      <c r="G622" s="1348" t="s">
        <v>4956</v>
      </c>
      <c r="H622" s="1348" t="s">
        <v>4957</v>
      </c>
      <c r="I622" s="1426" t="s">
        <v>5145</v>
      </c>
      <c r="J622" s="1352" t="s">
        <v>4957</v>
      </c>
      <c r="K622" s="1353" t="s">
        <v>1949</v>
      </c>
      <c r="L622" s="1353" t="s">
        <v>1950</v>
      </c>
      <c r="M622" s="1354" t="s">
        <v>1934</v>
      </c>
      <c r="N622" s="1354" t="s">
        <v>1971</v>
      </c>
      <c r="O622" s="1354" t="s">
        <v>1972</v>
      </c>
      <c r="P622" s="1352" t="s">
        <v>5146</v>
      </c>
      <c r="Q622" s="1352" t="s">
        <v>5147</v>
      </c>
      <c r="R622" s="1355"/>
      <c r="S622" s="1348" t="s">
        <v>5299</v>
      </c>
      <c r="T622" s="1348"/>
      <c r="U622" s="1352"/>
      <c r="V622" s="1355" t="s">
        <v>4774</v>
      </c>
    </row>
    <row r="623" spans="1:25">
      <c r="G623" s="1320"/>
    </row>
    <row r="624" spans="1:25">
      <c r="A624" s="1320" t="s">
        <v>4877</v>
      </c>
      <c r="B624" s="1321"/>
      <c r="C624" s="1322">
        <v>1</v>
      </c>
      <c r="D624" s="1356" t="s">
        <v>5153</v>
      </c>
      <c r="G624" s="1320"/>
      <c r="Y624" s="1324"/>
    </row>
    <row r="625" spans="1:27">
      <c r="A625" s="1320" t="s">
        <v>4877</v>
      </c>
      <c r="C625" s="1322">
        <v>2</v>
      </c>
      <c r="D625" s="1320" t="s">
        <v>5496</v>
      </c>
      <c r="E625" s="1320" t="s">
        <v>4777</v>
      </c>
      <c r="F625" s="1320">
        <f t="shared" ref="F625:H633" si="312">+F150</f>
        <v>1782281.2948316957</v>
      </c>
      <c r="G625" s="1320">
        <f t="shared" si="312"/>
        <v>7929.0305824175994</v>
      </c>
      <c r="H625" s="1320">
        <f t="shared" si="312"/>
        <v>1774352.2642492782</v>
      </c>
      <c r="I625" s="1323">
        <f>IF(F625=0,0,+H625/F625)</f>
        <v>0.99555119014859761</v>
      </c>
      <c r="J625" s="1324">
        <f t="shared" ref="J625:Q633" si="313">+J150</f>
        <v>1774352.2642492782</v>
      </c>
      <c r="K625" s="1324">
        <f t="shared" si="313"/>
        <v>1031095.7438643834</v>
      </c>
      <c r="L625" s="1324">
        <f t="shared" si="313"/>
        <v>95215.926359999998</v>
      </c>
      <c r="M625" s="1324">
        <f t="shared" si="313"/>
        <v>472409.06597747206</v>
      </c>
      <c r="N625" s="1325">
        <f t="shared" si="313"/>
        <v>56248.638876056888</v>
      </c>
      <c r="O625" s="1325">
        <f t="shared" si="313"/>
        <v>33101.5829713657</v>
      </c>
      <c r="P625" s="1325">
        <f t="shared" si="313"/>
        <v>3573.4600599999999</v>
      </c>
      <c r="Q625" s="1324">
        <f t="shared" si="313"/>
        <v>82707.846140000009</v>
      </c>
      <c r="V625" s="1320" t="s">
        <v>5497</v>
      </c>
      <c r="Y625" s="1324"/>
    </row>
    <row r="626" spans="1:27">
      <c r="A626" s="1320" t="s">
        <v>4877</v>
      </c>
      <c r="C626" s="1322">
        <v>3</v>
      </c>
      <c r="D626" s="1320" t="s">
        <v>5265</v>
      </c>
      <c r="E626" s="1320" t="s">
        <v>4067</v>
      </c>
      <c r="F626" s="1358">
        <f t="shared" si="312"/>
        <v>1850.9373105288485</v>
      </c>
      <c r="G626" s="1358">
        <f t="shared" si="312"/>
        <v>0</v>
      </c>
      <c r="H626" s="1358">
        <f t="shared" si="312"/>
        <v>1850.9373105288485</v>
      </c>
      <c r="I626" s="1323">
        <f t="shared" ref="I626:I634" si="314">IF(F626=0,0,+H626/F626)</f>
        <v>1</v>
      </c>
      <c r="J626" s="1364">
        <f t="shared" si="313"/>
        <v>1850.9373105288485</v>
      </c>
      <c r="K626" s="1364">
        <f t="shared" si="313"/>
        <v>1062.835350791551</v>
      </c>
      <c r="L626" s="1364">
        <f t="shared" si="313"/>
        <v>88.386074041862514</v>
      </c>
      <c r="M626" s="1364">
        <f t="shared" si="313"/>
        <v>572.02674442495356</v>
      </c>
      <c r="N626" s="1367">
        <f t="shared" si="313"/>
        <v>73.108889369043141</v>
      </c>
      <c r="O626" s="1367">
        <f t="shared" si="313"/>
        <v>52.616697051048732</v>
      </c>
      <c r="P626" s="1367">
        <f t="shared" si="313"/>
        <v>1.9635548503894207</v>
      </c>
      <c r="Q626" s="1364">
        <f t="shared" si="313"/>
        <v>0</v>
      </c>
      <c r="R626" s="1358"/>
      <c r="V626" s="1320" t="s">
        <v>5498</v>
      </c>
      <c r="Y626" s="1324"/>
    </row>
    <row r="627" spans="1:27">
      <c r="A627" s="1320" t="s">
        <v>4877</v>
      </c>
      <c r="C627" s="1322">
        <v>4</v>
      </c>
      <c r="D627" s="1320" t="s">
        <v>5265</v>
      </c>
      <c r="E627" s="1320" t="s">
        <v>2067</v>
      </c>
      <c r="F627" s="1358">
        <f t="shared" si="312"/>
        <v>683.44915259141396</v>
      </c>
      <c r="G627" s="1358">
        <f t="shared" si="312"/>
        <v>-1.84900420208578E-3</v>
      </c>
      <c r="H627" s="1358">
        <f t="shared" si="312"/>
        <v>683.45100159561605</v>
      </c>
      <c r="I627" s="1323">
        <f t="shared" si="314"/>
        <v>1.0000027054012652</v>
      </c>
      <c r="J627" s="1364">
        <f t="shared" si="313"/>
        <v>683.45100159561605</v>
      </c>
      <c r="K627" s="1364">
        <f t="shared" si="313"/>
        <v>232.12329599623095</v>
      </c>
      <c r="L627" s="1364">
        <f t="shared" si="313"/>
        <v>33.039675971418788</v>
      </c>
      <c r="M627" s="1364">
        <f t="shared" si="313"/>
        <v>321.66119075112124</v>
      </c>
      <c r="N627" s="1367">
        <f t="shared" si="313"/>
        <v>60.124362646580593</v>
      </c>
      <c r="O627" s="1367">
        <f t="shared" si="313"/>
        <v>32.559563027653994</v>
      </c>
      <c r="P627" s="1367">
        <f t="shared" si="313"/>
        <v>3.9429132026103617</v>
      </c>
      <c r="Q627" s="1364">
        <f t="shared" si="313"/>
        <v>0</v>
      </c>
      <c r="R627" s="1358"/>
      <c r="V627" s="1320" t="s">
        <v>5499</v>
      </c>
    </row>
    <row r="628" spans="1:27">
      <c r="A628" s="1320" t="s">
        <v>4877</v>
      </c>
      <c r="C628" s="1322">
        <v>5</v>
      </c>
      <c r="D628" s="1324" t="s">
        <v>5268</v>
      </c>
      <c r="E628" s="1324" t="s">
        <v>4067</v>
      </c>
      <c r="F628" s="1364">
        <f t="shared" si="312"/>
        <v>996.42736350591531</v>
      </c>
      <c r="G628" s="1364">
        <f t="shared" si="312"/>
        <v>64.555396081805128</v>
      </c>
      <c r="H628" s="1364">
        <f t="shared" si="312"/>
        <v>931.87196742411015</v>
      </c>
      <c r="I628" s="1374">
        <f t="shared" si="314"/>
        <v>0.93521314403222733</v>
      </c>
      <c r="J628" s="1364">
        <f t="shared" si="313"/>
        <v>931.87196742411015</v>
      </c>
      <c r="K628" s="1364">
        <f t="shared" si="313"/>
        <v>540.49789283172697</v>
      </c>
      <c r="L628" s="1364">
        <f t="shared" si="313"/>
        <v>44.585624396841048</v>
      </c>
      <c r="M628" s="1364">
        <f t="shared" si="313"/>
        <v>285.01349750262563</v>
      </c>
      <c r="N628" s="1367">
        <f t="shared" si="313"/>
        <v>35.580156141349192</v>
      </c>
      <c r="O628" s="1367">
        <f t="shared" si="313"/>
        <v>25.53410621469742</v>
      </c>
      <c r="P628" s="1367">
        <f t="shared" si="313"/>
        <v>0.66069033686989576</v>
      </c>
      <c r="Q628" s="1364">
        <f t="shared" si="313"/>
        <v>0</v>
      </c>
      <c r="R628" s="1364"/>
      <c r="S628" s="1324"/>
      <c r="T628" s="1324"/>
      <c r="V628" s="1320" t="s">
        <v>5500</v>
      </c>
    </row>
    <row r="629" spans="1:27">
      <c r="A629" s="1320" t="s">
        <v>4877</v>
      </c>
      <c r="C629" s="1322">
        <v>6</v>
      </c>
      <c r="D629" s="1320" t="s">
        <v>5239</v>
      </c>
      <c r="E629" s="1320" t="s">
        <v>4067</v>
      </c>
      <c r="F629" s="1358">
        <f t="shared" si="312"/>
        <v>273.36871416988186</v>
      </c>
      <c r="G629" s="1358">
        <f t="shared" si="312"/>
        <v>17.710699511019335</v>
      </c>
      <c r="H629" s="1358">
        <f t="shared" si="312"/>
        <v>255.6580146588625</v>
      </c>
      <c r="I629" s="1323">
        <f t="shared" si="314"/>
        <v>0.93521314403222733</v>
      </c>
      <c r="J629" s="1364">
        <f t="shared" si="313"/>
        <v>255.6580146588625</v>
      </c>
      <c r="K629" s="1364">
        <f t="shared" si="313"/>
        <v>148.28498231428051</v>
      </c>
      <c r="L629" s="1364">
        <f t="shared" si="313"/>
        <v>12.232015356283817</v>
      </c>
      <c r="M629" s="1364">
        <f t="shared" si="313"/>
        <v>78.193128959460836</v>
      </c>
      <c r="N629" s="1367">
        <f t="shared" si="313"/>
        <v>9.7613753802401604</v>
      </c>
      <c r="O629" s="1367">
        <f t="shared" si="313"/>
        <v>7.0052530059282994</v>
      </c>
      <c r="P629" s="1367">
        <f t="shared" si="313"/>
        <v>0.18125964266889311</v>
      </c>
      <c r="Q629" s="1364">
        <f t="shared" si="313"/>
        <v>0</v>
      </c>
      <c r="R629" s="1358"/>
      <c r="V629" s="1320" t="s">
        <v>5501</v>
      </c>
      <c r="Y629" s="1324"/>
    </row>
    <row r="630" spans="1:27" s="1324" customFormat="1">
      <c r="A630" s="1324" t="s">
        <v>4877</v>
      </c>
      <c r="C630" s="1393">
        <v>7</v>
      </c>
      <c r="D630" s="1320" t="s">
        <v>5240</v>
      </c>
      <c r="E630" s="1320" t="s">
        <v>4067</v>
      </c>
      <c r="F630" s="1358">
        <f t="shared" si="312"/>
        <v>14945.554128665908</v>
      </c>
      <c r="G630" s="1358">
        <f t="shared" si="312"/>
        <v>0</v>
      </c>
      <c r="H630" s="1358">
        <f t="shared" si="312"/>
        <v>14945.554128665908</v>
      </c>
      <c r="I630" s="1323">
        <f t="shared" si="314"/>
        <v>1</v>
      </c>
      <c r="J630" s="1364">
        <f t="shared" si="313"/>
        <v>14945.554128665908</v>
      </c>
      <c r="K630" s="1364">
        <f t="shared" si="313"/>
        <v>9302.3521990449226</v>
      </c>
      <c r="L630" s="1364">
        <f t="shared" si="313"/>
        <v>661.60661924780038</v>
      </c>
      <c r="M630" s="1364">
        <f t="shared" si="313"/>
        <v>4429.8694057692665</v>
      </c>
      <c r="N630" s="1367">
        <f t="shared" si="313"/>
        <v>465.93319413402276</v>
      </c>
      <c r="O630" s="1367">
        <f t="shared" si="313"/>
        <v>3.181301080419388E-4</v>
      </c>
      <c r="P630" s="1367">
        <f t="shared" si="313"/>
        <v>85.792392339791192</v>
      </c>
      <c r="Q630" s="1364">
        <f t="shared" si="313"/>
        <v>0</v>
      </c>
      <c r="R630" s="1358"/>
      <c r="S630" s="1320"/>
      <c r="T630" s="1320"/>
      <c r="V630" s="1320" t="s">
        <v>5502</v>
      </c>
      <c r="AA630" s="1320"/>
    </row>
    <row r="631" spans="1:27">
      <c r="A631" s="1320" t="s">
        <v>4877</v>
      </c>
      <c r="C631" s="1322">
        <v>8</v>
      </c>
      <c r="D631" s="1320" t="s">
        <v>5241</v>
      </c>
      <c r="E631" s="1320" t="s">
        <v>4067</v>
      </c>
      <c r="F631" s="1358">
        <f t="shared" si="312"/>
        <v>348.69066960232243</v>
      </c>
      <c r="G631" s="1358">
        <f t="shared" si="312"/>
        <v>0</v>
      </c>
      <c r="H631" s="1358">
        <f t="shared" si="312"/>
        <v>348.69066960232243</v>
      </c>
      <c r="I631" s="1323">
        <f t="shared" si="314"/>
        <v>1</v>
      </c>
      <c r="J631" s="1364">
        <f t="shared" si="313"/>
        <v>348.69066960232243</v>
      </c>
      <c r="K631" s="1364">
        <f t="shared" si="313"/>
        <v>254.41631044445109</v>
      </c>
      <c r="L631" s="1364">
        <f t="shared" si="313"/>
        <v>20.485562196409056</v>
      </c>
      <c r="M631" s="1364">
        <f t="shared" si="313"/>
        <v>72.52743349802563</v>
      </c>
      <c r="N631" s="1367">
        <f t="shared" si="313"/>
        <v>0</v>
      </c>
      <c r="O631" s="1367">
        <f t="shared" si="313"/>
        <v>0</v>
      </c>
      <c r="P631" s="1367">
        <f t="shared" si="313"/>
        <v>1.2613634634366437</v>
      </c>
      <c r="Q631" s="1364">
        <f t="shared" si="313"/>
        <v>0</v>
      </c>
      <c r="R631" s="1358"/>
      <c r="V631" s="1320" t="s">
        <v>5503</v>
      </c>
      <c r="Y631" s="1324"/>
    </row>
    <row r="632" spans="1:27">
      <c r="A632" s="1320" t="s">
        <v>4877</v>
      </c>
      <c r="C632" s="1322">
        <v>9</v>
      </c>
      <c r="D632" s="1320" t="s">
        <v>5242</v>
      </c>
      <c r="E632" s="1320" t="s">
        <v>4071</v>
      </c>
      <c r="F632" s="1358">
        <f t="shared" si="312"/>
        <v>216.09497132613194</v>
      </c>
      <c r="G632" s="1358">
        <f t="shared" si="312"/>
        <v>0</v>
      </c>
      <c r="H632" s="1358">
        <f t="shared" si="312"/>
        <v>216.09497132613194</v>
      </c>
      <c r="I632" s="1323">
        <f t="shared" si="314"/>
        <v>1</v>
      </c>
      <c r="J632" s="1364">
        <f t="shared" si="313"/>
        <v>216.09497132613194</v>
      </c>
      <c r="K632" s="1364">
        <f t="shared" si="313"/>
        <v>79.664863621095478</v>
      </c>
      <c r="L632" s="1364">
        <f t="shared" si="313"/>
        <v>12.084112331790104</v>
      </c>
      <c r="M632" s="1364">
        <f t="shared" si="313"/>
        <v>5.8257414082708596</v>
      </c>
      <c r="N632" s="1367">
        <f t="shared" si="313"/>
        <v>0.37555724350818143</v>
      </c>
      <c r="O632" s="1367">
        <f t="shared" si="313"/>
        <v>0.40974871785588124</v>
      </c>
      <c r="P632" s="1367">
        <f t="shared" si="313"/>
        <v>9.4042220502395357E-2</v>
      </c>
      <c r="Q632" s="1364">
        <f t="shared" si="313"/>
        <v>117.64090578310908</v>
      </c>
      <c r="R632" s="1358"/>
      <c r="V632" s="1320" t="s">
        <v>5504</v>
      </c>
      <c r="Y632" s="1324"/>
    </row>
    <row r="633" spans="1:27">
      <c r="A633" s="1320" t="s">
        <v>4877</v>
      </c>
      <c r="C633" s="1322">
        <v>10</v>
      </c>
      <c r="D633" s="1320" t="s">
        <v>5244</v>
      </c>
      <c r="E633" s="1320" t="s">
        <v>4071</v>
      </c>
      <c r="F633" s="1350">
        <f t="shared" si="312"/>
        <v>21497.128382830353</v>
      </c>
      <c r="G633" s="1350">
        <f t="shared" si="312"/>
        <v>0</v>
      </c>
      <c r="H633" s="1350">
        <f t="shared" si="312"/>
        <v>21497.128382830353</v>
      </c>
      <c r="I633" s="1323">
        <f t="shared" si="314"/>
        <v>1</v>
      </c>
      <c r="J633" s="1366">
        <f t="shared" si="313"/>
        <v>21497.128382830353</v>
      </c>
      <c r="K633" s="1366">
        <f t="shared" si="313"/>
        <v>19178.418704941017</v>
      </c>
      <c r="L633" s="1366">
        <f t="shared" si="313"/>
        <v>1858.7024168937448</v>
      </c>
      <c r="M633" s="1366">
        <f t="shared" si="313"/>
        <v>454.56569322625199</v>
      </c>
      <c r="N633" s="1378">
        <f t="shared" si="313"/>
        <v>3.7671811553707593E-3</v>
      </c>
      <c r="O633" s="1378">
        <f t="shared" si="313"/>
        <v>6.683708501464251E-4</v>
      </c>
      <c r="P633" s="1378">
        <f t="shared" si="313"/>
        <v>5.4371322173328691</v>
      </c>
      <c r="Q633" s="1366">
        <f t="shared" si="313"/>
        <v>0</v>
      </c>
      <c r="R633" s="1358"/>
      <c r="V633" s="1320" t="s">
        <v>5505</v>
      </c>
      <c r="Y633" s="1324"/>
    </row>
    <row r="634" spans="1:27">
      <c r="A634" s="1320" t="s">
        <v>4877</v>
      </c>
      <c r="C634" s="1322">
        <v>11</v>
      </c>
      <c r="D634" s="1320" t="s">
        <v>5153</v>
      </c>
      <c r="F634" s="1427">
        <f>SUM(F625:F633)</f>
        <v>1823092.9455249165</v>
      </c>
      <c r="G634" s="1427">
        <f>SUM(G625:G633)</f>
        <v>8011.2948290062213</v>
      </c>
      <c r="H634" s="1427">
        <f>SUM(H625:H633)</f>
        <v>1815081.6506959107</v>
      </c>
      <c r="I634" s="1323">
        <f t="shared" si="314"/>
        <v>0.99560565749065566</v>
      </c>
      <c r="J634" s="1421">
        <f t="shared" ref="J634:Q634" si="315">SUM(J625:J633)</f>
        <v>1815081.6506959107</v>
      </c>
      <c r="K634" s="1421">
        <f t="shared" si="315"/>
        <v>1061894.3374643687</v>
      </c>
      <c r="L634" s="1421">
        <f t="shared" si="315"/>
        <v>97947.04846043617</v>
      </c>
      <c r="M634" s="1421">
        <f t="shared" si="315"/>
        <v>478628.74881301197</v>
      </c>
      <c r="N634" s="1422">
        <f t="shared" si="315"/>
        <v>56893.526178152795</v>
      </c>
      <c r="O634" s="1422">
        <f>SUM(O625:O633)</f>
        <v>33219.709325883836</v>
      </c>
      <c r="P634" s="1422">
        <f>SUM(P625:P633)</f>
        <v>3672.7934082736015</v>
      </c>
      <c r="Q634" s="1421">
        <f t="shared" si="315"/>
        <v>82825.487045783113</v>
      </c>
      <c r="R634" s="1358"/>
      <c r="V634" s="1320" t="s">
        <v>5460</v>
      </c>
      <c r="Y634" s="1324"/>
    </row>
    <row r="635" spans="1:27">
      <c r="A635" s="1320" t="s">
        <v>4877</v>
      </c>
      <c r="C635" s="1322">
        <v>12</v>
      </c>
      <c r="G635" s="1320"/>
      <c r="M635" s="1324"/>
      <c r="P635" s="1325"/>
      <c r="Y635" s="1324"/>
    </row>
    <row r="636" spans="1:27">
      <c r="A636" s="1320" t="s">
        <v>4877</v>
      </c>
      <c r="C636" s="1322">
        <v>13</v>
      </c>
      <c r="D636" s="1356" t="s">
        <v>5506</v>
      </c>
      <c r="G636" s="1320"/>
      <c r="M636" s="1324"/>
      <c r="P636" s="1325"/>
      <c r="Y636" s="1324"/>
    </row>
    <row r="637" spans="1:27">
      <c r="A637" s="1320" t="s">
        <v>4877</v>
      </c>
      <c r="C637" s="1322">
        <v>14</v>
      </c>
      <c r="D637" s="1320" t="s">
        <v>5265</v>
      </c>
      <c r="E637" s="1320" t="s">
        <v>4067</v>
      </c>
      <c r="F637" s="1320">
        <f t="shared" ref="F637:H644" si="316">+F318</f>
        <v>159622.03248406202</v>
      </c>
      <c r="G637" s="1320">
        <f t="shared" si="316"/>
        <v>0</v>
      </c>
      <c r="H637" s="1320">
        <f t="shared" si="316"/>
        <v>159622.03248406202</v>
      </c>
      <c r="I637" s="1323">
        <f t="shared" ref="I637:I645" si="317">IF(F637=0,0,+H637/F637)</f>
        <v>1</v>
      </c>
      <c r="J637" s="1324">
        <f t="shared" ref="J637:Q644" si="318">+J318</f>
        <v>159622.03248406202</v>
      </c>
      <c r="K637" s="1324">
        <f t="shared" si="318"/>
        <v>91657.312175951331</v>
      </c>
      <c r="L637" s="1324">
        <f t="shared" si="318"/>
        <v>7622.281263441525</v>
      </c>
      <c r="M637" s="1324">
        <f t="shared" si="318"/>
        <v>49330.720744001708</v>
      </c>
      <c r="N637" s="1325">
        <f t="shared" si="318"/>
        <v>6304.79997747996</v>
      </c>
      <c r="O637" s="1325">
        <f t="shared" si="318"/>
        <v>4537.5843244992775</v>
      </c>
      <c r="P637" s="1325">
        <f t="shared" si="318"/>
        <v>169.33399868823523</v>
      </c>
      <c r="Q637" s="1324">
        <f t="shared" si="318"/>
        <v>0</v>
      </c>
      <c r="V637" s="1320" t="s">
        <v>5507</v>
      </c>
    </row>
    <row r="638" spans="1:27">
      <c r="A638" s="1320" t="s">
        <v>4877</v>
      </c>
      <c r="C638" s="1322">
        <v>15</v>
      </c>
      <c r="D638" s="1320" t="s">
        <v>5265</v>
      </c>
      <c r="E638" s="1320" t="s">
        <v>2067</v>
      </c>
      <c r="F638" s="1320">
        <f t="shared" si="316"/>
        <v>41606.418583842657</v>
      </c>
      <c r="G638" s="1320">
        <f t="shared" si="316"/>
        <v>0</v>
      </c>
      <c r="H638" s="1320">
        <f t="shared" si="316"/>
        <v>41606.418583842657</v>
      </c>
      <c r="I638" s="1323">
        <f t="shared" si="317"/>
        <v>1</v>
      </c>
      <c r="J638" s="1324">
        <f t="shared" si="318"/>
        <v>41606.418583842657</v>
      </c>
      <c r="K638" s="1324">
        <f t="shared" si="318"/>
        <v>20996.021141959634</v>
      </c>
      <c r="L638" s="1324">
        <f t="shared" si="318"/>
        <v>1940.278139449782</v>
      </c>
      <c r="M638" s="1324">
        <f t="shared" si="318"/>
        <v>14454.318510028865</v>
      </c>
      <c r="N638" s="1325">
        <f t="shared" si="318"/>
        <v>2300.8950992492</v>
      </c>
      <c r="O638" s="1325">
        <f t="shared" si="318"/>
        <v>1695.0967183320813</v>
      </c>
      <c r="P638" s="1325">
        <f t="shared" si="318"/>
        <v>219.80897482309194</v>
      </c>
      <c r="Q638" s="1324">
        <f t="shared" si="318"/>
        <v>0</v>
      </c>
      <c r="V638" s="1320" t="s">
        <v>5508</v>
      </c>
    </row>
    <row r="639" spans="1:27">
      <c r="A639" s="1320" t="s">
        <v>4877</v>
      </c>
      <c r="C639" s="1322">
        <v>16</v>
      </c>
      <c r="D639" s="1320" t="s">
        <v>5268</v>
      </c>
      <c r="E639" s="1320" t="s">
        <v>4067</v>
      </c>
      <c r="F639" s="1320">
        <f t="shared" si="316"/>
        <v>4045.870112441934</v>
      </c>
      <c r="G639" s="1320">
        <f t="shared" si="316"/>
        <v>406.64102719459561</v>
      </c>
      <c r="H639" s="1320">
        <f t="shared" si="316"/>
        <v>3639.0936003281759</v>
      </c>
      <c r="I639" s="1323">
        <f t="shared" si="317"/>
        <v>0.89945883065725918</v>
      </c>
      <c r="J639" s="1324">
        <f t="shared" si="318"/>
        <v>3639.0936003281759</v>
      </c>
      <c r="K639" s="1324">
        <f t="shared" si="318"/>
        <v>2110.7217424211058</v>
      </c>
      <c r="L639" s="1324">
        <f t="shared" si="318"/>
        <v>174.11325383858966</v>
      </c>
      <c r="M639" s="1324">
        <f t="shared" si="318"/>
        <v>1113.0185594443501</v>
      </c>
      <c r="N639" s="1325">
        <f t="shared" si="318"/>
        <v>138.94560952463209</v>
      </c>
      <c r="O639" s="1325">
        <f t="shared" si="318"/>
        <v>99.714344635624627</v>
      </c>
      <c r="P639" s="1325">
        <f t="shared" si="318"/>
        <v>2.5800904638734146</v>
      </c>
      <c r="Q639" s="1324">
        <f t="shared" si="318"/>
        <v>0</v>
      </c>
      <c r="V639" s="1320" t="s">
        <v>5509</v>
      </c>
      <c r="Y639" s="1324"/>
    </row>
    <row r="640" spans="1:27">
      <c r="A640" s="1320" t="s">
        <v>4877</v>
      </c>
      <c r="C640" s="1322">
        <v>17</v>
      </c>
      <c r="D640" s="1320" t="s">
        <v>5239</v>
      </c>
      <c r="E640" s="1320" t="s">
        <v>4067</v>
      </c>
      <c r="F640" s="1320">
        <f t="shared" si="316"/>
        <v>12410.707503734577</v>
      </c>
      <c r="G640" s="1320">
        <f t="shared" si="316"/>
        <v>1290.0636241191005</v>
      </c>
      <c r="H640" s="1320">
        <f t="shared" si="316"/>
        <v>11120.779364534637</v>
      </c>
      <c r="I640" s="1323">
        <f t="shared" si="317"/>
        <v>0.89606328738214325</v>
      </c>
      <c r="J640" s="1324">
        <f t="shared" si="318"/>
        <v>11120.779364534637</v>
      </c>
      <c r="K640" s="1324">
        <f t="shared" si="318"/>
        <v>6450.1970477688265</v>
      </c>
      <c r="L640" s="1324">
        <f t="shared" si="318"/>
        <v>532.07619617301259</v>
      </c>
      <c r="M640" s="1324">
        <f t="shared" si="318"/>
        <v>3401.2958136324314</v>
      </c>
      <c r="N640" s="1325">
        <f t="shared" si="318"/>
        <v>424.60668421797953</v>
      </c>
      <c r="O640" s="1325">
        <f t="shared" si="318"/>
        <v>304.71907237339212</v>
      </c>
      <c r="P640" s="1325">
        <f t="shared" si="318"/>
        <v>7.8845503689953329</v>
      </c>
      <c r="Q640" s="1324">
        <f t="shared" si="318"/>
        <v>0</v>
      </c>
      <c r="V640" s="1320" t="s">
        <v>5510</v>
      </c>
      <c r="Y640" s="1324"/>
    </row>
    <row r="641" spans="1:25">
      <c r="A641" s="1320" t="s">
        <v>4877</v>
      </c>
      <c r="C641" s="1322">
        <v>18</v>
      </c>
      <c r="D641" s="1320" t="s">
        <v>5240</v>
      </c>
      <c r="E641" s="1320" t="s">
        <v>4067</v>
      </c>
      <c r="F641" s="1320">
        <f t="shared" si="316"/>
        <v>58782.428344976914</v>
      </c>
      <c r="G641" s="1320">
        <f t="shared" si="316"/>
        <v>0</v>
      </c>
      <c r="H641" s="1320">
        <f t="shared" si="316"/>
        <v>58782.428344976914</v>
      </c>
      <c r="I641" s="1323">
        <f t="shared" si="317"/>
        <v>1</v>
      </c>
      <c r="J641" s="1324">
        <f t="shared" si="318"/>
        <v>58782.428344976914</v>
      </c>
      <c r="K641" s="1324">
        <f t="shared" si="318"/>
        <v>36587.12463068153</v>
      </c>
      <c r="L641" s="1324">
        <f t="shared" si="318"/>
        <v>2602.1680664153319</v>
      </c>
      <c r="M641" s="1324">
        <f t="shared" si="318"/>
        <v>17423.139930475194</v>
      </c>
      <c r="N641" s="1325">
        <f t="shared" si="318"/>
        <v>1832.5640094666878</v>
      </c>
      <c r="O641" s="1325">
        <f t="shared" si="318"/>
        <v>1.2512390052160816E-3</v>
      </c>
      <c r="P641" s="1325">
        <f t="shared" si="318"/>
        <v>337.43045669917126</v>
      </c>
      <c r="Q641" s="1324">
        <f t="shared" si="318"/>
        <v>0</v>
      </c>
      <c r="V641" s="1320" t="s">
        <v>5511</v>
      </c>
      <c r="Y641" s="1324"/>
    </row>
    <row r="642" spans="1:25">
      <c r="A642" s="1320" t="s">
        <v>4877</v>
      </c>
      <c r="C642" s="1322">
        <v>19</v>
      </c>
      <c r="D642" s="1320" t="s">
        <v>5241</v>
      </c>
      <c r="E642" s="1320" t="s">
        <v>4067</v>
      </c>
      <c r="F642" s="1320">
        <f t="shared" si="316"/>
        <v>9777.0557636031099</v>
      </c>
      <c r="G642" s="1320">
        <f t="shared" si="316"/>
        <v>0</v>
      </c>
      <c r="H642" s="1320">
        <f t="shared" si="316"/>
        <v>9777.0557636031099</v>
      </c>
      <c r="I642" s="1323">
        <f t="shared" si="317"/>
        <v>1</v>
      </c>
      <c r="J642" s="1324">
        <f t="shared" si="318"/>
        <v>9777.0557636031099</v>
      </c>
      <c r="K642" s="1324">
        <f t="shared" si="318"/>
        <v>7133.6650826431833</v>
      </c>
      <c r="L642" s="1324">
        <f t="shared" si="318"/>
        <v>574.40161553929102</v>
      </c>
      <c r="M642" s="1324">
        <f t="shared" si="318"/>
        <v>2033.621268128391</v>
      </c>
      <c r="N642" s="1325">
        <f t="shared" si="318"/>
        <v>0</v>
      </c>
      <c r="O642" s="1325">
        <f t="shared" si="318"/>
        <v>0</v>
      </c>
      <c r="P642" s="1325">
        <f t="shared" si="318"/>
        <v>35.367797292243573</v>
      </c>
      <c r="Q642" s="1324">
        <f t="shared" si="318"/>
        <v>0</v>
      </c>
      <c r="V642" s="1320" t="s">
        <v>5512</v>
      </c>
      <c r="Y642" s="1324"/>
    </row>
    <row r="643" spans="1:25">
      <c r="A643" s="1320" t="s">
        <v>4877</v>
      </c>
      <c r="C643" s="1322">
        <v>20</v>
      </c>
      <c r="D643" s="1320" t="s">
        <v>5242</v>
      </c>
      <c r="E643" s="1320" t="s">
        <v>4071</v>
      </c>
      <c r="F643" s="1320">
        <f t="shared" si="316"/>
        <v>38382.168272878131</v>
      </c>
      <c r="G643" s="1320">
        <f t="shared" si="316"/>
        <v>0</v>
      </c>
      <c r="H643" s="1320">
        <f t="shared" si="316"/>
        <v>38382.168272878131</v>
      </c>
      <c r="I643" s="1323">
        <f t="shared" si="317"/>
        <v>1</v>
      </c>
      <c r="J643" s="1324">
        <f t="shared" si="318"/>
        <v>38382.168272878131</v>
      </c>
      <c r="K643" s="1324">
        <f t="shared" si="318"/>
        <v>21544.192211832418</v>
      </c>
      <c r="L643" s="1324">
        <f t="shared" si="318"/>
        <v>4185.9635079673872</v>
      </c>
      <c r="M643" s="1324">
        <f t="shared" si="318"/>
        <v>2403.9105983064192</v>
      </c>
      <c r="N643" s="1325">
        <f t="shared" si="318"/>
        <v>180.57746751043169</v>
      </c>
      <c r="O643" s="1325">
        <f t="shared" si="318"/>
        <v>197.01759735716439</v>
      </c>
      <c r="P643" s="1325">
        <f t="shared" si="318"/>
        <v>40.46714324574485</v>
      </c>
      <c r="Q643" s="1324">
        <f t="shared" si="318"/>
        <v>9830.0397466585637</v>
      </c>
      <c r="V643" s="1320" t="s">
        <v>5513</v>
      </c>
      <c r="Y643" s="1324"/>
    </row>
    <row r="644" spans="1:25">
      <c r="A644" s="1320" t="s">
        <v>4877</v>
      </c>
      <c r="C644" s="1322">
        <v>21</v>
      </c>
      <c r="D644" s="1320" t="s">
        <v>5244</v>
      </c>
      <c r="E644" s="1320" t="s">
        <v>4071</v>
      </c>
      <c r="F644" s="1320">
        <f t="shared" si="316"/>
        <v>68841.12898628338</v>
      </c>
      <c r="G644" s="1320">
        <f t="shared" si="316"/>
        <v>0</v>
      </c>
      <c r="H644" s="1320">
        <f t="shared" si="316"/>
        <v>68841.12898628338</v>
      </c>
      <c r="I644" s="1323">
        <f t="shared" si="317"/>
        <v>1</v>
      </c>
      <c r="J644" s="1324">
        <f t="shared" si="318"/>
        <v>68841.12898628338</v>
      </c>
      <c r="K644" s="1324">
        <f t="shared" si="318"/>
        <v>59574.211774824587</v>
      </c>
      <c r="L644" s="1324">
        <f t="shared" si="318"/>
        <v>5763.4842927606624</v>
      </c>
      <c r="M644" s="1324">
        <f t="shared" si="318"/>
        <v>2902.9081539985177</v>
      </c>
      <c r="N644" s="1325">
        <f t="shared" si="318"/>
        <v>189.64174066923826</v>
      </c>
      <c r="O644" s="1325">
        <f t="shared" si="318"/>
        <v>109.48647147567513</v>
      </c>
      <c r="P644" s="1325">
        <f t="shared" si="318"/>
        <v>31.191344012645786</v>
      </c>
      <c r="Q644" s="1324">
        <f t="shared" si="318"/>
        <v>270.20520854205262</v>
      </c>
      <c r="V644" s="1320" t="s">
        <v>9329</v>
      </c>
      <c r="Y644" s="1324"/>
    </row>
    <row r="645" spans="1:25">
      <c r="A645" s="1320" t="s">
        <v>4877</v>
      </c>
      <c r="C645" s="1322">
        <v>22</v>
      </c>
      <c r="D645" s="1320" t="s">
        <v>5515</v>
      </c>
      <c r="F645" s="1427">
        <f>SUM(F637:F644)</f>
        <v>393467.81005182274</v>
      </c>
      <c r="G645" s="1427">
        <f>SUM(G637:G644)</f>
        <v>1696.7046513136961</v>
      </c>
      <c r="H645" s="1427">
        <f>SUM(H637:H644)</f>
        <v>391771.10540050903</v>
      </c>
      <c r="I645" s="1323">
        <f t="shared" si="317"/>
        <v>0.99568781839843457</v>
      </c>
      <c r="J645" s="1421">
        <f t="shared" ref="J645:Q645" si="319">SUM(J637:J644)</f>
        <v>391771.10540050903</v>
      </c>
      <c r="K645" s="1421">
        <f t="shared" si="319"/>
        <v>246053.44580808264</v>
      </c>
      <c r="L645" s="1421">
        <f t="shared" si="319"/>
        <v>23394.766335585584</v>
      </c>
      <c r="M645" s="1421">
        <f t="shared" si="319"/>
        <v>93062.933578015887</v>
      </c>
      <c r="N645" s="1422">
        <f t="shared" si="319"/>
        <v>11372.030588118128</v>
      </c>
      <c r="O645" s="1422">
        <f>SUM(O637:O644)</f>
        <v>6943.6197799122192</v>
      </c>
      <c r="P645" s="1422">
        <f>SUM(P637:P644)</f>
        <v>844.06435559400143</v>
      </c>
      <c r="Q645" s="1421">
        <f t="shared" si="319"/>
        <v>10100.244955200616</v>
      </c>
      <c r="R645" s="1358"/>
      <c r="V645" s="1320" t="s">
        <v>5463</v>
      </c>
      <c r="Y645" s="1324"/>
    </row>
    <row r="646" spans="1:25">
      <c r="A646" s="1320" t="s">
        <v>4877</v>
      </c>
      <c r="C646" s="1322">
        <v>23</v>
      </c>
      <c r="G646" s="1320"/>
      <c r="M646" s="1324"/>
      <c r="P646" s="1325"/>
      <c r="Y646" s="1324"/>
    </row>
    <row r="647" spans="1:25">
      <c r="A647" s="1320" t="s">
        <v>4877</v>
      </c>
      <c r="C647" s="1322">
        <v>24</v>
      </c>
      <c r="D647" s="1356" t="s">
        <v>5516</v>
      </c>
      <c r="G647" s="1320"/>
      <c r="M647" s="1324"/>
      <c r="P647" s="1325"/>
    </row>
    <row r="648" spans="1:25">
      <c r="A648" s="1320" t="s">
        <v>4877</v>
      </c>
      <c r="C648" s="1322">
        <v>25</v>
      </c>
      <c r="D648" s="1320" t="s">
        <v>4813</v>
      </c>
      <c r="E648" s="1320" t="s">
        <v>4067</v>
      </c>
      <c r="F648" s="1320">
        <f t="shared" ref="F648:H649" si="320">+F185</f>
        <v>0</v>
      </c>
      <c r="G648" s="1320">
        <f t="shared" si="320"/>
        <v>0</v>
      </c>
      <c r="H648" s="1320">
        <f t="shared" si="320"/>
        <v>0</v>
      </c>
      <c r="I648" s="1323">
        <f>IF(F648=0,0,+H648/F648)</f>
        <v>0</v>
      </c>
      <c r="J648" s="1324">
        <f t="shared" ref="J648:Q649" si="321">+J185</f>
        <v>0</v>
      </c>
      <c r="K648" s="1324">
        <f t="shared" si="321"/>
        <v>0</v>
      </c>
      <c r="L648" s="1324">
        <f t="shared" si="321"/>
        <v>0</v>
      </c>
      <c r="M648" s="1324">
        <f t="shared" si="321"/>
        <v>0</v>
      </c>
      <c r="N648" s="1325">
        <f t="shared" si="321"/>
        <v>0</v>
      </c>
      <c r="O648" s="1325">
        <f>+O185</f>
        <v>0</v>
      </c>
      <c r="P648" s="1325">
        <f>+P185</f>
        <v>0</v>
      </c>
      <c r="Q648" s="1324">
        <f t="shared" si="321"/>
        <v>0</v>
      </c>
      <c r="V648" s="1320" t="s">
        <v>5517</v>
      </c>
    </row>
    <row r="649" spans="1:25">
      <c r="A649" s="1320" t="s">
        <v>4877</v>
      </c>
      <c r="C649" s="1322">
        <v>26</v>
      </c>
      <c r="D649" s="1320" t="s">
        <v>4814</v>
      </c>
      <c r="E649" s="1320" t="s">
        <v>2067</v>
      </c>
      <c r="F649" s="1350">
        <f t="shared" si="320"/>
        <v>626.46090775325297</v>
      </c>
      <c r="G649" s="1350">
        <f t="shared" si="320"/>
        <v>0</v>
      </c>
      <c r="H649" s="1350">
        <f t="shared" si="320"/>
        <v>626.46090775325297</v>
      </c>
      <c r="I649" s="1323">
        <f>IF(F649=0,0,+H649/F649)</f>
        <v>1</v>
      </c>
      <c r="J649" s="1366">
        <f t="shared" si="321"/>
        <v>626.46090775325297</v>
      </c>
      <c r="K649" s="1366">
        <f t="shared" si="321"/>
        <v>316.13358975594224</v>
      </c>
      <c r="L649" s="1366">
        <f t="shared" si="321"/>
        <v>29.214444451259041</v>
      </c>
      <c r="M649" s="1366">
        <f t="shared" si="321"/>
        <v>217.63626389760336</v>
      </c>
      <c r="N649" s="1378">
        <f t="shared" si="321"/>
        <v>34.64419389080566</v>
      </c>
      <c r="O649" s="1378">
        <f>+O186</f>
        <v>25.522788671559834</v>
      </c>
      <c r="P649" s="1378">
        <f>+P186</f>
        <v>3.3096270860828403</v>
      </c>
      <c r="Q649" s="1366">
        <f t="shared" si="321"/>
        <v>0</v>
      </c>
      <c r="R649" s="1358"/>
      <c r="V649" s="1320" t="s">
        <v>5518</v>
      </c>
      <c r="Y649" s="1324"/>
    </row>
    <row r="650" spans="1:25">
      <c r="A650" s="1320" t="s">
        <v>4877</v>
      </c>
      <c r="C650" s="1322">
        <v>27</v>
      </c>
      <c r="D650" s="1320" t="s">
        <v>5519</v>
      </c>
      <c r="F650" s="1427">
        <f>SUM(F648:F649)</f>
        <v>626.46090775325297</v>
      </c>
      <c r="G650" s="1427">
        <f>SUM(G648:G649)</f>
        <v>0</v>
      </c>
      <c r="H650" s="1427">
        <f>SUM(H648:H649)</f>
        <v>626.46090775325297</v>
      </c>
      <c r="I650" s="1323">
        <f>IF(F650=0,0,+H650/F650)</f>
        <v>1</v>
      </c>
      <c r="J650" s="1421">
        <f t="shared" ref="J650:Q650" si="322">SUM(J648:J649)</f>
        <v>626.46090775325297</v>
      </c>
      <c r="K650" s="1421">
        <f t="shared" si="322"/>
        <v>316.13358975594224</v>
      </c>
      <c r="L650" s="1421">
        <f t="shared" si="322"/>
        <v>29.214444451259041</v>
      </c>
      <c r="M650" s="1421">
        <f t="shared" si="322"/>
        <v>217.63626389760336</v>
      </c>
      <c r="N650" s="1422">
        <f t="shared" si="322"/>
        <v>34.64419389080566</v>
      </c>
      <c r="O650" s="1422">
        <f>SUM(O648:O649)</f>
        <v>25.522788671559834</v>
      </c>
      <c r="P650" s="1422">
        <f>SUM(P648:P649)</f>
        <v>3.3096270860828403</v>
      </c>
      <c r="Q650" s="1421">
        <f t="shared" si="322"/>
        <v>0</v>
      </c>
      <c r="R650" s="1358"/>
      <c r="V650" s="1320" t="s">
        <v>5520</v>
      </c>
      <c r="Y650" s="1324"/>
    </row>
    <row r="651" spans="1:25">
      <c r="A651" s="1320" t="s">
        <v>4877</v>
      </c>
      <c r="C651" s="1322">
        <v>28</v>
      </c>
      <c r="G651" s="1320"/>
      <c r="M651" s="1324"/>
      <c r="P651" s="1325"/>
      <c r="Y651" s="1324"/>
    </row>
    <row r="652" spans="1:25">
      <c r="A652" s="1320" t="s">
        <v>4877</v>
      </c>
      <c r="C652" s="1322">
        <v>29</v>
      </c>
      <c r="D652" s="1356" t="s">
        <v>5521</v>
      </c>
      <c r="G652" s="1320"/>
      <c r="M652" s="1324"/>
      <c r="P652" s="1325"/>
    </row>
    <row r="653" spans="1:25">
      <c r="A653" s="1320" t="s">
        <v>4877</v>
      </c>
      <c r="C653" s="1322">
        <v>30</v>
      </c>
      <c r="D653" s="1320" t="s">
        <v>5265</v>
      </c>
      <c r="E653" s="1320" t="s">
        <v>4067</v>
      </c>
      <c r="F653" s="1320">
        <f t="shared" ref="F653:H660" si="323">+F498</f>
        <v>290551.79552865884</v>
      </c>
      <c r="G653" s="1320">
        <f t="shared" si="323"/>
        <v>0</v>
      </c>
      <c r="H653" s="1320">
        <f t="shared" si="323"/>
        <v>290551.79552865884</v>
      </c>
      <c r="I653" s="1323">
        <f t="shared" ref="I653:I661" si="324">IF(F653=0,0,+H653/F653)</f>
        <v>1</v>
      </c>
      <c r="J653" s="1324">
        <f t="shared" ref="J653:Q660" si="325">+J498</f>
        <v>290551.79552865884</v>
      </c>
      <c r="K653" s="1324">
        <f t="shared" si="325"/>
        <v>166839.10241972734</v>
      </c>
      <c r="L653" s="1324">
        <f t="shared" si="325"/>
        <v>13874.447484801451</v>
      </c>
      <c r="M653" s="1324">
        <f t="shared" si="325"/>
        <v>89794.179812387054</v>
      </c>
      <c r="N653" s="1325">
        <f t="shared" si="325"/>
        <v>11476.303899894016</v>
      </c>
      <c r="O653" s="1325">
        <f t="shared" si="325"/>
        <v>8259.5319225596359</v>
      </c>
      <c r="P653" s="1325">
        <f t="shared" si="325"/>
        <v>308.22998928939768</v>
      </c>
      <c r="Q653" s="1324">
        <f t="shared" si="325"/>
        <v>0</v>
      </c>
      <c r="V653" s="1320" t="s">
        <v>5522</v>
      </c>
    </row>
    <row r="654" spans="1:25">
      <c r="A654" s="1320" t="s">
        <v>4877</v>
      </c>
      <c r="C654" s="1322">
        <v>31</v>
      </c>
      <c r="D654" s="1320" t="s">
        <v>5265</v>
      </c>
      <c r="E654" s="1320" t="s">
        <v>2067</v>
      </c>
      <c r="F654" s="1320">
        <f t="shared" si="323"/>
        <v>30632.200099340615</v>
      </c>
      <c r="G654" s="1320">
        <f t="shared" si="323"/>
        <v>0</v>
      </c>
      <c r="H654" s="1320">
        <f t="shared" si="323"/>
        <v>30632.200099340615</v>
      </c>
      <c r="I654" s="1323">
        <f t="shared" si="324"/>
        <v>1</v>
      </c>
      <c r="J654" s="1324">
        <f t="shared" si="325"/>
        <v>30632.200099340615</v>
      </c>
      <c r="K654" s="1324">
        <f t="shared" si="325"/>
        <v>15458.055338611979</v>
      </c>
      <c r="L654" s="1324">
        <f t="shared" si="325"/>
        <v>1428.5052700758743</v>
      </c>
      <c r="M654" s="1324">
        <f t="shared" si="325"/>
        <v>10641.809412328281</v>
      </c>
      <c r="N654" s="1325">
        <f t="shared" si="325"/>
        <v>1694.0049513217248</v>
      </c>
      <c r="O654" s="1325">
        <f t="shared" si="325"/>
        <v>1247.9935459729331</v>
      </c>
      <c r="P654" s="1325">
        <f t="shared" si="325"/>
        <v>161.83158102982321</v>
      </c>
      <c r="Q654" s="1324">
        <f t="shared" si="325"/>
        <v>0</v>
      </c>
      <c r="V654" s="1320" t="s">
        <v>5523</v>
      </c>
      <c r="Y654" s="1324"/>
    </row>
    <row r="655" spans="1:25">
      <c r="A655" s="1320" t="s">
        <v>4877</v>
      </c>
      <c r="C655" s="1322">
        <v>32</v>
      </c>
      <c r="D655" s="1320" t="s">
        <v>5268</v>
      </c>
      <c r="E655" s="1320" t="s">
        <v>4067</v>
      </c>
      <c r="F655" s="1320">
        <f t="shared" si="323"/>
        <v>15709.633517949591</v>
      </c>
      <c r="G655" s="1320">
        <f t="shared" si="323"/>
        <v>1362.9081027596433</v>
      </c>
      <c r="H655" s="1320">
        <f t="shared" si="323"/>
        <v>14346.725415189947</v>
      </c>
      <c r="I655" s="1323">
        <f t="shared" si="324"/>
        <v>0.91324380029601548</v>
      </c>
      <c r="J655" s="1324">
        <f t="shared" si="325"/>
        <v>14346.725415189947</v>
      </c>
      <c r="K655" s="1324">
        <f t="shared" si="325"/>
        <v>8321.2878238845096</v>
      </c>
      <c r="L655" s="1324">
        <f t="shared" si="325"/>
        <v>686.42231234234964</v>
      </c>
      <c r="M655" s="1324">
        <f t="shared" si="325"/>
        <v>4387.9529927227877</v>
      </c>
      <c r="N655" s="1325">
        <f t="shared" si="325"/>
        <v>547.77775084332268</v>
      </c>
      <c r="O655" s="1325">
        <f t="shared" si="325"/>
        <v>393.1128131230027</v>
      </c>
      <c r="P655" s="1325">
        <f t="shared" si="325"/>
        <v>10.171722273976087</v>
      </c>
      <c r="Q655" s="1324">
        <f t="shared" si="325"/>
        <v>0</v>
      </c>
      <c r="V655" s="1320" t="s">
        <v>5524</v>
      </c>
      <c r="Y655" s="1324"/>
    </row>
    <row r="656" spans="1:25">
      <c r="A656" s="1320" t="s">
        <v>4877</v>
      </c>
      <c r="C656" s="1322">
        <v>33</v>
      </c>
      <c r="D656" s="1320" t="s">
        <v>5239</v>
      </c>
      <c r="E656" s="1320" t="s">
        <v>4067</v>
      </c>
      <c r="F656" s="1320">
        <f t="shared" si="323"/>
        <v>16596.304009286247</v>
      </c>
      <c r="G656" s="1320">
        <f t="shared" si="323"/>
        <v>1075.2223574469951</v>
      </c>
      <c r="H656" s="1320">
        <f t="shared" si="323"/>
        <v>15521.081651839251</v>
      </c>
      <c r="I656" s="1323">
        <f t="shared" si="324"/>
        <v>0.93521314403222733</v>
      </c>
      <c r="J656" s="1324">
        <f t="shared" si="325"/>
        <v>15521.081651839251</v>
      </c>
      <c r="K656" s="1324">
        <f t="shared" si="325"/>
        <v>9002.4297548917184</v>
      </c>
      <c r="L656" s="1324">
        <f t="shared" si="325"/>
        <v>742.60965127482791</v>
      </c>
      <c r="M656" s="1324">
        <f t="shared" si="325"/>
        <v>4747.1304226938173</v>
      </c>
      <c r="N656" s="1325">
        <f t="shared" si="325"/>
        <v>592.61629060651421</v>
      </c>
      <c r="O656" s="1325">
        <f t="shared" si="325"/>
        <v>425.29120020699622</v>
      </c>
      <c r="P656" s="1325">
        <f t="shared" si="325"/>
        <v>11.004332165377591</v>
      </c>
      <c r="Q656" s="1324">
        <f t="shared" si="325"/>
        <v>0</v>
      </c>
      <c r="V656" s="1320" t="s">
        <v>5525</v>
      </c>
      <c r="Y656" s="1324"/>
    </row>
    <row r="657" spans="1:25">
      <c r="A657" s="1320" t="s">
        <v>4877</v>
      </c>
      <c r="C657" s="1322">
        <v>34</v>
      </c>
      <c r="D657" s="1320" t="s">
        <v>5240</v>
      </c>
      <c r="E657" s="1320" t="s">
        <v>4067</v>
      </c>
      <c r="F657" s="1320">
        <f t="shared" si="323"/>
        <v>76341.163093584852</v>
      </c>
      <c r="G657" s="1320">
        <f t="shared" si="323"/>
        <v>0</v>
      </c>
      <c r="H657" s="1320">
        <f t="shared" si="323"/>
        <v>76341.163093584852</v>
      </c>
      <c r="I657" s="1323">
        <f t="shared" si="324"/>
        <v>1</v>
      </c>
      <c r="J657" s="1324">
        <f t="shared" si="325"/>
        <v>76341.163093584852</v>
      </c>
      <c r="K657" s="1324">
        <f t="shared" si="325"/>
        <v>47515.96229002763</v>
      </c>
      <c r="L657" s="1324">
        <f t="shared" si="325"/>
        <v>3379.4544109218741</v>
      </c>
      <c r="M657" s="1324">
        <f t="shared" si="325"/>
        <v>22627.557324252964</v>
      </c>
      <c r="N657" s="1325">
        <f t="shared" si="325"/>
        <v>2379.964078807659</v>
      </c>
      <c r="O657" s="1325">
        <f t="shared" si="325"/>
        <v>1.6249931085812012E-3</v>
      </c>
      <c r="P657" s="1325">
        <f t="shared" si="325"/>
        <v>438.22336458162823</v>
      </c>
      <c r="Q657" s="1324">
        <f t="shared" si="325"/>
        <v>0</v>
      </c>
      <c r="V657" s="1320" t="s">
        <v>5526</v>
      </c>
      <c r="Y657" s="1324"/>
    </row>
    <row r="658" spans="1:25">
      <c r="A658" s="1320" t="s">
        <v>4877</v>
      </c>
      <c r="C658" s="1322">
        <v>35</v>
      </c>
      <c r="D658" s="1320" t="s">
        <v>5241</v>
      </c>
      <c r="E658" s="1320" t="s">
        <v>4067</v>
      </c>
      <c r="F658" s="1320">
        <f t="shared" si="323"/>
        <v>43854.637077825559</v>
      </c>
      <c r="G658" s="1320">
        <f t="shared" si="323"/>
        <v>0</v>
      </c>
      <c r="H658" s="1320">
        <f t="shared" si="323"/>
        <v>43854.637077825559</v>
      </c>
      <c r="I658" s="1323">
        <f t="shared" si="324"/>
        <v>1</v>
      </c>
      <c r="J658" s="1324">
        <f t="shared" si="325"/>
        <v>43854.637077825559</v>
      </c>
      <c r="K658" s="1324">
        <f t="shared" si="325"/>
        <v>31997.801873923418</v>
      </c>
      <c r="L658" s="1324">
        <f t="shared" si="325"/>
        <v>2576.4580867143418</v>
      </c>
      <c r="M658" s="1324">
        <f t="shared" si="325"/>
        <v>9121.7361160525234</v>
      </c>
      <c r="N658" s="1325">
        <f t="shared" si="325"/>
        <v>0</v>
      </c>
      <c r="O658" s="1325">
        <f t="shared" si="325"/>
        <v>0</v>
      </c>
      <c r="P658" s="1325">
        <f t="shared" si="325"/>
        <v>158.64100113527866</v>
      </c>
      <c r="Q658" s="1324">
        <f t="shared" si="325"/>
        <v>0</v>
      </c>
      <c r="V658" s="1320" t="s">
        <v>5528</v>
      </c>
      <c r="Y658" s="1324"/>
    </row>
    <row r="659" spans="1:25">
      <c r="A659" s="1320" t="s">
        <v>4877</v>
      </c>
      <c r="C659" s="1322">
        <v>36</v>
      </c>
      <c r="D659" s="1320" t="s">
        <v>5242</v>
      </c>
      <c r="E659" s="1320" t="s">
        <v>4071</v>
      </c>
      <c r="F659" s="1320">
        <f t="shared" si="323"/>
        <v>47757.415831805716</v>
      </c>
      <c r="G659" s="1320">
        <f t="shared" si="323"/>
        <v>0</v>
      </c>
      <c r="H659" s="1320">
        <f t="shared" si="323"/>
        <v>47757.415831805716</v>
      </c>
      <c r="I659" s="1323">
        <f t="shared" si="324"/>
        <v>1</v>
      </c>
      <c r="J659" s="1324">
        <f t="shared" si="325"/>
        <v>47757.415831805716</v>
      </c>
      <c r="K659" s="1324">
        <f t="shared" si="325"/>
        <v>19058.030039976857</v>
      </c>
      <c r="L659" s="1324">
        <f t="shared" si="325"/>
        <v>3755.5686865087068</v>
      </c>
      <c r="M659" s="1324">
        <f t="shared" si="325"/>
        <v>2174.0237328748285</v>
      </c>
      <c r="N659" s="1325">
        <f t="shared" si="325"/>
        <v>164.27153033742925</v>
      </c>
      <c r="O659" s="1325">
        <f t="shared" si="325"/>
        <v>179.2271354087697</v>
      </c>
      <c r="P659" s="1325">
        <f t="shared" si="325"/>
        <v>36.659734650343147</v>
      </c>
      <c r="Q659" s="1324">
        <f t="shared" si="325"/>
        <v>22389.634972048774</v>
      </c>
      <c r="V659" s="1320" t="s">
        <v>5528</v>
      </c>
      <c r="Y659" s="1324"/>
    </row>
    <row r="660" spans="1:25">
      <c r="A660" s="1320" t="s">
        <v>4877</v>
      </c>
      <c r="C660" s="1322">
        <v>37</v>
      </c>
      <c r="D660" s="1320" t="s">
        <v>5244</v>
      </c>
      <c r="E660" s="1320" t="s">
        <v>4071</v>
      </c>
      <c r="F660" s="1320">
        <f t="shared" si="323"/>
        <v>12431.05871528412</v>
      </c>
      <c r="G660" s="1320">
        <f t="shared" si="323"/>
        <v>0</v>
      </c>
      <c r="H660" s="1320">
        <f t="shared" si="323"/>
        <v>12431.05871528412</v>
      </c>
      <c r="I660" s="1323">
        <f t="shared" si="324"/>
        <v>1</v>
      </c>
      <c r="J660" s="1324">
        <f t="shared" si="325"/>
        <v>12431.05871528412</v>
      </c>
      <c r="K660" s="1324">
        <f t="shared" si="325"/>
        <v>11087.097359078902</v>
      </c>
      <c r="L660" s="1324">
        <f t="shared" si="325"/>
        <v>1074.7942807674417</v>
      </c>
      <c r="M660" s="1324">
        <f t="shared" si="325"/>
        <v>264.71267171507458</v>
      </c>
      <c r="N660" s="1325">
        <f t="shared" si="325"/>
        <v>0.89376385374582712</v>
      </c>
      <c r="O660" s="1325">
        <f t="shared" si="325"/>
        <v>0.15857100630974355</v>
      </c>
      <c r="P660" s="1325">
        <f t="shared" si="325"/>
        <v>3.4020688626454065</v>
      </c>
      <c r="Q660" s="1324">
        <f t="shared" si="325"/>
        <v>0</v>
      </c>
      <c r="V660" s="1320" t="s">
        <v>5529</v>
      </c>
      <c r="Y660" s="1324"/>
    </row>
    <row r="661" spans="1:25">
      <c r="A661" s="1320" t="s">
        <v>4877</v>
      </c>
      <c r="C661" s="1322">
        <v>38</v>
      </c>
      <c r="D661" s="1320" t="s">
        <v>5453</v>
      </c>
      <c r="F661" s="1427">
        <f>SUM(F653:F660)</f>
        <v>533874.20787373558</v>
      </c>
      <c r="G661" s="1427">
        <f>SUM(G653:G660)</f>
        <v>2438.1304602066384</v>
      </c>
      <c r="H661" s="1427">
        <f>SUM(H653:H660)</f>
        <v>531436.07741352892</v>
      </c>
      <c r="I661" s="1323">
        <f t="shared" si="324"/>
        <v>0.99543313682465195</v>
      </c>
      <c r="J661" s="1421">
        <f t="shared" ref="J661:Q661" si="326">SUM(J653:J660)</f>
        <v>531436.07741352892</v>
      </c>
      <c r="K661" s="1421">
        <f t="shared" si="326"/>
        <v>309279.76690012234</v>
      </c>
      <c r="L661" s="1421">
        <f t="shared" si="326"/>
        <v>27518.260183406866</v>
      </c>
      <c r="M661" s="1421">
        <f t="shared" si="326"/>
        <v>143759.10248502731</v>
      </c>
      <c r="N661" s="1422">
        <f t="shared" si="326"/>
        <v>16855.832265664412</v>
      </c>
      <c r="O661" s="1422">
        <f>SUM(O653:O660)</f>
        <v>10505.316813270758</v>
      </c>
      <c r="P661" s="1422">
        <f>SUM(P653:P660)</f>
        <v>1128.1637939884699</v>
      </c>
      <c r="Q661" s="1421">
        <f t="shared" si="326"/>
        <v>22389.634972048774</v>
      </c>
      <c r="R661" s="1358"/>
      <c r="V661" s="1320" t="s">
        <v>5530</v>
      </c>
      <c r="Y661" s="1324"/>
    </row>
    <row r="664" spans="1:25">
      <c r="G664" s="1320"/>
      <c r="Y664" s="1324"/>
    </row>
    <row r="665" spans="1:25">
      <c r="G665" s="1320"/>
      <c r="Y665" s="1324"/>
    </row>
    <row r="666" spans="1:25">
      <c r="G666" s="1320"/>
      <c r="Y666" s="1324"/>
    </row>
    <row r="667" spans="1:25">
      <c r="G667" s="1320"/>
      <c r="Y667" s="1324"/>
    </row>
    <row r="668" spans="1:25">
      <c r="G668" s="1320"/>
      <c r="Y668" s="1324"/>
    </row>
    <row r="669" spans="1:25">
      <c r="B669" s="1432"/>
      <c r="C669" s="1340" t="str">
        <f>+C$2</f>
        <v>RATES WITH REVENUE DEFICIENCY ADDITION</v>
      </c>
      <c r="F669" s="1333"/>
      <c r="G669" s="1327" t="s">
        <v>2173</v>
      </c>
      <c r="I669" s="1334" t="s">
        <v>5493</v>
      </c>
      <c r="L669" s="1329" t="s">
        <v>2173</v>
      </c>
      <c r="M669" s="1330"/>
      <c r="N669" s="1330"/>
      <c r="O669" s="1330"/>
      <c r="S669" s="1334" t="s">
        <v>5531</v>
      </c>
      <c r="T669" s="1333" t="s">
        <v>2173</v>
      </c>
      <c r="U669" s="1334"/>
      <c r="V669" s="1332" t="s">
        <v>4772</v>
      </c>
      <c r="Y669" s="1324"/>
    </row>
    <row r="670" spans="1:25">
      <c r="B670" s="1432"/>
      <c r="C670" s="1340" t="str">
        <f>+C$3</f>
        <v>PROD. CAP. ALLOC. METHOD: 12 CP &amp; 1/13th AD</v>
      </c>
      <c r="G670" s="1336" t="s">
        <v>4768</v>
      </c>
      <c r="I670" s="1335" t="s">
        <v>4061</v>
      </c>
      <c r="L670" s="1336" t="s">
        <v>5141</v>
      </c>
      <c r="M670" s="1337"/>
      <c r="N670" s="1337"/>
      <c r="O670" s="1337"/>
      <c r="R670" s="1331"/>
      <c r="S670" s="1335" t="s">
        <v>4062</v>
      </c>
      <c r="T670" s="1333" t="s">
        <v>5141</v>
      </c>
      <c r="V670" s="1332" t="s">
        <v>5531</v>
      </c>
      <c r="Y670" s="1324"/>
    </row>
    <row r="671" spans="1:25">
      <c r="C671" s="1340" t="str">
        <f>+C$4</f>
        <v>PROJECTED CALENDAR YEAR 2025; FULLY ADJUSTED DATA</v>
      </c>
      <c r="G671" s="1336" t="s">
        <v>2181</v>
      </c>
      <c r="L671" s="1336" t="s">
        <v>2181</v>
      </c>
      <c r="T671" s="1339"/>
    </row>
    <row r="672" spans="1:25" ht="15.75" customHeight="1">
      <c r="C672" s="1340" t="str">
        <f>+C$5</f>
        <v>MINIMUM DISTRIBUTION SYSTEM (MDS) NOT EMPLOYED</v>
      </c>
      <c r="D672" s="1358"/>
      <c r="G672" s="1320"/>
      <c r="L672" s="1336"/>
      <c r="M672" s="1337"/>
      <c r="N672" s="1337"/>
      <c r="O672" s="1337"/>
      <c r="T672" s="1333"/>
    </row>
    <row r="673" spans="1:25">
      <c r="C673" s="1340" t="str">
        <f>+C$6</f>
        <v>Tampa Electric 2025 OB Budget</v>
      </c>
      <c r="F673" s="1327"/>
      <c r="G673" s="1333" t="s">
        <v>5494</v>
      </c>
      <c r="L673" s="1336" t="s">
        <v>5494</v>
      </c>
      <c r="M673" s="1337"/>
      <c r="N673" s="1337"/>
      <c r="O673" s="1337"/>
      <c r="T673" s="1333" t="s">
        <v>5494</v>
      </c>
      <c r="Y673" s="1324"/>
    </row>
    <row r="674" spans="1:25">
      <c r="C674" s="1331"/>
      <c r="F674" s="1333"/>
      <c r="G674" s="1320"/>
      <c r="L674" s="1336"/>
      <c r="M674" s="1337"/>
      <c r="N674" s="1337"/>
      <c r="O674" s="1337"/>
      <c r="Y674" s="1324"/>
    </row>
    <row r="675" spans="1:25" ht="9.75" customHeight="1">
      <c r="F675" s="1333"/>
      <c r="G675" s="1320"/>
      <c r="L675" s="1336"/>
      <c r="M675" s="1337"/>
      <c r="N675" s="1337"/>
      <c r="O675" s="1337"/>
      <c r="Y675" s="1324"/>
    </row>
    <row r="676" spans="1:25" ht="30" customHeight="1">
      <c r="A676" s="1418" t="s">
        <v>4683</v>
      </c>
      <c r="B676" s="1425" t="s">
        <v>5143</v>
      </c>
      <c r="C676" s="1349" t="s">
        <v>4297</v>
      </c>
      <c r="D676" s="1418"/>
      <c r="E676" s="1418"/>
      <c r="F676" s="1348" t="s">
        <v>5144</v>
      </c>
      <c r="G676" s="1348" t="s">
        <v>4956</v>
      </c>
      <c r="H676" s="1348" t="s">
        <v>4957</v>
      </c>
      <c r="I676" s="1426" t="s">
        <v>5145</v>
      </c>
      <c r="J676" s="1352" t="s">
        <v>4957</v>
      </c>
      <c r="K676" s="1353" t="s">
        <v>1949</v>
      </c>
      <c r="L676" s="1353" t="s">
        <v>1950</v>
      </c>
      <c r="M676" s="1354" t="s">
        <v>1934</v>
      </c>
      <c r="N676" s="1354" t="s">
        <v>1971</v>
      </c>
      <c r="O676" s="1354" t="s">
        <v>1972</v>
      </c>
      <c r="P676" s="1352" t="s">
        <v>5146</v>
      </c>
      <c r="Q676" s="1352" t="s">
        <v>5147</v>
      </c>
      <c r="R676" s="1355"/>
      <c r="S676" s="1348" t="s">
        <v>5299</v>
      </c>
      <c r="T676" s="1348"/>
      <c r="U676" s="1352"/>
      <c r="V676" s="1355" t="s">
        <v>4774</v>
      </c>
    </row>
    <row r="677" spans="1:25" ht="9" customHeight="1">
      <c r="B677" s="1441"/>
      <c r="C677" s="1397"/>
      <c r="D677" s="1435"/>
      <c r="E677" s="1435"/>
      <c r="F677" s="1396"/>
      <c r="G677" s="1396"/>
      <c r="H677" s="1396"/>
      <c r="I677" s="1442"/>
      <c r="J677" s="1399"/>
      <c r="K677" s="1360"/>
      <c r="L677" s="1360"/>
      <c r="M677" s="1361"/>
      <c r="N677" s="1361"/>
      <c r="O677" s="1361"/>
      <c r="P677" s="1399"/>
      <c r="Q677" s="1399"/>
      <c r="R677" s="1346"/>
      <c r="S677" s="1396"/>
      <c r="T677" s="1396"/>
      <c r="U677" s="1399"/>
    </row>
    <row r="678" spans="1:25">
      <c r="A678" s="1320" t="s">
        <v>4877</v>
      </c>
      <c r="B678" s="1324"/>
      <c r="C678" s="1393">
        <v>39</v>
      </c>
      <c r="D678" s="1362" t="s">
        <v>5532</v>
      </c>
      <c r="E678" s="1324"/>
      <c r="F678" s="1324"/>
      <c r="H678" s="1324"/>
      <c r="I678" s="1374"/>
      <c r="S678" s="1324"/>
      <c r="T678" s="1324"/>
      <c r="Y678" s="1324"/>
    </row>
    <row r="679" spans="1:25">
      <c r="A679" s="1320" t="s">
        <v>4877</v>
      </c>
      <c r="B679" s="1324"/>
      <c r="C679" s="1322">
        <v>40</v>
      </c>
      <c r="D679" s="1324" t="s">
        <v>5265</v>
      </c>
      <c r="E679" s="1324" t="s">
        <v>4067</v>
      </c>
      <c r="F679" s="1589">
        <v>0</v>
      </c>
      <c r="G679" s="1324">
        <v>0</v>
      </c>
      <c r="H679" s="1324">
        <v>0</v>
      </c>
      <c r="I679" s="1323">
        <f t="shared" ref="I679:I687" si="327">IF(F679=0,0,+H679/F679)</f>
        <v>0</v>
      </c>
      <c r="J679" s="1324">
        <v>0</v>
      </c>
      <c r="K679" s="1324">
        <v>0</v>
      </c>
      <c r="L679" s="1324">
        <v>0</v>
      </c>
      <c r="M679" s="1324">
        <v>0</v>
      </c>
      <c r="N679" s="1325">
        <v>0</v>
      </c>
      <c r="O679" s="1325">
        <v>0</v>
      </c>
      <c r="P679" s="1325">
        <v>0</v>
      </c>
      <c r="Q679" s="1324">
        <v>0</v>
      </c>
      <c r="R679" s="1324"/>
      <c r="S679" s="1324"/>
      <c r="T679" s="1324"/>
      <c r="V679" s="1320" t="s">
        <v>5343</v>
      </c>
      <c r="Y679" s="1324"/>
    </row>
    <row r="680" spans="1:25">
      <c r="A680" s="1320" t="s">
        <v>4877</v>
      </c>
      <c r="B680" s="1324"/>
      <c r="C680" s="1322">
        <v>41</v>
      </c>
      <c r="D680" s="1324" t="s">
        <v>5265</v>
      </c>
      <c r="E680" s="1324" t="s">
        <v>2067</v>
      </c>
      <c r="F680" s="1589">
        <v>0</v>
      </c>
      <c r="G680" s="1324">
        <v>0</v>
      </c>
      <c r="H680" s="1324">
        <v>0</v>
      </c>
      <c r="I680" s="1323">
        <f t="shared" si="327"/>
        <v>0</v>
      </c>
      <c r="J680" s="1324">
        <v>0</v>
      </c>
      <c r="K680" s="1324">
        <v>0</v>
      </c>
      <c r="L680" s="1324">
        <v>0</v>
      </c>
      <c r="M680" s="1324">
        <v>0</v>
      </c>
      <c r="N680" s="1325">
        <v>0</v>
      </c>
      <c r="O680" s="1325">
        <v>0</v>
      </c>
      <c r="P680" s="1325">
        <v>0</v>
      </c>
      <c r="Q680" s="1324">
        <v>0</v>
      </c>
      <c r="R680" s="1324"/>
      <c r="S680" s="1324"/>
      <c r="T680" s="1324"/>
      <c r="V680" s="1320" t="s">
        <v>5343</v>
      </c>
      <c r="Y680" s="1324"/>
    </row>
    <row r="681" spans="1:25">
      <c r="A681" s="1320" t="s">
        <v>4877</v>
      </c>
      <c r="B681" s="1324"/>
      <c r="C681" s="1322">
        <v>42</v>
      </c>
      <c r="D681" s="1324" t="s">
        <v>5268</v>
      </c>
      <c r="E681" s="1324" t="s">
        <v>4067</v>
      </c>
      <c r="F681" s="1589">
        <v>0</v>
      </c>
      <c r="G681" s="1324">
        <v>0</v>
      </c>
      <c r="H681" s="1324">
        <v>0</v>
      </c>
      <c r="I681" s="1323">
        <f t="shared" si="327"/>
        <v>0</v>
      </c>
      <c r="J681" s="1324">
        <v>0</v>
      </c>
      <c r="K681" s="1324">
        <v>0</v>
      </c>
      <c r="L681" s="1324">
        <v>0</v>
      </c>
      <c r="M681" s="1324">
        <v>0</v>
      </c>
      <c r="N681" s="1325">
        <v>0</v>
      </c>
      <c r="O681" s="1325">
        <v>0</v>
      </c>
      <c r="P681" s="1325">
        <v>0</v>
      </c>
      <c r="Q681" s="1324">
        <v>0</v>
      </c>
      <c r="R681" s="1324"/>
      <c r="S681" s="1324"/>
      <c r="T681" s="1324"/>
      <c r="V681" s="1320" t="s">
        <v>5343</v>
      </c>
      <c r="Y681" s="1324"/>
    </row>
    <row r="682" spans="1:25">
      <c r="A682" s="1320" t="s">
        <v>4877</v>
      </c>
      <c r="B682" s="1324"/>
      <c r="C682" s="1322">
        <v>43</v>
      </c>
      <c r="D682" s="1324" t="s">
        <v>5239</v>
      </c>
      <c r="E682" s="1324" t="s">
        <v>4067</v>
      </c>
      <c r="F682" s="1589">
        <v>0</v>
      </c>
      <c r="G682" s="1324">
        <v>0</v>
      </c>
      <c r="H682" s="1324">
        <v>0</v>
      </c>
      <c r="I682" s="1323">
        <f t="shared" si="327"/>
        <v>0</v>
      </c>
      <c r="J682" s="1324">
        <v>0</v>
      </c>
      <c r="K682" s="1324">
        <v>0</v>
      </c>
      <c r="L682" s="1324">
        <v>0</v>
      </c>
      <c r="M682" s="1324">
        <v>0</v>
      </c>
      <c r="N682" s="1325">
        <v>0</v>
      </c>
      <c r="O682" s="1325">
        <v>0</v>
      </c>
      <c r="P682" s="1325">
        <v>0</v>
      </c>
      <c r="Q682" s="1324">
        <v>0</v>
      </c>
      <c r="R682" s="1324"/>
      <c r="S682" s="1324"/>
      <c r="T682" s="1324"/>
      <c r="V682" s="1320" t="s">
        <v>5343</v>
      </c>
      <c r="Y682" s="1324"/>
    </row>
    <row r="683" spans="1:25">
      <c r="A683" s="1320" t="s">
        <v>4877</v>
      </c>
      <c r="B683" s="1324"/>
      <c r="C683" s="1322">
        <v>44</v>
      </c>
      <c r="D683" s="1324" t="s">
        <v>5240</v>
      </c>
      <c r="E683" s="1324" t="s">
        <v>4067</v>
      </c>
      <c r="F683" s="1589">
        <v>0</v>
      </c>
      <c r="G683" s="1324">
        <v>0</v>
      </c>
      <c r="H683" s="1324">
        <v>0</v>
      </c>
      <c r="I683" s="1323">
        <f t="shared" si="327"/>
        <v>0</v>
      </c>
      <c r="J683" s="1324">
        <v>0</v>
      </c>
      <c r="K683" s="1324">
        <v>0</v>
      </c>
      <c r="L683" s="1324">
        <v>0</v>
      </c>
      <c r="M683" s="1324">
        <v>0</v>
      </c>
      <c r="N683" s="1325">
        <v>0</v>
      </c>
      <c r="O683" s="1325">
        <v>0</v>
      </c>
      <c r="P683" s="1325">
        <v>0</v>
      </c>
      <c r="Q683" s="1324">
        <v>0</v>
      </c>
      <c r="R683" s="1324"/>
      <c r="S683" s="1324"/>
      <c r="T683" s="1324"/>
      <c r="V683" s="1320" t="s">
        <v>5343</v>
      </c>
      <c r="Y683" s="1324"/>
    </row>
    <row r="684" spans="1:25">
      <c r="A684" s="1320" t="s">
        <v>4877</v>
      </c>
      <c r="B684" s="1324"/>
      <c r="C684" s="1322">
        <v>45</v>
      </c>
      <c r="D684" s="1324" t="s">
        <v>5241</v>
      </c>
      <c r="E684" s="1324" t="s">
        <v>4067</v>
      </c>
      <c r="F684" s="1589">
        <v>0</v>
      </c>
      <c r="G684" s="1324">
        <v>0</v>
      </c>
      <c r="H684" s="1324">
        <v>0</v>
      </c>
      <c r="I684" s="1323">
        <f t="shared" si="327"/>
        <v>0</v>
      </c>
      <c r="J684" s="1324">
        <v>0</v>
      </c>
      <c r="K684" s="1324">
        <v>0</v>
      </c>
      <c r="L684" s="1324">
        <v>0</v>
      </c>
      <c r="M684" s="1324">
        <v>0</v>
      </c>
      <c r="N684" s="1325">
        <v>0</v>
      </c>
      <c r="O684" s="1325">
        <v>0</v>
      </c>
      <c r="P684" s="1325">
        <v>0</v>
      </c>
      <c r="Q684" s="1324">
        <v>0</v>
      </c>
      <c r="R684" s="1324"/>
      <c r="S684" s="1324"/>
      <c r="T684" s="1324"/>
      <c r="V684" s="1320" t="s">
        <v>5343</v>
      </c>
      <c r="Y684" s="1324"/>
    </row>
    <row r="685" spans="1:25">
      <c r="A685" s="1320" t="s">
        <v>4877</v>
      </c>
      <c r="B685" s="1324"/>
      <c r="C685" s="1322">
        <v>46</v>
      </c>
      <c r="D685" s="1324" t="s">
        <v>5242</v>
      </c>
      <c r="E685" s="1324" t="s">
        <v>4071</v>
      </c>
      <c r="F685" s="1589">
        <v>0</v>
      </c>
      <c r="G685" s="1324">
        <v>0</v>
      </c>
      <c r="H685" s="1324">
        <v>0</v>
      </c>
      <c r="I685" s="1323">
        <f t="shared" si="327"/>
        <v>0</v>
      </c>
      <c r="J685" s="1324">
        <v>0</v>
      </c>
      <c r="K685" s="1324">
        <v>0</v>
      </c>
      <c r="L685" s="1324">
        <v>0</v>
      </c>
      <c r="M685" s="1324">
        <v>0</v>
      </c>
      <c r="N685" s="1325">
        <v>0</v>
      </c>
      <c r="O685" s="1325">
        <v>0</v>
      </c>
      <c r="P685" s="1325">
        <v>0</v>
      </c>
      <c r="Q685" s="1324">
        <v>0</v>
      </c>
      <c r="R685" s="1324"/>
      <c r="S685" s="1324"/>
      <c r="T685" s="1324"/>
      <c r="V685" s="1320" t="s">
        <v>5343</v>
      </c>
      <c r="Y685" s="1324"/>
    </row>
    <row r="686" spans="1:25">
      <c r="A686" s="1320" t="s">
        <v>4877</v>
      </c>
      <c r="B686" s="1324"/>
      <c r="C686" s="1322">
        <v>47</v>
      </c>
      <c r="D686" s="1324" t="s">
        <v>5244</v>
      </c>
      <c r="E686" s="1324" t="s">
        <v>4071</v>
      </c>
      <c r="F686" s="1589">
        <v>0</v>
      </c>
      <c r="G686" s="1366">
        <v>0</v>
      </c>
      <c r="H686" s="1366">
        <v>0</v>
      </c>
      <c r="I686" s="1323">
        <f t="shared" si="327"/>
        <v>0</v>
      </c>
      <c r="J686" s="1366">
        <v>0</v>
      </c>
      <c r="K686" s="1366">
        <v>0</v>
      </c>
      <c r="L686" s="1366">
        <v>0</v>
      </c>
      <c r="M686" s="1366">
        <v>0</v>
      </c>
      <c r="N686" s="1378">
        <v>0</v>
      </c>
      <c r="O686" s="1378">
        <v>0</v>
      </c>
      <c r="P686" s="1378">
        <v>0</v>
      </c>
      <c r="Q686" s="1366">
        <v>0</v>
      </c>
      <c r="R686" s="1364"/>
      <c r="S686" s="1324"/>
      <c r="T686" s="1324"/>
      <c r="V686" s="1320" t="s">
        <v>5343</v>
      </c>
    </row>
    <row r="687" spans="1:25">
      <c r="A687" s="1320" t="s">
        <v>4877</v>
      </c>
      <c r="B687" s="1324"/>
      <c r="C687" s="1322">
        <v>48</v>
      </c>
      <c r="D687" s="1324" t="s">
        <v>5533</v>
      </c>
      <c r="E687" s="1324"/>
      <c r="F687" s="1421">
        <f>SUM(F679:F686)</f>
        <v>0</v>
      </c>
      <c r="G687" s="1421">
        <f>SUM(G679:G686)</f>
        <v>0</v>
      </c>
      <c r="H687" s="1421">
        <f>SUM(H679:H686)</f>
        <v>0</v>
      </c>
      <c r="I687" s="1323">
        <f t="shared" si="327"/>
        <v>0</v>
      </c>
      <c r="J687" s="1421">
        <f t="shared" ref="J687:Q687" si="328">SUM(J679:J686)</f>
        <v>0</v>
      </c>
      <c r="K687" s="1421">
        <f t="shared" si="328"/>
        <v>0</v>
      </c>
      <c r="L687" s="1421">
        <f t="shared" si="328"/>
        <v>0</v>
      </c>
      <c r="M687" s="1421">
        <f>SUM(M679:M686)</f>
        <v>0</v>
      </c>
      <c r="N687" s="1422">
        <f t="shared" si="328"/>
        <v>0</v>
      </c>
      <c r="O687" s="1422">
        <f>SUM(O679:O686)</f>
        <v>0</v>
      </c>
      <c r="P687" s="1422">
        <f>SUM(P679:P686)</f>
        <v>0</v>
      </c>
      <c r="Q687" s="1421">
        <f t="shared" si="328"/>
        <v>0</v>
      </c>
      <c r="R687" s="1364"/>
      <c r="S687" s="1324"/>
      <c r="T687" s="1324"/>
      <c r="V687" s="1324" t="s">
        <v>5534</v>
      </c>
    </row>
    <row r="688" spans="1:25" ht="14.25" customHeight="1">
      <c r="A688" s="1320" t="s">
        <v>4877</v>
      </c>
      <c r="C688" s="1322">
        <v>49</v>
      </c>
      <c r="G688" s="1320"/>
      <c r="M688" s="1324"/>
      <c r="P688" s="1325"/>
      <c r="Y688" s="1324"/>
    </row>
    <row r="689" spans="1:27">
      <c r="A689" s="1320" t="s">
        <v>4877</v>
      </c>
      <c r="C689" s="1322">
        <v>50</v>
      </c>
      <c r="D689" s="1356" t="s">
        <v>5535</v>
      </c>
      <c r="G689" s="1320"/>
      <c r="M689" s="1324"/>
      <c r="P689" s="1325"/>
      <c r="Y689" s="1324"/>
    </row>
    <row r="690" spans="1:27">
      <c r="A690" s="1320" t="s">
        <v>4877</v>
      </c>
      <c r="C690" s="1322">
        <v>51</v>
      </c>
      <c r="D690" s="1320" t="s">
        <v>5265</v>
      </c>
      <c r="E690" s="1320" t="s">
        <v>4067</v>
      </c>
      <c r="F690" s="1320">
        <f t="shared" ref="F690:H697" si="329">+F598</f>
        <v>51196.763326436805</v>
      </c>
      <c r="G690" s="1320">
        <f t="shared" si="329"/>
        <v>0</v>
      </c>
      <c r="H690" s="1320">
        <f t="shared" si="329"/>
        <v>51196.763326436805</v>
      </c>
      <c r="I690" s="1323">
        <f t="shared" ref="I690:I698" si="330">IF(F690=0,0,+H690/F690)</f>
        <v>1</v>
      </c>
      <c r="J690" s="1324">
        <f t="shared" ref="J690:Q697" si="331">+J598</f>
        <v>51196.763326436805</v>
      </c>
      <c r="K690" s="1324">
        <f t="shared" si="331"/>
        <v>29397.932388049616</v>
      </c>
      <c r="L690" s="1324">
        <f t="shared" si="331"/>
        <v>2444.7510395591153</v>
      </c>
      <c r="M690" s="1324">
        <f t="shared" si="331"/>
        <v>15822.20947415499</v>
      </c>
      <c r="N690" s="1325">
        <f t="shared" si="331"/>
        <v>2022.185454252972</v>
      </c>
      <c r="O690" s="1325">
        <f t="shared" si="331"/>
        <v>1455.3732158393284</v>
      </c>
      <c r="P690" s="1325">
        <f t="shared" si="331"/>
        <v>54.311754580786712</v>
      </c>
      <c r="Q690" s="1324">
        <f t="shared" si="331"/>
        <v>0</v>
      </c>
      <c r="V690" s="1324" t="s">
        <v>5536</v>
      </c>
      <c r="Y690" s="1324"/>
    </row>
    <row r="691" spans="1:27">
      <c r="A691" s="1320" t="s">
        <v>4877</v>
      </c>
      <c r="C691" s="1322">
        <v>52</v>
      </c>
      <c r="D691" s="1320" t="s">
        <v>5265</v>
      </c>
      <c r="E691" s="1320" t="s">
        <v>2067</v>
      </c>
      <c r="F691" s="1320">
        <f t="shared" si="329"/>
        <v>5739.4427931324281</v>
      </c>
      <c r="G691" s="1320">
        <f t="shared" si="329"/>
        <v>0</v>
      </c>
      <c r="H691" s="1320">
        <f t="shared" si="329"/>
        <v>5739.4427931324281</v>
      </c>
      <c r="I691" s="1323">
        <f t="shared" si="330"/>
        <v>1</v>
      </c>
      <c r="J691" s="1324">
        <f t="shared" si="331"/>
        <v>5739.4427931324281</v>
      </c>
      <c r="K691" s="1324">
        <f t="shared" si="331"/>
        <v>2896.3190375264148</v>
      </c>
      <c r="L691" s="1324">
        <f t="shared" si="331"/>
        <v>267.65378427601598</v>
      </c>
      <c r="M691" s="1324">
        <f t="shared" si="331"/>
        <v>1993.91673269956</v>
      </c>
      <c r="N691" s="1325">
        <f t="shared" si="331"/>
        <v>317.39948413314949</v>
      </c>
      <c r="O691" s="1325">
        <f t="shared" si="331"/>
        <v>233.83196571193457</v>
      </c>
      <c r="P691" s="1325">
        <f t="shared" si="331"/>
        <v>30.321788785352023</v>
      </c>
      <c r="Q691" s="1324">
        <f t="shared" si="331"/>
        <v>0</v>
      </c>
      <c r="V691" s="1324" t="s">
        <v>5537</v>
      </c>
      <c r="Y691" s="1324"/>
    </row>
    <row r="692" spans="1:27">
      <c r="A692" s="1320" t="s">
        <v>4877</v>
      </c>
      <c r="C692" s="1322">
        <v>53</v>
      </c>
      <c r="D692" s="1320" t="s">
        <v>5268</v>
      </c>
      <c r="E692" s="1320" t="s">
        <v>4067</v>
      </c>
      <c r="F692" s="1320">
        <f t="shared" si="329"/>
        <v>3842.091768610097</v>
      </c>
      <c r="G692" s="1320">
        <f t="shared" si="329"/>
        <v>262.12206125588023</v>
      </c>
      <c r="H692" s="1320">
        <f t="shared" si="329"/>
        <v>3579.9638856632278</v>
      </c>
      <c r="I692" s="1323">
        <f t="shared" si="330"/>
        <v>0.93177469494912768</v>
      </c>
      <c r="J692" s="1324">
        <f t="shared" si="331"/>
        <v>3579.9638856632278</v>
      </c>
      <c r="K692" s="1324">
        <f t="shared" si="331"/>
        <v>2076.4257368566418</v>
      </c>
      <c r="L692" s="1324">
        <f t="shared" si="331"/>
        <v>171.28417930807112</v>
      </c>
      <c r="M692" s="1324">
        <f t="shared" si="331"/>
        <v>1094.9337072628068</v>
      </c>
      <c r="N692" s="1325">
        <f t="shared" si="331"/>
        <v>136.6879555185912</v>
      </c>
      <c r="O692" s="1325">
        <f t="shared" si="331"/>
        <v>98.094138783877625</v>
      </c>
      <c r="P692" s="1325">
        <f t="shared" si="331"/>
        <v>2.538167933239734</v>
      </c>
      <c r="Q692" s="1324">
        <f t="shared" si="331"/>
        <v>0</v>
      </c>
      <c r="V692" s="1324" t="s">
        <v>5538</v>
      </c>
      <c r="Y692" s="1324"/>
    </row>
    <row r="693" spans="1:27">
      <c r="A693" s="1320" t="s">
        <v>4877</v>
      </c>
      <c r="C693" s="1322">
        <v>54</v>
      </c>
      <c r="D693" s="1320" t="s">
        <v>5239</v>
      </c>
      <c r="E693" s="1320" t="s">
        <v>4067</v>
      </c>
      <c r="F693" s="1320">
        <f t="shared" si="329"/>
        <v>4417.4526336091139</v>
      </c>
      <c r="G693" s="1320">
        <f t="shared" si="329"/>
        <v>299.83364528135036</v>
      </c>
      <c r="H693" s="1320">
        <f t="shared" si="329"/>
        <v>4117.6248100187522</v>
      </c>
      <c r="I693" s="1323">
        <f t="shared" si="330"/>
        <v>0.93212653344391416</v>
      </c>
      <c r="J693" s="1324">
        <f t="shared" si="331"/>
        <v>4117.6248100187522</v>
      </c>
      <c r="K693" s="1324">
        <f t="shared" si="331"/>
        <v>2388.2760841478166</v>
      </c>
      <c r="L693" s="1324">
        <f t="shared" si="331"/>
        <v>197.00868746388275</v>
      </c>
      <c r="M693" s="1324">
        <f t="shared" si="331"/>
        <v>1259.3775642281062</v>
      </c>
      <c r="N693" s="1325">
        <f t="shared" si="331"/>
        <v>157.21659068351752</v>
      </c>
      <c r="O693" s="1325">
        <f t="shared" si="331"/>
        <v>112.82651794100083</v>
      </c>
      <c r="P693" s="1325">
        <f t="shared" si="331"/>
        <v>2.9193655544281407</v>
      </c>
      <c r="Q693" s="1324">
        <f t="shared" si="331"/>
        <v>0</v>
      </c>
      <c r="V693" s="1324" t="s">
        <v>5539</v>
      </c>
      <c r="Y693" s="1324"/>
    </row>
    <row r="694" spans="1:27">
      <c r="A694" s="1320" t="s">
        <v>4877</v>
      </c>
      <c r="C694" s="1322">
        <v>55</v>
      </c>
      <c r="D694" s="1320" t="s">
        <v>5240</v>
      </c>
      <c r="E694" s="1320" t="s">
        <v>4067</v>
      </c>
      <c r="F694" s="1320">
        <f t="shared" si="329"/>
        <v>16853.009913513808</v>
      </c>
      <c r="G694" s="1320">
        <f t="shared" si="329"/>
        <v>0</v>
      </c>
      <c r="H694" s="1320">
        <f t="shared" si="329"/>
        <v>16853.009913513808</v>
      </c>
      <c r="I694" s="1323">
        <f t="shared" si="330"/>
        <v>1</v>
      </c>
      <c r="J694" s="1324">
        <f t="shared" si="331"/>
        <v>16853.009913513808</v>
      </c>
      <c r="K694" s="1324">
        <f t="shared" si="331"/>
        <v>10489.583221863124</v>
      </c>
      <c r="L694" s="1324">
        <f t="shared" si="331"/>
        <v>746.04546723653868</v>
      </c>
      <c r="M694" s="1324">
        <f t="shared" si="331"/>
        <v>4995.2402144667149</v>
      </c>
      <c r="N694" s="1325">
        <f t="shared" si="331"/>
        <v>525.39883581263837</v>
      </c>
      <c r="O694" s="1325">
        <f t="shared" si="331"/>
        <v>3.5873208972122574E-4</v>
      </c>
      <c r="P694" s="1325">
        <f t="shared" si="331"/>
        <v>96.741815402707303</v>
      </c>
      <c r="Q694" s="1324">
        <f t="shared" si="331"/>
        <v>0</v>
      </c>
      <c r="V694" s="1324" t="s">
        <v>5540</v>
      </c>
      <c r="Y694" s="1324"/>
    </row>
    <row r="695" spans="1:27">
      <c r="A695" s="1320" t="s">
        <v>4877</v>
      </c>
      <c r="C695" s="1322">
        <v>56</v>
      </c>
      <c r="D695" s="1320" t="s">
        <v>5241</v>
      </c>
      <c r="E695" s="1320" t="s">
        <v>4067</v>
      </c>
      <c r="F695" s="1320">
        <f t="shared" si="329"/>
        <v>7339.7985679760041</v>
      </c>
      <c r="G695" s="1320">
        <f t="shared" si="329"/>
        <v>0</v>
      </c>
      <c r="H695" s="1320">
        <f t="shared" si="329"/>
        <v>7339.7985679760041</v>
      </c>
      <c r="I695" s="1323">
        <f t="shared" si="330"/>
        <v>1</v>
      </c>
      <c r="J695" s="1324">
        <f t="shared" si="331"/>
        <v>7339.7985679760041</v>
      </c>
      <c r="K695" s="1324">
        <f t="shared" si="331"/>
        <v>5355.361166387469</v>
      </c>
      <c r="L695" s="1324">
        <f t="shared" si="331"/>
        <v>431.2128576450591</v>
      </c>
      <c r="M695" s="1324">
        <f t="shared" si="331"/>
        <v>1526.6733495763085</v>
      </c>
      <c r="N695" s="1325">
        <f t="shared" si="331"/>
        <v>0</v>
      </c>
      <c r="O695" s="1325">
        <f t="shared" si="331"/>
        <v>0</v>
      </c>
      <c r="P695" s="1325">
        <f t="shared" si="331"/>
        <v>26.55119436716889</v>
      </c>
      <c r="Q695" s="1324">
        <f t="shared" si="331"/>
        <v>0</v>
      </c>
      <c r="V695" s="1324" t="s">
        <v>5541</v>
      </c>
      <c r="Y695" s="1324"/>
    </row>
    <row r="696" spans="1:27">
      <c r="A696" s="1320" t="s">
        <v>4877</v>
      </c>
      <c r="C696" s="1322">
        <v>57</v>
      </c>
      <c r="D696" s="1320" t="s">
        <v>5242</v>
      </c>
      <c r="E696" s="1320" t="s">
        <v>4071</v>
      </c>
      <c r="F696" s="1320">
        <f t="shared" si="329"/>
        <v>8437.1296707808851</v>
      </c>
      <c r="G696" s="1320">
        <f t="shared" si="329"/>
        <v>0</v>
      </c>
      <c r="H696" s="1320">
        <f t="shared" si="329"/>
        <v>8437.1296707808851</v>
      </c>
      <c r="I696" s="1323">
        <f t="shared" si="330"/>
        <v>1</v>
      </c>
      <c r="J696" s="1324">
        <f t="shared" si="331"/>
        <v>8437.1296707808851</v>
      </c>
      <c r="K696" s="1324">
        <f t="shared" si="331"/>
        <v>3110.4045617140023</v>
      </c>
      <c r="L696" s="1324">
        <f t="shared" si="331"/>
        <v>471.80747462061015</v>
      </c>
      <c r="M696" s="1324">
        <f t="shared" si="331"/>
        <v>227.45802638709978</v>
      </c>
      <c r="N696" s="1325">
        <f t="shared" si="331"/>
        <v>14.663113828305843</v>
      </c>
      <c r="O696" s="1325">
        <f t="shared" si="331"/>
        <v>15.99807271668899</v>
      </c>
      <c r="P696" s="1325">
        <f t="shared" si="331"/>
        <v>3.6717486021893762</v>
      </c>
      <c r="Q696" s="1324">
        <f t="shared" si="331"/>
        <v>4593.1266729119889</v>
      </c>
      <c r="V696" s="1324" t="s">
        <v>5542</v>
      </c>
    </row>
    <row r="697" spans="1:27">
      <c r="A697" s="1320" t="s">
        <v>4877</v>
      </c>
      <c r="C697" s="1322">
        <v>58</v>
      </c>
      <c r="D697" s="1320" t="s">
        <v>5244</v>
      </c>
      <c r="E697" s="1320" t="s">
        <v>4071</v>
      </c>
      <c r="F697" s="1320">
        <f t="shared" si="329"/>
        <v>4328.749069178054</v>
      </c>
      <c r="G697" s="1320">
        <f t="shared" si="329"/>
        <v>0</v>
      </c>
      <c r="H697" s="1320">
        <f t="shared" si="329"/>
        <v>4328.749069178054</v>
      </c>
      <c r="I697" s="1323">
        <f t="shared" si="330"/>
        <v>1</v>
      </c>
      <c r="J697" s="1324">
        <f t="shared" si="331"/>
        <v>4328.749069178054</v>
      </c>
      <c r="K697" s="1324">
        <f t="shared" si="331"/>
        <v>3860.7542183025025</v>
      </c>
      <c r="L697" s="1324">
        <f t="shared" si="331"/>
        <v>374.26536620808031</v>
      </c>
      <c r="M697" s="1324">
        <f t="shared" si="331"/>
        <v>92.178370123648421</v>
      </c>
      <c r="N697" s="1325">
        <f t="shared" si="331"/>
        <v>0.31122686639798519</v>
      </c>
      <c r="O697" s="1325">
        <f t="shared" si="331"/>
        <v>5.5217669844803821E-2</v>
      </c>
      <c r="P697" s="1325">
        <f t="shared" si="331"/>
        <v>1.1846700075794274</v>
      </c>
      <c r="Q697" s="1324">
        <f t="shared" si="331"/>
        <v>0</v>
      </c>
      <c r="V697" s="1324" t="s">
        <v>5543</v>
      </c>
    </row>
    <row r="698" spans="1:27">
      <c r="A698" s="1320" t="s">
        <v>4877</v>
      </c>
      <c r="C698" s="1322">
        <v>59</v>
      </c>
      <c r="D698" s="1320" t="s">
        <v>5491</v>
      </c>
      <c r="F698" s="1427">
        <f>SUM(F690:F697)</f>
        <v>102154.43774323718</v>
      </c>
      <c r="G698" s="1427">
        <f>SUM(G690:G697)</f>
        <v>561.95570653723053</v>
      </c>
      <c r="H698" s="1427">
        <f>SUM(H690:H697)</f>
        <v>101592.48203669996</v>
      </c>
      <c r="I698" s="1323">
        <f t="shared" si="330"/>
        <v>0.99449895942896105</v>
      </c>
      <c r="J698" s="1421">
        <f t="shared" ref="J698:Q698" si="332">SUM(J690:J697)</f>
        <v>101592.48203669996</v>
      </c>
      <c r="K698" s="1421">
        <f t="shared" si="332"/>
        <v>59575.056414847582</v>
      </c>
      <c r="L698" s="1421">
        <f t="shared" si="332"/>
        <v>5104.0288563173726</v>
      </c>
      <c r="M698" s="1421">
        <f t="shared" si="332"/>
        <v>27011.987438899236</v>
      </c>
      <c r="N698" s="1422">
        <f t="shared" si="332"/>
        <v>3173.8626610955725</v>
      </c>
      <c r="O698" s="1422">
        <f>SUM(O690:O697)</f>
        <v>1916.1794873947651</v>
      </c>
      <c r="P698" s="1422">
        <f>SUM(P690:P697)</f>
        <v>218.24050523345159</v>
      </c>
      <c r="Q698" s="1421">
        <f t="shared" si="332"/>
        <v>4593.1266729119889</v>
      </c>
      <c r="R698" s="1358"/>
      <c r="V698" s="1324" t="s">
        <v>5544</v>
      </c>
    </row>
    <row r="699" spans="1:27" ht="14.25" customHeight="1">
      <c r="A699" s="1320" t="s">
        <v>4877</v>
      </c>
      <c r="C699" s="1322">
        <v>60</v>
      </c>
      <c r="G699" s="1320"/>
      <c r="M699" s="1324"/>
      <c r="P699" s="1325"/>
      <c r="V699" s="1324"/>
    </row>
    <row r="700" spans="1:27">
      <c r="A700" s="1320" t="s">
        <v>4877</v>
      </c>
      <c r="C700" s="1322">
        <v>61</v>
      </c>
      <c r="D700" s="1356" t="s">
        <v>5545</v>
      </c>
      <c r="G700" s="1320"/>
      <c r="M700" s="1324"/>
      <c r="P700" s="1325"/>
      <c r="Y700" s="1324"/>
    </row>
    <row r="701" spans="1:27">
      <c r="A701" s="1320" t="s">
        <v>4877</v>
      </c>
      <c r="B701" s="1320">
        <v>101</v>
      </c>
      <c r="C701" s="1322">
        <v>62</v>
      </c>
      <c r="D701" s="1320" t="s">
        <v>5265</v>
      </c>
      <c r="E701" s="1320" t="s">
        <v>4067</v>
      </c>
      <c r="F701" s="1324">
        <f>+'Allocation Assignment'!F235</f>
        <v>0</v>
      </c>
      <c r="G701" s="1358">
        <f>+$F701*G$1933</f>
        <v>0</v>
      </c>
      <c r="H701" s="1358">
        <f>+$F701*H$1933</f>
        <v>0</v>
      </c>
      <c r="I701" s="1323">
        <f t="shared" ref="I701:I709" si="333">IF(F701=0,0,+H701/F701)</f>
        <v>0</v>
      </c>
      <c r="J701" s="1364">
        <f t="shared" ref="J701:J708" si="334">+H701</f>
        <v>0</v>
      </c>
      <c r="K701" s="1324">
        <f t="shared" ref="K701:Q701" si="335">$J701*K$1951</f>
        <v>0</v>
      </c>
      <c r="L701" s="1324">
        <f t="shared" si="335"/>
        <v>0</v>
      </c>
      <c r="M701" s="1324">
        <f t="shared" si="335"/>
        <v>0</v>
      </c>
      <c r="N701" s="1324">
        <f t="shared" si="335"/>
        <v>0</v>
      </c>
      <c r="O701" s="1324">
        <f t="shared" si="335"/>
        <v>0</v>
      </c>
      <c r="P701" s="1324">
        <f t="shared" si="335"/>
        <v>0</v>
      </c>
      <c r="Q701" s="1324">
        <f t="shared" si="335"/>
        <v>0</v>
      </c>
      <c r="R701" s="1324"/>
      <c r="S701" s="1324">
        <v>122</v>
      </c>
      <c r="V701" s="1321" t="s">
        <v>9476</v>
      </c>
      <c r="W701" s="1321">
        <v>122</v>
      </c>
      <c r="Y701" s="1324"/>
    </row>
    <row r="702" spans="1:27" s="1324" customFormat="1">
      <c r="A702" s="1320" t="s">
        <v>4877</v>
      </c>
      <c r="B702" s="1324">
        <v>101</v>
      </c>
      <c r="C702" s="1393">
        <v>63</v>
      </c>
      <c r="D702" s="1324" t="s">
        <v>5265</v>
      </c>
      <c r="E702" s="1324" t="s">
        <v>2067</v>
      </c>
      <c r="F702" s="1324">
        <f>+'Allocation Assignment'!F236</f>
        <v>0</v>
      </c>
      <c r="G702" s="1364">
        <f>+$F702*G$1933</f>
        <v>0</v>
      </c>
      <c r="H702" s="1364">
        <f>+$F702*H$1933</f>
        <v>0</v>
      </c>
      <c r="I702" s="1374">
        <f t="shared" si="333"/>
        <v>0</v>
      </c>
      <c r="J702" s="1364">
        <f t="shared" si="334"/>
        <v>0</v>
      </c>
      <c r="K702" s="1364">
        <f t="shared" ref="K702:Q702" si="336">+$J702*K$1969</f>
        <v>0</v>
      </c>
      <c r="L702" s="1364">
        <f t="shared" si="336"/>
        <v>0</v>
      </c>
      <c r="M702" s="1364">
        <f t="shared" si="336"/>
        <v>0</v>
      </c>
      <c r="N702" s="1367">
        <f t="shared" si="336"/>
        <v>0</v>
      </c>
      <c r="O702" s="1367">
        <f t="shared" si="336"/>
        <v>0</v>
      </c>
      <c r="P702" s="1367">
        <f t="shared" si="336"/>
        <v>0</v>
      </c>
      <c r="Q702" s="1364">
        <f t="shared" si="336"/>
        <v>0</v>
      </c>
      <c r="R702" s="1364"/>
      <c r="S702" s="1324">
        <v>201</v>
      </c>
      <c r="V702" s="1321" t="s">
        <v>5235</v>
      </c>
      <c r="W702" s="1321">
        <v>201</v>
      </c>
      <c r="Y702" s="1320"/>
      <c r="AA702" s="1320"/>
    </row>
    <row r="703" spans="1:27">
      <c r="A703" s="1320" t="s">
        <v>4877</v>
      </c>
      <c r="B703" s="1320">
        <v>117</v>
      </c>
      <c r="C703" s="1322">
        <v>64</v>
      </c>
      <c r="D703" s="1320" t="s">
        <v>5268</v>
      </c>
      <c r="E703" s="1320" t="s">
        <v>4067</v>
      </c>
      <c r="F703" s="1324">
        <f>+'Allocation Assignment'!F237</f>
        <v>0</v>
      </c>
      <c r="G703" s="1358">
        <f>+$F703*G$1942</f>
        <v>0</v>
      </c>
      <c r="H703" s="1358">
        <f>+$F703*H$1942</f>
        <v>0</v>
      </c>
      <c r="I703" s="1323">
        <f t="shared" si="333"/>
        <v>0</v>
      </c>
      <c r="J703" s="1364">
        <f t="shared" si="334"/>
        <v>0</v>
      </c>
      <c r="K703" s="1364">
        <f t="shared" ref="K703:Q704" si="337">+$J703*K$1945</f>
        <v>0</v>
      </c>
      <c r="L703" s="1364">
        <f t="shared" si="337"/>
        <v>0</v>
      </c>
      <c r="M703" s="1364">
        <f t="shared" si="337"/>
        <v>0</v>
      </c>
      <c r="N703" s="1367">
        <f t="shared" si="337"/>
        <v>0</v>
      </c>
      <c r="O703" s="1367">
        <f t="shared" si="337"/>
        <v>0</v>
      </c>
      <c r="P703" s="1367">
        <f t="shared" si="337"/>
        <v>0</v>
      </c>
      <c r="Q703" s="1364">
        <f t="shared" si="337"/>
        <v>0</v>
      </c>
      <c r="R703" s="1358"/>
      <c r="S703" s="1320">
        <v>118</v>
      </c>
      <c r="V703" s="1321" t="s">
        <v>9477</v>
      </c>
      <c r="W703" s="1321">
        <v>117</v>
      </c>
    </row>
    <row r="704" spans="1:27">
      <c r="A704" s="1320" t="s">
        <v>4877</v>
      </c>
      <c r="B704" s="1320">
        <v>117</v>
      </c>
      <c r="C704" s="1322">
        <v>65</v>
      </c>
      <c r="D704" s="1320" t="s">
        <v>5239</v>
      </c>
      <c r="E704" s="1320" t="s">
        <v>4067</v>
      </c>
      <c r="F704" s="1324">
        <f>+'Allocation Assignment'!F238</f>
        <v>0</v>
      </c>
      <c r="G704" s="1358">
        <f>+$F704*G$1942</f>
        <v>0</v>
      </c>
      <c r="H704" s="1358">
        <f>+$F704*H$1942</f>
        <v>0</v>
      </c>
      <c r="I704" s="1323">
        <f t="shared" si="333"/>
        <v>0</v>
      </c>
      <c r="J704" s="1364">
        <f t="shared" si="334"/>
        <v>0</v>
      </c>
      <c r="K704" s="1364">
        <f t="shared" si="337"/>
        <v>0</v>
      </c>
      <c r="L704" s="1364">
        <f t="shared" si="337"/>
        <v>0</v>
      </c>
      <c r="M704" s="1364">
        <f t="shared" si="337"/>
        <v>0</v>
      </c>
      <c r="N704" s="1367">
        <f t="shared" si="337"/>
        <v>0</v>
      </c>
      <c r="O704" s="1367">
        <f t="shared" si="337"/>
        <v>0</v>
      </c>
      <c r="P704" s="1367">
        <f t="shared" si="337"/>
        <v>0</v>
      </c>
      <c r="Q704" s="1364">
        <f t="shared" si="337"/>
        <v>0</v>
      </c>
      <c r="R704" s="1358"/>
      <c r="S704" s="1320">
        <v>118</v>
      </c>
      <c r="V704" s="1321" t="s">
        <v>9477</v>
      </c>
      <c r="W704" s="1321">
        <v>117</v>
      </c>
      <c r="Y704" s="1324"/>
    </row>
    <row r="705" spans="1:27">
      <c r="A705" s="1320" t="s">
        <v>4877</v>
      </c>
      <c r="B705" s="1320">
        <v>105</v>
      </c>
      <c r="C705" s="1322">
        <v>66</v>
      </c>
      <c r="D705" s="1320" t="s">
        <v>5240</v>
      </c>
      <c r="E705" s="1320" t="s">
        <v>4067</v>
      </c>
      <c r="F705" s="1324">
        <f>+'Allocation Assignment'!F239</f>
        <v>0</v>
      </c>
      <c r="G705" s="1358">
        <f>+$F705*G$1936</f>
        <v>0</v>
      </c>
      <c r="H705" s="1358">
        <f>+$F705*H$1936</f>
        <v>0</v>
      </c>
      <c r="I705" s="1323">
        <f t="shared" si="333"/>
        <v>0</v>
      </c>
      <c r="J705" s="1364">
        <f t="shared" si="334"/>
        <v>0</v>
      </c>
      <c r="K705" s="1364">
        <f t="shared" ref="K705:Q705" si="338">+$J705*K$1936</f>
        <v>0</v>
      </c>
      <c r="L705" s="1364">
        <f t="shared" si="338"/>
        <v>0</v>
      </c>
      <c r="M705" s="1364">
        <f t="shared" si="338"/>
        <v>0</v>
      </c>
      <c r="N705" s="1367">
        <f t="shared" si="338"/>
        <v>0</v>
      </c>
      <c r="O705" s="1367">
        <f t="shared" si="338"/>
        <v>0</v>
      </c>
      <c r="P705" s="1367">
        <f t="shared" si="338"/>
        <v>0</v>
      </c>
      <c r="Q705" s="1364">
        <f t="shared" si="338"/>
        <v>0</v>
      </c>
      <c r="R705" s="1358"/>
      <c r="S705" s="1320">
        <v>105</v>
      </c>
      <c r="V705" s="1321" t="s">
        <v>5229</v>
      </c>
      <c r="W705" s="1321">
        <v>105</v>
      </c>
      <c r="Y705" s="1324"/>
    </row>
    <row r="706" spans="1:27">
      <c r="A706" s="1320" t="s">
        <v>4877</v>
      </c>
      <c r="B706" s="1320">
        <v>106</v>
      </c>
      <c r="C706" s="1322">
        <v>67</v>
      </c>
      <c r="D706" s="1320" t="s">
        <v>5241</v>
      </c>
      <c r="E706" s="1320" t="s">
        <v>4067</v>
      </c>
      <c r="F706" s="1324">
        <f>+'Allocation Assignment'!F240</f>
        <v>0</v>
      </c>
      <c r="G706" s="1358">
        <f>+$F706*G$1939</f>
        <v>0</v>
      </c>
      <c r="H706" s="1358">
        <f>+$F706*H$1939</f>
        <v>0</v>
      </c>
      <c r="I706" s="1323">
        <f t="shared" si="333"/>
        <v>0</v>
      </c>
      <c r="J706" s="1364">
        <f t="shared" si="334"/>
        <v>0</v>
      </c>
      <c r="K706" s="1364">
        <f t="shared" ref="K706:Q706" si="339">+$J706*K$1939</f>
        <v>0</v>
      </c>
      <c r="L706" s="1364">
        <f t="shared" si="339"/>
        <v>0</v>
      </c>
      <c r="M706" s="1364">
        <f t="shared" si="339"/>
        <v>0</v>
      </c>
      <c r="N706" s="1367">
        <f t="shared" si="339"/>
        <v>0</v>
      </c>
      <c r="O706" s="1367">
        <f t="shared" si="339"/>
        <v>0</v>
      </c>
      <c r="P706" s="1367">
        <f t="shared" si="339"/>
        <v>0</v>
      </c>
      <c r="Q706" s="1364">
        <f t="shared" si="339"/>
        <v>0</v>
      </c>
      <c r="R706" s="1358"/>
      <c r="S706" s="1320">
        <v>106</v>
      </c>
      <c r="V706" s="1321" t="s">
        <v>5230</v>
      </c>
      <c r="W706" s="1321">
        <v>106</v>
      </c>
      <c r="Y706" s="1324"/>
    </row>
    <row r="707" spans="1:27">
      <c r="A707" s="1320" t="s">
        <v>4877</v>
      </c>
      <c r="B707" s="1320">
        <v>907</v>
      </c>
      <c r="C707" s="1322">
        <v>68</v>
      </c>
      <c r="D707" s="1320" t="s">
        <v>5242</v>
      </c>
      <c r="E707" s="1320" t="s">
        <v>4071</v>
      </c>
      <c r="F707" s="1324">
        <f>+'Allocation Assignment'!F241</f>
        <v>0</v>
      </c>
      <c r="G707" s="1358">
        <f>+$F707*G$2055</f>
        <v>0</v>
      </c>
      <c r="H707" s="1358">
        <f>+$F707*H$2055</f>
        <v>0</v>
      </c>
      <c r="I707" s="1323">
        <f t="shared" si="333"/>
        <v>0</v>
      </c>
      <c r="J707" s="1364">
        <f t="shared" si="334"/>
        <v>0</v>
      </c>
      <c r="K707" s="1364">
        <f t="shared" ref="K707:Q707" si="340">+$J707*K$2055</f>
        <v>0</v>
      </c>
      <c r="L707" s="1364">
        <f t="shared" si="340"/>
        <v>0</v>
      </c>
      <c r="M707" s="1364">
        <f t="shared" si="340"/>
        <v>0</v>
      </c>
      <c r="N707" s="1367">
        <f t="shared" si="340"/>
        <v>0</v>
      </c>
      <c r="O707" s="1367">
        <f t="shared" si="340"/>
        <v>0</v>
      </c>
      <c r="P707" s="1367">
        <f t="shared" si="340"/>
        <v>0</v>
      </c>
      <c r="Q707" s="1364">
        <f t="shared" si="340"/>
        <v>0</v>
      </c>
      <c r="R707" s="1358"/>
      <c r="S707" s="1320">
        <v>907</v>
      </c>
      <c r="V707" s="1321" t="s">
        <v>5243</v>
      </c>
      <c r="W707" s="1321">
        <v>907</v>
      </c>
    </row>
    <row r="708" spans="1:27">
      <c r="A708" s="1320" t="s">
        <v>4877</v>
      </c>
      <c r="B708" s="1324">
        <v>412</v>
      </c>
      <c r="C708" s="1393">
        <v>69</v>
      </c>
      <c r="D708" s="1324" t="s">
        <v>5244</v>
      </c>
      <c r="E708" s="1324" t="s">
        <v>4071</v>
      </c>
      <c r="F708" s="1324">
        <f>+'Allocation Assignment'!F242</f>
        <v>0</v>
      </c>
      <c r="G708" s="1364">
        <f>+$F708*G$2021</f>
        <v>0</v>
      </c>
      <c r="H708" s="1364">
        <f>+$F708*H$2021</f>
        <v>0</v>
      </c>
      <c r="I708" s="1323">
        <f t="shared" si="333"/>
        <v>0</v>
      </c>
      <c r="J708" s="1364">
        <f t="shared" si="334"/>
        <v>0</v>
      </c>
      <c r="K708" s="1364">
        <f t="shared" ref="K708:Q708" si="341">+$J708*K$2021</f>
        <v>0</v>
      </c>
      <c r="L708" s="1364">
        <f t="shared" si="341"/>
        <v>0</v>
      </c>
      <c r="M708" s="1364">
        <f t="shared" si="341"/>
        <v>0</v>
      </c>
      <c r="N708" s="1367">
        <f t="shared" si="341"/>
        <v>0</v>
      </c>
      <c r="O708" s="1367">
        <f t="shared" si="341"/>
        <v>0</v>
      </c>
      <c r="P708" s="1367">
        <f t="shared" si="341"/>
        <v>0</v>
      </c>
      <c r="Q708" s="1364">
        <f t="shared" si="341"/>
        <v>0</v>
      </c>
      <c r="R708" s="1358"/>
      <c r="S708" s="1320">
        <v>412</v>
      </c>
      <c r="V708" s="1321" t="s">
        <v>5245</v>
      </c>
      <c r="W708" s="1321">
        <v>412</v>
      </c>
    </row>
    <row r="709" spans="1:27">
      <c r="A709" s="1320" t="s">
        <v>4877</v>
      </c>
      <c r="C709" s="1322">
        <v>70</v>
      </c>
      <c r="D709" s="1320" t="s">
        <v>5546</v>
      </c>
      <c r="F709" s="1427">
        <f>SUM(F701:F708)</f>
        <v>0</v>
      </c>
      <c r="G709" s="1427">
        <f>SUM(G701:G708)</f>
        <v>0</v>
      </c>
      <c r="H709" s="1427">
        <f>SUM(H701:H708)</f>
        <v>0</v>
      </c>
      <c r="I709" s="1323">
        <f t="shared" si="333"/>
        <v>0</v>
      </c>
      <c r="J709" s="1421">
        <f t="shared" ref="J709:Q709" si="342">SUM(J701:J708)</f>
        <v>0</v>
      </c>
      <c r="K709" s="1421">
        <f t="shared" si="342"/>
        <v>0</v>
      </c>
      <c r="L709" s="1421">
        <f t="shared" si="342"/>
        <v>0</v>
      </c>
      <c r="M709" s="1421">
        <f t="shared" si="342"/>
        <v>0</v>
      </c>
      <c r="N709" s="1422">
        <f t="shared" si="342"/>
        <v>0</v>
      </c>
      <c r="O709" s="1422">
        <f>SUM(O701:O708)</f>
        <v>0</v>
      </c>
      <c r="P709" s="1422">
        <f>SUM(P701:P708)</f>
        <v>0</v>
      </c>
      <c r="Q709" s="1421">
        <f t="shared" si="342"/>
        <v>0</v>
      </c>
      <c r="R709" s="1358"/>
      <c r="V709" s="1320" t="s">
        <v>5547</v>
      </c>
      <c r="Y709" s="1324"/>
    </row>
    <row r="710" spans="1:27" ht="14.25" customHeight="1">
      <c r="A710" s="1320" t="s">
        <v>4877</v>
      </c>
      <c r="C710" s="1322">
        <v>71</v>
      </c>
      <c r="G710" s="1320"/>
      <c r="M710" s="1324"/>
      <c r="P710" s="1325"/>
      <c r="Y710" s="1324"/>
    </row>
    <row r="711" spans="1:27">
      <c r="A711" s="1320" t="s">
        <v>4877</v>
      </c>
      <c r="C711" s="1322">
        <v>72</v>
      </c>
      <c r="D711" s="1356" t="s">
        <v>5548</v>
      </c>
      <c r="G711" s="1320"/>
      <c r="M711" s="1324"/>
      <c r="P711" s="1325"/>
      <c r="Y711" s="1324"/>
    </row>
    <row r="712" spans="1:27">
      <c r="A712" s="1320" t="s">
        <v>4877</v>
      </c>
      <c r="C712" s="1322">
        <v>73</v>
      </c>
      <c r="D712" s="1320" t="s">
        <v>5354</v>
      </c>
      <c r="E712" s="1320" t="s">
        <v>4777</v>
      </c>
      <c r="F712" s="1320">
        <f>+F625</f>
        <v>1782281.2948316957</v>
      </c>
      <c r="G712" s="1320">
        <f>+G625</f>
        <v>7929.0305824175994</v>
      </c>
      <c r="H712" s="1320">
        <f>+H625</f>
        <v>1774352.2642492782</v>
      </c>
      <c r="I712" s="1323">
        <f>IF(F712=0,0,+H712/F712)</f>
        <v>0.99555119014859761</v>
      </c>
      <c r="J712" s="1324">
        <f t="shared" ref="J712:Q712" si="343">+J625</f>
        <v>1774352.2642492782</v>
      </c>
      <c r="K712" s="1324">
        <f t="shared" si="343"/>
        <v>1031095.7438643834</v>
      </c>
      <c r="L712" s="1324">
        <f t="shared" si="343"/>
        <v>95215.926359999998</v>
      </c>
      <c r="M712" s="1324">
        <f t="shared" si="343"/>
        <v>472409.06597747206</v>
      </c>
      <c r="N712" s="1325">
        <f t="shared" si="343"/>
        <v>56248.638876056888</v>
      </c>
      <c r="O712" s="1325">
        <f>+O625</f>
        <v>33101.5829713657</v>
      </c>
      <c r="P712" s="1325">
        <f>+P625</f>
        <v>3573.4600599999999</v>
      </c>
      <c r="Q712" s="1324">
        <f t="shared" si="343"/>
        <v>82707.846140000009</v>
      </c>
      <c r="V712" s="1320" t="s">
        <v>5425</v>
      </c>
      <c r="Y712" s="1324"/>
    </row>
    <row r="713" spans="1:27">
      <c r="A713" s="1320" t="s">
        <v>4877</v>
      </c>
      <c r="C713" s="1322">
        <v>74</v>
      </c>
      <c r="D713" s="1320" t="s">
        <v>5265</v>
      </c>
      <c r="E713" s="1320" t="s">
        <v>4067</v>
      </c>
      <c r="F713" s="1320">
        <f t="shared" ref="F713:H714" si="344">+F626-F637-F648-F653-F679-F690-F701</f>
        <v>-499519.65402862878</v>
      </c>
      <c r="G713" s="1320">
        <f t="shared" si="344"/>
        <v>0</v>
      </c>
      <c r="H713" s="1320">
        <f t="shared" si="344"/>
        <v>-499519.65402862878</v>
      </c>
      <c r="I713" s="1323">
        <f t="shared" ref="I713:I721" si="345">IF(F713=0,0,+H713/F713)</f>
        <v>1</v>
      </c>
      <c r="J713" s="1324">
        <f t="shared" ref="J713:Q714" si="346">+J626-J637-J648-J653-J679-J690-J701</f>
        <v>-499519.65402862878</v>
      </c>
      <c r="K713" s="1324">
        <f t="shared" si="346"/>
        <v>-286831.51163293672</v>
      </c>
      <c r="L713" s="1324">
        <f t="shared" si="346"/>
        <v>-23853.09371376023</v>
      </c>
      <c r="M713" s="1324">
        <f t="shared" si="346"/>
        <v>-154375.08328611878</v>
      </c>
      <c r="N713" s="1325">
        <f t="shared" si="346"/>
        <v>-19730.180442257904</v>
      </c>
      <c r="O713" s="1325">
        <f>+O626-O637-O648-O653-O679-O690-O701</f>
        <v>-14199.872765847194</v>
      </c>
      <c r="P713" s="1325">
        <f>+P626-P637-P648-P653-P679-P690-P701</f>
        <v>-529.91218770803016</v>
      </c>
      <c r="Q713" s="1324">
        <f t="shared" si="346"/>
        <v>0</v>
      </c>
      <c r="V713" s="1320" t="s">
        <v>5549</v>
      </c>
      <c r="Y713" s="1324"/>
    </row>
    <row r="714" spans="1:27">
      <c r="A714" s="1320" t="s">
        <v>4877</v>
      </c>
      <c r="C714" s="1322">
        <v>75</v>
      </c>
      <c r="D714" s="1320" t="s">
        <v>5265</v>
      </c>
      <c r="E714" s="1320" t="s">
        <v>2067</v>
      </c>
      <c r="F714" s="1320">
        <f t="shared" si="344"/>
        <v>-77921.073231477538</v>
      </c>
      <c r="G714" s="1320">
        <f t="shared" si="344"/>
        <v>-1.84900420208578E-3</v>
      </c>
      <c r="H714" s="1320">
        <f t="shared" si="344"/>
        <v>-77921.071382473339</v>
      </c>
      <c r="I714" s="1323">
        <f t="shared" si="345"/>
        <v>0.99999997627080683</v>
      </c>
      <c r="J714" s="1324">
        <f t="shared" si="346"/>
        <v>-77921.071382473339</v>
      </c>
      <c r="K714" s="1324">
        <f t="shared" si="346"/>
        <v>-39434.405811857745</v>
      </c>
      <c r="L714" s="1324">
        <f t="shared" si="346"/>
        <v>-3632.6119622815122</v>
      </c>
      <c r="M714" s="1324">
        <f t="shared" si="346"/>
        <v>-26986.019728203188</v>
      </c>
      <c r="N714" s="1325">
        <f t="shared" si="346"/>
        <v>-4286.8193659482995</v>
      </c>
      <c r="O714" s="1325">
        <f>+O627-O638-O649-O654-O680-O691-O702</f>
        <v>-3169.8854556608549</v>
      </c>
      <c r="P714" s="1325">
        <f>+P627-P638-P649-P654-P680-P691-P702</f>
        <v>-411.32905852173963</v>
      </c>
      <c r="Q714" s="1324">
        <f t="shared" si="346"/>
        <v>0</v>
      </c>
      <c r="V714" s="1320" t="s">
        <v>5550</v>
      </c>
      <c r="Y714" s="1324"/>
    </row>
    <row r="715" spans="1:27" s="1324" customFormat="1">
      <c r="A715" s="1324" t="s">
        <v>4877</v>
      </c>
      <c r="C715" s="1393">
        <v>76</v>
      </c>
      <c r="D715" s="1324" t="s">
        <v>5268</v>
      </c>
      <c r="E715" s="1324" t="s">
        <v>4067</v>
      </c>
      <c r="F715" s="1324">
        <f t="shared" ref="F715:H720" si="347">+F628-F639-F655-F681-F692-F703</f>
        <v>-22601.16803549571</v>
      </c>
      <c r="G715" s="1324">
        <f t="shared" si="347"/>
        <v>-1967.1157951283139</v>
      </c>
      <c r="H715" s="1324">
        <f t="shared" si="347"/>
        <v>-20633.910933757241</v>
      </c>
      <c r="I715" s="1374">
        <f t="shared" si="345"/>
        <v>0.91295772419156207</v>
      </c>
      <c r="J715" s="1324">
        <f t="shared" ref="J715:Q720" si="348">+J628-J639-J655-J681-J692-J703</f>
        <v>-20633.910933757241</v>
      </c>
      <c r="K715" s="1324">
        <f t="shared" si="348"/>
        <v>-11967.937410330529</v>
      </c>
      <c r="L715" s="1324">
        <f t="shared" si="348"/>
        <v>-987.23412109216929</v>
      </c>
      <c r="M715" s="1324">
        <f t="shared" si="348"/>
        <v>-6310.8917619273188</v>
      </c>
      <c r="N715" s="1325">
        <f t="shared" si="348"/>
        <v>-787.83115974519683</v>
      </c>
      <c r="O715" s="1325">
        <f t="shared" si="348"/>
        <v>-565.3871903278075</v>
      </c>
      <c r="P715" s="1325">
        <f t="shared" si="348"/>
        <v>-14.629290334219339</v>
      </c>
      <c r="Q715" s="1324">
        <f t="shared" si="348"/>
        <v>0</v>
      </c>
      <c r="V715" s="1320" t="s">
        <v>5551</v>
      </c>
      <c r="AA715" s="1320"/>
    </row>
    <row r="716" spans="1:27">
      <c r="A716" s="1320" t="s">
        <v>4877</v>
      </c>
      <c r="C716" s="1322">
        <v>77</v>
      </c>
      <c r="D716" s="1320" t="s">
        <v>5239</v>
      </c>
      <c r="E716" s="1320" t="s">
        <v>4067</v>
      </c>
      <c r="F716" s="1320">
        <f t="shared" si="347"/>
        <v>-33151.095432460053</v>
      </c>
      <c r="G716" s="1320">
        <f t="shared" si="347"/>
        <v>-2647.4089273364266</v>
      </c>
      <c r="H716" s="1320">
        <f t="shared" si="347"/>
        <v>-30503.827811733776</v>
      </c>
      <c r="I716" s="1323">
        <f t="shared" si="345"/>
        <v>0.92014539531221062</v>
      </c>
      <c r="J716" s="1324">
        <f t="shared" si="348"/>
        <v>-30503.827811733776</v>
      </c>
      <c r="K716" s="1324">
        <f t="shared" si="348"/>
        <v>-17692.61790449408</v>
      </c>
      <c r="L716" s="1324">
        <f t="shared" si="348"/>
        <v>-1459.4625195554395</v>
      </c>
      <c r="M716" s="1324">
        <f t="shared" si="348"/>
        <v>-9329.6106715948954</v>
      </c>
      <c r="N716" s="1325">
        <f t="shared" si="348"/>
        <v>-1164.6781901277711</v>
      </c>
      <c r="O716" s="1325">
        <f t="shared" si="348"/>
        <v>-835.83153751546081</v>
      </c>
      <c r="P716" s="1325">
        <f t="shared" si="348"/>
        <v>-21.62698844613217</v>
      </c>
      <c r="Q716" s="1324">
        <f t="shared" si="348"/>
        <v>0</v>
      </c>
      <c r="V716" s="1320" t="s">
        <v>5552</v>
      </c>
      <c r="Y716" s="1324"/>
    </row>
    <row r="717" spans="1:27">
      <c r="A717" s="1320" t="s">
        <v>4877</v>
      </c>
      <c r="C717" s="1322">
        <v>78</v>
      </c>
      <c r="D717" s="1320" t="s">
        <v>5240</v>
      </c>
      <c r="E717" s="1320" t="s">
        <v>4067</v>
      </c>
      <c r="F717" s="1320">
        <f t="shared" si="347"/>
        <v>-137031.04722340967</v>
      </c>
      <c r="G717" s="1320">
        <f t="shared" si="347"/>
        <v>0</v>
      </c>
      <c r="H717" s="1320">
        <f t="shared" si="347"/>
        <v>-137031.04722340967</v>
      </c>
      <c r="I717" s="1323">
        <f t="shared" si="345"/>
        <v>1</v>
      </c>
      <c r="J717" s="1324">
        <f t="shared" si="348"/>
        <v>-137031.04722340967</v>
      </c>
      <c r="K717" s="1324">
        <f t="shared" si="348"/>
        <v>-85290.317943527363</v>
      </c>
      <c r="L717" s="1324">
        <f t="shared" si="348"/>
        <v>-6066.0613253259444</v>
      </c>
      <c r="M717" s="1324">
        <f t="shared" si="348"/>
        <v>-40616.068063425606</v>
      </c>
      <c r="N717" s="1325">
        <f t="shared" si="348"/>
        <v>-4271.993729952962</v>
      </c>
      <c r="O717" s="1325">
        <f t="shared" si="348"/>
        <v>-2.9168340954765699E-3</v>
      </c>
      <c r="P717" s="1325">
        <f t="shared" si="348"/>
        <v>-786.60324434371557</v>
      </c>
      <c r="Q717" s="1324">
        <f t="shared" si="348"/>
        <v>0</v>
      </c>
      <c r="V717" s="1320" t="s">
        <v>5553</v>
      </c>
    </row>
    <row r="718" spans="1:27">
      <c r="A718" s="1320" t="s">
        <v>4877</v>
      </c>
      <c r="C718" s="1322">
        <v>79</v>
      </c>
      <c r="D718" s="1320" t="s">
        <v>5241</v>
      </c>
      <c r="E718" s="1320" t="s">
        <v>4067</v>
      </c>
      <c r="F718" s="1320">
        <f t="shared" si="347"/>
        <v>-60622.800739802347</v>
      </c>
      <c r="G718" s="1320">
        <f t="shared" si="347"/>
        <v>0</v>
      </c>
      <c r="H718" s="1320">
        <f t="shared" si="347"/>
        <v>-60622.800739802347</v>
      </c>
      <c r="I718" s="1323">
        <f t="shared" si="345"/>
        <v>1</v>
      </c>
      <c r="J718" s="1324">
        <f t="shared" si="348"/>
        <v>-60622.800739802347</v>
      </c>
      <c r="K718" s="1324">
        <f t="shared" si="348"/>
        <v>-44232.411812509621</v>
      </c>
      <c r="L718" s="1324">
        <f t="shared" si="348"/>
        <v>-3561.5869977022826</v>
      </c>
      <c r="M718" s="1324">
        <f t="shared" si="348"/>
        <v>-12609.503300259197</v>
      </c>
      <c r="N718" s="1325">
        <f t="shared" si="348"/>
        <v>0</v>
      </c>
      <c r="O718" s="1325">
        <f t="shared" si="348"/>
        <v>0</v>
      </c>
      <c r="P718" s="1325">
        <f t="shared" si="348"/>
        <v>-219.29862933125446</v>
      </c>
      <c r="Q718" s="1324">
        <f t="shared" si="348"/>
        <v>0</v>
      </c>
      <c r="V718" s="1320" t="s">
        <v>5554</v>
      </c>
    </row>
    <row r="719" spans="1:27">
      <c r="A719" s="1320" t="s">
        <v>4877</v>
      </c>
      <c r="C719" s="1322">
        <v>80</v>
      </c>
      <c r="D719" s="1320" t="s">
        <v>5242</v>
      </c>
      <c r="E719" s="1320" t="s">
        <v>4071</v>
      </c>
      <c r="F719" s="1320">
        <f t="shared" si="347"/>
        <v>-94360.61880413859</v>
      </c>
      <c r="G719" s="1320">
        <f t="shared" si="347"/>
        <v>0</v>
      </c>
      <c r="H719" s="1320">
        <f t="shared" si="347"/>
        <v>-94360.61880413859</v>
      </c>
      <c r="I719" s="1323">
        <f t="shared" si="345"/>
        <v>1</v>
      </c>
      <c r="J719" s="1324">
        <f t="shared" si="348"/>
        <v>-94360.61880413859</v>
      </c>
      <c r="K719" s="1324">
        <f t="shared" si="348"/>
        <v>-43632.961949902179</v>
      </c>
      <c r="L719" s="1324">
        <f t="shared" si="348"/>
        <v>-8401.2555567649124</v>
      </c>
      <c r="M719" s="1324">
        <f t="shared" si="348"/>
        <v>-4799.5666161600766</v>
      </c>
      <c r="N719" s="1325">
        <f t="shared" si="348"/>
        <v>-359.13655443265856</v>
      </c>
      <c r="O719" s="1325">
        <f t="shared" si="348"/>
        <v>-391.83305676476721</v>
      </c>
      <c r="P719" s="1325">
        <f t="shared" si="348"/>
        <v>-80.704584277774984</v>
      </c>
      <c r="Q719" s="1324">
        <f t="shared" si="348"/>
        <v>-36695.160485836219</v>
      </c>
      <c r="V719" s="1320" t="s">
        <v>5555</v>
      </c>
      <c r="Y719" s="1324"/>
    </row>
    <row r="720" spans="1:27">
      <c r="A720" s="1320" t="s">
        <v>4877</v>
      </c>
      <c r="C720" s="1322">
        <v>81</v>
      </c>
      <c r="D720" s="1320" t="s">
        <v>5244</v>
      </c>
      <c r="E720" s="1320" t="s">
        <v>4071</v>
      </c>
      <c r="F720" s="1320">
        <f t="shared" si="347"/>
        <v>-64103.808387915196</v>
      </c>
      <c r="G720" s="1320">
        <f t="shared" si="347"/>
        <v>0</v>
      </c>
      <c r="H720" s="1320">
        <f t="shared" si="347"/>
        <v>-64103.808387915196</v>
      </c>
      <c r="I720" s="1323">
        <f t="shared" si="345"/>
        <v>1</v>
      </c>
      <c r="J720" s="1324">
        <f t="shared" si="348"/>
        <v>-64103.808387915196</v>
      </c>
      <c r="K720" s="1324">
        <f t="shared" si="348"/>
        <v>-55343.64464726497</v>
      </c>
      <c r="L720" s="1324">
        <f t="shared" si="348"/>
        <v>-5353.8415228424392</v>
      </c>
      <c r="M720" s="1324">
        <f t="shared" si="348"/>
        <v>-2805.233502610989</v>
      </c>
      <c r="N720" s="1325">
        <f t="shared" si="348"/>
        <v>-190.8429642082267</v>
      </c>
      <c r="O720" s="1325">
        <f t="shared" si="348"/>
        <v>-109.69959178097953</v>
      </c>
      <c r="P720" s="1325">
        <f t="shared" si="348"/>
        <v>-30.340950665537751</v>
      </c>
      <c r="Q720" s="1324">
        <f t="shared" si="348"/>
        <v>-270.20520854205262</v>
      </c>
      <c r="V720" s="1320" t="s">
        <v>5556</v>
      </c>
      <c r="Y720" s="1324"/>
    </row>
    <row r="721" spans="1:25">
      <c r="A721" s="1320" t="s">
        <v>4877</v>
      </c>
      <c r="C721" s="1322">
        <v>82</v>
      </c>
      <c r="D721" s="1320" t="s">
        <v>5557</v>
      </c>
      <c r="F721" s="1427">
        <f>SUM(F712:F720)</f>
        <v>792970.02894836781</v>
      </c>
      <c r="G721" s="1427">
        <f>SUM(G712:G720)</f>
        <v>3314.5040109486567</v>
      </c>
      <c r="H721" s="1427">
        <f>SUM(H712:H720)</f>
        <v>789655.52493741922</v>
      </c>
      <c r="I721" s="1323">
        <f t="shared" si="345"/>
        <v>0.99582013961442617</v>
      </c>
      <c r="J721" s="1421">
        <f t="shared" ref="J721:Q721" si="349">SUM(J712:J720)</f>
        <v>789655.52493741922</v>
      </c>
      <c r="K721" s="1421">
        <f t="shared" si="349"/>
        <v>446669.93475156027</v>
      </c>
      <c r="L721" s="1421">
        <f t="shared" si="349"/>
        <v>41900.77864067506</v>
      </c>
      <c r="M721" s="1421">
        <f t="shared" si="349"/>
        <v>214577.08904717199</v>
      </c>
      <c r="N721" s="1422">
        <f t="shared" si="349"/>
        <v>25457.156469383863</v>
      </c>
      <c r="O721" s="1422">
        <f>SUM(O712:O720)</f>
        <v>13829.070456634541</v>
      </c>
      <c r="P721" s="1422">
        <f>SUM(P712:P720)</f>
        <v>1479.0151263715959</v>
      </c>
      <c r="Q721" s="1421">
        <f t="shared" si="349"/>
        <v>45742.480445621739</v>
      </c>
      <c r="R721" s="1358"/>
      <c r="V721" s="1320" t="s">
        <v>5558</v>
      </c>
      <c r="Y721" s="1324"/>
    </row>
    <row r="722" spans="1:25" ht="11.25" customHeight="1">
      <c r="G722" s="1320"/>
      <c r="Y722" s="1324"/>
    </row>
    <row r="723" spans="1:25">
      <c r="G723" s="1320"/>
      <c r="Y723" s="1324"/>
    </row>
    <row r="724" spans="1:25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Y724" s="1324"/>
    </row>
    <row r="725" spans="1:25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Y725" s="1324"/>
    </row>
    <row r="726" spans="1:25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321"/>
      <c r="W726" s="1321"/>
      <c r="Y726" s="1324"/>
    </row>
    <row r="727" spans="1:25">
      <c r="B727" s="1432"/>
      <c r="C727" s="1340" t="str">
        <f>+C$2</f>
        <v>RATES WITH REVENUE DEFICIENCY ADDITION</v>
      </c>
      <c r="F727" s="1333"/>
      <c r="G727" s="1327" t="s">
        <v>2173</v>
      </c>
      <c r="I727" s="1334" t="s">
        <v>5531</v>
      </c>
      <c r="L727" s="1329" t="s">
        <v>2173</v>
      </c>
      <c r="M727" s="1330"/>
      <c r="N727" s="1330"/>
      <c r="O727" s="1330"/>
      <c r="S727" s="1334" t="s">
        <v>5559</v>
      </c>
      <c r="T727" s="1333" t="s">
        <v>2173</v>
      </c>
      <c r="U727" s="1334"/>
      <c r="V727" s="1332" t="s">
        <v>4772</v>
      </c>
      <c r="Y727" s="1324"/>
    </row>
    <row r="728" spans="1:25">
      <c r="B728" s="1432"/>
      <c r="C728" s="1340" t="str">
        <f>+C$3</f>
        <v>PROD. CAP. ALLOC. METHOD: 12 CP &amp; 1/13th AD</v>
      </c>
      <c r="G728" s="1336" t="s">
        <v>4768</v>
      </c>
      <c r="I728" s="1335" t="s">
        <v>4062</v>
      </c>
      <c r="L728" s="1336" t="s">
        <v>5141</v>
      </c>
      <c r="M728" s="1337"/>
      <c r="N728" s="1337"/>
      <c r="O728" s="1337"/>
      <c r="R728" s="1331"/>
      <c r="S728" s="1335" t="s">
        <v>4063</v>
      </c>
      <c r="T728" s="1333" t="s">
        <v>5141</v>
      </c>
      <c r="V728" s="1332" t="s">
        <v>5559</v>
      </c>
    </row>
    <row r="729" spans="1:25">
      <c r="C729" s="1340" t="str">
        <f>+C$4</f>
        <v>PROJECTED CALENDAR YEAR 2025; FULLY ADJUSTED DATA</v>
      </c>
      <c r="G729" s="1336" t="s">
        <v>2181</v>
      </c>
      <c r="L729" s="1336" t="s">
        <v>2181</v>
      </c>
      <c r="T729" s="1339"/>
    </row>
    <row r="730" spans="1:25">
      <c r="C730" s="1340" t="str">
        <f>+C$5</f>
        <v>MINIMUM DISTRIBUTION SYSTEM (MDS) NOT EMPLOYED</v>
      </c>
      <c r="D730" s="1358"/>
      <c r="G730" s="1320"/>
      <c r="L730" s="1336"/>
      <c r="M730" s="1337"/>
      <c r="N730" s="1337"/>
      <c r="O730" s="1337"/>
      <c r="T730" s="1333"/>
      <c r="Y730" s="1324"/>
    </row>
    <row r="731" spans="1:25">
      <c r="C731" s="1340" t="str">
        <f>+C$6</f>
        <v>Tampa Electric 2025 OB Budget</v>
      </c>
      <c r="F731" s="1327"/>
      <c r="G731" s="1333" t="s">
        <v>5494</v>
      </c>
      <c r="L731" s="1336" t="s">
        <v>5494</v>
      </c>
      <c r="M731" s="1337"/>
      <c r="N731" s="1337"/>
      <c r="O731" s="1337"/>
      <c r="T731" s="1333" t="s">
        <v>5494</v>
      </c>
      <c r="Y731" s="1324"/>
    </row>
    <row r="732" spans="1:25">
      <c r="F732" s="1333"/>
      <c r="G732" s="1320"/>
      <c r="L732" s="1336"/>
      <c r="M732" s="1337"/>
      <c r="N732" s="1337"/>
      <c r="O732" s="1337"/>
      <c r="Y732" s="1324"/>
    </row>
    <row r="733" spans="1:25">
      <c r="F733" s="1333"/>
      <c r="G733" s="1320"/>
      <c r="L733" s="1336"/>
      <c r="M733" s="1337"/>
      <c r="N733" s="1337"/>
      <c r="O733" s="1337"/>
      <c r="Y733" s="1324"/>
    </row>
    <row r="734" spans="1:25">
      <c r="G734" s="1320"/>
      <c r="Y734" s="1324"/>
    </row>
    <row r="735" spans="1:25">
      <c r="C735" s="1342"/>
      <c r="D735" s="1331"/>
      <c r="E735" s="1331"/>
      <c r="F735" s="1333"/>
      <c r="G735" s="1333"/>
      <c r="H735" s="1333"/>
      <c r="I735" s="1343"/>
      <c r="J735" s="1416"/>
      <c r="K735" s="1336"/>
      <c r="L735" s="1416"/>
      <c r="M735" s="1417"/>
      <c r="N735" s="1417"/>
      <c r="O735" s="1417"/>
      <c r="P735" s="3164"/>
      <c r="Q735" s="3164"/>
      <c r="R735" s="1333"/>
      <c r="Y735" s="1324"/>
    </row>
    <row r="736" spans="1:25" ht="30" customHeight="1">
      <c r="A736" s="1418" t="s">
        <v>4683</v>
      </c>
      <c r="B736" s="1425" t="s">
        <v>5143</v>
      </c>
      <c r="C736" s="1349" t="s">
        <v>4297</v>
      </c>
      <c r="D736" s="1418"/>
      <c r="E736" s="1418"/>
      <c r="F736" s="1348" t="s">
        <v>5144</v>
      </c>
      <c r="G736" s="1348" t="s">
        <v>4956</v>
      </c>
      <c r="H736" s="1348" t="s">
        <v>4957</v>
      </c>
      <c r="I736" s="1426" t="s">
        <v>5145</v>
      </c>
      <c r="J736" s="1352" t="s">
        <v>4957</v>
      </c>
      <c r="K736" s="1353" t="s">
        <v>1949</v>
      </c>
      <c r="L736" s="1353" t="s">
        <v>1950</v>
      </c>
      <c r="M736" s="1354" t="s">
        <v>1934</v>
      </c>
      <c r="N736" s="1354" t="s">
        <v>1971</v>
      </c>
      <c r="O736" s="1354" t="s">
        <v>1972</v>
      </c>
      <c r="P736" s="1352" t="s">
        <v>5146</v>
      </c>
      <c r="Q736" s="1352" t="s">
        <v>5147</v>
      </c>
      <c r="R736" s="1355"/>
      <c r="S736" s="1348" t="s">
        <v>5299</v>
      </c>
      <c r="T736" s="1348"/>
      <c r="U736" s="1352"/>
      <c r="V736" s="1355" t="s">
        <v>4774</v>
      </c>
      <c r="Y736" s="1324"/>
    </row>
    <row r="737" spans="1:27">
      <c r="G737" s="1320"/>
      <c r="Y737" s="1324"/>
    </row>
    <row r="738" spans="1:27">
      <c r="A738" s="1320" t="s">
        <v>4877</v>
      </c>
      <c r="C738" s="1322">
        <v>83</v>
      </c>
      <c r="D738" s="1356" t="s">
        <v>5560</v>
      </c>
      <c r="G738" s="1320"/>
    </row>
    <row r="739" spans="1:27">
      <c r="A739" s="1320" t="s">
        <v>4877</v>
      </c>
      <c r="B739" s="1320">
        <v>101</v>
      </c>
      <c r="C739" s="1322">
        <v>84</v>
      </c>
      <c r="D739" s="1320" t="s">
        <v>5265</v>
      </c>
      <c r="E739" s="1320" t="s">
        <v>4067</v>
      </c>
      <c r="F739" s="1320">
        <f>+'Allocation Assignment'!F243</f>
        <v>101438.76376111731</v>
      </c>
      <c r="G739" s="1358">
        <f>+$F739*G$1933</f>
        <v>0</v>
      </c>
      <c r="H739" s="1358">
        <f>+$F739*H$1933</f>
        <v>101438.76376111731</v>
      </c>
      <c r="I739" s="1323">
        <f t="shared" ref="I739:I747" si="350">IF(F739=0,0,+H739/F739)</f>
        <v>1</v>
      </c>
      <c r="J739" s="1364">
        <f t="shared" ref="J739:J746" si="351">+H739</f>
        <v>101438.76376111731</v>
      </c>
      <c r="K739" s="1324">
        <f t="shared" ref="K739:Q739" si="352">$J739*K$1951</f>
        <v>58247.625920460938</v>
      </c>
      <c r="L739" s="1324">
        <f t="shared" si="352"/>
        <v>4843.9101818869376</v>
      </c>
      <c r="M739" s="1324">
        <f t="shared" si="352"/>
        <v>31349.352278270751</v>
      </c>
      <c r="N739" s="1324">
        <f t="shared" si="352"/>
        <v>4006.6593910871638</v>
      </c>
      <c r="O739" s="1324">
        <f t="shared" si="352"/>
        <v>2883.6053342760811</v>
      </c>
      <c r="P739" s="1324">
        <f t="shared" si="352"/>
        <v>107.61065513544528</v>
      </c>
      <c r="Q739" s="1324">
        <f t="shared" si="352"/>
        <v>0</v>
      </c>
      <c r="R739" s="1324"/>
      <c r="S739" s="1324">
        <v>122</v>
      </c>
      <c r="V739" s="1321" t="s">
        <v>9476</v>
      </c>
      <c r="W739" s="1321">
        <v>122</v>
      </c>
    </row>
    <row r="740" spans="1:27">
      <c r="A740" s="1320" t="s">
        <v>4877</v>
      </c>
      <c r="B740" s="1324">
        <v>101</v>
      </c>
      <c r="C740" s="1322">
        <v>85</v>
      </c>
      <c r="D740" s="1324" t="s">
        <v>5265</v>
      </c>
      <c r="E740" s="1324" t="s">
        <v>2067</v>
      </c>
      <c r="F740" s="1320">
        <f>+'Allocation Assignment'!F244</f>
        <v>7628.7877112605429</v>
      </c>
      <c r="G740" s="1364">
        <f>+$F740*G$1933</f>
        <v>0</v>
      </c>
      <c r="H740" s="1364">
        <f>+$F740*H$1933</f>
        <v>7628.7877112605429</v>
      </c>
      <c r="I740" s="1374">
        <f t="shared" si="350"/>
        <v>1</v>
      </c>
      <c r="J740" s="1364">
        <f t="shared" si="351"/>
        <v>7628.7877112605429</v>
      </c>
      <c r="K740" s="1364">
        <f t="shared" ref="K740:Q740" si="353">+$J740*K$1969</f>
        <v>3849.7470708846326</v>
      </c>
      <c r="L740" s="1364">
        <f t="shared" si="353"/>
        <v>355.76169568245729</v>
      </c>
      <c r="M740" s="1364">
        <f t="shared" si="353"/>
        <v>2650.2864504366544</v>
      </c>
      <c r="N740" s="1367">
        <f t="shared" si="353"/>
        <v>421.88298958441027</v>
      </c>
      <c r="O740" s="1367">
        <f t="shared" si="353"/>
        <v>310.80620381086248</v>
      </c>
      <c r="P740" s="1367">
        <f t="shared" si="353"/>
        <v>40.303300861525635</v>
      </c>
      <c r="Q740" s="1364">
        <f t="shared" si="353"/>
        <v>0</v>
      </c>
      <c r="R740" s="1364"/>
      <c r="S740" s="1324">
        <v>201</v>
      </c>
      <c r="V740" s="1321" t="s">
        <v>5235</v>
      </c>
      <c r="W740" s="1321">
        <v>201</v>
      </c>
      <c r="Y740" s="1324"/>
    </row>
    <row r="741" spans="1:27" s="1324" customFormat="1">
      <c r="A741" s="1320" t="s">
        <v>4877</v>
      </c>
      <c r="B741" s="1320">
        <v>117</v>
      </c>
      <c r="C741" s="1393">
        <v>86</v>
      </c>
      <c r="D741" s="1320" t="s">
        <v>5268</v>
      </c>
      <c r="E741" s="1320" t="s">
        <v>4067</v>
      </c>
      <c r="F741" s="1320">
        <f>+'Allocation Assignment'!F245</f>
        <v>8001.8674565720094</v>
      </c>
      <c r="G741" s="1358">
        <f>+$F741*G$1942</f>
        <v>518.41583438213763</v>
      </c>
      <c r="H741" s="1358">
        <f>+$F741*H$1942</f>
        <v>7483.4516221898712</v>
      </c>
      <c r="I741" s="1323">
        <f t="shared" si="350"/>
        <v>0.93521314403222733</v>
      </c>
      <c r="J741" s="1364">
        <f t="shared" si="351"/>
        <v>7483.4516221898712</v>
      </c>
      <c r="K741" s="1364">
        <f t="shared" ref="K741:Q742" si="354">+$J741*K$1945</f>
        <v>4340.4995260051046</v>
      </c>
      <c r="L741" s="1364">
        <f t="shared" si="354"/>
        <v>358.04743020779904</v>
      </c>
      <c r="M741" s="1364">
        <f t="shared" si="354"/>
        <v>2288.8173427169118</v>
      </c>
      <c r="N741" s="1367">
        <f t="shared" si="354"/>
        <v>285.72849758508528</v>
      </c>
      <c r="O741" s="1367">
        <f t="shared" si="354"/>
        <v>205.05311378959078</v>
      </c>
      <c r="P741" s="1367">
        <f t="shared" si="354"/>
        <v>5.3057118853796226</v>
      </c>
      <c r="Q741" s="1364">
        <f t="shared" si="354"/>
        <v>0</v>
      </c>
      <c r="R741" s="1364"/>
      <c r="S741" s="1324">
        <v>118</v>
      </c>
      <c r="V741" s="1321" t="s">
        <v>9477</v>
      </c>
      <c r="W741" s="1321">
        <v>117</v>
      </c>
      <c r="AA741" s="1320"/>
    </row>
    <row r="742" spans="1:27">
      <c r="A742" s="1320" t="s">
        <v>4877</v>
      </c>
      <c r="B742" s="1320">
        <v>117</v>
      </c>
      <c r="C742" s="1322">
        <v>87</v>
      </c>
      <c r="D742" s="1320" t="s">
        <v>5239</v>
      </c>
      <c r="E742" s="1320" t="s">
        <v>4067</v>
      </c>
      <c r="F742" s="1320">
        <f>+'Allocation Assignment'!F246</f>
        <v>8686.2498613002645</v>
      </c>
      <c r="G742" s="1358">
        <f>+$F742*G$1942</f>
        <v>562.75481866414498</v>
      </c>
      <c r="H742" s="1358">
        <f>+$F742*H$1942</f>
        <v>8123.4950426361193</v>
      </c>
      <c r="I742" s="1323">
        <f t="shared" si="350"/>
        <v>0.93521314403222733</v>
      </c>
      <c r="J742" s="1364">
        <f t="shared" si="351"/>
        <v>8123.4950426361193</v>
      </c>
      <c r="K742" s="1364">
        <f t="shared" si="354"/>
        <v>4711.7330561093149</v>
      </c>
      <c r="L742" s="1364">
        <f t="shared" si="354"/>
        <v>388.67045197394077</v>
      </c>
      <c r="M742" s="1364">
        <f t="shared" si="354"/>
        <v>2484.5749362403858</v>
      </c>
      <c r="N742" s="1367">
        <f t="shared" si="354"/>
        <v>310.16623756740245</v>
      </c>
      <c r="O742" s="1367">
        <f t="shared" si="354"/>
        <v>222.59086280555061</v>
      </c>
      <c r="P742" s="1367">
        <f t="shared" si="354"/>
        <v>5.7594979395249091</v>
      </c>
      <c r="Q742" s="1364">
        <f t="shared" si="354"/>
        <v>0</v>
      </c>
      <c r="R742" s="1364"/>
      <c r="S742" s="1324">
        <v>118</v>
      </c>
      <c r="V742" s="1321" t="s">
        <v>9477</v>
      </c>
      <c r="W742" s="1321">
        <v>117</v>
      </c>
      <c r="Y742" s="1324"/>
    </row>
    <row r="743" spans="1:27">
      <c r="A743" s="1320" t="s">
        <v>4877</v>
      </c>
      <c r="B743" s="1320">
        <v>105</v>
      </c>
      <c r="C743" s="1322">
        <v>88</v>
      </c>
      <c r="D743" s="1320" t="s">
        <v>5240</v>
      </c>
      <c r="E743" s="1320" t="s">
        <v>4067</v>
      </c>
      <c r="F743" s="1320">
        <f>+'Allocation Assignment'!F247</f>
        <v>28304.114763554495</v>
      </c>
      <c r="G743" s="1358">
        <f>+$F743*G$1936</f>
        <v>0</v>
      </c>
      <c r="H743" s="1358">
        <f>+$F743*H$1936</f>
        <v>28304.114763554495</v>
      </c>
      <c r="I743" s="1323">
        <f t="shared" si="350"/>
        <v>1</v>
      </c>
      <c r="J743" s="1364">
        <f t="shared" si="351"/>
        <v>28304.114763554495</v>
      </c>
      <c r="K743" s="1364">
        <f t="shared" ref="K743:Q743" si="355">+$J743*K$1936</f>
        <v>17616.934236500845</v>
      </c>
      <c r="L743" s="1364">
        <f t="shared" si="355"/>
        <v>1252.9605472171684</v>
      </c>
      <c r="M743" s="1364">
        <f t="shared" si="355"/>
        <v>8389.3531794825776</v>
      </c>
      <c r="N743" s="1367">
        <f t="shared" si="355"/>
        <v>882.39127739160563</v>
      </c>
      <c r="O743" s="1367">
        <f t="shared" si="355"/>
        <v>6.0247957420932305E-4</v>
      </c>
      <c r="P743" s="1367">
        <f t="shared" si="355"/>
        <v>162.47492048273088</v>
      </c>
      <c r="Q743" s="1364">
        <f t="shared" si="355"/>
        <v>0</v>
      </c>
      <c r="R743" s="1364"/>
      <c r="S743" s="1324">
        <v>105</v>
      </c>
      <c r="V743" s="1321" t="s">
        <v>5229</v>
      </c>
      <c r="W743" s="1321">
        <v>105</v>
      </c>
      <c r="Y743" s="1324"/>
    </row>
    <row r="744" spans="1:27">
      <c r="A744" s="1320" t="s">
        <v>4877</v>
      </c>
      <c r="B744" s="1320">
        <v>106</v>
      </c>
      <c r="C744" s="1322">
        <v>89</v>
      </c>
      <c r="D744" s="1324" t="s">
        <v>5241</v>
      </c>
      <c r="E744" s="1324" t="s">
        <v>4067</v>
      </c>
      <c r="F744" s="1320">
        <f>+'Allocation Assignment'!F248</f>
        <v>12442.559437223341</v>
      </c>
      <c r="G744" s="1364">
        <f>+$F744*G$1939</f>
        <v>0</v>
      </c>
      <c r="H744" s="1364">
        <f>+$F744*H$1939</f>
        <v>12442.559437223341</v>
      </c>
      <c r="I744" s="1323">
        <f t="shared" si="350"/>
        <v>1</v>
      </c>
      <c r="J744" s="1364">
        <f t="shared" si="351"/>
        <v>12442.559437223341</v>
      </c>
      <c r="K744" s="1364">
        <f t="shared" ref="K744:Q744" si="356">+$J744*K$1939</f>
        <v>9078.50522101571</v>
      </c>
      <c r="L744" s="1364">
        <f t="shared" si="356"/>
        <v>730.99984443075994</v>
      </c>
      <c r="M744" s="1364">
        <f t="shared" si="356"/>
        <v>2588.0443063121079</v>
      </c>
      <c r="N744" s="1367">
        <f t="shared" si="356"/>
        <v>0</v>
      </c>
      <c r="O744" s="1367">
        <f t="shared" si="356"/>
        <v>0</v>
      </c>
      <c r="P744" s="1367">
        <f t="shared" si="356"/>
        <v>45.010065464762285</v>
      </c>
      <c r="Q744" s="1364">
        <f t="shared" si="356"/>
        <v>0</v>
      </c>
      <c r="R744" s="1364"/>
      <c r="S744" s="1324">
        <v>106</v>
      </c>
      <c r="V744" s="1321" t="s">
        <v>5230</v>
      </c>
      <c r="W744" s="1321">
        <v>106</v>
      </c>
      <c r="Y744" s="1324"/>
    </row>
    <row r="745" spans="1:27">
      <c r="A745" s="1320" t="s">
        <v>4877</v>
      </c>
      <c r="B745" s="1320">
        <v>907</v>
      </c>
      <c r="C745" s="1322">
        <v>90</v>
      </c>
      <c r="D745" s="1320" t="s">
        <v>5242</v>
      </c>
      <c r="E745" s="1320" t="s">
        <v>4071</v>
      </c>
      <c r="F745" s="1320">
        <f>+'Allocation Assignment'!F249</f>
        <v>12136.7048712376</v>
      </c>
      <c r="G745" s="1358">
        <f>+$F745*G$2055</f>
        <v>0</v>
      </c>
      <c r="H745" s="1358">
        <f>+$F745*H$2055</f>
        <v>12136.7048712376</v>
      </c>
      <c r="I745" s="1323">
        <f t="shared" si="350"/>
        <v>1</v>
      </c>
      <c r="J745" s="1364">
        <f t="shared" si="351"/>
        <v>12136.7048712376</v>
      </c>
      <c r="K745" s="1364">
        <f t="shared" ref="K745:Q745" si="357">+$J745*K$2055</f>
        <v>4474.2778253614406</v>
      </c>
      <c r="L745" s="1364">
        <f t="shared" si="357"/>
        <v>678.68911572438731</v>
      </c>
      <c r="M745" s="1364">
        <f t="shared" si="357"/>
        <v>327.19550896731715</v>
      </c>
      <c r="N745" s="1367">
        <f t="shared" si="357"/>
        <v>21.09270474339408</v>
      </c>
      <c r="O745" s="1367">
        <f t="shared" si="357"/>
        <v>23.013026307213561</v>
      </c>
      <c r="P745" s="1367">
        <f t="shared" si="357"/>
        <v>5.2817641644741009</v>
      </c>
      <c r="Q745" s="1364">
        <f t="shared" si="357"/>
        <v>6607.1549259693747</v>
      </c>
      <c r="R745" s="1364"/>
      <c r="S745" s="1324">
        <v>907</v>
      </c>
      <c r="V745" s="1321" t="s">
        <v>5243</v>
      </c>
      <c r="W745" s="1321">
        <v>907</v>
      </c>
      <c r="Y745" s="1324"/>
    </row>
    <row r="746" spans="1:27">
      <c r="A746" s="1320" t="s">
        <v>4877</v>
      </c>
      <c r="B746" s="1324">
        <v>412</v>
      </c>
      <c r="C746" s="1322">
        <v>91</v>
      </c>
      <c r="D746" s="1324" t="s">
        <v>5244</v>
      </c>
      <c r="E746" s="1324" t="s">
        <v>4071</v>
      </c>
      <c r="F746" s="1320">
        <f>+'Allocation Assignment'!F250</f>
        <v>3707.9041377343915</v>
      </c>
      <c r="G746" s="1364">
        <f>+$F746*G$2021</f>
        <v>0</v>
      </c>
      <c r="H746" s="1364">
        <f>+$F746*H$2021</f>
        <v>3707.9041377343915</v>
      </c>
      <c r="I746" s="1323">
        <f t="shared" si="350"/>
        <v>1</v>
      </c>
      <c r="J746" s="1364">
        <f t="shared" si="351"/>
        <v>3707.9041377343915</v>
      </c>
      <c r="K746" s="1364">
        <f t="shared" ref="K746:Q746" si="358">+$J746*K$2021</f>
        <v>3307.0308100666962</v>
      </c>
      <c r="L746" s="1364">
        <f t="shared" si="358"/>
        <v>320.58686650485919</v>
      </c>
      <c r="M746" s="1364">
        <f t="shared" si="358"/>
        <v>78.957813106960074</v>
      </c>
      <c r="N746" s="1367">
        <f t="shared" si="358"/>
        <v>0.26658957755440421</v>
      </c>
      <c r="O746" s="1367">
        <f t="shared" si="358"/>
        <v>4.7298150856426559E-2</v>
      </c>
      <c r="P746" s="1367">
        <f t="shared" si="358"/>
        <v>1.0147603274651515</v>
      </c>
      <c r="Q746" s="1364">
        <f t="shared" si="358"/>
        <v>0</v>
      </c>
      <c r="R746" s="1364"/>
      <c r="S746" s="1324">
        <v>412</v>
      </c>
      <c r="V746" s="1321" t="s">
        <v>5245</v>
      </c>
      <c r="W746" s="1321">
        <v>412</v>
      </c>
      <c r="Y746" s="1324"/>
    </row>
    <row r="747" spans="1:27">
      <c r="A747" s="1320" t="s">
        <v>4877</v>
      </c>
      <c r="C747" s="1393">
        <v>92</v>
      </c>
      <c r="D747" s="1320" t="s">
        <v>5561</v>
      </c>
      <c r="F747" s="1427">
        <f>+SUM(F739:F746)</f>
        <v>182346.95199999996</v>
      </c>
      <c r="G747" s="1427">
        <f>SUM(G739:G746)</f>
        <v>1081.1706530462825</v>
      </c>
      <c r="H747" s="1427">
        <f>SUM(H739:H746)</f>
        <v>181265.78134695365</v>
      </c>
      <c r="I747" s="1323">
        <f t="shared" si="350"/>
        <v>0.99407080490686617</v>
      </c>
      <c r="J747" s="1421">
        <f t="shared" ref="J747:Q747" si="359">SUM(J739:J746)</f>
        <v>181265.78134695365</v>
      </c>
      <c r="K747" s="1421">
        <f t="shared" si="359"/>
        <v>105626.35366640468</v>
      </c>
      <c r="L747" s="1421">
        <f t="shared" si="359"/>
        <v>8929.6261336283096</v>
      </c>
      <c r="M747" s="1421">
        <f t="shared" si="359"/>
        <v>50156.581815533653</v>
      </c>
      <c r="N747" s="1422">
        <f t="shared" si="359"/>
        <v>5928.1876875366161</v>
      </c>
      <c r="O747" s="1422">
        <f>SUM(O739:O746)</f>
        <v>3645.1164416197298</v>
      </c>
      <c r="P747" s="1422">
        <f>SUM(P739:P746)</f>
        <v>372.76067626130788</v>
      </c>
      <c r="Q747" s="1421">
        <f t="shared" si="359"/>
        <v>6607.1549259693747</v>
      </c>
      <c r="R747" s="1364"/>
      <c r="S747" s="1326"/>
      <c r="V747" s="1320" t="s">
        <v>5562</v>
      </c>
      <c r="Y747" s="1324"/>
    </row>
    <row r="748" spans="1:27">
      <c r="A748" s="1320" t="s">
        <v>4877</v>
      </c>
      <c r="B748" s="1321"/>
      <c r="C748" s="1322">
        <v>93</v>
      </c>
      <c r="G748" s="1320"/>
      <c r="M748" s="1324"/>
      <c r="P748" s="1325"/>
      <c r="R748" s="1324"/>
      <c r="S748" s="1324"/>
      <c r="T748" s="1321"/>
      <c r="U748" s="1326"/>
    </row>
    <row r="749" spans="1:27">
      <c r="A749" s="1320" t="s">
        <v>4877</v>
      </c>
      <c r="C749" s="1322">
        <v>94</v>
      </c>
      <c r="D749" s="1356" t="s">
        <v>5563</v>
      </c>
      <c r="G749" s="1320"/>
      <c r="M749" s="1324"/>
      <c r="P749" s="1325"/>
    </row>
    <row r="750" spans="1:27">
      <c r="A750" s="1320" t="s">
        <v>4877</v>
      </c>
      <c r="B750" s="1320">
        <v>101</v>
      </c>
      <c r="C750" s="1322">
        <v>95</v>
      </c>
      <c r="D750" s="1320" t="s">
        <v>5265</v>
      </c>
      <c r="E750" s="1320" t="s">
        <v>4067</v>
      </c>
      <c r="F750" s="1320">
        <f>+'Allocation Assignment'!F251</f>
        <v>4071.9547618950883</v>
      </c>
      <c r="G750" s="1358">
        <f>+$F750*G$1933</f>
        <v>0</v>
      </c>
      <c r="H750" s="1358">
        <f>+$F750*H$1933</f>
        <v>4071.9547618950883</v>
      </c>
      <c r="I750" s="1323">
        <f t="shared" ref="I750:I758" si="360">IF(F750=0,0,+H750/F750)</f>
        <v>1</v>
      </c>
      <c r="J750" s="1364">
        <f t="shared" ref="J750:J757" si="361">+H750</f>
        <v>4071.9547618950883</v>
      </c>
      <c r="K750" s="1324">
        <f t="shared" ref="K750:Q750" si="362">$J750*K$1951</f>
        <v>2338.176146295064</v>
      </c>
      <c r="L750" s="1324">
        <f t="shared" si="362"/>
        <v>194.4442380801878</v>
      </c>
      <c r="M750" s="1324">
        <f t="shared" si="362"/>
        <v>1258.4256704118293</v>
      </c>
      <c r="N750" s="1324">
        <f t="shared" si="362"/>
        <v>160.83531760353296</v>
      </c>
      <c r="O750" s="1324">
        <f t="shared" si="362"/>
        <v>115.75368268468962</v>
      </c>
      <c r="P750" s="1324">
        <f t="shared" si="362"/>
        <v>4.31970681978469</v>
      </c>
      <c r="Q750" s="1324">
        <f t="shared" si="362"/>
        <v>0</v>
      </c>
      <c r="R750" s="1324"/>
      <c r="S750" s="1324">
        <v>122</v>
      </c>
      <c r="V750" s="1326" t="s">
        <v>9476</v>
      </c>
      <c r="W750" s="1321">
        <v>122</v>
      </c>
    </row>
    <row r="751" spans="1:27">
      <c r="A751" s="1320" t="s">
        <v>4877</v>
      </c>
      <c r="B751" s="1324">
        <v>101</v>
      </c>
      <c r="C751" s="1322">
        <v>96</v>
      </c>
      <c r="D751" s="1324" t="s">
        <v>5265</v>
      </c>
      <c r="E751" s="1324" t="s">
        <v>2067</v>
      </c>
      <c r="F751" s="1320">
        <f>+'Allocation Assignment'!F252</f>
        <v>306.23478931100033</v>
      </c>
      <c r="G751" s="1364">
        <f>+$F751*G$1933</f>
        <v>0</v>
      </c>
      <c r="H751" s="1364">
        <f>+$F751*H$1933</f>
        <v>306.23478931100033</v>
      </c>
      <c r="I751" s="1374">
        <f t="shared" si="360"/>
        <v>1</v>
      </c>
      <c r="J751" s="1364">
        <f t="shared" si="361"/>
        <v>306.23478931100033</v>
      </c>
      <c r="K751" s="1364">
        <f t="shared" ref="K751:Q751" si="363">+$J751*K$1969</f>
        <v>154.5365433898273</v>
      </c>
      <c r="L751" s="1364">
        <f t="shared" si="363"/>
        <v>14.280985661906657</v>
      </c>
      <c r="M751" s="1364">
        <f t="shared" si="363"/>
        <v>106.38779626352472</v>
      </c>
      <c r="N751" s="1367">
        <f t="shared" si="363"/>
        <v>16.935226581095836</v>
      </c>
      <c r="O751" s="1367">
        <f t="shared" si="363"/>
        <v>12.476382348414344</v>
      </c>
      <c r="P751" s="1367">
        <f t="shared" si="363"/>
        <v>1.6178550662314581</v>
      </c>
      <c r="Q751" s="1364">
        <f t="shared" si="363"/>
        <v>0</v>
      </c>
      <c r="R751" s="1364"/>
      <c r="S751" s="1324">
        <v>201</v>
      </c>
      <c r="V751" s="1326" t="s">
        <v>5235</v>
      </c>
      <c r="W751" s="1321">
        <v>201</v>
      </c>
    </row>
    <row r="752" spans="1:27">
      <c r="A752" s="1320" t="s">
        <v>4877</v>
      </c>
      <c r="B752" s="1320">
        <v>117</v>
      </c>
      <c r="C752" s="1322">
        <v>97</v>
      </c>
      <c r="D752" s="1320" t="s">
        <v>5268</v>
      </c>
      <c r="E752" s="1320" t="s">
        <v>4067</v>
      </c>
      <c r="F752" s="1320">
        <f>+'Allocation Assignment'!F253</f>
        <v>321.21095610523673</v>
      </c>
      <c r="G752" s="1358">
        <f>+$F752*G$1942</f>
        <v>20.8102479484605</v>
      </c>
      <c r="H752" s="1358">
        <f>+$F752*H$1942</f>
        <v>300.4007081567762</v>
      </c>
      <c r="I752" s="1323">
        <f t="shared" si="360"/>
        <v>0.93521314403222733</v>
      </c>
      <c r="J752" s="1364">
        <f t="shared" si="361"/>
        <v>300.4007081567762</v>
      </c>
      <c r="K752" s="1364">
        <f t="shared" ref="K752:Q753" si="364">+$J752*K$1945</f>
        <v>174.23632799332907</v>
      </c>
      <c r="L752" s="1364">
        <f t="shared" si="364"/>
        <v>14.372739615127262</v>
      </c>
      <c r="M752" s="1364">
        <f t="shared" si="364"/>
        <v>91.877703672850203</v>
      </c>
      <c r="N752" s="1367">
        <f t="shared" si="364"/>
        <v>11.469713088091581</v>
      </c>
      <c r="O752" s="1367">
        <f t="shared" si="364"/>
        <v>8.2312419057397097</v>
      </c>
      <c r="P752" s="1367">
        <f t="shared" si="364"/>
        <v>0.21298188163839027</v>
      </c>
      <c r="Q752" s="1364">
        <f t="shared" si="364"/>
        <v>0</v>
      </c>
      <c r="R752" s="1358"/>
      <c r="S752" s="1320">
        <v>118</v>
      </c>
      <c r="V752" s="1326" t="s">
        <v>9477</v>
      </c>
      <c r="W752" s="1321">
        <v>117</v>
      </c>
    </row>
    <row r="753" spans="1:23">
      <c r="A753" s="1320" t="s">
        <v>4877</v>
      </c>
      <c r="B753" s="1320">
        <v>117</v>
      </c>
      <c r="C753" s="1322">
        <v>98</v>
      </c>
      <c r="D753" s="1320" t="s">
        <v>5239</v>
      </c>
      <c r="E753" s="1320" t="s">
        <v>4067</v>
      </c>
      <c r="F753" s="1320">
        <f>+'Allocation Assignment'!F254</f>
        <v>348.68343396836536</v>
      </c>
      <c r="G753" s="1358">
        <f>+$F753*G$1942</f>
        <v>22.590103414856834</v>
      </c>
      <c r="H753" s="1358">
        <f>+$F753*H$1942</f>
        <v>326.09333055350851</v>
      </c>
      <c r="I753" s="1323">
        <f t="shared" si="360"/>
        <v>0.93521314403222733</v>
      </c>
      <c r="J753" s="1364">
        <f t="shared" si="361"/>
        <v>326.09333055350851</v>
      </c>
      <c r="K753" s="1364">
        <f t="shared" si="364"/>
        <v>189.13838401840846</v>
      </c>
      <c r="L753" s="1364">
        <f t="shared" si="364"/>
        <v>15.602008926787141</v>
      </c>
      <c r="M753" s="1364">
        <f t="shared" si="364"/>
        <v>99.73580481258999</v>
      </c>
      <c r="N753" s="1367">
        <f t="shared" si="364"/>
        <v>12.450692824056123</v>
      </c>
      <c r="O753" s="1367">
        <f t="shared" si="364"/>
        <v>8.9352422106589628</v>
      </c>
      <c r="P753" s="1367">
        <f t="shared" si="364"/>
        <v>0.23119776100783862</v>
      </c>
      <c r="Q753" s="1364">
        <f t="shared" si="364"/>
        <v>0</v>
      </c>
      <c r="R753" s="1358"/>
      <c r="S753" s="1320">
        <v>118</v>
      </c>
      <c r="V753" s="1326" t="s">
        <v>9477</v>
      </c>
      <c r="W753" s="1321">
        <v>117</v>
      </c>
    </row>
    <row r="754" spans="1:23">
      <c r="A754" s="1320" t="s">
        <v>4877</v>
      </c>
      <c r="B754" s="1320">
        <v>105</v>
      </c>
      <c r="C754" s="1322">
        <v>99</v>
      </c>
      <c r="D754" s="1320" t="s">
        <v>5240</v>
      </c>
      <c r="E754" s="1320" t="s">
        <v>4067</v>
      </c>
      <c r="F754" s="1320">
        <f>+'Allocation Assignment'!F255</f>
        <v>1136.1837488881017</v>
      </c>
      <c r="G754" s="1358">
        <f>+$F754*G$1936</f>
        <v>0</v>
      </c>
      <c r="H754" s="1358">
        <f>+$F754*H$1936</f>
        <v>1136.1837488881017</v>
      </c>
      <c r="I754" s="1323">
        <f t="shared" si="360"/>
        <v>1</v>
      </c>
      <c r="J754" s="1364">
        <f t="shared" si="361"/>
        <v>1136.1837488881017</v>
      </c>
      <c r="K754" s="1364">
        <f t="shared" ref="K754:Q754" si="365">+$J754*K$1936</f>
        <v>707.17895796960852</v>
      </c>
      <c r="L754" s="1364">
        <f t="shared" si="365"/>
        <v>50.296341137620217</v>
      </c>
      <c r="M754" s="1364">
        <f t="shared" si="365"/>
        <v>336.76540763904814</v>
      </c>
      <c r="N754" s="1367">
        <f t="shared" si="365"/>
        <v>35.420949848037282</v>
      </c>
      <c r="O754" s="1367">
        <f t="shared" si="365"/>
        <v>2.4184734515529909E-5</v>
      </c>
      <c r="P754" s="1367">
        <f t="shared" si="365"/>
        <v>6.5220681090533681</v>
      </c>
      <c r="Q754" s="1364">
        <f t="shared" si="365"/>
        <v>0</v>
      </c>
      <c r="R754" s="1358"/>
      <c r="S754" s="1320">
        <v>105</v>
      </c>
      <c r="V754" s="1326" t="s">
        <v>5229</v>
      </c>
      <c r="W754" s="1321">
        <v>105</v>
      </c>
    </row>
    <row r="755" spans="1:23">
      <c r="A755" s="1320" t="s">
        <v>4877</v>
      </c>
      <c r="B755" s="1320">
        <v>106</v>
      </c>
      <c r="C755" s="1322">
        <v>100</v>
      </c>
      <c r="D755" s="1320" t="s">
        <v>5241</v>
      </c>
      <c r="E755" s="1320" t="s">
        <v>4067</v>
      </c>
      <c r="F755" s="1320">
        <f>+'Allocation Assignment'!F256</f>
        <v>499.46920952111361</v>
      </c>
      <c r="G755" s="1358">
        <f>+$F755*G$1939</f>
        <v>0</v>
      </c>
      <c r="H755" s="1358">
        <f>+$F755*H$1939</f>
        <v>499.46920952111361</v>
      </c>
      <c r="I755" s="1323">
        <f t="shared" si="360"/>
        <v>1</v>
      </c>
      <c r="J755" s="1364">
        <f t="shared" si="361"/>
        <v>499.46920952111361</v>
      </c>
      <c r="K755" s="1364">
        <f t="shared" ref="K755:Q755" si="366">+$J755*K$1939</f>
        <v>364.42934825842514</v>
      </c>
      <c r="L755" s="1364">
        <f t="shared" si="366"/>
        <v>29.343795084925585</v>
      </c>
      <c r="M755" s="1364">
        <f t="shared" si="366"/>
        <v>103.88927217114363</v>
      </c>
      <c r="N755" s="1367">
        <f t="shared" si="366"/>
        <v>0</v>
      </c>
      <c r="O755" s="1367">
        <f t="shared" si="366"/>
        <v>0</v>
      </c>
      <c r="P755" s="1367">
        <f t="shared" si="366"/>
        <v>1.8067940066192076</v>
      </c>
      <c r="Q755" s="1364">
        <f t="shared" si="366"/>
        <v>0</v>
      </c>
      <c r="R755" s="1358"/>
      <c r="S755" s="1320">
        <v>106</v>
      </c>
      <c r="V755" s="1326" t="s">
        <v>5230</v>
      </c>
      <c r="W755" s="1321">
        <v>106</v>
      </c>
    </row>
    <row r="756" spans="1:23">
      <c r="A756" s="1320" t="s">
        <v>4877</v>
      </c>
      <c r="B756" s="1320">
        <v>907</v>
      </c>
      <c r="C756" s="1322">
        <v>101</v>
      </c>
      <c r="D756" s="1320" t="s">
        <v>5242</v>
      </c>
      <c r="E756" s="1320" t="s">
        <v>4071</v>
      </c>
      <c r="F756" s="1320">
        <f>+'Allocation Assignment'!F257</f>
        <v>487.19159581373538</v>
      </c>
      <c r="G756" s="1358">
        <f>+$F756*G$2055</f>
        <v>0</v>
      </c>
      <c r="H756" s="1358">
        <f>+$F756*H$2055</f>
        <v>487.19159581373538</v>
      </c>
      <c r="I756" s="1323">
        <f t="shared" si="360"/>
        <v>1</v>
      </c>
      <c r="J756" s="1364">
        <f t="shared" si="361"/>
        <v>487.19159581373538</v>
      </c>
      <c r="K756" s="1364">
        <f t="shared" ref="K756:Q756" si="367">+$J756*K$2055</f>
        <v>179.60645636343705</v>
      </c>
      <c r="L756" s="1364">
        <f t="shared" si="367"/>
        <v>27.243937861155231</v>
      </c>
      <c r="M756" s="1364">
        <f t="shared" si="367"/>
        <v>13.134281820978284</v>
      </c>
      <c r="N756" s="1367">
        <f t="shared" si="367"/>
        <v>0.84670333447057178</v>
      </c>
      <c r="O756" s="1367">
        <f t="shared" si="367"/>
        <v>0.92378888092477507</v>
      </c>
      <c r="P756" s="1367">
        <f t="shared" si="367"/>
        <v>0.21202057224775719</v>
      </c>
      <c r="Q756" s="1364">
        <f t="shared" si="367"/>
        <v>265.22440698052179</v>
      </c>
      <c r="R756" s="1358"/>
      <c r="S756" s="1320">
        <v>907</v>
      </c>
      <c r="T756" s="1324"/>
      <c r="V756" s="1326" t="s">
        <v>5243</v>
      </c>
      <c r="W756" s="1321">
        <v>907</v>
      </c>
    </row>
    <row r="757" spans="1:23">
      <c r="A757" s="1320" t="s">
        <v>4877</v>
      </c>
      <c r="B757" s="1320">
        <v>412</v>
      </c>
      <c r="C757" s="1322">
        <v>102</v>
      </c>
      <c r="D757" s="1324" t="s">
        <v>5244</v>
      </c>
      <c r="E757" s="1324" t="s">
        <v>4071</v>
      </c>
      <c r="F757" s="1320">
        <f>+'Allocation Assignment'!F258</f>
        <v>148.84268449735839</v>
      </c>
      <c r="G757" s="1364">
        <f>+$F757*G$2021</f>
        <v>0</v>
      </c>
      <c r="H757" s="1364">
        <f>+$F757*H$2021</f>
        <v>148.84268449735839</v>
      </c>
      <c r="I757" s="1323">
        <f t="shared" si="360"/>
        <v>1</v>
      </c>
      <c r="J757" s="1364">
        <f t="shared" si="361"/>
        <v>148.84268449735839</v>
      </c>
      <c r="K757" s="1364">
        <f t="shared" ref="K757:Q757" si="368">+$J757*K$2021</f>
        <v>132.7508277456607</v>
      </c>
      <c r="L757" s="1364">
        <f t="shared" si="368"/>
        <v>12.868997701309402</v>
      </c>
      <c r="M757" s="1364">
        <f t="shared" si="368"/>
        <v>3.1695244613474687</v>
      </c>
      <c r="N757" s="1367">
        <f t="shared" si="368"/>
        <v>1.0701438577767416E-2</v>
      </c>
      <c r="O757" s="1367">
        <f t="shared" si="368"/>
        <v>1.8986423283135739E-3</v>
      </c>
      <c r="P757" s="1367">
        <f t="shared" si="368"/>
        <v>4.0734508134727579E-2</v>
      </c>
      <c r="Q757" s="1364">
        <f t="shared" si="368"/>
        <v>0</v>
      </c>
      <c r="R757" s="1358"/>
      <c r="S757" s="1320">
        <v>412</v>
      </c>
      <c r="V757" s="1326" t="s">
        <v>5245</v>
      </c>
      <c r="W757" s="1321">
        <v>412</v>
      </c>
    </row>
    <row r="758" spans="1:23">
      <c r="A758" s="1320" t="s">
        <v>4877</v>
      </c>
      <c r="C758" s="1322">
        <v>103</v>
      </c>
      <c r="D758" s="1320" t="s">
        <v>5564</v>
      </c>
      <c r="F758" s="1427">
        <f>+SUM(F750:F757)</f>
        <v>7319.7711799999997</v>
      </c>
      <c r="G758" s="1427">
        <f>SUM(G750:G757)</f>
        <v>43.400351363317334</v>
      </c>
      <c r="H758" s="1427">
        <f>SUM(H750:H757)</f>
        <v>7276.3708286366818</v>
      </c>
      <c r="I758" s="1323">
        <f t="shared" si="360"/>
        <v>0.99407080490686628</v>
      </c>
      <c r="J758" s="1421">
        <f t="shared" ref="J758:Q758" si="369">SUM(J750:J757)</f>
        <v>7276.3708286366818</v>
      </c>
      <c r="K758" s="1421">
        <f t="shared" si="369"/>
        <v>4240.0529920337613</v>
      </c>
      <c r="L758" s="1421">
        <f t="shared" si="369"/>
        <v>358.45304406901937</v>
      </c>
      <c r="M758" s="1421">
        <f t="shared" si="369"/>
        <v>2013.3854612533116</v>
      </c>
      <c r="N758" s="1422">
        <f t="shared" si="369"/>
        <v>237.96930471786212</v>
      </c>
      <c r="O758" s="1422">
        <f>SUM(O750:O757)</f>
        <v>146.32226085749025</v>
      </c>
      <c r="P758" s="1422">
        <f>SUM(P750:P757)</f>
        <v>14.963358724717439</v>
      </c>
      <c r="Q758" s="1421">
        <f t="shared" si="369"/>
        <v>265.22440698052179</v>
      </c>
      <c r="R758" s="1358"/>
      <c r="V758" s="1320" t="s">
        <v>5565</v>
      </c>
    </row>
    <row r="759" spans="1:23">
      <c r="A759" s="1320" t="s">
        <v>4877</v>
      </c>
      <c r="C759" s="1322">
        <v>104</v>
      </c>
      <c r="G759" s="1320"/>
      <c r="I759" s="1320"/>
      <c r="K759" s="1320"/>
      <c r="L759" s="1320"/>
      <c r="M759" s="1320"/>
      <c r="N759" s="1320"/>
      <c r="O759" s="1324"/>
      <c r="Q759" s="1320"/>
      <c r="V759" s="1324"/>
    </row>
    <row r="760" spans="1:23">
      <c r="A760" s="1320" t="s">
        <v>4877</v>
      </c>
      <c r="C760" s="1322">
        <v>105</v>
      </c>
      <c r="D760" s="1356" t="s">
        <v>5566</v>
      </c>
      <c r="G760" s="1320"/>
      <c r="M760" s="1324"/>
      <c r="P760" s="1325"/>
      <c r="V760" s="1324"/>
    </row>
    <row r="761" spans="1:23">
      <c r="A761" s="1320" t="s">
        <v>4877</v>
      </c>
      <c r="C761" s="1322">
        <v>106</v>
      </c>
      <c r="D761" s="1320" t="s">
        <v>5354</v>
      </c>
      <c r="E761" s="1320" t="s">
        <v>4777</v>
      </c>
      <c r="F761" s="1324">
        <f>F712</f>
        <v>1782281.2948316957</v>
      </c>
      <c r="G761" s="1324">
        <f>G712</f>
        <v>7929.0305824175994</v>
      </c>
      <c r="H761" s="1324">
        <f>H712</f>
        <v>1774352.2642492782</v>
      </c>
      <c r="I761" s="1374">
        <f>IF(F761=0,0,+H761/F761)</f>
        <v>0.99555119014859761</v>
      </c>
      <c r="J761" s="1324">
        <f t="shared" ref="J761:Q761" si="370">J712</f>
        <v>1774352.2642492782</v>
      </c>
      <c r="K761" s="1324">
        <f t="shared" si="370"/>
        <v>1031095.7438643834</v>
      </c>
      <c r="L761" s="1324">
        <f t="shared" si="370"/>
        <v>95215.926359999998</v>
      </c>
      <c r="M761" s="1324">
        <f t="shared" si="370"/>
        <v>472409.06597747206</v>
      </c>
      <c r="N761" s="1324">
        <f t="shared" si="370"/>
        <v>56248.638876056888</v>
      </c>
      <c r="O761" s="1324">
        <f t="shared" si="370"/>
        <v>33101.5829713657</v>
      </c>
      <c r="P761" s="1324">
        <f t="shared" si="370"/>
        <v>3573.4600599999999</v>
      </c>
      <c r="Q761" s="1324">
        <f t="shared" si="370"/>
        <v>82707.846140000009</v>
      </c>
      <c r="R761" s="1358"/>
      <c r="V761" s="1324" t="s">
        <v>5567</v>
      </c>
    </row>
    <row r="762" spans="1:23" ht="17.399999999999999">
      <c r="A762" s="1320" t="s">
        <v>4877</v>
      </c>
      <c r="C762" s="1322">
        <v>107</v>
      </c>
      <c r="D762" s="1320" t="s">
        <v>5265</v>
      </c>
      <c r="E762" s="1320" t="s">
        <v>4067</v>
      </c>
      <c r="F762" s="1324">
        <f t="shared" ref="F762:H769" si="371">F713-F739+F750</f>
        <v>-596886.46302785096</v>
      </c>
      <c r="G762" s="1324">
        <f t="shared" si="371"/>
        <v>0</v>
      </c>
      <c r="H762" s="1324">
        <f t="shared" si="371"/>
        <v>-596886.46302785096</v>
      </c>
      <c r="I762" s="1374">
        <f t="shared" ref="I762:I770" si="372">IF(F762=0,0,+H762/F762)</f>
        <v>1</v>
      </c>
      <c r="J762" s="1324">
        <f t="shared" ref="J762:Q769" si="373">J713-J739+J750</f>
        <v>-596886.46302785096</v>
      </c>
      <c r="K762" s="1324">
        <f t="shared" si="373"/>
        <v>-342740.96140710264</v>
      </c>
      <c r="L762" s="1324">
        <f t="shared" si="373"/>
        <v>-28502.559657566981</v>
      </c>
      <c r="M762" s="1324">
        <f t="shared" si="373"/>
        <v>-184466.00989397772</v>
      </c>
      <c r="N762" s="1324">
        <f t="shared" si="373"/>
        <v>-23576.004515741533</v>
      </c>
      <c r="O762" s="1324">
        <f t="shared" si="373"/>
        <v>-16967.724417438589</v>
      </c>
      <c r="P762" s="1324">
        <f t="shared" si="373"/>
        <v>-633.20313602369083</v>
      </c>
      <c r="Q762" s="1324">
        <f t="shared" si="373"/>
        <v>0</v>
      </c>
      <c r="T762" s="1443"/>
      <c r="V762" s="1324" t="s">
        <v>5568</v>
      </c>
    </row>
    <row r="763" spans="1:23">
      <c r="A763" s="1320" t="s">
        <v>4877</v>
      </c>
      <c r="C763" s="1322">
        <v>108</v>
      </c>
      <c r="D763" s="1320" t="s">
        <v>5265</v>
      </c>
      <c r="E763" s="1320" t="s">
        <v>2067</v>
      </c>
      <c r="F763" s="1324">
        <f t="shared" si="371"/>
        <v>-85243.626153427089</v>
      </c>
      <c r="G763" s="1324">
        <f t="shared" si="371"/>
        <v>-1.84900420208578E-3</v>
      </c>
      <c r="H763" s="1324">
        <f t="shared" si="371"/>
        <v>-85243.62430442289</v>
      </c>
      <c r="I763" s="1374">
        <f t="shared" si="372"/>
        <v>0.99999997830917942</v>
      </c>
      <c r="J763" s="1324">
        <f t="shared" si="373"/>
        <v>-85243.62430442289</v>
      </c>
      <c r="K763" s="1324">
        <f t="shared" si="373"/>
        <v>-43129.616339352549</v>
      </c>
      <c r="L763" s="1324">
        <f t="shared" si="373"/>
        <v>-3974.092672302063</v>
      </c>
      <c r="M763" s="1324">
        <f t="shared" si="373"/>
        <v>-29529.91838237632</v>
      </c>
      <c r="N763" s="1324">
        <f t="shared" si="373"/>
        <v>-4691.7671289516138</v>
      </c>
      <c r="O763" s="1324">
        <f t="shared" si="373"/>
        <v>-3468.2152771233027</v>
      </c>
      <c r="P763" s="1324">
        <f t="shared" si="373"/>
        <v>-450.01450431703381</v>
      </c>
      <c r="Q763" s="1324">
        <f t="shared" si="373"/>
        <v>0</v>
      </c>
      <c r="V763" s="1324" t="s">
        <v>5569</v>
      </c>
    </row>
    <row r="764" spans="1:23">
      <c r="A764" s="1320" t="s">
        <v>4877</v>
      </c>
      <c r="C764" s="1322">
        <v>109</v>
      </c>
      <c r="D764" s="1324" t="s">
        <v>5268</v>
      </c>
      <c r="E764" s="1324" t="s">
        <v>4067</v>
      </c>
      <c r="F764" s="1324">
        <f t="shared" si="371"/>
        <v>-30281.824535962482</v>
      </c>
      <c r="G764" s="1324">
        <f t="shared" si="371"/>
        <v>-2464.7213815619912</v>
      </c>
      <c r="H764" s="1324">
        <f t="shared" si="371"/>
        <v>-27816.961847790335</v>
      </c>
      <c r="I764" s="1374">
        <f t="shared" si="372"/>
        <v>0.91860257015739277</v>
      </c>
      <c r="J764" s="1324">
        <f t="shared" si="373"/>
        <v>-27816.961847790335</v>
      </c>
      <c r="K764" s="1324">
        <f t="shared" si="373"/>
        <v>-16134.200608342306</v>
      </c>
      <c r="L764" s="1324">
        <f t="shared" si="373"/>
        <v>-1330.9088116848409</v>
      </c>
      <c r="M764" s="1324">
        <f t="shared" si="373"/>
        <v>-8507.8314009713813</v>
      </c>
      <c r="N764" s="1324">
        <f t="shared" si="373"/>
        <v>-1062.0899442421905</v>
      </c>
      <c r="O764" s="1324">
        <f t="shared" si="373"/>
        <v>-762.20906221165853</v>
      </c>
      <c r="P764" s="1324">
        <f t="shared" si="373"/>
        <v>-19.722020337960572</v>
      </c>
      <c r="Q764" s="1324">
        <f t="shared" si="373"/>
        <v>0</v>
      </c>
      <c r="V764" s="1324" t="s">
        <v>5570</v>
      </c>
    </row>
    <row r="765" spans="1:23">
      <c r="A765" s="1320" t="s">
        <v>4877</v>
      </c>
      <c r="C765" s="1322">
        <v>110</v>
      </c>
      <c r="D765" s="1320" t="s">
        <v>5239</v>
      </c>
      <c r="E765" s="1320" t="s">
        <v>4067</v>
      </c>
      <c r="F765" s="1324">
        <f t="shared" si="371"/>
        <v>-41488.661859791951</v>
      </c>
      <c r="G765" s="1324">
        <f t="shared" si="371"/>
        <v>-3187.5736425857144</v>
      </c>
      <c r="H765" s="1324">
        <f t="shared" si="371"/>
        <v>-38301.229523816386</v>
      </c>
      <c r="I765" s="1374">
        <f t="shared" si="372"/>
        <v>0.92317341188907776</v>
      </c>
      <c r="J765" s="1324">
        <f t="shared" si="373"/>
        <v>-38301.229523816386</v>
      </c>
      <c r="K765" s="1324">
        <f t="shared" si="373"/>
        <v>-22215.212576584985</v>
      </c>
      <c r="L765" s="1324">
        <f t="shared" si="373"/>
        <v>-1832.530962602593</v>
      </c>
      <c r="M765" s="1324">
        <f t="shared" si="373"/>
        <v>-11714.449803022691</v>
      </c>
      <c r="N765" s="1324">
        <f t="shared" si="373"/>
        <v>-1462.3937348711174</v>
      </c>
      <c r="O765" s="1324">
        <f t="shared" si="373"/>
        <v>-1049.4871581103525</v>
      </c>
      <c r="P765" s="1324">
        <f t="shared" si="373"/>
        <v>-27.155288624649241</v>
      </c>
      <c r="Q765" s="1324">
        <f t="shared" si="373"/>
        <v>0</v>
      </c>
      <c r="R765" s="1324"/>
      <c r="S765" s="1324"/>
      <c r="T765" s="1324"/>
      <c r="V765" s="1324" t="s">
        <v>5571</v>
      </c>
    </row>
    <row r="766" spans="1:23">
      <c r="A766" s="1320" t="s">
        <v>4877</v>
      </c>
      <c r="C766" s="1322">
        <v>111</v>
      </c>
      <c r="D766" s="1320" t="s">
        <v>5240</v>
      </c>
      <c r="E766" s="1320" t="s">
        <v>4067</v>
      </c>
      <c r="F766" s="1324">
        <f t="shared" si="371"/>
        <v>-164198.97823807606</v>
      </c>
      <c r="G766" s="1324">
        <f t="shared" si="371"/>
        <v>0</v>
      </c>
      <c r="H766" s="1324">
        <f t="shared" si="371"/>
        <v>-164198.97823807606</v>
      </c>
      <c r="I766" s="1374">
        <f t="shared" si="372"/>
        <v>1</v>
      </c>
      <c r="J766" s="1324">
        <f t="shared" si="373"/>
        <v>-164198.97823807606</v>
      </c>
      <c r="K766" s="1324">
        <f t="shared" si="373"/>
        <v>-102200.07322205861</v>
      </c>
      <c r="L766" s="1324">
        <f t="shared" si="373"/>
        <v>-7268.7255314054928</v>
      </c>
      <c r="M766" s="1324">
        <f t="shared" si="373"/>
        <v>-48668.655835269135</v>
      </c>
      <c r="N766" s="1324">
        <f t="shared" si="373"/>
        <v>-5118.9640574965297</v>
      </c>
      <c r="O766" s="1324">
        <f t="shared" si="373"/>
        <v>-3.4951289351703631E-3</v>
      </c>
      <c r="P766" s="1324">
        <f t="shared" si="373"/>
        <v>-942.55609671739307</v>
      </c>
      <c r="Q766" s="1324">
        <f t="shared" si="373"/>
        <v>0</v>
      </c>
      <c r="V766" s="1324" t="s">
        <v>5572</v>
      </c>
    </row>
    <row r="767" spans="1:23">
      <c r="A767" s="1320" t="s">
        <v>4877</v>
      </c>
      <c r="C767" s="1322">
        <v>112</v>
      </c>
      <c r="D767" s="1324" t="s">
        <v>5241</v>
      </c>
      <c r="E767" s="1324" t="s">
        <v>4067</v>
      </c>
      <c r="F767" s="1324">
        <f t="shared" si="371"/>
        <v>-72565.890967504587</v>
      </c>
      <c r="G767" s="1324">
        <f t="shared" si="371"/>
        <v>0</v>
      </c>
      <c r="H767" s="1324">
        <f t="shared" si="371"/>
        <v>-72565.890967504587</v>
      </c>
      <c r="I767" s="1374">
        <f t="shared" si="372"/>
        <v>1</v>
      </c>
      <c r="J767" s="1324">
        <f t="shared" si="373"/>
        <v>-72565.890967504587</v>
      </c>
      <c r="K767" s="1324">
        <f t="shared" si="373"/>
        <v>-52946.487685266904</v>
      </c>
      <c r="L767" s="1324">
        <f t="shared" si="373"/>
        <v>-4263.2430470481168</v>
      </c>
      <c r="M767" s="1324">
        <f t="shared" si="373"/>
        <v>-15093.658334400161</v>
      </c>
      <c r="N767" s="1324">
        <f t="shared" si="373"/>
        <v>0</v>
      </c>
      <c r="O767" s="1324">
        <f t="shared" si="373"/>
        <v>0</v>
      </c>
      <c r="P767" s="1324">
        <f t="shared" si="373"/>
        <v>-262.50190078939755</v>
      </c>
      <c r="Q767" s="1324">
        <f t="shared" si="373"/>
        <v>0</v>
      </c>
      <c r="V767" s="1324" t="s">
        <v>5573</v>
      </c>
    </row>
    <row r="768" spans="1:23">
      <c r="A768" s="1320" t="s">
        <v>4877</v>
      </c>
      <c r="C768" s="1322">
        <v>113</v>
      </c>
      <c r="D768" s="1320" t="s">
        <v>5242</v>
      </c>
      <c r="E768" s="1320" t="s">
        <v>4071</v>
      </c>
      <c r="F768" s="1324">
        <f t="shared" si="371"/>
        <v>-106010.13207956245</v>
      </c>
      <c r="G768" s="1324">
        <f t="shared" si="371"/>
        <v>0</v>
      </c>
      <c r="H768" s="1324">
        <f t="shared" si="371"/>
        <v>-106010.13207956245</v>
      </c>
      <c r="I768" s="1374">
        <f t="shared" si="372"/>
        <v>1</v>
      </c>
      <c r="J768" s="1324">
        <f t="shared" si="373"/>
        <v>-106010.13207956245</v>
      </c>
      <c r="K768" s="1324">
        <f t="shared" si="373"/>
        <v>-47927.633318900182</v>
      </c>
      <c r="L768" s="1324">
        <f t="shared" si="373"/>
        <v>-9052.7007346281462</v>
      </c>
      <c r="M768" s="1324">
        <f t="shared" si="373"/>
        <v>-5113.6278433064153</v>
      </c>
      <c r="N768" s="1324">
        <f t="shared" si="373"/>
        <v>-379.38255584158208</v>
      </c>
      <c r="O768" s="1324">
        <f t="shared" si="373"/>
        <v>-413.92229419105598</v>
      </c>
      <c r="P768" s="1324">
        <f t="shared" si="373"/>
        <v>-85.774327870001329</v>
      </c>
      <c r="Q768" s="1324">
        <f t="shared" si="373"/>
        <v>-43037.091004825073</v>
      </c>
      <c r="V768" s="1324" t="s">
        <v>5574</v>
      </c>
    </row>
    <row r="769" spans="1:22">
      <c r="A769" s="1320" t="s">
        <v>4877</v>
      </c>
      <c r="C769" s="1322">
        <v>114</v>
      </c>
      <c r="D769" s="1320" t="s">
        <v>5244</v>
      </c>
      <c r="E769" s="1320" t="s">
        <v>4071</v>
      </c>
      <c r="F769" s="1324">
        <f t="shared" si="371"/>
        <v>-67662.869841152235</v>
      </c>
      <c r="G769" s="1324">
        <f t="shared" si="371"/>
        <v>0</v>
      </c>
      <c r="H769" s="1324">
        <f t="shared" si="371"/>
        <v>-67662.869841152235</v>
      </c>
      <c r="I769" s="1374">
        <f t="shared" si="372"/>
        <v>1</v>
      </c>
      <c r="J769" s="1324">
        <f t="shared" si="373"/>
        <v>-67662.869841152235</v>
      </c>
      <c r="K769" s="1324">
        <f t="shared" si="373"/>
        <v>-58517.924629586007</v>
      </c>
      <c r="L769" s="1324">
        <f t="shared" si="373"/>
        <v>-5661.5593916459893</v>
      </c>
      <c r="M769" s="1324">
        <f t="shared" si="373"/>
        <v>-2881.0217912566018</v>
      </c>
      <c r="N769" s="1324">
        <f t="shared" si="373"/>
        <v>-191.09885234720335</v>
      </c>
      <c r="O769" s="1324">
        <f t="shared" si="373"/>
        <v>-109.74499128950764</v>
      </c>
      <c r="P769" s="1324">
        <f t="shared" si="373"/>
        <v>-31.314976484868176</v>
      </c>
      <c r="Q769" s="1324">
        <f t="shared" si="373"/>
        <v>-270.20520854205262</v>
      </c>
      <c r="V769" s="1324" t="s">
        <v>5575</v>
      </c>
    </row>
    <row r="770" spans="1:22">
      <c r="A770" s="1320" t="s">
        <v>4877</v>
      </c>
      <c r="C770" s="1322">
        <v>115</v>
      </c>
      <c r="D770" s="1320" t="s">
        <v>5576</v>
      </c>
      <c r="F770" s="1427">
        <f>SUM(F761:F769)</f>
        <v>617942.84812836791</v>
      </c>
      <c r="G770" s="1427">
        <f>SUM(G761:G769)</f>
        <v>2276.7337092656921</v>
      </c>
      <c r="H770" s="1427">
        <f>SUM(H761:H769)</f>
        <v>615666.11441910244</v>
      </c>
      <c r="I770" s="1323">
        <f t="shared" si="372"/>
        <v>0.99631562414524044</v>
      </c>
      <c r="J770" s="1421">
        <f t="shared" ref="J770:Q770" si="374">SUM(J761:J769)</f>
        <v>615666.11441910244</v>
      </c>
      <c r="K770" s="1421">
        <f t="shared" si="374"/>
        <v>345283.63407718926</v>
      </c>
      <c r="L770" s="1421">
        <f t="shared" si="374"/>
        <v>33329.605551115776</v>
      </c>
      <c r="M770" s="1421">
        <f t="shared" si="374"/>
        <v>166433.89269289159</v>
      </c>
      <c r="N770" s="1422">
        <f t="shared" si="374"/>
        <v>19766.938086565115</v>
      </c>
      <c r="O770" s="1422">
        <f>SUM(O761:O769)</f>
        <v>10330.276275872298</v>
      </c>
      <c r="P770" s="1422">
        <f>SUM(P761:P769)</f>
        <v>1121.2178088350054</v>
      </c>
      <c r="Q770" s="1421">
        <f t="shared" si="374"/>
        <v>39400.549926632884</v>
      </c>
      <c r="V770" s="1324" t="s">
        <v>5577</v>
      </c>
    </row>
    <row r="771" spans="1:22">
      <c r="A771" s="1320" t="s">
        <v>4877</v>
      </c>
      <c r="C771" s="1322">
        <v>116</v>
      </c>
      <c r="F771" s="1364"/>
      <c r="G771" s="1364"/>
      <c r="H771" s="1364"/>
      <c r="I771" s="1374"/>
      <c r="J771" s="1364"/>
      <c r="K771" s="1364"/>
      <c r="L771" s="1364"/>
      <c r="M771" s="1364"/>
      <c r="N771" s="1367"/>
      <c r="O771" s="1367"/>
      <c r="P771" s="1367"/>
      <c r="Q771" s="1364"/>
      <c r="R771" s="1324"/>
      <c r="S771" s="1324"/>
    </row>
    <row r="772" spans="1:22">
      <c r="A772" s="1320" t="s">
        <v>4877</v>
      </c>
      <c r="C772" s="1322">
        <v>117</v>
      </c>
      <c r="D772" s="1356" t="s">
        <v>5578</v>
      </c>
      <c r="E772" s="1444"/>
      <c r="G772" s="1320"/>
      <c r="M772" s="1324"/>
      <c r="P772" s="1325"/>
    </row>
    <row r="773" spans="1:22">
      <c r="A773" s="1320" t="s">
        <v>4877</v>
      </c>
      <c r="C773" s="1322">
        <v>118</v>
      </c>
      <c r="D773" s="1320" t="s">
        <v>5354</v>
      </c>
      <c r="E773" s="1320" t="s">
        <v>4777</v>
      </c>
      <c r="F773" s="1320">
        <f>+F761*'Tax &amp; Debt Inputs'!$C$4</f>
        <v>98025.471215743266</v>
      </c>
      <c r="G773" s="1320">
        <f>+G761*'Tax &amp; Debt Inputs'!$C$4</f>
        <v>436.09668203296798</v>
      </c>
      <c r="H773" s="1324">
        <f>+H761*'Tax &amp; Debt Inputs'!$C$4</f>
        <v>97589.374533710303</v>
      </c>
      <c r="I773" s="1323">
        <f>IF(F773=0,0,+H773/F773)</f>
        <v>0.99555119014859761</v>
      </c>
      <c r="J773" s="1324">
        <f>+J761*'Tax &amp; Debt Inputs'!$C$4</f>
        <v>97589.374533710303</v>
      </c>
      <c r="K773" s="1324">
        <f>+K761*'Tax &amp; Debt Inputs'!$C$4</f>
        <v>56710.265912541086</v>
      </c>
      <c r="L773" s="1324">
        <f>+L761*'Tax &amp; Debt Inputs'!$C$4</f>
        <v>5236.8759497999999</v>
      </c>
      <c r="M773" s="1324">
        <f>+M761*'Tax &amp; Debt Inputs'!$C$4</f>
        <v>25982.498628760964</v>
      </c>
      <c r="N773" s="1324">
        <f>+N761*'Tax &amp; Debt Inputs'!$C$4</f>
        <v>3093.6751381831286</v>
      </c>
      <c r="O773" s="1324">
        <f>+O761*'Tax &amp; Debt Inputs'!$C$4</f>
        <v>1820.5870634251135</v>
      </c>
      <c r="P773" s="1324">
        <f>+P761*'Tax &amp; Debt Inputs'!$C$4</f>
        <v>196.54030330000001</v>
      </c>
      <c r="Q773" s="1324">
        <f>+Q761*'Tax &amp; Debt Inputs'!$C$4</f>
        <v>4548.9315377000003</v>
      </c>
      <c r="V773" s="1320" t="s">
        <v>5579</v>
      </c>
    </row>
    <row r="774" spans="1:22">
      <c r="A774" s="1320" t="s">
        <v>4877</v>
      </c>
      <c r="C774" s="1322">
        <v>119</v>
      </c>
      <c r="D774" s="1320" t="s">
        <v>5265</v>
      </c>
      <c r="E774" s="1320" t="s">
        <v>4067</v>
      </c>
      <c r="F774" s="1320">
        <f>+F762*'Tax &amp; Debt Inputs'!$C$4</f>
        <v>-32828.755466531802</v>
      </c>
      <c r="G774" s="1320">
        <f>+G762*'Tax &amp; Debt Inputs'!$C$4</f>
        <v>0</v>
      </c>
      <c r="H774" s="1320">
        <f>+H762*'Tax &amp; Debt Inputs'!$C$4</f>
        <v>-32828.755466531802</v>
      </c>
      <c r="I774" s="1323">
        <f t="shared" ref="I774:I782" si="375">IF(F774=0,0,+H774/F774)</f>
        <v>1</v>
      </c>
      <c r="J774" s="1324">
        <f>+J762*'Tax &amp; Debt Inputs'!$C$4</f>
        <v>-32828.755466531802</v>
      </c>
      <c r="K774" s="1324">
        <f>+K762*'Tax &amp; Debt Inputs'!$C$4</f>
        <v>-18850.752877390645</v>
      </c>
      <c r="L774" s="1324">
        <f>+L762*'Tax &amp; Debt Inputs'!$C$4</f>
        <v>-1567.6407811661838</v>
      </c>
      <c r="M774" s="1324">
        <f>+M762*'Tax &amp; Debt Inputs'!$C$4</f>
        <v>-10145.630544168775</v>
      </c>
      <c r="N774" s="1324">
        <f>+N762*'Tax &amp; Debt Inputs'!$C$4</f>
        <v>-1296.6802483657843</v>
      </c>
      <c r="O774" s="1324">
        <f>+O762*'Tax &amp; Debt Inputs'!$C$4</f>
        <v>-933.22484295912238</v>
      </c>
      <c r="P774" s="1324">
        <f>+P762*'Tax &amp; Debt Inputs'!$C$4</f>
        <v>-34.826172481302997</v>
      </c>
      <c r="Q774" s="1324">
        <f>+Q762*'Tax &amp; Debt Inputs'!$C$4</f>
        <v>0</v>
      </c>
      <c r="V774" s="1320" t="s">
        <v>5580</v>
      </c>
    </row>
    <row r="775" spans="1:22">
      <c r="A775" s="1320" t="s">
        <v>4877</v>
      </c>
      <c r="C775" s="1322">
        <v>120</v>
      </c>
      <c r="D775" s="1320" t="s">
        <v>5265</v>
      </c>
      <c r="E775" s="1320" t="s">
        <v>2067</v>
      </c>
      <c r="F775" s="1320">
        <f>+F763*'Tax &amp; Debt Inputs'!$C$4</f>
        <v>-4688.3994384384896</v>
      </c>
      <c r="G775" s="1320">
        <f>+G763*'Tax &amp; Debt Inputs'!$C$4</f>
        <v>-1.0169523111471789E-4</v>
      </c>
      <c r="H775" s="1320">
        <f>+H763*'Tax &amp; Debt Inputs'!$C$4</f>
        <v>-4688.3993367432586</v>
      </c>
      <c r="I775" s="1323">
        <f t="shared" si="375"/>
        <v>0.99999997830917942</v>
      </c>
      <c r="J775" s="1324">
        <f>+J763*'Tax &amp; Debt Inputs'!$C$4</f>
        <v>-4688.3993367432586</v>
      </c>
      <c r="K775" s="1324">
        <f>+K763*'Tax &amp; Debt Inputs'!$C$4</f>
        <v>-2372.1288986643904</v>
      </c>
      <c r="L775" s="1324">
        <f>+L763*'Tax &amp; Debt Inputs'!$C$4</f>
        <v>-218.57509697661345</v>
      </c>
      <c r="M775" s="1324">
        <f>+M763*'Tax &amp; Debt Inputs'!$C$4</f>
        <v>-1624.1455110306977</v>
      </c>
      <c r="N775" s="1324">
        <f>+N763*'Tax &amp; Debt Inputs'!$C$4</f>
        <v>-258.04719209233878</v>
      </c>
      <c r="O775" s="1324">
        <f>+O763*'Tax &amp; Debt Inputs'!$C$4</f>
        <v>-190.75184024178165</v>
      </c>
      <c r="P775" s="1324">
        <f>+P763*'Tax &amp; Debt Inputs'!$C$4</f>
        <v>-24.750797737436859</v>
      </c>
      <c r="Q775" s="1324">
        <f>+Q763*'Tax &amp; Debt Inputs'!$C$4</f>
        <v>0</v>
      </c>
      <c r="V775" s="1320" t="s">
        <v>5581</v>
      </c>
    </row>
    <row r="776" spans="1:22">
      <c r="A776" s="1320" t="s">
        <v>4877</v>
      </c>
      <c r="C776" s="1322">
        <v>121</v>
      </c>
      <c r="D776" s="1324" t="s">
        <v>5268</v>
      </c>
      <c r="E776" s="1324" t="s">
        <v>4067</v>
      </c>
      <c r="F776" s="1320">
        <f>+F764*'Tax &amp; Debt Inputs'!$C$4</f>
        <v>-1665.5003494779364</v>
      </c>
      <c r="G776" s="1320">
        <f>+G764*'Tax &amp; Debt Inputs'!$C$4</f>
        <v>-135.55967598590951</v>
      </c>
      <c r="H776" s="1320">
        <f>+H764*'Tax &amp; Debt Inputs'!$C$4</f>
        <v>-1529.9329016284685</v>
      </c>
      <c r="I776" s="1374">
        <f t="shared" si="375"/>
        <v>0.91860257015739288</v>
      </c>
      <c r="J776" s="1324">
        <f>+J764*'Tax &amp; Debt Inputs'!$C$4</f>
        <v>-1529.9329016284685</v>
      </c>
      <c r="K776" s="1324">
        <f>+K764*'Tax &amp; Debt Inputs'!$C$4</f>
        <v>-887.38103345882678</v>
      </c>
      <c r="L776" s="1324">
        <f>+L764*'Tax &amp; Debt Inputs'!$C$4</f>
        <v>-73.199984642666251</v>
      </c>
      <c r="M776" s="1324">
        <f>+M764*'Tax &amp; Debt Inputs'!$C$4</f>
        <v>-467.93072705342598</v>
      </c>
      <c r="N776" s="1324">
        <f>+N764*'Tax &amp; Debt Inputs'!$C$4</f>
        <v>-58.414946933320479</v>
      </c>
      <c r="O776" s="1324">
        <f>+O764*'Tax &amp; Debt Inputs'!$C$4</f>
        <v>-41.921498421641218</v>
      </c>
      <c r="P776" s="1324">
        <f>+P764*'Tax &amp; Debt Inputs'!$C$4</f>
        <v>-1.0847111185878315</v>
      </c>
      <c r="Q776" s="1324">
        <f>+Q764*'Tax &amp; Debt Inputs'!$C$4</f>
        <v>0</v>
      </c>
      <c r="V776" s="1320" t="s">
        <v>5582</v>
      </c>
    </row>
    <row r="777" spans="1:22">
      <c r="A777" s="1320" t="s">
        <v>4877</v>
      </c>
      <c r="C777" s="1322">
        <v>122</v>
      </c>
      <c r="D777" s="1320" t="s">
        <v>5239</v>
      </c>
      <c r="E777" s="1320" t="s">
        <v>4067</v>
      </c>
      <c r="F777" s="1320">
        <f>+F765*'Tax &amp; Debt Inputs'!$C$4</f>
        <v>-2281.8764022885575</v>
      </c>
      <c r="G777" s="1320">
        <f>+G765*'Tax &amp; Debt Inputs'!$C$4</f>
        <v>-175.3165503422143</v>
      </c>
      <c r="H777" s="1320">
        <f>+H765*'Tax &amp; Debt Inputs'!$C$4</f>
        <v>-2106.5676238099013</v>
      </c>
      <c r="I777" s="1323">
        <f t="shared" si="375"/>
        <v>0.92317341188907776</v>
      </c>
      <c r="J777" s="1324">
        <f>+J765*'Tax &amp; Debt Inputs'!$C$4</f>
        <v>-2106.5676238099013</v>
      </c>
      <c r="K777" s="1324">
        <f>+K765*'Tax &amp; Debt Inputs'!$C$4</f>
        <v>-1221.8366917121741</v>
      </c>
      <c r="L777" s="1324">
        <f>+L765*'Tax &amp; Debt Inputs'!$C$4</f>
        <v>-100.78920294314261</v>
      </c>
      <c r="M777" s="1324">
        <f>+M765*'Tax &amp; Debt Inputs'!$C$4</f>
        <v>-644.29473916624806</v>
      </c>
      <c r="N777" s="1324">
        <f>+N765*'Tax &amp; Debt Inputs'!$C$4</f>
        <v>-80.431655417911458</v>
      </c>
      <c r="O777" s="1324">
        <f>+O765*'Tax &amp; Debt Inputs'!$C$4</f>
        <v>-57.72179369606939</v>
      </c>
      <c r="P777" s="1324">
        <f>+P765*'Tax &amp; Debt Inputs'!$C$4</f>
        <v>-1.4935408743557084</v>
      </c>
      <c r="Q777" s="1324">
        <f>+Q765*'Tax &amp; Debt Inputs'!$C$4</f>
        <v>0</v>
      </c>
      <c r="V777" s="1320" t="s">
        <v>5583</v>
      </c>
    </row>
    <row r="778" spans="1:22">
      <c r="A778" s="1320" t="s">
        <v>4877</v>
      </c>
      <c r="C778" s="1322">
        <v>123</v>
      </c>
      <c r="D778" s="1320" t="s">
        <v>5240</v>
      </c>
      <c r="E778" s="1320" t="s">
        <v>4067</v>
      </c>
      <c r="F778" s="1320">
        <f>+F766*'Tax &amp; Debt Inputs'!$C$4</f>
        <v>-9030.9438030941837</v>
      </c>
      <c r="G778" s="1320">
        <f>+G766*'Tax &amp; Debt Inputs'!$C$4</f>
        <v>0</v>
      </c>
      <c r="H778" s="1320">
        <f>+H766*'Tax &amp; Debt Inputs'!$C$4</f>
        <v>-9030.9438030941837</v>
      </c>
      <c r="I778" s="1323">
        <f t="shared" si="375"/>
        <v>1</v>
      </c>
      <c r="J778" s="1324">
        <f>+J766*'Tax &amp; Debt Inputs'!$C$4</f>
        <v>-9030.9438030941837</v>
      </c>
      <c r="K778" s="1324">
        <f>+K766*'Tax &amp; Debt Inputs'!$C$4</f>
        <v>-5621.0040272132237</v>
      </c>
      <c r="L778" s="1324">
        <f>+L766*'Tax &amp; Debt Inputs'!$C$4</f>
        <v>-399.7799042273021</v>
      </c>
      <c r="M778" s="1324">
        <f>+M766*'Tax &amp; Debt Inputs'!$C$4</f>
        <v>-2676.7760709398026</v>
      </c>
      <c r="N778" s="1324">
        <f>+N766*'Tax &amp; Debt Inputs'!$C$4</f>
        <v>-281.54302316230911</v>
      </c>
      <c r="O778" s="1324">
        <f>+O766*'Tax &amp; Debt Inputs'!$C$4</f>
        <v>-1.9223209143436998E-4</v>
      </c>
      <c r="P778" s="1324">
        <f>+P766*'Tax &amp; Debt Inputs'!$C$4</f>
        <v>-51.840585319456622</v>
      </c>
      <c r="Q778" s="1324">
        <f>+Q766*'Tax &amp; Debt Inputs'!$C$4</f>
        <v>0</v>
      </c>
      <c r="V778" s="1320" t="s">
        <v>5584</v>
      </c>
    </row>
    <row r="779" spans="1:22">
      <c r="A779" s="1320" t="s">
        <v>4877</v>
      </c>
      <c r="C779" s="1322">
        <v>124</v>
      </c>
      <c r="D779" s="1324" t="s">
        <v>5241</v>
      </c>
      <c r="E779" s="1324" t="s">
        <v>4067</v>
      </c>
      <c r="F779" s="1320">
        <f>+F767*'Tax &amp; Debt Inputs'!$C$4</f>
        <v>-3991.1240032127521</v>
      </c>
      <c r="G779" s="1320">
        <f>+G767*'Tax &amp; Debt Inputs'!$C$4</f>
        <v>0</v>
      </c>
      <c r="H779" s="1320">
        <f>+H767*'Tax &amp; Debt Inputs'!$C$4</f>
        <v>-3991.1240032127521</v>
      </c>
      <c r="I779" s="1323">
        <f t="shared" si="375"/>
        <v>1</v>
      </c>
      <c r="J779" s="1324">
        <f>+J767*'Tax &amp; Debt Inputs'!$C$4</f>
        <v>-3991.1240032127521</v>
      </c>
      <c r="K779" s="1324">
        <f>+K767*'Tax &amp; Debt Inputs'!$C$4</f>
        <v>-2912.0568226896798</v>
      </c>
      <c r="L779" s="1324">
        <f>+L767*'Tax &amp; Debt Inputs'!$C$4</f>
        <v>-234.47836758764643</v>
      </c>
      <c r="M779" s="1324">
        <f>+M767*'Tax &amp; Debt Inputs'!$C$4</f>
        <v>-830.15120839200881</v>
      </c>
      <c r="N779" s="1324">
        <f>+N767*'Tax &amp; Debt Inputs'!$C$4</f>
        <v>0</v>
      </c>
      <c r="O779" s="1324">
        <f>+O767*'Tax &amp; Debt Inputs'!$C$4</f>
        <v>0</v>
      </c>
      <c r="P779" s="1324">
        <f>+P767*'Tax &amp; Debt Inputs'!$C$4</f>
        <v>-14.437604543416866</v>
      </c>
      <c r="Q779" s="1324">
        <f>+Q767*'Tax &amp; Debt Inputs'!$C$4</f>
        <v>0</v>
      </c>
      <c r="V779" s="1320" t="s">
        <v>5585</v>
      </c>
    </row>
    <row r="780" spans="1:22">
      <c r="A780" s="1320" t="s">
        <v>4877</v>
      </c>
      <c r="C780" s="1322">
        <v>125</v>
      </c>
      <c r="D780" s="1320" t="s">
        <v>5242</v>
      </c>
      <c r="E780" s="1320" t="s">
        <v>4071</v>
      </c>
      <c r="F780" s="1320">
        <f>+F768*'Tax &amp; Debt Inputs'!$C$4</f>
        <v>-5830.5572643759351</v>
      </c>
      <c r="G780" s="1320">
        <f>+G768*'Tax &amp; Debt Inputs'!$C$4</f>
        <v>0</v>
      </c>
      <c r="H780" s="1320">
        <f>+H768*'Tax &amp; Debt Inputs'!$C$4</f>
        <v>-5830.5572643759351</v>
      </c>
      <c r="I780" s="1323">
        <f t="shared" si="375"/>
        <v>1</v>
      </c>
      <c r="J780" s="1324">
        <f>+J768*'Tax &amp; Debt Inputs'!$C$4</f>
        <v>-5830.5572643759351</v>
      </c>
      <c r="K780" s="1324">
        <f>+K768*'Tax &amp; Debt Inputs'!$C$4</f>
        <v>-2636.0198325395099</v>
      </c>
      <c r="L780" s="1324">
        <f>+L768*'Tax &amp; Debt Inputs'!$C$4</f>
        <v>-497.89854040454804</v>
      </c>
      <c r="M780" s="1324">
        <f>+M768*'Tax &amp; Debt Inputs'!$C$4</f>
        <v>-281.24953138185282</v>
      </c>
      <c r="N780" s="1324">
        <f>+N768*'Tax &amp; Debt Inputs'!$C$4</f>
        <v>-20.866040571287016</v>
      </c>
      <c r="O780" s="1324">
        <f>+O768*'Tax &amp; Debt Inputs'!$C$4</f>
        <v>-22.765726180508079</v>
      </c>
      <c r="P780" s="1324">
        <f>+P768*'Tax &amp; Debt Inputs'!$C$4</f>
        <v>-4.717588032850073</v>
      </c>
      <c r="Q780" s="1324">
        <f>+Q768*'Tax &amp; Debt Inputs'!$C$4</f>
        <v>-2367.040005265379</v>
      </c>
      <c r="V780" s="1320" t="s">
        <v>5586</v>
      </c>
    </row>
    <row r="781" spans="1:22">
      <c r="A781" s="1320" t="s">
        <v>4877</v>
      </c>
      <c r="C781" s="1322">
        <v>126</v>
      </c>
      <c r="D781" s="1320" t="s">
        <v>5244</v>
      </c>
      <c r="E781" s="1320" t="s">
        <v>4071</v>
      </c>
      <c r="F781" s="1320">
        <f>+F769*'Tax &amp; Debt Inputs'!$C$4</f>
        <v>-3721.4578412633728</v>
      </c>
      <c r="G781" s="1320">
        <f>+G769*'Tax &amp; Debt Inputs'!$C$4</f>
        <v>0</v>
      </c>
      <c r="H781" s="1320">
        <f>+H769*'Tax &amp; Debt Inputs'!$C$4</f>
        <v>-3721.4578412633728</v>
      </c>
      <c r="I781" s="1323">
        <f t="shared" si="375"/>
        <v>1</v>
      </c>
      <c r="J781" s="1324">
        <f>+J769*'Tax &amp; Debt Inputs'!$C$4</f>
        <v>-3721.4578412633728</v>
      </c>
      <c r="K781" s="1324">
        <f>+K769*'Tax &amp; Debt Inputs'!$C$4</f>
        <v>-3218.4858546272303</v>
      </c>
      <c r="L781" s="1324">
        <f>+L769*'Tax &amp; Debt Inputs'!$C$4</f>
        <v>-311.3857665405294</v>
      </c>
      <c r="M781" s="1324">
        <f>+M769*'Tax &amp; Debt Inputs'!$C$4</f>
        <v>-158.45619851911309</v>
      </c>
      <c r="N781" s="1324">
        <f>+N769*'Tax &amp; Debt Inputs'!$C$4</f>
        <v>-10.510436879096185</v>
      </c>
      <c r="O781" s="1324">
        <f>+O769*'Tax &amp; Debt Inputs'!$C$4</f>
        <v>-6.0359745209229203</v>
      </c>
      <c r="P781" s="1324">
        <f>+P769*'Tax &amp; Debt Inputs'!$C$4</f>
        <v>-1.7223237066677497</v>
      </c>
      <c r="Q781" s="1324">
        <f>+Q769*'Tax &amp; Debt Inputs'!$C$4</f>
        <v>-14.861286469812894</v>
      </c>
      <c r="V781" s="1320" t="s">
        <v>5587</v>
      </c>
    </row>
    <row r="782" spans="1:22">
      <c r="A782" s="1320" t="s">
        <v>4877</v>
      </c>
      <c r="C782" s="1322">
        <v>127</v>
      </c>
      <c r="D782" s="1320" t="s">
        <v>5588</v>
      </c>
      <c r="F782" s="1427">
        <f>SUM(F773:F781)</f>
        <v>33986.856647060238</v>
      </c>
      <c r="G782" s="1427">
        <f>SUM(G773:G781)</f>
        <v>125.22035400961303</v>
      </c>
      <c r="H782" s="1427">
        <f>SUM(H773:H781)</f>
        <v>33861.636293050629</v>
      </c>
      <c r="I782" s="1323">
        <f t="shared" si="375"/>
        <v>0.99631562414524022</v>
      </c>
      <c r="J782" s="1421">
        <f t="shared" ref="J782:Q782" si="376">SUM(J773:J781)</f>
        <v>33861.636293050629</v>
      </c>
      <c r="K782" s="1421">
        <f t="shared" si="376"/>
        <v>18990.599874245403</v>
      </c>
      <c r="L782" s="1421">
        <f t="shared" si="376"/>
        <v>1833.1283053113675</v>
      </c>
      <c r="M782" s="1421">
        <f t="shared" si="376"/>
        <v>9153.8640981090412</v>
      </c>
      <c r="N782" s="1422">
        <f t="shared" si="376"/>
        <v>1087.1815947610814</v>
      </c>
      <c r="O782" s="1422">
        <f>SUM(O773:O781)</f>
        <v>568.16519517297638</v>
      </c>
      <c r="P782" s="1422">
        <f>SUM(P773:P781)</f>
        <v>61.666979485925296</v>
      </c>
      <c r="Q782" s="1421">
        <f t="shared" si="376"/>
        <v>2167.0302459648083</v>
      </c>
      <c r="V782" s="1320" t="s">
        <v>5589</v>
      </c>
    </row>
    <row r="783" spans="1:22">
      <c r="G783" s="1320"/>
      <c r="R783" s="1324"/>
      <c r="S783" s="1324"/>
    </row>
    <row r="784" spans="1:22">
      <c r="G784" s="1320"/>
      <c r="R784" s="1324"/>
      <c r="S784" s="1324"/>
    </row>
    <row r="785" spans="1:25">
      <c r="G785" s="1320"/>
      <c r="R785" s="1324"/>
      <c r="S785" s="1324"/>
    </row>
    <row r="786" spans="1:25">
      <c r="G786" s="1320"/>
    </row>
    <row r="787" spans="1:25">
      <c r="G787" s="1320"/>
    </row>
    <row r="788" spans="1:25">
      <c r="B788" s="1432"/>
      <c r="C788" s="1340" t="str">
        <f>+C$2</f>
        <v>RATES WITH REVENUE DEFICIENCY ADDITION</v>
      </c>
      <c r="F788" s="1333"/>
      <c r="G788" s="1327" t="s">
        <v>2173</v>
      </c>
      <c r="I788" s="1334" t="s">
        <v>5559</v>
      </c>
      <c r="L788" s="1329" t="s">
        <v>2173</v>
      </c>
      <c r="M788" s="1330"/>
      <c r="N788" s="1330"/>
      <c r="O788" s="1330"/>
      <c r="S788" s="1334" t="s">
        <v>5590</v>
      </c>
      <c r="T788" s="1333" t="s">
        <v>2173</v>
      </c>
      <c r="U788" s="1334"/>
      <c r="V788" s="1332" t="s">
        <v>4772</v>
      </c>
    </row>
    <row r="789" spans="1:25">
      <c r="B789" s="1432"/>
      <c r="C789" s="1340" t="str">
        <f>+C$3</f>
        <v>PROD. CAP. ALLOC. METHOD: 12 CP &amp; 1/13th AD</v>
      </c>
      <c r="G789" s="1336" t="s">
        <v>4768</v>
      </c>
      <c r="I789" s="1335" t="s">
        <v>4063</v>
      </c>
      <c r="L789" s="1336" t="s">
        <v>5141</v>
      </c>
      <c r="M789" s="1337"/>
      <c r="N789" s="1337"/>
      <c r="O789" s="1337"/>
      <c r="R789" s="1331"/>
      <c r="S789" s="1335" t="s">
        <v>4064</v>
      </c>
      <c r="T789" s="1333" t="s">
        <v>5141</v>
      </c>
      <c r="V789" s="1332" t="s">
        <v>5590</v>
      </c>
      <c r="Y789" s="1324"/>
    </row>
    <row r="790" spans="1:25">
      <c r="C790" s="1340" t="str">
        <f>+C$4</f>
        <v>PROJECTED CALENDAR YEAR 2025; FULLY ADJUSTED DATA</v>
      </c>
      <c r="G790" s="1336" t="s">
        <v>2181</v>
      </c>
      <c r="L790" s="1336" t="s">
        <v>2181</v>
      </c>
      <c r="T790" s="1339"/>
      <c r="Y790" s="1324"/>
    </row>
    <row r="791" spans="1:25">
      <c r="C791" s="1340" t="str">
        <f>+C$5</f>
        <v>MINIMUM DISTRIBUTION SYSTEM (MDS) NOT EMPLOYED</v>
      </c>
      <c r="D791" s="1358"/>
      <c r="G791" s="1320"/>
      <c r="L791" s="1336"/>
      <c r="M791" s="1337"/>
      <c r="N791" s="1337"/>
      <c r="O791" s="1337"/>
      <c r="T791" s="1333"/>
      <c r="Y791" s="1324"/>
    </row>
    <row r="792" spans="1:25">
      <c r="C792" s="1340" t="str">
        <f>+C$6</f>
        <v>Tampa Electric 2025 OB Budget</v>
      </c>
      <c r="F792" s="1327"/>
      <c r="G792" s="1333" t="s">
        <v>5494</v>
      </c>
      <c r="L792" s="1336" t="s">
        <v>5494</v>
      </c>
      <c r="M792" s="1337"/>
      <c r="N792" s="1337"/>
      <c r="O792" s="1337"/>
      <c r="T792" s="1333" t="s">
        <v>5494</v>
      </c>
    </row>
    <row r="793" spans="1:25">
      <c r="C793" s="1331"/>
      <c r="F793" s="1333"/>
      <c r="G793" s="1320"/>
      <c r="L793" s="1336"/>
      <c r="M793" s="1337"/>
      <c r="N793" s="1337"/>
      <c r="O793" s="1337"/>
    </row>
    <row r="794" spans="1:25">
      <c r="C794" s="1331"/>
      <c r="F794" s="1333"/>
      <c r="G794" s="1320"/>
      <c r="L794" s="1336"/>
      <c r="M794" s="1337"/>
      <c r="N794" s="1337"/>
      <c r="O794" s="1337"/>
      <c r="Y794" s="1324"/>
    </row>
    <row r="795" spans="1:25">
      <c r="G795" s="1320"/>
      <c r="Y795" s="1324"/>
    </row>
    <row r="796" spans="1:25">
      <c r="C796" s="1342"/>
      <c r="D796" s="1331"/>
      <c r="E796" s="1331"/>
      <c r="F796" s="1333"/>
      <c r="G796" s="1333"/>
      <c r="H796" s="1333"/>
      <c r="I796" s="1343"/>
      <c r="J796" s="1416"/>
      <c r="K796" s="1336"/>
      <c r="L796" s="1416"/>
      <c r="M796" s="1417"/>
      <c r="N796" s="1417"/>
      <c r="O796" s="1417"/>
      <c r="P796" s="3164"/>
      <c r="Q796" s="3164"/>
      <c r="R796" s="1333"/>
      <c r="Y796" s="1324"/>
    </row>
    <row r="797" spans="1:25" ht="30" customHeight="1">
      <c r="A797" s="1418" t="s">
        <v>4683</v>
      </c>
      <c r="B797" s="1425" t="s">
        <v>5143</v>
      </c>
      <c r="C797" s="1349" t="s">
        <v>4297</v>
      </c>
      <c r="D797" s="1418"/>
      <c r="E797" s="1418"/>
      <c r="F797" s="1348" t="s">
        <v>5144</v>
      </c>
      <c r="G797" s="1348" t="s">
        <v>4956</v>
      </c>
      <c r="H797" s="1348" t="s">
        <v>4957</v>
      </c>
      <c r="I797" s="1426" t="s">
        <v>5145</v>
      </c>
      <c r="J797" s="1352" t="s">
        <v>4957</v>
      </c>
      <c r="K797" s="1353" t="s">
        <v>1949</v>
      </c>
      <c r="L797" s="1353" t="s">
        <v>1950</v>
      </c>
      <c r="M797" s="1354" t="s">
        <v>1934</v>
      </c>
      <c r="N797" s="1354" t="s">
        <v>1971</v>
      </c>
      <c r="O797" s="1354" t="s">
        <v>1972</v>
      </c>
      <c r="P797" s="1352" t="s">
        <v>5146</v>
      </c>
      <c r="Q797" s="1352" t="s">
        <v>5147</v>
      </c>
      <c r="R797" s="1355"/>
      <c r="S797" s="1348" t="s">
        <v>5299</v>
      </c>
      <c r="T797" s="1348"/>
      <c r="U797" s="1352"/>
      <c r="V797" s="1355" t="s">
        <v>4774</v>
      </c>
      <c r="W797" s="1350"/>
      <c r="Y797" s="1324"/>
    </row>
    <row r="798" spans="1:25">
      <c r="G798" s="1320"/>
      <c r="Y798" s="1324"/>
    </row>
    <row r="799" spans="1:25">
      <c r="A799" s="1320" t="s">
        <v>4877</v>
      </c>
      <c r="C799" s="1322">
        <v>128</v>
      </c>
      <c r="D799" s="1356" t="s">
        <v>5591</v>
      </c>
      <c r="G799" s="1320"/>
      <c r="Y799" s="1324"/>
    </row>
    <row r="800" spans="1:25" ht="17.399999999999999">
      <c r="A800" s="1320" t="s">
        <v>4877</v>
      </c>
      <c r="C800" s="1322">
        <v>129</v>
      </c>
      <c r="D800" s="1320" t="s">
        <v>5354</v>
      </c>
      <c r="E800" s="1320" t="s">
        <v>4777</v>
      </c>
      <c r="F800" s="1324">
        <f>F761-F773</f>
        <v>1684255.8236159524</v>
      </c>
      <c r="G800" s="1324">
        <f>G761-G773</f>
        <v>7492.9339003846317</v>
      </c>
      <c r="H800" s="1324">
        <f>H761-H773</f>
        <v>1676762.8897155679</v>
      </c>
      <c r="I800" s="1374">
        <f>IF(F800=0,0,+H800/F800)</f>
        <v>0.99555119014859761</v>
      </c>
      <c r="J800" s="1324">
        <f t="shared" ref="J800:Q808" si="377">J761-J773</f>
        <v>1676762.8897155679</v>
      </c>
      <c r="K800" s="1324">
        <f t="shared" si="377"/>
        <v>974385.47795184236</v>
      </c>
      <c r="L800" s="1324">
        <f t="shared" si="377"/>
        <v>89979.050410199998</v>
      </c>
      <c r="M800" s="1324">
        <f t="shared" si="377"/>
        <v>446426.56734871108</v>
      </c>
      <c r="N800" s="1324">
        <f t="shared" si="377"/>
        <v>53154.963737873761</v>
      </c>
      <c r="O800" s="1324">
        <f t="shared" si="377"/>
        <v>31280.995907940585</v>
      </c>
      <c r="P800" s="1324">
        <f t="shared" si="377"/>
        <v>3376.9197567000001</v>
      </c>
      <c r="Q800" s="1324">
        <f t="shared" si="377"/>
        <v>78158.914602300007</v>
      </c>
      <c r="T800" s="1443"/>
      <c r="V800" s="1324" t="s">
        <v>5592</v>
      </c>
      <c r="Y800" s="1324"/>
    </row>
    <row r="801" spans="1:27">
      <c r="A801" s="1320" t="s">
        <v>4877</v>
      </c>
      <c r="C801" s="1322">
        <v>130</v>
      </c>
      <c r="D801" s="1320" t="s">
        <v>5265</v>
      </c>
      <c r="E801" s="1320" t="s">
        <v>4067</v>
      </c>
      <c r="F801" s="1324">
        <f t="shared" ref="F801:H808" si="378">F762-F774</f>
        <v>-564057.70756131911</v>
      </c>
      <c r="G801" s="1324">
        <f t="shared" si="378"/>
        <v>0</v>
      </c>
      <c r="H801" s="1324">
        <f t="shared" si="378"/>
        <v>-564057.70756131911</v>
      </c>
      <c r="I801" s="1374">
        <f t="shared" ref="I801:I809" si="379">IF(F801=0,0,+H801/F801)</f>
        <v>1</v>
      </c>
      <c r="J801" s="1324">
        <f t="shared" si="377"/>
        <v>-564057.70756131911</v>
      </c>
      <c r="K801" s="1324">
        <f t="shared" si="377"/>
        <v>-323890.20852971199</v>
      </c>
      <c r="L801" s="1324">
        <f t="shared" si="377"/>
        <v>-26934.918876400796</v>
      </c>
      <c r="M801" s="1324">
        <f t="shared" si="377"/>
        <v>-174320.37934980894</v>
      </c>
      <c r="N801" s="1324">
        <f t="shared" si="377"/>
        <v>-22279.324267375749</v>
      </c>
      <c r="O801" s="1324">
        <f t="shared" si="377"/>
        <v>-16034.499574479467</v>
      </c>
      <c r="P801" s="1324">
        <f t="shared" si="377"/>
        <v>-598.37696354238778</v>
      </c>
      <c r="Q801" s="1324">
        <f t="shared" si="377"/>
        <v>0</v>
      </c>
      <c r="V801" s="1324" t="s">
        <v>5593</v>
      </c>
      <c r="Y801" s="1324"/>
    </row>
    <row r="802" spans="1:27">
      <c r="A802" s="1320" t="s">
        <v>4877</v>
      </c>
      <c r="C802" s="1322">
        <v>131</v>
      </c>
      <c r="D802" s="1320" t="s">
        <v>5265</v>
      </c>
      <c r="E802" s="1320" t="s">
        <v>2067</v>
      </c>
      <c r="F802" s="1324">
        <f t="shared" si="378"/>
        <v>-80555.226714988603</v>
      </c>
      <c r="G802" s="1324">
        <f t="shared" si="378"/>
        <v>-1.7473089709710622E-3</v>
      </c>
      <c r="H802" s="1324">
        <f t="shared" si="378"/>
        <v>-80555.224967679635</v>
      </c>
      <c r="I802" s="1374">
        <f t="shared" si="379"/>
        <v>0.99999997830917942</v>
      </c>
      <c r="J802" s="1324">
        <f t="shared" si="377"/>
        <v>-80555.224967679635</v>
      </c>
      <c r="K802" s="1324">
        <f t="shared" si="377"/>
        <v>-40757.487440688157</v>
      </c>
      <c r="L802" s="1324">
        <f t="shared" si="377"/>
        <v>-3755.5175753254493</v>
      </c>
      <c r="M802" s="1324">
        <f t="shared" si="377"/>
        <v>-27905.772871345624</v>
      </c>
      <c r="N802" s="1324">
        <f t="shared" si="377"/>
        <v>-4433.7199368592746</v>
      </c>
      <c r="O802" s="1324">
        <f t="shared" si="377"/>
        <v>-3277.4634368815209</v>
      </c>
      <c r="P802" s="1324">
        <f t="shared" si="377"/>
        <v>-425.26370657959694</v>
      </c>
      <c r="Q802" s="1324">
        <f t="shared" si="377"/>
        <v>0</v>
      </c>
      <c r="V802" s="1324" t="s">
        <v>5594</v>
      </c>
    </row>
    <row r="803" spans="1:27">
      <c r="A803" s="1320" t="s">
        <v>4877</v>
      </c>
      <c r="C803" s="1322">
        <v>132</v>
      </c>
      <c r="D803" s="1324" t="s">
        <v>5268</v>
      </c>
      <c r="E803" s="1324" t="s">
        <v>4067</v>
      </c>
      <c r="F803" s="1324">
        <f t="shared" si="378"/>
        <v>-28616.324186484544</v>
      </c>
      <c r="G803" s="1324">
        <f t="shared" si="378"/>
        <v>-2329.1617055760817</v>
      </c>
      <c r="H803" s="1324">
        <f t="shared" si="378"/>
        <v>-26287.028946161867</v>
      </c>
      <c r="I803" s="1374">
        <f t="shared" si="379"/>
        <v>0.91860257015739288</v>
      </c>
      <c r="J803" s="1324">
        <f t="shared" si="377"/>
        <v>-26287.028946161867</v>
      </c>
      <c r="K803" s="1324">
        <f t="shared" si="377"/>
        <v>-15246.819574883479</v>
      </c>
      <c r="L803" s="1324">
        <f t="shared" si="377"/>
        <v>-1257.7088270421746</v>
      </c>
      <c r="M803" s="1324">
        <f t="shared" si="377"/>
        <v>-8039.9006739179549</v>
      </c>
      <c r="N803" s="1324">
        <f t="shared" si="377"/>
        <v>-1003.67499730887</v>
      </c>
      <c r="O803" s="1324">
        <f t="shared" si="377"/>
        <v>-720.28756379001732</v>
      </c>
      <c r="P803" s="1324">
        <f t="shared" si="377"/>
        <v>-18.637309219372739</v>
      </c>
      <c r="Q803" s="1324">
        <f t="shared" si="377"/>
        <v>0</v>
      </c>
      <c r="V803" s="1324" t="s">
        <v>5595</v>
      </c>
    </row>
    <row r="804" spans="1:27">
      <c r="A804" s="1320" t="s">
        <v>4877</v>
      </c>
      <c r="C804" s="1322">
        <v>133</v>
      </c>
      <c r="D804" s="1320" t="s">
        <v>5239</v>
      </c>
      <c r="E804" s="1320" t="s">
        <v>4067</v>
      </c>
      <c r="F804" s="1324">
        <f t="shared" si="378"/>
        <v>-39206.785457503393</v>
      </c>
      <c r="G804" s="1324">
        <f t="shared" si="378"/>
        <v>-3012.2570922435002</v>
      </c>
      <c r="H804" s="1324">
        <f t="shared" si="378"/>
        <v>-36194.661900006482</v>
      </c>
      <c r="I804" s="1374">
        <f t="shared" si="379"/>
        <v>0.92317341188907776</v>
      </c>
      <c r="J804" s="1324">
        <f t="shared" si="377"/>
        <v>-36194.661900006482</v>
      </c>
      <c r="K804" s="1324">
        <f t="shared" si="377"/>
        <v>-20993.37588487281</v>
      </c>
      <c r="L804" s="1324">
        <f t="shared" si="377"/>
        <v>-1731.7417596594505</v>
      </c>
      <c r="M804" s="1324">
        <f t="shared" si="377"/>
        <v>-11070.155063856444</v>
      </c>
      <c r="N804" s="1324">
        <f t="shared" si="377"/>
        <v>-1381.9620794532059</v>
      </c>
      <c r="O804" s="1324">
        <f t="shared" si="377"/>
        <v>-991.76536441428311</v>
      </c>
      <c r="P804" s="1324">
        <f t="shared" si="377"/>
        <v>-25.661747750293532</v>
      </c>
      <c r="Q804" s="1324">
        <f t="shared" si="377"/>
        <v>0</v>
      </c>
      <c r="V804" s="1324" t="s">
        <v>5596</v>
      </c>
    </row>
    <row r="805" spans="1:27">
      <c r="A805" s="1320" t="s">
        <v>4877</v>
      </c>
      <c r="C805" s="1322">
        <v>134</v>
      </c>
      <c r="D805" s="1320" t="s">
        <v>5240</v>
      </c>
      <c r="E805" s="1320" t="s">
        <v>4067</v>
      </c>
      <c r="F805" s="1324">
        <f t="shared" si="378"/>
        <v>-155168.03443498188</v>
      </c>
      <c r="G805" s="1324">
        <f t="shared" si="378"/>
        <v>0</v>
      </c>
      <c r="H805" s="1324">
        <f t="shared" si="378"/>
        <v>-155168.03443498188</v>
      </c>
      <c r="I805" s="1374">
        <f t="shared" si="379"/>
        <v>1</v>
      </c>
      <c r="J805" s="1324">
        <f t="shared" si="377"/>
        <v>-155168.03443498188</v>
      </c>
      <c r="K805" s="1324">
        <f t="shared" si="377"/>
        <v>-96579.06919484539</v>
      </c>
      <c r="L805" s="1324">
        <f t="shared" si="377"/>
        <v>-6868.945627178191</v>
      </c>
      <c r="M805" s="1324">
        <f t="shared" si="377"/>
        <v>-45991.879764329336</v>
      </c>
      <c r="N805" s="1324">
        <f t="shared" si="377"/>
        <v>-4837.4210343342202</v>
      </c>
      <c r="O805" s="1324">
        <f t="shared" si="377"/>
        <v>-3.302896843735993E-3</v>
      </c>
      <c r="P805" s="1324">
        <f t="shared" si="377"/>
        <v>-890.71551139793644</v>
      </c>
      <c r="Q805" s="1324">
        <f t="shared" si="377"/>
        <v>0</v>
      </c>
      <c r="V805" s="1324" t="s">
        <v>5597</v>
      </c>
    </row>
    <row r="806" spans="1:27">
      <c r="A806" s="1320" t="s">
        <v>4877</v>
      </c>
      <c r="C806" s="1322">
        <v>135</v>
      </c>
      <c r="D806" s="1320" t="s">
        <v>5241</v>
      </c>
      <c r="E806" s="1320" t="s">
        <v>4067</v>
      </c>
      <c r="F806" s="1324">
        <f t="shared" si="378"/>
        <v>-68574.766964291834</v>
      </c>
      <c r="G806" s="1324">
        <f t="shared" si="378"/>
        <v>0</v>
      </c>
      <c r="H806" s="1324">
        <f t="shared" si="378"/>
        <v>-68574.766964291834</v>
      </c>
      <c r="I806" s="1374">
        <f t="shared" si="379"/>
        <v>1</v>
      </c>
      <c r="J806" s="1324">
        <f t="shared" si="377"/>
        <v>-68574.766964291834</v>
      </c>
      <c r="K806" s="1324">
        <f t="shared" si="377"/>
        <v>-50034.430862577225</v>
      </c>
      <c r="L806" s="1324">
        <f t="shared" si="377"/>
        <v>-4028.7646794604702</v>
      </c>
      <c r="M806" s="1324">
        <f t="shared" si="377"/>
        <v>-14263.507126008153</v>
      </c>
      <c r="N806" s="1324">
        <f t="shared" si="377"/>
        <v>0</v>
      </c>
      <c r="O806" s="1324">
        <f t="shared" si="377"/>
        <v>0</v>
      </c>
      <c r="P806" s="1324">
        <f t="shared" si="377"/>
        <v>-248.0642962459807</v>
      </c>
      <c r="Q806" s="1324">
        <f t="shared" si="377"/>
        <v>0</v>
      </c>
      <c r="V806" s="1324" t="s">
        <v>5598</v>
      </c>
      <c r="Y806" s="1324"/>
    </row>
    <row r="807" spans="1:27">
      <c r="A807" s="1320" t="s">
        <v>4877</v>
      </c>
      <c r="C807" s="1322">
        <v>136</v>
      </c>
      <c r="D807" s="1320" t="s">
        <v>5242</v>
      </c>
      <c r="E807" s="1320" t="s">
        <v>4071</v>
      </c>
      <c r="F807" s="1324">
        <f t="shared" si="378"/>
        <v>-100179.57481518651</v>
      </c>
      <c r="G807" s="1324">
        <f t="shared" si="378"/>
        <v>0</v>
      </c>
      <c r="H807" s="1324">
        <f t="shared" si="378"/>
        <v>-100179.57481518651</v>
      </c>
      <c r="I807" s="1374">
        <f t="shared" si="379"/>
        <v>1</v>
      </c>
      <c r="J807" s="1324">
        <f t="shared" si="377"/>
        <v>-100179.57481518651</v>
      </c>
      <c r="K807" s="1324">
        <f t="shared" si="377"/>
        <v>-45291.613486360671</v>
      </c>
      <c r="L807" s="1324">
        <f t="shared" si="377"/>
        <v>-8554.8021942235973</v>
      </c>
      <c r="M807" s="1324">
        <f t="shared" si="377"/>
        <v>-4832.3783119245627</v>
      </c>
      <c r="N807" s="1324">
        <f t="shared" si="377"/>
        <v>-358.51651527029503</v>
      </c>
      <c r="O807" s="1324">
        <f t="shared" si="377"/>
        <v>-391.15656801054791</v>
      </c>
      <c r="P807" s="1324">
        <f t="shared" si="377"/>
        <v>-81.056739837151255</v>
      </c>
      <c r="Q807" s="1324">
        <f t="shared" si="377"/>
        <v>-40670.050999559695</v>
      </c>
      <c r="V807" s="1324" t="s">
        <v>5599</v>
      </c>
      <c r="Y807" s="1324"/>
    </row>
    <row r="808" spans="1:27" s="1324" customFormat="1">
      <c r="A808" s="1324" t="s">
        <v>4877</v>
      </c>
      <c r="C808" s="1393">
        <v>137</v>
      </c>
      <c r="D808" s="1320" t="s">
        <v>5244</v>
      </c>
      <c r="E808" s="1320" t="s">
        <v>4071</v>
      </c>
      <c r="F808" s="1324">
        <f t="shared" si="378"/>
        <v>-63941.411999888864</v>
      </c>
      <c r="G808" s="1324">
        <f t="shared" si="378"/>
        <v>0</v>
      </c>
      <c r="H808" s="1324">
        <f t="shared" si="378"/>
        <v>-63941.411999888864</v>
      </c>
      <c r="I808" s="1374">
        <f t="shared" si="379"/>
        <v>1</v>
      </c>
      <c r="J808" s="1324">
        <f t="shared" si="377"/>
        <v>-63941.411999888864</v>
      </c>
      <c r="K808" s="1324">
        <f t="shared" si="377"/>
        <v>-55299.438774958777</v>
      </c>
      <c r="L808" s="1324">
        <f t="shared" si="377"/>
        <v>-5350.1736251054599</v>
      </c>
      <c r="M808" s="1324">
        <f t="shared" si="377"/>
        <v>-2722.5655927374887</v>
      </c>
      <c r="N808" s="1324">
        <f t="shared" si="377"/>
        <v>-180.58841546810717</v>
      </c>
      <c r="O808" s="1324">
        <f t="shared" si="377"/>
        <v>-103.70901676858472</v>
      </c>
      <c r="P808" s="1324">
        <f t="shared" si="377"/>
        <v>-29.592652778200424</v>
      </c>
      <c r="Q808" s="1324">
        <f t="shared" si="377"/>
        <v>-255.34392207223974</v>
      </c>
      <c r="R808" s="1320"/>
      <c r="S808" s="1320"/>
      <c r="T808" s="1320"/>
      <c r="V808" s="1324" t="s">
        <v>5600</v>
      </c>
      <c r="Y808" s="1320"/>
      <c r="AA808" s="1320"/>
    </row>
    <row r="809" spans="1:27">
      <c r="A809" s="1320" t="s">
        <v>4877</v>
      </c>
      <c r="C809" s="1322">
        <v>138</v>
      </c>
      <c r="D809" s="1320" t="s">
        <v>5601</v>
      </c>
      <c r="F809" s="1427">
        <f>SUM(F800:F808)</f>
        <v>583955.99148130754</v>
      </c>
      <c r="G809" s="1427">
        <f>SUM(G800:G808)</f>
        <v>2151.5133552560787</v>
      </c>
      <c r="H809" s="1427">
        <f>SUM(H800:H808)</f>
        <v>581804.47812605195</v>
      </c>
      <c r="I809" s="1323">
        <f t="shared" si="379"/>
        <v>0.996315624145241</v>
      </c>
      <c r="J809" s="1421">
        <f t="shared" ref="J809:Q809" si="380">SUM(J800:J808)</f>
        <v>581804.47812605195</v>
      </c>
      <c r="K809" s="1421">
        <f t="shared" si="380"/>
        <v>326293.03420294385</v>
      </c>
      <c r="L809" s="1421">
        <f t="shared" si="380"/>
        <v>31496.477245804395</v>
      </c>
      <c r="M809" s="1421">
        <f t="shared" si="380"/>
        <v>157280.02859478258</v>
      </c>
      <c r="N809" s="1422">
        <f t="shared" si="380"/>
        <v>18679.756491804041</v>
      </c>
      <c r="O809" s="1422">
        <f>SUM(O800:O808)</f>
        <v>9762.1110806993183</v>
      </c>
      <c r="P809" s="1422">
        <f>SUM(P800:P808)</f>
        <v>1059.5508293490802</v>
      </c>
      <c r="Q809" s="1421">
        <f t="shared" si="380"/>
        <v>37233.519680668069</v>
      </c>
      <c r="V809" s="1324" t="s">
        <v>5602</v>
      </c>
    </row>
    <row r="810" spans="1:27">
      <c r="A810" s="1320" t="s">
        <v>4877</v>
      </c>
      <c r="C810" s="1322">
        <v>139</v>
      </c>
      <c r="G810" s="1320"/>
      <c r="I810" s="1320"/>
      <c r="K810" s="1320"/>
      <c r="L810" s="1320"/>
      <c r="M810" s="1320"/>
      <c r="N810" s="1320"/>
      <c r="O810" s="1324"/>
      <c r="Q810" s="1320"/>
      <c r="U810" s="1320"/>
      <c r="Y810" s="1324"/>
    </row>
    <row r="811" spans="1:27">
      <c r="A811" s="1320" t="s">
        <v>4877</v>
      </c>
      <c r="C811" s="1322">
        <v>140</v>
      </c>
      <c r="D811" s="1356" t="s">
        <v>5603</v>
      </c>
      <c r="E811" s="1444"/>
      <c r="G811" s="1320"/>
      <c r="M811" s="1324"/>
      <c r="P811" s="1325"/>
      <c r="Y811" s="1324"/>
    </row>
    <row r="812" spans="1:27">
      <c r="A812" s="1320" t="s">
        <v>4877</v>
      </c>
      <c r="C812" s="1322">
        <v>141</v>
      </c>
      <c r="D812" s="1320" t="s">
        <v>5354</v>
      </c>
      <c r="E812" s="1324" t="s">
        <v>4777</v>
      </c>
      <c r="F812" s="1324">
        <f>G812+H812</f>
        <v>353693.72295935004</v>
      </c>
      <c r="G812" s="1324">
        <f>+G800*'Tax &amp; Debt Inputs'!$C$3</f>
        <v>1573.5161190807726</v>
      </c>
      <c r="H812" s="1324">
        <f>+H800*'Tax &amp; Debt Inputs'!$C$3</f>
        <v>352120.20684026927</v>
      </c>
      <c r="I812" s="1374">
        <f>IF(F812=0,0,+H812/F812)</f>
        <v>0.9955511901485975</v>
      </c>
      <c r="J812" s="1324">
        <f>+J800*'Tax &amp; Debt Inputs'!$C$3</f>
        <v>352120.20684026927</v>
      </c>
      <c r="K812" s="1324">
        <f>+K800*'Tax &amp; Debt Inputs'!$C$3</f>
        <v>204620.95036988688</v>
      </c>
      <c r="L812" s="1324">
        <f>+L800*'Tax &amp; Debt Inputs'!$C$3</f>
        <v>18895.600586141998</v>
      </c>
      <c r="M812" s="1324">
        <f>+M800*'Tax &amp; Debt Inputs'!$C$3</f>
        <v>93749.579143229319</v>
      </c>
      <c r="N812" s="1324">
        <f>+N800*'Tax &amp; Debt Inputs'!$C$3</f>
        <v>11162.542384953489</v>
      </c>
      <c r="O812" s="1324">
        <f>+O800*'Tax &amp; Debt Inputs'!$C$3</f>
        <v>6569.0091406675228</v>
      </c>
      <c r="P812" s="1324">
        <f>+P800*'Tax &amp; Debt Inputs'!$C$3</f>
        <v>709.15314890699995</v>
      </c>
      <c r="Q812" s="1324">
        <f>+Q800*'Tax &amp; Debt Inputs'!$C$3</f>
        <v>16413.372066483</v>
      </c>
      <c r="V812" s="1324" t="s">
        <v>5604</v>
      </c>
    </row>
    <row r="813" spans="1:27">
      <c r="A813" s="1320" t="s">
        <v>4877</v>
      </c>
      <c r="C813" s="1322">
        <v>142</v>
      </c>
      <c r="D813" s="1320" t="s">
        <v>5265</v>
      </c>
      <c r="E813" s="1324" t="s">
        <v>4067</v>
      </c>
      <c r="F813" s="1324">
        <f t="shared" ref="F813:F820" si="381">G813+H813</f>
        <v>-118452.118587877</v>
      </c>
      <c r="G813" s="1324">
        <f>+G801*'Tax &amp; Debt Inputs'!$C$3</f>
        <v>0</v>
      </c>
      <c r="H813" s="1324">
        <f>+H801*'Tax &amp; Debt Inputs'!$C$3</f>
        <v>-118452.118587877</v>
      </c>
      <c r="I813" s="1374">
        <f t="shared" ref="I813:I821" si="382">IF(F813=0,0,+H813/F813)</f>
        <v>1</v>
      </c>
      <c r="J813" s="1324">
        <f>+J801*'Tax &amp; Debt Inputs'!$C$3</f>
        <v>-118452.118587877</v>
      </c>
      <c r="K813" s="1324">
        <f>+K801*'Tax &amp; Debt Inputs'!$C$3</f>
        <v>-68016.943791239522</v>
      </c>
      <c r="L813" s="1324">
        <f>+L801*'Tax &amp; Debt Inputs'!$C$3</f>
        <v>-5656.3329640441671</v>
      </c>
      <c r="M813" s="1324">
        <f>+M801*'Tax &amp; Debt Inputs'!$C$3</f>
        <v>-36607.279663459878</v>
      </c>
      <c r="N813" s="1324">
        <f>+N801*'Tax &amp; Debt Inputs'!$C$3</f>
        <v>-4678.6580961489071</v>
      </c>
      <c r="O813" s="1324">
        <f>+O801*'Tax &amp; Debt Inputs'!$C$3</f>
        <v>-3367.244910640688</v>
      </c>
      <c r="P813" s="1324">
        <f>+P801*'Tax &amp; Debt Inputs'!$C$3</f>
        <v>-125.65916234390143</v>
      </c>
      <c r="Q813" s="1324">
        <f>+Q801*'Tax &amp; Debt Inputs'!$C$3</f>
        <v>0</v>
      </c>
      <c r="V813" s="1324" t="s">
        <v>5605</v>
      </c>
    </row>
    <row r="814" spans="1:27">
      <c r="A814" s="1320" t="s">
        <v>4877</v>
      </c>
      <c r="C814" s="1322">
        <v>143</v>
      </c>
      <c r="D814" s="1320" t="s">
        <v>5265</v>
      </c>
      <c r="E814" s="1324" t="s">
        <v>2067</v>
      </c>
      <c r="F814" s="1324">
        <f t="shared" si="381"/>
        <v>-16916.597610147608</v>
      </c>
      <c r="G814" s="1324">
        <f>+G802*'Tax &amp; Debt Inputs'!$C$3</f>
        <v>-3.6693488390392306E-4</v>
      </c>
      <c r="H814" s="1324">
        <f>+H802*'Tax &amp; Debt Inputs'!$C$3</f>
        <v>-16916.597243212724</v>
      </c>
      <c r="I814" s="1374">
        <f t="shared" si="382"/>
        <v>0.99999997830917942</v>
      </c>
      <c r="J814" s="1324">
        <f>+J802*'Tax &amp; Debt Inputs'!$C$3</f>
        <v>-16916.597243212724</v>
      </c>
      <c r="K814" s="1324">
        <f>+K802*'Tax &amp; Debt Inputs'!$C$3</f>
        <v>-8559.0723625445135</v>
      </c>
      <c r="L814" s="1324">
        <f>+L802*'Tax &amp; Debt Inputs'!$C$3</f>
        <v>-788.65869081834433</v>
      </c>
      <c r="M814" s="1324">
        <f>+M802*'Tax &amp; Debt Inputs'!$C$3</f>
        <v>-5860.2123029825807</v>
      </c>
      <c r="N814" s="1324">
        <f>+N802*'Tax &amp; Debt Inputs'!$C$3</f>
        <v>-931.08118674044761</v>
      </c>
      <c r="O814" s="1324">
        <f>+O802*'Tax &amp; Debt Inputs'!$C$3</f>
        <v>-688.26732174511938</v>
      </c>
      <c r="P814" s="1324">
        <f>+P802*'Tax &amp; Debt Inputs'!$C$3</f>
        <v>-89.305378381715357</v>
      </c>
      <c r="Q814" s="1324">
        <f>+Q802*'Tax &amp; Debt Inputs'!$C$3</f>
        <v>0</v>
      </c>
      <c r="V814" s="1324" t="s">
        <v>5606</v>
      </c>
      <c r="Y814" s="1324"/>
    </row>
    <row r="815" spans="1:27">
      <c r="A815" s="1320" t="s">
        <v>4877</v>
      </c>
      <c r="C815" s="1322">
        <v>144</v>
      </c>
      <c r="D815" s="1324" t="s">
        <v>5268</v>
      </c>
      <c r="E815" s="1324" t="s">
        <v>4067</v>
      </c>
      <c r="F815" s="1324">
        <f t="shared" si="381"/>
        <v>-6009.4000368649686</v>
      </c>
      <c r="G815" s="1324">
        <f>+G803*'Tax &amp; Debt Inputs'!$C$3</f>
        <v>-489.12395817097712</v>
      </c>
      <c r="H815" s="1324">
        <f>+H803*'Tax &amp; Debt Inputs'!$C$3</f>
        <v>-5520.2760786939916</v>
      </c>
      <c r="I815" s="1374">
        <f t="shared" si="382"/>
        <v>0.91860685672938713</v>
      </c>
      <c r="J815" s="1324">
        <f>+J803*'Tax &amp; Debt Inputs'!$C$3</f>
        <v>-5520.2760786939916</v>
      </c>
      <c r="K815" s="1324">
        <f>+K803*'Tax &amp; Debt Inputs'!$C$3</f>
        <v>-3201.8321107255306</v>
      </c>
      <c r="L815" s="1324">
        <f>+L803*'Tax &amp; Debt Inputs'!$C$3</f>
        <v>-264.11885367885662</v>
      </c>
      <c r="M815" s="1324">
        <f>+M803*'Tax &amp; Debt Inputs'!$C$3</f>
        <v>-1688.3791415227704</v>
      </c>
      <c r="N815" s="1324">
        <f>+N803*'Tax &amp; Debt Inputs'!$C$3</f>
        <v>-210.7717494348627</v>
      </c>
      <c r="O815" s="1324">
        <f>+O803*'Tax &amp; Debt Inputs'!$C$3</f>
        <v>-151.26038839590362</v>
      </c>
      <c r="P815" s="1324">
        <f>+P803*'Tax &amp; Debt Inputs'!$C$3</f>
        <v>-3.9138349360682749</v>
      </c>
      <c r="Q815" s="1324">
        <f>+Q803*'Tax &amp; Debt Inputs'!$C$3</f>
        <v>0</v>
      </c>
      <c r="V815" s="1324" t="s">
        <v>5607</v>
      </c>
      <c r="Y815" s="1324"/>
    </row>
    <row r="816" spans="1:27">
      <c r="A816" s="1320" t="s">
        <v>4877</v>
      </c>
      <c r="C816" s="1322">
        <v>145</v>
      </c>
      <c r="D816" s="1320" t="s">
        <v>5239</v>
      </c>
      <c r="E816" s="1324" t="s">
        <v>4067</v>
      </c>
      <c r="F816" s="1324">
        <f t="shared" si="381"/>
        <v>-8233.4529883724954</v>
      </c>
      <c r="G816" s="1324">
        <f>+G804*'Tax &amp; Debt Inputs'!$C$3</f>
        <v>-632.57398937113499</v>
      </c>
      <c r="H816" s="1324">
        <f>+H804*'Tax &amp; Debt Inputs'!$C$3</f>
        <v>-7600.8789990013611</v>
      </c>
      <c r="I816" s="1374">
        <f t="shared" si="382"/>
        <v>0.92317026765508081</v>
      </c>
      <c r="J816" s="1324">
        <f>+J804*'Tax &amp; Debt Inputs'!$C$3</f>
        <v>-7600.8789990013611</v>
      </c>
      <c r="K816" s="1324">
        <f>+K804*'Tax &amp; Debt Inputs'!$C$3</f>
        <v>-4408.6089358232903</v>
      </c>
      <c r="L816" s="1324">
        <f>+L804*'Tax &amp; Debt Inputs'!$C$3</f>
        <v>-363.66576952848459</v>
      </c>
      <c r="M816" s="1324">
        <f>+M804*'Tax &amp; Debt Inputs'!$C$3</f>
        <v>-2324.7325634098534</v>
      </c>
      <c r="N816" s="1324">
        <f>+N804*'Tax &amp; Debt Inputs'!$C$3</f>
        <v>-290.21203668517325</v>
      </c>
      <c r="O816" s="1324">
        <f>+O804*'Tax &amp; Debt Inputs'!$C$3</f>
        <v>-208.27072652699945</v>
      </c>
      <c r="P816" s="1324">
        <f>+P804*'Tax &amp; Debt Inputs'!$C$3</f>
        <v>-5.3889670275616419</v>
      </c>
      <c r="Q816" s="1324">
        <f>+Q804*'Tax &amp; Debt Inputs'!$C$3</f>
        <v>0</v>
      </c>
      <c r="V816" s="1324" t="s">
        <v>5608</v>
      </c>
      <c r="Y816" s="1324"/>
    </row>
    <row r="817" spans="1:27" s="1324" customFormat="1">
      <c r="A817" s="1320" t="s">
        <v>4877</v>
      </c>
      <c r="C817" s="1322">
        <v>146</v>
      </c>
      <c r="D817" s="1320" t="s">
        <v>5240</v>
      </c>
      <c r="E817" s="1324" t="s">
        <v>4067</v>
      </c>
      <c r="F817" s="1324">
        <f t="shared" si="381"/>
        <v>-32585.287231346192</v>
      </c>
      <c r="G817" s="1324">
        <f>+G805*'Tax &amp; Debt Inputs'!$C$3</f>
        <v>0</v>
      </c>
      <c r="H817" s="1324">
        <f>+H805*'Tax &amp; Debt Inputs'!$C$3</f>
        <v>-32585.287231346192</v>
      </c>
      <c r="I817" s="1374">
        <f t="shared" si="382"/>
        <v>1</v>
      </c>
      <c r="J817" s="1324">
        <f>+J805*'Tax &amp; Debt Inputs'!$C$3</f>
        <v>-32585.287231346192</v>
      </c>
      <c r="K817" s="1324">
        <f>+K805*'Tax &amp; Debt Inputs'!$C$3</f>
        <v>-20281.604530917532</v>
      </c>
      <c r="L817" s="1324">
        <f>+L805*'Tax &amp; Debt Inputs'!$C$3</f>
        <v>-1442.4785817074201</v>
      </c>
      <c r="M817" s="1324">
        <f>+M805*'Tax &amp; Debt Inputs'!$C$3</f>
        <v>-9658.2947505091597</v>
      </c>
      <c r="N817" s="1324">
        <f>+N805*'Tax &amp; Debt Inputs'!$C$3</f>
        <v>-1015.8584172101862</v>
      </c>
      <c r="O817" s="1324">
        <f>+O805*'Tax &amp; Debt Inputs'!$C$3</f>
        <v>-6.9360833718455856E-4</v>
      </c>
      <c r="P817" s="1324">
        <f>+P805*'Tax &amp; Debt Inputs'!$C$3</f>
        <v>-187.05025739356665</v>
      </c>
      <c r="Q817" s="1324">
        <f>+Q805*'Tax &amp; Debt Inputs'!$C$3</f>
        <v>0</v>
      </c>
      <c r="R817" s="1320"/>
      <c r="S817" s="1320"/>
      <c r="T817" s="1320"/>
      <c r="V817" s="1324" t="s">
        <v>5609</v>
      </c>
      <c r="AA817" s="1320"/>
    </row>
    <row r="818" spans="1:27">
      <c r="A818" s="1320" t="s">
        <v>4877</v>
      </c>
      <c r="C818" s="1322">
        <v>147</v>
      </c>
      <c r="D818" s="1324" t="s">
        <v>5241</v>
      </c>
      <c r="E818" s="1324" t="s">
        <v>4067</v>
      </c>
      <c r="F818" s="1324">
        <f t="shared" si="381"/>
        <v>-14400.701062501284</v>
      </c>
      <c r="G818" s="1324">
        <f>+G806*'Tax &amp; Debt Inputs'!$C$3</f>
        <v>0</v>
      </c>
      <c r="H818" s="1324">
        <f>+H806*'Tax &amp; Debt Inputs'!$C$3</f>
        <v>-14400.701062501284</v>
      </c>
      <c r="I818" s="1374">
        <f t="shared" si="382"/>
        <v>1</v>
      </c>
      <c r="J818" s="1324">
        <f>+J806*'Tax &amp; Debt Inputs'!$C$3</f>
        <v>-14400.701062501284</v>
      </c>
      <c r="K818" s="1324">
        <f>+K806*'Tax &amp; Debt Inputs'!$C$3</f>
        <v>-10507.230481141216</v>
      </c>
      <c r="L818" s="1324">
        <f>+L806*'Tax &amp; Debt Inputs'!$C$3</f>
        <v>-846.04058268669871</v>
      </c>
      <c r="M818" s="1324">
        <f>+M806*'Tax &amp; Debt Inputs'!$C$3</f>
        <v>-2995.3364964617122</v>
      </c>
      <c r="N818" s="1324">
        <f>+N806*'Tax &amp; Debt Inputs'!$C$3</f>
        <v>0</v>
      </c>
      <c r="O818" s="1324">
        <f>+O806*'Tax &amp; Debt Inputs'!$C$3</f>
        <v>0</v>
      </c>
      <c r="P818" s="1324">
        <f>+P806*'Tax &amp; Debt Inputs'!$C$3</f>
        <v>-52.093502211655945</v>
      </c>
      <c r="Q818" s="1324">
        <f>+Q806*'Tax &amp; Debt Inputs'!$C$3</f>
        <v>0</v>
      </c>
      <c r="R818" s="1324"/>
      <c r="S818" s="1324"/>
      <c r="T818" s="1324"/>
      <c r="V818" s="1324" t="s">
        <v>5610</v>
      </c>
      <c r="Y818" s="1324"/>
    </row>
    <row r="819" spans="1:27">
      <c r="A819" s="1320" t="s">
        <v>4877</v>
      </c>
      <c r="C819" s="1322">
        <v>148</v>
      </c>
      <c r="D819" s="1320" t="s">
        <v>5242</v>
      </c>
      <c r="E819" s="1324" t="s">
        <v>4071</v>
      </c>
      <c r="F819" s="1324">
        <f t="shared" si="381"/>
        <v>-21037.710711189167</v>
      </c>
      <c r="G819" s="1324">
        <f>+G807*'Tax &amp; Debt Inputs'!$C$3</f>
        <v>0</v>
      </c>
      <c r="H819" s="1324">
        <f>+H807*'Tax &amp; Debt Inputs'!$C$3</f>
        <v>-21037.710711189167</v>
      </c>
      <c r="I819" s="1374">
        <f t="shared" si="382"/>
        <v>1</v>
      </c>
      <c r="J819" s="1324">
        <f>+J807*'Tax &amp; Debt Inputs'!$C$3</f>
        <v>-21037.710711189167</v>
      </c>
      <c r="K819" s="1324">
        <f>+K807*'Tax &amp; Debt Inputs'!$C$3</f>
        <v>-9511.2388321357412</v>
      </c>
      <c r="L819" s="1324">
        <f>+L807*'Tax &amp; Debt Inputs'!$C$3</f>
        <v>-1796.5084607869553</v>
      </c>
      <c r="M819" s="1324">
        <f>+M807*'Tax &amp; Debt Inputs'!$C$3</f>
        <v>-1014.7994455041581</v>
      </c>
      <c r="N819" s="1324">
        <f>+N807*'Tax &amp; Debt Inputs'!$C$3</f>
        <v>-75.288468206761948</v>
      </c>
      <c r="O819" s="1324">
        <f>+O807*'Tax &amp; Debt Inputs'!$C$3</f>
        <v>-82.142879282215063</v>
      </c>
      <c r="P819" s="1324">
        <f>+P807*'Tax &amp; Debt Inputs'!$C$3</f>
        <v>-17.021915365801764</v>
      </c>
      <c r="Q819" s="1324">
        <f>+Q807*'Tax &amp; Debt Inputs'!$C$3</f>
        <v>-8540.7107099075365</v>
      </c>
      <c r="V819" s="1324" t="s">
        <v>5611</v>
      </c>
      <c r="Y819" s="1324"/>
    </row>
    <row r="820" spans="1:27">
      <c r="A820" s="1320" t="s">
        <v>4877</v>
      </c>
      <c r="C820" s="1322">
        <v>149</v>
      </c>
      <c r="D820" s="1320" t="s">
        <v>5244</v>
      </c>
      <c r="E820" s="1324" t="s">
        <v>4071</v>
      </c>
      <c r="F820" s="1324">
        <f t="shared" si="381"/>
        <v>-13427.69651997666</v>
      </c>
      <c r="G820" s="1324">
        <f>+G808*'Tax &amp; Debt Inputs'!$C$3</f>
        <v>0</v>
      </c>
      <c r="H820" s="1324">
        <f>+H808*'Tax &amp; Debt Inputs'!$C$3</f>
        <v>-13427.69651997666</v>
      </c>
      <c r="I820" s="1374">
        <f t="shared" si="382"/>
        <v>1</v>
      </c>
      <c r="J820" s="1324">
        <f>+J808*'Tax &amp; Debt Inputs'!$C$3</f>
        <v>-13427.69651997666</v>
      </c>
      <c r="K820" s="1324">
        <f>+K808*'Tax &amp; Debt Inputs'!$C$3</f>
        <v>-11612.882142741342</v>
      </c>
      <c r="L820" s="1324">
        <f>+L808*'Tax &amp; Debt Inputs'!$C$3</f>
        <v>-1123.5364612721464</v>
      </c>
      <c r="M820" s="1324">
        <f>+M808*'Tax &amp; Debt Inputs'!$C$3</f>
        <v>-571.73877447487257</v>
      </c>
      <c r="N820" s="1324">
        <f>+N808*'Tax &amp; Debt Inputs'!$C$3</f>
        <v>-37.923567248302504</v>
      </c>
      <c r="O820" s="1324">
        <f>+O808*'Tax &amp; Debt Inputs'!$C$3</f>
        <v>-21.778893521402789</v>
      </c>
      <c r="P820" s="1324">
        <f>+P808*'Tax &amp; Debt Inputs'!$C$3</f>
        <v>-6.2144570834220891</v>
      </c>
      <c r="Q820" s="1324">
        <f>+Q808*'Tax &amp; Debt Inputs'!$C$3</f>
        <v>-53.622223635170343</v>
      </c>
      <c r="V820" s="1324" t="s">
        <v>5612</v>
      </c>
      <c r="Y820" s="1324"/>
    </row>
    <row r="821" spans="1:27">
      <c r="A821" s="1320" t="s">
        <v>4877</v>
      </c>
      <c r="C821" s="1322">
        <v>150</v>
      </c>
      <c r="D821" s="1320" t="s">
        <v>5613</v>
      </c>
      <c r="F821" s="1427">
        <f>SUM(F812:F820)</f>
        <v>122630.75821107463</v>
      </c>
      <c r="G821" s="1427">
        <f>SUM(G812:G820)</f>
        <v>451.81780460377649</v>
      </c>
      <c r="H821" s="1427">
        <f>SUM(H812:H820)</f>
        <v>122178.94040647088</v>
      </c>
      <c r="I821" s="1323">
        <f t="shared" si="382"/>
        <v>0.99631562414524033</v>
      </c>
      <c r="J821" s="1421">
        <f t="shared" ref="J821:Q821" si="383">SUM(J812:J820)</f>
        <v>122178.94040647088</v>
      </c>
      <c r="K821" s="1421">
        <f t="shared" si="383"/>
        <v>68521.537182618194</v>
      </c>
      <c r="L821" s="1421">
        <f t="shared" si="383"/>
        <v>6614.2602216189262</v>
      </c>
      <c r="M821" s="1421">
        <f t="shared" si="383"/>
        <v>33028.806004904342</v>
      </c>
      <c r="N821" s="1422">
        <f t="shared" si="383"/>
        <v>3922.7488632788481</v>
      </c>
      <c r="O821" s="1422">
        <f>SUM(O812:O820)</f>
        <v>2050.0433269468567</v>
      </c>
      <c r="P821" s="1422">
        <f>SUM(P812:P820)</f>
        <v>222.50567416330676</v>
      </c>
      <c r="Q821" s="1421">
        <f t="shared" si="383"/>
        <v>7819.0391329402928</v>
      </c>
      <c r="V821" s="1324" t="s">
        <v>5614</v>
      </c>
      <c r="Y821" s="1324"/>
    </row>
    <row r="822" spans="1:27">
      <c r="A822" s="1320" t="s">
        <v>4877</v>
      </c>
      <c r="C822" s="1322">
        <v>151</v>
      </c>
      <c r="G822" s="1320"/>
      <c r="I822" s="1320"/>
      <c r="K822" s="1320"/>
      <c r="L822" s="1320"/>
      <c r="M822" s="1320"/>
      <c r="N822" s="1320"/>
      <c r="O822" s="1324"/>
      <c r="Q822" s="1320"/>
      <c r="U822" s="1320"/>
    </row>
    <row r="823" spans="1:27">
      <c r="A823" s="1320" t="s">
        <v>4877</v>
      </c>
      <c r="C823" s="1322">
        <v>152</v>
      </c>
      <c r="D823" s="1356" t="s">
        <v>5615</v>
      </c>
      <c r="G823" s="1320"/>
      <c r="M823" s="1324"/>
      <c r="P823" s="1325"/>
      <c r="Y823" s="1324"/>
    </row>
    <row r="824" spans="1:27">
      <c r="A824" s="1320" t="s">
        <v>4877</v>
      </c>
      <c r="B824" s="1321">
        <v>101</v>
      </c>
      <c r="C824" s="1322">
        <v>153</v>
      </c>
      <c r="D824" s="1320" t="s">
        <v>5265</v>
      </c>
      <c r="E824" s="1320" t="s">
        <v>4067</v>
      </c>
      <c r="F824" s="1320">
        <f>+'Allocation Assignment'!F259</f>
        <v>-68582.838555723458</v>
      </c>
      <c r="G824" s="1358">
        <f>+$F824*G$1933</f>
        <v>0</v>
      </c>
      <c r="H824" s="1358">
        <f>+$F824*H$1933</f>
        <v>-68582.838555723458</v>
      </c>
      <c r="I824" s="1323">
        <f t="shared" ref="I824:I845" si="384">IF(F824=0,0,+H824/F824)</f>
        <v>1</v>
      </c>
      <c r="J824" s="1364">
        <f t="shared" ref="J824:J831" si="385">+H824</f>
        <v>-68582.838555723458</v>
      </c>
      <c r="K824" s="1324">
        <f t="shared" ref="K824:Q824" si="386">$J824*K$1951</f>
        <v>-39381.271780526127</v>
      </c>
      <c r="L824" s="1324">
        <f t="shared" si="386"/>
        <v>-3274.9719896538863</v>
      </c>
      <c r="M824" s="1324">
        <f t="shared" si="386"/>
        <v>-21195.325006033596</v>
      </c>
      <c r="N824" s="1324">
        <f t="shared" si="386"/>
        <v>-2708.9059840458522</v>
      </c>
      <c r="O824" s="1324">
        <f t="shared" si="386"/>
        <v>-1949.6081356512495</v>
      </c>
      <c r="P824" s="1324">
        <f t="shared" si="386"/>
        <v>-72.755659812751119</v>
      </c>
      <c r="Q824" s="1324">
        <f t="shared" si="386"/>
        <v>0</v>
      </c>
      <c r="R824" s="1324"/>
      <c r="S824" s="1324">
        <v>122</v>
      </c>
      <c r="V824" s="1326" t="s">
        <v>9476</v>
      </c>
      <c r="W824" s="1321">
        <v>122</v>
      </c>
      <c r="Y824" s="1324"/>
    </row>
    <row r="825" spans="1:27">
      <c r="A825" s="1320" t="s">
        <v>4877</v>
      </c>
      <c r="B825" s="1326">
        <v>101</v>
      </c>
      <c r="C825" s="1322">
        <v>154</v>
      </c>
      <c r="D825" s="1324" t="s">
        <v>5265</v>
      </c>
      <c r="E825" s="1324" t="s">
        <v>2067</v>
      </c>
      <c r="F825" s="1320">
        <f>+'Allocation Assignment'!F260</f>
        <v>-4743.2198332172475</v>
      </c>
      <c r="G825" s="1364">
        <f>+$F825*G$1933</f>
        <v>0</v>
      </c>
      <c r="H825" s="1364">
        <f>+$F825*H$1933</f>
        <v>-4743.2198332172475</v>
      </c>
      <c r="I825" s="1374">
        <f t="shared" si="384"/>
        <v>1</v>
      </c>
      <c r="J825" s="1364">
        <f t="shared" si="385"/>
        <v>-4743.2198332172475</v>
      </c>
      <c r="K825" s="1364">
        <f t="shared" ref="K825:Q825" si="387">+$J825*K$1969</f>
        <v>-2393.5908758526421</v>
      </c>
      <c r="L825" s="1364">
        <f t="shared" si="387"/>
        <v>-221.19581704564214</v>
      </c>
      <c r="M825" s="1364">
        <f t="shared" si="387"/>
        <v>-1647.8229217025789</v>
      </c>
      <c r="N825" s="1367">
        <f t="shared" si="387"/>
        <v>-262.30691418245152</v>
      </c>
      <c r="O825" s="1367">
        <f t="shared" si="387"/>
        <v>-193.24461578955797</v>
      </c>
      <c r="P825" s="1367">
        <f t="shared" si="387"/>
        <v>-25.058688644374744</v>
      </c>
      <c r="Q825" s="1364">
        <f t="shared" si="387"/>
        <v>0</v>
      </c>
      <c r="R825" s="1364"/>
      <c r="S825" s="1324">
        <v>201</v>
      </c>
      <c r="T825" s="1324"/>
      <c r="V825" s="1326" t="s">
        <v>5235</v>
      </c>
      <c r="W825" s="1321">
        <v>201</v>
      </c>
      <c r="Y825" s="1324"/>
    </row>
    <row r="826" spans="1:27">
      <c r="A826" s="1320" t="s">
        <v>4877</v>
      </c>
      <c r="B826" s="1321">
        <v>117</v>
      </c>
      <c r="C826" s="1322">
        <v>155</v>
      </c>
      <c r="D826" s="1320" t="s">
        <v>5268</v>
      </c>
      <c r="E826" s="1320" t="s">
        <v>4067</v>
      </c>
      <c r="F826" s="1320">
        <f>+'Allocation Assignment'!F261</f>
        <v>-1523.2640792379241</v>
      </c>
      <c r="G826" s="1358">
        <f>+$F826*G$1942+(101/176*-'Separation F'!C7)</f>
        <v>-127.38067232065096</v>
      </c>
      <c r="H826" s="1358">
        <f>+$F826*H$1942+(1453/2540*'Separation F'!C7)</f>
        <v>-1395.9742265307304</v>
      </c>
      <c r="I826" s="1323">
        <f t="shared" si="384"/>
        <v>0.91643612263812091</v>
      </c>
      <c r="J826" s="1364">
        <f t="shared" si="385"/>
        <v>-1395.9742265307304</v>
      </c>
      <c r="K826" s="1364">
        <f t="shared" ref="K826:Q827" si="388">+$J826*K$1945</f>
        <v>-809.68325506444262</v>
      </c>
      <c r="L826" s="1364">
        <f t="shared" si="388"/>
        <v>-66.790701628052346</v>
      </c>
      <c r="M826" s="1364">
        <f t="shared" si="388"/>
        <v>-426.95940068553244</v>
      </c>
      <c r="N826" s="1367">
        <f t="shared" si="388"/>
        <v>-53.300220079114574</v>
      </c>
      <c r="O826" s="1367">
        <f t="shared" si="388"/>
        <v>-38.250913665474769</v>
      </c>
      <c r="P826" s="1367">
        <f t="shared" si="388"/>
        <v>-0.98973540811376681</v>
      </c>
      <c r="Q826" s="1364">
        <f t="shared" si="388"/>
        <v>0</v>
      </c>
      <c r="R826" s="1358"/>
      <c r="S826" s="1320">
        <v>118</v>
      </c>
      <c r="V826" s="1326" t="s">
        <v>9477</v>
      </c>
      <c r="W826" s="1321">
        <v>117</v>
      </c>
      <c r="Y826" s="1324"/>
    </row>
    <row r="827" spans="1:27">
      <c r="A827" s="1320" t="s">
        <v>4877</v>
      </c>
      <c r="B827" s="1321">
        <v>117</v>
      </c>
      <c r="C827" s="1322">
        <v>156</v>
      </c>
      <c r="D827" s="1320" t="s">
        <v>5239</v>
      </c>
      <c r="E827" s="1320" t="s">
        <v>4067</v>
      </c>
      <c r="F827" s="1320">
        <f>+'Allocation Assignment'!F262</f>
        <v>-1138.8649161845626</v>
      </c>
      <c r="G827" s="1358">
        <f>+$F827*G$1942+(75/176*-'Separation F'!C7)</f>
        <v>-95.090295473416859</v>
      </c>
      <c r="H827" s="1358">
        <f>+$F827*H$1942+(1086/2540*'Separation F'!C7)</f>
        <v>-1043.7034861370585</v>
      </c>
      <c r="I827" s="1323">
        <f t="shared" si="384"/>
        <v>0.91644186356507051</v>
      </c>
      <c r="J827" s="1364">
        <f t="shared" si="385"/>
        <v>-1043.7034861370585</v>
      </c>
      <c r="K827" s="1364">
        <f t="shared" si="388"/>
        <v>-605.36163198207646</v>
      </c>
      <c r="L827" s="1364">
        <f t="shared" si="388"/>
        <v>-49.936228625066079</v>
      </c>
      <c r="M827" s="1364">
        <f t="shared" si="388"/>
        <v>-319.21722225626615</v>
      </c>
      <c r="N827" s="1367">
        <f t="shared" si="388"/>
        <v>-39.850037666307671</v>
      </c>
      <c r="O827" s="1367">
        <f t="shared" si="388"/>
        <v>-28.598387550319735</v>
      </c>
      <c r="P827" s="1367">
        <f t="shared" si="388"/>
        <v>-0.73997805702244657</v>
      </c>
      <c r="Q827" s="1364">
        <f t="shared" si="388"/>
        <v>0</v>
      </c>
      <c r="R827" s="1358"/>
      <c r="S827" s="1320">
        <v>118</v>
      </c>
      <c r="V827" s="1326" t="s">
        <v>9477</v>
      </c>
      <c r="W827" s="1321">
        <v>117</v>
      </c>
      <c r="Y827" s="1324"/>
    </row>
    <row r="828" spans="1:27">
      <c r="A828" s="1320" t="s">
        <v>4877</v>
      </c>
      <c r="B828" s="1321">
        <v>105</v>
      </c>
      <c r="C828" s="1322">
        <v>157</v>
      </c>
      <c r="D828" s="1320" t="s">
        <v>5240</v>
      </c>
      <c r="E828" s="1320" t="s">
        <v>4067</v>
      </c>
      <c r="F828" s="1320">
        <f>+'Allocation Assignment'!F263</f>
        <v>-4001.5462141957942</v>
      </c>
      <c r="G828" s="1358">
        <f>+$F828*G$1936</f>
        <v>0</v>
      </c>
      <c r="H828" s="1358">
        <f>+$F828*H$1936</f>
        <v>-4001.5462141957942</v>
      </c>
      <c r="I828" s="1323">
        <f t="shared" si="384"/>
        <v>1</v>
      </c>
      <c r="J828" s="1364">
        <f t="shared" si="385"/>
        <v>-4001.5462141957942</v>
      </c>
      <c r="K828" s="1364">
        <f t="shared" ref="K828:Q828" si="389">+$J828*K$1936</f>
        <v>-2490.6264367814947</v>
      </c>
      <c r="L828" s="1364">
        <f t="shared" si="389"/>
        <v>-177.13959882290658</v>
      </c>
      <c r="M828" s="1364">
        <f t="shared" si="389"/>
        <v>-1186.0602154615526</v>
      </c>
      <c r="N828" s="1367">
        <f t="shared" si="389"/>
        <v>-124.74968763313296</v>
      </c>
      <c r="O828" s="1367">
        <f t="shared" si="389"/>
        <v>-8.5176656448973886E-5</v>
      </c>
      <c r="P828" s="1367">
        <f t="shared" si="389"/>
        <v>-22.970190320051792</v>
      </c>
      <c r="Q828" s="1364">
        <f t="shared" si="389"/>
        <v>0</v>
      </c>
      <c r="R828" s="1358"/>
      <c r="S828" s="1320">
        <v>105</v>
      </c>
      <c r="V828" s="1326" t="s">
        <v>5229</v>
      </c>
      <c r="W828" s="1321">
        <v>105</v>
      </c>
      <c r="Y828" s="1324"/>
    </row>
    <row r="829" spans="1:27">
      <c r="A829" s="1320" t="s">
        <v>4877</v>
      </c>
      <c r="B829" s="1321">
        <v>106</v>
      </c>
      <c r="C829" s="1322">
        <v>158</v>
      </c>
      <c r="D829" s="1320" t="s">
        <v>5241</v>
      </c>
      <c r="E829" s="1320" t="s">
        <v>4067</v>
      </c>
      <c r="F829" s="1320">
        <f>+'Allocation Assignment'!F264</f>
        <v>-1260.2703284984882</v>
      </c>
      <c r="G829" s="1358">
        <f>+$F829*G$1939</f>
        <v>0</v>
      </c>
      <c r="H829" s="1358">
        <f>+$F829*H$1939</f>
        <v>-1260.2703284984882</v>
      </c>
      <c r="I829" s="1323">
        <f t="shared" si="384"/>
        <v>1</v>
      </c>
      <c r="J829" s="1364">
        <f t="shared" si="385"/>
        <v>-1260.2703284984882</v>
      </c>
      <c r="K829" s="1364">
        <f t="shared" ref="K829:Q829" si="390">+$J829*K$1939</f>
        <v>-919.53514989340044</v>
      </c>
      <c r="L829" s="1364">
        <f t="shared" si="390"/>
        <v>-74.040828876175638</v>
      </c>
      <c r="M829" s="1364">
        <f t="shared" si="390"/>
        <v>-262.13541229524265</v>
      </c>
      <c r="N829" s="1367">
        <f t="shared" si="390"/>
        <v>0</v>
      </c>
      <c r="O829" s="1367">
        <f t="shared" si="390"/>
        <v>0</v>
      </c>
      <c r="P829" s="1367">
        <f t="shared" si="390"/>
        <v>-4.5589374336694384</v>
      </c>
      <c r="Q829" s="1364">
        <f t="shared" si="390"/>
        <v>0</v>
      </c>
      <c r="R829" s="1358"/>
      <c r="S829" s="1320">
        <v>106</v>
      </c>
      <c r="V829" s="1326" t="s">
        <v>5230</v>
      </c>
      <c r="W829" s="1321">
        <v>106</v>
      </c>
      <c r="Y829" s="1324"/>
    </row>
    <row r="830" spans="1:27">
      <c r="A830" s="1320" t="s">
        <v>4877</v>
      </c>
      <c r="B830" s="1321">
        <v>907</v>
      </c>
      <c r="C830" s="1322">
        <v>159</v>
      </c>
      <c r="D830" s="1320" t="s">
        <v>5242</v>
      </c>
      <c r="E830" s="1320" t="s">
        <v>4071</v>
      </c>
      <c r="F830" s="1320">
        <f>+'Allocation Assignment'!F265</f>
        <v>-7111.1672368342252</v>
      </c>
      <c r="G830" s="1358">
        <f>+$F830*G$2055</f>
        <v>0</v>
      </c>
      <c r="H830" s="1358">
        <f>+$F830*H$2055</f>
        <v>-7111.1672368342252</v>
      </c>
      <c r="I830" s="1323">
        <f t="shared" si="384"/>
        <v>1</v>
      </c>
      <c r="J830" s="1364">
        <f t="shared" si="385"/>
        <v>-7111.1672368342252</v>
      </c>
      <c r="K830" s="1364">
        <f t="shared" ref="K830:Q830" si="391">+$J830*K$2055</f>
        <v>-2621.5795982323903</v>
      </c>
      <c r="L830" s="1364">
        <f t="shared" si="391"/>
        <v>-397.65915501273219</v>
      </c>
      <c r="M830" s="1364">
        <f t="shared" si="391"/>
        <v>-191.71117762958528</v>
      </c>
      <c r="N830" s="1367">
        <f t="shared" si="391"/>
        <v>-12.358688169381738</v>
      </c>
      <c r="O830" s="1367">
        <f t="shared" si="391"/>
        <v>-13.483847587337237</v>
      </c>
      <c r="P830" s="1367">
        <f t="shared" si="391"/>
        <v>-3.0947039313862232</v>
      </c>
      <c r="Q830" s="1364">
        <f t="shared" si="391"/>
        <v>-3871.280066271413</v>
      </c>
      <c r="R830" s="1358"/>
      <c r="S830" s="1320">
        <v>907</v>
      </c>
      <c r="V830" s="1326" t="s">
        <v>5243</v>
      </c>
      <c r="W830" s="1321">
        <v>907</v>
      </c>
      <c r="Y830" s="1324"/>
    </row>
    <row r="831" spans="1:27">
      <c r="A831" s="1320" t="s">
        <v>4877</v>
      </c>
      <c r="B831" s="1320">
        <v>412</v>
      </c>
      <c r="C831" s="1322">
        <v>160</v>
      </c>
      <c r="D831" s="1324" t="s">
        <v>5244</v>
      </c>
      <c r="E831" s="1324" t="s">
        <v>4071</v>
      </c>
      <c r="F831" s="1320">
        <f>+'Allocation Assignment'!F266</f>
        <v>-841.51367610829675</v>
      </c>
      <c r="G831" s="1364">
        <f>+$F831*G$2021</f>
        <v>0</v>
      </c>
      <c r="H831" s="1364">
        <f>+$F831*H$2021</f>
        <v>-841.51367610829675</v>
      </c>
      <c r="I831" s="1323">
        <f t="shared" si="384"/>
        <v>1</v>
      </c>
      <c r="J831" s="1364">
        <f t="shared" si="385"/>
        <v>-841.51367610829675</v>
      </c>
      <c r="K831" s="1364">
        <f t="shared" ref="K831:Q831" si="392">+$J831*K$2021</f>
        <v>-750.5349519858521</v>
      </c>
      <c r="L831" s="1364">
        <f t="shared" si="392"/>
        <v>-72.7576071341974</v>
      </c>
      <c r="M831" s="1364">
        <f t="shared" si="392"/>
        <v>-17.919578580504666</v>
      </c>
      <c r="N831" s="1367">
        <f t="shared" si="392"/>
        <v>-6.0502852038952747E-2</v>
      </c>
      <c r="O831" s="1367">
        <f t="shared" si="392"/>
        <v>-1.0734376974652907E-2</v>
      </c>
      <c r="P831" s="1367">
        <f t="shared" si="392"/>
        <v>-0.23030117872891692</v>
      </c>
      <c r="Q831" s="1364">
        <f t="shared" si="392"/>
        <v>0</v>
      </c>
      <c r="R831" s="1358"/>
      <c r="S831" s="1320">
        <v>412</v>
      </c>
      <c r="V831" s="1326" t="s">
        <v>5245</v>
      </c>
      <c r="W831" s="1321">
        <v>412</v>
      </c>
      <c r="Y831" s="1324"/>
    </row>
    <row r="832" spans="1:27">
      <c r="A832" s="1320" t="s">
        <v>4877</v>
      </c>
      <c r="C832" s="1322">
        <v>161</v>
      </c>
      <c r="D832" s="1320" t="s">
        <v>5616</v>
      </c>
      <c r="F832" s="1427">
        <f>+SUM(F824:F831)</f>
        <v>-89202.684840000002</v>
      </c>
      <c r="G832" s="1427">
        <f>SUM(G824:G831)</f>
        <v>-222.4709677940678</v>
      </c>
      <c r="H832" s="1427">
        <f>SUM(H824:H831)</f>
        <v>-88980.233557245301</v>
      </c>
      <c r="I832" s="1323">
        <f t="shared" si="384"/>
        <v>0.99750622659896726</v>
      </c>
      <c r="J832" s="1421">
        <f t="shared" ref="J832:Q832" si="393">SUM(J824:J831)</f>
        <v>-88980.233557245301</v>
      </c>
      <c r="K832" s="1421">
        <f t="shared" si="393"/>
        <v>-49972.183680318427</v>
      </c>
      <c r="L832" s="1421">
        <f t="shared" si="393"/>
        <v>-4334.4919267986588</v>
      </c>
      <c r="M832" s="1421">
        <f t="shared" si="393"/>
        <v>-25247.150934644862</v>
      </c>
      <c r="N832" s="1422">
        <f t="shared" si="393"/>
        <v>-3201.5320346282801</v>
      </c>
      <c r="O832" s="1422">
        <f>SUM(O824:O831)</f>
        <v>-2223.19671979757</v>
      </c>
      <c r="P832" s="1422">
        <f>SUM(P824:P831)</f>
        <v>-130.39819478609846</v>
      </c>
      <c r="Q832" s="1421">
        <f t="shared" si="393"/>
        <v>-3871.280066271413</v>
      </c>
      <c r="R832" s="1358"/>
      <c r="V832" s="1324" t="s">
        <v>5617</v>
      </c>
      <c r="Y832" s="1324"/>
    </row>
    <row r="833" spans="1:25">
      <c r="A833" s="1320" t="s">
        <v>4877</v>
      </c>
      <c r="C833" s="1322">
        <v>162</v>
      </c>
      <c r="M833" s="1324"/>
      <c r="P833" s="1325"/>
      <c r="Y833" s="1324"/>
    </row>
    <row r="834" spans="1:25">
      <c r="A834" s="1320" t="s">
        <v>4877</v>
      </c>
      <c r="C834" s="1322">
        <v>163</v>
      </c>
      <c r="D834" s="1356" t="s">
        <v>5618</v>
      </c>
      <c r="G834" s="1320"/>
      <c r="M834" s="1324"/>
      <c r="P834" s="1325"/>
      <c r="Y834" s="1324"/>
    </row>
    <row r="835" spans="1:25">
      <c r="A835" s="1320" t="s">
        <v>4877</v>
      </c>
      <c r="C835" s="1322">
        <v>164</v>
      </c>
      <c r="D835" s="1320" t="s">
        <v>5354</v>
      </c>
      <c r="E835" s="1320" t="s">
        <v>4777</v>
      </c>
      <c r="F835" s="1320">
        <f>+F773+F812</f>
        <v>451719.19417509332</v>
      </c>
      <c r="G835" s="1320">
        <f>+G773+G812</f>
        <v>2009.6128011137405</v>
      </c>
      <c r="H835" s="1320">
        <f>+H773+H812</f>
        <v>449709.58137397957</v>
      </c>
      <c r="I835" s="1323">
        <f t="shared" si="384"/>
        <v>0.9955511901485975</v>
      </c>
      <c r="J835" s="1320">
        <f t="shared" ref="J835:Q835" si="394">+J773+J812</f>
        <v>449709.58137397957</v>
      </c>
      <c r="K835" s="1320">
        <f t="shared" si="394"/>
        <v>261331.21628242795</v>
      </c>
      <c r="L835" s="1320">
        <f t="shared" si="394"/>
        <v>24132.476535941998</v>
      </c>
      <c r="M835" s="1320">
        <f t="shared" si="394"/>
        <v>119732.07777199028</v>
      </c>
      <c r="N835" s="1320">
        <f t="shared" si="394"/>
        <v>14256.217523136618</v>
      </c>
      <c r="O835" s="1320">
        <f t="shared" si="394"/>
        <v>8389.596204092637</v>
      </c>
      <c r="P835" s="1320">
        <f t="shared" si="394"/>
        <v>905.69345220699995</v>
      </c>
      <c r="Q835" s="1320">
        <f t="shared" si="394"/>
        <v>20962.303604182998</v>
      </c>
      <c r="V835" s="1320" t="s">
        <v>5619</v>
      </c>
      <c r="Y835" s="1324"/>
    </row>
    <row r="836" spans="1:25">
      <c r="A836" s="1320" t="s">
        <v>4877</v>
      </c>
      <c r="C836" s="1322">
        <v>165</v>
      </c>
      <c r="D836" s="1320" t="s">
        <v>5265</v>
      </c>
      <c r="E836" s="1320" t="s">
        <v>4067</v>
      </c>
      <c r="F836" s="1320">
        <f t="shared" ref="F836:H843" si="395">+F774+F813+F824</f>
        <v>-219863.71261013226</v>
      </c>
      <c r="G836" s="1320">
        <f t="shared" si="395"/>
        <v>0</v>
      </c>
      <c r="H836" s="1320">
        <f t="shared" si="395"/>
        <v>-219863.71261013226</v>
      </c>
      <c r="I836" s="1323">
        <f t="shared" si="384"/>
        <v>1</v>
      </c>
      <c r="J836" s="1320">
        <f t="shared" ref="J836:Q843" si="396">+J774+J813+J824</f>
        <v>-219863.71261013226</v>
      </c>
      <c r="K836" s="1320">
        <f t="shared" si="396"/>
        <v>-126248.96844915629</v>
      </c>
      <c r="L836" s="1320">
        <f t="shared" si="396"/>
        <v>-10498.945734864237</v>
      </c>
      <c r="M836" s="1320">
        <f t="shared" si="396"/>
        <v>-67948.23521366225</v>
      </c>
      <c r="N836" s="1320">
        <f t="shared" si="396"/>
        <v>-8684.2443285605441</v>
      </c>
      <c r="O836" s="1320">
        <f t="shared" si="396"/>
        <v>-6250.0778892510598</v>
      </c>
      <c r="P836" s="1320">
        <f t="shared" si="396"/>
        <v>-233.24099463795557</v>
      </c>
      <c r="Q836" s="1320">
        <f t="shared" si="396"/>
        <v>0</v>
      </c>
      <c r="V836" s="1320" t="s">
        <v>5620</v>
      </c>
      <c r="Y836" s="1324"/>
    </row>
    <row r="837" spans="1:25">
      <c r="A837" s="1320" t="s">
        <v>4877</v>
      </c>
      <c r="C837" s="1322">
        <v>166</v>
      </c>
      <c r="D837" s="1320" t="s">
        <v>5265</v>
      </c>
      <c r="E837" s="1320" t="s">
        <v>2067</v>
      </c>
      <c r="F837" s="1320">
        <f t="shared" si="395"/>
        <v>-26348.216881803346</v>
      </c>
      <c r="G837" s="1320">
        <f t="shared" si="395"/>
        <v>-4.6863011501864092E-4</v>
      </c>
      <c r="H837" s="1320">
        <f t="shared" si="395"/>
        <v>-26348.216413173232</v>
      </c>
      <c r="I837" s="1323">
        <f t="shared" si="384"/>
        <v>0.99999998221397235</v>
      </c>
      <c r="J837" s="1320">
        <f t="shared" si="396"/>
        <v>-26348.216413173232</v>
      </c>
      <c r="K837" s="1320">
        <f t="shared" si="396"/>
        <v>-13324.792137061546</v>
      </c>
      <c r="L837" s="1320">
        <f t="shared" si="396"/>
        <v>-1228.4296048405999</v>
      </c>
      <c r="M837" s="1320">
        <f t="shared" si="396"/>
        <v>-9132.1807357158577</v>
      </c>
      <c r="N837" s="1320">
        <f t="shared" si="396"/>
        <v>-1451.4352930152379</v>
      </c>
      <c r="O837" s="1320">
        <f t="shared" si="396"/>
        <v>-1072.2637777764589</v>
      </c>
      <c r="P837" s="1320">
        <f t="shared" si="396"/>
        <v>-139.11486476352695</v>
      </c>
      <c r="Q837" s="1320">
        <f t="shared" si="396"/>
        <v>0</v>
      </c>
      <c r="V837" s="1320" t="s">
        <v>5621</v>
      </c>
      <c r="Y837" s="1324"/>
    </row>
    <row r="838" spans="1:25">
      <c r="A838" s="1320" t="s">
        <v>4877</v>
      </c>
      <c r="C838" s="1322">
        <v>167</v>
      </c>
      <c r="D838" s="1324" t="s">
        <v>5268</v>
      </c>
      <c r="E838" s="1324" t="s">
        <v>4067</v>
      </c>
      <c r="F838" s="1324">
        <f t="shared" si="395"/>
        <v>-9198.1644655808286</v>
      </c>
      <c r="G838" s="1324">
        <f>+G776+G815+G826</f>
        <v>-752.06430647753768</v>
      </c>
      <c r="H838" s="1324">
        <f>+H776+H815+H826</f>
        <v>-8446.1832068531912</v>
      </c>
      <c r="I838" s="1323">
        <f t="shared" si="384"/>
        <v>0.91824659566139288</v>
      </c>
      <c r="J838" s="1324">
        <f t="shared" si="396"/>
        <v>-8446.1832068531912</v>
      </c>
      <c r="K838" s="1324">
        <f t="shared" si="396"/>
        <v>-4898.8963992488007</v>
      </c>
      <c r="L838" s="1324">
        <f t="shared" si="396"/>
        <v>-404.10953994957526</v>
      </c>
      <c r="M838" s="1324">
        <f t="shared" si="396"/>
        <v>-2583.2692692617288</v>
      </c>
      <c r="N838" s="1324">
        <f t="shared" si="396"/>
        <v>-322.48691644729774</v>
      </c>
      <c r="O838" s="1324">
        <f t="shared" si="396"/>
        <v>-231.43280048301961</v>
      </c>
      <c r="P838" s="1324">
        <f t="shared" si="396"/>
        <v>-5.9882814627698728</v>
      </c>
      <c r="Q838" s="1324">
        <f t="shared" si="396"/>
        <v>0</v>
      </c>
      <c r="R838" s="1324"/>
      <c r="S838" s="1324"/>
      <c r="T838" s="1324"/>
      <c r="V838" s="1320" t="s">
        <v>5622</v>
      </c>
      <c r="Y838" s="1324"/>
    </row>
    <row r="839" spans="1:25">
      <c r="A839" s="1320" t="s">
        <v>4877</v>
      </c>
      <c r="C839" s="1322">
        <v>168</v>
      </c>
      <c r="D839" s="1320" t="s">
        <v>5239</v>
      </c>
      <c r="E839" s="1320" t="s">
        <v>4067</v>
      </c>
      <c r="F839" s="1320">
        <f t="shared" si="395"/>
        <v>-11654.194306845615</v>
      </c>
      <c r="G839" s="1320">
        <f>+G777+G816+G827</f>
        <v>-902.98083518676617</v>
      </c>
      <c r="H839" s="1320">
        <f>+H777+H816+H827</f>
        <v>-10751.150108948321</v>
      </c>
      <c r="I839" s="1323">
        <f t="shared" si="384"/>
        <v>0.92251337380166643</v>
      </c>
      <c r="J839" s="1320">
        <f t="shared" si="396"/>
        <v>-10751.150108948321</v>
      </c>
      <c r="K839" s="1320">
        <f t="shared" si="396"/>
        <v>-6235.8072595175408</v>
      </c>
      <c r="L839" s="1320">
        <f t="shared" si="396"/>
        <v>-514.39120109669329</v>
      </c>
      <c r="M839" s="1320">
        <f t="shared" si="396"/>
        <v>-3288.2445248323679</v>
      </c>
      <c r="N839" s="1320">
        <f t="shared" si="396"/>
        <v>-410.49372976939242</v>
      </c>
      <c r="O839" s="1320">
        <f t="shared" si="396"/>
        <v>-294.59090777338855</v>
      </c>
      <c r="P839" s="1320">
        <f t="shared" si="396"/>
        <v>-7.6224859589397962</v>
      </c>
      <c r="Q839" s="1320">
        <f t="shared" si="396"/>
        <v>0</v>
      </c>
      <c r="V839" s="1320" t="s">
        <v>5623</v>
      </c>
      <c r="Y839" s="1324"/>
    </row>
    <row r="840" spans="1:25">
      <c r="A840" s="1320" t="s">
        <v>4877</v>
      </c>
      <c r="C840" s="1322">
        <v>169</v>
      </c>
      <c r="D840" s="1320" t="s">
        <v>5240</v>
      </c>
      <c r="E840" s="1320" t="s">
        <v>4067</v>
      </c>
      <c r="F840" s="1320">
        <f t="shared" si="395"/>
        <v>-45617.777248636165</v>
      </c>
      <c r="G840" s="1320">
        <f t="shared" si="395"/>
        <v>0</v>
      </c>
      <c r="H840" s="1320">
        <f t="shared" si="395"/>
        <v>-45617.777248636165</v>
      </c>
      <c r="I840" s="1323">
        <f t="shared" si="384"/>
        <v>1</v>
      </c>
      <c r="J840" s="1320">
        <f t="shared" si="396"/>
        <v>-45617.777248636165</v>
      </c>
      <c r="K840" s="1320">
        <f t="shared" si="396"/>
        <v>-28393.234994912251</v>
      </c>
      <c r="L840" s="1320">
        <f t="shared" si="396"/>
        <v>-2019.3980847576286</v>
      </c>
      <c r="M840" s="1320">
        <f t="shared" si="396"/>
        <v>-13521.131036910516</v>
      </c>
      <c r="N840" s="1320">
        <f t="shared" si="396"/>
        <v>-1422.1511280056282</v>
      </c>
      <c r="O840" s="1320">
        <f t="shared" si="396"/>
        <v>-9.7101708506790239E-4</v>
      </c>
      <c r="P840" s="1320">
        <f t="shared" si="396"/>
        <v>-261.8610330330751</v>
      </c>
      <c r="Q840" s="1320">
        <f t="shared" si="396"/>
        <v>0</v>
      </c>
      <c r="V840" s="1320" t="s">
        <v>5624</v>
      </c>
      <c r="Y840" s="1324"/>
    </row>
    <row r="841" spans="1:25">
      <c r="A841" s="1320" t="s">
        <v>4877</v>
      </c>
      <c r="C841" s="1322">
        <v>170</v>
      </c>
      <c r="D841" s="1324" t="s">
        <v>5241</v>
      </c>
      <c r="E841" s="1324" t="s">
        <v>4067</v>
      </c>
      <c r="F841" s="1324">
        <f t="shared" si="395"/>
        <v>-19652.095394212527</v>
      </c>
      <c r="G841" s="1324">
        <f t="shared" si="395"/>
        <v>0</v>
      </c>
      <c r="H841" s="1324">
        <f t="shared" si="395"/>
        <v>-19652.095394212527</v>
      </c>
      <c r="I841" s="1323">
        <f t="shared" si="384"/>
        <v>1</v>
      </c>
      <c r="J841" s="1324">
        <f t="shared" si="396"/>
        <v>-19652.095394212527</v>
      </c>
      <c r="K841" s="1324">
        <f t="shared" si="396"/>
        <v>-14338.822453724295</v>
      </c>
      <c r="L841" s="1324">
        <f t="shared" si="396"/>
        <v>-1154.5597791505209</v>
      </c>
      <c r="M841" s="1324">
        <f t="shared" si="396"/>
        <v>-4087.6231171489635</v>
      </c>
      <c r="N841" s="1324">
        <f t="shared" si="396"/>
        <v>0</v>
      </c>
      <c r="O841" s="1324">
        <f t="shared" si="396"/>
        <v>0</v>
      </c>
      <c r="P841" s="1324">
        <f t="shared" si="396"/>
        <v>-71.090044188742255</v>
      </c>
      <c r="Q841" s="1324">
        <f t="shared" si="396"/>
        <v>0</v>
      </c>
      <c r="V841" s="1320" t="s">
        <v>5625</v>
      </c>
      <c r="Y841" s="1324"/>
    </row>
    <row r="842" spans="1:25">
      <c r="A842" s="1320" t="s">
        <v>4877</v>
      </c>
      <c r="C842" s="1322">
        <v>171</v>
      </c>
      <c r="D842" s="1320" t="s">
        <v>5242</v>
      </c>
      <c r="E842" s="1320" t="s">
        <v>4071</v>
      </c>
      <c r="F842" s="1320">
        <f t="shared" si="395"/>
        <v>-33979.43521239933</v>
      </c>
      <c r="G842" s="1320">
        <f t="shared" si="395"/>
        <v>0</v>
      </c>
      <c r="H842" s="1320">
        <f>+H780+H819+H830+1</f>
        <v>-33978.43521239933</v>
      </c>
      <c r="I842" s="1323">
        <f t="shared" si="384"/>
        <v>0.99997057043491899</v>
      </c>
      <c r="J842" s="1320">
        <f t="shared" si="396"/>
        <v>-33979.43521239933</v>
      </c>
      <c r="K842" s="1320">
        <f t="shared" si="396"/>
        <v>-14768.838262907642</v>
      </c>
      <c r="L842" s="1320">
        <f t="shared" si="396"/>
        <v>-2692.0661562042355</v>
      </c>
      <c r="M842" s="1320">
        <f t="shared" si="396"/>
        <v>-1487.7601545155962</v>
      </c>
      <c r="N842" s="1320">
        <f t="shared" si="396"/>
        <v>-108.5131969474307</v>
      </c>
      <c r="O842" s="1320">
        <f t="shared" si="396"/>
        <v>-118.39245305006038</v>
      </c>
      <c r="P842" s="1320">
        <f t="shared" si="396"/>
        <v>-24.834207330038062</v>
      </c>
      <c r="Q842" s="1320">
        <f t="shared" si="396"/>
        <v>-14779.030781444328</v>
      </c>
      <c r="V842" s="1320" t="s">
        <v>5626</v>
      </c>
      <c r="Y842" s="1324"/>
    </row>
    <row r="843" spans="1:25">
      <c r="A843" s="1320" t="s">
        <v>4877</v>
      </c>
      <c r="C843" s="1322">
        <v>172</v>
      </c>
      <c r="D843" s="1320" t="s">
        <v>5244</v>
      </c>
      <c r="E843" s="1320" t="s">
        <v>4071</v>
      </c>
      <c r="F843" s="1350">
        <f t="shared" si="395"/>
        <v>-17990.668037348332</v>
      </c>
      <c r="G843" s="1350">
        <f t="shared" si="395"/>
        <v>0</v>
      </c>
      <c r="H843" s="1350">
        <f t="shared" si="395"/>
        <v>-17990.668037348332</v>
      </c>
      <c r="I843" s="1323">
        <f t="shared" si="384"/>
        <v>1</v>
      </c>
      <c r="J843" s="1350">
        <f t="shared" si="396"/>
        <v>-17990.668037348332</v>
      </c>
      <c r="K843" s="1350">
        <f t="shared" si="396"/>
        <v>-15581.902949354424</v>
      </c>
      <c r="L843" s="1350">
        <f t="shared" si="396"/>
        <v>-1507.6798349468731</v>
      </c>
      <c r="M843" s="1350">
        <f t="shared" si="396"/>
        <v>-748.11455157449029</v>
      </c>
      <c r="N843" s="1350">
        <f t="shared" si="396"/>
        <v>-48.494506979437638</v>
      </c>
      <c r="O843" s="1350">
        <f t="shared" si="396"/>
        <v>-27.825602419300363</v>
      </c>
      <c r="P843" s="1350">
        <f t="shared" si="396"/>
        <v>-8.1670819688187564</v>
      </c>
      <c r="Q843" s="1350">
        <f t="shared" si="396"/>
        <v>-68.483510104983239</v>
      </c>
      <c r="V843" s="1320" t="s">
        <v>5627</v>
      </c>
      <c r="Y843" s="1324"/>
    </row>
    <row r="844" spans="1:25">
      <c r="A844" s="1320" t="s">
        <v>4877</v>
      </c>
      <c r="C844" s="1322">
        <v>173</v>
      </c>
      <c r="F844" s="1358"/>
      <c r="G844" s="1358"/>
      <c r="H844" s="1358"/>
      <c r="J844" s="1364"/>
      <c r="K844" s="1364"/>
      <c r="L844" s="1364"/>
      <c r="M844" s="1364"/>
      <c r="N844" s="1367"/>
      <c r="O844" s="1367"/>
      <c r="P844" s="1367"/>
      <c r="Q844" s="1364"/>
      <c r="R844" s="1358"/>
      <c r="Y844" s="1324"/>
    </row>
    <row r="845" spans="1:25">
      <c r="A845" s="1320" t="s">
        <v>4877</v>
      </c>
      <c r="C845" s="1322">
        <v>174</v>
      </c>
      <c r="D845" s="1320" t="s">
        <v>5628</v>
      </c>
      <c r="F845" s="1350">
        <f>SUM(F835:F843)</f>
        <v>67414.930018134939</v>
      </c>
      <c r="G845" s="1350">
        <f>SUM(G835:G843)</f>
        <v>354.5671908193217</v>
      </c>
      <c r="H845" s="1350">
        <f>SUM(H835:H843)-1</f>
        <v>67060.343142276222</v>
      </c>
      <c r="I845" s="1374">
        <f t="shared" si="384"/>
        <v>0.99474023223396757</v>
      </c>
      <c r="J845" s="1366">
        <f t="shared" ref="J845:Q845" si="397">SUM(J835:J843)</f>
        <v>67060.343142276222</v>
      </c>
      <c r="K845" s="1366">
        <f t="shared" si="397"/>
        <v>37539.953376545156</v>
      </c>
      <c r="L845" s="1366">
        <f t="shared" si="397"/>
        <v>4112.8966001316348</v>
      </c>
      <c r="M845" s="1366">
        <f t="shared" si="397"/>
        <v>16935.519168368515</v>
      </c>
      <c r="N845" s="1378">
        <f t="shared" si="397"/>
        <v>1808.3984234116497</v>
      </c>
      <c r="O845" s="1378">
        <f t="shared" si="397"/>
        <v>395.01180232226437</v>
      </c>
      <c r="P845" s="1378">
        <f t="shared" si="397"/>
        <v>153.77445886313348</v>
      </c>
      <c r="Q845" s="1366">
        <f t="shared" si="397"/>
        <v>6114.7893126336876</v>
      </c>
      <c r="V845" s="1320" t="s">
        <v>5629</v>
      </c>
      <c r="Y845" s="1324"/>
    </row>
    <row r="846" spans="1:25">
      <c r="A846" s="1320" t="s">
        <v>4877</v>
      </c>
      <c r="C846" s="1322">
        <v>175</v>
      </c>
      <c r="F846" s="1358"/>
      <c r="G846" s="1358"/>
      <c r="H846" s="1358"/>
      <c r="I846" s="1374"/>
      <c r="J846" s="1364"/>
      <c r="K846" s="1364"/>
      <c r="L846" s="1364"/>
      <c r="M846" s="1367"/>
      <c r="N846" s="1367"/>
      <c r="O846" s="1367"/>
      <c r="P846" s="1364"/>
      <c r="Q846" s="1364"/>
      <c r="Y846" s="1324"/>
    </row>
    <row r="847" spans="1:25">
      <c r="A847" s="1320" t="s">
        <v>4877</v>
      </c>
      <c r="C847" s="1322">
        <v>176</v>
      </c>
      <c r="D847" s="1320" t="s">
        <v>9453</v>
      </c>
      <c r="F847" s="1358">
        <f>+-F845+SUM('Surv Report Sched 2 pg 2'!$N$13:$R$13)/1000</f>
        <v>-38562.941758134948</v>
      </c>
      <c r="G847" s="1358">
        <v>0</v>
      </c>
      <c r="H847" s="1358">
        <f>+F847</f>
        <v>-38562.941758134948</v>
      </c>
      <c r="I847" s="1374"/>
      <c r="J847" s="1364"/>
      <c r="K847" s="1364"/>
      <c r="L847" s="1364"/>
      <c r="M847" s="1367"/>
      <c r="N847" s="1367"/>
      <c r="O847" s="1367"/>
      <c r="P847" s="1364"/>
      <c r="Q847" s="1364"/>
    </row>
    <row r="848" spans="1:25">
      <c r="A848" s="1320" t="s">
        <v>4877</v>
      </c>
      <c r="C848" s="1322">
        <v>177</v>
      </c>
      <c r="G848" s="1320"/>
      <c r="I848" s="1324"/>
      <c r="J848" s="1320"/>
      <c r="K848" s="1320"/>
      <c r="L848" s="1320"/>
      <c r="M848" s="1320"/>
      <c r="N848" s="1320"/>
      <c r="O848" s="1320"/>
      <c r="P848" s="1320"/>
      <c r="Q848" s="1320"/>
      <c r="U848" s="1320"/>
    </row>
    <row r="849" spans="1:27">
      <c r="A849" s="1320" t="s">
        <v>4877</v>
      </c>
      <c r="C849" s="1322">
        <v>178</v>
      </c>
      <c r="D849" s="1320" t="s">
        <v>9441</v>
      </c>
      <c r="F849" s="1350">
        <f>+F845+F847</f>
        <v>28851.988259999991</v>
      </c>
      <c r="G849" s="1350">
        <f>+G845</f>
        <v>354.5671908193217</v>
      </c>
      <c r="H849" s="1350">
        <f>+H847+H845</f>
        <v>28497.401384141274</v>
      </c>
      <c r="I849" s="1374">
        <f t="shared" ref="I849" si="398">IF(F849=0,0,+H849/F849)</f>
        <v>0.98771014071323771</v>
      </c>
      <c r="K849" s="1320"/>
      <c r="L849" s="1320"/>
      <c r="M849" s="1320"/>
      <c r="N849" s="1324"/>
      <c r="O849" s="1324"/>
      <c r="P849" s="1320"/>
      <c r="Q849" s="1320"/>
      <c r="U849" s="1320"/>
    </row>
    <row r="850" spans="1:27">
      <c r="G850" s="1320"/>
      <c r="I850" s="1320"/>
      <c r="K850" s="1320"/>
      <c r="L850" s="1320"/>
      <c r="M850" s="1320"/>
      <c r="N850" s="1324"/>
      <c r="O850" s="1324"/>
      <c r="P850" s="1320"/>
      <c r="Q850" s="1320"/>
      <c r="U850" s="1320"/>
    </row>
    <row r="851" spans="1:27">
      <c r="F851" s="1358"/>
      <c r="G851" s="1358"/>
      <c r="H851" s="1358"/>
      <c r="J851" s="1364"/>
      <c r="K851" s="1364"/>
      <c r="L851" s="1364"/>
      <c r="M851" s="1367"/>
      <c r="N851" s="1367"/>
      <c r="O851" s="1367"/>
      <c r="P851" s="1364"/>
      <c r="Q851" s="1364"/>
    </row>
    <row r="852" spans="1:27" s="1324" customFormat="1">
      <c r="C852" s="1393"/>
      <c r="AA852" s="1320"/>
    </row>
    <row r="853" spans="1:27">
      <c r="B853" s="1432"/>
      <c r="C853" s="1340" t="str">
        <f>+C$2</f>
        <v>RATES WITH REVENUE DEFICIENCY ADDITION</v>
      </c>
      <c r="F853" s="1333"/>
      <c r="G853" s="1327" t="s">
        <v>2173</v>
      </c>
      <c r="I853" s="1334" t="s">
        <v>5590</v>
      </c>
      <c r="L853" s="1329" t="s">
        <v>2173</v>
      </c>
      <c r="M853" s="1330"/>
      <c r="N853" s="1330"/>
      <c r="O853" s="1330"/>
      <c r="S853" s="1334" t="s">
        <v>5630</v>
      </c>
      <c r="T853" s="1333" t="s">
        <v>2173</v>
      </c>
      <c r="U853" s="1334"/>
      <c r="V853" s="1332" t="s">
        <v>4772</v>
      </c>
      <c r="Y853" s="1324"/>
    </row>
    <row r="854" spans="1:27">
      <c r="B854" s="1432"/>
      <c r="C854" s="1340" t="str">
        <f>+C$3</f>
        <v>PROD. CAP. ALLOC. METHOD: 12 CP &amp; 1/13th AD</v>
      </c>
      <c r="G854" s="1336" t="s">
        <v>4768</v>
      </c>
      <c r="I854" s="1335" t="s">
        <v>4064</v>
      </c>
      <c r="L854" s="1336" t="s">
        <v>5141</v>
      </c>
      <c r="M854" s="1337"/>
      <c r="N854" s="1337"/>
      <c r="O854" s="1337"/>
      <c r="R854" s="1331"/>
      <c r="S854" s="1335" t="s">
        <v>4065</v>
      </c>
      <c r="T854" s="1333" t="s">
        <v>5141</v>
      </c>
      <c r="V854" s="1332" t="s">
        <v>5630</v>
      </c>
      <c r="Y854" s="1324"/>
    </row>
    <row r="855" spans="1:27">
      <c r="C855" s="1340" t="str">
        <f>+C$4</f>
        <v>PROJECTED CALENDAR YEAR 2025; FULLY ADJUSTED DATA</v>
      </c>
      <c r="F855" s="1333"/>
      <c r="G855" s="1336" t="s">
        <v>2181</v>
      </c>
      <c r="L855" s="1336" t="s">
        <v>2181</v>
      </c>
      <c r="T855" s="1339"/>
      <c r="Y855" s="1324"/>
    </row>
    <row r="856" spans="1:27">
      <c r="C856" s="1340" t="str">
        <f>+C$5</f>
        <v>MINIMUM DISTRIBUTION SYSTEM (MDS) NOT EMPLOYED</v>
      </c>
      <c r="D856" s="1358"/>
      <c r="G856" s="1320"/>
      <c r="L856" s="1336"/>
      <c r="M856" s="1337"/>
      <c r="N856" s="1337"/>
      <c r="O856" s="1337"/>
      <c r="T856" s="1333"/>
    </row>
    <row r="857" spans="1:27">
      <c r="C857" s="1340" t="str">
        <f>+C$6</f>
        <v>Tampa Electric 2025 OB Budget</v>
      </c>
      <c r="F857" s="1327"/>
      <c r="G857" s="1333" t="s">
        <v>5631</v>
      </c>
      <c r="L857" s="1336" t="s">
        <v>5631</v>
      </c>
      <c r="M857" s="1337"/>
      <c r="N857" s="1337"/>
      <c r="O857" s="1337"/>
      <c r="T857" s="1333" t="s">
        <v>5631</v>
      </c>
    </row>
    <row r="858" spans="1:27">
      <c r="F858" s="1333"/>
      <c r="G858" s="1320"/>
      <c r="L858" s="1336"/>
      <c r="M858" s="1337"/>
      <c r="N858" s="1337"/>
      <c r="O858" s="1337"/>
      <c r="Y858" s="1324"/>
    </row>
    <row r="859" spans="1:27">
      <c r="F859" s="1333"/>
      <c r="G859" s="1320"/>
      <c r="L859" s="1336"/>
      <c r="M859" s="1337"/>
      <c r="N859" s="1337"/>
      <c r="O859" s="1337"/>
      <c r="Y859" s="1324"/>
    </row>
    <row r="860" spans="1:27">
      <c r="G860" s="1320"/>
      <c r="Y860" s="1324"/>
    </row>
    <row r="861" spans="1:27">
      <c r="C861" s="1342"/>
      <c r="D861" s="1331"/>
      <c r="E861" s="1331"/>
      <c r="F861" s="1333"/>
      <c r="G861" s="1333"/>
      <c r="H861" s="1333"/>
      <c r="I861" s="1343"/>
      <c r="J861" s="1416"/>
      <c r="K861" s="1336"/>
      <c r="L861" s="1416"/>
      <c r="M861" s="1417"/>
      <c r="N861" s="1417"/>
      <c r="O861" s="1417"/>
      <c r="P861" s="3164"/>
      <c r="Q861" s="3164"/>
      <c r="R861" s="1333"/>
      <c r="Y861" s="1324"/>
    </row>
    <row r="862" spans="1:27" ht="30" customHeight="1">
      <c r="A862" s="1418" t="s">
        <v>4683</v>
      </c>
      <c r="B862" s="1425" t="s">
        <v>5143</v>
      </c>
      <c r="C862" s="1349" t="s">
        <v>4297</v>
      </c>
      <c r="D862" s="1418"/>
      <c r="E862" s="1418"/>
      <c r="F862" s="1348" t="s">
        <v>5144</v>
      </c>
      <c r="G862" s="1348" t="s">
        <v>4956</v>
      </c>
      <c r="H862" s="1348" t="s">
        <v>4957</v>
      </c>
      <c r="I862" s="1426" t="s">
        <v>5145</v>
      </c>
      <c r="J862" s="1352" t="s">
        <v>4957</v>
      </c>
      <c r="K862" s="1353" t="s">
        <v>1949</v>
      </c>
      <c r="L862" s="1353" t="s">
        <v>1950</v>
      </c>
      <c r="M862" s="1354" t="s">
        <v>1934</v>
      </c>
      <c r="N862" s="1354" t="s">
        <v>1971</v>
      </c>
      <c r="O862" s="1354" t="s">
        <v>1972</v>
      </c>
      <c r="P862" s="1352" t="s">
        <v>5146</v>
      </c>
      <c r="Q862" s="1352" t="s">
        <v>5147</v>
      </c>
      <c r="R862" s="1355"/>
      <c r="S862" s="1348" t="s">
        <v>5299</v>
      </c>
      <c r="T862" s="1348"/>
      <c r="U862" s="1352"/>
      <c r="V862" s="1355" t="s">
        <v>4774</v>
      </c>
      <c r="Y862" s="1324"/>
    </row>
    <row r="863" spans="1:27">
      <c r="G863" s="1320"/>
      <c r="Y863" s="1324"/>
    </row>
    <row r="864" spans="1:27">
      <c r="A864" s="1320" t="s">
        <v>4883</v>
      </c>
      <c r="B864" s="1321"/>
      <c r="C864" s="1322">
        <v>1</v>
      </c>
      <c r="D864" s="1356" t="s">
        <v>5632</v>
      </c>
      <c r="G864" s="1320"/>
      <c r="K864" s="1382"/>
      <c r="S864" s="1321"/>
      <c r="T864" s="1321"/>
      <c r="U864" s="1326"/>
      <c r="Y864" s="1324"/>
    </row>
    <row r="865" spans="1:27" s="1324" customFormat="1">
      <c r="A865" s="1324" t="s">
        <v>4883</v>
      </c>
      <c r="B865" s="1324">
        <v>101</v>
      </c>
      <c r="C865" s="1393">
        <v>2</v>
      </c>
      <c r="D865" s="1324" t="s">
        <v>4813</v>
      </c>
      <c r="E865" s="1324" t="s">
        <v>4067</v>
      </c>
      <c r="F865" s="1324">
        <f>+'Allocation Assignment'!F282+'Allocation Assignment'!F284</f>
        <v>4493529.4146559993</v>
      </c>
      <c r="G865" s="1364">
        <f t="shared" ref="G865:H867" si="399">+$F865*G$1933</f>
        <v>0</v>
      </c>
      <c r="H865" s="1364">
        <f t="shared" si="399"/>
        <v>4493529.4146559993</v>
      </c>
      <c r="I865" s="1374">
        <f>IF(F865=0,0,+H865/F865)</f>
        <v>1</v>
      </c>
      <c r="J865" s="1364">
        <f>+H865</f>
        <v>4493529.4146559993</v>
      </c>
      <c r="K865" s="1324">
        <f t="shared" ref="K865:Q865" si="400">+$J865*K$1951</f>
        <v>2580250.4950065007</v>
      </c>
      <c r="L865" s="1324">
        <f t="shared" si="400"/>
        <v>214575.29722581172</v>
      </c>
      <c r="M865" s="1324">
        <f t="shared" si="400"/>
        <v>1388712.0797781209</v>
      </c>
      <c r="N865" s="1324">
        <f t="shared" si="400"/>
        <v>177486.80248860671</v>
      </c>
      <c r="O865" s="1324">
        <f t="shared" si="400"/>
        <v>127737.80859891853</v>
      </c>
      <c r="P865" s="1324">
        <f t="shared" si="400"/>
        <v>4766.9315580409029</v>
      </c>
      <c r="Q865" s="1324">
        <f t="shared" si="400"/>
        <v>0</v>
      </c>
      <c r="S865" s="1324">
        <v>122</v>
      </c>
      <c r="V865" s="1326" t="s">
        <v>9476</v>
      </c>
      <c r="W865" s="1326">
        <v>122</v>
      </c>
      <c r="AA865" s="1320"/>
    </row>
    <row r="866" spans="1:27" s="1324" customFormat="1">
      <c r="A866" s="1324" t="s">
        <v>4883</v>
      </c>
      <c r="B866" s="1324">
        <v>101</v>
      </c>
      <c r="C866" s="1393">
        <v>3</v>
      </c>
      <c r="D866" s="1324" t="s">
        <v>5393</v>
      </c>
      <c r="E866" s="1324" t="s">
        <v>4067</v>
      </c>
      <c r="F866" s="1324">
        <f>+'Allocation Assignment'!F285</f>
        <v>2068978.4465800002</v>
      </c>
      <c r="G866" s="1364">
        <f t="shared" si="399"/>
        <v>0</v>
      </c>
      <c r="H866" s="1364">
        <f t="shared" si="399"/>
        <v>2068978.4465800002</v>
      </c>
      <c r="I866" s="1374">
        <f>IF(F866=0,0,+H866/F866)</f>
        <v>1</v>
      </c>
      <c r="J866" s="1364">
        <f>+H866</f>
        <v>2068978.4465800002</v>
      </c>
      <c r="K866" s="1324">
        <f t="shared" ref="K866:Q866" si="401">$J866*K$1948</f>
        <v>1188037.7690494128</v>
      </c>
      <c r="L866" s="1324">
        <f t="shared" si="401"/>
        <v>98797.987987063927</v>
      </c>
      <c r="M866" s="1324">
        <f t="shared" si="401"/>
        <v>639411.71770123497</v>
      </c>
      <c r="N866" s="1324">
        <f t="shared" si="401"/>
        <v>81721.145009894404</v>
      </c>
      <c r="O866" s="1324">
        <f t="shared" si="401"/>
        <v>58814.964455897803</v>
      </c>
      <c r="P866" s="1324">
        <f t="shared" si="401"/>
        <v>2194.8623764964677</v>
      </c>
      <c r="Q866" s="1324">
        <f t="shared" si="401"/>
        <v>0</v>
      </c>
      <c r="S866" s="1324">
        <v>121</v>
      </c>
      <c r="V866" s="1326" t="s">
        <v>5287</v>
      </c>
      <c r="W866" s="1326">
        <v>121</v>
      </c>
      <c r="AA866" s="1320"/>
    </row>
    <row r="867" spans="1:27">
      <c r="A867" s="1320" t="s">
        <v>4883</v>
      </c>
      <c r="B867" s="1320">
        <v>101</v>
      </c>
      <c r="C867" s="1322">
        <v>4</v>
      </c>
      <c r="D867" s="1320" t="s">
        <v>4814</v>
      </c>
      <c r="E867" s="1320" t="s">
        <v>2067</v>
      </c>
      <c r="F867" s="1366">
        <f>+'Allocation Assignment'!F283+'Allocation Assignment'!F286</f>
        <v>570339.73520400003</v>
      </c>
      <c r="G867" s="1364">
        <f t="shared" si="399"/>
        <v>0</v>
      </c>
      <c r="H867" s="1364">
        <f t="shared" si="399"/>
        <v>570339.73520400003</v>
      </c>
      <c r="I867" s="1374">
        <f>IF(F867=0,0,+H867/F867)</f>
        <v>1</v>
      </c>
      <c r="J867" s="1366">
        <f>+H867</f>
        <v>570339.73520400003</v>
      </c>
      <c r="K867" s="1366">
        <f t="shared" ref="K867:Q867" si="402">+$J867*K$1969</f>
        <v>287812.92757298599</v>
      </c>
      <c r="L867" s="1366">
        <f t="shared" si="402"/>
        <v>26597.283735102348</v>
      </c>
      <c r="M867" s="1366">
        <f t="shared" si="402"/>
        <v>198139.43310096741</v>
      </c>
      <c r="N867" s="1366">
        <f t="shared" si="402"/>
        <v>31540.611912883622</v>
      </c>
      <c r="O867" s="1366">
        <f t="shared" si="402"/>
        <v>23236.343006319854</v>
      </c>
      <c r="P867" s="1366">
        <f t="shared" si="402"/>
        <v>3013.1358757407984</v>
      </c>
      <c r="Q867" s="1366">
        <f t="shared" si="402"/>
        <v>0</v>
      </c>
      <c r="R867" s="1366"/>
      <c r="S867" s="1366">
        <v>201</v>
      </c>
      <c r="V867" s="1321" t="s">
        <v>5235</v>
      </c>
      <c r="W867" s="1321">
        <v>201</v>
      </c>
    </row>
    <row r="868" spans="1:27" s="1324" customFormat="1">
      <c r="A868" s="1324" t="s">
        <v>4883</v>
      </c>
      <c r="C868" s="1393">
        <v>5</v>
      </c>
      <c r="D868" s="1324" t="s">
        <v>5633</v>
      </c>
      <c r="F868" s="1421">
        <f>+SUM(F865:F867)</f>
        <v>7132847.5964399995</v>
      </c>
      <c r="G868" s="1421">
        <f>+SUM(G865:G867)</f>
        <v>0</v>
      </c>
      <c r="H868" s="1421">
        <f>+SUM(H865:H867)</f>
        <v>7132847.5964399995</v>
      </c>
      <c r="I868" s="1374">
        <f>IF(F868=0,0,+H868/F868)</f>
        <v>1</v>
      </c>
      <c r="J868" s="1421">
        <f>+SUM(J865:J867)</f>
        <v>7132847.5964399995</v>
      </c>
      <c r="K868" s="1421">
        <f>+SUM(K865:K867)</f>
        <v>4056101.1916288994</v>
      </c>
      <c r="L868" s="1421">
        <f t="shared" ref="L868:Q868" si="403">+SUM(L865:L867)</f>
        <v>339970.56894797797</v>
      </c>
      <c r="M868" s="1421">
        <f t="shared" si="403"/>
        <v>2226263.2305803229</v>
      </c>
      <c r="N868" s="1421">
        <f t="shared" si="403"/>
        <v>290748.55941138475</v>
      </c>
      <c r="O868" s="1421">
        <f t="shared" si="403"/>
        <v>209789.11606113621</v>
      </c>
      <c r="P868" s="1421">
        <f t="shared" si="403"/>
        <v>9974.9298102781686</v>
      </c>
      <c r="Q868" s="1421">
        <f t="shared" si="403"/>
        <v>0</v>
      </c>
      <c r="R868" s="1364"/>
      <c r="S868" s="1364"/>
      <c r="V868" s="1324" t="s">
        <v>5634</v>
      </c>
      <c r="AA868" s="1320"/>
    </row>
    <row r="869" spans="1:27" s="1324" customFormat="1">
      <c r="A869" s="1324" t="s">
        <v>4883</v>
      </c>
      <c r="B869" s="1326"/>
      <c r="C869" s="1393">
        <v>6</v>
      </c>
      <c r="I869" s="1374"/>
      <c r="M869" s="1325"/>
      <c r="N869" s="1325"/>
      <c r="O869" s="1325"/>
      <c r="S869" s="1326"/>
      <c r="T869" s="1326"/>
      <c r="U869" s="1326"/>
      <c r="AA869" s="1320"/>
    </row>
    <row r="870" spans="1:27" s="1324" customFormat="1">
      <c r="A870" s="1324" t="s">
        <v>4883</v>
      </c>
      <c r="B870" s="1326"/>
      <c r="C870" s="1393">
        <v>7</v>
      </c>
      <c r="I870" s="1374"/>
      <c r="M870" s="1325"/>
      <c r="N870" s="1325"/>
      <c r="O870" s="1325"/>
      <c r="S870" s="1326"/>
      <c r="T870" s="1326"/>
      <c r="U870" s="1326"/>
      <c r="AA870" s="1320"/>
    </row>
    <row r="871" spans="1:27" s="1324" customFormat="1">
      <c r="A871" s="1324" t="s">
        <v>4883</v>
      </c>
      <c r="B871" s="1326"/>
      <c r="C871" s="1393">
        <v>8</v>
      </c>
      <c r="D871" s="1362" t="s">
        <v>2531</v>
      </c>
      <c r="I871" s="1374"/>
      <c r="M871" s="1325"/>
      <c r="N871" s="1325"/>
      <c r="O871" s="1325"/>
      <c r="S871" s="1326"/>
      <c r="T871" s="1326"/>
      <c r="U871" s="1326"/>
      <c r="AA871" s="1320"/>
    </row>
    <row r="872" spans="1:27" s="1324" customFormat="1">
      <c r="A872" s="1324" t="s">
        <v>4883</v>
      </c>
      <c r="B872" s="1324">
        <v>101</v>
      </c>
      <c r="C872" s="1393">
        <v>9</v>
      </c>
      <c r="D872" s="1324" t="s">
        <v>5397</v>
      </c>
      <c r="E872" s="1324" t="s">
        <v>4067</v>
      </c>
      <c r="F872" s="1364">
        <f>+'Allocation Assignment'!F287</f>
        <v>191967.04717290375</v>
      </c>
      <c r="G872" s="1364">
        <f>+$F872*G$1933</f>
        <v>0</v>
      </c>
      <c r="H872" s="1364">
        <f>+$F872*H$1933</f>
        <v>191967.04717290375</v>
      </c>
      <c r="I872" s="1374">
        <f>IF(F872=0,0,+H872/F872)</f>
        <v>1</v>
      </c>
      <c r="J872" s="1364">
        <f>+H872</f>
        <v>191967.04717290375</v>
      </c>
      <c r="K872" s="1364">
        <f t="shared" ref="K872:Q872" si="404">+$J872*K$1951</f>
        <v>110230.2940039262</v>
      </c>
      <c r="L872" s="1364">
        <f t="shared" si="404"/>
        <v>9166.8224247822436</v>
      </c>
      <c r="M872" s="1364">
        <f t="shared" si="404"/>
        <v>59326.852620315221</v>
      </c>
      <c r="N872" s="1364">
        <f t="shared" si="404"/>
        <v>7582.3732842987429</v>
      </c>
      <c r="O872" s="1364">
        <f t="shared" si="404"/>
        <v>5457.0578416808194</v>
      </c>
      <c r="P872" s="1364">
        <f t="shared" si="404"/>
        <v>203.64699790053479</v>
      </c>
      <c r="Q872" s="1364">
        <f t="shared" si="404"/>
        <v>0</v>
      </c>
      <c r="S872" s="1324">
        <v>122</v>
      </c>
      <c r="V872" s="1326" t="s">
        <v>9476</v>
      </c>
      <c r="W872" s="1326">
        <v>122</v>
      </c>
      <c r="AA872" s="1320"/>
    </row>
    <row r="873" spans="1:27" s="1324" customFormat="1">
      <c r="A873" s="1324" t="s">
        <v>4883</v>
      </c>
      <c r="B873" s="1324">
        <v>101</v>
      </c>
      <c r="C873" s="1393">
        <v>10</v>
      </c>
      <c r="D873" s="1364" t="s">
        <v>5398</v>
      </c>
      <c r="E873" s="1324" t="s">
        <v>4067</v>
      </c>
      <c r="F873" s="1366">
        <f>+'Allocation Assignment'!F288</f>
        <v>0</v>
      </c>
      <c r="G873" s="1366">
        <f>+$F873*G$1933</f>
        <v>0</v>
      </c>
      <c r="H873" s="1366">
        <f>+$F873*H$1933</f>
        <v>0</v>
      </c>
      <c r="I873" s="1374">
        <f>IF(F873=0,0,+H873/F873)</f>
        <v>0</v>
      </c>
      <c r="J873" s="1366">
        <f>+H873</f>
        <v>0</v>
      </c>
      <c r="K873" s="1366">
        <f t="shared" ref="K873:Q873" si="405">$J873*K$1948</f>
        <v>0</v>
      </c>
      <c r="L873" s="1366">
        <f t="shared" si="405"/>
        <v>0</v>
      </c>
      <c r="M873" s="1366">
        <f t="shared" si="405"/>
        <v>0</v>
      </c>
      <c r="N873" s="1366">
        <f t="shared" si="405"/>
        <v>0</v>
      </c>
      <c r="O873" s="1366">
        <f t="shared" si="405"/>
        <v>0</v>
      </c>
      <c r="P873" s="1366">
        <f t="shared" si="405"/>
        <v>0</v>
      </c>
      <c r="Q873" s="1366">
        <f t="shared" si="405"/>
        <v>0</v>
      </c>
      <c r="S873" s="1324">
        <v>121</v>
      </c>
      <c r="V873" s="1326" t="s">
        <v>5287</v>
      </c>
      <c r="W873" s="1326">
        <v>121</v>
      </c>
      <c r="AA873" s="1320"/>
    </row>
    <row r="874" spans="1:27" s="1324" customFormat="1">
      <c r="C874" s="1439">
        <v>11</v>
      </c>
      <c r="D874" s="1364" t="s">
        <v>5399</v>
      </c>
      <c r="E874" s="1364"/>
      <c r="F874" s="1421">
        <f>+SUM(F872:F873)</f>
        <v>191967.04717290375</v>
      </c>
      <c r="G874" s="1421">
        <f>+SUM(G872:G873)</f>
        <v>0</v>
      </c>
      <c r="H874" s="1421">
        <f>+SUM(H872:H873)</f>
        <v>191967.04717290375</v>
      </c>
      <c r="I874" s="1374">
        <f>IF(F874=0,0,+H874/F874)</f>
        <v>1</v>
      </c>
      <c r="J874" s="1421">
        <f>+SUM(J872:J873)</f>
        <v>191967.04717290375</v>
      </c>
      <c r="K874" s="1421">
        <f>+SUM(K872:K873)</f>
        <v>110230.2940039262</v>
      </c>
      <c r="L874" s="1421">
        <f t="shared" ref="L874:Q874" si="406">+SUM(L872:L873)</f>
        <v>9166.8224247822436</v>
      </c>
      <c r="M874" s="1421">
        <f t="shared" si="406"/>
        <v>59326.852620315221</v>
      </c>
      <c r="N874" s="1421">
        <f t="shared" si="406"/>
        <v>7582.3732842987429</v>
      </c>
      <c r="O874" s="1421">
        <f t="shared" si="406"/>
        <v>5457.0578416808194</v>
      </c>
      <c r="P874" s="1421">
        <f t="shared" si="406"/>
        <v>203.64699790053479</v>
      </c>
      <c r="Q874" s="1421">
        <f t="shared" si="406"/>
        <v>0</v>
      </c>
      <c r="V874" s="1324" t="s">
        <v>5284</v>
      </c>
      <c r="W874" s="1326"/>
      <c r="AA874" s="1320"/>
    </row>
    <row r="875" spans="1:27">
      <c r="A875" s="1320" t="s">
        <v>4883</v>
      </c>
      <c r="B875" s="1321"/>
      <c r="C875" s="1322">
        <v>12</v>
      </c>
      <c r="G875" s="1320"/>
      <c r="I875" s="1374"/>
      <c r="M875" s="1324"/>
      <c r="N875" s="1324"/>
      <c r="O875" s="1324"/>
      <c r="R875" s="1364"/>
      <c r="S875" s="1326"/>
      <c r="T875" s="1321"/>
      <c r="U875" s="1326"/>
      <c r="Y875" s="1324"/>
    </row>
    <row r="876" spans="1:27">
      <c r="A876" s="1320" t="s">
        <v>4883</v>
      </c>
      <c r="B876" s="1320">
        <v>117</v>
      </c>
      <c r="C876" s="1322">
        <v>13</v>
      </c>
      <c r="D876" s="1320" t="s">
        <v>5635</v>
      </c>
      <c r="E876" s="1320" t="s">
        <v>4067</v>
      </c>
      <c r="F876" s="1350">
        <f>+'Allocation Assignment'!F289</f>
        <v>534187.1509608163</v>
      </c>
      <c r="G876" s="1350">
        <f>+$F876*G$1942</f>
        <v>34608.306009133208</v>
      </c>
      <c r="H876" s="1350">
        <f>+$F876*H$1942</f>
        <v>499578.84495168307</v>
      </c>
      <c r="I876" s="1374">
        <f>IF(F876=0,0,+H876/F876)</f>
        <v>0.93521314403222733</v>
      </c>
      <c r="J876" s="1366">
        <f>+H876</f>
        <v>499578.84495168307</v>
      </c>
      <c r="K876" s="1366">
        <f t="shared" ref="K876:Q876" si="407">+$J876*K$1945</f>
        <v>289762.24464192049</v>
      </c>
      <c r="L876" s="1366">
        <f t="shared" si="407"/>
        <v>23902.462480112525</v>
      </c>
      <c r="M876" s="1366">
        <f t="shared" si="407"/>
        <v>152796.43433377217</v>
      </c>
      <c r="N876" s="1366">
        <f t="shared" si="407"/>
        <v>19074.608883696605</v>
      </c>
      <c r="O876" s="1366">
        <f t="shared" si="407"/>
        <v>13688.896903802377</v>
      </c>
      <c r="P876" s="1366">
        <f t="shared" si="407"/>
        <v>354.19770837894737</v>
      </c>
      <c r="Q876" s="1366">
        <f t="shared" si="407"/>
        <v>0</v>
      </c>
      <c r="R876" s="1358"/>
      <c r="S876" s="1320">
        <v>118</v>
      </c>
      <c r="V876" s="1321" t="s">
        <v>9477</v>
      </c>
      <c r="W876" s="1321">
        <v>117</v>
      </c>
      <c r="Y876" s="1324"/>
    </row>
    <row r="877" spans="1:27">
      <c r="A877" s="1320" t="s">
        <v>4883</v>
      </c>
      <c r="B877" s="1321"/>
      <c r="C877" s="1322">
        <v>14</v>
      </c>
      <c r="G877" s="1320"/>
      <c r="M877" s="1324"/>
      <c r="N877" s="1324"/>
      <c r="O877" s="1324"/>
      <c r="S877" s="1321"/>
      <c r="T877" s="1321"/>
      <c r="U877" s="1326"/>
      <c r="Y877" s="1324"/>
    </row>
    <row r="878" spans="1:27">
      <c r="A878" s="1320" t="s">
        <v>4883</v>
      </c>
      <c r="B878" s="1321"/>
      <c r="C878" s="1322">
        <v>15</v>
      </c>
      <c r="D878" s="1320" t="s">
        <v>1953</v>
      </c>
      <c r="G878" s="1320"/>
      <c r="M878" s="1324"/>
      <c r="N878" s="1324"/>
      <c r="O878" s="1324"/>
      <c r="S878" s="1321"/>
      <c r="T878" s="1321"/>
      <c r="U878" s="1326"/>
      <c r="Y878" s="1324"/>
    </row>
    <row r="879" spans="1:27">
      <c r="A879" s="1320" t="s">
        <v>4883</v>
      </c>
      <c r="B879" s="1320">
        <v>117</v>
      </c>
      <c r="C879" s="1322">
        <v>16</v>
      </c>
      <c r="D879" s="1320" t="s">
        <v>5293</v>
      </c>
      <c r="E879" s="1320" t="s">
        <v>4067</v>
      </c>
      <c r="F879" s="1320">
        <f>+'Allocation Assignment'!F290</f>
        <v>240918.39991450205</v>
      </c>
      <c r="G879" s="1358">
        <f>+$F879*G$1942</f>
        <v>15608.345675247083</v>
      </c>
      <c r="H879" s="1358">
        <f>+$F879*H$1942</f>
        <v>225310.05423925494</v>
      </c>
      <c r="I879" s="1374">
        <f>IF(F879=0,0,+H879/F879)</f>
        <v>0.93521314403222733</v>
      </c>
      <c r="J879" s="1364">
        <f>+H879</f>
        <v>225310.05423925494</v>
      </c>
      <c r="K879" s="1364">
        <f t="shared" ref="K879:Q880" si="408">+$J879*K$1945</f>
        <v>130682.76952974971</v>
      </c>
      <c r="L879" s="1364">
        <f t="shared" si="408"/>
        <v>10780.010347249123</v>
      </c>
      <c r="M879" s="1364">
        <f t="shared" si="408"/>
        <v>68911.190406064008</v>
      </c>
      <c r="N879" s="1364">
        <f t="shared" si="408"/>
        <v>8602.6484219801368</v>
      </c>
      <c r="O879" s="1364">
        <f t="shared" si="408"/>
        <v>6173.6923711603049</v>
      </c>
      <c r="P879" s="1364">
        <f t="shared" si="408"/>
        <v>159.74316305166752</v>
      </c>
      <c r="Q879" s="1364">
        <f t="shared" si="408"/>
        <v>0</v>
      </c>
      <c r="R879" s="1358"/>
      <c r="S879" s="1320">
        <v>118</v>
      </c>
      <c r="V879" s="1321" t="s">
        <v>9477</v>
      </c>
      <c r="W879" s="1321">
        <v>117</v>
      </c>
    </row>
    <row r="880" spans="1:27">
      <c r="A880" s="1320" t="s">
        <v>4883</v>
      </c>
      <c r="B880" s="1320">
        <v>117</v>
      </c>
      <c r="C880" s="1322">
        <v>17</v>
      </c>
      <c r="D880" s="1320" t="s">
        <v>5294</v>
      </c>
      <c r="E880" s="1320" t="s">
        <v>4067</v>
      </c>
      <c r="F880" s="1320">
        <f>+'Allocation Assignment'!F291</f>
        <v>284079.64594177791</v>
      </c>
      <c r="G880" s="1358">
        <f>+$F880*G$1942</f>
        <v>18404.627105005802</v>
      </c>
      <c r="H880" s="1358">
        <f>+$F880*H$1942</f>
        <v>265675.01883677207</v>
      </c>
      <c r="I880" s="1374">
        <f>IF(F880=0,0,+H880/F880)</f>
        <v>0.93521314403222722</v>
      </c>
      <c r="J880" s="1364">
        <f>+H880</f>
        <v>265675.01883677207</v>
      </c>
      <c r="K880" s="1364">
        <f t="shared" si="408"/>
        <v>154094.97536044181</v>
      </c>
      <c r="L880" s="1364">
        <f t="shared" si="408"/>
        <v>12711.281179777143</v>
      </c>
      <c r="M880" s="1364">
        <f t="shared" si="408"/>
        <v>81256.834591830251</v>
      </c>
      <c r="N880" s="1364">
        <f t="shared" si="408"/>
        <v>10143.838406468702</v>
      </c>
      <c r="O880" s="1364">
        <f t="shared" si="408"/>
        <v>7279.7276736649274</v>
      </c>
      <c r="P880" s="1364">
        <f t="shared" si="408"/>
        <v>188.36162458924656</v>
      </c>
      <c r="Q880" s="1364">
        <f t="shared" si="408"/>
        <v>0</v>
      </c>
      <c r="R880" s="1358"/>
      <c r="S880" s="1320">
        <v>118</v>
      </c>
      <c r="V880" s="1321" t="s">
        <v>9477</v>
      </c>
      <c r="W880" s="1321">
        <v>117</v>
      </c>
    </row>
    <row r="881" spans="1:27">
      <c r="A881" s="1320" t="s">
        <v>4883</v>
      </c>
      <c r="B881" s="1321"/>
      <c r="C881" s="1322">
        <v>18</v>
      </c>
      <c r="D881" s="1320" t="s">
        <v>1953</v>
      </c>
      <c r="F881" s="1427">
        <f>+SUM(F879:F880)</f>
        <v>524998.04585628002</v>
      </c>
      <c r="G881" s="1427">
        <f>+SUM(G879:G880)</f>
        <v>34012.972780252887</v>
      </c>
      <c r="H881" s="1427">
        <f>+SUM(H879:H880)</f>
        <v>490985.07307602698</v>
      </c>
      <c r="I881" s="1374">
        <f>IF(F881=0,0,+H881/F881)</f>
        <v>0.93521314403222711</v>
      </c>
      <c r="J881" s="1421">
        <f>+SUM(J879:J880)</f>
        <v>490985.07307602698</v>
      </c>
      <c r="K881" s="1421">
        <f>+SUM(K879:K880)</f>
        <v>284777.74489019153</v>
      </c>
      <c r="L881" s="1421">
        <f t="shared" ref="L881:Q881" si="409">+SUM(L879:L880)</f>
        <v>23491.291527026267</v>
      </c>
      <c r="M881" s="1421">
        <f t="shared" si="409"/>
        <v>150168.02499789424</v>
      </c>
      <c r="N881" s="1421">
        <f t="shared" si="409"/>
        <v>18746.48682844884</v>
      </c>
      <c r="O881" s="1421">
        <f t="shared" si="409"/>
        <v>13453.420044825232</v>
      </c>
      <c r="P881" s="1421">
        <f t="shared" si="409"/>
        <v>348.10478764091408</v>
      </c>
      <c r="Q881" s="1421">
        <f t="shared" si="409"/>
        <v>0</v>
      </c>
      <c r="R881" s="1358"/>
      <c r="S881" s="1321"/>
      <c r="T881" s="1321"/>
      <c r="U881" s="1326"/>
      <c r="V881" s="1320" t="s">
        <v>5400</v>
      </c>
      <c r="Y881" s="1324"/>
    </row>
    <row r="882" spans="1:27">
      <c r="A882" s="1320" t="s">
        <v>4883</v>
      </c>
      <c r="B882" s="1321"/>
      <c r="C882" s="1322">
        <v>19</v>
      </c>
      <c r="G882" s="1320"/>
      <c r="M882" s="1324"/>
      <c r="N882" s="1324"/>
      <c r="O882" s="1324"/>
      <c r="S882" s="1321"/>
      <c r="T882" s="1321"/>
      <c r="U882" s="1326"/>
      <c r="Y882" s="1324"/>
    </row>
    <row r="883" spans="1:27" s="1324" customFormat="1">
      <c r="A883" s="1324" t="s">
        <v>4883</v>
      </c>
      <c r="B883" s="1326"/>
      <c r="C883" s="1393">
        <v>20</v>
      </c>
      <c r="D883" s="1324" t="s">
        <v>2456</v>
      </c>
      <c r="F883" s="1366">
        <f>+F874+F876+F881</f>
        <v>1251152.2439900001</v>
      </c>
      <c r="G883" s="1366">
        <f>+G874+G876+G881</f>
        <v>68621.278789386095</v>
      </c>
      <c r="H883" s="1366">
        <f>+H874+H876+H881</f>
        <v>1182530.9652006137</v>
      </c>
      <c r="I883" s="1374">
        <f>IF(F883=0,0,+H883/F883)</f>
        <v>0.94515353417698478</v>
      </c>
      <c r="J883" s="1366">
        <f>+J874+J876+J881</f>
        <v>1182530.9652006137</v>
      </c>
      <c r="K883" s="1366">
        <f>K874+K876+K881</f>
        <v>684770.28353603825</v>
      </c>
      <c r="L883" s="1366">
        <f t="shared" ref="L883:Q883" si="410">L874+L876+L881</f>
        <v>56560.576431921036</v>
      </c>
      <c r="M883" s="1366">
        <f t="shared" si="410"/>
        <v>362291.31195198162</v>
      </c>
      <c r="N883" s="1366">
        <f t="shared" si="410"/>
        <v>45403.468996444186</v>
      </c>
      <c r="O883" s="1366">
        <f t="shared" si="410"/>
        <v>32599.37479030843</v>
      </c>
      <c r="P883" s="1366">
        <f t="shared" si="410"/>
        <v>905.94949392039621</v>
      </c>
      <c r="Q883" s="1366">
        <f t="shared" si="410"/>
        <v>0</v>
      </c>
      <c r="R883" s="1364"/>
      <c r="S883" s="1326"/>
      <c r="T883" s="1326"/>
      <c r="U883" s="1326"/>
      <c r="V883" s="1324" t="s">
        <v>5402</v>
      </c>
      <c r="AA883" s="1320"/>
    </row>
    <row r="884" spans="1:27">
      <c r="B884" s="1321"/>
      <c r="G884" s="1320"/>
      <c r="S884" s="1321"/>
      <c r="T884" s="1321"/>
      <c r="U884" s="1326"/>
      <c r="V884" s="1324"/>
      <c r="Y884" s="1324"/>
    </row>
    <row r="885" spans="1:27">
      <c r="B885" s="1321"/>
      <c r="G885" s="1320"/>
      <c r="S885" s="1321"/>
      <c r="T885" s="1321"/>
      <c r="U885" s="1326"/>
    </row>
    <row r="886" spans="1:27">
      <c r="F886" s="1392"/>
      <c r="G886" s="1392"/>
    </row>
    <row r="889" spans="1:27">
      <c r="B889" s="1432"/>
      <c r="C889" s="1340" t="str">
        <f>+C$2</f>
        <v>RATES WITH REVENUE DEFICIENCY ADDITION</v>
      </c>
      <c r="F889" s="1333"/>
      <c r="G889" s="1327" t="s">
        <v>2173</v>
      </c>
      <c r="I889" s="1334" t="s">
        <v>5630</v>
      </c>
      <c r="L889" s="1329" t="s">
        <v>2173</v>
      </c>
      <c r="M889" s="1330"/>
      <c r="N889" s="1330"/>
      <c r="O889" s="1330"/>
      <c r="S889" s="1334" t="s">
        <v>5636</v>
      </c>
      <c r="T889" s="1333" t="s">
        <v>2173</v>
      </c>
      <c r="U889" s="1334"/>
      <c r="V889" s="1332" t="s">
        <v>4772</v>
      </c>
    </row>
    <row r="890" spans="1:27">
      <c r="B890" s="1432"/>
      <c r="C890" s="1340" t="str">
        <f>+C$3</f>
        <v>PROD. CAP. ALLOC. METHOD: 12 CP &amp; 1/13th AD</v>
      </c>
      <c r="G890" s="1336" t="s">
        <v>4768</v>
      </c>
      <c r="I890" s="1335" t="s">
        <v>4065</v>
      </c>
      <c r="L890" s="1336" t="s">
        <v>5141</v>
      </c>
      <c r="M890" s="1337"/>
      <c r="N890" s="1337"/>
      <c r="O890" s="1337"/>
      <c r="R890" s="1331"/>
      <c r="S890" s="1335" t="s">
        <v>4178</v>
      </c>
      <c r="T890" s="1333" t="s">
        <v>5141</v>
      </c>
      <c r="U890" s="1326"/>
      <c r="V890" s="1332" t="s">
        <v>5636</v>
      </c>
    </row>
    <row r="891" spans="1:27">
      <c r="B891" s="1321"/>
      <c r="C891" s="1340" t="str">
        <f>+C$4</f>
        <v>PROJECTED CALENDAR YEAR 2025; FULLY ADJUSTED DATA</v>
      </c>
      <c r="G891" s="1336" t="s">
        <v>2181</v>
      </c>
      <c r="L891" s="1336" t="s">
        <v>2181</v>
      </c>
      <c r="S891" s="1321"/>
      <c r="T891" s="1339"/>
      <c r="U891" s="1326"/>
    </row>
    <row r="892" spans="1:27">
      <c r="B892" s="1321"/>
      <c r="C892" s="1340" t="str">
        <f>+C$5</f>
        <v>MINIMUM DISTRIBUTION SYSTEM (MDS) NOT EMPLOYED</v>
      </c>
      <c r="D892" s="1358"/>
      <c r="G892" s="1320"/>
      <c r="L892" s="1336"/>
      <c r="M892" s="1337"/>
      <c r="N892" s="1337"/>
      <c r="O892" s="1337"/>
      <c r="S892" s="1321"/>
      <c r="T892" s="1333"/>
      <c r="U892" s="1326"/>
    </row>
    <row r="893" spans="1:27">
      <c r="B893" s="1321"/>
      <c r="C893" s="1340" t="str">
        <f>+C$6</f>
        <v>Tampa Electric 2025 OB Budget</v>
      </c>
      <c r="F893" s="1327"/>
      <c r="G893" s="1333" t="s">
        <v>5631</v>
      </c>
      <c r="L893" s="1336" t="s">
        <v>5631</v>
      </c>
      <c r="M893" s="1337"/>
      <c r="N893" s="1337"/>
      <c r="O893" s="1337"/>
      <c r="S893" s="1321"/>
      <c r="T893" s="1333" t="s">
        <v>5631</v>
      </c>
      <c r="U893" s="1326"/>
    </row>
    <row r="894" spans="1:27" ht="10.5" customHeight="1">
      <c r="B894" s="1321"/>
      <c r="F894" s="1333"/>
      <c r="G894" s="1320"/>
      <c r="L894" s="1336"/>
      <c r="M894" s="1337"/>
      <c r="N894" s="1337"/>
      <c r="O894" s="1337"/>
      <c r="S894" s="1321"/>
      <c r="T894" s="1321"/>
      <c r="U894" s="1326"/>
    </row>
    <row r="895" spans="1:27" ht="10.5" customHeight="1">
      <c r="B895" s="1321"/>
      <c r="F895" s="1333"/>
      <c r="G895" s="1320"/>
      <c r="L895" s="1336"/>
      <c r="M895" s="1337"/>
      <c r="N895" s="1337"/>
      <c r="O895" s="1337"/>
      <c r="S895" s="1321"/>
      <c r="T895" s="1321"/>
      <c r="U895" s="1326"/>
    </row>
    <row r="896" spans="1:27" ht="10.5" customHeight="1">
      <c r="B896" s="1321"/>
      <c r="G896" s="1320"/>
      <c r="S896" s="1321"/>
      <c r="T896" s="1321"/>
      <c r="U896" s="1326"/>
    </row>
    <row r="897" spans="1:32" ht="10.5" customHeight="1">
      <c r="B897" s="1321"/>
      <c r="C897" s="1342"/>
      <c r="D897" s="1331"/>
      <c r="E897" s="1331"/>
      <c r="F897" s="1333"/>
      <c r="G897" s="1333"/>
      <c r="H897" s="1333"/>
      <c r="I897" s="1343"/>
      <c r="J897" s="1416"/>
      <c r="K897" s="1336"/>
      <c r="L897" s="1416"/>
      <c r="M897" s="1417"/>
      <c r="N897" s="1417"/>
      <c r="O897" s="1417"/>
      <c r="P897" s="3164"/>
      <c r="Q897" s="3164"/>
      <c r="R897" s="1333"/>
      <c r="S897" s="1321"/>
      <c r="T897" s="1321"/>
      <c r="U897" s="1326"/>
    </row>
    <row r="898" spans="1:32" ht="30" customHeight="1">
      <c r="A898" s="1418" t="s">
        <v>4683</v>
      </c>
      <c r="B898" s="1425" t="s">
        <v>5143</v>
      </c>
      <c r="C898" s="1349" t="s">
        <v>4297</v>
      </c>
      <c r="D898" s="1418"/>
      <c r="E898" s="1418"/>
      <c r="F898" s="1348" t="s">
        <v>5144</v>
      </c>
      <c r="G898" s="1348" t="s">
        <v>4956</v>
      </c>
      <c r="H898" s="1348" t="s">
        <v>4957</v>
      </c>
      <c r="I898" s="1426" t="s">
        <v>5145</v>
      </c>
      <c r="J898" s="1352" t="s">
        <v>4957</v>
      </c>
      <c r="K898" s="1353" t="s">
        <v>1949</v>
      </c>
      <c r="L898" s="1353" t="s">
        <v>1950</v>
      </c>
      <c r="M898" s="1354" t="s">
        <v>1934</v>
      </c>
      <c r="N898" s="1354" t="s">
        <v>1971</v>
      </c>
      <c r="O898" s="1354" t="s">
        <v>1972</v>
      </c>
      <c r="P898" s="1352" t="s">
        <v>5146</v>
      </c>
      <c r="Q898" s="1352" t="s">
        <v>5147</v>
      </c>
      <c r="R898" s="1355"/>
      <c r="S898" s="1348" t="s">
        <v>5299</v>
      </c>
      <c r="T898" s="1348"/>
      <c r="U898" s="1352"/>
      <c r="V898" s="1355" t="s">
        <v>4774</v>
      </c>
      <c r="AF898" s="1392"/>
    </row>
    <row r="899" spans="1:32">
      <c r="B899" s="1441"/>
      <c r="C899" s="1397"/>
      <c r="D899" s="1435"/>
      <c r="E899" s="1435"/>
      <c r="F899" s="1396"/>
      <c r="G899" s="1396"/>
      <c r="H899" s="1396"/>
      <c r="I899" s="1442"/>
      <c r="J899" s="1399"/>
      <c r="K899" s="1360"/>
      <c r="L899" s="1360"/>
      <c r="M899" s="1361"/>
      <c r="N899" s="1361"/>
      <c r="O899" s="1361"/>
      <c r="P899" s="1399"/>
      <c r="Q899" s="1399"/>
      <c r="R899" s="1346"/>
      <c r="S899" s="1396"/>
      <c r="T899" s="1396"/>
      <c r="U899" s="1399"/>
    </row>
    <row r="900" spans="1:32">
      <c r="A900" s="1320" t="s">
        <v>4883</v>
      </c>
      <c r="B900" s="1321"/>
      <c r="C900" s="1322">
        <v>21</v>
      </c>
      <c r="D900" s="1356" t="s">
        <v>2543</v>
      </c>
      <c r="G900" s="1320"/>
      <c r="S900" s="1321"/>
      <c r="T900" s="1321"/>
      <c r="U900" s="1326"/>
    </row>
    <row r="901" spans="1:32">
      <c r="A901" s="1320" t="s">
        <v>4883</v>
      </c>
      <c r="B901" s="1320">
        <v>105</v>
      </c>
      <c r="C901" s="1322">
        <v>22</v>
      </c>
      <c r="D901" s="1320" t="s">
        <v>5293</v>
      </c>
      <c r="E901" s="1320" t="s">
        <v>4067</v>
      </c>
      <c r="F901" s="1320">
        <f>+'Allocation Assignment'!F292</f>
        <v>368438.48759000003</v>
      </c>
      <c r="G901" s="1358">
        <f>+$F901*G$1936</f>
        <v>0</v>
      </c>
      <c r="H901" s="1358">
        <f>+$F901*H$1936</f>
        <v>368438.48759000003</v>
      </c>
      <c r="I901" s="1374">
        <f>IF(F901=0,0,+H901/F901)</f>
        <v>1</v>
      </c>
      <c r="J901" s="1364">
        <f>+H901</f>
        <v>368438.48759000003</v>
      </c>
      <c r="K901" s="1364">
        <f>+$J901*K$1936</f>
        <v>229322.01414144278</v>
      </c>
      <c r="L901" s="1364">
        <f t="shared" ref="L901:Q901" si="411">+$J901*L$1936</f>
        <v>16309.956798968924</v>
      </c>
      <c r="M901" s="1364">
        <f t="shared" si="411"/>
        <v>109205.34428043525</v>
      </c>
      <c r="N901" s="1364">
        <f t="shared" si="411"/>
        <v>11486.206525822598</v>
      </c>
      <c r="O901" s="1364">
        <f t="shared" si="411"/>
        <v>7.8425580513606513E-3</v>
      </c>
      <c r="P901" s="1364">
        <f t="shared" si="411"/>
        <v>2114.9580007725094</v>
      </c>
      <c r="Q901" s="1364">
        <f t="shared" si="411"/>
        <v>0</v>
      </c>
      <c r="R901" s="1364"/>
      <c r="S901" s="1364">
        <v>105</v>
      </c>
      <c r="V901" s="1321" t="s">
        <v>5229</v>
      </c>
      <c r="W901" s="1321">
        <v>105</v>
      </c>
      <c r="Y901" s="1324"/>
    </row>
    <row r="902" spans="1:32">
      <c r="A902" s="1320" t="s">
        <v>4883</v>
      </c>
      <c r="B902" s="1321"/>
      <c r="C902" s="1322">
        <v>23</v>
      </c>
      <c r="G902" s="1320"/>
      <c r="M902" s="1324"/>
      <c r="N902" s="1324"/>
      <c r="O902" s="1324"/>
      <c r="R902" s="1324"/>
      <c r="S902" s="1324"/>
      <c r="T902" s="1321"/>
      <c r="U902" s="1326"/>
      <c r="Y902" s="1324"/>
    </row>
    <row r="903" spans="1:32">
      <c r="A903" s="1320" t="s">
        <v>4883</v>
      </c>
      <c r="B903" s="1324">
        <v>310</v>
      </c>
      <c r="C903" s="1322">
        <v>24</v>
      </c>
      <c r="D903" s="1320" t="s">
        <v>5405</v>
      </c>
      <c r="E903" s="1320" t="s">
        <v>4071</v>
      </c>
      <c r="F903" s="1320">
        <f>+'Allocation Assignment'!F293</f>
        <v>32074.434089827188</v>
      </c>
      <c r="G903" s="1364">
        <f>+$F903*G$1996</f>
        <v>0</v>
      </c>
      <c r="H903" s="1364">
        <f>+$F903*H$1996</f>
        <v>32074.434089827188</v>
      </c>
      <c r="I903" s="1374">
        <f t="shared" ref="I903:I908" si="412">IF(F903=0,0,+H903/F903)</f>
        <v>1</v>
      </c>
      <c r="J903" s="1364">
        <f>+H903</f>
        <v>32074.434089827188</v>
      </c>
      <c r="K903" s="1364">
        <f>+$J903*K$1996</f>
        <v>0</v>
      </c>
      <c r="L903" s="1364">
        <f t="shared" ref="L903:Q903" si="413">+$J903*L$1996</f>
        <v>0</v>
      </c>
      <c r="M903" s="1364">
        <f t="shared" si="413"/>
        <v>0</v>
      </c>
      <c r="N903" s="1364">
        <f t="shared" si="413"/>
        <v>0</v>
      </c>
      <c r="O903" s="1364">
        <f t="shared" si="413"/>
        <v>0</v>
      </c>
      <c r="P903" s="1364">
        <f t="shared" si="413"/>
        <v>0</v>
      </c>
      <c r="Q903" s="1364">
        <f t="shared" si="413"/>
        <v>32074.434089827188</v>
      </c>
      <c r="R903" s="1364"/>
      <c r="S903" s="1364">
        <v>310</v>
      </c>
      <c r="V903" s="1321" t="s">
        <v>5302</v>
      </c>
      <c r="W903" s="1321">
        <v>310</v>
      </c>
      <c r="Y903" s="1324"/>
    </row>
    <row r="904" spans="1:32">
      <c r="A904" s="1320" t="s">
        <v>4883</v>
      </c>
      <c r="B904" s="1320">
        <v>105</v>
      </c>
      <c r="C904" s="1322">
        <v>25</v>
      </c>
      <c r="D904" s="1320" t="s">
        <v>5406</v>
      </c>
      <c r="E904" s="1320" t="s">
        <v>4067</v>
      </c>
      <c r="F904" s="1320">
        <f>+'Allocation Assignment'!F294</f>
        <v>300991.26661087415</v>
      </c>
      <c r="G904" s="1358">
        <f>+$F904*G$1936</f>
        <v>0</v>
      </c>
      <c r="H904" s="1358">
        <f>+$F904*H$1936</f>
        <v>300991.26661087415</v>
      </c>
      <c r="I904" s="1374">
        <f t="shared" si="412"/>
        <v>1</v>
      </c>
      <c r="J904" s="1364">
        <f>+H904</f>
        <v>300991.26661087415</v>
      </c>
      <c r="K904" s="1364">
        <f>+$J904*K$1936</f>
        <v>187341.78383394025</v>
      </c>
      <c r="L904" s="1364">
        <f t="shared" ref="L904:Q904" si="414">+$J904*L$1936</f>
        <v>13324.217530588779</v>
      </c>
      <c r="M904" s="1364">
        <f t="shared" si="414"/>
        <v>89213.955660958265</v>
      </c>
      <c r="N904" s="1364">
        <f t="shared" si="414"/>
        <v>9383.5143917121732</v>
      </c>
      <c r="O904" s="1364">
        <f t="shared" si="414"/>
        <v>6.4068808250433724E-3</v>
      </c>
      <c r="P904" s="1364">
        <f t="shared" si="414"/>
        <v>1727.7887867939387</v>
      </c>
      <c r="Q904" s="1364">
        <f t="shared" si="414"/>
        <v>0</v>
      </c>
      <c r="R904" s="1364"/>
      <c r="S904" s="1364">
        <v>105</v>
      </c>
      <c r="V904" s="1321" t="s">
        <v>5229</v>
      </c>
      <c r="W904" s="1321">
        <v>105</v>
      </c>
      <c r="Y904" s="1324"/>
    </row>
    <row r="905" spans="1:32">
      <c r="A905" s="1320" t="s">
        <v>4883</v>
      </c>
      <c r="B905" s="1324">
        <v>418</v>
      </c>
      <c r="C905" s="1393">
        <v>26</v>
      </c>
      <c r="D905" s="1324" t="s">
        <v>5407</v>
      </c>
      <c r="E905" s="1324" t="s">
        <v>4071</v>
      </c>
      <c r="F905" s="1320">
        <f>+'Allocation Assignment'!F295</f>
        <v>0</v>
      </c>
      <c r="G905" s="1364">
        <f>+$F905*G$2024</f>
        <v>0</v>
      </c>
      <c r="H905" s="1364">
        <f>+$F905*H$1936</f>
        <v>0</v>
      </c>
      <c r="I905" s="1374">
        <f t="shared" si="412"/>
        <v>0</v>
      </c>
      <c r="J905" s="1364">
        <f>+H905</f>
        <v>0</v>
      </c>
      <c r="K905" s="1364">
        <f>+$J905*K$2024</f>
        <v>0</v>
      </c>
      <c r="L905" s="1364">
        <f t="shared" ref="L905:Q905" si="415">+$J905*L$2024</f>
        <v>0</v>
      </c>
      <c r="M905" s="1364">
        <f t="shared" si="415"/>
        <v>0</v>
      </c>
      <c r="N905" s="1364">
        <f t="shared" si="415"/>
        <v>0</v>
      </c>
      <c r="O905" s="1364">
        <f t="shared" si="415"/>
        <v>0</v>
      </c>
      <c r="P905" s="1364">
        <f t="shared" si="415"/>
        <v>0</v>
      </c>
      <c r="Q905" s="1364">
        <f t="shared" si="415"/>
        <v>0</v>
      </c>
      <c r="R905" s="1364"/>
      <c r="S905" s="1364">
        <v>418</v>
      </c>
      <c r="V905" s="1321" t="s">
        <v>5305</v>
      </c>
      <c r="W905" s="1321">
        <v>418</v>
      </c>
      <c r="Y905" s="1324"/>
    </row>
    <row r="906" spans="1:32">
      <c r="A906" s="1320" t="s">
        <v>4883</v>
      </c>
      <c r="B906" s="1324">
        <v>106</v>
      </c>
      <c r="C906" s="1393">
        <v>27</v>
      </c>
      <c r="D906" s="1324" t="s">
        <v>5408</v>
      </c>
      <c r="E906" s="1324" t="s">
        <v>4067</v>
      </c>
      <c r="F906" s="1320">
        <f>+'Allocation Assignment'!F296</f>
        <v>90395.647783701817</v>
      </c>
      <c r="G906" s="1364">
        <f>+$F906*G$1939</f>
        <v>0</v>
      </c>
      <c r="H906" s="1364">
        <f>+$F906*H$1939</f>
        <v>90395.647783701817</v>
      </c>
      <c r="I906" s="1374">
        <f t="shared" si="412"/>
        <v>1</v>
      </c>
      <c r="J906" s="1364">
        <f>+H906</f>
        <v>90395.647783701817</v>
      </c>
      <c r="K906" s="1364">
        <f>+$J906*K$1939</f>
        <v>65955.671299133493</v>
      </c>
      <c r="L906" s="1364">
        <f t="shared" ref="L906:Q906" si="416">+$J906*L$1939</f>
        <v>5310.7405112665401</v>
      </c>
      <c r="M906" s="1364">
        <f t="shared" si="416"/>
        <v>18802.236207296883</v>
      </c>
      <c r="N906" s="1364">
        <f t="shared" si="416"/>
        <v>0</v>
      </c>
      <c r="O906" s="1364">
        <f t="shared" si="416"/>
        <v>0</v>
      </c>
      <c r="P906" s="1364">
        <f t="shared" si="416"/>
        <v>326.99976600489356</v>
      </c>
      <c r="Q906" s="1364">
        <f t="shared" si="416"/>
        <v>0</v>
      </c>
      <c r="R906" s="1364"/>
      <c r="S906" s="1364">
        <v>106</v>
      </c>
      <c r="V906" s="1321" t="s">
        <v>5230</v>
      </c>
      <c r="W906" s="1321">
        <v>106</v>
      </c>
      <c r="Y906" s="1324"/>
    </row>
    <row r="907" spans="1:32">
      <c r="A907" s="1320" t="s">
        <v>4883</v>
      </c>
      <c r="B907" s="1324">
        <v>420</v>
      </c>
      <c r="C907" s="1393">
        <v>28</v>
      </c>
      <c r="D907" s="1324" t="s">
        <v>5409</v>
      </c>
      <c r="E907" s="1324" t="s">
        <v>4071</v>
      </c>
      <c r="F907" s="1320">
        <f>+'Allocation Assignment'!F297</f>
        <v>0</v>
      </c>
      <c r="G907" s="1364">
        <f>+$F907*G$2027</f>
        <v>0</v>
      </c>
      <c r="H907" s="1364">
        <f>+$F907*H$2027</f>
        <v>0</v>
      </c>
      <c r="I907" s="1374">
        <f t="shared" si="412"/>
        <v>0</v>
      </c>
      <c r="J907" s="1364">
        <f>+H907</f>
        <v>0</v>
      </c>
      <c r="K907" s="1364">
        <f>+$J907*K$2027</f>
        <v>0</v>
      </c>
      <c r="L907" s="1364">
        <f t="shared" ref="L907:Q907" si="417">+$J907*L$2027</f>
        <v>0</v>
      </c>
      <c r="M907" s="1364">
        <f t="shared" si="417"/>
        <v>0</v>
      </c>
      <c r="N907" s="1364">
        <f t="shared" si="417"/>
        <v>0</v>
      </c>
      <c r="O907" s="1364">
        <f t="shared" si="417"/>
        <v>0</v>
      </c>
      <c r="P907" s="1364">
        <f t="shared" si="417"/>
        <v>0</v>
      </c>
      <c r="Q907" s="1364">
        <f t="shared" si="417"/>
        <v>0</v>
      </c>
      <c r="R907" s="1364"/>
      <c r="S907" s="1364">
        <v>420</v>
      </c>
      <c r="V907" s="1321" t="s">
        <v>5225</v>
      </c>
      <c r="W907" s="1321">
        <v>420</v>
      </c>
      <c r="Y907" s="1324"/>
    </row>
    <row r="908" spans="1:32">
      <c r="A908" s="1320" t="s">
        <v>4883</v>
      </c>
      <c r="B908" s="1326"/>
      <c r="C908" s="1393">
        <v>29</v>
      </c>
      <c r="D908" s="1324" t="s">
        <v>5637</v>
      </c>
      <c r="E908" s="1324"/>
      <c r="F908" s="1421">
        <f>+SUM(F903:F907)</f>
        <v>423461.34848440316</v>
      </c>
      <c r="G908" s="1421">
        <f>+SUM(G903:G907)</f>
        <v>0</v>
      </c>
      <c r="H908" s="1421">
        <f>+SUM(H903:H907)</f>
        <v>423461.34848440316</v>
      </c>
      <c r="I908" s="1374">
        <f t="shared" si="412"/>
        <v>1</v>
      </c>
      <c r="J908" s="1421">
        <f>+SUM(J903:J907)</f>
        <v>423461.34848440316</v>
      </c>
      <c r="K908" s="1421">
        <f>+SUM(K903:K907)</f>
        <v>253297.45513307373</v>
      </c>
      <c r="L908" s="1421">
        <f t="shared" ref="L908:Q908" si="418">+SUM(L903:L907)</f>
        <v>18634.95804185532</v>
      </c>
      <c r="M908" s="1421">
        <f t="shared" si="418"/>
        <v>108016.19186825515</v>
      </c>
      <c r="N908" s="1421">
        <f t="shared" si="418"/>
        <v>9383.5143917121732</v>
      </c>
      <c r="O908" s="1421">
        <f t="shared" si="418"/>
        <v>6.4068808250433724E-3</v>
      </c>
      <c r="P908" s="1421">
        <f t="shared" si="418"/>
        <v>2054.7885527988324</v>
      </c>
      <c r="Q908" s="1421">
        <f t="shared" si="418"/>
        <v>32074.434089827188</v>
      </c>
      <c r="R908" s="1364"/>
      <c r="S908" s="1364"/>
      <c r="T908" s="1321"/>
      <c r="U908" s="1326"/>
      <c r="V908" s="1320" t="s">
        <v>5411</v>
      </c>
      <c r="Y908" s="1324"/>
    </row>
    <row r="909" spans="1:32">
      <c r="A909" s="1320" t="s">
        <v>4883</v>
      </c>
      <c r="B909" s="1326"/>
      <c r="C909" s="1393">
        <v>30</v>
      </c>
      <c r="D909" s="1324"/>
      <c r="E909" s="1324"/>
      <c r="F909" s="1324"/>
      <c r="H909" s="1324"/>
      <c r="I909" s="1374"/>
      <c r="R909" s="1324"/>
      <c r="S909" s="1326"/>
      <c r="T909" s="1321"/>
      <c r="U909" s="1326"/>
    </row>
    <row r="910" spans="1:32">
      <c r="A910" s="1320" t="s">
        <v>4883</v>
      </c>
      <c r="B910" s="1324">
        <v>310</v>
      </c>
      <c r="C910" s="1393">
        <v>31</v>
      </c>
      <c r="D910" s="1324" t="s">
        <v>5301</v>
      </c>
      <c r="E910" s="1324" t="s">
        <v>4071</v>
      </c>
      <c r="F910" s="1324">
        <f>+'Allocation Assignment'!F298</f>
        <v>4542.9060069542402</v>
      </c>
      <c r="G910" s="1364">
        <f>+$F910*G$1996</f>
        <v>0</v>
      </c>
      <c r="H910" s="1364">
        <f>+$F910*H$1996</f>
        <v>4542.9060069542402</v>
      </c>
      <c r="I910" s="1374">
        <f t="shared" ref="I910:I915" si="419">IF(F910=0,0,+H910/F910)</f>
        <v>1</v>
      </c>
      <c r="J910" s="1364">
        <f>+H910</f>
        <v>4542.9060069542402</v>
      </c>
      <c r="K910" s="1364">
        <f t="shared" ref="K910:Q910" si="420">+$J910*K$1996</f>
        <v>0</v>
      </c>
      <c r="L910" s="1364">
        <f t="shared" si="420"/>
        <v>0</v>
      </c>
      <c r="M910" s="1364">
        <f t="shared" si="420"/>
        <v>0</v>
      </c>
      <c r="N910" s="1367">
        <f t="shared" si="420"/>
        <v>0</v>
      </c>
      <c r="O910" s="1367">
        <f t="shared" si="420"/>
        <v>0</v>
      </c>
      <c r="P910" s="1367">
        <f t="shared" si="420"/>
        <v>0</v>
      </c>
      <c r="Q910" s="1364">
        <f t="shared" si="420"/>
        <v>4542.9060069542402</v>
      </c>
      <c r="R910" s="1364"/>
      <c r="S910" s="1364">
        <v>310</v>
      </c>
      <c r="T910" s="1324"/>
      <c r="V910" s="1321" t="s">
        <v>5302</v>
      </c>
      <c r="W910" s="1321">
        <v>310</v>
      </c>
    </row>
    <row r="911" spans="1:32">
      <c r="A911" s="1320" t="s">
        <v>4883</v>
      </c>
      <c r="B911" s="1324">
        <v>105</v>
      </c>
      <c r="C911" s="1393">
        <v>32</v>
      </c>
      <c r="D911" s="1324" t="s">
        <v>5303</v>
      </c>
      <c r="E911" s="1324" t="s">
        <v>4067</v>
      </c>
      <c r="F911" s="1324">
        <f>+'Allocation Assignment'!F299</f>
        <v>251746.69790571451</v>
      </c>
      <c r="G911" s="1364">
        <f>+$F911*G$1936</f>
        <v>0</v>
      </c>
      <c r="H911" s="1364">
        <f>+$F911*H$1936</f>
        <v>251746.69790571451</v>
      </c>
      <c r="I911" s="1374">
        <f t="shared" si="419"/>
        <v>1</v>
      </c>
      <c r="J911" s="1364">
        <f>+H911</f>
        <v>251746.69790571451</v>
      </c>
      <c r="K911" s="1364">
        <f t="shared" ref="K911:Q911" si="421">+$J911*K$1936</f>
        <v>156691.17576402376</v>
      </c>
      <c r="L911" s="1364">
        <f t="shared" si="421"/>
        <v>11144.269411111127</v>
      </c>
      <c r="M911" s="1364">
        <f t="shared" si="421"/>
        <v>74617.84189834584</v>
      </c>
      <c r="N911" s="1367">
        <f t="shared" si="421"/>
        <v>7848.2966946621209</v>
      </c>
      <c r="O911" s="1367">
        <f t="shared" si="421"/>
        <v>5.358664089298323E-3</v>
      </c>
      <c r="P911" s="1367">
        <f t="shared" si="421"/>
        <v>1445.108778907608</v>
      </c>
      <c r="Q911" s="1364">
        <f t="shared" si="421"/>
        <v>0</v>
      </c>
      <c r="R911" s="1364"/>
      <c r="S911" s="1364">
        <v>105</v>
      </c>
      <c r="V911" s="1321" t="s">
        <v>5229</v>
      </c>
      <c r="W911" s="1321">
        <v>105</v>
      </c>
      <c r="Y911" s="1324"/>
    </row>
    <row r="912" spans="1:32">
      <c r="A912" s="1324" t="s">
        <v>4883</v>
      </c>
      <c r="B912" s="1324">
        <v>418</v>
      </c>
      <c r="C912" s="1393">
        <v>33</v>
      </c>
      <c r="D912" s="1324" t="s">
        <v>5304</v>
      </c>
      <c r="E912" s="1324" t="s">
        <v>4071</v>
      </c>
      <c r="F912" s="1324">
        <f>+'Allocation Assignment'!F300</f>
        <v>0</v>
      </c>
      <c r="G912" s="1364">
        <f>+$F912*G$2024</f>
        <v>0</v>
      </c>
      <c r="H912" s="1364">
        <f>+$F912*H$1936</f>
        <v>0</v>
      </c>
      <c r="I912" s="1374">
        <f t="shared" si="419"/>
        <v>0</v>
      </c>
      <c r="J912" s="1364">
        <f>+H912</f>
        <v>0</v>
      </c>
      <c r="K912" s="1364">
        <f t="shared" ref="K912:Q912" si="422">+$J912*K$2024</f>
        <v>0</v>
      </c>
      <c r="L912" s="1364">
        <f t="shared" si="422"/>
        <v>0</v>
      </c>
      <c r="M912" s="1364">
        <f t="shared" si="422"/>
        <v>0</v>
      </c>
      <c r="N912" s="1367">
        <f t="shared" si="422"/>
        <v>0</v>
      </c>
      <c r="O912" s="1367">
        <f t="shared" si="422"/>
        <v>0</v>
      </c>
      <c r="P912" s="1367">
        <f t="shared" si="422"/>
        <v>0</v>
      </c>
      <c r="Q912" s="1364">
        <f t="shared" si="422"/>
        <v>0</v>
      </c>
      <c r="R912" s="1364"/>
      <c r="S912" s="1364">
        <v>418</v>
      </c>
      <c r="V912" s="1321" t="s">
        <v>5305</v>
      </c>
      <c r="W912" s="1321">
        <v>418</v>
      </c>
      <c r="Y912" s="1324"/>
    </row>
    <row r="913" spans="1:27">
      <c r="A913" s="1320" t="s">
        <v>4883</v>
      </c>
      <c r="B913" s="1324">
        <v>106</v>
      </c>
      <c r="C913" s="1393">
        <v>34</v>
      </c>
      <c r="D913" s="1324" t="s">
        <v>5306</v>
      </c>
      <c r="E913" s="1324" t="s">
        <v>4067</v>
      </c>
      <c r="F913" s="1324">
        <f>+'Allocation Assignment'!F301</f>
        <v>38297.820125838523</v>
      </c>
      <c r="G913" s="1364">
        <f>+$F913*G$1936</f>
        <v>0</v>
      </c>
      <c r="H913" s="1364">
        <f>+$F913*H$1936</f>
        <v>38297.820125838523</v>
      </c>
      <c r="I913" s="1374">
        <f t="shared" si="419"/>
        <v>1</v>
      </c>
      <c r="J913" s="1364">
        <f>+H913</f>
        <v>38297.820125838523</v>
      </c>
      <c r="K913" s="1364">
        <f t="shared" ref="K913:Q913" si="423">+$J913*K$1939</f>
        <v>27943.363398835791</v>
      </c>
      <c r="L913" s="1364">
        <f t="shared" si="423"/>
        <v>2249.9953241350686</v>
      </c>
      <c r="M913" s="1364">
        <f t="shared" si="423"/>
        <v>7965.921788110847</v>
      </c>
      <c r="N913" s="1367">
        <f t="shared" si="423"/>
        <v>0</v>
      </c>
      <c r="O913" s="1367">
        <f t="shared" si="423"/>
        <v>0</v>
      </c>
      <c r="P913" s="1367">
        <f t="shared" si="423"/>
        <v>138.53961475681405</v>
      </c>
      <c r="Q913" s="1364">
        <f t="shared" si="423"/>
        <v>0</v>
      </c>
      <c r="R913" s="1364"/>
      <c r="S913" s="1364">
        <v>106</v>
      </c>
      <c r="V913" s="1321" t="s">
        <v>5230</v>
      </c>
      <c r="W913" s="1321">
        <v>106</v>
      </c>
      <c r="Y913" s="1324"/>
    </row>
    <row r="914" spans="1:27">
      <c r="A914" s="1320" t="s">
        <v>4883</v>
      </c>
      <c r="B914" s="1324">
        <v>420</v>
      </c>
      <c r="C914" s="1393">
        <v>35</v>
      </c>
      <c r="D914" s="1324" t="s">
        <v>5307</v>
      </c>
      <c r="E914" s="1324" t="s">
        <v>4071</v>
      </c>
      <c r="F914" s="1324">
        <f>+'Allocation Assignment'!F302</f>
        <v>0</v>
      </c>
      <c r="G914" s="1364">
        <f>+$F914*G$2027</f>
        <v>0</v>
      </c>
      <c r="H914" s="1364">
        <f>+$F914*H$2027</f>
        <v>0</v>
      </c>
      <c r="I914" s="1374">
        <f t="shared" si="419"/>
        <v>0</v>
      </c>
      <c r="J914" s="1364">
        <f>+H914</f>
        <v>0</v>
      </c>
      <c r="K914" s="1364">
        <f t="shared" ref="K914:Q914" si="424">+$J914*K$2027</f>
        <v>0</v>
      </c>
      <c r="L914" s="1364">
        <f t="shared" si="424"/>
        <v>0</v>
      </c>
      <c r="M914" s="1364">
        <f t="shared" si="424"/>
        <v>0</v>
      </c>
      <c r="N914" s="1367">
        <f t="shared" si="424"/>
        <v>0</v>
      </c>
      <c r="O914" s="1367">
        <f t="shared" si="424"/>
        <v>0</v>
      </c>
      <c r="P914" s="1367">
        <f t="shared" si="424"/>
        <v>0</v>
      </c>
      <c r="Q914" s="1364">
        <f t="shared" si="424"/>
        <v>0</v>
      </c>
      <c r="R914" s="1364"/>
      <c r="S914" s="1364">
        <v>420</v>
      </c>
      <c r="V914" s="1321" t="s">
        <v>5225</v>
      </c>
      <c r="W914" s="1321">
        <v>420</v>
      </c>
      <c r="Y914" s="1324"/>
    </row>
    <row r="915" spans="1:27">
      <c r="A915" s="1320" t="s">
        <v>4883</v>
      </c>
      <c r="B915" s="1326"/>
      <c r="C915" s="1393">
        <v>36</v>
      </c>
      <c r="D915" s="1324" t="s">
        <v>5308</v>
      </c>
      <c r="E915" s="1324"/>
      <c r="F915" s="1421">
        <f>+SUM(F910:F914)</f>
        <v>294587.42403850728</v>
      </c>
      <c r="G915" s="1421">
        <f>+SUM(G910:G914)</f>
        <v>0</v>
      </c>
      <c r="H915" s="1421">
        <f>SUM(H910:H914)</f>
        <v>294587.42403850728</v>
      </c>
      <c r="I915" s="1374">
        <f t="shared" si="419"/>
        <v>1</v>
      </c>
      <c r="J915" s="1421">
        <f>SUM(J910:J914)</f>
        <v>294587.42403850728</v>
      </c>
      <c r="K915" s="1421">
        <f t="shared" ref="K915:Q915" si="425">SUM(K910:K914)</f>
        <v>184634.53916285955</v>
      </c>
      <c r="L915" s="1421">
        <f t="shared" si="425"/>
        <v>13394.264735246195</v>
      </c>
      <c r="M915" s="1421">
        <f>SUM(M910:M914)</f>
        <v>82583.763686456688</v>
      </c>
      <c r="N915" s="1421">
        <f t="shared" si="425"/>
        <v>7848.2966946621209</v>
      </c>
      <c r="O915" s="1421">
        <f>SUM(O910:O914)</f>
        <v>5.358664089298323E-3</v>
      </c>
      <c r="P915" s="1421">
        <f>SUM(P910:P914)</f>
        <v>1583.648393664422</v>
      </c>
      <c r="Q915" s="1421">
        <f t="shared" si="425"/>
        <v>4542.9060069542402</v>
      </c>
      <c r="R915" s="1364"/>
      <c r="S915" s="1364"/>
      <c r="T915" s="1321"/>
      <c r="U915" s="1326"/>
      <c r="V915" s="1320" t="s">
        <v>5412</v>
      </c>
      <c r="Y915" s="1324"/>
    </row>
    <row r="916" spans="1:27">
      <c r="A916" s="1320" t="s">
        <v>4883</v>
      </c>
      <c r="B916" s="1326"/>
      <c r="C916" s="1393">
        <v>37</v>
      </c>
      <c r="D916" s="1324"/>
      <c r="E916" s="1324"/>
      <c r="F916" s="1324"/>
      <c r="H916" s="1324"/>
      <c r="I916" s="1374"/>
      <c r="R916" s="1324"/>
      <c r="S916" s="1326"/>
      <c r="T916" s="1321"/>
      <c r="U916" s="1326"/>
      <c r="Y916" s="1324"/>
    </row>
    <row r="917" spans="1:27">
      <c r="A917" s="1320" t="s">
        <v>4883</v>
      </c>
      <c r="B917" s="1324">
        <v>310</v>
      </c>
      <c r="C917" s="1393">
        <v>38</v>
      </c>
      <c r="D917" s="1324" t="s">
        <v>5310</v>
      </c>
      <c r="E917" s="1324" t="s">
        <v>4071</v>
      </c>
      <c r="F917" s="1324">
        <f>+'Allocation Assignment'!F303</f>
        <v>385.73180000000002</v>
      </c>
      <c r="G917" s="1364">
        <f>+$F917*G$1996</f>
        <v>0</v>
      </c>
      <c r="H917" s="1364">
        <f>+$F917*H$1996</f>
        <v>385.73180000000002</v>
      </c>
      <c r="I917" s="1374">
        <f t="shared" ref="I917:I922" si="426">IF(F917=0,0,+H917/F917)</f>
        <v>1</v>
      </c>
      <c r="J917" s="1364">
        <f>+H917</f>
        <v>385.73180000000002</v>
      </c>
      <c r="K917" s="1364">
        <f t="shared" ref="K917:Q917" si="427">+$J917*K$1996</f>
        <v>0</v>
      </c>
      <c r="L917" s="1364">
        <f t="shared" si="427"/>
        <v>0</v>
      </c>
      <c r="M917" s="1364">
        <f t="shared" si="427"/>
        <v>0</v>
      </c>
      <c r="N917" s="1367">
        <f t="shared" si="427"/>
        <v>0</v>
      </c>
      <c r="O917" s="1367">
        <f t="shared" si="427"/>
        <v>0</v>
      </c>
      <c r="P917" s="1367">
        <f t="shared" si="427"/>
        <v>0</v>
      </c>
      <c r="Q917" s="1364">
        <f t="shared" si="427"/>
        <v>385.73180000000002</v>
      </c>
      <c r="R917" s="1364"/>
      <c r="S917" s="1364">
        <v>310</v>
      </c>
      <c r="T917" s="1324"/>
      <c r="V917" s="1321" t="s">
        <v>5302</v>
      </c>
      <c r="W917" s="1321">
        <v>310</v>
      </c>
      <c r="Y917" s="1324"/>
    </row>
    <row r="918" spans="1:27">
      <c r="A918" s="1320" t="s">
        <v>4883</v>
      </c>
      <c r="B918" s="1324">
        <v>105</v>
      </c>
      <c r="C918" s="1393">
        <v>39</v>
      </c>
      <c r="D918" s="1324" t="s">
        <v>5311</v>
      </c>
      <c r="E918" s="1324" t="s">
        <v>4067</v>
      </c>
      <c r="F918" s="1324">
        <f>+'Allocation Assignment'!F304</f>
        <v>753246.56163162598</v>
      </c>
      <c r="G918" s="1364">
        <f>+$F918*G$1936</f>
        <v>0</v>
      </c>
      <c r="H918" s="1364">
        <f>+$F918*H$1936</f>
        <v>753246.56163162598</v>
      </c>
      <c r="I918" s="1374">
        <f t="shared" si="426"/>
        <v>1</v>
      </c>
      <c r="J918" s="1364">
        <f>+H918</f>
        <v>753246.56163162598</v>
      </c>
      <c r="K918" s="1364">
        <f t="shared" ref="K918:Q918" si="428">+$J918*K$1936</f>
        <v>468832.72100145597</v>
      </c>
      <c r="L918" s="1364">
        <f t="shared" si="428"/>
        <v>33344.558977928958</v>
      </c>
      <c r="M918" s="1364">
        <f t="shared" si="428"/>
        <v>223262.64182957314</v>
      </c>
      <c r="N918" s="1367">
        <f t="shared" si="428"/>
        <v>23482.740981703679</v>
      </c>
      <c r="O918" s="1367">
        <f t="shared" si="428"/>
        <v>1.6033558071592114E-2</v>
      </c>
      <c r="P918" s="1367">
        <f t="shared" si="428"/>
        <v>4323.8828074063267</v>
      </c>
      <c r="Q918" s="1364">
        <f t="shared" si="428"/>
        <v>0</v>
      </c>
      <c r="R918" s="1364"/>
      <c r="S918" s="1364">
        <v>105</v>
      </c>
      <c r="V918" s="1321" t="s">
        <v>5229</v>
      </c>
      <c r="W918" s="1321">
        <v>105</v>
      </c>
      <c r="Y918" s="1324"/>
    </row>
    <row r="919" spans="1:27">
      <c r="A919" s="1320" t="s">
        <v>4883</v>
      </c>
      <c r="B919" s="1324">
        <v>418</v>
      </c>
      <c r="C919" s="1393">
        <v>40</v>
      </c>
      <c r="D919" s="1324" t="s">
        <v>5312</v>
      </c>
      <c r="E919" s="1324" t="s">
        <v>4071</v>
      </c>
      <c r="F919" s="1324">
        <f>+'Allocation Assignment'!F305</f>
        <v>0</v>
      </c>
      <c r="G919" s="1364">
        <f>+$F919*G$2024</f>
        <v>0</v>
      </c>
      <c r="H919" s="1364">
        <f>+$F919*H$1936</f>
        <v>0</v>
      </c>
      <c r="I919" s="1374">
        <f t="shared" si="426"/>
        <v>0</v>
      </c>
      <c r="J919" s="1364">
        <f>+H919</f>
        <v>0</v>
      </c>
      <c r="K919" s="1364">
        <f t="shared" ref="K919:Q919" si="429">+$J919*K$2024</f>
        <v>0</v>
      </c>
      <c r="L919" s="1364">
        <f t="shared" si="429"/>
        <v>0</v>
      </c>
      <c r="M919" s="1364">
        <f t="shared" si="429"/>
        <v>0</v>
      </c>
      <c r="N919" s="1367">
        <f t="shared" si="429"/>
        <v>0</v>
      </c>
      <c r="O919" s="1367">
        <f t="shared" si="429"/>
        <v>0</v>
      </c>
      <c r="P919" s="1367">
        <f t="shared" si="429"/>
        <v>0</v>
      </c>
      <c r="Q919" s="1364">
        <f t="shared" si="429"/>
        <v>0</v>
      </c>
      <c r="R919" s="1364"/>
      <c r="S919" s="1364">
        <v>418</v>
      </c>
      <c r="V919" s="1321" t="s">
        <v>5305</v>
      </c>
      <c r="W919" s="1321">
        <v>418</v>
      </c>
      <c r="Y919" s="1324"/>
    </row>
    <row r="920" spans="1:27">
      <c r="A920" s="1320" t="s">
        <v>4883</v>
      </c>
      <c r="B920" s="1324">
        <v>106</v>
      </c>
      <c r="C920" s="1393">
        <v>41</v>
      </c>
      <c r="D920" s="1324" t="s">
        <v>5313</v>
      </c>
      <c r="E920" s="1324" t="s">
        <v>4067</v>
      </c>
      <c r="F920" s="1324">
        <f>+'Allocation Assignment'!F306</f>
        <v>57432.267938374134</v>
      </c>
      <c r="G920" s="1364">
        <f>+$F920*G$1939</f>
        <v>0</v>
      </c>
      <c r="H920" s="1364">
        <f>+$F920*H$1939</f>
        <v>57432.267938374134</v>
      </c>
      <c r="I920" s="1374">
        <f t="shared" si="426"/>
        <v>1</v>
      </c>
      <c r="J920" s="1364">
        <f>+H920</f>
        <v>57432.267938374134</v>
      </c>
      <c r="K920" s="1364">
        <f t="shared" ref="K920:Q920" si="430">+$J920*K$1939</f>
        <v>41904.492959340627</v>
      </c>
      <c r="L920" s="1364">
        <f t="shared" si="430"/>
        <v>3374.1433295998836</v>
      </c>
      <c r="M920" s="1364">
        <f t="shared" si="430"/>
        <v>11945.874543450864</v>
      </c>
      <c r="N920" s="1367">
        <f t="shared" si="430"/>
        <v>0</v>
      </c>
      <c r="O920" s="1367">
        <f t="shared" si="430"/>
        <v>0</v>
      </c>
      <c r="P920" s="1367">
        <f t="shared" si="430"/>
        <v>207.75710598275901</v>
      </c>
      <c r="Q920" s="1364">
        <f t="shared" si="430"/>
        <v>0</v>
      </c>
      <c r="R920" s="1364"/>
      <c r="S920" s="1364">
        <v>106</v>
      </c>
      <c r="V920" s="1321" t="s">
        <v>5230</v>
      </c>
      <c r="W920" s="1321">
        <v>106</v>
      </c>
      <c r="Y920" s="1324"/>
    </row>
    <row r="921" spans="1:27">
      <c r="A921" s="1320" t="s">
        <v>4883</v>
      </c>
      <c r="B921" s="1324">
        <v>420</v>
      </c>
      <c r="C921" s="1393">
        <v>42</v>
      </c>
      <c r="D921" s="1324" t="s">
        <v>5314</v>
      </c>
      <c r="E921" s="1324" t="s">
        <v>4071</v>
      </c>
      <c r="F921" s="1324">
        <f>+'Allocation Assignment'!F307</f>
        <v>0</v>
      </c>
      <c r="G921" s="1364">
        <f>+$F921*G$2027</f>
        <v>0</v>
      </c>
      <c r="H921" s="1364">
        <f>+$F921*H$2027</f>
        <v>0</v>
      </c>
      <c r="I921" s="1374">
        <f t="shared" si="426"/>
        <v>0</v>
      </c>
      <c r="J921" s="1364">
        <f>+H921</f>
        <v>0</v>
      </c>
      <c r="K921" s="1364">
        <f t="shared" ref="K921:Q921" si="431">+$J921*K$2027</f>
        <v>0</v>
      </c>
      <c r="L921" s="1364">
        <f t="shared" si="431"/>
        <v>0</v>
      </c>
      <c r="M921" s="1364">
        <f t="shared" si="431"/>
        <v>0</v>
      </c>
      <c r="N921" s="1367">
        <f t="shared" si="431"/>
        <v>0</v>
      </c>
      <c r="O921" s="1367">
        <f t="shared" si="431"/>
        <v>0</v>
      </c>
      <c r="P921" s="1367">
        <f t="shared" si="431"/>
        <v>0</v>
      </c>
      <c r="Q921" s="1364">
        <f t="shared" si="431"/>
        <v>0</v>
      </c>
      <c r="R921" s="1364"/>
      <c r="S921" s="1364">
        <v>420</v>
      </c>
      <c r="V921" s="1321" t="s">
        <v>5225</v>
      </c>
      <c r="W921" s="1321">
        <v>420</v>
      </c>
      <c r="Y921" s="1324"/>
    </row>
    <row r="922" spans="1:27">
      <c r="A922" s="1320" t="s">
        <v>4883</v>
      </c>
      <c r="B922" s="1326"/>
      <c r="C922" s="1393">
        <v>43</v>
      </c>
      <c r="D922" s="1324" t="s">
        <v>5638</v>
      </c>
      <c r="E922" s="1324"/>
      <c r="F922" s="1421">
        <f>+SUM(F917:F921)</f>
        <v>811064.56137000001</v>
      </c>
      <c r="G922" s="1421">
        <f>SUM(G917:G921)</f>
        <v>0</v>
      </c>
      <c r="H922" s="1421">
        <f>SUM(H917:H921)</f>
        <v>811064.56137000001</v>
      </c>
      <c r="I922" s="1374">
        <f t="shared" si="426"/>
        <v>1</v>
      </c>
      <c r="J922" s="1421">
        <f>SUM(J917:J921)</f>
        <v>811064.56137000001</v>
      </c>
      <c r="K922" s="1421">
        <f t="shared" ref="K922:Q922" si="432">SUM(K917:K921)</f>
        <v>510737.21396079659</v>
      </c>
      <c r="L922" s="1421">
        <f t="shared" si="432"/>
        <v>36718.702307528845</v>
      </c>
      <c r="M922" s="1421">
        <f>SUM(M917:M921)</f>
        <v>235208.516373024</v>
      </c>
      <c r="N922" s="1421">
        <f t="shared" si="432"/>
        <v>23482.740981703679</v>
      </c>
      <c r="O922" s="1421">
        <f>SUM(O917:O921)</f>
        <v>1.6033558071592114E-2</v>
      </c>
      <c r="P922" s="1421">
        <f>SUM(P917:P921)</f>
        <v>4531.6399133890855</v>
      </c>
      <c r="Q922" s="1421">
        <f t="shared" si="432"/>
        <v>385.73180000000002</v>
      </c>
      <c r="R922" s="1364"/>
      <c r="S922" s="1364"/>
      <c r="T922" s="1321"/>
      <c r="U922" s="1326"/>
      <c r="V922" s="1320" t="s">
        <v>5414</v>
      </c>
      <c r="Y922" s="1324"/>
    </row>
    <row r="923" spans="1:27">
      <c r="A923" s="1320" t="s">
        <v>4883</v>
      </c>
      <c r="B923" s="1326"/>
      <c r="C923" s="1393">
        <v>44</v>
      </c>
      <c r="D923" s="1324"/>
      <c r="E923" s="1324"/>
      <c r="F923" s="1324"/>
      <c r="H923" s="1324"/>
      <c r="I923" s="1374"/>
      <c r="R923" s="1324"/>
      <c r="S923" s="1326"/>
      <c r="T923" s="1321"/>
      <c r="U923" s="1326"/>
    </row>
    <row r="924" spans="1:27" s="1324" customFormat="1">
      <c r="A924" s="1324" t="s">
        <v>4883</v>
      </c>
      <c r="B924" s="1324">
        <v>310</v>
      </c>
      <c r="C924" s="1393">
        <v>45</v>
      </c>
      <c r="D924" s="1324" t="s">
        <v>5317</v>
      </c>
      <c r="E924" s="1324" t="s">
        <v>4071</v>
      </c>
      <c r="F924" s="1324">
        <f>+'Allocation Assignment'!F308</f>
        <v>0</v>
      </c>
      <c r="G924" s="1364">
        <f>+$F924*G$1996</f>
        <v>0</v>
      </c>
      <c r="H924" s="1364">
        <f>+$F924*H$1996</f>
        <v>0</v>
      </c>
      <c r="I924" s="1374">
        <f t="shared" ref="I924:I929" si="433">IF(F924=0,0,+H924/F924)</f>
        <v>0</v>
      </c>
      <c r="J924" s="1364">
        <f>+H924</f>
        <v>0</v>
      </c>
      <c r="K924" s="1364">
        <f t="shared" ref="K924:Q924" si="434">+$J924*K$1996</f>
        <v>0</v>
      </c>
      <c r="L924" s="1364">
        <f t="shared" si="434"/>
        <v>0</v>
      </c>
      <c r="M924" s="1364">
        <f t="shared" si="434"/>
        <v>0</v>
      </c>
      <c r="N924" s="1367">
        <f t="shared" si="434"/>
        <v>0</v>
      </c>
      <c r="O924" s="1367">
        <f t="shared" si="434"/>
        <v>0</v>
      </c>
      <c r="P924" s="1367">
        <f t="shared" si="434"/>
        <v>0</v>
      </c>
      <c r="Q924" s="1364">
        <f t="shared" si="434"/>
        <v>0</v>
      </c>
      <c r="R924" s="1364"/>
      <c r="S924" s="1364">
        <v>310</v>
      </c>
      <c r="V924" s="1326" t="s">
        <v>5302</v>
      </c>
      <c r="W924" s="1326">
        <v>310</v>
      </c>
      <c r="AA924" s="1320"/>
    </row>
    <row r="925" spans="1:27" s="1324" customFormat="1">
      <c r="A925" s="1324" t="s">
        <v>4883</v>
      </c>
      <c r="B925" s="1324">
        <v>105</v>
      </c>
      <c r="C925" s="1393">
        <v>46</v>
      </c>
      <c r="D925" s="1324" t="s">
        <v>5318</v>
      </c>
      <c r="E925" s="1324" t="s">
        <v>4067</v>
      </c>
      <c r="F925" s="1324">
        <f>+'Allocation Assignment'!F309</f>
        <v>164150.18467445605</v>
      </c>
      <c r="G925" s="1364">
        <f>+$F925*G$1936</f>
        <v>0</v>
      </c>
      <c r="H925" s="1364">
        <f>+$F925*H$1936</f>
        <v>164150.18467445605</v>
      </c>
      <c r="I925" s="1374">
        <f t="shared" si="433"/>
        <v>1</v>
      </c>
      <c r="J925" s="1364">
        <f>+H925</f>
        <v>164150.18467445605</v>
      </c>
      <c r="K925" s="1364">
        <f t="shared" ref="K925:Q925" si="435">+$J925*K$1936</f>
        <v>102169.70332677521</v>
      </c>
      <c r="L925" s="1364">
        <f t="shared" si="435"/>
        <v>7266.5655482834372</v>
      </c>
      <c r="M925" s="1364">
        <f t="shared" si="435"/>
        <v>48654.19339962989</v>
      </c>
      <c r="N925" s="1367">
        <f t="shared" si="435"/>
        <v>5117.4429000503142</v>
      </c>
      <c r="O925" s="1367">
        <f t="shared" si="435"/>
        <v>3.4940903184999773E-3</v>
      </c>
      <c r="P925" s="1367">
        <f t="shared" si="435"/>
        <v>942.27600562691191</v>
      </c>
      <c r="Q925" s="1364">
        <f t="shared" si="435"/>
        <v>0</v>
      </c>
      <c r="R925" s="1364"/>
      <c r="S925" s="1364">
        <v>105</v>
      </c>
      <c r="V925" s="1326" t="s">
        <v>5229</v>
      </c>
      <c r="W925" s="1326">
        <v>105</v>
      </c>
      <c r="AA925" s="1320"/>
    </row>
    <row r="926" spans="1:27" s="1324" customFormat="1">
      <c r="A926" s="1324" t="s">
        <v>4883</v>
      </c>
      <c r="B926" s="1324">
        <v>418</v>
      </c>
      <c r="C926" s="1393">
        <v>47</v>
      </c>
      <c r="D926" s="1324" t="s">
        <v>5319</v>
      </c>
      <c r="E926" s="1324" t="s">
        <v>4071</v>
      </c>
      <c r="F926" s="1324">
        <f>+'Allocation Assignment'!F310</f>
        <v>0</v>
      </c>
      <c r="G926" s="1364">
        <f>+$F926*G$2024</f>
        <v>0</v>
      </c>
      <c r="H926" s="1364">
        <f>+$F926*H$1936</f>
        <v>0</v>
      </c>
      <c r="I926" s="1374">
        <f t="shared" si="433"/>
        <v>0</v>
      </c>
      <c r="J926" s="1364">
        <f>+H926</f>
        <v>0</v>
      </c>
      <c r="K926" s="1364">
        <f t="shared" ref="K926:Q926" si="436">+$J926*K$2024</f>
        <v>0</v>
      </c>
      <c r="L926" s="1364">
        <f t="shared" si="436"/>
        <v>0</v>
      </c>
      <c r="M926" s="1364">
        <f t="shared" si="436"/>
        <v>0</v>
      </c>
      <c r="N926" s="1367">
        <f t="shared" si="436"/>
        <v>0</v>
      </c>
      <c r="O926" s="1367">
        <f t="shared" si="436"/>
        <v>0</v>
      </c>
      <c r="P926" s="1367">
        <f t="shared" si="436"/>
        <v>0</v>
      </c>
      <c r="Q926" s="1364">
        <f t="shared" si="436"/>
        <v>0</v>
      </c>
      <c r="R926" s="1364"/>
      <c r="S926" s="1364">
        <v>418</v>
      </c>
      <c r="V926" s="1326" t="s">
        <v>5305</v>
      </c>
      <c r="W926" s="1326">
        <v>418</v>
      </c>
      <c r="AA926" s="1320"/>
    </row>
    <row r="927" spans="1:27" s="1324" customFormat="1">
      <c r="A927" s="1324" t="s">
        <v>4883</v>
      </c>
      <c r="B927" s="1324">
        <v>106</v>
      </c>
      <c r="C927" s="1393">
        <v>48</v>
      </c>
      <c r="D927" s="1324" t="s">
        <v>5320</v>
      </c>
      <c r="E927" s="1324" t="s">
        <v>4067</v>
      </c>
      <c r="F927" s="1324">
        <f>+'Allocation Assignment'!F311</f>
        <v>833929.36636874522</v>
      </c>
      <c r="G927" s="1364">
        <f>+$F927*G$1939</f>
        <v>0</v>
      </c>
      <c r="H927" s="1364">
        <f>+$F927*H$1939</f>
        <v>833929.36636874522</v>
      </c>
      <c r="I927" s="1374">
        <f t="shared" si="433"/>
        <v>1</v>
      </c>
      <c r="J927" s="1364">
        <f>+H927</f>
        <v>833929.36636874522</v>
      </c>
      <c r="K927" s="1364">
        <f t="shared" ref="K927:Q927" si="437">+$J927*K$1939</f>
        <v>608462.60327179672</v>
      </c>
      <c r="L927" s="1364">
        <f t="shared" si="437"/>
        <v>48993.31525458501</v>
      </c>
      <c r="M927" s="1364">
        <f t="shared" si="437"/>
        <v>173456.76823053419</v>
      </c>
      <c r="N927" s="1367">
        <f t="shared" si="437"/>
        <v>0</v>
      </c>
      <c r="O927" s="1367">
        <f t="shared" si="437"/>
        <v>0</v>
      </c>
      <c r="P927" s="1367">
        <f t="shared" si="437"/>
        <v>3016.6796118292241</v>
      </c>
      <c r="Q927" s="1364">
        <f t="shared" si="437"/>
        <v>0</v>
      </c>
      <c r="R927" s="1364"/>
      <c r="S927" s="1364">
        <v>106</v>
      </c>
      <c r="V927" s="1326" t="s">
        <v>5230</v>
      </c>
      <c r="W927" s="1326">
        <v>106</v>
      </c>
      <c r="AA927" s="1320"/>
    </row>
    <row r="928" spans="1:27" s="1324" customFormat="1">
      <c r="A928" s="1324" t="s">
        <v>4883</v>
      </c>
      <c r="B928" s="1324">
        <v>420</v>
      </c>
      <c r="C928" s="1393">
        <v>49</v>
      </c>
      <c r="D928" s="1324" t="s">
        <v>5321</v>
      </c>
      <c r="E928" s="1324" t="s">
        <v>4071</v>
      </c>
      <c r="F928" s="1324">
        <f>+'Allocation Assignment'!F312</f>
        <v>0</v>
      </c>
      <c r="G928" s="1364">
        <f>+$F928*G$2027</f>
        <v>0</v>
      </c>
      <c r="H928" s="1364">
        <f>+$F928*H$2027</f>
        <v>0</v>
      </c>
      <c r="I928" s="1374">
        <f t="shared" si="433"/>
        <v>0</v>
      </c>
      <c r="J928" s="1364">
        <f>+H928</f>
        <v>0</v>
      </c>
      <c r="K928" s="1364">
        <f t="shared" ref="K928:Q928" si="438">+$J928*K$2027</f>
        <v>0</v>
      </c>
      <c r="L928" s="1364">
        <f t="shared" si="438"/>
        <v>0</v>
      </c>
      <c r="M928" s="1364">
        <f t="shared" si="438"/>
        <v>0</v>
      </c>
      <c r="N928" s="1367">
        <f t="shared" si="438"/>
        <v>0</v>
      </c>
      <c r="O928" s="1367">
        <f t="shared" si="438"/>
        <v>0</v>
      </c>
      <c r="P928" s="1367">
        <f t="shared" si="438"/>
        <v>0</v>
      </c>
      <c r="Q928" s="1364">
        <f t="shared" si="438"/>
        <v>0</v>
      </c>
      <c r="R928" s="1364"/>
      <c r="S928" s="1364">
        <v>420</v>
      </c>
      <c r="V928" s="1326" t="s">
        <v>5225</v>
      </c>
      <c r="W928" s="1326">
        <v>420</v>
      </c>
      <c r="AA928" s="1320"/>
    </row>
    <row r="929" spans="1:27" s="1324" customFormat="1">
      <c r="A929" s="1324" t="s">
        <v>4883</v>
      </c>
      <c r="B929" s="1326"/>
      <c r="C929" s="1393">
        <v>50</v>
      </c>
      <c r="D929" s="1324" t="s">
        <v>5322</v>
      </c>
      <c r="F929" s="1421">
        <f>+SUM(F924:F928)</f>
        <v>998079.55104320124</v>
      </c>
      <c r="G929" s="1421">
        <f>SUM(G924:G928)</f>
        <v>0</v>
      </c>
      <c r="H929" s="1421">
        <f>SUM(H924:H928)</f>
        <v>998079.55104320124</v>
      </c>
      <c r="I929" s="1374">
        <f t="shared" si="433"/>
        <v>1</v>
      </c>
      <c r="J929" s="1421">
        <f>SUM(J924:J928)</f>
        <v>998079.55104320124</v>
      </c>
      <c r="K929" s="1421">
        <f t="shared" ref="K929:Q929" si="439">SUM(K924:K928)</f>
        <v>710632.30659857194</v>
      </c>
      <c r="L929" s="1421">
        <f t="shared" si="439"/>
        <v>56259.880802868443</v>
      </c>
      <c r="M929" s="1421">
        <f>SUM(M924:M928)</f>
        <v>222110.96163016406</v>
      </c>
      <c r="N929" s="1421">
        <f t="shared" si="439"/>
        <v>5117.4429000503142</v>
      </c>
      <c r="O929" s="1421">
        <f t="shared" si="439"/>
        <v>3.4940903184999773E-3</v>
      </c>
      <c r="P929" s="1421">
        <f t="shared" si="439"/>
        <v>3958.9556174561358</v>
      </c>
      <c r="Q929" s="1421">
        <f t="shared" si="439"/>
        <v>0</v>
      </c>
      <c r="R929" s="1364"/>
      <c r="S929" s="1364"/>
      <c r="T929" s="1326"/>
      <c r="U929" s="1326"/>
      <c r="V929" s="1324" t="s">
        <v>5415</v>
      </c>
      <c r="AA929" s="1320"/>
    </row>
    <row r="930" spans="1:27" s="1324" customFormat="1">
      <c r="A930" s="1324" t="s">
        <v>4883</v>
      </c>
      <c r="B930" s="1326"/>
      <c r="C930" s="1393">
        <v>51</v>
      </c>
      <c r="I930" s="1374"/>
      <c r="M930" s="1325"/>
      <c r="N930" s="1325"/>
      <c r="O930" s="1325"/>
      <c r="S930" s="1326"/>
      <c r="T930" s="1326"/>
      <c r="U930" s="1326"/>
      <c r="AA930" s="1320"/>
    </row>
    <row r="931" spans="1:27" s="1324" customFormat="1">
      <c r="A931" s="1324" t="s">
        <v>4883</v>
      </c>
      <c r="B931" s="1324">
        <v>420</v>
      </c>
      <c r="C931" s="1393">
        <v>52</v>
      </c>
      <c r="D931" s="1324" t="s">
        <v>5324</v>
      </c>
      <c r="E931" s="1324" t="s">
        <v>4071</v>
      </c>
      <c r="F931" s="1324">
        <f>+'Allocation Assignment'!F313</f>
        <v>228413.06716999999</v>
      </c>
      <c r="G931" s="1364">
        <f>+$F931*G$2027</f>
        <v>0</v>
      </c>
      <c r="H931" s="1364">
        <f>+$F931*H$2027</f>
        <v>228413.06716999999</v>
      </c>
      <c r="I931" s="1374">
        <f>IF(F931=0,0,+H931/F931)</f>
        <v>1</v>
      </c>
      <c r="J931" s="1364">
        <f>+H931</f>
        <v>228413.06716999999</v>
      </c>
      <c r="K931" s="1364">
        <f t="shared" ref="K931:Q931" si="440">+$J931*K$2027</f>
        <v>203776.26178604533</v>
      </c>
      <c r="L931" s="1364">
        <f t="shared" si="440"/>
        <v>19749.240063177211</v>
      </c>
      <c r="M931" s="1364">
        <f t="shared" si="440"/>
        <v>4829.805834685968</v>
      </c>
      <c r="N931" s="1364">
        <f t="shared" si="440"/>
        <v>0</v>
      </c>
      <c r="O931" s="1364">
        <f t="shared" si="440"/>
        <v>0</v>
      </c>
      <c r="P931" s="1364">
        <f t="shared" si="440"/>
        <v>57.75948609147737</v>
      </c>
      <c r="Q931" s="1364">
        <f t="shared" si="440"/>
        <v>0</v>
      </c>
      <c r="R931" s="1364"/>
      <c r="S931" s="1364">
        <v>420</v>
      </c>
      <c r="V931" s="1326" t="s">
        <v>5225</v>
      </c>
      <c r="W931" s="1326">
        <v>420</v>
      </c>
      <c r="AA931" s="1320"/>
    </row>
    <row r="932" spans="1:27" s="1324" customFormat="1">
      <c r="A932" s="1324" t="s">
        <v>4883</v>
      </c>
      <c r="B932" s="1324">
        <v>308</v>
      </c>
      <c r="C932" s="1393">
        <v>53</v>
      </c>
      <c r="D932" s="1324" t="s">
        <v>5325</v>
      </c>
      <c r="E932" s="1324" t="s">
        <v>4071</v>
      </c>
      <c r="F932" s="1324">
        <f>+'Allocation Assignment'!F314</f>
        <v>149851.91621000002</v>
      </c>
      <c r="G932" s="1364">
        <f>+$F932*G$1991</f>
        <v>0</v>
      </c>
      <c r="H932" s="1364">
        <f>+$F932*H$1991</f>
        <v>149851.91621000002</v>
      </c>
      <c r="I932" s="1374">
        <f>IF(F932=0,0,+H932/F932)</f>
        <v>1</v>
      </c>
      <c r="J932" s="1364">
        <f>+H932</f>
        <v>149851.91621000002</v>
      </c>
      <c r="K932" s="1364">
        <f t="shared" ref="K932:Q932" si="441">+$J932*K$1991</f>
        <v>102299.75597307271</v>
      </c>
      <c r="L932" s="1364">
        <f t="shared" si="441"/>
        <v>26678.46736703737</v>
      </c>
      <c r="M932" s="1364">
        <f t="shared" si="441"/>
        <v>17552.956774673046</v>
      </c>
      <c r="N932" s="1364">
        <f t="shared" si="441"/>
        <v>1442.907956013079</v>
      </c>
      <c r="O932" s="1364">
        <f t="shared" si="441"/>
        <v>1574.273150579053</v>
      </c>
      <c r="P932" s="1364">
        <f t="shared" si="441"/>
        <v>303.55498862477577</v>
      </c>
      <c r="Q932" s="1364">
        <f t="shared" si="441"/>
        <v>0</v>
      </c>
      <c r="R932" s="1364"/>
      <c r="S932" s="1364">
        <v>308</v>
      </c>
      <c r="V932" s="1326" t="s">
        <v>5326</v>
      </c>
      <c r="W932" s="1326">
        <v>308</v>
      </c>
      <c r="AA932" s="1320"/>
    </row>
    <row r="933" spans="1:27" s="1324" customFormat="1">
      <c r="A933" s="1324" t="s">
        <v>4883</v>
      </c>
      <c r="B933" s="1324">
        <v>412</v>
      </c>
      <c r="C933" s="1393">
        <v>54</v>
      </c>
      <c r="D933" s="1358" t="s">
        <v>5416</v>
      </c>
      <c r="E933" s="1324" t="s">
        <v>4071</v>
      </c>
      <c r="F933" s="1324">
        <f>+'Allocation Assignment'!F315</f>
        <v>0</v>
      </c>
      <c r="G933" s="1364">
        <f>+$F933*G$1994</f>
        <v>0</v>
      </c>
      <c r="H933" s="1364">
        <f>+$F933*H$1994</f>
        <v>0</v>
      </c>
      <c r="I933" s="1374">
        <f>IF(F933=0,0,+H933/F933)</f>
        <v>0</v>
      </c>
      <c r="J933" s="1364">
        <f>+H933</f>
        <v>0</v>
      </c>
      <c r="K933" s="1445">
        <f t="shared" ref="K933:Q933" si="442">+$J933*K$2021</f>
        <v>0</v>
      </c>
      <c r="L933" s="1364">
        <f t="shared" si="442"/>
        <v>0</v>
      </c>
      <c r="M933" s="1364">
        <f t="shared" si="442"/>
        <v>0</v>
      </c>
      <c r="N933" s="1367">
        <f t="shared" si="442"/>
        <v>0</v>
      </c>
      <c r="O933" s="1367">
        <f t="shared" si="442"/>
        <v>0</v>
      </c>
      <c r="P933" s="1367">
        <f t="shared" si="442"/>
        <v>0</v>
      </c>
      <c r="Q933" s="1364">
        <f t="shared" si="442"/>
        <v>0</v>
      </c>
      <c r="R933" s="1364"/>
      <c r="S933" s="1364">
        <v>309</v>
      </c>
      <c r="V933" s="1326" t="s">
        <v>5328</v>
      </c>
      <c r="W933" s="1326">
        <v>309</v>
      </c>
      <c r="AA933" s="1320"/>
    </row>
    <row r="934" spans="1:27" s="1324" customFormat="1">
      <c r="A934" s="1324" t="s">
        <v>4883</v>
      </c>
      <c r="B934" s="1324">
        <v>310</v>
      </c>
      <c r="C934" s="1393">
        <v>55</v>
      </c>
      <c r="D934" s="1324" t="s">
        <v>5329</v>
      </c>
      <c r="E934" s="1324" t="s">
        <v>4071</v>
      </c>
      <c r="F934" s="1366">
        <f>+'Allocation Assignment'!F316</f>
        <v>414978.62154999998</v>
      </c>
      <c r="G934" s="1366">
        <f>+$F934*G$1997</f>
        <v>0</v>
      </c>
      <c r="H934" s="1366">
        <f>+$F934*H$1997</f>
        <v>414978.62154999998</v>
      </c>
      <c r="I934" s="1374">
        <f>IF(F934=0,0,+H934/F934)</f>
        <v>1</v>
      </c>
      <c r="J934" s="1366">
        <f>+H934</f>
        <v>414978.62154999998</v>
      </c>
      <c r="K934" s="1366">
        <f t="shared" ref="K934:Q934" si="443">+$J934*K$1997</f>
        <v>0</v>
      </c>
      <c r="L934" s="1366">
        <f t="shared" si="443"/>
        <v>0</v>
      </c>
      <c r="M934" s="1366">
        <f t="shared" si="443"/>
        <v>0</v>
      </c>
      <c r="N934" s="1378">
        <f t="shared" si="443"/>
        <v>0</v>
      </c>
      <c r="O934" s="1378">
        <f t="shared" si="443"/>
        <v>0</v>
      </c>
      <c r="P934" s="1378">
        <f t="shared" si="443"/>
        <v>0</v>
      </c>
      <c r="Q934" s="1366">
        <f t="shared" si="443"/>
        <v>414978.62154999998</v>
      </c>
      <c r="R934" s="1364"/>
      <c r="S934" s="1364">
        <v>310</v>
      </c>
      <c r="V934" s="1326" t="s">
        <v>5302</v>
      </c>
      <c r="W934" s="1326">
        <v>310</v>
      </c>
      <c r="AA934" s="1320"/>
    </row>
    <row r="935" spans="1:27" s="1324" customFormat="1">
      <c r="A935" s="1324" t="s">
        <v>4883</v>
      </c>
      <c r="B935" s="1326"/>
      <c r="C935" s="1393">
        <v>56</v>
      </c>
      <c r="I935" s="1374"/>
      <c r="M935" s="1325"/>
      <c r="N935" s="1325"/>
      <c r="O935" s="1325"/>
      <c r="R935" s="1364"/>
      <c r="S935" s="1364"/>
      <c r="T935" s="1326"/>
      <c r="U935" s="1326"/>
      <c r="AA935" s="1320"/>
    </row>
    <row r="936" spans="1:27" s="1324" customFormat="1">
      <c r="A936" s="1324" t="s">
        <v>4883</v>
      </c>
      <c r="B936" s="1326"/>
      <c r="C936" s="1393">
        <v>57</v>
      </c>
      <c r="D936" s="1324" t="s">
        <v>5639</v>
      </c>
      <c r="E936" s="1324" t="s">
        <v>4067</v>
      </c>
      <c r="F936" s="1364">
        <f t="shared" ref="F936:H937" si="444">SUMIF($E$901:$E$934,$E936,F$901:F$934)</f>
        <v>2858628.3006293303</v>
      </c>
      <c r="G936" s="1364">
        <f t="shared" si="444"/>
        <v>0</v>
      </c>
      <c r="H936" s="1364">
        <f t="shared" si="444"/>
        <v>2858628.3006293303</v>
      </c>
      <c r="I936" s="1374">
        <f>IF(F936=0,0,+H936/F936)</f>
        <v>1</v>
      </c>
      <c r="J936" s="1364">
        <f t="shared" ref="J936:Q937" si="445">SUMIF($E$900:$E$934,$E936,J$900:J$934)</f>
        <v>2858628.3006293303</v>
      </c>
      <c r="K936" s="1364">
        <f t="shared" si="445"/>
        <v>1888623.5289967447</v>
      </c>
      <c r="L936" s="1364">
        <f t="shared" si="445"/>
        <v>141317.76268646773</v>
      </c>
      <c r="M936" s="1364">
        <f t="shared" si="445"/>
        <v>757124.77783833514</v>
      </c>
      <c r="N936" s="1364">
        <f t="shared" si="445"/>
        <v>57318.201493950881</v>
      </c>
      <c r="O936" s="1364">
        <f t="shared" si="445"/>
        <v>3.9135751355794439E-2</v>
      </c>
      <c r="P936" s="1364">
        <f t="shared" si="445"/>
        <v>14243.990478080987</v>
      </c>
      <c r="Q936" s="1364">
        <f t="shared" si="445"/>
        <v>0</v>
      </c>
      <c r="R936" s="1364"/>
      <c r="S936" s="1364"/>
      <c r="T936" s="1326"/>
      <c r="U936" s="1326"/>
      <c r="V936" s="1326" t="s">
        <v>5419</v>
      </c>
      <c r="AA936" s="1320"/>
    </row>
    <row r="937" spans="1:27" s="1324" customFormat="1">
      <c r="A937" s="1324" t="s">
        <v>4883</v>
      </c>
      <c r="B937" s="1326"/>
      <c r="C937" s="1393">
        <v>58</v>
      </c>
      <c r="D937" s="1324" t="s">
        <v>5639</v>
      </c>
      <c r="E937" s="1324" t="s">
        <v>4071</v>
      </c>
      <c r="F937" s="1366">
        <f t="shared" si="444"/>
        <v>830246.67682678136</v>
      </c>
      <c r="G937" s="1366">
        <f t="shared" si="444"/>
        <v>0</v>
      </c>
      <c r="H937" s="1366">
        <f t="shared" si="444"/>
        <v>830246.67682678136</v>
      </c>
      <c r="I937" s="1374">
        <f>IF(F937=0,0,+H937/F937)</f>
        <v>1</v>
      </c>
      <c r="J937" s="1366">
        <f t="shared" si="445"/>
        <v>830246.67682678136</v>
      </c>
      <c r="K937" s="1366">
        <f t="shared" si="445"/>
        <v>306076.01775911805</v>
      </c>
      <c r="L937" s="1366">
        <f t="shared" si="445"/>
        <v>46427.707430214577</v>
      </c>
      <c r="M937" s="1366">
        <f t="shared" si="445"/>
        <v>22382.762609359015</v>
      </c>
      <c r="N937" s="1366">
        <f t="shared" si="445"/>
        <v>1442.907956013079</v>
      </c>
      <c r="O937" s="1366">
        <f t="shared" si="445"/>
        <v>1574.273150579053</v>
      </c>
      <c r="P937" s="1366">
        <f t="shared" si="445"/>
        <v>361.31447471625313</v>
      </c>
      <c r="Q937" s="1366">
        <f t="shared" si="445"/>
        <v>451981.69344678143</v>
      </c>
      <c r="R937" s="1364"/>
      <c r="S937" s="1364"/>
      <c r="T937" s="1326"/>
      <c r="U937" s="1326"/>
      <c r="V937" s="1326" t="s">
        <v>5420</v>
      </c>
      <c r="AA937" s="1320"/>
    </row>
    <row r="938" spans="1:27" s="1324" customFormat="1">
      <c r="A938" s="1324" t="s">
        <v>4883</v>
      </c>
      <c r="B938" s="1326"/>
      <c r="C938" s="1393">
        <v>59</v>
      </c>
      <c r="F938" s="1364"/>
      <c r="G938" s="1364"/>
      <c r="H938" s="1364"/>
      <c r="I938" s="1374"/>
      <c r="J938" s="1364"/>
      <c r="K938" s="1364"/>
      <c r="L938" s="1364"/>
      <c r="M938" s="1364"/>
      <c r="N938" s="1367"/>
      <c r="O938" s="1367"/>
      <c r="P938" s="1367"/>
      <c r="Q938" s="1364"/>
      <c r="R938" s="1364"/>
      <c r="S938" s="1364"/>
      <c r="T938" s="1326"/>
      <c r="U938" s="1326"/>
      <c r="AA938" s="1320"/>
    </row>
    <row r="939" spans="1:27" s="1324" customFormat="1">
      <c r="A939" s="1324" t="s">
        <v>4883</v>
      </c>
      <c r="B939" s="1326"/>
      <c r="C939" s="1393">
        <v>60</v>
      </c>
      <c r="D939" s="1324" t="s">
        <v>2458</v>
      </c>
      <c r="F939" s="1366">
        <f>+SUM(F936:F937)</f>
        <v>3688874.9774561115</v>
      </c>
      <c r="G939" s="1366">
        <f>+G936+G937</f>
        <v>0</v>
      </c>
      <c r="H939" s="1366">
        <f>+H936+H937</f>
        <v>3688874.9774561115</v>
      </c>
      <c r="I939" s="1374">
        <f>IF(F939=0,0,+H939/F939)</f>
        <v>1</v>
      </c>
      <c r="J939" s="1366">
        <f t="shared" ref="J939:Q939" si="446">+J936+J937</f>
        <v>3688874.9774561115</v>
      </c>
      <c r="K939" s="1366">
        <f t="shared" si="446"/>
        <v>2194699.5467558629</v>
      </c>
      <c r="L939" s="1366">
        <f t="shared" si="446"/>
        <v>187745.47011668229</v>
      </c>
      <c r="M939" s="1366">
        <f>+M936+M937</f>
        <v>779507.54044769413</v>
      </c>
      <c r="N939" s="1378">
        <f>+N936+N937</f>
        <v>58761.109449963958</v>
      </c>
      <c r="O939" s="1378">
        <f>+O936+O937</f>
        <v>1574.3122863304088</v>
      </c>
      <c r="P939" s="1378">
        <f>+P936+P937</f>
        <v>14605.30495279724</v>
      </c>
      <c r="Q939" s="1366">
        <f t="shared" si="446"/>
        <v>451981.69344678143</v>
      </c>
      <c r="R939" s="1364"/>
      <c r="S939" s="1364"/>
      <c r="T939" s="1326"/>
      <c r="U939" s="1326"/>
      <c r="V939" s="1324" t="s">
        <v>5640</v>
      </c>
      <c r="AA939" s="1320"/>
    </row>
    <row r="940" spans="1:27" s="1324" customFormat="1">
      <c r="A940" s="1324" t="s">
        <v>4883</v>
      </c>
      <c r="B940" s="1326"/>
      <c r="C940" s="1393">
        <v>61</v>
      </c>
      <c r="F940" s="1411"/>
      <c r="I940" s="1374"/>
      <c r="M940" s="1325"/>
      <c r="N940" s="1325"/>
      <c r="O940" s="1325"/>
      <c r="R940" s="1364"/>
      <c r="S940" s="1364"/>
      <c r="T940" s="1326"/>
      <c r="U940" s="1326"/>
      <c r="AA940" s="1320"/>
    </row>
    <row r="941" spans="1:27" s="1324" customFormat="1">
      <c r="A941" s="1324" t="s">
        <v>4883</v>
      </c>
      <c r="B941" s="1326"/>
      <c r="C941" s="1393">
        <v>62</v>
      </c>
      <c r="I941" s="1374"/>
      <c r="M941" s="1325"/>
      <c r="N941" s="1325"/>
      <c r="O941" s="1325"/>
      <c r="S941" s="1326"/>
      <c r="T941" s="1326"/>
      <c r="U941" s="1326"/>
      <c r="AA941" s="1320"/>
    </row>
    <row r="942" spans="1:27" s="1324" customFormat="1">
      <c r="A942" s="1324" t="s">
        <v>4883</v>
      </c>
      <c r="B942" s="1326"/>
      <c r="C942" s="1393">
        <v>63</v>
      </c>
      <c r="D942" s="1362" t="s">
        <v>5641</v>
      </c>
      <c r="I942" s="1374"/>
      <c r="M942" s="1325"/>
      <c r="N942" s="1325"/>
      <c r="O942" s="1325"/>
      <c r="S942" s="1326"/>
      <c r="T942" s="1326"/>
      <c r="U942" s="1326"/>
      <c r="AA942" s="1320"/>
    </row>
    <row r="943" spans="1:27" s="1324" customFormat="1">
      <c r="A943" s="1324" t="s">
        <v>4883</v>
      </c>
      <c r="B943" s="1326"/>
      <c r="C943" s="1393">
        <v>64</v>
      </c>
      <c r="D943" s="1324" t="s">
        <v>5265</v>
      </c>
      <c r="E943" s="1324" t="s">
        <v>4067</v>
      </c>
      <c r="F943" s="1324">
        <f>+F865+F866+F872+F873</f>
        <v>6754474.9084089035</v>
      </c>
      <c r="G943" s="1324">
        <f>+G865+G866+G872+G873</f>
        <v>0</v>
      </c>
      <c r="H943" s="1324">
        <f>+H865+H866+H872+H873</f>
        <v>6754474.9084089035</v>
      </c>
      <c r="I943" s="1374">
        <f t="shared" ref="I943:I950" si="447">IF(F943=0,0,+H943/F943)</f>
        <v>1</v>
      </c>
      <c r="J943" s="1324">
        <f>+J865+J866+J872+J873</f>
        <v>6754474.9084089035</v>
      </c>
      <c r="K943" s="1324">
        <f t="shared" ref="K943:Q943" si="448">+K865+K866+K872+K873</f>
        <v>3878518.5580598395</v>
      </c>
      <c r="L943" s="1324">
        <f t="shared" si="448"/>
        <v>322540.1076376579</v>
      </c>
      <c r="M943" s="1324">
        <f t="shared" si="448"/>
        <v>2087450.650099671</v>
      </c>
      <c r="N943" s="1324">
        <f t="shared" si="448"/>
        <v>266790.32078279986</v>
      </c>
      <c r="O943" s="1324">
        <f t="shared" si="448"/>
        <v>192009.83089649718</v>
      </c>
      <c r="P943" s="1324">
        <f t="shared" si="448"/>
        <v>7165.4409324379058</v>
      </c>
      <c r="Q943" s="1324">
        <f t="shared" si="448"/>
        <v>0</v>
      </c>
      <c r="T943" s="1326"/>
      <c r="U943" s="1326"/>
      <c r="V943" s="1324" t="s">
        <v>5424</v>
      </c>
      <c r="AA943" s="1320"/>
    </row>
    <row r="944" spans="1:27" s="1324" customFormat="1">
      <c r="A944" s="1324" t="s">
        <v>4883</v>
      </c>
      <c r="B944" s="1326"/>
      <c r="C944" s="1393">
        <v>65</v>
      </c>
      <c r="D944" s="1324" t="s">
        <v>5265</v>
      </c>
      <c r="E944" s="1324" t="s">
        <v>2067</v>
      </c>
      <c r="F944" s="1324">
        <f>+F867</f>
        <v>570339.73520400003</v>
      </c>
      <c r="G944" s="1324">
        <f>+G867</f>
        <v>0</v>
      </c>
      <c r="H944" s="1324">
        <f>+H867</f>
        <v>570339.73520400003</v>
      </c>
      <c r="I944" s="1374">
        <f t="shared" si="447"/>
        <v>1</v>
      </c>
      <c r="J944" s="1324">
        <f t="shared" ref="J944:Q944" si="449">+J867</f>
        <v>570339.73520400003</v>
      </c>
      <c r="K944" s="1324">
        <f t="shared" si="449"/>
        <v>287812.92757298599</v>
      </c>
      <c r="L944" s="1324">
        <f t="shared" si="449"/>
        <v>26597.283735102348</v>
      </c>
      <c r="M944" s="1324">
        <f t="shared" si="449"/>
        <v>198139.43310096741</v>
      </c>
      <c r="N944" s="1325">
        <f t="shared" si="449"/>
        <v>31540.611912883622</v>
      </c>
      <c r="O944" s="1325">
        <f>+O867</f>
        <v>23236.343006319854</v>
      </c>
      <c r="P944" s="1325">
        <f>+P867</f>
        <v>3013.1358757407984</v>
      </c>
      <c r="Q944" s="1324">
        <f t="shared" si="449"/>
        <v>0</v>
      </c>
      <c r="T944" s="1326"/>
      <c r="U944" s="1326"/>
      <c r="V944" s="1324" t="s">
        <v>5642</v>
      </c>
      <c r="AA944" s="1320"/>
    </row>
    <row r="945" spans="1:27" s="1324" customFormat="1">
      <c r="A945" s="1324" t="s">
        <v>4883</v>
      </c>
      <c r="B945" s="1326"/>
      <c r="C945" s="1393">
        <v>66</v>
      </c>
      <c r="D945" s="1324" t="s">
        <v>5268</v>
      </c>
      <c r="E945" s="1324" t="s">
        <v>4067</v>
      </c>
      <c r="F945" s="1324">
        <f>+F876</f>
        <v>534187.1509608163</v>
      </c>
      <c r="G945" s="1324">
        <f>+G876</f>
        <v>34608.306009133208</v>
      </c>
      <c r="H945" s="1324">
        <f>+H876</f>
        <v>499578.84495168307</v>
      </c>
      <c r="I945" s="1374">
        <f>IF(F945=0,0,+H945/F945)</f>
        <v>0.93521314403222733</v>
      </c>
      <c r="J945" s="1324">
        <f t="shared" ref="J945:Q945" si="450">+J876</f>
        <v>499578.84495168307</v>
      </c>
      <c r="K945" s="1324">
        <f t="shared" si="450"/>
        <v>289762.24464192049</v>
      </c>
      <c r="L945" s="1324">
        <f t="shared" si="450"/>
        <v>23902.462480112525</v>
      </c>
      <c r="M945" s="1324">
        <f t="shared" si="450"/>
        <v>152796.43433377217</v>
      </c>
      <c r="N945" s="1325">
        <f t="shared" si="450"/>
        <v>19074.608883696605</v>
      </c>
      <c r="O945" s="1325">
        <f>+O876</f>
        <v>13688.896903802377</v>
      </c>
      <c r="P945" s="1325">
        <f>+P876</f>
        <v>354.19770837894737</v>
      </c>
      <c r="Q945" s="1324">
        <f t="shared" si="450"/>
        <v>0</v>
      </c>
      <c r="T945" s="1326"/>
      <c r="U945" s="1326"/>
      <c r="V945" s="1324" t="s">
        <v>5643</v>
      </c>
      <c r="AA945" s="1320"/>
    </row>
    <row r="946" spans="1:27" s="1324" customFormat="1">
      <c r="A946" s="1324" t="s">
        <v>4883</v>
      </c>
      <c r="B946" s="1326"/>
      <c r="C946" s="1393">
        <v>67</v>
      </c>
      <c r="D946" s="1324" t="s">
        <v>5239</v>
      </c>
      <c r="E946" s="1324" t="s">
        <v>4067</v>
      </c>
      <c r="F946" s="1324">
        <f>+F881</f>
        <v>524998.04585628002</v>
      </c>
      <c r="G946" s="1324">
        <f>+G881</f>
        <v>34012.972780252887</v>
      </c>
      <c r="H946" s="1324">
        <f>+H881</f>
        <v>490985.07307602698</v>
      </c>
      <c r="I946" s="1374">
        <f>IF(F946=0,0,+H946/F946)</f>
        <v>0.93521314403222711</v>
      </c>
      <c r="J946" s="1324">
        <f t="shared" ref="J946:Q946" si="451">+J881</f>
        <v>490985.07307602698</v>
      </c>
      <c r="K946" s="1324">
        <f t="shared" si="451"/>
        <v>284777.74489019153</v>
      </c>
      <c r="L946" s="1324">
        <f t="shared" si="451"/>
        <v>23491.291527026267</v>
      </c>
      <c r="M946" s="1324">
        <f t="shared" si="451"/>
        <v>150168.02499789424</v>
      </c>
      <c r="N946" s="1325">
        <f t="shared" si="451"/>
        <v>18746.48682844884</v>
      </c>
      <c r="O946" s="1325">
        <f>+O881</f>
        <v>13453.420044825232</v>
      </c>
      <c r="P946" s="1325">
        <f>+P881</f>
        <v>348.10478764091408</v>
      </c>
      <c r="Q946" s="1324">
        <f t="shared" si="451"/>
        <v>0</v>
      </c>
      <c r="T946" s="1326"/>
      <c r="U946" s="1326"/>
      <c r="V946" s="1324" t="s">
        <v>5644</v>
      </c>
      <c r="AA946" s="1320"/>
    </row>
    <row r="947" spans="1:27" s="1324" customFormat="1">
      <c r="A947" s="1324" t="s">
        <v>4883</v>
      </c>
      <c r="B947" s="1326"/>
      <c r="C947" s="1393">
        <v>68</v>
      </c>
      <c r="D947" s="1324" t="s">
        <v>5240</v>
      </c>
      <c r="E947" s="1324" t="s">
        <v>4067</v>
      </c>
      <c r="F947" s="1324">
        <f>+F901+F904+F911+F918+F925</f>
        <v>1838573.1984126705</v>
      </c>
      <c r="G947" s="1324">
        <f>+G901+G904+G911+G918+G925</f>
        <v>0</v>
      </c>
      <c r="H947" s="1324">
        <f>+H901+H904+H911+H918+H925</f>
        <v>1838573.1984126705</v>
      </c>
      <c r="I947" s="1374">
        <f t="shared" si="447"/>
        <v>1</v>
      </c>
      <c r="J947" s="1324">
        <f t="shared" ref="J947:Q947" si="452">+J901+J904+J911+J918+J925</f>
        <v>1838573.1984126705</v>
      </c>
      <c r="K947" s="1324">
        <f t="shared" si="452"/>
        <v>1144357.398067638</v>
      </c>
      <c r="L947" s="1324">
        <f t="shared" si="452"/>
        <v>81389.568266881237</v>
      </c>
      <c r="M947" s="1324">
        <f t="shared" si="452"/>
        <v>544953.97706894239</v>
      </c>
      <c r="N947" s="1324">
        <f t="shared" si="452"/>
        <v>57318.201493950881</v>
      </c>
      <c r="O947" s="1324">
        <f t="shared" si="452"/>
        <v>3.9135751355794439E-2</v>
      </c>
      <c r="P947" s="1324">
        <f t="shared" si="452"/>
        <v>10554.014379507296</v>
      </c>
      <c r="Q947" s="1324">
        <f t="shared" si="452"/>
        <v>0</v>
      </c>
      <c r="T947" s="1326"/>
      <c r="U947" s="1326"/>
      <c r="V947" s="1324" t="s">
        <v>5428</v>
      </c>
      <c r="AA947" s="1320"/>
    </row>
    <row r="948" spans="1:27">
      <c r="A948" s="1320" t="s">
        <v>4883</v>
      </c>
      <c r="B948" s="1321"/>
      <c r="C948" s="1322">
        <v>69</v>
      </c>
      <c r="D948" s="1324" t="s">
        <v>5241</v>
      </c>
      <c r="E948" s="1324" t="s">
        <v>4067</v>
      </c>
      <c r="F948" s="1324">
        <f>+F906+F913+F920+F927</f>
        <v>1020055.1022166597</v>
      </c>
      <c r="G948" s="1324">
        <f>+G906+G913+G920+G927</f>
        <v>0</v>
      </c>
      <c r="H948" s="1324">
        <f>+H906+H913+H920+H927</f>
        <v>1020055.1022166597</v>
      </c>
      <c r="I948" s="1374">
        <f t="shared" si="447"/>
        <v>1</v>
      </c>
      <c r="J948" s="1324">
        <f t="shared" ref="J948:Q948" si="453">+J906+J913+J920+J927</f>
        <v>1020055.1022166597</v>
      </c>
      <c r="K948" s="1324">
        <f t="shared" si="453"/>
        <v>744266.13092910661</v>
      </c>
      <c r="L948" s="1324">
        <f t="shared" si="453"/>
        <v>59928.1944195865</v>
      </c>
      <c r="M948" s="1324">
        <f>+M906+M913+M920+M927</f>
        <v>212170.80076939278</v>
      </c>
      <c r="N948" s="1324">
        <f t="shared" si="453"/>
        <v>0</v>
      </c>
      <c r="O948" s="1324">
        <f>+O906+O913+O920+O927</f>
        <v>0</v>
      </c>
      <c r="P948" s="1324">
        <f>+P906+P913+P920+P927</f>
        <v>3689.9760985736907</v>
      </c>
      <c r="Q948" s="1324">
        <f t="shared" si="453"/>
        <v>0</v>
      </c>
      <c r="R948" s="1324"/>
      <c r="S948" s="1324"/>
      <c r="T948" s="1321"/>
      <c r="U948" s="1326"/>
      <c r="V948" s="1324" t="s">
        <v>5429</v>
      </c>
    </row>
    <row r="949" spans="1:27">
      <c r="A949" s="1320" t="s">
        <v>4883</v>
      </c>
      <c r="B949" s="1321"/>
      <c r="C949" s="1322">
        <v>70</v>
      </c>
      <c r="D949" s="1324" t="s">
        <v>5242</v>
      </c>
      <c r="E949" s="1324" t="s">
        <v>4071</v>
      </c>
      <c r="F949" s="1324">
        <f>F937</f>
        <v>830246.67682678136</v>
      </c>
      <c r="G949" s="1324">
        <f>G937</f>
        <v>0</v>
      </c>
      <c r="H949" s="1324">
        <f>H937</f>
        <v>830246.67682678136</v>
      </c>
      <c r="I949" s="1374">
        <f t="shared" si="447"/>
        <v>1</v>
      </c>
      <c r="J949" s="1324">
        <f>J937</f>
        <v>830246.67682678136</v>
      </c>
      <c r="K949" s="1324">
        <f t="shared" ref="K949:Q949" si="454">K937</f>
        <v>306076.01775911805</v>
      </c>
      <c r="L949" s="1324">
        <f t="shared" si="454"/>
        <v>46427.707430214577</v>
      </c>
      <c r="M949" s="1324">
        <f>M937</f>
        <v>22382.762609359015</v>
      </c>
      <c r="N949" s="1324">
        <f t="shared" si="454"/>
        <v>1442.907956013079</v>
      </c>
      <c r="O949" s="1324">
        <f>O937</f>
        <v>1574.273150579053</v>
      </c>
      <c r="P949" s="1324">
        <f>P937</f>
        <v>361.31447471625313</v>
      </c>
      <c r="Q949" s="1324">
        <f t="shared" si="454"/>
        <v>451981.69344678143</v>
      </c>
      <c r="R949" s="1324"/>
      <c r="S949" s="1324"/>
      <c r="T949" s="1321"/>
      <c r="U949" s="1326"/>
      <c r="V949" s="1326" t="s">
        <v>5645</v>
      </c>
    </row>
    <row r="950" spans="1:27">
      <c r="A950" s="1320" t="s">
        <v>4883</v>
      </c>
      <c r="C950" s="1322">
        <v>71</v>
      </c>
      <c r="D950" s="1320" t="s">
        <v>5244</v>
      </c>
      <c r="E950" s="1320" t="s">
        <v>4071</v>
      </c>
      <c r="F950" s="1554">
        <v>0</v>
      </c>
      <c r="G950" s="1350">
        <v>0</v>
      </c>
      <c r="H950" s="1350">
        <v>0</v>
      </c>
      <c r="I950" s="1323">
        <f t="shared" si="447"/>
        <v>0</v>
      </c>
      <c r="J950" s="1366">
        <v>0</v>
      </c>
      <c r="K950" s="1366">
        <v>0</v>
      </c>
      <c r="L950" s="1366">
        <v>0</v>
      </c>
      <c r="M950" s="1366">
        <v>0</v>
      </c>
      <c r="N950" s="1378">
        <v>0</v>
      </c>
      <c r="O950" s="1378">
        <v>0</v>
      </c>
      <c r="P950" s="1378">
        <v>0</v>
      </c>
      <c r="Q950" s="1366">
        <v>0</v>
      </c>
      <c r="R950" s="1364"/>
      <c r="S950" s="1364"/>
      <c r="V950" s="1320" t="s">
        <v>5343</v>
      </c>
    </row>
    <row r="951" spans="1:27">
      <c r="A951" s="1320" t="s">
        <v>4883</v>
      </c>
      <c r="B951" s="1321"/>
      <c r="C951" s="1322">
        <v>72</v>
      </c>
      <c r="D951" s="1320" t="s">
        <v>5646</v>
      </c>
      <c r="F951" s="1350">
        <f>+SUM(F943:F950)</f>
        <v>12072874.81788611</v>
      </c>
      <c r="G951" s="1350">
        <f>SUM(G943:G950)</f>
        <v>68621.278789386095</v>
      </c>
      <c r="H951" s="1350">
        <f>SUM(H943:H950)</f>
        <v>12004253.539096722</v>
      </c>
      <c r="I951" s="1323">
        <f>IF(F951=0,0,+H951/F951)</f>
        <v>0.99431607799927446</v>
      </c>
      <c r="J951" s="1366">
        <f t="shared" ref="J951:Q951" si="455">SUM(J943:J950)</f>
        <v>12004253.539096722</v>
      </c>
      <c r="K951" s="1366">
        <f t="shared" si="455"/>
        <v>6935571.0219208011</v>
      </c>
      <c r="L951" s="1366">
        <f t="shared" si="455"/>
        <v>584276.6154965813</v>
      </c>
      <c r="M951" s="1366">
        <f t="shared" si="455"/>
        <v>3368062.082979999</v>
      </c>
      <c r="N951" s="1378">
        <f t="shared" si="455"/>
        <v>394913.1378577929</v>
      </c>
      <c r="O951" s="1378">
        <f>SUM(O943:O950)</f>
        <v>243962.80313777504</v>
      </c>
      <c r="P951" s="1378">
        <f>SUM(P943:P950)</f>
        <v>25486.184256995806</v>
      </c>
      <c r="Q951" s="1366">
        <f t="shared" si="455"/>
        <v>451981.69344678143</v>
      </c>
      <c r="R951" s="1364"/>
      <c r="S951" s="1364"/>
      <c r="T951" s="1321"/>
      <c r="U951" s="1326"/>
      <c r="V951" s="1320" t="s">
        <v>5432</v>
      </c>
    </row>
    <row r="952" spans="1:27">
      <c r="B952" s="1321"/>
      <c r="G952" s="1320"/>
      <c r="S952" s="1321"/>
      <c r="T952" s="1321"/>
      <c r="U952" s="1326"/>
    </row>
    <row r="953" spans="1:27">
      <c r="B953" s="1321"/>
      <c r="G953" s="1320"/>
      <c r="S953" s="1321"/>
      <c r="T953" s="1321"/>
      <c r="U953" s="1326"/>
    </row>
    <row r="954" spans="1:27">
      <c r="B954" s="1321"/>
      <c r="G954" s="1320"/>
      <c r="S954" s="1321"/>
      <c r="T954" s="1321"/>
      <c r="U954" s="1326"/>
    </row>
    <row r="955" spans="1:27">
      <c r="B955" s="1321"/>
      <c r="G955" s="1320"/>
      <c r="S955" s="1321"/>
      <c r="T955" s="1321"/>
      <c r="U955" s="1326"/>
    </row>
    <row r="956" spans="1:27">
      <c r="B956" s="1321"/>
      <c r="G956" s="1320"/>
      <c r="S956" s="1321"/>
      <c r="T956" s="1321"/>
      <c r="U956" s="1326"/>
    </row>
    <row r="957" spans="1:27">
      <c r="B957" s="1432"/>
      <c r="C957" s="1340" t="str">
        <f>+C$2</f>
        <v>RATES WITH REVENUE DEFICIENCY ADDITION</v>
      </c>
      <c r="F957" s="1333"/>
      <c r="G957" s="1327" t="s">
        <v>2173</v>
      </c>
      <c r="I957" s="1334" t="s">
        <v>5636</v>
      </c>
      <c r="L957" s="1329" t="s">
        <v>2173</v>
      </c>
      <c r="M957" s="1330"/>
      <c r="N957" s="1330"/>
      <c r="O957" s="1330"/>
      <c r="S957" s="1334" t="s">
        <v>5647</v>
      </c>
      <c r="T957" s="1333" t="s">
        <v>2173</v>
      </c>
      <c r="U957" s="1334"/>
      <c r="V957" s="1332" t="s">
        <v>4772</v>
      </c>
    </row>
    <row r="958" spans="1:27">
      <c r="B958" s="1432"/>
      <c r="C958" s="1340" t="str">
        <f>+C$3</f>
        <v>PROD. CAP. ALLOC. METHOD: 12 CP &amp; 1/13th AD</v>
      </c>
      <c r="G958" s="1336" t="s">
        <v>4768</v>
      </c>
      <c r="I958" s="1335" t="s">
        <v>4178</v>
      </c>
      <c r="L958" s="1336" t="s">
        <v>5141</v>
      </c>
      <c r="M958" s="1337"/>
      <c r="N958" s="1337"/>
      <c r="O958" s="1337"/>
      <c r="R958" s="1331"/>
      <c r="S958" s="1335" t="s">
        <v>4306</v>
      </c>
      <c r="T958" s="1333" t="s">
        <v>5141</v>
      </c>
      <c r="U958" s="1326"/>
      <c r="V958" s="1332" t="s">
        <v>5647</v>
      </c>
    </row>
    <row r="959" spans="1:27">
      <c r="B959" s="1321"/>
      <c r="C959" s="1340" t="str">
        <f>+C$4</f>
        <v>PROJECTED CALENDAR YEAR 2025; FULLY ADJUSTED DATA</v>
      </c>
      <c r="G959" s="1336" t="s">
        <v>2181</v>
      </c>
      <c r="L959" s="1336" t="s">
        <v>2181</v>
      </c>
      <c r="S959" s="1321"/>
      <c r="T959" s="1339"/>
      <c r="U959" s="1326"/>
    </row>
    <row r="960" spans="1:27">
      <c r="B960" s="1321"/>
      <c r="C960" s="1340" t="str">
        <f>+C$5</f>
        <v>MINIMUM DISTRIBUTION SYSTEM (MDS) NOT EMPLOYED</v>
      </c>
      <c r="D960" s="1358"/>
      <c r="G960" s="1320"/>
      <c r="L960" s="1336"/>
      <c r="M960" s="1337"/>
      <c r="N960" s="1337"/>
      <c r="O960" s="1337"/>
      <c r="S960" s="1321"/>
      <c r="T960" s="1333"/>
      <c r="U960" s="1326"/>
    </row>
    <row r="961" spans="1:27">
      <c r="B961" s="1321"/>
      <c r="C961" s="1340" t="str">
        <f>+C$6</f>
        <v>Tampa Electric 2025 OB Budget</v>
      </c>
      <c r="F961" s="1327"/>
      <c r="G961" s="1333" t="s">
        <v>5631</v>
      </c>
      <c r="L961" s="1336" t="s">
        <v>5631</v>
      </c>
      <c r="M961" s="1337"/>
      <c r="N961" s="1337"/>
      <c r="O961" s="1337"/>
      <c r="S961" s="1321"/>
      <c r="T961" s="1333" t="s">
        <v>5631</v>
      </c>
      <c r="U961" s="1326"/>
    </row>
    <row r="962" spans="1:27">
      <c r="B962" s="1321"/>
      <c r="F962" s="1333"/>
      <c r="G962" s="1320"/>
      <c r="L962" s="1336"/>
      <c r="M962" s="1337"/>
      <c r="N962" s="1337"/>
      <c r="O962" s="1337"/>
      <c r="S962" s="1321"/>
      <c r="T962" s="1321"/>
      <c r="U962" s="1326"/>
    </row>
    <row r="963" spans="1:27">
      <c r="B963" s="1321"/>
      <c r="F963" s="1333"/>
      <c r="G963" s="1320"/>
      <c r="L963" s="1336"/>
      <c r="M963" s="1337"/>
      <c r="N963" s="1337"/>
      <c r="O963" s="1337"/>
      <c r="S963" s="1321"/>
      <c r="T963" s="1321"/>
      <c r="U963" s="1326"/>
    </row>
    <row r="964" spans="1:27">
      <c r="B964" s="1321"/>
      <c r="G964" s="1320"/>
      <c r="S964" s="1321"/>
      <c r="T964" s="1321"/>
      <c r="U964" s="1326"/>
    </row>
    <row r="965" spans="1:27">
      <c r="B965" s="1321"/>
      <c r="C965" s="1342"/>
      <c r="D965" s="1331"/>
      <c r="E965" s="1331"/>
      <c r="F965" s="1333"/>
      <c r="G965" s="1333"/>
      <c r="H965" s="1333"/>
      <c r="I965" s="1343"/>
      <c r="J965" s="1416"/>
      <c r="K965" s="1336"/>
      <c r="L965" s="1416"/>
      <c r="M965" s="1417"/>
      <c r="N965" s="1417"/>
      <c r="O965" s="1417"/>
      <c r="P965" s="3164"/>
      <c r="Q965" s="3164"/>
      <c r="R965" s="1333"/>
      <c r="S965" s="1321"/>
      <c r="T965" s="1321"/>
      <c r="U965" s="1326"/>
    </row>
    <row r="966" spans="1:27" ht="30" customHeight="1">
      <c r="A966" s="1418" t="s">
        <v>4683</v>
      </c>
      <c r="B966" s="1425" t="s">
        <v>5143</v>
      </c>
      <c r="C966" s="1349" t="s">
        <v>4297</v>
      </c>
      <c r="D966" s="1418"/>
      <c r="E966" s="1418"/>
      <c r="F966" s="1348" t="s">
        <v>5144</v>
      </c>
      <c r="G966" s="1348" t="s">
        <v>4956</v>
      </c>
      <c r="H966" s="1348" t="s">
        <v>4957</v>
      </c>
      <c r="I966" s="1426" t="s">
        <v>5145</v>
      </c>
      <c r="J966" s="1352" t="s">
        <v>4957</v>
      </c>
      <c r="K966" s="1353" t="s">
        <v>1949</v>
      </c>
      <c r="L966" s="1353" t="s">
        <v>1950</v>
      </c>
      <c r="M966" s="1354" t="s">
        <v>1934</v>
      </c>
      <c r="N966" s="1354" t="s">
        <v>1971</v>
      </c>
      <c r="O966" s="1354" t="s">
        <v>1972</v>
      </c>
      <c r="P966" s="1352" t="s">
        <v>5146</v>
      </c>
      <c r="Q966" s="1352" t="s">
        <v>5147</v>
      </c>
      <c r="R966" s="1355"/>
      <c r="S966" s="1348" t="s">
        <v>5299</v>
      </c>
      <c r="T966" s="1348"/>
      <c r="U966" s="1352"/>
      <c r="V966" s="1355" t="s">
        <v>4774</v>
      </c>
      <c r="W966" s="1350"/>
    </row>
    <row r="967" spans="1:27">
      <c r="B967" s="1321"/>
      <c r="G967" s="1320"/>
      <c r="S967" s="1321"/>
      <c r="T967" s="1321"/>
      <c r="U967" s="1326"/>
    </row>
    <row r="968" spans="1:27">
      <c r="A968" s="1320" t="s">
        <v>4883</v>
      </c>
      <c r="B968" s="1321"/>
      <c r="C968" s="1322">
        <v>73</v>
      </c>
      <c r="D968" s="1356" t="s">
        <v>5648</v>
      </c>
      <c r="G968" s="1320"/>
      <c r="S968" s="1321"/>
      <c r="T968" s="1321"/>
      <c r="U968" s="1326"/>
    </row>
    <row r="969" spans="1:27" s="1324" customFormat="1">
      <c r="A969" s="1324" t="s">
        <v>4883</v>
      </c>
      <c r="B969" s="1324">
        <v>101</v>
      </c>
      <c r="C969" s="1393">
        <v>74</v>
      </c>
      <c r="D969" s="1324" t="s">
        <v>5265</v>
      </c>
      <c r="E969" s="1324" t="s">
        <v>4067</v>
      </c>
      <c r="F969" s="1324">
        <f>+'Allocation Assignment'!F317</f>
        <v>30059.679439906377</v>
      </c>
      <c r="G969" s="1364">
        <f>+$F969*G$1933</f>
        <v>0</v>
      </c>
      <c r="H969" s="1364">
        <f>+$F969*H$1933</f>
        <v>30059.679439906377</v>
      </c>
      <c r="I969" s="1374">
        <f t="shared" ref="I969:I977" si="456">IF(F969=0,0,+H969/F969)</f>
        <v>1</v>
      </c>
      <c r="J969" s="1364">
        <f t="shared" ref="J969:J976" si="457">+H969</f>
        <v>30059.679439906377</v>
      </c>
      <c r="K969" s="1324">
        <f t="shared" ref="K969:Q969" si="458">$J969*K$1951</f>
        <v>17260.708809779284</v>
      </c>
      <c r="L969" s="1324">
        <f t="shared" si="458"/>
        <v>1435.4116898162811</v>
      </c>
      <c r="M969" s="1324">
        <f t="shared" si="458"/>
        <v>9289.8557237221776</v>
      </c>
      <c r="N969" s="1324">
        <f t="shared" si="458"/>
        <v>1187.3064344967529</v>
      </c>
      <c r="O969" s="1324">
        <f t="shared" si="458"/>
        <v>854.50816596769926</v>
      </c>
      <c r="P969" s="1324">
        <f t="shared" si="458"/>
        <v>31.888616124181464</v>
      </c>
      <c r="Q969" s="1324">
        <f t="shared" si="458"/>
        <v>0</v>
      </c>
      <c r="S969" s="1324">
        <v>122</v>
      </c>
      <c r="V969" s="1326" t="s">
        <v>9476</v>
      </c>
      <c r="W969" s="1326">
        <v>122</v>
      </c>
      <c r="AA969" s="1320"/>
    </row>
    <row r="970" spans="1:27" s="1324" customFormat="1">
      <c r="A970" s="1320" t="s">
        <v>4883</v>
      </c>
      <c r="B970" s="1324">
        <v>201</v>
      </c>
      <c r="C970" s="1393">
        <v>75</v>
      </c>
      <c r="D970" s="1324" t="s">
        <v>5265</v>
      </c>
      <c r="E970" s="1324" t="s">
        <v>2067</v>
      </c>
      <c r="F970" s="1324">
        <f>+'Allocation Assignment'!F318</f>
        <v>7468.8413095182732</v>
      </c>
      <c r="G970" s="1364">
        <f>+$F970*G$1969</f>
        <v>0</v>
      </c>
      <c r="H970" s="1364">
        <f>+$F970*H$1969</f>
        <v>7468.8413095182732</v>
      </c>
      <c r="I970" s="1374">
        <f t="shared" si="456"/>
        <v>1</v>
      </c>
      <c r="J970" s="1364">
        <f t="shared" si="457"/>
        <v>7468.8413095182732</v>
      </c>
      <c r="K970" s="1364">
        <f t="shared" ref="K970:Q970" si="459">+$J970*K$1969</f>
        <v>3769.0326487626289</v>
      </c>
      <c r="L970" s="1364">
        <f t="shared" si="459"/>
        <v>348.30273821033552</v>
      </c>
      <c r="M970" s="1364">
        <f t="shared" si="459"/>
        <v>2594.7201144239311</v>
      </c>
      <c r="N970" s="1367">
        <f t="shared" si="459"/>
        <v>413.0377223290775</v>
      </c>
      <c r="O970" s="1367">
        <f t="shared" si="459"/>
        <v>304.28979048016464</v>
      </c>
      <c r="P970" s="1367">
        <f t="shared" si="459"/>
        <v>39.458295312135142</v>
      </c>
      <c r="Q970" s="1364">
        <f t="shared" si="459"/>
        <v>0</v>
      </c>
      <c r="R970" s="1364"/>
      <c r="S970" s="1364">
        <v>201</v>
      </c>
      <c r="V970" s="1321" t="s">
        <v>5235</v>
      </c>
      <c r="W970" s="1321">
        <v>201</v>
      </c>
      <c r="AA970" s="1320"/>
    </row>
    <row r="971" spans="1:27">
      <c r="A971" s="1320" t="s">
        <v>4883</v>
      </c>
      <c r="B971" s="1320">
        <v>117</v>
      </c>
      <c r="C971" s="1322">
        <v>76</v>
      </c>
      <c r="D971" s="1320" t="s">
        <v>5268</v>
      </c>
      <c r="E971" s="1320" t="s">
        <v>4067</v>
      </c>
      <c r="F971" s="1324">
        <f>+'Allocation Assignment'!F319</f>
        <v>5665.6180738662224</v>
      </c>
      <c r="G971" s="1364">
        <f>+$F971*G$1942</f>
        <v>367.05758211998017</v>
      </c>
      <c r="H971" s="1364">
        <f>+$F971*H$1942</f>
        <v>5298.5604917462415</v>
      </c>
      <c r="I971" s="1323">
        <f t="shared" si="456"/>
        <v>0.93521314403222722</v>
      </c>
      <c r="J971" s="1364">
        <f t="shared" si="457"/>
        <v>5298.5604917462415</v>
      </c>
      <c r="K971" s="1364">
        <f t="shared" ref="K971:Q972" si="460">+$J971*K$1945</f>
        <v>3073.2341790971518</v>
      </c>
      <c r="L971" s="1364">
        <f t="shared" si="460"/>
        <v>253.51082142963836</v>
      </c>
      <c r="M971" s="1364">
        <f t="shared" si="460"/>
        <v>1620.5673206977469</v>
      </c>
      <c r="N971" s="1367">
        <f t="shared" si="460"/>
        <v>202.30634272842664</v>
      </c>
      <c r="O971" s="1367">
        <f t="shared" si="460"/>
        <v>145.18518756952093</v>
      </c>
      <c r="P971" s="1367">
        <f t="shared" si="460"/>
        <v>3.7566402237573859</v>
      </c>
      <c r="Q971" s="1364">
        <f t="shared" si="460"/>
        <v>0</v>
      </c>
      <c r="R971" s="1364"/>
      <c r="S971" s="1364">
        <v>118</v>
      </c>
      <c r="V971" s="1321" t="s">
        <v>9477</v>
      </c>
      <c r="W971" s="1321">
        <v>117</v>
      </c>
      <c r="Y971" s="1324"/>
    </row>
    <row r="972" spans="1:27">
      <c r="A972" s="1320" t="s">
        <v>4883</v>
      </c>
      <c r="B972" s="1320">
        <v>117</v>
      </c>
      <c r="C972" s="1322">
        <v>77</v>
      </c>
      <c r="D972" s="1320" t="s">
        <v>5239</v>
      </c>
      <c r="E972" s="1320" t="s">
        <v>4067</v>
      </c>
      <c r="F972" s="1324">
        <f>+'Allocation Assignment'!F320</f>
        <v>4560.829886980322</v>
      </c>
      <c r="G972" s="1364">
        <f>+$F972*G$1942</f>
        <v>295.48182898130671</v>
      </c>
      <c r="H972" s="1364">
        <f>+$F972*H$1942</f>
        <v>4265.3480579990146</v>
      </c>
      <c r="I972" s="1323">
        <f t="shared" si="456"/>
        <v>0.93521314403222722</v>
      </c>
      <c r="J972" s="1364">
        <f t="shared" si="457"/>
        <v>4265.3480579990146</v>
      </c>
      <c r="K972" s="1364">
        <f t="shared" si="460"/>
        <v>2473.9574943057987</v>
      </c>
      <c r="L972" s="1364">
        <f t="shared" si="460"/>
        <v>204.07653957165184</v>
      </c>
      <c r="M972" s="1364">
        <f t="shared" si="460"/>
        <v>1304.5587919515715</v>
      </c>
      <c r="N972" s="1367">
        <f t="shared" si="460"/>
        <v>162.85686790247254</v>
      </c>
      <c r="O972" s="1367">
        <f t="shared" si="460"/>
        <v>116.87426402218692</v>
      </c>
      <c r="P972" s="1367">
        <f t="shared" si="460"/>
        <v>3.0241002453335661</v>
      </c>
      <c r="Q972" s="1364">
        <f t="shared" si="460"/>
        <v>0</v>
      </c>
      <c r="R972" s="1364"/>
      <c r="S972" s="1364">
        <v>118</v>
      </c>
      <c r="V972" s="1321" t="s">
        <v>9477</v>
      </c>
      <c r="W972" s="1321">
        <v>117</v>
      </c>
      <c r="Y972" s="1324"/>
    </row>
    <row r="973" spans="1:27">
      <c r="A973" s="1320" t="s">
        <v>4883</v>
      </c>
      <c r="B973" s="1320">
        <v>105</v>
      </c>
      <c r="C973" s="1322">
        <v>78</v>
      </c>
      <c r="D973" s="1320" t="s">
        <v>5240</v>
      </c>
      <c r="E973" s="1320" t="s">
        <v>4067</v>
      </c>
      <c r="F973" s="1324">
        <f>+'Allocation Assignment'!F321</f>
        <v>27530.836064149807</v>
      </c>
      <c r="G973" s="1364">
        <f>+$F973*G$1936</f>
        <v>0</v>
      </c>
      <c r="H973" s="1364">
        <f>+$F973*H$1936</f>
        <v>27530.836064149807</v>
      </c>
      <c r="I973" s="1323">
        <f t="shared" si="456"/>
        <v>1</v>
      </c>
      <c r="J973" s="1364">
        <f t="shared" si="457"/>
        <v>27530.836064149807</v>
      </c>
      <c r="K973" s="1364">
        <f t="shared" ref="K973:Q973" si="461">+$J973*K$1936</f>
        <v>17135.633192193305</v>
      </c>
      <c r="L973" s="1364">
        <f t="shared" si="461"/>
        <v>1218.7292098144153</v>
      </c>
      <c r="M973" s="1364">
        <f t="shared" si="461"/>
        <v>8160.1530024175026</v>
      </c>
      <c r="N973" s="1367">
        <f t="shared" si="461"/>
        <v>858.28402708374495</v>
      </c>
      <c r="O973" s="1367">
        <f t="shared" si="461"/>
        <v>5.8601961333598867E-4</v>
      </c>
      <c r="P973" s="1367">
        <f t="shared" si="461"/>
        <v>158.03604662123342</v>
      </c>
      <c r="Q973" s="1364">
        <f t="shared" si="461"/>
        <v>0</v>
      </c>
      <c r="R973" s="1364"/>
      <c r="S973" s="1364">
        <v>105</v>
      </c>
      <c r="V973" s="1321" t="s">
        <v>5229</v>
      </c>
      <c r="W973" s="1321">
        <v>105</v>
      </c>
      <c r="Y973" s="1324"/>
    </row>
    <row r="974" spans="1:27">
      <c r="A974" s="1320" t="s">
        <v>4883</v>
      </c>
      <c r="B974" s="1320">
        <v>106</v>
      </c>
      <c r="C974" s="1322">
        <v>79</v>
      </c>
      <c r="D974" s="1320" t="s">
        <v>5241</v>
      </c>
      <c r="E974" s="1320" t="s">
        <v>4067</v>
      </c>
      <c r="F974" s="1324">
        <f>+'Allocation Assignment'!F322</f>
        <v>8946.5182861578378</v>
      </c>
      <c r="G974" s="1364">
        <f>+$F974*G$1939</f>
        <v>0</v>
      </c>
      <c r="H974" s="1364">
        <f>+$F974*H$1939</f>
        <v>8946.5182861578378</v>
      </c>
      <c r="I974" s="1323">
        <f t="shared" si="456"/>
        <v>1</v>
      </c>
      <c r="J974" s="1364">
        <f t="shared" si="457"/>
        <v>8946.5182861578378</v>
      </c>
      <c r="K974" s="1364">
        <f t="shared" ref="K974:Q974" si="462">+$J974*K$1939</f>
        <v>6527.6773143485652</v>
      </c>
      <c r="L974" s="1364">
        <f t="shared" si="462"/>
        <v>525.60757361652293</v>
      </c>
      <c r="M974" s="1364">
        <f t="shared" si="462"/>
        <v>1860.8700105976711</v>
      </c>
      <c r="N974" s="1367">
        <f t="shared" si="462"/>
        <v>0</v>
      </c>
      <c r="O974" s="1367">
        <f t="shared" si="462"/>
        <v>0</v>
      </c>
      <c r="P974" s="1367">
        <f t="shared" si="462"/>
        <v>32.363387595078208</v>
      </c>
      <c r="Q974" s="1364">
        <f t="shared" si="462"/>
        <v>0</v>
      </c>
      <c r="R974" s="1364"/>
      <c r="S974" s="1364">
        <v>106</v>
      </c>
      <c r="V974" s="1321" t="s">
        <v>5230</v>
      </c>
      <c r="W974" s="1321">
        <v>106</v>
      </c>
      <c r="Y974" s="1324"/>
    </row>
    <row r="975" spans="1:27">
      <c r="A975" s="1320" t="s">
        <v>4883</v>
      </c>
      <c r="B975" s="1320">
        <v>907</v>
      </c>
      <c r="C975" s="1322">
        <v>80</v>
      </c>
      <c r="D975" s="1320" t="s">
        <v>5242</v>
      </c>
      <c r="E975" s="1320" t="s">
        <v>4071</v>
      </c>
      <c r="F975" s="1324">
        <f>+'Allocation Assignment'!F323</f>
        <v>10609.961743436423</v>
      </c>
      <c r="G975" s="1364">
        <f>+$F975*G$2055</f>
        <v>0</v>
      </c>
      <c r="H975" s="1364">
        <f>+$F975*H$2055</f>
        <v>10609.961743436423</v>
      </c>
      <c r="I975" s="1323">
        <f t="shared" si="456"/>
        <v>1</v>
      </c>
      <c r="J975" s="1364">
        <f t="shared" si="457"/>
        <v>10609.961743436423</v>
      </c>
      <c r="K975" s="1364">
        <f t="shared" ref="K975:Q975" si="463">+$J975*K$2055</f>
        <v>3911.43370958068</v>
      </c>
      <c r="L975" s="1364">
        <f t="shared" si="463"/>
        <v>593.31306395919307</v>
      </c>
      <c r="M975" s="1364">
        <f t="shared" si="463"/>
        <v>286.03577903542163</v>
      </c>
      <c r="N975" s="1367">
        <f t="shared" si="463"/>
        <v>18.439336934308319</v>
      </c>
      <c r="O975" s="1367">
        <f t="shared" si="463"/>
        <v>20.118090644098665</v>
      </c>
      <c r="P975" s="1367">
        <f t="shared" si="463"/>
        <v>4.6173418829462918</v>
      </c>
      <c r="Q975" s="1364">
        <f t="shared" si="463"/>
        <v>5776.0044213997762</v>
      </c>
      <c r="R975" s="1364"/>
      <c r="S975" s="1364">
        <v>907</v>
      </c>
      <c r="V975" s="1321" t="s">
        <v>5243</v>
      </c>
      <c r="W975" s="1321">
        <v>907</v>
      </c>
      <c r="Y975" s="1324"/>
    </row>
    <row r="976" spans="1:27">
      <c r="A976" s="1320" t="s">
        <v>4883</v>
      </c>
      <c r="B976" s="1324">
        <v>412</v>
      </c>
      <c r="C976" s="1393">
        <v>81</v>
      </c>
      <c r="D976" s="1324" t="s">
        <v>5244</v>
      </c>
      <c r="E976" s="1324" t="s">
        <v>4071</v>
      </c>
      <c r="F976" s="1324">
        <f>+'Allocation Assignment'!F324</f>
        <v>14371.441015984727</v>
      </c>
      <c r="G976" s="1364">
        <f>+$F976*G$2021</f>
        <v>0</v>
      </c>
      <c r="H976" s="1364">
        <f>+$F976*H$2021</f>
        <v>14371.441015984727</v>
      </c>
      <c r="I976" s="1323">
        <f t="shared" si="456"/>
        <v>1</v>
      </c>
      <c r="J976" s="1364">
        <f t="shared" si="457"/>
        <v>14371.441015984727</v>
      </c>
      <c r="K976" s="1364">
        <f t="shared" ref="K976:Q976" si="464">+$J976*K$2021</f>
        <v>12817.698748263108</v>
      </c>
      <c r="L976" s="1364">
        <f t="shared" si="464"/>
        <v>1242.5605062403552</v>
      </c>
      <c r="M976" s="1364">
        <f t="shared" si="464"/>
        <v>306.03206330764834</v>
      </c>
      <c r="N976" s="1367">
        <f t="shared" si="464"/>
        <v>1.033272772699134</v>
      </c>
      <c r="O976" s="1367">
        <f t="shared" si="464"/>
        <v>0.18332258870468507</v>
      </c>
      <c r="P976" s="1367">
        <f t="shared" si="464"/>
        <v>3.9331028122096061</v>
      </c>
      <c r="Q976" s="1364">
        <f t="shared" si="464"/>
        <v>0</v>
      </c>
      <c r="R976" s="1364"/>
      <c r="S976" s="1364">
        <v>412</v>
      </c>
      <c r="V976" s="1321" t="s">
        <v>5245</v>
      </c>
      <c r="W976" s="1321">
        <v>412</v>
      </c>
      <c r="Y976" s="1324"/>
    </row>
    <row r="977" spans="1:27">
      <c r="A977" s="1320" t="s">
        <v>4883</v>
      </c>
      <c r="B977" s="1321"/>
      <c r="C977" s="1322">
        <v>82</v>
      </c>
      <c r="D977" s="1320" t="s">
        <v>5649</v>
      </c>
      <c r="F977" s="1427">
        <f>+SUM(F969:F976)</f>
        <v>109213.72581999999</v>
      </c>
      <c r="G977" s="1427">
        <f>SUM(G969:G976)</f>
        <v>662.53941110128687</v>
      </c>
      <c r="H977" s="1427">
        <f>SUM(H969:H976)</f>
        <v>108551.18640889871</v>
      </c>
      <c r="I977" s="1323">
        <f t="shared" si="456"/>
        <v>0.99393355179372556</v>
      </c>
      <c r="J977" s="1421">
        <f t="shared" ref="J977:Q977" si="465">SUM(J969:J976)</f>
        <v>108551.18640889871</v>
      </c>
      <c r="K977" s="1421">
        <f t="shared" si="465"/>
        <v>66969.376096330525</v>
      </c>
      <c r="L977" s="1421">
        <f t="shared" si="465"/>
        <v>5821.5121426583937</v>
      </c>
      <c r="M977" s="1421">
        <f t="shared" si="465"/>
        <v>25422.79280615367</v>
      </c>
      <c r="N977" s="1422">
        <f t="shared" si="465"/>
        <v>2843.2640042474818</v>
      </c>
      <c r="O977" s="1422">
        <f>SUM(O969:O976)</f>
        <v>1441.1594072919884</v>
      </c>
      <c r="P977" s="1422">
        <f>SUM(P969:P976)</f>
        <v>277.07753081687508</v>
      </c>
      <c r="Q977" s="1421">
        <f t="shared" si="465"/>
        <v>5776.0044213997762</v>
      </c>
      <c r="R977" s="1364"/>
      <c r="S977" s="1364"/>
      <c r="T977" s="1321"/>
      <c r="U977" s="1326"/>
      <c r="V977" s="1320" t="s">
        <v>5650</v>
      </c>
      <c r="Y977" s="1324"/>
    </row>
    <row r="978" spans="1:27">
      <c r="A978" s="1320" t="s">
        <v>4883</v>
      </c>
      <c r="B978" s="1321"/>
      <c r="C978" s="1322">
        <v>83</v>
      </c>
      <c r="G978" s="1320"/>
      <c r="R978" s="1324"/>
      <c r="S978" s="1326"/>
      <c r="T978" s="1321"/>
      <c r="U978" s="1326"/>
    </row>
    <row r="979" spans="1:27">
      <c r="A979" s="1320" t="s">
        <v>4883</v>
      </c>
      <c r="B979" s="1321"/>
      <c r="C979" s="1322">
        <v>84</v>
      </c>
      <c r="D979" s="1356" t="s">
        <v>5651</v>
      </c>
      <c r="G979" s="1320"/>
      <c r="R979" s="1324"/>
      <c r="S979" s="1326"/>
      <c r="T979" s="1321"/>
      <c r="U979" s="1326"/>
    </row>
    <row r="980" spans="1:27" s="1324" customFormat="1">
      <c r="A980" s="1324" t="s">
        <v>4883</v>
      </c>
      <c r="B980" s="1324">
        <v>101</v>
      </c>
      <c r="C980" s="1393">
        <v>85</v>
      </c>
      <c r="D980" s="1324" t="s">
        <v>5265</v>
      </c>
      <c r="E980" s="1324" t="s">
        <v>4067</v>
      </c>
      <c r="F980" s="1364">
        <f>+'Allocation Assignment'!F325</f>
        <v>7482.8857100000005</v>
      </c>
      <c r="G980" s="1364">
        <f>+$F980*G$1933</f>
        <v>0</v>
      </c>
      <c r="H980" s="1364">
        <f>+$F980*H$1933</f>
        <v>7482.8857100000005</v>
      </c>
      <c r="I980" s="1374">
        <f>IF(F980=0,0,+H980/F980)</f>
        <v>1</v>
      </c>
      <c r="J980" s="1364">
        <f>+H980</f>
        <v>7482.8857100000005</v>
      </c>
      <c r="K980" s="1324">
        <f t="shared" ref="K980:Q980" si="466">$J980*K$1951</f>
        <v>4296.7827236939693</v>
      </c>
      <c r="L980" s="1324">
        <f t="shared" si="466"/>
        <v>357.3232257238821</v>
      </c>
      <c r="M980" s="1324">
        <f t="shared" si="466"/>
        <v>2312.563870881349</v>
      </c>
      <c r="N980" s="1324">
        <f t="shared" si="466"/>
        <v>295.56131394708166</v>
      </c>
      <c r="O980" s="1324">
        <f t="shared" si="466"/>
        <v>212.71640494307019</v>
      </c>
      <c r="P980" s="1324">
        <f t="shared" si="466"/>
        <v>7.9381708106484146</v>
      </c>
      <c r="Q980" s="1324">
        <f t="shared" si="466"/>
        <v>0</v>
      </c>
      <c r="S980" s="1324">
        <v>122</v>
      </c>
      <c r="V980" s="1326" t="s">
        <v>9476</v>
      </c>
      <c r="W980" s="1326">
        <v>122</v>
      </c>
      <c r="AA980" s="1320"/>
    </row>
    <row r="981" spans="1:27" s="1324" customFormat="1">
      <c r="A981" s="1320" t="s">
        <v>4883</v>
      </c>
      <c r="B981" s="1324">
        <v>201</v>
      </c>
      <c r="C981" s="1393">
        <v>86</v>
      </c>
      <c r="D981" s="1324" t="s">
        <v>5265</v>
      </c>
      <c r="E981" s="1324" t="s">
        <v>2067</v>
      </c>
      <c r="F981" s="1571"/>
      <c r="G981" s="1364">
        <f>+$F981*G$1969</f>
        <v>0</v>
      </c>
      <c r="H981" s="1364">
        <f>+$F981*H$1969</f>
        <v>0</v>
      </c>
      <c r="I981" s="1374">
        <f>IF(F981=0,0,+H981/F981)</f>
        <v>0</v>
      </c>
      <c r="J981" s="1364">
        <f>+H981</f>
        <v>0</v>
      </c>
      <c r="K981" s="1364">
        <f t="shared" ref="K981:Q981" si="467">+$J981*K$1969</f>
        <v>0</v>
      </c>
      <c r="L981" s="1364">
        <f t="shared" si="467"/>
        <v>0</v>
      </c>
      <c r="M981" s="1364">
        <f t="shared" si="467"/>
        <v>0</v>
      </c>
      <c r="N981" s="1367">
        <f t="shared" si="467"/>
        <v>0</v>
      </c>
      <c r="O981" s="1367">
        <f t="shared" si="467"/>
        <v>0</v>
      </c>
      <c r="P981" s="1367">
        <f t="shared" si="467"/>
        <v>0</v>
      </c>
      <c r="Q981" s="1364">
        <f t="shared" si="467"/>
        <v>0</v>
      </c>
      <c r="R981" s="1364"/>
      <c r="S981" s="1364">
        <v>201</v>
      </c>
      <c r="V981" s="1321" t="s">
        <v>5235</v>
      </c>
      <c r="W981" s="1321">
        <v>201</v>
      </c>
      <c r="Y981" s="1320"/>
      <c r="AA981" s="1320"/>
    </row>
    <row r="982" spans="1:27">
      <c r="A982" s="1320" t="s">
        <v>4883</v>
      </c>
      <c r="B982" s="1320">
        <v>117</v>
      </c>
      <c r="C982" s="1322">
        <v>87</v>
      </c>
      <c r="D982" s="1320" t="s">
        <v>5268</v>
      </c>
      <c r="E982" s="1320" t="s">
        <v>4067</v>
      </c>
      <c r="F982" s="1358">
        <f>+'Allocation Assignment'!F326</f>
        <v>2737.0403635800221</v>
      </c>
      <c r="G982" s="1364">
        <f>+$F982*G$1942</f>
        <v>177.32423981323885</v>
      </c>
      <c r="H982" s="1364">
        <f>+$F982*H$1942</f>
        <v>2559.7161237667833</v>
      </c>
      <c r="I982" s="1323">
        <f t="shared" ref="I982:I988" si="468">IF(F982=0,0,+H982/F982)</f>
        <v>0.93521314403222744</v>
      </c>
      <c r="J982" s="1364">
        <f t="shared" ref="J982:J987" si="469">+H982</f>
        <v>2559.7161237667833</v>
      </c>
      <c r="K982" s="1364">
        <f t="shared" ref="K982:Q983" si="470">+$J982*K$1945</f>
        <v>1484.6687307996672</v>
      </c>
      <c r="L982" s="1364">
        <f t="shared" si="470"/>
        <v>122.47019509801699</v>
      </c>
      <c r="M982" s="1364">
        <f t="shared" si="470"/>
        <v>782.89042974999472</v>
      </c>
      <c r="N982" s="1367">
        <f t="shared" si="470"/>
        <v>97.733489733468403</v>
      </c>
      <c r="O982" s="1367">
        <f t="shared" si="470"/>
        <v>70.138458574307762</v>
      </c>
      <c r="P982" s="1367">
        <f t="shared" si="470"/>
        <v>1.8148198113283263</v>
      </c>
      <c r="Q982" s="1364">
        <f t="shared" si="470"/>
        <v>0</v>
      </c>
      <c r="R982" s="1364"/>
      <c r="S982" s="1364">
        <v>118</v>
      </c>
      <c r="V982" s="1321" t="s">
        <v>9477</v>
      </c>
      <c r="W982" s="1321">
        <v>117</v>
      </c>
    </row>
    <row r="983" spans="1:27">
      <c r="A983" s="1320" t="s">
        <v>4883</v>
      </c>
      <c r="B983" s="1320">
        <v>117</v>
      </c>
      <c r="C983" s="1322">
        <v>88</v>
      </c>
      <c r="D983" s="1320" t="s">
        <v>5239</v>
      </c>
      <c r="E983" s="1320" t="s">
        <v>4067</v>
      </c>
      <c r="F983" s="1358">
        <f>+'Allocation Assignment'!F327</f>
        <v>7695.2794371510481</v>
      </c>
      <c r="G983" s="1364">
        <f>+$F983*G$1942</f>
        <v>498.55296052646719</v>
      </c>
      <c r="H983" s="1364">
        <f>+$F983*H$1942</f>
        <v>7196.7264766245808</v>
      </c>
      <c r="I983" s="1323">
        <f t="shared" si="468"/>
        <v>0.93521314403222733</v>
      </c>
      <c r="J983" s="1364">
        <f t="shared" si="469"/>
        <v>7196.7264766245808</v>
      </c>
      <c r="K983" s="1364">
        <f t="shared" si="470"/>
        <v>4174.1952026458657</v>
      </c>
      <c r="L983" s="1364">
        <f t="shared" si="470"/>
        <v>344.32900096838245</v>
      </c>
      <c r="M983" s="1364">
        <f t="shared" si="470"/>
        <v>2201.1223165585379</v>
      </c>
      <c r="N983" s="1367">
        <f t="shared" si="470"/>
        <v>274.78093632614559</v>
      </c>
      <c r="O983" s="1367">
        <f t="shared" si="470"/>
        <v>197.19659424911546</v>
      </c>
      <c r="P983" s="1367">
        <f t="shared" si="470"/>
        <v>5.1024258765341752</v>
      </c>
      <c r="Q983" s="1364">
        <f t="shared" si="470"/>
        <v>0</v>
      </c>
      <c r="R983" s="1364"/>
      <c r="S983" s="1364">
        <v>118</v>
      </c>
      <c r="V983" s="1321" t="s">
        <v>9477</v>
      </c>
      <c r="W983" s="1321">
        <v>117</v>
      </c>
      <c r="Y983" s="1324"/>
    </row>
    <row r="984" spans="1:27">
      <c r="A984" s="1320" t="s">
        <v>4883</v>
      </c>
      <c r="B984" s="1320">
        <v>105</v>
      </c>
      <c r="C984" s="1322">
        <v>89</v>
      </c>
      <c r="D984" s="1320" t="s">
        <v>5240</v>
      </c>
      <c r="E984" s="1320" t="s">
        <v>4067</v>
      </c>
      <c r="F984" s="1358">
        <f>+'Allocation Assignment'!F328</f>
        <v>37791.254617096231</v>
      </c>
      <c r="G984" s="1364">
        <f>+$F984*G$1936</f>
        <v>0</v>
      </c>
      <c r="H984" s="1364">
        <f>+$F984*H$1936</f>
        <v>37791.254617096231</v>
      </c>
      <c r="I984" s="1323">
        <f t="shared" si="468"/>
        <v>1</v>
      </c>
      <c r="J984" s="1364">
        <f t="shared" si="469"/>
        <v>37791.254617096231</v>
      </c>
      <c r="K984" s="1364">
        <f t="shared" ref="K984:Q984" si="471">+$J984*K$1936</f>
        <v>23521.881990158905</v>
      </c>
      <c r="L984" s="1364">
        <f t="shared" si="471"/>
        <v>1672.9352414169548</v>
      </c>
      <c r="M984" s="1364">
        <f t="shared" si="471"/>
        <v>11201.345978387941</v>
      </c>
      <c r="N984" s="1367">
        <f t="shared" si="471"/>
        <v>1178.1563816561916</v>
      </c>
      <c r="O984" s="1367">
        <f t="shared" si="471"/>
        <v>8.0442222555788341E-4</v>
      </c>
      <c r="P984" s="1367">
        <f t="shared" si="471"/>
        <v>216.93422105402226</v>
      </c>
      <c r="Q984" s="1364">
        <f t="shared" si="471"/>
        <v>0</v>
      </c>
      <c r="R984" s="1364"/>
      <c r="S984" s="1364">
        <v>105</v>
      </c>
      <c r="V984" s="1321" t="s">
        <v>5229</v>
      </c>
      <c r="W984" s="1321">
        <v>105</v>
      </c>
      <c r="Y984" s="1324"/>
    </row>
    <row r="985" spans="1:27">
      <c r="A985" s="1320" t="s">
        <v>4883</v>
      </c>
      <c r="B985" s="1320">
        <v>106</v>
      </c>
      <c r="C985" s="1322">
        <v>90</v>
      </c>
      <c r="D985" s="1320" t="s">
        <v>5241</v>
      </c>
      <c r="E985" s="1320" t="s">
        <v>4067</v>
      </c>
      <c r="F985" s="1358">
        <f>+'Allocation Assignment'!F329</f>
        <v>6519.2699460607055</v>
      </c>
      <c r="G985" s="1364">
        <f>+$F985*G$1939</f>
        <v>0</v>
      </c>
      <c r="H985" s="1364">
        <f>+$F985*H$1939</f>
        <v>6519.2699460607055</v>
      </c>
      <c r="I985" s="1323">
        <f t="shared" si="468"/>
        <v>1</v>
      </c>
      <c r="J985" s="1364">
        <f t="shared" si="469"/>
        <v>6519.2699460607055</v>
      </c>
      <c r="K985" s="1364">
        <f t="shared" ref="K985:Q985" si="472">+$J985*K$1939</f>
        <v>4756.6761919949959</v>
      </c>
      <c r="L985" s="1364">
        <f t="shared" si="472"/>
        <v>383.00683556437036</v>
      </c>
      <c r="M985" s="1364">
        <f t="shared" si="472"/>
        <v>1356.00392751503</v>
      </c>
      <c r="N985" s="1367">
        <f t="shared" si="472"/>
        <v>0</v>
      </c>
      <c r="O985" s="1367">
        <f t="shared" si="472"/>
        <v>0</v>
      </c>
      <c r="P985" s="1367">
        <f t="shared" si="472"/>
        <v>23.582990986308808</v>
      </c>
      <c r="Q985" s="1364">
        <f t="shared" si="472"/>
        <v>0</v>
      </c>
      <c r="R985" s="1364"/>
      <c r="S985" s="1364">
        <v>106</v>
      </c>
      <c r="V985" s="1321" t="s">
        <v>5230</v>
      </c>
      <c r="W985" s="1321">
        <v>106</v>
      </c>
      <c r="Y985" s="1324"/>
    </row>
    <row r="986" spans="1:27">
      <c r="A986" s="1320" t="s">
        <v>4883</v>
      </c>
      <c r="B986" s="1320">
        <v>907</v>
      </c>
      <c r="C986" s="1322">
        <v>91</v>
      </c>
      <c r="D986" s="1320" t="s">
        <v>5242</v>
      </c>
      <c r="E986" s="1320" t="s">
        <v>4071</v>
      </c>
      <c r="F986" s="1358">
        <f>+'Allocation Assignment'!F330</f>
        <v>24224.606503181003</v>
      </c>
      <c r="G986" s="1364">
        <f>+$F986*G$2055</f>
        <v>0</v>
      </c>
      <c r="H986" s="1364">
        <f>+$F986*H$2055</f>
        <v>24224.606503181003</v>
      </c>
      <c r="I986" s="1323">
        <f t="shared" si="468"/>
        <v>1</v>
      </c>
      <c r="J986" s="1364">
        <f t="shared" si="469"/>
        <v>24224.606503181003</v>
      </c>
      <c r="K986" s="1364">
        <f t="shared" ref="K986:Q986" si="473">+$J986*K$2055</f>
        <v>8930.5640085352788</v>
      </c>
      <c r="L986" s="1364">
        <f t="shared" si="473"/>
        <v>1354.6491358933936</v>
      </c>
      <c r="M986" s="1364">
        <f t="shared" si="473"/>
        <v>653.07532303313258</v>
      </c>
      <c r="N986" s="1367">
        <f t="shared" si="473"/>
        <v>42.100593028954272</v>
      </c>
      <c r="O986" s="1367">
        <f t="shared" si="473"/>
        <v>45.933514298494586</v>
      </c>
      <c r="P986" s="1367">
        <f t="shared" si="473"/>
        <v>10.542289681131594</v>
      </c>
      <c r="Q986" s="1364">
        <f t="shared" si="473"/>
        <v>13187.74163871062</v>
      </c>
      <c r="R986" s="1364"/>
      <c r="S986" s="1364">
        <v>907</v>
      </c>
      <c r="V986" s="1321" t="s">
        <v>5243</v>
      </c>
      <c r="W986" s="1321">
        <v>907</v>
      </c>
      <c r="Y986" s="1324"/>
    </row>
    <row r="987" spans="1:27">
      <c r="A987" s="1320" t="s">
        <v>4883</v>
      </c>
      <c r="B987" s="1324">
        <v>412</v>
      </c>
      <c r="C987" s="1393">
        <v>92</v>
      </c>
      <c r="D987" s="1324" t="s">
        <v>5244</v>
      </c>
      <c r="E987" s="1324" t="s">
        <v>4071</v>
      </c>
      <c r="F987" s="1358">
        <f>+'Allocation Assignment'!F331</f>
        <v>32812.795362930985</v>
      </c>
      <c r="G987" s="1364">
        <f>+$F987*G$2021</f>
        <v>0</v>
      </c>
      <c r="H987" s="1364">
        <f>+$F987*H$2021</f>
        <v>32812.795362930985</v>
      </c>
      <c r="I987" s="1323">
        <f t="shared" si="468"/>
        <v>1</v>
      </c>
      <c r="J987" s="1364">
        <f t="shared" si="469"/>
        <v>32812.795362930985</v>
      </c>
      <c r="K987" s="1364">
        <f t="shared" ref="K987:Q987" si="474">+$J987*K$2021</f>
        <v>29265.29953277867</v>
      </c>
      <c r="L987" s="1364">
        <f t="shared" si="474"/>
        <v>2837.00733781504</v>
      </c>
      <c r="M987" s="1364">
        <f t="shared" si="474"/>
        <v>698.73072969094642</v>
      </c>
      <c r="N987" s="1367">
        <f t="shared" si="474"/>
        <v>2.3591627316254793</v>
      </c>
      <c r="O987" s="1367">
        <f t="shared" si="474"/>
        <v>0.41856112980452054</v>
      </c>
      <c r="P987" s="1367">
        <f t="shared" si="474"/>
        <v>8.9800387848969851</v>
      </c>
      <c r="Q987" s="1364">
        <f t="shared" si="474"/>
        <v>0</v>
      </c>
      <c r="R987" s="1364"/>
      <c r="S987" s="1364">
        <v>412</v>
      </c>
      <c r="V987" s="1321" t="s">
        <v>5245</v>
      </c>
      <c r="W987" s="1321">
        <v>412</v>
      </c>
      <c r="Y987" s="1324"/>
    </row>
    <row r="988" spans="1:27">
      <c r="A988" s="1320" t="s">
        <v>4883</v>
      </c>
      <c r="B988" s="1321"/>
      <c r="C988" s="1322">
        <v>93</v>
      </c>
      <c r="D988" s="1320" t="s">
        <v>5652</v>
      </c>
      <c r="F988" s="1427">
        <f>+SUM(F980:F987)</f>
        <v>119263.13193999999</v>
      </c>
      <c r="G988" s="1427">
        <f>SUM(G980:G987)</f>
        <v>675.87720033970606</v>
      </c>
      <c r="H988" s="1427">
        <f>SUM(H980:H987)</f>
        <v>118587.25473966027</v>
      </c>
      <c r="I988" s="1323">
        <f t="shared" si="468"/>
        <v>0.99433289073206843</v>
      </c>
      <c r="J988" s="1421">
        <f t="shared" ref="J988:Q988" si="475">SUM(J980:J987)</f>
        <v>118587.25473966027</v>
      </c>
      <c r="K988" s="1421">
        <f t="shared" si="475"/>
        <v>76430.06838060735</v>
      </c>
      <c r="L988" s="1421">
        <f t="shared" si="475"/>
        <v>7071.7209724800405</v>
      </c>
      <c r="M988" s="1421">
        <f t="shared" si="475"/>
        <v>19205.732575816932</v>
      </c>
      <c r="N988" s="1422">
        <f t="shared" si="475"/>
        <v>1890.6918774234671</v>
      </c>
      <c r="O988" s="1422">
        <f>SUM(O980:O987)</f>
        <v>526.40433761701809</v>
      </c>
      <c r="P988" s="1422">
        <f>SUM(P980:P987)</f>
        <v>274.89495700487055</v>
      </c>
      <c r="Q988" s="1421">
        <f t="shared" si="475"/>
        <v>13187.74163871062</v>
      </c>
      <c r="R988" s="1364"/>
      <c r="S988" s="1364"/>
      <c r="T988" s="1321"/>
      <c r="U988" s="1326"/>
      <c r="V988" s="1320" t="s">
        <v>5653</v>
      </c>
      <c r="Y988" s="1324"/>
    </row>
    <row r="989" spans="1:27">
      <c r="A989" s="1320" t="s">
        <v>4883</v>
      </c>
      <c r="B989" s="1321"/>
      <c r="C989" s="1322">
        <v>94</v>
      </c>
      <c r="G989" s="1320"/>
      <c r="S989" s="1321"/>
      <c r="T989" s="1321"/>
      <c r="U989" s="1326"/>
      <c r="Y989" s="1324"/>
    </row>
    <row r="990" spans="1:27">
      <c r="A990" s="1320" t="s">
        <v>4883</v>
      </c>
      <c r="B990" s="1321"/>
      <c r="C990" s="1322">
        <v>95</v>
      </c>
      <c r="D990" s="1356" t="s">
        <v>5654</v>
      </c>
      <c r="G990" s="1320"/>
      <c r="S990" s="1321"/>
      <c r="T990" s="1321"/>
      <c r="U990" s="1326"/>
      <c r="Y990" s="1324"/>
    </row>
    <row r="991" spans="1:27" s="1324" customFormat="1">
      <c r="A991" s="1324" t="s">
        <v>4883</v>
      </c>
      <c r="B991" s="1324">
        <v>101</v>
      </c>
      <c r="C991" s="1393">
        <v>96</v>
      </c>
      <c r="D991" s="1324" t="s">
        <v>5265</v>
      </c>
      <c r="E991" s="1324" t="s">
        <v>4067</v>
      </c>
      <c r="F991" s="1364">
        <f>+'Allocation Assignment'!F332</f>
        <v>402515.95441074861</v>
      </c>
      <c r="G991" s="1364">
        <f>+$F991*G$1933</f>
        <v>0</v>
      </c>
      <c r="H991" s="1364">
        <f>+$F991*H$1933</f>
        <v>402515.95441074861</v>
      </c>
      <c r="I991" s="1374">
        <f t="shared" ref="I991:I1000" si="476">IF(F991=0,0,+H991/F991)</f>
        <v>1</v>
      </c>
      <c r="J991" s="1364">
        <f t="shared" ref="J991:J999" si="477">+H991</f>
        <v>402515.95441074861</v>
      </c>
      <c r="K991" s="1324">
        <f t="shared" ref="K991:Q991" si="478">$J991*K$1951</f>
        <v>231130.56459114273</v>
      </c>
      <c r="L991" s="1324">
        <f t="shared" si="478"/>
        <v>19220.966991807196</v>
      </c>
      <c r="M991" s="1324">
        <f t="shared" si="478"/>
        <v>124396.37456705475</v>
      </c>
      <c r="N991" s="1324">
        <f t="shared" si="478"/>
        <v>15898.698574444012</v>
      </c>
      <c r="O991" s="1324">
        <f t="shared" si="478"/>
        <v>11442.343244673608</v>
      </c>
      <c r="P991" s="1324">
        <f t="shared" si="478"/>
        <v>427.00644162634052</v>
      </c>
      <c r="Q991" s="1324">
        <f t="shared" si="478"/>
        <v>0</v>
      </c>
      <c r="S991" s="1324">
        <v>122</v>
      </c>
      <c r="V991" s="1326" t="s">
        <v>9476</v>
      </c>
      <c r="W991" s="1326">
        <v>122</v>
      </c>
      <c r="AA991" s="1320"/>
    </row>
    <row r="992" spans="1:27" s="1324" customFormat="1">
      <c r="A992" s="1324" t="s">
        <v>4883</v>
      </c>
      <c r="B992" s="1324">
        <v>101</v>
      </c>
      <c r="C992" s="1393">
        <v>97</v>
      </c>
      <c r="D992" s="1324" t="s">
        <v>5458</v>
      </c>
      <c r="E992" s="1324" t="s">
        <v>4067</v>
      </c>
      <c r="F992" s="1364">
        <f>+'Allocation Assignment'!F333</f>
        <v>4620.0860300000004</v>
      </c>
      <c r="G992" s="1364">
        <f>+$F992*G$1933</f>
        <v>0</v>
      </c>
      <c r="H992" s="1364">
        <f>+$F992*H$1933</f>
        <v>4620.0860300000004</v>
      </c>
      <c r="I992" s="1374">
        <f>IF(F992=0,0,+H992/F992)</f>
        <v>1</v>
      </c>
      <c r="J992" s="1364">
        <f>+H992</f>
        <v>4620.0860300000004</v>
      </c>
      <c r="K992" s="1324">
        <f t="shared" ref="K992:Q992" si="479">$J992*K$1948</f>
        <v>2652.9211597010826</v>
      </c>
      <c r="L992" s="1324">
        <f t="shared" si="479"/>
        <v>220.61863662507338</v>
      </c>
      <c r="M992" s="1324">
        <f t="shared" si="479"/>
        <v>1427.8240303822099</v>
      </c>
      <c r="N992" s="1324">
        <f t="shared" si="479"/>
        <v>182.48557448238188</v>
      </c>
      <c r="O992" s="1324">
        <f t="shared" si="479"/>
        <v>131.33544048600757</v>
      </c>
      <c r="P992" s="1324">
        <f t="shared" si="479"/>
        <v>4.9011883232452202</v>
      </c>
      <c r="Q992" s="1324">
        <f t="shared" si="479"/>
        <v>0</v>
      </c>
      <c r="S992" s="1324">
        <v>121</v>
      </c>
      <c r="V992" s="1326" t="s">
        <v>5287</v>
      </c>
      <c r="W992" s="1326">
        <v>121</v>
      </c>
      <c r="AA992" s="1320"/>
    </row>
    <row r="993" spans="1:27" s="1324" customFormat="1">
      <c r="A993" s="1320" t="s">
        <v>4883</v>
      </c>
      <c r="B993" s="1324">
        <v>201</v>
      </c>
      <c r="C993" s="1393">
        <v>98</v>
      </c>
      <c r="D993" s="1324" t="s">
        <v>5265</v>
      </c>
      <c r="E993" s="1324" t="s">
        <v>2067</v>
      </c>
      <c r="F993" s="1364">
        <f>+'Allocation Assignment'!F334</f>
        <v>102739.773617499</v>
      </c>
      <c r="G993" s="1364">
        <f>+$F993*G$1969</f>
        <v>0</v>
      </c>
      <c r="H993" s="1364">
        <f>+$F993*H$1969</f>
        <v>102739.773617499</v>
      </c>
      <c r="I993" s="1374">
        <f t="shared" si="476"/>
        <v>1</v>
      </c>
      <c r="J993" s="1364">
        <f t="shared" si="477"/>
        <v>102739.773617499</v>
      </c>
      <c r="K993" s="1364">
        <f t="shared" ref="K993:Q993" si="480">+$J993*K$1969</f>
        <v>51846.001949104299</v>
      </c>
      <c r="L993" s="1364">
        <f t="shared" si="480"/>
        <v>4791.1775054694435</v>
      </c>
      <c r="M993" s="1364">
        <f t="shared" si="480"/>
        <v>35692.411461059652</v>
      </c>
      <c r="N993" s="1367">
        <f t="shared" si="480"/>
        <v>5681.6580148111143</v>
      </c>
      <c r="O993" s="1367">
        <f t="shared" si="480"/>
        <v>4185.7448689139046</v>
      </c>
      <c r="P993" s="1367">
        <f t="shared" si="480"/>
        <v>542.77981814058091</v>
      </c>
      <c r="Q993" s="1364">
        <f t="shared" si="480"/>
        <v>0</v>
      </c>
      <c r="R993" s="1364"/>
      <c r="S993" s="1364">
        <v>201</v>
      </c>
      <c r="V993" s="1321" t="s">
        <v>5235</v>
      </c>
      <c r="W993" s="1321">
        <v>201</v>
      </c>
      <c r="Y993" s="1320"/>
      <c r="AA993" s="1320"/>
    </row>
    <row r="994" spans="1:27">
      <c r="A994" s="1320" t="s">
        <v>4883</v>
      </c>
      <c r="B994" s="1320">
        <v>117</v>
      </c>
      <c r="C994" s="1322">
        <v>99</v>
      </c>
      <c r="D994" s="1320" t="s">
        <v>5268</v>
      </c>
      <c r="E994" s="1320" t="s">
        <v>4067</v>
      </c>
      <c r="F994" s="1364">
        <f>+'Allocation Assignment'!F335</f>
        <v>16490.11411829697</v>
      </c>
      <c r="G994" s="1364">
        <f>+$F994*G$1942</f>
        <v>1068.3426482742393</v>
      </c>
      <c r="H994" s="1364">
        <f>+$F994*H$1942</f>
        <v>15421.77147002273</v>
      </c>
      <c r="I994" s="1323">
        <f t="shared" si="476"/>
        <v>0.93521314403222733</v>
      </c>
      <c r="J994" s="1364">
        <f t="shared" si="477"/>
        <v>15421.77147002273</v>
      </c>
      <c r="K994" s="1364">
        <f t="shared" ref="K994:Q995" si="481">+$J994*K$1945</f>
        <v>8944.8285544210794</v>
      </c>
      <c r="L994" s="1364">
        <f t="shared" si="481"/>
        <v>737.85813323368234</v>
      </c>
      <c r="M994" s="1364">
        <f t="shared" si="481"/>
        <v>4716.756354960683</v>
      </c>
      <c r="N994" s="1367">
        <f t="shared" si="481"/>
        <v>588.82449098276891</v>
      </c>
      <c r="O994" s="1367">
        <f t="shared" si="481"/>
        <v>422.5700144439848</v>
      </c>
      <c r="P994" s="1367">
        <f t="shared" si="481"/>
        <v>10.933921980531771</v>
      </c>
      <c r="Q994" s="1364">
        <f t="shared" si="481"/>
        <v>0</v>
      </c>
      <c r="R994" s="1364"/>
      <c r="S994" s="1364">
        <v>118</v>
      </c>
      <c r="V994" s="1321" t="s">
        <v>9477</v>
      </c>
      <c r="W994" s="1321">
        <v>117</v>
      </c>
    </row>
    <row r="995" spans="1:27">
      <c r="A995" s="1320" t="s">
        <v>4883</v>
      </c>
      <c r="B995" s="1320">
        <v>117</v>
      </c>
      <c r="C995" s="1322">
        <v>100</v>
      </c>
      <c r="D995" s="1320" t="s">
        <v>5239</v>
      </c>
      <c r="E995" s="1320" t="s">
        <v>4067</v>
      </c>
      <c r="F995" s="1364">
        <f>+'Allocation Assignment'!F336</f>
        <v>46362.50081632923</v>
      </c>
      <c r="G995" s="1364">
        <f>+$F995*G$1942</f>
        <v>3003.6806626932616</v>
      </c>
      <c r="H995" s="1364">
        <f>+$F995*H$1942</f>
        <v>43358.820153635963</v>
      </c>
      <c r="I995" s="1323">
        <f t="shared" si="476"/>
        <v>0.93521314403222733</v>
      </c>
      <c r="J995" s="1364">
        <f t="shared" si="477"/>
        <v>43358.820153635963</v>
      </c>
      <c r="K995" s="1364">
        <f t="shared" si="481"/>
        <v>25148.681093487863</v>
      </c>
      <c r="L995" s="1364">
        <f t="shared" si="481"/>
        <v>2074.5125266552559</v>
      </c>
      <c r="M995" s="1364">
        <f t="shared" si="481"/>
        <v>13261.316373465776</v>
      </c>
      <c r="N995" s="1367">
        <f t="shared" si="481"/>
        <v>1655.4995161357094</v>
      </c>
      <c r="O995" s="1367">
        <f t="shared" si="481"/>
        <v>1188.069560893907</v>
      </c>
      <c r="P995" s="1367">
        <f t="shared" si="481"/>
        <v>30.74108299745577</v>
      </c>
      <c r="Q995" s="1364">
        <f t="shared" si="481"/>
        <v>0</v>
      </c>
      <c r="R995" s="1364"/>
      <c r="S995" s="1364">
        <v>118</v>
      </c>
      <c r="V995" s="1321" t="s">
        <v>9477</v>
      </c>
      <c r="W995" s="1321">
        <v>117</v>
      </c>
    </row>
    <row r="996" spans="1:27">
      <c r="A996" s="1320" t="s">
        <v>4883</v>
      </c>
      <c r="B996" s="1320">
        <v>105</v>
      </c>
      <c r="C996" s="1322">
        <v>101</v>
      </c>
      <c r="D996" s="1320" t="s">
        <v>5240</v>
      </c>
      <c r="E996" s="1320" t="s">
        <v>4067</v>
      </c>
      <c r="F996" s="1364">
        <f>+'Allocation Assignment'!F337</f>
        <v>234844.84106218806</v>
      </c>
      <c r="G996" s="1364">
        <f>+$F996*G$1936</f>
        <v>0</v>
      </c>
      <c r="H996" s="1364">
        <f>+$F996*H$1936</f>
        <v>234844.84106218806</v>
      </c>
      <c r="I996" s="1323">
        <f t="shared" si="476"/>
        <v>1</v>
      </c>
      <c r="J996" s="1364">
        <f t="shared" si="477"/>
        <v>234844.84106218806</v>
      </c>
      <c r="K996" s="1364">
        <f t="shared" ref="K996:Q996" si="482">+$J996*K$1936</f>
        <v>146171.18943077998</v>
      </c>
      <c r="L996" s="1364">
        <f t="shared" si="482"/>
        <v>10396.061598340388</v>
      </c>
      <c r="M996" s="1364">
        <f t="shared" si="482"/>
        <v>69608.123430415537</v>
      </c>
      <c r="N996" s="1367">
        <f t="shared" si="482"/>
        <v>7321.375037686179</v>
      </c>
      <c r="O996" s="1367">
        <f t="shared" si="482"/>
        <v>4.9988922469530956E-3</v>
      </c>
      <c r="P996" s="1367">
        <f t="shared" si="482"/>
        <v>1348.0865660737877</v>
      </c>
      <c r="Q996" s="1364">
        <f t="shared" si="482"/>
        <v>0</v>
      </c>
      <c r="R996" s="1364"/>
      <c r="S996" s="1364">
        <v>105</v>
      </c>
      <c r="V996" s="1321" t="s">
        <v>5229</v>
      </c>
      <c r="W996" s="1321">
        <v>105</v>
      </c>
    </row>
    <row r="997" spans="1:27">
      <c r="A997" s="1320" t="s">
        <v>4883</v>
      </c>
      <c r="B997" s="1320">
        <v>106</v>
      </c>
      <c r="C997" s="1322">
        <v>102</v>
      </c>
      <c r="D997" s="1320" t="s">
        <v>5241</v>
      </c>
      <c r="E997" s="1320" t="s">
        <v>4067</v>
      </c>
      <c r="F997" s="1364">
        <f>+'Allocation Assignment'!F338</f>
        <v>39277.281697779275</v>
      </c>
      <c r="G997" s="1364">
        <f>+$F997*G$1939</f>
        <v>0</v>
      </c>
      <c r="H997" s="1364">
        <f>+$F997*H$1939</f>
        <v>39277.281697779275</v>
      </c>
      <c r="I997" s="1323">
        <f t="shared" si="476"/>
        <v>1</v>
      </c>
      <c r="J997" s="1364">
        <f t="shared" si="477"/>
        <v>39277.281697779275</v>
      </c>
      <c r="K997" s="1364">
        <f t="shared" ref="K997:Q997" si="483">+$J997*K$1939</f>
        <v>28658.011139882285</v>
      </c>
      <c r="L997" s="1364">
        <f t="shared" si="483"/>
        <v>2307.5386503556083</v>
      </c>
      <c r="M997" s="1364">
        <f t="shared" si="483"/>
        <v>8169.6491608674005</v>
      </c>
      <c r="N997" s="1367">
        <f t="shared" si="483"/>
        <v>0</v>
      </c>
      <c r="O997" s="1367">
        <f t="shared" si="483"/>
        <v>0</v>
      </c>
      <c r="P997" s="1367">
        <f t="shared" si="483"/>
        <v>142.08274667398095</v>
      </c>
      <c r="Q997" s="1364">
        <f t="shared" si="483"/>
        <v>0</v>
      </c>
      <c r="R997" s="1364"/>
      <c r="S997" s="1364">
        <v>106</v>
      </c>
      <c r="V997" s="1321" t="s">
        <v>5230</v>
      </c>
      <c r="W997" s="1321">
        <v>106</v>
      </c>
      <c r="Y997" s="1324"/>
    </row>
    <row r="998" spans="1:27">
      <c r="A998" s="1320" t="s">
        <v>4883</v>
      </c>
      <c r="B998" s="1320">
        <v>907</v>
      </c>
      <c r="C998" s="1322">
        <v>103</v>
      </c>
      <c r="D998" s="1320" t="s">
        <v>5242</v>
      </c>
      <c r="E998" s="1320" t="s">
        <v>4071</v>
      </c>
      <c r="F998" s="1364">
        <f>+'Allocation Assignment'!F339</f>
        <v>145948.3502778144</v>
      </c>
      <c r="G998" s="1364">
        <f>+$F998*G$2055</f>
        <v>0</v>
      </c>
      <c r="H998" s="1364">
        <f>+$F998*H$2055</f>
        <v>145948.3502778144</v>
      </c>
      <c r="I998" s="1323">
        <f t="shared" si="476"/>
        <v>1</v>
      </c>
      <c r="J998" s="1364">
        <f t="shared" si="477"/>
        <v>145948.3502778144</v>
      </c>
      <c r="K998" s="1364">
        <f t="shared" ref="K998:Q998" si="484">+$J998*K$2055</f>
        <v>53804.840294309666</v>
      </c>
      <c r="L998" s="1364">
        <f t="shared" si="484"/>
        <v>8161.4868156040393</v>
      </c>
      <c r="M998" s="1364">
        <f t="shared" si="484"/>
        <v>3934.6466160893178</v>
      </c>
      <c r="N998" s="1367">
        <f t="shared" si="484"/>
        <v>253.64755037348803</v>
      </c>
      <c r="O998" s="1367">
        <f t="shared" si="484"/>
        <v>276.7401251057421</v>
      </c>
      <c r="P998" s="1367">
        <f t="shared" si="484"/>
        <v>63.51516120230643</v>
      </c>
      <c r="Q998" s="1364">
        <f t="shared" si="484"/>
        <v>79453.473715129861</v>
      </c>
      <c r="R998" s="1364"/>
      <c r="S998" s="1364">
        <v>907</v>
      </c>
      <c r="V998" s="1321" t="s">
        <v>5243</v>
      </c>
      <c r="W998" s="1321">
        <v>907</v>
      </c>
      <c r="Y998" s="1324"/>
    </row>
    <row r="999" spans="1:27">
      <c r="A999" s="1320" t="s">
        <v>4883</v>
      </c>
      <c r="B999" s="1324">
        <v>412</v>
      </c>
      <c r="C999" s="1393">
        <v>104</v>
      </c>
      <c r="D999" s="1324" t="s">
        <v>5244</v>
      </c>
      <c r="E999" s="1324" t="s">
        <v>4071</v>
      </c>
      <c r="F999" s="1364">
        <f>+'Allocation Assignment'!F340</f>
        <v>197959.63711934417</v>
      </c>
      <c r="G999" s="1364">
        <f>+$F999*G$2021</f>
        <v>0</v>
      </c>
      <c r="H999" s="1364">
        <f>+$F999*H$2021</f>
        <v>197959.63711934417</v>
      </c>
      <c r="I999" s="1323">
        <f t="shared" si="476"/>
        <v>1</v>
      </c>
      <c r="J999" s="1364">
        <f t="shared" si="477"/>
        <v>197959.63711934417</v>
      </c>
      <c r="K999" s="1364">
        <f t="shared" ref="K999:Q999" si="485">+$J999*K$2021</f>
        <v>176557.59016016641</v>
      </c>
      <c r="L999" s="1364">
        <f t="shared" si="485"/>
        <v>17115.668960445932</v>
      </c>
      <c r="M999" s="1364">
        <f t="shared" si="485"/>
        <v>4215.4434013877608</v>
      </c>
      <c r="N999" s="1367">
        <f t="shared" si="485"/>
        <v>14.232831829550788</v>
      </c>
      <c r="O999" s="1367">
        <f t="shared" si="485"/>
        <v>2.5251798407267532</v>
      </c>
      <c r="P999" s="1367">
        <f t="shared" si="485"/>
        <v>54.176585673773971</v>
      </c>
      <c r="Q999" s="1364">
        <f t="shared" si="485"/>
        <v>0</v>
      </c>
      <c r="R999" s="1364"/>
      <c r="S999" s="1364">
        <v>412</v>
      </c>
      <c r="V999" s="1321" t="s">
        <v>5245</v>
      </c>
      <c r="W999" s="1321">
        <v>412</v>
      </c>
      <c r="Y999" s="1324"/>
    </row>
    <row r="1000" spans="1:27">
      <c r="A1000" s="1320" t="s">
        <v>4883</v>
      </c>
      <c r="B1000" s="1321"/>
      <c r="C1000" s="1322">
        <v>105</v>
      </c>
      <c r="D1000" s="1320" t="s">
        <v>5655</v>
      </c>
      <c r="F1000" s="1427">
        <f>+SUM(F991:F999)</f>
        <v>1190758.5391499999</v>
      </c>
      <c r="G1000" s="1427">
        <f>SUM(G991:G999)</f>
        <v>4072.0233109675009</v>
      </c>
      <c r="H1000" s="1427">
        <f>SUM(H991:H999)</f>
        <v>1186686.5158390321</v>
      </c>
      <c r="I1000" s="1323">
        <f t="shared" si="476"/>
        <v>0.99658031147618353</v>
      </c>
      <c r="J1000" s="1421">
        <f t="shared" ref="J1000:Q1000" si="486">SUM(J991:J999)</f>
        <v>1186686.5158390321</v>
      </c>
      <c r="K1000" s="1421">
        <f t="shared" si="486"/>
        <v>724914.6283729953</v>
      </c>
      <c r="L1000" s="1421">
        <f t="shared" si="486"/>
        <v>65025.88981853662</v>
      </c>
      <c r="M1000" s="1421">
        <f t="shared" si="486"/>
        <v>265422.54539568309</v>
      </c>
      <c r="N1000" s="1422">
        <f t="shared" si="486"/>
        <v>31596.421590745205</v>
      </c>
      <c r="O1000" s="1422">
        <f>SUM(O991:O999)</f>
        <v>17649.333433250129</v>
      </c>
      <c r="P1000" s="1422">
        <f>SUM(P991:P999)</f>
        <v>2624.2235126920032</v>
      </c>
      <c r="Q1000" s="1421">
        <f t="shared" si="486"/>
        <v>79453.473715129861</v>
      </c>
      <c r="R1000" s="1364"/>
      <c r="S1000" s="1364"/>
      <c r="T1000" s="1321"/>
      <c r="U1000" s="1326"/>
      <c r="V1000" s="1320" t="s">
        <v>5656</v>
      </c>
      <c r="Y1000" s="1324"/>
    </row>
    <row r="1001" spans="1:27">
      <c r="A1001" s="1320" t="s">
        <v>4883</v>
      </c>
      <c r="B1001" s="1321"/>
      <c r="C1001" s="1322">
        <v>106</v>
      </c>
      <c r="F1001" s="1358"/>
      <c r="G1001" s="1358"/>
      <c r="H1001" s="1358"/>
      <c r="J1001" s="1364"/>
      <c r="K1001" s="1364"/>
      <c r="L1001" s="1364"/>
      <c r="M1001" s="1367"/>
      <c r="N1001" s="1367"/>
      <c r="O1001" s="1367"/>
      <c r="P1001" s="1364"/>
      <c r="Q1001" s="1364"/>
      <c r="R1001" s="1358"/>
      <c r="S1001" s="1321"/>
      <c r="T1001" s="1321"/>
      <c r="U1001" s="1326"/>
      <c r="Y1001" s="1324"/>
    </row>
    <row r="1002" spans="1:27">
      <c r="A1002" s="1320" t="s">
        <v>4883</v>
      </c>
      <c r="B1002" s="1321"/>
      <c r="C1002" s="1322">
        <v>107</v>
      </c>
      <c r="D1002" s="1356" t="s">
        <v>5657</v>
      </c>
      <c r="F1002" s="1358"/>
      <c r="G1002" s="1358"/>
      <c r="H1002" s="1358"/>
      <c r="J1002" s="1364"/>
      <c r="K1002" s="1364"/>
      <c r="L1002" s="1364"/>
      <c r="M1002" s="1367"/>
      <c r="N1002" s="1367"/>
      <c r="O1002" s="1367"/>
      <c r="P1002" s="1364"/>
      <c r="Q1002" s="1364"/>
      <c r="R1002" s="1364"/>
      <c r="S1002" s="1364"/>
      <c r="T1002" s="1321"/>
      <c r="U1002" s="1326"/>
      <c r="Y1002" s="1324"/>
    </row>
    <row r="1003" spans="1:27">
      <c r="A1003" s="1320" t="s">
        <v>4883</v>
      </c>
      <c r="B1003" s="1324">
        <v>101</v>
      </c>
      <c r="C1003" s="1322">
        <v>108</v>
      </c>
      <c r="D1003" s="1324" t="s">
        <v>5265</v>
      </c>
      <c r="E1003" s="1324" t="s">
        <v>4067</v>
      </c>
      <c r="F1003" s="1421">
        <f>+'Allocation Assignment'!F341</f>
        <v>-5.1984228193759919E-6</v>
      </c>
      <c r="G1003" s="1421">
        <f>+$F1003*G$1933</f>
        <v>0</v>
      </c>
      <c r="H1003" s="1421">
        <f>+$F1003*H$1933</f>
        <v>-5.1984228193759919E-6</v>
      </c>
      <c r="I1003" s="1440">
        <f>IF(F1003=0,0,+H1003/F1003)</f>
        <v>1</v>
      </c>
      <c r="J1003" s="1421">
        <f>+H1003</f>
        <v>-5.1984228193759919E-6</v>
      </c>
      <c r="K1003" s="1421">
        <f t="shared" ref="K1003:Q1003" si="487">$J1003*K$1951</f>
        <v>-2.9850106264353538E-6</v>
      </c>
      <c r="L1003" s="1421">
        <f t="shared" si="487"/>
        <v>-2.4823541110800515E-7</v>
      </c>
      <c r="M1003" s="1421">
        <f t="shared" si="487"/>
        <v>-1.6065573180662784E-6</v>
      </c>
      <c r="N1003" s="1421">
        <f t="shared" si="487"/>
        <v>-2.0532889830108879E-7</v>
      </c>
      <c r="O1003" s="1421">
        <f t="shared" si="487"/>
        <v>-1.4777585230707473E-7</v>
      </c>
      <c r="P1003" s="1421">
        <f t="shared" si="487"/>
        <v>-5.5147131581913649E-9</v>
      </c>
      <c r="Q1003" s="1421">
        <f t="shared" si="487"/>
        <v>0</v>
      </c>
      <c r="R1003" s="1364"/>
      <c r="S1003" s="1364">
        <v>122</v>
      </c>
      <c r="T1003" s="1324"/>
      <c r="V1003" s="1326" t="s">
        <v>9476</v>
      </c>
      <c r="W1003" s="1326">
        <v>122</v>
      </c>
      <c r="Y1003" s="1324"/>
    </row>
    <row r="1004" spans="1:27">
      <c r="A1004" s="1320" t="s">
        <v>4883</v>
      </c>
      <c r="B1004" s="1321"/>
      <c r="C1004" s="1322">
        <v>109</v>
      </c>
      <c r="F1004" s="1358"/>
      <c r="G1004" s="1358"/>
      <c r="H1004" s="1358"/>
      <c r="J1004" s="1364"/>
      <c r="K1004" s="1364"/>
      <c r="L1004" s="1364"/>
      <c r="M1004" s="1367"/>
      <c r="N1004" s="1367"/>
      <c r="O1004" s="1367"/>
      <c r="P1004" s="1364"/>
      <c r="Q1004" s="1364"/>
      <c r="R1004" s="1358"/>
      <c r="S1004" s="1321"/>
      <c r="T1004" s="1321"/>
      <c r="U1004" s="1326"/>
      <c r="Y1004" s="1324"/>
    </row>
    <row r="1005" spans="1:27">
      <c r="A1005" s="1320" t="s">
        <v>4883</v>
      </c>
      <c r="B1005" s="1321"/>
      <c r="C1005" s="1322">
        <v>110</v>
      </c>
      <c r="D1005" s="1356" t="s">
        <v>5658</v>
      </c>
      <c r="G1005" s="1320"/>
      <c r="S1005" s="1321"/>
      <c r="T1005" s="1321"/>
      <c r="U1005" s="1326"/>
      <c r="Y1005" s="1324"/>
    </row>
    <row r="1006" spans="1:27" s="1324" customFormat="1">
      <c r="A1006" s="1324" t="s">
        <v>4883</v>
      </c>
      <c r="B1006" s="1326"/>
      <c r="C1006" s="1322">
        <v>111</v>
      </c>
      <c r="D1006" s="1324" t="s">
        <v>5265</v>
      </c>
      <c r="E1006" s="1324" t="s">
        <v>4067</v>
      </c>
      <c r="F1006" s="1324">
        <f>+F943+F969+F980+F991+F992+F1003</f>
        <v>7199153.5139943594</v>
      </c>
      <c r="G1006" s="1324">
        <f>+G943+G969+G980+G991+G992+G1003</f>
        <v>0</v>
      </c>
      <c r="H1006" s="1324">
        <f>+H943+H969+H980+H991+H992+H1003</f>
        <v>7199153.5139943594</v>
      </c>
      <c r="I1006" s="1374">
        <f t="shared" ref="I1006:I1013" si="488">IF(F1006=0,0,+H1006/F1006)</f>
        <v>1</v>
      </c>
      <c r="J1006" s="1324">
        <f t="shared" ref="J1006:Q1006" si="489">+J943+J969+J980+J991+J992+J1003</f>
        <v>7199153.5139943594</v>
      </c>
      <c r="K1006" s="1324">
        <f t="shared" si="489"/>
        <v>4133859.535341172</v>
      </c>
      <c r="L1006" s="1324">
        <f t="shared" si="489"/>
        <v>343774.42818138207</v>
      </c>
      <c r="M1006" s="1324">
        <f t="shared" si="489"/>
        <v>2224877.2682901048</v>
      </c>
      <c r="N1006" s="1324">
        <f t="shared" si="489"/>
        <v>284354.3726799647</v>
      </c>
      <c r="O1006" s="1324">
        <f t="shared" si="489"/>
        <v>204650.73415241975</v>
      </c>
      <c r="P1006" s="1324">
        <f t="shared" si="489"/>
        <v>7637.1753493168071</v>
      </c>
      <c r="Q1006" s="1324">
        <f t="shared" si="489"/>
        <v>0</v>
      </c>
      <c r="T1006" s="1326"/>
      <c r="U1006" s="1326"/>
      <c r="V1006" s="1324" t="s">
        <v>5659</v>
      </c>
      <c r="AA1006" s="1320"/>
    </row>
    <row r="1007" spans="1:27">
      <c r="A1007" s="1320" t="s">
        <v>4883</v>
      </c>
      <c r="B1007" s="1321"/>
      <c r="C1007" s="1322">
        <v>112</v>
      </c>
      <c r="D1007" s="1320" t="s">
        <v>5265</v>
      </c>
      <c r="E1007" s="1320" t="s">
        <v>2067</v>
      </c>
      <c r="F1007" s="1358">
        <f t="shared" ref="F1007:H1013" si="490">+F944+F970+F981+F993</f>
        <v>680548.35013101739</v>
      </c>
      <c r="G1007" s="1358">
        <f t="shared" si="490"/>
        <v>0</v>
      </c>
      <c r="H1007" s="1358">
        <f t="shared" si="490"/>
        <v>680548.35013101739</v>
      </c>
      <c r="I1007" s="1323">
        <f t="shared" si="488"/>
        <v>1</v>
      </c>
      <c r="J1007" s="1364">
        <f t="shared" ref="J1007:Q1013" si="491">+J944+J970+J981+J993</f>
        <v>680548.35013101739</v>
      </c>
      <c r="K1007" s="1364">
        <f t="shared" si="491"/>
        <v>343427.96217085293</v>
      </c>
      <c r="L1007" s="1364">
        <f t="shared" si="491"/>
        <v>31736.763978782128</v>
      </c>
      <c r="M1007" s="1364">
        <f t="shared" si="491"/>
        <v>236426.56467645097</v>
      </c>
      <c r="N1007" s="1367">
        <f t="shared" si="491"/>
        <v>37635.307650023817</v>
      </c>
      <c r="O1007" s="1367">
        <f t="shared" si="491"/>
        <v>27726.377665713924</v>
      </c>
      <c r="P1007" s="1367">
        <f t="shared" si="491"/>
        <v>3595.3739891935147</v>
      </c>
      <c r="Q1007" s="1364">
        <f t="shared" si="491"/>
        <v>0</v>
      </c>
      <c r="R1007" s="1364"/>
      <c r="S1007" s="1364"/>
      <c r="T1007" s="1321"/>
      <c r="U1007" s="1326"/>
      <c r="V1007" s="1320" t="s">
        <v>5660</v>
      </c>
      <c r="Y1007" s="1324"/>
    </row>
    <row r="1008" spans="1:27">
      <c r="A1008" s="1320" t="s">
        <v>4883</v>
      </c>
      <c r="B1008" s="1321"/>
      <c r="C1008" s="1322">
        <v>113</v>
      </c>
      <c r="D1008" s="1320" t="s">
        <v>5268</v>
      </c>
      <c r="E1008" s="1320" t="s">
        <v>4067</v>
      </c>
      <c r="F1008" s="1358">
        <f t="shared" si="490"/>
        <v>559079.92351655953</v>
      </c>
      <c r="G1008" s="1358">
        <f t="shared" si="490"/>
        <v>36221.030479340669</v>
      </c>
      <c r="H1008" s="1358">
        <f t="shared" si="490"/>
        <v>522858.89303721883</v>
      </c>
      <c r="I1008" s="1323">
        <f t="shared" si="488"/>
        <v>0.93521314403222733</v>
      </c>
      <c r="J1008" s="1364">
        <f t="shared" si="491"/>
        <v>522858.89303721883</v>
      </c>
      <c r="K1008" s="1364">
        <f t="shared" si="491"/>
        <v>303264.97610623844</v>
      </c>
      <c r="L1008" s="1364">
        <f t="shared" si="491"/>
        <v>25016.301629873862</v>
      </c>
      <c r="M1008" s="1364">
        <f t="shared" si="491"/>
        <v>159916.64843918057</v>
      </c>
      <c r="N1008" s="1367">
        <f t="shared" si="491"/>
        <v>19963.473207141269</v>
      </c>
      <c r="O1008" s="1367">
        <f t="shared" si="491"/>
        <v>14326.79056439019</v>
      </c>
      <c r="P1008" s="1367">
        <f t="shared" si="491"/>
        <v>370.70309039456481</v>
      </c>
      <c r="Q1008" s="1364">
        <f t="shared" si="491"/>
        <v>0</v>
      </c>
      <c r="R1008" s="1364"/>
      <c r="S1008" s="1364"/>
      <c r="T1008" s="1321"/>
      <c r="U1008" s="1326"/>
      <c r="V1008" s="1320" t="s">
        <v>5661</v>
      </c>
    </row>
    <row r="1009" spans="1:25">
      <c r="A1009" s="1320" t="s">
        <v>4883</v>
      </c>
      <c r="B1009" s="1321"/>
      <c r="C1009" s="1322">
        <v>114</v>
      </c>
      <c r="D1009" s="1320" t="s">
        <v>5239</v>
      </c>
      <c r="E1009" s="1320" t="s">
        <v>4067</v>
      </c>
      <c r="F1009" s="1358">
        <f t="shared" si="490"/>
        <v>583616.65599674068</v>
      </c>
      <c r="G1009" s="1358">
        <f t="shared" si="490"/>
        <v>37810.688232453918</v>
      </c>
      <c r="H1009" s="1358">
        <f t="shared" si="490"/>
        <v>545805.96776428656</v>
      </c>
      <c r="I1009" s="1323">
        <f t="shared" si="488"/>
        <v>0.93521314403222711</v>
      </c>
      <c r="J1009" s="1364">
        <f t="shared" si="491"/>
        <v>545805.96776428656</v>
      </c>
      <c r="K1009" s="1364">
        <f t="shared" si="491"/>
        <v>316574.57868063106</v>
      </c>
      <c r="L1009" s="1364">
        <f t="shared" si="491"/>
        <v>26114.20959422156</v>
      </c>
      <c r="M1009" s="1364">
        <f t="shared" si="491"/>
        <v>166935.02247987012</v>
      </c>
      <c r="N1009" s="1367">
        <f t="shared" si="491"/>
        <v>20839.624148813167</v>
      </c>
      <c r="O1009" s="1367">
        <f t="shared" si="491"/>
        <v>14955.560463990441</v>
      </c>
      <c r="P1009" s="1367">
        <f t="shared" si="491"/>
        <v>386.97239676023759</v>
      </c>
      <c r="Q1009" s="1364">
        <f t="shared" si="491"/>
        <v>0</v>
      </c>
      <c r="R1009" s="1364"/>
      <c r="S1009" s="1364"/>
      <c r="T1009" s="1321"/>
      <c r="U1009" s="1326"/>
      <c r="V1009" s="1320" t="s">
        <v>5662</v>
      </c>
    </row>
    <row r="1010" spans="1:25">
      <c r="A1010" s="1320" t="s">
        <v>4883</v>
      </c>
      <c r="B1010" s="1321"/>
      <c r="C1010" s="1322">
        <v>115</v>
      </c>
      <c r="D1010" s="1320" t="s">
        <v>5240</v>
      </c>
      <c r="E1010" s="1320" t="s">
        <v>4067</v>
      </c>
      <c r="F1010" s="1358">
        <f t="shared" si="490"/>
        <v>2138740.1301561045</v>
      </c>
      <c r="G1010" s="1358">
        <f t="shared" si="490"/>
        <v>0</v>
      </c>
      <c r="H1010" s="1358">
        <f t="shared" si="490"/>
        <v>2138740.1301561045</v>
      </c>
      <c r="I1010" s="1323">
        <f t="shared" si="488"/>
        <v>1</v>
      </c>
      <c r="J1010" s="1364">
        <f t="shared" si="491"/>
        <v>2138740.1301561045</v>
      </c>
      <c r="K1010" s="1364">
        <f t="shared" si="491"/>
        <v>1331186.1026807702</v>
      </c>
      <c r="L1010" s="1364">
        <f t="shared" si="491"/>
        <v>94677.294316452986</v>
      </c>
      <c r="M1010" s="1364">
        <f t="shared" si="491"/>
        <v>633923.59948016342</v>
      </c>
      <c r="N1010" s="1367">
        <f t="shared" si="491"/>
        <v>66676.016940376998</v>
      </c>
      <c r="O1010" s="1367">
        <f t="shared" si="491"/>
        <v>4.5525085441641404E-2</v>
      </c>
      <c r="P1010" s="1367">
        <f t="shared" si="491"/>
        <v>12277.071213256339</v>
      </c>
      <c r="Q1010" s="1364">
        <f t="shared" si="491"/>
        <v>0</v>
      </c>
      <c r="R1010" s="1364"/>
      <c r="S1010" s="1364"/>
      <c r="T1010" s="1321"/>
      <c r="U1010" s="1326"/>
      <c r="V1010" s="1320" t="s">
        <v>5663</v>
      </c>
    </row>
    <row r="1011" spans="1:25">
      <c r="A1011" s="1320" t="s">
        <v>4883</v>
      </c>
      <c r="B1011" s="1321"/>
      <c r="C1011" s="1322">
        <v>116</v>
      </c>
      <c r="D1011" s="1320" t="s">
        <v>5241</v>
      </c>
      <c r="E1011" s="1320" t="s">
        <v>4067</v>
      </c>
      <c r="F1011" s="1358">
        <f t="shared" si="490"/>
        <v>1074798.1721466575</v>
      </c>
      <c r="G1011" s="1358">
        <f t="shared" si="490"/>
        <v>0</v>
      </c>
      <c r="H1011" s="1358">
        <f t="shared" si="490"/>
        <v>1074798.1721466575</v>
      </c>
      <c r="I1011" s="1323">
        <f t="shared" si="488"/>
        <v>1</v>
      </c>
      <c r="J1011" s="1364">
        <f t="shared" si="491"/>
        <v>1074798.1721466575</v>
      </c>
      <c r="K1011" s="1364">
        <f t="shared" si="491"/>
        <v>784208.49557533243</v>
      </c>
      <c r="L1011" s="1364">
        <f t="shared" si="491"/>
        <v>63144.347479122996</v>
      </c>
      <c r="M1011" s="1364">
        <f t="shared" si="491"/>
        <v>223557.32386837289</v>
      </c>
      <c r="N1011" s="1367">
        <f t="shared" si="491"/>
        <v>0</v>
      </c>
      <c r="O1011" s="1367">
        <f t="shared" si="491"/>
        <v>0</v>
      </c>
      <c r="P1011" s="1367">
        <f t="shared" si="491"/>
        <v>3888.0052238290587</v>
      </c>
      <c r="Q1011" s="1364">
        <f t="shared" si="491"/>
        <v>0</v>
      </c>
      <c r="R1011" s="1364"/>
      <c r="S1011" s="1364"/>
      <c r="T1011" s="1321"/>
      <c r="U1011" s="1326"/>
      <c r="V1011" s="1320" t="s">
        <v>5664</v>
      </c>
    </row>
    <row r="1012" spans="1:25">
      <c r="A1012" s="1320" t="s">
        <v>4883</v>
      </c>
      <c r="B1012" s="1321"/>
      <c r="C1012" s="1322">
        <v>117</v>
      </c>
      <c r="D1012" s="1320" t="s">
        <v>5242</v>
      </c>
      <c r="E1012" s="1320" t="s">
        <v>4071</v>
      </c>
      <c r="F1012" s="1358">
        <f t="shared" si="490"/>
        <v>1011029.5953512132</v>
      </c>
      <c r="G1012" s="1358">
        <f t="shared" si="490"/>
        <v>0</v>
      </c>
      <c r="H1012" s="1358">
        <f t="shared" si="490"/>
        <v>1011029.5953512132</v>
      </c>
      <c r="I1012" s="1323">
        <f t="shared" si="488"/>
        <v>1</v>
      </c>
      <c r="J1012" s="1364">
        <f t="shared" si="491"/>
        <v>1011029.5953512132</v>
      </c>
      <c r="K1012" s="1364">
        <f t="shared" si="491"/>
        <v>372722.85577154369</v>
      </c>
      <c r="L1012" s="1364">
        <f t="shared" si="491"/>
        <v>56537.1564456712</v>
      </c>
      <c r="M1012" s="1364">
        <f t="shared" si="491"/>
        <v>27256.520327516886</v>
      </c>
      <c r="N1012" s="1367">
        <f t="shared" si="491"/>
        <v>1757.0954363498297</v>
      </c>
      <c r="O1012" s="1367">
        <f t="shared" si="491"/>
        <v>1917.0648806273884</v>
      </c>
      <c r="P1012" s="1367">
        <f t="shared" si="491"/>
        <v>439.98926748263744</v>
      </c>
      <c r="Q1012" s="1364">
        <f t="shared" si="491"/>
        <v>550398.91322202166</v>
      </c>
      <c r="R1012" s="1364"/>
      <c r="S1012" s="1364"/>
      <c r="T1012" s="1321"/>
      <c r="U1012" s="1326"/>
      <c r="V1012" s="1320" t="s">
        <v>5665</v>
      </c>
    </row>
    <row r="1013" spans="1:25">
      <c r="A1013" s="1320" t="s">
        <v>4883</v>
      </c>
      <c r="B1013" s="1321"/>
      <c r="C1013" s="1322">
        <v>118</v>
      </c>
      <c r="D1013" s="1320" t="s">
        <v>5244</v>
      </c>
      <c r="E1013" s="1320" t="s">
        <v>4071</v>
      </c>
      <c r="F1013" s="1350">
        <f t="shared" si="490"/>
        <v>245143.87349825987</v>
      </c>
      <c r="G1013" s="1350">
        <f t="shared" si="490"/>
        <v>0</v>
      </c>
      <c r="H1013" s="1350">
        <f t="shared" si="490"/>
        <v>245143.87349825987</v>
      </c>
      <c r="I1013" s="1323">
        <f t="shared" si="488"/>
        <v>1</v>
      </c>
      <c r="J1013" s="1366">
        <f t="shared" si="491"/>
        <v>245143.87349825987</v>
      </c>
      <c r="K1013" s="1366">
        <f t="shared" si="491"/>
        <v>218640.58844120818</v>
      </c>
      <c r="L1013" s="1366">
        <f t="shared" si="491"/>
        <v>21195.236804501328</v>
      </c>
      <c r="M1013" s="1366">
        <f t="shared" si="491"/>
        <v>5220.2061943863555</v>
      </c>
      <c r="N1013" s="1378">
        <f t="shared" si="491"/>
        <v>17.625267333875399</v>
      </c>
      <c r="O1013" s="1378">
        <f t="shared" si="491"/>
        <v>3.1270635592359586</v>
      </c>
      <c r="P1013" s="1378">
        <f t="shared" si="491"/>
        <v>67.089727270880559</v>
      </c>
      <c r="Q1013" s="1366">
        <f t="shared" si="491"/>
        <v>0</v>
      </c>
      <c r="R1013" s="1364"/>
      <c r="S1013" s="1364"/>
      <c r="T1013" s="1321"/>
      <c r="U1013" s="1326"/>
      <c r="V1013" s="1320" t="s">
        <v>5666</v>
      </c>
      <c r="Y1013" s="1324"/>
    </row>
    <row r="1014" spans="1:25">
      <c r="A1014" s="1320" t="s">
        <v>4883</v>
      </c>
      <c r="B1014" s="1321"/>
      <c r="C1014" s="1322">
        <v>119</v>
      </c>
      <c r="F1014" s="1358"/>
      <c r="G1014" s="1358"/>
      <c r="H1014" s="1358"/>
      <c r="J1014" s="1364"/>
      <c r="K1014" s="1364"/>
      <c r="L1014" s="1364"/>
      <c r="M1014" s="1364"/>
      <c r="N1014" s="1367"/>
      <c r="O1014" s="1367"/>
      <c r="P1014" s="1367"/>
      <c r="Q1014" s="1364"/>
      <c r="R1014" s="1364"/>
      <c r="S1014" s="1364"/>
      <c r="T1014" s="1321"/>
      <c r="U1014" s="1326"/>
      <c r="Y1014" s="1324"/>
    </row>
    <row r="1015" spans="1:25" ht="14.4" thickBot="1">
      <c r="A1015" s="1320" t="s">
        <v>4883</v>
      </c>
      <c r="C1015" s="1322">
        <v>120</v>
      </c>
      <c r="D1015" s="1320" t="s">
        <v>5667</v>
      </c>
      <c r="F1015" s="1423">
        <f>+SUM(F1006:F1013)</f>
        <v>13492110.214790912</v>
      </c>
      <c r="G1015" s="1423">
        <f>SUM(G1006:G1013)</f>
        <v>74031.718711794587</v>
      </c>
      <c r="H1015" s="1423">
        <f>SUM(H1006:H1013)</f>
        <v>13418078.496079115</v>
      </c>
      <c r="I1015" s="1323">
        <f>IF(F1015=0,0,+H1015/F1015)</f>
        <v>0.99451296220285546</v>
      </c>
      <c r="J1015" s="1380">
        <f t="shared" ref="J1015:Q1015" si="492">SUM(J1006:J1013)</f>
        <v>13418078.496079115</v>
      </c>
      <c r="K1015" s="1380">
        <f t="shared" si="492"/>
        <v>7803885.0947677484</v>
      </c>
      <c r="L1015" s="1380">
        <f t="shared" si="492"/>
        <v>662195.73843000806</v>
      </c>
      <c r="M1015" s="1380">
        <f t="shared" si="492"/>
        <v>3678113.1537560457</v>
      </c>
      <c r="N1015" s="1424">
        <f t="shared" si="492"/>
        <v>431243.51533000369</v>
      </c>
      <c r="O1015" s="1424">
        <f>SUM(O1006:O1013)</f>
        <v>263579.70031578641</v>
      </c>
      <c r="P1015" s="1424">
        <f>SUM(P1006:P1013)</f>
        <v>28662.380257504039</v>
      </c>
      <c r="Q1015" s="1380">
        <f t="shared" si="492"/>
        <v>550398.91322202166</v>
      </c>
      <c r="R1015" s="1364"/>
      <c r="S1015" s="1364"/>
      <c r="V1015" s="1320" t="s">
        <v>5668</v>
      </c>
      <c r="Y1015" s="1324"/>
    </row>
    <row r="1016" spans="1:25" ht="14.4" thickTop="1">
      <c r="G1016" s="1320"/>
      <c r="Y1016" s="1324"/>
    </row>
    <row r="1017" spans="1:25">
      <c r="G1017" s="1320"/>
      <c r="Y1017" s="1324"/>
    </row>
    <row r="1018" spans="1:25">
      <c r="G1018" s="1320"/>
      <c r="Y1018" s="1324"/>
    </row>
    <row r="1019" spans="1:25">
      <c r="G1019" s="1320"/>
      <c r="Y1019" s="1324"/>
    </row>
    <row r="1020" spans="1:25">
      <c r="G1020" s="1320"/>
      <c r="Y1020" s="1324"/>
    </row>
    <row r="1021" spans="1:25">
      <c r="B1021" s="1432"/>
      <c r="C1021" s="1340" t="str">
        <f>+C$2</f>
        <v>RATES WITH REVENUE DEFICIENCY ADDITION</v>
      </c>
      <c r="F1021" s="1333"/>
      <c r="G1021" s="1327" t="s">
        <v>2173</v>
      </c>
      <c r="I1021" s="1334" t="s">
        <v>5647</v>
      </c>
      <c r="L1021" s="1329" t="s">
        <v>2173</v>
      </c>
      <c r="M1021" s="1330"/>
      <c r="N1021" s="1330"/>
      <c r="O1021" s="1330"/>
      <c r="S1021" s="1334" t="s">
        <v>5669</v>
      </c>
      <c r="T1021" s="1333" t="s">
        <v>2173</v>
      </c>
      <c r="U1021" s="1334"/>
      <c r="V1021" s="1332" t="s">
        <v>4772</v>
      </c>
    </row>
    <row r="1022" spans="1:25">
      <c r="B1022" s="1432"/>
      <c r="C1022" s="1340" t="str">
        <f>+C$3</f>
        <v>PROD. CAP. ALLOC. METHOD: 12 CP &amp; 1/13th AD</v>
      </c>
      <c r="G1022" s="1336" t="s">
        <v>4768</v>
      </c>
      <c r="I1022" s="1335" t="s">
        <v>4306</v>
      </c>
      <c r="L1022" s="1336" t="s">
        <v>5141</v>
      </c>
      <c r="M1022" s="1337"/>
      <c r="N1022" s="1337"/>
      <c r="O1022" s="1337"/>
      <c r="R1022" s="1331"/>
      <c r="S1022" s="1335" t="s">
        <v>4307</v>
      </c>
      <c r="T1022" s="1333" t="s">
        <v>5141</v>
      </c>
      <c r="V1022" s="1332" t="s">
        <v>5669</v>
      </c>
    </row>
    <row r="1023" spans="1:25">
      <c r="C1023" s="1340" t="str">
        <f>+C$4</f>
        <v>PROJECTED CALENDAR YEAR 2025; FULLY ADJUSTED DATA</v>
      </c>
      <c r="G1023" s="1336" t="s">
        <v>2181</v>
      </c>
      <c r="L1023" s="1336" t="s">
        <v>2181</v>
      </c>
      <c r="T1023" s="1339"/>
    </row>
    <row r="1024" spans="1:25">
      <c r="C1024" s="1340" t="str">
        <f>+C$5</f>
        <v>MINIMUM DISTRIBUTION SYSTEM (MDS) NOT EMPLOYED</v>
      </c>
      <c r="D1024" s="1358"/>
      <c r="G1024" s="1320"/>
      <c r="L1024" s="1336"/>
      <c r="M1024" s="1337"/>
      <c r="N1024" s="1337"/>
      <c r="O1024" s="1337"/>
      <c r="T1024" s="1333"/>
    </row>
    <row r="1025" spans="1:27">
      <c r="C1025" s="1340" t="str">
        <f>+C$6</f>
        <v>Tampa Electric 2025 OB Budget</v>
      </c>
      <c r="F1025" s="1327"/>
      <c r="G1025" s="1333" t="s">
        <v>5670</v>
      </c>
      <c r="L1025" s="1336" t="s">
        <v>5670</v>
      </c>
      <c r="M1025" s="1337"/>
      <c r="N1025" s="1337"/>
      <c r="O1025" s="1337"/>
      <c r="T1025" s="1333" t="s">
        <v>5670</v>
      </c>
    </row>
    <row r="1026" spans="1:27">
      <c r="F1026" s="1333"/>
      <c r="G1026" s="1320"/>
      <c r="L1026" s="1336"/>
      <c r="M1026" s="1337"/>
      <c r="N1026" s="1337"/>
      <c r="O1026" s="1337"/>
    </row>
    <row r="1027" spans="1:27">
      <c r="F1027" s="1333"/>
      <c r="G1027" s="1320"/>
      <c r="L1027" s="1336"/>
      <c r="M1027" s="1337"/>
      <c r="N1027" s="1337"/>
      <c r="O1027" s="1337"/>
    </row>
    <row r="1028" spans="1:27">
      <c r="G1028" s="1320"/>
    </row>
    <row r="1029" spans="1:27">
      <c r="C1029" s="1342"/>
      <c r="D1029" s="1331"/>
      <c r="E1029" s="1331"/>
      <c r="F1029" s="1333"/>
      <c r="G1029" s="1333"/>
      <c r="H1029" s="1333"/>
      <c r="I1029" s="1343"/>
      <c r="J1029" s="1416"/>
      <c r="K1029" s="1336"/>
      <c r="L1029" s="1416"/>
      <c r="M1029" s="1417"/>
      <c r="N1029" s="1417"/>
      <c r="O1029" s="1417"/>
      <c r="P1029" s="3164"/>
      <c r="Q1029" s="3164"/>
      <c r="R1029" s="1333"/>
    </row>
    <row r="1030" spans="1:27" ht="30" customHeight="1">
      <c r="A1030" s="1418" t="s">
        <v>4683</v>
      </c>
      <c r="B1030" s="1425" t="s">
        <v>5143</v>
      </c>
      <c r="C1030" s="1349" t="s">
        <v>4297</v>
      </c>
      <c r="D1030" s="1418"/>
      <c r="E1030" s="1418"/>
      <c r="F1030" s="1348" t="s">
        <v>5144</v>
      </c>
      <c r="G1030" s="1348" t="s">
        <v>4956</v>
      </c>
      <c r="H1030" s="1348" t="s">
        <v>4957</v>
      </c>
      <c r="I1030" s="1426" t="s">
        <v>5145</v>
      </c>
      <c r="J1030" s="1352" t="s">
        <v>4957</v>
      </c>
      <c r="K1030" s="1353" t="s">
        <v>1949</v>
      </c>
      <c r="L1030" s="1353" t="s">
        <v>1950</v>
      </c>
      <c r="M1030" s="1354" t="s">
        <v>1934</v>
      </c>
      <c r="N1030" s="1354" t="s">
        <v>1971</v>
      </c>
      <c r="O1030" s="1354" t="s">
        <v>1972</v>
      </c>
      <c r="P1030" s="1352" t="s">
        <v>5146</v>
      </c>
      <c r="Q1030" s="1352" t="s">
        <v>5147</v>
      </c>
      <c r="R1030" s="1355"/>
      <c r="S1030" s="1348" t="s">
        <v>5299</v>
      </c>
      <c r="T1030" s="1348"/>
      <c r="U1030" s="1352"/>
      <c r="V1030" s="1355" t="s">
        <v>4774</v>
      </c>
    </row>
    <row r="1031" spans="1:27">
      <c r="G1031" s="1320"/>
    </row>
    <row r="1032" spans="1:27">
      <c r="A1032" s="1320" t="s">
        <v>4890</v>
      </c>
      <c r="B1032" s="1321"/>
      <c r="C1032" s="1322">
        <v>1</v>
      </c>
      <c r="D1032" s="1356" t="s">
        <v>5671</v>
      </c>
      <c r="G1032" s="1320"/>
      <c r="S1032" s="1321"/>
      <c r="T1032" s="1321"/>
      <c r="U1032" s="1326"/>
    </row>
    <row r="1033" spans="1:27" s="1324" customFormat="1">
      <c r="A1033" s="1324" t="s">
        <v>4890</v>
      </c>
      <c r="B1033" s="1324">
        <v>101</v>
      </c>
      <c r="C1033" s="1393">
        <v>2</v>
      </c>
      <c r="D1033" s="1324" t="s">
        <v>5265</v>
      </c>
      <c r="E1033" s="1324" t="s">
        <v>4067</v>
      </c>
      <c r="F1033" s="1364">
        <f>+'Allocation Assignment'!F357</f>
        <v>26353.446</v>
      </c>
      <c r="G1033" s="1364">
        <f t="shared" ref="G1033:H1035" si="493">+$F1033*G$1933</f>
        <v>0</v>
      </c>
      <c r="H1033" s="1364">
        <f t="shared" si="493"/>
        <v>26353.446</v>
      </c>
      <c r="I1033" s="1374"/>
      <c r="J1033" s="1364">
        <f>+H1033</f>
        <v>26353.446</v>
      </c>
      <c r="K1033" s="1324">
        <f t="shared" ref="K1033:Q1033" si="494">$J1033*K$1951</f>
        <v>15132.535210483917</v>
      </c>
      <c r="L1033" s="1324">
        <f t="shared" si="494"/>
        <v>1258.4313991426893</v>
      </c>
      <c r="M1033" s="1324">
        <f t="shared" si="494"/>
        <v>8144.4551546976118</v>
      </c>
      <c r="N1033" s="1324">
        <f t="shared" si="494"/>
        <v>1040.9164897954138</v>
      </c>
      <c r="O1033" s="1324">
        <f t="shared" si="494"/>
        <v>749.1508634816945</v>
      </c>
      <c r="P1033" s="1324">
        <f t="shared" si="494"/>
        <v>27.956882398675472</v>
      </c>
      <c r="Q1033" s="1324">
        <f t="shared" si="494"/>
        <v>0</v>
      </c>
      <c r="S1033" s="1324">
        <v>122</v>
      </c>
      <c r="V1033" s="1326" t="s">
        <v>9476</v>
      </c>
      <c r="W1033" s="1326">
        <v>122</v>
      </c>
      <c r="AA1033" s="1320"/>
    </row>
    <row r="1034" spans="1:27" s="1324" customFormat="1">
      <c r="A1034" s="1324" t="s">
        <v>4890</v>
      </c>
      <c r="B1034" s="1324">
        <v>101</v>
      </c>
      <c r="C1034" s="1393">
        <v>3</v>
      </c>
      <c r="D1034" s="1324" t="s">
        <v>5358</v>
      </c>
      <c r="E1034" s="1324" t="s">
        <v>4067</v>
      </c>
      <c r="F1034" s="1364">
        <f>+'Allocation Assignment'!F358</f>
        <v>0</v>
      </c>
      <c r="G1034" s="1364">
        <f t="shared" si="493"/>
        <v>0</v>
      </c>
      <c r="H1034" s="1364">
        <f t="shared" si="493"/>
        <v>0</v>
      </c>
      <c r="I1034" s="1374"/>
      <c r="J1034" s="1364">
        <f>+H1034</f>
        <v>0</v>
      </c>
      <c r="K1034" s="1324">
        <f t="shared" ref="K1034:Q1034" si="495">$J1034*K$1948</f>
        <v>0</v>
      </c>
      <c r="L1034" s="1324">
        <f t="shared" si="495"/>
        <v>0</v>
      </c>
      <c r="M1034" s="1324">
        <f t="shared" si="495"/>
        <v>0</v>
      </c>
      <c r="N1034" s="1324">
        <f t="shared" si="495"/>
        <v>0</v>
      </c>
      <c r="O1034" s="1324">
        <f t="shared" si="495"/>
        <v>0</v>
      </c>
      <c r="P1034" s="1324">
        <f t="shared" si="495"/>
        <v>0</v>
      </c>
      <c r="Q1034" s="1324">
        <f t="shared" si="495"/>
        <v>0</v>
      </c>
      <c r="S1034" s="1324">
        <v>121</v>
      </c>
      <c r="V1034" s="1326" t="s">
        <v>5287</v>
      </c>
      <c r="W1034" s="1326">
        <v>121</v>
      </c>
      <c r="AA1034" s="1320"/>
    </row>
    <row r="1035" spans="1:27">
      <c r="A1035" s="1320" t="s">
        <v>4890</v>
      </c>
      <c r="B1035" s="1320">
        <v>101</v>
      </c>
      <c r="C1035" s="1393">
        <v>4</v>
      </c>
      <c r="D1035" s="1320" t="s">
        <v>5265</v>
      </c>
      <c r="E1035" s="1320" t="s">
        <v>2067</v>
      </c>
      <c r="F1035" s="1571">
        <v>0</v>
      </c>
      <c r="G1035" s="1364">
        <f t="shared" si="493"/>
        <v>0</v>
      </c>
      <c r="H1035" s="1364">
        <f t="shared" si="493"/>
        <v>0</v>
      </c>
      <c r="J1035" s="1364">
        <f t="shared" ref="J1035:J1041" si="496">+H1035</f>
        <v>0</v>
      </c>
      <c r="K1035" s="1364">
        <f t="shared" ref="K1035:Q1035" si="497">+$J1035*K$1969</f>
        <v>0</v>
      </c>
      <c r="L1035" s="1364">
        <f t="shared" si="497"/>
        <v>0</v>
      </c>
      <c r="M1035" s="1364">
        <f t="shared" si="497"/>
        <v>0</v>
      </c>
      <c r="N1035" s="1364">
        <f t="shared" si="497"/>
        <v>0</v>
      </c>
      <c r="O1035" s="1364">
        <f t="shared" si="497"/>
        <v>0</v>
      </c>
      <c r="P1035" s="1364">
        <f t="shared" si="497"/>
        <v>0</v>
      </c>
      <c r="Q1035" s="1364">
        <f t="shared" si="497"/>
        <v>0</v>
      </c>
      <c r="R1035" s="1364"/>
      <c r="S1035" s="1324">
        <v>201</v>
      </c>
      <c r="V1035" s="1321" t="s">
        <v>5235</v>
      </c>
      <c r="W1035" s="1321">
        <v>201</v>
      </c>
      <c r="Y1035" s="1324"/>
    </row>
    <row r="1036" spans="1:27">
      <c r="A1036" s="1320" t="s">
        <v>4890</v>
      </c>
      <c r="B1036" s="1320">
        <v>117</v>
      </c>
      <c r="C1036" s="1393">
        <v>5</v>
      </c>
      <c r="D1036" s="1320" t="s">
        <v>5268</v>
      </c>
      <c r="E1036" s="1320" t="s">
        <v>4067</v>
      </c>
      <c r="F1036" s="1358">
        <f>+'Allocation Assignment'!F359</f>
        <v>11373.125945033229</v>
      </c>
      <c r="G1036" s="1364">
        <f>+$F1036*G$1942</f>
        <v>736.82907250420544</v>
      </c>
      <c r="H1036" s="1364">
        <f>+$F1036*H$1942</f>
        <v>10636.296872529023</v>
      </c>
      <c r="J1036" s="1364">
        <f>+H1036</f>
        <v>10636.296872529023</v>
      </c>
      <c r="K1036" s="1364">
        <f t="shared" ref="K1036:Q1037" si="498">+$J1036*K$1945</f>
        <v>6169.1908846939359</v>
      </c>
      <c r="L1036" s="1364">
        <f t="shared" si="498"/>
        <v>508.8960221034809</v>
      </c>
      <c r="M1036" s="1364">
        <f t="shared" si="498"/>
        <v>3253.1166062387365</v>
      </c>
      <c r="N1036" s="1364">
        <f t="shared" si="498"/>
        <v>406.10847489748772</v>
      </c>
      <c r="O1036" s="1364">
        <f t="shared" si="498"/>
        <v>291.44382873211356</v>
      </c>
      <c r="P1036" s="1364">
        <f t="shared" si="498"/>
        <v>7.5410558632688005</v>
      </c>
      <c r="Q1036" s="1364">
        <f t="shared" si="498"/>
        <v>0</v>
      </c>
      <c r="R1036" s="1364"/>
      <c r="S1036" s="1320">
        <v>118</v>
      </c>
      <c r="V1036" s="1321" t="s">
        <v>9477</v>
      </c>
      <c r="W1036" s="1321">
        <v>117</v>
      </c>
    </row>
    <row r="1037" spans="1:27">
      <c r="A1037" s="1320" t="s">
        <v>4890</v>
      </c>
      <c r="B1037" s="1320">
        <v>117</v>
      </c>
      <c r="C1037" s="1393">
        <v>6</v>
      </c>
      <c r="D1037" s="1320" t="s">
        <v>5239</v>
      </c>
      <c r="E1037" s="1320" t="s">
        <v>4067</v>
      </c>
      <c r="F1037" s="1358">
        <f>+'Allocation Assignment'!F360</f>
        <v>11177.485054966772</v>
      </c>
      <c r="G1037" s="1364">
        <f>+$F1037*G$1942</f>
        <v>724.1541143380631</v>
      </c>
      <c r="H1037" s="1364">
        <f>+$F1037*H$1942</f>
        <v>10453.330940628708</v>
      </c>
      <c r="J1037" s="1364">
        <f>+H1037</f>
        <v>10453.330940628708</v>
      </c>
      <c r="K1037" s="1364">
        <f t="shared" si="498"/>
        <v>6063.0682582933659</v>
      </c>
      <c r="L1037" s="1364">
        <f t="shared" si="498"/>
        <v>500.14197583715219</v>
      </c>
      <c r="M1037" s="1364">
        <f t="shared" si="498"/>
        <v>3197.1563863826941</v>
      </c>
      <c r="N1037" s="1364">
        <f t="shared" si="498"/>
        <v>399.12258343049194</v>
      </c>
      <c r="O1037" s="1364">
        <f t="shared" si="498"/>
        <v>286.43040231504068</v>
      </c>
      <c r="P1037" s="1364">
        <f t="shared" si="498"/>
        <v>7.4113343699642193</v>
      </c>
      <c r="Q1037" s="1364">
        <f t="shared" si="498"/>
        <v>0</v>
      </c>
      <c r="R1037" s="1364"/>
      <c r="S1037" s="1320">
        <v>118</v>
      </c>
      <c r="V1037" s="1321" t="s">
        <v>9477</v>
      </c>
      <c r="W1037" s="1321">
        <v>117</v>
      </c>
    </row>
    <row r="1038" spans="1:27">
      <c r="A1038" s="1320" t="s">
        <v>4890</v>
      </c>
      <c r="B1038" s="1320">
        <v>105</v>
      </c>
      <c r="C1038" s="1393">
        <v>7</v>
      </c>
      <c r="D1038" s="1320" t="s">
        <v>5240</v>
      </c>
      <c r="E1038" s="1320" t="s">
        <v>4067</v>
      </c>
      <c r="F1038" s="1358">
        <f>+'Allocation Assignment'!F361</f>
        <v>20590.486000000001</v>
      </c>
      <c r="G1038" s="1364">
        <f>+$F1038*G$1936</f>
        <v>0</v>
      </c>
      <c r="H1038" s="1364">
        <f>+$F1038*H$1936</f>
        <v>20590.486000000001</v>
      </c>
      <c r="J1038" s="1364">
        <f>+H1038</f>
        <v>20590.486000000001</v>
      </c>
      <c r="K1038" s="1364">
        <f t="shared" ref="K1038:Q1038" si="499">+$J1038*K$1936</f>
        <v>12815.848182846948</v>
      </c>
      <c r="L1038" s="1364">
        <f t="shared" si="499"/>
        <v>911.49526567237319</v>
      </c>
      <c r="M1038" s="1364">
        <f t="shared" si="499"/>
        <v>6103.0299175305599</v>
      </c>
      <c r="N1038" s="1364">
        <f t="shared" si="499"/>
        <v>641.91603925549816</v>
      </c>
      <c r="O1038" s="1364">
        <f t="shared" si="499"/>
        <v>4.382877663433109E-4</v>
      </c>
      <c r="P1038" s="1364">
        <f t="shared" si="499"/>
        <v>118.19615640685933</v>
      </c>
      <c r="Q1038" s="1364">
        <f t="shared" si="499"/>
        <v>0</v>
      </c>
      <c r="R1038" s="1364"/>
      <c r="S1038" s="1320">
        <v>105</v>
      </c>
      <c r="V1038" s="1321" t="s">
        <v>5229</v>
      </c>
      <c r="W1038" s="1321">
        <v>105</v>
      </c>
    </row>
    <row r="1039" spans="1:27">
      <c r="A1039" s="1320" t="s">
        <v>4890</v>
      </c>
      <c r="B1039" s="1320">
        <v>106</v>
      </c>
      <c r="C1039" s="1393">
        <v>8</v>
      </c>
      <c r="D1039" s="1320" t="s">
        <v>5241</v>
      </c>
      <c r="E1039" s="1320" t="s">
        <v>4067</v>
      </c>
      <c r="F1039" s="1358">
        <f>+'Allocation Assignment'!F362</f>
        <v>0</v>
      </c>
      <c r="G1039" s="1364">
        <f>+$F1039*G$1939</f>
        <v>0</v>
      </c>
      <c r="H1039" s="1364">
        <f>+$F1039*H$1939</f>
        <v>0</v>
      </c>
      <c r="J1039" s="1364">
        <f t="shared" si="496"/>
        <v>0</v>
      </c>
      <c r="K1039" s="1364">
        <f t="shared" ref="K1039:Q1039" si="500">+$J1039*K$1939</f>
        <v>0</v>
      </c>
      <c r="L1039" s="1364">
        <f t="shared" si="500"/>
        <v>0</v>
      </c>
      <c r="M1039" s="1364">
        <f t="shared" si="500"/>
        <v>0</v>
      </c>
      <c r="N1039" s="1364">
        <f t="shared" si="500"/>
        <v>0</v>
      </c>
      <c r="O1039" s="1364">
        <f t="shared" si="500"/>
        <v>0</v>
      </c>
      <c r="P1039" s="1364">
        <f t="shared" si="500"/>
        <v>0</v>
      </c>
      <c r="Q1039" s="1364">
        <f t="shared" si="500"/>
        <v>0</v>
      </c>
      <c r="R1039" s="1364"/>
      <c r="S1039" s="1320">
        <v>106</v>
      </c>
      <c r="V1039" s="1321" t="s">
        <v>5230</v>
      </c>
      <c r="W1039" s="1321">
        <v>106</v>
      </c>
    </row>
    <row r="1040" spans="1:27">
      <c r="A1040" s="1320" t="s">
        <v>4890</v>
      </c>
      <c r="B1040" s="1320">
        <v>907</v>
      </c>
      <c r="C1040" s="1393">
        <v>9</v>
      </c>
      <c r="D1040" s="1320" t="s">
        <v>5242</v>
      </c>
      <c r="E1040" s="1320" t="s">
        <v>4071</v>
      </c>
      <c r="F1040" s="1358">
        <f>+'Allocation Assignment'!F363</f>
        <v>0</v>
      </c>
      <c r="G1040" s="1358">
        <f>+$F1040*G$2055</f>
        <v>0</v>
      </c>
      <c r="H1040" s="1358">
        <f>+$F1040*H$2055</f>
        <v>0</v>
      </c>
      <c r="J1040" s="1364">
        <f t="shared" si="496"/>
        <v>0</v>
      </c>
      <c r="K1040" s="1364">
        <f t="shared" ref="K1040:Q1040" si="501">+$J1040*K$2055</f>
        <v>0</v>
      </c>
      <c r="L1040" s="1364">
        <f t="shared" si="501"/>
        <v>0</v>
      </c>
      <c r="M1040" s="1364">
        <f t="shared" si="501"/>
        <v>0</v>
      </c>
      <c r="N1040" s="1364">
        <f t="shared" si="501"/>
        <v>0</v>
      </c>
      <c r="O1040" s="1364">
        <f t="shared" si="501"/>
        <v>0</v>
      </c>
      <c r="P1040" s="1364">
        <f t="shared" si="501"/>
        <v>0</v>
      </c>
      <c r="Q1040" s="1364">
        <f t="shared" si="501"/>
        <v>0</v>
      </c>
      <c r="R1040" s="1358"/>
      <c r="S1040" s="1320">
        <v>907</v>
      </c>
      <c r="V1040" s="1321" t="s">
        <v>5243</v>
      </c>
      <c r="W1040" s="1321">
        <v>907</v>
      </c>
    </row>
    <row r="1041" spans="1:25">
      <c r="A1041" s="1320" t="s">
        <v>4890</v>
      </c>
      <c r="B1041" s="1324">
        <v>412</v>
      </c>
      <c r="C1041" s="1393">
        <v>10</v>
      </c>
      <c r="D1041" s="1324" t="s">
        <v>5244</v>
      </c>
      <c r="E1041" s="1324" t="s">
        <v>4071</v>
      </c>
      <c r="F1041" s="1350">
        <f>+'Allocation Assignment'!F364</f>
        <v>0</v>
      </c>
      <c r="G1041" s="1366">
        <f>+$F1041*G$2021</f>
        <v>0</v>
      </c>
      <c r="H1041" s="1366">
        <f>+$F1041*H$2021</f>
        <v>0</v>
      </c>
      <c r="I1041" s="1374"/>
      <c r="J1041" s="1366">
        <f t="shared" si="496"/>
        <v>0</v>
      </c>
      <c r="K1041" s="1366">
        <f t="shared" ref="K1041:Q1041" si="502">+$J1041*K$2021</f>
        <v>0</v>
      </c>
      <c r="L1041" s="1366">
        <f t="shared" si="502"/>
        <v>0</v>
      </c>
      <c r="M1041" s="1366">
        <f t="shared" si="502"/>
        <v>0</v>
      </c>
      <c r="N1041" s="1366">
        <f t="shared" si="502"/>
        <v>0</v>
      </c>
      <c r="O1041" s="1366">
        <f t="shared" si="502"/>
        <v>0</v>
      </c>
      <c r="P1041" s="1366">
        <f t="shared" si="502"/>
        <v>0</v>
      </c>
      <c r="Q1041" s="1366">
        <f t="shared" si="502"/>
        <v>0</v>
      </c>
      <c r="R1041" s="1358"/>
      <c r="S1041" s="1320">
        <v>412</v>
      </c>
      <c r="V1041" s="1321" t="s">
        <v>5245</v>
      </c>
      <c r="W1041" s="1321">
        <v>412</v>
      </c>
      <c r="Y1041" s="1324"/>
    </row>
    <row r="1042" spans="1:25">
      <c r="A1042" s="1320" t="s">
        <v>4890</v>
      </c>
      <c r="B1042" s="1321"/>
      <c r="C1042" s="1393">
        <v>11</v>
      </c>
      <c r="F1042" s="1358"/>
      <c r="G1042" s="1358"/>
      <c r="H1042" s="1358"/>
      <c r="J1042" s="1364"/>
      <c r="K1042" s="1364"/>
      <c r="L1042" s="1364"/>
      <c r="M1042" s="1364"/>
      <c r="N1042" s="1367"/>
      <c r="O1042" s="1367"/>
      <c r="P1042" s="1367"/>
      <c r="Q1042" s="1364"/>
      <c r="R1042" s="1358"/>
      <c r="S1042" s="1321"/>
      <c r="T1042" s="1321"/>
      <c r="U1042" s="1326"/>
      <c r="Y1042" s="1324"/>
    </row>
    <row r="1043" spans="1:25" ht="14.4" thickBot="1">
      <c r="A1043" s="1320" t="s">
        <v>4890</v>
      </c>
      <c r="C1043" s="1393">
        <v>12</v>
      </c>
      <c r="D1043" s="1320" t="s">
        <v>5672</v>
      </c>
      <c r="F1043" s="1423">
        <f>+SUM(F1033:F1041)</f>
        <v>69494.543000000005</v>
      </c>
      <c r="G1043" s="1423">
        <f>SUM(G1033:G1041)</f>
        <v>1460.9831868422684</v>
      </c>
      <c r="H1043" s="1423">
        <f>SUM(H1033:H1041)</f>
        <v>68033.559813157728</v>
      </c>
      <c r="J1043" s="1380">
        <f t="shared" ref="J1043:Q1043" si="503">SUM(J1033:J1041)</f>
        <v>68033.559813157728</v>
      </c>
      <c r="K1043" s="1380">
        <f t="shared" si="503"/>
        <v>40180.642536318162</v>
      </c>
      <c r="L1043" s="1380">
        <f t="shared" si="503"/>
        <v>3178.9646627556954</v>
      </c>
      <c r="M1043" s="1380">
        <f t="shared" si="503"/>
        <v>20697.758064849604</v>
      </c>
      <c r="N1043" s="1424">
        <f t="shared" si="503"/>
        <v>2488.0635873788915</v>
      </c>
      <c r="O1043" s="1424">
        <f t="shared" si="503"/>
        <v>1327.0255328166152</v>
      </c>
      <c r="P1043" s="1424">
        <f t="shared" si="503"/>
        <v>161.10542903876782</v>
      </c>
      <c r="Q1043" s="1424">
        <f t="shared" si="503"/>
        <v>0</v>
      </c>
      <c r="R1043" s="1358"/>
      <c r="V1043" s="1320" t="s">
        <v>5460</v>
      </c>
      <c r="Y1043" s="1324"/>
    </row>
    <row r="1044" spans="1:25" ht="14.4" thickTop="1">
      <c r="G1044" s="1320"/>
      <c r="Y1044" s="1324"/>
    </row>
    <row r="1045" spans="1:25">
      <c r="G1045" s="1320"/>
      <c r="Y1045" s="1324"/>
    </row>
    <row r="1046" spans="1:25">
      <c r="G1046" s="1320"/>
      <c r="Y1046" s="1324"/>
    </row>
    <row r="1047" spans="1:25">
      <c r="G1047" s="1320"/>
      <c r="Y1047" s="1324"/>
    </row>
    <row r="1048" spans="1:25">
      <c r="G1048" s="1320"/>
      <c r="Y1048" s="1324"/>
    </row>
    <row r="1049" spans="1:25">
      <c r="A1049" s="1358"/>
      <c r="B1049" s="1432"/>
      <c r="C1049" s="1340" t="str">
        <f>+C$2</f>
        <v>RATES WITH REVENUE DEFICIENCY ADDITION</v>
      </c>
      <c r="D1049" s="1358"/>
      <c r="F1049" s="1333"/>
      <c r="G1049" s="1327" t="s">
        <v>2173</v>
      </c>
      <c r="H1049" s="1358"/>
      <c r="I1049" s="1334" t="s">
        <v>5669</v>
      </c>
      <c r="L1049" s="1329" t="s">
        <v>2173</v>
      </c>
      <c r="M1049" s="1330"/>
      <c r="N1049" s="1330"/>
      <c r="O1049" s="1330"/>
      <c r="S1049" s="1334" t="s">
        <v>5673</v>
      </c>
      <c r="T1049" s="1333" t="s">
        <v>2173</v>
      </c>
      <c r="U1049" s="1334"/>
      <c r="V1049" s="1332" t="s">
        <v>4772</v>
      </c>
    </row>
    <row r="1050" spans="1:25">
      <c r="B1050" s="1432"/>
      <c r="C1050" s="1340" t="str">
        <f>+C$3</f>
        <v>PROD. CAP. ALLOC. METHOD: 12 CP &amp; 1/13th AD</v>
      </c>
      <c r="D1050" s="1358"/>
      <c r="G1050" s="1336" t="s">
        <v>4768</v>
      </c>
      <c r="I1050" s="1335" t="s">
        <v>4307</v>
      </c>
      <c r="L1050" s="1336" t="s">
        <v>5141</v>
      </c>
      <c r="M1050" s="1337"/>
      <c r="N1050" s="1337"/>
      <c r="O1050" s="1337"/>
      <c r="R1050" s="1331"/>
      <c r="S1050" s="1335" t="s">
        <v>4308</v>
      </c>
      <c r="T1050" s="1333" t="s">
        <v>5141</v>
      </c>
      <c r="U1050" s="1364"/>
      <c r="V1050" s="1332" t="s">
        <v>5673</v>
      </c>
    </row>
    <row r="1051" spans="1:25">
      <c r="B1051" s="1358"/>
      <c r="C1051" s="1340" t="str">
        <f>+C$4</f>
        <v>PROJECTED CALENDAR YEAR 2025; FULLY ADJUSTED DATA</v>
      </c>
      <c r="D1051" s="1358"/>
      <c r="G1051" s="1336" t="s">
        <v>2181</v>
      </c>
      <c r="L1051" s="1336" t="s">
        <v>2181</v>
      </c>
      <c r="S1051" s="1358"/>
      <c r="T1051" s="1339"/>
      <c r="U1051" s="1364"/>
    </row>
    <row r="1052" spans="1:25">
      <c r="B1052" s="1358"/>
      <c r="C1052" s="1340" t="str">
        <f>+C$5</f>
        <v>MINIMUM DISTRIBUTION SYSTEM (MDS) NOT EMPLOYED</v>
      </c>
      <c r="D1052" s="1358"/>
      <c r="G1052" s="1358"/>
      <c r="H1052" s="1358"/>
      <c r="I1052" s="1379"/>
      <c r="K1052" s="1364"/>
      <c r="L1052" s="1336"/>
      <c r="M1052" s="1337"/>
      <c r="N1052" s="1337"/>
      <c r="O1052" s="1337"/>
      <c r="S1052" s="1358"/>
      <c r="T1052" s="1333"/>
      <c r="U1052" s="1364"/>
    </row>
    <row r="1053" spans="1:25">
      <c r="B1053" s="1358"/>
      <c r="C1053" s="1340" t="str">
        <f>+C$6</f>
        <v>Tampa Electric 2025 OB Budget</v>
      </c>
      <c r="D1053" s="1358"/>
      <c r="F1053" s="1327"/>
      <c r="G1053" s="1333" t="s">
        <v>5674</v>
      </c>
      <c r="H1053" s="1358"/>
      <c r="I1053" s="1379"/>
      <c r="K1053" s="1364"/>
      <c r="L1053" s="1336" t="s">
        <v>5674</v>
      </c>
      <c r="M1053" s="1337"/>
      <c r="N1053" s="1337"/>
      <c r="O1053" s="1337"/>
      <c r="S1053" s="1358"/>
      <c r="T1053" s="1333" t="s">
        <v>5674</v>
      </c>
      <c r="U1053" s="1364"/>
    </row>
    <row r="1054" spans="1:25">
      <c r="B1054" s="1358"/>
      <c r="C1054" s="1434"/>
      <c r="D1054" s="1358"/>
      <c r="F1054" s="1333"/>
      <c r="G1054" s="1358"/>
      <c r="H1054" s="1358"/>
      <c r="I1054" s="1379"/>
      <c r="K1054" s="1364"/>
      <c r="L1054" s="1336"/>
      <c r="M1054" s="1337"/>
      <c r="N1054" s="1337"/>
      <c r="O1054" s="1337"/>
      <c r="S1054" s="1358"/>
      <c r="T1054" s="1358"/>
      <c r="U1054" s="1364"/>
    </row>
    <row r="1055" spans="1:25">
      <c r="B1055" s="1358"/>
      <c r="C1055" s="1434"/>
      <c r="D1055" s="1358"/>
      <c r="E1055" s="1358"/>
      <c r="F1055" s="1333"/>
      <c r="G1055" s="1358"/>
      <c r="H1055" s="1358"/>
      <c r="I1055" s="1379"/>
      <c r="K1055" s="1364"/>
      <c r="L1055" s="1336"/>
      <c r="M1055" s="1337"/>
      <c r="N1055" s="1337"/>
      <c r="O1055" s="1337"/>
      <c r="S1055" s="1358"/>
      <c r="T1055" s="1358"/>
      <c r="U1055" s="1364"/>
    </row>
    <row r="1056" spans="1:25">
      <c r="B1056" s="1358"/>
      <c r="C1056" s="1434"/>
      <c r="D1056" s="1358"/>
      <c r="E1056" s="1358"/>
      <c r="G1056" s="1358"/>
      <c r="H1056" s="1358"/>
      <c r="I1056" s="1379"/>
      <c r="K1056" s="1364"/>
      <c r="S1056" s="1358"/>
      <c r="T1056" s="1358"/>
      <c r="U1056" s="1364"/>
    </row>
    <row r="1057" spans="1:27">
      <c r="B1057" s="1358"/>
      <c r="C1057" s="1434"/>
      <c r="D1057" s="1358"/>
      <c r="E1057" s="1358"/>
      <c r="F1057" s="1358"/>
      <c r="G1057" s="1358"/>
      <c r="H1057" s="1358"/>
      <c r="I1057" s="1379"/>
      <c r="K1057" s="1364"/>
      <c r="S1057" s="1358"/>
      <c r="T1057" s="1358"/>
      <c r="U1057" s="1364"/>
    </row>
    <row r="1058" spans="1:27" ht="30" customHeight="1">
      <c r="A1058" s="1418" t="s">
        <v>4683</v>
      </c>
      <c r="B1058" s="1425" t="s">
        <v>5143</v>
      </c>
      <c r="C1058" s="1349" t="s">
        <v>4297</v>
      </c>
      <c r="D1058" s="1418"/>
      <c r="E1058" s="1418"/>
      <c r="F1058" s="1348" t="s">
        <v>5144</v>
      </c>
      <c r="G1058" s="1348" t="s">
        <v>4956</v>
      </c>
      <c r="H1058" s="1348" t="s">
        <v>4957</v>
      </c>
      <c r="I1058" s="1426" t="s">
        <v>5145</v>
      </c>
      <c r="J1058" s="1352" t="s">
        <v>4957</v>
      </c>
      <c r="K1058" s="1353" t="s">
        <v>1949</v>
      </c>
      <c r="L1058" s="1353" t="s">
        <v>1950</v>
      </c>
      <c r="M1058" s="1354" t="s">
        <v>1934</v>
      </c>
      <c r="N1058" s="1354" t="s">
        <v>1971</v>
      </c>
      <c r="O1058" s="1354" t="s">
        <v>1972</v>
      </c>
      <c r="P1058" s="1352" t="s">
        <v>5146</v>
      </c>
      <c r="Q1058" s="1352" t="s">
        <v>5147</v>
      </c>
      <c r="R1058" s="1355"/>
      <c r="S1058" s="1348" t="s">
        <v>5299</v>
      </c>
      <c r="T1058" s="1348"/>
      <c r="U1058" s="1352"/>
      <c r="V1058" s="1355" t="s">
        <v>4774</v>
      </c>
      <c r="W1058" s="1350"/>
    </row>
    <row r="1059" spans="1:27">
      <c r="B1059" s="1358"/>
      <c r="C1059" s="1434"/>
      <c r="D1059" s="1358"/>
      <c r="E1059" s="1358"/>
      <c r="F1059" s="1358"/>
      <c r="G1059" s="1358"/>
      <c r="H1059" s="1358"/>
      <c r="I1059" s="1379"/>
      <c r="K1059" s="1364"/>
      <c r="S1059" s="1358"/>
      <c r="T1059" s="1358"/>
      <c r="U1059" s="1364"/>
    </row>
    <row r="1060" spans="1:27">
      <c r="A1060" s="1320" t="s">
        <v>4894</v>
      </c>
      <c r="B1060" s="1436"/>
      <c r="C1060" s="1434">
        <v>1</v>
      </c>
      <c r="D1060" s="1437" t="s">
        <v>5675</v>
      </c>
      <c r="E1060" s="1358"/>
      <c r="F1060" s="1358"/>
      <c r="G1060" s="1358"/>
      <c r="H1060" s="1358"/>
      <c r="I1060" s="1379"/>
      <c r="K1060" s="1364"/>
      <c r="S1060" s="1436"/>
      <c r="T1060" s="1436"/>
      <c r="U1060" s="1438"/>
    </row>
    <row r="1061" spans="1:27" s="1324" customFormat="1">
      <c r="A1061" s="1324" t="s">
        <v>4894</v>
      </c>
      <c r="B1061" s="1324">
        <v>101</v>
      </c>
      <c r="C1061" s="1439">
        <v>2</v>
      </c>
      <c r="D1061" s="1364" t="s">
        <v>4813</v>
      </c>
      <c r="E1061" s="1364" t="s">
        <v>4067</v>
      </c>
      <c r="F1061" s="1364">
        <f>+'Allocation Assignment'!F365+'Allocation Assignment'!F367</f>
        <v>1542784.9571961607</v>
      </c>
      <c r="G1061" s="1364">
        <f t="shared" ref="G1061:H1063" si="504">+$F1061*G$1933</f>
        <v>0</v>
      </c>
      <c r="H1061" s="1364">
        <f t="shared" si="504"/>
        <v>1542784.9571961607</v>
      </c>
      <c r="I1061" s="1374">
        <f>IF(F1061=0,0,+H1061/F1061)</f>
        <v>1</v>
      </c>
      <c r="J1061" s="1364">
        <f>H1061</f>
        <v>1542784.9571961607</v>
      </c>
      <c r="K1061" s="1324">
        <f t="shared" ref="K1061:Q1061" si="505">$J1061*K$1951</f>
        <v>885889.74993918533</v>
      </c>
      <c r="L1061" s="1324">
        <f t="shared" si="505"/>
        <v>73671.163621662941</v>
      </c>
      <c r="M1061" s="1324">
        <f t="shared" si="505"/>
        <v>476793.1638703419</v>
      </c>
      <c r="N1061" s="1324">
        <f t="shared" si="505"/>
        <v>60937.393240860991</v>
      </c>
      <c r="O1061" s="1324">
        <f t="shared" si="505"/>
        <v>43856.833100691001</v>
      </c>
      <c r="P1061" s="1324">
        <f t="shared" si="505"/>
        <v>1636.653423418654</v>
      </c>
      <c r="Q1061" s="1324">
        <f t="shared" si="505"/>
        <v>0</v>
      </c>
      <c r="S1061" s="1324">
        <v>122</v>
      </c>
      <c r="V1061" s="1326" t="s">
        <v>9476</v>
      </c>
      <c r="W1061" s="1326">
        <v>122</v>
      </c>
      <c r="AA1061" s="1320"/>
    </row>
    <row r="1062" spans="1:27" s="1324" customFormat="1">
      <c r="A1062" s="1324" t="s">
        <v>4894</v>
      </c>
      <c r="B1062" s="1324">
        <v>101</v>
      </c>
      <c r="C1062" s="1439">
        <v>3</v>
      </c>
      <c r="D1062" s="1364" t="s">
        <v>5393</v>
      </c>
      <c r="E1062" s="1364" t="s">
        <v>4067</v>
      </c>
      <c r="F1062" s="1364">
        <f>+'Allocation Assignment'!F368</f>
        <v>222985.51598999996</v>
      </c>
      <c r="G1062" s="1364">
        <f t="shared" si="504"/>
        <v>0</v>
      </c>
      <c r="H1062" s="1364">
        <f t="shared" si="504"/>
        <v>222985.51598999996</v>
      </c>
      <c r="I1062" s="1374">
        <f>IF(F1062=0,0,+H1062/F1062)</f>
        <v>1</v>
      </c>
      <c r="J1062" s="1364">
        <f>H1062</f>
        <v>222985.51598999996</v>
      </c>
      <c r="K1062" s="1324">
        <f t="shared" ref="K1062:Q1062" si="506">$J1062*K$1948</f>
        <v>128041.55373633484</v>
      </c>
      <c r="L1062" s="1324">
        <f t="shared" si="506"/>
        <v>10648.01828481369</v>
      </c>
      <c r="M1062" s="1324">
        <f t="shared" si="506"/>
        <v>68913.019387584529</v>
      </c>
      <c r="N1062" s="1324">
        <f t="shared" si="506"/>
        <v>8807.5502755704074</v>
      </c>
      <c r="O1062" s="1324">
        <f t="shared" si="506"/>
        <v>6338.8215661746726</v>
      </c>
      <c r="P1062" s="1324">
        <f t="shared" si="506"/>
        <v>236.55273952182185</v>
      </c>
      <c r="Q1062" s="1324">
        <f t="shared" si="506"/>
        <v>0</v>
      </c>
      <c r="S1062" s="1324">
        <v>121</v>
      </c>
      <c r="V1062" s="1326" t="s">
        <v>5287</v>
      </c>
      <c r="W1062" s="1326">
        <v>121</v>
      </c>
      <c r="AA1062" s="1320"/>
    </row>
    <row r="1063" spans="1:27">
      <c r="A1063" s="1320" t="s">
        <v>4894</v>
      </c>
      <c r="B1063" s="1320">
        <v>101</v>
      </c>
      <c r="C1063" s="1434">
        <v>4</v>
      </c>
      <c r="D1063" s="1358" t="s">
        <v>4814</v>
      </c>
      <c r="E1063" s="1358" t="s">
        <v>2067</v>
      </c>
      <c r="F1063" s="1366">
        <f>+'Allocation Assignment'!F366+'Allocation Assignment'!F369</f>
        <v>293748.25699691643</v>
      </c>
      <c r="G1063" s="1364">
        <f t="shared" si="504"/>
        <v>0</v>
      </c>
      <c r="H1063" s="1364">
        <f t="shared" si="504"/>
        <v>293748.25699691643</v>
      </c>
      <c r="I1063" s="1374">
        <f>IF(F1063=0,0,+H1063/F1063)</f>
        <v>1</v>
      </c>
      <c r="J1063" s="1366">
        <f>H1063</f>
        <v>293748.25699691643</v>
      </c>
      <c r="K1063" s="1364">
        <f t="shared" ref="K1063:Q1063" si="507">+$J1063*K$1969</f>
        <v>148235.41232929239</v>
      </c>
      <c r="L1063" s="1364">
        <f t="shared" si="507"/>
        <v>13698.68738891955</v>
      </c>
      <c r="M1063" s="1364">
        <f t="shared" si="507"/>
        <v>102049.90030187555</v>
      </c>
      <c r="N1063" s="1367">
        <f t="shared" si="507"/>
        <v>16244.703291998096</v>
      </c>
      <c r="O1063" s="1367">
        <f t="shared" si="507"/>
        <v>11967.665648698916</v>
      </c>
      <c r="P1063" s="1367">
        <f t="shared" si="507"/>
        <v>1551.8880361319234</v>
      </c>
      <c r="Q1063" s="1364">
        <f t="shared" si="507"/>
        <v>0</v>
      </c>
      <c r="R1063" s="1364"/>
      <c r="S1063" s="1324">
        <v>201</v>
      </c>
      <c r="V1063" s="1321" t="s">
        <v>5235</v>
      </c>
      <c r="W1063" s="1321">
        <v>201</v>
      </c>
      <c r="Y1063" s="1324"/>
    </row>
    <row r="1064" spans="1:27">
      <c r="A1064" s="1320" t="s">
        <v>4894</v>
      </c>
      <c r="C1064" s="1434">
        <v>5</v>
      </c>
      <c r="D1064" s="1358" t="s">
        <v>5676</v>
      </c>
      <c r="F1064" s="1729">
        <f>+SUM(F1061:F1063)</f>
        <v>2059518.730183077</v>
      </c>
      <c r="G1064" s="1421">
        <f>SUM(G1061:G1063)</f>
        <v>0</v>
      </c>
      <c r="H1064" s="1421">
        <f>SUM(H1061:H1063)</f>
        <v>2059518.730183077</v>
      </c>
      <c r="I1064" s="1374">
        <f>IF(F1064=0,0,+H1064/F1064)</f>
        <v>1</v>
      </c>
      <c r="J1064" s="1421">
        <f>SUM(J1061:J1063)</f>
        <v>2059518.730183077</v>
      </c>
      <c r="K1064" s="1421">
        <f t="shared" ref="K1064:Q1064" si="508">SUM(K1061:K1063)</f>
        <v>1162166.7160048126</v>
      </c>
      <c r="L1064" s="1421">
        <f t="shared" si="508"/>
        <v>98017.869295396187</v>
      </c>
      <c r="M1064" s="1421">
        <f t="shared" si="508"/>
        <v>647756.08355980203</v>
      </c>
      <c r="N1064" s="1421">
        <f t="shared" si="508"/>
        <v>85989.646808429505</v>
      </c>
      <c r="O1064" s="1421">
        <f t="shared" si="508"/>
        <v>62163.32031556459</v>
      </c>
      <c r="P1064" s="1421">
        <f t="shared" si="508"/>
        <v>3425.0941990723995</v>
      </c>
      <c r="Q1064" s="1421">
        <f t="shared" si="508"/>
        <v>0</v>
      </c>
      <c r="R1064" s="1364"/>
      <c r="S1064" s="1324"/>
      <c r="V1064" s="1320" t="s">
        <v>5395</v>
      </c>
    </row>
    <row r="1065" spans="1:27">
      <c r="A1065" s="1320" t="s">
        <v>4894</v>
      </c>
      <c r="B1065" s="1321"/>
      <c r="C1065" s="1434">
        <v>6</v>
      </c>
      <c r="D1065" s="1358"/>
      <c r="E1065" s="1358"/>
      <c r="F1065" s="1358"/>
      <c r="G1065" s="1446"/>
      <c r="H1065" s="1358"/>
      <c r="I1065" s="1379"/>
      <c r="J1065" s="1364"/>
      <c r="K1065" s="1364"/>
      <c r="L1065" s="1364"/>
      <c r="M1065" s="1367"/>
      <c r="N1065" s="1367"/>
      <c r="O1065" s="1367"/>
      <c r="P1065" s="1364"/>
      <c r="Q1065" s="1364"/>
      <c r="R1065" s="1364"/>
      <c r="S1065" s="1326"/>
      <c r="T1065" s="1321"/>
      <c r="U1065" s="1326"/>
    </row>
    <row r="1066" spans="1:27">
      <c r="A1066" s="1320" t="s">
        <v>4894</v>
      </c>
      <c r="B1066" s="1321"/>
      <c r="C1066" s="1434">
        <v>7</v>
      </c>
      <c r="D1066" s="1358"/>
      <c r="E1066" s="1358"/>
      <c r="F1066" s="1358"/>
      <c r="G1066" s="1358"/>
      <c r="H1066" s="1358"/>
      <c r="I1066" s="1379"/>
      <c r="J1066" s="1364"/>
      <c r="K1066" s="1364"/>
      <c r="L1066" s="1364"/>
      <c r="M1066" s="1367"/>
      <c r="N1066" s="1367"/>
      <c r="O1066" s="1367"/>
      <c r="P1066" s="1364"/>
      <c r="Q1066" s="1364"/>
      <c r="R1066" s="1364"/>
      <c r="S1066" s="1326"/>
      <c r="T1066" s="1321"/>
      <c r="U1066" s="1326"/>
    </row>
    <row r="1067" spans="1:27">
      <c r="A1067" s="1320" t="s">
        <v>4894</v>
      </c>
      <c r="B1067" s="1321"/>
      <c r="C1067" s="1434">
        <v>8</v>
      </c>
      <c r="D1067" s="1437" t="s">
        <v>5677</v>
      </c>
      <c r="E1067" s="1358"/>
      <c r="F1067" s="1358"/>
      <c r="G1067" s="1358"/>
      <c r="H1067" s="1358"/>
      <c r="I1067" s="1379"/>
      <c r="J1067" s="1364"/>
      <c r="K1067" s="1364"/>
      <c r="L1067" s="1364"/>
      <c r="M1067" s="1367"/>
      <c r="N1067" s="1367"/>
      <c r="O1067" s="1367"/>
      <c r="P1067" s="1364"/>
      <c r="Q1067" s="1364"/>
      <c r="R1067" s="1364"/>
      <c r="S1067" s="1326"/>
      <c r="T1067" s="1321"/>
      <c r="U1067" s="1326"/>
    </row>
    <row r="1068" spans="1:27" s="1324" customFormat="1">
      <c r="A1068" s="1324" t="s">
        <v>4894</v>
      </c>
      <c r="B1068" s="1324">
        <v>101</v>
      </c>
      <c r="C1068" s="1439">
        <v>9</v>
      </c>
      <c r="D1068" s="1364" t="s">
        <v>5397</v>
      </c>
      <c r="E1068" s="1364" t="s">
        <v>4067</v>
      </c>
      <c r="F1068" s="1364">
        <f>+'Allocation Assignment'!F370</f>
        <v>46015.61165400179</v>
      </c>
      <c r="G1068" s="1364">
        <f>+$F1068*G$1933</f>
        <v>0</v>
      </c>
      <c r="H1068" s="1364">
        <f>+$F1068*H$1933</f>
        <v>46015.61165400179</v>
      </c>
      <c r="I1068" s="1374">
        <f>IF(F1068=0,0,+H1068/F1068)</f>
        <v>1</v>
      </c>
      <c r="J1068" s="1364">
        <f>+H1068</f>
        <v>46015.61165400179</v>
      </c>
      <c r="K1068" s="1364">
        <f t="shared" ref="K1068:Q1068" si="509">$J1068*K$1951</f>
        <v>26422.839107497977</v>
      </c>
      <c r="L1068" s="1364">
        <f t="shared" si="509"/>
        <v>2197.3403613384039</v>
      </c>
      <c r="M1068" s="1364">
        <f t="shared" si="509"/>
        <v>14220.989753370333</v>
      </c>
      <c r="N1068" s="1364">
        <f t="shared" si="509"/>
        <v>1817.5387370089086</v>
      </c>
      <c r="O1068" s="1364">
        <f t="shared" si="509"/>
        <v>1308.0883313792726</v>
      </c>
      <c r="P1068" s="1364">
        <f t="shared" si="509"/>
        <v>48.815363406897475</v>
      </c>
      <c r="Q1068" s="1364">
        <f t="shared" si="509"/>
        <v>0</v>
      </c>
      <c r="S1068" s="1324">
        <v>122</v>
      </c>
      <c r="V1068" s="1326" t="s">
        <v>9476</v>
      </c>
      <c r="W1068" s="1326">
        <v>122</v>
      </c>
      <c r="AA1068" s="1320"/>
    </row>
    <row r="1069" spans="1:27" s="1324" customFormat="1">
      <c r="A1069" s="1324" t="s">
        <v>4894</v>
      </c>
      <c r="B1069" s="1324">
        <v>101</v>
      </c>
      <c r="C1069" s="1439">
        <v>10</v>
      </c>
      <c r="D1069" s="1364" t="s">
        <v>5398</v>
      </c>
      <c r="E1069" s="1364" t="s">
        <v>4067</v>
      </c>
      <c r="F1069" s="1366">
        <f>+'Allocation Assignment'!F371</f>
        <v>0</v>
      </c>
      <c r="G1069" s="1366">
        <f>+$F1069*G$1933</f>
        <v>0</v>
      </c>
      <c r="H1069" s="1366">
        <f>+$F1069*H$1933</f>
        <v>0</v>
      </c>
      <c r="I1069" s="1374">
        <f>IF(F1069=0,0,+H1069/F1069)</f>
        <v>0</v>
      </c>
      <c r="J1069" s="1366">
        <f>+H1069</f>
        <v>0</v>
      </c>
      <c r="K1069" s="1366">
        <f t="shared" ref="K1069:Q1069" si="510">$J1069*K$1948</f>
        <v>0</v>
      </c>
      <c r="L1069" s="1366">
        <f t="shared" si="510"/>
        <v>0</v>
      </c>
      <c r="M1069" s="1366">
        <f t="shared" si="510"/>
        <v>0</v>
      </c>
      <c r="N1069" s="1366">
        <f t="shared" si="510"/>
        <v>0</v>
      </c>
      <c r="O1069" s="1366">
        <f t="shared" si="510"/>
        <v>0</v>
      </c>
      <c r="P1069" s="1366">
        <f t="shared" si="510"/>
        <v>0</v>
      </c>
      <c r="Q1069" s="1366">
        <f t="shared" si="510"/>
        <v>0</v>
      </c>
      <c r="S1069" s="1324">
        <v>121</v>
      </c>
      <c r="V1069" s="1326" t="s">
        <v>5287</v>
      </c>
      <c r="W1069" s="1326">
        <v>121</v>
      </c>
      <c r="AA1069" s="1320"/>
    </row>
    <row r="1070" spans="1:27" s="1324" customFormat="1">
      <c r="A1070" s="1324" t="s">
        <v>4894</v>
      </c>
      <c r="C1070" s="1439">
        <v>11</v>
      </c>
      <c r="D1070" s="1364" t="s">
        <v>5399</v>
      </c>
      <c r="E1070" s="1364"/>
      <c r="F1070" s="1421">
        <f>+SUM(F1068:F1069)</f>
        <v>46015.61165400179</v>
      </c>
      <c r="G1070" s="1421">
        <f>SUM(G1068:G1069)</f>
        <v>0</v>
      </c>
      <c r="H1070" s="1421">
        <f>SUM(H1068:H1069)</f>
        <v>46015.61165400179</v>
      </c>
      <c r="I1070" s="1374">
        <f>IF(F1070=0,0,+H1070/F1070)</f>
        <v>1</v>
      </c>
      <c r="J1070" s="1421">
        <f>SUM(J1068:J1069)</f>
        <v>46015.61165400179</v>
      </c>
      <c r="K1070" s="1421">
        <f t="shared" ref="K1070:Q1070" si="511">SUM(K1068:K1069)</f>
        <v>26422.839107497977</v>
      </c>
      <c r="L1070" s="1421">
        <f t="shared" si="511"/>
        <v>2197.3403613384039</v>
      </c>
      <c r="M1070" s="1421">
        <f t="shared" si="511"/>
        <v>14220.989753370333</v>
      </c>
      <c r="N1070" s="1421">
        <f t="shared" si="511"/>
        <v>1817.5387370089086</v>
      </c>
      <c r="O1070" s="1421">
        <f t="shared" si="511"/>
        <v>1308.0883313792726</v>
      </c>
      <c r="P1070" s="1421">
        <f t="shared" si="511"/>
        <v>48.815363406897475</v>
      </c>
      <c r="Q1070" s="1421">
        <f t="shared" si="511"/>
        <v>0</v>
      </c>
      <c r="V1070" s="1324" t="s">
        <v>5284</v>
      </c>
      <c r="W1070" s="1326"/>
      <c r="AA1070" s="1320"/>
    </row>
    <row r="1071" spans="1:27" s="1324" customFormat="1">
      <c r="A1071" s="1324" t="s">
        <v>4894</v>
      </c>
      <c r="B1071" s="1326"/>
      <c r="C1071" s="1439">
        <v>12</v>
      </c>
      <c r="D1071" s="1364"/>
      <c r="E1071" s="1364"/>
      <c r="F1071" s="1364"/>
      <c r="I1071" s="1440"/>
      <c r="M1071" s="1325"/>
      <c r="N1071" s="1325"/>
      <c r="O1071" s="1325"/>
      <c r="S1071" s="1326"/>
      <c r="T1071" s="1326"/>
      <c r="U1071" s="1326"/>
      <c r="AA1071" s="1320"/>
    </row>
    <row r="1072" spans="1:27" s="1324" customFormat="1">
      <c r="A1072" s="1324" t="s">
        <v>4894</v>
      </c>
      <c r="B1072" s="1324">
        <v>117</v>
      </c>
      <c r="C1072" s="1439">
        <v>13</v>
      </c>
      <c r="D1072" s="1364" t="s">
        <v>5678</v>
      </c>
      <c r="E1072" s="1364" t="s">
        <v>4067</v>
      </c>
      <c r="F1072" s="1366">
        <f>+'Allocation Assignment'!F372</f>
        <v>142075.10412521986</v>
      </c>
      <c r="G1072" s="1366">
        <f>+$F1072*G$1942</f>
        <v>9204.5993075669139</v>
      </c>
      <c r="H1072" s="1366">
        <f>+$F1072*H$1942</f>
        <v>132870.50481765295</v>
      </c>
      <c r="I1072" s="1374">
        <f>IF(F1072=0,0,+H1072/F1072)</f>
        <v>0.93521314403222744</v>
      </c>
      <c r="J1072" s="1366">
        <f>+H1072</f>
        <v>132870.50481765295</v>
      </c>
      <c r="K1072" s="1366">
        <f t="shared" ref="K1072:Q1072" si="512">+$J1072*K$1945</f>
        <v>77066.625442059798</v>
      </c>
      <c r="L1072" s="1366">
        <f t="shared" si="512"/>
        <v>6357.2192622061921</v>
      </c>
      <c r="M1072" s="1366">
        <f t="shared" si="512"/>
        <v>40638.508954936224</v>
      </c>
      <c r="N1072" s="1378">
        <f t="shared" si="512"/>
        <v>5073.1790130568397</v>
      </c>
      <c r="O1072" s="1378">
        <f t="shared" si="512"/>
        <v>3640.7679396050867</v>
      </c>
      <c r="P1072" s="1378">
        <f t="shared" si="512"/>
        <v>94.204205788814406</v>
      </c>
      <c r="Q1072" s="1366">
        <f t="shared" si="512"/>
        <v>0</v>
      </c>
      <c r="R1072" s="1364"/>
      <c r="S1072" s="1324">
        <v>118</v>
      </c>
      <c r="V1072" s="1326" t="s">
        <v>9477</v>
      </c>
      <c r="W1072" s="1326">
        <v>117</v>
      </c>
      <c r="AA1072" s="1320"/>
    </row>
    <row r="1073" spans="1:27" s="1324" customFormat="1">
      <c r="A1073" s="1324" t="s">
        <v>4894</v>
      </c>
      <c r="B1073" s="1326"/>
      <c r="C1073" s="1439">
        <v>14</v>
      </c>
      <c r="D1073" s="1364"/>
      <c r="E1073" s="1364"/>
      <c r="F1073" s="1364"/>
      <c r="I1073" s="1440"/>
      <c r="M1073" s="1325"/>
      <c r="N1073" s="1325"/>
      <c r="O1073" s="1325"/>
      <c r="S1073" s="1326"/>
      <c r="T1073" s="1326"/>
      <c r="U1073" s="1326"/>
      <c r="AA1073" s="1320"/>
    </row>
    <row r="1074" spans="1:27" s="1324" customFormat="1">
      <c r="A1074" s="1324" t="s">
        <v>4894</v>
      </c>
      <c r="B1074" s="1326"/>
      <c r="C1074" s="1439">
        <v>15</v>
      </c>
      <c r="D1074" s="1364" t="s">
        <v>1953</v>
      </c>
      <c r="E1074" s="1364"/>
      <c r="F1074" s="1364"/>
      <c r="I1074" s="1440"/>
      <c r="M1074" s="1325"/>
      <c r="N1074" s="1325"/>
      <c r="O1074" s="1325"/>
      <c r="S1074" s="1326"/>
      <c r="T1074" s="1326"/>
      <c r="U1074" s="1326"/>
      <c r="AA1074" s="1320"/>
    </row>
    <row r="1075" spans="1:27" s="1324" customFormat="1">
      <c r="A1075" s="1324" t="s">
        <v>4894</v>
      </c>
      <c r="B1075" s="1324">
        <v>117</v>
      </c>
      <c r="C1075" s="1439">
        <v>16</v>
      </c>
      <c r="D1075" s="1364" t="s">
        <v>5293</v>
      </c>
      <c r="E1075" s="1364" t="s">
        <v>4067</v>
      </c>
      <c r="F1075" s="1364">
        <f>+'Allocation Assignment'!F373</f>
        <v>46668.032578042963</v>
      </c>
      <c r="G1075" s="1364">
        <f>+$F1075*G$1942</f>
        <v>3023.4751049329889</v>
      </c>
      <c r="H1075" s="1364">
        <f>+$F1075*H$1942</f>
        <v>43644.55747310997</v>
      </c>
      <c r="I1075" s="1374">
        <f>IF(F1075=0,0,+H1075/F1075)</f>
        <v>0.93521314403222733</v>
      </c>
      <c r="J1075" s="1364">
        <f>+H1075</f>
        <v>43644.55747310997</v>
      </c>
      <c r="K1075" s="1364">
        <f t="shared" ref="K1075:Q1076" si="513">+$J1075*K$1945</f>
        <v>25314.412464832782</v>
      </c>
      <c r="L1075" s="1364">
        <f t="shared" si="513"/>
        <v>2088.1836931326034</v>
      </c>
      <c r="M1075" s="1364">
        <f t="shared" si="513"/>
        <v>13348.709272530468</v>
      </c>
      <c r="N1075" s="1367">
        <f t="shared" si="513"/>
        <v>1666.4093608329356</v>
      </c>
      <c r="O1075" s="1367">
        <f t="shared" si="513"/>
        <v>1195.8990131362791</v>
      </c>
      <c r="P1075" s="1367">
        <f t="shared" si="513"/>
        <v>30.943668644904118</v>
      </c>
      <c r="Q1075" s="1364">
        <f t="shared" si="513"/>
        <v>0</v>
      </c>
      <c r="R1075" s="1364"/>
      <c r="S1075" s="1324">
        <v>118</v>
      </c>
      <c r="V1075" s="1326" t="s">
        <v>9477</v>
      </c>
      <c r="W1075" s="1326">
        <v>117</v>
      </c>
      <c r="AA1075" s="1320"/>
    </row>
    <row r="1076" spans="1:27" s="1324" customFormat="1">
      <c r="A1076" s="1324" t="s">
        <v>4894</v>
      </c>
      <c r="B1076" s="1324">
        <v>117</v>
      </c>
      <c r="C1076" s="1439">
        <v>17</v>
      </c>
      <c r="D1076" s="1364" t="s">
        <v>5294</v>
      </c>
      <c r="E1076" s="1364" t="s">
        <v>4067</v>
      </c>
      <c r="F1076" s="1366">
        <f>+'Allocation Assignment'!F374</f>
        <v>77381.677112735357</v>
      </c>
      <c r="G1076" s="1366">
        <f>+$F1076*G$1942</f>
        <v>5013.3155696474714</v>
      </c>
      <c r="H1076" s="1366">
        <f>+$F1076*H$1942</f>
        <v>72368.361543087885</v>
      </c>
      <c r="I1076" s="1374">
        <f>IF(F1076=0,0,+H1076/F1076)</f>
        <v>0.93521314403222744</v>
      </c>
      <c r="J1076" s="1366">
        <f>+H1076</f>
        <v>72368.361543087885</v>
      </c>
      <c r="K1076" s="1366">
        <f t="shared" si="513"/>
        <v>41974.593387378656</v>
      </c>
      <c r="L1076" s="1366">
        <f t="shared" si="513"/>
        <v>3462.4805754098188</v>
      </c>
      <c r="M1076" s="1366">
        <f t="shared" si="513"/>
        <v>22133.898811168739</v>
      </c>
      <c r="N1076" s="1378">
        <f t="shared" si="513"/>
        <v>2763.1237910441496</v>
      </c>
      <c r="O1076" s="1378">
        <f t="shared" si="513"/>
        <v>1982.9563446711541</v>
      </c>
      <c r="P1076" s="1378">
        <f t="shared" si="513"/>
        <v>51.308633415371993</v>
      </c>
      <c r="Q1076" s="1366">
        <f t="shared" si="513"/>
        <v>0</v>
      </c>
      <c r="R1076" s="1364"/>
      <c r="S1076" s="1324">
        <v>118</v>
      </c>
      <c r="V1076" s="1326" t="s">
        <v>9477</v>
      </c>
      <c r="W1076" s="1326">
        <v>117</v>
      </c>
      <c r="AA1076" s="1320"/>
    </row>
    <row r="1077" spans="1:27" s="1324" customFormat="1">
      <c r="A1077" s="1324" t="s">
        <v>4894</v>
      </c>
      <c r="C1077" s="1439">
        <v>18</v>
      </c>
      <c r="D1077" s="1364" t="s">
        <v>1953</v>
      </c>
      <c r="E1077" s="1364"/>
      <c r="F1077" s="1366">
        <f>+SUM(F1075:F1076)</f>
        <v>124049.70969077831</v>
      </c>
      <c r="G1077" s="1366">
        <f>SUM(G1075:G1076)</f>
        <v>8036.7906745804603</v>
      </c>
      <c r="H1077" s="1366">
        <f>SUM(H1075:H1076)</f>
        <v>116012.91901619785</v>
      </c>
      <c r="I1077" s="1374">
        <f>IF(F1077=0,0,+H1077/F1077)</f>
        <v>0.93521314403222733</v>
      </c>
      <c r="J1077" s="1366">
        <f t="shared" ref="J1077:Q1077" si="514">SUM(J1075:J1076)</f>
        <v>116012.91901619785</v>
      </c>
      <c r="K1077" s="1366">
        <f t="shared" si="514"/>
        <v>67289.005852211441</v>
      </c>
      <c r="L1077" s="1366">
        <f t="shared" si="514"/>
        <v>5550.6642685424222</v>
      </c>
      <c r="M1077" s="1366">
        <f t="shared" si="514"/>
        <v>35482.608083699204</v>
      </c>
      <c r="N1077" s="1378">
        <f t="shared" si="514"/>
        <v>4429.5331518770854</v>
      </c>
      <c r="O1077" s="1378">
        <f>SUM(O1075:O1076)</f>
        <v>3178.8553578074334</v>
      </c>
      <c r="P1077" s="1378">
        <f>SUM(P1075:P1076)</f>
        <v>82.252302060276108</v>
      </c>
      <c r="Q1077" s="1366">
        <f t="shared" si="514"/>
        <v>0</v>
      </c>
      <c r="R1077" s="1364"/>
      <c r="V1077" s="1324" t="s">
        <v>5400</v>
      </c>
      <c r="AA1077" s="1320"/>
    </row>
    <row r="1078" spans="1:27" s="1324" customFormat="1">
      <c r="A1078" s="1324" t="s">
        <v>4894</v>
      </c>
      <c r="B1078" s="1438"/>
      <c r="C1078" s="1439">
        <v>19</v>
      </c>
      <c r="D1078" s="1364"/>
      <c r="E1078" s="1364"/>
      <c r="F1078" s="1364"/>
      <c r="G1078" s="1364"/>
      <c r="H1078" s="1364"/>
      <c r="I1078" s="1440"/>
      <c r="J1078" s="1364"/>
      <c r="K1078" s="1364"/>
      <c r="L1078" s="1364"/>
      <c r="M1078" s="1364"/>
      <c r="N1078" s="1367"/>
      <c r="O1078" s="1367"/>
      <c r="P1078" s="1367"/>
      <c r="Q1078" s="1364"/>
      <c r="R1078" s="1364"/>
      <c r="S1078" s="1438"/>
      <c r="T1078" s="1438"/>
      <c r="U1078" s="1438"/>
      <c r="AA1078" s="1320"/>
    </row>
    <row r="1079" spans="1:27" s="1324" customFormat="1">
      <c r="A1079" s="1324" t="s">
        <v>4894</v>
      </c>
      <c r="B1079" s="1438"/>
      <c r="C1079" s="1439">
        <v>20</v>
      </c>
      <c r="D1079" s="1364" t="s">
        <v>5679</v>
      </c>
      <c r="E1079" s="1364"/>
      <c r="F1079" s="1730">
        <f>F1070+F1072+F1077</f>
        <v>312140.42546999996</v>
      </c>
      <c r="G1079" s="1366">
        <f t="shared" ref="G1079:Q1079" si="515">G1070+G1072+G1077</f>
        <v>17241.389982147375</v>
      </c>
      <c r="H1079" s="1366">
        <f t="shared" si="515"/>
        <v>294899.03548785258</v>
      </c>
      <c r="I1079" s="1374">
        <f>IF(F1079=0,0,+H1079/F1079)</f>
        <v>0.94476399538385181</v>
      </c>
      <c r="J1079" s="1366">
        <f t="shared" si="515"/>
        <v>294899.03548785258</v>
      </c>
      <c r="K1079" s="1366">
        <f t="shared" si="515"/>
        <v>170778.47040176921</v>
      </c>
      <c r="L1079" s="1366">
        <f t="shared" si="515"/>
        <v>14105.223892087019</v>
      </c>
      <c r="M1079" s="1366">
        <f t="shared" si="515"/>
        <v>90342.106792005769</v>
      </c>
      <c r="N1079" s="1366">
        <f t="shared" si="515"/>
        <v>11320.250901942833</v>
      </c>
      <c r="O1079" s="1366">
        <f t="shared" si="515"/>
        <v>8127.7116287917925</v>
      </c>
      <c r="P1079" s="1366">
        <f t="shared" si="515"/>
        <v>225.271871255988</v>
      </c>
      <c r="Q1079" s="1366">
        <f t="shared" si="515"/>
        <v>0</v>
      </c>
      <c r="R1079" s="1364"/>
      <c r="S1079" s="1438"/>
      <c r="T1079" s="1438"/>
      <c r="U1079" s="1438"/>
      <c r="V1079" s="1324" t="s">
        <v>5402</v>
      </c>
      <c r="AA1079" s="1320"/>
    </row>
    <row r="1080" spans="1:27">
      <c r="B1080" s="1436"/>
      <c r="C1080" s="1434"/>
      <c r="D1080" s="1358"/>
      <c r="E1080" s="1358"/>
      <c r="F1080" s="1358"/>
      <c r="G1080" s="1446"/>
      <c r="H1080" s="1358"/>
      <c r="J1080" s="1364"/>
      <c r="K1080" s="1364"/>
      <c r="L1080" s="1364"/>
      <c r="M1080" s="1367"/>
      <c r="N1080" s="1367"/>
      <c r="O1080" s="1367"/>
      <c r="P1080" s="1364"/>
      <c r="Q1080" s="1364"/>
      <c r="R1080" s="1358"/>
      <c r="S1080" s="1436"/>
      <c r="T1080" s="1436"/>
      <c r="U1080" s="1438"/>
    </row>
    <row r="1081" spans="1:27">
      <c r="B1081" s="1436"/>
      <c r="C1081" s="1434"/>
      <c r="D1081" s="1358"/>
      <c r="E1081" s="1358"/>
      <c r="F1081" s="1358"/>
      <c r="G1081" s="1358"/>
      <c r="H1081" s="1358"/>
      <c r="I1081" s="1379"/>
      <c r="J1081" s="1364"/>
      <c r="K1081" s="1364"/>
      <c r="S1081" s="1436"/>
      <c r="T1081" s="1436"/>
      <c r="U1081" s="1438"/>
    </row>
    <row r="1082" spans="1:27">
      <c r="B1082" s="1436"/>
      <c r="C1082" s="1434"/>
      <c r="D1082" s="1358"/>
      <c r="E1082" s="1358"/>
      <c r="F1082" s="1358"/>
      <c r="G1082" s="1358"/>
      <c r="H1082" s="1358"/>
      <c r="I1082" s="1379"/>
      <c r="J1082" s="1364"/>
      <c r="K1082" s="1364"/>
      <c r="S1082" s="1436"/>
      <c r="T1082" s="1436"/>
      <c r="U1082" s="1438"/>
    </row>
    <row r="1083" spans="1:27">
      <c r="B1083" s="1436"/>
      <c r="C1083" s="1434"/>
      <c r="D1083" s="1358"/>
      <c r="E1083" s="1358"/>
      <c r="F1083" s="1358"/>
      <c r="G1083" s="1358"/>
      <c r="H1083" s="1358"/>
      <c r="I1083" s="1379"/>
      <c r="J1083" s="1364"/>
      <c r="K1083" s="1364"/>
      <c r="S1083" s="1436"/>
      <c r="T1083" s="1436"/>
      <c r="U1083" s="1438"/>
    </row>
    <row r="1084" spans="1:27">
      <c r="B1084" s="1436"/>
      <c r="C1084" s="1434"/>
      <c r="D1084" s="1358"/>
      <c r="E1084" s="1358"/>
      <c r="F1084" s="1358"/>
      <c r="G1084" s="1358"/>
      <c r="H1084" s="1358"/>
      <c r="I1084" s="1379"/>
      <c r="J1084" s="1364"/>
      <c r="K1084" s="1364"/>
      <c r="S1084" s="1436"/>
      <c r="T1084" s="1436"/>
      <c r="U1084" s="1438"/>
    </row>
    <row r="1085" spans="1:27">
      <c r="B1085" s="1432"/>
      <c r="C1085" s="1340" t="str">
        <f>+C$2</f>
        <v>RATES WITH REVENUE DEFICIENCY ADDITION</v>
      </c>
      <c r="D1085" s="1358"/>
      <c r="F1085" s="1333"/>
      <c r="G1085" s="1327" t="s">
        <v>2173</v>
      </c>
      <c r="H1085" s="1358"/>
      <c r="I1085" s="1334" t="s">
        <v>5673</v>
      </c>
      <c r="L1085" s="1329" t="s">
        <v>2173</v>
      </c>
      <c r="M1085" s="1330"/>
      <c r="N1085" s="1330"/>
      <c r="O1085" s="1330"/>
      <c r="S1085" s="1334" t="s">
        <v>5680</v>
      </c>
      <c r="T1085" s="1333" t="s">
        <v>2173</v>
      </c>
      <c r="U1085" s="1334"/>
      <c r="V1085" s="1332" t="s">
        <v>4772</v>
      </c>
    </row>
    <row r="1086" spans="1:27">
      <c r="B1086" s="1432"/>
      <c r="C1086" s="1340" t="str">
        <f>+C$3</f>
        <v>PROD. CAP. ALLOC. METHOD: 12 CP &amp; 1/13th AD</v>
      </c>
      <c r="D1086" s="1358"/>
      <c r="G1086" s="1336" t="s">
        <v>4768</v>
      </c>
      <c r="I1086" s="1335" t="s">
        <v>4308</v>
      </c>
      <c r="L1086" s="1336" t="s">
        <v>5141</v>
      </c>
      <c r="M1086" s="1337"/>
      <c r="N1086" s="1337"/>
      <c r="O1086" s="1337"/>
      <c r="R1086" s="1331"/>
      <c r="S1086" s="1335" t="s">
        <v>4309</v>
      </c>
      <c r="T1086" s="1333" t="s">
        <v>5141</v>
      </c>
      <c r="U1086" s="1438"/>
      <c r="V1086" s="1332" t="s">
        <v>5680</v>
      </c>
    </row>
    <row r="1087" spans="1:27">
      <c r="B1087" s="1436"/>
      <c r="C1087" s="1340" t="str">
        <f>+C$4</f>
        <v>PROJECTED CALENDAR YEAR 2025; FULLY ADJUSTED DATA</v>
      </c>
      <c r="D1087" s="1358"/>
      <c r="G1087" s="1336" t="s">
        <v>2181</v>
      </c>
      <c r="L1087" s="1336" t="s">
        <v>2181</v>
      </c>
      <c r="S1087" s="1436"/>
      <c r="T1087" s="1339"/>
      <c r="U1087" s="1438"/>
    </row>
    <row r="1088" spans="1:27">
      <c r="B1088" s="1436"/>
      <c r="C1088" s="1340" t="str">
        <f>+C$5</f>
        <v>MINIMUM DISTRIBUTION SYSTEM (MDS) NOT EMPLOYED</v>
      </c>
      <c r="D1088" s="1358"/>
      <c r="G1088" s="1358"/>
      <c r="H1088" s="1358"/>
      <c r="I1088" s="1379"/>
      <c r="K1088" s="1364"/>
      <c r="L1088" s="1336"/>
      <c r="M1088" s="1337"/>
      <c r="N1088" s="1337"/>
      <c r="O1088" s="1337"/>
      <c r="S1088" s="1436"/>
      <c r="T1088" s="1333"/>
      <c r="U1088" s="1438"/>
    </row>
    <row r="1089" spans="1:25">
      <c r="B1089" s="1436"/>
      <c r="C1089" s="1340" t="str">
        <f>+C$6</f>
        <v>Tampa Electric 2025 OB Budget</v>
      </c>
      <c r="D1089" s="1358"/>
      <c r="F1089" s="1327"/>
      <c r="G1089" s="1333" t="s">
        <v>5674</v>
      </c>
      <c r="H1089" s="1358"/>
      <c r="I1089" s="1379"/>
      <c r="K1089" s="1364"/>
      <c r="L1089" s="1336" t="s">
        <v>5674</v>
      </c>
      <c r="M1089" s="1337"/>
      <c r="N1089" s="1337"/>
      <c r="O1089" s="1337"/>
      <c r="S1089" s="1436"/>
      <c r="T1089" s="1333" t="s">
        <v>5674</v>
      </c>
      <c r="U1089" s="1438"/>
    </row>
    <row r="1090" spans="1:25" ht="10.5" customHeight="1">
      <c r="B1090" s="1436"/>
      <c r="C1090" s="1434"/>
      <c r="D1090" s="1358"/>
      <c r="F1090" s="1333"/>
      <c r="G1090" s="1358"/>
      <c r="H1090" s="1358"/>
      <c r="I1090" s="1379"/>
      <c r="K1090" s="1364"/>
      <c r="L1090" s="1336"/>
      <c r="M1090" s="1337"/>
      <c r="N1090" s="1337"/>
      <c r="O1090" s="1337"/>
      <c r="S1090" s="1436"/>
      <c r="T1090" s="1436"/>
      <c r="U1090" s="1438"/>
    </row>
    <row r="1091" spans="1:25" ht="10.5" customHeight="1">
      <c r="B1091" s="1436"/>
      <c r="C1091" s="1434"/>
      <c r="D1091" s="1358"/>
      <c r="E1091" s="1358"/>
      <c r="F1091" s="1333"/>
      <c r="G1091" s="1358"/>
      <c r="H1091" s="1358"/>
      <c r="I1091" s="1379"/>
      <c r="K1091" s="1364"/>
      <c r="L1091" s="1336"/>
      <c r="M1091" s="1337"/>
      <c r="N1091" s="1337"/>
      <c r="O1091" s="1337"/>
      <c r="S1091" s="1436"/>
      <c r="T1091" s="1436"/>
      <c r="U1091" s="1438"/>
    </row>
    <row r="1092" spans="1:25" ht="10.5" customHeight="1">
      <c r="B1092" s="1436"/>
      <c r="C1092" s="1434"/>
      <c r="D1092" s="1358"/>
      <c r="E1092" s="1358"/>
      <c r="F1092" s="1358"/>
      <c r="G1092" s="1358"/>
      <c r="H1092" s="1358"/>
      <c r="I1092" s="1379"/>
      <c r="K1092" s="1364"/>
      <c r="S1092" s="1436"/>
      <c r="T1092" s="1436"/>
      <c r="U1092" s="1438"/>
    </row>
    <row r="1093" spans="1:25" ht="10.5" customHeight="1">
      <c r="B1093" s="1436"/>
      <c r="C1093" s="1342"/>
      <c r="D1093" s="1331"/>
      <c r="E1093" s="1331"/>
      <c r="F1093" s="1333"/>
      <c r="G1093" s="1333"/>
      <c r="H1093" s="1333"/>
      <c r="I1093" s="1343"/>
      <c r="J1093" s="1416"/>
      <c r="K1093" s="1336"/>
      <c r="L1093" s="1416"/>
      <c r="M1093" s="1417"/>
      <c r="N1093" s="1417"/>
      <c r="O1093" s="1417"/>
      <c r="P1093" s="3164"/>
      <c r="Q1093" s="3164"/>
      <c r="R1093" s="1333"/>
      <c r="S1093" s="1436"/>
      <c r="T1093" s="1436"/>
      <c r="U1093" s="1438"/>
    </row>
    <row r="1094" spans="1:25" ht="30" customHeight="1">
      <c r="A1094" s="1418" t="s">
        <v>4683</v>
      </c>
      <c r="B1094" s="1425" t="s">
        <v>5143</v>
      </c>
      <c r="C1094" s="1349" t="s">
        <v>4297</v>
      </c>
      <c r="D1094" s="1418"/>
      <c r="E1094" s="1418"/>
      <c r="F1094" s="1348" t="s">
        <v>5144</v>
      </c>
      <c r="G1094" s="1348" t="s">
        <v>4956</v>
      </c>
      <c r="H1094" s="1348" t="s">
        <v>4957</v>
      </c>
      <c r="I1094" s="1426" t="s">
        <v>5145</v>
      </c>
      <c r="J1094" s="1352" t="s">
        <v>4957</v>
      </c>
      <c r="K1094" s="1353" t="s">
        <v>1949</v>
      </c>
      <c r="L1094" s="1353" t="s">
        <v>1950</v>
      </c>
      <c r="M1094" s="1354" t="s">
        <v>1934</v>
      </c>
      <c r="N1094" s="1354" t="s">
        <v>1971</v>
      </c>
      <c r="O1094" s="1354" t="s">
        <v>1972</v>
      </c>
      <c r="P1094" s="1352" t="s">
        <v>5146</v>
      </c>
      <c r="Q1094" s="1352" t="s">
        <v>5147</v>
      </c>
      <c r="R1094" s="1355"/>
      <c r="S1094" s="1348" t="s">
        <v>5299</v>
      </c>
      <c r="T1094" s="1348"/>
      <c r="U1094" s="1352"/>
      <c r="V1094" s="1355" t="s">
        <v>4774</v>
      </c>
      <c r="W1094" s="1350"/>
    </row>
    <row r="1095" spans="1:25">
      <c r="B1095" s="1441"/>
      <c r="C1095" s="1397"/>
      <c r="D1095" s="1435"/>
      <c r="E1095" s="1435"/>
      <c r="F1095" s="1396"/>
      <c r="G1095" s="1396"/>
      <c r="H1095" s="1396"/>
      <c r="I1095" s="1442"/>
      <c r="J1095" s="1399"/>
      <c r="K1095" s="1360"/>
      <c r="L1095" s="1360"/>
      <c r="M1095" s="1361"/>
      <c r="N1095" s="1361"/>
      <c r="O1095" s="1361"/>
      <c r="P1095" s="1399"/>
      <c r="Q1095" s="1399"/>
      <c r="R1095" s="1346"/>
      <c r="S1095" s="1396"/>
      <c r="T1095" s="1396"/>
      <c r="U1095" s="1399"/>
    </row>
    <row r="1096" spans="1:25">
      <c r="A1096" s="1320" t="s">
        <v>4894</v>
      </c>
      <c r="B1096" s="1436"/>
      <c r="C1096" s="1434">
        <v>21</v>
      </c>
      <c r="D1096" s="1437" t="s">
        <v>5681</v>
      </c>
      <c r="E1096" s="1358"/>
      <c r="F1096" s="1358"/>
      <c r="G1096" s="1358"/>
      <c r="H1096" s="1358"/>
      <c r="I1096" s="1379"/>
      <c r="K1096" s="1364"/>
      <c r="S1096" s="1436"/>
      <c r="T1096" s="1436"/>
      <c r="U1096" s="1438"/>
    </row>
    <row r="1097" spans="1:25">
      <c r="A1097" s="1320" t="s">
        <v>4894</v>
      </c>
      <c r="B1097" s="1320">
        <v>105</v>
      </c>
      <c r="C1097" s="1434">
        <v>22</v>
      </c>
      <c r="D1097" s="1358" t="s">
        <v>5293</v>
      </c>
      <c r="E1097" s="1358" t="s">
        <v>4067</v>
      </c>
      <c r="F1097" s="1358">
        <f>+'Allocation Assignment'!F375</f>
        <v>92545.866450000001</v>
      </c>
      <c r="G1097" s="1358">
        <f>+$F1097*G$1936</f>
        <v>0</v>
      </c>
      <c r="H1097" s="1358">
        <f>+$F1097*H$1936</f>
        <v>92545.866450000001</v>
      </c>
      <c r="I1097" s="1323">
        <f>IF(F1097=0,0,+H1097/F1097)</f>
        <v>1</v>
      </c>
      <c r="J1097" s="1364">
        <f>+H1097</f>
        <v>92545.866450000001</v>
      </c>
      <c r="K1097" s="1364">
        <f t="shared" ref="K1097:Q1097" si="516">+$J1097*K$1936</f>
        <v>57602.029130018054</v>
      </c>
      <c r="L1097" s="1364">
        <f t="shared" si="516"/>
        <v>4096.800781036578</v>
      </c>
      <c r="M1097" s="1364">
        <f t="shared" si="516"/>
        <v>27430.639164521795</v>
      </c>
      <c r="N1097" s="1367">
        <f t="shared" si="516"/>
        <v>2885.1517172082431</v>
      </c>
      <c r="O1097" s="1367">
        <f t="shared" si="516"/>
        <v>1.9699253864467721E-3</v>
      </c>
      <c r="P1097" s="1367">
        <f t="shared" si="516"/>
        <v>531.24368728997047</v>
      </c>
      <c r="Q1097" s="1364">
        <f t="shared" si="516"/>
        <v>0</v>
      </c>
      <c r="R1097" s="1358"/>
      <c r="S1097" s="1320">
        <v>105</v>
      </c>
      <c r="V1097" s="1321" t="s">
        <v>5229</v>
      </c>
      <c r="W1097" s="1321">
        <v>105</v>
      </c>
      <c r="Y1097" s="1324"/>
    </row>
    <row r="1098" spans="1:25">
      <c r="A1098" s="1320" t="s">
        <v>4894</v>
      </c>
      <c r="B1098" s="1321"/>
      <c r="C1098" s="1434">
        <v>23</v>
      </c>
      <c r="D1098" s="1358"/>
      <c r="E1098" s="1358"/>
      <c r="F1098" s="1358"/>
      <c r="G1098" s="1320"/>
      <c r="I1098" s="1379"/>
      <c r="M1098" s="1324"/>
      <c r="P1098" s="1325"/>
      <c r="S1098" s="1321"/>
      <c r="T1098" s="1321"/>
      <c r="U1098" s="1326"/>
      <c r="Y1098" s="1324"/>
    </row>
    <row r="1099" spans="1:25">
      <c r="A1099" s="1320" t="s">
        <v>4894</v>
      </c>
      <c r="B1099" s="1320">
        <v>310</v>
      </c>
      <c r="C1099" s="1434">
        <v>24</v>
      </c>
      <c r="D1099" s="1358" t="s">
        <v>5405</v>
      </c>
      <c r="E1099" s="1358" t="s">
        <v>4071</v>
      </c>
      <c r="F1099" s="1358">
        <f>+'Allocation Assignment'!F376</f>
        <v>14631.668475942406</v>
      </c>
      <c r="G1099" s="1358">
        <f>+$F1099*G$1997</f>
        <v>0</v>
      </c>
      <c r="H1099" s="1358">
        <f>+$F1099*H$1997</f>
        <v>14631.668475942406</v>
      </c>
      <c r="I1099" s="1323">
        <f t="shared" ref="I1099:I1104" si="517">IF(F1099=0,0,+H1099/F1099)</f>
        <v>1</v>
      </c>
      <c r="J1099" s="1364">
        <f>+H1099</f>
        <v>14631.668475942406</v>
      </c>
      <c r="K1099" s="1364">
        <f t="shared" ref="K1099:Q1099" si="518">+$J1099*K$1997</f>
        <v>0</v>
      </c>
      <c r="L1099" s="1364">
        <f t="shared" si="518"/>
        <v>0</v>
      </c>
      <c r="M1099" s="1364">
        <f t="shared" si="518"/>
        <v>0</v>
      </c>
      <c r="N1099" s="1367">
        <f t="shared" si="518"/>
        <v>0</v>
      </c>
      <c r="O1099" s="1367">
        <f t="shared" si="518"/>
        <v>0</v>
      </c>
      <c r="P1099" s="1367">
        <f t="shared" si="518"/>
        <v>0</v>
      </c>
      <c r="Q1099" s="1364">
        <f t="shared" si="518"/>
        <v>14631.668475942406</v>
      </c>
      <c r="R1099" s="1358"/>
      <c r="S1099" s="1320">
        <v>310</v>
      </c>
      <c r="V1099" s="1321" t="s">
        <v>5302</v>
      </c>
      <c r="W1099" s="1321">
        <v>310</v>
      </c>
    </row>
    <row r="1100" spans="1:25">
      <c r="A1100" s="1320" t="s">
        <v>4894</v>
      </c>
      <c r="B1100" s="1320">
        <v>105</v>
      </c>
      <c r="C1100" s="1434">
        <v>25</v>
      </c>
      <c r="D1100" s="1358" t="s">
        <v>5406</v>
      </c>
      <c r="E1100" s="1358" t="s">
        <v>4067</v>
      </c>
      <c r="F1100" s="1358">
        <f>+'Allocation Assignment'!F377</f>
        <v>137305.75619418611</v>
      </c>
      <c r="G1100" s="1358">
        <f>+$F1100*G$1936</f>
        <v>0</v>
      </c>
      <c r="H1100" s="1358">
        <f>+$F1100*H$1936</f>
        <v>137305.75619418611</v>
      </c>
      <c r="I1100" s="1323">
        <f t="shared" si="517"/>
        <v>1</v>
      </c>
      <c r="J1100" s="1364">
        <f>+H1100</f>
        <v>137305.75619418611</v>
      </c>
      <c r="K1100" s="1364">
        <f t="shared" ref="K1100:Q1100" si="519">+$J1100*K$1936</f>
        <v>85461.301205599812</v>
      </c>
      <c r="L1100" s="1364">
        <f t="shared" si="519"/>
        <v>6078.2220837607119</v>
      </c>
      <c r="M1100" s="1364">
        <f t="shared" si="519"/>
        <v>40697.491934006546</v>
      </c>
      <c r="N1100" s="1367">
        <f t="shared" si="519"/>
        <v>4280.5578840224089</v>
      </c>
      <c r="O1100" s="1367">
        <f t="shared" si="519"/>
        <v>2.9226815330356481E-3</v>
      </c>
      <c r="P1100" s="1367">
        <f t="shared" si="519"/>
        <v>788.18016411512167</v>
      </c>
      <c r="Q1100" s="1364">
        <f t="shared" si="519"/>
        <v>0</v>
      </c>
      <c r="R1100" s="1358"/>
      <c r="S1100" s="1320">
        <v>105</v>
      </c>
      <c r="V1100" s="1321" t="s">
        <v>5229</v>
      </c>
      <c r="W1100" s="1321">
        <v>105</v>
      </c>
    </row>
    <row r="1101" spans="1:25">
      <c r="A1101" s="1320" t="s">
        <v>4894</v>
      </c>
      <c r="B1101" s="1320">
        <v>418</v>
      </c>
      <c r="C1101" s="1434">
        <v>26</v>
      </c>
      <c r="D1101" s="1364" t="s">
        <v>5407</v>
      </c>
      <c r="E1101" s="1364" t="s">
        <v>4071</v>
      </c>
      <c r="F1101" s="1358">
        <f>+'Allocation Assignment'!F378</f>
        <v>0</v>
      </c>
      <c r="G1101" s="1364">
        <f>+$F1101*G$2024</f>
        <v>0</v>
      </c>
      <c r="H1101" s="1364">
        <f>+$F1101*H$1936</f>
        <v>0</v>
      </c>
      <c r="I1101" s="1374">
        <f t="shared" si="517"/>
        <v>0</v>
      </c>
      <c r="J1101" s="1364">
        <f>+H1101</f>
        <v>0</v>
      </c>
      <c r="K1101" s="1364">
        <f t="shared" ref="K1101:Q1101" si="520">+$J1101*K$2024</f>
        <v>0</v>
      </c>
      <c r="L1101" s="1364">
        <f t="shared" si="520"/>
        <v>0</v>
      </c>
      <c r="M1101" s="1364">
        <f t="shared" si="520"/>
        <v>0</v>
      </c>
      <c r="N1101" s="1367">
        <f t="shared" si="520"/>
        <v>0</v>
      </c>
      <c r="O1101" s="1367">
        <f t="shared" si="520"/>
        <v>0</v>
      </c>
      <c r="P1101" s="1367">
        <f t="shared" si="520"/>
        <v>0</v>
      </c>
      <c r="Q1101" s="1364">
        <f t="shared" si="520"/>
        <v>0</v>
      </c>
      <c r="R1101" s="1364"/>
      <c r="S1101" s="1324">
        <v>418</v>
      </c>
      <c r="V1101" s="1321" t="s">
        <v>5305</v>
      </c>
      <c r="W1101" s="1321">
        <v>418</v>
      </c>
    </row>
    <row r="1102" spans="1:25">
      <c r="A1102" s="1320" t="s">
        <v>4894</v>
      </c>
      <c r="B1102" s="1320">
        <v>106</v>
      </c>
      <c r="C1102" s="1434">
        <v>27</v>
      </c>
      <c r="D1102" s="1364" t="s">
        <v>5408</v>
      </c>
      <c r="E1102" s="1364" t="s">
        <v>4067</v>
      </c>
      <c r="F1102" s="1358">
        <f>+'Allocation Assignment'!F379</f>
        <v>41236.554519871468</v>
      </c>
      <c r="G1102" s="1364">
        <f>+$F1102*G$1936</f>
        <v>0</v>
      </c>
      <c r="H1102" s="1364">
        <f>+$F1102*H$1936</f>
        <v>41236.554519871468</v>
      </c>
      <c r="I1102" s="1374">
        <f t="shared" si="517"/>
        <v>1</v>
      </c>
      <c r="J1102" s="1364">
        <f>+H1102</f>
        <v>41236.554519871468</v>
      </c>
      <c r="K1102" s="1364">
        <f t="shared" ref="K1102:Q1102" si="521">+$J1102*K$1939</f>
        <v>30087.561758828535</v>
      </c>
      <c r="L1102" s="1364">
        <f t="shared" si="521"/>
        <v>2422.6458463768818</v>
      </c>
      <c r="M1102" s="1364">
        <f t="shared" si="521"/>
        <v>8577.1766392219124</v>
      </c>
      <c r="N1102" s="1367">
        <f t="shared" si="521"/>
        <v>0</v>
      </c>
      <c r="O1102" s="1367">
        <f t="shared" si="521"/>
        <v>0</v>
      </c>
      <c r="P1102" s="1367">
        <f t="shared" si="521"/>
        <v>149.17027544413716</v>
      </c>
      <c r="Q1102" s="1364">
        <f t="shared" si="521"/>
        <v>0</v>
      </c>
      <c r="R1102" s="1364"/>
      <c r="S1102" s="1324">
        <v>106</v>
      </c>
      <c r="V1102" s="1321" t="s">
        <v>5230</v>
      </c>
      <c r="W1102" s="1321">
        <v>106</v>
      </c>
    </row>
    <row r="1103" spans="1:25">
      <c r="A1103" s="1320" t="s">
        <v>4894</v>
      </c>
      <c r="B1103" s="1320">
        <v>420</v>
      </c>
      <c r="C1103" s="1434">
        <v>28</v>
      </c>
      <c r="D1103" s="1364" t="s">
        <v>5409</v>
      </c>
      <c r="E1103" s="1364" t="s">
        <v>4071</v>
      </c>
      <c r="F1103" s="1358">
        <f>+'Allocation Assignment'!F380</f>
        <v>0</v>
      </c>
      <c r="G1103" s="1364">
        <f>+$F1103*$G$2027</f>
        <v>0</v>
      </c>
      <c r="H1103" s="1364">
        <f>+$F1103*$H$2027</f>
        <v>0</v>
      </c>
      <c r="I1103" s="1374">
        <f t="shared" si="517"/>
        <v>0</v>
      </c>
      <c r="J1103" s="1364">
        <f>+H1103</f>
        <v>0</v>
      </c>
      <c r="K1103" s="1364">
        <f t="shared" ref="K1103:Q1103" si="522">+$J1103*K$2027</f>
        <v>0</v>
      </c>
      <c r="L1103" s="1364">
        <f t="shared" si="522"/>
        <v>0</v>
      </c>
      <c r="M1103" s="1364">
        <f t="shared" si="522"/>
        <v>0</v>
      </c>
      <c r="N1103" s="1367">
        <f t="shared" si="522"/>
        <v>0</v>
      </c>
      <c r="O1103" s="1367">
        <f t="shared" si="522"/>
        <v>0</v>
      </c>
      <c r="P1103" s="1367">
        <f t="shared" si="522"/>
        <v>0</v>
      </c>
      <c r="Q1103" s="1364">
        <f t="shared" si="522"/>
        <v>0</v>
      </c>
      <c r="R1103" s="1364"/>
      <c r="S1103" s="1324">
        <v>420</v>
      </c>
      <c r="V1103" s="1321" t="s">
        <v>5225</v>
      </c>
      <c r="W1103" s="1321">
        <v>420</v>
      </c>
    </row>
    <row r="1104" spans="1:25">
      <c r="A1104" s="1320" t="s">
        <v>4894</v>
      </c>
      <c r="B1104" s="1321"/>
      <c r="C1104" s="1434">
        <v>29</v>
      </c>
      <c r="D1104" s="1364" t="s">
        <v>5637</v>
      </c>
      <c r="E1104" s="1364"/>
      <c r="F1104" s="1421">
        <f>+SUM(F1099:F1103)</f>
        <v>193173.97918999998</v>
      </c>
      <c r="G1104" s="1421">
        <f>SUM(G1099:G1103)</f>
        <v>0</v>
      </c>
      <c r="H1104" s="1421">
        <f>SUM(H1099:H1103)</f>
        <v>193173.97918999998</v>
      </c>
      <c r="I1104" s="1374">
        <f t="shared" si="517"/>
        <v>1</v>
      </c>
      <c r="J1104" s="1421">
        <f>SUM(J1099:J1103)</f>
        <v>193173.97918999998</v>
      </c>
      <c r="K1104" s="1421">
        <f t="shared" ref="K1104:Q1104" si="523">SUM(K1099:K1103)</f>
        <v>115548.86296442835</v>
      </c>
      <c r="L1104" s="1421">
        <f t="shared" si="523"/>
        <v>8500.8679301375942</v>
      </c>
      <c r="M1104" s="1421">
        <f>SUM(M1099:M1103)</f>
        <v>49274.66857322846</v>
      </c>
      <c r="N1104" s="1421">
        <f t="shared" si="523"/>
        <v>4280.5578840224089</v>
      </c>
      <c r="O1104" s="1421">
        <f>SUM(O1099:O1103)</f>
        <v>2.9226815330356481E-3</v>
      </c>
      <c r="P1104" s="1421">
        <f>SUM(P1099:P1103)</f>
        <v>937.3504395592588</v>
      </c>
      <c r="Q1104" s="1421">
        <f t="shared" si="523"/>
        <v>14631.668475942406</v>
      </c>
      <c r="R1104" s="1364"/>
      <c r="S1104" s="1326"/>
      <c r="T1104" s="1321"/>
      <c r="U1104" s="1326"/>
      <c r="V1104" s="1320" t="s">
        <v>5411</v>
      </c>
    </row>
    <row r="1105" spans="1:27">
      <c r="A1105" s="1320" t="s">
        <v>4894</v>
      </c>
      <c r="B1105" s="1321"/>
      <c r="C1105" s="1434">
        <v>30</v>
      </c>
      <c r="D1105" s="1364"/>
      <c r="E1105" s="1364"/>
      <c r="F1105" s="1364"/>
      <c r="H1105" s="1324"/>
      <c r="I1105" s="1440"/>
      <c r="R1105" s="1324"/>
      <c r="S1105" s="1326"/>
      <c r="T1105" s="1321"/>
      <c r="U1105" s="1326"/>
    </row>
    <row r="1106" spans="1:27">
      <c r="A1106" s="1320" t="s">
        <v>4894</v>
      </c>
      <c r="B1106" s="1320">
        <v>310</v>
      </c>
      <c r="C1106" s="1434">
        <v>31</v>
      </c>
      <c r="D1106" s="1364" t="s">
        <v>5301</v>
      </c>
      <c r="E1106" s="1364" t="s">
        <v>4071</v>
      </c>
      <c r="F1106" s="1364">
        <f>+'Allocation Assignment'!F381</f>
        <v>2332.0188410518558</v>
      </c>
      <c r="G1106" s="1364">
        <f>+$F1106*G$1997</f>
        <v>0</v>
      </c>
      <c r="H1106" s="1364">
        <f>+$F1106*H$1997</f>
        <v>2332.0188410518558</v>
      </c>
      <c r="I1106" s="1374">
        <f t="shared" ref="I1106:I1111" si="524">IF(F1106=0,0,+H1106/F1106)</f>
        <v>1</v>
      </c>
      <c r="J1106" s="1364">
        <f>+H1106</f>
        <v>2332.0188410518558</v>
      </c>
      <c r="K1106" s="1364">
        <f t="shared" ref="K1106:Q1106" si="525">+$J1106*K$1997</f>
        <v>0</v>
      </c>
      <c r="L1106" s="1364">
        <f t="shared" si="525"/>
        <v>0</v>
      </c>
      <c r="M1106" s="1364">
        <f t="shared" si="525"/>
        <v>0</v>
      </c>
      <c r="N1106" s="1367">
        <f t="shared" si="525"/>
        <v>0</v>
      </c>
      <c r="O1106" s="1367">
        <f t="shared" si="525"/>
        <v>0</v>
      </c>
      <c r="P1106" s="1367">
        <f t="shared" si="525"/>
        <v>0</v>
      </c>
      <c r="Q1106" s="1364">
        <f t="shared" si="525"/>
        <v>2332.0188410518558</v>
      </c>
      <c r="R1106" s="1364"/>
      <c r="S1106" s="1324">
        <v>310</v>
      </c>
      <c r="V1106" s="1321" t="s">
        <v>5302</v>
      </c>
      <c r="W1106" s="1321">
        <v>310</v>
      </c>
      <c r="Y1106" s="1324"/>
    </row>
    <row r="1107" spans="1:27">
      <c r="A1107" s="1320" t="s">
        <v>4894</v>
      </c>
      <c r="B1107" s="1320">
        <v>105</v>
      </c>
      <c r="C1107" s="1434">
        <v>32</v>
      </c>
      <c r="D1107" s="1364" t="s">
        <v>5303</v>
      </c>
      <c r="E1107" s="1364" t="s">
        <v>4067</v>
      </c>
      <c r="F1107" s="1364">
        <f>+'Allocation Assignment'!F382</f>
        <v>129229.6256603201</v>
      </c>
      <c r="G1107" s="1364">
        <f>+$F1107*G$1936</f>
        <v>0</v>
      </c>
      <c r="H1107" s="1364">
        <f>+$F1107*H$1936</f>
        <v>129229.6256603201</v>
      </c>
      <c r="I1107" s="1374">
        <f t="shared" si="524"/>
        <v>1</v>
      </c>
      <c r="J1107" s="1364">
        <f>+H1107</f>
        <v>129229.6256603201</v>
      </c>
      <c r="K1107" s="1364">
        <f t="shared" ref="K1107:Q1107" si="526">+$J1107*K$1936</f>
        <v>80434.588245697785</v>
      </c>
      <c r="L1107" s="1364">
        <f t="shared" si="526"/>
        <v>5720.7096507578699</v>
      </c>
      <c r="M1107" s="1364">
        <f t="shared" si="526"/>
        <v>38303.722973620366</v>
      </c>
      <c r="N1107" s="1367">
        <f t="shared" si="526"/>
        <v>4028.7815187239084</v>
      </c>
      <c r="O1107" s="1367">
        <f t="shared" si="526"/>
        <v>2.7507735357020671E-3</v>
      </c>
      <c r="P1107" s="1367">
        <f t="shared" si="526"/>
        <v>741.82052074667286</v>
      </c>
      <c r="Q1107" s="1364">
        <f t="shared" si="526"/>
        <v>0</v>
      </c>
      <c r="R1107" s="1364"/>
      <c r="S1107" s="1324">
        <v>105</v>
      </c>
      <c r="V1107" s="1321" t="s">
        <v>5229</v>
      </c>
      <c r="W1107" s="1321">
        <v>105</v>
      </c>
      <c r="Y1107" s="1324"/>
    </row>
    <row r="1108" spans="1:27">
      <c r="A1108" s="1320" t="s">
        <v>4894</v>
      </c>
      <c r="B1108" s="1320">
        <v>418</v>
      </c>
      <c r="C1108" s="1434">
        <v>33</v>
      </c>
      <c r="D1108" s="1364" t="s">
        <v>5304</v>
      </c>
      <c r="E1108" s="1364" t="s">
        <v>4071</v>
      </c>
      <c r="F1108" s="1364">
        <f>+'Allocation Assignment'!F383</f>
        <v>0</v>
      </c>
      <c r="G1108" s="1364">
        <f>+$F1108*G$2024</f>
        <v>0</v>
      </c>
      <c r="H1108" s="1364">
        <f>+$F1108*H$1936</f>
        <v>0</v>
      </c>
      <c r="I1108" s="1374">
        <f t="shared" si="524"/>
        <v>0</v>
      </c>
      <c r="J1108" s="1364">
        <f>+H1108</f>
        <v>0</v>
      </c>
      <c r="K1108" s="1364">
        <f t="shared" ref="K1108:Q1108" si="527">+$J1108*K$2024</f>
        <v>0</v>
      </c>
      <c r="L1108" s="1364">
        <f t="shared" si="527"/>
        <v>0</v>
      </c>
      <c r="M1108" s="1364">
        <f t="shared" si="527"/>
        <v>0</v>
      </c>
      <c r="N1108" s="1367">
        <f t="shared" si="527"/>
        <v>0</v>
      </c>
      <c r="O1108" s="1367">
        <f t="shared" si="527"/>
        <v>0</v>
      </c>
      <c r="P1108" s="1367">
        <f t="shared" si="527"/>
        <v>0</v>
      </c>
      <c r="Q1108" s="1364">
        <f t="shared" si="527"/>
        <v>0</v>
      </c>
      <c r="R1108" s="1364"/>
      <c r="S1108" s="1324">
        <v>418</v>
      </c>
      <c r="V1108" s="1321" t="s">
        <v>5305</v>
      </c>
      <c r="W1108" s="1321">
        <v>418</v>
      </c>
      <c r="Y1108" s="1324"/>
    </row>
    <row r="1109" spans="1:27">
      <c r="A1109" s="1320" t="s">
        <v>4894</v>
      </c>
      <c r="B1109" s="1320">
        <v>106</v>
      </c>
      <c r="C1109" s="1434">
        <v>34</v>
      </c>
      <c r="D1109" s="1364" t="s">
        <v>5306</v>
      </c>
      <c r="E1109" s="1364" t="s">
        <v>4067</v>
      </c>
      <c r="F1109" s="1364">
        <f>+'Allocation Assignment'!F384</f>
        <v>19659.49503862804</v>
      </c>
      <c r="G1109" s="1364">
        <f>+$F1109*G$1939</f>
        <v>0</v>
      </c>
      <c r="H1109" s="1364">
        <f>+$F1109*H$1939</f>
        <v>19659.49503862804</v>
      </c>
      <c r="I1109" s="1374">
        <f t="shared" si="524"/>
        <v>1</v>
      </c>
      <c r="J1109" s="1364">
        <f>+H1109</f>
        <v>19659.49503862804</v>
      </c>
      <c r="K1109" s="1364">
        <f t="shared" ref="K1109:Q1109" si="528">+$J1109*K$1939</f>
        <v>14344.221480411599</v>
      </c>
      <c r="L1109" s="1364">
        <f t="shared" si="528"/>
        <v>1154.9945079491958</v>
      </c>
      <c r="M1109" s="1364">
        <f t="shared" si="528"/>
        <v>4089.1622383960776</v>
      </c>
      <c r="N1109" s="1367">
        <f t="shared" si="528"/>
        <v>0</v>
      </c>
      <c r="O1109" s="1367">
        <f t="shared" si="528"/>
        <v>0</v>
      </c>
      <c r="P1109" s="1367">
        <f t="shared" si="528"/>
        <v>71.11681187116632</v>
      </c>
      <c r="Q1109" s="1364">
        <f t="shared" si="528"/>
        <v>0</v>
      </c>
      <c r="R1109" s="1364"/>
      <c r="S1109" s="1324">
        <v>106</v>
      </c>
      <c r="V1109" s="1321" t="s">
        <v>5230</v>
      </c>
      <c r="W1109" s="1321">
        <v>106</v>
      </c>
      <c r="Y1109" s="1324"/>
    </row>
    <row r="1110" spans="1:27">
      <c r="A1110" s="1320" t="s">
        <v>4894</v>
      </c>
      <c r="B1110" s="1320">
        <v>420</v>
      </c>
      <c r="C1110" s="1434">
        <v>35</v>
      </c>
      <c r="D1110" s="1364" t="s">
        <v>5307</v>
      </c>
      <c r="E1110" s="1364" t="s">
        <v>4071</v>
      </c>
      <c r="F1110" s="1364">
        <f>+'Allocation Assignment'!F385</f>
        <v>0</v>
      </c>
      <c r="G1110" s="1364">
        <f>+$F1110*$G$2027</f>
        <v>0</v>
      </c>
      <c r="H1110" s="1364">
        <f>+$F1110*$H$2027</f>
        <v>0</v>
      </c>
      <c r="I1110" s="1374">
        <f t="shared" si="524"/>
        <v>0</v>
      </c>
      <c r="J1110" s="1364">
        <f>+H1110</f>
        <v>0</v>
      </c>
      <c r="K1110" s="1364">
        <f t="shared" ref="K1110:Q1110" si="529">+$J1110*K$2027</f>
        <v>0</v>
      </c>
      <c r="L1110" s="1364">
        <f t="shared" si="529"/>
        <v>0</v>
      </c>
      <c r="M1110" s="1364">
        <f t="shared" si="529"/>
        <v>0</v>
      </c>
      <c r="N1110" s="1367">
        <f t="shared" si="529"/>
        <v>0</v>
      </c>
      <c r="O1110" s="1367">
        <f t="shared" si="529"/>
        <v>0</v>
      </c>
      <c r="P1110" s="1367">
        <f t="shared" si="529"/>
        <v>0</v>
      </c>
      <c r="Q1110" s="1364">
        <f t="shared" si="529"/>
        <v>0</v>
      </c>
      <c r="R1110" s="1364"/>
      <c r="S1110" s="1324">
        <v>420</v>
      </c>
      <c r="V1110" s="1321" t="s">
        <v>5225</v>
      </c>
      <c r="W1110" s="1321">
        <v>420</v>
      </c>
      <c r="Y1110" s="1324"/>
    </row>
    <row r="1111" spans="1:27">
      <c r="A1111" s="1320" t="s">
        <v>4894</v>
      </c>
      <c r="B1111" s="1321"/>
      <c r="C1111" s="1434">
        <v>36</v>
      </c>
      <c r="D1111" s="1364" t="s">
        <v>5308</v>
      </c>
      <c r="E1111" s="1364"/>
      <c r="F1111" s="1421">
        <f>+SUM(F1106:F1110)</f>
        <v>151221.13954</v>
      </c>
      <c r="G1111" s="1421">
        <f>SUM(G1106:G1110)</f>
        <v>0</v>
      </c>
      <c r="H1111" s="1421">
        <f>SUM(H1106:H1110)</f>
        <v>151221.13954</v>
      </c>
      <c r="I1111" s="1374">
        <f t="shared" si="524"/>
        <v>1</v>
      </c>
      <c r="J1111" s="1421">
        <f>SUM(J1106:J1110)</f>
        <v>151221.13954</v>
      </c>
      <c r="K1111" s="1421">
        <f t="shared" ref="K1111:Q1111" si="530">SUM(K1106:K1110)</f>
        <v>94778.809726109379</v>
      </c>
      <c r="L1111" s="1421">
        <f t="shared" si="530"/>
        <v>6875.7041587070653</v>
      </c>
      <c r="M1111" s="1421">
        <f>SUM(M1106:M1110)</f>
        <v>42392.885212016445</v>
      </c>
      <c r="N1111" s="1421">
        <f t="shared" si="530"/>
        <v>4028.7815187239084</v>
      </c>
      <c r="O1111" s="1421">
        <f>SUM(O1106:O1110)</f>
        <v>2.7507735357020671E-3</v>
      </c>
      <c r="P1111" s="1421">
        <f>SUM(P1106:P1110)</f>
        <v>812.93733261783916</v>
      </c>
      <c r="Q1111" s="1421">
        <f t="shared" si="530"/>
        <v>2332.0188410518558</v>
      </c>
      <c r="R1111" s="1364"/>
      <c r="S1111" s="1326"/>
      <c r="T1111" s="1321"/>
      <c r="U1111" s="1326"/>
      <c r="V1111" s="1320" t="s">
        <v>5412</v>
      </c>
      <c r="Y1111" s="1324"/>
    </row>
    <row r="1112" spans="1:27">
      <c r="A1112" s="1320" t="s">
        <v>4894</v>
      </c>
      <c r="B1112" s="1441"/>
      <c r="C1112" s="1434">
        <v>37</v>
      </c>
      <c r="D1112" s="1447"/>
      <c r="E1112" s="1447"/>
      <c r="F1112" s="1399"/>
      <c r="G1112" s="1399"/>
      <c r="H1112" s="1399"/>
      <c r="I1112" s="1448"/>
      <c r="J1112" s="1399"/>
      <c r="K1112" s="1360"/>
      <c r="L1112" s="1360"/>
      <c r="M1112" s="1361"/>
      <c r="N1112" s="1361"/>
      <c r="O1112" s="1361"/>
      <c r="P1112" s="1399"/>
      <c r="Q1112" s="1399"/>
      <c r="R1112" s="1360"/>
      <c r="S1112" s="1399"/>
      <c r="T1112" s="1396"/>
      <c r="U1112" s="1399"/>
      <c r="Y1112" s="1324"/>
    </row>
    <row r="1113" spans="1:27">
      <c r="A1113" s="1320" t="s">
        <v>4894</v>
      </c>
      <c r="B1113" s="1320">
        <v>310</v>
      </c>
      <c r="C1113" s="1434">
        <v>38</v>
      </c>
      <c r="D1113" s="1364" t="s">
        <v>5310</v>
      </c>
      <c r="E1113" s="1364" t="s">
        <v>4071</v>
      </c>
      <c r="F1113" s="1364">
        <f>+'Allocation Assignment'!F386</f>
        <v>72.255280302396912</v>
      </c>
      <c r="G1113" s="1364">
        <f>+$F1113*G$1997</f>
        <v>0</v>
      </c>
      <c r="H1113" s="1364">
        <f>+$F1113*H$1997</f>
        <v>72.255280302396912</v>
      </c>
      <c r="I1113" s="1374">
        <f t="shared" ref="I1113:I1118" si="531">IF(F1113=0,0,+H1113/F1113)</f>
        <v>1</v>
      </c>
      <c r="J1113" s="1364">
        <f>+H1113</f>
        <v>72.255280302396912</v>
      </c>
      <c r="K1113" s="1364">
        <f t="shared" ref="K1113:Q1113" si="532">+$J1113*K$1997</f>
        <v>0</v>
      </c>
      <c r="L1113" s="1364">
        <f t="shared" si="532"/>
        <v>0</v>
      </c>
      <c r="M1113" s="1364">
        <f t="shared" si="532"/>
        <v>0</v>
      </c>
      <c r="N1113" s="1367">
        <f t="shared" si="532"/>
        <v>0</v>
      </c>
      <c r="O1113" s="1367">
        <f t="shared" si="532"/>
        <v>0</v>
      </c>
      <c r="P1113" s="1367">
        <f t="shared" si="532"/>
        <v>0</v>
      </c>
      <c r="Q1113" s="1364">
        <f t="shared" si="532"/>
        <v>72.255280302396912</v>
      </c>
      <c r="R1113" s="1364"/>
      <c r="S1113" s="1324">
        <v>310</v>
      </c>
      <c r="V1113" s="1321" t="s">
        <v>5302</v>
      </c>
      <c r="W1113" s="1321">
        <v>310</v>
      </c>
      <c r="Y1113" s="1324"/>
    </row>
    <row r="1114" spans="1:27">
      <c r="A1114" s="1320" t="s">
        <v>4894</v>
      </c>
      <c r="B1114" s="1320">
        <v>105</v>
      </c>
      <c r="C1114" s="1434">
        <v>39</v>
      </c>
      <c r="D1114" s="1364" t="s">
        <v>5311</v>
      </c>
      <c r="E1114" s="1364" t="s">
        <v>4067</v>
      </c>
      <c r="F1114" s="1364">
        <f>+'Allocation Assignment'!F387</f>
        <v>141098.14499999696</v>
      </c>
      <c r="G1114" s="1364">
        <f>+$F1114*G$1936</f>
        <v>0</v>
      </c>
      <c r="H1114" s="1364">
        <f>+$F1114*H$1936</f>
        <v>141098.14499999696</v>
      </c>
      <c r="I1114" s="1374">
        <f t="shared" si="531"/>
        <v>1</v>
      </c>
      <c r="J1114" s="1364">
        <f>+H1114</f>
        <v>141098.14499999696</v>
      </c>
      <c r="K1114" s="1364">
        <f t="shared" ref="K1114:Q1114" si="533">+$J1114*K$1936</f>
        <v>87821.744722357995</v>
      </c>
      <c r="L1114" s="1364">
        <f t="shared" si="533"/>
        <v>6246.1027468050661</v>
      </c>
      <c r="M1114" s="1364">
        <f t="shared" si="533"/>
        <v>41821.557793392851</v>
      </c>
      <c r="N1114" s="1367">
        <f t="shared" si="533"/>
        <v>4398.7870118605269</v>
      </c>
      <c r="O1114" s="1367">
        <f t="shared" si="533"/>
        <v>3.0034060782845665E-3</v>
      </c>
      <c r="P1114" s="1367">
        <f t="shared" si="533"/>
        <v>809.94972217447207</v>
      </c>
      <c r="Q1114" s="1364">
        <f t="shared" si="533"/>
        <v>0</v>
      </c>
      <c r="R1114" s="1364"/>
      <c r="S1114" s="1324">
        <v>105</v>
      </c>
      <c r="V1114" s="1321" t="s">
        <v>5229</v>
      </c>
      <c r="W1114" s="1321">
        <v>105</v>
      </c>
      <c r="Y1114" s="1324"/>
    </row>
    <row r="1115" spans="1:27">
      <c r="A1115" s="1320" t="s">
        <v>4894</v>
      </c>
      <c r="B1115" s="1320">
        <v>418</v>
      </c>
      <c r="C1115" s="1434">
        <v>40</v>
      </c>
      <c r="D1115" s="1364" t="s">
        <v>5312</v>
      </c>
      <c r="E1115" s="1364" t="s">
        <v>4071</v>
      </c>
      <c r="F1115" s="1364">
        <f>+'Allocation Assignment'!F388</f>
        <v>0</v>
      </c>
      <c r="G1115" s="1364">
        <f>+$F1115*G$2024</f>
        <v>0</v>
      </c>
      <c r="H1115" s="1364">
        <f>+$F1115*H$1936</f>
        <v>0</v>
      </c>
      <c r="I1115" s="1374">
        <f t="shared" si="531"/>
        <v>0</v>
      </c>
      <c r="J1115" s="1364">
        <f>+H1115</f>
        <v>0</v>
      </c>
      <c r="K1115" s="1364">
        <f t="shared" ref="K1115:Q1115" si="534">+$J1115*K$2024</f>
        <v>0</v>
      </c>
      <c r="L1115" s="1364">
        <f t="shared" si="534"/>
        <v>0</v>
      </c>
      <c r="M1115" s="1364">
        <f t="shared" si="534"/>
        <v>0</v>
      </c>
      <c r="N1115" s="1367">
        <f t="shared" si="534"/>
        <v>0</v>
      </c>
      <c r="O1115" s="1367">
        <f t="shared" si="534"/>
        <v>0</v>
      </c>
      <c r="P1115" s="1367">
        <f t="shared" si="534"/>
        <v>0</v>
      </c>
      <c r="Q1115" s="1364">
        <f t="shared" si="534"/>
        <v>0</v>
      </c>
      <c r="R1115" s="1364"/>
      <c r="S1115" s="1324">
        <v>418</v>
      </c>
      <c r="V1115" s="1321" t="s">
        <v>5305</v>
      </c>
      <c r="W1115" s="1321">
        <v>418</v>
      </c>
      <c r="Y1115" s="1324"/>
    </row>
    <row r="1116" spans="1:27">
      <c r="A1116" s="1320" t="s">
        <v>4894</v>
      </c>
      <c r="B1116" s="1320">
        <v>106</v>
      </c>
      <c r="C1116" s="1434">
        <v>41</v>
      </c>
      <c r="D1116" s="1364" t="s">
        <v>5313</v>
      </c>
      <c r="E1116" s="1364" t="s">
        <v>4067</v>
      </c>
      <c r="F1116" s="1364">
        <f>+'Allocation Assignment'!F389</f>
        <v>10758.21235970067</v>
      </c>
      <c r="G1116" s="1364">
        <f>+$F1116*G$1939</f>
        <v>0</v>
      </c>
      <c r="H1116" s="1364">
        <f>+$F1116*H$1939</f>
        <v>10758.21235970067</v>
      </c>
      <c r="I1116" s="1374">
        <f t="shared" si="531"/>
        <v>1</v>
      </c>
      <c r="J1116" s="1364">
        <f>+H1116</f>
        <v>10758.21235970067</v>
      </c>
      <c r="K1116" s="1364">
        <f t="shared" ref="K1116:Q1116" si="535">+$J1116*K$1939</f>
        <v>7849.5495696931785</v>
      </c>
      <c r="L1116" s="1364">
        <f t="shared" si="535"/>
        <v>632.04452435786322</v>
      </c>
      <c r="M1116" s="1364">
        <f t="shared" si="535"/>
        <v>2237.7012048120223</v>
      </c>
      <c r="N1116" s="1367">
        <f t="shared" si="535"/>
        <v>0</v>
      </c>
      <c r="O1116" s="1367">
        <f t="shared" si="535"/>
        <v>0</v>
      </c>
      <c r="P1116" s="1367">
        <f t="shared" si="535"/>
        <v>38.917060837605398</v>
      </c>
      <c r="Q1116" s="1364">
        <f t="shared" si="535"/>
        <v>0</v>
      </c>
      <c r="R1116" s="1364"/>
      <c r="S1116" s="1324">
        <v>106</v>
      </c>
      <c r="V1116" s="1321" t="s">
        <v>5230</v>
      </c>
      <c r="W1116" s="1321">
        <v>106</v>
      </c>
      <c r="Y1116" s="1324"/>
    </row>
    <row r="1117" spans="1:27">
      <c r="A1117" s="1320" t="s">
        <v>4894</v>
      </c>
      <c r="B1117" s="1320">
        <v>420</v>
      </c>
      <c r="C1117" s="1434">
        <v>42</v>
      </c>
      <c r="D1117" s="1364" t="s">
        <v>5314</v>
      </c>
      <c r="E1117" s="1364" t="s">
        <v>4071</v>
      </c>
      <c r="F1117" s="1364">
        <f>+'Allocation Assignment'!F390</f>
        <v>0</v>
      </c>
      <c r="G1117" s="1364">
        <f>+$F1117*$G$2027</f>
        <v>0</v>
      </c>
      <c r="H1117" s="1364">
        <f>+$F1117*$H$2027</f>
        <v>0</v>
      </c>
      <c r="I1117" s="1374">
        <f t="shared" si="531"/>
        <v>0</v>
      </c>
      <c r="J1117" s="1364">
        <f>+H1117</f>
        <v>0</v>
      </c>
      <c r="K1117" s="1364">
        <f t="shared" ref="K1117:Q1117" si="536">+$J1117*K$2027</f>
        <v>0</v>
      </c>
      <c r="L1117" s="1364">
        <f t="shared" si="536"/>
        <v>0</v>
      </c>
      <c r="M1117" s="1364">
        <f t="shared" si="536"/>
        <v>0</v>
      </c>
      <c r="N1117" s="1367">
        <f t="shared" si="536"/>
        <v>0</v>
      </c>
      <c r="O1117" s="1367">
        <f t="shared" si="536"/>
        <v>0</v>
      </c>
      <c r="P1117" s="1367">
        <f t="shared" si="536"/>
        <v>0</v>
      </c>
      <c r="Q1117" s="1364">
        <f t="shared" si="536"/>
        <v>0</v>
      </c>
      <c r="R1117" s="1364"/>
      <c r="S1117" s="1324">
        <v>420</v>
      </c>
      <c r="V1117" s="1321" t="s">
        <v>5225</v>
      </c>
      <c r="W1117" s="1321">
        <v>420</v>
      </c>
      <c r="Y1117" s="1324"/>
    </row>
    <row r="1118" spans="1:27">
      <c r="A1118" s="1320" t="s">
        <v>4894</v>
      </c>
      <c r="B1118" s="1321"/>
      <c r="C1118" s="1434">
        <v>43</v>
      </c>
      <c r="D1118" s="1364" t="s">
        <v>5315</v>
      </c>
      <c r="E1118" s="1364"/>
      <c r="F1118" s="1421">
        <f>+SUM(F1113:F1117)</f>
        <v>151928.61264000004</v>
      </c>
      <c r="G1118" s="1421">
        <f>SUM(G1113:G1117)</f>
        <v>0</v>
      </c>
      <c r="H1118" s="1421">
        <f>SUM(H1113:H1117)</f>
        <v>151928.61264000004</v>
      </c>
      <c r="I1118" s="1374">
        <f t="shared" si="531"/>
        <v>1</v>
      </c>
      <c r="J1118" s="1421">
        <f>SUM(J1113:J1117)</f>
        <v>151928.61264000004</v>
      </c>
      <c r="K1118" s="1421">
        <f t="shared" ref="K1118:Q1118" si="537">SUM(K1113:K1117)</f>
        <v>95671.29429205117</v>
      </c>
      <c r="L1118" s="1421">
        <f t="shared" si="537"/>
        <v>6878.1472711629294</v>
      </c>
      <c r="M1118" s="1421">
        <f>SUM(M1113:M1117)</f>
        <v>44059.258998204874</v>
      </c>
      <c r="N1118" s="1421">
        <f t="shared" si="537"/>
        <v>4398.7870118605269</v>
      </c>
      <c r="O1118" s="1421">
        <f>SUM(O1113:O1117)</f>
        <v>3.0034060782845665E-3</v>
      </c>
      <c r="P1118" s="1421">
        <f>SUM(P1113:P1117)</f>
        <v>848.86678301207746</v>
      </c>
      <c r="Q1118" s="1421">
        <f t="shared" si="537"/>
        <v>72.255280302396912</v>
      </c>
      <c r="R1118" s="1364"/>
      <c r="S1118" s="1326"/>
      <c r="T1118" s="1321"/>
      <c r="U1118" s="1326"/>
      <c r="V1118" s="1320" t="s">
        <v>5414</v>
      </c>
    </row>
    <row r="1119" spans="1:27">
      <c r="A1119" s="1320" t="s">
        <v>4894</v>
      </c>
      <c r="B1119" s="1321"/>
      <c r="C1119" s="1434">
        <v>44</v>
      </c>
      <c r="D1119" s="1364"/>
      <c r="E1119" s="1364"/>
      <c r="F1119" s="1364"/>
      <c r="H1119" s="1324"/>
      <c r="I1119" s="1440"/>
      <c r="R1119" s="1324"/>
      <c r="S1119" s="1326"/>
      <c r="T1119" s="1321"/>
      <c r="U1119" s="1326"/>
    </row>
    <row r="1120" spans="1:27" s="1324" customFormat="1">
      <c r="A1120" s="1324" t="s">
        <v>4894</v>
      </c>
      <c r="B1120" s="1324">
        <v>310</v>
      </c>
      <c r="C1120" s="1439">
        <v>45</v>
      </c>
      <c r="D1120" s="1324" t="s">
        <v>5317</v>
      </c>
      <c r="E1120" s="1364" t="s">
        <v>4071</v>
      </c>
      <c r="F1120" s="1364">
        <f>+'Allocation Assignment'!F391</f>
        <v>0</v>
      </c>
      <c r="G1120" s="1364">
        <f>+$F1120*G$1997</f>
        <v>0</v>
      </c>
      <c r="H1120" s="1364">
        <f>+$F1120*H$1997</f>
        <v>0</v>
      </c>
      <c r="I1120" s="1374">
        <f t="shared" ref="I1120:I1125" si="538">IF(F1120=0,0,+H1120/F1120)</f>
        <v>0</v>
      </c>
      <c r="J1120" s="1364">
        <f>+H1120</f>
        <v>0</v>
      </c>
      <c r="K1120" s="1364">
        <f t="shared" ref="K1120:Q1120" si="539">+$J1120*K$1997</f>
        <v>0</v>
      </c>
      <c r="L1120" s="1364">
        <f t="shared" si="539"/>
        <v>0</v>
      </c>
      <c r="M1120" s="1364">
        <f t="shared" si="539"/>
        <v>0</v>
      </c>
      <c r="N1120" s="1367">
        <f t="shared" si="539"/>
        <v>0</v>
      </c>
      <c r="O1120" s="1367">
        <f t="shared" si="539"/>
        <v>0</v>
      </c>
      <c r="P1120" s="1367">
        <f t="shared" si="539"/>
        <v>0</v>
      </c>
      <c r="Q1120" s="1364">
        <f t="shared" si="539"/>
        <v>0</v>
      </c>
      <c r="R1120" s="1364"/>
      <c r="S1120" s="1324">
        <v>310</v>
      </c>
      <c r="V1120" s="1326" t="s">
        <v>5302</v>
      </c>
      <c r="W1120" s="1326">
        <v>310</v>
      </c>
      <c r="AA1120" s="1320"/>
    </row>
    <row r="1121" spans="1:27" s="1324" customFormat="1">
      <c r="A1121" s="1324" t="s">
        <v>4894</v>
      </c>
      <c r="B1121" s="1324">
        <v>105</v>
      </c>
      <c r="C1121" s="1439">
        <v>46</v>
      </c>
      <c r="D1121" s="1324" t="s">
        <v>5318</v>
      </c>
      <c r="E1121" s="1364" t="s">
        <v>4067</v>
      </c>
      <c r="F1121" s="1364">
        <f>+'Allocation Assignment'!F392</f>
        <v>61807.293146566983</v>
      </c>
      <c r="G1121" s="1364">
        <f>+$F1121*G$1936</f>
        <v>0</v>
      </c>
      <c r="H1121" s="1364">
        <f>+$F1121*H$1936</f>
        <v>61807.293146566983</v>
      </c>
      <c r="I1121" s="1374">
        <f t="shared" si="538"/>
        <v>1</v>
      </c>
      <c r="J1121" s="1364">
        <f>+H1121</f>
        <v>61807.293146566983</v>
      </c>
      <c r="K1121" s="1364">
        <f t="shared" ref="K1121:Q1121" si="540">+$J1121*K$1936</f>
        <v>38469.848917559262</v>
      </c>
      <c r="L1121" s="1364">
        <f t="shared" si="540"/>
        <v>2736.0721396823915</v>
      </c>
      <c r="M1121" s="1364">
        <f t="shared" si="540"/>
        <v>18319.711307206631</v>
      </c>
      <c r="N1121" s="1367">
        <f t="shared" si="540"/>
        <v>1926.8652917540544</v>
      </c>
      <c r="O1121" s="1367">
        <f t="shared" si="540"/>
        <v>1.3156260836648087E-3</v>
      </c>
      <c r="P1121" s="1367">
        <f t="shared" si="540"/>
        <v>354.79417473857762</v>
      </c>
      <c r="Q1121" s="1364">
        <f t="shared" si="540"/>
        <v>0</v>
      </c>
      <c r="R1121" s="1364"/>
      <c r="S1121" s="1324">
        <v>105</v>
      </c>
      <c r="V1121" s="1326" t="s">
        <v>5229</v>
      </c>
      <c r="W1121" s="1326">
        <v>105</v>
      </c>
      <c r="AA1121" s="1320"/>
    </row>
    <row r="1122" spans="1:27" s="1324" customFormat="1">
      <c r="A1122" s="1324" t="s">
        <v>4894</v>
      </c>
      <c r="B1122" s="1324">
        <v>418</v>
      </c>
      <c r="C1122" s="1439">
        <v>47</v>
      </c>
      <c r="D1122" s="1324" t="s">
        <v>5319</v>
      </c>
      <c r="E1122" s="1364" t="s">
        <v>4071</v>
      </c>
      <c r="F1122" s="1364">
        <f>+'Allocation Assignment'!F393</f>
        <v>0</v>
      </c>
      <c r="G1122" s="1364">
        <f>+$F1122*G$2024</f>
        <v>0</v>
      </c>
      <c r="H1122" s="1364">
        <f>+$F1122*H$1936</f>
        <v>0</v>
      </c>
      <c r="I1122" s="1374">
        <f t="shared" si="538"/>
        <v>0</v>
      </c>
      <c r="J1122" s="1364">
        <f>+H1122</f>
        <v>0</v>
      </c>
      <c r="K1122" s="1364">
        <f t="shared" ref="K1122:Q1122" si="541">+$J1122*K$2024</f>
        <v>0</v>
      </c>
      <c r="L1122" s="1364">
        <f t="shared" si="541"/>
        <v>0</v>
      </c>
      <c r="M1122" s="1364">
        <f t="shared" si="541"/>
        <v>0</v>
      </c>
      <c r="N1122" s="1367">
        <f t="shared" si="541"/>
        <v>0</v>
      </c>
      <c r="O1122" s="1367">
        <f t="shared" si="541"/>
        <v>0</v>
      </c>
      <c r="P1122" s="1367">
        <f t="shared" si="541"/>
        <v>0</v>
      </c>
      <c r="Q1122" s="1364">
        <f t="shared" si="541"/>
        <v>0</v>
      </c>
      <c r="R1122" s="1364"/>
      <c r="S1122" s="1324">
        <v>418</v>
      </c>
      <c r="V1122" s="1326" t="s">
        <v>5305</v>
      </c>
      <c r="W1122" s="1326">
        <v>418</v>
      </c>
      <c r="AA1122" s="1320"/>
    </row>
    <row r="1123" spans="1:27" s="1324" customFormat="1">
      <c r="A1123" s="1324" t="s">
        <v>4894</v>
      </c>
      <c r="B1123" s="1324">
        <v>106</v>
      </c>
      <c r="C1123" s="1439">
        <v>48</v>
      </c>
      <c r="D1123" s="1324" t="s">
        <v>5320</v>
      </c>
      <c r="E1123" s="1364" t="s">
        <v>4067</v>
      </c>
      <c r="F1123" s="1364">
        <f>+'Allocation Assignment'!F394</f>
        <v>313998.53075343295</v>
      </c>
      <c r="G1123" s="1364">
        <f>+$F1123*G$1939</f>
        <v>0</v>
      </c>
      <c r="H1123" s="1364">
        <f>+$F1123*H$1939</f>
        <v>313998.53075343295</v>
      </c>
      <c r="I1123" s="1374">
        <f t="shared" si="538"/>
        <v>1</v>
      </c>
      <c r="J1123" s="1364">
        <f>+H1123</f>
        <v>313998.53075343295</v>
      </c>
      <c r="K1123" s="1364">
        <f t="shared" ref="K1123:Q1123" si="542">+$J1123*K$1939</f>
        <v>229103.77203489945</v>
      </c>
      <c r="L1123" s="1364">
        <f t="shared" si="542"/>
        <v>18447.400495879716</v>
      </c>
      <c r="M1123" s="1364">
        <f t="shared" si="542"/>
        <v>65311.491080820364</v>
      </c>
      <c r="N1123" s="1367">
        <f t="shared" si="542"/>
        <v>0</v>
      </c>
      <c r="O1123" s="1367">
        <f t="shared" si="542"/>
        <v>0</v>
      </c>
      <c r="P1123" s="1367">
        <f t="shared" si="542"/>
        <v>1135.8671418334095</v>
      </c>
      <c r="Q1123" s="1364">
        <f t="shared" si="542"/>
        <v>0</v>
      </c>
      <c r="R1123" s="1364"/>
      <c r="S1123" s="1324">
        <v>106</v>
      </c>
      <c r="V1123" s="1326" t="s">
        <v>5230</v>
      </c>
      <c r="W1123" s="1326">
        <v>106</v>
      </c>
      <c r="AA1123" s="1320"/>
    </row>
    <row r="1124" spans="1:27" s="1324" customFormat="1">
      <c r="A1124" s="1324" t="s">
        <v>4894</v>
      </c>
      <c r="B1124" s="1324">
        <v>420</v>
      </c>
      <c r="C1124" s="1439">
        <v>49</v>
      </c>
      <c r="D1124" s="1324" t="s">
        <v>5321</v>
      </c>
      <c r="E1124" s="1364" t="s">
        <v>4071</v>
      </c>
      <c r="F1124" s="1364">
        <f>+'Allocation Assignment'!F395</f>
        <v>0</v>
      </c>
      <c r="G1124" s="1364">
        <f>+$F1124*$G$2027</f>
        <v>0</v>
      </c>
      <c r="H1124" s="1364">
        <f>+$F1124*$H$2027</f>
        <v>0</v>
      </c>
      <c r="I1124" s="1374">
        <f t="shared" si="538"/>
        <v>0</v>
      </c>
      <c r="J1124" s="1364">
        <f>+H1124</f>
        <v>0</v>
      </c>
      <c r="K1124" s="1364">
        <f t="shared" ref="K1124:Q1124" si="543">+$J1124*K$2027</f>
        <v>0</v>
      </c>
      <c r="L1124" s="1364">
        <f t="shared" si="543"/>
        <v>0</v>
      </c>
      <c r="M1124" s="1364">
        <f t="shared" si="543"/>
        <v>0</v>
      </c>
      <c r="N1124" s="1367">
        <f t="shared" si="543"/>
        <v>0</v>
      </c>
      <c r="O1124" s="1367">
        <f t="shared" si="543"/>
        <v>0</v>
      </c>
      <c r="P1124" s="1367">
        <f t="shared" si="543"/>
        <v>0</v>
      </c>
      <c r="Q1124" s="1364">
        <f t="shared" si="543"/>
        <v>0</v>
      </c>
      <c r="R1124" s="1364"/>
      <c r="S1124" s="1324">
        <v>420</v>
      </c>
      <c r="V1124" s="1326" t="s">
        <v>5225</v>
      </c>
      <c r="W1124" s="1326">
        <v>420</v>
      </c>
      <c r="AA1124" s="1320"/>
    </row>
    <row r="1125" spans="1:27" s="1324" customFormat="1">
      <c r="A1125" s="1324" t="s">
        <v>4894</v>
      </c>
      <c r="B1125" s="1326"/>
      <c r="C1125" s="1439">
        <v>50</v>
      </c>
      <c r="D1125" s="1324" t="s">
        <v>5322</v>
      </c>
      <c r="E1125" s="1364"/>
      <c r="F1125" s="1421">
        <f>+SUM(F1120:F1124)</f>
        <v>375805.82389999996</v>
      </c>
      <c r="G1125" s="1421">
        <f>SUM(G1120:G1124)</f>
        <v>0</v>
      </c>
      <c r="H1125" s="1421">
        <f>SUM(H1120:H1124)</f>
        <v>375805.82389999996</v>
      </c>
      <c r="I1125" s="1374">
        <f t="shared" si="538"/>
        <v>1</v>
      </c>
      <c r="J1125" s="1421">
        <f>SUM(J1120:J1124)</f>
        <v>375805.82389999996</v>
      </c>
      <c r="K1125" s="1421">
        <f t="shared" ref="K1125:Q1125" si="544">SUM(K1120:K1124)</f>
        <v>267573.6209524587</v>
      </c>
      <c r="L1125" s="1421">
        <f t="shared" si="544"/>
        <v>21183.472635562106</v>
      </c>
      <c r="M1125" s="1421">
        <f>SUM(M1120:M1124)</f>
        <v>83631.202388026999</v>
      </c>
      <c r="N1125" s="1421">
        <f t="shared" si="544"/>
        <v>1926.8652917540544</v>
      </c>
      <c r="O1125" s="1421">
        <f t="shared" si="544"/>
        <v>1.3156260836648087E-3</v>
      </c>
      <c r="P1125" s="1421">
        <f t="shared" si="544"/>
        <v>1490.6613165719871</v>
      </c>
      <c r="Q1125" s="1421">
        <f t="shared" si="544"/>
        <v>0</v>
      </c>
      <c r="R1125" s="1364"/>
      <c r="S1125" s="1326"/>
      <c r="T1125" s="1326"/>
      <c r="U1125" s="1326"/>
      <c r="V1125" s="1324" t="s">
        <v>5415</v>
      </c>
      <c r="AA1125" s="1320"/>
    </row>
    <row r="1126" spans="1:27">
      <c r="A1126" s="1320" t="s">
        <v>4894</v>
      </c>
      <c r="B1126" s="1321"/>
      <c r="C1126" s="1434">
        <v>51</v>
      </c>
      <c r="D1126" s="1358"/>
      <c r="E1126" s="1358"/>
      <c r="F1126" s="1358"/>
      <c r="G1126" s="1320"/>
      <c r="I1126" s="1379"/>
      <c r="R1126" s="1324"/>
      <c r="S1126" s="1321"/>
      <c r="T1126" s="1321"/>
      <c r="U1126" s="1326"/>
      <c r="Y1126" s="1324"/>
    </row>
    <row r="1127" spans="1:27">
      <c r="A1127" s="1320" t="s">
        <v>4894</v>
      </c>
      <c r="B1127" s="1320">
        <v>420</v>
      </c>
      <c r="C1127" s="1434">
        <v>52</v>
      </c>
      <c r="D1127" s="1358" t="s">
        <v>5324</v>
      </c>
      <c r="E1127" s="1358" t="s">
        <v>4071</v>
      </c>
      <c r="F1127" s="1358">
        <f>+'Allocation Assignment'!F396</f>
        <v>143574.07361000002</v>
      </c>
      <c r="G1127" s="1358">
        <f>+$F1127*G$2027</f>
        <v>0</v>
      </c>
      <c r="H1127" s="1358">
        <f>+$F1127*H$2027</f>
        <v>143574.07361000002</v>
      </c>
      <c r="I1127" s="1323">
        <f>IF(F1127=0,0,+H1127/F1127)</f>
        <v>1</v>
      </c>
      <c r="J1127" s="1364">
        <f>+H1127</f>
        <v>143574.07361000002</v>
      </c>
      <c r="K1127" s="1364">
        <f t="shared" ref="K1127:Q1127" si="545">+$J1127*K$2027</f>
        <v>128088.06594180243</v>
      </c>
      <c r="L1127" s="1364">
        <f t="shared" si="545"/>
        <v>12413.820635147011</v>
      </c>
      <c r="M1127" s="1364">
        <f t="shared" si="545"/>
        <v>3035.8810335273461</v>
      </c>
      <c r="N1127" s="1364">
        <f t="shared" si="545"/>
        <v>0</v>
      </c>
      <c r="O1127" s="1364">
        <f t="shared" si="545"/>
        <v>0</v>
      </c>
      <c r="P1127" s="1364">
        <f t="shared" si="545"/>
        <v>36.305999523230099</v>
      </c>
      <c r="Q1127" s="1364">
        <f t="shared" si="545"/>
        <v>0</v>
      </c>
      <c r="R1127" s="1358"/>
      <c r="S1127" s="1320">
        <v>420</v>
      </c>
      <c r="V1127" s="1321" t="s">
        <v>5225</v>
      </c>
      <c r="W1127" s="1321">
        <v>420</v>
      </c>
    </row>
    <row r="1128" spans="1:27">
      <c r="A1128" s="1320" t="s">
        <v>4894</v>
      </c>
      <c r="B1128" s="1320">
        <v>308</v>
      </c>
      <c r="C1128" s="1434">
        <v>53</v>
      </c>
      <c r="D1128" s="1358" t="s">
        <v>5325</v>
      </c>
      <c r="E1128" s="1358" t="s">
        <v>4071</v>
      </c>
      <c r="F1128" s="1358">
        <f>+'Allocation Assignment'!F397</f>
        <v>25380.59634</v>
      </c>
      <c r="G1128" s="1358">
        <f>+$F1128*G$1991</f>
        <v>0</v>
      </c>
      <c r="H1128" s="1358">
        <f>+$F1128*H$1991</f>
        <v>25380.59634</v>
      </c>
      <c r="I1128" s="1323">
        <f>IF(F1128=0,0,+H1128/F1128)</f>
        <v>1</v>
      </c>
      <c r="J1128" s="1364">
        <f>+H1128</f>
        <v>25380.59634</v>
      </c>
      <c r="K1128" s="1364">
        <f t="shared" ref="K1128:Q1128" si="546">+$J1128*K$1991</f>
        <v>17326.630701168142</v>
      </c>
      <c r="L1128" s="1364">
        <f t="shared" si="546"/>
        <v>4518.5635815543374</v>
      </c>
      <c r="M1128" s="1364">
        <f t="shared" si="546"/>
        <v>2972.9650560298619</v>
      </c>
      <c r="N1128" s="1364">
        <f t="shared" si="546"/>
        <v>244.38702763080556</v>
      </c>
      <c r="O1128" s="1364">
        <f t="shared" si="546"/>
        <v>266.6365060541055</v>
      </c>
      <c r="P1128" s="1364">
        <f t="shared" si="546"/>
        <v>51.413467562749723</v>
      </c>
      <c r="Q1128" s="1364">
        <f t="shared" si="546"/>
        <v>0</v>
      </c>
      <c r="R1128" s="1364"/>
      <c r="S1128" s="1324">
        <v>308</v>
      </c>
      <c r="V1128" s="1321" t="s">
        <v>5326</v>
      </c>
      <c r="W1128" s="1321">
        <v>308</v>
      </c>
    </row>
    <row r="1129" spans="1:27">
      <c r="A1129" s="1320" t="s">
        <v>4894</v>
      </c>
      <c r="B1129" s="1320">
        <v>412</v>
      </c>
      <c r="C1129" s="1434">
        <v>54</v>
      </c>
      <c r="D1129" s="1358" t="s">
        <v>5416</v>
      </c>
      <c r="E1129" s="1358" t="s">
        <v>4071</v>
      </c>
      <c r="F1129" s="1358">
        <f>+'Allocation Assignment'!F398</f>
        <v>0</v>
      </c>
      <c r="G1129" s="1358">
        <f>+$F1129*G$1994</f>
        <v>0</v>
      </c>
      <c r="H1129" s="1358">
        <f>+$F1129*H$1994</f>
        <v>0</v>
      </c>
      <c r="I1129" s="1323">
        <f>IF(F1129=0,0,+H1129/F1129)</f>
        <v>0</v>
      </c>
      <c r="J1129" s="1364">
        <f>+H1129</f>
        <v>0</v>
      </c>
      <c r="K1129" s="1364">
        <f>+$J1129*K$2021</f>
        <v>0</v>
      </c>
      <c r="L1129" s="1364">
        <f>+$J1129*L$2021</f>
        <v>0</v>
      </c>
      <c r="M1129" s="1364">
        <f>+$J1129*M$1994</f>
        <v>0</v>
      </c>
      <c r="N1129" s="1367">
        <f>+$J1129*N$2021</f>
        <v>0</v>
      </c>
      <c r="O1129" s="1367">
        <f>+$J1129*O$2021</f>
        <v>0</v>
      </c>
      <c r="P1129" s="1367">
        <f>+$J1129*P$2021</f>
        <v>0</v>
      </c>
      <c r="Q1129" s="1364">
        <f>+$J1129*Q$2021</f>
        <v>0</v>
      </c>
      <c r="R1129" s="1358"/>
      <c r="S1129" s="1320">
        <v>309</v>
      </c>
      <c r="V1129" s="1321" t="s">
        <v>5328</v>
      </c>
      <c r="W1129" s="1321">
        <v>309</v>
      </c>
    </row>
    <row r="1130" spans="1:27">
      <c r="A1130" s="1320" t="s">
        <v>4894</v>
      </c>
      <c r="B1130" s="1320">
        <v>310</v>
      </c>
      <c r="C1130" s="1434">
        <v>55</v>
      </c>
      <c r="D1130" s="1358" t="s">
        <v>5329</v>
      </c>
      <c r="E1130" s="1358" t="s">
        <v>4071</v>
      </c>
      <c r="F1130" s="1358">
        <f>+'Allocation Assignment'!F399</f>
        <v>132134.3505</v>
      </c>
      <c r="G1130" s="1350">
        <f>+$F1130*G$1997</f>
        <v>0</v>
      </c>
      <c r="H1130" s="1350">
        <f>+$F1130*H$1997</f>
        <v>132134.3505</v>
      </c>
      <c r="I1130" s="1323">
        <f>IF(F1130=0,0,+H1130/F1130)</f>
        <v>1</v>
      </c>
      <c r="J1130" s="1366">
        <f>+H1130</f>
        <v>132134.3505</v>
      </c>
      <c r="K1130" s="1366">
        <f t="shared" ref="K1130:Q1130" si="547">+$J1130*K$1997</f>
        <v>0</v>
      </c>
      <c r="L1130" s="1366">
        <f t="shared" si="547"/>
        <v>0</v>
      </c>
      <c r="M1130" s="1366">
        <f t="shared" si="547"/>
        <v>0</v>
      </c>
      <c r="N1130" s="1378">
        <f t="shared" si="547"/>
        <v>0</v>
      </c>
      <c r="O1130" s="1378">
        <f t="shared" si="547"/>
        <v>0</v>
      </c>
      <c r="P1130" s="1378">
        <f t="shared" si="547"/>
        <v>0</v>
      </c>
      <c r="Q1130" s="1366">
        <f t="shared" si="547"/>
        <v>132134.3505</v>
      </c>
      <c r="R1130" s="1358"/>
      <c r="S1130" s="1320">
        <v>310</v>
      </c>
      <c r="V1130" s="1321" t="s">
        <v>5302</v>
      </c>
      <c r="W1130" s="1321">
        <v>310</v>
      </c>
    </row>
    <row r="1131" spans="1:27">
      <c r="A1131" s="1320" t="s">
        <v>4894</v>
      </c>
      <c r="B1131" s="1436"/>
      <c r="C1131" s="1434">
        <v>56</v>
      </c>
      <c r="D1131" s="1358"/>
      <c r="E1131" s="1358"/>
      <c r="F1131" s="1376"/>
      <c r="G1131" s="1358"/>
      <c r="H1131" s="1358"/>
      <c r="I1131" s="1379"/>
      <c r="J1131" s="1364"/>
      <c r="K1131" s="1364"/>
      <c r="L1131" s="1364"/>
      <c r="M1131" s="1367"/>
      <c r="N1131" s="1367"/>
      <c r="O1131" s="1367"/>
      <c r="P1131" s="1364"/>
      <c r="Q1131" s="1364"/>
      <c r="R1131" s="1358"/>
      <c r="S1131" s="1436"/>
      <c r="T1131" s="1436"/>
      <c r="U1131" s="1438"/>
    </row>
    <row r="1132" spans="1:27">
      <c r="A1132" s="1320" t="s">
        <v>4894</v>
      </c>
      <c r="B1132" s="1436"/>
      <c r="C1132" s="1434">
        <v>57</v>
      </c>
      <c r="D1132" s="1358" t="s">
        <v>5682</v>
      </c>
      <c r="E1132" s="1358" t="s">
        <v>4067</v>
      </c>
      <c r="F1132" s="1358">
        <f t="shared" ref="F1132:H1133" si="548">SUMIF($E$1097:$E$1130,$E1132,F$1097:F$1130)</f>
        <v>947639.4791227032</v>
      </c>
      <c r="G1132" s="1358">
        <f t="shared" si="548"/>
        <v>0</v>
      </c>
      <c r="H1132" s="1358">
        <f t="shared" si="548"/>
        <v>947639.4791227032</v>
      </c>
      <c r="I1132" s="1323">
        <f>IF(F1132=0,0,+H1132/F1132)</f>
        <v>1</v>
      </c>
      <c r="J1132" s="1364">
        <f t="shared" ref="J1132:Q1132" si="549">SUMIF($E$1097:$E$1130,$E1132,J$1097:J$1130)</f>
        <v>947639.4791227032</v>
      </c>
      <c r="K1132" s="1364">
        <f t="shared" si="549"/>
        <v>631174.61706506566</v>
      </c>
      <c r="L1132" s="1364">
        <f t="shared" si="549"/>
        <v>47534.992776606276</v>
      </c>
      <c r="M1132" s="1364">
        <f t="shared" si="549"/>
        <v>246788.65433599852</v>
      </c>
      <c r="N1132" s="1364">
        <f t="shared" si="549"/>
        <v>17520.143423569141</v>
      </c>
      <c r="O1132" s="1364">
        <f t="shared" si="549"/>
        <v>1.1962412617133862E-2</v>
      </c>
      <c r="P1132" s="1364">
        <f t="shared" si="549"/>
        <v>4621.059559051133</v>
      </c>
      <c r="Q1132" s="1364">
        <f t="shared" si="549"/>
        <v>0</v>
      </c>
      <c r="R1132" s="1358"/>
      <c r="S1132" s="1436"/>
      <c r="T1132" s="1436"/>
      <c r="U1132" s="1438"/>
      <c r="V1132" s="1326" t="s">
        <v>5419</v>
      </c>
      <c r="Y1132" s="1324"/>
    </row>
    <row r="1133" spans="1:27" s="1324" customFormat="1">
      <c r="A1133" s="1324" t="s">
        <v>4894</v>
      </c>
      <c r="B1133" s="1438"/>
      <c r="C1133" s="1439">
        <v>58</v>
      </c>
      <c r="D1133" s="1364" t="s">
        <v>5682</v>
      </c>
      <c r="E1133" s="1364" t="s">
        <v>4071</v>
      </c>
      <c r="F1133" s="1350">
        <f t="shared" si="548"/>
        <v>318124.96304729668</v>
      </c>
      <c r="G1133" s="1350">
        <f t="shared" si="548"/>
        <v>0</v>
      </c>
      <c r="H1133" s="1350">
        <f t="shared" si="548"/>
        <v>318124.96304729668</v>
      </c>
      <c r="I1133" s="1374">
        <f>IF(F1133=0,0,+H1133/F1133)</f>
        <v>1</v>
      </c>
      <c r="J1133" s="1366">
        <f>J1099+J1101+J1103+J1106+J1108+J1110+J1113+J1115+J1117+J1122+J1124+J1127+J1128+J1129+J1130</f>
        <v>318124.96304729668</v>
      </c>
      <c r="K1133" s="1366">
        <f t="shared" ref="K1133:Q1133" si="550">K1099+K1101+K1103+K1106+K1108+K1110+K1113+K1115+K1117+K1122+K1124+K1127+K1128+K1129+K1130</f>
        <v>145414.69664297058</v>
      </c>
      <c r="L1133" s="1366">
        <f t="shared" si="550"/>
        <v>16932.38421670135</v>
      </c>
      <c r="M1133" s="1366">
        <f t="shared" si="550"/>
        <v>6008.846089557208</v>
      </c>
      <c r="N1133" s="1366">
        <f t="shared" si="550"/>
        <v>244.38702763080556</v>
      </c>
      <c r="O1133" s="1366">
        <f t="shared" si="550"/>
        <v>266.6365060541055</v>
      </c>
      <c r="P1133" s="1366">
        <f t="shared" si="550"/>
        <v>87.719467085979829</v>
      </c>
      <c r="Q1133" s="1366">
        <f t="shared" si="550"/>
        <v>149170.29309729667</v>
      </c>
      <c r="R1133" s="1364"/>
      <c r="S1133" s="1438"/>
      <c r="T1133" s="1438"/>
      <c r="U1133" s="1438"/>
      <c r="V1133" s="1326" t="s">
        <v>5420</v>
      </c>
      <c r="AA1133" s="1320"/>
    </row>
    <row r="1134" spans="1:27">
      <c r="A1134" s="1320" t="s">
        <v>4894</v>
      </c>
      <c r="B1134" s="1436"/>
      <c r="C1134" s="1434">
        <v>59</v>
      </c>
      <c r="D1134" s="1358"/>
      <c r="E1134" s="1358"/>
      <c r="F1134" s="1358"/>
      <c r="G1134" s="1358"/>
      <c r="H1134" s="1358"/>
      <c r="I1134" s="1379"/>
      <c r="J1134" s="1449"/>
      <c r="K1134" s="1449"/>
      <c r="L1134" s="1449"/>
      <c r="M1134" s="1449"/>
      <c r="N1134" s="1449"/>
      <c r="O1134" s="1449"/>
      <c r="P1134" s="1449"/>
      <c r="Q1134" s="1364"/>
      <c r="R1134" s="1358"/>
      <c r="S1134" s="1436"/>
      <c r="T1134" s="1436"/>
      <c r="U1134" s="1438"/>
      <c r="Y1134" s="1324"/>
    </row>
    <row r="1135" spans="1:27">
      <c r="A1135" s="1320" t="s">
        <v>4894</v>
      </c>
      <c r="B1135" s="1436"/>
      <c r="C1135" s="1434">
        <v>60</v>
      </c>
      <c r="D1135" s="1358" t="s">
        <v>5683</v>
      </c>
      <c r="E1135" s="1358"/>
      <c r="F1135" s="1730">
        <f>+SUM(F1132:F1133)</f>
        <v>1265764.4421699999</v>
      </c>
      <c r="G1135" s="1350">
        <f>SUM(G1132:G1133)</f>
        <v>0</v>
      </c>
      <c r="H1135" s="1350">
        <f>SUM(H1132:H1133)</f>
        <v>1265764.4421699999</v>
      </c>
      <c r="I1135" s="1323">
        <f>IF(F1135=0,0,+H1135/F1135)</f>
        <v>1</v>
      </c>
      <c r="J1135" s="1366">
        <f t="shared" ref="J1135:Q1135" si="551">SUM(J1132:J1133)</f>
        <v>1265764.4421699999</v>
      </c>
      <c r="K1135" s="1366">
        <f t="shared" si="551"/>
        <v>776589.31370803621</v>
      </c>
      <c r="L1135" s="1366">
        <f t="shared" si="551"/>
        <v>64467.376993307626</v>
      </c>
      <c r="M1135" s="1366">
        <f t="shared" si="551"/>
        <v>252797.50042555574</v>
      </c>
      <c r="N1135" s="1378">
        <f t="shared" si="551"/>
        <v>17764.530451199946</v>
      </c>
      <c r="O1135" s="1378">
        <f>SUM(O1132:O1133)</f>
        <v>266.64846846672265</v>
      </c>
      <c r="P1135" s="1378">
        <f>SUM(P1132:P1133)</f>
        <v>4708.7790261371129</v>
      </c>
      <c r="Q1135" s="1366">
        <f t="shared" si="551"/>
        <v>149170.29309729667</v>
      </c>
      <c r="R1135" s="1358"/>
      <c r="S1135" s="1436"/>
      <c r="T1135" s="1436"/>
      <c r="U1135" s="1438"/>
      <c r="V1135" s="1320" t="s">
        <v>5640</v>
      </c>
      <c r="Y1135" s="1324"/>
    </row>
    <row r="1136" spans="1:27">
      <c r="A1136" s="1320" t="s">
        <v>4894</v>
      </c>
      <c r="B1136" s="1436"/>
      <c r="C1136" s="1434">
        <v>61</v>
      </c>
      <c r="D1136" s="1358"/>
      <c r="E1136" s="1358"/>
      <c r="F1136" s="1358"/>
      <c r="G1136" s="1358"/>
      <c r="H1136" s="1358"/>
      <c r="I1136" s="1379"/>
      <c r="J1136" s="1364"/>
      <c r="K1136" s="1364"/>
      <c r="L1136" s="1364"/>
      <c r="M1136" s="1367"/>
      <c r="N1136" s="1367"/>
      <c r="O1136" s="1367"/>
      <c r="P1136" s="1364"/>
      <c r="Q1136" s="1364"/>
      <c r="R1136" s="1358"/>
      <c r="S1136" s="1436"/>
      <c r="T1136" s="1436"/>
      <c r="U1136" s="1438"/>
      <c r="Y1136" s="1324"/>
    </row>
    <row r="1137" spans="1:27">
      <c r="A1137" s="1320" t="s">
        <v>4894</v>
      </c>
      <c r="B1137" s="1436"/>
      <c r="C1137" s="1434">
        <v>62</v>
      </c>
      <c r="D1137" s="1358"/>
      <c r="E1137" s="1358"/>
      <c r="F1137" s="1358"/>
      <c r="G1137" s="1358"/>
      <c r="H1137" s="1358"/>
      <c r="I1137" s="1379"/>
      <c r="J1137" s="1364"/>
      <c r="K1137" s="1364"/>
      <c r="L1137" s="1364"/>
      <c r="M1137" s="1367"/>
      <c r="N1137" s="1367"/>
      <c r="O1137" s="1367"/>
      <c r="P1137" s="1364"/>
      <c r="Q1137" s="1364"/>
      <c r="R1137" s="1358"/>
      <c r="S1137" s="1436"/>
      <c r="T1137" s="1436"/>
      <c r="U1137" s="1438"/>
      <c r="Y1137" s="1324"/>
    </row>
    <row r="1138" spans="1:27">
      <c r="A1138" s="1320" t="s">
        <v>4894</v>
      </c>
      <c r="B1138" s="1436"/>
      <c r="C1138" s="1434">
        <v>63</v>
      </c>
      <c r="D1138" s="1450" t="s">
        <v>5684</v>
      </c>
      <c r="E1138" s="1364"/>
      <c r="F1138" s="1364"/>
      <c r="G1138" s="1364"/>
      <c r="H1138" s="1364"/>
      <c r="I1138" s="1379"/>
      <c r="J1138" s="1364"/>
      <c r="K1138" s="1364"/>
      <c r="L1138" s="1364"/>
      <c r="M1138" s="1367"/>
      <c r="N1138" s="1367"/>
      <c r="O1138" s="1367"/>
      <c r="P1138" s="1364"/>
      <c r="Q1138" s="1364"/>
      <c r="R1138" s="1358"/>
      <c r="S1138" s="1436"/>
      <c r="T1138" s="1436"/>
      <c r="U1138" s="1438"/>
      <c r="Y1138" s="1324"/>
    </row>
    <row r="1139" spans="1:27" s="1324" customFormat="1">
      <c r="A1139" s="1324" t="s">
        <v>4894</v>
      </c>
      <c r="B1139" s="1438"/>
      <c r="C1139" s="1439">
        <v>64</v>
      </c>
      <c r="D1139" s="1364" t="s">
        <v>5265</v>
      </c>
      <c r="E1139" s="1364" t="s">
        <v>4067</v>
      </c>
      <c r="F1139" s="1364">
        <f>+F1061+F1062+F1068+F1069</f>
        <v>1811786.0848401624</v>
      </c>
      <c r="G1139" s="1364">
        <f>+G1061+G1062+G1068+G1069</f>
        <v>0</v>
      </c>
      <c r="H1139" s="1364">
        <f>+H1061+H1062+H1068+H1069</f>
        <v>1811786.0848401624</v>
      </c>
      <c r="I1139" s="1374">
        <f t="shared" ref="I1139:I1146" si="552">IF(F1139=0,0,+H1139/F1139)</f>
        <v>1</v>
      </c>
      <c r="J1139" s="1364">
        <f>+J1061+J1062+J1068+J1069</f>
        <v>1811786.0848401624</v>
      </c>
      <c r="K1139" s="1364">
        <f t="shared" ref="K1139:Q1139" si="553">+K1061+K1062+K1068+K1069</f>
        <v>1040354.1427830182</v>
      </c>
      <c r="L1139" s="1364">
        <f t="shared" si="553"/>
        <v>86516.522267815031</v>
      </c>
      <c r="M1139" s="1364">
        <f t="shared" si="553"/>
        <v>559927.17301129678</v>
      </c>
      <c r="N1139" s="1364">
        <f t="shared" si="553"/>
        <v>71562.482253440321</v>
      </c>
      <c r="O1139" s="1364">
        <f t="shared" si="553"/>
        <v>51503.742998244947</v>
      </c>
      <c r="P1139" s="1364">
        <f t="shared" si="553"/>
        <v>1922.0215263473733</v>
      </c>
      <c r="Q1139" s="1364">
        <f t="shared" si="553"/>
        <v>0</v>
      </c>
      <c r="R1139" s="1364"/>
      <c r="S1139" s="1438"/>
      <c r="T1139" s="1438"/>
      <c r="U1139" s="1438"/>
      <c r="V1139" s="1324" t="s">
        <v>5424</v>
      </c>
      <c r="AA1139" s="1320"/>
    </row>
    <row r="1140" spans="1:27" s="1324" customFormat="1">
      <c r="A1140" s="1324" t="s">
        <v>4894</v>
      </c>
      <c r="B1140" s="1438"/>
      <c r="C1140" s="1439">
        <v>65</v>
      </c>
      <c r="D1140" s="1364" t="s">
        <v>5265</v>
      </c>
      <c r="E1140" s="1364" t="s">
        <v>2067</v>
      </c>
      <c r="F1140" s="1364">
        <f>+F1063</f>
        <v>293748.25699691643</v>
      </c>
      <c r="G1140" s="1364">
        <f>+G1063</f>
        <v>0</v>
      </c>
      <c r="H1140" s="1364">
        <f>+H1063</f>
        <v>293748.25699691643</v>
      </c>
      <c r="I1140" s="1374">
        <f t="shared" si="552"/>
        <v>1</v>
      </c>
      <c r="J1140" s="1364">
        <f t="shared" ref="J1140:Q1140" si="554">+J1063</f>
        <v>293748.25699691643</v>
      </c>
      <c r="K1140" s="1364">
        <f t="shared" si="554"/>
        <v>148235.41232929239</v>
      </c>
      <c r="L1140" s="1364">
        <f t="shared" si="554"/>
        <v>13698.68738891955</v>
      </c>
      <c r="M1140" s="1364">
        <f t="shared" si="554"/>
        <v>102049.90030187555</v>
      </c>
      <c r="N1140" s="1367">
        <f t="shared" si="554"/>
        <v>16244.703291998096</v>
      </c>
      <c r="O1140" s="1367">
        <f>+O1063</f>
        <v>11967.665648698916</v>
      </c>
      <c r="P1140" s="1367">
        <f>+P1063</f>
        <v>1551.8880361319234</v>
      </c>
      <c r="Q1140" s="1364">
        <f t="shared" si="554"/>
        <v>0</v>
      </c>
      <c r="R1140" s="1364"/>
      <c r="S1140" s="1438"/>
      <c r="T1140" s="1438"/>
      <c r="U1140" s="1438"/>
      <c r="V1140" s="1324" t="s">
        <v>5425</v>
      </c>
      <c r="AA1140" s="1320"/>
    </row>
    <row r="1141" spans="1:27" s="1324" customFormat="1">
      <c r="A1141" s="1324" t="s">
        <v>4894</v>
      </c>
      <c r="B1141" s="1438"/>
      <c r="C1141" s="1439">
        <v>66</v>
      </c>
      <c r="D1141" s="1364" t="s">
        <v>5268</v>
      </c>
      <c r="E1141" s="1364" t="s">
        <v>4067</v>
      </c>
      <c r="F1141" s="1364">
        <f>F1072</f>
        <v>142075.10412521986</v>
      </c>
      <c r="G1141" s="1364">
        <f>G1072</f>
        <v>9204.5993075669139</v>
      </c>
      <c r="H1141" s="1364">
        <f>H1072</f>
        <v>132870.50481765295</v>
      </c>
      <c r="I1141" s="1374">
        <f>IF(F1141=0,0,+H1141/F1141)</f>
        <v>0.93521314403222744</v>
      </c>
      <c r="J1141" s="1364">
        <f t="shared" ref="J1141:Q1141" si="555">J1072</f>
        <v>132870.50481765295</v>
      </c>
      <c r="K1141" s="1364">
        <f t="shared" si="555"/>
        <v>77066.625442059798</v>
      </c>
      <c r="L1141" s="1364">
        <f t="shared" si="555"/>
        <v>6357.2192622061921</v>
      </c>
      <c r="M1141" s="1364">
        <f t="shared" si="555"/>
        <v>40638.508954936224</v>
      </c>
      <c r="N1141" s="1364">
        <f t="shared" si="555"/>
        <v>5073.1790130568397</v>
      </c>
      <c r="O1141" s="1364">
        <f>O1072</f>
        <v>3640.7679396050867</v>
      </c>
      <c r="P1141" s="1364">
        <f>P1072</f>
        <v>94.204205788814406</v>
      </c>
      <c r="Q1141" s="1364">
        <f t="shared" si="555"/>
        <v>0</v>
      </c>
      <c r="R1141" s="1364"/>
      <c r="S1141" s="1438"/>
      <c r="T1141" s="1438"/>
      <c r="U1141" s="1438"/>
      <c r="V1141" s="1324" t="s">
        <v>5426</v>
      </c>
      <c r="AA1141" s="1320"/>
    </row>
    <row r="1142" spans="1:27" s="1324" customFormat="1">
      <c r="A1142" s="1324" t="s">
        <v>4894</v>
      </c>
      <c r="B1142" s="1438"/>
      <c r="C1142" s="1439">
        <v>67</v>
      </c>
      <c r="D1142" s="1364" t="s">
        <v>5239</v>
      </c>
      <c r="E1142" s="1364" t="s">
        <v>4067</v>
      </c>
      <c r="F1142" s="1364">
        <f>F1077</f>
        <v>124049.70969077831</v>
      </c>
      <c r="G1142" s="1364">
        <f>G1077</f>
        <v>8036.7906745804603</v>
      </c>
      <c r="H1142" s="1364">
        <f>H1077</f>
        <v>116012.91901619785</v>
      </c>
      <c r="I1142" s="1374">
        <f>IF(F1142=0,0,+H1142/F1142)</f>
        <v>0.93521314403222733</v>
      </c>
      <c r="J1142" s="1364">
        <f t="shared" ref="J1142:Q1142" si="556">J1077</f>
        <v>116012.91901619785</v>
      </c>
      <c r="K1142" s="1364">
        <f t="shared" si="556"/>
        <v>67289.005852211441</v>
      </c>
      <c r="L1142" s="1364">
        <f t="shared" si="556"/>
        <v>5550.6642685424222</v>
      </c>
      <c r="M1142" s="1364">
        <f t="shared" si="556"/>
        <v>35482.608083699204</v>
      </c>
      <c r="N1142" s="1364">
        <f t="shared" si="556"/>
        <v>4429.5331518770854</v>
      </c>
      <c r="O1142" s="1364">
        <f>O1077</f>
        <v>3178.8553578074334</v>
      </c>
      <c r="P1142" s="1364">
        <f>P1077</f>
        <v>82.252302060276108</v>
      </c>
      <c r="Q1142" s="1364">
        <f t="shared" si="556"/>
        <v>0</v>
      </c>
      <c r="R1142" s="1364"/>
      <c r="S1142" s="1438"/>
      <c r="T1142" s="1438"/>
      <c r="U1142" s="1438"/>
      <c r="V1142" s="1324" t="s">
        <v>5427</v>
      </c>
      <c r="AA1142" s="1320"/>
    </row>
    <row r="1143" spans="1:27" s="1324" customFormat="1">
      <c r="A1143" s="1324" t="s">
        <v>4894</v>
      </c>
      <c r="B1143" s="1438"/>
      <c r="C1143" s="1439">
        <v>68</v>
      </c>
      <c r="D1143" s="1364" t="s">
        <v>5240</v>
      </c>
      <c r="E1143" s="1364" t="s">
        <v>4067</v>
      </c>
      <c r="F1143" s="1364">
        <f>+F1097+F1100+F1107+F1114+F1121</f>
        <v>561986.68645107013</v>
      </c>
      <c r="G1143" s="1364">
        <f t="shared" ref="G1143:Q1143" si="557">+G1097+G1100+G1107+G1114+G1121</f>
        <v>0</v>
      </c>
      <c r="H1143" s="1364">
        <f t="shared" si="557"/>
        <v>561986.68645107013</v>
      </c>
      <c r="I1143" s="1374">
        <f>IF(F1143=0,0,+H1143/F1143)</f>
        <v>1</v>
      </c>
      <c r="J1143" s="1364">
        <f t="shared" si="557"/>
        <v>561986.68645107013</v>
      </c>
      <c r="K1143" s="1364">
        <f t="shared" si="557"/>
        <v>349789.51222123293</v>
      </c>
      <c r="L1143" s="1364">
        <f t="shared" si="557"/>
        <v>24877.907402042616</v>
      </c>
      <c r="M1143" s="1364">
        <f t="shared" si="557"/>
        <v>166573.12317274819</v>
      </c>
      <c r="N1143" s="1364">
        <f t="shared" si="557"/>
        <v>17520.143423569141</v>
      </c>
      <c r="O1143" s="1364">
        <f t="shared" si="557"/>
        <v>1.1962412617133862E-2</v>
      </c>
      <c r="P1143" s="1364">
        <f t="shared" si="557"/>
        <v>3225.9882690648146</v>
      </c>
      <c r="Q1143" s="1364">
        <f t="shared" si="557"/>
        <v>0</v>
      </c>
      <c r="R1143" s="1364"/>
      <c r="S1143" s="1438"/>
      <c r="T1143" s="1438"/>
      <c r="U1143" s="1438"/>
      <c r="V1143" s="1324" t="s">
        <v>5428</v>
      </c>
      <c r="AA1143" s="1320"/>
    </row>
    <row r="1144" spans="1:27">
      <c r="A1144" s="1320" t="s">
        <v>4894</v>
      </c>
      <c r="B1144" s="1436"/>
      <c r="C1144" s="1439">
        <v>69</v>
      </c>
      <c r="D1144" s="1364" t="s">
        <v>5241</v>
      </c>
      <c r="E1144" s="1364" t="s">
        <v>4067</v>
      </c>
      <c r="F1144" s="1364">
        <f>+F1102+F1109+F1116+F1123</f>
        <v>385652.79267163313</v>
      </c>
      <c r="G1144" s="1364">
        <f>+G1102+G1109+G1116+G1123</f>
        <v>0</v>
      </c>
      <c r="H1144" s="1364">
        <f>+H1102+H1109+H1116+H1123</f>
        <v>385652.79267163313</v>
      </c>
      <c r="I1144" s="1374">
        <f t="shared" si="552"/>
        <v>1</v>
      </c>
      <c r="J1144" s="1364">
        <f>H1144</f>
        <v>385652.79267163313</v>
      </c>
      <c r="K1144" s="1364">
        <f t="shared" ref="K1144:Q1144" si="558">+K1102+K1109+K1116+K1123</f>
        <v>281385.10484383279</v>
      </c>
      <c r="L1144" s="1364">
        <f t="shared" si="558"/>
        <v>22657.085374563656</v>
      </c>
      <c r="M1144" s="1364">
        <f>+M1102+M1109+M1116+M1123</f>
        <v>80215.531163250373</v>
      </c>
      <c r="N1144" s="1364">
        <f t="shared" si="558"/>
        <v>0</v>
      </c>
      <c r="O1144" s="1364">
        <f>+O1102+O1109+O1116+O1123</f>
        <v>0</v>
      </c>
      <c r="P1144" s="1364">
        <f>+P1102+P1109+P1116+P1123</f>
        <v>1395.0712899863183</v>
      </c>
      <c r="Q1144" s="1364">
        <f t="shared" si="558"/>
        <v>0</v>
      </c>
      <c r="R1144" s="1358"/>
      <c r="S1144" s="1436"/>
      <c r="T1144" s="1436"/>
      <c r="U1144" s="1438"/>
      <c r="V1144" s="1324" t="s">
        <v>5429</v>
      </c>
    </row>
    <row r="1145" spans="1:27" s="1324" customFormat="1">
      <c r="A1145" s="1324" t="s">
        <v>4894</v>
      </c>
      <c r="B1145" s="1438"/>
      <c r="C1145" s="1439">
        <v>70</v>
      </c>
      <c r="D1145" s="1364" t="s">
        <v>5242</v>
      </c>
      <c r="E1145" s="1364" t="s">
        <v>4071</v>
      </c>
      <c r="F1145" s="1364">
        <f>F1133</f>
        <v>318124.96304729668</v>
      </c>
      <c r="G1145" s="1364">
        <f>G1133</f>
        <v>0</v>
      </c>
      <c r="H1145" s="1364">
        <f>H1133</f>
        <v>318124.96304729668</v>
      </c>
      <c r="I1145" s="1374">
        <f>IF(F1145=0,0,+H1145/F1145)</f>
        <v>1</v>
      </c>
      <c r="J1145" s="1364">
        <f>H1145</f>
        <v>318124.96304729668</v>
      </c>
      <c r="K1145" s="1364">
        <f t="shared" ref="K1145:Q1145" si="559">K1133</f>
        <v>145414.69664297058</v>
      </c>
      <c r="L1145" s="1364">
        <f t="shared" si="559"/>
        <v>16932.38421670135</v>
      </c>
      <c r="M1145" s="1364">
        <f t="shared" si="559"/>
        <v>6008.846089557208</v>
      </c>
      <c r="N1145" s="1364">
        <f t="shared" si="559"/>
        <v>244.38702763080556</v>
      </c>
      <c r="O1145" s="1364">
        <f>O1133</f>
        <v>266.6365060541055</v>
      </c>
      <c r="P1145" s="1364">
        <f>P1133</f>
        <v>87.719467085979829</v>
      </c>
      <c r="Q1145" s="1364">
        <f t="shared" si="559"/>
        <v>149170.29309729667</v>
      </c>
      <c r="R1145" s="1364"/>
      <c r="S1145" s="1438"/>
      <c r="T1145" s="1438"/>
      <c r="U1145" s="1438"/>
      <c r="V1145" s="1326" t="s">
        <v>5645</v>
      </c>
      <c r="AA1145" s="1320"/>
    </row>
    <row r="1146" spans="1:27">
      <c r="A1146" s="1320" t="s">
        <v>4894</v>
      </c>
      <c r="B1146" s="1358"/>
      <c r="C1146" s="1434">
        <v>71</v>
      </c>
      <c r="D1146" s="1364" t="s">
        <v>5244</v>
      </c>
      <c r="E1146" s="1364" t="s">
        <v>4071</v>
      </c>
      <c r="F1146" s="1554">
        <v>0</v>
      </c>
      <c r="G1146" s="1366">
        <v>0</v>
      </c>
      <c r="H1146" s="1366">
        <v>0</v>
      </c>
      <c r="I1146" s="1323">
        <f t="shared" si="552"/>
        <v>0</v>
      </c>
      <c r="J1146" s="1366">
        <v>0</v>
      </c>
      <c r="K1146" s="1366">
        <v>0</v>
      </c>
      <c r="L1146" s="1366">
        <v>0</v>
      </c>
      <c r="M1146" s="1366">
        <v>0</v>
      </c>
      <c r="N1146" s="1378">
        <v>0</v>
      </c>
      <c r="O1146" s="1378">
        <v>0</v>
      </c>
      <c r="P1146" s="1378">
        <v>0</v>
      </c>
      <c r="Q1146" s="1366">
        <v>0</v>
      </c>
      <c r="R1146" s="1358"/>
      <c r="S1146" s="1358"/>
      <c r="T1146" s="1358"/>
      <c r="U1146" s="1364"/>
      <c r="V1146" s="1320" t="s">
        <v>5343</v>
      </c>
    </row>
    <row r="1147" spans="1:27">
      <c r="A1147" s="1320" t="s">
        <v>4894</v>
      </c>
      <c r="B1147" s="1436"/>
      <c r="C1147" s="1434">
        <v>72</v>
      </c>
      <c r="D1147" s="1364"/>
      <c r="E1147" s="1364"/>
      <c r="F1147" s="1364"/>
      <c r="G1147" s="1364"/>
      <c r="H1147" s="1364"/>
      <c r="I1147" s="1379"/>
      <c r="J1147" s="1364"/>
      <c r="K1147" s="1364"/>
      <c r="L1147" s="1364"/>
      <c r="M1147" s="1367"/>
      <c r="N1147" s="1367"/>
      <c r="O1147" s="1367"/>
      <c r="P1147" s="1364"/>
      <c r="Q1147" s="1364"/>
      <c r="R1147" s="1358"/>
      <c r="S1147" s="1436"/>
      <c r="T1147" s="1436"/>
      <c r="U1147" s="1438"/>
    </row>
    <row r="1148" spans="1:27">
      <c r="A1148" s="1320" t="s">
        <v>4894</v>
      </c>
      <c r="B1148" s="1436"/>
      <c r="C1148" s="1434">
        <v>73</v>
      </c>
      <c r="D1148" s="1364" t="s">
        <v>5685</v>
      </c>
      <c r="E1148" s="1364"/>
      <c r="F1148" s="1366">
        <f>+SUM(F1139:F1146)</f>
        <v>3637423.5978230769</v>
      </c>
      <c r="G1148" s="1366">
        <f>SUM(G1139:G1146)</f>
        <v>17241.389982147375</v>
      </c>
      <c r="H1148" s="1366">
        <f>SUM(H1139:H1146)</f>
        <v>3620182.2078409293</v>
      </c>
      <c r="I1148" s="1323">
        <f>IF(F1148=0,0,+H1148/F1148)</f>
        <v>0.99525999941484233</v>
      </c>
      <c r="J1148" s="1366">
        <f t="shared" ref="J1148:Q1148" si="560">SUM(J1139:J1146)</f>
        <v>3620182.2078409293</v>
      </c>
      <c r="K1148" s="1366">
        <f t="shared" si="560"/>
        <v>2109534.5001146183</v>
      </c>
      <c r="L1148" s="1366">
        <f t="shared" si="560"/>
        <v>176590.47018079078</v>
      </c>
      <c r="M1148" s="1366">
        <f t="shared" si="560"/>
        <v>990895.69077736337</v>
      </c>
      <c r="N1148" s="1378">
        <f t="shared" si="560"/>
        <v>115074.42816157229</v>
      </c>
      <c r="O1148" s="1378">
        <f>SUM(O1139:O1146)</f>
        <v>70557.680412823102</v>
      </c>
      <c r="P1148" s="1378">
        <f>SUM(P1139:P1146)</f>
        <v>8359.1450964654978</v>
      </c>
      <c r="Q1148" s="1366">
        <f t="shared" si="560"/>
        <v>149170.29309729667</v>
      </c>
      <c r="R1148" s="1358"/>
      <c r="S1148" s="1436"/>
      <c r="T1148" s="1436"/>
      <c r="U1148" s="1438"/>
      <c r="V1148" s="1320" t="s">
        <v>5432</v>
      </c>
    </row>
    <row r="1149" spans="1:27">
      <c r="B1149" s="1436"/>
      <c r="C1149" s="1434"/>
      <c r="D1149" s="1358"/>
      <c r="E1149" s="1358"/>
      <c r="F1149" s="1358"/>
      <c r="G1149" s="1358"/>
      <c r="H1149" s="1358"/>
      <c r="I1149" s="1379"/>
      <c r="K1149" s="1364"/>
      <c r="S1149" s="1436"/>
      <c r="T1149" s="1436"/>
      <c r="U1149" s="1438"/>
      <c r="Y1149" s="1324"/>
    </row>
    <row r="1150" spans="1:27">
      <c r="B1150" s="1436"/>
      <c r="C1150" s="1434"/>
      <c r="D1150" s="1358"/>
      <c r="E1150" s="1358"/>
      <c r="F1150" s="1358"/>
      <c r="G1150" s="1358"/>
      <c r="H1150" s="1358"/>
      <c r="I1150" s="1379"/>
      <c r="K1150" s="1364"/>
      <c r="S1150" s="1436"/>
      <c r="T1150" s="1436"/>
      <c r="U1150" s="1438"/>
      <c r="Y1150" s="1324"/>
    </row>
    <row r="1151" spans="1:27">
      <c r="B1151" s="1436"/>
      <c r="C1151" s="1434"/>
      <c r="D1151" s="1358"/>
      <c r="E1151" s="1358"/>
      <c r="F1151" s="1358"/>
      <c r="G1151" s="1358"/>
      <c r="H1151" s="1358"/>
      <c r="I1151" s="1379"/>
      <c r="K1151" s="1364"/>
      <c r="S1151" s="1436"/>
      <c r="T1151" s="1436"/>
      <c r="U1151" s="1438"/>
      <c r="Y1151" s="1324"/>
    </row>
    <row r="1152" spans="1:27">
      <c r="B1152" s="1436"/>
      <c r="C1152" s="1434"/>
      <c r="D1152" s="1358"/>
      <c r="E1152" s="1358"/>
      <c r="F1152" s="1358"/>
      <c r="G1152" s="1358"/>
      <c r="H1152" s="1358"/>
      <c r="I1152" s="1379"/>
      <c r="K1152" s="1364"/>
      <c r="S1152" s="1436"/>
      <c r="T1152" s="1436"/>
      <c r="U1152" s="1438"/>
      <c r="Y1152" s="1324"/>
    </row>
    <row r="1153" spans="1:27">
      <c r="B1153" s="1436"/>
      <c r="C1153" s="1434"/>
      <c r="D1153" s="1358"/>
      <c r="E1153" s="1358"/>
      <c r="F1153" s="1358"/>
      <c r="G1153" s="1358"/>
      <c r="H1153" s="1358"/>
      <c r="I1153" s="1379"/>
      <c r="K1153" s="1364"/>
      <c r="S1153" s="1436"/>
      <c r="T1153" s="1436"/>
      <c r="U1153" s="1438"/>
      <c r="Y1153" s="1324"/>
    </row>
    <row r="1154" spans="1:27">
      <c r="B1154" s="1432"/>
      <c r="C1154" s="1340" t="str">
        <f>+C$2</f>
        <v>RATES WITH REVENUE DEFICIENCY ADDITION</v>
      </c>
      <c r="D1154" s="1358"/>
      <c r="F1154" s="1333"/>
      <c r="G1154" s="1327" t="s">
        <v>2173</v>
      </c>
      <c r="H1154" s="1358"/>
      <c r="I1154" s="1334" t="s">
        <v>5680</v>
      </c>
      <c r="L1154" s="1329" t="s">
        <v>2173</v>
      </c>
      <c r="M1154" s="1330"/>
      <c r="N1154" s="1330"/>
      <c r="O1154" s="1330"/>
      <c r="S1154" s="1334" t="s">
        <v>5686</v>
      </c>
      <c r="T1154" s="1333" t="s">
        <v>2173</v>
      </c>
      <c r="U1154" s="1334"/>
      <c r="V1154" s="1332" t="s">
        <v>4772</v>
      </c>
      <c r="Y1154" s="1324"/>
    </row>
    <row r="1155" spans="1:27">
      <c r="B1155" s="1432"/>
      <c r="C1155" s="1340" t="str">
        <f>+C$3</f>
        <v>PROD. CAP. ALLOC. METHOD: 12 CP &amp; 1/13th AD</v>
      </c>
      <c r="D1155" s="1358"/>
      <c r="G1155" s="1336" t="s">
        <v>4768</v>
      </c>
      <c r="I1155" s="1335" t="s">
        <v>4309</v>
      </c>
      <c r="L1155" s="1336" t="s">
        <v>5141</v>
      </c>
      <c r="M1155" s="1337"/>
      <c r="N1155" s="1337"/>
      <c r="O1155" s="1337"/>
      <c r="R1155" s="1331"/>
      <c r="S1155" s="1335" t="s">
        <v>4310</v>
      </c>
      <c r="T1155" s="1333" t="s">
        <v>5141</v>
      </c>
      <c r="U1155" s="1438"/>
      <c r="V1155" s="1332" t="s">
        <v>5686</v>
      </c>
      <c r="Y1155" s="1324"/>
    </row>
    <row r="1156" spans="1:27">
      <c r="B1156" s="1436"/>
      <c r="C1156" s="1340" t="str">
        <f>+C$4</f>
        <v>PROJECTED CALENDAR YEAR 2025; FULLY ADJUSTED DATA</v>
      </c>
      <c r="D1156" s="1358"/>
      <c r="G1156" s="1336" t="s">
        <v>2181</v>
      </c>
      <c r="L1156" s="1336" t="s">
        <v>2181</v>
      </c>
      <c r="S1156" s="1451"/>
      <c r="T1156" s="1339"/>
      <c r="U1156" s="1438"/>
      <c r="Y1156" s="1324"/>
    </row>
    <row r="1157" spans="1:27">
      <c r="B1157" s="1436"/>
      <c r="C1157" s="1340" t="str">
        <f>+C$5</f>
        <v>MINIMUM DISTRIBUTION SYSTEM (MDS) NOT EMPLOYED</v>
      </c>
      <c r="D1157" s="1358"/>
      <c r="G1157" s="1358"/>
      <c r="H1157" s="1358"/>
      <c r="I1157" s="1379"/>
      <c r="K1157" s="1364"/>
      <c r="L1157" s="1336"/>
      <c r="M1157" s="1337"/>
      <c r="N1157" s="1337"/>
      <c r="O1157" s="1337"/>
      <c r="S1157" s="1436"/>
      <c r="T1157" s="1333"/>
      <c r="U1157" s="1438"/>
    </row>
    <row r="1158" spans="1:27">
      <c r="B1158" s="1436"/>
      <c r="C1158" s="1340" t="str">
        <f>+C$6</f>
        <v>Tampa Electric 2025 OB Budget</v>
      </c>
      <c r="D1158" s="1358"/>
      <c r="F1158" s="1327"/>
      <c r="G1158" s="1333" t="s">
        <v>5674</v>
      </c>
      <c r="H1158" s="1358"/>
      <c r="I1158" s="1379"/>
      <c r="K1158" s="1364"/>
      <c r="L1158" s="1336" t="s">
        <v>5674</v>
      </c>
      <c r="M1158" s="1337"/>
      <c r="N1158" s="1337"/>
      <c r="O1158" s="1337"/>
      <c r="S1158" s="1436"/>
      <c r="T1158" s="1333" t="s">
        <v>5674</v>
      </c>
      <c r="U1158" s="1438"/>
    </row>
    <row r="1159" spans="1:27">
      <c r="B1159" s="1436"/>
      <c r="C1159" s="1434"/>
      <c r="D1159" s="1358"/>
      <c r="F1159" s="1333"/>
      <c r="G1159" s="1358"/>
      <c r="H1159" s="1358"/>
      <c r="I1159" s="1379"/>
      <c r="K1159" s="1364"/>
      <c r="L1159" s="1336"/>
      <c r="M1159" s="1337"/>
      <c r="N1159" s="1337"/>
      <c r="O1159" s="1337"/>
      <c r="S1159" s="1436"/>
      <c r="T1159" s="1436"/>
      <c r="U1159" s="1438"/>
    </row>
    <row r="1160" spans="1:27">
      <c r="B1160" s="1436"/>
      <c r="C1160" s="1434"/>
      <c r="D1160" s="1358"/>
      <c r="E1160" s="1358"/>
      <c r="F1160" s="1333"/>
      <c r="G1160" s="1358"/>
      <c r="H1160" s="1358"/>
      <c r="I1160" s="1379"/>
      <c r="K1160" s="1364"/>
      <c r="L1160" s="1336"/>
      <c r="M1160" s="1337"/>
      <c r="N1160" s="1337"/>
      <c r="O1160" s="1337"/>
      <c r="S1160" s="1436"/>
      <c r="T1160" s="1436"/>
      <c r="U1160" s="1438"/>
    </row>
    <row r="1161" spans="1:27">
      <c r="B1161" s="1436"/>
      <c r="C1161" s="1434"/>
      <c r="D1161" s="1358"/>
      <c r="E1161" s="1358"/>
      <c r="F1161" s="1358"/>
      <c r="G1161" s="1358"/>
      <c r="H1161" s="1358"/>
      <c r="I1161" s="1379"/>
      <c r="K1161" s="1364"/>
      <c r="S1161" s="1436"/>
      <c r="T1161" s="1436"/>
      <c r="U1161" s="1438"/>
    </row>
    <row r="1162" spans="1:27">
      <c r="B1162" s="1436"/>
      <c r="C1162" s="1342"/>
      <c r="D1162" s="1331"/>
      <c r="E1162" s="1331"/>
      <c r="F1162" s="1333"/>
      <c r="G1162" s="1333"/>
      <c r="H1162" s="1333"/>
      <c r="I1162" s="1343"/>
      <c r="J1162" s="1416"/>
      <c r="K1162" s="1336"/>
      <c r="L1162" s="1416"/>
      <c r="M1162" s="1417"/>
      <c r="N1162" s="1417"/>
      <c r="O1162" s="1417"/>
      <c r="P1162" s="3164"/>
      <c r="Q1162" s="3164"/>
      <c r="R1162" s="1333"/>
      <c r="S1162" s="1436"/>
      <c r="T1162" s="1436"/>
      <c r="U1162" s="1438"/>
    </row>
    <row r="1163" spans="1:27" ht="30" customHeight="1">
      <c r="A1163" s="1418" t="s">
        <v>4683</v>
      </c>
      <c r="B1163" s="1425" t="s">
        <v>5143</v>
      </c>
      <c r="C1163" s="1349" t="s">
        <v>4297</v>
      </c>
      <c r="D1163" s="1418"/>
      <c r="E1163" s="1418"/>
      <c r="F1163" s="1348" t="s">
        <v>5144</v>
      </c>
      <c r="G1163" s="1348" t="s">
        <v>4956</v>
      </c>
      <c r="H1163" s="1348" t="s">
        <v>4957</v>
      </c>
      <c r="I1163" s="1426" t="s">
        <v>5145</v>
      </c>
      <c r="J1163" s="1352" t="s">
        <v>4957</v>
      </c>
      <c r="K1163" s="1353" t="s">
        <v>1949</v>
      </c>
      <c r="L1163" s="1353" t="s">
        <v>1950</v>
      </c>
      <c r="M1163" s="1354" t="s">
        <v>1934</v>
      </c>
      <c r="N1163" s="1354" t="s">
        <v>1971</v>
      </c>
      <c r="O1163" s="1354" t="s">
        <v>1972</v>
      </c>
      <c r="P1163" s="1352" t="s">
        <v>5146</v>
      </c>
      <c r="Q1163" s="1352" t="s">
        <v>5147</v>
      </c>
      <c r="R1163" s="1355"/>
      <c r="S1163" s="1348" t="s">
        <v>5299</v>
      </c>
      <c r="T1163" s="1348"/>
      <c r="U1163" s="1352"/>
      <c r="V1163" s="1355" t="s">
        <v>4774</v>
      </c>
      <c r="W1163" s="1350"/>
    </row>
    <row r="1164" spans="1:27">
      <c r="B1164" s="1436"/>
      <c r="C1164" s="1434"/>
      <c r="D1164" s="1358"/>
      <c r="E1164" s="1358"/>
      <c r="F1164" s="1358"/>
      <c r="G1164" s="1358"/>
      <c r="H1164" s="1358"/>
      <c r="I1164" s="1379"/>
      <c r="K1164" s="1364"/>
      <c r="S1164" s="1436"/>
      <c r="T1164" s="1436"/>
      <c r="U1164" s="1438"/>
    </row>
    <row r="1165" spans="1:27">
      <c r="A1165" s="1320" t="s">
        <v>4894</v>
      </c>
      <c r="B1165" s="1436"/>
      <c r="C1165" s="1434">
        <v>74</v>
      </c>
      <c r="D1165" s="1356" t="s">
        <v>5648</v>
      </c>
      <c r="E1165" s="1358"/>
      <c r="F1165" s="1358"/>
      <c r="G1165" s="1358"/>
      <c r="H1165" s="1358"/>
      <c r="I1165" s="1379"/>
      <c r="K1165" s="1364"/>
      <c r="S1165" s="1436"/>
      <c r="T1165" s="1436"/>
      <c r="U1165" s="1438"/>
    </row>
    <row r="1166" spans="1:27" s="1324" customFormat="1">
      <c r="A1166" s="1324" t="s">
        <v>4894</v>
      </c>
      <c r="B1166" s="1324">
        <v>101</v>
      </c>
      <c r="C1166" s="1439">
        <v>75</v>
      </c>
      <c r="D1166" s="1324" t="s">
        <v>5265</v>
      </c>
      <c r="E1166" s="1364" t="s">
        <v>4067</v>
      </c>
      <c r="F1166" s="1364">
        <f>+'Allocation Assignment'!F400</f>
        <v>13815.640279301399</v>
      </c>
      <c r="G1166" s="1364">
        <f>+$F1166*G$1933</f>
        <v>0</v>
      </c>
      <c r="H1166" s="1364">
        <f>+$F1166*H$1933</f>
        <v>13815.640279301399</v>
      </c>
      <c r="I1166" s="1374">
        <f t="shared" ref="I1166:I1174" si="561">IF(F1166=0,0,+H1166/F1166)</f>
        <v>1</v>
      </c>
      <c r="J1166" s="1324">
        <f t="shared" ref="J1166:J1173" si="562">+H1166</f>
        <v>13815.640279301399</v>
      </c>
      <c r="K1166" s="1324">
        <f t="shared" ref="K1166:Q1166" si="563">$J1166*K$1951</f>
        <v>7933.143277805425</v>
      </c>
      <c r="L1166" s="1324">
        <f t="shared" si="563"/>
        <v>659.72531739239548</v>
      </c>
      <c r="M1166" s="1324">
        <f t="shared" si="563"/>
        <v>4269.6830876768163</v>
      </c>
      <c r="N1166" s="1324">
        <f t="shared" si="563"/>
        <v>545.69439548082403</v>
      </c>
      <c r="O1166" s="1324">
        <f t="shared" si="563"/>
        <v>392.73796849152563</v>
      </c>
      <c r="P1166" s="1324">
        <f t="shared" si="563"/>
        <v>14.656232454413482</v>
      </c>
      <c r="Q1166" s="1324">
        <f t="shared" si="563"/>
        <v>0</v>
      </c>
      <c r="S1166" s="1324">
        <v>122</v>
      </c>
      <c r="V1166" s="1326" t="s">
        <v>9476</v>
      </c>
      <c r="W1166" s="1326">
        <v>122</v>
      </c>
      <c r="AA1166" s="1320"/>
    </row>
    <row r="1167" spans="1:27" s="1324" customFormat="1">
      <c r="A1167" s="1320" t="s">
        <v>4894</v>
      </c>
      <c r="B1167" s="1324">
        <v>201</v>
      </c>
      <c r="C1167" s="1439">
        <v>76</v>
      </c>
      <c r="D1167" s="1324" t="s">
        <v>5265</v>
      </c>
      <c r="E1167" s="1364" t="s">
        <v>2067</v>
      </c>
      <c r="F1167" s="1364">
        <f>+'Allocation Assignment'!F401</f>
        <v>3432.7320436592199</v>
      </c>
      <c r="G1167" s="1364">
        <f>+$F1167*G$1969</f>
        <v>0</v>
      </c>
      <c r="H1167" s="1364">
        <f>+$F1167*H$1969</f>
        <v>3432.7320436592199</v>
      </c>
      <c r="I1167" s="1374">
        <f t="shared" si="561"/>
        <v>1</v>
      </c>
      <c r="J1167" s="1324">
        <f t="shared" si="562"/>
        <v>3432.7320436592199</v>
      </c>
      <c r="K1167" s="1364">
        <f t="shared" ref="K1167:Q1167" si="564">+$J1167*K$1969</f>
        <v>1732.2739379289001</v>
      </c>
      <c r="L1167" s="1364">
        <f t="shared" si="564"/>
        <v>160.08239040039041</v>
      </c>
      <c r="M1167" s="1364">
        <f t="shared" si="564"/>
        <v>1192.5516304328376</v>
      </c>
      <c r="N1167" s="1367">
        <f t="shared" si="564"/>
        <v>189.8350448110528</v>
      </c>
      <c r="O1167" s="1367">
        <f t="shared" si="564"/>
        <v>139.85372978917698</v>
      </c>
      <c r="P1167" s="1367">
        <f t="shared" si="564"/>
        <v>18.135310296861956</v>
      </c>
      <c r="Q1167" s="1364">
        <f t="shared" si="564"/>
        <v>0</v>
      </c>
      <c r="R1167" s="1364"/>
      <c r="S1167" s="1324">
        <v>201</v>
      </c>
      <c r="V1167" s="1321" t="s">
        <v>5235</v>
      </c>
      <c r="W1167" s="1321">
        <v>201</v>
      </c>
      <c r="AA1167" s="1320"/>
    </row>
    <row r="1168" spans="1:27">
      <c r="A1168" s="1320" t="s">
        <v>4894</v>
      </c>
      <c r="B1168" s="1320">
        <v>117</v>
      </c>
      <c r="C1168" s="1434">
        <v>77</v>
      </c>
      <c r="D1168" s="1320" t="s">
        <v>5268</v>
      </c>
      <c r="E1168" s="1358" t="s">
        <v>4067</v>
      </c>
      <c r="F1168" s="1364">
        <f>+'Allocation Assignment'!F402</f>
        <v>2603.9579505471925</v>
      </c>
      <c r="G1168" s="1364">
        <f>+$F1168*G$1942</f>
        <v>168.70224868823729</v>
      </c>
      <c r="H1168" s="1364">
        <f>+$F1168*H$1942</f>
        <v>2435.255701858955</v>
      </c>
      <c r="I1168" s="1323">
        <f t="shared" si="561"/>
        <v>0.93521314403222733</v>
      </c>
      <c r="J1168" s="1324">
        <f t="shared" si="562"/>
        <v>2435.255701858955</v>
      </c>
      <c r="K1168" s="1364">
        <f t="shared" ref="K1168:Q1169" si="565">+$J1168*K$1945</f>
        <v>1412.4800631138273</v>
      </c>
      <c r="L1168" s="1364">
        <f t="shared" si="565"/>
        <v>116.51535814890927</v>
      </c>
      <c r="M1168" s="1364">
        <f t="shared" si="565"/>
        <v>744.8241487707985</v>
      </c>
      <c r="N1168" s="1367">
        <f t="shared" si="565"/>
        <v>92.981419277760267</v>
      </c>
      <c r="O1168" s="1367">
        <f t="shared" si="565"/>
        <v>66.728134255501217</v>
      </c>
      <c r="P1168" s="1367">
        <f t="shared" si="565"/>
        <v>1.7265782921585278</v>
      </c>
      <c r="Q1168" s="1364">
        <f t="shared" si="565"/>
        <v>0</v>
      </c>
      <c r="R1168" s="1364"/>
      <c r="S1168" s="1324">
        <v>118</v>
      </c>
      <c r="V1168" s="1321" t="s">
        <v>9477</v>
      </c>
      <c r="W1168" s="1321">
        <v>117</v>
      </c>
    </row>
    <row r="1169" spans="1:27">
      <c r="A1169" s="1320" t="s">
        <v>4894</v>
      </c>
      <c r="B1169" s="1320">
        <v>117</v>
      </c>
      <c r="C1169" s="1434">
        <v>78</v>
      </c>
      <c r="D1169" s="1320" t="s">
        <v>5239</v>
      </c>
      <c r="E1169" s="1358" t="s">
        <v>4067</v>
      </c>
      <c r="F1169" s="1364">
        <f>+'Allocation Assignment'!F403</f>
        <v>2096.1895225654221</v>
      </c>
      <c r="G1169" s="1364">
        <f>+$F1169*G$1942</f>
        <v>135.80552867960003</v>
      </c>
      <c r="H1169" s="1364">
        <f>+$F1169*H$1942</f>
        <v>1960.3839938858218</v>
      </c>
      <c r="I1169" s="1323">
        <f t="shared" si="561"/>
        <v>0.93521314403222733</v>
      </c>
      <c r="J1169" s="1324">
        <f t="shared" si="562"/>
        <v>1960.3839938858218</v>
      </c>
      <c r="K1169" s="1364">
        <f t="shared" si="565"/>
        <v>1137.0482801035887</v>
      </c>
      <c r="L1169" s="1364">
        <f t="shared" si="565"/>
        <v>93.795014208419659</v>
      </c>
      <c r="M1169" s="1364">
        <f t="shared" si="565"/>
        <v>599.58440437909871</v>
      </c>
      <c r="N1169" s="1367">
        <f t="shared" si="565"/>
        <v>74.850162938439993</v>
      </c>
      <c r="O1169" s="1367">
        <f t="shared" si="565"/>
        <v>53.716234495003022</v>
      </c>
      <c r="P1169" s="1367">
        <f t="shared" si="565"/>
        <v>1.389897761271861</v>
      </c>
      <c r="Q1169" s="1364">
        <f t="shared" si="565"/>
        <v>0</v>
      </c>
      <c r="R1169" s="1364"/>
      <c r="S1169" s="1324">
        <v>118</v>
      </c>
      <c r="V1169" s="1321" t="s">
        <v>9477</v>
      </c>
      <c r="W1169" s="1321">
        <v>117</v>
      </c>
    </row>
    <row r="1170" spans="1:27">
      <c r="A1170" s="1320" t="s">
        <v>4894</v>
      </c>
      <c r="B1170" s="1320">
        <v>105</v>
      </c>
      <c r="C1170" s="1434">
        <v>79</v>
      </c>
      <c r="D1170" s="1320" t="s">
        <v>5240</v>
      </c>
      <c r="E1170" s="1358" t="s">
        <v>4067</v>
      </c>
      <c r="F1170" s="1364">
        <f>+'Allocation Assignment'!F404</f>
        <v>12653.366061707286</v>
      </c>
      <c r="G1170" s="1364">
        <f>+$F1170*G$1936</f>
        <v>0</v>
      </c>
      <c r="H1170" s="1364">
        <f>+$F1170*H$1936</f>
        <v>12653.366061707286</v>
      </c>
      <c r="I1170" s="1323">
        <f t="shared" si="561"/>
        <v>1</v>
      </c>
      <c r="J1170" s="1324">
        <f t="shared" si="562"/>
        <v>12653.366061707286</v>
      </c>
      <c r="K1170" s="1364">
        <f t="shared" ref="K1170:Q1170" si="566">+$J1170*K$1936</f>
        <v>7875.6576434780882</v>
      </c>
      <c r="L1170" s="1364">
        <f t="shared" si="566"/>
        <v>560.13652422121913</v>
      </c>
      <c r="M1170" s="1364">
        <f t="shared" si="566"/>
        <v>3750.4637642873217</v>
      </c>
      <c r="N1170" s="1367">
        <f t="shared" si="566"/>
        <v>394.47338084108759</v>
      </c>
      <c r="O1170" s="1367">
        <f t="shared" si="566"/>
        <v>2.6933873964460781E-4</v>
      </c>
      <c r="P1170" s="1367">
        <f t="shared" si="566"/>
        <v>72.634479540832601</v>
      </c>
      <c r="Q1170" s="1364">
        <f t="shared" si="566"/>
        <v>0</v>
      </c>
      <c r="R1170" s="1364"/>
      <c r="S1170" s="1324">
        <v>105</v>
      </c>
      <c r="V1170" s="1321" t="s">
        <v>5229</v>
      </c>
      <c r="W1170" s="1321">
        <v>105</v>
      </c>
    </row>
    <row r="1171" spans="1:27">
      <c r="A1171" s="1320" t="s">
        <v>4894</v>
      </c>
      <c r="B1171" s="1320">
        <v>106</v>
      </c>
      <c r="C1171" s="1434">
        <v>80</v>
      </c>
      <c r="D1171" s="1320" t="s">
        <v>5241</v>
      </c>
      <c r="E1171" s="1358" t="s">
        <v>4067</v>
      </c>
      <c r="F1171" s="1364">
        <f>+'Allocation Assignment'!F405</f>
        <v>4111.8827844071548</v>
      </c>
      <c r="G1171" s="1364">
        <f>+$F1171*G$1939</f>
        <v>0</v>
      </c>
      <c r="H1171" s="1364">
        <f>+$F1171*H$1939</f>
        <v>4111.8827844071548</v>
      </c>
      <c r="I1171" s="1323">
        <f t="shared" si="561"/>
        <v>1</v>
      </c>
      <c r="J1171" s="1324">
        <f t="shared" si="562"/>
        <v>4111.8827844071548</v>
      </c>
      <c r="K1171" s="1364">
        <f t="shared" ref="K1171:Q1171" si="567">+$J1171*K$1939</f>
        <v>3000.1664460423431</v>
      </c>
      <c r="L1171" s="1364">
        <f t="shared" si="567"/>
        <v>241.57294091173867</v>
      </c>
      <c r="M1171" s="1364">
        <f t="shared" si="567"/>
        <v>855.26895668842428</v>
      </c>
      <c r="N1171" s="1367">
        <f t="shared" si="567"/>
        <v>0</v>
      </c>
      <c r="O1171" s="1367">
        <f t="shared" si="567"/>
        <v>0</v>
      </c>
      <c r="P1171" s="1367">
        <f t="shared" si="567"/>
        <v>14.874440764648364</v>
      </c>
      <c r="Q1171" s="1364">
        <f t="shared" si="567"/>
        <v>0</v>
      </c>
      <c r="R1171" s="1364"/>
      <c r="S1171" s="1324">
        <v>106</v>
      </c>
      <c r="V1171" s="1321" t="s">
        <v>5230</v>
      </c>
      <c r="W1171" s="1321">
        <v>106</v>
      </c>
    </row>
    <row r="1172" spans="1:27">
      <c r="A1172" s="1320" t="s">
        <v>4894</v>
      </c>
      <c r="B1172" s="1320">
        <v>907</v>
      </c>
      <c r="C1172" s="1434">
        <v>81</v>
      </c>
      <c r="D1172" s="1320" t="s">
        <v>5242</v>
      </c>
      <c r="E1172" s="1358" t="s">
        <v>4071</v>
      </c>
      <c r="F1172" s="1364">
        <f>+'Allocation Assignment'!F406</f>
        <v>4876.4131073822145</v>
      </c>
      <c r="G1172" s="1364">
        <f>+$F1172*G$2055</f>
        <v>0</v>
      </c>
      <c r="H1172" s="1364">
        <f>+$F1172*H$2055</f>
        <v>4876.4131073822145</v>
      </c>
      <c r="I1172" s="1323">
        <f t="shared" si="561"/>
        <v>1</v>
      </c>
      <c r="J1172" s="1324">
        <f t="shared" si="562"/>
        <v>4876.4131073822145</v>
      </c>
      <c r="K1172" s="1364">
        <f t="shared" ref="K1172:Q1172" si="568">+$J1172*K$2055</f>
        <v>1797.7224679302315</v>
      </c>
      <c r="L1172" s="1364">
        <f t="shared" si="568"/>
        <v>272.69086089415345</v>
      </c>
      <c r="M1172" s="1364">
        <f t="shared" si="568"/>
        <v>131.46405762786915</v>
      </c>
      <c r="N1172" s="1367">
        <f t="shared" si="568"/>
        <v>8.4748490609330798</v>
      </c>
      <c r="O1172" s="1367">
        <f t="shared" si="568"/>
        <v>9.2464160837409057</v>
      </c>
      <c r="P1172" s="1367">
        <f t="shared" si="568"/>
        <v>2.1221628337343588</v>
      </c>
      <c r="Q1172" s="1364">
        <f t="shared" si="568"/>
        <v>2654.6922929515526</v>
      </c>
      <c r="R1172" s="1364"/>
      <c r="S1172" s="1324">
        <v>907</v>
      </c>
      <c r="V1172" s="1321" t="s">
        <v>5243</v>
      </c>
      <c r="W1172" s="1321">
        <v>907</v>
      </c>
    </row>
    <row r="1173" spans="1:27">
      <c r="A1173" s="1320" t="s">
        <v>4894</v>
      </c>
      <c r="B1173" s="1324">
        <v>412</v>
      </c>
      <c r="C1173" s="1439">
        <v>82</v>
      </c>
      <c r="D1173" s="1324" t="s">
        <v>5244</v>
      </c>
      <c r="E1173" s="1364" t="s">
        <v>4071</v>
      </c>
      <c r="F1173" s="1364">
        <f>+'Allocation Assignment'!F407</f>
        <v>6605.2154604301122</v>
      </c>
      <c r="G1173" s="1364">
        <f>+$F1173*G$2021</f>
        <v>0</v>
      </c>
      <c r="H1173" s="1364">
        <f>+$F1173*H$2021</f>
        <v>6605.2154604301122</v>
      </c>
      <c r="I1173" s="1323">
        <f t="shared" si="561"/>
        <v>1</v>
      </c>
      <c r="J1173" s="1324">
        <f t="shared" si="562"/>
        <v>6605.2154604301122</v>
      </c>
      <c r="K1173" s="1364">
        <f t="shared" ref="K1173:Q1173" si="569">+$J1173*K$2021</f>
        <v>5891.1045764301216</v>
      </c>
      <c r="L1173" s="1364">
        <f t="shared" si="569"/>
        <v>571.08955582185183</v>
      </c>
      <c r="M1173" s="1364">
        <f t="shared" si="569"/>
        <v>140.65449064562713</v>
      </c>
      <c r="N1173" s="1367">
        <f t="shared" si="569"/>
        <v>0.47489944018019281</v>
      </c>
      <c r="O1173" s="1367">
        <f t="shared" si="569"/>
        <v>8.4256352290034212E-2</v>
      </c>
      <c r="P1173" s="1367">
        <f t="shared" si="569"/>
        <v>1.8076817400407339</v>
      </c>
      <c r="Q1173" s="1364">
        <f t="shared" si="569"/>
        <v>0</v>
      </c>
      <c r="R1173" s="1364"/>
      <c r="S1173" s="1324">
        <v>412</v>
      </c>
      <c r="V1173" s="1321" t="s">
        <v>5245</v>
      </c>
      <c r="W1173" s="1321">
        <v>412</v>
      </c>
      <c r="Y1173" s="1324"/>
    </row>
    <row r="1174" spans="1:27">
      <c r="A1174" s="1320" t="s">
        <v>4894</v>
      </c>
      <c r="B1174" s="1321"/>
      <c r="C1174" s="1434">
        <v>83</v>
      </c>
      <c r="D1174" s="1320" t="s">
        <v>5687</v>
      </c>
      <c r="E1174" s="1358"/>
      <c r="F1174" s="1729">
        <f>+SUM(F1166:F1173)</f>
        <v>50195.397210000003</v>
      </c>
      <c r="G1174" s="1427">
        <f>SUM(G1166:G1173)</f>
        <v>304.50777736783732</v>
      </c>
      <c r="H1174" s="1427">
        <f>SUM(H1166:H1173)</f>
        <v>49890.889432632161</v>
      </c>
      <c r="I1174" s="1323">
        <f t="shared" si="561"/>
        <v>0.99393355179372544</v>
      </c>
      <c r="J1174" s="1421">
        <f t="shared" ref="J1174:Q1174" si="570">SUM(J1166:J1173)</f>
        <v>49890.889432632161</v>
      </c>
      <c r="K1174" s="1421">
        <f t="shared" si="570"/>
        <v>30779.596692832522</v>
      </c>
      <c r="L1174" s="1421">
        <f t="shared" si="570"/>
        <v>2675.6079619990778</v>
      </c>
      <c r="M1174" s="1421">
        <f t="shared" si="570"/>
        <v>11684.494540508793</v>
      </c>
      <c r="N1174" s="1422">
        <f t="shared" si="570"/>
        <v>1306.7841518502782</v>
      </c>
      <c r="O1174" s="1422">
        <f>SUM(O1166:O1173)</f>
        <v>662.36700880597743</v>
      </c>
      <c r="P1174" s="1422">
        <f>SUM(P1166:P1173)</f>
        <v>127.3467836839619</v>
      </c>
      <c r="Q1174" s="1421">
        <f t="shared" si="570"/>
        <v>2654.6922929515526</v>
      </c>
      <c r="R1174" s="1364"/>
      <c r="S1174" s="1326"/>
      <c r="T1174" s="1321"/>
      <c r="U1174" s="1326"/>
      <c r="V1174" s="1320" t="s">
        <v>5437</v>
      </c>
      <c r="Y1174" s="1324"/>
    </row>
    <row r="1175" spans="1:27">
      <c r="A1175" s="1320" t="s">
        <v>4894</v>
      </c>
      <c r="B1175" s="1321"/>
      <c r="C1175" s="1434">
        <v>84</v>
      </c>
      <c r="E1175" s="1358"/>
      <c r="F1175" s="1358"/>
      <c r="G1175" s="1320"/>
      <c r="I1175" s="1379"/>
      <c r="R1175" s="1324"/>
      <c r="S1175" s="1326"/>
      <c r="T1175" s="1321"/>
      <c r="U1175" s="1326"/>
      <c r="Y1175" s="1324"/>
    </row>
    <row r="1176" spans="1:27">
      <c r="A1176" s="1320" t="s">
        <v>4894</v>
      </c>
      <c r="B1176" s="1321"/>
      <c r="C1176" s="1434">
        <v>85</v>
      </c>
      <c r="D1176" s="1356" t="s">
        <v>5651</v>
      </c>
      <c r="E1176" s="1358"/>
      <c r="F1176" s="1358"/>
      <c r="G1176" s="1320"/>
      <c r="I1176" s="1379"/>
      <c r="R1176" s="1324"/>
      <c r="S1176" s="1326"/>
      <c r="T1176" s="1321"/>
      <c r="U1176" s="1326"/>
      <c r="Y1176" s="1324"/>
    </row>
    <row r="1177" spans="1:27" s="1324" customFormat="1">
      <c r="A1177" s="1324" t="s">
        <v>4894</v>
      </c>
      <c r="B1177" s="1324">
        <v>101</v>
      </c>
      <c r="C1177" s="1439">
        <v>86</v>
      </c>
      <c r="D1177" s="1324" t="s">
        <v>5265</v>
      </c>
      <c r="E1177" s="1364" t="s">
        <v>4067</v>
      </c>
      <c r="F1177" s="1364">
        <f>+'Allocation Assignment'!F408</f>
        <v>2680.6932400000001</v>
      </c>
      <c r="G1177" s="1364">
        <f>+$F1177*G$1933</f>
        <v>0</v>
      </c>
      <c r="H1177" s="1364">
        <f>+$F1177*H$1933</f>
        <v>2680.6932400000001</v>
      </c>
      <c r="I1177" s="1374">
        <f>IF(F1177=0,0,+H1177/F1177)</f>
        <v>1</v>
      </c>
      <c r="J1177" s="1324">
        <f>+H1177</f>
        <v>2680.6932400000001</v>
      </c>
      <c r="K1177" s="1324">
        <f t="shared" ref="K1177:Q1177" si="571">$J1177*K$1951</f>
        <v>1539.2933752499089</v>
      </c>
      <c r="L1177" s="1324">
        <f t="shared" si="571"/>
        <v>128.00863100353362</v>
      </c>
      <c r="M1177" s="1324">
        <f t="shared" si="571"/>
        <v>828.46037959062517</v>
      </c>
      <c r="N1177" s="1324">
        <f t="shared" si="571"/>
        <v>105.88284346567407</v>
      </c>
      <c r="O1177" s="1324">
        <f t="shared" si="571"/>
        <v>76.204214639540552</v>
      </c>
      <c r="P1177" s="1324">
        <f t="shared" si="571"/>
        <v>2.8437960507177817</v>
      </c>
      <c r="Q1177" s="1324">
        <f t="shared" si="571"/>
        <v>0</v>
      </c>
      <c r="S1177" s="1324">
        <v>122</v>
      </c>
      <c r="V1177" s="1326" t="s">
        <v>9476</v>
      </c>
      <c r="W1177" s="1326">
        <v>122</v>
      </c>
      <c r="AA1177" s="1320"/>
    </row>
    <row r="1178" spans="1:27" s="1324" customFormat="1">
      <c r="A1178" s="1320" t="s">
        <v>4894</v>
      </c>
      <c r="B1178" s="1324">
        <v>201</v>
      </c>
      <c r="C1178" s="1439">
        <v>87</v>
      </c>
      <c r="D1178" s="1324" t="s">
        <v>5265</v>
      </c>
      <c r="E1178" s="1364" t="s">
        <v>2067</v>
      </c>
      <c r="F1178" s="1571"/>
      <c r="G1178" s="1364">
        <f>+$F1178*G$1969</f>
        <v>0</v>
      </c>
      <c r="H1178" s="1364">
        <f>+$F1178*H$1969</f>
        <v>0</v>
      </c>
      <c r="I1178" s="1374">
        <f>IF(F1178=0,0,+H1178/F1178)</f>
        <v>0</v>
      </c>
      <c r="J1178" s="1324">
        <f>+H1178</f>
        <v>0</v>
      </c>
      <c r="K1178" s="1364">
        <f t="shared" ref="K1178:Q1178" si="572">+$J1178*K$1969</f>
        <v>0</v>
      </c>
      <c r="L1178" s="1364">
        <f t="shared" si="572"/>
        <v>0</v>
      </c>
      <c r="M1178" s="1364">
        <f t="shared" si="572"/>
        <v>0</v>
      </c>
      <c r="N1178" s="1367">
        <f t="shared" si="572"/>
        <v>0</v>
      </c>
      <c r="O1178" s="1367">
        <f t="shared" si="572"/>
        <v>0</v>
      </c>
      <c r="P1178" s="1367">
        <f t="shared" si="572"/>
        <v>0</v>
      </c>
      <c r="Q1178" s="1364">
        <f t="shared" si="572"/>
        <v>0</v>
      </c>
      <c r="R1178" s="1364"/>
      <c r="S1178" s="1324">
        <v>201</v>
      </c>
      <c r="V1178" s="1321" t="s">
        <v>5235</v>
      </c>
      <c r="W1178" s="1321">
        <v>201</v>
      </c>
      <c r="AA1178" s="1320"/>
    </row>
    <row r="1179" spans="1:27">
      <c r="A1179" s="1320" t="s">
        <v>4894</v>
      </c>
      <c r="B1179" s="1320">
        <v>117</v>
      </c>
      <c r="C1179" s="1434">
        <v>88</v>
      </c>
      <c r="D1179" s="1320" t="s">
        <v>5268</v>
      </c>
      <c r="E1179" s="1358" t="s">
        <v>4067</v>
      </c>
      <c r="F1179" s="1358">
        <f>+'Allocation Assignment'!F409</f>
        <v>952.85927294629903</v>
      </c>
      <c r="G1179" s="1364">
        <f>+$F1179*G$1942</f>
        <v>61.732756473928397</v>
      </c>
      <c r="H1179" s="1364">
        <f>+$F1179*H$1942</f>
        <v>891.12651647237055</v>
      </c>
      <c r="I1179" s="1323">
        <f t="shared" ref="I1179:I1185" si="573">IF(F1179=0,0,+H1179/F1179)</f>
        <v>0.93521314403222733</v>
      </c>
      <c r="J1179" s="1324">
        <f t="shared" ref="J1179:J1184" si="574">+H1179</f>
        <v>891.12651647237055</v>
      </c>
      <c r="K1179" s="1364">
        <f t="shared" ref="K1179:Q1180" si="575">+$J1179*K$1945</f>
        <v>516.86499995399674</v>
      </c>
      <c r="L1179" s="1364">
        <f t="shared" si="575"/>
        <v>42.636149108904441</v>
      </c>
      <c r="M1179" s="1364">
        <f t="shared" si="575"/>
        <v>272.55148137912556</v>
      </c>
      <c r="N1179" s="1367">
        <f t="shared" si="575"/>
        <v>34.024438663421471</v>
      </c>
      <c r="O1179" s="1367">
        <f t="shared" si="575"/>
        <v>24.417645253602796</v>
      </c>
      <c r="P1179" s="1367">
        <f t="shared" si="575"/>
        <v>0.63180211331957958</v>
      </c>
      <c r="Q1179" s="1364">
        <f t="shared" si="575"/>
        <v>0</v>
      </c>
      <c r="R1179" s="1364"/>
      <c r="S1179" s="1324">
        <v>118</v>
      </c>
      <c r="V1179" s="1321" t="s">
        <v>9477</v>
      </c>
      <c r="W1179" s="1321">
        <v>117</v>
      </c>
      <c r="Y1179" s="1324"/>
    </row>
    <row r="1180" spans="1:27">
      <c r="A1180" s="1320" t="s">
        <v>4894</v>
      </c>
      <c r="B1180" s="1320">
        <v>117</v>
      </c>
      <c r="C1180" s="1434">
        <v>89</v>
      </c>
      <c r="D1180" s="1320" t="s">
        <v>5239</v>
      </c>
      <c r="E1180" s="1358" t="s">
        <v>4067</v>
      </c>
      <c r="F1180" s="1358">
        <f>+'Allocation Assignment'!F410</f>
        <v>2678.9953364120252</v>
      </c>
      <c r="G1180" s="1364">
        <f>+$F1180*G$1942</f>
        <v>173.56368499846039</v>
      </c>
      <c r="H1180" s="1364">
        <f>+$F1180*H$1942</f>
        <v>2505.4316514135644</v>
      </c>
      <c r="I1180" s="1323">
        <f t="shared" si="573"/>
        <v>0.93521314403222722</v>
      </c>
      <c r="J1180" s="1324">
        <f t="shared" si="574"/>
        <v>2505.4316514135644</v>
      </c>
      <c r="K1180" s="1364">
        <f t="shared" si="575"/>
        <v>1453.1830289585648</v>
      </c>
      <c r="L1180" s="1364">
        <f t="shared" si="575"/>
        <v>119.87294227839247</v>
      </c>
      <c r="M1180" s="1364">
        <f t="shared" si="575"/>
        <v>766.28749730183574</v>
      </c>
      <c r="N1180" s="1367">
        <f t="shared" si="575"/>
        <v>95.660833757221781</v>
      </c>
      <c r="O1180" s="1367">
        <f t="shared" si="575"/>
        <v>68.651016595870118</v>
      </c>
      <c r="P1180" s="1367">
        <f t="shared" si="575"/>
        <v>1.776332521679522</v>
      </c>
      <c r="Q1180" s="1364">
        <f t="shared" si="575"/>
        <v>0</v>
      </c>
      <c r="R1180" s="1364"/>
      <c r="S1180" s="1320">
        <v>118</v>
      </c>
      <c r="V1180" s="1321" t="s">
        <v>9477</v>
      </c>
      <c r="W1180" s="1321">
        <v>117</v>
      </c>
      <c r="Y1180" s="1324"/>
    </row>
    <row r="1181" spans="1:27">
      <c r="A1181" s="1320" t="s">
        <v>4894</v>
      </c>
      <c r="B1181" s="1320">
        <v>105</v>
      </c>
      <c r="C1181" s="1434">
        <v>90</v>
      </c>
      <c r="D1181" s="1320" t="s">
        <v>5240</v>
      </c>
      <c r="E1181" s="1358" t="s">
        <v>4067</v>
      </c>
      <c r="F1181" s="1358">
        <f>+'Allocation Assignment'!F411</f>
        <v>13156.454642515533</v>
      </c>
      <c r="G1181" s="1364">
        <f>+$F1181*G$1936</f>
        <v>0</v>
      </c>
      <c r="H1181" s="1364">
        <f>+$F1181*H$1936</f>
        <v>13156.454642515533</v>
      </c>
      <c r="I1181" s="1323">
        <f t="shared" si="573"/>
        <v>1</v>
      </c>
      <c r="J1181" s="1324">
        <f t="shared" si="574"/>
        <v>13156.454642515533</v>
      </c>
      <c r="K1181" s="1364">
        <f t="shared" ref="K1181:Q1181" si="576">+$J1181*K$1936</f>
        <v>8188.7880316662267</v>
      </c>
      <c r="L1181" s="1364">
        <f t="shared" si="576"/>
        <v>582.40714277876805</v>
      </c>
      <c r="M1181" s="1364">
        <f t="shared" si="576"/>
        <v>3899.5794607230796</v>
      </c>
      <c r="N1181" s="1367">
        <f t="shared" si="576"/>
        <v>410.15735397251825</v>
      </c>
      <c r="O1181" s="1367">
        <f t="shared" si="576"/>
        <v>2.8004745095697186E-4</v>
      </c>
      <c r="P1181" s="1367">
        <f t="shared" si="576"/>
        <v>75.522373327492929</v>
      </c>
      <c r="Q1181" s="1364">
        <f t="shared" si="576"/>
        <v>0</v>
      </c>
      <c r="R1181" s="1364"/>
      <c r="S1181" s="1320">
        <v>105</v>
      </c>
      <c r="V1181" s="1321" t="s">
        <v>5229</v>
      </c>
      <c r="W1181" s="1321">
        <v>105</v>
      </c>
    </row>
    <row r="1182" spans="1:27">
      <c r="A1182" s="1320" t="s">
        <v>4894</v>
      </c>
      <c r="B1182" s="1320">
        <v>106</v>
      </c>
      <c r="C1182" s="1434">
        <v>91</v>
      </c>
      <c r="D1182" s="1320" t="s">
        <v>5241</v>
      </c>
      <c r="E1182" s="1358" t="s">
        <v>4067</v>
      </c>
      <c r="F1182" s="1358">
        <f>+'Allocation Assignment'!F412</f>
        <v>2269.5853899717054</v>
      </c>
      <c r="G1182" s="1364">
        <f>+$F1182*G$1939</f>
        <v>0</v>
      </c>
      <c r="H1182" s="1364">
        <f>+$F1182*H$1939</f>
        <v>2269.5853899717054</v>
      </c>
      <c r="I1182" s="1323">
        <f t="shared" si="573"/>
        <v>1</v>
      </c>
      <c r="J1182" s="1324">
        <f t="shared" si="574"/>
        <v>2269.5853899717054</v>
      </c>
      <c r="K1182" s="1364">
        <f t="shared" ref="K1182:Q1182" si="577">+$J1182*K$1939</f>
        <v>1655.9649898684472</v>
      </c>
      <c r="L1182" s="1364">
        <f t="shared" si="577"/>
        <v>133.33804635309636</v>
      </c>
      <c r="M1182" s="1364">
        <f t="shared" si="577"/>
        <v>472.07229154423885</v>
      </c>
      <c r="N1182" s="1367">
        <f t="shared" si="577"/>
        <v>0</v>
      </c>
      <c r="O1182" s="1367">
        <f t="shared" si="577"/>
        <v>0</v>
      </c>
      <c r="P1182" s="1367">
        <f t="shared" si="577"/>
        <v>8.2100622059227266</v>
      </c>
      <c r="Q1182" s="1364">
        <f t="shared" si="577"/>
        <v>0</v>
      </c>
      <c r="R1182" s="1364"/>
      <c r="S1182" s="1320">
        <v>106</v>
      </c>
      <c r="V1182" s="1321" t="s">
        <v>5230</v>
      </c>
      <c r="W1182" s="1321">
        <v>106</v>
      </c>
    </row>
    <row r="1183" spans="1:27">
      <c r="A1183" s="1320" t="s">
        <v>4894</v>
      </c>
      <c r="B1183" s="1320">
        <v>907</v>
      </c>
      <c r="C1183" s="1434">
        <v>92</v>
      </c>
      <c r="D1183" s="1320" t="s">
        <v>5242</v>
      </c>
      <c r="E1183" s="1358" t="s">
        <v>4071</v>
      </c>
      <c r="F1183" s="1358">
        <f>+'Allocation Assignment'!F413</f>
        <v>8433.4309596513831</v>
      </c>
      <c r="G1183" s="1364">
        <f>+$F1183*G$2055</f>
        <v>0</v>
      </c>
      <c r="H1183" s="1364">
        <f>+$F1183*H$2055</f>
        <v>8433.4309596513831</v>
      </c>
      <c r="I1183" s="1323">
        <f t="shared" si="573"/>
        <v>1</v>
      </c>
      <c r="J1183" s="1324">
        <f t="shared" si="574"/>
        <v>8433.4309596513831</v>
      </c>
      <c r="K1183" s="1364">
        <f t="shared" ref="K1183:Q1183" si="578">+$J1183*K$2055</f>
        <v>3109.0410069959203</v>
      </c>
      <c r="L1183" s="1364">
        <f t="shared" si="578"/>
        <v>471.60064129868022</v>
      </c>
      <c r="M1183" s="1364">
        <f t="shared" si="578"/>
        <v>227.3583121991567</v>
      </c>
      <c r="N1183" s="1367">
        <f t="shared" si="578"/>
        <v>14.656685739082828</v>
      </c>
      <c r="O1183" s="1367">
        <f t="shared" si="578"/>
        <v>15.991059401507558</v>
      </c>
      <c r="P1183" s="1367">
        <f t="shared" si="578"/>
        <v>3.6701389626615302</v>
      </c>
      <c r="Q1183" s="1364">
        <f t="shared" si="578"/>
        <v>4591.1131150543752</v>
      </c>
      <c r="R1183" s="1364"/>
      <c r="S1183" s="1320">
        <v>907</v>
      </c>
      <c r="V1183" s="1321" t="s">
        <v>5243</v>
      </c>
      <c r="W1183" s="1321">
        <v>907</v>
      </c>
      <c r="Y1183" s="1324"/>
    </row>
    <row r="1184" spans="1:27">
      <c r="A1184" s="1320" t="s">
        <v>4894</v>
      </c>
      <c r="B1184" s="1324">
        <v>412</v>
      </c>
      <c r="C1184" s="1439">
        <v>93</v>
      </c>
      <c r="D1184" s="1324" t="s">
        <v>5244</v>
      </c>
      <c r="E1184" s="1364" t="s">
        <v>4071</v>
      </c>
      <c r="F1184" s="1358">
        <f>+'Allocation Assignment'!F414</f>
        <v>11423.279228503052</v>
      </c>
      <c r="G1184" s="1364">
        <f>+$F1184*G$2021</f>
        <v>0</v>
      </c>
      <c r="H1184" s="1364">
        <f>+$F1184*H$2021</f>
        <v>11423.279228503052</v>
      </c>
      <c r="I1184" s="1323">
        <f t="shared" si="573"/>
        <v>1</v>
      </c>
      <c r="J1184" s="1324">
        <f t="shared" si="574"/>
        <v>11423.279228503052</v>
      </c>
      <c r="K1184" s="1364">
        <f t="shared" ref="K1184:Q1184" si="579">+$J1184*K$2021</f>
        <v>10188.272122843269</v>
      </c>
      <c r="L1184" s="1364">
        <f t="shared" si="579"/>
        <v>987.6612655130541</v>
      </c>
      <c r="M1184" s="1364">
        <f t="shared" si="579"/>
        <v>243.25255262501963</v>
      </c>
      <c r="N1184" s="1367">
        <f t="shared" si="579"/>
        <v>0.82130688137838126</v>
      </c>
      <c r="O1184" s="1367">
        <f t="shared" si="579"/>
        <v>0.14571573701874507</v>
      </c>
      <c r="P1184" s="1367">
        <f t="shared" si="579"/>
        <v>3.1262649033112577</v>
      </c>
      <c r="Q1184" s="1364">
        <f t="shared" si="579"/>
        <v>0</v>
      </c>
      <c r="R1184" s="1364"/>
      <c r="S1184" s="1320">
        <v>412</v>
      </c>
      <c r="V1184" s="1321" t="s">
        <v>5245</v>
      </c>
      <c r="W1184" s="1321">
        <v>412</v>
      </c>
      <c r="Y1184" s="1324"/>
    </row>
    <row r="1185" spans="1:27">
      <c r="A1185" s="1320" t="s">
        <v>4894</v>
      </c>
      <c r="B1185" s="1321"/>
      <c r="C1185" s="1434">
        <v>94</v>
      </c>
      <c r="D1185" s="1320" t="s">
        <v>5688</v>
      </c>
      <c r="E1185" s="1358"/>
      <c r="F1185" s="1729">
        <f>+SUM(F1177:F1184)</f>
        <v>41595.298069999997</v>
      </c>
      <c r="G1185" s="1427">
        <f>SUM(G1177:G1184)</f>
        <v>235.29644147238878</v>
      </c>
      <c r="H1185" s="1427">
        <f>SUM(H1177:H1184)</f>
        <v>41360.001628527607</v>
      </c>
      <c r="I1185" s="1323">
        <f t="shared" si="573"/>
        <v>0.99434319616903777</v>
      </c>
      <c r="J1185" s="1421">
        <f t="shared" ref="J1185:Q1185" si="580">SUM(J1177:J1184)</f>
        <v>41360.001628527607</v>
      </c>
      <c r="K1185" s="1421">
        <f t="shared" si="580"/>
        <v>26651.407555536338</v>
      </c>
      <c r="L1185" s="1421">
        <f t="shared" si="580"/>
        <v>2465.5248183344293</v>
      </c>
      <c r="M1185" s="1421">
        <f t="shared" si="580"/>
        <v>6709.5619753630808</v>
      </c>
      <c r="N1185" s="1422">
        <f t="shared" si="580"/>
        <v>661.20346247929683</v>
      </c>
      <c r="O1185" s="1422">
        <f>SUM(O1177:O1184)</f>
        <v>185.40993167499073</v>
      </c>
      <c r="P1185" s="1422">
        <f>SUM(P1177:P1184)</f>
        <v>95.780770085105317</v>
      </c>
      <c r="Q1185" s="1421">
        <f t="shared" si="580"/>
        <v>4591.1131150543752</v>
      </c>
      <c r="R1185" s="1358"/>
      <c r="S1185" s="1321"/>
      <c r="T1185" s="1321"/>
      <c r="U1185" s="1326"/>
      <c r="V1185" s="1320" t="s">
        <v>5689</v>
      </c>
    </row>
    <row r="1186" spans="1:27">
      <c r="A1186" s="1320" t="s">
        <v>4894</v>
      </c>
      <c r="B1186" s="1321"/>
      <c r="C1186" s="1434">
        <v>95</v>
      </c>
      <c r="E1186" s="1358"/>
      <c r="F1186" s="1358"/>
      <c r="G1186" s="1320"/>
      <c r="I1186" s="1379"/>
      <c r="S1186" s="1321"/>
      <c r="T1186" s="1321"/>
      <c r="U1186" s="1326"/>
    </row>
    <row r="1187" spans="1:27">
      <c r="A1187" s="1320" t="s">
        <v>4894</v>
      </c>
      <c r="B1187" s="1321"/>
      <c r="C1187" s="1434">
        <v>96</v>
      </c>
      <c r="D1187" s="1356" t="s">
        <v>5654</v>
      </c>
      <c r="E1187" s="1358"/>
      <c r="F1187" s="1358"/>
      <c r="G1187" s="1320"/>
      <c r="I1187" s="1379"/>
      <c r="R1187" s="1324"/>
      <c r="S1187" s="1326"/>
      <c r="T1187" s="1321"/>
      <c r="U1187" s="1326"/>
    </row>
    <row r="1188" spans="1:27" s="1324" customFormat="1">
      <c r="A1188" s="1324" t="s">
        <v>4894</v>
      </c>
      <c r="B1188" s="1324">
        <v>101</v>
      </c>
      <c r="C1188" s="1439">
        <v>97</v>
      </c>
      <c r="D1188" s="1324" t="s">
        <v>5265</v>
      </c>
      <c r="E1188" s="1364" t="s">
        <v>4067</v>
      </c>
      <c r="F1188" s="1364">
        <f>+'Allocation Assignment'!F415</f>
        <v>99691.257924697406</v>
      </c>
      <c r="G1188" s="1364">
        <f>+$F1188*G$1933</f>
        <v>0</v>
      </c>
      <c r="H1188" s="1364">
        <f>+$F1188*H$1933</f>
        <v>99691.257924697406</v>
      </c>
      <c r="I1188" s="1374">
        <f t="shared" ref="I1188:I1197" si="581">IF(F1188=0,0,+H1188/F1188)</f>
        <v>1</v>
      </c>
      <c r="J1188" s="1324">
        <f t="shared" ref="J1188:J1196" si="582">+H1188</f>
        <v>99691.257924697406</v>
      </c>
      <c r="K1188" s="1324">
        <f t="shared" ref="K1188:Q1188" si="583">$J1188*K$1951</f>
        <v>57244.182439097989</v>
      </c>
      <c r="L1188" s="1324">
        <f t="shared" si="583"/>
        <v>4760.4631740559344</v>
      </c>
      <c r="M1188" s="1324">
        <f t="shared" si="583"/>
        <v>30809.290727409651</v>
      </c>
      <c r="N1188" s="1324">
        <f t="shared" si="583"/>
        <v>3937.6358697934702</v>
      </c>
      <c r="O1188" s="1324">
        <f t="shared" si="583"/>
        <v>2833.928889446313</v>
      </c>
      <c r="P1188" s="1324">
        <f t="shared" si="583"/>
        <v>105.75682489404952</v>
      </c>
      <c r="Q1188" s="1324">
        <f t="shared" si="583"/>
        <v>0</v>
      </c>
      <c r="S1188" s="1324">
        <v>122</v>
      </c>
      <c r="V1188" s="1326" t="s">
        <v>9476</v>
      </c>
      <c r="W1188" s="1326">
        <v>122</v>
      </c>
      <c r="AA1188" s="1320"/>
    </row>
    <row r="1189" spans="1:27" s="1324" customFormat="1">
      <c r="A1189" s="1324" t="s">
        <v>4894</v>
      </c>
      <c r="B1189" s="1324">
        <v>101</v>
      </c>
      <c r="C1189" s="1439">
        <v>98</v>
      </c>
      <c r="D1189" s="1324" t="s">
        <v>5358</v>
      </c>
      <c r="E1189" s="1364" t="s">
        <v>4067</v>
      </c>
      <c r="F1189" s="1364">
        <f>+'Allocation Assignment'!F416</f>
        <v>439.12268</v>
      </c>
      <c r="G1189" s="1364">
        <f>+$F1189*G$1933</f>
        <v>0</v>
      </c>
      <c r="H1189" s="1364">
        <f>+$F1189*H$1933</f>
        <v>439.12268</v>
      </c>
      <c r="I1189" s="1374">
        <f>IF(F1189=0,0,+H1189/F1189)</f>
        <v>1</v>
      </c>
      <c r="J1189" s="1324">
        <f>+H1189</f>
        <v>439.12268</v>
      </c>
      <c r="K1189" s="1324">
        <f t="shared" ref="K1189:Q1189" si="584">$J1189*K$1948</f>
        <v>252.1506833232383</v>
      </c>
      <c r="L1189" s="1324">
        <f t="shared" si="584"/>
        <v>20.969013638204562</v>
      </c>
      <c r="M1189" s="1324">
        <f t="shared" si="584"/>
        <v>135.70957569156724</v>
      </c>
      <c r="N1189" s="1324">
        <f t="shared" si="584"/>
        <v>17.344602245002598</v>
      </c>
      <c r="O1189" s="1324">
        <f t="shared" si="584"/>
        <v>12.482964652759104</v>
      </c>
      <c r="P1189" s="1324">
        <f t="shared" si="584"/>
        <v>0.46584044922820345</v>
      </c>
      <c r="Q1189" s="1324">
        <f t="shared" si="584"/>
        <v>0</v>
      </c>
      <c r="S1189" s="1324">
        <v>121</v>
      </c>
      <c r="V1189" s="1326" t="s">
        <v>5287</v>
      </c>
      <c r="W1189" s="1326">
        <v>121</v>
      </c>
      <c r="AA1189" s="1320"/>
    </row>
    <row r="1190" spans="1:27" s="1324" customFormat="1">
      <c r="A1190" s="1324" t="s">
        <v>4894</v>
      </c>
      <c r="B1190" s="1324">
        <v>201</v>
      </c>
      <c r="C1190" s="1439">
        <v>99</v>
      </c>
      <c r="D1190" s="1324" t="s">
        <v>5265</v>
      </c>
      <c r="E1190" s="1364" t="s">
        <v>2067</v>
      </c>
      <c r="F1190" s="1364">
        <f>+'Allocation Assignment'!F417</f>
        <v>25438.678738913521</v>
      </c>
      <c r="G1190" s="1364">
        <f>+$F1190*G$1969</f>
        <v>0</v>
      </c>
      <c r="H1190" s="1364">
        <f>+$F1190*H$1969</f>
        <v>25438.678738913521</v>
      </c>
      <c r="I1190" s="1374">
        <f t="shared" si="581"/>
        <v>1</v>
      </c>
      <c r="J1190" s="1324">
        <f t="shared" si="582"/>
        <v>25438.678738913521</v>
      </c>
      <c r="K1190" s="1364">
        <f t="shared" ref="K1190:Q1190" si="585">+$J1190*K$1969</f>
        <v>12837.22691847269</v>
      </c>
      <c r="L1190" s="1364">
        <f t="shared" si="585"/>
        <v>1186.3100438250042</v>
      </c>
      <c r="M1190" s="1364">
        <f t="shared" si="585"/>
        <v>8837.5490484861566</v>
      </c>
      <c r="N1190" s="1367">
        <f t="shared" si="585"/>
        <v>1406.79571167106</v>
      </c>
      <c r="O1190" s="1367">
        <f t="shared" si="585"/>
        <v>1036.4030915600586</v>
      </c>
      <c r="P1190" s="1367">
        <f t="shared" si="585"/>
        <v>134.39392489854956</v>
      </c>
      <c r="Q1190" s="1364">
        <f t="shared" si="585"/>
        <v>0</v>
      </c>
      <c r="R1190" s="1364"/>
      <c r="S1190" s="1324">
        <v>201</v>
      </c>
      <c r="V1190" s="1326" t="s">
        <v>5235</v>
      </c>
      <c r="W1190" s="1326">
        <v>201</v>
      </c>
      <c r="AA1190" s="1320"/>
    </row>
    <row r="1191" spans="1:27" s="1324" customFormat="1">
      <c r="A1191" s="1324" t="s">
        <v>4894</v>
      </c>
      <c r="B1191" s="1324">
        <v>117</v>
      </c>
      <c r="C1191" s="1439">
        <v>100</v>
      </c>
      <c r="D1191" s="1324" t="s">
        <v>5268</v>
      </c>
      <c r="E1191" s="1364" t="s">
        <v>4067</v>
      </c>
      <c r="F1191" s="1364">
        <f>+'Allocation Assignment'!F418</f>
        <v>4083.0021388321447</v>
      </c>
      <c r="G1191" s="1364">
        <f>+$F1191*G$1942</f>
        <v>264.52487148462563</v>
      </c>
      <c r="H1191" s="1364">
        <f>+$F1191*H$1942</f>
        <v>3818.4772673475186</v>
      </c>
      <c r="I1191" s="1374">
        <f t="shared" si="581"/>
        <v>0.93521314403222722</v>
      </c>
      <c r="J1191" s="1324">
        <f t="shared" si="582"/>
        <v>3818.4772673475186</v>
      </c>
      <c r="K1191" s="1364">
        <f t="shared" ref="K1191:Q1192" si="586">+$J1191*K$1945</f>
        <v>2214.7666084775356</v>
      </c>
      <c r="L1191" s="1364">
        <f t="shared" si="586"/>
        <v>182.69590583397095</v>
      </c>
      <c r="M1191" s="1364">
        <f t="shared" si="586"/>
        <v>1167.8831418325879</v>
      </c>
      <c r="N1191" s="1367">
        <f t="shared" si="586"/>
        <v>145.79472518093689</v>
      </c>
      <c r="O1191" s="1367">
        <f t="shared" si="586"/>
        <v>104.62961386463149</v>
      </c>
      <c r="P1191" s="1367">
        <f t="shared" si="586"/>
        <v>2.7072721578560901</v>
      </c>
      <c r="Q1191" s="1364">
        <f t="shared" si="586"/>
        <v>0</v>
      </c>
      <c r="R1191" s="1364"/>
      <c r="S1191" s="1324">
        <v>118</v>
      </c>
      <c r="V1191" s="1326" t="s">
        <v>9477</v>
      </c>
      <c r="W1191" s="1326">
        <v>117</v>
      </c>
      <c r="AA1191" s="1320"/>
    </row>
    <row r="1192" spans="1:27" s="1324" customFormat="1">
      <c r="A1192" s="1324" t="s">
        <v>4894</v>
      </c>
      <c r="B1192" s="1324">
        <v>117</v>
      </c>
      <c r="C1192" s="1439">
        <v>101</v>
      </c>
      <c r="D1192" s="1324" t="s">
        <v>5239</v>
      </c>
      <c r="E1192" s="1364" t="s">
        <v>4067</v>
      </c>
      <c r="F1192" s="1364">
        <f>+'Allocation Assignment'!F419</f>
        <v>11479.495450224891</v>
      </c>
      <c r="G1192" s="1364">
        <f>+$F1192*G$1942</f>
        <v>743.72041831642093</v>
      </c>
      <c r="H1192" s="1364">
        <f>+$F1192*H$1942</f>
        <v>10735.77503190847</v>
      </c>
      <c r="I1192" s="1374">
        <f t="shared" si="581"/>
        <v>0.93521314403222733</v>
      </c>
      <c r="J1192" s="1324">
        <f t="shared" si="582"/>
        <v>10735.77503190847</v>
      </c>
      <c r="K1192" s="1364">
        <f t="shared" si="586"/>
        <v>6226.8895143415211</v>
      </c>
      <c r="L1192" s="1364">
        <f t="shared" si="586"/>
        <v>513.65557706899961</v>
      </c>
      <c r="M1192" s="1364">
        <f t="shared" si="586"/>
        <v>3283.5420499917363</v>
      </c>
      <c r="N1192" s="1367">
        <f t="shared" si="586"/>
        <v>409.90668813611376</v>
      </c>
      <c r="O1192" s="1367">
        <f t="shared" si="586"/>
        <v>294.16961722713478</v>
      </c>
      <c r="P1192" s="1367">
        <f t="shared" si="586"/>
        <v>7.6115851429651089</v>
      </c>
      <c r="Q1192" s="1364">
        <f t="shared" si="586"/>
        <v>0</v>
      </c>
      <c r="R1192" s="1364"/>
      <c r="S1192" s="1324">
        <v>118</v>
      </c>
      <c r="V1192" s="1326" t="s">
        <v>9477</v>
      </c>
      <c r="W1192" s="1326">
        <v>117</v>
      </c>
      <c r="AA1192" s="1320"/>
    </row>
    <row r="1193" spans="1:27" s="1324" customFormat="1">
      <c r="A1193" s="1324" t="s">
        <v>4894</v>
      </c>
      <c r="B1193" s="1324">
        <v>105</v>
      </c>
      <c r="C1193" s="1439">
        <v>102</v>
      </c>
      <c r="D1193" s="1324" t="s">
        <v>5240</v>
      </c>
      <c r="E1193" s="1364" t="s">
        <v>4067</v>
      </c>
      <c r="F1193" s="1364">
        <f>+'Allocation Assignment'!F420</f>
        <v>58292.843823061834</v>
      </c>
      <c r="G1193" s="1364">
        <f>+$F1193*G$1936</f>
        <v>0</v>
      </c>
      <c r="H1193" s="1364">
        <f>+$F1193*H$1936</f>
        <v>58292.843823061834</v>
      </c>
      <c r="I1193" s="1374">
        <f t="shared" si="581"/>
        <v>1</v>
      </c>
      <c r="J1193" s="1324">
        <f t="shared" si="582"/>
        <v>58292.843823061834</v>
      </c>
      <c r="K1193" s="1364">
        <f t="shared" ref="K1193:Q1193" si="587">+$J1193*K$1936</f>
        <v>36282.399384976532</v>
      </c>
      <c r="L1193" s="1364">
        <f t="shared" si="587"/>
        <v>2580.4952426717809</v>
      </c>
      <c r="M1193" s="1364">
        <f t="shared" si="587"/>
        <v>17278.026843566629</v>
      </c>
      <c r="N1193" s="1367">
        <f t="shared" si="587"/>
        <v>1817.3010303806905</v>
      </c>
      <c r="O1193" s="1367">
        <f t="shared" si="587"/>
        <v>1.2408177404364927E-3</v>
      </c>
      <c r="P1193" s="1367">
        <f t="shared" si="587"/>
        <v>334.62008064847231</v>
      </c>
      <c r="Q1193" s="1364">
        <f t="shared" si="587"/>
        <v>0</v>
      </c>
      <c r="R1193" s="1364"/>
      <c r="S1193" s="1324">
        <v>105</v>
      </c>
      <c r="V1193" s="1326" t="s">
        <v>5229</v>
      </c>
      <c r="W1193" s="1326">
        <v>105</v>
      </c>
      <c r="AA1193" s="1320"/>
    </row>
    <row r="1194" spans="1:27" s="1324" customFormat="1">
      <c r="A1194" s="1324" t="s">
        <v>4894</v>
      </c>
      <c r="B1194" s="1324">
        <v>106</v>
      </c>
      <c r="C1194" s="1439">
        <v>103</v>
      </c>
      <c r="D1194" s="1324" t="s">
        <v>5241</v>
      </c>
      <c r="E1194" s="1364" t="s">
        <v>4067</v>
      </c>
      <c r="F1194" s="1364">
        <f>+'Allocation Assignment'!F421</f>
        <v>9725.1737634492329</v>
      </c>
      <c r="G1194" s="1364">
        <f>+$F1194*G$1939</f>
        <v>0</v>
      </c>
      <c r="H1194" s="1364">
        <f>+$F1194*H$1939</f>
        <v>9725.1737634492329</v>
      </c>
      <c r="I1194" s="1374">
        <f t="shared" si="581"/>
        <v>1</v>
      </c>
      <c r="J1194" s="1324">
        <f t="shared" si="582"/>
        <v>9725.1737634492329</v>
      </c>
      <c r="K1194" s="1364">
        <f t="shared" ref="K1194:Q1194" si="588">+$J1194*K$1939</f>
        <v>7095.8102496684969</v>
      </c>
      <c r="L1194" s="1364">
        <f t="shared" si="588"/>
        <v>571.35355020895543</v>
      </c>
      <c r="M1194" s="1364">
        <f t="shared" si="588"/>
        <v>2022.8298456902844</v>
      </c>
      <c r="N1194" s="1367">
        <f t="shared" si="588"/>
        <v>0</v>
      </c>
      <c r="O1194" s="1367">
        <f t="shared" si="588"/>
        <v>0</v>
      </c>
      <c r="P1194" s="1367">
        <f t="shared" si="588"/>
        <v>35.180117881496074</v>
      </c>
      <c r="Q1194" s="1364">
        <f t="shared" si="588"/>
        <v>0</v>
      </c>
      <c r="R1194" s="1364"/>
      <c r="S1194" s="1324">
        <v>106</v>
      </c>
      <c r="V1194" s="1326" t="s">
        <v>5230</v>
      </c>
      <c r="W1194" s="1326">
        <v>106</v>
      </c>
      <c r="AA1194" s="1320"/>
    </row>
    <row r="1195" spans="1:27" s="1324" customFormat="1">
      <c r="A1195" s="1324" t="s">
        <v>4894</v>
      </c>
      <c r="B1195" s="1324">
        <v>907</v>
      </c>
      <c r="C1195" s="1439">
        <v>104</v>
      </c>
      <c r="D1195" s="1324" t="s">
        <v>5242</v>
      </c>
      <c r="E1195" s="1364" t="s">
        <v>4071</v>
      </c>
      <c r="F1195" s="1364">
        <f>+'Allocation Assignment'!F422</f>
        <v>36137.253027384279</v>
      </c>
      <c r="G1195" s="1364">
        <f>+$F1195*G$2055</f>
        <v>0</v>
      </c>
      <c r="H1195" s="1364">
        <f>+$F1195*H$2055</f>
        <v>36137.253027384279</v>
      </c>
      <c r="I1195" s="1374">
        <f t="shared" si="581"/>
        <v>1</v>
      </c>
      <c r="J1195" s="1324">
        <f t="shared" si="582"/>
        <v>36137.253027384279</v>
      </c>
      <c r="K1195" s="1364">
        <f t="shared" ref="K1195:Q1195" si="589">+$J1195*K$2055</f>
        <v>13322.241218296467</v>
      </c>
      <c r="L1195" s="1364">
        <f t="shared" si="589"/>
        <v>2020.8088243117113</v>
      </c>
      <c r="M1195" s="1364">
        <f t="shared" si="589"/>
        <v>974.23040458015305</v>
      </c>
      <c r="N1195" s="1367">
        <f t="shared" si="589"/>
        <v>62.80390076472333</v>
      </c>
      <c r="O1195" s="1367">
        <f t="shared" si="589"/>
        <v>68.521692124233468</v>
      </c>
      <c r="P1195" s="1367">
        <f t="shared" si="589"/>
        <v>15.726546049159086</v>
      </c>
      <c r="Q1195" s="1364">
        <f t="shared" si="589"/>
        <v>19672.920441257837</v>
      </c>
      <c r="R1195" s="1364"/>
      <c r="S1195" s="1324">
        <v>907</v>
      </c>
      <c r="V1195" s="1326" t="s">
        <v>5243</v>
      </c>
      <c r="W1195" s="1326">
        <v>907</v>
      </c>
      <c r="AA1195" s="1320"/>
    </row>
    <row r="1196" spans="1:27" s="1324" customFormat="1">
      <c r="A1196" s="1324" t="s">
        <v>4894</v>
      </c>
      <c r="B1196" s="1324">
        <v>412</v>
      </c>
      <c r="C1196" s="1439">
        <v>105</v>
      </c>
      <c r="D1196" s="1324" t="s">
        <v>5244</v>
      </c>
      <c r="E1196" s="1364" t="s">
        <v>4071</v>
      </c>
      <c r="F1196" s="1364">
        <f>+'Allocation Assignment'!F423</f>
        <v>49095.376013436653</v>
      </c>
      <c r="G1196" s="1364">
        <f>+$F1196*G$2021</f>
        <v>0</v>
      </c>
      <c r="H1196" s="1364">
        <f>+$F1196*H$2021</f>
        <v>49095.376013436653</v>
      </c>
      <c r="I1196" s="1374">
        <f t="shared" si="581"/>
        <v>1</v>
      </c>
      <c r="J1196" s="1324">
        <f t="shared" si="582"/>
        <v>49095.376013436653</v>
      </c>
      <c r="K1196" s="1364">
        <f t="shared" ref="K1196:Q1196" si="590">+$J1196*K$2021</f>
        <v>43787.518521838007</v>
      </c>
      <c r="L1196" s="1364">
        <f t="shared" si="590"/>
        <v>4244.8057369796379</v>
      </c>
      <c r="M1196" s="1364">
        <f t="shared" si="590"/>
        <v>1045.4594778314479</v>
      </c>
      <c r="N1196" s="1367">
        <f t="shared" si="590"/>
        <v>3.5298419444290019</v>
      </c>
      <c r="O1196" s="1367">
        <f t="shared" si="590"/>
        <v>0.62626228046321009</v>
      </c>
      <c r="P1196" s="1367">
        <f t="shared" si="590"/>
        <v>13.436172562665233</v>
      </c>
      <c r="Q1196" s="1364">
        <f t="shared" si="590"/>
        <v>0</v>
      </c>
      <c r="R1196" s="1364"/>
      <c r="S1196" s="1324">
        <v>412</v>
      </c>
      <c r="V1196" s="1326" t="s">
        <v>5245</v>
      </c>
      <c r="W1196" s="1326">
        <v>412</v>
      </c>
      <c r="AA1196" s="1320"/>
    </row>
    <row r="1197" spans="1:27" s="1324" customFormat="1">
      <c r="A1197" s="1324" t="s">
        <v>4894</v>
      </c>
      <c r="B1197" s="1326"/>
      <c r="C1197" s="1439">
        <v>106</v>
      </c>
      <c r="D1197" s="1324" t="s">
        <v>5655</v>
      </c>
      <c r="E1197" s="1364"/>
      <c r="F1197" s="1729">
        <f>+SUM(F1188:F1196)</f>
        <v>294382.20355999999</v>
      </c>
      <c r="G1197" s="1421">
        <f>SUM(G1188:G1196)</f>
        <v>1008.2452898010465</v>
      </c>
      <c r="H1197" s="1421">
        <f>SUM(H1188:H1196)</f>
        <v>293373.9582701989</v>
      </c>
      <c r="I1197" s="1374">
        <f t="shared" si="581"/>
        <v>0.99657504673309638</v>
      </c>
      <c r="J1197" s="1421">
        <f t="shared" ref="J1197:Q1197" si="591">SUM(J1188:J1196)</f>
        <v>293373.9582701989</v>
      </c>
      <c r="K1197" s="1421">
        <f t="shared" si="591"/>
        <v>179263.18553849251</v>
      </c>
      <c r="L1197" s="1421">
        <f t="shared" si="591"/>
        <v>16081.557068594197</v>
      </c>
      <c r="M1197" s="1421">
        <f t="shared" si="591"/>
        <v>65554.521115080206</v>
      </c>
      <c r="N1197" s="1422">
        <f t="shared" si="591"/>
        <v>7801.1123701164261</v>
      </c>
      <c r="O1197" s="1422">
        <f>SUM(O1188:O1196)</f>
        <v>4350.7633719733349</v>
      </c>
      <c r="P1197" s="1422">
        <f>SUM(P1188:P1196)</f>
        <v>649.89836468444116</v>
      </c>
      <c r="Q1197" s="1421">
        <f t="shared" si="591"/>
        <v>19672.920441257837</v>
      </c>
      <c r="R1197" s="1364"/>
      <c r="S1197" s="1326"/>
      <c r="T1197" s="1326"/>
      <c r="U1197" s="1326"/>
      <c r="V1197" s="1324" t="s">
        <v>5690</v>
      </c>
      <c r="AA1197" s="1320"/>
    </row>
    <row r="1198" spans="1:27" s="1324" customFormat="1">
      <c r="A1198" s="1324" t="s">
        <v>4894</v>
      </c>
      <c r="B1198" s="1326"/>
      <c r="C1198" s="1439">
        <v>107</v>
      </c>
      <c r="D1198" s="1364"/>
      <c r="E1198" s="1364"/>
      <c r="F1198" s="1364"/>
      <c r="G1198" s="1364"/>
      <c r="H1198" s="1364"/>
      <c r="I1198" s="1440"/>
      <c r="K1198" s="1364"/>
      <c r="M1198" s="1325"/>
      <c r="N1198" s="1325"/>
      <c r="O1198" s="1325"/>
      <c r="S1198" s="1326"/>
      <c r="T1198" s="1326"/>
      <c r="U1198" s="1326"/>
      <c r="AA1198" s="1320"/>
    </row>
    <row r="1199" spans="1:27" s="1324" customFormat="1">
      <c r="A1199" s="1324" t="s">
        <v>4894</v>
      </c>
      <c r="B1199" s="1326"/>
      <c r="C1199" s="1439">
        <v>108</v>
      </c>
      <c r="D1199" s="1362" t="s">
        <v>5691</v>
      </c>
      <c r="E1199" s="1364"/>
      <c r="F1199" s="1364"/>
      <c r="G1199" s="1364"/>
      <c r="H1199" s="1364"/>
      <c r="I1199" s="1440"/>
      <c r="K1199" s="1364"/>
      <c r="M1199" s="1325"/>
      <c r="N1199" s="1325"/>
      <c r="O1199" s="1325"/>
      <c r="S1199" s="1326"/>
      <c r="T1199" s="1326"/>
      <c r="U1199" s="1326"/>
      <c r="AA1199" s="1320"/>
    </row>
    <row r="1200" spans="1:27" s="1324" customFormat="1">
      <c r="A1200" s="1324" t="s">
        <v>4894</v>
      </c>
      <c r="B1200" s="1326"/>
      <c r="C1200" s="1439">
        <v>109</v>
      </c>
      <c r="D1200" s="1364" t="s">
        <v>5265</v>
      </c>
      <c r="E1200" s="1364" t="s">
        <v>4067</v>
      </c>
      <c r="F1200" s="1364">
        <f>+F1139+F1166+F1177+F1188+F1189</f>
        <v>1928412.7989641612</v>
      </c>
      <c r="G1200" s="1364">
        <f>+G1139+G1166+G1177+G1188+G1189</f>
        <v>0</v>
      </c>
      <c r="H1200" s="1364">
        <f>+H1139+H1166+H1177+H1188+H1189</f>
        <v>1928412.7989641612</v>
      </c>
      <c r="I1200" s="1374">
        <f t="shared" ref="I1200:I1207" si="592">IF(F1200=0,0,+H1200/F1200)</f>
        <v>1</v>
      </c>
      <c r="J1200" s="1364">
        <f>+J1139+J1166+J1177+J1188+J1189</f>
        <v>1928412.7989641612</v>
      </c>
      <c r="K1200" s="1364">
        <f t="shared" ref="K1200:Q1200" si="593">+K1139+K1166+K1177+K1188+K1189</f>
        <v>1107322.9125584946</v>
      </c>
      <c r="L1200" s="1364">
        <f t="shared" si="593"/>
        <v>92085.688403905093</v>
      </c>
      <c r="M1200" s="1364">
        <f t="shared" si="593"/>
        <v>595970.31678166543</v>
      </c>
      <c r="N1200" s="1364">
        <f t="shared" si="593"/>
        <v>76169.039964425305</v>
      </c>
      <c r="O1200" s="1364">
        <f t="shared" si="593"/>
        <v>54819.097035475083</v>
      </c>
      <c r="P1200" s="1364">
        <f t="shared" si="593"/>
        <v>2045.7442201957822</v>
      </c>
      <c r="Q1200" s="1364">
        <f t="shared" si="593"/>
        <v>0</v>
      </c>
      <c r="R1200" s="1364"/>
      <c r="T1200" s="1326"/>
      <c r="U1200" s="1326"/>
      <c r="V1200" s="1324" t="s">
        <v>5692</v>
      </c>
      <c r="AA1200" s="1320"/>
    </row>
    <row r="1201" spans="1:25">
      <c r="A1201" s="1320" t="s">
        <v>4894</v>
      </c>
      <c r="B1201" s="1321"/>
      <c r="C1201" s="1434">
        <v>110</v>
      </c>
      <c r="D1201" s="1358" t="s">
        <v>5265</v>
      </c>
      <c r="E1201" s="1358" t="s">
        <v>2067</v>
      </c>
      <c r="F1201" s="1358">
        <f t="shared" ref="F1201:H1207" si="594">+F1140+F1167+F1178+F1190</f>
        <v>322619.66777948913</v>
      </c>
      <c r="G1201" s="1358">
        <f t="shared" si="594"/>
        <v>0</v>
      </c>
      <c r="H1201" s="1358">
        <f t="shared" si="594"/>
        <v>322619.66777948913</v>
      </c>
      <c r="I1201" s="1323">
        <f t="shared" si="592"/>
        <v>1</v>
      </c>
      <c r="J1201" s="1364">
        <f t="shared" ref="J1201:Q1207" si="595">+J1140+J1167+J1178+J1190</f>
        <v>322619.66777948913</v>
      </c>
      <c r="K1201" s="1364">
        <f t="shared" si="595"/>
        <v>162804.91318569396</v>
      </c>
      <c r="L1201" s="1364">
        <f t="shared" si="595"/>
        <v>15045.079823144944</v>
      </c>
      <c r="M1201" s="1364">
        <f t="shared" si="595"/>
        <v>112080.00098079453</v>
      </c>
      <c r="N1201" s="1367">
        <f t="shared" si="595"/>
        <v>17841.33404848021</v>
      </c>
      <c r="O1201" s="1367">
        <f t="shared" si="595"/>
        <v>13143.92247004815</v>
      </c>
      <c r="P1201" s="1367">
        <f t="shared" si="595"/>
        <v>1704.4172713273349</v>
      </c>
      <c r="Q1201" s="1364">
        <f t="shared" si="595"/>
        <v>0</v>
      </c>
      <c r="R1201" s="1358"/>
      <c r="T1201" s="1326"/>
      <c r="U1201" s="1326"/>
      <c r="V1201" s="1320" t="s">
        <v>5693</v>
      </c>
    </row>
    <row r="1202" spans="1:25">
      <c r="A1202" s="1320" t="s">
        <v>4894</v>
      </c>
      <c r="B1202" s="1321"/>
      <c r="C1202" s="1434">
        <v>111</v>
      </c>
      <c r="D1202" s="1358" t="s">
        <v>5268</v>
      </c>
      <c r="E1202" s="1358" t="s">
        <v>4067</v>
      </c>
      <c r="F1202" s="1358">
        <f t="shared" si="594"/>
        <v>149714.92348754551</v>
      </c>
      <c r="G1202" s="1358">
        <f t="shared" si="594"/>
        <v>9699.5591842137055</v>
      </c>
      <c r="H1202" s="1358">
        <f t="shared" si="594"/>
        <v>140015.36430333179</v>
      </c>
      <c r="I1202" s="1323">
        <f t="shared" si="592"/>
        <v>0.93521314403222733</v>
      </c>
      <c r="J1202" s="1364">
        <f t="shared" si="595"/>
        <v>140015.36430333179</v>
      </c>
      <c r="K1202" s="1364">
        <f t="shared" si="595"/>
        <v>81210.737113605152</v>
      </c>
      <c r="L1202" s="1364">
        <f t="shared" si="595"/>
        <v>6699.0666752979769</v>
      </c>
      <c r="M1202" s="1364">
        <f t="shared" si="595"/>
        <v>42823.767726918733</v>
      </c>
      <c r="N1202" s="1367">
        <f t="shared" si="595"/>
        <v>5345.9795961789587</v>
      </c>
      <c r="O1202" s="1367">
        <f t="shared" si="595"/>
        <v>3836.543332978822</v>
      </c>
      <c r="P1202" s="1367">
        <f t="shared" si="595"/>
        <v>99.269858352148603</v>
      </c>
      <c r="Q1202" s="1364">
        <f t="shared" si="595"/>
        <v>0</v>
      </c>
      <c r="R1202" s="1358"/>
      <c r="T1202" s="1326"/>
      <c r="U1202" s="1326"/>
      <c r="V1202" s="1320" t="s">
        <v>5694</v>
      </c>
    </row>
    <row r="1203" spans="1:25">
      <c r="A1203" s="1320" t="s">
        <v>4894</v>
      </c>
      <c r="B1203" s="1321"/>
      <c r="C1203" s="1434">
        <v>112</v>
      </c>
      <c r="D1203" s="1358" t="s">
        <v>5239</v>
      </c>
      <c r="E1203" s="1358" t="s">
        <v>4067</v>
      </c>
      <c r="F1203" s="1358">
        <f t="shared" si="594"/>
        <v>140304.38999998066</v>
      </c>
      <c r="G1203" s="1358">
        <f t="shared" si="594"/>
        <v>9089.8803065749416</v>
      </c>
      <c r="H1203" s="1358">
        <f t="shared" si="594"/>
        <v>131214.50969340571</v>
      </c>
      <c r="I1203" s="1323">
        <f t="shared" si="592"/>
        <v>0.93521314403222733</v>
      </c>
      <c r="J1203" s="1364">
        <f t="shared" si="595"/>
        <v>131214.50969340571</v>
      </c>
      <c r="K1203" s="1364">
        <f t="shared" si="595"/>
        <v>76106.126675615116</v>
      </c>
      <c r="L1203" s="1364">
        <f t="shared" si="595"/>
        <v>6277.9878020982342</v>
      </c>
      <c r="M1203" s="1364">
        <f t="shared" si="595"/>
        <v>40132.022035371876</v>
      </c>
      <c r="N1203" s="1367">
        <f t="shared" si="595"/>
        <v>5009.9508367088611</v>
      </c>
      <c r="O1203" s="1367">
        <f t="shared" si="595"/>
        <v>3595.3922261254415</v>
      </c>
      <c r="P1203" s="1367">
        <f t="shared" si="595"/>
        <v>93.030117486192594</v>
      </c>
      <c r="Q1203" s="1364">
        <f t="shared" si="595"/>
        <v>0</v>
      </c>
      <c r="R1203" s="1358"/>
      <c r="T1203" s="1326"/>
      <c r="U1203" s="1326"/>
      <c r="V1203" s="1320" t="s">
        <v>5695</v>
      </c>
      <c r="Y1203" s="1324"/>
    </row>
    <row r="1204" spans="1:25">
      <c r="A1204" s="1320" t="s">
        <v>4894</v>
      </c>
      <c r="B1204" s="1321"/>
      <c r="C1204" s="1434">
        <v>113</v>
      </c>
      <c r="D1204" s="1358" t="s">
        <v>5240</v>
      </c>
      <c r="E1204" s="1358" t="s">
        <v>4067</v>
      </c>
      <c r="F1204" s="1358">
        <f t="shared" si="594"/>
        <v>646089.35097835469</v>
      </c>
      <c r="G1204" s="1358">
        <f t="shared" si="594"/>
        <v>0</v>
      </c>
      <c r="H1204" s="1358">
        <f t="shared" si="594"/>
        <v>646089.35097835469</v>
      </c>
      <c r="I1204" s="1323">
        <f t="shared" si="592"/>
        <v>1</v>
      </c>
      <c r="J1204" s="1364">
        <f t="shared" si="595"/>
        <v>646089.35097835469</v>
      </c>
      <c r="K1204" s="1364">
        <f t="shared" si="595"/>
        <v>402136.35728135379</v>
      </c>
      <c r="L1204" s="1364">
        <f t="shared" si="595"/>
        <v>28600.946311714382</v>
      </c>
      <c r="M1204" s="1364">
        <f t="shared" si="595"/>
        <v>191501.19324132524</v>
      </c>
      <c r="N1204" s="1367">
        <f t="shared" si="595"/>
        <v>20142.07518876344</v>
      </c>
      <c r="O1204" s="1367">
        <f t="shared" si="595"/>
        <v>1.3752616548171935E-2</v>
      </c>
      <c r="P1204" s="1367">
        <f t="shared" si="595"/>
        <v>3708.7652025816124</v>
      </c>
      <c r="Q1204" s="1364">
        <f t="shared" si="595"/>
        <v>0</v>
      </c>
      <c r="R1204" s="1358"/>
      <c r="T1204" s="1326"/>
      <c r="U1204" s="1326"/>
      <c r="V1204" s="1320" t="s">
        <v>5696</v>
      </c>
      <c r="Y1204" s="1324"/>
    </row>
    <row r="1205" spans="1:25">
      <c r="A1205" s="1320" t="s">
        <v>4894</v>
      </c>
      <c r="B1205" s="1321"/>
      <c r="C1205" s="1434">
        <v>114</v>
      </c>
      <c r="D1205" s="1358" t="s">
        <v>5241</v>
      </c>
      <c r="E1205" s="1358" t="s">
        <v>4067</v>
      </c>
      <c r="F1205" s="1358">
        <f t="shared" si="594"/>
        <v>401759.43460946128</v>
      </c>
      <c r="G1205" s="1358">
        <f t="shared" si="594"/>
        <v>0</v>
      </c>
      <c r="H1205" s="1358">
        <f t="shared" si="594"/>
        <v>401759.43460946128</v>
      </c>
      <c r="I1205" s="1323">
        <f t="shared" si="592"/>
        <v>1</v>
      </c>
      <c r="J1205" s="1364">
        <f t="shared" si="595"/>
        <v>401759.43460946128</v>
      </c>
      <c r="K1205" s="1364">
        <f t="shared" si="595"/>
        <v>293137.04652941209</v>
      </c>
      <c r="L1205" s="1364">
        <f t="shared" si="595"/>
        <v>23603.349912037444</v>
      </c>
      <c r="M1205" s="1364">
        <f t="shared" si="595"/>
        <v>83565.702257173325</v>
      </c>
      <c r="N1205" s="1367">
        <f t="shared" si="595"/>
        <v>0</v>
      </c>
      <c r="O1205" s="1367">
        <f t="shared" si="595"/>
        <v>0</v>
      </c>
      <c r="P1205" s="1367">
        <f t="shared" si="595"/>
        <v>1453.3359108383854</v>
      </c>
      <c r="Q1205" s="1364">
        <f t="shared" si="595"/>
        <v>0</v>
      </c>
      <c r="R1205" s="1358"/>
      <c r="T1205" s="1326"/>
      <c r="U1205" s="1326"/>
      <c r="V1205" s="1320" t="s">
        <v>5697</v>
      </c>
      <c r="Y1205" s="1324"/>
    </row>
    <row r="1206" spans="1:25">
      <c r="A1206" s="1320" t="s">
        <v>4894</v>
      </c>
      <c r="B1206" s="1321"/>
      <c r="C1206" s="1434">
        <v>115</v>
      </c>
      <c r="D1206" s="1358" t="s">
        <v>5242</v>
      </c>
      <c r="E1206" s="1358" t="s">
        <v>4071</v>
      </c>
      <c r="F1206" s="1358">
        <f t="shared" si="594"/>
        <v>367572.06014171452</v>
      </c>
      <c r="G1206" s="1358">
        <f t="shared" si="594"/>
        <v>0</v>
      </c>
      <c r="H1206" s="1358">
        <f t="shared" si="594"/>
        <v>367572.06014171452</v>
      </c>
      <c r="I1206" s="1323">
        <f t="shared" si="592"/>
        <v>1</v>
      </c>
      <c r="J1206" s="1364">
        <f t="shared" si="595"/>
        <v>367572.06014171452</v>
      </c>
      <c r="K1206" s="1364">
        <f t="shared" si="595"/>
        <v>163643.70133619319</v>
      </c>
      <c r="L1206" s="1364">
        <f t="shared" si="595"/>
        <v>19697.484543205894</v>
      </c>
      <c r="M1206" s="1364">
        <f t="shared" si="595"/>
        <v>7341.8988639643867</v>
      </c>
      <c r="N1206" s="1367">
        <f t="shared" si="595"/>
        <v>330.3224631955448</v>
      </c>
      <c r="O1206" s="1367">
        <f t="shared" si="595"/>
        <v>360.39567366358744</v>
      </c>
      <c r="P1206" s="1367">
        <f t="shared" si="595"/>
        <v>109.2383149315348</v>
      </c>
      <c r="Q1206" s="1364">
        <f t="shared" si="595"/>
        <v>176089.01894656042</v>
      </c>
      <c r="R1206" s="1358"/>
      <c r="T1206" s="1326"/>
      <c r="U1206" s="1326"/>
      <c r="V1206" s="1320" t="s">
        <v>5698</v>
      </c>
      <c r="Y1206" s="1324"/>
    </row>
    <row r="1207" spans="1:25">
      <c r="A1207" s="1320" t="s">
        <v>4894</v>
      </c>
      <c r="B1207" s="1321"/>
      <c r="C1207" s="1434">
        <v>116</v>
      </c>
      <c r="D1207" s="1358" t="s">
        <v>5244</v>
      </c>
      <c r="E1207" s="1358" t="s">
        <v>4071</v>
      </c>
      <c r="F1207" s="1350">
        <f t="shared" si="594"/>
        <v>67123.870702369808</v>
      </c>
      <c r="G1207" s="1350">
        <f t="shared" si="594"/>
        <v>0</v>
      </c>
      <c r="H1207" s="1350">
        <f t="shared" si="594"/>
        <v>67123.870702369808</v>
      </c>
      <c r="I1207" s="1323">
        <f t="shared" si="592"/>
        <v>1</v>
      </c>
      <c r="J1207" s="1366">
        <f t="shared" si="595"/>
        <v>67123.870702369808</v>
      </c>
      <c r="K1207" s="1366">
        <f t="shared" si="595"/>
        <v>59866.895221111394</v>
      </c>
      <c r="L1207" s="1366">
        <f t="shared" si="595"/>
        <v>5803.5565583145435</v>
      </c>
      <c r="M1207" s="1366">
        <f t="shared" si="595"/>
        <v>1429.3665211020948</v>
      </c>
      <c r="N1207" s="1378">
        <f t="shared" si="595"/>
        <v>4.8260482659875761</v>
      </c>
      <c r="O1207" s="1378">
        <f t="shared" si="595"/>
        <v>0.85623436977198941</v>
      </c>
      <c r="P1207" s="1378">
        <f t="shared" si="595"/>
        <v>18.370119206017225</v>
      </c>
      <c r="Q1207" s="1366">
        <f t="shared" si="595"/>
        <v>0</v>
      </c>
      <c r="R1207" s="1358"/>
      <c r="T1207" s="1326"/>
      <c r="U1207" s="1326"/>
      <c r="V1207" s="1320" t="s">
        <v>5699</v>
      </c>
      <c r="Y1207" s="1324"/>
    </row>
    <row r="1208" spans="1:25">
      <c r="A1208" s="1320" t="s">
        <v>4894</v>
      </c>
      <c r="B1208" s="1436"/>
      <c r="C1208" s="1434">
        <v>117</v>
      </c>
      <c r="D1208" s="1358"/>
      <c r="E1208" s="1358"/>
      <c r="F1208" s="1358"/>
      <c r="G1208" s="1358"/>
      <c r="H1208" s="1358"/>
      <c r="J1208" s="1364"/>
      <c r="K1208" s="1364"/>
      <c r="L1208" s="1364"/>
      <c r="M1208" s="1364"/>
      <c r="N1208" s="1367"/>
      <c r="O1208" s="1367"/>
      <c r="P1208" s="1367"/>
      <c r="Q1208" s="1364"/>
      <c r="R1208" s="1358"/>
      <c r="S1208" s="1436"/>
      <c r="T1208" s="1436"/>
      <c r="U1208" s="1438"/>
      <c r="Y1208" s="1324"/>
    </row>
    <row r="1209" spans="1:25" ht="14.4" thickBot="1">
      <c r="A1209" s="1320" t="s">
        <v>4894</v>
      </c>
      <c r="B1209" s="1358"/>
      <c r="C1209" s="1434">
        <v>118</v>
      </c>
      <c r="D1209" s="1320" t="s">
        <v>5700</v>
      </c>
      <c r="E1209" s="1358"/>
      <c r="F1209" s="1423">
        <f>SUM(F1200:F1207)</f>
        <v>4023596.4966630763</v>
      </c>
      <c r="G1209" s="1423">
        <f>SUM(G1200:G1207)</f>
        <v>18789.439490788645</v>
      </c>
      <c r="H1209" s="1423">
        <f>SUM(H1200:H1207)</f>
        <v>4004807.0571722877</v>
      </c>
      <c r="I1209" s="1323">
        <f>IF(F1209=0,0,+H1209/F1209)</f>
        <v>0.99533018792854322</v>
      </c>
      <c r="J1209" s="1380">
        <f t="shared" ref="J1209:Q1209" si="596">SUM(J1200:J1207)</f>
        <v>4004807.0571722877</v>
      </c>
      <c r="K1209" s="1380">
        <f t="shared" si="596"/>
        <v>2346228.6899014795</v>
      </c>
      <c r="L1209" s="1380">
        <f t="shared" si="596"/>
        <v>197813.16002971848</v>
      </c>
      <c r="M1209" s="1380">
        <f t="shared" si="596"/>
        <v>1074844.2684083157</v>
      </c>
      <c r="N1209" s="1424">
        <f t="shared" si="596"/>
        <v>124843.5281460183</v>
      </c>
      <c r="O1209" s="1424">
        <f>SUM(O1200:O1207)</f>
        <v>75756.22072527741</v>
      </c>
      <c r="P1209" s="1424">
        <f>SUM(P1200:P1207)</f>
        <v>9232.1710149190094</v>
      </c>
      <c r="Q1209" s="1380">
        <f t="shared" si="596"/>
        <v>176089.01894656042</v>
      </c>
      <c r="R1209" s="1358"/>
      <c r="S1209" s="1358"/>
      <c r="T1209" s="1358"/>
      <c r="U1209" s="1364"/>
      <c r="V1209" s="1320" t="s">
        <v>5701</v>
      </c>
      <c r="Y1209" s="1324"/>
    </row>
    <row r="1210" spans="1:25" ht="14.4" thickTop="1">
      <c r="G1210" s="1320"/>
      <c r="Y1210" s="1324"/>
    </row>
    <row r="1211" spans="1:25">
      <c r="G1211" s="1320"/>
    </row>
    <row r="1212" spans="1:25">
      <c r="G1212" s="1320"/>
    </row>
    <row r="1213" spans="1:25">
      <c r="G1213" s="1320"/>
    </row>
    <row r="1214" spans="1:25">
      <c r="G1214" s="1320"/>
      <c r="Y1214" s="1324"/>
    </row>
    <row r="1215" spans="1:25">
      <c r="B1215" s="1432"/>
      <c r="C1215" s="1340" t="str">
        <f>+C$2</f>
        <v>RATES WITH REVENUE DEFICIENCY ADDITION</v>
      </c>
      <c r="D1215" s="1358"/>
      <c r="F1215" s="1333"/>
      <c r="G1215" s="1327" t="s">
        <v>2173</v>
      </c>
      <c r="I1215" s="1334" t="s">
        <v>5686</v>
      </c>
      <c r="L1215" s="1329" t="s">
        <v>2173</v>
      </c>
      <c r="M1215" s="1330"/>
      <c r="N1215" s="1330"/>
      <c r="O1215" s="1330"/>
      <c r="S1215" s="1334" t="s">
        <v>5702</v>
      </c>
      <c r="T1215" s="1333" t="s">
        <v>2173</v>
      </c>
      <c r="U1215" s="1334"/>
      <c r="V1215" s="1332" t="s">
        <v>4772</v>
      </c>
      <c r="Y1215" s="1324"/>
    </row>
    <row r="1216" spans="1:25">
      <c r="B1216" s="1432"/>
      <c r="C1216" s="1340" t="str">
        <f>+C$3</f>
        <v>PROD. CAP. ALLOC. METHOD: 12 CP &amp; 1/13th AD</v>
      </c>
      <c r="D1216" s="1358"/>
      <c r="G1216" s="1336" t="s">
        <v>4768</v>
      </c>
      <c r="I1216" s="1335" t="s">
        <v>4310</v>
      </c>
      <c r="L1216" s="1336" t="s">
        <v>5141</v>
      </c>
      <c r="M1216" s="1337"/>
      <c r="N1216" s="1337"/>
      <c r="O1216" s="1337"/>
      <c r="R1216" s="1331"/>
      <c r="S1216" s="1335" t="s">
        <v>4311</v>
      </c>
      <c r="T1216" s="1333" t="s">
        <v>5141</v>
      </c>
      <c r="V1216" s="1332" t="s">
        <v>5702</v>
      </c>
    </row>
    <row r="1217" spans="1:27">
      <c r="C1217" s="1340" t="str">
        <f>+C$4</f>
        <v>PROJECTED CALENDAR YEAR 2025; FULLY ADJUSTED DATA</v>
      </c>
      <c r="D1217" s="1358"/>
      <c r="G1217" s="1336" t="s">
        <v>2181</v>
      </c>
      <c r="L1217" s="1336" t="s">
        <v>2181</v>
      </c>
      <c r="T1217" s="1339"/>
    </row>
    <row r="1218" spans="1:27">
      <c r="C1218" s="1340" t="str">
        <f>+C$5</f>
        <v>MINIMUM DISTRIBUTION SYSTEM (MDS) NOT EMPLOYED</v>
      </c>
      <c r="D1218" s="1358"/>
      <c r="G1218" s="1358"/>
      <c r="L1218" s="1336"/>
      <c r="M1218" s="1337"/>
      <c r="N1218" s="1337"/>
      <c r="O1218" s="1337"/>
      <c r="T1218" s="1333"/>
    </row>
    <row r="1219" spans="1:27">
      <c r="C1219" s="1340" t="str">
        <f>+C$6</f>
        <v>Tampa Electric 2025 OB Budget</v>
      </c>
      <c r="D1219" s="1358"/>
      <c r="F1219" s="1327"/>
      <c r="G1219" s="1333" t="s">
        <v>5703</v>
      </c>
      <c r="L1219" s="1336" t="s">
        <v>5703</v>
      </c>
      <c r="M1219" s="1337"/>
      <c r="N1219" s="1337"/>
      <c r="O1219" s="1337"/>
      <c r="T1219" s="1333" t="s">
        <v>5703</v>
      </c>
    </row>
    <row r="1220" spans="1:27">
      <c r="D1220" s="1358"/>
      <c r="F1220" s="1333"/>
      <c r="G1220" s="1358"/>
      <c r="L1220" s="1336"/>
      <c r="M1220" s="1337"/>
      <c r="N1220" s="1337"/>
      <c r="O1220" s="1337"/>
    </row>
    <row r="1221" spans="1:27">
      <c r="D1221" s="1358"/>
      <c r="E1221" s="1358"/>
      <c r="F1221" s="1333"/>
      <c r="G1221" s="1358"/>
      <c r="L1221" s="1336"/>
      <c r="M1221" s="1337"/>
      <c r="N1221" s="1337"/>
      <c r="O1221" s="1337"/>
      <c r="Y1221" s="1324"/>
    </row>
    <row r="1222" spans="1:27">
      <c r="G1222" s="1320"/>
      <c r="Y1222" s="1324"/>
    </row>
    <row r="1223" spans="1:27">
      <c r="C1223" s="1342"/>
      <c r="D1223" s="1331"/>
      <c r="E1223" s="1331"/>
      <c r="F1223" s="1333"/>
      <c r="G1223" s="1333"/>
      <c r="H1223" s="1333"/>
      <c r="I1223" s="1343"/>
      <c r="J1223" s="1416"/>
      <c r="K1223" s="1336"/>
      <c r="L1223" s="1416"/>
      <c r="M1223" s="1417"/>
      <c r="N1223" s="1417"/>
      <c r="O1223" s="1417"/>
      <c r="P1223" s="3164"/>
      <c r="Q1223" s="3164"/>
      <c r="R1223" s="1333"/>
      <c r="Y1223" s="1324"/>
    </row>
    <row r="1224" spans="1:27" ht="30" customHeight="1">
      <c r="A1224" s="1418" t="s">
        <v>4683</v>
      </c>
      <c r="B1224" s="1425" t="s">
        <v>5143</v>
      </c>
      <c r="C1224" s="1349" t="s">
        <v>4297</v>
      </c>
      <c r="D1224" s="1418"/>
      <c r="E1224" s="1418"/>
      <c r="F1224" s="1348" t="s">
        <v>5144</v>
      </c>
      <c r="G1224" s="1348" t="s">
        <v>4956</v>
      </c>
      <c r="H1224" s="1348" t="s">
        <v>4957</v>
      </c>
      <c r="I1224" s="1426" t="s">
        <v>5145</v>
      </c>
      <c r="J1224" s="1352" t="s">
        <v>4957</v>
      </c>
      <c r="K1224" s="1353" t="s">
        <v>1949</v>
      </c>
      <c r="L1224" s="1353" t="s">
        <v>1950</v>
      </c>
      <c r="M1224" s="1354" t="s">
        <v>1934</v>
      </c>
      <c r="N1224" s="1354" t="s">
        <v>1971</v>
      </c>
      <c r="O1224" s="1354" t="s">
        <v>1972</v>
      </c>
      <c r="P1224" s="1352" t="s">
        <v>5146</v>
      </c>
      <c r="Q1224" s="1352" t="s">
        <v>5147</v>
      </c>
      <c r="R1224" s="1355"/>
      <c r="S1224" s="1348" t="s">
        <v>5299</v>
      </c>
      <c r="T1224" s="1348"/>
      <c r="U1224" s="1352"/>
      <c r="V1224" s="1355" t="s">
        <v>4774</v>
      </c>
      <c r="W1224" s="1350"/>
      <c r="Y1224" s="1324"/>
    </row>
    <row r="1225" spans="1:27">
      <c r="G1225" s="1320"/>
      <c r="Y1225" s="1324"/>
    </row>
    <row r="1226" spans="1:27">
      <c r="A1226" s="1320" t="s">
        <v>4897</v>
      </c>
      <c r="B1226" s="1321"/>
      <c r="C1226" s="1322">
        <v>1</v>
      </c>
      <c r="D1226" s="1356" t="s">
        <v>5084</v>
      </c>
      <c r="G1226" s="1320"/>
      <c r="S1226" s="1321"/>
      <c r="T1226" s="1321"/>
      <c r="U1226" s="1326"/>
      <c r="Y1226" s="1324"/>
    </row>
    <row r="1227" spans="1:27" s="1324" customFormat="1">
      <c r="A1227" s="1324" t="s">
        <v>4897</v>
      </c>
      <c r="B1227" s="1324">
        <v>101</v>
      </c>
      <c r="C1227" s="1393">
        <v>2</v>
      </c>
      <c r="D1227" s="1324" t="s">
        <v>5265</v>
      </c>
      <c r="E1227" s="1324" t="s">
        <v>4067</v>
      </c>
      <c r="F1227" s="1324">
        <f>+'Allocation Assignment'!F444</f>
        <v>91094.96646804089</v>
      </c>
      <c r="G1227" s="1364">
        <f>+$F1227*G$1933</f>
        <v>0</v>
      </c>
      <c r="H1227" s="1364">
        <f>+$F1227*H$1933</f>
        <v>91094.96646804089</v>
      </c>
      <c r="I1227" s="1374">
        <f t="shared" ref="I1227:I1235" si="597">IF(F1227=0,0,+H1227/F1227)</f>
        <v>1</v>
      </c>
      <c r="J1227" s="1364">
        <f t="shared" ref="J1227:J1234" si="598">+H1227</f>
        <v>91094.96646804089</v>
      </c>
      <c r="K1227" s="1324">
        <f t="shared" ref="K1227:Q1227" si="599">$J1227*K$1951</f>
        <v>52308.065805719692</v>
      </c>
      <c r="L1227" s="1324">
        <f t="shared" si="599"/>
        <v>4349.9725275864521</v>
      </c>
      <c r="M1227" s="1324">
        <f t="shared" si="599"/>
        <v>28152.63207770406</v>
      </c>
      <c r="N1227" s="1324">
        <f t="shared" si="599"/>
        <v>3598.0969143065404</v>
      </c>
      <c r="O1227" s="1324">
        <f t="shared" si="599"/>
        <v>2589.5616379113699</v>
      </c>
      <c r="P1227" s="1324">
        <f t="shared" si="599"/>
        <v>96.637504812778744</v>
      </c>
      <c r="Q1227" s="1324">
        <f t="shared" si="599"/>
        <v>0</v>
      </c>
      <c r="S1227" s="1324">
        <v>122</v>
      </c>
      <c r="V1227" s="1326" t="s">
        <v>9476</v>
      </c>
      <c r="W1227" s="1326">
        <v>122</v>
      </c>
      <c r="AA1227" s="1320"/>
    </row>
    <row r="1228" spans="1:27">
      <c r="A1228" s="1320" t="s">
        <v>4897</v>
      </c>
      <c r="B1228" s="1320">
        <v>101</v>
      </c>
      <c r="C1228" s="1322">
        <v>3</v>
      </c>
      <c r="D1228" s="1320" t="s">
        <v>5265</v>
      </c>
      <c r="E1228" s="1320" t="s">
        <v>2067</v>
      </c>
      <c r="F1228" s="1324">
        <f>+'Allocation Assignment'!F445</f>
        <v>7691.9493755345575</v>
      </c>
      <c r="G1228" s="1358">
        <f>+$F1228*G$1933</f>
        <v>0</v>
      </c>
      <c r="H1228" s="1358">
        <f>+$F1228*H$1933</f>
        <v>7691.9493755345575</v>
      </c>
      <c r="I1228" s="1323">
        <f t="shared" si="597"/>
        <v>1</v>
      </c>
      <c r="J1228" s="1364">
        <f t="shared" si="598"/>
        <v>7691.9493755345575</v>
      </c>
      <c r="K1228" s="1364">
        <f t="shared" ref="K1228:Q1228" si="600">+$J1228*K$1969</f>
        <v>3881.6206058726589</v>
      </c>
      <c r="L1228" s="1364">
        <f t="shared" si="600"/>
        <v>358.70718343683296</v>
      </c>
      <c r="M1228" s="1364">
        <f t="shared" si="600"/>
        <v>2672.2291901415961</v>
      </c>
      <c r="N1228" s="1367">
        <f t="shared" si="600"/>
        <v>425.37592093334734</v>
      </c>
      <c r="O1228" s="1367">
        <f t="shared" si="600"/>
        <v>313.37948777712177</v>
      </c>
      <c r="P1228" s="1367">
        <f t="shared" si="600"/>
        <v>40.63698737300016</v>
      </c>
      <c r="Q1228" s="1364">
        <f t="shared" si="600"/>
        <v>0</v>
      </c>
      <c r="R1228" s="1364"/>
      <c r="S1228" s="1324">
        <v>201</v>
      </c>
      <c r="V1228" s="1321" t="s">
        <v>5235</v>
      </c>
      <c r="W1228" s="1321">
        <v>201</v>
      </c>
      <c r="Y1228" s="1324"/>
    </row>
    <row r="1229" spans="1:27">
      <c r="A1229" s="1320" t="s">
        <v>4897</v>
      </c>
      <c r="B1229" s="1320">
        <v>117</v>
      </c>
      <c r="C1229" s="1322">
        <v>4</v>
      </c>
      <c r="D1229" s="1320" t="s">
        <v>5268</v>
      </c>
      <c r="E1229" s="1320" t="s">
        <v>4067</v>
      </c>
      <c r="F1229" s="1324">
        <f>+'Allocation Assignment'!F446</f>
        <v>7204.3735840743111</v>
      </c>
      <c r="G1229" s="1358">
        <f>+$F1229*G$1942</f>
        <v>466.74871372944807</v>
      </c>
      <c r="H1229" s="1358">
        <f>+$F1229*H$1942</f>
        <v>6737.6248703448628</v>
      </c>
      <c r="I1229" s="1323">
        <f t="shared" si="597"/>
        <v>0.93521314403222733</v>
      </c>
      <c r="J1229" s="1364">
        <f t="shared" si="598"/>
        <v>6737.6248703448628</v>
      </c>
      <c r="K1229" s="1364">
        <f t="shared" ref="K1229:Q1230" si="601">+$J1229*K$1945</f>
        <v>3907.910284261885</v>
      </c>
      <c r="L1229" s="1364">
        <f t="shared" si="601"/>
        <v>322.36318109920506</v>
      </c>
      <c r="M1229" s="1364">
        <f t="shared" si="601"/>
        <v>2060.7058654911739</v>
      </c>
      <c r="N1229" s="1367">
        <f t="shared" si="601"/>
        <v>257.25180420585048</v>
      </c>
      <c r="O1229" s="1367">
        <f t="shared" si="601"/>
        <v>184.61680905556719</v>
      </c>
      <c r="P1229" s="1367">
        <f t="shared" si="601"/>
        <v>4.7769262311817045</v>
      </c>
      <c r="Q1229" s="1364">
        <f t="shared" si="601"/>
        <v>0</v>
      </c>
      <c r="R1229" s="1364"/>
      <c r="S1229" s="1324">
        <v>118</v>
      </c>
      <c r="V1229" s="1321" t="s">
        <v>9477</v>
      </c>
      <c r="W1229" s="1321">
        <v>117</v>
      </c>
    </row>
    <row r="1230" spans="1:27">
      <c r="A1230" s="1320" t="s">
        <v>4897</v>
      </c>
      <c r="B1230" s="1320">
        <v>117</v>
      </c>
      <c r="C1230" s="1322">
        <v>5</v>
      </c>
      <c r="D1230" s="1320" t="s">
        <v>5239</v>
      </c>
      <c r="E1230" s="1320" t="s">
        <v>4067</v>
      </c>
      <c r="F1230" s="1324">
        <f>+'Allocation Assignment'!F447</f>
        <v>7080.443710513463</v>
      </c>
      <c r="G1230" s="1358">
        <f>+$F1230*G$1942</f>
        <v>458.71968686095715</v>
      </c>
      <c r="H1230" s="1358">
        <f>+$F1230*H$1942</f>
        <v>6621.7240236525049</v>
      </c>
      <c r="I1230" s="1323">
        <f t="shared" si="597"/>
        <v>0.93521314403222722</v>
      </c>
      <c r="J1230" s="1364">
        <f t="shared" si="598"/>
        <v>6621.7240236525049</v>
      </c>
      <c r="K1230" s="1364">
        <f t="shared" si="601"/>
        <v>3840.6862818189375</v>
      </c>
      <c r="L1230" s="1364">
        <f t="shared" si="601"/>
        <v>316.81787895626644</v>
      </c>
      <c r="M1230" s="1364">
        <f t="shared" si="601"/>
        <v>2025.2575347825943</v>
      </c>
      <c r="N1230" s="1367">
        <f t="shared" si="601"/>
        <v>252.82655012977</v>
      </c>
      <c r="O1230" s="1367">
        <f t="shared" si="601"/>
        <v>181.44102457736628</v>
      </c>
      <c r="P1230" s="1367">
        <f t="shared" si="601"/>
        <v>4.6947533875706364</v>
      </c>
      <c r="Q1230" s="1364">
        <f t="shared" si="601"/>
        <v>0</v>
      </c>
      <c r="R1230" s="1364"/>
      <c r="S1230" s="1324">
        <v>118</v>
      </c>
      <c r="V1230" s="1321" t="s">
        <v>9477</v>
      </c>
      <c r="W1230" s="1321">
        <v>117</v>
      </c>
    </row>
    <row r="1231" spans="1:27">
      <c r="A1231" s="1320" t="s">
        <v>4897</v>
      </c>
      <c r="B1231" s="1320">
        <v>105</v>
      </c>
      <c r="C1231" s="1322">
        <v>6</v>
      </c>
      <c r="D1231" s="1320" t="s">
        <v>5240</v>
      </c>
      <c r="E1231" s="1320" t="s">
        <v>4067</v>
      </c>
      <c r="F1231" s="1324">
        <f>+'Allocation Assignment'!F448</f>
        <v>24796.119036571257</v>
      </c>
      <c r="G1231" s="1358">
        <f>+$F1231*G$1936</f>
        <v>0</v>
      </c>
      <c r="H1231" s="1358">
        <f>+$F1231*H$1936</f>
        <v>24796.119036571257</v>
      </c>
      <c r="I1231" s="1323">
        <f t="shared" si="597"/>
        <v>1</v>
      </c>
      <c r="J1231" s="1364">
        <f t="shared" si="598"/>
        <v>24796.119036571257</v>
      </c>
      <c r="K1231" s="1364">
        <f t="shared" ref="K1231:Q1231" si="602">+$J1231*K$1936</f>
        <v>15433.501525728841</v>
      </c>
      <c r="L1231" s="1364">
        <f t="shared" si="602"/>
        <v>1097.6693366481641</v>
      </c>
      <c r="M1231" s="1364">
        <f t="shared" si="602"/>
        <v>7349.5815649442866</v>
      </c>
      <c r="N1231" s="1367">
        <f t="shared" si="602"/>
        <v>773.0282092838255</v>
      </c>
      <c r="O1231" s="1367">
        <f t="shared" si="602"/>
        <v>5.2780860182327248E-4</v>
      </c>
      <c r="P1231" s="1367">
        <f t="shared" si="602"/>
        <v>142.33787215754296</v>
      </c>
      <c r="Q1231" s="1364">
        <f t="shared" si="602"/>
        <v>0</v>
      </c>
      <c r="R1231" s="1364"/>
      <c r="S1231" s="1324">
        <v>105</v>
      </c>
      <c r="V1231" s="1321" t="s">
        <v>5229</v>
      </c>
      <c r="W1231" s="1321">
        <v>105</v>
      </c>
      <c r="Y1231" s="1324"/>
    </row>
    <row r="1232" spans="1:27">
      <c r="A1232" s="1320" t="s">
        <v>4897</v>
      </c>
      <c r="B1232" s="1320">
        <v>106</v>
      </c>
      <c r="C1232" s="1322">
        <v>7</v>
      </c>
      <c r="D1232" s="1320" t="s">
        <v>5241</v>
      </c>
      <c r="E1232" s="1320" t="s">
        <v>4067</v>
      </c>
      <c r="F1232" s="1324">
        <f>+'Allocation Assignment'!F449</f>
        <v>13757.084983215889</v>
      </c>
      <c r="G1232" s="1358">
        <f>+$F1232*G$1939</f>
        <v>0</v>
      </c>
      <c r="H1232" s="1358">
        <f>+$F1232*H$1939</f>
        <v>13757.084983215889</v>
      </c>
      <c r="I1232" s="1323">
        <f t="shared" si="597"/>
        <v>1</v>
      </c>
      <c r="J1232" s="1364">
        <f t="shared" si="598"/>
        <v>13757.084983215889</v>
      </c>
      <c r="K1232" s="1364">
        <f t="shared" ref="K1232:Q1232" si="603">+$J1232*K$1939</f>
        <v>10037.626782191473</v>
      </c>
      <c r="L1232" s="1364">
        <f t="shared" si="603"/>
        <v>808.22816505634739</v>
      </c>
      <c r="M1232" s="1364">
        <f t="shared" si="603"/>
        <v>2861.464768715543</v>
      </c>
      <c r="N1232" s="1367">
        <f t="shared" si="603"/>
        <v>0</v>
      </c>
      <c r="O1232" s="1367">
        <f t="shared" si="603"/>
        <v>0</v>
      </c>
      <c r="P1232" s="1367">
        <f t="shared" si="603"/>
        <v>49.7652672525249</v>
      </c>
      <c r="Q1232" s="1364">
        <f t="shared" si="603"/>
        <v>0</v>
      </c>
      <c r="R1232" s="1364"/>
      <c r="S1232" s="1324">
        <v>106</v>
      </c>
      <c r="V1232" s="1321" t="s">
        <v>5230</v>
      </c>
      <c r="W1232" s="1321">
        <v>106</v>
      </c>
      <c r="Y1232" s="1324"/>
    </row>
    <row r="1233" spans="1:29">
      <c r="A1233" s="1320" t="s">
        <v>4897</v>
      </c>
      <c r="B1233" s="1320">
        <v>907</v>
      </c>
      <c r="C1233" s="1322">
        <v>8</v>
      </c>
      <c r="D1233" s="1320" t="s">
        <v>5242</v>
      </c>
      <c r="E1233" s="1320" t="s">
        <v>4071</v>
      </c>
      <c r="F1233" s="1324">
        <f>+'Allocation Assignment'!F450</f>
        <v>11197.212842049608</v>
      </c>
      <c r="G1233" s="1358">
        <f>+$F1233*G$2055</f>
        <v>0</v>
      </c>
      <c r="H1233" s="1358">
        <f>+$F1233*H$2055</f>
        <v>11197.212842049608</v>
      </c>
      <c r="I1233" s="1323">
        <f t="shared" si="597"/>
        <v>1</v>
      </c>
      <c r="J1233" s="1364">
        <f t="shared" si="598"/>
        <v>11197.212842049608</v>
      </c>
      <c r="K1233" s="1364">
        <f t="shared" ref="K1233:Q1233" si="604">+$J1233*K$2055</f>
        <v>4127.927774182268</v>
      </c>
      <c r="L1233" s="1364">
        <f t="shared" si="604"/>
        <v>626.15236697054786</v>
      </c>
      <c r="M1233" s="1364">
        <f t="shared" si="604"/>
        <v>301.86758215998458</v>
      </c>
      <c r="N1233" s="1367">
        <f t="shared" si="604"/>
        <v>19.459936360981089</v>
      </c>
      <c r="O1233" s="1367">
        <f t="shared" si="604"/>
        <v>21.231607461447723</v>
      </c>
      <c r="P1233" s="1367">
        <f t="shared" si="604"/>
        <v>4.8729072807301543</v>
      </c>
      <c r="Q1233" s="1364">
        <f t="shared" si="604"/>
        <v>6095.7006676336496</v>
      </c>
      <c r="R1233" s="1364"/>
      <c r="S1233" s="1324">
        <v>907</v>
      </c>
      <c r="V1233" s="1321" t="s">
        <v>5243</v>
      </c>
      <c r="W1233" s="1321">
        <v>907</v>
      </c>
    </row>
    <row r="1234" spans="1:29">
      <c r="A1234" s="1320" t="s">
        <v>4897</v>
      </c>
      <c r="B1234" s="1324">
        <v>412</v>
      </c>
      <c r="C1234" s="1393">
        <v>9</v>
      </c>
      <c r="D1234" s="1324" t="s">
        <v>5244</v>
      </c>
      <c r="E1234" s="1324" t="s">
        <v>4071</v>
      </c>
      <c r="F1234" s="1324">
        <f>+'Allocation Assignment'!F451</f>
        <v>0</v>
      </c>
      <c r="G1234" s="1364">
        <f>+$F1234*G$2021</f>
        <v>0</v>
      </c>
      <c r="H1234" s="1364">
        <f>+$F1234*H$2021</f>
        <v>0</v>
      </c>
      <c r="I1234" s="1323">
        <f t="shared" si="597"/>
        <v>0</v>
      </c>
      <c r="J1234" s="1364">
        <f t="shared" si="598"/>
        <v>0</v>
      </c>
      <c r="K1234" s="1364">
        <f t="shared" ref="K1234:Q1234" si="605">+$J1234*K$2021</f>
        <v>0</v>
      </c>
      <c r="L1234" s="1364">
        <f t="shared" si="605"/>
        <v>0</v>
      </c>
      <c r="M1234" s="1364">
        <f t="shared" si="605"/>
        <v>0</v>
      </c>
      <c r="N1234" s="1367">
        <f t="shared" si="605"/>
        <v>0</v>
      </c>
      <c r="O1234" s="1367">
        <f t="shared" si="605"/>
        <v>0</v>
      </c>
      <c r="P1234" s="1367">
        <f t="shared" si="605"/>
        <v>0</v>
      </c>
      <c r="Q1234" s="1364">
        <f t="shared" si="605"/>
        <v>0</v>
      </c>
      <c r="R1234" s="1364"/>
      <c r="S1234" s="1324">
        <v>412</v>
      </c>
      <c r="V1234" s="1321" t="s">
        <v>5245</v>
      </c>
      <c r="W1234" s="1321">
        <v>412</v>
      </c>
    </row>
    <row r="1235" spans="1:29" ht="14.4">
      <c r="A1235" s="1320" t="s">
        <v>4897</v>
      </c>
      <c r="C1235" s="1322">
        <v>10</v>
      </c>
      <c r="D1235" s="1320" t="s">
        <v>5088</v>
      </c>
      <c r="F1235" s="1427">
        <f>+SUM(F1227:F1234)</f>
        <v>162822.15</v>
      </c>
      <c r="G1235" s="1427">
        <f>SUM(G1227:G1234)</f>
        <v>925.46840059040528</v>
      </c>
      <c r="H1235" s="1427">
        <f>SUM(H1227:H1234)</f>
        <v>161896.68159940958</v>
      </c>
      <c r="I1235" s="1323">
        <f t="shared" si="597"/>
        <v>0.99431607799927457</v>
      </c>
      <c r="J1235" s="1421">
        <f t="shared" ref="J1235:Q1235" si="606">SUM(J1227:J1234)</f>
        <v>161896.68159940958</v>
      </c>
      <c r="K1235" s="1421">
        <f t="shared" si="606"/>
        <v>93537.339059775768</v>
      </c>
      <c r="L1235" s="1421">
        <f t="shared" si="606"/>
        <v>7879.9106397538144</v>
      </c>
      <c r="M1235" s="1421">
        <f t="shared" si="606"/>
        <v>45423.738583939237</v>
      </c>
      <c r="N1235" s="1422">
        <f t="shared" si="606"/>
        <v>5326.0393352203146</v>
      </c>
      <c r="O1235" s="1422">
        <f>SUM(O1227:O1234)</f>
        <v>3290.2310945914742</v>
      </c>
      <c r="P1235" s="1422">
        <f>SUM(P1227:P1234)</f>
        <v>343.72221849532929</v>
      </c>
      <c r="Q1235" s="1421">
        <f t="shared" si="606"/>
        <v>6095.7006676336496</v>
      </c>
      <c r="R1235" s="1364"/>
      <c r="S1235" s="1324"/>
      <c r="V1235" s="1320" t="s">
        <v>5704</v>
      </c>
      <c r="AB1235"/>
      <c r="AC1235"/>
    </row>
    <row r="1236" spans="1:29" ht="14.4">
      <c r="A1236" s="1320" t="s">
        <v>4897</v>
      </c>
      <c r="C1236" s="1322">
        <v>11</v>
      </c>
      <c r="G1236" s="1320"/>
      <c r="R1236" s="1324"/>
      <c r="S1236" s="1324"/>
      <c r="AB1236"/>
      <c r="AC1236"/>
    </row>
    <row r="1237" spans="1:29" ht="14.4">
      <c r="A1237" s="1320" t="s">
        <v>4897</v>
      </c>
      <c r="C1237" s="1322">
        <v>12</v>
      </c>
      <c r="D1237" s="1356" t="s">
        <v>5705</v>
      </c>
      <c r="G1237" s="1320"/>
      <c r="R1237" s="1324"/>
      <c r="S1237" s="1324"/>
      <c r="AB1237"/>
      <c r="AC1237"/>
    </row>
    <row r="1238" spans="1:29" s="1324" customFormat="1" ht="14.4">
      <c r="A1238" s="1324" t="s">
        <v>4897</v>
      </c>
      <c r="B1238" s="1324">
        <v>101</v>
      </c>
      <c r="C1238" s="1393">
        <v>13</v>
      </c>
      <c r="D1238" s="1324" t="s">
        <v>5265</v>
      </c>
      <c r="E1238" s="1324" t="s">
        <v>4067</v>
      </c>
      <c r="F1238" s="1324">
        <f>+'Allocation Assignment'!F452</f>
        <v>-276877.79085390217</v>
      </c>
      <c r="G1238" s="1364">
        <f>+$F1238*G$1933</f>
        <v>0</v>
      </c>
      <c r="H1238" s="1364">
        <f>+$F1238*H$1933</f>
        <v>-276877.79085390217</v>
      </c>
      <c r="I1238" s="1374">
        <f t="shared" ref="I1238:I1246" si="607">IF(F1238=0,0,+H1238/F1238)</f>
        <v>1</v>
      </c>
      <c r="J1238" s="1364">
        <f t="shared" ref="J1238:J1245" si="608">+H1238</f>
        <v>-276877.79085390217</v>
      </c>
      <c r="K1238" s="1324">
        <f t="shared" ref="K1238:Q1238" si="609">$J1238*K$1951</f>
        <v>-158987.28838337408</v>
      </c>
      <c r="L1238" s="1324">
        <f t="shared" si="609"/>
        <v>-13221.485559642297</v>
      </c>
      <c r="M1238" s="1324">
        <f t="shared" si="609"/>
        <v>-85568.268792678995</v>
      </c>
      <c r="N1238" s="1324">
        <f t="shared" si="609"/>
        <v>-10936.203870945476</v>
      </c>
      <c r="O1238" s="1324">
        <f t="shared" si="609"/>
        <v>-7870.8202372131836</v>
      </c>
      <c r="P1238" s="1324">
        <f t="shared" si="609"/>
        <v>-293.72401004815862</v>
      </c>
      <c r="Q1238" s="1324">
        <f t="shared" si="609"/>
        <v>0</v>
      </c>
      <c r="S1238" s="1324">
        <v>122</v>
      </c>
      <c r="V1238" s="1326" t="s">
        <v>9476</v>
      </c>
      <c r="W1238" s="1326">
        <v>122</v>
      </c>
      <c r="AA1238" s="1320"/>
      <c r="AB1238"/>
      <c r="AC1238"/>
    </row>
    <row r="1239" spans="1:29" ht="14.4">
      <c r="A1239" s="1320" t="s">
        <v>4897</v>
      </c>
      <c r="B1239" s="1320">
        <v>101</v>
      </c>
      <c r="C1239" s="1322">
        <v>14</v>
      </c>
      <c r="D1239" s="1320" t="s">
        <v>5265</v>
      </c>
      <c r="E1239" s="1320" t="s">
        <v>2067</v>
      </c>
      <c r="F1239" s="1324">
        <f>+'Allocation Assignment'!F453</f>
        <v>-26078.27032716485</v>
      </c>
      <c r="G1239" s="1358">
        <f>+$F1239*G$1933</f>
        <v>0</v>
      </c>
      <c r="H1239" s="1358">
        <f>+$F1239*H$1933</f>
        <v>-26078.27032716485</v>
      </c>
      <c r="I1239" s="1323">
        <f t="shared" si="607"/>
        <v>1</v>
      </c>
      <c r="J1239" s="1364">
        <f t="shared" si="608"/>
        <v>-26078.27032716485</v>
      </c>
      <c r="K1239" s="1364">
        <f t="shared" ref="K1239:Q1239" si="610">+$J1239*K$1969</f>
        <v>-13159.986698483157</v>
      </c>
      <c r="L1239" s="1364">
        <f t="shared" si="610"/>
        <v>-1216.1368258240186</v>
      </c>
      <c r="M1239" s="1364">
        <f t="shared" si="610"/>
        <v>-9059.746989274794</v>
      </c>
      <c r="N1239" s="1367">
        <f t="shared" si="610"/>
        <v>-1442.1660511768011</v>
      </c>
      <c r="O1239" s="1367">
        <f t="shared" si="610"/>
        <v>-1062.4608403214156</v>
      </c>
      <c r="P1239" s="1367">
        <f t="shared" si="610"/>
        <v>-137.77292208466145</v>
      </c>
      <c r="Q1239" s="1364">
        <f t="shared" si="610"/>
        <v>0</v>
      </c>
      <c r="R1239" s="1364"/>
      <c r="S1239" s="1324">
        <v>201</v>
      </c>
      <c r="V1239" s="1321" t="s">
        <v>5235</v>
      </c>
      <c r="W1239" s="1321">
        <v>201</v>
      </c>
      <c r="Y1239" s="1324"/>
      <c r="AB1239"/>
      <c r="AC1239"/>
    </row>
    <row r="1240" spans="1:29" ht="14.4">
      <c r="A1240" s="1320" t="s">
        <v>4897</v>
      </c>
      <c r="B1240" s="1320">
        <v>117</v>
      </c>
      <c r="C1240" s="1322">
        <v>15</v>
      </c>
      <c r="D1240" s="1320" t="s">
        <v>5268</v>
      </c>
      <c r="E1240" s="1320" t="s">
        <v>4067</v>
      </c>
      <c r="F1240" s="1324">
        <f>+'Allocation Assignment'!F454</f>
        <v>-21859.473805132271</v>
      </c>
      <c r="G1240" s="1358">
        <f>+$F1240*G$1942</f>
        <v>-1416.2065809444025</v>
      </c>
      <c r="H1240" s="1358">
        <f>+$F1240*H$1942</f>
        <v>-20443.267224187868</v>
      </c>
      <c r="I1240" s="1323">
        <f t="shared" si="607"/>
        <v>0.93521314403222733</v>
      </c>
      <c r="J1240" s="1364">
        <f t="shared" si="608"/>
        <v>-20443.267224187868</v>
      </c>
      <c r="K1240" s="1364">
        <f t="shared" ref="K1240:Q1241" si="611">+$J1240*K$1945</f>
        <v>-11857.361572762735</v>
      </c>
      <c r="L1240" s="1364">
        <f t="shared" si="611"/>
        <v>-978.1127298221046</v>
      </c>
      <c r="M1240" s="1364">
        <f t="shared" si="611"/>
        <v>-6252.5832900119776</v>
      </c>
      <c r="N1240" s="1367">
        <f t="shared" si="611"/>
        <v>-780.55212014430151</v>
      </c>
      <c r="O1240" s="1367">
        <f t="shared" si="611"/>
        <v>-560.16338609345098</v>
      </c>
      <c r="P1240" s="1367">
        <f t="shared" si="611"/>
        <v>-14.494125353298534</v>
      </c>
      <c r="Q1240" s="1364">
        <f t="shared" si="611"/>
        <v>0</v>
      </c>
      <c r="R1240" s="1364"/>
      <c r="S1240" s="1324">
        <v>118</v>
      </c>
      <c r="V1240" s="1321" t="s">
        <v>9477</v>
      </c>
      <c r="W1240" s="1321">
        <v>117</v>
      </c>
      <c r="Y1240" s="1324"/>
      <c r="AB1240"/>
      <c r="AC1240"/>
    </row>
    <row r="1241" spans="1:29" ht="14.4">
      <c r="A1241" s="1320" t="s">
        <v>4897</v>
      </c>
      <c r="B1241" s="1320">
        <v>117</v>
      </c>
      <c r="C1241" s="1322">
        <v>16</v>
      </c>
      <c r="D1241" s="1320" t="s">
        <v>5239</v>
      </c>
      <c r="E1241" s="1320" t="s">
        <v>4067</v>
      </c>
      <c r="F1241" s="1324">
        <f>+'Allocation Assignment'!F455</f>
        <v>-22792.212186502355</v>
      </c>
      <c r="G1241" s="1358">
        <f>+$F1241*G$1942</f>
        <v>-1476.6357681138395</v>
      </c>
      <c r="H1241" s="1358">
        <f>+$F1241*H$1942</f>
        <v>-21315.576418388515</v>
      </c>
      <c r="I1241" s="1323">
        <f t="shared" si="607"/>
        <v>0.93521314403222744</v>
      </c>
      <c r="J1241" s="1364">
        <f t="shared" si="608"/>
        <v>-21315.576418388515</v>
      </c>
      <c r="K1241" s="1364">
        <f t="shared" si="611"/>
        <v>-12363.312280418922</v>
      </c>
      <c r="L1241" s="1364">
        <f t="shared" si="611"/>
        <v>-1019.8485599040503</v>
      </c>
      <c r="M1241" s="1364">
        <f t="shared" si="611"/>
        <v>-6519.3794841609024</v>
      </c>
      <c r="N1241" s="1367">
        <f t="shared" si="611"/>
        <v>-813.858087506949</v>
      </c>
      <c r="O1241" s="1367">
        <f t="shared" si="611"/>
        <v>-584.06542027347405</v>
      </c>
      <c r="P1241" s="1367">
        <f t="shared" si="611"/>
        <v>-15.112586124217762</v>
      </c>
      <c r="Q1241" s="1364">
        <f t="shared" si="611"/>
        <v>0</v>
      </c>
      <c r="R1241" s="1364"/>
      <c r="S1241" s="1324">
        <v>118</v>
      </c>
      <c r="V1241" s="1321" t="s">
        <v>9477</v>
      </c>
      <c r="W1241" s="1321">
        <v>117</v>
      </c>
      <c r="Y1241" s="1324"/>
      <c r="AB1241"/>
      <c r="AC1241"/>
    </row>
    <row r="1242" spans="1:29" ht="14.4">
      <c r="A1242" s="1320" t="s">
        <v>4897</v>
      </c>
      <c r="B1242" s="1320">
        <v>105</v>
      </c>
      <c r="C1242" s="1322">
        <v>17</v>
      </c>
      <c r="D1242" s="1320" t="s">
        <v>5240</v>
      </c>
      <c r="E1242" s="1320" t="s">
        <v>4067</v>
      </c>
      <c r="F1242" s="1324">
        <f>+'Allocation Assignment'!F456</f>
        <v>-82744.462642516693</v>
      </c>
      <c r="G1242" s="1358">
        <f>+$F1242*G$1936</f>
        <v>0</v>
      </c>
      <c r="H1242" s="1358">
        <f>+$F1242*H$1936</f>
        <v>-82744.462642516693</v>
      </c>
      <c r="I1242" s="1323">
        <f t="shared" si="607"/>
        <v>1</v>
      </c>
      <c r="J1242" s="1364">
        <f t="shared" si="608"/>
        <v>-82744.462642516693</v>
      </c>
      <c r="K1242" s="1364">
        <f t="shared" ref="K1242:Q1242" si="612">+$J1242*K$1936</f>
        <v>-51501.478459408136</v>
      </c>
      <c r="L1242" s="1364">
        <f t="shared" si="612"/>
        <v>-3662.9143167994439</v>
      </c>
      <c r="M1242" s="1364">
        <f t="shared" si="612"/>
        <v>-24525.498379070272</v>
      </c>
      <c r="N1242" s="1367">
        <f t="shared" si="612"/>
        <v>-2579.5893176008008</v>
      </c>
      <c r="O1242" s="1367">
        <f t="shared" si="612"/>
        <v>-1.7612933327006547E-3</v>
      </c>
      <c r="P1242" s="1367">
        <f t="shared" si="612"/>
        <v>-474.98040834472931</v>
      </c>
      <c r="Q1242" s="1364">
        <f t="shared" si="612"/>
        <v>0</v>
      </c>
      <c r="R1242" s="1364"/>
      <c r="S1242" s="1324">
        <v>105</v>
      </c>
      <c r="V1242" s="1321" t="s">
        <v>5229</v>
      </c>
      <c r="W1242" s="1321">
        <v>105</v>
      </c>
      <c r="Y1242" s="1324"/>
      <c r="AB1242"/>
      <c r="AC1242"/>
    </row>
    <row r="1243" spans="1:29">
      <c r="A1243" s="1320" t="s">
        <v>4897</v>
      </c>
      <c r="B1243" s="1320">
        <v>106</v>
      </c>
      <c r="C1243" s="1322">
        <v>18</v>
      </c>
      <c r="D1243" s="1320" t="s">
        <v>5241</v>
      </c>
      <c r="E1243" s="1320" t="s">
        <v>4067</v>
      </c>
      <c r="F1243" s="1324">
        <f>+'Allocation Assignment'!F457</f>
        <v>-41185.725121495263</v>
      </c>
      <c r="G1243" s="1358">
        <f>+$F1243*G$1939</f>
        <v>0</v>
      </c>
      <c r="H1243" s="1358">
        <f>+$F1243*H$1939</f>
        <v>-41185.725121495263</v>
      </c>
      <c r="I1243" s="1323">
        <f t="shared" si="607"/>
        <v>1</v>
      </c>
      <c r="J1243" s="1364">
        <f t="shared" si="608"/>
        <v>-41185.725121495263</v>
      </c>
      <c r="K1243" s="1364">
        <f t="shared" ref="K1243:Q1243" si="613">+$J1243*K$1939</f>
        <v>-30050.474939121734</v>
      </c>
      <c r="L1243" s="1364">
        <f t="shared" si="613"/>
        <v>-2419.6596213567818</v>
      </c>
      <c r="M1243" s="1364">
        <f t="shared" si="613"/>
        <v>-8566.6041572719951</v>
      </c>
      <c r="N1243" s="1367">
        <f t="shared" si="613"/>
        <v>0</v>
      </c>
      <c r="O1243" s="1367">
        <f t="shared" si="613"/>
        <v>0</v>
      </c>
      <c r="P1243" s="1367">
        <f t="shared" si="613"/>
        <v>-148.98640374475005</v>
      </c>
      <c r="Q1243" s="1364">
        <f t="shared" si="613"/>
        <v>0</v>
      </c>
      <c r="R1243" s="1364"/>
      <c r="S1243" s="1324">
        <v>106</v>
      </c>
      <c r="V1243" s="1321" t="s">
        <v>5230</v>
      </c>
      <c r="W1243" s="1321">
        <v>106</v>
      </c>
      <c r="Y1243" s="1324"/>
    </row>
    <row r="1244" spans="1:29">
      <c r="A1244" s="1320" t="s">
        <v>4897</v>
      </c>
      <c r="B1244" s="1320">
        <v>907</v>
      </c>
      <c r="C1244" s="1322">
        <v>19</v>
      </c>
      <c r="D1244" s="1320" t="s">
        <v>5242</v>
      </c>
      <c r="E1244" s="1320" t="s">
        <v>4071</v>
      </c>
      <c r="F1244" s="1324">
        <f>+'Allocation Assignment'!F458</f>
        <v>-38742.145346847341</v>
      </c>
      <c r="G1244" s="1358">
        <f>+$F1244*G$2055</f>
        <v>0</v>
      </c>
      <c r="H1244" s="1358">
        <f>+$F1244*H$2055</f>
        <v>-38742.145346847341</v>
      </c>
      <c r="I1244" s="1323">
        <f t="shared" si="607"/>
        <v>1</v>
      </c>
      <c r="J1244" s="1364">
        <f t="shared" si="608"/>
        <v>-38742.145346847341</v>
      </c>
      <c r="K1244" s="1364">
        <f t="shared" ref="K1244:Q1244" si="614">+$J1244*K$2055</f>
        <v>-14282.552280160446</v>
      </c>
      <c r="L1244" s="1364">
        <f t="shared" si="614"/>
        <v>-2166.4753856733009</v>
      </c>
      <c r="M1244" s="1364">
        <f t="shared" si="614"/>
        <v>-1044.4561435524859</v>
      </c>
      <c r="N1244" s="1367">
        <f t="shared" si="614"/>
        <v>-67.331012955856849</v>
      </c>
      <c r="O1244" s="1367">
        <f t="shared" si="614"/>
        <v>-73.460961564436076</v>
      </c>
      <c r="P1244" s="1367">
        <f t="shared" si="614"/>
        <v>-16.860167328676191</v>
      </c>
      <c r="Q1244" s="1364">
        <f t="shared" si="614"/>
        <v>-21091.009395612142</v>
      </c>
      <c r="R1244" s="1364"/>
      <c r="S1244" s="1324">
        <v>907</v>
      </c>
      <c r="V1244" s="1321" t="s">
        <v>5243</v>
      </c>
      <c r="W1244" s="1321">
        <v>907</v>
      </c>
      <c r="Y1244" s="1324"/>
    </row>
    <row r="1245" spans="1:29">
      <c r="A1245" s="1320" t="s">
        <v>4897</v>
      </c>
      <c r="B1245" s="1324">
        <v>412</v>
      </c>
      <c r="C1245" s="1393">
        <v>20</v>
      </c>
      <c r="D1245" s="1324" t="s">
        <v>5244</v>
      </c>
      <c r="E1245" s="1324" t="s">
        <v>4071</v>
      </c>
      <c r="F1245" s="1324">
        <f>+'Allocation Assignment'!F459</f>
        <v>-9393.7898768032774</v>
      </c>
      <c r="G1245" s="1364">
        <f>+$F1245*G$2021</f>
        <v>0</v>
      </c>
      <c r="H1245" s="1364">
        <f>+$F1245*H$2021</f>
        <v>-9393.7898768032774</v>
      </c>
      <c r="I1245" s="1323">
        <f t="shared" si="607"/>
        <v>1</v>
      </c>
      <c r="J1245" s="1364">
        <f t="shared" si="608"/>
        <v>-9393.7898768032774</v>
      </c>
      <c r="K1245" s="1364">
        <f t="shared" ref="K1245:Q1245" si="615">+$J1245*K$2021</f>
        <v>-8378.1973297893255</v>
      </c>
      <c r="L1245" s="1364">
        <f t="shared" si="615"/>
        <v>-812.19080896992557</v>
      </c>
      <c r="M1245" s="1364">
        <f t="shared" si="615"/>
        <v>-200.03567457703727</v>
      </c>
      <c r="N1245" s="1367">
        <f t="shared" si="615"/>
        <v>-0.67539137525329795</v>
      </c>
      <c r="O1245" s="1367">
        <f t="shared" si="615"/>
        <v>-0.119827502061069</v>
      </c>
      <c r="P1245" s="1367">
        <f t="shared" si="615"/>
        <v>-2.5708445896738437</v>
      </c>
      <c r="Q1245" s="1364">
        <f t="shared" si="615"/>
        <v>0</v>
      </c>
      <c r="R1245" s="1364"/>
      <c r="S1245" s="1324">
        <v>412</v>
      </c>
      <c r="V1245" s="1321" t="s">
        <v>5245</v>
      </c>
      <c r="W1245" s="1321">
        <v>412</v>
      </c>
      <c r="Y1245" s="1324"/>
    </row>
    <row r="1246" spans="1:29">
      <c r="A1246" s="1320" t="s">
        <v>4897</v>
      </c>
      <c r="C1246" s="1322">
        <v>21</v>
      </c>
      <c r="D1246" s="1320" t="s">
        <v>5706</v>
      </c>
      <c r="F1246" s="1427">
        <f>+SUM(F1238:F1245)</f>
        <v>-519673.87016036425</v>
      </c>
      <c r="G1246" s="1427">
        <f>SUM(G1238:G1245)</f>
        <v>-2892.8423490582418</v>
      </c>
      <c r="H1246" s="1427">
        <f>SUM(H1238:H1245)</f>
        <v>-516781.027811306</v>
      </c>
      <c r="I1246" s="1323">
        <f t="shared" si="607"/>
        <v>0.99443335038537617</v>
      </c>
      <c r="J1246" s="1421">
        <f t="shared" ref="J1246:Q1246" si="616">SUM(J1238:J1245)</f>
        <v>-516781.027811306</v>
      </c>
      <c r="K1246" s="1421">
        <f t="shared" si="616"/>
        <v>-300580.65194351855</v>
      </c>
      <c r="L1246" s="1421">
        <f t="shared" si="616"/>
        <v>-25496.823807991921</v>
      </c>
      <c r="M1246" s="1421">
        <f t="shared" si="616"/>
        <v>-141736.57291059845</v>
      </c>
      <c r="N1246" s="1422">
        <f t="shared" si="616"/>
        <v>-16620.375851705438</v>
      </c>
      <c r="O1246" s="1422">
        <f>SUM(O1238:O1245)</f>
        <v>-10151.092434261354</v>
      </c>
      <c r="P1246" s="1422">
        <f>SUM(P1238:P1245)</f>
        <v>-1104.5014676181659</v>
      </c>
      <c r="Q1246" s="1421">
        <f t="shared" si="616"/>
        <v>-21091.009395612142</v>
      </c>
      <c r="R1246" s="1364"/>
      <c r="S1246" s="1324"/>
      <c r="V1246" s="1320" t="s">
        <v>5707</v>
      </c>
    </row>
    <row r="1247" spans="1:29">
      <c r="A1247" s="1320" t="s">
        <v>4897</v>
      </c>
      <c r="C1247" s="1322">
        <v>22</v>
      </c>
      <c r="G1247" s="1320"/>
      <c r="R1247" s="1324"/>
      <c r="S1247" s="1324"/>
    </row>
    <row r="1248" spans="1:29">
      <c r="A1248" s="1320" t="s">
        <v>4897</v>
      </c>
      <c r="C1248" s="1322">
        <v>23</v>
      </c>
      <c r="D1248" s="1356" t="s">
        <v>5708</v>
      </c>
      <c r="G1248" s="1320"/>
      <c r="R1248" s="1324"/>
      <c r="S1248" s="1324"/>
    </row>
    <row r="1249" spans="1:27" s="1324" customFormat="1">
      <c r="A1249" s="1324" t="s">
        <v>4897</v>
      </c>
      <c r="B1249" s="1324">
        <v>101</v>
      </c>
      <c r="C1249" s="1393">
        <v>24</v>
      </c>
      <c r="D1249" s="1324" t="s">
        <v>5265</v>
      </c>
      <c r="E1249" s="1324" t="s">
        <v>4067</v>
      </c>
      <c r="F1249" s="1364">
        <f>+'Allocation Assignment'!F460</f>
        <v>600863.57050653605</v>
      </c>
      <c r="G1249" s="1364">
        <f>+$F1249*G$1933</f>
        <v>0</v>
      </c>
      <c r="H1249" s="1364">
        <f>+$F1249*H$1933</f>
        <v>600863.57050653605</v>
      </c>
      <c r="I1249" s="1374">
        <f t="shared" ref="I1249:I1257" si="617">IF(F1249=0,0,+H1249/F1249)</f>
        <v>1</v>
      </c>
      <c r="J1249" s="1364">
        <f t="shared" ref="J1249:J1256" si="618">+H1249</f>
        <v>600863.57050653605</v>
      </c>
      <c r="K1249" s="1324">
        <f t="shared" ref="K1249:Q1249" si="619">$J1249*K$1951</f>
        <v>345024.67485228466</v>
      </c>
      <c r="L1249" s="1324">
        <f t="shared" si="619"/>
        <v>28692.474742256181</v>
      </c>
      <c r="M1249" s="1324">
        <f t="shared" si="619"/>
        <v>185695.12328983351</v>
      </c>
      <c r="N1249" s="1324">
        <f t="shared" si="619"/>
        <v>23733.093526273664</v>
      </c>
      <c r="O1249" s="1324">
        <f t="shared" si="619"/>
        <v>17080.7818711703</v>
      </c>
      <c r="P1249" s="1324">
        <f t="shared" si="619"/>
        <v>637.42222471776461</v>
      </c>
      <c r="Q1249" s="1324">
        <f t="shared" si="619"/>
        <v>0</v>
      </c>
      <c r="S1249" s="1324">
        <v>122</v>
      </c>
      <c r="V1249" s="1326" t="s">
        <v>9476</v>
      </c>
      <c r="W1249" s="1326">
        <v>122</v>
      </c>
      <c r="AA1249" s="1320"/>
    </row>
    <row r="1250" spans="1:27">
      <c r="A1250" s="1320" t="s">
        <v>4897</v>
      </c>
      <c r="B1250" s="1320">
        <v>101</v>
      </c>
      <c r="C1250" s="1322">
        <v>25</v>
      </c>
      <c r="D1250" s="1320" t="s">
        <v>5265</v>
      </c>
      <c r="E1250" s="1320" t="s">
        <v>2067</v>
      </c>
      <c r="F1250" s="1364">
        <f>+'Allocation Assignment'!F461</f>
        <v>56593.497705574773</v>
      </c>
      <c r="G1250" s="1358">
        <f>+$F1250*G$1933</f>
        <v>0</v>
      </c>
      <c r="H1250" s="1358">
        <f>+$F1250*H$1933</f>
        <v>56593.497705574773</v>
      </c>
      <c r="I1250" s="1323">
        <f t="shared" si="617"/>
        <v>1</v>
      </c>
      <c r="J1250" s="1364">
        <f t="shared" si="618"/>
        <v>56593.497705574773</v>
      </c>
      <c r="K1250" s="1364">
        <f t="shared" ref="K1250:Q1250" si="620">+$J1250*K$1969</f>
        <v>28559.013603375366</v>
      </c>
      <c r="L1250" s="1364">
        <f t="shared" si="620"/>
        <v>2639.187177619041</v>
      </c>
      <c r="M1250" s="1364">
        <f t="shared" si="620"/>
        <v>19660.919379170831</v>
      </c>
      <c r="N1250" s="1367">
        <f t="shared" si="620"/>
        <v>3129.7022419203254</v>
      </c>
      <c r="O1250" s="1367">
        <f t="shared" si="620"/>
        <v>2305.6887736284943</v>
      </c>
      <c r="P1250" s="1367">
        <f t="shared" si="620"/>
        <v>298.98652986071301</v>
      </c>
      <c r="Q1250" s="1364">
        <f t="shared" si="620"/>
        <v>0</v>
      </c>
      <c r="R1250" s="1364"/>
      <c r="S1250" s="1324">
        <v>201</v>
      </c>
      <c r="V1250" s="1321" t="s">
        <v>5235</v>
      </c>
      <c r="W1250" s="1321">
        <v>201</v>
      </c>
      <c r="Y1250" s="1324"/>
    </row>
    <row r="1251" spans="1:27">
      <c r="A1251" s="1320" t="s">
        <v>4897</v>
      </c>
      <c r="B1251" s="1320">
        <v>117</v>
      </c>
      <c r="C1251" s="1322">
        <v>26</v>
      </c>
      <c r="D1251" s="1320" t="s">
        <v>5268</v>
      </c>
      <c r="E1251" s="1320" t="s">
        <v>4067</v>
      </c>
      <c r="F1251" s="1364">
        <f>+'Allocation Assignment'!F462</f>
        <v>47438.118598961511</v>
      </c>
      <c r="G1251" s="1358">
        <f>+$F1251*G$1942</f>
        <v>3073.3665570530343</v>
      </c>
      <c r="H1251" s="1358">
        <f>+$F1251*H$1942</f>
        <v>44364.752041908476</v>
      </c>
      <c r="I1251" s="1323">
        <f t="shared" si="617"/>
        <v>0.93521314403222733</v>
      </c>
      <c r="J1251" s="1364">
        <f t="shared" si="618"/>
        <v>44364.752041908476</v>
      </c>
      <c r="K1251" s="1364">
        <f t="shared" ref="K1251:Q1252" si="621">+$J1251*K$1945</f>
        <v>25732.134706162193</v>
      </c>
      <c r="L1251" s="1364">
        <f t="shared" si="621"/>
        <v>2122.641564663877</v>
      </c>
      <c r="M1251" s="1364">
        <f t="shared" si="621"/>
        <v>13568.981134021325</v>
      </c>
      <c r="N1251" s="1367">
        <f t="shared" si="621"/>
        <v>1693.907382133903</v>
      </c>
      <c r="O1251" s="1367">
        <f t="shared" si="621"/>
        <v>1215.6329736563939</v>
      </c>
      <c r="P1251" s="1367">
        <f t="shared" si="621"/>
        <v>31.45428127078516</v>
      </c>
      <c r="Q1251" s="1364">
        <f t="shared" si="621"/>
        <v>0</v>
      </c>
      <c r="R1251" s="1364"/>
      <c r="S1251" s="1324">
        <v>118</v>
      </c>
      <c r="V1251" s="1321" t="s">
        <v>9477</v>
      </c>
      <c r="W1251" s="1321">
        <v>117</v>
      </c>
      <c r="Y1251" s="1324"/>
    </row>
    <row r="1252" spans="1:27">
      <c r="A1252" s="1320" t="s">
        <v>4897</v>
      </c>
      <c r="B1252" s="1320">
        <v>117</v>
      </c>
      <c r="C1252" s="1322">
        <v>27</v>
      </c>
      <c r="D1252" s="1320" t="s">
        <v>5239</v>
      </c>
      <c r="E1252" s="1320" t="s">
        <v>4067</v>
      </c>
      <c r="F1252" s="1364">
        <f>+'Allocation Assignment'!F463</f>
        <v>49462.291474835991</v>
      </c>
      <c r="G1252" s="1358">
        <f>+$F1252*G$1942</f>
        <v>3204.5063536161861</v>
      </c>
      <c r="H1252" s="1358">
        <f>+$F1252*H$1942</f>
        <v>46257.7851212198</v>
      </c>
      <c r="I1252" s="1323">
        <f t="shared" si="617"/>
        <v>0.93521314403222733</v>
      </c>
      <c r="J1252" s="1364">
        <f t="shared" si="618"/>
        <v>46257.7851212198</v>
      </c>
      <c r="K1252" s="1364">
        <f t="shared" si="621"/>
        <v>26830.118577548314</v>
      </c>
      <c r="L1252" s="1364">
        <f t="shared" si="621"/>
        <v>2213.2141591784161</v>
      </c>
      <c r="M1252" s="1364">
        <f t="shared" si="621"/>
        <v>14147.966228201258</v>
      </c>
      <c r="N1252" s="1367">
        <f t="shared" si="621"/>
        <v>1766.1859943222464</v>
      </c>
      <c r="O1252" s="1367">
        <f t="shared" si="621"/>
        <v>1267.5037342381127</v>
      </c>
      <c r="P1252" s="1367">
        <f t="shared" si="621"/>
        <v>32.796427731455367</v>
      </c>
      <c r="Q1252" s="1364">
        <f t="shared" si="621"/>
        <v>0</v>
      </c>
      <c r="R1252" s="1358"/>
      <c r="S1252" s="1320">
        <v>118</v>
      </c>
      <c r="V1252" s="1321" t="s">
        <v>9477</v>
      </c>
      <c r="W1252" s="1321">
        <v>117</v>
      </c>
      <c r="Y1252" s="1324"/>
    </row>
    <row r="1253" spans="1:27">
      <c r="A1253" s="1320" t="s">
        <v>4897</v>
      </c>
      <c r="B1253" s="1320">
        <v>105</v>
      </c>
      <c r="C1253" s="1322">
        <v>28</v>
      </c>
      <c r="D1253" s="1320" t="s">
        <v>5240</v>
      </c>
      <c r="E1253" s="1320" t="s">
        <v>4067</v>
      </c>
      <c r="F1253" s="1364">
        <f>+'Allocation Assignment'!F464</f>
        <v>179567.06859620108</v>
      </c>
      <c r="G1253" s="1358">
        <f>+$F1253*G$1936</f>
        <v>0</v>
      </c>
      <c r="H1253" s="1358">
        <f>+$F1253*H$1936</f>
        <v>179567.06859620108</v>
      </c>
      <c r="I1253" s="1323">
        <f t="shared" si="617"/>
        <v>1</v>
      </c>
      <c r="J1253" s="1364">
        <f t="shared" si="618"/>
        <v>179567.06859620108</v>
      </c>
      <c r="K1253" s="1364">
        <f t="shared" ref="K1253:Q1253" si="622">+$J1253*K$1936</f>
        <v>111765.41873600151</v>
      </c>
      <c r="L1253" s="1364">
        <f t="shared" si="622"/>
        <v>7949.0368948116893</v>
      </c>
      <c r="M1253" s="1364">
        <f t="shared" si="622"/>
        <v>53223.765181932926</v>
      </c>
      <c r="N1253" s="1367">
        <f t="shared" si="622"/>
        <v>5598.0699753271356</v>
      </c>
      <c r="O1253" s="1367">
        <f t="shared" si="622"/>
        <v>3.8222531223325693E-3</v>
      </c>
      <c r="P1253" s="1367">
        <f t="shared" si="622"/>
        <v>1030.7739858747298</v>
      </c>
      <c r="Q1253" s="1364">
        <f t="shared" si="622"/>
        <v>0</v>
      </c>
      <c r="R1253" s="1358"/>
      <c r="S1253" s="1320">
        <v>105</v>
      </c>
      <c r="V1253" s="1321" t="s">
        <v>5229</v>
      </c>
      <c r="W1253" s="1321">
        <v>105</v>
      </c>
      <c r="Y1253" s="1324"/>
    </row>
    <row r="1254" spans="1:27">
      <c r="A1254" s="1320" t="s">
        <v>4897</v>
      </c>
      <c r="B1254" s="1320">
        <v>106</v>
      </c>
      <c r="C1254" s="1322">
        <v>29</v>
      </c>
      <c r="D1254" s="1320" t="s">
        <v>5241</v>
      </c>
      <c r="E1254" s="1320" t="s">
        <v>4067</v>
      </c>
      <c r="F1254" s="1364">
        <f>+'Allocation Assignment'!F465</f>
        <v>89378.789732761303</v>
      </c>
      <c r="G1254" s="1358">
        <f>+$F1254*G$1939</f>
        <v>0</v>
      </c>
      <c r="H1254" s="1358">
        <f>+$F1254*H$1939</f>
        <v>89378.789732761303</v>
      </c>
      <c r="I1254" s="1323">
        <f t="shared" si="617"/>
        <v>1</v>
      </c>
      <c r="J1254" s="1364">
        <f t="shared" si="618"/>
        <v>89378.789732761303</v>
      </c>
      <c r="K1254" s="1364">
        <f t="shared" ref="K1254:Q1254" si="623">+$J1254*K$1939</f>
        <v>65213.737843153525</v>
      </c>
      <c r="L1254" s="1364">
        <f t="shared" si="623"/>
        <v>5251.0001434751721</v>
      </c>
      <c r="M1254" s="1364">
        <f t="shared" si="623"/>
        <v>18590.730391122819</v>
      </c>
      <c r="N1254" s="1367">
        <f t="shared" si="623"/>
        <v>0</v>
      </c>
      <c r="O1254" s="1367">
        <f t="shared" si="623"/>
        <v>0</v>
      </c>
      <c r="P1254" s="1367">
        <f t="shared" si="623"/>
        <v>323.32135500978268</v>
      </c>
      <c r="Q1254" s="1364">
        <f t="shared" si="623"/>
        <v>0</v>
      </c>
      <c r="R1254" s="1358"/>
      <c r="S1254" s="1320">
        <v>106</v>
      </c>
      <c r="V1254" s="1321" t="s">
        <v>5230</v>
      </c>
      <c r="W1254" s="1321">
        <v>106</v>
      </c>
      <c r="Y1254" s="1324"/>
    </row>
    <row r="1255" spans="1:27">
      <c r="A1255" s="1320" t="s">
        <v>4897</v>
      </c>
      <c r="B1255" s="1320">
        <v>907</v>
      </c>
      <c r="C1255" s="1322">
        <v>30</v>
      </c>
      <c r="D1255" s="1320" t="s">
        <v>5242</v>
      </c>
      <c r="E1255" s="1320" t="s">
        <v>4071</v>
      </c>
      <c r="F1255" s="1364">
        <f>+'Allocation Assignment'!F466</f>
        <v>84075.879507696518</v>
      </c>
      <c r="G1255" s="1358">
        <f>+$F1255*G$2055</f>
        <v>0</v>
      </c>
      <c r="H1255" s="1358">
        <f>+$F1255*H$2055</f>
        <v>84075.879507696518</v>
      </c>
      <c r="I1255" s="1323">
        <f t="shared" si="617"/>
        <v>1</v>
      </c>
      <c r="J1255" s="1364">
        <f t="shared" si="618"/>
        <v>84075.879507696518</v>
      </c>
      <c r="K1255" s="1364">
        <f t="shared" ref="K1255:Q1255" si="624">+$J1255*K$2055</f>
        <v>30995.138080727451</v>
      </c>
      <c r="L1255" s="1364">
        <f t="shared" si="624"/>
        <v>4701.5549049113561</v>
      </c>
      <c r="M1255" s="1364">
        <f t="shared" si="624"/>
        <v>2266.6160608872437</v>
      </c>
      <c r="N1255" s="1367">
        <f t="shared" si="624"/>
        <v>146.11772481175808</v>
      </c>
      <c r="O1255" s="1367">
        <f t="shared" si="624"/>
        <v>159.420571517567</v>
      </c>
      <c r="P1255" s="1367">
        <f t="shared" si="624"/>
        <v>36.588923615731908</v>
      </c>
      <c r="Q1255" s="1364">
        <f t="shared" si="624"/>
        <v>45770.443241225417</v>
      </c>
      <c r="R1255" s="1358"/>
      <c r="S1255" s="1320">
        <v>907</v>
      </c>
      <c r="V1255" s="1321" t="s">
        <v>5243</v>
      </c>
      <c r="W1255" s="1321">
        <v>907</v>
      </c>
      <c r="Y1255" s="1324"/>
    </row>
    <row r="1256" spans="1:27">
      <c r="A1256" s="1320" t="s">
        <v>4897</v>
      </c>
      <c r="B1256" s="1324">
        <v>412</v>
      </c>
      <c r="C1256" s="1393">
        <v>31</v>
      </c>
      <c r="D1256" s="1324" t="s">
        <v>5244</v>
      </c>
      <c r="E1256" s="1324" t="s">
        <v>4071</v>
      </c>
      <c r="F1256" s="1364">
        <f>+'Allocation Assignment'!F467</f>
        <v>20385.839212876766</v>
      </c>
      <c r="G1256" s="1364">
        <f>+$F1256*G$2021</f>
        <v>0</v>
      </c>
      <c r="H1256" s="1364">
        <f>+$F1256*H$2021</f>
        <v>20385.839212876766</v>
      </c>
      <c r="I1256" s="1323">
        <f t="shared" si="617"/>
        <v>1</v>
      </c>
      <c r="J1256" s="1364">
        <f t="shared" si="618"/>
        <v>20385.839212876766</v>
      </c>
      <c r="K1256" s="1364">
        <f t="shared" ref="K1256:Q1256" si="625">+$J1256*K$2021</f>
        <v>18181.861197534156</v>
      </c>
      <c r="L1256" s="1364">
        <f t="shared" si="625"/>
        <v>1762.5677664691018</v>
      </c>
      <c r="M1256" s="1364">
        <f t="shared" si="625"/>
        <v>434.10541988347489</v>
      </c>
      <c r="N1256" s="1367">
        <f t="shared" si="625"/>
        <v>1.465693842660537</v>
      </c>
      <c r="O1256" s="1367">
        <f t="shared" si="625"/>
        <v>0.26004245595590175</v>
      </c>
      <c r="P1256" s="1367">
        <f t="shared" si="625"/>
        <v>5.5790926914175278</v>
      </c>
      <c r="Q1256" s="1364">
        <f t="shared" si="625"/>
        <v>0</v>
      </c>
      <c r="R1256" s="1358"/>
      <c r="S1256" s="1320">
        <v>412</v>
      </c>
      <c r="V1256" s="1321" t="s">
        <v>5245</v>
      </c>
      <c r="W1256" s="1321">
        <v>412</v>
      </c>
      <c r="Y1256" s="1324"/>
    </row>
    <row r="1257" spans="1:27">
      <c r="A1257" s="1320" t="s">
        <v>4897</v>
      </c>
      <c r="B1257" s="1324"/>
      <c r="C1257" s="1393">
        <v>32</v>
      </c>
      <c r="D1257" s="1324" t="s">
        <v>5709</v>
      </c>
      <c r="E1257" s="1324"/>
      <c r="F1257" s="1421">
        <f>+SUM(F1249:F1256)</f>
        <v>1127765.0553354439</v>
      </c>
      <c r="G1257" s="1421">
        <f>SUM(G1249:G1256)</f>
        <v>6277.8729106692208</v>
      </c>
      <c r="H1257" s="1421">
        <f>SUM(H1249:H1256)</f>
        <v>1121487.1824247749</v>
      </c>
      <c r="I1257" s="1323">
        <f t="shared" si="617"/>
        <v>0.99443335038537639</v>
      </c>
      <c r="J1257" s="1421">
        <f t="shared" ref="J1257:Q1257" si="626">SUM(J1249:J1256)</f>
        <v>1121487.1824247749</v>
      </c>
      <c r="K1257" s="1421">
        <f t="shared" si="626"/>
        <v>652302.09759678715</v>
      </c>
      <c r="L1257" s="1421">
        <f t="shared" si="626"/>
        <v>55331.677353384839</v>
      </c>
      <c r="M1257" s="1421">
        <f t="shared" si="626"/>
        <v>307588.20708505338</v>
      </c>
      <c r="N1257" s="1422">
        <f t="shared" si="626"/>
        <v>36068.5425386317</v>
      </c>
      <c r="O1257" s="1422">
        <f>SUM(O1249:O1256)</f>
        <v>22029.291788919945</v>
      </c>
      <c r="P1257" s="1422">
        <f>SUM(P1249:P1256)</f>
        <v>2396.9228207723795</v>
      </c>
      <c r="Q1257" s="1421">
        <f t="shared" si="626"/>
        <v>45770.443241225417</v>
      </c>
      <c r="R1257" s="1358"/>
      <c r="V1257" s="1320" t="s">
        <v>5710</v>
      </c>
      <c r="Y1257" s="1324"/>
    </row>
    <row r="1258" spans="1:27">
      <c r="A1258" s="1320" t="s">
        <v>4897</v>
      </c>
      <c r="C1258" s="1322">
        <v>33</v>
      </c>
      <c r="G1258" s="1320"/>
    </row>
    <row r="1259" spans="1:27">
      <c r="A1259" s="1320" t="s">
        <v>4897</v>
      </c>
      <c r="C1259" s="1322">
        <v>34</v>
      </c>
      <c r="D1259" s="1356" t="s">
        <v>5711</v>
      </c>
      <c r="G1259" s="1320"/>
    </row>
    <row r="1260" spans="1:27" s="1324" customFormat="1">
      <c r="A1260" s="1324" t="s">
        <v>4897</v>
      </c>
      <c r="B1260" s="1324">
        <v>101</v>
      </c>
      <c r="C1260" s="1393">
        <v>35</v>
      </c>
      <c r="D1260" s="1324" t="s">
        <v>5265</v>
      </c>
      <c r="E1260" s="1324" t="s">
        <v>4067</v>
      </c>
      <c r="F1260" s="1364">
        <f>+'Allocation Assignment'!F468</f>
        <v>383917.97310275974</v>
      </c>
      <c r="G1260" s="1364">
        <f>+$F1260*G$1933</f>
        <v>0</v>
      </c>
      <c r="H1260" s="1364">
        <f>+$F1260*H$1933</f>
        <v>383917.97310275974</v>
      </c>
      <c r="I1260" s="1374">
        <f t="shared" ref="I1260:I1268" si="627">IF(F1260=0,0,+H1260/F1260)</f>
        <v>1</v>
      </c>
      <c r="J1260" s="1364">
        <f t="shared" ref="J1260:J1267" si="628">+H1260</f>
        <v>383917.97310275974</v>
      </c>
      <c r="K1260" s="1324">
        <f t="shared" ref="K1260:Q1260" si="629">$J1260*K$1951</f>
        <v>220451.33095364942</v>
      </c>
      <c r="L1260" s="1324">
        <f t="shared" si="629"/>
        <v>18332.875026959711</v>
      </c>
      <c r="M1260" s="1324">
        <f t="shared" si="629"/>
        <v>118648.72301777273</v>
      </c>
      <c r="N1260" s="1324">
        <f t="shared" si="629"/>
        <v>15164.109806796983</v>
      </c>
      <c r="O1260" s="1324">
        <f t="shared" si="629"/>
        <v>10913.657403896037</v>
      </c>
      <c r="P1260" s="1324">
        <f t="shared" si="629"/>
        <v>407.27689368486028</v>
      </c>
      <c r="Q1260" s="1324">
        <f t="shared" si="629"/>
        <v>0</v>
      </c>
      <c r="S1260" s="1324">
        <v>122</v>
      </c>
      <c r="V1260" s="1326" t="s">
        <v>9476</v>
      </c>
      <c r="W1260" s="1326">
        <v>122</v>
      </c>
      <c r="AA1260" s="1320"/>
    </row>
    <row r="1261" spans="1:27">
      <c r="A1261" s="1320" t="s">
        <v>4897</v>
      </c>
      <c r="B1261" s="1320">
        <v>101</v>
      </c>
      <c r="C1261" s="1322">
        <v>36</v>
      </c>
      <c r="D1261" s="1320" t="s">
        <v>5265</v>
      </c>
      <c r="E1261" s="1320" t="s">
        <v>2067</v>
      </c>
      <c r="F1261" s="1364">
        <f>+'Allocation Assignment'!F469</f>
        <v>36160.056952035855</v>
      </c>
      <c r="G1261" s="1358">
        <f>+$F1261*G$1933</f>
        <v>0</v>
      </c>
      <c r="H1261" s="1358">
        <f>+$F1261*H$1933</f>
        <v>36160.056952035855</v>
      </c>
      <c r="I1261" s="1323">
        <f t="shared" si="627"/>
        <v>1</v>
      </c>
      <c r="J1261" s="1364">
        <f t="shared" si="628"/>
        <v>36160.056952035855</v>
      </c>
      <c r="K1261" s="1364">
        <f t="shared" ref="K1261:Q1261" si="630">+$J1261*K$1969</f>
        <v>18247.600877481967</v>
      </c>
      <c r="L1261" s="1364">
        <f t="shared" si="630"/>
        <v>1686.2919331523592</v>
      </c>
      <c r="M1261" s="1364">
        <f t="shared" si="630"/>
        <v>12562.219924607543</v>
      </c>
      <c r="N1261" s="1367">
        <f t="shared" si="630"/>
        <v>1999.7034270529875</v>
      </c>
      <c r="O1261" s="1367">
        <f t="shared" si="630"/>
        <v>1473.2052399698787</v>
      </c>
      <c r="P1261" s="1367">
        <f t="shared" si="630"/>
        <v>191.03554977111745</v>
      </c>
      <c r="Q1261" s="1364">
        <f t="shared" si="630"/>
        <v>0</v>
      </c>
      <c r="R1261" s="1358"/>
      <c r="S1261" s="1324">
        <v>201</v>
      </c>
      <c r="V1261" s="1321" t="s">
        <v>5235</v>
      </c>
      <c r="W1261" s="1321">
        <v>201</v>
      </c>
      <c r="Y1261" s="1324"/>
    </row>
    <row r="1262" spans="1:27">
      <c r="A1262" s="1320" t="s">
        <v>4897</v>
      </c>
      <c r="B1262" s="1320">
        <v>117</v>
      </c>
      <c r="C1262" s="1322">
        <v>37</v>
      </c>
      <c r="D1262" s="1320" t="s">
        <v>5268</v>
      </c>
      <c r="E1262" s="1320" t="s">
        <v>4067</v>
      </c>
      <c r="F1262" s="1364">
        <f>+'Allocation Assignment'!F470</f>
        <v>30310.285452932985</v>
      </c>
      <c r="G1262" s="1358">
        <f>+$F1262*G$1942</f>
        <v>1963.7080979812424</v>
      </c>
      <c r="H1262" s="1358">
        <f>+$F1262*H$1942</f>
        <v>28346.57735495174</v>
      </c>
      <c r="I1262" s="1323">
        <f t="shared" si="627"/>
        <v>0.93521314403222733</v>
      </c>
      <c r="J1262" s="1364">
        <f t="shared" si="628"/>
        <v>28346.57735495174</v>
      </c>
      <c r="K1262" s="1364">
        <f t="shared" ref="K1262:Q1263" si="631">+$J1262*K$1945</f>
        <v>16441.384508747655</v>
      </c>
      <c r="L1262" s="1364">
        <f t="shared" si="631"/>
        <v>1356.248385040946</v>
      </c>
      <c r="M1262" s="1364">
        <f t="shared" si="631"/>
        <v>8669.8145631486368</v>
      </c>
      <c r="N1262" s="1367">
        <f t="shared" si="631"/>
        <v>1082.3113942894227</v>
      </c>
      <c r="O1262" s="1367">
        <f t="shared" si="631"/>
        <v>776.72098990725317</v>
      </c>
      <c r="P1262" s="1367">
        <f t="shared" si="631"/>
        <v>20.097513817826933</v>
      </c>
      <c r="Q1262" s="1364">
        <f t="shared" si="631"/>
        <v>0</v>
      </c>
      <c r="R1262" s="1358"/>
      <c r="S1262" s="1320">
        <v>118</v>
      </c>
      <c r="V1262" s="1321" t="s">
        <v>9477</v>
      </c>
      <c r="W1262" s="1321">
        <v>117</v>
      </c>
    </row>
    <row r="1263" spans="1:27">
      <c r="A1263" s="1320" t="s">
        <v>4897</v>
      </c>
      <c r="B1263" s="1320">
        <v>117</v>
      </c>
      <c r="C1263" s="1322">
        <v>38</v>
      </c>
      <c r="D1263" s="1320" t="s">
        <v>5239</v>
      </c>
      <c r="E1263" s="1320" t="s">
        <v>4067</v>
      </c>
      <c r="F1263" s="1364">
        <f>+'Allocation Assignment'!F471</f>
        <v>31603.61789287471</v>
      </c>
      <c r="G1263" s="1358">
        <f>+$F1263*G$1942</f>
        <v>2047.4990404861949</v>
      </c>
      <c r="H1263" s="1358">
        <f>+$F1263*H$1942</f>
        <v>29556.118852388514</v>
      </c>
      <c r="I1263" s="1323">
        <f t="shared" si="627"/>
        <v>0.93521314403222733</v>
      </c>
      <c r="J1263" s="1364">
        <f t="shared" si="628"/>
        <v>29556.118852388514</v>
      </c>
      <c r="K1263" s="1364">
        <f t="shared" si="631"/>
        <v>17142.93434983175</v>
      </c>
      <c r="L1263" s="1364">
        <f t="shared" si="631"/>
        <v>1414.1191707092578</v>
      </c>
      <c r="M1263" s="1364">
        <f t="shared" si="631"/>
        <v>9039.7534223590283</v>
      </c>
      <c r="N1263" s="1367">
        <f t="shared" si="631"/>
        <v>1128.4933558063051</v>
      </c>
      <c r="O1263" s="1367">
        <f t="shared" si="631"/>
        <v>809.86348388312217</v>
      </c>
      <c r="P1263" s="1367">
        <f t="shared" si="631"/>
        <v>20.955069799051039</v>
      </c>
      <c r="Q1263" s="1364">
        <f t="shared" si="631"/>
        <v>0</v>
      </c>
      <c r="R1263" s="1358"/>
      <c r="S1263" s="1320">
        <v>118</v>
      </c>
      <c r="V1263" s="1321" t="s">
        <v>9477</v>
      </c>
      <c r="W1263" s="1321">
        <v>117</v>
      </c>
    </row>
    <row r="1264" spans="1:27">
      <c r="A1264" s="1320" t="s">
        <v>4897</v>
      </c>
      <c r="B1264" s="1320">
        <v>105</v>
      </c>
      <c r="C1264" s="1322">
        <v>39</v>
      </c>
      <c r="D1264" s="1320" t="s">
        <v>5240</v>
      </c>
      <c r="E1264" s="1320" t="s">
        <v>4067</v>
      </c>
      <c r="F1264" s="1364">
        <f>+'Allocation Assignment'!F472</f>
        <v>114733.24128028135</v>
      </c>
      <c r="G1264" s="1358">
        <f>+$F1264*G$1936</f>
        <v>0</v>
      </c>
      <c r="H1264" s="1358">
        <f>+$F1264*H$1936</f>
        <v>114733.24128028135</v>
      </c>
      <c r="I1264" s="1323">
        <f t="shared" si="627"/>
        <v>1</v>
      </c>
      <c r="J1264" s="1364">
        <f t="shared" si="628"/>
        <v>114733.24128028135</v>
      </c>
      <c r="K1264" s="1364">
        <f t="shared" ref="K1264:Q1264" si="632">+$J1264*K$1936</f>
        <v>71411.80649033899</v>
      </c>
      <c r="L1264" s="1364">
        <f t="shared" si="632"/>
        <v>5078.9867826443024</v>
      </c>
      <c r="M1264" s="1364">
        <f t="shared" si="632"/>
        <v>34006.987696590033</v>
      </c>
      <c r="N1264" s="1367">
        <f t="shared" si="632"/>
        <v>3576.8513581264483</v>
      </c>
      <c r="O1264" s="1367">
        <f t="shared" si="632"/>
        <v>2.442204426163747E-3</v>
      </c>
      <c r="P1264" s="1367">
        <f t="shared" si="632"/>
        <v>658.60651037717435</v>
      </c>
      <c r="Q1264" s="1364">
        <f t="shared" si="632"/>
        <v>0</v>
      </c>
      <c r="R1264" s="1358"/>
      <c r="S1264" s="1320">
        <v>105</v>
      </c>
      <c r="V1264" s="1321" t="s">
        <v>5229</v>
      </c>
      <c r="W1264" s="1321">
        <v>105</v>
      </c>
    </row>
    <row r="1265" spans="1:25">
      <c r="A1265" s="1320" t="s">
        <v>4897</v>
      </c>
      <c r="B1265" s="1320">
        <v>106</v>
      </c>
      <c r="C1265" s="1322">
        <v>40</v>
      </c>
      <c r="D1265" s="1320" t="s">
        <v>5241</v>
      </c>
      <c r="E1265" s="1320" t="s">
        <v>4067</v>
      </c>
      <c r="F1265" s="1364">
        <f>+'Allocation Assignment'!F473</f>
        <v>57108.011663366793</v>
      </c>
      <c r="G1265" s="1358">
        <f>+$F1265*G$1939</f>
        <v>0</v>
      </c>
      <c r="H1265" s="1358">
        <f>+$F1265*H$1939</f>
        <v>57108.011663366793</v>
      </c>
      <c r="I1265" s="1323">
        <f t="shared" si="627"/>
        <v>1</v>
      </c>
      <c r="J1265" s="1364">
        <f t="shared" si="628"/>
        <v>57108.011663366793</v>
      </c>
      <c r="K1265" s="1364">
        <f t="shared" ref="K1265:Q1265" si="633">+$J1265*K$1939</f>
        <v>41667.904795912233</v>
      </c>
      <c r="L1265" s="1364">
        <f t="shared" si="633"/>
        <v>3355.0932870598449</v>
      </c>
      <c r="M1265" s="1364">
        <f t="shared" si="633"/>
        <v>11878.42944820718</v>
      </c>
      <c r="N1265" s="1367">
        <f t="shared" si="633"/>
        <v>0</v>
      </c>
      <c r="O1265" s="1367">
        <f t="shared" si="633"/>
        <v>0</v>
      </c>
      <c r="P1265" s="1367">
        <f t="shared" si="633"/>
        <v>206.58413218753017</v>
      </c>
      <c r="Q1265" s="1364">
        <f t="shared" si="633"/>
        <v>0</v>
      </c>
      <c r="R1265" s="1358"/>
      <c r="S1265" s="1320">
        <v>106</v>
      </c>
      <c r="V1265" s="1321" t="s">
        <v>5230</v>
      </c>
      <c r="W1265" s="1321">
        <v>106</v>
      </c>
    </row>
    <row r="1266" spans="1:25">
      <c r="A1266" s="1320" t="s">
        <v>4897</v>
      </c>
      <c r="B1266" s="1324">
        <v>907</v>
      </c>
      <c r="C1266" s="1393">
        <v>41</v>
      </c>
      <c r="D1266" s="1324" t="s">
        <v>5242</v>
      </c>
      <c r="E1266" s="1324" t="s">
        <v>4071</v>
      </c>
      <c r="F1266" s="1364">
        <f>+'Allocation Assignment'!F474</f>
        <v>53719.750758422109</v>
      </c>
      <c r="G1266" s="1364">
        <f>+$F1266*G$2055</f>
        <v>0</v>
      </c>
      <c r="H1266" s="1364">
        <f>+$F1266*H$2055</f>
        <v>53719.750758422109</v>
      </c>
      <c r="I1266" s="1323">
        <f t="shared" si="627"/>
        <v>1</v>
      </c>
      <c r="J1266" s="1364">
        <f t="shared" si="628"/>
        <v>53719.750758422109</v>
      </c>
      <c r="K1266" s="1364">
        <f t="shared" ref="K1266:Q1266" si="634">+$J1266*K$2055</f>
        <v>19804.147184295984</v>
      </c>
      <c r="L1266" s="1364">
        <f t="shared" si="634"/>
        <v>3004.0287315192991</v>
      </c>
      <c r="M1266" s="1364">
        <f t="shared" si="634"/>
        <v>1448.2399776115674</v>
      </c>
      <c r="N1266" s="1367">
        <f t="shared" si="634"/>
        <v>93.360994904094937</v>
      </c>
      <c r="O1266" s="1367">
        <f t="shared" si="634"/>
        <v>101.8607645597681</v>
      </c>
      <c r="P1266" s="1367">
        <f t="shared" si="634"/>
        <v>23.378261026411643</v>
      </c>
      <c r="Q1266" s="1364">
        <f t="shared" si="634"/>
        <v>29244.73484450499</v>
      </c>
      <c r="R1266" s="1358"/>
      <c r="S1266" s="1320">
        <v>907</v>
      </c>
      <c r="V1266" s="1321" t="s">
        <v>5243</v>
      </c>
      <c r="W1266" s="1321">
        <v>907</v>
      </c>
    </row>
    <row r="1267" spans="1:25">
      <c r="A1267" s="1320" t="s">
        <v>4897</v>
      </c>
      <c r="B1267" s="1324">
        <v>412</v>
      </c>
      <c r="C1267" s="1393">
        <v>42</v>
      </c>
      <c r="D1267" s="1324" t="s">
        <v>5244</v>
      </c>
      <c r="E1267" s="1324" t="s">
        <v>4071</v>
      </c>
      <c r="F1267" s="1364">
        <f>+'Allocation Assignment'!F475</f>
        <v>13025.402861432542</v>
      </c>
      <c r="G1267" s="1364">
        <f>+$F1267*G$2021</f>
        <v>0</v>
      </c>
      <c r="H1267" s="1364">
        <f>+$F1267*H$2021</f>
        <v>13025.402861432542</v>
      </c>
      <c r="I1267" s="1323">
        <f t="shared" si="627"/>
        <v>1</v>
      </c>
      <c r="J1267" s="1364">
        <f t="shared" si="628"/>
        <v>13025.402861432542</v>
      </c>
      <c r="K1267" s="1364">
        <f t="shared" ref="K1267:Q1267" si="635">+$J1267*K$2021</f>
        <v>11617.185066334619</v>
      </c>
      <c r="L1267" s="1364">
        <f t="shared" si="635"/>
        <v>1126.1815120337958</v>
      </c>
      <c r="M1267" s="1364">
        <f t="shared" si="635"/>
        <v>277.36890884246617</v>
      </c>
      <c r="N1267" s="1367">
        <f t="shared" si="635"/>
        <v>0.93649579852055231</v>
      </c>
      <c r="O1267" s="1367">
        <f t="shared" si="635"/>
        <v>0.16615248038267866</v>
      </c>
      <c r="P1267" s="1367">
        <f t="shared" si="635"/>
        <v>3.5647259427556506</v>
      </c>
      <c r="Q1267" s="1364">
        <f t="shared" si="635"/>
        <v>0</v>
      </c>
      <c r="R1267" s="1358"/>
      <c r="S1267" s="1320">
        <v>412</v>
      </c>
      <c r="V1267" s="1321" t="s">
        <v>5245</v>
      </c>
      <c r="W1267" s="1321">
        <v>412</v>
      </c>
      <c r="Y1267" s="1324"/>
    </row>
    <row r="1268" spans="1:25">
      <c r="A1268" s="1320" t="s">
        <v>4897</v>
      </c>
      <c r="B1268" s="1324"/>
      <c r="C1268" s="1393">
        <v>43</v>
      </c>
      <c r="D1268" s="1324" t="s">
        <v>5712</v>
      </c>
      <c r="E1268" s="1324"/>
      <c r="F1268" s="1421">
        <f>+SUM(F1260:F1267)</f>
        <v>720578.3399641061</v>
      </c>
      <c r="G1268" s="1421">
        <f>SUM(G1260:G1267)</f>
        <v>4011.2071384674373</v>
      </c>
      <c r="H1268" s="1421">
        <f>SUM(H1260:H1267)</f>
        <v>716567.13282563863</v>
      </c>
      <c r="I1268" s="1323">
        <f t="shared" si="627"/>
        <v>0.99443335038537617</v>
      </c>
      <c r="J1268" s="1421">
        <f t="shared" ref="J1268:Q1268" si="636">SUM(J1260:J1267)</f>
        <v>716567.13282563863</v>
      </c>
      <c r="K1268" s="1421">
        <f t="shared" si="636"/>
        <v>416784.29422659264</v>
      </c>
      <c r="L1268" s="1421">
        <f t="shared" si="636"/>
        <v>35353.824829119512</v>
      </c>
      <c r="M1268" s="1421">
        <f t="shared" si="636"/>
        <v>196531.53695913916</v>
      </c>
      <c r="N1268" s="1422">
        <f t="shared" si="636"/>
        <v>23045.766832774763</v>
      </c>
      <c r="O1268" s="1422">
        <f>SUM(O1260:O1267)</f>
        <v>14075.476476900867</v>
      </c>
      <c r="P1268" s="1422">
        <f>SUM(P1260:P1267)</f>
        <v>1531.4986566067273</v>
      </c>
      <c r="Q1268" s="1421">
        <f t="shared" si="636"/>
        <v>29244.73484450499</v>
      </c>
      <c r="R1268" s="1358"/>
      <c r="V1268" s="1320" t="s">
        <v>5713</v>
      </c>
      <c r="Y1268" s="1324"/>
    </row>
    <row r="1269" spans="1:25">
      <c r="F1269" s="1358"/>
      <c r="G1269" s="1358"/>
      <c r="H1269" s="1358"/>
      <c r="J1269" s="1364"/>
      <c r="K1269" s="1364"/>
      <c r="L1269" s="1364"/>
      <c r="M1269" s="1367"/>
      <c r="N1269" s="1367"/>
      <c r="O1269" s="1367"/>
      <c r="P1269" s="1364"/>
      <c r="Q1269" s="1364"/>
      <c r="R1269" s="1358"/>
      <c r="Y1269" s="1324"/>
    </row>
    <row r="1270" spans="1:25">
      <c r="F1270" s="1358"/>
      <c r="G1270" s="1358"/>
      <c r="H1270" s="1358"/>
      <c r="J1270" s="1364"/>
      <c r="K1270" s="1364"/>
      <c r="L1270" s="1364"/>
      <c r="M1270" s="1367"/>
      <c r="N1270" s="1367"/>
      <c r="O1270" s="1367"/>
      <c r="P1270" s="1364"/>
      <c r="Q1270" s="1364"/>
      <c r="R1270" s="1358"/>
      <c r="Y1270" s="1324"/>
    </row>
    <row r="1271" spans="1:25">
      <c r="F1271" s="1358"/>
      <c r="G1271" s="1358"/>
      <c r="H1271" s="1358"/>
      <c r="J1271" s="1364"/>
      <c r="K1271" s="1364"/>
      <c r="L1271" s="1364"/>
      <c r="M1271" s="1367"/>
      <c r="N1271" s="1367"/>
      <c r="O1271" s="1367"/>
      <c r="P1271" s="1364"/>
      <c r="Q1271" s="1364"/>
      <c r="R1271" s="1358"/>
      <c r="Y1271" s="1324"/>
    </row>
    <row r="1272" spans="1:25">
      <c r="F1272" s="1358"/>
      <c r="G1272" s="1358"/>
      <c r="H1272" s="1358"/>
      <c r="J1272" s="1364"/>
      <c r="K1272" s="1364"/>
      <c r="L1272" s="1364"/>
      <c r="M1272" s="1367"/>
      <c r="N1272" s="1367"/>
      <c r="O1272" s="1367"/>
      <c r="P1272" s="1364"/>
      <c r="Q1272" s="1364"/>
      <c r="R1272" s="1358"/>
      <c r="Y1272" s="1324"/>
    </row>
    <row r="1273" spans="1:25">
      <c r="F1273" s="1358"/>
      <c r="G1273" s="1358"/>
      <c r="H1273" s="1358"/>
      <c r="J1273" s="1364"/>
      <c r="K1273" s="1364"/>
      <c r="L1273" s="1364"/>
      <c r="M1273" s="1367"/>
      <c r="N1273" s="1367"/>
      <c r="O1273" s="1367"/>
      <c r="P1273" s="1364"/>
      <c r="Q1273" s="1364"/>
      <c r="R1273" s="1358"/>
      <c r="Y1273" s="1324"/>
    </row>
    <row r="1274" spans="1:25">
      <c r="B1274" s="1432"/>
      <c r="C1274" s="1340" t="str">
        <f>+C$2</f>
        <v>RATES WITH REVENUE DEFICIENCY ADDITION</v>
      </c>
      <c r="F1274" s="1333"/>
      <c r="G1274" s="1327" t="s">
        <v>2173</v>
      </c>
      <c r="H1274" s="1358"/>
      <c r="I1274" s="1334" t="s">
        <v>5702</v>
      </c>
      <c r="L1274" s="1329" t="s">
        <v>2173</v>
      </c>
      <c r="M1274" s="1330"/>
      <c r="N1274" s="1330"/>
      <c r="O1274" s="1330"/>
      <c r="S1274" s="1334" t="s">
        <v>5714</v>
      </c>
      <c r="T1274" s="1333" t="s">
        <v>2173</v>
      </c>
      <c r="U1274" s="1334"/>
      <c r="V1274" s="1332" t="s">
        <v>4772</v>
      </c>
      <c r="Y1274" s="1324"/>
    </row>
    <row r="1275" spans="1:25">
      <c r="B1275" s="1432"/>
      <c r="C1275" s="1340" t="str">
        <f>+C$3</f>
        <v>PROD. CAP. ALLOC. METHOD: 12 CP &amp; 1/13th AD</v>
      </c>
      <c r="G1275" s="1336" t="s">
        <v>4768</v>
      </c>
      <c r="I1275" s="1335" t="s">
        <v>4311</v>
      </c>
      <c r="L1275" s="1336" t="s">
        <v>5141</v>
      </c>
      <c r="M1275" s="1337"/>
      <c r="N1275" s="1337"/>
      <c r="O1275" s="1337"/>
      <c r="R1275" s="1331"/>
      <c r="S1275" s="1335" t="s">
        <v>4312</v>
      </c>
      <c r="T1275" s="1333" t="s">
        <v>5141</v>
      </c>
      <c r="V1275" s="1332" t="s">
        <v>5714</v>
      </c>
    </row>
    <row r="1276" spans="1:25">
      <c r="C1276" s="1340" t="str">
        <f>+C$4</f>
        <v>PROJECTED CALENDAR YEAR 2025; FULLY ADJUSTED DATA</v>
      </c>
      <c r="G1276" s="1336" t="s">
        <v>2181</v>
      </c>
      <c r="L1276" s="1336" t="s">
        <v>2181</v>
      </c>
      <c r="P1276" s="1364"/>
      <c r="Q1276" s="1364"/>
      <c r="R1276" s="1358"/>
      <c r="T1276" s="1339"/>
    </row>
    <row r="1277" spans="1:25">
      <c r="C1277" s="1340" t="str">
        <f>+C$5</f>
        <v>MINIMUM DISTRIBUTION SYSTEM (MDS) NOT EMPLOYED</v>
      </c>
      <c r="G1277" s="1358"/>
      <c r="H1277" s="1358"/>
      <c r="J1277" s="1364"/>
      <c r="K1277" s="1364"/>
      <c r="L1277" s="1336"/>
      <c r="M1277" s="1337"/>
      <c r="N1277" s="1337"/>
      <c r="O1277" s="1337"/>
      <c r="P1277" s="1364"/>
      <c r="Q1277" s="1364"/>
      <c r="R1277" s="1358"/>
      <c r="T1277" s="1333"/>
      <c r="Y1277" s="1324"/>
    </row>
    <row r="1278" spans="1:25">
      <c r="C1278" s="1340" t="str">
        <f>+C$6</f>
        <v>Tampa Electric 2025 OB Budget</v>
      </c>
      <c r="F1278" s="1327"/>
      <c r="G1278" s="1333" t="s">
        <v>5703</v>
      </c>
      <c r="H1278" s="1358"/>
      <c r="J1278" s="1364"/>
      <c r="K1278" s="1364"/>
      <c r="L1278" s="1336" t="s">
        <v>5703</v>
      </c>
      <c r="M1278" s="1337"/>
      <c r="N1278" s="1337"/>
      <c r="O1278" s="1337"/>
      <c r="P1278" s="1364"/>
      <c r="Q1278" s="1364"/>
      <c r="R1278" s="1358"/>
      <c r="T1278" s="1333" t="s">
        <v>5703</v>
      </c>
      <c r="Y1278" s="1324"/>
    </row>
    <row r="1279" spans="1:25">
      <c r="F1279" s="1333"/>
      <c r="G1279" s="1358"/>
      <c r="H1279" s="1358"/>
      <c r="J1279" s="1364"/>
      <c r="K1279" s="1364"/>
      <c r="L1279" s="1336"/>
      <c r="M1279" s="1337"/>
      <c r="N1279" s="1337"/>
      <c r="O1279" s="1337"/>
      <c r="P1279" s="1364"/>
      <c r="Q1279" s="1364"/>
      <c r="R1279" s="1358"/>
    </row>
    <row r="1280" spans="1:25">
      <c r="F1280" s="1333"/>
      <c r="G1280" s="1358"/>
      <c r="H1280" s="1358"/>
      <c r="J1280" s="1364"/>
      <c r="K1280" s="1364"/>
      <c r="L1280" s="1336"/>
      <c r="M1280" s="1337"/>
      <c r="N1280" s="1337"/>
      <c r="O1280" s="1337"/>
      <c r="P1280" s="1364"/>
      <c r="Q1280" s="1364"/>
      <c r="R1280" s="1358"/>
    </row>
    <row r="1281" spans="1:25">
      <c r="G1281" s="1358"/>
      <c r="H1281" s="1358"/>
      <c r="J1281" s="1364"/>
      <c r="K1281" s="1364"/>
      <c r="L1281" s="1364"/>
      <c r="M1281" s="1367"/>
      <c r="N1281" s="1367"/>
      <c r="O1281" s="1367"/>
      <c r="P1281" s="1364"/>
      <c r="Q1281" s="1364"/>
      <c r="R1281" s="1358"/>
    </row>
    <row r="1282" spans="1:25">
      <c r="F1282" s="1358"/>
      <c r="G1282" s="1358"/>
      <c r="H1282" s="1358"/>
      <c r="J1282" s="1364"/>
      <c r="K1282" s="1364"/>
      <c r="L1282" s="1364"/>
      <c r="M1282" s="1367"/>
      <c r="N1282" s="1367"/>
      <c r="O1282" s="1367"/>
      <c r="P1282" s="1364"/>
      <c r="Q1282" s="1364"/>
      <c r="R1282" s="1358"/>
    </row>
    <row r="1283" spans="1:25" ht="30" customHeight="1">
      <c r="A1283" s="1418" t="s">
        <v>4683</v>
      </c>
      <c r="B1283" s="1425" t="s">
        <v>5143</v>
      </c>
      <c r="C1283" s="1349" t="s">
        <v>4297</v>
      </c>
      <c r="D1283" s="1418"/>
      <c r="E1283" s="1418"/>
      <c r="F1283" s="1348" t="s">
        <v>5144</v>
      </c>
      <c r="G1283" s="1348" t="s">
        <v>4956</v>
      </c>
      <c r="H1283" s="1348" t="s">
        <v>4957</v>
      </c>
      <c r="I1283" s="1426" t="s">
        <v>5145</v>
      </c>
      <c r="J1283" s="1352" t="s">
        <v>4957</v>
      </c>
      <c r="K1283" s="1353" t="s">
        <v>1949</v>
      </c>
      <c r="L1283" s="1353" t="s">
        <v>1950</v>
      </c>
      <c r="M1283" s="1354" t="s">
        <v>1934</v>
      </c>
      <c r="N1283" s="1354" t="s">
        <v>1971</v>
      </c>
      <c r="O1283" s="1354" t="s">
        <v>1972</v>
      </c>
      <c r="P1283" s="1352" t="s">
        <v>5146</v>
      </c>
      <c r="Q1283" s="1352" t="s">
        <v>5147</v>
      </c>
      <c r="R1283" s="1355"/>
      <c r="S1283" s="1348" t="s">
        <v>5299</v>
      </c>
      <c r="T1283" s="1348"/>
      <c r="U1283" s="1352"/>
      <c r="V1283" s="1355" t="s">
        <v>4774</v>
      </c>
      <c r="W1283" s="1350"/>
    </row>
    <row r="1284" spans="1:25" ht="30" customHeight="1">
      <c r="A1284" s="1435"/>
      <c r="B1284" s="1441"/>
      <c r="C1284" s="1397"/>
      <c r="D1284" s="1435"/>
      <c r="E1284" s="1435"/>
      <c r="F1284" s="1396"/>
      <c r="G1284" s="1396"/>
      <c r="H1284" s="1396"/>
      <c r="I1284" s="1442"/>
      <c r="J1284" s="1399"/>
      <c r="K1284" s="1360"/>
      <c r="L1284" s="1360"/>
      <c r="M1284" s="1361"/>
      <c r="N1284" s="1361"/>
      <c r="O1284" s="1361"/>
      <c r="P1284" s="1399"/>
      <c r="Q1284" s="1399"/>
      <c r="R1284" s="1346"/>
      <c r="S1284" s="1396"/>
      <c r="T1284" s="1396"/>
      <c r="U1284" s="1399"/>
      <c r="V1284" s="1346"/>
    </row>
    <row r="1285" spans="1:25">
      <c r="B1285" s="1441"/>
      <c r="C1285" s="1397"/>
      <c r="D1285" s="1435"/>
      <c r="E1285" s="1435"/>
      <c r="F1285" s="1396"/>
      <c r="G1285" s="1396"/>
      <c r="H1285" s="1396"/>
      <c r="I1285" s="1442"/>
      <c r="J1285" s="1399"/>
      <c r="K1285" s="1360"/>
      <c r="L1285" s="1360"/>
      <c r="M1285" s="1361"/>
      <c r="N1285" s="1361"/>
      <c r="O1285" s="1361"/>
      <c r="P1285" s="1399"/>
      <c r="Q1285" s="1399"/>
      <c r="R1285" s="1346"/>
      <c r="S1285" s="1396"/>
      <c r="T1285" s="1396"/>
      <c r="U1285" s="1399"/>
      <c r="Y1285" s="1324"/>
    </row>
    <row r="1286" spans="1:25" hidden="1">
      <c r="B1286" s="1441"/>
      <c r="C1286" s="1452" t="s">
        <v>5715</v>
      </c>
      <c r="D1286" s="1453"/>
      <c r="E1286" s="1453"/>
      <c r="F1286" s="1453"/>
      <c r="G1286" s="1453"/>
      <c r="H1286" s="1453"/>
      <c r="I1286" s="1454"/>
      <c r="J1286" s="1455"/>
      <c r="K1286" s="1456"/>
      <c r="L1286" s="1456"/>
      <c r="M1286" s="1457"/>
      <c r="N1286" s="1457"/>
      <c r="O1286" s="1457"/>
      <c r="P1286" s="1458"/>
      <c r="Q1286" s="1459"/>
      <c r="R1286" s="1346"/>
      <c r="S1286" s="1396"/>
      <c r="T1286" s="1396"/>
      <c r="U1286" s="1399"/>
      <c r="Y1286" s="1324"/>
    </row>
    <row r="1287" spans="1:25" hidden="1">
      <c r="B1287" s="1441"/>
      <c r="C1287" s="1460" t="s">
        <v>5716</v>
      </c>
      <c r="D1287" s="1461"/>
      <c r="E1287" s="1461"/>
      <c r="F1287" s="1461"/>
      <c r="G1287" s="1461"/>
      <c r="H1287" s="1461"/>
      <c r="I1287" s="1462"/>
      <c r="J1287" s="1463"/>
      <c r="K1287" s="1360"/>
      <c r="L1287" s="1360"/>
      <c r="M1287" s="1361"/>
      <c r="N1287" s="1361"/>
      <c r="O1287" s="1361"/>
      <c r="P1287" s="1399"/>
      <c r="Q1287" s="1464"/>
      <c r="R1287" s="1346"/>
      <c r="S1287" s="1396"/>
      <c r="T1287" s="1396"/>
      <c r="U1287" s="1399"/>
      <c r="Y1287" s="1324"/>
    </row>
    <row r="1288" spans="1:25" hidden="1">
      <c r="B1288" s="1441"/>
      <c r="C1288" s="1465"/>
      <c r="D1288" s="1461"/>
      <c r="E1288" s="1461"/>
      <c r="F1288" s="1461"/>
      <c r="G1288" s="1461"/>
      <c r="H1288" s="1461"/>
      <c r="I1288" s="1462"/>
      <c r="J1288" s="1463"/>
      <c r="K1288" s="1360"/>
      <c r="L1288" s="1360"/>
      <c r="M1288" s="1361"/>
      <c r="N1288" s="1361"/>
      <c r="O1288" s="1361"/>
      <c r="P1288" s="1399"/>
      <c r="Q1288" s="1464"/>
      <c r="R1288" s="1346"/>
      <c r="S1288" s="1396"/>
      <c r="T1288" s="1396"/>
      <c r="U1288" s="1399"/>
      <c r="Y1288" s="1324"/>
    </row>
    <row r="1289" spans="1:25" hidden="1">
      <c r="B1289" s="1441"/>
      <c r="C1289" s="1465"/>
      <c r="D1289" s="1461" t="s">
        <v>5265</v>
      </c>
      <c r="E1289" s="1461" t="s">
        <v>4067</v>
      </c>
      <c r="F1289" s="1461">
        <v>55209.991156299657</v>
      </c>
      <c r="G1289" s="1461">
        <v>0</v>
      </c>
      <c r="H1289" s="1461">
        <v>55209.991156299657</v>
      </c>
      <c r="I1289" s="1462">
        <v>1</v>
      </c>
      <c r="J1289" s="1466">
        <v>55209.991156299657</v>
      </c>
      <c r="K1289" s="1364">
        <v>33551.830405463348</v>
      </c>
      <c r="L1289" s="1364">
        <v>2851.1065524039022</v>
      </c>
      <c r="M1289" s="1364">
        <v>15811.995853310655</v>
      </c>
      <c r="N1289" s="1364">
        <v>1906.2784554763512</v>
      </c>
      <c r="O1289" s="1364">
        <v>1065.148354809482</v>
      </c>
      <c r="P1289" s="1364">
        <v>23.631534835882761</v>
      </c>
      <c r="Q1289" s="1467">
        <v>0</v>
      </c>
      <c r="R1289" s="1346"/>
      <c r="S1289" s="1396"/>
      <c r="T1289" s="1396"/>
      <c r="U1289" s="1399"/>
      <c r="Y1289" s="1324"/>
    </row>
    <row r="1290" spans="1:25" hidden="1">
      <c r="B1290" s="1441"/>
      <c r="C1290" s="1465"/>
      <c r="D1290" s="1461" t="s">
        <v>5265</v>
      </c>
      <c r="E1290" s="1461" t="s">
        <v>2067</v>
      </c>
      <c r="F1290" s="1461">
        <v>6026.7354084979816</v>
      </c>
      <c r="G1290" s="1461">
        <v>0</v>
      </c>
      <c r="H1290" s="1461">
        <v>6026.7354084979816</v>
      </c>
      <c r="I1290" s="1462">
        <v>1</v>
      </c>
      <c r="J1290" s="1466">
        <v>6026.7354084979816</v>
      </c>
      <c r="K1290" s="1364">
        <v>2968.986825820346</v>
      </c>
      <c r="L1290" s="1364">
        <v>290.96569512458791</v>
      </c>
      <c r="M1290" s="1364">
        <v>2158.3089718083102</v>
      </c>
      <c r="N1290" s="1364">
        <v>344.39456003582609</v>
      </c>
      <c r="O1290" s="1364">
        <v>230.29328690112948</v>
      </c>
      <c r="P1290" s="1364">
        <v>33.786068807782897</v>
      </c>
      <c r="Q1290" s="1467">
        <v>0</v>
      </c>
      <c r="R1290" s="1346"/>
      <c r="S1290" s="1396"/>
      <c r="T1290" s="1396"/>
      <c r="U1290" s="1399"/>
      <c r="Y1290" s="1324"/>
    </row>
    <row r="1291" spans="1:25" hidden="1">
      <c r="B1291" s="1441"/>
      <c r="C1291" s="1465"/>
      <c r="D1291" s="1461" t="s">
        <v>5268</v>
      </c>
      <c r="E1291" s="1461" t="s">
        <v>4067</v>
      </c>
      <c r="F1291" s="1461">
        <v>5931.2640744676828</v>
      </c>
      <c r="G1291" s="1461">
        <v>400.30736198306295</v>
      </c>
      <c r="H1291" s="1461">
        <v>5530.9567124846144</v>
      </c>
      <c r="I1291" s="1462">
        <v>0.93250892946981201</v>
      </c>
      <c r="J1291" s="1466">
        <v>5530.9567124846144</v>
      </c>
      <c r="K1291" s="1364">
        <v>3361.2344017930227</v>
      </c>
      <c r="L1291" s="1364">
        <v>285.62487683405266</v>
      </c>
      <c r="M1291" s="1364">
        <v>1584.0514148075235</v>
      </c>
      <c r="N1291" s="1364">
        <v>190.97165926603589</v>
      </c>
      <c r="O1291" s="1364">
        <v>106.70694414978584</v>
      </c>
      <c r="P1291" s="1364">
        <v>2.3674156341886299</v>
      </c>
      <c r="Q1291" s="1467">
        <v>0</v>
      </c>
      <c r="R1291" s="1346"/>
      <c r="S1291" s="1396"/>
      <c r="T1291" s="1396"/>
      <c r="U1291" s="1399"/>
      <c r="Y1291" s="1324"/>
    </row>
    <row r="1292" spans="1:25" hidden="1">
      <c r="B1292" s="1441"/>
      <c r="C1292" s="1465"/>
      <c r="D1292" s="1461" t="s">
        <v>5239</v>
      </c>
      <c r="E1292" s="1461" t="s">
        <v>4067</v>
      </c>
      <c r="F1292" s="1461">
        <v>4469.7402527025588</v>
      </c>
      <c r="G1292" s="1461">
        <v>301.66755464676453</v>
      </c>
      <c r="H1292" s="1461">
        <v>4168.0726980557956</v>
      </c>
      <c r="I1292" s="1462">
        <v>0.93250892946981323</v>
      </c>
      <c r="J1292" s="1466">
        <v>4168.0726980557956</v>
      </c>
      <c r="K1292" s="1364">
        <v>2532.9920428153018</v>
      </c>
      <c r="L1292" s="1364">
        <v>215.24400079471388</v>
      </c>
      <c r="M1292" s="1364">
        <v>1193.7250276200321</v>
      </c>
      <c r="N1292" s="1364">
        <v>143.9142991830804</v>
      </c>
      <c r="O1292" s="1364">
        <v>80.413267310474282</v>
      </c>
      <c r="P1292" s="1364">
        <v>1.7840603321914941</v>
      </c>
      <c r="Q1292" s="1467">
        <v>0</v>
      </c>
      <c r="R1292" s="1346"/>
      <c r="S1292" s="1396"/>
      <c r="T1292" s="1396"/>
      <c r="U1292" s="1399"/>
      <c r="Y1292" s="1324"/>
    </row>
    <row r="1293" spans="1:25" hidden="1">
      <c r="B1293" s="1441"/>
      <c r="C1293" s="1465"/>
      <c r="D1293" s="1461" t="s">
        <v>5240</v>
      </c>
      <c r="E1293" s="1461" t="s">
        <v>4067</v>
      </c>
      <c r="F1293" s="1461">
        <v>9718.7259161172697</v>
      </c>
      <c r="G1293" s="1461">
        <v>0</v>
      </c>
      <c r="H1293" s="1461">
        <v>9718.7259161172697</v>
      </c>
      <c r="I1293" s="1462">
        <v>1</v>
      </c>
      <c r="J1293" s="1466">
        <v>9718.7259161172697</v>
      </c>
      <c r="K1293" s="1364">
        <v>6101.9487741139965</v>
      </c>
      <c r="L1293" s="1364">
        <v>470.84954668082946</v>
      </c>
      <c r="M1293" s="1364">
        <v>2735.6966903830253</v>
      </c>
      <c r="N1293" s="1364">
        <v>349.89328893777133</v>
      </c>
      <c r="O1293" s="1364">
        <v>0</v>
      </c>
      <c r="P1293" s="1364">
        <v>60.337616001648883</v>
      </c>
      <c r="Q1293" s="1467">
        <v>0</v>
      </c>
      <c r="R1293" s="1346"/>
      <c r="S1293" s="1396"/>
      <c r="T1293" s="1396"/>
      <c r="U1293" s="1399"/>
      <c r="Y1293" s="1324"/>
    </row>
    <row r="1294" spans="1:25" hidden="1">
      <c r="B1294" s="1441"/>
      <c r="C1294" s="1465"/>
      <c r="D1294" s="1461" t="s">
        <v>5241</v>
      </c>
      <c r="E1294" s="1461" t="s">
        <v>4067</v>
      </c>
      <c r="F1294" s="1461">
        <v>4002.1362604046553</v>
      </c>
      <c r="G1294" s="1461">
        <v>0</v>
      </c>
      <c r="H1294" s="1461">
        <v>4002.1362604046553</v>
      </c>
      <c r="I1294" s="1462">
        <v>1</v>
      </c>
      <c r="J1294" s="1466">
        <v>4002.1362604046553</v>
      </c>
      <c r="K1294" s="1364">
        <v>2885.9832564622211</v>
      </c>
      <c r="L1294" s="1364">
        <v>244.31353334424739</v>
      </c>
      <c r="M1294" s="1364">
        <v>856.15297314647432</v>
      </c>
      <c r="N1294" s="1364">
        <v>0</v>
      </c>
      <c r="O1294" s="1364">
        <v>0</v>
      </c>
      <c r="P1294" s="1364">
        <v>15.686497451712469</v>
      </c>
      <c r="Q1294" s="1467">
        <v>0</v>
      </c>
      <c r="R1294" s="1346"/>
      <c r="S1294" s="1396"/>
      <c r="T1294" s="1396"/>
      <c r="U1294" s="1399"/>
      <c r="Y1294" s="1324"/>
    </row>
    <row r="1295" spans="1:25" hidden="1">
      <c r="B1295" s="1441"/>
      <c r="C1295" s="1465"/>
      <c r="D1295" s="1461" t="s">
        <v>5242</v>
      </c>
      <c r="E1295" s="1461" t="s">
        <v>4071</v>
      </c>
      <c r="F1295" s="1461">
        <v>19788.709857075315</v>
      </c>
      <c r="G1295" s="1461">
        <v>0</v>
      </c>
      <c r="H1295" s="1461">
        <v>19788.709857075315</v>
      </c>
      <c r="I1295" s="1462">
        <v>1</v>
      </c>
      <c r="J1295" s="1466">
        <v>19788.709857075315</v>
      </c>
      <c r="K1295" s="1364">
        <v>13849.997379534572</v>
      </c>
      <c r="L1295" s="1364">
        <v>1416.9588672816817</v>
      </c>
      <c r="M1295" s="1364">
        <v>401.80288156034339</v>
      </c>
      <c r="N1295" s="1364">
        <v>9.2023262997001893</v>
      </c>
      <c r="O1295" s="1364">
        <v>21.64765215437302</v>
      </c>
      <c r="P1295" s="1364">
        <v>7.346384907795013</v>
      </c>
      <c r="Q1295" s="1467">
        <v>4081.7543653368484</v>
      </c>
      <c r="R1295" s="1346"/>
      <c r="S1295" s="1396"/>
      <c r="T1295" s="1396"/>
      <c r="U1295" s="1399"/>
      <c r="Y1295" s="1324"/>
    </row>
    <row r="1296" spans="1:25" hidden="1">
      <c r="B1296" s="1441"/>
      <c r="C1296" s="1465"/>
      <c r="D1296" s="1461" t="s">
        <v>5244</v>
      </c>
      <c r="E1296" s="1461" t="s">
        <v>4071</v>
      </c>
      <c r="F1296" s="1468">
        <v>-272.95707292487168</v>
      </c>
      <c r="G1296" s="1468">
        <v>0</v>
      </c>
      <c r="H1296" s="1468">
        <v>-272.95707292487168</v>
      </c>
      <c r="I1296" s="1462">
        <v>1</v>
      </c>
      <c r="J1296" s="1469">
        <v>-272.95707292487168</v>
      </c>
      <c r="K1296" s="1366">
        <v>-242.80347197696756</v>
      </c>
      <c r="L1296" s="1366">
        <v>-24.252110328781328</v>
      </c>
      <c r="M1296" s="1366">
        <v>-5.7992308422779217</v>
      </c>
      <c r="N1296" s="1366">
        <v>-1.9234799637529276E-2</v>
      </c>
      <c r="O1296" s="1366">
        <v>-5.3644701816474294E-3</v>
      </c>
      <c r="P1296" s="1366">
        <v>-7.766050702447691E-2</v>
      </c>
      <c r="Q1296" s="1470">
        <v>0</v>
      </c>
      <c r="R1296" s="1346"/>
      <c r="S1296" s="1396"/>
      <c r="T1296" s="1396"/>
      <c r="U1296" s="1399"/>
      <c r="Y1296" s="1324"/>
    </row>
    <row r="1297" spans="1:26" hidden="1">
      <c r="B1297" s="1441"/>
      <c r="C1297" s="1465"/>
      <c r="D1297" s="1461"/>
      <c r="E1297" s="1461"/>
      <c r="F1297" s="1461"/>
      <c r="G1297" s="1461"/>
      <c r="H1297" s="1461"/>
      <c r="I1297" s="1462"/>
      <c r="J1297" s="1466"/>
      <c r="K1297" s="1364"/>
      <c r="L1297" s="1364"/>
      <c r="M1297" s="1367"/>
      <c r="N1297" s="1367"/>
      <c r="O1297" s="1367"/>
      <c r="P1297" s="1364"/>
      <c r="Q1297" s="1467"/>
      <c r="R1297" s="1346"/>
      <c r="S1297" s="1396"/>
      <c r="T1297" s="1396"/>
      <c r="U1297" s="1399"/>
      <c r="V1297" s="1365"/>
      <c r="Y1297" s="1324"/>
      <c r="Z1297" s="1331"/>
    </row>
    <row r="1298" spans="1:26" ht="14.4" hidden="1" thickBot="1">
      <c r="B1298" s="1441"/>
      <c r="C1298" s="1471"/>
      <c r="D1298" s="1472" t="s">
        <v>5095</v>
      </c>
      <c r="E1298" s="1472"/>
      <c r="F1298" s="1472">
        <v>104874.34585264025</v>
      </c>
      <c r="G1298" s="1472">
        <v>701.97491662982748</v>
      </c>
      <c r="H1298" s="1472">
        <v>104172.37093601043</v>
      </c>
      <c r="I1298" s="1473">
        <v>0.9933065144681219</v>
      </c>
      <c r="J1298" s="1474">
        <v>104172.37093601043</v>
      </c>
      <c r="K1298" s="1475">
        <v>65010.169614025843</v>
      </c>
      <c r="L1298" s="1475">
        <v>5750.8109621352341</v>
      </c>
      <c r="M1298" s="1476">
        <v>24735.934581794088</v>
      </c>
      <c r="N1298" s="1476">
        <v>2944.6353543991268</v>
      </c>
      <c r="O1298" s="1476">
        <v>1504.2041408550631</v>
      </c>
      <c r="P1298" s="1475">
        <v>144.86191746417765</v>
      </c>
      <c r="Q1298" s="1477">
        <v>4081.7543653368484</v>
      </c>
      <c r="R1298" s="1346"/>
      <c r="S1298" s="1396"/>
      <c r="T1298" s="1396"/>
      <c r="U1298" s="1399"/>
      <c r="Y1298" s="1324"/>
      <c r="Z1298" s="1331" t="s">
        <v>5717</v>
      </c>
    </row>
    <row r="1299" spans="1:26">
      <c r="B1299" s="1441"/>
      <c r="C1299" s="1397"/>
      <c r="D1299" s="1435"/>
      <c r="E1299" s="1435"/>
      <c r="F1299" s="1396"/>
      <c r="G1299" s="1396"/>
      <c r="H1299" s="1396"/>
      <c r="I1299" s="1442"/>
      <c r="J1299" s="1399"/>
      <c r="K1299" s="1360"/>
      <c r="L1299" s="1360"/>
      <c r="M1299" s="1361"/>
      <c r="N1299" s="1361"/>
      <c r="O1299" s="1361"/>
      <c r="P1299" s="1399"/>
      <c r="Q1299" s="1399"/>
      <c r="R1299" s="1346"/>
      <c r="S1299" s="1396"/>
      <c r="T1299" s="1396"/>
      <c r="U1299" s="1399"/>
      <c r="Y1299" s="1324"/>
    </row>
    <row r="1300" spans="1:26">
      <c r="A1300" s="1320" t="s">
        <v>4897</v>
      </c>
      <c r="C1300" s="1322">
        <v>44</v>
      </c>
      <c r="D1300" s="1356" t="s">
        <v>5718</v>
      </c>
      <c r="G1300" s="1320"/>
      <c r="Y1300" s="1324"/>
    </row>
    <row r="1301" spans="1:26">
      <c r="A1301" s="1320" t="s">
        <v>4897</v>
      </c>
      <c r="B1301" s="1320">
        <v>201</v>
      </c>
      <c r="C1301" s="1322">
        <v>45</v>
      </c>
      <c r="D1301" s="1320" t="s">
        <v>5265</v>
      </c>
      <c r="E1301" s="1320" t="s">
        <v>2067</v>
      </c>
      <c r="F1301" s="1366">
        <f>+'Allocation Assignment'!F476</f>
        <v>36634.816307692308</v>
      </c>
      <c r="G1301" s="1358">
        <f>+$F1301*G$1969</f>
        <v>0</v>
      </c>
      <c r="H1301" s="1358">
        <f>+$F1301*H$1969</f>
        <v>36634.816307692308</v>
      </c>
      <c r="I1301" s="1323">
        <f>IF(F1301=0,0,+H1301/F1301)</f>
        <v>1</v>
      </c>
      <c r="J1301" s="1364">
        <f>+H1301</f>
        <v>36634.816307692308</v>
      </c>
      <c r="K1301" s="1364">
        <f t="shared" ref="K1301:Q1301" si="637">+$J1301*K$1969</f>
        <v>18487.180678099005</v>
      </c>
      <c r="L1301" s="1364">
        <f t="shared" si="637"/>
        <v>1708.4319113247946</v>
      </c>
      <c r="M1301" s="1364">
        <f t="shared" si="637"/>
        <v>12727.15416254119</v>
      </c>
      <c r="N1301" s="1367">
        <f t="shared" si="637"/>
        <v>2025.9583057936645</v>
      </c>
      <c r="O1301" s="1367">
        <f t="shared" si="637"/>
        <v>1492.547520636238</v>
      </c>
      <c r="P1301" s="1367">
        <f t="shared" si="637"/>
        <v>193.54372929741396</v>
      </c>
      <c r="Q1301" s="1364">
        <f t="shared" si="637"/>
        <v>0</v>
      </c>
      <c r="R1301" s="1358"/>
      <c r="S1301" s="1320">
        <v>201</v>
      </c>
      <c r="V1301" s="1321" t="s">
        <v>5235</v>
      </c>
      <c r="W1301" s="1321">
        <v>201</v>
      </c>
      <c r="Y1301" s="1324"/>
    </row>
    <row r="1302" spans="1:26">
      <c r="A1302" s="1320" t="s">
        <v>4897</v>
      </c>
      <c r="C1302" s="1322">
        <v>46</v>
      </c>
      <c r="D1302" s="1320" t="s">
        <v>5719</v>
      </c>
      <c r="F1302" s="1427">
        <f>+SUM(F1301)</f>
        <v>36634.816307692308</v>
      </c>
      <c r="G1302" s="1427">
        <f t="shared" ref="G1302:Q1302" si="638">+G1301</f>
        <v>0</v>
      </c>
      <c r="H1302" s="1427">
        <f t="shared" si="638"/>
        <v>36634.816307692308</v>
      </c>
      <c r="I1302" s="1323">
        <f>IF(F1302=0,0,+H1302/F1302)</f>
        <v>1</v>
      </c>
      <c r="J1302" s="1421">
        <f t="shared" si="638"/>
        <v>36634.816307692308</v>
      </c>
      <c r="K1302" s="1421">
        <f t="shared" si="638"/>
        <v>18487.180678099005</v>
      </c>
      <c r="L1302" s="1421">
        <f t="shared" si="638"/>
        <v>1708.4319113247946</v>
      </c>
      <c r="M1302" s="1421">
        <f t="shared" si="638"/>
        <v>12727.15416254119</v>
      </c>
      <c r="N1302" s="1422">
        <f t="shared" si="638"/>
        <v>2025.9583057936645</v>
      </c>
      <c r="O1302" s="1422">
        <f>+O1301</f>
        <v>1492.547520636238</v>
      </c>
      <c r="P1302" s="1422">
        <f>+P1301</f>
        <v>193.54372929741396</v>
      </c>
      <c r="Q1302" s="1421">
        <f t="shared" si="638"/>
        <v>0</v>
      </c>
      <c r="R1302" s="1358"/>
      <c r="V1302" s="1320" t="s">
        <v>5720</v>
      </c>
      <c r="Y1302" s="1324"/>
      <c r="Z1302" s="1331"/>
    </row>
    <row r="1303" spans="1:26">
      <c r="A1303" s="1320" t="s">
        <v>4897</v>
      </c>
      <c r="C1303" s="1322">
        <v>47</v>
      </c>
      <c r="G1303" s="1320"/>
      <c r="Y1303" s="1324"/>
    </row>
    <row r="1304" spans="1:26">
      <c r="A1304" s="1320" t="s">
        <v>4897</v>
      </c>
      <c r="C1304" s="1322">
        <v>48</v>
      </c>
      <c r="D1304" s="1356" t="s">
        <v>5721</v>
      </c>
      <c r="G1304" s="1320"/>
      <c r="Y1304" s="1324"/>
    </row>
    <row r="1305" spans="1:26">
      <c r="A1305" s="1320" t="s">
        <v>4897</v>
      </c>
      <c r="C1305" s="1322">
        <v>49</v>
      </c>
      <c r="D1305" s="1320" t="s">
        <v>5265</v>
      </c>
      <c r="E1305" s="1320" t="s">
        <v>4067</v>
      </c>
      <c r="F1305" s="1320">
        <f>+F1227+F1238+F1249-F1260</f>
        <v>31162.773017915024</v>
      </c>
      <c r="G1305" s="1320">
        <f>+G1227+G1238+G1249-G1260</f>
        <v>0</v>
      </c>
      <c r="H1305" s="1320">
        <f>+H1227+H1238+H1249-H1260</f>
        <v>31162.773017915024</v>
      </c>
      <c r="I1305" s="1323">
        <f t="shared" ref="I1305:I1312" si="639">IF(F1305=0,0,+H1305/F1305)</f>
        <v>1</v>
      </c>
      <c r="J1305" s="1324">
        <f t="shared" ref="J1305:Q1305" si="640">+J1227+J1238+J1249-J1260</f>
        <v>31162.773017915024</v>
      </c>
      <c r="K1305" s="1324">
        <f t="shared" si="640"/>
        <v>17894.121320980863</v>
      </c>
      <c r="L1305" s="1324">
        <f t="shared" si="640"/>
        <v>1488.0866832406246</v>
      </c>
      <c r="M1305" s="1324">
        <f t="shared" si="640"/>
        <v>9630.7635570858401</v>
      </c>
      <c r="N1305" s="1325">
        <f t="shared" si="640"/>
        <v>1230.8767628377464</v>
      </c>
      <c r="O1305" s="1325">
        <f>+O1227+O1238+O1249-O1260</f>
        <v>885.86586797244854</v>
      </c>
      <c r="P1305" s="1325">
        <f>+P1227+P1238+P1249-P1260</f>
        <v>33.058825797524435</v>
      </c>
      <c r="Q1305" s="1324">
        <f t="shared" si="640"/>
        <v>0</v>
      </c>
      <c r="V1305" s="1320" t="s">
        <v>5722</v>
      </c>
      <c r="Y1305" s="1324"/>
    </row>
    <row r="1306" spans="1:26">
      <c r="A1306" s="1320" t="s">
        <v>4897</v>
      </c>
      <c r="C1306" s="1322">
        <v>50</v>
      </c>
      <c r="D1306" s="1320" t="s">
        <v>5265</v>
      </c>
      <c r="E1306" s="1320" t="s">
        <v>2067</v>
      </c>
      <c r="F1306" s="1320">
        <f>+F1228+F1239+F1250-F1261+F1301</f>
        <v>38681.936109600938</v>
      </c>
      <c r="G1306" s="1320">
        <f>+G1228+G1239+G1250-G1261+G1301*1</f>
        <v>0</v>
      </c>
      <c r="H1306" s="1320">
        <f>+H1228+H1239+H1250-H1261+H1301*1</f>
        <v>38681.936109600938</v>
      </c>
      <c r="I1306" s="1323">
        <f t="shared" si="639"/>
        <v>1</v>
      </c>
      <c r="J1306" s="1324">
        <f t="shared" ref="J1306:Q1306" si="641">+J1228+J1239+J1250-J1261+J1301</f>
        <v>38681.936109600938</v>
      </c>
      <c r="K1306" s="1324">
        <f t="shared" si="641"/>
        <v>19520.227311381903</v>
      </c>
      <c r="L1306" s="1324">
        <f t="shared" si="641"/>
        <v>1803.8975134042907</v>
      </c>
      <c r="M1306" s="1324">
        <f t="shared" si="641"/>
        <v>13438.33581797128</v>
      </c>
      <c r="N1306" s="1325">
        <f t="shared" si="641"/>
        <v>2139.1669904175487</v>
      </c>
      <c r="O1306" s="1325">
        <f>+O1228+O1239+O1250-O1261+O1301</f>
        <v>1575.9497017505598</v>
      </c>
      <c r="P1306" s="1325">
        <f>+P1228+P1239+P1250-P1261+P1301</f>
        <v>204.35877467534823</v>
      </c>
      <c r="Q1306" s="1324">
        <f t="shared" si="641"/>
        <v>0</v>
      </c>
      <c r="V1306" s="1320" t="s">
        <v>5723</v>
      </c>
      <c r="Y1306" s="1324"/>
    </row>
    <row r="1307" spans="1:26">
      <c r="A1307" s="1320" t="s">
        <v>4897</v>
      </c>
      <c r="C1307" s="1322">
        <v>51</v>
      </c>
      <c r="D1307" s="1320" t="s">
        <v>5268</v>
      </c>
      <c r="E1307" s="1320" t="s">
        <v>4067</v>
      </c>
      <c r="F1307" s="1358">
        <f t="shared" ref="F1307:H1312" si="642">+F1229+F1240+F1251-F1262</f>
        <v>2472.7329249705654</v>
      </c>
      <c r="G1307" s="1358">
        <f t="shared" si="642"/>
        <v>160.20059185683772</v>
      </c>
      <c r="H1307" s="1358">
        <f t="shared" si="642"/>
        <v>2312.5323331137297</v>
      </c>
      <c r="I1307" s="1323">
        <f t="shared" si="639"/>
        <v>0.93521314403222799</v>
      </c>
      <c r="J1307" s="1364">
        <f t="shared" ref="J1307:Q1312" si="643">+J1229+J1240+J1251-J1262</f>
        <v>2312.5323331137297</v>
      </c>
      <c r="K1307" s="1364">
        <f t="shared" si="643"/>
        <v>1341.2989089136863</v>
      </c>
      <c r="L1307" s="1364">
        <f t="shared" si="643"/>
        <v>110.64363090003144</v>
      </c>
      <c r="M1307" s="1364">
        <f t="shared" si="643"/>
        <v>707.28914635188448</v>
      </c>
      <c r="N1307" s="1367">
        <f t="shared" si="643"/>
        <v>88.295671906029156</v>
      </c>
      <c r="O1307" s="1367">
        <f t="shared" si="643"/>
        <v>63.365406711256924</v>
      </c>
      <c r="P1307" s="1367">
        <f t="shared" si="643"/>
        <v>1.6395683308413957</v>
      </c>
      <c r="Q1307" s="1364">
        <f t="shared" si="643"/>
        <v>0</v>
      </c>
      <c r="R1307" s="1358"/>
      <c r="V1307" s="1320" t="s">
        <v>5724</v>
      </c>
    </row>
    <row r="1308" spans="1:26">
      <c r="A1308" s="1320" t="s">
        <v>4897</v>
      </c>
      <c r="C1308" s="1322">
        <v>52</v>
      </c>
      <c r="D1308" s="1320" t="s">
        <v>5239</v>
      </c>
      <c r="E1308" s="1320" t="s">
        <v>4067</v>
      </c>
      <c r="F1308" s="1358">
        <f t="shared" si="642"/>
        <v>2146.9051059723861</v>
      </c>
      <c r="G1308" s="1358">
        <f t="shared" si="642"/>
        <v>139.09123187710861</v>
      </c>
      <c r="H1308" s="1358">
        <f t="shared" si="642"/>
        <v>2007.8138740952782</v>
      </c>
      <c r="I1308" s="1323">
        <f t="shared" si="639"/>
        <v>0.93521314403222766</v>
      </c>
      <c r="J1308" s="1364">
        <f t="shared" si="643"/>
        <v>2007.8138740952782</v>
      </c>
      <c r="K1308" s="1364">
        <f t="shared" si="643"/>
        <v>1164.5582291165774</v>
      </c>
      <c r="L1308" s="1364">
        <f t="shared" si="643"/>
        <v>96.064307521374531</v>
      </c>
      <c r="M1308" s="1364">
        <f t="shared" si="643"/>
        <v>614.09085646392123</v>
      </c>
      <c r="N1308" s="1367">
        <f t="shared" si="643"/>
        <v>76.661101138762433</v>
      </c>
      <c r="O1308" s="1367">
        <f t="shared" si="643"/>
        <v>55.015854658882745</v>
      </c>
      <c r="P1308" s="1367">
        <f t="shared" si="643"/>
        <v>1.4235251957572039</v>
      </c>
      <c r="Q1308" s="1364">
        <f t="shared" si="643"/>
        <v>0</v>
      </c>
      <c r="R1308" s="1358"/>
      <c r="V1308" s="1320" t="s">
        <v>5725</v>
      </c>
    </row>
    <row r="1309" spans="1:26">
      <c r="A1309" s="1320" t="s">
        <v>4897</v>
      </c>
      <c r="C1309" s="1322">
        <v>53</v>
      </c>
      <c r="D1309" s="1320" t="s">
        <v>5240</v>
      </c>
      <c r="E1309" s="1320" t="s">
        <v>4067</v>
      </c>
      <c r="F1309" s="1358">
        <f t="shared" si="642"/>
        <v>6885.4837099742872</v>
      </c>
      <c r="G1309" s="1358">
        <f t="shared" si="642"/>
        <v>0</v>
      </c>
      <c r="H1309" s="1358">
        <f t="shared" si="642"/>
        <v>6885.4837099742872</v>
      </c>
      <c r="I1309" s="1323">
        <f t="shared" si="639"/>
        <v>1</v>
      </c>
      <c r="J1309" s="1364">
        <f t="shared" si="643"/>
        <v>6885.4837099742872</v>
      </c>
      <c r="K1309" s="1364">
        <f t="shared" si="643"/>
        <v>4285.6353119832202</v>
      </c>
      <c r="L1309" s="1364">
        <f t="shared" si="643"/>
        <v>304.80513201610665</v>
      </c>
      <c r="M1309" s="1364">
        <f t="shared" si="643"/>
        <v>2040.8606712169058</v>
      </c>
      <c r="N1309" s="1367">
        <f t="shared" si="643"/>
        <v>214.65750888371213</v>
      </c>
      <c r="O1309" s="1367">
        <f t="shared" si="643"/>
        <v>1.4656396529143982E-4</v>
      </c>
      <c r="P1309" s="1367">
        <f t="shared" si="643"/>
        <v>39.524939310369064</v>
      </c>
      <c r="Q1309" s="1364">
        <f t="shared" si="643"/>
        <v>0</v>
      </c>
      <c r="R1309" s="1358"/>
      <c r="V1309" s="1320" t="s">
        <v>5726</v>
      </c>
    </row>
    <row r="1310" spans="1:26">
      <c r="A1310" s="1320" t="s">
        <v>4897</v>
      </c>
      <c r="C1310" s="1322">
        <v>54</v>
      </c>
      <c r="D1310" s="1320" t="s">
        <v>5241</v>
      </c>
      <c r="E1310" s="1320" t="s">
        <v>4067</v>
      </c>
      <c r="F1310" s="1358">
        <f t="shared" si="642"/>
        <v>4842.1379311151395</v>
      </c>
      <c r="G1310" s="1358">
        <f t="shared" si="642"/>
        <v>0</v>
      </c>
      <c r="H1310" s="1358">
        <f t="shared" si="642"/>
        <v>4842.1379311151395</v>
      </c>
      <c r="I1310" s="1323">
        <f t="shared" si="639"/>
        <v>1</v>
      </c>
      <c r="J1310" s="1364">
        <f t="shared" si="643"/>
        <v>4842.1379311151395</v>
      </c>
      <c r="K1310" s="1364">
        <f t="shared" si="643"/>
        <v>3532.9848903110324</v>
      </c>
      <c r="L1310" s="1364">
        <f t="shared" si="643"/>
        <v>284.47540011489264</v>
      </c>
      <c r="M1310" s="1364">
        <f t="shared" si="643"/>
        <v>1007.161554359187</v>
      </c>
      <c r="N1310" s="1367">
        <f t="shared" si="643"/>
        <v>0</v>
      </c>
      <c r="O1310" s="1367">
        <f t="shared" si="643"/>
        <v>0</v>
      </c>
      <c r="P1310" s="1367">
        <f t="shared" si="643"/>
        <v>17.516086330027349</v>
      </c>
      <c r="Q1310" s="1364">
        <f t="shared" si="643"/>
        <v>0</v>
      </c>
      <c r="R1310" s="1358"/>
      <c r="V1310" s="1320" t="s">
        <v>5727</v>
      </c>
    </row>
    <row r="1311" spans="1:26">
      <c r="A1311" s="1320" t="s">
        <v>4897</v>
      </c>
      <c r="C1311" s="1322">
        <v>55</v>
      </c>
      <c r="D1311" s="1320" t="s">
        <v>5242</v>
      </c>
      <c r="E1311" s="1320" t="s">
        <v>4071</v>
      </c>
      <c r="F1311" s="1358">
        <f t="shared" si="642"/>
        <v>2811.1962444766759</v>
      </c>
      <c r="G1311" s="1358">
        <f t="shared" si="642"/>
        <v>0</v>
      </c>
      <c r="H1311" s="1358">
        <f t="shared" si="642"/>
        <v>2811.1962444766759</v>
      </c>
      <c r="I1311" s="1323">
        <f t="shared" si="639"/>
        <v>1</v>
      </c>
      <c r="J1311" s="1364">
        <f t="shared" si="643"/>
        <v>2811.1962444766759</v>
      </c>
      <c r="K1311" s="1364">
        <f t="shared" si="643"/>
        <v>1036.3663904532914</v>
      </c>
      <c r="L1311" s="1364">
        <f t="shared" si="643"/>
        <v>157.20315468930403</v>
      </c>
      <c r="M1311" s="1364">
        <f t="shared" si="643"/>
        <v>75.787521883175032</v>
      </c>
      <c r="N1311" s="1367">
        <f t="shared" si="643"/>
        <v>4.8856533127873831</v>
      </c>
      <c r="O1311" s="1367">
        <f t="shared" si="643"/>
        <v>5.3304528548105452</v>
      </c>
      <c r="P1311" s="1367">
        <f t="shared" si="643"/>
        <v>1.2234025413742273</v>
      </c>
      <c r="Q1311" s="1364">
        <f t="shared" si="643"/>
        <v>1530.3996687419349</v>
      </c>
      <c r="R1311" s="1358"/>
      <c r="V1311" s="1320" t="s">
        <v>5728</v>
      </c>
      <c r="Y1311" s="1324"/>
    </row>
    <row r="1312" spans="1:26">
      <c r="A1312" s="1320" t="s">
        <v>4897</v>
      </c>
      <c r="C1312" s="1322">
        <v>56</v>
      </c>
      <c r="D1312" s="1320" t="s">
        <v>5244</v>
      </c>
      <c r="E1312" s="1320" t="s">
        <v>4071</v>
      </c>
      <c r="F1312" s="1350">
        <f t="shared" si="642"/>
        <v>-2033.3535253590526</v>
      </c>
      <c r="G1312" s="1350">
        <f t="shared" si="642"/>
        <v>0</v>
      </c>
      <c r="H1312" s="1350">
        <f t="shared" si="642"/>
        <v>-2033.3535253590526</v>
      </c>
      <c r="I1312" s="1323">
        <f t="shared" si="639"/>
        <v>1</v>
      </c>
      <c r="J1312" s="1366">
        <f t="shared" si="643"/>
        <v>-2033.3535253590526</v>
      </c>
      <c r="K1312" s="1366">
        <f t="shared" si="643"/>
        <v>-1813.5211985897895</v>
      </c>
      <c r="L1312" s="1366">
        <f t="shared" si="643"/>
        <v>-175.80455453461957</v>
      </c>
      <c r="M1312" s="1366">
        <f t="shared" si="643"/>
        <v>-43.299163536028544</v>
      </c>
      <c r="N1312" s="1378">
        <f t="shared" si="643"/>
        <v>-0.14619333111331323</v>
      </c>
      <c r="O1312" s="1378">
        <f t="shared" si="643"/>
        <v>-2.5937526487845919E-2</v>
      </c>
      <c r="P1312" s="1378">
        <f t="shared" si="643"/>
        <v>-0.5564778410119664</v>
      </c>
      <c r="Q1312" s="1366">
        <f t="shared" si="643"/>
        <v>0</v>
      </c>
      <c r="R1312" s="1358"/>
      <c r="V1312" s="1320" t="s">
        <v>5729</v>
      </c>
      <c r="Y1312" s="1324"/>
    </row>
    <row r="1313" spans="1:25">
      <c r="A1313" s="1320" t="s">
        <v>4897</v>
      </c>
      <c r="C1313" s="1322">
        <v>57</v>
      </c>
      <c r="F1313" s="1358"/>
      <c r="G1313" s="1358"/>
      <c r="H1313" s="1358"/>
      <c r="J1313" s="1364"/>
      <c r="K1313" s="1364"/>
      <c r="L1313" s="1364"/>
      <c r="M1313" s="1364"/>
      <c r="N1313" s="1367"/>
      <c r="O1313" s="1367"/>
      <c r="P1313" s="1367"/>
      <c r="Q1313" s="1364"/>
      <c r="R1313" s="1358"/>
      <c r="Y1313" s="1324"/>
    </row>
    <row r="1314" spans="1:25" ht="14.4" thickBot="1">
      <c r="A1314" s="1320" t="s">
        <v>4897</v>
      </c>
      <c r="C1314" s="1322">
        <v>58</v>
      </c>
      <c r="D1314" s="1320" t="s">
        <v>5095</v>
      </c>
      <c r="F1314" s="1423">
        <f>+SUM(F1305:F1312)</f>
        <v>86969.811518665971</v>
      </c>
      <c r="G1314" s="1423">
        <f>SUM(G1305:G1312)</f>
        <v>299.29182373394633</v>
      </c>
      <c r="H1314" s="1423">
        <f>SUM(H1305:H1312)</f>
        <v>86670.519694932023</v>
      </c>
      <c r="I1314" s="1323">
        <f>IF(F1314=0,0,+H1314/F1314)</f>
        <v>0.99655866997400921</v>
      </c>
      <c r="J1314" s="1380">
        <f t="shared" ref="J1314:Q1314" si="644">SUM(J1305:J1312)</f>
        <v>86670.519694932023</v>
      </c>
      <c r="K1314" s="1380">
        <f t="shared" si="644"/>
        <v>46961.671164550789</v>
      </c>
      <c r="L1314" s="1380">
        <f t="shared" si="644"/>
        <v>4069.3712673520058</v>
      </c>
      <c r="M1314" s="1380">
        <f t="shared" si="644"/>
        <v>27470.989961796167</v>
      </c>
      <c r="N1314" s="1424">
        <f t="shared" si="644"/>
        <v>3754.3974951654727</v>
      </c>
      <c r="O1314" s="1424">
        <f>SUM(O1305:O1312)</f>
        <v>2585.5014929854365</v>
      </c>
      <c r="P1314" s="1424">
        <f>SUM(P1305:P1312)</f>
        <v>298.18864434022998</v>
      </c>
      <c r="Q1314" s="1380">
        <f t="shared" si="644"/>
        <v>1530.3996687419349</v>
      </c>
      <c r="R1314" s="1358"/>
      <c r="V1314" s="1320" t="s">
        <v>5730</v>
      </c>
      <c r="Y1314" s="1324"/>
    </row>
    <row r="1315" spans="1:25" ht="14.4" thickTop="1">
      <c r="G1315" s="1320"/>
      <c r="M1315" s="1324"/>
      <c r="N1315" s="1324"/>
      <c r="O1315" s="1324"/>
      <c r="Y1315" s="1324"/>
    </row>
    <row r="1316" spans="1:25">
      <c r="C1316" s="1320"/>
      <c r="G1316" s="1320"/>
      <c r="I1316" s="1386"/>
      <c r="Y1316" s="1324"/>
    </row>
    <row r="1317" spans="1:25">
      <c r="C1317" s="1320"/>
      <c r="G1317" s="1320"/>
      <c r="I1317" s="1386"/>
      <c r="Y1317" s="1324"/>
    </row>
    <row r="1318" spans="1:25">
      <c r="G1318" s="1320"/>
      <c r="Y1318" s="1324"/>
    </row>
    <row r="1319" spans="1:25">
      <c r="G1319" s="1320"/>
      <c r="Y1319" s="1324"/>
    </row>
    <row r="1320" spans="1:25">
      <c r="B1320" s="1432"/>
      <c r="C1320" s="1340" t="str">
        <f>+C$2</f>
        <v>RATES WITH REVENUE DEFICIENCY ADDITION</v>
      </c>
      <c r="F1320" s="1333"/>
      <c r="G1320" s="1327" t="s">
        <v>2173</v>
      </c>
      <c r="I1320" s="1334" t="s">
        <v>5714</v>
      </c>
      <c r="L1320" s="1329" t="s">
        <v>2173</v>
      </c>
      <c r="M1320" s="1330"/>
      <c r="N1320" s="1330"/>
      <c r="O1320" s="1330"/>
      <c r="S1320" s="1334" t="s">
        <v>5731</v>
      </c>
      <c r="T1320" s="1333" t="s">
        <v>2173</v>
      </c>
      <c r="U1320" s="1334"/>
      <c r="V1320" s="1332" t="s">
        <v>4772</v>
      </c>
    </row>
    <row r="1321" spans="1:25">
      <c r="B1321" s="1432"/>
      <c r="C1321" s="1340" t="str">
        <f>+C$3</f>
        <v>PROD. CAP. ALLOC. METHOD: 12 CP &amp; 1/13th AD</v>
      </c>
      <c r="G1321" s="1336" t="s">
        <v>4768</v>
      </c>
      <c r="I1321" s="1335" t="s">
        <v>4312</v>
      </c>
      <c r="L1321" s="1336" t="s">
        <v>5141</v>
      </c>
      <c r="M1321" s="1337"/>
      <c r="N1321" s="1337"/>
      <c r="O1321" s="1337"/>
      <c r="R1321" s="1331"/>
      <c r="S1321" s="1335" t="s">
        <v>4313</v>
      </c>
      <c r="T1321" s="1333" t="s">
        <v>5141</v>
      </c>
      <c r="V1321" s="1332" t="s">
        <v>5731</v>
      </c>
    </row>
    <row r="1322" spans="1:25">
      <c r="C1322" s="1340" t="str">
        <f>+C$4</f>
        <v>PROJECTED CALENDAR YEAR 2025; FULLY ADJUSTED DATA</v>
      </c>
      <c r="G1322" s="1336" t="s">
        <v>2181</v>
      </c>
      <c r="L1322" s="1336" t="s">
        <v>2181</v>
      </c>
      <c r="T1322" s="1339"/>
      <c r="Y1322" s="1324"/>
    </row>
    <row r="1323" spans="1:25">
      <c r="C1323" s="1340" t="str">
        <f>+C$5</f>
        <v>MINIMUM DISTRIBUTION SYSTEM (MDS) NOT EMPLOYED</v>
      </c>
      <c r="D1323" s="1358"/>
      <c r="G1323" s="1320"/>
      <c r="L1323" s="1336"/>
      <c r="M1323" s="1337"/>
      <c r="N1323" s="1337"/>
      <c r="O1323" s="1337"/>
      <c r="T1323" s="1333"/>
      <c r="Y1323" s="1324"/>
    </row>
    <row r="1324" spans="1:25">
      <c r="C1324" s="1340" t="str">
        <f>+C$6</f>
        <v>Tampa Electric 2025 OB Budget</v>
      </c>
      <c r="F1324" s="1327"/>
      <c r="G1324" s="1333" t="s">
        <v>5732</v>
      </c>
      <c r="L1324" s="1336" t="s">
        <v>5732</v>
      </c>
      <c r="M1324" s="1337"/>
      <c r="N1324" s="1337"/>
      <c r="O1324" s="1337"/>
      <c r="T1324" s="1333" t="s">
        <v>5732</v>
      </c>
    </row>
    <row r="1325" spans="1:25">
      <c r="F1325" s="1333"/>
      <c r="G1325" s="1320"/>
      <c r="L1325" s="1336"/>
      <c r="M1325" s="1337"/>
      <c r="N1325" s="1337"/>
      <c r="O1325" s="1337"/>
    </row>
    <row r="1326" spans="1:25">
      <c r="F1326" s="1333"/>
      <c r="G1326" s="1320"/>
      <c r="L1326" s="1336"/>
      <c r="M1326" s="1337"/>
      <c r="N1326" s="1337"/>
      <c r="O1326" s="1337"/>
    </row>
    <row r="1327" spans="1:25">
      <c r="G1327" s="1320"/>
    </row>
    <row r="1328" spans="1:25">
      <c r="C1328" s="1342"/>
      <c r="D1328" s="1331"/>
      <c r="E1328" s="1331"/>
      <c r="F1328" s="1333"/>
      <c r="G1328" s="1333"/>
      <c r="H1328" s="1333"/>
      <c r="I1328" s="1343"/>
      <c r="J1328" s="1416"/>
      <c r="K1328" s="1336"/>
      <c r="L1328" s="1416"/>
      <c r="M1328" s="1417"/>
      <c r="N1328" s="1417"/>
      <c r="O1328" s="1417"/>
      <c r="P1328" s="3164"/>
      <c r="Q1328" s="3164"/>
      <c r="R1328" s="1333"/>
    </row>
    <row r="1329" spans="1:27" ht="30" customHeight="1">
      <c r="A1329" s="1418" t="s">
        <v>4683</v>
      </c>
      <c r="B1329" s="1425" t="s">
        <v>5143</v>
      </c>
      <c r="C1329" s="1349" t="s">
        <v>4297</v>
      </c>
      <c r="D1329" s="1418"/>
      <c r="E1329" s="1418"/>
      <c r="F1329" s="1348" t="s">
        <v>5144</v>
      </c>
      <c r="G1329" s="1348" t="s">
        <v>4956</v>
      </c>
      <c r="H1329" s="1348" t="s">
        <v>4957</v>
      </c>
      <c r="I1329" s="1426" t="s">
        <v>5145</v>
      </c>
      <c r="J1329" s="1352" t="s">
        <v>4957</v>
      </c>
      <c r="K1329" s="1353" t="s">
        <v>1949</v>
      </c>
      <c r="L1329" s="1353" t="s">
        <v>1950</v>
      </c>
      <c r="M1329" s="1354" t="s">
        <v>1934</v>
      </c>
      <c r="N1329" s="1354" t="s">
        <v>1971</v>
      </c>
      <c r="O1329" s="1354" t="s">
        <v>1972</v>
      </c>
      <c r="P1329" s="1352" t="s">
        <v>5146</v>
      </c>
      <c r="Q1329" s="1352" t="s">
        <v>5147</v>
      </c>
      <c r="R1329" s="1355"/>
      <c r="S1329" s="1348" t="s">
        <v>5299</v>
      </c>
      <c r="T1329" s="1348"/>
      <c r="U1329" s="1352"/>
      <c r="V1329" s="1355" t="s">
        <v>4774</v>
      </c>
      <c r="W1329" s="1350"/>
      <c r="Y1329" s="1324"/>
    </row>
    <row r="1330" spans="1:27">
      <c r="G1330" s="1320"/>
      <c r="Y1330" s="1324"/>
    </row>
    <row r="1331" spans="1:27">
      <c r="A1331" s="1320" t="s">
        <v>2342</v>
      </c>
      <c r="B1331" s="1321"/>
      <c r="C1331" s="1322">
        <v>1</v>
      </c>
      <c r="D1331" s="1356" t="s">
        <v>5733</v>
      </c>
      <c r="G1331" s="1320"/>
      <c r="S1331" s="1321"/>
      <c r="T1331" s="1321"/>
      <c r="U1331" s="1326"/>
      <c r="Y1331" s="1324"/>
    </row>
    <row r="1332" spans="1:27" s="1324" customFormat="1">
      <c r="A1332" s="1324" t="s">
        <v>2342</v>
      </c>
      <c r="B1332" s="1324">
        <v>101</v>
      </c>
      <c r="C1332" s="1393">
        <v>2</v>
      </c>
      <c r="D1332" s="1324" t="s">
        <v>4813</v>
      </c>
      <c r="E1332" s="1324" t="s">
        <v>4067</v>
      </c>
      <c r="F1332" s="1324">
        <f>+'Allocation Assignment'!F477+'Allocation Assignment'!F479</f>
        <v>106807.76069412462</v>
      </c>
      <c r="G1332" s="1364">
        <f t="shared" ref="G1332:H1334" si="645">+$F1332*G$1933</f>
        <v>0</v>
      </c>
      <c r="H1332" s="1364">
        <f t="shared" si="645"/>
        <v>106807.76069412462</v>
      </c>
      <c r="I1332" s="1374">
        <f>IF(F1332=0,0,+H1332/F1332)</f>
        <v>1</v>
      </c>
      <c r="J1332" s="1364">
        <f>+H1332</f>
        <v>106807.76069412462</v>
      </c>
      <c r="K1332" s="1324">
        <f t="shared" ref="K1332:Q1332" si="646">$J1332*K$1951</f>
        <v>61330.582704697546</v>
      </c>
      <c r="L1332" s="1324">
        <f t="shared" si="646"/>
        <v>5100.2908587212769</v>
      </c>
      <c r="M1332" s="1324">
        <f t="shared" si="646"/>
        <v>33008.625025621783</v>
      </c>
      <c r="N1332" s="1324">
        <f t="shared" si="646"/>
        <v>4218.7256780246789</v>
      </c>
      <c r="O1332" s="1324">
        <f t="shared" si="646"/>
        <v>3036.2301063227042</v>
      </c>
      <c r="P1332" s="1324">
        <f t="shared" si="646"/>
        <v>113.3063207366321</v>
      </c>
      <c r="Q1332" s="1324">
        <f t="shared" si="646"/>
        <v>0</v>
      </c>
      <c r="S1332" s="1324">
        <v>122</v>
      </c>
      <c r="V1332" s="1326" t="s">
        <v>9476</v>
      </c>
      <c r="W1332" s="1326">
        <v>122</v>
      </c>
      <c r="AA1332" s="1320"/>
    </row>
    <row r="1333" spans="1:27" s="1324" customFormat="1">
      <c r="A1333" s="1324" t="s">
        <v>2342</v>
      </c>
      <c r="B1333" s="1324">
        <v>101</v>
      </c>
      <c r="C1333" s="1393">
        <v>3</v>
      </c>
      <c r="D1333" s="1324" t="s">
        <v>5286</v>
      </c>
      <c r="E1333" s="1324" t="s">
        <v>4067</v>
      </c>
      <c r="F1333" s="1324">
        <f>+'Allocation Assignment'!F480</f>
        <v>0</v>
      </c>
      <c r="G1333" s="1364">
        <f t="shared" si="645"/>
        <v>0</v>
      </c>
      <c r="H1333" s="1364">
        <f t="shared" si="645"/>
        <v>0</v>
      </c>
      <c r="I1333" s="1374">
        <f>IF(F1333=0,0,+H1333/F1333)</f>
        <v>0</v>
      </c>
      <c r="J1333" s="1364">
        <f>+H1333</f>
        <v>0</v>
      </c>
      <c r="K1333" s="1324">
        <f t="shared" ref="K1333:Q1333" si="647">$J1333*K$1948</f>
        <v>0</v>
      </c>
      <c r="L1333" s="1324">
        <f t="shared" si="647"/>
        <v>0</v>
      </c>
      <c r="M1333" s="1324">
        <f t="shared" si="647"/>
        <v>0</v>
      </c>
      <c r="N1333" s="1324">
        <f t="shared" si="647"/>
        <v>0</v>
      </c>
      <c r="O1333" s="1324">
        <f t="shared" si="647"/>
        <v>0</v>
      </c>
      <c r="P1333" s="1324">
        <f t="shared" si="647"/>
        <v>0</v>
      </c>
      <c r="Q1333" s="1324">
        <f t="shared" si="647"/>
        <v>0</v>
      </c>
      <c r="S1333" s="1324">
        <v>121</v>
      </c>
      <c r="V1333" s="1326" t="s">
        <v>5287</v>
      </c>
      <c r="W1333" s="1326">
        <v>121</v>
      </c>
      <c r="AA1333" s="1320"/>
    </row>
    <row r="1334" spans="1:27" s="1324" customFormat="1">
      <c r="A1334" s="1320" t="s">
        <v>2342</v>
      </c>
      <c r="B1334" s="1324">
        <v>101</v>
      </c>
      <c r="C1334" s="1393">
        <v>4</v>
      </c>
      <c r="D1334" s="1324" t="s">
        <v>4814</v>
      </c>
      <c r="E1334" s="1324" t="s">
        <v>2067</v>
      </c>
      <c r="F1334" s="1366">
        <f>+'Allocation Assignment'!F478+'Allocation Assignment'!F481</f>
        <v>3054.4984588409338</v>
      </c>
      <c r="G1334" s="1364">
        <f t="shared" si="645"/>
        <v>0</v>
      </c>
      <c r="H1334" s="1364">
        <f t="shared" si="645"/>
        <v>3054.4984588409338</v>
      </c>
      <c r="I1334" s="1374">
        <f>IF(F1334=0,0,+H1334/F1334)</f>
        <v>1</v>
      </c>
      <c r="J1334" s="1366">
        <f>+H1334</f>
        <v>3054.4984588409338</v>
      </c>
      <c r="K1334" s="1364">
        <f t="shared" ref="K1334:Q1334" si="648">+$J1334*K$1969</f>
        <v>1541.4043410314671</v>
      </c>
      <c r="L1334" s="1364">
        <f t="shared" si="648"/>
        <v>142.44380526839257</v>
      </c>
      <c r="M1334" s="1364">
        <f t="shared" si="648"/>
        <v>1061.1510222517572</v>
      </c>
      <c r="N1334" s="1367">
        <f t="shared" si="648"/>
        <v>168.91818074773224</v>
      </c>
      <c r="O1334" s="1367">
        <f t="shared" si="648"/>
        <v>124.44402786791056</v>
      </c>
      <c r="P1334" s="1367">
        <f t="shared" si="648"/>
        <v>16.137081673674079</v>
      </c>
      <c r="Q1334" s="1364">
        <f t="shared" si="648"/>
        <v>0</v>
      </c>
      <c r="R1334" s="1364"/>
      <c r="S1334" s="1324">
        <v>201</v>
      </c>
      <c r="V1334" s="1321" t="s">
        <v>5235</v>
      </c>
      <c r="W1334" s="1321">
        <v>201</v>
      </c>
      <c r="AA1334" s="1320"/>
    </row>
    <row r="1335" spans="1:27">
      <c r="A1335" s="1320" t="s">
        <v>2342</v>
      </c>
      <c r="C1335" s="1322">
        <v>5</v>
      </c>
      <c r="D1335" s="1320" t="s">
        <v>5734</v>
      </c>
      <c r="F1335" s="1427">
        <f>+SUM(F1332:F1334)</f>
        <v>109862.25915296555</v>
      </c>
      <c r="G1335" s="1427">
        <f>SUM(G1332:G1334)</f>
        <v>0</v>
      </c>
      <c r="H1335" s="1427">
        <f>SUM(H1332:H1334)</f>
        <v>109862.25915296555</v>
      </c>
      <c r="I1335" s="1323">
        <f>IF(F1335=0,0,+H1335/F1335)</f>
        <v>1</v>
      </c>
      <c r="J1335" s="1421">
        <f t="shared" ref="J1335:Q1335" si="649">SUM(J1332:J1334)</f>
        <v>109862.25915296555</v>
      </c>
      <c r="K1335" s="1421">
        <f t="shared" si="649"/>
        <v>62871.987045729016</v>
      </c>
      <c r="L1335" s="1421">
        <f t="shared" si="649"/>
        <v>5242.7346639896696</v>
      </c>
      <c r="M1335" s="1421">
        <f t="shared" si="649"/>
        <v>34069.776047873544</v>
      </c>
      <c r="N1335" s="1422">
        <f t="shared" si="649"/>
        <v>4387.6438587724115</v>
      </c>
      <c r="O1335" s="1422">
        <f>SUM(O1332:O1334)</f>
        <v>3160.6741341906145</v>
      </c>
      <c r="P1335" s="1422">
        <f>SUM(P1332:P1334)</f>
        <v>129.44340241030619</v>
      </c>
      <c r="Q1335" s="1421">
        <f t="shared" si="649"/>
        <v>0</v>
      </c>
      <c r="R1335" s="1364"/>
      <c r="S1335" s="1324"/>
      <c r="V1335" s="1320" t="s">
        <v>5395</v>
      </c>
      <c r="Y1335" s="1324"/>
    </row>
    <row r="1336" spans="1:27">
      <c r="A1336" s="1320" t="s">
        <v>2342</v>
      </c>
      <c r="B1336" s="1321"/>
      <c r="C1336" s="1322">
        <v>6</v>
      </c>
      <c r="G1336" s="1320"/>
      <c r="R1336" s="1324"/>
      <c r="S1336" s="1326"/>
      <c r="T1336" s="1321"/>
      <c r="U1336" s="1326"/>
      <c r="Y1336" s="1324"/>
    </row>
    <row r="1337" spans="1:27">
      <c r="A1337" s="1320" t="s">
        <v>2342</v>
      </c>
      <c r="C1337" s="1322">
        <v>7</v>
      </c>
      <c r="G1337" s="1320"/>
      <c r="R1337" s="1324"/>
      <c r="S1337" s="1324"/>
      <c r="Y1337" s="1324"/>
    </row>
    <row r="1338" spans="1:27">
      <c r="A1338" s="1320" t="s">
        <v>2342</v>
      </c>
      <c r="C1338" s="1322">
        <v>8</v>
      </c>
      <c r="D1338" s="1356" t="s">
        <v>5735</v>
      </c>
      <c r="G1338" s="1320"/>
      <c r="R1338" s="1324"/>
      <c r="S1338" s="1324"/>
    </row>
    <row r="1339" spans="1:27" s="1324" customFormat="1">
      <c r="A1339" s="1324" t="s">
        <v>2342</v>
      </c>
      <c r="B1339" s="1324">
        <v>101</v>
      </c>
      <c r="C1339" s="1393">
        <v>9</v>
      </c>
      <c r="D1339" s="1324" t="s">
        <v>5397</v>
      </c>
      <c r="E1339" s="1324" t="s">
        <v>4067</v>
      </c>
      <c r="F1339" s="1324">
        <f>+'Allocation Assignment'!F482</f>
        <v>0</v>
      </c>
      <c r="G1339" s="1364">
        <f>+$F1339*G$1933</f>
        <v>0</v>
      </c>
      <c r="H1339" s="1364">
        <f>+$F1339*H$1933</f>
        <v>0</v>
      </c>
      <c r="I1339" s="1374">
        <f>IF(F1339=0,0,+H1339/F1339)</f>
        <v>0</v>
      </c>
      <c r="J1339" s="1364">
        <f>+H1339</f>
        <v>0</v>
      </c>
      <c r="K1339" s="1324">
        <f t="shared" ref="K1339:Q1339" si="650">$J1339*K$1951</f>
        <v>0</v>
      </c>
      <c r="L1339" s="1324">
        <f t="shared" si="650"/>
        <v>0</v>
      </c>
      <c r="M1339" s="1324">
        <f t="shared" si="650"/>
        <v>0</v>
      </c>
      <c r="N1339" s="1324">
        <f t="shared" si="650"/>
        <v>0</v>
      </c>
      <c r="O1339" s="1324">
        <f t="shared" si="650"/>
        <v>0</v>
      </c>
      <c r="P1339" s="1324">
        <f t="shared" si="650"/>
        <v>0</v>
      </c>
      <c r="Q1339" s="1324">
        <f t="shared" si="650"/>
        <v>0</v>
      </c>
      <c r="S1339" s="1324">
        <v>122</v>
      </c>
      <c r="V1339" s="1326" t="s">
        <v>9476</v>
      </c>
      <c r="W1339" s="1326">
        <v>122</v>
      </c>
      <c r="AA1339" s="1320"/>
    </row>
    <row r="1340" spans="1:27">
      <c r="A1340" s="1320" t="s">
        <v>2342</v>
      </c>
      <c r="B1340" s="1320">
        <v>117</v>
      </c>
      <c r="C1340" s="1322">
        <v>10</v>
      </c>
      <c r="D1340" s="1324" t="s">
        <v>5736</v>
      </c>
      <c r="E1340" s="1320" t="s">
        <v>4067</v>
      </c>
      <c r="F1340" s="1324">
        <f>+'Allocation Assignment'!F483</f>
        <v>7283.8333454800486</v>
      </c>
      <c r="G1340" s="1358">
        <f>+$F1340*G$1942</f>
        <v>471.89666184687519</v>
      </c>
      <c r="H1340" s="1358">
        <f>+$F1340*H$1942</f>
        <v>6811.9366836331728</v>
      </c>
      <c r="I1340" s="1323">
        <f>IF(F1340=0,0,+H1340/F1340)</f>
        <v>0.93521314403222733</v>
      </c>
      <c r="J1340" s="1364">
        <f>+H1340</f>
        <v>6811.9366836331728</v>
      </c>
      <c r="K1340" s="1364">
        <f t="shared" ref="K1340:Q1341" si="651">+$J1340*K$1945</f>
        <v>3951.0121050043435</v>
      </c>
      <c r="L1340" s="1364">
        <f t="shared" si="651"/>
        <v>325.91864656156815</v>
      </c>
      <c r="M1340" s="1364">
        <f t="shared" si="651"/>
        <v>2083.4341699701777</v>
      </c>
      <c r="N1340" s="1367">
        <f t="shared" si="651"/>
        <v>260.08913166324089</v>
      </c>
      <c r="O1340" s="1367">
        <f t="shared" si="651"/>
        <v>186.65301767632388</v>
      </c>
      <c r="P1340" s="1367">
        <f t="shared" si="651"/>
        <v>4.8296127575192029</v>
      </c>
      <c r="Q1340" s="1364">
        <f t="shared" si="651"/>
        <v>0</v>
      </c>
      <c r="R1340" s="1364"/>
      <c r="S1340" s="1324">
        <v>118</v>
      </c>
      <c r="V1340" s="1321" t="s">
        <v>9477</v>
      </c>
      <c r="W1340" s="1321">
        <v>117</v>
      </c>
      <c r="Y1340" s="1324"/>
    </row>
    <row r="1341" spans="1:27">
      <c r="A1341" s="1320" t="s">
        <v>2342</v>
      </c>
      <c r="B1341" s="1320">
        <v>117</v>
      </c>
      <c r="C1341" s="1322">
        <v>11</v>
      </c>
      <c r="D1341" s="1320" t="s">
        <v>5737</v>
      </c>
      <c r="E1341" s="1320" t="s">
        <v>4067</v>
      </c>
      <c r="F1341" s="1324">
        <f>+'Allocation Assignment'!F484</f>
        <v>7158.5366024656287</v>
      </c>
      <c r="G1341" s="1358">
        <f>+$F1341*G$1942</f>
        <v>463.7790798039689</v>
      </c>
      <c r="H1341" s="1358">
        <f>+$F1341*H$1942</f>
        <v>6694.7575226616591</v>
      </c>
      <c r="I1341" s="1323">
        <f>IF(F1341=0,0,+H1341/F1341)</f>
        <v>0.93521314403222733</v>
      </c>
      <c r="J1341" s="1364">
        <f>+H1341</f>
        <v>6694.7575226616591</v>
      </c>
      <c r="K1341" s="1364">
        <f t="shared" si="651"/>
        <v>3883.0466636101096</v>
      </c>
      <c r="L1341" s="1364">
        <f t="shared" si="651"/>
        <v>320.31218318371322</v>
      </c>
      <c r="M1341" s="1364">
        <f t="shared" si="651"/>
        <v>2047.594866213426</v>
      </c>
      <c r="N1341" s="1367">
        <f t="shared" si="651"/>
        <v>255.61506978604606</v>
      </c>
      <c r="O1341" s="1367">
        <f t="shared" si="651"/>
        <v>183.44220626983159</v>
      </c>
      <c r="P1341" s="1367">
        <f t="shared" si="651"/>
        <v>4.7465335985330128</v>
      </c>
      <c r="Q1341" s="1364">
        <f t="shared" si="651"/>
        <v>0</v>
      </c>
      <c r="R1341" s="1358"/>
      <c r="S1341" s="1320">
        <v>118</v>
      </c>
      <c r="V1341" s="1321" t="s">
        <v>9477</v>
      </c>
      <c r="W1341" s="1321">
        <v>117</v>
      </c>
      <c r="Y1341" s="1324"/>
    </row>
    <row r="1342" spans="1:27">
      <c r="A1342" s="1320" t="s">
        <v>2342</v>
      </c>
      <c r="C1342" s="1322">
        <v>12</v>
      </c>
      <c r="D1342" s="1320" t="s">
        <v>5738</v>
      </c>
      <c r="F1342" s="1427">
        <f>+SUM(F1339:F1341)</f>
        <v>14442.369947945677</v>
      </c>
      <c r="G1342" s="1427">
        <f>SUM(G1339:G1341)</f>
        <v>935.67574165084409</v>
      </c>
      <c r="H1342" s="1427">
        <f>SUM(H1339:H1341)</f>
        <v>13506.694206294833</v>
      </c>
      <c r="I1342" s="1323">
        <f>IF(F1342=0,0,+H1342/F1342)</f>
        <v>0.93521314403222733</v>
      </c>
      <c r="J1342" s="1421">
        <f t="shared" ref="J1342:Q1342" si="652">SUM(J1339:J1341)</f>
        <v>13506.694206294833</v>
      </c>
      <c r="K1342" s="1421">
        <f t="shared" si="652"/>
        <v>7834.0587686144536</v>
      </c>
      <c r="L1342" s="1421">
        <f t="shared" si="652"/>
        <v>646.23082974528143</v>
      </c>
      <c r="M1342" s="1421">
        <f t="shared" si="652"/>
        <v>4131.0290361836032</v>
      </c>
      <c r="N1342" s="1422">
        <f t="shared" si="652"/>
        <v>515.70420144928698</v>
      </c>
      <c r="O1342" s="1422">
        <f>SUM(O1339:O1341)</f>
        <v>370.09522394615544</v>
      </c>
      <c r="P1342" s="1422">
        <f>SUM(P1339:P1341)</f>
        <v>9.5761463560522166</v>
      </c>
      <c r="Q1342" s="1421">
        <f t="shared" si="652"/>
        <v>0</v>
      </c>
      <c r="R1342" s="1358"/>
      <c r="V1342" s="1320" t="s">
        <v>5739</v>
      </c>
    </row>
    <row r="1343" spans="1:27">
      <c r="A1343" s="1320" t="s">
        <v>2342</v>
      </c>
      <c r="C1343" s="1322">
        <v>13</v>
      </c>
      <c r="F1343" s="1358"/>
      <c r="G1343" s="1358"/>
      <c r="H1343" s="1358"/>
      <c r="J1343" s="1364"/>
      <c r="K1343" s="1364"/>
      <c r="L1343" s="1364"/>
      <c r="M1343" s="1367"/>
      <c r="N1343" s="1367"/>
      <c r="O1343" s="1367"/>
      <c r="P1343" s="1364"/>
      <c r="Q1343" s="1364"/>
      <c r="R1343" s="1358"/>
    </row>
    <row r="1344" spans="1:27">
      <c r="A1344" s="1320" t="s">
        <v>2342</v>
      </c>
      <c r="C1344" s="1322">
        <v>14</v>
      </c>
      <c r="G1344" s="1320"/>
    </row>
    <row r="1345" spans="1:27">
      <c r="A1345" s="1320" t="s">
        <v>2342</v>
      </c>
      <c r="C1345" s="1322">
        <v>15</v>
      </c>
      <c r="D1345" s="1356" t="s">
        <v>5740</v>
      </c>
      <c r="G1345" s="1320"/>
    </row>
    <row r="1346" spans="1:27">
      <c r="A1346" s="1320" t="s">
        <v>2342</v>
      </c>
      <c r="B1346" s="1320">
        <v>105</v>
      </c>
      <c r="C1346" s="1322">
        <v>16</v>
      </c>
      <c r="D1346" s="1320" t="s">
        <v>5240</v>
      </c>
      <c r="E1346" s="1320" t="s">
        <v>4067</v>
      </c>
      <c r="F1346" s="1320">
        <f>+'Allocation Assignment'!F485</f>
        <v>-18323.405026623215</v>
      </c>
      <c r="G1346" s="1358">
        <f>+$F1346*G$1936</f>
        <v>0</v>
      </c>
      <c r="H1346" s="1358">
        <f>+$F1346*H$1936</f>
        <v>-18323.405026623215</v>
      </c>
      <c r="I1346" s="1323">
        <f>IF(F1346=0,0,+H1346/F1346)</f>
        <v>1</v>
      </c>
      <c r="J1346" s="1364">
        <f>+H1346</f>
        <v>-18323.405026623215</v>
      </c>
      <c r="K1346" s="1364">
        <f t="shared" ref="K1346:Q1346" si="653">+$J1346*K$1936</f>
        <v>-11404.780684342166</v>
      </c>
      <c r="L1346" s="1364">
        <f t="shared" si="653"/>
        <v>-811.13660613763204</v>
      </c>
      <c r="M1346" s="1364">
        <f t="shared" si="653"/>
        <v>-5431.066030617797</v>
      </c>
      <c r="N1346" s="1367">
        <f t="shared" si="653"/>
        <v>-571.23894891865393</v>
      </c>
      <c r="O1346" s="1367">
        <f t="shared" si="653"/>
        <v>-3.9003082593205835E-4</v>
      </c>
      <c r="P1346" s="1367">
        <f t="shared" si="653"/>
        <v>-105.18236657614541</v>
      </c>
      <c r="Q1346" s="1364">
        <f t="shared" si="653"/>
        <v>0</v>
      </c>
      <c r="R1346" s="1358"/>
      <c r="S1346" s="1320">
        <v>105</v>
      </c>
      <c r="V1346" s="1321" t="s">
        <v>5229</v>
      </c>
      <c r="W1346" s="1321">
        <v>105</v>
      </c>
    </row>
    <row r="1347" spans="1:27">
      <c r="A1347" s="1320" t="s">
        <v>2342</v>
      </c>
      <c r="B1347" s="1320">
        <v>106</v>
      </c>
      <c r="C1347" s="1322">
        <v>17</v>
      </c>
      <c r="D1347" s="1320" t="s">
        <v>5241</v>
      </c>
      <c r="E1347" s="1320" t="s">
        <v>4067</v>
      </c>
      <c r="F1347" s="1320">
        <f>+'Allocation Assignment'!F486</f>
        <v>-10165.971528099151</v>
      </c>
      <c r="G1347" s="1358">
        <f>+$F1347*G$1939</f>
        <v>0</v>
      </c>
      <c r="H1347" s="1358">
        <f>+$F1347*H$1939</f>
        <v>-10165.971528099151</v>
      </c>
      <c r="I1347" s="1323">
        <f>IF(F1347=0,0,+H1347/F1347)</f>
        <v>1</v>
      </c>
      <c r="J1347" s="1364">
        <f>+H1347</f>
        <v>-10165.971528099151</v>
      </c>
      <c r="K1347" s="1364">
        <f t="shared" ref="K1347:Q1347" si="654">+$J1347*K$1939</f>
        <v>-7417.4309602607673</v>
      </c>
      <c r="L1347" s="1364">
        <f t="shared" si="654"/>
        <v>-597.25040037151518</v>
      </c>
      <c r="M1347" s="1364">
        <f t="shared" si="654"/>
        <v>-2114.5154953183246</v>
      </c>
      <c r="N1347" s="1367">
        <f t="shared" si="654"/>
        <v>0</v>
      </c>
      <c r="O1347" s="1367">
        <f t="shared" si="654"/>
        <v>0</v>
      </c>
      <c r="P1347" s="1367">
        <f t="shared" si="654"/>
        <v>-36.774672148543338</v>
      </c>
      <c r="Q1347" s="1364">
        <f t="shared" si="654"/>
        <v>0</v>
      </c>
      <c r="R1347" s="1358"/>
      <c r="S1347" s="1320">
        <v>106</v>
      </c>
      <c r="V1347" s="1321" t="s">
        <v>5230</v>
      </c>
      <c r="W1347" s="1321">
        <v>106</v>
      </c>
      <c r="Y1347" s="1324"/>
    </row>
    <row r="1348" spans="1:27">
      <c r="A1348" s="1320" t="s">
        <v>2342</v>
      </c>
      <c r="B1348" s="1320">
        <v>907</v>
      </c>
      <c r="C1348" s="1322">
        <v>18</v>
      </c>
      <c r="D1348" s="1320" t="s">
        <v>5242</v>
      </c>
      <c r="E1348" s="1320" t="s">
        <v>4071</v>
      </c>
      <c r="F1348" s="1320">
        <f>+'Allocation Assignment'!F487</f>
        <v>-8274.3217102474555</v>
      </c>
      <c r="G1348" s="1480">
        <f>+$F1348*G$2055</f>
        <v>0</v>
      </c>
      <c r="H1348" s="1358">
        <f>+$F1348*H$2055</f>
        <v>-8274.3217102474555</v>
      </c>
      <c r="I1348" s="1323">
        <f>IF(F1348=0,0,+H1348/F1348)</f>
        <v>1</v>
      </c>
      <c r="J1348" s="1364">
        <f>+H1348</f>
        <v>-8274.3217102474555</v>
      </c>
      <c r="K1348" s="1364">
        <f t="shared" ref="K1348:Q1348" si="655">+$J1348*K$2055</f>
        <v>-3050.3843127802602</v>
      </c>
      <c r="L1348" s="1364">
        <f t="shared" si="655"/>
        <v>-462.70319203817832</v>
      </c>
      <c r="M1348" s="1364">
        <f t="shared" si="655"/>
        <v>-223.06885864545771</v>
      </c>
      <c r="N1348" s="1367">
        <f t="shared" si="655"/>
        <v>-14.380165509314905</v>
      </c>
      <c r="O1348" s="1367">
        <f t="shared" si="655"/>
        <v>-15.689364223030321</v>
      </c>
      <c r="P1348" s="1367">
        <f t="shared" si="655"/>
        <v>-3.600896318908231</v>
      </c>
      <c r="Q1348" s="1364">
        <f t="shared" si="655"/>
        <v>-4504.494920732307</v>
      </c>
      <c r="R1348" s="1358"/>
      <c r="S1348" s="1320">
        <v>907</v>
      </c>
      <c r="V1348" s="1321" t="s">
        <v>5243</v>
      </c>
      <c r="W1348" s="1321">
        <v>907</v>
      </c>
      <c r="Y1348" s="1324"/>
    </row>
    <row r="1349" spans="1:27">
      <c r="A1349" s="1320" t="s">
        <v>2342</v>
      </c>
      <c r="C1349" s="1322">
        <v>19</v>
      </c>
      <c r="D1349" s="1320" t="s">
        <v>5741</v>
      </c>
      <c r="F1349" s="1427">
        <f>+SUM(F1346:F1348)</f>
        <v>-36763.698264969818</v>
      </c>
      <c r="G1349" s="1427">
        <f>SUM(G1346:G1348)</f>
        <v>0</v>
      </c>
      <c r="H1349" s="1427">
        <f>SUM(H1346:H1348)</f>
        <v>-36763.698264969818</v>
      </c>
      <c r="I1349" s="1323">
        <f>IF(F1349=0,0,+H1349/F1349)</f>
        <v>1</v>
      </c>
      <c r="J1349" s="1421">
        <f t="shared" ref="J1349:Q1349" si="656">SUM(J1346:J1348)</f>
        <v>-36763.698264969818</v>
      </c>
      <c r="K1349" s="1421">
        <f t="shared" si="656"/>
        <v>-21872.595957383193</v>
      </c>
      <c r="L1349" s="1421">
        <f t="shared" si="656"/>
        <v>-1871.0901985473256</v>
      </c>
      <c r="M1349" s="1421">
        <f t="shared" si="656"/>
        <v>-7768.6503845815796</v>
      </c>
      <c r="N1349" s="1422">
        <f t="shared" si="656"/>
        <v>-585.61911442796884</v>
      </c>
      <c r="O1349" s="1422">
        <f>SUM(O1346:O1348)</f>
        <v>-15.689754253856252</v>
      </c>
      <c r="P1349" s="1422">
        <f>SUM(P1346:P1348)</f>
        <v>-145.55793504359698</v>
      </c>
      <c r="Q1349" s="1421">
        <f t="shared" si="656"/>
        <v>-4504.494920732307</v>
      </c>
      <c r="R1349" s="1358"/>
      <c r="V1349" s="1320" t="s">
        <v>5742</v>
      </c>
      <c r="Y1349" s="1324"/>
    </row>
    <row r="1350" spans="1:27">
      <c r="A1350" s="1320" t="s">
        <v>2342</v>
      </c>
      <c r="C1350" s="1322">
        <v>20</v>
      </c>
      <c r="G1350" s="1320"/>
      <c r="Y1350" s="1324"/>
    </row>
    <row r="1351" spans="1:27">
      <c r="A1351" s="1320" t="s">
        <v>2342</v>
      </c>
      <c r="C1351" s="1322">
        <v>21</v>
      </c>
      <c r="G1351" s="1320"/>
      <c r="Y1351" s="1324"/>
    </row>
    <row r="1352" spans="1:27">
      <c r="A1352" s="1320" t="s">
        <v>2342</v>
      </c>
      <c r="C1352" s="1322">
        <v>22</v>
      </c>
      <c r="D1352" s="1356" t="s">
        <v>5743</v>
      </c>
      <c r="E1352" s="1392"/>
      <c r="G1352" s="1320"/>
      <c r="Y1352" s="1324"/>
    </row>
    <row r="1353" spans="1:27" s="1324" customFormat="1">
      <c r="A1353" s="1324" t="s">
        <v>2342</v>
      </c>
      <c r="C1353" s="1393">
        <v>23</v>
      </c>
      <c r="D1353" s="1324" t="s">
        <v>5265</v>
      </c>
      <c r="E1353" s="1324" t="s">
        <v>4067</v>
      </c>
      <c r="F1353" s="1324">
        <f>+F1332+F1333+F1339</f>
        <v>106807.76069412462</v>
      </c>
      <c r="G1353" s="1324">
        <f>+G1332+G1333+G1339</f>
        <v>0</v>
      </c>
      <c r="H1353" s="1324">
        <f>+H1332+H1333+H1339</f>
        <v>106807.76069412462</v>
      </c>
      <c r="I1353" s="1374">
        <f t="shared" ref="I1353:I1359" si="657">IF(F1353=0,0,+H1353/F1353)</f>
        <v>1</v>
      </c>
      <c r="J1353" s="1324">
        <f>+J1332+J1333+J1339</f>
        <v>106807.76069412462</v>
      </c>
      <c r="K1353" s="1324">
        <f t="shared" ref="K1353:Q1353" si="658">+K1332+K1333+K1339</f>
        <v>61330.582704697546</v>
      </c>
      <c r="L1353" s="1324">
        <f t="shared" si="658"/>
        <v>5100.2908587212769</v>
      </c>
      <c r="M1353" s="1324">
        <f t="shared" si="658"/>
        <v>33008.625025621783</v>
      </c>
      <c r="N1353" s="1324">
        <f t="shared" si="658"/>
        <v>4218.7256780246789</v>
      </c>
      <c r="O1353" s="1324">
        <f t="shared" si="658"/>
        <v>3036.2301063227042</v>
      </c>
      <c r="P1353" s="1324">
        <f t="shared" si="658"/>
        <v>113.3063207366321</v>
      </c>
      <c r="Q1353" s="1324">
        <f t="shared" si="658"/>
        <v>0</v>
      </c>
      <c r="V1353" s="1324" t="s">
        <v>5744</v>
      </c>
      <c r="AA1353" s="1320"/>
    </row>
    <row r="1354" spans="1:27">
      <c r="A1354" s="1320" t="s">
        <v>2342</v>
      </c>
      <c r="C1354" s="1322">
        <v>24</v>
      </c>
      <c r="D1354" s="1320" t="s">
        <v>5265</v>
      </c>
      <c r="E1354" s="1320" t="s">
        <v>2067</v>
      </c>
      <c r="F1354" s="1320">
        <f>+F1334</f>
        <v>3054.4984588409338</v>
      </c>
      <c r="G1354" s="1320">
        <f>+G1334</f>
        <v>0</v>
      </c>
      <c r="H1354" s="1320">
        <f>+H1334</f>
        <v>3054.4984588409338</v>
      </c>
      <c r="I1354" s="1323">
        <f t="shared" si="657"/>
        <v>1</v>
      </c>
      <c r="J1354" s="1324">
        <f t="shared" ref="J1354:Q1354" si="659">+J1334</f>
        <v>3054.4984588409338</v>
      </c>
      <c r="K1354" s="1324">
        <f t="shared" si="659"/>
        <v>1541.4043410314671</v>
      </c>
      <c r="L1354" s="1324">
        <f t="shared" si="659"/>
        <v>142.44380526839257</v>
      </c>
      <c r="M1354" s="1324">
        <f t="shared" si="659"/>
        <v>1061.1510222517572</v>
      </c>
      <c r="N1354" s="1325">
        <f t="shared" si="659"/>
        <v>168.91818074773224</v>
      </c>
      <c r="O1354" s="1325">
        <f>+O1334</f>
        <v>124.44402786791056</v>
      </c>
      <c r="P1354" s="1325">
        <f>+P1334</f>
        <v>16.137081673674079</v>
      </c>
      <c r="Q1354" s="1324">
        <f t="shared" si="659"/>
        <v>0</v>
      </c>
      <c r="V1354" s="1320" t="s">
        <v>5425</v>
      </c>
      <c r="Y1354" s="1324"/>
    </row>
    <row r="1355" spans="1:27" s="1324" customFormat="1">
      <c r="A1355" s="1320" t="s">
        <v>2342</v>
      </c>
      <c r="C1355" s="1393">
        <v>25</v>
      </c>
      <c r="D1355" s="1324" t="s">
        <v>5268</v>
      </c>
      <c r="E1355" s="1324" t="s">
        <v>4067</v>
      </c>
      <c r="F1355" s="1324">
        <f t="shared" ref="F1355:H1356" si="660">+F1340</f>
        <v>7283.8333454800486</v>
      </c>
      <c r="G1355" s="1324">
        <f t="shared" si="660"/>
        <v>471.89666184687519</v>
      </c>
      <c r="H1355" s="1324">
        <f t="shared" si="660"/>
        <v>6811.9366836331728</v>
      </c>
      <c r="I1355" s="1374">
        <f>IF(F1355=0,0,+H1355/F1355)</f>
        <v>0.93521314403222733</v>
      </c>
      <c r="J1355" s="1324">
        <f t="shared" ref="J1355:Q1356" si="661">+J1340</f>
        <v>6811.9366836331728</v>
      </c>
      <c r="K1355" s="1324">
        <f t="shared" si="661"/>
        <v>3951.0121050043435</v>
      </c>
      <c r="L1355" s="1324">
        <f t="shared" si="661"/>
        <v>325.91864656156815</v>
      </c>
      <c r="M1355" s="1324">
        <f t="shared" si="661"/>
        <v>2083.4341699701777</v>
      </c>
      <c r="N1355" s="1324">
        <f t="shared" si="661"/>
        <v>260.08913166324089</v>
      </c>
      <c r="O1355" s="1324">
        <f>+O1340</f>
        <v>186.65301767632388</v>
      </c>
      <c r="P1355" s="1324">
        <f>+P1340</f>
        <v>4.8296127575192029</v>
      </c>
      <c r="Q1355" s="1324">
        <f t="shared" si="661"/>
        <v>0</v>
      </c>
      <c r="V1355" s="1320" t="s">
        <v>5745</v>
      </c>
      <c r="Y1355" s="1320"/>
      <c r="AA1355" s="1320"/>
    </row>
    <row r="1356" spans="1:27">
      <c r="A1356" s="1320" t="s">
        <v>2342</v>
      </c>
      <c r="C1356" s="1322">
        <v>26</v>
      </c>
      <c r="D1356" s="1320" t="s">
        <v>5239</v>
      </c>
      <c r="E1356" s="1320" t="s">
        <v>4067</v>
      </c>
      <c r="F1356" s="1320">
        <f t="shared" si="660"/>
        <v>7158.5366024656287</v>
      </c>
      <c r="G1356" s="1320">
        <f t="shared" si="660"/>
        <v>463.7790798039689</v>
      </c>
      <c r="H1356" s="1320">
        <f t="shared" si="660"/>
        <v>6694.7575226616591</v>
      </c>
      <c r="I1356" s="1323">
        <f>IF(F1356=0,0,+H1356/F1356)</f>
        <v>0.93521314403222733</v>
      </c>
      <c r="J1356" s="1324">
        <f t="shared" si="661"/>
        <v>6694.7575226616591</v>
      </c>
      <c r="K1356" s="1324">
        <f t="shared" si="661"/>
        <v>3883.0466636101096</v>
      </c>
      <c r="L1356" s="1324">
        <f t="shared" si="661"/>
        <v>320.31218318371322</v>
      </c>
      <c r="M1356" s="1324">
        <f t="shared" si="661"/>
        <v>2047.594866213426</v>
      </c>
      <c r="N1356" s="1325">
        <f t="shared" si="661"/>
        <v>255.61506978604606</v>
      </c>
      <c r="O1356" s="1325">
        <f>+O1341</f>
        <v>183.44220626983159</v>
      </c>
      <c r="P1356" s="1325">
        <f>+P1341</f>
        <v>4.7465335985330128</v>
      </c>
      <c r="Q1356" s="1324">
        <f t="shared" si="661"/>
        <v>0</v>
      </c>
      <c r="V1356" s="1320" t="s">
        <v>5746</v>
      </c>
    </row>
    <row r="1357" spans="1:27">
      <c r="A1357" s="1320" t="s">
        <v>2342</v>
      </c>
      <c r="C1357" s="1322">
        <v>27</v>
      </c>
      <c r="D1357" s="1320" t="s">
        <v>5240</v>
      </c>
      <c r="E1357" s="1320" t="s">
        <v>4067</v>
      </c>
      <c r="F1357" s="1320">
        <f>+F1346</f>
        <v>-18323.405026623215</v>
      </c>
      <c r="G1357" s="1320">
        <f t="shared" ref="G1357:H1359" si="662">+G1346</f>
        <v>0</v>
      </c>
      <c r="H1357" s="1320">
        <f t="shared" si="662"/>
        <v>-18323.405026623215</v>
      </c>
      <c r="I1357" s="1323">
        <f t="shared" si="657"/>
        <v>1</v>
      </c>
      <c r="J1357" s="1324">
        <f t="shared" ref="J1357:Q1359" si="663">+J1346</f>
        <v>-18323.405026623215</v>
      </c>
      <c r="K1357" s="1324">
        <f t="shared" si="663"/>
        <v>-11404.780684342166</v>
      </c>
      <c r="L1357" s="1324">
        <f t="shared" si="663"/>
        <v>-811.13660613763204</v>
      </c>
      <c r="M1357" s="1324">
        <f t="shared" si="663"/>
        <v>-5431.066030617797</v>
      </c>
      <c r="N1357" s="1325">
        <f t="shared" si="663"/>
        <v>-571.23894891865393</v>
      </c>
      <c r="O1357" s="1325">
        <f t="shared" si="663"/>
        <v>-3.9003082593205835E-4</v>
      </c>
      <c r="P1357" s="1325">
        <f t="shared" si="663"/>
        <v>-105.18236657614541</v>
      </c>
      <c r="Q1357" s="1324">
        <f t="shared" si="663"/>
        <v>0</v>
      </c>
      <c r="V1357" s="1320" t="s">
        <v>5747</v>
      </c>
    </row>
    <row r="1358" spans="1:27">
      <c r="A1358" s="1320" t="s">
        <v>2342</v>
      </c>
      <c r="C1358" s="1322">
        <v>28</v>
      </c>
      <c r="D1358" s="1320" t="s">
        <v>5241</v>
      </c>
      <c r="E1358" s="1320" t="s">
        <v>4067</v>
      </c>
      <c r="F1358" s="1320">
        <f>+F1347</f>
        <v>-10165.971528099151</v>
      </c>
      <c r="G1358" s="1320">
        <f t="shared" si="662"/>
        <v>0</v>
      </c>
      <c r="H1358" s="1320">
        <f t="shared" si="662"/>
        <v>-10165.971528099151</v>
      </c>
      <c r="I1358" s="1323">
        <f t="shared" si="657"/>
        <v>1</v>
      </c>
      <c r="J1358" s="1324">
        <f t="shared" si="663"/>
        <v>-10165.971528099151</v>
      </c>
      <c r="K1358" s="1324">
        <f t="shared" si="663"/>
        <v>-7417.4309602607673</v>
      </c>
      <c r="L1358" s="1324">
        <f t="shared" si="663"/>
        <v>-597.25040037151518</v>
      </c>
      <c r="M1358" s="1324">
        <f t="shared" si="663"/>
        <v>-2114.5154953183246</v>
      </c>
      <c r="N1358" s="1325">
        <f t="shared" si="663"/>
        <v>0</v>
      </c>
      <c r="O1358" s="1325">
        <f t="shared" si="663"/>
        <v>0</v>
      </c>
      <c r="P1358" s="1325">
        <f t="shared" si="663"/>
        <v>-36.774672148543338</v>
      </c>
      <c r="Q1358" s="1324">
        <f t="shared" si="663"/>
        <v>0</v>
      </c>
      <c r="V1358" s="1320" t="s">
        <v>5337</v>
      </c>
    </row>
    <row r="1359" spans="1:27">
      <c r="A1359" s="1320" t="s">
        <v>2342</v>
      </c>
      <c r="C1359" s="1322">
        <v>29</v>
      </c>
      <c r="D1359" s="1320" t="s">
        <v>5242</v>
      </c>
      <c r="E1359" s="1320" t="s">
        <v>4071</v>
      </c>
      <c r="F1359" s="1320">
        <f>+F1348</f>
        <v>-8274.3217102474555</v>
      </c>
      <c r="G1359" s="1481">
        <f t="shared" si="662"/>
        <v>0</v>
      </c>
      <c r="H1359" s="1320">
        <f t="shared" si="662"/>
        <v>-8274.3217102474555</v>
      </c>
      <c r="I1359" s="1323">
        <f t="shared" si="657"/>
        <v>1</v>
      </c>
      <c r="J1359" s="1324">
        <f t="shared" si="663"/>
        <v>-8274.3217102474555</v>
      </c>
      <c r="K1359" s="1324">
        <f t="shared" si="663"/>
        <v>-3050.3843127802602</v>
      </c>
      <c r="L1359" s="1324">
        <f t="shared" si="663"/>
        <v>-462.70319203817832</v>
      </c>
      <c r="M1359" s="1324">
        <f t="shared" si="663"/>
        <v>-223.06885864545771</v>
      </c>
      <c r="N1359" s="1325">
        <f t="shared" si="663"/>
        <v>-14.380165509314905</v>
      </c>
      <c r="O1359" s="1325">
        <f t="shared" si="663"/>
        <v>-15.689364223030321</v>
      </c>
      <c r="P1359" s="1325">
        <f t="shared" si="663"/>
        <v>-3.600896318908231</v>
      </c>
      <c r="Q1359" s="1324">
        <f t="shared" si="663"/>
        <v>-4504.494920732307</v>
      </c>
      <c r="V1359" s="1320" t="s">
        <v>5427</v>
      </c>
      <c r="Y1359" s="1324"/>
    </row>
    <row r="1360" spans="1:27">
      <c r="A1360" s="1320" t="s">
        <v>2342</v>
      </c>
      <c r="B1360" s="1321"/>
      <c r="C1360" s="1322">
        <v>30</v>
      </c>
      <c r="D1360" s="1320" t="s">
        <v>5244</v>
      </c>
      <c r="E1360" s="1320" t="s">
        <v>4071</v>
      </c>
      <c r="F1360" s="1554">
        <v>0</v>
      </c>
      <c r="G1360" s="1350">
        <v>0</v>
      </c>
      <c r="H1360" s="1350">
        <v>0</v>
      </c>
      <c r="I1360" s="1323">
        <f>IF(F1360=0,0,+H1360/F1360)</f>
        <v>0</v>
      </c>
      <c r="J1360" s="1366">
        <v>0</v>
      </c>
      <c r="K1360" s="1366">
        <v>0</v>
      </c>
      <c r="L1360" s="1366">
        <v>0</v>
      </c>
      <c r="M1360" s="1366">
        <v>0</v>
      </c>
      <c r="N1360" s="1378">
        <v>0</v>
      </c>
      <c r="O1360" s="1378">
        <v>0</v>
      </c>
      <c r="P1360" s="1378">
        <v>0</v>
      </c>
      <c r="Q1360" s="1366">
        <v>0</v>
      </c>
      <c r="R1360" s="1358"/>
      <c r="S1360" s="1321"/>
      <c r="T1360" s="1321"/>
      <c r="U1360" s="1326"/>
      <c r="V1360" s="1320" t="s">
        <v>5343</v>
      </c>
      <c r="Y1360" s="1324"/>
    </row>
    <row r="1361" spans="1:25">
      <c r="A1361" s="1320" t="s">
        <v>2342</v>
      </c>
      <c r="C1361" s="1322">
        <v>31</v>
      </c>
      <c r="D1361" s="1320" t="s">
        <v>5748</v>
      </c>
      <c r="F1361" s="1350">
        <f>+SUM(F1353:F1360)</f>
        <v>87540.930835941399</v>
      </c>
      <c r="G1361" s="1350">
        <f>SUM(G1353:G1360)</f>
        <v>935.67574165084409</v>
      </c>
      <c r="H1361" s="1350">
        <f>SUM(H1353:H1360)</f>
        <v>86605.255094290565</v>
      </c>
      <c r="I1361" s="1323">
        <f>IF(F1361=0,0,+H1361/F1361)</f>
        <v>0.98931156280021326</v>
      </c>
      <c r="J1361" s="1366">
        <f t="shared" ref="J1361:Q1361" si="664">SUM(J1353:J1360)</f>
        <v>86605.255094290565</v>
      </c>
      <c r="K1361" s="1366">
        <f t="shared" si="664"/>
        <v>48833.449856960273</v>
      </c>
      <c r="L1361" s="1366">
        <f t="shared" si="664"/>
        <v>4017.8752951876263</v>
      </c>
      <c r="M1361" s="1366">
        <f t="shared" si="664"/>
        <v>30432.15469947557</v>
      </c>
      <c r="N1361" s="1378">
        <f t="shared" si="664"/>
        <v>4317.7289457937286</v>
      </c>
      <c r="O1361" s="1378">
        <f>SUM(O1353:O1360)</f>
        <v>3515.0796038829139</v>
      </c>
      <c r="P1361" s="1378">
        <f>SUM(P1353:P1360)</f>
        <v>-6.5383862772385699</v>
      </c>
      <c r="Q1361" s="1366">
        <f t="shared" si="664"/>
        <v>-4504.494920732307</v>
      </c>
      <c r="R1361" s="1358"/>
      <c r="V1361" s="1320" t="s">
        <v>5749</v>
      </c>
      <c r="Y1361" s="1324"/>
    </row>
    <row r="1362" spans="1:25">
      <c r="F1362" s="1358"/>
      <c r="G1362" s="1358"/>
      <c r="H1362" s="1358"/>
      <c r="J1362" s="1364"/>
      <c r="K1362" s="1364"/>
      <c r="L1362" s="1364"/>
      <c r="M1362" s="1367"/>
      <c r="N1362" s="1367"/>
      <c r="O1362" s="1367"/>
      <c r="P1362" s="1364"/>
      <c r="Q1362" s="1364"/>
      <c r="R1362" s="1358"/>
      <c r="Y1362" s="1324"/>
    </row>
    <row r="1363" spans="1:25">
      <c r="F1363" s="1358"/>
      <c r="G1363" s="1358"/>
      <c r="H1363" s="1358"/>
      <c r="J1363" s="1364"/>
      <c r="K1363" s="1364"/>
      <c r="L1363" s="1364"/>
      <c r="M1363" s="1367"/>
      <c r="N1363" s="1367"/>
      <c r="O1363" s="1367"/>
      <c r="P1363" s="1364"/>
      <c r="Q1363" s="1364"/>
      <c r="R1363" s="1358"/>
      <c r="Y1363" s="1324"/>
    </row>
    <row r="1364" spans="1:25">
      <c r="F1364" s="1358"/>
      <c r="G1364" s="1358"/>
      <c r="H1364" s="1358"/>
      <c r="J1364" s="1364"/>
      <c r="K1364" s="1364"/>
      <c r="L1364" s="1364"/>
      <c r="M1364" s="1367"/>
      <c r="N1364" s="1367"/>
      <c r="O1364" s="1367"/>
      <c r="P1364" s="1364"/>
      <c r="Q1364" s="1364"/>
      <c r="R1364" s="1358"/>
      <c r="Y1364" s="1324"/>
    </row>
    <row r="1365" spans="1:25">
      <c r="F1365" s="1358"/>
      <c r="G1365" s="1358"/>
      <c r="H1365" s="1358"/>
      <c r="J1365" s="1364"/>
      <c r="K1365" s="1364"/>
      <c r="L1365" s="1364"/>
      <c r="M1365" s="1367"/>
      <c r="N1365" s="1367"/>
      <c r="O1365" s="1367"/>
      <c r="P1365" s="1364"/>
      <c r="Q1365" s="1364"/>
      <c r="R1365" s="1358"/>
      <c r="Y1365" s="1324"/>
    </row>
    <row r="1366" spans="1:25">
      <c r="F1366" s="1358"/>
      <c r="G1366" s="1358"/>
      <c r="H1366" s="1358"/>
      <c r="J1366" s="1364"/>
      <c r="K1366" s="1364"/>
      <c r="L1366" s="1364"/>
      <c r="M1366" s="1367"/>
      <c r="N1366" s="1367"/>
      <c r="O1366" s="1367"/>
      <c r="P1366" s="1364"/>
      <c r="Q1366" s="1364"/>
      <c r="R1366" s="1358"/>
      <c r="Y1366" s="1324"/>
    </row>
    <row r="1367" spans="1:25">
      <c r="B1367" s="1432"/>
      <c r="C1367" s="1340" t="str">
        <f>+C$2</f>
        <v>RATES WITH REVENUE DEFICIENCY ADDITION</v>
      </c>
      <c r="F1367" s="1333"/>
      <c r="G1367" s="1327" t="s">
        <v>2173</v>
      </c>
      <c r="H1367" s="1358"/>
      <c r="I1367" s="1334" t="s">
        <v>5731</v>
      </c>
      <c r="L1367" s="1329" t="s">
        <v>2173</v>
      </c>
      <c r="M1367" s="1330"/>
      <c r="N1367" s="1330"/>
      <c r="O1367" s="1330"/>
      <c r="S1367" s="1334" t="s">
        <v>5750</v>
      </c>
      <c r="T1367" s="1333" t="s">
        <v>2173</v>
      </c>
      <c r="U1367" s="1431"/>
      <c r="V1367" s="1332" t="s">
        <v>4772</v>
      </c>
      <c r="Y1367" s="1324"/>
    </row>
    <row r="1368" spans="1:25">
      <c r="B1368" s="1432"/>
      <c r="C1368" s="1340" t="str">
        <f>+C$3</f>
        <v>PROD. CAP. ALLOC. METHOD: 12 CP &amp; 1/13th AD</v>
      </c>
      <c r="G1368" s="1336" t="s">
        <v>4768</v>
      </c>
      <c r="I1368" s="1335" t="s">
        <v>4313</v>
      </c>
      <c r="L1368" s="1336" t="s">
        <v>5141</v>
      </c>
      <c r="M1368" s="1337"/>
      <c r="N1368" s="1337"/>
      <c r="O1368" s="1337"/>
      <c r="R1368" s="1331"/>
      <c r="S1368" s="1335" t="s">
        <v>4958</v>
      </c>
      <c r="T1368" s="1333" t="s">
        <v>5141</v>
      </c>
      <c r="V1368" s="1332" t="s">
        <v>5750</v>
      </c>
      <c r="Y1368" s="1324"/>
    </row>
    <row r="1369" spans="1:25">
      <c r="C1369" s="1340" t="str">
        <f>+C$4</f>
        <v>PROJECTED CALENDAR YEAR 2025; FULLY ADJUSTED DATA</v>
      </c>
      <c r="G1369" s="1336" t="s">
        <v>2181</v>
      </c>
      <c r="L1369" s="1336" t="s">
        <v>2181</v>
      </c>
      <c r="P1369" s="1364"/>
      <c r="Q1369" s="1364"/>
      <c r="R1369" s="1358"/>
      <c r="T1369" s="1339"/>
      <c r="Y1369" s="1324"/>
    </row>
    <row r="1370" spans="1:25">
      <c r="C1370" s="1340" t="str">
        <f>+C$5</f>
        <v>MINIMUM DISTRIBUTION SYSTEM (MDS) NOT EMPLOYED</v>
      </c>
      <c r="G1370" s="1358"/>
      <c r="H1370" s="1358"/>
      <c r="J1370" s="1364"/>
      <c r="K1370" s="1364"/>
      <c r="P1370" s="1364"/>
      <c r="Q1370" s="1364"/>
      <c r="R1370" s="1358"/>
      <c r="T1370" s="1333"/>
    </row>
    <row r="1371" spans="1:25">
      <c r="C1371" s="1340" t="str">
        <f>+C$6</f>
        <v>Tampa Electric 2025 OB Budget</v>
      </c>
      <c r="F1371" s="1327"/>
      <c r="G1371" s="1333" t="s">
        <v>5732</v>
      </c>
      <c r="H1371" s="1358"/>
      <c r="J1371" s="1364"/>
      <c r="K1371" s="1364"/>
      <c r="L1371" s="1336" t="s">
        <v>5732</v>
      </c>
      <c r="M1371" s="1337"/>
      <c r="N1371" s="1337"/>
      <c r="O1371" s="1337"/>
      <c r="P1371" s="1364"/>
      <c r="Q1371" s="1364"/>
      <c r="R1371" s="1358"/>
      <c r="T1371" s="1333" t="s">
        <v>5732</v>
      </c>
    </row>
    <row r="1372" spans="1:25">
      <c r="F1372" s="1333"/>
      <c r="G1372" s="1358"/>
      <c r="H1372" s="1358"/>
      <c r="J1372" s="1364"/>
      <c r="K1372" s="1364"/>
      <c r="P1372" s="1364"/>
      <c r="Q1372" s="1364"/>
      <c r="R1372" s="1358"/>
      <c r="Y1372" s="1324"/>
    </row>
    <row r="1373" spans="1:25">
      <c r="F1373" s="1333"/>
      <c r="G1373" s="1358"/>
      <c r="H1373" s="1358"/>
      <c r="J1373" s="1364"/>
      <c r="K1373" s="1364"/>
      <c r="L1373" s="1336"/>
      <c r="M1373" s="1337"/>
      <c r="N1373" s="1337"/>
      <c r="O1373" s="1337"/>
      <c r="P1373" s="1364"/>
      <c r="Q1373" s="1364"/>
      <c r="R1373" s="1358"/>
      <c r="Y1373" s="1324"/>
    </row>
    <row r="1374" spans="1:25">
      <c r="F1374" s="1358"/>
      <c r="G1374" s="1358"/>
      <c r="H1374" s="1358"/>
      <c r="J1374" s="1364"/>
      <c r="K1374" s="1364"/>
      <c r="L1374" s="1336"/>
      <c r="M1374" s="1337"/>
      <c r="N1374" s="1337"/>
      <c r="O1374" s="1337"/>
      <c r="P1374" s="1364"/>
      <c r="Q1374" s="1364"/>
      <c r="R1374" s="1358"/>
    </row>
    <row r="1375" spans="1:25">
      <c r="F1375" s="1358"/>
      <c r="G1375" s="1358"/>
      <c r="H1375" s="1358"/>
      <c r="J1375" s="1364"/>
      <c r="K1375" s="1364"/>
      <c r="L1375" s="1364"/>
      <c r="M1375" s="1367"/>
      <c r="N1375" s="1367"/>
      <c r="O1375" s="1367"/>
      <c r="P1375" s="1364"/>
      <c r="Q1375" s="1364"/>
      <c r="R1375" s="1358"/>
    </row>
    <row r="1376" spans="1:25" ht="30" customHeight="1">
      <c r="A1376" s="1418" t="s">
        <v>4683</v>
      </c>
      <c r="B1376" s="1425" t="s">
        <v>5143</v>
      </c>
      <c r="C1376" s="1349" t="s">
        <v>4297</v>
      </c>
      <c r="D1376" s="1418"/>
      <c r="E1376" s="1418"/>
      <c r="F1376" s="1348" t="s">
        <v>5144</v>
      </c>
      <c r="G1376" s="1348" t="s">
        <v>4956</v>
      </c>
      <c r="H1376" s="1348" t="s">
        <v>4957</v>
      </c>
      <c r="I1376" s="1426" t="s">
        <v>5145</v>
      </c>
      <c r="J1376" s="1352" t="s">
        <v>4957</v>
      </c>
      <c r="K1376" s="1353" t="s">
        <v>1949</v>
      </c>
      <c r="L1376" s="1353" t="s">
        <v>1950</v>
      </c>
      <c r="M1376" s="1354" t="s">
        <v>1934</v>
      </c>
      <c r="N1376" s="1354" t="s">
        <v>1971</v>
      </c>
      <c r="O1376" s="1354" t="s">
        <v>1972</v>
      </c>
      <c r="P1376" s="1352" t="s">
        <v>5146</v>
      </c>
      <c r="Q1376" s="1352" t="s">
        <v>5147</v>
      </c>
      <c r="R1376" s="1355"/>
      <c r="S1376" s="1348" t="s">
        <v>5299</v>
      </c>
      <c r="T1376" s="1348"/>
      <c r="U1376" s="1352"/>
      <c r="V1376" s="1355" t="s">
        <v>4774</v>
      </c>
      <c r="W1376" s="1350"/>
    </row>
    <row r="1377" spans="1:27">
      <c r="G1377" s="1320"/>
    </row>
    <row r="1378" spans="1:27">
      <c r="A1378" s="1320" t="s">
        <v>2342</v>
      </c>
      <c r="C1378" s="1322">
        <v>32</v>
      </c>
      <c r="D1378" s="1356" t="s">
        <v>5751</v>
      </c>
      <c r="G1378" s="1320"/>
    </row>
    <row r="1379" spans="1:27" s="1324" customFormat="1">
      <c r="A1379" s="1324" t="s">
        <v>2342</v>
      </c>
      <c r="B1379" s="1324">
        <v>101</v>
      </c>
      <c r="C1379" s="1393">
        <v>33</v>
      </c>
      <c r="D1379" s="1324" t="s">
        <v>5265</v>
      </c>
      <c r="E1379" s="1324" t="s">
        <v>4067</v>
      </c>
      <c r="F1379" s="1364">
        <f>+'Allocation Assignment'!F488</f>
        <v>48111.724254037937</v>
      </c>
      <c r="G1379" s="1364">
        <f>+$F1379*G$1933</f>
        <v>0</v>
      </c>
      <c r="H1379" s="1364">
        <f>+$F1379*H$1933</f>
        <v>48111.724254037937</v>
      </c>
      <c r="I1379" s="1374">
        <f t="shared" ref="I1379:I1387" si="665">IF(F1379=0,0,+H1379/F1379)</f>
        <v>1</v>
      </c>
      <c r="J1379" s="1364">
        <f t="shared" ref="J1379:J1386" si="666">+H1379</f>
        <v>48111.724254037937</v>
      </c>
      <c r="K1379" s="1324">
        <f t="shared" ref="K1379:Q1379" si="667">$J1379*K$1951</f>
        <v>27626.45770542957</v>
      </c>
      <c r="L1379" s="1324">
        <f t="shared" si="667"/>
        <v>2297.4340611158109</v>
      </c>
      <c r="M1379" s="1324">
        <f t="shared" si="667"/>
        <v>14868.787201574678</v>
      </c>
      <c r="N1379" s="1324">
        <f t="shared" si="667"/>
        <v>1900.331635131058</v>
      </c>
      <c r="O1379" s="1324">
        <f t="shared" si="667"/>
        <v>1367.6746399125832</v>
      </c>
      <c r="P1379" s="1324">
        <f t="shared" si="667"/>
        <v>51.039010874237889</v>
      </c>
      <c r="Q1379" s="1324">
        <f t="shared" si="667"/>
        <v>0</v>
      </c>
      <c r="S1379" s="1324">
        <v>122</v>
      </c>
      <c r="V1379" s="1326" t="s">
        <v>9476</v>
      </c>
      <c r="W1379" s="1326">
        <v>122</v>
      </c>
      <c r="AA1379" s="1320"/>
    </row>
    <row r="1380" spans="1:27">
      <c r="A1380" s="1320" t="s">
        <v>2342</v>
      </c>
      <c r="B1380" s="1320">
        <v>201</v>
      </c>
      <c r="C1380" s="1322">
        <v>34</v>
      </c>
      <c r="D1380" s="1320" t="s">
        <v>5265</v>
      </c>
      <c r="E1380" s="1320" t="s">
        <v>2067</v>
      </c>
      <c r="F1380" s="1364">
        <f>+'Allocation Assignment'!F489</f>
        <v>12701.786352034356</v>
      </c>
      <c r="G1380" s="1364">
        <f>+$F1380*G$1969</f>
        <v>0</v>
      </c>
      <c r="H1380" s="1364">
        <f>+$F1380*H$1969</f>
        <v>12701.786352034356</v>
      </c>
      <c r="I1380" s="1323">
        <f t="shared" si="665"/>
        <v>1</v>
      </c>
      <c r="J1380" s="1324">
        <f t="shared" si="666"/>
        <v>12701.786352034356</v>
      </c>
      <c r="K1380" s="1364">
        <f t="shared" ref="K1380:Q1380" si="668">+$J1380*K$1969</f>
        <v>6409.7556065912468</v>
      </c>
      <c r="L1380" s="1364">
        <f t="shared" si="668"/>
        <v>592.33645263532571</v>
      </c>
      <c r="M1380" s="1364">
        <f t="shared" si="668"/>
        <v>4412.6765010709032</v>
      </c>
      <c r="N1380" s="1367">
        <f t="shared" si="668"/>
        <v>702.42714859518287</v>
      </c>
      <c r="O1380" s="1367">
        <f t="shared" si="668"/>
        <v>517.48641423921697</v>
      </c>
      <c r="P1380" s="1367">
        <f t="shared" si="668"/>
        <v>67.104228902480898</v>
      </c>
      <c r="Q1380" s="1364">
        <f t="shared" si="668"/>
        <v>0</v>
      </c>
      <c r="R1380" s="1358"/>
      <c r="S1380" s="1320">
        <v>201</v>
      </c>
      <c r="V1380" s="1321" t="s">
        <v>5235</v>
      </c>
      <c r="W1380" s="1321">
        <v>201</v>
      </c>
      <c r="Y1380" s="1324"/>
    </row>
    <row r="1381" spans="1:27">
      <c r="A1381" s="1320" t="s">
        <v>2342</v>
      </c>
      <c r="B1381" s="1320">
        <v>117</v>
      </c>
      <c r="C1381" s="1322">
        <v>35</v>
      </c>
      <c r="D1381" s="1320" t="s">
        <v>5268</v>
      </c>
      <c r="E1381" s="1320" t="s">
        <v>4067</v>
      </c>
      <c r="F1381" s="1364">
        <f>+'Allocation Assignment'!F490</f>
        <v>2038.6837451197048</v>
      </c>
      <c r="G1381" s="1358">
        <f>+$F1381*G$1942</f>
        <v>132.07991015890954</v>
      </c>
      <c r="H1381" s="1358">
        <f>+$F1381*H$1942</f>
        <v>1906.603834960795</v>
      </c>
      <c r="I1381" s="1323">
        <f t="shared" si="665"/>
        <v>0.93521314403222733</v>
      </c>
      <c r="J1381" s="1364">
        <f t="shared" si="666"/>
        <v>1906.603834960795</v>
      </c>
      <c r="K1381" s="1364">
        <f t="shared" ref="K1381:Q1382" si="669">+$J1381*K$1945</f>
        <v>1105.8550866271473</v>
      </c>
      <c r="L1381" s="1364">
        <f t="shared" si="669"/>
        <v>91.221890378477923</v>
      </c>
      <c r="M1381" s="1364">
        <f t="shared" si="669"/>
        <v>583.13571643987575</v>
      </c>
      <c r="N1381" s="1367">
        <f t="shared" si="669"/>
        <v>72.796762343990991</v>
      </c>
      <c r="O1381" s="1367">
        <f t="shared" si="669"/>
        <v>52.242611145187233</v>
      </c>
      <c r="P1381" s="1367">
        <f t="shared" si="669"/>
        <v>1.351768026115957</v>
      </c>
      <c r="Q1381" s="1364">
        <f t="shared" si="669"/>
        <v>0</v>
      </c>
      <c r="R1381" s="1358"/>
      <c r="S1381" s="1320">
        <v>118</v>
      </c>
      <c r="V1381" s="1321" t="s">
        <v>9477</v>
      </c>
      <c r="W1381" s="1321">
        <v>117</v>
      </c>
      <c r="Y1381" s="1324"/>
    </row>
    <row r="1382" spans="1:27">
      <c r="A1382" s="1320" t="s">
        <v>2342</v>
      </c>
      <c r="B1382" s="1320">
        <v>117</v>
      </c>
      <c r="C1382" s="1322">
        <v>36</v>
      </c>
      <c r="D1382" s="1320" t="s">
        <v>5239</v>
      </c>
      <c r="E1382" s="1320" t="s">
        <v>4067</v>
      </c>
      <c r="F1382" s="1364">
        <f>+'Allocation Assignment'!F491</f>
        <v>5731.826724745003</v>
      </c>
      <c r="G1382" s="1358">
        <f>+$F1382*G$1942</f>
        <v>371.34703244828427</v>
      </c>
      <c r="H1382" s="1358">
        <f>+$F1382*H$1942</f>
        <v>5360.479692296718</v>
      </c>
      <c r="I1382" s="1323">
        <f t="shared" si="665"/>
        <v>0.93521314403222722</v>
      </c>
      <c r="J1382" s="1364">
        <f t="shared" si="666"/>
        <v>5360.479692296718</v>
      </c>
      <c r="K1382" s="1364">
        <f t="shared" si="669"/>
        <v>3109.1481228504636</v>
      </c>
      <c r="L1382" s="1364">
        <f t="shared" si="669"/>
        <v>256.4733595413141</v>
      </c>
      <c r="M1382" s="1364">
        <f t="shared" si="669"/>
        <v>1639.5053385031756</v>
      </c>
      <c r="N1382" s="1367">
        <f t="shared" si="669"/>
        <v>204.67050315040314</v>
      </c>
      <c r="O1382" s="1367">
        <f t="shared" si="669"/>
        <v>146.88182777209659</v>
      </c>
      <c r="P1382" s="1367">
        <f t="shared" si="669"/>
        <v>3.8005404792651154</v>
      </c>
      <c r="Q1382" s="1364">
        <f t="shared" si="669"/>
        <v>0</v>
      </c>
      <c r="R1382" s="1358"/>
      <c r="S1382" s="1320">
        <v>118</v>
      </c>
      <c r="V1382" s="1321" t="s">
        <v>9477</v>
      </c>
      <c r="W1382" s="1321">
        <v>117</v>
      </c>
      <c r="Y1382" s="1324"/>
    </row>
    <row r="1383" spans="1:27">
      <c r="A1383" s="1320" t="s">
        <v>2342</v>
      </c>
      <c r="B1383" s="1320">
        <v>105</v>
      </c>
      <c r="C1383" s="1322">
        <v>37</v>
      </c>
      <c r="D1383" s="1320" t="s">
        <v>5240</v>
      </c>
      <c r="E1383" s="1320" t="s">
        <v>4067</v>
      </c>
      <c r="F1383" s="1364">
        <f>+'Allocation Assignment'!F492</f>
        <v>28148.805374130741</v>
      </c>
      <c r="G1383" s="1358">
        <f>+$F1383*G$1936</f>
        <v>0</v>
      </c>
      <c r="H1383" s="1358">
        <f>+$F1383*H$1936</f>
        <v>28148.805374130741</v>
      </c>
      <c r="I1383" s="1323">
        <f t="shared" si="665"/>
        <v>1</v>
      </c>
      <c r="J1383" s="1364">
        <f t="shared" si="666"/>
        <v>28148.805374130741</v>
      </c>
      <c r="K1383" s="1364">
        <f t="shared" ref="K1383:Q1383" si="670">+$J1383*K$1936</f>
        <v>17520.267185697601</v>
      </c>
      <c r="L1383" s="1364">
        <f t="shared" si="670"/>
        <v>1246.0853441173379</v>
      </c>
      <c r="M1383" s="1364">
        <f t="shared" si="670"/>
        <v>8343.3194020318369</v>
      </c>
      <c r="N1383" s="1367">
        <f t="shared" si="670"/>
        <v>877.54944956305962</v>
      </c>
      <c r="O1383" s="1367">
        <f t="shared" si="670"/>
        <v>5.9917366849234876E-4</v>
      </c>
      <c r="P1383" s="1367">
        <f t="shared" si="670"/>
        <v>161.58339354724311</v>
      </c>
      <c r="Q1383" s="1364">
        <f t="shared" si="670"/>
        <v>0</v>
      </c>
      <c r="R1383" s="1358"/>
      <c r="S1383" s="1320">
        <v>105</v>
      </c>
      <c r="V1383" s="1321" t="s">
        <v>5229</v>
      </c>
      <c r="W1383" s="1321">
        <v>105</v>
      </c>
      <c r="Y1383" s="1324"/>
    </row>
    <row r="1384" spans="1:27">
      <c r="A1384" s="1320" t="s">
        <v>2342</v>
      </c>
      <c r="B1384" s="1320">
        <v>106</v>
      </c>
      <c r="C1384" s="1322">
        <v>38</v>
      </c>
      <c r="D1384" s="1320" t="s">
        <v>5241</v>
      </c>
      <c r="E1384" s="1320" t="s">
        <v>4067</v>
      </c>
      <c r="F1384" s="1364">
        <f>+'Allocation Assignment'!F493</f>
        <v>4855.8763860161816</v>
      </c>
      <c r="G1384" s="1358">
        <f>+$F1384*G$1939</f>
        <v>0</v>
      </c>
      <c r="H1384" s="1358">
        <f>+$F1384*H$1939</f>
        <v>4855.8763860161816</v>
      </c>
      <c r="I1384" s="1323">
        <f t="shared" si="665"/>
        <v>1</v>
      </c>
      <c r="J1384" s="1364">
        <f t="shared" si="666"/>
        <v>4855.8763860161816</v>
      </c>
      <c r="K1384" s="1364">
        <f t="shared" ref="K1384:Q1384" si="671">+$J1384*K$1939</f>
        <v>3543.008923965609</v>
      </c>
      <c r="L1384" s="1364">
        <f t="shared" si="671"/>
        <v>285.2825337634041</v>
      </c>
      <c r="M1384" s="1364">
        <f t="shared" si="671"/>
        <v>1010.0191440828733</v>
      </c>
      <c r="N1384" s="1367">
        <f t="shared" si="671"/>
        <v>0</v>
      </c>
      <c r="O1384" s="1367">
        <f t="shared" si="671"/>
        <v>0</v>
      </c>
      <c r="P1384" s="1367">
        <f t="shared" si="671"/>
        <v>17.565784204295177</v>
      </c>
      <c r="Q1384" s="1364">
        <f t="shared" si="671"/>
        <v>0</v>
      </c>
      <c r="R1384" s="1358"/>
      <c r="S1384" s="1320">
        <v>106</v>
      </c>
      <c r="V1384" s="1321" t="s">
        <v>5230</v>
      </c>
      <c r="W1384" s="1321">
        <v>106</v>
      </c>
      <c r="Y1384" s="1324"/>
    </row>
    <row r="1385" spans="1:27">
      <c r="A1385" s="1320" t="s">
        <v>2342</v>
      </c>
      <c r="B1385" s="1320">
        <v>907</v>
      </c>
      <c r="C1385" s="1322">
        <v>39</v>
      </c>
      <c r="D1385" s="1320" t="s">
        <v>5242</v>
      </c>
      <c r="E1385" s="1320" t="s">
        <v>4071</v>
      </c>
      <c r="F1385" s="1364">
        <f>+'Allocation Assignment'!F494</f>
        <v>18043.691341606445</v>
      </c>
      <c r="G1385" s="1358">
        <f>+$F1385*G$2055</f>
        <v>0</v>
      </c>
      <c r="H1385" s="1358">
        <f>+$F1385*H$2055</f>
        <v>18043.691341606445</v>
      </c>
      <c r="I1385" s="1323">
        <f t="shared" si="665"/>
        <v>1</v>
      </c>
      <c r="J1385" s="1364">
        <f t="shared" si="666"/>
        <v>18043.691341606445</v>
      </c>
      <c r="K1385" s="1364">
        <f t="shared" ref="K1385:Q1385" si="672">+$J1385*K$2055</f>
        <v>6651.9280903617719</v>
      </c>
      <c r="L1385" s="1364">
        <f t="shared" si="672"/>
        <v>1009.0100279244831</v>
      </c>
      <c r="M1385" s="1364">
        <f t="shared" si="672"/>
        <v>486.44297070758978</v>
      </c>
      <c r="N1385" s="1367">
        <f t="shared" si="672"/>
        <v>31.358614878358786</v>
      </c>
      <c r="O1385" s="1367">
        <f t="shared" si="672"/>
        <v>34.213565208106438</v>
      </c>
      <c r="P1385" s="1367">
        <f t="shared" si="672"/>
        <v>7.8524215043560162</v>
      </c>
      <c r="Q1385" s="1364">
        <f t="shared" si="672"/>
        <v>9822.8856510217811</v>
      </c>
      <c r="R1385" s="1358"/>
      <c r="S1385" s="1320">
        <v>907</v>
      </c>
      <c r="V1385" s="1321" t="s">
        <v>5243</v>
      </c>
      <c r="W1385" s="1321">
        <v>907</v>
      </c>
      <c r="Y1385" s="1324"/>
    </row>
    <row r="1386" spans="1:27">
      <c r="A1386" s="1320" t="s">
        <v>2342</v>
      </c>
      <c r="B1386" s="1324">
        <v>412</v>
      </c>
      <c r="C1386" s="1393">
        <v>40</v>
      </c>
      <c r="D1386" s="1324" t="s">
        <v>5244</v>
      </c>
      <c r="E1386" s="1324" t="s">
        <v>4071</v>
      </c>
      <c r="F1386" s="1364">
        <f>+'Allocation Assignment'!F495</f>
        <v>24440.601398676023</v>
      </c>
      <c r="G1386" s="1364">
        <f>+$F1386*G$2021</f>
        <v>0</v>
      </c>
      <c r="H1386" s="1364">
        <f>+$F1386*H$2021</f>
        <v>24440.601398676023</v>
      </c>
      <c r="I1386" s="1323">
        <f t="shared" si="665"/>
        <v>1</v>
      </c>
      <c r="J1386" s="1366">
        <f t="shared" si="666"/>
        <v>24440.601398676023</v>
      </c>
      <c r="K1386" s="1364">
        <f t="shared" ref="K1386:Q1386" si="673">+$J1386*K$2021</f>
        <v>21798.250127191015</v>
      </c>
      <c r="L1386" s="1364">
        <f t="shared" si="673"/>
        <v>2113.1441177665888</v>
      </c>
      <c r="M1386" s="1364">
        <f t="shared" si="673"/>
        <v>520.44938751774282</v>
      </c>
      <c r="N1386" s="1367">
        <f t="shared" si="673"/>
        <v>1.7572216972226791</v>
      </c>
      <c r="O1386" s="1367">
        <f t="shared" si="673"/>
        <v>0.31176513982983017</v>
      </c>
      <c r="P1386" s="1367">
        <f t="shared" si="673"/>
        <v>6.6887793636218102</v>
      </c>
      <c r="Q1386" s="1364">
        <f t="shared" si="673"/>
        <v>0</v>
      </c>
      <c r="R1386" s="1358"/>
      <c r="S1386" s="1320">
        <v>412</v>
      </c>
      <c r="V1386" s="1321" t="s">
        <v>5245</v>
      </c>
      <c r="W1386" s="1321">
        <v>412</v>
      </c>
      <c r="Y1386" s="1324"/>
    </row>
    <row r="1387" spans="1:27">
      <c r="A1387" s="1320" t="s">
        <v>2342</v>
      </c>
      <c r="C1387" s="1322">
        <v>41</v>
      </c>
      <c r="D1387" s="1320" t="s">
        <v>5752</v>
      </c>
      <c r="F1387" s="1427">
        <f>+SUM(F1379:F1386)</f>
        <v>144072.99557636637</v>
      </c>
      <c r="G1387" s="1427">
        <f>SUM(G1379:G1386)</f>
        <v>503.42694260719384</v>
      </c>
      <c r="H1387" s="1427">
        <f>SUM(H1379:H1386)</f>
        <v>143569.56863375919</v>
      </c>
      <c r="I1387" s="1323">
        <f t="shared" si="665"/>
        <v>0.9965057508480808</v>
      </c>
      <c r="J1387" s="1421">
        <f t="shared" ref="J1387:Q1387" si="674">SUM(J1379:J1386)</f>
        <v>143569.56863375919</v>
      </c>
      <c r="K1387" s="1421">
        <f t="shared" si="674"/>
        <v>87764.670848714421</v>
      </c>
      <c r="L1387" s="1421">
        <f t="shared" si="674"/>
        <v>7890.9877872427423</v>
      </c>
      <c r="M1387" s="1421">
        <f t="shared" si="674"/>
        <v>31864.335661928679</v>
      </c>
      <c r="N1387" s="1422">
        <f t="shared" si="674"/>
        <v>3790.8913353592757</v>
      </c>
      <c r="O1387" s="1422">
        <f>SUM(O1379:O1386)</f>
        <v>2118.8114225906888</v>
      </c>
      <c r="P1387" s="1422">
        <f>SUM(P1379:P1386)</f>
        <v>316.98592690161598</v>
      </c>
      <c r="Q1387" s="1421">
        <f t="shared" si="674"/>
        <v>9822.8856510217811</v>
      </c>
      <c r="R1387" s="1358"/>
      <c r="V1387" s="1320" t="s">
        <v>5753</v>
      </c>
    </row>
    <row r="1388" spans="1:27">
      <c r="A1388" s="1320" t="s">
        <v>2342</v>
      </c>
      <c r="C1388" s="1322">
        <v>42</v>
      </c>
      <c r="G1388" s="1320"/>
    </row>
    <row r="1389" spans="1:27">
      <c r="A1389" s="1320" t="s">
        <v>2342</v>
      </c>
      <c r="C1389" s="1322">
        <v>43</v>
      </c>
      <c r="D1389" s="1356" t="s">
        <v>5754</v>
      </c>
      <c r="G1389" s="1320"/>
      <c r="Y1389" s="1324"/>
    </row>
    <row r="1390" spans="1:27">
      <c r="A1390" s="1320" t="s">
        <v>2342</v>
      </c>
      <c r="C1390" s="1322">
        <v>44</v>
      </c>
      <c r="D1390" s="1320" t="s">
        <v>5265</v>
      </c>
      <c r="E1390" s="1320" t="s">
        <v>4067</v>
      </c>
      <c r="F1390" s="1320">
        <f>+F1353+F1379</f>
        <v>154919.48494816257</v>
      </c>
      <c r="G1390" s="1320">
        <f t="shared" ref="G1390:H1397" si="675">+G1353+G1379</f>
        <v>0</v>
      </c>
      <c r="H1390" s="1320">
        <f t="shared" si="675"/>
        <v>154919.48494816257</v>
      </c>
      <c r="I1390" s="1323">
        <f t="shared" ref="I1390:I1397" si="676">IF(F1390=0,0,+H1390/F1390)</f>
        <v>1</v>
      </c>
      <c r="J1390" s="1324">
        <f t="shared" ref="J1390:Q1397" si="677">+J1353+J1379</f>
        <v>154919.48494816257</v>
      </c>
      <c r="K1390" s="1324">
        <f t="shared" si="677"/>
        <v>88957.040410127112</v>
      </c>
      <c r="L1390" s="1324">
        <f t="shared" si="677"/>
        <v>7397.7249198370882</v>
      </c>
      <c r="M1390" s="1324">
        <f t="shared" si="677"/>
        <v>47877.412227196459</v>
      </c>
      <c r="N1390" s="1325">
        <f t="shared" si="677"/>
        <v>6119.0573131557367</v>
      </c>
      <c r="O1390" s="1325">
        <f t="shared" si="677"/>
        <v>4403.9047462352873</v>
      </c>
      <c r="P1390" s="1325">
        <f t="shared" si="677"/>
        <v>164.34533161087001</v>
      </c>
      <c r="Q1390" s="1324">
        <f t="shared" si="677"/>
        <v>0</v>
      </c>
      <c r="V1390" s="1320" t="s">
        <v>5755</v>
      </c>
      <c r="Y1390" s="1324"/>
    </row>
    <row r="1391" spans="1:27">
      <c r="A1391" s="1320" t="s">
        <v>2342</v>
      </c>
      <c r="C1391" s="1322">
        <v>45</v>
      </c>
      <c r="D1391" s="1320" t="s">
        <v>5265</v>
      </c>
      <c r="E1391" s="1320" t="s">
        <v>2067</v>
      </c>
      <c r="F1391" s="1320">
        <f t="shared" ref="F1391:F1397" si="678">+F1354+F1380</f>
        <v>15756.28481087529</v>
      </c>
      <c r="G1391" s="1358">
        <f t="shared" si="675"/>
        <v>0</v>
      </c>
      <c r="H1391" s="1358">
        <f t="shared" si="675"/>
        <v>15756.28481087529</v>
      </c>
      <c r="I1391" s="1323">
        <f t="shared" si="676"/>
        <v>1</v>
      </c>
      <c r="J1391" s="1364">
        <f t="shared" si="677"/>
        <v>15756.28481087529</v>
      </c>
      <c r="K1391" s="1364">
        <f t="shared" si="677"/>
        <v>7951.1599476227138</v>
      </c>
      <c r="L1391" s="1364">
        <f t="shared" si="677"/>
        <v>734.78025790371828</v>
      </c>
      <c r="M1391" s="1364">
        <f t="shared" si="677"/>
        <v>5473.8275233226605</v>
      </c>
      <c r="N1391" s="1367">
        <f t="shared" si="677"/>
        <v>871.34532934291508</v>
      </c>
      <c r="O1391" s="1367">
        <f t="shared" si="677"/>
        <v>641.93044210712753</v>
      </c>
      <c r="P1391" s="1367">
        <f t="shared" si="677"/>
        <v>83.241310576154973</v>
      </c>
      <c r="Q1391" s="1364">
        <f t="shared" si="677"/>
        <v>0</v>
      </c>
      <c r="R1391" s="1358"/>
      <c r="V1391" s="1320" t="s">
        <v>5756</v>
      </c>
    </row>
    <row r="1392" spans="1:27">
      <c r="A1392" s="1320" t="s">
        <v>2342</v>
      </c>
      <c r="C1392" s="1322">
        <v>46</v>
      </c>
      <c r="D1392" s="1320" t="s">
        <v>5268</v>
      </c>
      <c r="E1392" s="1320" t="s">
        <v>4067</v>
      </c>
      <c r="F1392" s="1320">
        <f t="shared" si="678"/>
        <v>9322.5170905997529</v>
      </c>
      <c r="G1392" s="1358">
        <f t="shared" si="675"/>
        <v>603.97657200578476</v>
      </c>
      <c r="H1392" s="1358">
        <f t="shared" si="675"/>
        <v>8718.5405185939671</v>
      </c>
      <c r="I1392" s="1323">
        <f t="shared" si="676"/>
        <v>0.93521314403222733</v>
      </c>
      <c r="J1392" s="1364">
        <f t="shared" si="677"/>
        <v>8718.5405185939671</v>
      </c>
      <c r="K1392" s="1364">
        <f t="shared" si="677"/>
        <v>5056.8671916314906</v>
      </c>
      <c r="L1392" s="1364">
        <f t="shared" si="677"/>
        <v>417.1405369400461</v>
      </c>
      <c r="M1392" s="1364">
        <f t="shared" si="677"/>
        <v>2666.5698864100532</v>
      </c>
      <c r="N1392" s="1367">
        <f t="shared" si="677"/>
        <v>332.88589400723185</v>
      </c>
      <c r="O1392" s="1367">
        <f t="shared" si="677"/>
        <v>238.89562882151111</v>
      </c>
      <c r="P1392" s="1367">
        <f t="shared" si="677"/>
        <v>6.1813807836351602</v>
      </c>
      <c r="Q1392" s="1364">
        <f t="shared" si="677"/>
        <v>0</v>
      </c>
      <c r="R1392" s="1358"/>
      <c r="V1392" s="1320" t="s">
        <v>5757</v>
      </c>
    </row>
    <row r="1393" spans="1:25">
      <c r="A1393" s="1320" t="s">
        <v>2342</v>
      </c>
      <c r="C1393" s="1322">
        <v>47</v>
      </c>
      <c r="D1393" s="1320" t="s">
        <v>5239</v>
      </c>
      <c r="E1393" s="1320" t="s">
        <v>4067</v>
      </c>
      <c r="F1393" s="1320">
        <f t="shared" si="678"/>
        <v>12890.363327210631</v>
      </c>
      <c r="G1393" s="1358">
        <f t="shared" si="675"/>
        <v>835.12611225225317</v>
      </c>
      <c r="H1393" s="1358">
        <f t="shared" si="675"/>
        <v>12055.237214958377</v>
      </c>
      <c r="I1393" s="1323">
        <f t="shared" si="676"/>
        <v>0.93521314403222733</v>
      </c>
      <c r="J1393" s="1364">
        <f t="shared" si="677"/>
        <v>12055.237214958377</v>
      </c>
      <c r="K1393" s="1364">
        <f t="shared" si="677"/>
        <v>6992.1947864605736</v>
      </c>
      <c r="L1393" s="1364">
        <f t="shared" si="677"/>
        <v>576.78554272502731</v>
      </c>
      <c r="M1393" s="1364">
        <f t="shared" si="677"/>
        <v>3687.1002047166016</v>
      </c>
      <c r="N1393" s="1367">
        <f t="shared" si="677"/>
        <v>460.28557293644917</v>
      </c>
      <c r="O1393" s="1367">
        <f t="shared" si="677"/>
        <v>330.32403404192814</v>
      </c>
      <c r="P1393" s="1367">
        <f t="shared" si="677"/>
        <v>8.5470740777981291</v>
      </c>
      <c r="Q1393" s="1364">
        <f t="shared" si="677"/>
        <v>0</v>
      </c>
      <c r="R1393" s="1358"/>
      <c r="V1393" s="1320" t="s">
        <v>5758</v>
      </c>
    </row>
    <row r="1394" spans="1:25">
      <c r="A1394" s="1320" t="s">
        <v>2342</v>
      </c>
      <c r="C1394" s="1322">
        <v>48</v>
      </c>
      <c r="D1394" s="1320" t="s">
        <v>5240</v>
      </c>
      <c r="E1394" s="1320" t="s">
        <v>4067</v>
      </c>
      <c r="F1394" s="1320">
        <f t="shared" si="678"/>
        <v>9825.400347507526</v>
      </c>
      <c r="G1394" s="1358">
        <f t="shared" si="675"/>
        <v>0</v>
      </c>
      <c r="H1394" s="1358">
        <f t="shared" si="675"/>
        <v>9825.400347507526</v>
      </c>
      <c r="I1394" s="1323">
        <f t="shared" si="676"/>
        <v>1</v>
      </c>
      <c r="J1394" s="1364">
        <f t="shared" si="677"/>
        <v>9825.400347507526</v>
      </c>
      <c r="K1394" s="1364">
        <f t="shared" si="677"/>
        <v>6115.4865013554354</v>
      </c>
      <c r="L1394" s="1364">
        <f t="shared" si="677"/>
        <v>434.94873797970581</v>
      </c>
      <c r="M1394" s="1364">
        <f t="shared" si="677"/>
        <v>2912.25337141404</v>
      </c>
      <c r="N1394" s="1367">
        <f t="shared" si="677"/>
        <v>306.31050064440569</v>
      </c>
      <c r="O1394" s="1367">
        <f t="shared" si="677"/>
        <v>2.0914284256029042E-4</v>
      </c>
      <c r="P1394" s="1367">
        <f t="shared" si="677"/>
        <v>56.401026971097693</v>
      </c>
      <c r="Q1394" s="1364">
        <f t="shared" si="677"/>
        <v>0</v>
      </c>
      <c r="R1394" s="1358"/>
      <c r="V1394" s="1320" t="s">
        <v>5759</v>
      </c>
    </row>
    <row r="1395" spans="1:25">
      <c r="A1395" s="1320" t="s">
        <v>2342</v>
      </c>
      <c r="C1395" s="1322">
        <v>49</v>
      </c>
      <c r="D1395" s="1320" t="s">
        <v>5241</v>
      </c>
      <c r="E1395" s="1320" t="s">
        <v>4067</v>
      </c>
      <c r="F1395" s="1320">
        <f t="shared" si="678"/>
        <v>-5310.0951420829697</v>
      </c>
      <c r="G1395" s="1358">
        <f t="shared" si="675"/>
        <v>0</v>
      </c>
      <c r="H1395" s="1358">
        <f t="shared" si="675"/>
        <v>-5310.0951420829697</v>
      </c>
      <c r="I1395" s="1323">
        <f t="shared" si="676"/>
        <v>1</v>
      </c>
      <c r="J1395" s="1364">
        <f t="shared" si="677"/>
        <v>-5310.0951420829697</v>
      </c>
      <c r="K1395" s="1364">
        <f t="shared" si="677"/>
        <v>-3874.4220362951583</v>
      </c>
      <c r="L1395" s="1364">
        <f t="shared" si="677"/>
        <v>-311.96786660811108</v>
      </c>
      <c r="M1395" s="1364">
        <f t="shared" si="677"/>
        <v>-1104.4963512354514</v>
      </c>
      <c r="N1395" s="1367">
        <f t="shared" si="677"/>
        <v>0</v>
      </c>
      <c r="O1395" s="1367">
        <f t="shared" si="677"/>
        <v>0</v>
      </c>
      <c r="P1395" s="1367">
        <f t="shared" si="677"/>
        <v>-19.208887944248161</v>
      </c>
      <c r="Q1395" s="1364">
        <f t="shared" si="677"/>
        <v>0</v>
      </c>
      <c r="R1395" s="1358"/>
      <c r="V1395" s="1320" t="s">
        <v>5760</v>
      </c>
    </row>
    <row r="1396" spans="1:25">
      <c r="A1396" s="1320" t="s">
        <v>2342</v>
      </c>
      <c r="C1396" s="1322">
        <v>50</v>
      </c>
      <c r="D1396" s="1320" t="s">
        <v>5242</v>
      </c>
      <c r="E1396" s="1320" t="s">
        <v>4071</v>
      </c>
      <c r="F1396" s="1320">
        <f t="shared" si="678"/>
        <v>9769.3696313589899</v>
      </c>
      <c r="G1396" s="1358">
        <f t="shared" si="675"/>
        <v>0</v>
      </c>
      <c r="H1396" s="1358">
        <f t="shared" si="675"/>
        <v>9769.3696313589899</v>
      </c>
      <c r="I1396" s="1323">
        <f t="shared" si="676"/>
        <v>1</v>
      </c>
      <c r="J1396" s="1364">
        <f t="shared" si="677"/>
        <v>9769.3696313589899</v>
      </c>
      <c r="K1396" s="1364">
        <f t="shared" si="677"/>
        <v>3601.5437775815117</v>
      </c>
      <c r="L1396" s="1364">
        <f t="shared" si="677"/>
        <v>546.30683588630473</v>
      </c>
      <c r="M1396" s="1364">
        <f t="shared" si="677"/>
        <v>263.3741120621321</v>
      </c>
      <c r="N1396" s="1367">
        <f t="shared" si="677"/>
        <v>16.978449369043879</v>
      </c>
      <c r="O1396" s="1367">
        <f t="shared" si="677"/>
        <v>18.524200985076117</v>
      </c>
      <c r="P1396" s="1367">
        <f t="shared" si="677"/>
        <v>4.2515251854477851</v>
      </c>
      <c r="Q1396" s="1364">
        <f t="shared" si="677"/>
        <v>5318.390730289474</v>
      </c>
      <c r="R1396" s="1358"/>
      <c r="V1396" s="1320" t="s">
        <v>5761</v>
      </c>
      <c r="Y1396" s="1324"/>
    </row>
    <row r="1397" spans="1:25">
      <c r="A1397" s="1320" t="s">
        <v>2342</v>
      </c>
      <c r="C1397" s="1322">
        <v>51</v>
      </c>
      <c r="D1397" s="1320" t="s">
        <v>5244</v>
      </c>
      <c r="E1397" s="1320" t="s">
        <v>4071</v>
      </c>
      <c r="F1397" s="1350">
        <f t="shared" si="678"/>
        <v>24440.601398676023</v>
      </c>
      <c r="G1397" s="1350">
        <f t="shared" si="675"/>
        <v>0</v>
      </c>
      <c r="H1397" s="1350">
        <f t="shared" si="675"/>
        <v>24440.601398676023</v>
      </c>
      <c r="I1397" s="1323">
        <f t="shared" si="676"/>
        <v>1</v>
      </c>
      <c r="J1397" s="1366">
        <f t="shared" si="677"/>
        <v>24440.601398676023</v>
      </c>
      <c r="K1397" s="1366">
        <f t="shared" si="677"/>
        <v>21798.250127191015</v>
      </c>
      <c r="L1397" s="1366">
        <f t="shared" si="677"/>
        <v>2113.1441177665888</v>
      </c>
      <c r="M1397" s="1366">
        <f t="shared" si="677"/>
        <v>520.44938751774282</v>
      </c>
      <c r="N1397" s="1378">
        <f t="shared" si="677"/>
        <v>1.7572216972226791</v>
      </c>
      <c r="O1397" s="1378">
        <f t="shared" si="677"/>
        <v>0.31176513982983017</v>
      </c>
      <c r="P1397" s="1378">
        <f t="shared" si="677"/>
        <v>6.6887793636218102</v>
      </c>
      <c r="Q1397" s="1366">
        <f t="shared" si="677"/>
        <v>0</v>
      </c>
      <c r="R1397" s="1358"/>
      <c r="V1397" s="1320" t="s">
        <v>5762</v>
      </c>
      <c r="Y1397" s="1324"/>
    </row>
    <row r="1398" spans="1:25">
      <c r="A1398" s="1320" t="s">
        <v>2342</v>
      </c>
      <c r="C1398" s="1322">
        <v>52</v>
      </c>
      <c r="F1398" s="1358"/>
      <c r="G1398" s="1358"/>
      <c r="H1398" s="1358"/>
      <c r="J1398" s="1364"/>
      <c r="K1398" s="1364"/>
      <c r="L1398" s="1364"/>
      <c r="M1398" s="1364"/>
      <c r="N1398" s="1367"/>
      <c r="O1398" s="1367"/>
      <c r="P1398" s="1367"/>
      <c r="Q1398" s="1364"/>
      <c r="R1398" s="1358"/>
      <c r="Y1398" s="1324"/>
    </row>
    <row r="1399" spans="1:25" ht="14.4" thickBot="1">
      <c r="A1399" s="1320" t="s">
        <v>2342</v>
      </c>
      <c r="C1399" s="1322">
        <v>53</v>
      </c>
      <c r="D1399" s="1320" t="s">
        <v>5763</v>
      </c>
      <c r="F1399" s="1423">
        <f>SUM(F1390:F1397)</f>
        <v>231613.9264123078</v>
      </c>
      <c r="G1399" s="1423">
        <f>SUM(G1390:G1397)</f>
        <v>1439.1026842580379</v>
      </c>
      <c r="H1399" s="1423">
        <f>SUM(H1390:H1397)</f>
        <v>230174.82372804979</v>
      </c>
      <c r="I1399" s="1323">
        <f>IF(F1399=0,0,+H1399/F1399)</f>
        <v>0.99378663145800572</v>
      </c>
      <c r="J1399" s="1380">
        <f t="shared" ref="J1399:Q1399" si="679">SUM(J1390:J1397)</f>
        <v>230174.82372804979</v>
      </c>
      <c r="K1399" s="1380">
        <f t="shared" si="679"/>
        <v>136598.12070567469</v>
      </c>
      <c r="L1399" s="1380">
        <f t="shared" si="679"/>
        <v>11908.863082430367</v>
      </c>
      <c r="M1399" s="1380">
        <f t="shared" si="679"/>
        <v>62296.490361404241</v>
      </c>
      <c r="N1399" s="1424">
        <f t="shared" si="679"/>
        <v>8108.6202811530047</v>
      </c>
      <c r="O1399" s="1424">
        <f>SUM(O1390:O1397)</f>
        <v>5633.8910264736023</v>
      </c>
      <c r="P1399" s="1424">
        <f>SUM(P1390:P1397)</f>
        <v>310.44754062437738</v>
      </c>
      <c r="Q1399" s="1380">
        <f t="shared" si="679"/>
        <v>5318.390730289474</v>
      </c>
      <c r="R1399" s="1358"/>
      <c r="V1399" s="1320" t="s">
        <v>5764</v>
      </c>
      <c r="Y1399" s="1324"/>
    </row>
    <row r="1400" spans="1:25" ht="14.4" thickTop="1">
      <c r="F1400" s="1358"/>
      <c r="G1400" s="1358"/>
      <c r="H1400" s="1358"/>
      <c r="J1400" s="1364"/>
      <c r="K1400" s="1364"/>
      <c r="L1400" s="1364"/>
      <c r="M1400" s="1367"/>
      <c r="N1400" s="1367"/>
      <c r="O1400" s="1367"/>
      <c r="P1400" s="1364"/>
      <c r="Q1400" s="1364"/>
      <c r="R1400" s="1358"/>
      <c r="Y1400" s="1324"/>
    </row>
    <row r="1401" spans="1:25">
      <c r="F1401" s="1358"/>
      <c r="G1401" s="1358"/>
      <c r="H1401" s="1358"/>
      <c r="J1401" s="1364"/>
      <c r="K1401" s="1364"/>
      <c r="L1401" s="1364"/>
      <c r="M1401" s="1367"/>
      <c r="N1401" s="1367"/>
      <c r="O1401" s="1367"/>
      <c r="P1401" s="1364"/>
      <c r="Q1401" s="1364"/>
      <c r="R1401" s="1358"/>
      <c r="Y1401" s="1324"/>
    </row>
    <row r="1402" spans="1:25">
      <c r="F1402" s="1358"/>
      <c r="G1402" s="1358"/>
      <c r="H1402" s="1358"/>
      <c r="J1402" s="1364"/>
      <c r="K1402" s="1364"/>
      <c r="L1402" s="1364"/>
      <c r="M1402" s="1367"/>
      <c r="N1402" s="1367"/>
      <c r="O1402" s="1367"/>
      <c r="P1402" s="1364"/>
      <c r="Q1402" s="1364"/>
      <c r="R1402" s="1358"/>
      <c r="Y1402" s="1324"/>
    </row>
    <row r="1403" spans="1:25">
      <c r="F1403" s="1358"/>
      <c r="G1403" s="1358"/>
      <c r="H1403" s="1358"/>
      <c r="J1403" s="1364"/>
      <c r="K1403" s="1364"/>
      <c r="L1403" s="1364"/>
      <c r="M1403" s="1367"/>
      <c r="N1403" s="1367"/>
      <c r="O1403" s="1367"/>
      <c r="P1403" s="1364"/>
      <c r="Q1403" s="1364"/>
      <c r="R1403" s="1358"/>
      <c r="Y1403" s="1324"/>
    </row>
    <row r="1404" spans="1:25">
      <c r="F1404" s="1358"/>
      <c r="G1404" s="1358"/>
      <c r="H1404" s="1358"/>
      <c r="J1404" s="1364"/>
      <c r="K1404" s="1364"/>
      <c r="L1404" s="1364"/>
      <c r="M1404" s="1367"/>
      <c r="N1404" s="1367"/>
      <c r="O1404" s="1367"/>
      <c r="P1404" s="1364"/>
      <c r="Q1404" s="1364"/>
      <c r="R1404" s="1358"/>
    </row>
    <row r="1405" spans="1:25">
      <c r="B1405" s="1432"/>
      <c r="C1405" s="1340" t="str">
        <f>+C$2</f>
        <v>RATES WITH REVENUE DEFICIENCY ADDITION</v>
      </c>
      <c r="F1405" s="1333"/>
      <c r="G1405" s="1327" t="s">
        <v>2173</v>
      </c>
      <c r="I1405" s="1334" t="s">
        <v>5750</v>
      </c>
      <c r="L1405" s="1329" t="s">
        <v>2173</v>
      </c>
      <c r="M1405" s="1330"/>
      <c r="N1405" s="1330"/>
      <c r="O1405" s="1330"/>
      <c r="S1405" s="1334" t="s">
        <v>5765</v>
      </c>
      <c r="T1405" s="1333" t="s">
        <v>2173</v>
      </c>
      <c r="U1405" s="1431"/>
      <c r="V1405" s="1332" t="s">
        <v>4772</v>
      </c>
    </row>
    <row r="1406" spans="1:25">
      <c r="B1406" s="1432"/>
      <c r="C1406" s="1340" t="str">
        <f>+C$3</f>
        <v>PROD. CAP. ALLOC. METHOD: 12 CP &amp; 1/13th AD</v>
      </c>
      <c r="G1406" s="1336" t="s">
        <v>4768</v>
      </c>
      <c r="I1406" s="1335" t="s">
        <v>4958</v>
      </c>
      <c r="L1406" s="1336" t="s">
        <v>5141</v>
      </c>
      <c r="M1406" s="1337"/>
      <c r="N1406" s="1337"/>
      <c r="O1406" s="1337"/>
      <c r="R1406" s="1331"/>
      <c r="S1406" s="1335" t="s">
        <v>4959</v>
      </c>
      <c r="T1406" s="1333" t="s">
        <v>5141</v>
      </c>
      <c r="U1406" s="1326"/>
      <c r="V1406" s="1332" t="s">
        <v>5765</v>
      </c>
    </row>
    <row r="1407" spans="1:25">
      <c r="B1407" s="1321"/>
      <c r="C1407" s="1340" t="str">
        <f>+C$4</f>
        <v>PROJECTED CALENDAR YEAR 2025; FULLY ADJUSTED DATA</v>
      </c>
      <c r="G1407" s="1336" t="s">
        <v>2181</v>
      </c>
      <c r="L1407" s="1336" t="s">
        <v>2181</v>
      </c>
      <c r="S1407" s="1321"/>
      <c r="T1407" s="1339"/>
      <c r="U1407" s="1326"/>
    </row>
    <row r="1408" spans="1:25">
      <c r="B1408" s="1321"/>
      <c r="C1408" s="1340" t="str">
        <f>+C$5</f>
        <v>MINIMUM DISTRIBUTION SYSTEM (MDS) NOT EMPLOYED</v>
      </c>
      <c r="D1408" s="1358"/>
      <c r="G1408" s="1320"/>
      <c r="L1408" s="1336"/>
      <c r="M1408" s="1337"/>
      <c r="N1408" s="1337"/>
      <c r="O1408" s="1337"/>
      <c r="S1408" s="1321"/>
      <c r="T1408" s="1333"/>
      <c r="U1408" s="1326"/>
      <c r="Y1408" s="1324"/>
    </row>
    <row r="1409" spans="1:25">
      <c r="B1409" s="1321"/>
      <c r="C1409" s="1340" t="str">
        <f>+C$6</f>
        <v>Tampa Electric 2025 OB Budget</v>
      </c>
      <c r="F1409" s="1327"/>
      <c r="G1409" s="1333" t="s">
        <v>5766</v>
      </c>
      <c r="L1409" s="1336" t="s">
        <v>5766</v>
      </c>
      <c r="M1409" s="1337"/>
      <c r="N1409" s="1337"/>
      <c r="O1409" s="1337"/>
      <c r="S1409" s="1321"/>
      <c r="T1409" s="1333" t="s">
        <v>5766</v>
      </c>
      <c r="U1409" s="1326"/>
      <c r="Y1409" s="1324"/>
    </row>
    <row r="1410" spans="1:25">
      <c r="B1410" s="1321"/>
      <c r="F1410" s="1333"/>
      <c r="G1410" s="1320"/>
      <c r="L1410" s="1336"/>
      <c r="M1410" s="1337"/>
      <c r="N1410" s="1337"/>
      <c r="O1410" s="1337"/>
      <c r="S1410" s="1321"/>
      <c r="T1410" s="1321"/>
      <c r="U1410" s="1326"/>
      <c r="Y1410" s="1324"/>
    </row>
    <row r="1411" spans="1:25">
      <c r="B1411" s="1321"/>
      <c r="F1411" s="1333"/>
      <c r="G1411" s="1320"/>
      <c r="L1411" s="1336"/>
      <c r="M1411" s="1337"/>
      <c r="N1411" s="1337"/>
      <c r="O1411" s="1337"/>
      <c r="S1411" s="1321"/>
      <c r="T1411" s="1321"/>
      <c r="U1411" s="1326"/>
      <c r="Y1411" s="1324"/>
    </row>
    <row r="1412" spans="1:25">
      <c r="B1412" s="1321"/>
      <c r="G1412" s="1320"/>
      <c r="S1412" s="1321"/>
      <c r="T1412" s="1321"/>
      <c r="U1412" s="1326"/>
      <c r="Y1412" s="1324"/>
    </row>
    <row r="1413" spans="1:25">
      <c r="B1413" s="1321"/>
      <c r="C1413" s="1342"/>
      <c r="D1413" s="1331"/>
      <c r="E1413" s="1331"/>
      <c r="F1413" s="1333"/>
      <c r="G1413" s="1333"/>
      <c r="H1413" s="1333"/>
      <c r="I1413" s="1343"/>
      <c r="J1413" s="1416"/>
      <c r="K1413" s="1336"/>
      <c r="L1413" s="1416"/>
      <c r="M1413" s="1417"/>
      <c r="N1413" s="1417"/>
      <c r="O1413" s="1417"/>
      <c r="P1413" s="3164"/>
      <c r="Q1413" s="3164"/>
      <c r="R1413" s="1333"/>
      <c r="S1413" s="1321"/>
      <c r="T1413" s="1321"/>
      <c r="U1413" s="1326"/>
      <c r="Y1413" s="1324"/>
    </row>
    <row r="1414" spans="1:25" ht="30" customHeight="1">
      <c r="A1414" s="1418" t="s">
        <v>4683</v>
      </c>
      <c r="B1414" s="1425" t="s">
        <v>5143</v>
      </c>
      <c r="C1414" s="1349" t="s">
        <v>4297</v>
      </c>
      <c r="D1414" s="1418"/>
      <c r="E1414" s="1418"/>
      <c r="F1414" s="1348" t="s">
        <v>5144</v>
      </c>
      <c r="G1414" s="1348" t="s">
        <v>4956</v>
      </c>
      <c r="H1414" s="1348" t="s">
        <v>4957</v>
      </c>
      <c r="I1414" s="1426" t="s">
        <v>5145</v>
      </c>
      <c r="J1414" s="1352" t="s">
        <v>4957</v>
      </c>
      <c r="K1414" s="1353" t="s">
        <v>1949</v>
      </c>
      <c r="L1414" s="1353" t="s">
        <v>1950</v>
      </c>
      <c r="M1414" s="1354" t="s">
        <v>1934</v>
      </c>
      <c r="N1414" s="1354" t="s">
        <v>1971</v>
      </c>
      <c r="O1414" s="1354" t="s">
        <v>1972</v>
      </c>
      <c r="P1414" s="1352" t="s">
        <v>5146</v>
      </c>
      <c r="Q1414" s="1352" t="s">
        <v>5147</v>
      </c>
      <c r="R1414" s="1355"/>
      <c r="S1414" s="1348" t="s">
        <v>5299</v>
      </c>
      <c r="T1414" s="1348"/>
      <c r="U1414" s="1352"/>
      <c r="V1414" s="1355" t="s">
        <v>4774</v>
      </c>
      <c r="Y1414" s="1324"/>
    </row>
    <row r="1415" spans="1:25">
      <c r="B1415" s="1321"/>
      <c r="G1415" s="1320"/>
      <c r="S1415" s="1321"/>
      <c r="T1415" s="1321"/>
      <c r="U1415" s="1326"/>
      <c r="Y1415" s="1324"/>
    </row>
    <row r="1416" spans="1:25">
      <c r="A1416" s="1320" t="s">
        <v>5767</v>
      </c>
      <c r="B1416" s="1321"/>
      <c r="C1416" s="1322">
        <v>1</v>
      </c>
      <c r="D1416" s="1356" t="s">
        <v>5768</v>
      </c>
      <c r="G1416" s="1320"/>
      <c r="S1416" s="1321"/>
      <c r="T1416" s="1321"/>
      <c r="U1416" s="1326"/>
    </row>
    <row r="1417" spans="1:25">
      <c r="A1417" s="1320" t="s">
        <v>5767</v>
      </c>
      <c r="B1417" s="1321"/>
      <c r="C1417" s="1322">
        <v>2</v>
      </c>
      <c r="D1417" s="1320" t="s">
        <v>5265</v>
      </c>
      <c r="E1417" s="1320" t="s">
        <v>4067</v>
      </c>
      <c r="F1417" s="1320">
        <f>+F1006</f>
        <v>7199153.5139943594</v>
      </c>
      <c r="G1417" s="1320">
        <f t="shared" ref="G1417:H1424" si="680">+G1006</f>
        <v>0</v>
      </c>
      <c r="H1417" s="1320">
        <f t="shared" si="680"/>
        <v>7199153.5139943594</v>
      </c>
      <c r="I1417" s="1323">
        <f t="shared" ref="I1417:I1425" si="681">IF(F1417=0,0,+H1417/F1417)</f>
        <v>1</v>
      </c>
      <c r="J1417" s="1324">
        <f t="shared" ref="J1417:Q1424" si="682">+J1006</f>
        <v>7199153.5139943594</v>
      </c>
      <c r="K1417" s="1324">
        <f t="shared" si="682"/>
        <v>4133859.535341172</v>
      </c>
      <c r="L1417" s="1324">
        <f t="shared" si="682"/>
        <v>343774.42818138207</v>
      </c>
      <c r="M1417" s="1324">
        <f t="shared" si="682"/>
        <v>2224877.2682901048</v>
      </c>
      <c r="N1417" s="1325">
        <f t="shared" si="682"/>
        <v>284354.3726799647</v>
      </c>
      <c r="O1417" s="1325">
        <f t="shared" si="682"/>
        <v>204650.73415241975</v>
      </c>
      <c r="P1417" s="1325">
        <f t="shared" si="682"/>
        <v>7637.1753493168071</v>
      </c>
      <c r="Q1417" s="1324">
        <f t="shared" si="682"/>
        <v>0</v>
      </c>
      <c r="S1417" s="1321"/>
      <c r="T1417" s="1321"/>
      <c r="U1417" s="1326"/>
      <c r="V1417" s="1320" t="s">
        <v>5769</v>
      </c>
    </row>
    <row r="1418" spans="1:25">
      <c r="A1418" s="1320" t="s">
        <v>5767</v>
      </c>
      <c r="B1418" s="1321"/>
      <c r="C1418" s="1322">
        <v>3</v>
      </c>
      <c r="D1418" s="1320" t="s">
        <v>5265</v>
      </c>
      <c r="E1418" s="1320" t="s">
        <v>2067</v>
      </c>
      <c r="F1418" s="1320">
        <f t="shared" ref="F1418:F1424" si="683">+F1007</f>
        <v>680548.35013101739</v>
      </c>
      <c r="G1418" s="1320">
        <f t="shared" si="680"/>
        <v>0</v>
      </c>
      <c r="H1418" s="1320">
        <f t="shared" si="680"/>
        <v>680548.35013101739</v>
      </c>
      <c r="I1418" s="1323">
        <f t="shared" si="681"/>
        <v>1</v>
      </c>
      <c r="J1418" s="1324">
        <f t="shared" si="682"/>
        <v>680548.35013101739</v>
      </c>
      <c r="K1418" s="1324">
        <f t="shared" si="682"/>
        <v>343427.96217085293</v>
      </c>
      <c r="L1418" s="1324">
        <f t="shared" si="682"/>
        <v>31736.763978782128</v>
      </c>
      <c r="M1418" s="1324">
        <f t="shared" si="682"/>
        <v>236426.56467645097</v>
      </c>
      <c r="N1418" s="1325">
        <f t="shared" si="682"/>
        <v>37635.307650023817</v>
      </c>
      <c r="O1418" s="1325">
        <f t="shared" si="682"/>
        <v>27726.377665713924</v>
      </c>
      <c r="P1418" s="1325">
        <f t="shared" si="682"/>
        <v>3595.3739891935147</v>
      </c>
      <c r="Q1418" s="1324">
        <f t="shared" si="682"/>
        <v>0</v>
      </c>
      <c r="S1418" s="1321"/>
      <c r="T1418" s="1321"/>
      <c r="U1418" s="1326"/>
      <c r="V1418" s="1320" t="s">
        <v>5770</v>
      </c>
      <c r="Y1418" s="1324"/>
    </row>
    <row r="1419" spans="1:25">
      <c r="A1419" s="1320" t="s">
        <v>5767</v>
      </c>
      <c r="B1419" s="1321"/>
      <c r="C1419" s="1322">
        <v>4</v>
      </c>
      <c r="D1419" s="1320" t="s">
        <v>5268</v>
      </c>
      <c r="E1419" s="1320" t="s">
        <v>4067</v>
      </c>
      <c r="F1419" s="1320">
        <f t="shared" si="683"/>
        <v>559079.92351655953</v>
      </c>
      <c r="G1419" s="1320">
        <f t="shared" si="680"/>
        <v>36221.030479340669</v>
      </c>
      <c r="H1419" s="1320">
        <f t="shared" si="680"/>
        <v>522858.89303721883</v>
      </c>
      <c r="I1419" s="1323">
        <f t="shared" si="681"/>
        <v>0.93521314403222733</v>
      </c>
      <c r="J1419" s="1324">
        <f t="shared" si="682"/>
        <v>522858.89303721883</v>
      </c>
      <c r="K1419" s="1324">
        <f t="shared" si="682"/>
        <v>303264.97610623844</v>
      </c>
      <c r="L1419" s="1324">
        <f t="shared" si="682"/>
        <v>25016.301629873862</v>
      </c>
      <c r="M1419" s="1324">
        <f t="shared" si="682"/>
        <v>159916.64843918057</v>
      </c>
      <c r="N1419" s="1325">
        <f t="shared" si="682"/>
        <v>19963.473207141269</v>
      </c>
      <c r="O1419" s="1325">
        <f t="shared" si="682"/>
        <v>14326.79056439019</v>
      </c>
      <c r="P1419" s="1325">
        <f t="shared" si="682"/>
        <v>370.70309039456481</v>
      </c>
      <c r="Q1419" s="1324">
        <f t="shared" si="682"/>
        <v>0</v>
      </c>
      <c r="S1419" s="1321"/>
      <c r="T1419" s="1321"/>
      <c r="U1419" s="1326"/>
      <c r="V1419" s="1320" t="s">
        <v>5771</v>
      </c>
      <c r="Y1419" s="1324"/>
    </row>
    <row r="1420" spans="1:25">
      <c r="A1420" s="1320" t="s">
        <v>5767</v>
      </c>
      <c r="B1420" s="1321"/>
      <c r="C1420" s="1322">
        <v>5</v>
      </c>
      <c r="D1420" s="1320" t="s">
        <v>5239</v>
      </c>
      <c r="E1420" s="1320" t="s">
        <v>4067</v>
      </c>
      <c r="F1420" s="1320">
        <f t="shared" si="683"/>
        <v>583616.65599674068</v>
      </c>
      <c r="G1420" s="1320">
        <f t="shared" si="680"/>
        <v>37810.688232453918</v>
      </c>
      <c r="H1420" s="1320">
        <f t="shared" si="680"/>
        <v>545805.96776428656</v>
      </c>
      <c r="I1420" s="1323">
        <f t="shared" si="681"/>
        <v>0.93521314403222711</v>
      </c>
      <c r="J1420" s="1324">
        <f t="shared" si="682"/>
        <v>545805.96776428656</v>
      </c>
      <c r="K1420" s="1324">
        <f t="shared" si="682"/>
        <v>316574.57868063106</v>
      </c>
      <c r="L1420" s="1324">
        <f t="shared" si="682"/>
        <v>26114.20959422156</v>
      </c>
      <c r="M1420" s="1324">
        <f t="shared" si="682"/>
        <v>166935.02247987012</v>
      </c>
      <c r="N1420" s="1325">
        <f t="shared" si="682"/>
        <v>20839.624148813167</v>
      </c>
      <c r="O1420" s="1325">
        <f t="shared" si="682"/>
        <v>14955.560463990441</v>
      </c>
      <c r="P1420" s="1325">
        <f t="shared" si="682"/>
        <v>386.97239676023759</v>
      </c>
      <c r="Q1420" s="1324">
        <f t="shared" si="682"/>
        <v>0</v>
      </c>
      <c r="S1420" s="1321"/>
      <c r="T1420" s="1321"/>
      <c r="U1420" s="1326"/>
      <c r="V1420" s="1320" t="s">
        <v>5772</v>
      </c>
    </row>
    <row r="1421" spans="1:25">
      <c r="A1421" s="1320" t="s">
        <v>5767</v>
      </c>
      <c r="B1421" s="1321"/>
      <c r="C1421" s="1322">
        <v>6</v>
      </c>
      <c r="D1421" s="1320" t="s">
        <v>5240</v>
      </c>
      <c r="E1421" s="1320" t="s">
        <v>4067</v>
      </c>
      <c r="F1421" s="1320">
        <f t="shared" si="683"/>
        <v>2138740.1301561045</v>
      </c>
      <c r="G1421" s="1320">
        <f t="shared" si="680"/>
        <v>0</v>
      </c>
      <c r="H1421" s="1320">
        <f t="shared" si="680"/>
        <v>2138740.1301561045</v>
      </c>
      <c r="I1421" s="1323">
        <f t="shared" si="681"/>
        <v>1</v>
      </c>
      <c r="J1421" s="1324">
        <f t="shared" si="682"/>
        <v>2138740.1301561045</v>
      </c>
      <c r="K1421" s="1324">
        <f t="shared" si="682"/>
        <v>1331186.1026807702</v>
      </c>
      <c r="L1421" s="1324">
        <f t="shared" si="682"/>
        <v>94677.294316452986</v>
      </c>
      <c r="M1421" s="1324">
        <f t="shared" si="682"/>
        <v>633923.59948016342</v>
      </c>
      <c r="N1421" s="1325">
        <f t="shared" si="682"/>
        <v>66676.016940376998</v>
      </c>
      <c r="O1421" s="1325">
        <f t="shared" si="682"/>
        <v>4.5525085441641404E-2</v>
      </c>
      <c r="P1421" s="1325">
        <f t="shared" si="682"/>
        <v>12277.071213256339</v>
      </c>
      <c r="Q1421" s="1324">
        <f t="shared" si="682"/>
        <v>0</v>
      </c>
      <c r="S1421" s="1321"/>
      <c r="T1421" s="1321"/>
      <c r="U1421" s="1326"/>
      <c r="V1421" s="1320" t="s">
        <v>5773</v>
      </c>
    </row>
    <row r="1422" spans="1:25">
      <c r="A1422" s="1320" t="s">
        <v>5767</v>
      </c>
      <c r="B1422" s="1321"/>
      <c r="C1422" s="1322">
        <v>7</v>
      </c>
      <c r="D1422" s="1320" t="s">
        <v>5241</v>
      </c>
      <c r="E1422" s="1320" t="s">
        <v>4067</v>
      </c>
      <c r="F1422" s="1320">
        <f t="shared" si="683"/>
        <v>1074798.1721466575</v>
      </c>
      <c r="G1422" s="1320">
        <f t="shared" si="680"/>
        <v>0</v>
      </c>
      <c r="H1422" s="1320">
        <f t="shared" si="680"/>
        <v>1074798.1721466575</v>
      </c>
      <c r="I1422" s="1323">
        <f t="shared" si="681"/>
        <v>1</v>
      </c>
      <c r="J1422" s="1324">
        <f t="shared" si="682"/>
        <v>1074798.1721466575</v>
      </c>
      <c r="K1422" s="1324">
        <f t="shared" si="682"/>
        <v>784208.49557533243</v>
      </c>
      <c r="L1422" s="1324">
        <f t="shared" si="682"/>
        <v>63144.347479122996</v>
      </c>
      <c r="M1422" s="1324">
        <f t="shared" si="682"/>
        <v>223557.32386837289</v>
      </c>
      <c r="N1422" s="1325">
        <f t="shared" si="682"/>
        <v>0</v>
      </c>
      <c r="O1422" s="1325">
        <f t="shared" si="682"/>
        <v>0</v>
      </c>
      <c r="P1422" s="1325">
        <f t="shared" si="682"/>
        <v>3888.0052238290587</v>
      </c>
      <c r="Q1422" s="1324">
        <f t="shared" si="682"/>
        <v>0</v>
      </c>
      <c r="S1422" s="1321"/>
      <c r="T1422" s="1321"/>
      <c r="U1422" s="1326"/>
      <c r="V1422" s="1320" t="s">
        <v>5774</v>
      </c>
    </row>
    <row r="1423" spans="1:25">
      <c r="A1423" s="1320" t="s">
        <v>5767</v>
      </c>
      <c r="B1423" s="1321"/>
      <c r="C1423" s="1322">
        <v>8</v>
      </c>
      <c r="D1423" s="1320" t="s">
        <v>5242</v>
      </c>
      <c r="E1423" s="1320" t="s">
        <v>4071</v>
      </c>
      <c r="F1423" s="1320">
        <f t="shared" si="683"/>
        <v>1011029.5953512132</v>
      </c>
      <c r="G1423" s="1320">
        <f t="shared" si="680"/>
        <v>0</v>
      </c>
      <c r="H1423" s="1320">
        <f t="shared" si="680"/>
        <v>1011029.5953512132</v>
      </c>
      <c r="I1423" s="1323">
        <f t="shared" si="681"/>
        <v>1</v>
      </c>
      <c r="J1423" s="1324">
        <f t="shared" si="682"/>
        <v>1011029.5953512132</v>
      </c>
      <c r="K1423" s="1324">
        <f t="shared" si="682"/>
        <v>372722.85577154369</v>
      </c>
      <c r="L1423" s="1324">
        <f t="shared" si="682"/>
        <v>56537.1564456712</v>
      </c>
      <c r="M1423" s="1324">
        <f t="shared" si="682"/>
        <v>27256.520327516886</v>
      </c>
      <c r="N1423" s="1325">
        <f t="shared" si="682"/>
        <v>1757.0954363498297</v>
      </c>
      <c r="O1423" s="1325">
        <f t="shared" si="682"/>
        <v>1917.0648806273884</v>
      </c>
      <c r="P1423" s="1325">
        <f t="shared" si="682"/>
        <v>439.98926748263744</v>
      </c>
      <c r="Q1423" s="1324">
        <f t="shared" si="682"/>
        <v>550398.91322202166</v>
      </c>
      <c r="S1423" s="1321"/>
      <c r="T1423" s="1321"/>
      <c r="U1423" s="1326"/>
      <c r="V1423" s="1320" t="s">
        <v>5776</v>
      </c>
    </row>
    <row r="1424" spans="1:25">
      <c r="A1424" s="1320" t="s">
        <v>5767</v>
      </c>
      <c r="B1424" s="1321"/>
      <c r="C1424" s="1322">
        <v>9</v>
      </c>
      <c r="D1424" s="1320" t="s">
        <v>5244</v>
      </c>
      <c r="E1424" s="1320" t="s">
        <v>4071</v>
      </c>
      <c r="F1424" s="1320">
        <f t="shared" si="683"/>
        <v>245143.87349825987</v>
      </c>
      <c r="G1424" s="1350">
        <f t="shared" si="680"/>
        <v>0</v>
      </c>
      <c r="H1424" s="1350">
        <f t="shared" si="680"/>
        <v>245143.87349825987</v>
      </c>
      <c r="I1424" s="1323">
        <f t="shared" si="681"/>
        <v>1</v>
      </c>
      <c r="J1424" s="1366">
        <f t="shared" si="682"/>
        <v>245143.87349825987</v>
      </c>
      <c r="K1424" s="1366">
        <f t="shared" si="682"/>
        <v>218640.58844120818</v>
      </c>
      <c r="L1424" s="1366">
        <f t="shared" si="682"/>
        <v>21195.236804501328</v>
      </c>
      <c r="M1424" s="1366">
        <f t="shared" si="682"/>
        <v>5220.2061943863555</v>
      </c>
      <c r="N1424" s="1378">
        <f t="shared" si="682"/>
        <v>17.625267333875399</v>
      </c>
      <c r="O1424" s="1378">
        <f t="shared" si="682"/>
        <v>3.1270635592359586</v>
      </c>
      <c r="P1424" s="1378">
        <f t="shared" si="682"/>
        <v>67.089727270880559</v>
      </c>
      <c r="Q1424" s="1366">
        <f t="shared" si="682"/>
        <v>0</v>
      </c>
      <c r="R1424" s="1358"/>
      <c r="S1424" s="1321"/>
      <c r="T1424" s="1321"/>
      <c r="U1424" s="1326"/>
      <c r="V1424" s="1320" t="s">
        <v>5776</v>
      </c>
    </row>
    <row r="1425" spans="1:27">
      <c r="A1425" s="1320" t="s">
        <v>5767</v>
      </c>
      <c r="B1425" s="1321"/>
      <c r="C1425" s="1322">
        <v>10</v>
      </c>
      <c r="D1425" s="1320" t="s">
        <v>5667</v>
      </c>
      <c r="F1425" s="1427">
        <f>+SUM(F1417:F1424)</f>
        <v>13492110.214790912</v>
      </c>
      <c r="G1425" s="1427">
        <f>SUM(G1417:G1424)</f>
        <v>74031.718711794587</v>
      </c>
      <c r="H1425" s="1427">
        <f>SUM(H1417:H1424)</f>
        <v>13418078.496079115</v>
      </c>
      <c r="I1425" s="1323">
        <f t="shared" si="681"/>
        <v>0.99451296220285546</v>
      </c>
      <c r="J1425" s="1421">
        <f t="shared" ref="J1425:Q1425" si="684">SUM(J1417:J1424)</f>
        <v>13418078.496079115</v>
      </c>
      <c r="K1425" s="1421">
        <f t="shared" si="684"/>
        <v>7803885.0947677484</v>
      </c>
      <c r="L1425" s="1421">
        <f t="shared" si="684"/>
        <v>662195.73843000806</v>
      </c>
      <c r="M1425" s="1421">
        <f t="shared" si="684"/>
        <v>3678113.1537560457</v>
      </c>
      <c r="N1425" s="1422">
        <f t="shared" si="684"/>
        <v>431243.51533000369</v>
      </c>
      <c r="O1425" s="1422">
        <f>SUM(O1417:O1424)</f>
        <v>263579.70031578641</v>
      </c>
      <c r="P1425" s="1422">
        <f>SUM(P1417:P1424)</f>
        <v>28662.380257504039</v>
      </c>
      <c r="Q1425" s="1421">
        <f t="shared" si="684"/>
        <v>550398.91322202166</v>
      </c>
      <c r="R1425" s="1358"/>
      <c r="S1425" s="1321"/>
      <c r="T1425" s="1321"/>
      <c r="U1425" s="1326"/>
      <c r="V1425" s="1320" t="s">
        <v>5704</v>
      </c>
      <c r="Y1425" s="1324"/>
    </row>
    <row r="1426" spans="1:27">
      <c r="A1426" s="1320" t="s">
        <v>5767</v>
      </c>
      <c r="B1426" s="1321"/>
      <c r="C1426" s="1322">
        <v>11</v>
      </c>
      <c r="G1426" s="1320"/>
      <c r="S1426" s="1321"/>
      <c r="T1426" s="1321"/>
      <c r="U1426" s="1326"/>
      <c r="Y1426" s="1324"/>
    </row>
    <row r="1427" spans="1:27">
      <c r="A1427" s="1320" t="s">
        <v>5767</v>
      </c>
      <c r="B1427" s="1321"/>
      <c r="C1427" s="1322">
        <v>12</v>
      </c>
      <c r="D1427" s="1356" t="s">
        <v>5777</v>
      </c>
      <c r="G1427" s="1320"/>
      <c r="S1427" s="1321"/>
      <c r="T1427" s="1321"/>
      <c r="U1427" s="1326"/>
      <c r="Y1427" s="1324"/>
    </row>
    <row r="1428" spans="1:27">
      <c r="A1428" s="1320" t="s">
        <v>5767</v>
      </c>
      <c r="B1428" s="1321"/>
      <c r="C1428" s="1322">
        <v>13</v>
      </c>
      <c r="D1428" s="1320" t="s">
        <v>5265</v>
      </c>
      <c r="E1428" s="1320" t="s">
        <v>4067</v>
      </c>
      <c r="F1428" s="1320">
        <f>+F1033+F1034</f>
        <v>26353.446</v>
      </c>
      <c r="G1428" s="1320">
        <f>+G1033+G1034</f>
        <v>0</v>
      </c>
      <c r="H1428" s="1320">
        <f>+H1033+H1034</f>
        <v>26353.446</v>
      </c>
      <c r="I1428" s="1323">
        <f>IF(F1428=0,0,+H1428/F1428)</f>
        <v>1</v>
      </c>
      <c r="J1428" s="1324">
        <f>+J1033+J1034</f>
        <v>26353.446</v>
      </c>
      <c r="K1428" s="1324">
        <f t="shared" ref="K1428:Q1428" si="685">+K1033+K1034</f>
        <v>15132.535210483917</v>
      </c>
      <c r="L1428" s="1324">
        <f t="shared" si="685"/>
        <v>1258.4313991426893</v>
      </c>
      <c r="M1428" s="1324">
        <f t="shared" si="685"/>
        <v>8144.4551546976118</v>
      </c>
      <c r="N1428" s="1324">
        <f t="shared" si="685"/>
        <v>1040.9164897954138</v>
      </c>
      <c r="O1428" s="1324">
        <f t="shared" si="685"/>
        <v>749.1508634816945</v>
      </c>
      <c r="P1428" s="1324">
        <f t="shared" si="685"/>
        <v>27.956882398675472</v>
      </c>
      <c r="Q1428" s="1324">
        <f t="shared" si="685"/>
        <v>0</v>
      </c>
      <c r="S1428" s="1321"/>
      <c r="T1428" s="1321"/>
      <c r="U1428" s="1326"/>
      <c r="V1428" s="1320" t="s">
        <v>5778</v>
      </c>
      <c r="Y1428" s="1324"/>
    </row>
    <row r="1429" spans="1:27">
      <c r="A1429" s="1320" t="s">
        <v>5767</v>
      </c>
      <c r="B1429" s="1321"/>
      <c r="C1429" s="1322">
        <v>14</v>
      </c>
      <c r="D1429" s="1320" t="s">
        <v>5265</v>
      </c>
      <c r="E1429" s="1320" t="s">
        <v>2067</v>
      </c>
      <c r="F1429" s="1358">
        <f t="shared" ref="F1429:F1435" si="686">+F1035</f>
        <v>0</v>
      </c>
      <c r="G1429" s="1358">
        <f t="shared" ref="G1429:H1435" si="687">+G1035</f>
        <v>0</v>
      </c>
      <c r="H1429" s="1358">
        <f t="shared" si="687"/>
        <v>0</v>
      </c>
      <c r="I1429" s="1323">
        <f t="shared" ref="I1429:I1435" si="688">IF(F1429=0,0,+H1429/F1429)</f>
        <v>0</v>
      </c>
      <c r="J1429" s="1364">
        <f t="shared" ref="J1429:Q1435" si="689">+J1035</f>
        <v>0</v>
      </c>
      <c r="K1429" s="1364">
        <f t="shared" si="689"/>
        <v>0</v>
      </c>
      <c r="L1429" s="1364">
        <f t="shared" si="689"/>
        <v>0</v>
      </c>
      <c r="M1429" s="1364">
        <f t="shared" si="689"/>
        <v>0</v>
      </c>
      <c r="N1429" s="1367">
        <f t="shared" si="689"/>
        <v>0</v>
      </c>
      <c r="O1429" s="1367">
        <f t="shared" si="689"/>
        <v>0</v>
      </c>
      <c r="P1429" s="1367">
        <f t="shared" si="689"/>
        <v>0</v>
      </c>
      <c r="Q1429" s="1364">
        <f t="shared" si="689"/>
        <v>0</v>
      </c>
      <c r="R1429" s="1358"/>
      <c r="S1429" s="1321"/>
      <c r="T1429" s="1321"/>
      <c r="U1429" s="1326"/>
      <c r="V1429" s="1320" t="s">
        <v>5779</v>
      </c>
      <c r="Y1429" s="1324"/>
    </row>
    <row r="1430" spans="1:27">
      <c r="A1430" s="1320" t="s">
        <v>5767</v>
      </c>
      <c r="B1430" s="1321"/>
      <c r="C1430" s="1322">
        <v>15</v>
      </c>
      <c r="D1430" s="1320" t="s">
        <v>5268</v>
      </c>
      <c r="E1430" s="1320" t="s">
        <v>4067</v>
      </c>
      <c r="F1430" s="1358">
        <f t="shared" si="686"/>
        <v>11373.125945033229</v>
      </c>
      <c r="G1430" s="1358">
        <f t="shared" si="687"/>
        <v>736.82907250420544</v>
      </c>
      <c r="H1430" s="1358">
        <f t="shared" si="687"/>
        <v>10636.296872529023</v>
      </c>
      <c r="I1430" s="1323">
        <f>IF(F1430=0,0,+H1430/F1430)</f>
        <v>0.93521314403222733</v>
      </c>
      <c r="J1430" s="1364">
        <f t="shared" si="689"/>
        <v>10636.296872529023</v>
      </c>
      <c r="K1430" s="1364">
        <f t="shared" si="689"/>
        <v>6169.1908846939359</v>
      </c>
      <c r="L1430" s="1364">
        <f t="shared" si="689"/>
        <v>508.8960221034809</v>
      </c>
      <c r="M1430" s="1364">
        <f t="shared" si="689"/>
        <v>3253.1166062387365</v>
      </c>
      <c r="N1430" s="1367">
        <f t="shared" si="689"/>
        <v>406.10847489748772</v>
      </c>
      <c r="O1430" s="1367">
        <f t="shared" si="689"/>
        <v>291.44382873211356</v>
      </c>
      <c r="P1430" s="1367">
        <f t="shared" si="689"/>
        <v>7.5410558632688005</v>
      </c>
      <c r="Q1430" s="1364">
        <f t="shared" si="689"/>
        <v>0</v>
      </c>
      <c r="R1430" s="1358"/>
      <c r="S1430" s="1321"/>
      <c r="T1430" s="1321"/>
      <c r="U1430" s="1326"/>
      <c r="V1430" s="1320" t="s">
        <v>5780</v>
      </c>
      <c r="Y1430" s="1324"/>
    </row>
    <row r="1431" spans="1:27">
      <c r="A1431" s="1320" t="s">
        <v>5767</v>
      </c>
      <c r="B1431" s="1321"/>
      <c r="C1431" s="1322">
        <v>16</v>
      </c>
      <c r="D1431" s="1320" t="s">
        <v>5239</v>
      </c>
      <c r="E1431" s="1320" t="s">
        <v>4067</v>
      </c>
      <c r="F1431" s="1358">
        <f t="shared" si="686"/>
        <v>11177.485054966772</v>
      </c>
      <c r="G1431" s="1358">
        <f t="shared" si="687"/>
        <v>724.1541143380631</v>
      </c>
      <c r="H1431" s="1358">
        <f t="shared" si="687"/>
        <v>10453.330940628708</v>
      </c>
      <c r="I1431" s="1323">
        <f>IF(F1431=0,0,+H1431/F1431)</f>
        <v>0.93521314403222733</v>
      </c>
      <c r="J1431" s="1364">
        <f t="shared" si="689"/>
        <v>10453.330940628708</v>
      </c>
      <c r="K1431" s="1364">
        <f t="shared" si="689"/>
        <v>6063.0682582933659</v>
      </c>
      <c r="L1431" s="1364">
        <f t="shared" si="689"/>
        <v>500.14197583715219</v>
      </c>
      <c r="M1431" s="1364">
        <f t="shared" si="689"/>
        <v>3197.1563863826941</v>
      </c>
      <c r="N1431" s="1367">
        <f t="shared" si="689"/>
        <v>399.12258343049194</v>
      </c>
      <c r="O1431" s="1367">
        <f t="shared" si="689"/>
        <v>286.43040231504068</v>
      </c>
      <c r="P1431" s="1367">
        <f t="shared" si="689"/>
        <v>7.4113343699642193</v>
      </c>
      <c r="Q1431" s="1364">
        <f t="shared" si="689"/>
        <v>0</v>
      </c>
      <c r="R1431" s="1358"/>
      <c r="S1431" s="1321"/>
      <c r="T1431" s="1321"/>
      <c r="U1431" s="1326"/>
      <c r="V1431" s="1320" t="s">
        <v>5781</v>
      </c>
      <c r="Y1431" s="1324"/>
    </row>
    <row r="1432" spans="1:27">
      <c r="A1432" s="1320" t="s">
        <v>5767</v>
      </c>
      <c r="B1432" s="1321"/>
      <c r="C1432" s="1322">
        <v>17</v>
      </c>
      <c r="D1432" s="1320" t="s">
        <v>5240</v>
      </c>
      <c r="E1432" s="1320" t="s">
        <v>4067</v>
      </c>
      <c r="F1432" s="1358">
        <f t="shared" si="686"/>
        <v>20590.486000000001</v>
      </c>
      <c r="G1432" s="1358">
        <f t="shared" si="687"/>
        <v>0</v>
      </c>
      <c r="H1432" s="1358">
        <f t="shared" si="687"/>
        <v>20590.486000000001</v>
      </c>
      <c r="I1432" s="1323">
        <f>IF(F1432=0,0,+H1432/F1432)</f>
        <v>1</v>
      </c>
      <c r="J1432" s="1364">
        <f t="shared" si="689"/>
        <v>20590.486000000001</v>
      </c>
      <c r="K1432" s="1364">
        <f t="shared" si="689"/>
        <v>12815.848182846948</v>
      </c>
      <c r="L1432" s="1364">
        <f t="shared" si="689"/>
        <v>911.49526567237319</v>
      </c>
      <c r="M1432" s="1364">
        <f t="shared" si="689"/>
        <v>6103.0299175305599</v>
      </c>
      <c r="N1432" s="1367">
        <f t="shared" si="689"/>
        <v>641.91603925549816</v>
      </c>
      <c r="O1432" s="1367">
        <f t="shared" si="689"/>
        <v>4.382877663433109E-4</v>
      </c>
      <c r="P1432" s="1367">
        <f t="shared" si="689"/>
        <v>118.19615640685933</v>
      </c>
      <c r="Q1432" s="1364">
        <f t="shared" si="689"/>
        <v>0</v>
      </c>
      <c r="R1432" s="1358"/>
      <c r="S1432" s="1321"/>
      <c r="T1432" s="1321"/>
      <c r="U1432" s="1326"/>
      <c r="V1432" s="1320" t="s">
        <v>5782</v>
      </c>
      <c r="Y1432" s="1324"/>
    </row>
    <row r="1433" spans="1:27">
      <c r="A1433" s="1320" t="s">
        <v>5767</v>
      </c>
      <c r="B1433" s="1321"/>
      <c r="C1433" s="1322">
        <v>18</v>
      </c>
      <c r="D1433" s="1320" t="s">
        <v>5241</v>
      </c>
      <c r="E1433" s="1320" t="s">
        <v>4067</v>
      </c>
      <c r="F1433" s="1358">
        <f t="shared" si="686"/>
        <v>0</v>
      </c>
      <c r="G1433" s="1358">
        <f t="shared" si="687"/>
        <v>0</v>
      </c>
      <c r="H1433" s="1358">
        <f t="shared" si="687"/>
        <v>0</v>
      </c>
      <c r="I1433" s="1323">
        <f t="shared" si="688"/>
        <v>0</v>
      </c>
      <c r="J1433" s="1364">
        <f t="shared" si="689"/>
        <v>0</v>
      </c>
      <c r="K1433" s="1364">
        <f t="shared" si="689"/>
        <v>0</v>
      </c>
      <c r="L1433" s="1364">
        <f t="shared" si="689"/>
        <v>0</v>
      </c>
      <c r="M1433" s="1364">
        <f t="shared" si="689"/>
        <v>0</v>
      </c>
      <c r="N1433" s="1367">
        <f t="shared" si="689"/>
        <v>0</v>
      </c>
      <c r="O1433" s="1367">
        <f t="shared" si="689"/>
        <v>0</v>
      </c>
      <c r="P1433" s="1367">
        <f t="shared" si="689"/>
        <v>0</v>
      </c>
      <c r="Q1433" s="1364">
        <f t="shared" si="689"/>
        <v>0</v>
      </c>
      <c r="R1433" s="1358"/>
      <c r="S1433" s="1321"/>
      <c r="T1433" s="1321"/>
      <c r="U1433" s="1326"/>
      <c r="V1433" s="1320" t="s">
        <v>5783</v>
      </c>
    </row>
    <row r="1434" spans="1:27">
      <c r="A1434" s="1320" t="s">
        <v>5767</v>
      </c>
      <c r="B1434" s="1321"/>
      <c r="C1434" s="1322">
        <v>19</v>
      </c>
      <c r="D1434" s="1320" t="s">
        <v>5242</v>
      </c>
      <c r="E1434" s="1320" t="s">
        <v>4071</v>
      </c>
      <c r="F1434" s="1358">
        <f t="shared" si="686"/>
        <v>0</v>
      </c>
      <c r="G1434" s="1358">
        <f t="shared" si="687"/>
        <v>0</v>
      </c>
      <c r="H1434" s="1358">
        <f t="shared" si="687"/>
        <v>0</v>
      </c>
      <c r="I1434" s="1323">
        <f t="shared" si="688"/>
        <v>0</v>
      </c>
      <c r="J1434" s="1364">
        <f t="shared" si="689"/>
        <v>0</v>
      </c>
      <c r="K1434" s="1364">
        <f t="shared" si="689"/>
        <v>0</v>
      </c>
      <c r="L1434" s="1364">
        <f t="shared" si="689"/>
        <v>0</v>
      </c>
      <c r="M1434" s="1364">
        <f t="shared" si="689"/>
        <v>0</v>
      </c>
      <c r="N1434" s="1367">
        <f t="shared" si="689"/>
        <v>0</v>
      </c>
      <c r="O1434" s="1367">
        <f t="shared" si="689"/>
        <v>0</v>
      </c>
      <c r="P1434" s="1367">
        <f t="shared" si="689"/>
        <v>0</v>
      </c>
      <c r="Q1434" s="1364">
        <f t="shared" si="689"/>
        <v>0</v>
      </c>
      <c r="R1434" s="1358"/>
      <c r="S1434" s="1321"/>
      <c r="T1434" s="1321"/>
      <c r="U1434" s="1326"/>
      <c r="V1434" s="1320" t="s">
        <v>5784</v>
      </c>
    </row>
    <row r="1435" spans="1:27">
      <c r="A1435" s="1320" t="s">
        <v>5767</v>
      </c>
      <c r="B1435" s="1321"/>
      <c r="C1435" s="1322">
        <v>20</v>
      </c>
      <c r="D1435" s="1320" t="s">
        <v>5244</v>
      </c>
      <c r="E1435" s="1320" t="s">
        <v>4071</v>
      </c>
      <c r="F1435" s="1358">
        <f t="shared" si="686"/>
        <v>0</v>
      </c>
      <c r="G1435" s="1350">
        <f t="shared" si="687"/>
        <v>0</v>
      </c>
      <c r="H1435" s="1350">
        <f t="shared" si="687"/>
        <v>0</v>
      </c>
      <c r="I1435" s="1323">
        <f t="shared" si="688"/>
        <v>0</v>
      </c>
      <c r="J1435" s="1366">
        <f t="shared" si="689"/>
        <v>0</v>
      </c>
      <c r="K1435" s="1366">
        <f t="shared" si="689"/>
        <v>0</v>
      </c>
      <c r="L1435" s="1366">
        <f t="shared" si="689"/>
        <v>0</v>
      </c>
      <c r="M1435" s="1366">
        <f t="shared" si="689"/>
        <v>0</v>
      </c>
      <c r="N1435" s="1378">
        <f t="shared" si="689"/>
        <v>0</v>
      </c>
      <c r="O1435" s="1378">
        <f t="shared" si="689"/>
        <v>0</v>
      </c>
      <c r="P1435" s="1378">
        <f t="shared" si="689"/>
        <v>0</v>
      </c>
      <c r="Q1435" s="1366">
        <f t="shared" si="689"/>
        <v>0</v>
      </c>
      <c r="R1435" s="1358"/>
      <c r="S1435" s="1321"/>
      <c r="T1435" s="1321"/>
      <c r="U1435" s="1326"/>
      <c r="V1435" s="1320" t="s">
        <v>5785</v>
      </c>
      <c r="Y1435" s="1324"/>
    </row>
    <row r="1436" spans="1:27">
      <c r="A1436" s="1320" t="s">
        <v>5767</v>
      </c>
      <c r="B1436" s="1321"/>
      <c r="C1436" s="1322">
        <v>21</v>
      </c>
      <c r="D1436" s="1320" t="s">
        <v>5672</v>
      </c>
      <c r="F1436" s="1427">
        <f>+SUM(F1428:F1435)</f>
        <v>69494.543000000005</v>
      </c>
      <c r="G1436" s="1427">
        <f>SUM(G1428:G1435)</f>
        <v>1460.9831868422684</v>
      </c>
      <c r="H1436" s="1427">
        <f>SUM(H1428:H1435)</f>
        <v>68033.559813157728</v>
      </c>
      <c r="I1436" s="1323">
        <f>IF(F1436=0,0,+H1436/F1436)</f>
        <v>0.97897700849918134</v>
      </c>
      <c r="J1436" s="1421">
        <f t="shared" ref="J1436:Q1436" si="690">SUM(J1428:J1435)</f>
        <v>68033.559813157728</v>
      </c>
      <c r="K1436" s="1421">
        <f t="shared" si="690"/>
        <v>40180.642536318162</v>
      </c>
      <c r="L1436" s="1421">
        <f t="shared" si="690"/>
        <v>3178.9646627556954</v>
      </c>
      <c r="M1436" s="1421">
        <f t="shared" si="690"/>
        <v>20697.758064849604</v>
      </c>
      <c r="N1436" s="1422">
        <f t="shared" si="690"/>
        <v>2488.0635873788915</v>
      </c>
      <c r="O1436" s="1422">
        <f>SUM(O1428:O1435)</f>
        <v>1327.0255328166152</v>
      </c>
      <c r="P1436" s="1422">
        <f>SUM(P1428:P1435)</f>
        <v>161.10542903876782</v>
      </c>
      <c r="Q1436" s="1421">
        <f t="shared" si="690"/>
        <v>0</v>
      </c>
      <c r="R1436" s="1358"/>
      <c r="S1436" s="1321"/>
      <c r="T1436" s="1321"/>
      <c r="U1436" s="1326"/>
      <c r="V1436" s="1320" t="s">
        <v>5707</v>
      </c>
      <c r="Y1436" s="1324"/>
    </row>
    <row r="1437" spans="1:27">
      <c r="A1437" s="1320" t="s">
        <v>5767</v>
      </c>
      <c r="B1437" s="1321"/>
      <c r="C1437" s="1322">
        <v>22</v>
      </c>
      <c r="G1437" s="1320"/>
      <c r="S1437" s="1321"/>
      <c r="T1437" s="1321"/>
      <c r="U1437" s="1326"/>
    </row>
    <row r="1438" spans="1:27">
      <c r="A1438" s="1320" t="s">
        <v>5767</v>
      </c>
      <c r="B1438" s="1321"/>
      <c r="C1438" s="1322">
        <v>23</v>
      </c>
      <c r="D1438" s="1356" t="s">
        <v>5786</v>
      </c>
      <c r="G1438" s="1320"/>
      <c r="S1438" s="1321"/>
      <c r="T1438" s="1321"/>
      <c r="U1438" s="1326"/>
    </row>
    <row r="1439" spans="1:27" s="1324" customFormat="1">
      <c r="A1439" s="1324" t="s">
        <v>5767</v>
      </c>
      <c r="C1439" s="1393">
        <v>24</v>
      </c>
      <c r="D1439" s="1324" t="s">
        <v>5265</v>
      </c>
      <c r="E1439" s="1324" t="s">
        <v>4067</v>
      </c>
      <c r="F1439" s="1324">
        <f t="shared" ref="F1439:F1446" si="691">+F1417+F1428</f>
        <v>7225506.9599943599</v>
      </c>
      <c r="G1439" s="1324">
        <f t="shared" ref="G1439:H1446" si="692">+G1417+G1428</f>
        <v>0</v>
      </c>
      <c r="H1439" s="1324">
        <f t="shared" si="692"/>
        <v>7225506.9599943599</v>
      </c>
      <c r="I1439" s="1374">
        <f t="shared" ref="I1439:I1447" si="693">IF(F1439=0,0,+H1439/F1439)</f>
        <v>1</v>
      </c>
      <c r="J1439" s="1324">
        <f t="shared" ref="J1439:Q1446" si="694">+J1417+J1428</f>
        <v>7225506.9599943599</v>
      </c>
      <c r="K1439" s="1324">
        <f t="shared" si="694"/>
        <v>4148992.0705516557</v>
      </c>
      <c r="L1439" s="1324">
        <f t="shared" si="694"/>
        <v>345032.85958052473</v>
      </c>
      <c r="M1439" s="1324">
        <f t="shared" si="694"/>
        <v>2233021.7234448022</v>
      </c>
      <c r="N1439" s="1325">
        <f t="shared" si="694"/>
        <v>285395.28916976013</v>
      </c>
      <c r="O1439" s="1325">
        <f t="shared" si="694"/>
        <v>205399.88501590144</v>
      </c>
      <c r="P1439" s="1325">
        <f t="shared" si="694"/>
        <v>7665.1322317154827</v>
      </c>
      <c r="Q1439" s="1324">
        <f t="shared" si="694"/>
        <v>0</v>
      </c>
      <c r="V1439" s="1324" t="s">
        <v>5787</v>
      </c>
      <c r="AA1439" s="1320"/>
    </row>
    <row r="1440" spans="1:27" s="1324" customFormat="1">
      <c r="A1440" s="1324" t="s">
        <v>5767</v>
      </c>
      <c r="C1440" s="1393">
        <v>25</v>
      </c>
      <c r="D1440" s="1324" t="s">
        <v>5265</v>
      </c>
      <c r="E1440" s="1324" t="s">
        <v>2067</v>
      </c>
      <c r="F1440" s="1324">
        <f t="shared" si="691"/>
        <v>680548.35013101739</v>
      </c>
      <c r="G1440" s="1324">
        <f t="shared" si="692"/>
        <v>0</v>
      </c>
      <c r="H1440" s="1324">
        <f t="shared" si="692"/>
        <v>680548.35013101739</v>
      </c>
      <c r="I1440" s="1374">
        <f t="shared" si="693"/>
        <v>1</v>
      </c>
      <c r="J1440" s="1324">
        <f t="shared" si="694"/>
        <v>680548.35013101739</v>
      </c>
      <c r="K1440" s="1324">
        <f t="shared" si="694"/>
        <v>343427.96217085293</v>
      </c>
      <c r="L1440" s="1324">
        <f t="shared" si="694"/>
        <v>31736.763978782128</v>
      </c>
      <c r="M1440" s="1324">
        <f t="shared" si="694"/>
        <v>236426.56467645097</v>
      </c>
      <c r="N1440" s="1325">
        <f t="shared" si="694"/>
        <v>37635.307650023817</v>
      </c>
      <c r="O1440" s="1325">
        <f t="shared" si="694"/>
        <v>27726.377665713924</v>
      </c>
      <c r="P1440" s="1325">
        <f t="shared" si="694"/>
        <v>3595.3739891935147</v>
      </c>
      <c r="Q1440" s="1324">
        <f t="shared" si="694"/>
        <v>0</v>
      </c>
      <c r="V1440" s="1324" t="s">
        <v>5788</v>
      </c>
      <c r="AA1440" s="1320"/>
    </row>
    <row r="1441" spans="1:27" s="1324" customFormat="1">
      <c r="A1441" s="1324" t="s">
        <v>5767</v>
      </c>
      <c r="C1441" s="1393">
        <v>26</v>
      </c>
      <c r="D1441" s="1324" t="s">
        <v>5268</v>
      </c>
      <c r="E1441" s="1324" t="s">
        <v>4067</v>
      </c>
      <c r="F1441" s="1324">
        <f t="shared" si="691"/>
        <v>570453.0494615928</v>
      </c>
      <c r="G1441" s="1324">
        <f t="shared" si="692"/>
        <v>36957.859551844871</v>
      </c>
      <c r="H1441" s="1324">
        <f t="shared" si="692"/>
        <v>533495.1899097478</v>
      </c>
      <c r="I1441" s="1374">
        <f t="shared" si="693"/>
        <v>0.93521314403222722</v>
      </c>
      <c r="J1441" s="1324">
        <f t="shared" si="694"/>
        <v>533495.1899097478</v>
      </c>
      <c r="K1441" s="1324">
        <f t="shared" si="694"/>
        <v>309434.16699093237</v>
      </c>
      <c r="L1441" s="1324">
        <f t="shared" si="694"/>
        <v>25525.197651977342</v>
      </c>
      <c r="M1441" s="1324">
        <f t="shared" si="694"/>
        <v>163169.76504541931</v>
      </c>
      <c r="N1441" s="1325">
        <f t="shared" si="694"/>
        <v>20369.581682038755</v>
      </c>
      <c r="O1441" s="1325">
        <f t="shared" si="694"/>
        <v>14618.234393122304</v>
      </c>
      <c r="P1441" s="1325">
        <f t="shared" si="694"/>
        <v>378.24414625783362</v>
      </c>
      <c r="Q1441" s="1324">
        <f t="shared" si="694"/>
        <v>0</v>
      </c>
      <c r="V1441" s="1324" t="s">
        <v>5789</v>
      </c>
      <c r="AA1441" s="1320"/>
    </row>
    <row r="1442" spans="1:27" s="1324" customFormat="1">
      <c r="A1442" s="1324" t="s">
        <v>5767</v>
      </c>
      <c r="C1442" s="1393">
        <v>27</v>
      </c>
      <c r="D1442" s="1324" t="s">
        <v>5239</v>
      </c>
      <c r="E1442" s="1324" t="s">
        <v>4067</v>
      </c>
      <c r="F1442" s="1324">
        <f t="shared" si="691"/>
        <v>594794.14105170744</v>
      </c>
      <c r="G1442" s="1324">
        <f t="shared" si="692"/>
        <v>38534.842346791978</v>
      </c>
      <c r="H1442" s="1324">
        <f t="shared" si="692"/>
        <v>556259.29870491521</v>
      </c>
      <c r="I1442" s="1374">
        <f t="shared" si="693"/>
        <v>0.935213144032227</v>
      </c>
      <c r="J1442" s="1324">
        <f t="shared" si="694"/>
        <v>556259.29870491521</v>
      </c>
      <c r="K1442" s="1324">
        <f t="shared" si="694"/>
        <v>322637.64693892444</v>
      </c>
      <c r="L1442" s="1324">
        <f t="shared" si="694"/>
        <v>26614.351570058712</v>
      </c>
      <c r="M1442" s="1324">
        <f t="shared" si="694"/>
        <v>170132.17886625283</v>
      </c>
      <c r="N1442" s="1325">
        <f t="shared" si="694"/>
        <v>21238.746732243661</v>
      </c>
      <c r="O1442" s="1325">
        <f t="shared" si="694"/>
        <v>15241.990866305481</v>
      </c>
      <c r="P1442" s="1325">
        <f t="shared" si="694"/>
        <v>394.3837311302018</v>
      </c>
      <c r="Q1442" s="1324">
        <f t="shared" si="694"/>
        <v>0</v>
      </c>
      <c r="V1442" s="1324" t="s">
        <v>5790</v>
      </c>
      <c r="AA1442" s="1320"/>
    </row>
    <row r="1443" spans="1:27" s="1324" customFormat="1">
      <c r="A1443" s="1324" t="s">
        <v>5767</v>
      </c>
      <c r="C1443" s="1393">
        <v>28</v>
      </c>
      <c r="D1443" s="1324" t="s">
        <v>5240</v>
      </c>
      <c r="E1443" s="1324" t="s">
        <v>4067</v>
      </c>
      <c r="F1443" s="1324">
        <f t="shared" si="691"/>
        <v>2159330.6161561045</v>
      </c>
      <c r="G1443" s="1324">
        <f t="shared" si="692"/>
        <v>0</v>
      </c>
      <c r="H1443" s="1324">
        <f t="shared" si="692"/>
        <v>2159330.6161561045</v>
      </c>
      <c r="I1443" s="1374">
        <f t="shared" si="693"/>
        <v>1</v>
      </c>
      <c r="J1443" s="1324">
        <f t="shared" si="694"/>
        <v>2159330.6161561045</v>
      </c>
      <c r="K1443" s="1324">
        <f t="shared" si="694"/>
        <v>1344001.9508636172</v>
      </c>
      <c r="L1443" s="1324">
        <f t="shared" si="694"/>
        <v>95588.789582125362</v>
      </c>
      <c r="M1443" s="1324">
        <f t="shared" si="694"/>
        <v>640026.62939769402</v>
      </c>
      <c r="N1443" s="1325">
        <f t="shared" si="694"/>
        <v>67317.932979632489</v>
      </c>
      <c r="O1443" s="1325">
        <f t="shared" si="694"/>
        <v>4.5963373207984715E-2</v>
      </c>
      <c r="P1443" s="1325">
        <f t="shared" si="694"/>
        <v>12395.267369663197</v>
      </c>
      <c r="Q1443" s="1324">
        <f t="shared" si="694"/>
        <v>0</v>
      </c>
      <c r="V1443" s="1324" t="s">
        <v>5791</v>
      </c>
      <c r="AA1443" s="1320"/>
    </row>
    <row r="1444" spans="1:27" s="1324" customFormat="1">
      <c r="A1444" s="1324" t="s">
        <v>5767</v>
      </c>
      <c r="C1444" s="1393">
        <v>29</v>
      </c>
      <c r="D1444" s="1324" t="s">
        <v>5241</v>
      </c>
      <c r="E1444" s="1324" t="s">
        <v>4067</v>
      </c>
      <c r="F1444" s="1324">
        <f t="shared" si="691"/>
        <v>1074798.1721466575</v>
      </c>
      <c r="G1444" s="1324">
        <f t="shared" si="692"/>
        <v>0</v>
      </c>
      <c r="H1444" s="1324">
        <f t="shared" si="692"/>
        <v>1074798.1721466575</v>
      </c>
      <c r="I1444" s="1374">
        <f t="shared" si="693"/>
        <v>1</v>
      </c>
      <c r="J1444" s="1324">
        <f t="shared" si="694"/>
        <v>1074798.1721466575</v>
      </c>
      <c r="K1444" s="1324">
        <f t="shared" si="694"/>
        <v>784208.49557533243</v>
      </c>
      <c r="L1444" s="1324">
        <f t="shared" si="694"/>
        <v>63144.347479122996</v>
      </c>
      <c r="M1444" s="1324">
        <f t="shared" si="694"/>
        <v>223557.32386837289</v>
      </c>
      <c r="N1444" s="1325">
        <f t="shared" si="694"/>
        <v>0</v>
      </c>
      <c r="O1444" s="1325">
        <f t="shared" si="694"/>
        <v>0</v>
      </c>
      <c r="P1444" s="1325">
        <f t="shared" si="694"/>
        <v>3888.0052238290587</v>
      </c>
      <c r="Q1444" s="1324">
        <f t="shared" si="694"/>
        <v>0</v>
      </c>
      <c r="V1444" s="1324" t="s">
        <v>5792</v>
      </c>
      <c r="AA1444" s="1320"/>
    </row>
    <row r="1445" spans="1:27" s="1324" customFormat="1">
      <c r="A1445" s="1324" t="s">
        <v>5767</v>
      </c>
      <c r="C1445" s="1393">
        <v>30</v>
      </c>
      <c r="D1445" s="1324" t="s">
        <v>5242</v>
      </c>
      <c r="E1445" s="1324" t="s">
        <v>4071</v>
      </c>
      <c r="F1445" s="1324">
        <f t="shared" si="691"/>
        <v>1011029.5953512132</v>
      </c>
      <c r="G1445" s="1324">
        <f t="shared" si="692"/>
        <v>0</v>
      </c>
      <c r="H1445" s="1324">
        <f t="shared" si="692"/>
        <v>1011029.5953512132</v>
      </c>
      <c r="I1445" s="1374">
        <f t="shared" si="693"/>
        <v>1</v>
      </c>
      <c r="J1445" s="1324">
        <f t="shared" si="694"/>
        <v>1011029.5953512132</v>
      </c>
      <c r="K1445" s="1324">
        <f t="shared" si="694"/>
        <v>372722.85577154369</v>
      </c>
      <c r="L1445" s="1324">
        <f t="shared" si="694"/>
        <v>56537.1564456712</v>
      </c>
      <c r="M1445" s="1324">
        <f t="shared" si="694"/>
        <v>27256.520327516886</v>
      </c>
      <c r="N1445" s="1325">
        <f t="shared" si="694"/>
        <v>1757.0954363498297</v>
      </c>
      <c r="O1445" s="1325">
        <f t="shared" si="694"/>
        <v>1917.0648806273884</v>
      </c>
      <c r="P1445" s="1325">
        <f t="shared" si="694"/>
        <v>439.98926748263744</v>
      </c>
      <c r="Q1445" s="1324">
        <f t="shared" si="694"/>
        <v>550398.91322202166</v>
      </c>
      <c r="V1445" s="1324" t="s">
        <v>5793</v>
      </c>
      <c r="AA1445" s="1320"/>
    </row>
    <row r="1446" spans="1:27" s="1324" customFormat="1">
      <c r="A1446" s="1324" t="s">
        <v>5767</v>
      </c>
      <c r="C1446" s="1393">
        <v>31</v>
      </c>
      <c r="D1446" s="1324" t="s">
        <v>5244</v>
      </c>
      <c r="E1446" s="1324" t="s">
        <v>4071</v>
      </c>
      <c r="F1446" s="1324">
        <f t="shared" si="691"/>
        <v>245143.87349825987</v>
      </c>
      <c r="G1446" s="1324">
        <f t="shared" si="692"/>
        <v>0</v>
      </c>
      <c r="H1446" s="1324">
        <f t="shared" si="692"/>
        <v>245143.87349825987</v>
      </c>
      <c r="I1446" s="1374">
        <f t="shared" si="693"/>
        <v>1</v>
      </c>
      <c r="J1446" s="1324">
        <f t="shared" si="694"/>
        <v>245143.87349825987</v>
      </c>
      <c r="K1446" s="1324">
        <f t="shared" si="694"/>
        <v>218640.58844120818</v>
      </c>
      <c r="L1446" s="1324">
        <f t="shared" si="694"/>
        <v>21195.236804501328</v>
      </c>
      <c r="M1446" s="1324">
        <f t="shared" si="694"/>
        <v>5220.2061943863555</v>
      </c>
      <c r="N1446" s="1325">
        <f t="shared" si="694"/>
        <v>17.625267333875399</v>
      </c>
      <c r="O1446" s="1325">
        <f t="shared" si="694"/>
        <v>3.1270635592359586</v>
      </c>
      <c r="P1446" s="1325">
        <f t="shared" si="694"/>
        <v>67.089727270880559</v>
      </c>
      <c r="Q1446" s="1324">
        <f t="shared" si="694"/>
        <v>0</v>
      </c>
      <c r="V1446" s="1324" t="s">
        <v>5794</v>
      </c>
      <c r="AA1446" s="1320"/>
    </row>
    <row r="1447" spans="1:27" s="1324" customFormat="1">
      <c r="A1447" s="1324" t="s">
        <v>5767</v>
      </c>
      <c r="B1447" s="1326"/>
      <c r="C1447" s="1393">
        <v>32</v>
      </c>
      <c r="D1447" s="1324" t="s">
        <v>4187</v>
      </c>
      <c r="F1447" s="1421">
        <f>+SUM(F1439:F1446)</f>
        <v>13561604.757790912</v>
      </c>
      <c r="G1447" s="1421">
        <f>SUM(G1439:G1446)</f>
        <v>75492.701898636849</v>
      </c>
      <c r="H1447" s="1421">
        <f>SUM(H1439:H1446)</f>
        <v>13486112.055892276</v>
      </c>
      <c r="I1447" s="1374">
        <f t="shared" si="693"/>
        <v>0.99443335038537628</v>
      </c>
      <c r="J1447" s="1421">
        <f t="shared" ref="J1447:Q1447" si="695">SUM(J1439:J1446)</f>
        <v>13486112.055892276</v>
      </c>
      <c r="K1447" s="1421">
        <f t="shared" si="695"/>
        <v>7844065.7373040663</v>
      </c>
      <c r="L1447" s="1421">
        <f t="shared" si="695"/>
        <v>665374.7030927639</v>
      </c>
      <c r="M1447" s="1421">
        <f t="shared" si="695"/>
        <v>3698810.9118208955</v>
      </c>
      <c r="N1447" s="1422">
        <f t="shared" si="695"/>
        <v>433731.57891738263</v>
      </c>
      <c r="O1447" s="1422">
        <f>SUM(O1439:O1446)</f>
        <v>264906.725848603</v>
      </c>
      <c r="P1447" s="1422">
        <f>SUM(P1439:P1446)</f>
        <v>28823.485686542805</v>
      </c>
      <c r="Q1447" s="1421">
        <f t="shared" si="695"/>
        <v>550398.91322202166</v>
      </c>
      <c r="R1447" s="1364"/>
      <c r="S1447" s="1326"/>
      <c r="T1447" s="1326"/>
      <c r="U1447" s="1326"/>
      <c r="V1447" s="1320" t="s">
        <v>5710</v>
      </c>
      <c r="AA1447" s="1320"/>
    </row>
    <row r="1448" spans="1:27">
      <c r="A1448" s="1320" t="s">
        <v>5767</v>
      </c>
      <c r="B1448" s="1321"/>
      <c r="C1448" s="1322">
        <v>33</v>
      </c>
      <c r="G1448" s="1320"/>
      <c r="S1448" s="1321"/>
      <c r="T1448" s="1321"/>
      <c r="U1448" s="1326"/>
      <c r="Y1448" s="1324"/>
    </row>
    <row r="1449" spans="1:27">
      <c r="A1449" s="1320" t="s">
        <v>5767</v>
      </c>
      <c r="B1449" s="1321"/>
      <c r="C1449" s="1322">
        <v>34</v>
      </c>
      <c r="D1449" s="1356" t="s">
        <v>5795</v>
      </c>
      <c r="G1449" s="1320"/>
      <c r="S1449" s="1321"/>
      <c r="T1449" s="1321"/>
      <c r="U1449" s="1326"/>
      <c r="Y1449" s="1324"/>
    </row>
    <row r="1450" spans="1:27" s="1324" customFormat="1">
      <c r="A1450" s="1324" t="s">
        <v>5767</v>
      </c>
      <c r="B1450" s="1326"/>
      <c r="C1450" s="1393">
        <v>35</v>
      </c>
      <c r="D1450" s="1324" t="s">
        <v>5265</v>
      </c>
      <c r="E1450" s="1324" t="s">
        <v>4067</v>
      </c>
      <c r="F1450" s="1324">
        <f>+F1200</f>
        <v>1928412.7989641612</v>
      </c>
      <c r="G1450" s="1324">
        <f t="shared" ref="G1450:H1457" si="696">+G1200</f>
        <v>0</v>
      </c>
      <c r="H1450" s="1324">
        <f t="shared" si="696"/>
        <v>1928412.7989641612</v>
      </c>
      <c r="I1450" s="1374">
        <f t="shared" ref="I1450:I1458" si="697">IF(F1450=0,0,+H1450/F1450)</f>
        <v>1</v>
      </c>
      <c r="J1450" s="1324">
        <f t="shared" ref="J1450:Q1457" si="698">+J1200</f>
        <v>1928412.7989641612</v>
      </c>
      <c r="K1450" s="1324">
        <f t="shared" si="698"/>
        <v>1107322.9125584946</v>
      </c>
      <c r="L1450" s="1324">
        <f t="shared" si="698"/>
        <v>92085.688403905093</v>
      </c>
      <c r="M1450" s="1324">
        <f t="shared" si="698"/>
        <v>595970.31678166543</v>
      </c>
      <c r="N1450" s="1325">
        <f t="shared" si="698"/>
        <v>76169.039964425305</v>
      </c>
      <c r="O1450" s="1325">
        <f t="shared" si="698"/>
        <v>54819.097035475083</v>
      </c>
      <c r="P1450" s="1325">
        <f t="shared" si="698"/>
        <v>2045.7442201957822</v>
      </c>
      <c r="Q1450" s="1324">
        <f t="shared" si="698"/>
        <v>0</v>
      </c>
      <c r="S1450" s="1326"/>
      <c r="T1450" s="1326"/>
      <c r="U1450" s="1326"/>
      <c r="V1450" s="1324" t="s">
        <v>5796</v>
      </c>
      <c r="AA1450" s="1320"/>
    </row>
    <row r="1451" spans="1:27" s="1324" customFormat="1">
      <c r="A1451" s="1324" t="s">
        <v>5767</v>
      </c>
      <c r="B1451" s="1326"/>
      <c r="C1451" s="1393">
        <v>36</v>
      </c>
      <c r="D1451" s="1324" t="s">
        <v>5265</v>
      </c>
      <c r="E1451" s="1324" t="s">
        <v>2067</v>
      </c>
      <c r="F1451" s="1324">
        <f t="shared" ref="F1451:F1457" si="699">+F1201</f>
        <v>322619.66777948913</v>
      </c>
      <c r="G1451" s="1324">
        <f t="shared" si="696"/>
        <v>0</v>
      </c>
      <c r="H1451" s="1324">
        <f t="shared" si="696"/>
        <v>322619.66777948913</v>
      </c>
      <c r="I1451" s="1374">
        <f t="shared" si="697"/>
        <v>1</v>
      </c>
      <c r="J1451" s="1324">
        <f t="shared" si="698"/>
        <v>322619.66777948913</v>
      </c>
      <c r="K1451" s="1324">
        <f t="shared" si="698"/>
        <v>162804.91318569396</v>
      </c>
      <c r="L1451" s="1324">
        <f t="shared" si="698"/>
        <v>15045.079823144944</v>
      </c>
      <c r="M1451" s="1324">
        <f t="shared" si="698"/>
        <v>112080.00098079453</v>
      </c>
      <c r="N1451" s="1325">
        <f t="shared" si="698"/>
        <v>17841.33404848021</v>
      </c>
      <c r="O1451" s="1325">
        <f t="shared" si="698"/>
        <v>13143.92247004815</v>
      </c>
      <c r="P1451" s="1325">
        <f t="shared" si="698"/>
        <v>1704.4172713273349</v>
      </c>
      <c r="Q1451" s="1324">
        <f t="shared" si="698"/>
        <v>0</v>
      </c>
      <c r="S1451" s="1326"/>
      <c r="T1451" s="1326"/>
      <c r="U1451" s="1326"/>
      <c r="V1451" s="1324" t="s">
        <v>5797</v>
      </c>
      <c r="AA1451" s="1320"/>
    </row>
    <row r="1452" spans="1:27" s="1324" customFormat="1">
      <c r="A1452" s="1324" t="s">
        <v>5767</v>
      </c>
      <c r="B1452" s="1326"/>
      <c r="C1452" s="1393">
        <v>37</v>
      </c>
      <c r="D1452" s="1324" t="s">
        <v>5268</v>
      </c>
      <c r="E1452" s="1324" t="s">
        <v>4067</v>
      </c>
      <c r="F1452" s="1324">
        <f t="shared" si="699"/>
        <v>149714.92348754551</v>
      </c>
      <c r="G1452" s="1324">
        <f t="shared" si="696"/>
        <v>9699.5591842137055</v>
      </c>
      <c r="H1452" s="1324">
        <f t="shared" si="696"/>
        <v>140015.36430333179</v>
      </c>
      <c r="I1452" s="1374">
        <f t="shared" si="697"/>
        <v>0.93521314403222733</v>
      </c>
      <c r="J1452" s="1324">
        <f t="shared" si="698"/>
        <v>140015.36430333179</v>
      </c>
      <c r="K1452" s="1324">
        <f t="shared" si="698"/>
        <v>81210.737113605152</v>
      </c>
      <c r="L1452" s="1324">
        <f t="shared" si="698"/>
        <v>6699.0666752979769</v>
      </c>
      <c r="M1452" s="1324">
        <f t="shared" si="698"/>
        <v>42823.767726918733</v>
      </c>
      <c r="N1452" s="1325">
        <f t="shared" si="698"/>
        <v>5345.9795961789587</v>
      </c>
      <c r="O1452" s="1325">
        <f t="shared" si="698"/>
        <v>3836.543332978822</v>
      </c>
      <c r="P1452" s="1325">
        <f t="shared" si="698"/>
        <v>99.269858352148603</v>
      </c>
      <c r="Q1452" s="1324">
        <f t="shared" si="698"/>
        <v>0</v>
      </c>
      <c r="S1452" s="1326"/>
      <c r="T1452" s="1326"/>
      <c r="U1452" s="1326"/>
      <c r="V1452" s="1324" t="s">
        <v>5798</v>
      </c>
      <c r="AA1452" s="1320"/>
    </row>
    <row r="1453" spans="1:27" s="1324" customFormat="1">
      <c r="A1453" s="1324" t="s">
        <v>5767</v>
      </c>
      <c r="B1453" s="1326"/>
      <c r="C1453" s="1393">
        <v>38</v>
      </c>
      <c r="D1453" s="1324" t="s">
        <v>5239</v>
      </c>
      <c r="E1453" s="1324" t="s">
        <v>4067</v>
      </c>
      <c r="F1453" s="1324">
        <f t="shared" si="699"/>
        <v>140304.38999998066</v>
      </c>
      <c r="G1453" s="1324">
        <f t="shared" si="696"/>
        <v>9089.8803065749416</v>
      </c>
      <c r="H1453" s="1324">
        <f t="shared" si="696"/>
        <v>131214.50969340571</v>
      </c>
      <c r="I1453" s="1374">
        <f t="shared" si="697"/>
        <v>0.93521314403222733</v>
      </c>
      <c r="J1453" s="1324">
        <f t="shared" si="698"/>
        <v>131214.50969340571</v>
      </c>
      <c r="K1453" s="1324">
        <f t="shared" si="698"/>
        <v>76106.126675615116</v>
      </c>
      <c r="L1453" s="1324">
        <f t="shared" si="698"/>
        <v>6277.9878020982342</v>
      </c>
      <c r="M1453" s="1324">
        <f t="shared" si="698"/>
        <v>40132.022035371876</v>
      </c>
      <c r="N1453" s="1325">
        <f t="shared" si="698"/>
        <v>5009.9508367088611</v>
      </c>
      <c r="O1453" s="1325">
        <f t="shared" si="698"/>
        <v>3595.3922261254415</v>
      </c>
      <c r="P1453" s="1325">
        <f t="shared" si="698"/>
        <v>93.030117486192594</v>
      </c>
      <c r="Q1453" s="1324">
        <f t="shared" si="698"/>
        <v>0</v>
      </c>
      <c r="S1453" s="1326"/>
      <c r="T1453" s="1326"/>
      <c r="U1453" s="1326"/>
      <c r="V1453" s="1324" t="s">
        <v>5799</v>
      </c>
      <c r="AA1453" s="1320"/>
    </row>
    <row r="1454" spans="1:27" s="1324" customFormat="1">
      <c r="A1454" s="1324" t="s">
        <v>5767</v>
      </c>
      <c r="B1454" s="1326"/>
      <c r="C1454" s="1393">
        <v>39</v>
      </c>
      <c r="D1454" s="1324" t="s">
        <v>5240</v>
      </c>
      <c r="E1454" s="1324" t="s">
        <v>4067</v>
      </c>
      <c r="F1454" s="1324">
        <f t="shared" si="699"/>
        <v>646089.35097835469</v>
      </c>
      <c r="G1454" s="1324">
        <f t="shared" si="696"/>
        <v>0</v>
      </c>
      <c r="H1454" s="1324">
        <f t="shared" si="696"/>
        <v>646089.35097835469</v>
      </c>
      <c r="I1454" s="1374">
        <f t="shared" si="697"/>
        <v>1</v>
      </c>
      <c r="J1454" s="1324">
        <f t="shared" si="698"/>
        <v>646089.35097835469</v>
      </c>
      <c r="K1454" s="1324">
        <f t="shared" si="698"/>
        <v>402136.35728135379</v>
      </c>
      <c r="L1454" s="1324">
        <f t="shared" si="698"/>
        <v>28600.946311714382</v>
      </c>
      <c r="M1454" s="1324">
        <f t="shared" si="698"/>
        <v>191501.19324132524</v>
      </c>
      <c r="N1454" s="1325">
        <f t="shared" si="698"/>
        <v>20142.07518876344</v>
      </c>
      <c r="O1454" s="1325">
        <f t="shared" si="698"/>
        <v>1.3752616548171935E-2</v>
      </c>
      <c r="P1454" s="1325">
        <f t="shared" si="698"/>
        <v>3708.7652025816124</v>
      </c>
      <c r="Q1454" s="1324">
        <f t="shared" si="698"/>
        <v>0</v>
      </c>
      <c r="S1454" s="1326"/>
      <c r="T1454" s="1326"/>
      <c r="U1454" s="1326"/>
      <c r="V1454" s="1324" t="s">
        <v>5800</v>
      </c>
      <c r="AA1454" s="1320"/>
    </row>
    <row r="1455" spans="1:27" s="1324" customFormat="1">
      <c r="A1455" s="1324" t="s">
        <v>5767</v>
      </c>
      <c r="B1455" s="1326"/>
      <c r="C1455" s="1393">
        <v>40</v>
      </c>
      <c r="D1455" s="1324" t="s">
        <v>5241</v>
      </c>
      <c r="E1455" s="1324" t="s">
        <v>4067</v>
      </c>
      <c r="F1455" s="1324">
        <f t="shared" si="699"/>
        <v>401759.43460946128</v>
      </c>
      <c r="G1455" s="1324">
        <f t="shared" si="696"/>
        <v>0</v>
      </c>
      <c r="H1455" s="1324">
        <f t="shared" si="696"/>
        <v>401759.43460946128</v>
      </c>
      <c r="I1455" s="1374">
        <f t="shared" si="697"/>
        <v>1</v>
      </c>
      <c r="J1455" s="1324">
        <f t="shared" si="698"/>
        <v>401759.43460946128</v>
      </c>
      <c r="K1455" s="1324">
        <f t="shared" si="698"/>
        <v>293137.04652941209</v>
      </c>
      <c r="L1455" s="1324">
        <f t="shared" si="698"/>
        <v>23603.349912037444</v>
      </c>
      <c r="M1455" s="1324">
        <f t="shared" si="698"/>
        <v>83565.702257173325</v>
      </c>
      <c r="N1455" s="1325">
        <f t="shared" si="698"/>
        <v>0</v>
      </c>
      <c r="O1455" s="1325">
        <f t="shared" si="698"/>
        <v>0</v>
      </c>
      <c r="P1455" s="1325">
        <f t="shared" si="698"/>
        <v>1453.3359108383854</v>
      </c>
      <c r="Q1455" s="1324">
        <f t="shared" si="698"/>
        <v>0</v>
      </c>
      <c r="S1455" s="1326"/>
      <c r="T1455" s="1326"/>
      <c r="U1455" s="1326"/>
      <c r="V1455" s="1324" t="s">
        <v>5801</v>
      </c>
      <c r="AA1455" s="1320"/>
    </row>
    <row r="1456" spans="1:27" s="1324" customFormat="1">
      <c r="A1456" s="1324" t="s">
        <v>5767</v>
      </c>
      <c r="B1456" s="1326"/>
      <c r="C1456" s="1393">
        <v>41</v>
      </c>
      <c r="D1456" s="1324" t="s">
        <v>5242</v>
      </c>
      <c r="E1456" s="1324" t="s">
        <v>4071</v>
      </c>
      <c r="F1456" s="1324">
        <f t="shared" si="699"/>
        <v>367572.06014171452</v>
      </c>
      <c r="G1456" s="1324">
        <f t="shared" si="696"/>
        <v>0</v>
      </c>
      <c r="H1456" s="1324">
        <f t="shared" si="696"/>
        <v>367572.06014171452</v>
      </c>
      <c r="I1456" s="1374">
        <f t="shared" si="697"/>
        <v>1</v>
      </c>
      <c r="J1456" s="1324">
        <f t="shared" si="698"/>
        <v>367572.06014171452</v>
      </c>
      <c r="K1456" s="1324">
        <f t="shared" si="698"/>
        <v>163643.70133619319</v>
      </c>
      <c r="L1456" s="1324">
        <f t="shared" si="698"/>
        <v>19697.484543205894</v>
      </c>
      <c r="M1456" s="1324">
        <f t="shared" si="698"/>
        <v>7341.8988639643867</v>
      </c>
      <c r="N1456" s="1325">
        <f t="shared" si="698"/>
        <v>330.3224631955448</v>
      </c>
      <c r="O1456" s="1325">
        <f t="shared" si="698"/>
        <v>360.39567366358744</v>
      </c>
      <c r="P1456" s="1325">
        <f t="shared" si="698"/>
        <v>109.2383149315348</v>
      </c>
      <c r="Q1456" s="1324">
        <f t="shared" si="698"/>
        <v>176089.01894656042</v>
      </c>
      <c r="S1456" s="1326"/>
      <c r="T1456" s="1326"/>
      <c r="U1456" s="1326"/>
      <c r="V1456" s="1324" t="s">
        <v>5802</v>
      </c>
      <c r="AA1456" s="1320"/>
    </row>
    <row r="1457" spans="1:27" s="1324" customFormat="1">
      <c r="A1457" s="1324" t="s">
        <v>5767</v>
      </c>
      <c r="B1457" s="1326"/>
      <c r="C1457" s="1393">
        <v>42</v>
      </c>
      <c r="D1457" s="1324" t="s">
        <v>5244</v>
      </c>
      <c r="E1457" s="1324" t="s">
        <v>4071</v>
      </c>
      <c r="F1457" s="1324">
        <f t="shared" si="699"/>
        <v>67123.870702369808</v>
      </c>
      <c r="G1457" s="1366">
        <f t="shared" si="696"/>
        <v>0</v>
      </c>
      <c r="H1457" s="1366">
        <f t="shared" si="696"/>
        <v>67123.870702369808</v>
      </c>
      <c r="I1457" s="1374">
        <f t="shared" si="697"/>
        <v>1</v>
      </c>
      <c r="J1457" s="1366">
        <f t="shared" si="698"/>
        <v>67123.870702369808</v>
      </c>
      <c r="K1457" s="1366">
        <f t="shared" si="698"/>
        <v>59866.895221111394</v>
      </c>
      <c r="L1457" s="1366">
        <f t="shared" si="698"/>
        <v>5803.5565583145435</v>
      </c>
      <c r="M1457" s="1366">
        <f t="shared" si="698"/>
        <v>1429.3665211020948</v>
      </c>
      <c r="N1457" s="1378">
        <f t="shared" si="698"/>
        <v>4.8260482659875761</v>
      </c>
      <c r="O1457" s="1378">
        <f t="shared" si="698"/>
        <v>0.85623436977198941</v>
      </c>
      <c r="P1457" s="1378">
        <f t="shared" si="698"/>
        <v>18.370119206017225</v>
      </c>
      <c r="Q1457" s="1366">
        <f t="shared" si="698"/>
        <v>0</v>
      </c>
      <c r="R1457" s="1364"/>
      <c r="S1457" s="1326"/>
      <c r="T1457" s="1326"/>
      <c r="U1457" s="1326"/>
      <c r="V1457" s="1324" t="s">
        <v>5803</v>
      </c>
      <c r="AA1457" s="1320"/>
    </row>
    <row r="1458" spans="1:27" s="1324" customFormat="1">
      <c r="A1458" s="1324" t="s">
        <v>5767</v>
      </c>
      <c r="C1458" s="1393">
        <v>43</v>
      </c>
      <c r="D1458" s="1324" t="s">
        <v>5804</v>
      </c>
      <c r="F1458" s="1421">
        <f>+SUM(F1450:F1457)</f>
        <v>4023596.4966630763</v>
      </c>
      <c r="G1458" s="1421">
        <f>SUM(G1450:G1457)</f>
        <v>18789.439490788645</v>
      </c>
      <c r="H1458" s="1421">
        <f>SUM(H1450:H1457)</f>
        <v>4004807.0571722877</v>
      </c>
      <c r="I1458" s="1374">
        <f t="shared" si="697"/>
        <v>0.99533018792854322</v>
      </c>
      <c r="J1458" s="1421">
        <f t="shared" ref="J1458:Q1458" si="700">SUM(J1450:J1457)</f>
        <v>4004807.0571722877</v>
      </c>
      <c r="K1458" s="1421">
        <f t="shared" si="700"/>
        <v>2346228.6899014795</v>
      </c>
      <c r="L1458" s="1421">
        <f t="shared" si="700"/>
        <v>197813.16002971848</v>
      </c>
      <c r="M1458" s="1421">
        <f t="shared" si="700"/>
        <v>1074844.2684083157</v>
      </c>
      <c r="N1458" s="1422">
        <f t="shared" si="700"/>
        <v>124843.5281460183</v>
      </c>
      <c r="O1458" s="1422">
        <f>SUM(O1450:O1457)</f>
        <v>75756.22072527741</v>
      </c>
      <c r="P1458" s="1422">
        <f>SUM(P1450:P1457)</f>
        <v>9232.1710149190094</v>
      </c>
      <c r="Q1458" s="1421">
        <f t="shared" si="700"/>
        <v>176089.01894656042</v>
      </c>
      <c r="R1458" s="1364"/>
      <c r="V1458" s="1320" t="s">
        <v>5713</v>
      </c>
      <c r="AA1458" s="1320"/>
    </row>
    <row r="1459" spans="1:27">
      <c r="F1459" s="1358"/>
      <c r="G1459" s="1358"/>
      <c r="H1459" s="1358"/>
      <c r="J1459" s="1364"/>
      <c r="K1459" s="1364"/>
      <c r="L1459" s="1364"/>
      <c r="M1459" s="1367"/>
      <c r="N1459" s="1367"/>
      <c r="O1459" s="1367"/>
      <c r="P1459" s="1364"/>
      <c r="Q1459" s="1364"/>
      <c r="R1459" s="1358"/>
      <c r="Y1459" s="1324"/>
    </row>
    <row r="1460" spans="1:27">
      <c r="G1460" s="1320"/>
      <c r="Y1460" s="1324"/>
    </row>
    <row r="1461" spans="1:27">
      <c r="G1461" s="1320"/>
      <c r="Y1461" s="1324"/>
    </row>
    <row r="1462" spans="1:27">
      <c r="G1462" s="1320"/>
    </row>
    <row r="1463" spans="1:27">
      <c r="G1463" s="1320"/>
    </row>
    <row r="1464" spans="1:27">
      <c r="B1464" s="1432"/>
      <c r="C1464" s="1340" t="str">
        <f>+C$2</f>
        <v>RATES WITH REVENUE DEFICIENCY ADDITION</v>
      </c>
      <c r="F1464" s="1333"/>
      <c r="G1464" s="1327" t="s">
        <v>2173</v>
      </c>
      <c r="I1464" s="1334" t="s">
        <v>5765</v>
      </c>
      <c r="L1464" s="1329" t="s">
        <v>2173</v>
      </c>
      <c r="M1464" s="1330"/>
      <c r="N1464" s="1330"/>
      <c r="O1464" s="1330"/>
      <c r="S1464" s="1334" t="s">
        <v>5805</v>
      </c>
      <c r="T1464" s="1333" t="s">
        <v>2173</v>
      </c>
      <c r="U1464" s="1431"/>
      <c r="V1464" s="1332" t="s">
        <v>4772</v>
      </c>
    </row>
    <row r="1465" spans="1:27">
      <c r="B1465" s="1432"/>
      <c r="C1465" s="1340" t="str">
        <f>+C$3</f>
        <v>PROD. CAP. ALLOC. METHOD: 12 CP &amp; 1/13th AD</v>
      </c>
      <c r="G1465" s="1336" t="s">
        <v>4768</v>
      </c>
      <c r="I1465" s="1335" t="s">
        <v>4959</v>
      </c>
      <c r="L1465" s="1336" t="s">
        <v>5141</v>
      </c>
      <c r="M1465" s="1337"/>
      <c r="N1465" s="1337"/>
      <c r="O1465" s="1337"/>
      <c r="R1465" s="1331"/>
      <c r="S1465" s="1335" t="s">
        <v>3042</v>
      </c>
      <c r="T1465" s="1333" t="s">
        <v>5141</v>
      </c>
      <c r="U1465" s="1326"/>
      <c r="V1465" s="1332" t="s">
        <v>5805</v>
      </c>
    </row>
    <row r="1466" spans="1:27">
      <c r="B1466" s="1321"/>
      <c r="C1466" s="1340" t="str">
        <f>+C$4</f>
        <v>PROJECTED CALENDAR YEAR 2025; FULLY ADJUSTED DATA</v>
      </c>
      <c r="G1466" s="1336" t="s">
        <v>2181</v>
      </c>
      <c r="L1466" s="1336" t="s">
        <v>2181</v>
      </c>
      <c r="S1466" s="1321"/>
      <c r="T1466" s="1339"/>
      <c r="U1466" s="1326"/>
    </row>
    <row r="1467" spans="1:27">
      <c r="B1467" s="1321"/>
      <c r="C1467" s="1340" t="str">
        <f>+C$5</f>
        <v>MINIMUM DISTRIBUTION SYSTEM (MDS) NOT EMPLOYED</v>
      </c>
      <c r="D1467" s="1358"/>
      <c r="G1467" s="1320"/>
      <c r="L1467" s="1336"/>
      <c r="M1467" s="1337"/>
      <c r="N1467" s="1337"/>
      <c r="O1467" s="1337"/>
      <c r="S1467" s="1321"/>
      <c r="T1467" s="1333"/>
      <c r="U1467" s="1326"/>
    </row>
    <row r="1468" spans="1:27">
      <c r="B1468" s="1321"/>
      <c r="C1468" s="1340" t="str">
        <f>+C$6</f>
        <v>Tampa Electric 2025 OB Budget</v>
      </c>
      <c r="F1468" s="1327"/>
      <c r="G1468" s="1333" t="s">
        <v>5766</v>
      </c>
      <c r="L1468" s="1336" t="s">
        <v>5766</v>
      </c>
      <c r="M1468" s="1337"/>
      <c r="N1468" s="1337"/>
      <c r="O1468" s="1337"/>
      <c r="S1468" s="1321"/>
      <c r="T1468" s="1333" t="s">
        <v>5766</v>
      </c>
      <c r="U1468" s="1326"/>
    </row>
    <row r="1469" spans="1:27">
      <c r="B1469" s="1321"/>
      <c r="F1469" s="1333"/>
      <c r="G1469" s="1320"/>
      <c r="L1469" s="1336"/>
      <c r="M1469" s="1337"/>
      <c r="N1469" s="1337"/>
      <c r="O1469" s="1337"/>
      <c r="S1469" s="1321"/>
      <c r="T1469" s="1321"/>
      <c r="U1469" s="1326"/>
    </row>
    <row r="1470" spans="1:27">
      <c r="B1470" s="1321"/>
      <c r="F1470" s="1333"/>
      <c r="G1470" s="1320"/>
      <c r="L1470" s="1336"/>
      <c r="M1470" s="1337"/>
      <c r="N1470" s="1337"/>
      <c r="O1470" s="1337"/>
      <c r="S1470" s="1321"/>
      <c r="T1470" s="1321"/>
      <c r="U1470" s="1326"/>
    </row>
    <row r="1471" spans="1:27">
      <c r="B1471" s="1321"/>
      <c r="G1471" s="1320"/>
      <c r="S1471" s="1321"/>
      <c r="T1471" s="1321"/>
      <c r="U1471" s="1326"/>
    </row>
    <row r="1472" spans="1:27">
      <c r="B1472" s="1321"/>
      <c r="C1472" s="1342"/>
      <c r="D1472" s="1331"/>
      <c r="E1472" s="1331"/>
      <c r="F1472" s="1333"/>
      <c r="G1472" s="1333"/>
      <c r="H1472" s="1333"/>
      <c r="I1472" s="1343"/>
      <c r="J1472" s="1416"/>
      <c r="K1472" s="1336"/>
      <c r="L1472" s="1416"/>
      <c r="M1472" s="1417"/>
      <c r="N1472" s="1417"/>
      <c r="O1472" s="1417"/>
      <c r="P1472" s="96"/>
      <c r="Q1472" s="96"/>
      <c r="R1472" s="1333"/>
      <c r="S1472" s="1321"/>
      <c r="T1472" s="1321"/>
      <c r="U1472" s="1326"/>
    </row>
    <row r="1473" spans="1:25" ht="30" customHeight="1">
      <c r="A1473" s="1418" t="s">
        <v>4683</v>
      </c>
      <c r="B1473" s="1425" t="s">
        <v>5143</v>
      </c>
      <c r="C1473" s="1349" t="s">
        <v>4297</v>
      </c>
      <c r="D1473" s="1418"/>
      <c r="E1473" s="1418"/>
      <c r="F1473" s="1348" t="s">
        <v>5144</v>
      </c>
      <c r="G1473" s="1348" t="s">
        <v>4956</v>
      </c>
      <c r="H1473" s="1348" t="s">
        <v>4957</v>
      </c>
      <c r="I1473" s="1426" t="s">
        <v>5145</v>
      </c>
      <c r="J1473" s="1352" t="s">
        <v>4957</v>
      </c>
      <c r="K1473" s="1353" t="s">
        <v>1949</v>
      </c>
      <c r="L1473" s="1353" t="s">
        <v>1950</v>
      </c>
      <c r="M1473" s="1354" t="s">
        <v>1934</v>
      </c>
      <c r="N1473" s="1354" t="s">
        <v>1971</v>
      </c>
      <c r="O1473" s="1354" t="s">
        <v>1972</v>
      </c>
      <c r="P1473" s="1352" t="s">
        <v>5146</v>
      </c>
      <c r="Q1473" s="1352" t="s">
        <v>5147</v>
      </c>
      <c r="R1473" s="1355"/>
      <c r="S1473" s="1348" t="s">
        <v>5299</v>
      </c>
      <c r="T1473" s="1348"/>
      <c r="U1473" s="1352"/>
      <c r="V1473" s="1355" t="s">
        <v>4774</v>
      </c>
    </row>
    <row r="1474" spans="1:25">
      <c r="B1474" s="1321"/>
      <c r="G1474" s="1320"/>
      <c r="S1474" s="1321"/>
      <c r="T1474" s="1321"/>
      <c r="U1474" s="1326"/>
    </row>
    <row r="1475" spans="1:25">
      <c r="A1475" s="1320" t="s">
        <v>5767</v>
      </c>
      <c r="B1475" s="1321"/>
      <c r="C1475" s="1322">
        <v>44</v>
      </c>
      <c r="D1475" s="1356" t="s">
        <v>5806</v>
      </c>
      <c r="G1475" s="1320"/>
      <c r="S1475" s="1321"/>
      <c r="T1475" s="1321"/>
      <c r="U1475" s="1326"/>
      <c r="V1475" s="1365"/>
    </row>
    <row r="1476" spans="1:25">
      <c r="A1476" s="1320" t="s">
        <v>5767</v>
      </c>
      <c r="B1476" s="1321"/>
      <c r="C1476" s="1322">
        <v>45</v>
      </c>
      <c r="D1476" s="1320" t="s">
        <v>5265</v>
      </c>
      <c r="E1476" s="1320" t="s">
        <v>4067</v>
      </c>
      <c r="F1476" s="1320">
        <f>+F1439-F1450</f>
        <v>5297094.1610301984</v>
      </c>
      <c r="G1476" s="1320">
        <f t="shared" ref="G1476:H1483" si="701">+G1439-G1450</f>
        <v>0</v>
      </c>
      <c r="H1476" s="1320">
        <f t="shared" si="701"/>
        <v>5297094.1610301984</v>
      </c>
      <c r="I1476" s="1323">
        <f t="shared" ref="I1476:I1484" si="702">IF(F1476=0,0,+H1476/F1476)</f>
        <v>1</v>
      </c>
      <c r="J1476" s="1324">
        <f t="shared" ref="J1476:Q1483" si="703">+J1439-J1450</f>
        <v>5297094.1610301984</v>
      </c>
      <c r="K1476" s="1324">
        <f t="shared" si="703"/>
        <v>3041669.1579931611</v>
      </c>
      <c r="L1476" s="1324">
        <f t="shared" si="703"/>
        <v>252947.17117661965</v>
      </c>
      <c r="M1476" s="1324">
        <f t="shared" si="703"/>
        <v>1637051.4066631368</v>
      </c>
      <c r="N1476" s="1325">
        <f t="shared" si="703"/>
        <v>209226.24920533481</v>
      </c>
      <c r="O1476" s="1325">
        <f t="shared" si="703"/>
        <v>150580.78798042636</v>
      </c>
      <c r="P1476" s="1325">
        <f t="shared" si="703"/>
        <v>5619.3880115197007</v>
      </c>
      <c r="Q1476" s="1324">
        <f t="shared" si="703"/>
        <v>0</v>
      </c>
      <c r="S1476" s="1321"/>
      <c r="T1476" s="1321"/>
      <c r="U1476" s="1326"/>
      <c r="V1476" s="1320" t="s">
        <v>5807</v>
      </c>
    </row>
    <row r="1477" spans="1:25">
      <c r="A1477" s="1320" t="s">
        <v>5767</v>
      </c>
      <c r="B1477" s="1321"/>
      <c r="C1477" s="1322">
        <v>46</v>
      </c>
      <c r="D1477" s="1320" t="s">
        <v>5265</v>
      </c>
      <c r="E1477" s="1320" t="s">
        <v>2067</v>
      </c>
      <c r="F1477" s="1320">
        <f t="shared" ref="F1477:F1483" si="704">+F1440-F1451</f>
        <v>357928.68235152826</v>
      </c>
      <c r="G1477" s="1320">
        <f t="shared" si="701"/>
        <v>0</v>
      </c>
      <c r="H1477" s="1320">
        <f t="shared" si="701"/>
        <v>357928.68235152826</v>
      </c>
      <c r="I1477" s="1323">
        <f t="shared" si="702"/>
        <v>1</v>
      </c>
      <c r="J1477" s="1324">
        <f t="shared" si="703"/>
        <v>357928.68235152826</v>
      </c>
      <c r="K1477" s="1324">
        <f t="shared" si="703"/>
        <v>180623.04898515897</v>
      </c>
      <c r="L1477" s="1324">
        <f t="shared" si="703"/>
        <v>16691.684155637184</v>
      </c>
      <c r="M1477" s="1324">
        <f t="shared" si="703"/>
        <v>124346.56369565644</v>
      </c>
      <c r="N1477" s="1325">
        <f t="shared" si="703"/>
        <v>19793.973601543606</v>
      </c>
      <c r="O1477" s="1325">
        <f t="shared" si="703"/>
        <v>14582.455195665774</v>
      </c>
      <c r="P1477" s="1325">
        <f t="shared" si="703"/>
        <v>1890.9567178661798</v>
      </c>
      <c r="Q1477" s="1324">
        <f t="shared" si="703"/>
        <v>0</v>
      </c>
      <c r="S1477" s="1321"/>
      <c r="T1477" s="1321"/>
      <c r="U1477" s="1326"/>
      <c r="V1477" s="1320" t="s">
        <v>5808</v>
      </c>
      <c r="Y1477" s="1324"/>
    </row>
    <row r="1478" spans="1:25">
      <c r="A1478" s="1320" t="s">
        <v>5767</v>
      </c>
      <c r="B1478" s="1321"/>
      <c r="C1478" s="1322">
        <v>47</v>
      </c>
      <c r="D1478" s="1320" t="s">
        <v>5268</v>
      </c>
      <c r="E1478" s="1320" t="s">
        <v>4067</v>
      </c>
      <c r="F1478" s="1320">
        <f t="shared" si="704"/>
        <v>420738.12597404729</v>
      </c>
      <c r="G1478" s="1320">
        <f t="shared" si="701"/>
        <v>27258.300367631164</v>
      </c>
      <c r="H1478" s="1320">
        <f t="shared" si="701"/>
        <v>393479.82560641598</v>
      </c>
      <c r="I1478" s="1323">
        <f t="shared" si="702"/>
        <v>0.93521314403222711</v>
      </c>
      <c r="J1478" s="1324">
        <f t="shared" si="703"/>
        <v>393479.82560641598</v>
      </c>
      <c r="K1478" s="1324">
        <f t="shared" si="703"/>
        <v>228223.42987732723</v>
      </c>
      <c r="L1478" s="1324">
        <f t="shared" si="703"/>
        <v>18826.130976679364</v>
      </c>
      <c r="M1478" s="1324">
        <f t="shared" si="703"/>
        <v>120345.99731850057</v>
      </c>
      <c r="N1478" s="1325">
        <f t="shared" si="703"/>
        <v>15023.602085859797</v>
      </c>
      <c r="O1478" s="1325">
        <f t="shared" si="703"/>
        <v>10781.691060143483</v>
      </c>
      <c r="P1478" s="1325">
        <f t="shared" si="703"/>
        <v>278.974287905685</v>
      </c>
      <c r="Q1478" s="1324">
        <f t="shared" si="703"/>
        <v>0</v>
      </c>
      <c r="S1478" s="1321"/>
      <c r="T1478" s="1321"/>
      <c r="U1478" s="1326"/>
      <c r="V1478" s="1320" t="s">
        <v>5809</v>
      </c>
      <c r="Y1478" s="1324"/>
    </row>
    <row r="1479" spans="1:25">
      <c r="A1479" s="1320" t="s">
        <v>5767</v>
      </c>
      <c r="B1479" s="1321"/>
      <c r="C1479" s="1322">
        <v>48</v>
      </c>
      <c r="D1479" s="1320" t="s">
        <v>5239</v>
      </c>
      <c r="E1479" s="1320" t="s">
        <v>4067</v>
      </c>
      <c r="F1479" s="1320">
        <f t="shared" si="704"/>
        <v>454489.75105172675</v>
      </c>
      <c r="G1479" s="1320">
        <f t="shared" si="701"/>
        <v>29444.962040217037</v>
      </c>
      <c r="H1479" s="1320">
        <f t="shared" si="701"/>
        <v>425044.78901150951</v>
      </c>
      <c r="I1479" s="1323">
        <f t="shared" si="702"/>
        <v>0.935213144032227</v>
      </c>
      <c r="J1479" s="1324">
        <f t="shared" si="703"/>
        <v>425044.78901150951</v>
      </c>
      <c r="K1479" s="1324">
        <f t="shared" si="703"/>
        <v>246531.52026330933</v>
      </c>
      <c r="L1479" s="1324">
        <f t="shared" si="703"/>
        <v>20336.36376796048</v>
      </c>
      <c r="M1479" s="1324">
        <f t="shared" si="703"/>
        <v>130000.15683088095</v>
      </c>
      <c r="N1479" s="1325">
        <f t="shared" si="703"/>
        <v>16228.7958955348</v>
      </c>
      <c r="O1479" s="1325">
        <f t="shared" si="703"/>
        <v>11646.59864018004</v>
      </c>
      <c r="P1479" s="1325">
        <f t="shared" si="703"/>
        <v>301.35361364400922</v>
      </c>
      <c r="Q1479" s="1324">
        <f t="shared" si="703"/>
        <v>0</v>
      </c>
      <c r="S1479" s="1321"/>
      <c r="T1479" s="1321"/>
      <c r="U1479" s="1326"/>
      <c r="V1479" s="1320" t="s">
        <v>5810</v>
      </c>
    </row>
    <row r="1480" spans="1:25">
      <c r="A1480" s="1320" t="s">
        <v>5767</v>
      </c>
      <c r="B1480" s="1321"/>
      <c r="C1480" s="1322">
        <v>49</v>
      </c>
      <c r="D1480" s="1320" t="s">
        <v>5240</v>
      </c>
      <c r="E1480" s="1320" t="s">
        <v>4067</v>
      </c>
      <c r="F1480" s="1320">
        <f t="shared" si="704"/>
        <v>1513241.2651777498</v>
      </c>
      <c r="G1480" s="1320">
        <f t="shared" si="701"/>
        <v>0</v>
      </c>
      <c r="H1480" s="1320">
        <f t="shared" si="701"/>
        <v>1513241.2651777498</v>
      </c>
      <c r="I1480" s="1323">
        <f t="shared" si="702"/>
        <v>1</v>
      </c>
      <c r="J1480" s="1324">
        <f t="shared" si="703"/>
        <v>1513241.2651777498</v>
      </c>
      <c r="K1480" s="1324">
        <f t="shared" si="703"/>
        <v>941865.59358226345</v>
      </c>
      <c r="L1480" s="1324">
        <f t="shared" si="703"/>
        <v>66987.843270410987</v>
      </c>
      <c r="M1480" s="1324">
        <f t="shared" si="703"/>
        <v>448525.43615636881</v>
      </c>
      <c r="N1480" s="1325">
        <f t="shared" si="703"/>
        <v>47175.857790869049</v>
      </c>
      <c r="O1480" s="1325">
        <f t="shared" si="703"/>
        <v>3.2210756659812781E-2</v>
      </c>
      <c r="P1480" s="1325">
        <f t="shared" si="703"/>
        <v>8686.502167081584</v>
      </c>
      <c r="Q1480" s="1324">
        <f t="shared" si="703"/>
        <v>0</v>
      </c>
      <c r="S1480" s="1321"/>
      <c r="T1480" s="1321"/>
      <c r="U1480" s="1326"/>
      <c r="V1480" s="1320" t="s">
        <v>5811</v>
      </c>
    </row>
    <row r="1481" spans="1:25">
      <c r="A1481" s="1320" t="s">
        <v>5767</v>
      </c>
      <c r="B1481" s="1321"/>
      <c r="C1481" s="1322">
        <v>50</v>
      </c>
      <c r="D1481" s="1320" t="s">
        <v>5241</v>
      </c>
      <c r="E1481" s="1320" t="s">
        <v>4067</v>
      </c>
      <c r="F1481" s="1320">
        <f t="shared" si="704"/>
        <v>673038.73753719614</v>
      </c>
      <c r="G1481" s="1320">
        <f t="shared" si="701"/>
        <v>0</v>
      </c>
      <c r="H1481" s="1320">
        <f t="shared" si="701"/>
        <v>673038.73753719614</v>
      </c>
      <c r="I1481" s="1323">
        <f t="shared" si="702"/>
        <v>1</v>
      </c>
      <c r="J1481" s="1324">
        <f t="shared" si="703"/>
        <v>673038.73753719614</v>
      </c>
      <c r="K1481" s="1324">
        <f t="shared" si="703"/>
        <v>491071.44904592034</v>
      </c>
      <c r="L1481" s="1324">
        <f t="shared" si="703"/>
        <v>39540.997567085549</v>
      </c>
      <c r="M1481" s="1324">
        <f t="shared" si="703"/>
        <v>139991.62161119957</v>
      </c>
      <c r="N1481" s="1325">
        <f t="shared" si="703"/>
        <v>0</v>
      </c>
      <c r="O1481" s="1325">
        <f t="shared" si="703"/>
        <v>0</v>
      </c>
      <c r="P1481" s="1325">
        <f t="shared" si="703"/>
        <v>2434.6693129906735</v>
      </c>
      <c r="Q1481" s="1324">
        <f t="shared" si="703"/>
        <v>0</v>
      </c>
      <c r="S1481" s="1321"/>
      <c r="T1481" s="1321"/>
      <c r="U1481" s="1326"/>
      <c r="V1481" s="1320" t="s">
        <v>5812</v>
      </c>
    </row>
    <row r="1482" spans="1:25">
      <c r="A1482" s="1320" t="s">
        <v>5767</v>
      </c>
      <c r="B1482" s="1321"/>
      <c r="C1482" s="1322">
        <v>51</v>
      </c>
      <c r="D1482" s="1320" t="s">
        <v>5242</v>
      </c>
      <c r="E1482" s="1320" t="s">
        <v>4071</v>
      </c>
      <c r="F1482" s="1320">
        <f t="shared" si="704"/>
        <v>643457.53520949872</v>
      </c>
      <c r="G1482" s="1320">
        <f t="shared" si="701"/>
        <v>0</v>
      </c>
      <c r="H1482" s="1320">
        <f t="shared" si="701"/>
        <v>643457.53520949872</v>
      </c>
      <c r="I1482" s="1323">
        <f t="shared" si="702"/>
        <v>1</v>
      </c>
      <c r="J1482" s="1324">
        <f t="shared" si="703"/>
        <v>643457.53520949872</v>
      </c>
      <c r="K1482" s="1324">
        <f t="shared" si="703"/>
        <v>209079.1544353505</v>
      </c>
      <c r="L1482" s="1324">
        <f t="shared" si="703"/>
        <v>36839.671902465307</v>
      </c>
      <c r="M1482" s="1324">
        <f t="shared" si="703"/>
        <v>19914.621463552499</v>
      </c>
      <c r="N1482" s="1325">
        <f t="shared" si="703"/>
        <v>1426.772973154285</v>
      </c>
      <c r="O1482" s="1325">
        <f t="shared" si="703"/>
        <v>1556.6692069638011</v>
      </c>
      <c r="P1482" s="1325">
        <f t="shared" si="703"/>
        <v>330.75095255110261</v>
      </c>
      <c r="Q1482" s="1324">
        <f t="shared" si="703"/>
        <v>374309.89427546121</v>
      </c>
      <c r="S1482" s="1321"/>
      <c r="T1482" s="1321"/>
      <c r="U1482" s="1326"/>
      <c r="V1482" s="1320" t="s">
        <v>5813</v>
      </c>
    </row>
    <row r="1483" spans="1:25">
      <c r="A1483" s="1320" t="s">
        <v>5767</v>
      </c>
      <c r="B1483" s="1321"/>
      <c r="C1483" s="1322">
        <v>52</v>
      </c>
      <c r="D1483" s="1320" t="s">
        <v>5244</v>
      </c>
      <c r="E1483" s="1320" t="s">
        <v>4071</v>
      </c>
      <c r="F1483" s="1320">
        <f t="shared" si="704"/>
        <v>178020.00279589006</v>
      </c>
      <c r="G1483" s="1320">
        <f t="shared" si="701"/>
        <v>0</v>
      </c>
      <c r="H1483" s="1320">
        <f t="shared" si="701"/>
        <v>178020.00279589006</v>
      </c>
      <c r="I1483" s="1323">
        <f t="shared" si="702"/>
        <v>1</v>
      </c>
      <c r="J1483" s="1324">
        <f t="shared" si="703"/>
        <v>178020.00279589006</v>
      </c>
      <c r="K1483" s="1324">
        <f t="shared" si="703"/>
        <v>158773.69322009679</v>
      </c>
      <c r="L1483" s="1324">
        <f t="shared" si="703"/>
        <v>15391.680246186785</v>
      </c>
      <c r="M1483" s="1324">
        <f t="shared" si="703"/>
        <v>3790.8396732842607</v>
      </c>
      <c r="N1483" s="1325">
        <f t="shared" si="703"/>
        <v>12.799219067887822</v>
      </c>
      <c r="O1483" s="1325">
        <f t="shared" si="703"/>
        <v>2.2708291894639689</v>
      </c>
      <c r="P1483" s="1325">
        <f t="shared" si="703"/>
        <v>48.719608064863337</v>
      </c>
      <c r="Q1483" s="1324">
        <f t="shared" si="703"/>
        <v>0</v>
      </c>
      <c r="S1483" s="1321"/>
      <c r="T1483" s="1321"/>
      <c r="U1483" s="1326"/>
      <c r="V1483" s="1320" t="s">
        <v>5814</v>
      </c>
    </row>
    <row r="1484" spans="1:25">
      <c r="A1484" s="1320" t="s">
        <v>5767</v>
      </c>
      <c r="B1484" s="1321"/>
      <c r="C1484" s="1322">
        <v>53</v>
      </c>
      <c r="D1484" s="1320" t="s">
        <v>5815</v>
      </c>
      <c r="F1484" s="1427">
        <f>+SUM(F1476:F1483)</f>
        <v>9538008.261127837</v>
      </c>
      <c r="G1484" s="1427">
        <f>SUM(G1476:G1483)</f>
        <v>56703.262407848204</v>
      </c>
      <c r="H1484" s="1427">
        <f>SUM(H1476:H1483)</f>
        <v>9481304.9987199884</v>
      </c>
      <c r="I1484" s="1323">
        <f t="shared" si="702"/>
        <v>0.99405502062323192</v>
      </c>
      <c r="J1484" s="1421">
        <f t="shared" ref="J1484:Q1484" si="705">SUM(J1476:J1483)</f>
        <v>9481304.9987199884</v>
      </c>
      <c r="K1484" s="1421">
        <f t="shared" si="705"/>
        <v>5497837.0474025877</v>
      </c>
      <c r="L1484" s="1421">
        <f t="shared" si="705"/>
        <v>467561.54306304525</v>
      </c>
      <c r="M1484" s="1421">
        <f t="shared" si="705"/>
        <v>2623966.6434125802</v>
      </c>
      <c r="N1484" s="1422">
        <f t="shared" si="705"/>
        <v>308888.05077136424</v>
      </c>
      <c r="O1484" s="1422">
        <f>SUM(O1476:O1483)</f>
        <v>189150.50512332557</v>
      </c>
      <c r="P1484" s="1422">
        <f>SUM(P1476:P1483)</f>
        <v>19591.314671623797</v>
      </c>
      <c r="Q1484" s="1421">
        <f t="shared" si="705"/>
        <v>374309.89427546121</v>
      </c>
      <c r="R1484" s="1358"/>
      <c r="S1484" s="1321"/>
      <c r="T1484" s="1321"/>
      <c r="U1484" s="1326"/>
      <c r="V1484" s="1320" t="s">
        <v>5816</v>
      </c>
      <c r="Y1484" s="1324"/>
    </row>
    <row r="1485" spans="1:25">
      <c r="A1485" s="1320" t="s">
        <v>5767</v>
      </c>
      <c r="B1485" s="1321"/>
      <c r="C1485" s="1322">
        <v>54</v>
      </c>
      <c r="G1485" s="1320"/>
      <c r="S1485" s="1321"/>
      <c r="T1485" s="1321"/>
      <c r="U1485" s="1326"/>
      <c r="Y1485" s="1324"/>
    </row>
    <row r="1486" spans="1:25">
      <c r="A1486" s="1320" t="s">
        <v>5767</v>
      </c>
      <c r="B1486" s="1321"/>
      <c r="C1486" s="1322">
        <v>55</v>
      </c>
      <c r="D1486" s="1356" t="s">
        <v>5817</v>
      </c>
      <c r="G1486" s="1320"/>
      <c r="S1486" s="1321"/>
      <c r="T1486" s="1321"/>
      <c r="U1486" s="1326"/>
      <c r="Y1486" s="1324"/>
    </row>
    <row r="1487" spans="1:25">
      <c r="A1487" s="1320" t="s">
        <v>5767</v>
      </c>
      <c r="B1487" s="1321"/>
      <c r="C1487" s="1322">
        <v>56</v>
      </c>
      <c r="D1487" s="1320" t="s">
        <v>5265</v>
      </c>
      <c r="E1487" s="1320" t="s">
        <v>4067</v>
      </c>
      <c r="F1487" s="1320">
        <f>+F1305</f>
        <v>31162.773017915024</v>
      </c>
      <c r="G1487" s="1320">
        <f t="shared" ref="G1487:H1494" si="706">+G1305</f>
        <v>0</v>
      </c>
      <c r="H1487" s="1320">
        <f t="shared" si="706"/>
        <v>31162.773017915024</v>
      </c>
      <c r="I1487" s="1323">
        <f t="shared" ref="I1487:I1495" si="707">IF(F1487=0,0,+H1487/F1487)</f>
        <v>1</v>
      </c>
      <c r="J1487" s="1324">
        <f t="shared" ref="J1487:Q1494" si="708">+J1305</f>
        <v>31162.773017915024</v>
      </c>
      <c r="K1487" s="1324">
        <f t="shared" si="708"/>
        <v>17894.121320980863</v>
      </c>
      <c r="L1487" s="1324">
        <f t="shared" si="708"/>
        <v>1488.0866832406246</v>
      </c>
      <c r="M1487" s="1324">
        <f t="shared" si="708"/>
        <v>9630.7635570858401</v>
      </c>
      <c r="N1487" s="1325">
        <f t="shared" si="708"/>
        <v>1230.8767628377464</v>
      </c>
      <c r="O1487" s="1325">
        <f t="shared" si="708"/>
        <v>885.86586797244854</v>
      </c>
      <c r="P1487" s="1325">
        <f t="shared" si="708"/>
        <v>33.058825797524435</v>
      </c>
      <c r="Q1487" s="1324">
        <f t="shared" si="708"/>
        <v>0</v>
      </c>
      <c r="S1487" s="1321"/>
      <c r="T1487" s="1321"/>
      <c r="U1487" s="1326"/>
      <c r="V1487" s="1320" t="s">
        <v>5818</v>
      </c>
      <c r="Y1487" s="1324"/>
    </row>
    <row r="1488" spans="1:25">
      <c r="A1488" s="1320" t="s">
        <v>5767</v>
      </c>
      <c r="B1488" s="1321"/>
      <c r="C1488" s="1322">
        <v>57</v>
      </c>
      <c r="D1488" s="1320" t="s">
        <v>5265</v>
      </c>
      <c r="E1488" s="1320" t="s">
        <v>2067</v>
      </c>
      <c r="F1488" s="1320">
        <f t="shared" ref="F1488:F1494" si="709">+F1306</f>
        <v>38681.936109600938</v>
      </c>
      <c r="G1488" s="1320">
        <f t="shared" si="706"/>
        <v>0</v>
      </c>
      <c r="H1488" s="1320">
        <f t="shared" si="706"/>
        <v>38681.936109600938</v>
      </c>
      <c r="I1488" s="1323">
        <f t="shared" si="707"/>
        <v>1</v>
      </c>
      <c r="J1488" s="1324">
        <f t="shared" si="708"/>
        <v>38681.936109600938</v>
      </c>
      <c r="K1488" s="1324">
        <f t="shared" si="708"/>
        <v>19520.227311381903</v>
      </c>
      <c r="L1488" s="1324">
        <f t="shared" si="708"/>
        <v>1803.8975134042907</v>
      </c>
      <c r="M1488" s="1324">
        <f t="shared" si="708"/>
        <v>13438.33581797128</v>
      </c>
      <c r="N1488" s="1325">
        <f t="shared" si="708"/>
        <v>2139.1669904175487</v>
      </c>
      <c r="O1488" s="1325">
        <f t="shared" si="708"/>
        <v>1575.9497017505598</v>
      </c>
      <c r="P1488" s="1325">
        <f t="shared" si="708"/>
        <v>204.35877467534823</v>
      </c>
      <c r="Q1488" s="1324">
        <f t="shared" si="708"/>
        <v>0</v>
      </c>
      <c r="S1488" s="1321"/>
      <c r="T1488" s="1321"/>
      <c r="U1488" s="1326"/>
      <c r="V1488" s="1320" t="s">
        <v>5819</v>
      </c>
      <c r="Y1488" s="1324"/>
    </row>
    <row r="1489" spans="1:27">
      <c r="A1489" s="1320" t="s">
        <v>5767</v>
      </c>
      <c r="B1489" s="1321"/>
      <c r="C1489" s="1322">
        <v>58</v>
      </c>
      <c r="D1489" s="1320" t="s">
        <v>5268</v>
      </c>
      <c r="E1489" s="1320" t="s">
        <v>4067</v>
      </c>
      <c r="F1489" s="1320">
        <f t="shared" si="709"/>
        <v>2472.7329249705654</v>
      </c>
      <c r="G1489" s="1320">
        <f t="shared" si="706"/>
        <v>160.20059185683772</v>
      </c>
      <c r="H1489" s="1320">
        <f t="shared" si="706"/>
        <v>2312.5323331137297</v>
      </c>
      <c r="I1489" s="1323">
        <f t="shared" si="707"/>
        <v>0.93521314403222799</v>
      </c>
      <c r="J1489" s="1324">
        <f t="shared" si="708"/>
        <v>2312.5323331137297</v>
      </c>
      <c r="K1489" s="1324">
        <f t="shared" si="708"/>
        <v>1341.2989089136863</v>
      </c>
      <c r="L1489" s="1324">
        <f t="shared" si="708"/>
        <v>110.64363090003144</v>
      </c>
      <c r="M1489" s="1324">
        <f t="shared" si="708"/>
        <v>707.28914635188448</v>
      </c>
      <c r="N1489" s="1325">
        <f t="shared" si="708"/>
        <v>88.295671906029156</v>
      </c>
      <c r="O1489" s="1325">
        <f t="shared" si="708"/>
        <v>63.365406711256924</v>
      </c>
      <c r="P1489" s="1325">
        <f t="shared" si="708"/>
        <v>1.6395683308413957</v>
      </c>
      <c r="Q1489" s="1324">
        <f t="shared" si="708"/>
        <v>0</v>
      </c>
      <c r="S1489" s="1321"/>
      <c r="T1489" s="1321"/>
      <c r="U1489" s="1326"/>
      <c r="V1489" s="1320" t="s">
        <v>5820</v>
      </c>
      <c r="Y1489" s="1324"/>
    </row>
    <row r="1490" spans="1:27">
      <c r="A1490" s="1320" t="s">
        <v>5767</v>
      </c>
      <c r="B1490" s="1321"/>
      <c r="C1490" s="1322">
        <v>59</v>
      </c>
      <c r="D1490" s="1320" t="s">
        <v>5239</v>
      </c>
      <c r="E1490" s="1320" t="s">
        <v>4067</v>
      </c>
      <c r="F1490" s="1320">
        <f t="shared" si="709"/>
        <v>2146.9051059723861</v>
      </c>
      <c r="G1490" s="1320">
        <f t="shared" si="706"/>
        <v>139.09123187710861</v>
      </c>
      <c r="H1490" s="1320">
        <f t="shared" si="706"/>
        <v>2007.8138740952782</v>
      </c>
      <c r="I1490" s="1323">
        <f t="shared" si="707"/>
        <v>0.93521314403222766</v>
      </c>
      <c r="J1490" s="1324">
        <f t="shared" si="708"/>
        <v>2007.8138740952782</v>
      </c>
      <c r="K1490" s="1324">
        <f t="shared" si="708"/>
        <v>1164.5582291165774</v>
      </c>
      <c r="L1490" s="1324">
        <f t="shared" si="708"/>
        <v>96.064307521374531</v>
      </c>
      <c r="M1490" s="1324">
        <f t="shared" si="708"/>
        <v>614.09085646392123</v>
      </c>
      <c r="N1490" s="1325">
        <f t="shared" si="708"/>
        <v>76.661101138762433</v>
      </c>
      <c r="O1490" s="1325">
        <f t="shared" si="708"/>
        <v>55.015854658882745</v>
      </c>
      <c r="P1490" s="1325">
        <f t="shared" si="708"/>
        <v>1.4235251957572039</v>
      </c>
      <c r="Q1490" s="1324">
        <f t="shared" si="708"/>
        <v>0</v>
      </c>
      <c r="S1490" s="1321"/>
      <c r="T1490" s="1321"/>
      <c r="U1490" s="1326"/>
      <c r="V1490" s="1320" t="s">
        <v>5821</v>
      </c>
      <c r="Y1490" s="1324"/>
    </row>
    <row r="1491" spans="1:27">
      <c r="A1491" s="1320" t="s">
        <v>5767</v>
      </c>
      <c r="B1491" s="1321"/>
      <c r="C1491" s="1322">
        <v>60</v>
      </c>
      <c r="D1491" s="1320" t="s">
        <v>5240</v>
      </c>
      <c r="E1491" s="1320" t="s">
        <v>4067</v>
      </c>
      <c r="F1491" s="1320">
        <f t="shared" si="709"/>
        <v>6885.4837099742872</v>
      </c>
      <c r="G1491" s="1320">
        <f t="shared" si="706"/>
        <v>0</v>
      </c>
      <c r="H1491" s="1320">
        <f t="shared" si="706"/>
        <v>6885.4837099742872</v>
      </c>
      <c r="I1491" s="1323">
        <f t="shared" si="707"/>
        <v>1</v>
      </c>
      <c r="J1491" s="1324">
        <f t="shared" si="708"/>
        <v>6885.4837099742872</v>
      </c>
      <c r="K1491" s="1324">
        <f t="shared" si="708"/>
        <v>4285.6353119832202</v>
      </c>
      <c r="L1491" s="1324">
        <f t="shared" si="708"/>
        <v>304.80513201610665</v>
      </c>
      <c r="M1491" s="1324">
        <f t="shared" si="708"/>
        <v>2040.8606712169058</v>
      </c>
      <c r="N1491" s="1325">
        <f t="shared" si="708"/>
        <v>214.65750888371213</v>
      </c>
      <c r="O1491" s="1325">
        <f t="shared" si="708"/>
        <v>1.4656396529143982E-4</v>
      </c>
      <c r="P1491" s="1325">
        <f t="shared" si="708"/>
        <v>39.524939310369064</v>
      </c>
      <c r="Q1491" s="1324">
        <f t="shared" si="708"/>
        <v>0</v>
      </c>
      <c r="S1491" s="1321"/>
      <c r="T1491" s="1321"/>
      <c r="U1491" s="1326"/>
      <c r="V1491" s="1320" t="s">
        <v>5822</v>
      </c>
      <c r="Y1491" s="1324"/>
    </row>
    <row r="1492" spans="1:27">
      <c r="A1492" s="1320" t="s">
        <v>5767</v>
      </c>
      <c r="B1492" s="1321"/>
      <c r="C1492" s="1322">
        <v>61</v>
      </c>
      <c r="D1492" s="1320" t="s">
        <v>5241</v>
      </c>
      <c r="E1492" s="1320" t="s">
        <v>4067</v>
      </c>
      <c r="F1492" s="1320">
        <f t="shared" si="709"/>
        <v>4842.1379311151395</v>
      </c>
      <c r="G1492" s="1320">
        <f t="shared" si="706"/>
        <v>0</v>
      </c>
      <c r="H1492" s="1320">
        <f t="shared" si="706"/>
        <v>4842.1379311151395</v>
      </c>
      <c r="I1492" s="1323">
        <f t="shared" si="707"/>
        <v>1</v>
      </c>
      <c r="J1492" s="1324">
        <f t="shared" si="708"/>
        <v>4842.1379311151395</v>
      </c>
      <c r="K1492" s="1324">
        <f t="shared" si="708"/>
        <v>3532.9848903110324</v>
      </c>
      <c r="L1492" s="1324">
        <f t="shared" si="708"/>
        <v>284.47540011489264</v>
      </c>
      <c r="M1492" s="1324">
        <f t="shared" si="708"/>
        <v>1007.161554359187</v>
      </c>
      <c r="N1492" s="1325">
        <f t="shared" si="708"/>
        <v>0</v>
      </c>
      <c r="O1492" s="1325">
        <f t="shared" si="708"/>
        <v>0</v>
      </c>
      <c r="P1492" s="1325">
        <f t="shared" si="708"/>
        <v>17.516086330027349</v>
      </c>
      <c r="Q1492" s="1324">
        <f t="shared" si="708"/>
        <v>0</v>
      </c>
      <c r="S1492" s="1321"/>
      <c r="T1492" s="1321"/>
      <c r="U1492" s="1326"/>
      <c r="V1492" s="1320" t="s">
        <v>5823</v>
      </c>
    </row>
    <row r="1493" spans="1:27">
      <c r="A1493" s="1320" t="s">
        <v>5767</v>
      </c>
      <c r="B1493" s="1321"/>
      <c r="C1493" s="1322">
        <v>62</v>
      </c>
      <c r="D1493" s="1320" t="s">
        <v>5242</v>
      </c>
      <c r="E1493" s="1320" t="s">
        <v>4071</v>
      </c>
      <c r="F1493" s="1320">
        <f t="shared" si="709"/>
        <v>2811.1962444766759</v>
      </c>
      <c r="G1493" s="1320">
        <f t="shared" si="706"/>
        <v>0</v>
      </c>
      <c r="H1493" s="1320">
        <f t="shared" si="706"/>
        <v>2811.1962444766759</v>
      </c>
      <c r="I1493" s="1323">
        <f t="shared" si="707"/>
        <v>1</v>
      </c>
      <c r="J1493" s="1324">
        <f t="shared" si="708"/>
        <v>2811.1962444766759</v>
      </c>
      <c r="K1493" s="1324">
        <f t="shared" si="708"/>
        <v>1036.3663904532914</v>
      </c>
      <c r="L1493" s="1324">
        <f t="shared" si="708"/>
        <v>157.20315468930403</v>
      </c>
      <c r="M1493" s="1324">
        <f t="shared" si="708"/>
        <v>75.787521883175032</v>
      </c>
      <c r="N1493" s="1325">
        <f t="shared" si="708"/>
        <v>4.8856533127873831</v>
      </c>
      <c r="O1493" s="1325">
        <f t="shared" si="708"/>
        <v>5.3304528548105452</v>
      </c>
      <c r="P1493" s="1325">
        <f t="shared" si="708"/>
        <v>1.2234025413742273</v>
      </c>
      <c r="Q1493" s="1324">
        <f t="shared" si="708"/>
        <v>1530.3996687419349</v>
      </c>
      <c r="S1493" s="1321"/>
      <c r="T1493" s="1321"/>
      <c r="U1493" s="1326"/>
      <c r="V1493" s="1320" t="s">
        <v>5824</v>
      </c>
    </row>
    <row r="1494" spans="1:27">
      <c r="A1494" s="1320" t="s">
        <v>5767</v>
      </c>
      <c r="B1494" s="1321"/>
      <c r="C1494" s="1322">
        <v>63</v>
      </c>
      <c r="D1494" s="1320" t="s">
        <v>5244</v>
      </c>
      <c r="E1494" s="1320" t="s">
        <v>4071</v>
      </c>
      <c r="F1494" s="1320">
        <f t="shared" si="709"/>
        <v>-2033.3535253590526</v>
      </c>
      <c r="G1494" s="1320">
        <f t="shared" si="706"/>
        <v>0</v>
      </c>
      <c r="H1494" s="1320">
        <f t="shared" si="706"/>
        <v>-2033.3535253590526</v>
      </c>
      <c r="I1494" s="1323">
        <f t="shared" si="707"/>
        <v>1</v>
      </c>
      <c r="J1494" s="1324">
        <f t="shared" si="708"/>
        <v>-2033.3535253590526</v>
      </c>
      <c r="K1494" s="1324">
        <f t="shared" si="708"/>
        <v>-1813.5211985897895</v>
      </c>
      <c r="L1494" s="1324">
        <f t="shared" si="708"/>
        <v>-175.80455453461957</v>
      </c>
      <c r="M1494" s="1324">
        <f t="shared" si="708"/>
        <v>-43.299163536028544</v>
      </c>
      <c r="N1494" s="1325">
        <f t="shared" si="708"/>
        <v>-0.14619333111331323</v>
      </c>
      <c r="O1494" s="1325">
        <f t="shared" si="708"/>
        <v>-2.5937526487845919E-2</v>
      </c>
      <c r="P1494" s="1325">
        <f t="shared" si="708"/>
        <v>-0.5564778410119664</v>
      </c>
      <c r="Q1494" s="1324">
        <f t="shared" si="708"/>
        <v>0</v>
      </c>
      <c r="S1494" s="1321"/>
      <c r="T1494" s="1321"/>
      <c r="U1494" s="1326"/>
      <c r="V1494" s="1320" t="s">
        <v>5825</v>
      </c>
      <c r="Y1494" s="1324"/>
    </row>
    <row r="1495" spans="1:27">
      <c r="A1495" s="1320" t="s">
        <v>5767</v>
      </c>
      <c r="B1495" s="1321"/>
      <c r="C1495" s="1322">
        <v>64</v>
      </c>
      <c r="D1495" s="1320" t="s">
        <v>5095</v>
      </c>
      <c r="F1495" s="1427">
        <f>+SUM(F1487:F1494)</f>
        <v>86969.811518665971</v>
      </c>
      <c r="G1495" s="1427">
        <f>SUM(G1487:G1494)</f>
        <v>299.29182373394633</v>
      </c>
      <c r="H1495" s="1427">
        <f>SUM(H1487:H1494)</f>
        <v>86670.519694932023</v>
      </c>
      <c r="I1495" s="1323">
        <f t="shared" si="707"/>
        <v>0.99655866997400921</v>
      </c>
      <c r="J1495" s="1421">
        <f t="shared" ref="J1495:Q1495" si="710">SUM(J1487:J1494)</f>
        <v>86670.519694932023</v>
      </c>
      <c r="K1495" s="1421">
        <f t="shared" si="710"/>
        <v>46961.671164550789</v>
      </c>
      <c r="L1495" s="1421">
        <f t="shared" si="710"/>
        <v>4069.3712673520058</v>
      </c>
      <c r="M1495" s="1421">
        <f t="shared" si="710"/>
        <v>27470.989961796167</v>
      </c>
      <c r="N1495" s="1422">
        <f t="shared" si="710"/>
        <v>3754.3974951654727</v>
      </c>
      <c r="O1495" s="1422">
        <f>SUM(O1487:O1494)</f>
        <v>2585.5014929854365</v>
      </c>
      <c r="P1495" s="1422">
        <f>SUM(P1487:P1494)</f>
        <v>298.18864434022998</v>
      </c>
      <c r="Q1495" s="1421">
        <f t="shared" si="710"/>
        <v>1530.3996687419349</v>
      </c>
      <c r="R1495" s="1358"/>
      <c r="S1495" s="1321"/>
      <c r="T1495" s="1321"/>
      <c r="U1495" s="1326"/>
      <c r="V1495" s="1320" t="s">
        <v>5826</v>
      </c>
      <c r="Y1495" s="1324"/>
    </row>
    <row r="1496" spans="1:27">
      <c r="A1496" s="1320" t="s">
        <v>5767</v>
      </c>
      <c r="B1496" s="1321"/>
      <c r="C1496" s="1322">
        <v>65</v>
      </c>
      <c r="G1496" s="1320"/>
      <c r="S1496" s="1321"/>
      <c r="T1496" s="1321"/>
      <c r="U1496" s="1326"/>
    </row>
    <row r="1497" spans="1:27">
      <c r="A1497" s="1320" t="s">
        <v>5767</v>
      </c>
      <c r="B1497" s="1321"/>
      <c r="C1497" s="1322">
        <v>66</v>
      </c>
      <c r="D1497" s="1356" t="s">
        <v>5827</v>
      </c>
      <c r="G1497" s="1320"/>
      <c r="S1497" s="1321"/>
      <c r="T1497" s="1321"/>
      <c r="U1497" s="1326"/>
    </row>
    <row r="1498" spans="1:27" s="1324" customFormat="1">
      <c r="A1498" s="1324" t="s">
        <v>5767</v>
      </c>
      <c r="C1498" s="1393">
        <v>67</v>
      </c>
      <c r="D1498" s="1324" t="s">
        <v>5265</v>
      </c>
      <c r="E1498" s="1324" t="s">
        <v>4067</v>
      </c>
      <c r="F1498" s="1324">
        <f>+F1390</f>
        <v>154919.48494816257</v>
      </c>
      <c r="G1498" s="1324">
        <f t="shared" ref="G1498:H1505" si="711">+G1390</f>
        <v>0</v>
      </c>
      <c r="H1498" s="1324">
        <f t="shared" si="711"/>
        <v>154919.48494816257</v>
      </c>
      <c r="I1498" s="1374">
        <f t="shared" ref="I1498:I1506" si="712">IF(F1498=0,0,+H1498/F1498)</f>
        <v>1</v>
      </c>
      <c r="J1498" s="1324">
        <f t="shared" ref="J1498:Q1505" si="713">+J1390</f>
        <v>154919.48494816257</v>
      </c>
      <c r="K1498" s="1324">
        <f t="shared" si="713"/>
        <v>88957.040410127112</v>
      </c>
      <c r="L1498" s="1324">
        <f t="shared" si="713"/>
        <v>7397.7249198370882</v>
      </c>
      <c r="M1498" s="1324">
        <f t="shared" si="713"/>
        <v>47877.412227196459</v>
      </c>
      <c r="N1498" s="1325">
        <f t="shared" si="713"/>
        <v>6119.0573131557367</v>
      </c>
      <c r="O1498" s="1325">
        <f t="shared" si="713"/>
        <v>4403.9047462352873</v>
      </c>
      <c r="P1498" s="1325">
        <f t="shared" si="713"/>
        <v>164.34533161087001</v>
      </c>
      <c r="Q1498" s="1324">
        <f t="shared" si="713"/>
        <v>0</v>
      </c>
      <c r="V1498" s="1324" t="s">
        <v>5828</v>
      </c>
      <c r="Y1498" s="1320"/>
      <c r="AA1498" s="1320"/>
    </row>
    <row r="1499" spans="1:27">
      <c r="A1499" s="1320" t="s">
        <v>5767</v>
      </c>
      <c r="C1499" s="1322">
        <v>68</v>
      </c>
      <c r="D1499" s="1320" t="s">
        <v>5265</v>
      </c>
      <c r="E1499" s="1320" t="s">
        <v>2067</v>
      </c>
      <c r="F1499" s="1324">
        <f t="shared" ref="F1499:F1505" si="714">+F1391</f>
        <v>15756.28481087529</v>
      </c>
      <c r="G1499" s="1320">
        <f t="shared" si="711"/>
        <v>0</v>
      </c>
      <c r="H1499" s="1320">
        <f t="shared" si="711"/>
        <v>15756.28481087529</v>
      </c>
      <c r="I1499" s="1323">
        <f t="shared" si="712"/>
        <v>1</v>
      </c>
      <c r="J1499" s="1324">
        <f t="shared" si="713"/>
        <v>15756.28481087529</v>
      </c>
      <c r="K1499" s="1324">
        <f t="shared" si="713"/>
        <v>7951.1599476227138</v>
      </c>
      <c r="L1499" s="1324">
        <f t="shared" si="713"/>
        <v>734.78025790371828</v>
      </c>
      <c r="M1499" s="1324">
        <f t="shared" si="713"/>
        <v>5473.8275233226605</v>
      </c>
      <c r="N1499" s="1325">
        <f t="shared" si="713"/>
        <v>871.34532934291508</v>
      </c>
      <c r="O1499" s="1325">
        <f t="shared" si="713"/>
        <v>641.93044210712753</v>
      </c>
      <c r="P1499" s="1325">
        <f t="shared" si="713"/>
        <v>83.241310576154973</v>
      </c>
      <c r="Q1499" s="1324">
        <f t="shared" si="713"/>
        <v>0</v>
      </c>
      <c r="V1499" s="1324" t="s">
        <v>5829</v>
      </c>
    </row>
    <row r="1500" spans="1:27">
      <c r="A1500" s="1320" t="s">
        <v>5767</v>
      </c>
      <c r="C1500" s="1322">
        <v>69</v>
      </c>
      <c r="D1500" s="1320" t="s">
        <v>5268</v>
      </c>
      <c r="E1500" s="1320" t="s">
        <v>4067</v>
      </c>
      <c r="F1500" s="1324">
        <f t="shared" si="714"/>
        <v>9322.5170905997529</v>
      </c>
      <c r="G1500" s="1320">
        <f t="shared" si="711"/>
        <v>603.97657200578476</v>
      </c>
      <c r="H1500" s="1320">
        <f t="shared" si="711"/>
        <v>8718.5405185939671</v>
      </c>
      <c r="I1500" s="1323">
        <f t="shared" si="712"/>
        <v>0.93521314403222733</v>
      </c>
      <c r="J1500" s="1324">
        <f t="shared" si="713"/>
        <v>8718.5405185939671</v>
      </c>
      <c r="K1500" s="1324">
        <f t="shared" si="713"/>
        <v>5056.8671916314906</v>
      </c>
      <c r="L1500" s="1324">
        <f t="shared" si="713"/>
        <v>417.1405369400461</v>
      </c>
      <c r="M1500" s="1324">
        <f t="shared" si="713"/>
        <v>2666.5698864100532</v>
      </c>
      <c r="N1500" s="1325">
        <f t="shared" si="713"/>
        <v>332.88589400723185</v>
      </c>
      <c r="O1500" s="1325">
        <f t="shared" si="713"/>
        <v>238.89562882151111</v>
      </c>
      <c r="P1500" s="1325">
        <f t="shared" si="713"/>
        <v>6.1813807836351602</v>
      </c>
      <c r="Q1500" s="1324">
        <f t="shared" si="713"/>
        <v>0</v>
      </c>
      <c r="V1500" s="1324" t="s">
        <v>5830</v>
      </c>
    </row>
    <row r="1501" spans="1:27">
      <c r="A1501" s="1320" t="s">
        <v>5767</v>
      </c>
      <c r="C1501" s="1322">
        <v>70</v>
      </c>
      <c r="D1501" s="1320" t="s">
        <v>5239</v>
      </c>
      <c r="E1501" s="1320" t="s">
        <v>4067</v>
      </c>
      <c r="F1501" s="1324">
        <f t="shared" si="714"/>
        <v>12890.363327210631</v>
      </c>
      <c r="G1501" s="1320">
        <f t="shared" si="711"/>
        <v>835.12611225225317</v>
      </c>
      <c r="H1501" s="1320">
        <f t="shared" si="711"/>
        <v>12055.237214958377</v>
      </c>
      <c r="I1501" s="1323">
        <f t="shared" si="712"/>
        <v>0.93521314403222733</v>
      </c>
      <c r="J1501" s="1324">
        <f t="shared" si="713"/>
        <v>12055.237214958377</v>
      </c>
      <c r="K1501" s="1324">
        <f t="shared" si="713"/>
        <v>6992.1947864605736</v>
      </c>
      <c r="L1501" s="1324">
        <f t="shared" si="713"/>
        <v>576.78554272502731</v>
      </c>
      <c r="M1501" s="1324">
        <f t="shared" si="713"/>
        <v>3687.1002047166016</v>
      </c>
      <c r="N1501" s="1325">
        <f t="shared" si="713"/>
        <v>460.28557293644917</v>
      </c>
      <c r="O1501" s="1325">
        <f t="shared" si="713"/>
        <v>330.32403404192814</v>
      </c>
      <c r="P1501" s="1325">
        <f t="shared" si="713"/>
        <v>8.5470740777981291</v>
      </c>
      <c r="Q1501" s="1324">
        <f t="shared" si="713"/>
        <v>0</v>
      </c>
      <c r="V1501" s="1324" t="s">
        <v>5831</v>
      </c>
      <c r="Y1501" s="1324"/>
    </row>
    <row r="1502" spans="1:27">
      <c r="A1502" s="1320" t="s">
        <v>5767</v>
      </c>
      <c r="C1502" s="1322">
        <v>71</v>
      </c>
      <c r="D1502" s="1320" t="s">
        <v>5240</v>
      </c>
      <c r="E1502" s="1320" t="s">
        <v>4067</v>
      </c>
      <c r="F1502" s="1324">
        <f t="shared" si="714"/>
        <v>9825.400347507526</v>
      </c>
      <c r="G1502" s="1320">
        <f t="shared" si="711"/>
        <v>0</v>
      </c>
      <c r="H1502" s="1320">
        <f t="shared" si="711"/>
        <v>9825.400347507526</v>
      </c>
      <c r="I1502" s="1323">
        <f t="shared" si="712"/>
        <v>1</v>
      </c>
      <c r="J1502" s="1324">
        <f t="shared" si="713"/>
        <v>9825.400347507526</v>
      </c>
      <c r="K1502" s="1324">
        <f t="shared" si="713"/>
        <v>6115.4865013554354</v>
      </c>
      <c r="L1502" s="1324">
        <f t="shared" si="713"/>
        <v>434.94873797970581</v>
      </c>
      <c r="M1502" s="1324">
        <f t="shared" si="713"/>
        <v>2912.25337141404</v>
      </c>
      <c r="N1502" s="1325">
        <f t="shared" si="713"/>
        <v>306.31050064440569</v>
      </c>
      <c r="O1502" s="1325">
        <f t="shared" si="713"/>
        <v>2.0914284256029042E-4</v>
      </c>
      <c r="P1502" s="1325">
        <f t="shared" si="713"/>
        <v>56.401026971097693</v>
      </c>
      <c r="Q1502" s="1324">
        <f t="shared" si="713"/>
        <v>0</v>
      </c>
      <c r="V1502" s="1324" t="s">
        <v>5832</v>
      </c>
      <c r="Y1502" s="1324"/>
    </row>
    <row r="1503" spans="1:27">
      <c r="A1503" s="1320" t="s">
        <v>5767</v>
      </c>
      <c r="C1503" s="1322">
        <v>72</v>
      </c>
      <c r="D1503" s="1320" t="s">
        <v>5241</v>
      </c>
      <c r="E1503" s="1320" t="s">
        <v>4067</v>
      </c>
      <c r="F1503" s="1324">
        <f t="shared" si="714"/>
        <v>-5310.0951420829697</v>
      </c>
      <c r="G1503" s="1320">
        <f t="shared" si="711"/>
        <v>0</v>
      </c>
      <c r="H1503" s="1320">
        <f t="shared" si="711"/>
        <v>-5310.0951420829697</v>
      </c>
      <c r="I1503" s="1323">
        <f t="shared" si="712"/>
        <v>1</v>
      </c>
      <c r="J1503" s="1324">
        <f t="shared" si="713"/>
        <v>-5310.0951420829697</v>
      </c>
      <c r="K1503" s="1324">
        <f t="shared" si="713"/>
        <v>-3874.4220362951583</v>
      </c>
      <c r="L1503" s="1324">
        <f t="shared" si="713"/>
        <v>-311.96786660811108</v>
      </c>
      <c r="M1503" s="1324">
        <f t="shared" si="713"/>
        <v>-1104.4963512354514</v>
      </c>
      <c r="N1503" s="1325">
        <f t="shared" si="713"/>
        <v>0</v>
      </c>
      <c r="O1503" s="1325">
        <f t="shared" si="713"/>
        <v>0</v>
      </c>
      <c r="P1503" s="1325">
        <f t="shared" si="713"/>
        <v>-19.208887944248161</v>
      </c>
      <c r="Q1503" s="1324">
        <f t="shared" si="713"/>
        <v>0</v>
      </c>
      <c r="V1503" s="1324" t="s">
        <v>5833</v>
      </c>
      <c r="Y1503" s="1324"/>
    </row>
    <row r="1504" spans="1:27">
      <c r="A1504" s="1320" t="s">
        <v>5767</v>
      </c>
      <c r="C1504" s="1322">
        <v>73</v>
      </c>
      <c r="D1504" s="1320" t="s">
        <v>5242</v>
      </c>
      <c r="E1504" s="1320" t="s">
        <v>4071</v>
      </c>
      <c r="F1504" s="1324">
        <f t="shared" si="714"/>
        <v>9769.3696313589899</v>
      </c>
      <c r="G1504" s="1320">
        <f t="shared" si="711"/>
        <v>0</v>
      </c>
      <c r="H1504" s="1320">
        <f t="shared" si="711"/>
        <v>9769.3696313589899</v>
      </c>
      <c r="I1504" s="1323">
        <f t="shared" si="712"/>
        <v>1</v>
      </c>
      <c r="J1504" s="1324">
        <f t="shared" si="713"/>
        <v>9769.3696313589899</v>
      </c>
      <c r="K1504" s="1324">
        <f t="shared" si="713"/>
        <v>3601.5437775815117</v>
      </c>
      <c r="L1504" s="1324">
        <f t="shared" si="713"/>
        <v>546.30683588630473</v>
      </c>
      <c r="M1504" s="1324">
        <f t="shared" si="713"/>
        <v>263.3741120621321</v>
      </c>
      <c r="N1504" s="1325">
        <f t="shared" si="713"/>
        <v>16.978449369043879</v>
      </c>
      <c r="O1504" s="1325">
        <f t="shared" si="713"/>
        <v>18.524200985076117</v>
      </c>
      <c r="P1504" s="1325">
        <f t="shared" si="713"/>
        <v>4.2515251854477851</v>
      </c>
      <c r="Q1504" s="1324">
        <f t="shared" si="713"/>
        <v>5318.390730289474</v>
      </c>
      <c r="V1504" s="1324" t="s">
        <v>5834</v>
      </c>
      <c r="Y1504" s="1324"/>
    </row>
    <row r="1505" spans="1:25">
      <c r="A1505" s="1320" t="s">
        <v>5767</v>
      </c>
      <c r="C1505" s="1322">
        <v>74</v>
      </c>
      <c r="D1505" s="1320" t="s">
        <v>5244</v>
      </c>
      <c r="E1505" s="1320" t="s">
        <v>4071</v>
      </c>
      <c r="F1505" s="1324">
        <f t="shared" si="714"/>
        <v>24440.601398676023</v>
      </c>
      <c r="G1505" s="1320">
        <f t="shared" si="711"/>
        <v>0</v>
      </c>
      <c r="H1505" s="1320">
        <f t="shared" si="711"/>
        <v>24440.601398676023</v>
      </c>
      <c r="I1505" s="1323">
        <f t="shared" si="712"/>
        <v>1</v>
      </c>
      <c r="J1505" s="1324">
        <f t="shared" si="713"/>
        <v>24440.601398676023</v>
      </c>
      <c r="K1505" s="1324">
        <f t="shared" si="713"/>
        <v>21798.250127191015</v>
      </c>
      <c r="L1505" s="1324">
        <f t="shared" si="713"/>
        <v>2113.1441177665888</v>
      </c>
      <c r="M1505" s="1324">
        <f t="shared" si="713"/>
        <v>520.44938751774282</v>
      </c>
      <c r="N1505" s="1325">
        <f t="shared" si="713"/>
        <v>1.7572216972226791</v>
      </c>
      <c r="O1505" s="1325">
        <f t="shared" si="713"/>
        <v>0.31176513982983017</v>
      </c>
      <c r="P1505" s="1325">
        <f t="shared" si="713"/>
        <v>6.6887793636218102</v>
      </c>
      <c r="Q1505" s="1324">
        <f t="shared" si="713"/>
        <v>0</v>
      </c>
      <c r="V1505" s="1324" t="s">
        <v>5835</v>
      </c>
      <c r="Y1505" s="1324"/>
    </row>
    <row r="1506" spans="1:25">
      <c r="A1506" s="1320" t="s">
        <v>5767</v>
      </c>
      <c r="B1506" s="1321"/>
      <c r="C1506" s="1322">
        <v>75</v>
      </c>
      <c r="D1506" s="1320" t="s">
        <v>5763</v>
      </c>
      <c r="F1506" s="1427">
        <f>+SUM(F1498:F1505)</f>
        <v>231613.9264123078</v>
      </c>
      <c r="G1506" s="1427">
        <f>SUM(G1498:G1505)</f>
        <v>1439.1026842580379</v>
      </c>
      <c r="H1506" s="1427">
        <f>SUM(H1498:H1505)</f>
        <v>230174.82372804979</v>
      </c>
      <c r="I1506" s="1323">
        <f t="shared" si="712"/>
        <v>0.99378663145800572</v>
      </c>
      <c r="J1506" s="1421">
        <f t="shared" ref="J1506:Q1506" si="715">SUM(J1498:J1505)</f>
        <v>230174.82372804979</v>
      </c>
      <c r="K1506" s="1421">
        <f t="shared" si="715"/>
        <v>136598.12070567469</v>
      </c>
      <c r="L1506" s="1421">
        <f t="shared" si="715"/>
        <v>11908.863082430367</v>
      </c>
      <c r="M1506" s="1421">
        <f t="shared" si="715"/>
        <v>62296.490361404241</v>
      </c>
      <c r="N1506" s="1422">
        <f t="shared" si="715"/>
        <v>8108.6202811530047</v>
      </c>
      <c r="O1506" s="1422">
        <f>SUM(O1498:O1505)</f>
        <v>5633.8910264736023</v>
      </c>
      <c r="P1506" s="1422">
        <f>SUM(P1498:P1505)</f>
        <v>310.44754062437738</v>
      </c>
      <c r="Q1506" s="1421">
        <f t="shared" si="715"/>
        <v>5318.390730289474</v>
      </c>
      <c r="R1506" s="1358"/>
      <c r="S1506" s="1321"/>
      <c r="T1506" s="1321"/>
      <c r="U1506" s="1326"/>
      <c r="V1506" s="1320" t="s">
        <v>5836</v>
      </c>
      <c r="Y1506" s="1324"/>
    </row>
    <row r="1507" spans="1:25">
      <c r="A1507" s="1320" t="s">
        <v>5767</v>
      </c>
      <c r="B1507" s="1321"/>
      <c r="C1507" s="1322">
        <v>76</v>
      </c>
      <c r="G1507" s="1320"/>
      <c r="S1507" s="1321"/>
      <c r="T1507" s="1321"/>
      <c r="U1507" s="1326"/>
      <c r="Y1507" s="1324"/>
    </row>
    <row r="1508" spans="1:25">
      <c r="A1508" s="1320" t="s">
        <v>5767</v>
      </c>
      <c r="B1508" s="1321"/>
      <c r="C1508" s="1322">
        <v>77</v>
      </c>
      <c r="D1508" s="1356" t="s">
        <v>5837</v>
      </c>
      <c r="G1508" s="1320"/>
      <c r="S1508" s="1321"/>
      <c r="T1508" s="1321"/>
      <c r="U1508" s="1326"/>
      <c r="Y1508" s="1324"/>
    </row>
    <row r="1509" spans="1:25">
      <c r="A1509" s="1320" t="s">
        <v>5767</v>
      </c>
      <c r="B1509" s="1321"/>
      <c r="C1509" s="1322">
        <v>78</v>
      </c>
      <c r="D1509" s="1320" t="s">
        <v>5265</v>
      </c>
      <c r="E1509" s="1320" t="s">
        <v>4067</v>
      </c>
      <c r="F1509" s="1320">
        <f>+F1476+F1487+F1498</f>
        <v>5483176.4189962763</v>
      </c>
      <c r="G1509" s="1320">
        <f t="shared" ref="G1509:H1516" si="716">+G1476+G1487+G1498</f>
        <v>0</v>
      </c>
      <c r="H1509" s="1320">
        <f t="shared" si="716"/>
        <v>5483176.4189962763</v>
      </c>
      <c r="I1509" s="1323">
        <f t="shared" ref="I1509:I1517" si="717">IF(F1509=0,0,+H1509/F1509)</f>
        <v>1</v>
      </c>
      <c r="J1509" s="1324">
        <f t="shared" ref="J1509:Q1516" si="718">+J1476+J1487+J1498</f>
        <v>5483176.4189962763</v>
      </c>
      <c r="K1509" s="1324">
        <f t="shared" si="718"/>
        <v>3148520.3197242692</v>
      </c>
      <c r="L1509" s="1324">
        <f t="shared" si="718"/>
        <v>261832.98277969737</v>
      </c>
      <c r="M1509" s="1324">
        <f t="shared" si="718"/>
        <v>1694559.5824474189</v>
      </c>
      <c r="N1509" s="1325">
        <f t="shared" si="718"/>
        <v>216576.1832813283</v>
      </c>
      <c r="O1509" s="1325">
        <f t="shared" si="718"/>
        <v>155870.55859463412</v>
      </c>
      <c r="P1509" s="1325">
        <f t="shared" si="718"/>
        <v>5816.7921689280947</v>
      </c>
      <c r="Q1509" s="1324">
        <f t="shared" si="718"/>
        <v>0</v>
      </c>
      <c r="S1509" s="1321"/>
      <c r="T1509" s="1321"/>
      <c r="U1509" s="1326"/>
      <c r="V1509" s="1320" t="s">
        <v>5838</v>
      </c>
    </row>
    <row r="1510" spans="1:25">
      <c r="A1510" s="1320" t="s">
        <v>5767</v>
      </c>
      <c r="B1510" s="1321"/>
      <c r="C1510" s="1322">
        <v>79</v>
      </c>
      <c r="D1510" s="1320" t="s">
        <v>5265</v>
      </c>
      <c r="E1510" s="1320" t="s">
        <v>2067</v>
      </c>
      <c r="F1510" s="1320">
        <f t="shared" ref="F1510:F1516" si="719">+F1477+F1488+F1499</f>
        <v>412366.90327200451</v>
      </c>
      <c r="G1510" s="1320">
        <f t="shared" si="716"/>
        <v>0</v>
      </c>
      <c r="H1510" s="1320">
        <f t="shared" si="716"/>
        <v>412366.90327200451</v>
      </c>
      <c r="I1510" s="1323">
        <f t="shared" si="717"/>
        <v>1</v>
      </c>
      <c r="J1510" s="1324">
        <f t="shared" si="718"/>
        <v>412366.90327200451</v>
      </c>
      <c r="K1510" s="1324">
        <f t="shared" si="718"/>
        <v>208094.43624416357</v>
      </c>
      <c r="L1510" s="1324">
        <f t="shared" si="718"/>
        <v>19230.361926945196</v>
      </c>
      <c r="M1510" s="1324">
        <f t="shared" si="718"/>
        <v>143258.72703695038</v>
      </c>
      <c r="N1510" s="1325">
        <f t="shared" si="718"/>
        <v>22804.485921304073</v>
      </c>
      <c r="O1510" s="1325">
        <f t="shared" si="718"/>
        <v>16800.335339523463</v>
      </c>
      <c r="P1510" s="1325">
        <f t="shared" si="718"/>
        <v>2178.5568031176826</v>
      </c>
      <c r="Q1510" s="1324">
        <f t="shared" si="718"/>
        <v>0</v>
      </c>
      <c r="S1510" s="1321"/>
      <c r="T1510" s="1321"/>
      <c r="U1510" s="1326"/>
      <c r="V1510" s="1320" t="s">
        <v>5839</v>
      </c>
    </row>
    <row r="1511" spans="1:25">
      <c r="A1511" s="1320" t="s">
        <v>5767</v>
      </c>
      <c r="B1511" s="1321"/>
      <c r="C1511" s="1322">
        <v>80</v>
      </c>
      <c r="D1511" s="1320" t="s">
        <v>5268</v>
      </c>
      <c r="E1511" s="1320" t="s">
        <v>4067</v>
      </c>
      <c r="F1511" s="1320">
        <f t="shared" si="719"/>
        <v>432533.37598961761</v>
      </c>
      <c r="G1511" s="1320">
        <f t="shared" si="716"/>
        <v>28022.477531493787</v>
      </c>
      <c r="H1511" s="1320">
        <f t="shared" si="716"/>
        <v>404510.89845812367</v>
      </c>
      <c r="I1511" s="1323">
        <f t="shared" si="717"/>
        <v>0.93521314403222711</v>
      </c>
      <c r="J1511" s="1324">
        <f t="shared" si="718"/>
        <v>404510.89845812367</v>
      </c>
      <c r="K1511" s="1324">
        <f t="shared" si="718"/>
        <v>234621.59597787241</v>
      </c>
      <c r="L1511" s="1324">
        <f t="shared" si="718"/>
        <v>19353.91514451944</v>
      </c>
      <c r="M1511" s="1324">
        <f t="shared" si="718"/>
        <v>123719.85635126251</v>
      </c>
      <c r="N1511" s="1325">
        <f t="shared" si="718"/>
        <v>15444.783651773057</v>
      </c>
      <c r="O1511" s="1325">
        <f t="shared" si="718"/>
        <v>11083.95209567625</v>
      </c>
      <c r="P1511" s="1325">
        <f t="shared" si="718"/>
        <v>286.79523702016155</v>
      </c>
      <c r="Q1511" s="1324">
        <f t="shared" si="718"/>
        <v>0</v>
      </c>
      <c r="S1511" s="1321"/>
      <c r="T1511" s="1321"/>
      <c r="U1511" s="1326"/>
      <c r="V1511" s="1320" t="s">
        <v>5840</v>
      </c>
    </row>
    <row r="1512" spans="1:25">
      <c r="A1512" s="1320" t="s">
        <v>5767</v>
      </c>
      <c r="B1512" s="1321"/>
      <c r="C1512" s="1322">
        <v>81</v>
      </c>
      <c r="D1512" s="1320" t="s">
        <v>5239</v>
      </c>
      <c r="E1512" s="1320" t="s">
        <v>4067</v>
      </c>
      <c r="F1512" s="1320">
        <f t="shared" si="719"/>
        <v>469527.01948490978</v>
      </c>
      <c r="G1512" s="1320">
        <f t="shared" si="716"/>
        <v>30419.179384346397</v>
      </c>
      <c r="H1512" s="1320">
        <f t="shared" si="716"/>
        <v>439107.84010056313</v>
      </c>
      <c r="I1512" s="1323">
        <f t="shared" si="717"/>
        <v>0.93521314403222688</v>
      </c>
      <c r="J1512" s="1324">
        <f t="shared" si="718"/>
        <v>439107.84010056313</v>
      </c>
      <c r="K1512" s="1324">
        <f t="shared" si="718"/>
        <v>254688.27327888648</v>
      </c>
      <c r="L1512" s="1324">
        <f t="shared" si="718"/>
        <v>21009.213618206883</v>
      </c>
      <c r="M1512" s="1324">
        <f t="shared" si="718"/>
        <v>134301.34789206149</v>
      </c>
      <c r="N1512" s="1325">
        <f t="shared" si="718"/>
        <v>16765.742569610011</v>
      </c>
      <c r="O1512" s="1325">
        <f t="shared" si="718"/>
        <v>12031.938528880852</v>
      </c>
      <c r="P1512" s="1325">
        <f t="shared" si="718"/>
        <v>311.32421291756452</v>
      </c>
      <c r="Q1512" s="1324">
        <f t="shared" si="718"/>
        <v>0</v>
      </c>
      <c r="S1512" s="1321"/>
      <c r="T1512" s="1321"/>
      <c r="U1512" s="1326"/>
      <c r="V1512" s="1320" t="s">
        <v>5841</v>
      </c>
    </row>
    <row r="1513" spans="1:25">
      <c r="A1513" s="1320" t="s">
        <v>5767</v>
      </c>
      <c r="B1513" s="1321"/>
      <c r="C1513" s="1322">
        <v>82</v>
      </c>
      <c r="D1513" s="1320" t="s">
        <v>5240</v>
      </c>
      <c r="E1513" s="1320" t="s">
        <v>4067</v>
      </c>
      <c r="F1513" s="1320">
        <f t="shared" si="719"/>
        <v>1529952.1492352316</v>
      </c>
      <c r="G1513" s="1320">
        <f t="shared" si="716"/>
        <v>0</v>
      </c>
      <c r="H1513" s="1320">
        <f t="shared" si="716"/>
        <v>1529952.1492352316</v>
      </c>
      <c r="I1513" s="1323">
        <f t="shared" si="717"/>
        <v>1</v>
      </c>
      <c r="J1513" s="1324">
        <f t="shared" si="718"/>
        <v>1529952.1492352316</v>
      </c>
      <c r="K1513" s="1324">
        <f t="shared" si="718"/>
        <v>952266.71539560205</v>
      </c>
      <c r="L1513" s="1324">
        <f t="shared" si="718"/>
        <v>67727.597140406797</v>
      </c>
      <c r="M1513" s="1324">
        <f t="shared" si="718"/>
        <v>453478.55019899976</v>
      </c>
      <c r="N1513" s="1325">
        <f t="shared" si="718"/>
        <v>47696.825800397171</v>
      </c>
      <c r="O1513" s="1325">
        <f t="shared" si="718"/>
        <v>3.2566463467664508E-2</v>
      </c>
      <c r="P1513" s="1325">
        <f t="shared" si="718"/>
        <v>8782.4281333630515</v>
      </c>
      <c r="Q1513" s="1324">
        <f t="shared" si="718"/>
        <v>0</v>
      </c>
      <c r="S1513" s="1321"/>
      <c r="T1513" s="1321"/>
      <c r="U1513" s="1326"/>
      <c r="V1513" s="1320" t="s">
        <v>5842</v>
      </c>
      <c r="Y1513" s="1324"/>
    </row>
    <row r="1514" spans="1:25">
      <c r="A1514" s="1320" t="s">
        <v>5767</v>
      </c>
      <c r="B1514" s="1321"/>
      <c r="C1514" s="1322">
        <v>83</v>
      </c>
      <c r="D1514" s="1320" t="s">
        <v>5241</v>
      </c>
      <c r="E1514" s="1320" t="s">
        <v>4067</v>
      </c>
      <c r="F1514" s="1320">
        <f t="shared" si="719"/>
        <v>672570.78032622824</v>
      </c>
      <c r="G1514" s="1320">
        <f t="shared" si="716"/>
        <v>0</v>
      </c>
      <c r="H1514" s="1320">
        <f t="shared" si="716"/>
        <v>672570.78032622824</v>
      </c>
      <c r="I1514" s="1323">
        <f t="shared" si="717"/>
        <v>1</v>
      </c>
      <c r="J1514" s="1324">
        <f t="shared" si="718"/>
        <v>672570.78032622824</v>
      </c>
      <c r="K1514" s="1324">
        <f t="shared" si="718"/>
        <v>490730.01189993619</v>
      </c>
      <c r="L1514" s="1324">
        <f t="shared" si="718"/>
        <v>39513.505100592331</v>
      </c>
      <c r="M1514" s="1324">
        <f t="shared" si="718"/>
        <v>139894.28681432331</v>
      </c>
      <c r="N1514" s="1325">
        <f t="shared" si="718"/>
        <v>0</v>
      </c>
      <c r="O1514" s="1325">
        <f t="shared" si="718"/>
        <v>0</v>
      </c>
      <c r="P1514" s="1325">
        <f t="shared" si="718"/>
        <v>2432.9765113764529</v>
      </c>
      <c r="Q1514" s="1324">
        <f t="shared" si="718"/>
        <v>0</v>
      </c>
      <c r="S1514" s="1321"/>
      <c r="T1514" s="1321"/>
      <c r="U1514" s="1326"/>
      <c r="V1514" s="1320" t="s">
        <v>5843</v>
      </c>
      <c r="Y1514" s="1324"/>
    </row>
    <row r="1515" spans="1:25">
      <c r="A1515" s="1320" t="s">
        <v>5767</v>
      </c>
      <c r="B1515" s="1321"/>
      <c r="C1515" s="1322">
        <v>84</v>
      </c>
      <c r="D1515" s="1320" t="s">
        <v>5242</v>
      </c>
      <c r="E1515" s="1320" t="s">
        <v>4071</v>
      </c>
      <c r="F1515" s="1320">
        <f t="shared" si="719"/>
        <v>656038.10108533443</v>
      </c>
      <c r="G1515" s="1320">
        <f t="shared" si="716"/>
        <v>0</v>
      </c>
      <c r="H1515" s="1320">
        <f t="shared" si="716"/>
        <v>656038.10108533443</v>
      </c>
      <c r="I1515" s="1323">
        <f t="shared" si="717"/>
        <v>1</v>
      </c>
      <c r="J1515" s="1324">
        <f t="shared" si="718"/>
        <v>656038.10108533443</v>
      </c>
      <c r="K1515" s="1324">
        <f t="shared" si="718"/>
        <v>213717.06460338531</v>
      </c>
      <c r="L1515" s="1324">
        <f t="shared" si="718"/>
        <v>37543.181893040914</v>
      </c>
      <c r="M1515" s="1324">
        <f t="shared" si="718"/>
        <v>20253.783097497806</v>
      </c>
      <c r="N1515" s="1325">
        <f t="shared" si="718"/>
        <v>1448.6370758361161</v>
      </c>
      <c r="O1515" s="1325">
        <f t="shared" si="718"/>
        <v>1580.5238608036877</v>
      </c>
      <c r="P1515" s="1325">
        <f t="shared" si="718"/>
        <v>336.22588027792466</v>
      </c>
      <c r="Q1515" s="1324">
        <f t="shared" si="718"/>
        <v>381158.68467449257</v>
      </c>
      <c r="S1515" s="1321"/>
      <c r="T1515" s="1321"/>
      <c r="U1515" s="1326"/>
      <c r="V1515" s="1320" t="s">
        <v>5844</v>
      </c>
      <c r="Y1515" s="1324"/>
    </row>
    <row r="1516" spans="1:25">
      <c r="A1516" s="1320" t="s">
        <v>5767</v>
      </c>
      <c r="B1516" s="1321"/>
      <c r="C1516" s="1322">
        <v>85</v>
      </c>
      <c r="D1516" s="1320" t="s">
        <v>5244</v>
      </c>
      <c r="E1516" s="1320" t="s">
        <v>4071</v>
      </c>
      <c r="F1516" s="1320">
        <f t="shared" si="719"/>
        <v>200427.25066920705</v>
      </c>
      <c r="G1516" s="1320">
        <f t="shared" si="716"/>
        <v>0</v>
      </c>
      <c r="H1516" s="1320">
        <f t="shared" si="716"/>
        <v>200427.25066920705</v>
      </c>
      <c r="I1516" s="1323">
        <f t="shared" si="717"/>
        <v>1</v>
      </c>
      <c r="J1516" s="1324">
        <f t="shared" si="718"/>
        <v>200427.25066920705</v>
      </c>
      <c r="K1516" s="1324">
        <f t="shared" si="718"/>
        <v>178758.42214869801</v>
      </c>
      <c r="L1516" s="1324">
        <f t="shared" si="718"/>
        <v>17329.019809418754</v>
      </c>
      <c r="M1516" s="1324">
        <f t="shared" si="718"/>
        <v>4267.9898972659748</v>
      </c>
      <c r="N1516" s="1325">
        <f t="shared" si="718"/>
        <v>14.410247433997188</v>
      </c>
      <c r="O1516" s="1325">
        <f t="shared" si="718"/>
        <v>2.5566568028059531</v>
      </c>
      <c r="P1516" s="1325">
        <f t="shared" si="718"/>
        <v>54.85190958747318</v>
      </c>
      <c r="Q1516" s="1324">
        <f t="shared" si="718"/>
        <v>0</v>
      </c>
      <c r="S1516" s="1321"/>
      <c r="T1516" s="1321"/>
      <c r="U1516" s="1326"/>
      <c r="V1516" s="1320" t="s">
        <v>5845</v>
      </c>
      <c r="Y1516" s="1324"/>
    </row>
    <row r="1517" spans="1:25" ht="14.4" thickBot="1">
      <c r="A1517" s="1320" t="s">
        <v>5767</v>
      </c>
      <c r="C1517" s="1322">
        <v>86</v>
      </c>
      <c r="D1517" s="1320" t="s">
        <v>5182</v>
      </c>
      <c r="F1517" s="1482">
        <f>+SUM(F1509:F1516)</f>
        <v>9856591.999058811</v>
      </c>
      <c r="G1517" s="1482">
        <f>SUM(G1509:G1516)</f>
        <v>58441.656915840184</v>
      </c>
      <c r="H1517" s="1482">
        <f>SUM(H1509:H1516)</f>
        <v>9798150.3421429694</v>
      </c>
      <c r="I1517" s="1323">
        <f t="shared" si="717"/>
        <v>0.99407080490686617</v>
      </c>
      <c r="J1517" s="1483">
        <f t="shared" ref="J1517:Q1517" si="720">SUM(J1509:J1516)</f>
        <v>9798150.3421429694</v>
      </c>
      <c r="K1517" s="1483">
        <f t="shared" si="720"/>
        <v>5681396.8392728139</v>
      </c>
      <c r="L1517" s="1483">
        <f t="shared" si="720"/>
        <v>483539.77741282765</v>
      </c>
      <c r="M1517" s="1483">
        <f t="shared" si="720"/>
        <v>2713734.1237357799</v>
      </c>
      <c r="N1517" s="1484">
        <f t="shared" si="720"/>
        <v>320751.06854768272</v>
      </c>
      <c r="O1517" s="1484">
        <f>SUM(O1509:O1516)</f>
        <v>197369.89764278464</v>
      </c>
      <c r="P1517" s="1484">
        <f>SUM(P1509:P1516)</f>
        <v>20199.950856588403</v>
      </c>
      <c r="Q1517" s="1483">
        <f t="shared" si="720"/>
        <v>381158.68467449257</v>
      </c>
      <c r="R1517" s="1358"/>
      <c r="V1517" s="1320" t="s">
        <v>5846</v>
      </c>
      <c r="Y1517" s="1324"/>
    </row>
    <row r="1518" spans="1:25" ht="14.4" thickTop="1">
      <c r="F1518" s="1358"/>
      <c r="G1518" s="1358"/>
      <c r="H1518" s="1358"/>
      <c r="J1518" s="1364"/>
      <c r="K1518" s="1364"/>
      <c r="L1518" s="1364"/>
      <c r="M1518" s="1367"/>
      <c r="N1518" s="1367"/>
      <c r="O1518" s="1367"/>
      <c r="P1518" s="1364"/>
      <c r="Q1518" s="1364"/>
      <c r="R1518" s="1358"/>
      <c r="Y1518" s="1324"/>
    </row>
    <row r="1519" spans="1:25">
      <c r="A1519" s="1485" t="s">
        <v>5847</v>
      </c>
      <c r="B1519" s="1485"/>
      <c r="C1519" s="1486"/>
      <c r="D1519" s="1485"/>
      <c r="E1519" s="1485"/>
      <c r="F1519" s="1487"/>
      <c r="G1519" s="1358"/>
      <c r="H1519" s="1358"/>
      <c r="J1519" s="1364"/>
      <c r="K1519" s="1364"/>
      <c r="L1519" s="1364"/>
      <c r="M1519" s="1367"/>
      <c r="N1519" s="1367"/>
      <c r="O1519" s="1367"/>
      <c r="P1519" s="1364"/>
      <c r="Q1519" s="1364"/>
      <c r="R1519" s="1358"/>
      <c r="Y1519" s="1324"/>
    </row>
    <row r="1520" spans="1:25">
      <c r="F1520" s="1358"/>
      <c r="G1520" s="1358"/>
      <c r="H1520" s="1358"/>
      <c r="J1520" s="1364"/>
      <c r="K1520" s="1364"/>
      <c r="L1520" s="1364"/>
      <c r="M1520" s="1367"/>
      <c r="N1520" s="1367"/>
      <c r="O1520" s="1367"/>
      <c r="P1520" s="1364"/>
      <c r="Q1520" s="1364"/>
      <c r="R1520" s="1358"/>
      <c r="Y1520" s="1324"/>
    </row>
    <row r="1521" spans="2:22">
      <c r="F1521" s="1358"/>
      <c r="G1521" s="1358"/>
      <c r="H1521" s="1358"/>
      <c r="J1521" s="1364"/>
      <c r="K1521" s="1364"/>
      <c r="L1521" s="1364"/>
      <c r="M1521" s="1367"/>
      <c r="N1521" s="1367"/>
      <c r="O1521" s="1367"/>
      <c r="P1521" s="1364"/>
      <c r="Q1521" s="1364"/>
      <c r="R1521" s="1358"/>
    </row>
    <row r="1522" spans="2:22" ht="17.399999999999999">
      <c r="D1522" s="1364"/>
      <c r="E1522" s="1364"/>
      <c r="F1522" s="1364"/>
      <c r="G1522" s="1364"/>
      <c r="H1522" s="1364"/>
      <c r="I1522" s="1583"/>
      <c r="J1522" s="1364"/>
      <c r="K1522" s="1364"/>
      <c r="L1522" s="1364"/>
      <c r="M1522" s="1488"/>
      <c r="N1522" s="1488"/>
      <c r="O1522" s="1488"/>
      <c r="P1522" s="1364"/>
      <c r="Q1522" s="1364"/>
      <c r="R1522" s="1364"/>
      <c r="S1522" s="1364"/>
      <c r="T1522" s="1364"/>
      <c r="U1522" s="1364"/>
      <c r="V1522" s="1364"/>
    </row>
    <row r="1523" spans="2:22" ht="21">
      <c r="B1523" s="1489"/>
      <c r="D1523" s="1364"/>
      <c r="E1523" s="1364"/>
      <c r="F1523" s="1364"/>
      <c r="G1523" s="1364"/>
      <c r="H1523" s="1364"/>
      <c r="I1523" s="1440"/>
      <c r="J1523" s="1582"/>
      <c r="K1523" s="1582"/>
      <c r="L1523" s="1364"/>
      <c r="M1523" s="1367"/>
      <c r="N1523" s="1367"/>
      <c r="O1523" s="1367"/>
      <c r="P1523" s="1364"/>
      <c r="Q1523" s="1364"/>
      <c r="R1523" s="1364"/>
      <c r="S1523" s="1364"/>
      <c r="T1523" s="1364"/>
      <c r="U1523" s="1364"/>
      <c r="V1523" s="1364"/>
    </row>
    <row r="1524" spans="2:22" ht="22.8">
      <c r="D1524" s="1584"/>
      <c r="E1524" s="1364"/>
      <c r="F1524" s="1364"/>
      <c r="G1524" s="1364"/>
      <c r="H1524" s="1364"/>
      <c r="I1524" s="1440"/>
      <c r="J1524" s="1582"/>
      <c r="K1524" s="1582"/>
      <c r="L1524" s="1364"/>
      <c r="M1524" s="1490"/>
      <c r="N1524" s="1490"/>
      <c r="O1524" s="1490"/>
      <c r="P1524" s="1364"/>
      <c r="Q1524" s="1364"/>
      <c r="R1524" s="1364"/>
      <c r="S1524" s="1364"/>
      <c r="T1524" s="1364"/>
      <c r="U1524" s="1364"/>
      <c r="V1524" s="1364"/>
    </row>
    <row r="1525" spans="2:22">
      <c r="D1525" s="1364"/>
      <c r="E1525" s="1364"/>
      <c r="F1525" s="1364"/>
      <c r="G1525" s="1364"/>
      <c r="H1525" s="1364"/>
      <c r="I1525" s="1440"/>
      <c r="J1525" s="1582"/>
      <c r="K1525" s="1582"/>
      <c r="L1525" s="1364"/>
      <c r="M1525" s="1367"/>
      <c r="N1525" s="1367"/>
      <c r="O1525" s="1367"/>
      <c r="P1525" s="1364"/>
      <c r="Q1525" s="1364"/>
      <c r="R1525" s="1364"/>
      <c r="S1525" s="1364"/>
      <c r="T1525" s="1364"/>
      <c r="U1525" s="1364"/>
      <c r="V1525" s="1364"/>
    </row>
    <row r="1526" spans="2:22">
      <c r="D1526" s="1364"/>
      <c r="E1526" s="1364"/>
      <c r="F1526" s="1364"/>
      <c r="G1526" s="1364"/>
      <c r="H1526" s="1364"/>
      <c r="I1526" s="1440"/>
      <c r="J1526" s="1364"/>
      <c r="K1526" s="1364"/>
      <c r="L1526" s="1364"/>
      <c r="M1526" s="1367"/>
      <c r="N1526" s="1367"/>
      <c r="O1526" s="1367"/>
      <c r="P1526" s="1364"/>
      <c r="Q1526" s="1364"/>
      <c r="R1526" s="1364"/>
      <c r="S1526" s="1364"/>
      <c r="T1526" s="1364"/>
      <c r="U1526" s="1364"/>
      <c r="V1526" s="1364"/>
    </row>
    <row r="1527" spans="2:22">
      <c r="G1527" s="1320"/>
    </row>
    <row r="1528" spans="2:22">
      <c r="B1528" s="1331"/>
      <c r="C1528" s="1340" t="str">
        <f>+C$2</f>
        <v>RATES WITH REVENUE DEFICIENCY ADDITION</v>
      </c>
      <c r="F1528" s="1333"/>
      <c r="G1528" s="1327" t="s">
        <v>2173</v>
      </c>
      <c r="I1528" s="1334" t="s">
        <v>5805</v>
      </c>
      <c r="L1528" s="1329" t="s">
        <v>2173</v>
      </c>
      <c r="M1528" s="1330"/>
      <c r="N1528" s="1330"/>
      <c r="O1528" s="1330"/>
      <c r="S1528" s="1334" t="s">
        <v>5848</v>
      </c>
      <c r="T1528" s="1333" t="s">
        <v>2173</v>
      </c>
      <c r="U1528" s="1334"/>
      <c r="V1528" s="1332" t="s">
        <v>4772</v>
      </c>
    </row>
    <row r="1529" spans="2:22">
      <c r="B1529" s="1331"/>
      <c r="C1529" s="1340" t="str">
        <f>+C$3</f>
        <v>PROD. CAP. ALLOC. METHOD: 12 CP &amp; 1/13th AD</v>
      </c>
      <c r="G1529" s="1336" t="s">
        <v>4768</v>
      </c>
      <c r="I1529" s="1335" t="s">
        <v>3042</v>
      </c>
      <c r="L1529" s="1336" t="s">
        <v>5141</v>
      </c>
      <c r="M1529" s="1337"/>
      <c r="N1529" s="1337"/>
      <c r="O1529" s="1337"/>
      <c r="R1529" s="1331"/>
      <c r="S1529" s="1335" t="s">
        <v>4960</v>
      </c>
      <c r="T1529" s="1333" t="s">
        <v>5141</v>
      </c>
      <c r="V1529" s="1332" t="s">
        <v>5848</v>
      </c>
    </row>
    <row r="1530" spans="2:22">
      <c r="C1530" s="1340" t="str">
        <f>+C$4</f>
        <v>PROJECTED CALENDAR YEAR 2025; FULLY ADJUSTED DATA</v>
      </c>
      <c r="G1530" s="1336" t="s">
        <v>2181</v>
      </c>
      <c r="L1530" s="1336" t="s">
        <v>2181</v>
      </c>
      <c r="T1530" s="1339"/>
    </row>
    <row r="1531" spans="2:22">
      <c r="C1531" s="1340" t="str">
        <f>+C$5</f>
        <v>MINIMUM DISTRIBUTION SYSTEM (MDS) NOT EMPLOYED</v>
      </c>
      <c r="G1531" s="1320"/>
      <c r="L1531" s="1336"/>
      <c r="M1531" s="1337"/>
      <c r="N1531" s="1337"/>
      <c r="O1531" s="1337"/>
      <c r="T1531" s="1333"/>
    </row>
    <row r="1532" spans="2:22">
      <c r="C1532" s="1340" t="str">
        <f>+C$6</f>
        <v>Tampa Electric 2025 OB Budget</v>
      </c>
      <c r="F1532" s="1327"/>
      <c r="G1532" s="1333" t="s">
        <v>5849</v>
      </c>
      <c r="L1532" s="1336" t="s">
        <v>5849</v>
      </c>
      <c r="M1532" s="1337"/>
      <c r="N1532" s="1337"/>
      <c r="O1532" s="1337"/>
      <c r="T1532" s="1333" t="s">
        <v>5849</v>
      </c>
    </row>
    <row r="1533" spans="2:22">
      <c r="F1533" s="1333"/>
      <c r="G1533" s="1320"/>
      <c r="L1533" s="1336"/>
      <c r="M1533" s="1337"/>
      <c r="N1533" s="1337"/>
      <c r="O1533" s="1337"/>
    </row>
    <row r="1534" spans="2:22">
      <c r="C1534" s="1491" t="s">
        <v>5850</v>
      </c>
      <c r="F1534" s="1333"/>
      <c r="G1534" s="1320"/>
      <c r="K1534" s="1492"/>
      <c r="L1534" s="1336"/>
      <c r="M1534" s="1337"/>
      <c r="N1534" s="1337"/>
      <c r="O1534" s="1337"/>
    </row>
    <row r="1535" spans="2:22">
      <c r="G1535" s="1320"/>
    </row>
    <row r="1536" spans="2:22">
      <c r="C1536" s="1342"/>
      <c r="D1536" s="1331"/>
      <c r="E1536" s="1331"/>
      <c r="F1536" s="1333"/>
      <c r="G1536" s="1333"/>
      <c r="H1536" s="1333"/>
      <c r="I1536" s="1343"/>
      <c r="P1536" s="3164"/>
      <c r="Q1536" s="3164"/>
      <c r="R1536" s="1333"/>
    </row>
    <row r="1537" spans="1:27" ht="30" customHeight="1">
      <c r="A1537" s="1418" t="s">
        <v>4683</v>
      </c>
      <c r="B1537" s="1425" t="s">
        <v>5143</v>
      </c>
      <c r="C1537" s="1349" t="s">
        <v>4297</v>
      </c>
      <c r="D1537" s="1418"/>
      <c r="E1537" s="1418"/>
      <c r="F1537" s="1348" t="s">
        <v>5144</v>
      </c>
      <c r="G1537" s="1348" t="s">
        <v>4956</v>
      </c>
      <c r="H1537" s="1348" t="s">
        <v>4957</v>
      </c>
      <c r="I1537" s="1426" t="s">
        <v>5145</v>
      </c>
      <c r="J1537" s="1352" t="s">
        <v>4957</v>
      </c>
      <c r="K1537" s="1353" t="s">
        <v>1949</v>
      </c>
      <c r="L1537" s="1353" t="s">
        <v>1950</v>
      </c>
      <c r="M1537" s="1354" t="s">
        <v>1934</v>
      </c>
      <c r="N1537" s="1354" t="s">
        <v>1971</v>
      </c>
      <c r="O1537" s="1354" t="s">
        <v>1972</v>
      </c>
      <c r="P1537" s="1352" t="s">
        <v>5146</v>
      </c>
      <c r="Q1537" s="1352" t="s">
        <v>5147</v>
      </c>
      <c r="R1537" s="1348"/>
      <c r="S1537" s="1493"/>
      <c r="T1537" s="1348"/>
      <c r="U1537" s="1352"/>
      <c r="V1537" s="1355" t="s">
        <v>4774</v>
      </c>
    </row>
    <row r="1538" spans="1:27">
      <c r="G1538" s="1320"/>
      <c r="S1538" s="1494"/>
    </row>
    <row r="1539" spans="1:27">
      <c r="A1539" s="1320" t="s">
        <v>5851</v>
      </c>
      <c r="B1539" s="1321"/>
      <c r="C1539" s="1322">
        <v>1</v>
      </c>
      <c r="D1539" s="1356" t="s">
        <v>5852</v>
      </c>
      <c r="F1539" s="1320" t="s">
        <v>2477</v>
      </c>
      <c r="G1539" s="1320"/>
      <c r="S1539" s="1494"/>
    </row>
    <row r="1540" spans="1:27">
      <c r="A1540" s="1320" t="s">
        <v>5851</v>
      </c>
      <c r="C1540" s="1322">
        <v>2</v>
      </c>
      <c r="D1540" s="1320" t="s">
        <v>5265</v>
      </c>
      <c r="E1540" s="1324" t="s">
        <v>4067</v>
      </c>
      <c r="F1540" s="1324">
        <f t="shared" ref="F1540:H1546" si="721">+F1907-F1858-F586</f>
        <v>915271.7117436839</v>
      </c>
      <c r="G1540" s="1324">
        <f t="shared" si="721"/>
        <v>0</v>
      </c>
      <c r="H1540" s="1324">
        <f t="shared" si="721"/>
        <v>915271.7117436839</v>
      </c>
      <c r="I1540" s="1323">
        <f t="shared" ref="I1540:I1549" si="722">IF(F1540=0,0,+H1540/F1540)</f>
        <v>1</v>
      </c>
      <c r="J1540" s="1324">
        <f t="shared" ref="J1540:Q1546" si="723">+J1907-J1858-J586</f>
        <v>915271.7117436839</v>
      </c>
      <c r="K1540" s="1324">
        <f t="shared" si="723"/>
        <v>525562.44087096548</v>
      </c>
      <c r="L1540" s="1324">
        <f t="shared" si="723"/>
        <v>43706.111937138259</v>
      </c>
      <c r="M1540" s="1324">
        <f t="shared" si="723"/>
        <v>282862.03673932247</v>
      </c>
      <c r="N1540" s="1324">
        <f t="shared" si="723"/>
        <v>36151.682683064479</v>
      </c>
      <c r="O1540" s="1324">
        <f t="shared" si="723"/>
        <v>26018.479449448452</v>
      </c>
      <c r="P1540" s="1324">
        <f t="shared" si="723"/>
        <v>970.96006374470244</v>
      </c>
      <c r="Q1540" s="1324">
        <f t="shared" si="723"/>
        <v>0</v>
      </c>
      <c r="R1540" s="1324"/>
      <c r="S1540" s="1324"/>
      <c r="T1540" s="1324"/>
      <c r="V1540" s="1320" t="s">
        <v>5853</v>
      </c>
    </row>
    <row r="1541" spans="1:27">
      <c r="A1541" s="1320" t="s">
        <v>5851</v>
      </c>
      <c r="C1541" s="1322">
        <v>3</v>
      </c>
      <c r="D1541" s="1320" t="s">
        <v>5265</v>
      </c>
      <c r="E1541" s="1324" t="s">
        <v>2067</v>
      </c>
      <c r="F1541" s="1324">
        <f t="shared" si="721"/>
        <v>109743.42556214643</v>
      </c>
      <c r="G1541" s="1324">
        <f t="shared" si="721"/>
        <v>1.84900420208578E-3</v>
      </c>
      <c r="H1541" s="1324">
        <f t="shared" si="721"/>
        <v>109743.42371314223</v>
      </c>
      <c r="I1541" s="1323">
        <f t="shared" si="722"/>
        <v>0.99999998315157201</v>
      </c>
      <c r="J1541" s="1324">
        <f t="shared" si="723"/>
        <v>109743.42371314223</v>
      </c>
      <c r="K1541" s="1324">
        <f t="shared" si="723"/>
        <v>55493.052652013248</v>
      </c>
      <c r="L1541" s="1324">
        <f t="shared" si="723"/>
        <v>5116.6189178103232</v>
      </c>
      <c r="M1541" s="1324">
        <f t="shared" si="723"/>
        <v>38041.295139590598</v>
      </c>
      <c r="N1541" s="1324">
        <f t="shared" si="723"/>
        <v>6046.6414562988366</v>
      </c>
      <c r="O1541" s="1324">
        <f t="shared" si="723"/>
        <v>4466.3672688364741</v>
      </c>
      <c r="P1541" s="1324">
        <f t="shared" si="723"/>
        <v>579.44827859274858</v>
      </c>
      <c r="Q1541" s="1324">
        <f t="shared" si="723"/>
        <v>0</v>
      </c>
      <c r="R1541" s="1324"/>
      <c r="S1541" s="1324"/>
      <c r="T1541" s="1324"/>
      <c r="V1541" s="1320" t="s">
        <v>5854</v>
      </c>
      <c r="Y1541" s="1324"/>
    </row>
    <row r="1542" spans="1:27">
      <c r="A1542" s="1320" t="s">
        <v>5851</v>
      </c>
      <c r="C1542" s="1322">
        <v>4</v>
      </c>
      <c r="D1542" s="1320" t="s">
        <v>5268</v>
      </c>
      <c r="E1542" s="1324" t="s">
        <v>4067</v>
      </c>
      <c r="F1542" s="1324">
        <f t="shared" si="721"/>
        <v>60603.564587400513</v>
      </c>
      <c r="G1542" s="1324">
        <f t="shared" si="721"/>
        <v>4393.9563093186916</v>
      </c>
      <c r="H1542" s="1324">
        <f t="shared" si="721"/>
        <v>56209.376151858211</v>
      </c>
      <c r="I1542" s="1323">
        <f t="shared" si="722"/>
        <v>0.92749290465901313</v>
      </c>
      <c r="J1542" s="1324">
        <f t="shared" si="723"/>
        <v>56209.376151858211</v>
      </c>
      <c r="K1542" s="1324">
        <f t="shared" si="723"/>
        <v>32602.171145296812</v>
      </c>
      <c r="L1542" s="1324">
        <f t="shared" si="723"/>
        <v>2689.3502758914133</v>
      </c>
      <c r="M1542" s="1324">
        <f t="shared" si="723"/>
        <v>17191.665217450009</v>
      </c>
      <c r="N1542" s="1324">
        <f t="shared" si="723"/>
        <v>2146.1514564272115</v>
      </c>
      <c r="O1542" s="1324">
        <f t="shared" si="723"/>
        <v>1540.1860245788675</v>
      </c>
      <c r="P1542" s="1324">
        <f t="shared" si="723"/>
        <v>39.852032213902007</v>
      </c>
      <c r="Q1542" s="1324">
        <f t="shared" si="723"/>
        <v>0</v>
      </c>
      <c r="R1542" s="1324"/>
      <c r="S1542" s="1324"/>
      <c r="T1542" s="1324"/>
      <c r="V1542" s="1320" t="s">
        <v>5855</v>
      </c>
      <c r="W1542" s="1388"/>
      <c r="X1542" s="1388"/>
      <c r="Y1542" s="1324"/>
    </row>
    <row r="1543" spans="1:27">
      <c r="A1543" s="1320" t="s">
        <v>5851</v>
      </c>
      <c r="C1543" s="1322">
        <v>5</v>
      </c>
      <c r="D1543" s="1320" t="s">
        <v>5239</v>
      </c>
      <c r="E1543" s="1324" t="s">
        <v>4067</v>
      </c>
      <c r="F1543" s="1324">
        <f t="shared" si="721"/>
        <v>75093.224483780883</v>
      </c>
      <c r="G1543" s="1324">
        <f t="shared" si="721"/>
        <v>5339.6579100877234</v>
      </c>
      <c r="H1543" s="1324">
        <f t="shared" si="721"/>
        <v>69753.779014877364</v>
      </c>
      <c r="I1543" s="1323">
        <f t="shared" si="722"/>
        <v>0.92889577580921745</v>
      </c>
      <c r="J1543" s="1324">
        <f t="shared" si="723"/>
        <v>69753.779014877364</v>
      </c>
      <c r="K1543" s="1324">
        <f t="shared" si="723"/>
        <v>40458.101426536923</v>
      </c>
      <c r="L1543" s="1324">
        <f t="shared" si="723"/>
        <v>3337.3852848200963</v>
      </c>
      <c r="M1543" s="1324">
        <f t="shared" si="723"/>
        <v>21334.227464755775</v>
      </c>
      <c r="N1543" s="1324">
        <f t="shared" si="723"/>
        <v>2663.2954263651259</v>
      </c>
      <c r="O1543" s="1324">
        <f t="shared" si="723"/>
        <v>1911.3144986706131</v>
      </c>
      <c r="P1543" s="1324">
        <f t="shared" si="723"/>
        <v>49.454913728844119</v>
      </c>
      <c r="Q1543" s="1324">
        <f t="shared" si="723"/>
        <v>0</v>
      </c>
      <c r="R1543" s="1324"/>
      <c r="S1543" s="1324"/>
      <c r="T1543" s="1324"/>
      <c r="V1543" s="1320" t="s">
        <v>5856</v>
      </c>
    </row>
    <row r="1544" spans="1:27">
      <c r="A1544" s="1320" t="s">
        <v>5851</v>
      </c>
      <c r="C1544" s="1322">
        <v>6</v>
      </c>
      <c r="D1544" s="1320" t="s">
        <v>5240</v>
      </c>
      <c r="E1544" s="1324" t="s">
        <v>4067</v>
      </c>
      <c r="F1544" s="1324">
        <f t="shared" si="721"/>
        <v>273310.04705171305</v>
      </c>
      <c r="G1544" s="1324">
        <f t="shared" si="721"/>
        <v>0</v>
      </c>
      <c r="H1544" s="1324">
        <f t="shared" si="721"/>
        <v>273310.04705171305</v>
      </c>
      <c r="I1544" s="1323">
        <f t="shared" si="722"/>
        <v>1</v>
      </c>
      <c r="J1544" s="1324">
        <f t="shared" si="723"/>
        <v>273310.04705171305</v>
      </c>
      <c r="K1544" s="1324">
        <f t="shared" si="723"/>
        <v>170112.54954649977</v>
      </c>
      <c r="L1544" s="1324">
        <f t="shared" si="723"/>
        <v>12098.831176123282</v>
      </c>
      <c r="M1544" s="1324">
        <f t="shared" si="723"/>
        <v>81009.228918554421</v>
      </c>
      <c r="N1544" s="1324">
        <f t="shared" si="723"/>
        <v>8520.5421033854873</v>
      </c>
      <c r="O1544" s="1324">
        <f t="shared" si="723"/>
        <v>5.8176601582634081E-3</v>
      </c>
      <c r="P1544" s="1324">
        <f t="shared" si="723"/>
        <v>1568.889489489969</v>
      </c>
      <c r="Q1544" s="1324">
        <f t="shared" si="723"/>
        <v>0</v>
      </c>
      <c r="R1544" s="1324"/>
      <c r="S1544" s="1324"/>
      <c r="T1544" s="1324"/>
      <c r="V1544" s="1320" t="s">
        <v>5857</v>
      </c>
    </row>
    <row r="1545" spans="1:27" s="1324" customFormat="1">
      <c r="A1545" s="1324" t="s">
        <v>5851</v>
      </c>
      <c r="C1545" s="1393">
        <v>7</v>
      </c>
      <c r="D1545" s="1324" t="s">
        <v>5241</v>
      </c>
      <c r="E1545" s="1324" t="s">
        <v>4067</v>
      </c>
      <c r="F1545" s="1324">
        <f t="shared" si="721"/>
        <v>121199.55498098544</v>
      </c>
      <c r="G1545" s="1324">
        <f t="shared" si="721"/>
        <v>0</v>
      </c>
      <c r="H1545" s="1324">
        <f t="shared" si="721"/>
        <v>121199.55498098544</v>
      </c>
      <c r="I1545" s="1374">
        <f t="shared" si="722"/>
        <v>1</v>
      </c>
      <c r="J1545" s="1324">
        <f t="shared" si="723"/>
        <v>121199.55498098544</v>
      </c>
      <c r="K1545" s="1324">
        <f t="shared" si="723"/>
        <v>88431.22656806052</v>
      </c>
      <c r="L1545" s="1324">
        <f t="shared" si="723"/>
        <v>7120.4687655443349</v>
      </c>
      <c r="M1545" s="1324">
        <f t="shared" si="723"/>
        <v>25209.428958620971</v>
      </c>
      <c r="N1545" s="1324">
        <f t="shared" si="723"/>
        <v>0</v>
      </c>
      <c r="O1545" s="1324">
        <f t="shared" si="723"/>
        <v>0</v>
      </c>
      <c r="P1545" s="1324">
        <f t="shared" si="723"/>
        <v>438.43068875960978</v>
      </c>
      <c r="Q1545" s="1324">
        <f t="shared" si="723"/>
        <v>0</v>
      </c>
      <c r="V1545" s="1324" t="s">
        <v>5858</v>
      </c>
      <c r="AA1545" s="1320"/>
    </row>
    <row r="1546" spans="1:27">
      <c r="A1546" s="1320" t="s">
        <v>5851</v>
      </c>
      <c r="C1546" s="1322">
        <v>8</v>
      </c>
      <c r="D1546" s="1320" t="s">
        <v>5859</v>
      </c>
      <c r="E1546" s="1324" t="s">
        <v>4071</v>
      </c>
      <c r="F1546" s="1324">
        <f t="shared" si="721"/>
        <v>145569.57273455529</v>
      </c>
      <c r="G1546" s="1324">
        <f t="shared" si="721"/>
        <v>0</v>
      </c>
      <c r="H1546" s="1324">
        <f t="shared" si="721"/>
        <v>145569.57273455529</v>
      </c>
      <c r="I1546" s="1323">
        <f t="shared" si="722"/>
        <v>1</v>
      </c>
      <c r="J1546" s="1324">
        <f t="shared" si="723"/>
        <v>145569.57273455529</v>
      </c>
      <c r="K1546" s="1324">
        <f t="shared" si="723"/>
        <v>59733.899730434081</v>
      </c>
      <c r="L1546" s="1324">
        <f t="shared" si="723"/>
        <v>11349.511304660346</v>
      </c>
      <c r="M1546" s="1324">
        <f t="shared" si="723"/>
        <v>6433.5870865214574</v>
      </c>
      <c r="N1546" s="1324">
        <f t="shared" si="723"/>
        <v>478.58842858600315</v>
      </c>
      <c r="O1546" s="1324">
        <f t="shared" si="723"/>
        <v>522.16006583162539</v>
      </c>
      <c r="P1546" s="1324">
        <f t="shared" si="723"/>
        <v>107.99779637576934</v>
      </c>
      <c r="Q1546" s="1324">
        <f t="shared" si="723"/>
        <v>66943.828322145971</v>
      </c>
      <c r="R1546" s="1324"/>
      <c r="S1546" s="1324"/>
      <c r="T1546" s="1324"/>
      <c r="V1546" s="1320" t="s">
        <v>5860</v>
      </c>
    </row>
    <row r="1547" spans="1:27" s="1324" customFormat="1">
      <c r="A1547" s="1324" t="s">
        <v>5851</v>
      </c>
      <c r="C1547" s="1393">
        <v>9</v>
      </c>
      <c r="D1547" s="1324" t="s">
        <v>5861</v>
      </c>
      <c r="E1547" s="1324" t="s">
        <v>4071</v>
      </c>
      <c r="F1547" s="1324">
        <f>+F1914-F1863-F593-F286</f>
        <v>75734.886056515636</v>
      </c>
      <c r="G1547" s="1324">
        <f>+G1914-G1863-G593-G286</f>
        <v>0</v>
      </c>
      <c r="H1547" s="1324">
        <f>+H1914-H1863-H593-H286</f>
        <v>75734.886056515636</v>
      </c>
      <c r="I1547" s="1374">
        <f t="shared" si="722"/>
        <v>1</v>
      </c>
      <c r="J1547" s="1324">
        <f t="shared" ref="J1547:Q1547" si="724">+J1914-J1863-J593-J286</f>
        <v>75734.886056515636</v>
      </c>
      <c r="K1547" s="1324">
        <f t="shared" si="724"/>
        <v>67518.780094366361</v>
      </c>
      <c r="L1547" s="1324">
        <f t="shared" si="724"/>
        <v>6549.44263144047</v>
      </c>
      <c r="M1547" s="1324">
        <f t="shared" si="724"/>
        <v>1632.5569897741673</v>
      </c>
      <c r="N1547" s="1324">
        <f t="shared" si="724"/>
        <v>8.3324508543801699</v>
      </c>
      <c r="O1547" s="1324">
        <f t="shared" si="724"/>
        <v>1.7941595659638807</v>
      </c>
      <c r="P1547" s="1324">
        <f t="shared" si="724"/>
        <v>23.366521986481867</v>
      </c>
      <c r="Q1547" s="1324">
        <f t="shared" si="724"/>
        <v>-0.19177254476210237</v>
      </c>
      <c r="T1547" s="1364"/>
      <c r="U1547" s="1364"/>
      <c r="V1547" s="1324" t="s">
        <v>5862</v>
      </c>
      <c r="AA1547" s="1320"/>
    </row>
    <row r="1548" spans="1:27" s="1324" customFormat="1">
      <c r="A1548" s="1324" t="s">
        <v>5851</v>
      </c>
      <c r="C1548" s="1393">
        <v>10</v>
      </c>
      <c r="D1548" s="1324" t="s">
        <v>5863</v>
      </c>
      <c r="E1548" s="1324" t="s">
        <v>4777</v>
      </c>
      <c r="F1548" s="1366">
        <f>F286+F593+F1863</f>
        <v>5819.6594147318619</v>
      </c>
      <c r="G1548" s="1366">
        <f>G286+G593+G1863</f>
        <v>0</v>
      </c>
      <c r="H1548" s="1366">
        <f>H286+H593+H1863</f>
        <v>5819.6594147318619</v>
      </c>
      <c r="I1548" s="1374">
        <f t="shared" si="722"/>
        <v>1</v>
      </c>
      <c r="J1548" s="1366">
        <f t="shared" ref="J1548:Q1548" si="725">J286+J593+J1863</f>
        <v>5819.6594147318619</v>
      </c>
      <c r="K1548" s="1366">
        <f t="shared" si="725"/>
        <v>3392.3774820079284</v>
      </c>
      <c r="L1548" s="1366">
        <f t="shared" si="725"/>
        <v>312.38817866060828</v>
      </c>
      <c r="M1548" s="1366">
        <f t="shared" si="725"/>
        <v>1544.3566358586913</v>
      </c>
      <c r="N1548" s="1366">
        <f t="shared" si="725"/>
        <v>183.76505658612251</v>
      </c>
      <c r="O1548" s="1366">
        <f t="shared" si="725"/>
        <v>108.14263486806975</v>
      </c>
      <c r="P1548" s="1366">
        <f t="shared" si="725"/>
        <v>11.757349915175318</v>
      </c>
      <c r="Q1548" s="1366">
        <f t="shared" si="725"/>
        <v>270.20520854205262</v>
      </c>
      <c r="T1548" s="1364"/>
      <c r="U1548" s="1364"/>
      <c r="AA1548" s="1320"/>
    </row>
    <row r="1549" spans="1:27" ht="14.4" thickBot="1">
      <c r="A1549" s="1320" t="s">
        <v>5851</v>
      </c>
      <c r="C1549" s="1322">
        <v>11</v>
      </c>
      <c r="D1549" s="1320" t="s">
        <v>5864</v>
      </c>
      <c r="F1549" s="1423">
        <f>SUM(F1540:F1548)</f>
        <v>1782345.6466155129</v>
      </c>
      <c r="G1549" s="1423">
        <f>SUM(G1540:G1548)</f>
        <v>9733.616068410618</v>
      </c>
      <c r="H1549" s="1423">
        <f>SUM(H1540:H1548)</f>
        <v>1772612.0108620627</v>
      </c>
      <c r="I1549" s="1323">
        <f t="shared" si="722"/>
        <v>0.99453886188016705</v>
      </c>
      <c r="J1549" s="1380">
        <f t="shared" ref="J1549:Q1549" si="726">SUM(J1540:J1548)</f>
        <v>1772612.0108620627</v>
      </c>
      <c r="K1549" s="1423">
        <f t="shared" si="726"/>
        <v>1043304.599516181</v>
      </c>
      <c r="L1549" s="1423">
        <f t="shared" si="726"/>
        <v>92280.108472089138</v>
      </c>
      <c r="M1549" s="1423">
        <f t="shared" si="726"/>
        <v>475258.38315044862</v>
      </c>
      <c r="N1549" s="1423">
        <f t="shared" si="726"/>
        <v>56198.999061567651</v>
      </c>
      <c r="O1549" s="1380">
        <f>SUM(O1540:O1548)</f>
        <v>34568.449919460225</v>
      </c>
      <c r="P1549" s="1380">
        <f>SUM(P1540:P1548)</f>
        <v>3790.1571348072025</v>
      </c>
      <c r="Q1549" s="1423">
        <f t="shared" si="726"/>
        <v>67213.841758143273</v>
      </c>
      <c r="R1549" s="1324"/>
      <c r="S1549" s="1324"/>
      <c r="T1549" s="1358"/>
      <c r="U1549" s="1364"/>
      <c r="V1549" s="1320" t="s">
        <v>5704</v>
      </c>
      <c r="Y1549" s="1324"/>
    </row>
    <row r="1550" spans="1:27" ht="14.4" thickTop="1">
      <c r="A1550" s="1320" t="s">
        <v>5851</v>
      </c>
      <c r="C1550" s="1322">
        <v>12</v>
      </c>
      <c r="F1550" s="1358"/>
      <c r="G1550" s="1358"/>
      <c r="H1550" s="1358"/>
      <c r="K1550" s="1364"/>
      <c r="L1550" s="1364"/>
      <c r="M1550" s="1367"/>
      <c r="N1550" s="1367"/>
      <c r="O1550" s="1367"/>
      <c r="P1550" s="1364"/>
      <c r="Q1550" s="1364"/>
      <c r="R1550" s="1358"/>
      <c r="S1550" s="1495"/>
      <c r="T1550" s="1358"/>
      <c r="U1550" s="1364"/>
      <c r="Y1550" s="1324"/>
    </row>
    <row r="1551" spans="1:27">
      <c r="A1551" s="1320" t="s">
        <v>5851</v>
      </c>
      <c r="C1551" s="1322">
        <v>13</v>
      </c>
      <c r="D1551" s="1324" t="s">
        <v>5865</v>
      </c>
      <c r="G1551" s="1320"/>
      <c r="J1551" s="1496">
        <f>+J1549/(J1549-J1548)</f>
        <v>1.0032939125019216</v>
      </c>
      <c r="S1551" s="763"/>
      <c r="Y1551" s="1324"/>
    </row>
    <row r="1552" spans="1:27" ht="18.75" customHeight="1">
      <c r="A1552" s="1320" t="s">
        <v>5851</v>
      </c>
      <c r="C1552" s="1322">
        <v>14</v>
      </c>
      <c r="D1552" s="1356" t="s">
        <v>5866</v>
      </c>
      <c r="G1552" s="1320"/>
      <c r="S1552" s="763"/>
      <c r="Y1552" s="1324"/>
    </row>
    <row r="1553" spans="1:25" ht="13.5" customHeight="1">
      <c r="A1553" s="1320" t="s">
        <v>5851</v>
      </c>
      <c r="C1553" s="1322">
        <v>15</v>
      </c>
      <c r="D1553" s="1356" t="s">
        <v>5867</v>
      </c>
      <c r="G1553" s="1320"/>
      <c r="O1553" s="1417"/>
      <c r="S1553" s="763"/>
      <c r="T1553" s="1497"/>
      <c r="U1553" s="1497"/>
      <c r="Y1553" s="1324"/>
    </row>
    <row r="1554" spans="1:25" ht="13.5" customHeight="1">
      <c r="A1554" s="1320" t="s">
        <v>5851</v>
      </c>
      <c r="B1554" s="1320">
        <v>404</v>
      </c>
      <c r="C1554" s="1322">
        <v>16</v>
      </c>
      <c r="D1554" s="1320" t="s">
        <v>5868</v>
      </c>
      <c r="G1554" s="1320"/>
      <c r="K1554" s="1324">
        <f t="shared" ref="K1554:P1554" si="727">+K2011</f>
        <v>10290068.453940002</v>
      </c>
      <c r="L1554" s="1324">
        <f t="shared" si="727"/>
        <v>950935.90074000007</v>
      </c>
      <c r="M1554" s="1325">
        <f t="shared" si="727"/>
        <v>7089279.4422360742</v>
      </c>
      <c r="N1554" s="1325">
        <f t="shared" si="727"/>
        <v>1148446.0116341452</v>
      </c>
      <c r="O1554" s="1325">
        <f t="shared" si="727"/>
        <v>847766.50298803649</v>
      </c>
      <c r="P1554" s="1324">
        <f t="shared" si="727"/>
        <v>107727.52524999999</v>
      </c>
      <c r="S1554" s="1325"/>
      <c r="T1554" s="1358"/>
      <c r="U1554" s="1364"/>
      <c r="V1554" s="1321" t="s">
        <v>5869</v>
      </c>
      <c r="W1554" s="1320">
        <v>404</v>
      </c>
      <c r="Y1554" s="1324"/>
    </row>
    <row r="1555" spans="1:25" ht="13.5" customHeight="1">
      <c r="A1555" s="1320" t="s">
        <v>5851</v>
      </c>
      <c r="B1555" s="1320">
        <v>405</v>
      </c>
      <c r="C1555" s="1322">
        <v>17</v>
      </c>
      <c r="D1555" s="1324" t="s">
        <v>5870</v>
      </c>
      <c r="G1555" s="1320"/>
      <c r="K1555" s="1324">
        <f t="shared" ref="K1555:P1555" si="728">K2014</f>
        <v>10290068.453940002</v>
      </c>
      <c r="L1555" s="1324">
        <f t="shared" si="728"/>
        <v>950935.90074000007</v>
      </c>
      <c r="M1555" s="1325">
        <f t="shared" si="728"/>
        <v>7088227.647975089</v>
      </c>
      <c r="N1555" s="1325">
        <f t="shared" si="728"/>
        <v>1148446.0116341452</v>
      </c>
      <c r="O1555" s="1325">
        <f t="shared" si="728"/>
        <v>0</v>
      </c>
      <c r="P1555" s="1324">
        <f t="shared" si="728"/>
        <v>107727.52524999999</v>
      </c>
      <c r="S1555" s="1325"/>
      <c r="T1555" s="1358"/>
      <c r="U1555" s="1364"/>
      <c r="V1555" s="1321" t="s">
        <v>5871</v>
      </c>
      <c r="W1555" s="1320">
        <v>405</v>
      </c>
      <c r="Y1555" s="1324"/>
    </row>
    <row r="1556" spans="1:25" ht="13.5" customHeight="1">
      <c r="A1556" s="1320" t="s">
        <v>5851</v>
      </c>
      <c r="B1556" s="1320">
        <v>406</v>
      </c>
      <c r="C1556" s="1322">
        <v>18</v>
      </c>
      <c r="D1556" s="1324" t="s">
        <v>5872</v>
      </c>
      <c r="G1556" s="1320"/>
      <c r="K1556" s="1324">
        <f t="shared" ref="K1556:P1556" si="729">K2017</f>
        <v>10290068.453940002</v>
      </c>
      <c r="L1556" s="1324">
        <f t="shared" si="729"/>
        <v>950935.90074000007</v>
      </c>
      <c r="M1556" s="1325">
        <f t="shared" si="729"/>
        <v>7005109.5403091656</v>
      </c>
      <c r="N1556" s="1325">
        <f t="shared" si="729"/>
        <v>0</v>
      </c>
      <c r="O1556" s="1325">
        <f t="shared" si="729"/>
        <v>0</v>
      </c>
      <c r="P1556" s="1324">
        <f t="shared" si="729"/>
        <v>107727.52524999999</v>
      </c>
      <c r="S1556" s="1325"/>
      <c r="T1556" s="1358"/>
      <c r="U1556" s="1364"/>
      <c r="V1556" s="1321" t="s">
        <v>5873</v>
      </c>
      <c r="W1556" s="1320">
        <v>406</v>
      </c>
      <c r="Y1556" s="1324"/>
    </row>
    <row r="1557" spans="1:25" ht="13.5" customHeight="1">
      <c r="A1557" s="1320" t="s">
        <v>5851</v>
      </c>
      <c r="C1557" s="1322">
        <v>19</v>
      </c>
      <c r="D1557" s="1324"/>
      <c r="G1557" s="1320"/>
      <c r="S1557" s="1325"/>
      <c r="T1557" s="1497"/>
      <c r="U1557" s="1497"/>
      <c r="Y1557" s="1324"/>
    </row>
    <row r="1558" spans="1:25" ht="13.5" customHeight="1">
      <c r="A1558" s="1320" t="s">
        <v>5851</v>
      </c>
      <c r="C1558" s="1322">
        <v>20</v>
      </c>
      <c r="D1558" s="1356" t="s">
        <v>5874</v>
      </c>
      <c r="G1558" s="1320"/>
      <c r="O1558" s="1417"/>
      <c r="S1558" s="1325"/>
      <c r="T1558" s="1497"/>
      <c r="U1558" s="1497"/>
    </row>
    <row r="1559" spans="1:25">
      <c r="A1559" s="1320" t="s">
        <v>5851</v>
      </c>
      <c r="B1559" s="1320">
        <v>401</v>
      </c>
      <c r="C1559" s="1322">
        <v>21</v>
      </c>
      <c r="D1559" s="1320" t="s">
        <v>5875</v>
      </c>
      <c r="G1559" s="1320"/>
      <c r="M1559" s="1324">
        <f>+M2002</f>
        <v>18168858.210000001</v>
      </c>
      <c r="N1559" s="1324">
        <f>+N2002</f>
        <v>2634852.5689424397</v>
      </c>
      <c r="O1559" s="1324">
        <f>+O2002</f>
        <v>3203801.7791090398</v>
      </c>
      <c r="S1559" s="1324"/>
      <c r="V1559" s="1321" t="s">
        <v>5876</v>
      </c>
      <c r="W1559" s="1320">
        <v>401</v>
      </c>
    </row>
    <row r="1560" spans="1:25">
      <c r="A1560" s="1320" t="s">
        <v>5851</v>
      </c>
      <c r="B1560" s="1320">
        <v>402</v>
      </c>
      <c r="C1560" s="1322">
        <v>22</v>
      </c>
      <c r="D1560" s="1324" t="s">
        <v>5877</v>
      </c>
      <c r="G1560" s="1320"/>
      <c r="M1560" s="1324">
        <f>+M2005</f>
        <v>18166432.804031242</v>
      </c>
      <c r="N1560" s="1324">
        <f>+N2005</f>
        <v>2634852.5689424397</v>
      </c>
      <c r="O1560" s="1324">
        <f>+O2005</f>
        <v>0</v>
      </c>
      <c r="S1560" s="1324"/>
      <c r="V1560" s="1321" t="s">
        <v>5878</v>
      </c>
      <c r="W1560" s="1320">
        <v>402</v>
      </c>
      <c r="Y1560" s="1324"/>
    </row>
    <row r="1561" spans="1:25" ht="14.4" thickBot="1">
      <c r="A1561" s="1320" t="s">
        <v>5851</v>
      </c>
      <c r="B1561" s="1320">
        <v>403</v>
      </c>
      <c r="C1561" s="1322">
        <v>23</v>
      </c>
      <c r="D1561" s="1324" t="s">
        <v>5879</v>
      </c>
      <c r="G1561" s="1320"/>
      <c r="M1561" s="1324">
        <f>+M2008</f>
        <v>17938641.16138665</v>
      </c>
      <c r="N1561" s="1324">
        <f>+N2008</f>
        <v>0</v>
      </c>
      <c r="O1561" s="1324">
        <f>+O2008</f>
        <v>0</v>
      </c>
      <c r="S1561" s="1324"/>
      <c r="V1561" s="1321" t="s">
        <v>5880</v>
      </c>
      <c r="W1561" s="1320">
        <v>403</v>
      </c>
      <c r="Y1561" s="1324"/>
    </row>
    <row r="1562" spans="1:25">
      <c r="A1562" s="1320" t="s">
        <v>5851</v>
      </c>
      <c r="C1562" s="1322">
        <v>24</v>
      </c>
      <c r="G1562" s="1320"/>
      <c r="I1562" s="1386"/>
      <c r="J1562" s="1498" t="s">
        <v>7084</v>
      </c>
      <c r="S1562" s="763"/>
    </row>
    <row r="1563" spans="1:25">
      <c r="A1563" s="1320" t="s">
        <v>5851</v>
      </c>
      <c r="B1563" s="1320">
        <v>412</v>
      </c>
      <c r="C1563" s="1322">
        <v>25</v>
      </c>
      <c r="D1563" s="1356" t="s">
        <v>5881</v>
      </c>
      <c r="G1563" s="1320"/>
      <c r="J1563" s="1499">
        <f>+K1563/12*365</f>
        <v>280724055</v>
      </c>
      <c r="K1563" s="1324">
        <f t="shared" ref="K1563:P1563" si="730">+K2020</f>
        <v>9229284</v>
      </c>
      <c r="L1563" s="1324">
        <f t="shared" si="730"/>
        <v>894696</v>
      </c>
      <c r="M1563" s="1324">
        <f t="shared" si="730"/>
        <v>220356</v>
      </c>
      <c r="N1563" s="1324">
        <f t="shared" si="730"/>
        <v>744</v>
      </c>
      <c r="O1563" s="1324">
        <f t="shared" si="730"/>
        <v>132</v>
      </c>
      <c r="P1563" s="1324">
        <f t="shared" si="730"/>
        <v>2832</v>
      </c>
      <c r="S1563" s="1324"/>
      <c r="V1563" s="1321" t="s">
        <v>5245</v>
      </c>
      <c r="W1563" s="1320">
        <v>412</v>
      </c>
    </row>
    <row r="1564" spans="1:25">
      <c r="A1564" s="1320" t="s">
        <v>5851</v>
      </c>
      <c r="C1564" s="1322">
        <v>26</v>
      </c>
      <c r="G1564" s="1320"/>
      <c r="I1564" s="1386"/>
      <c r="J1564" s="1499"/>
      <c r="S1564" s="763"/>
    </row>
    <row r="1565" spans="1:25">
      <c r="A1565" s="1320" t="s">
        <v>5851</v>
      </c>
      <c r="B1565" s="1324"/>
      <c r="C1565" s="1322">
        <v>27</v>
      </c>
      <c r="D1565" s="1356" t="s">
        <v>5882</v>
      </c>
      <c r="E1565" s="1324"/>
      <c r="F1565" s="1324"/>
      <c r="H1565" s="1324"/>
      <c r="I1565" s="1374"/>
      <c r="J1565" s="1499"/>
      <c r="S1565" s="763"/>
      <c r="T1565" s="1368"/>
      <c r="U1565" s="1368"/>
      <c r="V1565" s="1368"/>
    </row>
    <row r="1566" spans="1:25">
      <c r="A1566" s="1320" t="s">
        <v>5851</v>
      </c>
      <c r="C1566" s="1322">
        <v>28</v>
      </c>
      <c r="D1566" s="1320" t="s">
        <v>5883</v>
      </c>
      <c r="F1566" s="907"/>
      <c r="G1566" s="907"/>
      <c r="H1566" s="907"/>
      <c r="J1566" s="1500"/>
      <c r="K1566" s="907"/>
      <c r="L1566" s="907"/>
      <c r="M1566" s="1501"/>
      <c r="N1566" s="1501"/>
      <c r="O1566" s="1501"/>
      <c r="P1566" s="907"/>
      <c r="Q1566" s="907"/>
      <c r="R1566" s="907"/>
      <c r="S1566" s="763"/>
      <c r="T1566" s="1502"/>
      <c r="U1566" s="1502"/>
    </row>
    <row r="1567" spans="1:25">
      <c r="A1567" s="1320" t="s">
        <v>5851</v>
      </c>
      <c r="C1567" s="1322">
        <v>29</v>
      </c>
      <c r="D1567" s="1320" t="s">
        <v>5884</v>
      </c>
      <c r="F1567" s="907"/>
      <c r="G1567" s="907"/>
      <c r="H1567" s="907"/>
      <c r="J1567" s="1503">
        <f>+$K$1546*1000/(J$1563)*J1551</f>
        <v>0.21348600842042084</v>
      </c>
      <c r="K1567" s="1504">
        <f>+$K$1546*1000/(K$1563)*J1551</f>
        <v>6.4935327561211347</v>
      </c>
      <c r="L1567" s="1504">
        <f>+L1546*1000/(L$1563)*J1551</f>
        <v>12.727111333723933</v>
      </c>
      <c r="M1567" s="1504">
        <f>+M1546*1000/(M$1563)*J1551</f>
        <v>29.29250285655009</v>
      </c>
      <c r="N1567" s="1504">
        <f>+N1546*1000/(N$1563)*J1551</f>
        <v>645.38287230402909</v>
      </c>
      <c r="O1567" s="1504">
        <f>+O1546*1000/(O$1563)*J1551</f>
        <v>3968.7879954581235</v>
      </c>
      <c r="P1567" s="1504">
        <f>+P1546*1000/(P$1563)*J1551</f>
        <v>38.260427848669302</v>
      </c>
      <c r="Q1567" s="1504"/>
      <c r="R1567" s="1504"/>
      <c r="S1567" s="1505"/>
      <c r="T1567" s="1504"/>
      <c r="U1567" s="1504"/>
      <c r="V1567" s="1320" t="s">
        <v>5885</v>
      </c>
      <c r="Y1567" s="1324"/>
    </row>
    <row r="1568" spans="1:25">
      <c r="A1568" s="1320" t="s">
        <v>5851</v>
      </c>
      <c r="C1568" s="1322">
        <v>30</v>
      </c>
      <c r="D1568" s="1320" t="s">
        <v>5886</v>
      </c>
      <c r="F1568" s="907"/>
      <c r="G1568" s="907"/>
      <c r="H1568" s="907"/>
      <c r="J1568" s="1506">
        <f>+$K$1547*1000/(J$1563)*J1551</f>
        <v>0.24130878648156348</v>
      </c>
      <c r="K1568" s="1507">
        <f>+$K$1547*1000/(K$1563)*J1551</f>
        <v>7.3398089221475562</v>
      </c>
      <c r="L1568" s="1507">
        <f>+L1547*1000/(L$1563)*J1551</f>
        <v>7.3444118699589467</v>
      </c>
      <c r="M1568" s="1507">
        <f>+M1547*1000/(M$1563)*J1551</f>
        <v>7.4331286175683164</v>
      </c>
      <c r="N1568" s="1507">
        <f>+N1547*1000/(N$1563)*J1551</f>
        <v>11.236420992501424</v>
      </c>
      <c r="O1568" s="1507">
        <f>+O1547*1000/(O$1563)*J1551</f>
        <v>13.636889171126146</v>
      </c>
      <c r="P1568" s="1507">
        <f>+P1547*1000/(P$1563)*J1551</f>
        <v>8.2780682434249879</v>
      </c>
      <c r="Q1568" s="1504"/>
      <c r="R1568" s="907"/>
      <c r="S1568" s="763"/>
      <c r="T1568" s="1504"/>
      <c r="U1568" s="1504"/>
      <c r="V1568" s="1320" t="s">
        <v>5887</v>
      </c>
      <c r="Y1568" s="1324"/>
    </row>
    <row r="1569" spans="1:25" ht="14.4" thickBot="1">
      <c r="A1569" s="1320" t="s">
        <v>5851</v>
      </c>
      <c r="C1569" s="1322">
        <v>31</v>
      </c>
      <c r="D1569" s="1320" t="s">
        <v>5888</v>
      </c>
      <c r="F1569" s="907"/>
      <c r="G1569" s="907"/>
      <c r="H1569" s="907"/>
      <c r="J1569" s="1508">
        <f t="shared" ref="J1569:P1569" si="731">SUM(J1567:J1568)</f>
        <v>0.45479479490198432</v>
      </c>
      <c r="K1569" s="1504">
        <f t="shared" si="731"/>
        <v>13.833341678268692</v>
      </c>
      <c r="L1569" s="1504">
        <f t="shared" si="731"/>
        <v>20.071523203682879</v>
      </c>
      <c r="M1569" s="1509">
        <f t="shared" si="731"/>
        <v>36.725631474118408</v>
      </c>
      <c r="N1569" s="1509">
        <f t="shared" si="731"/>
        <v>656.61929329653049</v>
      </c>
      <c r="O1569" s="1509">
        <f t="shared" si="731"/>
        <v>3982.4248846292498</v>
      </c>
      <c r="P1569" s="1509">
        <f t="shared" si="731"/>
        <v>46.538496092094292</v>
      </c>
      <c r="Q1569" s="1504"/>
      <c r="R1569" s="1504"/>
      <c r="S1569" s="1505"/>
      <c r="T1569" s="1504"/>
      <c r="U1569" s="1504"/>
      <c r="V1569" s="1320" t="s">
        <v>5889</v>
      </c>
      <c r="Y1569" s="1324"/>
    </row>
    <row r="1570" spans="1:25">
      <c r="A1570" s="1320" t="s">
        <v>5851</v>
      </c>
      <c r="C1570" s="1322">
        <v>32</v>
      </c>
      <c r="D1570" s="1356"/>
      <c r="F1570" s="907"/>
      <c r="G1570" s="907"/>
      <c r="H1570" s="907"/>
      <c r="J1570" s="907"/>
      <c r="K1570" s="907"/>
      <c r="L1570" s="907"/>
      <c r="M1570" s="1501"/>
      <c r="N1570" s="1501"/>
      <c r="O1570" s="1501"/>
      <c r="P1570" s="907"/>
      <c r="Q1570" s="907"/>
      <c r="R1570" s="907"/>
      <c r="S1570" s="763"/>
      <c r="T1570" s="1510"/>
      <c r="U1570" s="1511"/>
      <c r="Y1570" s="1324"/>
    </row>
    <row r="1571" spans="1:25">
      <c r="A1571" s="1320" t="s">
        <v>5851</v>
      </c>
      <c r="C1571" s="1322">
        <v>33</v>
      </c>
      <c r="D1571" s="1320" t="s">
        <v>5890</v>
      </c>
      <c r="F1571" s="907"/>
      <c r="G1571" s="907"/>
      <c r="H1571" s="907"/>
      <c r="J1571" s="907"/>
      <c r="K1571" s="1512">
        <f>(IF(K1554=0,0,K1541/K1554/10)*1000)*J1551</f>
        <v>0.54106386328844658</v>
      </c>
      <c r="L1571" s="1512">
        <f>(IF(L1554=0,0,L1541/L1554/10)*1000)*J1551</f>
        <v>0.53983371632478039</v>
      </c>
      <c r="M1571" s="1512">
        <f>(IF(M1554=0,0,M1541/M1554/10)*1000)*J1551</f>
        <v>0.538370650335118</v>
      </c>
      <c r="N1571" s="1512">
        <f>(IF(N1554=0,0,N1541/N1554/10)*1000)*J1551</f>
        <v>0.5282406401981542</v>
      </c>
      <c r="O1571" s="1512">
        <f>(IF(O1554=0,0,O1541/O1554/10)*1000)*J1551</f>
        <v>0.52857468135712649</v>
      </c>
      <c r="P1571" s="1512">
        <f>(IF(P1554=0,0,P1541/P1554/10)*1000)*J1551</f>
        <v>0.53965495742400549</v>
      </c>
      <c r="Q1571" s="907"/>
      <c r="R1571" s="907"/>
      <c r="S1571" s="1512"/>
      <c r="T1571" s="1513"/>
      <c r="U1571" s="1514"/>
      <c r="V1571" s="1321" t="s">
        <v>5891</v>
      </c>
      <c r="Y1571" s="1324"/>
    </row>
    <row r="1572" spans="1:25">
      <c r="A1572" s="1320" t="s">
        <v>5851</v>
      </c>
      <c r="C1572" s="1322">
        <v>34</v>
      </c>
      <c r="D1572" s="1356"/>
      <c r="F1572" s="907"/>
      <c r="G1572" s="907"/>
      <c r="H1572" s="907"/>
      <c r="J1572" s="907"/>
      <c r="K1572" s="1515"/>
      <c r="L1572" s="1515"/>
      <c r="M1572" s="1516"/>
      <c r="N1572" s="1516"/>
      <c r="O1572" s="1516"/>
      <c r="P1572" s="1515"/>
      <c r="Q1572" s="907"/>
      <c r="R1572" s="907"/>
      <c r="S1572" s="763"/>
      <c r="T1572" s="1510"/>
      <c r="U1572" s="1511"/>
      <c r="Y1572" s="1324"/>
    </row>
    <row r="1573" spans="1:25">
      <c r="A1573" s="1320" t="s">
        <v>5851</v>
      </c>
      <c r="C1573" s="1322">
        <v>35</v>
      </c>
      <c r="D1573" s="1320" t="s">
        <v>5892</v>
      </c>
      <c r="F1573" s="907"/>
      <c r="G1573" s="907"/>
      <c r="H1573" s="907"/>
      <c r="J1573" s="907"/>
      <c r="K1573" s="1515"/>
      <c r="L1573" s="1515"/>
      <c r="M1573" s="1516"/>
      <c r="N1573" s="1516"/>
      <c r="O1573" s="1516"/>
      <c r="P1573" s="1515"/>
      <c r="Q1573" s="907"/>
      <c r="R1573" s="907"/>
      <c r="S1573" s="763"/>
      <c r="T1573" s="1510"/>
      <c r="U1573" s="1511"/>
      <c r="Y1573" s="1324"/>
    </row>
    <row r="1574" spans="1:25">
      <c r="A1574" s="1320" t="s">
        <v>5851</v>
      </c>
      <c r="C1574" s="1322">
        <v>36</v>
      </c>
      <c r="D1574" s="1320" t="s">
        <v>5893</v>
      </c>
      <c r="F1574" s="907"/>
      <c r="G1574" s="907"/>
      <c r="H1574" s="907"/>
      <c r="J1574" s="907"/>
      <c r="K1574" s="1515"/>
      <c r="L1574" s="1515"/>
      <c r="M1574" s="1516"/>
      <c r="N1574" s="1516"/>
      <c r="O1574" s="1516"/>
      <c r="P1574" s="1515"/>
      <c r="Q1574" s="907"/>
      <c r="R1574" s="907"/>
      <c r="S1574" s="763"/>
      <c r="T1574" s="1510"/>
      <c r="U1574" s="1511"/>
      <c r="Y1574" s="1324"/>
    </row>
    <row r="1575" spans="1:25">
      <c r="A1575" s="1320" t="s">
        <v>5851</v>
      </c>
      <c r="C1575" s="1322">
        <v>37</v>
      </c>
      <c r="D1575" s="1320" t="s">
        <v>5894</v>
      </c>
      <c r="F1575" s="907"/>
      <c r="G1575" s="907"/>
      <c r="H1575" s="907"/>
      <c r="I1575" s="1440"/>
      <c r="J1575" s="907"/>
      <c r="K1575" s="1512">
        <f>(IF(K1554=0,0,K1540/K1554/10)*1000)*J1551</f>
        <v>5.1242963049832131</v>
      </c>
      <c r="L1575" s="1512">
        <f>(IF(L1554=0,0,L1540/L1554/10)*1000)*J1551</f>
        <v>4.6112546609645397</v>
      </c>
      <c r="M1575" s="1512">
        <f>(IF(M1554=0,0,M1540/M1554/10)*1000)*J1551</f>
        <v>4.003139696365869</v>
      </c>
      <c r="N1575" s="1512">
        <f>(IF(N1554=0,0,N1540/N1554/10)*1000)*J1551</f>
        <v>3.1582471265679604</v>
      </c>
      <c r="O1575" s="1512">
        <f>(IF(O1554=0,0,O1540/O1554/10)*1000)*J1551</f>
        <v>3.0791712048283602</v>
      </c>
      <c r="P1575" s="1512">
        <f>(IF(P1554=0,0,P1540/P1554/10)*1000)*J1551</f>
        <v>0.90427986624294776</v>
      </c>
      <c r="Q1575" s="907"/>
      <c r="R1575" s="907"/>
      <c r="S1575" s="1517"/>
      <c r="T1575" s="1513"/>
      <c r="U1575" s="1514"/>
      <c r="V1575" s="1321" t="s">
        <v>5895</v>
      </c>
    </row>
    <row r="1576" spans="1:25">
      <c r="A1576" s="1320" t="s">
        <v>5851</v>
      </c>
      <c r="C1576" s="1322">
        <v>38</v>
      </c>
      <c r="D1576" s="1320" t="s">
        <v>5896</v>
      </c>
      <c r="F1576" s="907"/>
      <c r="G1576" s="907"/>
      <c r="H1576" s="907"/>
      <c r="J1576" s="907"/>
      <c r="K1576" s="1512">
        <f>(IF(K1554=0,0,SUM(K1542:K1543)/K1554/10)*1000)*J1551</f>
        <v>0.71234634682129283</v>
      </c>
      <c r="L1576" s="1512">
        <f>(IF(L1554=0,0,SUM(L1542:L1543)/L1554/10)*1000)*J1551</f>
        <v>0.6358564331849681</v>
      </c>
      <c r="M1576" s="1512">
        <f>(IF(M1554=0,0,SUM(M1542:M1543)/M1554/10)*1000)*J1551</f>
        <v>0.5452288052220956</v>
      </c>
      <c r="N1576" s="1512">
        <f>(IF(N1554=0,0,SUM(N1542:N1543)/N1554/10)*1000)*J1551</f>
        <v>0.42015808589390302</v>
      </c>
      <c r="O1576" s="1512">
        <f>(IF(O1554=0,0,SUM(O1542:O1543)/O1554/10)*1000)*J1551</f>
        <v>0.40846972034966894</v>
      </c>
      <c r="P1576" s="1512">
        <f>(IF(P1554=0,0,SUM(P1542:P1543)/P1554/10)*1000)*J1551</f>
        <v>8.3173836028035353E-2</v>
      </c>
      <c r="Q1576" s="907"/>
      <c r="R1576" s="907"/>
      <c r="S1576" s="1517"/>
      <c r="T1576" s="1513"/>
      <c r="U1576" s="1514"/>
      <c r="V1576" s="1321" t="s">
        <v>5897</v>
      </c>
    </row>
    <row r="1577" spans="1:25">
      <c r="A1577" s="1320" t="s">
        <v>5851</v>
      </c>
      <c r="C1577" s="1322">
        <v>39</v>
      </c>
      <c r="D1577" s="1320" t="s">
        <v>5898</v>
      </c>
      <c r="F1577" s="907"/>
      <c r="G1577" s="907"/>
      <c r="H1577" s="907"/>
      <c r="J1577" s="907"/>
      <c r="K1577" s="1512">
        <f>(IF(K1555=0,0,K1544/K1555/10)*1000)*J1551</f>
        <v>1.6586175900009212</v>
      </c>
      <c r="L1577" s="1512">
        <f>(IF(L1555=0,0,L1544/L1555/10)*1000)*J1551</f>
        <v>1.2764986218258101</v>
      </c>
      <c r="M1577" s="1512">
        <f>(IF(M1555=0,0,M1544/M1555/10)*1000)*J1551</f>
        <v>1.1466345364017563</v>
      </c>
      <c r="N1577" s="1512">
        <f>(IF(N1555=0,0,N1544/N1555/10)*1000)*J1551</f>
        <v>0.74436307296491921</v>
      </c>
      <c r="O1577" s="1512">
        <f>(IF(O1555=0,0,O1544/O1555/10)*1000)*J1551</f>
        <v>0</v>
      </c>
      <c r="P1577" s="1512">
        <f>(IF(P1555=0,0,P1544/P1555/10)*1000)*J1551</f>
        <v>1.461146787267847</v>
      </c>
      <c r="Q1577" s="907"/>
      <c r="R1577" s="907"/>
      <c r="S1577" s="1517"/>
      <c r="T1577" s="1513"/>
      <c r="U1577" s="1514"/>
      <c r="V1577" s="1321" t="s">
        <v>5899</v>
      </c>
    </row>
    <row r="1578" spans="1:25">
      <c r="A1578" s="1320" t="s">
        <v>5851</v>
      </c>
      <c r="C1578" s="1322">
        <v>40</v>
      </c>
      <c r="D1578" s="1320" t="s">
        <v>5900</v>
      </c>
      <c r="F1578" s="907"/>
      <c r="G1578" s="907"/>
      <c r="H1578" s="907"/>
      <c r="J1578" s="907"/>
      <c r="K1578" s="1512">
        <f>(IF(K1556=0,0,K1545/K1556/10)*1000)*J1551</f>
        <v>0.86221497639155187</v>
      </c>
      <c r="L1578" s="1512">
        <f>(IF(L1556=0,0,L1545/L1556/10)*1000)*J1551</f>
        <v>0.7512517890082222</v>
      </c>
      <c r="M1578" s="1512">
        <f>(IF(M1556=0,0,M1545/M1556/10)*1000)*J1551</f>
        <v>0.36105740340382758</v>
      </c>
      <c r="N1578" s="1512">
        <f>(IF(N1556=0,0,N1545/N1556/10)*1000)*J1551</f>
        <v>0</v>
      </c>
      <c r="O1578" s="1512">
        <f>(IF(O1556=0,0,O1545/O1556/10)*1000)*J1551</f>
        <v>0</v>
      </c>
      <c r="P1578" s="1512">
        <f>(IF(P1556=0,0,P1545/P1556/10)*1000)*J1551</f>
        <v>0.40832168015160186</v>
      </c>
      <c r="Q1578" s="907"/>
      <c r="R1578" s="907"/>
      <c r="S1578" s="1517"/>
      <c r="T1578" s="1513"/>
      <c r="U1578" s="1514"/>
      <c r="V1578" s="1321" t="s">
        <v>5901</v>
      </c>
    </row>
    <row r="1579" spans="1:25">
      <c r="A1579" s="1320" t="s">
        <v>5851</v>
      </c>
      <c r="C1579" s="1322">
        <v>41</v>
      </c>
      <c r="F1579" s="907"/>
      <c r="G1579" s="907"/>
      <c r="H1579" s="907"/>
      <c r="J1579" s="907"/>
      <c r="K1579" s="907"/>
      <c r="L1579" s="907"/>
      <c r="M1579" s="1501"/>
      <c r="N1579" s="1501"/>
      <c r="O1579" s="1501"/>
      <c r="P1579" s="907"/>
      <c r="Q1579" s="907"/>
      <c r="R1579" s="907"/>
      <c r="S1579" s="763"/>
      <c r="T1579" s="1510"/>
      <c r="U1579" s="1511"/>
      <c r="V1579" s="1321"/>
      <c r="Y1579" s="1324"/>
    </row>
    <row r="1580" spans="1:25">
      <c r="A1580" s="1320" t="s">
        <v>5851</v>
      </c>
      <c r="C1580" s="1322">
        <v>42</v>
      </c>
      <c r="D1580" s="1320" t="s">
        <v>5902</v>
      </c>
      <c r="F1580" s="907"/>
      <c r="G1580" s="907"/>
      <c r="H1580" s="907"/>
      <c r="J1580" s="907"/>
      <c r="K1580" s="907"/>
      <c r="L1580" s="907"/>
      <c r="M1580" s="1501"/>
      <c r="N1580" s="1501"/>
      <c r="O1580" s="1501"/>
      <c r="P1580" s="907"/>
      <c r="Q1580" s="907"/>
      <c r="R1580" s="907"/>
      <c r="S1580" s="763"/>
      <c r="T1580" s="1510"/>
      <c r="U1580" s="1511"/>
      <c r="Y1580" s="1324"/>
    </row>
    <row r="1581" spans="1:25">
      <c r="A1581" s="1320" t="s">
        <v>5851</v>
      </c>
      <c r="C1581" s="1322">
        <v>43</v>
      </c>
      <c r="D1581" s="1320" t="s">
        <v>5903</v>
      </c>
      <c r="F1581" s="907"/>
      <c r="G1581" s="907"/>
      <c r="H1581" s="907"/>
      <c r="I1581" s="1386"/>
      <c r="J1581" s="907"/>
      <c r="K1581" s="1364"/>
      <c r="L1581" s="1364"/>
      <c r="M1581" s="1509">
        <f>(IF(M1559=0,0,+M1540*1000/(M1559)))*J1551</f>
        <v>15.619790537099311</v>
      </c>
      <c r="N1581" s="1509">
        <f>(IF(N1559=0,0,+N1540*1000/(N1559)))*J1551</f>
        <v>13.765765716894682</v>
      </c>
      <c r="O1581" s="1509">
        <f>(IF(O1559=0,0,+O1540*1000/(O1559)))*J1551</f>
        <v>8.1478767551741029</v>
      </c>
      <c r="P1581" s="1364"/>
      <c r="Q1581" s="907"/>
      <c r="R1581" s="907"/>
      <c r="S1581" s="1518"/>
      <c r="T1581" s="1519"/>
      <c r="U1581" s="1520"/>
      <c r="V1581" s="1321" t="s">
        <v>5904</v>
      </c>
      <c r="Y1581" s="1324"/>
    </row>
    <row r="1582" spans="1:25">
      <c r="A1582" s="1320" t="s">
        <v>5851</v>
      </c>
      <c r="C1582" s="1322">
        <v>44</v>
      </c>
      <c r="D1582" s="1320" t="s">
        <v>5905</v>
      </c>
      <c r="F1582" s="907"/>
      <c r="G1582" s="907"/>
      <c r="H1582" s="907"/>
      <c r="I1582" s="1386"/>
      <c r="J1582" s="907"/>
      <c r="K1582" s="1364"/>
      <c r="L1582" s="1364"/>
      <c r="M1582" s="1509">
        <f>(IF(M1559=0,0,SUM(M1542:M1543)/M1559)*1000)*J1551</f>
        <v>2.1274200698250367</v>
      </c>
      <c r="N1582" s="1509">
        <f>(IF(N1559=0,0,SUM(N1542:N1543)/N1559)*1000)*J1551</f>
        <v>1.8313316034770166</v>
      </c>
      <c r="O1582" s="1509">
        <f>(IF(O1559=0,0,SUM(O1542:O1543)/O1559)*1000)*J1551</f>
        <v>1.0808625822463982</v>
      </c>
      <c r="P1582" s="1364"/>
      <c r="Q1582" s="907"/>
      <c r="R1582" s="907"/>
      <c r="S1582" s="1518"/>
      <c r="T1582" s="1519"/>
      <c r="U1582" s="1520"/>
      <c r="V1582" s="1321" t="s">
        <v>5906</v>
      </c>
      <c r="Y1582" s="1324"/>
    </row>
    <row r="1583" spans="1:25">
      <c r="A1583" s="1320" t="s">
        <v>5851</v>
      </c>
      <c r="C1583" s="1322">
        <v>45</v>
      </c>
      <c r="D1583" s="1320" t="s">
        <v>5907</v>
      </c>
      <c r="F1583" s="907"/>
      <c r="G1583" s="907"/>
      <c r="H1583" s="907"/>
      <c r="I1583" s="1386"/>
      <c r="J1583" s="907"/>
      <c r="K1583" s="1364"/>
      <c r="L1583" s="1364"/>
      <c r="M1583" s="1509">
        <f>(IF(M1560=0,0,M1544/M1560)*1000)*J1551</f>
        <v>4.4739694967756476</v>
      </c>
      <c r="N1583" s="1509">
        <f>(IF(N1560=0,0,N1544/N1560)*1000)*J1551</f>
        <v>3.244435048969045</v>
      </c>
      <c r="O1583" s="1509">
        <f>(IF(O1560=0,0,O1544/O1560)*1000)*J1551</f>
        <v>0</v>
      </c>
      <c r="P1583" s="1364"/>
      <c r="Q1583" s="907"/>
      <c r="R1583" s="907"/>
      <c r="S1583" s="1518"/>
      <c r="T1583" s="1519"/>
      <c r="U1583" s="1520"/>
      <c r="V1583" s="1321" t="s">
        <v>5908</v>
      </c>
      <c r="Y1583" s="1324"/>
    </row>
    <row r="1584" spans="1:25">
      <c r="A1584" s="1320" t="s">
        <v>5851</v>
      </c>
      <c r="C1584" s="1322">
        <v>46</v>
      </c>
      <c r="D1584" s="1320" t="s">
        <v>5909</v>
      </c>
      <c r="F1584" s="907"/>
      <c r="G1584" s="907"/>
      <c r="H1584" s="907"/>
      <c r="I1584" s="1386"/>
      <c r="J1584" s="907"/>
      <c r="K1584" s="1364"/>
      <c r="L1584" s="1364"/>
      <c r="M1584" s="1509">
        <f>(IF(M1561=0,0,M1545/M1561)*1000)*J1551</f>
        <v>1.409943283010572</v>
      </c>
      <c r="N1584" s="1509">
        <f>(IF(N1561=0,0,N1545/N1561)*1000)*J1551</f>
        <v>0</v>
      </c>
      <c r="O1584" s="1509">
        <f>(IF(O1561=0,0,O1545/O1561)*1000)*J1551</f>
        <v>0</v>
      </c>
      <c r="P1584" s="1364"/>
      <c r="Q1584" s="907"/>
      <c r="R1584" s="907"/>
      <c r="S1584" s="1518"/>
      <c r="T1584" s="1519"/>
      <c r="U1584" s="1520"/>
      <c r="V1584" s="1321" t="s">
        <v>5910</v>
      </c>
      <c r="Y1584" s="1324"/>
    </row>
    <row r="1585" spans="1:25" ht="14.4">
      <c r="F1585" s="907"/>
      <c r="G1585" s="907"/>
      <c r="H1585" s="907"/>
      <c r="I1585" s="1386"/>
      <c r="J1585" s="907"/>
      <c r="K1585" s="907"/>
      <c r="L1585" s="907"/>
      <c r="M1585" s="1501"/>
      <c r="N1585" s="1501"/>
      <c r="O1585" s="1501"/>
      <c r="P1585" s="907"/>
      <c r="Q1585" s="907"/>
      <c r="R1585" s="907"/>
      <c r="S1585"/>
      <c r="Y1585" s="1324"/>
    </row>
    <row r="1586" spans="1:25">
      <c r="F1586" s="907"/>
      <c r="G1586" s="907"/>
      <c r="H1586" s="907"/>
      <c r="I1586" s="1386"/>
      <c r="J1586" s="907"/>
      <c r="K1586" s="907"/>
      <c r="L1586" s="907"/>
      <c r="M1586" s="1501"/>
      <c r="N1586" s="1501"/>
      <c r="O1586" s="1501"/>
      <c r="P1586" s="96"/>
      <c r="Q1586" s="907"/>
      <c r="R1586" s="907"/>
      <c r="S1586" s="1521"/>
      <c r="Y1586" s="1324"/>
    </row>
    <row r="1587" spans="1:25">
      <c r="F1587" s="907"/>
      <c r="G1587" s="907"/>
      <c r="H1587" s="907"/>
      <c r="I1587" s="1386"/>
      <c r="J1587" s="907"/>
      <c r="K1587" s="907"/>
      <c r="L1587" s="907"/>
      <c r="M1587" s="1501"/>
      <c r="N1587" s="1501"/>
      <c r="O1587" s="1501"/>
      <c r="P1587" s="96"/>
      <c r="Q1587" s="907"/>
      <c r="R1587" s="907"/>
    </row>
    <row r="1588" spans="1:25">
      <c r="G1588" s="1320"/>
    </row>
    <row r="1589" spans="1:25">
      <c r="G1589" s="1320"/>
    </row>
    <row r="1590" spans="1:25">
      <c r="B1590" s="1331"/>
      <c r="C1590" s="1340" t="str">
        <f>+C$2</f>
        <v>RATES WITH REVENUE DEFICIENCY ADDITION</v>
      </c>
      <c r="F1590" s="1333"/>
      <c r="G1590" s="1327" t="s">
        <v>2173</v>
      </c>
      <c r="I1590" s="1334" t="s">
        <v>5848</v>
      </c>
      <c r="L1590" s="1329" t="s">
        <v>2173</v>
      </c>
      <c r="M1590" s="1330"/>
      <c r="N1590" s="1330"/>
      <c r="O1590" s="1330"/>
      <c r="S1590" s="1334" t="s">
        <v>5911</v>
      </c>
      <c r="T1590" s="1333" t="s">
        <v>2173</v>
      </c>
      <c r="U1590" s="1334"/>
      <c r="V1590" s="1332" t="s">
        <v>4772</v>
      </c>
    </row>
    <row r="1591" spans="1:25">
      <c r="B1591" s="1331"/>
      <c r="C1591" s="1340" t="str">
        <f>+C$3</f>
        <v>PROD. CAP. ALLOC. METHOD: 12 CP &amp; 1/13th AD</v>
      </c>
      <c r="G1591" s="1336" t="s">
        <v>4768</v>
      </c>
      <c r="I1591" s="1335" t="s">
        <v>4960</v>
      </c>
      <c r="L1591" s="1336" t="s">
        <v>5141</v>
      </c>
      <c r="M1591" s="1337"/>
      <c r="N1591" s="1337"/>
      <c r="O1591" s="1337"/>
      <c r="R1591" s="1331"/>
      <c r="S1591" s="1335" t="s">
        <v>4961</v>
      </c>
      <c r="T1591" s="1333" t="s">
        <v>5141</v>
      </c>
      <c r="V1591" s="1332" t="s">
        <v>5911</v>
      </c>
    </row>
    <row r="1592" spans="1:25">
      <c r="C1592" s="1340" t="str">
        <f>+C$4</f>
        <v>PROJECTED CALENDAR YEAR 2025; FULLY ADJUSTED DATA</v>
      </c>
      <c r="G1592" s="1336" t="s">
        <v>2181</v>
      </c>
      <c r="L1592" s="1336" t="s">
        <v>2181</v>
      </c>
      <c r="T1592" s="1339"/>
    </row>
    <row r="1593" spans="1:25">
      <c r="C1593" s="1340" t="str">
        <f>+C$5</f>
        <v>MINIMUM DISTRIBUTION SYSTEM (MDS) NOT EMPLOYED</v>
      </c>
      <c r="D1593" s="1358"/>
      <c r="G1593" s="1320"/>
      <c r="L1593" s="1336"/>
      <c r="M1593" s="1337"/>
      <c r="N1593" s="1337"/>
      <c r="O1593" s="1337"/>
      <c r="T1593" s="1333"/>
    </row>
    <row r="1594" spans="1:25">
      <c r="C1594" s="1340" t="str">
        <f>+C$6</f>
        <v>Tampa Electric 2025 OB Budget</v>
      </c>
      <c r="F1594" s="1327"/>
      <c r="G1594" s="1333" t="s">
        <v>5912</v>
      </c>
      <c r="L1594" s="1336" t="s">
        <v>5912</v>
      </c>
      <c r="M1594" s="1337"/>
      <c r="N1594" s="1337"/>
      <c r="O1594" s="1337"/>
      <c r="T1594" s="1333" t="s">
        <v>5912</v>
      </c>
    </row>
    <row r="1595" spans="1:25">
      <c r="F1595" s="1333"/>
      <c r="G1595" s="1320"/>
      <c r="L1595" s="1336"/>
      <c r="M1595" s="1337"/>
      <c r="N1595" s="1337"/>
      <c r="O1595" s="1337"/>
      <c r="Q1595" s="907"/>
      <c r="R1595" s="907"/>
    </row>
    <row r="1596" spans="1:25">
      <c r="C1596" s="1522" t="s">
        <v>5913</v>
      </c>
      <c r="F1596" s="1333"/>
      <c r="G1596" s="1320"/>
      <c r="L1596" s="1336"/>
      <c r="M1596" s="1337"/>
      <c r="N1596" s="1337"/>
      <c r="O1596" s="1337"/>
      <c r="Q1596" s="907"/>
      <c r="R1596" s="907"/>
    </row>
    <row r="1597" spans="1:25">
      <c r="C1597" s="1522" t="s">
        <v>5914</v>
      </c>
      <c r="F1597" s="1523"/>
      <c r="G1597" s="1320"/>
    </row>
    <row r="1598" spans="1:25">
      <c r="C1598" s="1342"/>
      <c r="D1598" s="1331"/>
      <c r="E1598" s="1331"/>
      <c r="F1598" s="1333"/>
      <c r="G1598" s="1333"/>
      <c r="H1598" s="1333"/>
      <c r="I1598" s="1343"/>
      <c r="J1598" s="1416"/>
      <c r="K1598" s="1336"/>
      <c r="L1598" s="1416"/>
      <c r="M1598" s="1417"/>
      <c r="N1598" s="1417"/>
      <c r="O1598" s="1417"/>
      <c r="P1598" s="1416"/>
      <c r="Q1598" s="1416"/>
      <c r="R1598" s="1331"/>
    </row>
    <row r="1599" spans="1:25" ht="27.6">
      <c r="A1599" s="1418" t="s">
        <v>4683</v>
      </c>
      <c r="C1599" s="1349" t="s">
        <v>4297</v>
      </c>
      <c r="D1599" s="1418"/>
      <c r="E1599" s="1418"/>
      <c r="F1599" s="1348" t="s">
        <v>5144</v>
      </c>
      <c r="G1599" s="1348" t="s">
        <v>4956</v>
      </c>
      <c r="H1599" s="1348" t="s">
        <v>4957</v>
      </c>
      <c r="I1599" s="1426" t="s">
        <v>5145</v>
      </c>
      <c r="J1599" s="1352" t="s">
        <v>4957</v>
      </c>
      <c r="K1599" s="1353" t="s">
        <v>1949</v>
      </c>
      <c r="L1599" s="1353" t="s">
        <v>1950</v>
      </c>
      <c r="M1599" s="1354" t="s">
        <v>1934</v>
      </c>
      <c r="N1599" s="1354" t="s">
        <v>1971</v>
      </c>
      <c r="O1599" s="1354" t="s">
        <v>1972</v>
      </c>
      <c r="P1599" s="1352" t="s">
        <v>5146</v>
      </c>
      <c r="Q1599" s="1352" t="s">
        <v>5147</v>
      </c>
      <c r="R1599" s="1355"/>
      <c r="S1599" s="1524"/>
      <c r="T1599" s="1524"/>
      <c r="U1599" s="1524"/>
      <c r="V1599" s="1355" t="s">
        <v>4774</v>
      </c>
    </row>
    <row r="1600" spans="1:25">
      <c r="G1600" s="1320"/>
      <c r="S1600" s="1358"/>
      <c r="T1600" s="1358"/>
      <c r="U1600" s="1364"/>
    </row>
    <row r="1601" spans="1:27">
      <c r="A1601" s="1320" t="s">
        <v>5915</v>
      </c>
      <c r="C1601" s="1322">
        <v>1</v>
      </c>
      <c r="D1601" s="1356" t="s">
        <v>2305</v>
      </c>
      <c r="F1601" s="1320" t="s">
        <v>2477</v>
      </c>
      <c r="G1601" s="1320"/>
      <c r="S1601" s="1358"/>
      <c r="T1601" s="1358"/>
      <c r="U1601" s="1364"/>
    </row>
    <row r="1602" spans="1:27">
      <c r="A1602" s="1320" t="s">
        <v>5915</v>
      </c>
      <c r="C1602" s="1322">
        <v>2</v>
      </c>
      <c r="D1602" s="1320" t="s">
        <v>5265</v>
      </c>
      <c r="E1602" s="1320" t="s">
        <v>4067</v>
      </c>
      <c r="F1602" s="1320">
        <f t="shared" ref="F1602:H1609" si="732">+F1509</f>
        <v>5483176.4189962763</v>
      </c>
      <c r="G1602" s="1320">
        <f t="shared" si="732"/>
        <v>0</v>
      </c>
      <c r="H1602" s="1320">
        <f t="shared" si="732"/>
        <v>5483176.4189962763</v>
      </c>
      <c r="I1602" s="1525"/>
      <c r="J1602" s="1324">
        <f t="shared" ref="J1602:Q1609" si="733">+J1509</f>
        <v>5483176.4189962763</v>
      </c>
      <c r="K1602" s="1324">
        <f t="shared" si="733"/>
        <v>3148520.3197242692</v>
      </c>
      <c r="L1602" s="1324">
        <f t="shared" si="733"/>
        <v>261832.98277969737</v>
      </c>
      <c r="M1602" s="1324">
        <f t="shared" si="733"/>
        <v>1694559.5824474189</v>
      </c>
      <c r="N1602" s="1325">
        <f t="shared" si="733"/>
        <v>216576.1832813283</v>
      </c>
      <c r="O1602" s="1325">
        <f t="shared" si="733"/>
        <v>155870.55859463412</v>
      </c>
      <c r="P1602" s="1325">
        <f t="shared" si="733"/>
        <v>5816.7921689280947</v>
      </c>
      <c r="Q1602" s="1324">
        <f t="shared" si="733"/>
        <v>0</v>
      </c>
      <c r="V1602" s="1320" t="s">
        <v>5916</v>
      </c>
    </row>
    <row r="1603" spans="1:27">
      <c r="A1603" s="1320" t="s">
        <v>5915</v>
      </c>
      <c r="C1603" s="1322">
        <v>3</v>
      </c>
      <c r="D1603" s="1320" t="s">
        <v>5265</v>
      </c>
      <c r="E1603" s="1320" t="s">
        <v>2067</v>
      </c>
      <c r="F1603" s="1320">
        <f t="shared" si="732"/>
        <v>412366.90327200451</v>
      </c>
      <c r="G1603" s="1320">
        <f t="shared" si="732"/>
        <v>0</v>
      </c>
      <c r="H1603" s="1320">
        <f t="shared" si="732"/>
        <v>412366.90327200451</v>
      </c>
      <c r="I1603" s="1525"/>
      <c r="J1603" s="1324">
        <f t="shared" si="733"/>
        <v>412366.90327200451</v>
      </c>
      <c r="K1603" s="1324">
        <f t="shared" si="733"/>
        <v>208094.43624416357</v>
      </c>
      <c r="L1603" s="1324">
        <f t="shared" si="733"/>
        <v>19230.361926945196</v>
      </c>
      <c r="M1603" s="1324">
        <f t="shared" si="733"/>
        <v>143258.72703695038</v>
      </c>
      <c r="N1603" s="1325">
        <f t="shared" si="733"/>
        <v>22804.485921304073</v>
      </c>
      <c r="O1603" s="1325">
        <f t="shared" si="733"/>
        <v>16800.335339523463</v>
      </c>
      <c r="P1603" s="1325">
        <f t="shared" si="733"/>
        <v>2178.5568031176826</v>
      </c>
      <c r="Q1603" s="1324">
        <f t="shared" si="733"/>
        <v>0</v>
      </c>
      <c r="V1603" s="1320" t="s">
        <v>5917</v>
      </c>
      <c r="Y1603" s="1324"/>
    </row>
    <row r="1604" spans="1:27">
      <c r="A1604" s="1320" t="s">
        <v>5915</v>
      </c>
      <c r="C1604" s="1322">
        <v>4</v>
      </c>
      <c r="D1604" s="1320" t="s">
        <v>5268</v>
      </c>
      <c r="E1604" s="1320" t="s">
        <v>4067</v>
      </c>
      <c r="F1604" s="1320">
        <f t="shared" si="732"/>
        <v>432533.37598961761</v>
      </c>
      <c r="G1604" s="1320">
        <f t="shared" si="732"/>
        <v>28022.477531493787</v>
      </c>
      <c r="H1604" s="1320">
        <f t="shared" si="732"/>
        <v>404510.89845812367</v>
      </c>
      <c r="I1604" s="1525"/>
      <c r="J1604" s="1324">
        <f t="shared" si="733"/>
        <v>404510.89845812367</v>
      </c>
      <c r="K1604" s="1324">
        <f t="shared" si="733"/>
        <v>234621.59597787241</v>
      </c>
      <c r="L1604" s="1324">
        <f t="shared" si="733"/>
        <v>19353.91514451944</v>
      </c>
      <c r="M1604" s="1324">
        <f t="shared" si="733"/>
        <v>123719.85635126251</v>
      </c>
      <c r="N1604" s="1325">
        <f t="shared" si="733"/>
        <v>15444.783651773057</v>
      </c>
      <c r="O1604" s="1325">
        <f t="shared" si="733"/>
        <v>11083.95209567625</v>
      </c>
      <c r="P1604" s="1325">
        <f t="shared" si="733"/>
        <v>286.79523702016155</v>
      </c>
      <c r="Q1604" s="1324">
        <f t="shared" si="733"/>
        <v>0</v>
      </c>
      <c r="V1604" s="1320" t="s">
        <v>5918</v>
      </c>
      <c r="Y1604" s="1324"/>
    </row>
    <row r="1605" spans="1:27">
      <c r="A1605" s="1320" t="s">
        <v>5915</v>
      </c>
      <c r="C1605" s="1322">
        <v>5</v>
      </c>
      <c r="D1605" s="1320" t="s">
        <v>5239</v>
      </c>
      <c r="E1605" s="1320" t="s">
        <v>4067</v>
      </c>
      <c r="F1605" s="1320">
        <f t="shared" si="732"/>
        <v>469527.01948490978</v>
      </c>
      <c r="G1605" s="1320">
        <f t="shared" si="732"/>
        <v>30419.179384346397</v>
      </c>
      <c r="H1605" s="1320">
        <f t="shared" si="732"/>
        <v>439107.84010056313</v>
      </c>
      <c r="I1605" s="1525"/>
      <c r="J1605" s="1324">
        <f t="shared" si="733"/>
        <v>439107.84010056313</v>
      </c>
      <c r="K1605" s="1324">
        <f t="shared" si="733"/>
        <v>254688.27327888648</v>
      </c>
      <c r="L1605" s="1324">
        <f t="shared" si="733"/>
        <v>21009.213618206883</v>
      </c>
      <c r="M1605" s="1324">
        <f t="shared" si="733"/>
        <v>134301.34789206149</v>
      </c>
      <c r="N1605" s="1325">
        <f t="shared" si="733"/>
        <v>16765.742569610011</v>
      </c>
      <c r="O1605" s="1325">
        <f t="shared" si="733"/>
        <v>12031.938528880852</v>
      </c>
      <c r="P1605" s="1325">
        <f t="shared" si="733"/>
        <v>311.32421291756452</v>
      </c>
      <c r="Q1605" s="1324">
        <f t="shared" si="733"/>
        <v>0</v>
      </c>
      <c r="V1605" s="1320" t="s">
        <v>5919</v>
      </c>
    </row>
    <row r="1606" spans="1:27">
      <c r="A1606" s="1320" t="s">
        <v>5915</v>
      </c>
      <c r="C1606" s="1322">
        <v>6</v>
      </c>
      <c r="D1606" s="1320" t="s">
        <v>5240</v>
      </c>
      <c r="E1606" s="1320" t="s">
        <v>4067</v>
      </c>
      <c r="F1606" s="1320">
        <f t="shared" si="732"/>
        <v>1529952.1492352316</v>
      </c>
      <c r="G1606" s="1320">
        <f t="shared" si="732"/>
        <v>0</v>
      </c>
      <c r="H1606" s="1320">
        <f t="shared" si="732"/>
        <v>1529952.1492352316</v>
      </c>
      <c r="I1606" s="1525"/>
      <c r="J1606" s="1324">
        <f t="shared" si="733"/>
        <v>1529952.1492352316</v>
      </c>
      <c r="K1606" s="1324">
        <f t="shared" si="733"/>
        <v>952266.71539560205</v>
      </c>
      <c r="L1606" s="1324">
        <f t="shared" si="733"/>
        <v>67727.597140406797</v>
      </c>
      <c r="M1606" s="1324">
        <f t="shared" si="733"/>
        <v>453478.55019899976</v>
      </c>
      <c r="N1606" s="1325">
        <f t="shared" si="733"/>
        <v>47696.825800397171</v>
      </c>
      <c r="O1606" s="1325">
        <f t="shared" si="733"/>
        <v>3.2566463467664508E-2</v>
      </c>
      <c r="P1606" s="1325">
        <f t="shared" si="733"/>
        <v>8782.4281333630515</v>
      </c>
      <c r="Q1606" s="1324">
        <f t="shared" si="733"/>
        <v>0</v>
      </c>
      <c r="V1606" s="1320" t="s">
        <v>5920</v>
      </c>
    </row>
    <row r="1607" spans="1:27">
      <c r="A1607" s="1320" t="s">
        <v>5915</v>
      </c>
      <c r="C1607" s="1322">
        <v>7</v>
      </c>
      <c r="D1607" s="1320" t="s">
        <v>5241</v>
      </c>
      <c r="E1607" s="1320" t="s">
        <v>4067</v>
      </c>
      <c r="F1607" s="1320">
        <f t="shared" si="732"/>
        <v>672570.78032622824</v>
      </c>
      <c r="G1607" s="1320">
        <f t="shared" si="732"/>
        <v>0</v>
      </c>
      <c r="H1607" s="1320">
        <f t="shared" si="732"/>
        <v>672570.78032622824</v>
      </c>
      <c r="I1607" s="1525"/>
      <c r="J1607" s="1324">
        <f t="shared" si="733"/>
        <v>672570.78032622824</v>
      </c>
      <c r="K1607" s="1324">
        <f t="shared" si="733"/>
        <v>490730.01189993619</v>
      </c>
      <c r="L1607" s="1324">
        <f t="shared" si="733"/>
        <v>39513.505100592331</v>
      </c>
      <c r="M1607" s="1324">
        <f t="shared" si="733"/>
        <v>139894.28681432331</v>
      </c>
      <c r="N1607" s="1325">
        <f t="shared" si="733"/>
        <v>0</v>
      </c>
      <c r="O1607" s="1325">
        <f t="shared" si="733"/>
        <v>0</v>
      </c>
      <c r="P1607" s="1325">
        <f t="shared" si="733"/>
        <v>2432.9765113764529</v>
      </c>
      <c r="Q1607" s="1324">
        <f t="shared" si="733"/>
        <v>0</v>
      </c>
      <c r="V1607" s="1320" t="s">
        <v>5921</v>
      </c>
    </row>
    <row r="1608" spans="1:27">
      <c r="A1608" s="1320" t="s">
        <v>5915</v>
      </c>
      <c r="C1608" s="1322">
        <v>8</v>
      </c>
      <c r="D1608" s="1320" t="s">
        <v>5242</v>
      </c>
      <c r="E1608" s="1320" t="s">
        <v>4071</v>
      </c>
      <c r="F1608" s="1320">
        <f t="shared" si="732"/>
        <v>656038.10108533443</v>
      </c>
      <c r="G1608" s="1320">
        <f t="shared" si="732"/>
        <v>0</v>
      </c>
      <c r="H1608" s="1320">
        <f t="shared" si="732"/>
        <v>656038.10108533443</v>
      </c>
      <c r="I1608" s="1525"/>
      <c r="J1608" s="1324">
        <f t="shared" si="733"/>
        <v>656038.10108533443</v>
      </c>
      <c r="K1608" s="1324">
        <f t="shared" si="733"/>
        <v>213717.06460338531</v>
      </c>
      <c r="L1608" s="1324">
        <f t="shared" si="733"/>
        <v>37543.181893040914</v>
      </c>
      <c r="M1608" s="1324">
        <f t="shared" si="733"/>
        <v>20253.783097497806</v>
      </c>
      <c r="N1608" s="1325">
        <f t="shared" si="733"/>
        <v>1448.6370758361161</v>
      </c>
      <c r="O1608" s="1325">
        <f t="shared" si="733"/>
        <v>1580.5238608036877</v>
      </c>
      <c r="P1608" s="1325">
        <f t="shared" si="733"/>
        <v>336.22588027792466</v>
      </c>
      <c r="Q1608" s="1324">
        <f t="shared" si="733"/>
        <v>381158.68467449257</v>
      </c>
      <c r="V1608" s="1320" t="s">
        <v>5922</v>
      </c>
    </row>
    <row r="1609" spans="1:27">
      <c r="A1609" s="1320" t="s">
        <v>5915</v>
      </c>
      <c r="C1609" s="1322">
        <v>9</v>
      </c>
      <c r="D1609" s="1320" t="s">
        <v>5244</v>
      </c>
      <c r="E1609" s="1320" t="s">
        <v>4071</v>
      </c>
      <c r="F1609" s="1350">
        <f t="shared" si="732"/>
        <v>200427.25066920705</v>
      </c>
      <c r="G1609" s="1350">
        <f t="shared" si="732"/>
        <v>0</v>
      </c>
      <c r="H1609" s="1350">
        <f t="shared" si="732"/>
        <v>200427.25066920705</v>
      </c>
      <c r="I1609" s="1525"/>
      <c r="J1609" s="1366">
        <f t="shared" si="733"/>
        <v>200427.25066920705</v>
      </c>
      <c r="K1609" s="1366">
        <f t="shared" si="733"/>
        <v>178758.42214869801</v>
      </c>
      <c r="L1609" s="1366">
        <f t="shared" si="733"/>
        <v>17329.019809418754</v>
      </c>
      <c r="M1609" s="1366">
        <f t="shared" si="733"/>
        <v>4267.9898972659748</v>
      </c>
      <c r="N1609" s="1378">
        <f t="shared" si="733"/>
        <v>14.410247433997188</v>
      </c>
      <c r="O1609" s="1378">
        <f t="shared" si="733"/>
        <v>2.5566568028059531</v>
      </c>
      <c r="P1609" s="1378">
        <f t="shared" si="733"/>
        <v>54.85190958747318</v>
      </c>
      <c r="Q1609" s="1366">
        <f t="shared" si="733"/>
        <v>0</v>
      </c>
      <c r="R1609" s="1358"/>
      <c r="V1609" s="1320" t="s">
        <v>5923</v>
      </c>
    </row>
    <row r="1610" spans="1:27">
      <c r="A1610" s="1320" t="s">
        <v>5915</v>
      </c>
      <c r="C1610" s="1322">
        <v>10</v>
      </c>
      <c r="D1610" s="1320" t="s">
        <v>5182</v>
      </c>
      <c r="F1610" s="1350">
        <f>SUM(F1602:F1609)</f>
        <v>9856591.999058811</v>
      </c>
      <c r="G1610" s="1350">
        <f>SUM(G1602:G1609)</f>
        <v>58441.656915840184</v>
      </c>
      <c r="H1610" s="1350">
        <f>SUM(H1602:H1609)</f>
        <v>9798150.3421429694</v>
      </c>
      <c r="I1610" s="1525"/>
      <c r="J1610" s="1366">
        <f t="shared" ref="J1610:Q1610" si="734">SUM(J1602:J1609)</f>
        <v>9798150.3421429694</v>
      </c>
      <c r="K1610" s="1366">
        <f t="shared" si="734"/>
        <v>5681396.8392728139</v>
      </c>
      <c r="L1610" s="1366">
        <f t="shared" si="734"/>
        <v>483539.77741282765</v>
      </c>
      <c r="M1610" s="1366">
        <f t="shared" si="734"/>
        <v>2713734.1237357799</v>
      </c>
      <c r="N1610" s="1378">
        <f t="shared" si="734"/>
        <v>320751.06854768272</v>
      </c>
      <c r="O1610" s="1378">
        <f>SUM(O1602:O1609)</f>
        <v>197369.89764278464</v>
      </c>
      <c r="P1610" s="1378">
        <f>SUM(P1602:P1609)</f>
        <v>20199.950856588403</v>
      </c>
      <c r="Q1610" s="1366">
        <f t="shared" si="734"/>
        <v>381158.68467449257</v>
      </c>
      <c r="R1610" s="1358"/>
      <c r="V1610" s="1320" t="s">
        <v>5704</v>
      </c>
      <c r="Y1610" s="1324"/>
    </row>
    <row r="1611" spans="1:27">
      <c r="A1611" s="1320" t="s">
        <v>5915</v>
      </c>
      <c r="C1611" s="1322">
        <v>11</v>
      </c>
      <c r="G1611" s="1320"/>
      <c r="M1611" s="1324"/>
      <c r="P1611" s="1325"/>
      <c r="Y1611" s="1324"/>
    </row>
    <row r="1612" spans="1:27" s="1324" customFormat="1">
      <c r="A1612" s="1320" t="s">
        <v>5915</v>
      </c>
      <c r="C1612" s="1393">
        <v>12</v>
      </c>
      <c r="D1612" s="1362" t="s">
        <v>5924</v>
      </c>
      <c r="F1612" s="1526">
        <f>ROUND(+F$80*100,4)</f>
        <v>7.37</v>
      </c>
      <c r="G1612" s="1526">
        <f t="shared" ref="G1612:Q1612" si="735">ROUND(+G$80*100,4)</f>
        <v>7.37</v>
      </c>
      <c r="H1612" s="1526">
        <f t="shared" si="735"/>
        <v>7.37</v>
      </c>
      <c r="I1612" s="1374"/>
      <c r="J1612" s="1526">
        <f t="shared" si="735"/>
        <v>7.37</v>
      </c>
      <c r="K1612" s="1526">
        <f t="shared" si="735"/>
        <v>7.37</v>
      </c>
      <c r="L1612" s="1526">
        <f t="shared" si="735"/>
        <v>7.37</v>
      </c>
      <c r="M1612" s="1526">
        <f t="shared" si="735"/>
        <v>7.37</v>
      </c>
      <c r="N1612" s="1526">
        <f t="shared" si="735"/>
        <v>7.37</v>
      </c>
      <c r="O1612" s="1526">
        <f t="shared" si="735"/>
        <v>7.37</v>
      </c>
      <c r="P1612" s="1526">
        <f t="shared" si="735"/>
        <v>7.37</v>
      </c>
      <c r="Q1612" s="1526">
        <f t="shared" si="735"/>
        <v>7.37</v>
      </c>
      <c r="R1612" s="1389"/>
      <c r="V1612" s="1324" t="s">
        <v>5925</v>
      </c>
      <c r="AA1612" s="1320"/>
    </row>
    <row r="1613" spans="1:27" s="907" customFormat="1">
      <c r="A1613" s="1320" t="s">
        <v>5915</v>
      </c>
      <c r="B1613" s="1324"/>
      <c r="C1613" s="1322">
        <v>13</v>
      </c>
      <c r="F1613" s="1358"/>
      <c r="H1613" s="1358"/>
      <c r="I1613" s="1527"/>
      <c r="M1613" s="1501"/>
      <c r="N1613" s="1501"/>
      <c r="O1613" s="1501"/>
      <c r="Y1613" s="1324"/>
      <c r="AA1613" s="1320"/>
    </row>
    <row r="1614" spans="1:27">
      <c r="A1614" s="1320" t="s">
        <v>5915</v>
      </c>
      <c r="C1614" s="1322">
        <v>14</v>
      </c>
      <c r="D1614" s="1356" t="s">
        <v>5926</v>
      </c>
      <c r="G1614" s="1320"/>
      <c r="V1614" s="1384"/>
      <c r="Y1614" s="1324"/>
    </row>
    <row r="1615" spans="1:27">
      <c r="A1615" s="1320" t="s">
        <v>5915</v>
      </c>
      <c r="C1615" s="1322">
        <v>15</v>
      </c>
      <c r="D1615" s="1320" t="s">
        <v>5265</v>
      </c>
      <c r="E1615" s="1320" t="s">
        <v>4067</v>
      </c>
      <c r="F1615" s="1320">
        <f t="shared" ref="F1615:H1622" si="736">+F1602*F$1612/100</f>
        <v>404110.10208002559</v>
      </c>
      <c r="G1615" s="1320">
        <f t="shared" si="736"/>
        <v>0</v>
      </c>
      <c r="H1615" s="1320">
        <f t="shared" si="736"/>
        <v>404110.10208002559</v>
      </c>
      <c r="I1615" s="1525"/>
      <c r="J1615" s="1324">
        <f t="shared" ref="J1615:Q1622" si="737">+J1602*J$1612/100</f>
        <v>404110.10208002559</v>
      </c>
      <c r="K1615" s="1324">
        <f t="shared" si="737"/>
        <v>232045.94756367867</v>
      </c>
      <c r="L1615" s="1324">
        <f t="shared" si="737"/>
        <v>19297.090830863697</v>
      </c>
      <c r="M1615" s="1324">
        <f t="shared" si="737"/>
        <v>124889.04122637479</v>
      </c>
      <c r="N1615" s="1325">
        <f t="shared" si="737"/>
        <v>15961.664707833896</v>
      </c>
      <c r="O1615" s="1325">
        <f t="shared" si="737"/>
        <v>11487.660168424534</v>
      </c>
      <c r="P1615" s="1325">
        <f t="shared" si="737"/>
        <v>428.69758285000063</v>
      </c>
      <c r="Q1615" s="1324">
        <f t="shared" si="737"/>
        <v>0</v>
      </c>
      <c r="V1615" s="1320" t="s">
        <v>5927</v>
      </c>
      <c r="Y1615" s="1324"/>
    </row>
    <row r="1616" spans="1:27">
      <c r="A1616" s="1320" t="s">
        <v>5915</v>
      </c>
      <c r="C1616" s="1322">
        <v>16</v>
      </c>
      <c r="D1616" s="1320" t="s">
        <v>5265</v>
      </c>
      <c r="E1616" s="1320" t="s">
        <v>2067</v>
      </c>
      <c r="F1616" s="1358">
        <f t="shared" si="736"/>
        <v>30391.440771146732</v>
      </c>
      <c r="G1616" s="1358">
        <f t="shared" si="736"/>
        <v>0</v>
      </c>
      <c r="H1616" s="1358">
        <f t="shared" si="736"/>
        <v>30391.440771146732</v>
      </c>
      <c r="I1616" s="1525"/>
      <c r="J1616" s="1364">
        <f t="shared" si="737"/>
        <v>30391.440771146732</v>
      </c>
      <c r="K1616" s="1364">
        <f t="shared" si="737"/>
        <v>15336.559951194855</v>
      </c>
      <c r="L1616" s="1364">
        <f t="shared" si="737"/>
        <v>1417.2776740158608</v>
      </c>
      <c r="M1616" s="1364">
        <f t="shared" si="737"/>
        <v>10558.168182623245</v>
      </c>
      <c r="N1616" s="1367">
        <f t="shared" si="737"/>
        <v>1680.69061240011</v>
      </c>
      <c r="O1616" s="1367">
        <f t="shared" si="737"/>
        <v>1238.1847145228792</v>
      </c>
      <c r="P1616" s="1367">
        <f t="shared" si="737"/>
        <v>160.5596363897732</v>
      </c>
      <c r="Q1616" s="1364">
        <f t="shared" si="737"/>
        <v>0</v>
      </c>
      <c r="R1616" s="1358"/>
      <c r="V1616" s="1320" t="s">
        <v>5928</v>
      </c>
      <c r="Y1616" s="1324"/>
    </row>
    <row r="1617" spans="1:27">
      <c r="A1617" s="1320" t="s">
        <v>5915</v>
      </c>
      <c r="C1617" s="1322">
        <v>17</v>
      </c>
      <c r="D1617" s="1320" t="s">
        <v>5268</v>
      </c>
      <c r="E1617" s="1320" t="s">
        <v>4067</v>
      </c>
      <c r="F1617" s="1358">
        <f t="shared" si="736"/>
        <v>31877.709810434819</v>
      </c>
      <c r="G1617" s="1358">
        <f>+G1604*G$1612/100</f>
        <v>2065.2565940710924</v>
      </c>
      <c r="H1617" s="1358">
        <f t="shared" si="736"/>
        <v>29812.453216363712</v>
      </c>
      <c r="I1617" s="1525"/>
      <c r="J1617" s="1364">
        <f t="shared" si="737"/>
        <v>29812.453216363712</v>
      </c>
      <c r="K1617" s="1364">
        <f t="shared" si="737"/>
        <v>17291.611623569195</v>
      </c>
      <c r="L1617" s="1364">
        <f t="shared" si="737"/>
        <v>1426.3835461510828</v>
      </c>
      <c r="M1617" s="1364">
        <f t="shared" si="737"/>
        <v>9118.1534130880464</v>
      </c>
      <c r="N1617" s="1367">
        <f t="shared" si="737"/>
        <v>1138.2805551356744</v>
      </c>
      <c r="O1617" s="1367">
        <f t="shared" si="737"/>
        <v>816.88726945133965</v>
      </c>
      <c r="P1617" s="1367">
        <f t="shared" si="737"/>
        <v>21.136808968385907</v>
      </c>
      <c r="Q1617" s="1364">
        <f t="shared" si="737"/>
        <v>0</v>
      </c>
      <c r="R1617" s="1358"/>
      <c r="V1617" s="1320" t="s">
        <v>5929</v>
      </c>
      <c r="Y1617" s="1324"/>
    </row>
    <row r="1618" spans="1:27">
      <c r="A1618" s="1320" t="s">
        <v>5915</v>
      </c>
      <c r="C1618" s="1322">
        <v>18</v>
      </c>
      <c r="D1618" s="1320" t="s">
        <v>5239</v>
      </c>
      <c r="E1618" s="1320" t="s">
        <v>4067</v>
      </c>
      <c r="F1618" s="1358">
        <f t="shared" si="736"/>
        <v>34604.14133603785</v>
      </c>
      <c r="G1618" s="1358">
        <f>+G1605*G$1612/100</f>
        <v>2241.8935206263295</v>
      </c>
      <c r="H1618" s="1358">
        <f t="shared" si="736"/>
        <v>32362.247815411505</v>
      </c>
      <c r="I1618" s="1525"/>
      <c r="J1618" s="1364">
        <f t="shared" si="737"/>
        <v>32362.247815411505</v>
      </c>
      <c r="K1618" s="1364">
        <f t="shared" si="737"/>
        <v>18770.525740653931</v>
      </c>
      <c r="L1618" s="1364">
        <f t="shared" si="737"/>
        <v>1548.3790436618472</v>
      </c>
      <c r="M1618" s="1364">
        <f t="shared" si="737"/>
        <v>9898.009339644932</v>
      </c>
      <c r="N1618" s="1367">
        <f t="shared" si="737"/>
        <v>1235.6352273802579</v>
      </c>
      <c r="O1618" s="1367">
        <f t="shared" si="737"/>
        <v>886.75386957851879</v>
      </c>
      <c r="P1618" s="1367">
        <f t="shared" si="737"/>
        <v>22.944594492024507</v>
      </c>
      <c r="Q1618" s="1364">
        <f t="shared" si="737"/>
        <v>0</v>
      </c>
      <c r="R1618" s="1358"/>
      <c r="V1618" s="1320" t="s">
        <v>5930</v>
      </c>
    </row>
    <row r="1619" spans="1:27">
      <c r="A1619" s="1320" t="s">
        <v>5915</v>
      </c>
      <c r="C1619" s="1322">
        <v>19</v>
      </c>
      <c r="D1619" s="1320" t="s">
        <v>5240</v>
      </c>
      <c r="E1619" s="1320" t="s">
        <v>4067</v>
      </c>
      <c r="F1619" s="1358">
        <f t="shared" si="736"/>
        <v>112757.47339863656</v>
      </c>
      <c r="G1619" s="1358">
        <f t="shared" si="736"/>
        <v>0</v>
      </c>
      <c r="H1619" s="1358">
        <f t="shared" si="736"/>
        <v>112757.47339863656</v>
      </c>
      <c r="I1619" s="1525"/>
      <c r="J1619" s="1364">
        <f t="shared" si="737"/>
        <v>112757.47339863656</v>
      </c>
      <c r="K1619" s="1364">
        <f t="shared" si="737"/>
        <v>70182.056924655873</v>
      </c>
      <c r="L1619" s="1364">
        <f t="shared" si="737"/>
        <v>4991.5239092479806</v>
      </c>
      <c r="M1619" s="1364">
        <f t="shared" si="737"/>
        <v>33421.369149666287</v>
      </c>
      <c r="N1619" s="1367">
        <f t="shared" si="737"/>
        <v>3515.2560614892718</v>
      </c>
      <c r="O1619" s="1367">
        <f t="shared" si="737"/>
        <v>2.4001483575668741E-3</v>
      </c>
      <c r="P1619" s="1367">
        <f t="shared" si="737"/>
        <v>647.26495342885687</v>
      </c>
      <c r="Q1619" s="1364">
        <f t="shared" si="737"/>
        <v>0</v>
      </c>
      <c r="R1619" s="1358"/>
      <c r="V1619" s="1320" t="s">
        <v>5931</v>
      </c>
    </row>
    <row r="1620" spans="1:27">
      <c r="A1620" s="1320" t="s">
        <v>5915</v>
      </c>
      <c r="C1620" s="1322">
        <v>20</v>
      </c>
      <c r="D1620" s="1320" t="s">
        <v>5241</v>
      </c>
      <c r="E1620" s="1320" t="s">
        <v>4067</v>
      </c>
      <c r="F1620" s="1358">
        <f t="shared" si="736"/>
        <v>49568.466510043021</v>
      </c>
      <c r="G1620" s="1358">
        <f t="shared" si="736"/>
        <v>0</v>
      </c>
      <c r="H1620" s="1358">
        <f t="shared" si="736"/>
        <v>49568.466510043021</v>
      </c>
      <c r="I1620" s="1525"/>
      <c r="J1620" s="1364">
        <f t="shared" si="737"/>
        <v>49568.466510043021</v>
      </c>
      <c r="K1620" s="1364">
        <f t="shared" si="737"/>
        <v>36166.801877025297</v>
      </c>
      <c r="L1620" s="1364">
        <f t="shared" si="737"/>
        <v>2912.1453259136547</v>
      </c>
      <c r="M1620" s="1364">
        <f t="shared" si="737"/>
        <v>10310.208938215628</v>
      </c>
      <c r="N1620" s="1367">
        <f t="shared" si="737"/>
        <v>0</v>
      </c>
      <c r="O1620" s="1367">
        <f t="shared" si="737"/>
        <v>0</v>
      </c>
      <c r="P1620" s="1367">
        <f t="shared" si="737"/>
        <v>179.31036888844457</v>
      </c>
      <c r="Q1620" s="1364">
        <f t="shared" si="737"/>
        <v>0</v>
      </c>
      <c r="R1620" s="1358"/>
      <c r="V1620" s="1320" t="s">
        <v>5932</v>
      </c>
      <c r="Y1620" s="1324"/>
    </row>
    <row r="1621" spans="1:27">
      <c r="A1621" s="1320" t="s">
        <v>5915</v>
      </c>
      <c r="C1621" s="1322">
        <v>21</v>
      </c>
      <c r="D1621" s="1320" t="s">
        <v>5242</v>
      </c>
      <c r="E1621" s="1320" t="s">
        <v>4071</v>
      </c>
      <c r="F1621" s="1358">
        <f t="shared" si="736"/>
        <v>48350.008049989148</v>
      </c>
      <c r="G1621" s="1358">
        <f t="shared" si="736"/>
        <v>0</v>
      </c>
      <c r="H1621" s="1358">
        <f t="shared" si="736"/>
        <v>48350.008049989148</v>
      </c>
      <c r="I1621" s="1525"/>
      <c r="J1621" s="1364">
        <f t="shared" si="737"/>
        <v>48350.008049989148</v>
      </c>
      <c r="K1621" s="1364">
        <f t="shared" si="737"/>
        <v>15750.947661269498</v>
      </c>
      <c r="L1621" s="1364">
        <f t="shared" si="737"/>
        <v>2766.9325055171153</v>
      </c>
      <c r="M1621" s="1364">
        <f t="shared" si="737"/>
        <v>1492.7038142855884</v>
      </c>
      <c r="N1621" s="1367">
        <f t="shared" si="737"/>
        <v>106.76455248912175</v>
      </c>
      <c r="O1621" s="1367">
        <f t="shared" si="737"/>
        <v>116.48460854123179</v>
      </c>
      <c r="P1621" s="1367">
        <f t="shared" si="737"/>
        <v>24.779847376483048</v>
      </c>
      <c r="Q1621" s="1364">
        <f t="shared" si="737"/>
        <v>28091.395060510105</v>
      </c>
      <c r="R1621" s="1358"/>
      <c r="V1621" s="1320" t="s">
        <v>5933</v>
      </c>
      <c r="Y1621" s="1324"/>
    </row>
    <row r="1622" spans="1:27">
      <c r="A1622" s="1320" t="s">
        <v>5915</v>
      </c>
      <c r="C1622" s="1322">
        <v>22</v>
      </c>
      <c r="D1622" s="1320" t="s">
        <v>5244</v>
      </c>
      <c r="E1622" s="1320" t="s">
        <v>4071</v>
      </c>
      <c r="F1622" s="1350">
        <f t="shared" si="736"/>
        <v>14771.488374320559</v>
      </c>
      <c r="G1622" s="1350">
        <f t="shared" si="736"/>
        <v>0</v>
      </c>
      <c r="H1622" s="1350">
        <f t="shared" si="736"/>
        <v>14771.488374320559</v>
      </c>
      <c r="I1622" s="1525"/>
      <c r="J1622" s="1366">
        <f t="shared" si="737"/>
        <v>14771.488374320559</v>
      </c>
      <c r="K1622" s="1366">
        <f t="shared" si="737"/>
        <v>13174.495712359043</v>
      </c>
      <c r="L1622" s="1366">
        <f t="shared" si="737"/>
        <v>1277.1487599541622</v>
      </c>
      <c r="M1622" s="1366">
        <f t="shared" si="737"/>
        <v>314.55085542850236</v>
      </c>
      <c r="N1622" s="1378">
        <f t="shared" si="737"/>
        <v>1.0620352358855927</v>
      </c>
      <c r="O1622" s="1378">
        <f t="shared" si="737"/>
        <v>0.18842560636679873</v>
      </c>
      <c r="P1622" s="1378">
        <f t="shared" si="737"/>
        <v>4.0425857365967737</v>
      </c>
      <c r="Q1622" s="1366">
        <f t="shared" si="737"/>
        <v>0</v>
      </c>
      <c r="R1622" s="1358"/>
      <c r="V1622" s="1320" t="s">
        <v>5934</v>
      </c>
    </row>
    <row r="1623" spans="1:27">
      <c r="A1623" s="1320" t="s">
        <v>5915</v>
      </c>
      <c r="C1623" s="1322">
        <v>23</v>
      </c>
      <c r="D1623" s="1320" t="s">
        <v>5935</v>
      </c>
      <c r="F1623" s="1350">
        <f>SUM(F1615:F1622)</f>
        <v>726430.83033063426</v>
      </c>
      <c r="G1623" s="1350">
        <f>SUM(G1615:G1622)</f>
        <v>4307.1501146974224</v>
      </c>
      <c r="H1623" s="1350">
        <f>SUM(H1615:H1622)</f>
        <v>722123.68021593685</v>
      </c>
      <c r="I1623" s="1525"/>
      <c r="J1623" s="1366">
        <f t="shared" ref="J1623:Q1623" si="738">SUM(J1615:J1622)</f>
        <v>722123.68021593685</v>
      </c>
      <c r="K1623" s="1366">
        <f t="shared" si="738"/>
        <v>418718.94705440634</v>
      </c>
      <c r="L1623" s="1366">
        <f t="shared" si="738"/>
        <v>35636.881595325402</v>
      </c>
      <c r="M1623" s="1366">
        <f t="shared" si="738"/>
        <v>200002.20491932699</v>
      </c>
      <c r="N1623" s="1378">
        <f t="shared" si="738"/>
        <v>23639.35375196422</v>
      </c>
      <c r="O1623" s="1378">
        <f>SUM(O1615:O1622)</f>
        <v>14546.161456273228</v>
      </c>
      <c r="P1623" s="1378">
        <f>SUM(P1615:P1622)</f>
        <v>1488.7363781305655</v>
      </c>
      <c r="Q1623" s="1366">
        <f t="shared" si="738"/>
        <v>28091.395060510105</v>
      </c>
      <c r="R1623" s="1358"/>
      <c r="V1623" s="1320" t="s">
        <v>5936</v>
      </c>
    </row>
    <row r="1624" spans="1:27">
      <c r="A1624" s="1320" t="s">
        <v>5915</v>
      </c>
      <c r="C1624" s="1322">
        <v>24</v>
      </c>
      <c r="G1624" s="1320"/>
      <c r="I1624" s="1386"/>
      <c r="M1624" s="1324"/>
      <c r="P1624" s="1325"/>
    </row>
    <row r="1625" spans="1:27">
      <c r="A1625" s="1320" t="s">
        <v>5915</v>
      </c>
      <c r="C1625" s="1393">
        <v>25</v>
      </c>
      <c r="D1625" s="1362" t="s">
        <v>5937</v>
      </c>
      <c r="E1625" s="1324"/>
      <c r="F1625" s="1324"/>
      <c r="H1625" s="1324"/>
      <c r="I1625" s="1374"/>
      <c r="M1625" s="1324"/>
      <c r="P1625" s="1325"/>
    </row>
    <row r="1626" spans="1:27" s="1324" customFormat="1">
      <c r="A1626" s="1324" t="s">
        <v>5915</v>
      </c>
      <c r="C1626" s="1393">
        <v>26</v>
      </c>
      <c r="D1626" s="1324" t="s">
        <v>5265</v>
      </c>
      <c r="E1626" s="1324" t="s">
        <v>4067</v>
      </c>
      <c r="F1626" s="1324">
        <f t="shared" ref="F1626:H1633" si="739">+F824</f>
        <v>-68582.838555723458</v>
      </c>
      <c r="G1626" s="1324">
        <f t="shared" si="739"/>
        <v>0</v>
      </c>
      <c r="H1626" s="1324">
        <f t="shared" si="739"/>
        <v>-68582.838555723458</v>
      </c>
      <c r="I1626" s="1369"/>
      <c r="J1626" s="1324">
        <f t="shared" ref="J1626:Q1633" si="740">+J824</f>
        <v>-68582.838555723458</v>
      </c>
      <c r="K1626" s="1324">
        <f t="shared" si="740"/>
        <v>-39381.271780526127</v>
      </c>
      <c r="L1626" s="1324">
        <f t="shared" si="740"/>
        <v>-3274.9719896538863</v>
      </c>
      <c r="M1626" s="1324">
        <f t="shared" si="740"/>
        <v>-21195.325006033596</v>
      </c>
      <c r="N1626" s="1324">
        <f t="shared" si="740"/>
        <v>-2708.9059840458522</v>
      </c>
      <c r="O1626" s="1324">
        <f t="shared" si="740"/>
        <v>-1949.6081356512495</v>
      </c>
      <c r="P1626" s="1324">
        <f t="shared" si="740"/>
        <v>-72.755659812751119</v>
      </c>
      <c r="Q1626" s="1324">
        <f t="shared" si="740"/>
        <v>0</v>
      </c>
      <c r="V1626" s="1324" t="s">
        <v>5938</v>
      </c>
      <c r="AA1626" s="1320"/>
    </row>
    <row r="1627" spans="1:27" s="1324" customFormat="1">
      <c r="A1627" s="1324" t="s">
        <v>5915</v>
      </c>
      <c r="C1627" s="1393">
        <v>27</v>
      </c>
      <c r="D1627" s="1324" t="s">
        <v>5265</v>
      </c>
      <c r="E1627" s="1324" t="s">
        <v>2067</v>
      </c>
      <c r="F1627" s="1364">
        <f t="shared" si="739"/>
        <v>-4743.2198332172475</v>
      </c>
      <c r="G1627" s="1364">
        <f t="shared" si="739"/>
        <v>0</v>
      </c>
      <c r="H1627" s="1364">
        <f t="shared" si="739"/>
        <v>-4743.2198332172475</v>
      </c>
      <c r="I1627" s="1369"/>
      <c r="J1627" s="1364">
        <f t="shared" si="740"/>
        <v>-4743.2198332172475</v>
      </c>
      <c r="K1627" s="1364">
        <f t="shared" si="740"/>
        <v>-2393.5908758526421</v>
      </c>
      <c r="L1627" s="1364">
        <f t="shared" si="740"/>
        <v>-221.19581704564214</v>
      </c>
      <c r="M1627" s="1364">
        <f t="shared" si="740"/>
        <v>-1647.8229217025789</v>
      </c>
      <c r="N1627" s="1364">
        <f t="shared" si="740"/>
        <v>-262.30691418245152</v>
      </c>
      <c r="O1627" s="1364">
        <f t="shared" si="740"/>
        <v>-193.24461578955797</v>
      </c>
      <c r="P1627" s="1364">
        <f t="shared" si="740"/>
        <v>-25.058688644374744</v>
      </c>
      <c r="Q1627" s="1364">
        <f t="shared" si="740"/>
        <v>0</v>
      </c>
      <c r="R1627" s="1364"/>
      <c r="V1627" s="1324" t="s">
        <v>5939</v>
      </c>
      <c r="AA1627" s="1320"/>
    </row>
    <row r="1628" spans="1:27" s="1324" customFormat="1">
      <c r="A1628" s="1324" t="s">
        <v>5915</v>
      </c>
      <c r="C1628" s="1393">
        <v>28</v>
      </c>
      <c r="D1628" s="1324" t="s">
        <v>5268</v>
      </c>
      <c r="E1628" s="1324" t="s">
        <v>4067</v>
      </c>
      <c r="F1628" s="1364">
        <f t="shared" si="739"/>
        <v>-1523.2640792379241</v>
      </c>
      <c r="G1628" s="1445">
        <f t="shared" si="739"/>
        <v>-127.38067232065096</v>
      </c>
      <c r="H1628" s="1364">
        <f t="shared" si="739"/>
        <v>-1395.9742265307304</v>
      </c>
      <c r="I1628" s="1369"/>
      <c r="J1628" s="1364">
        <f t="shared" si="740"/>
        <v>-1395.9742265307304</v>
      </c>
      <c r="K1628" s="1364">
        <f t="shared" si="740"/>
        <v>-809.68325506444262</v>
      </c>
      <c r="L1628" s="1364">
        <f t="shared" si="740"/>
        <v>-66.790701628052346</v>
      </c>
      <c r="M1628" s="1364">
        <f t="shared" si="740"/>
        <v>-426.95940068553244</v>
      </c>
      <c r="N1628" s="1364">
        <f t="shared" si="740"/>
        <v>-53.300220079114574</v>
      </c>
      <c r="O1628" s="1364">
        <f t="shared" si="740"/>
        <v>-38.250913665474769</v>
      </c>
      <c r="P1628" s="1364">
        <f t="shared" si="740"/>
        <v>-0.98973540811376681</v>
      </c>
      <c r="Q1628" s="1364">
        <f t="shared" si="740"/>
        <v>0</v>
      </c>
      <c r="R1628" s="1364"/>
      <c r="V1628" s="1324" t="s">
        <v>5940</v>
      </c>
      <c r="AA1628" s="1320"/>
    </row>
    <row r="1629" spans="1:27" s="1324" customFormat="1">
      <c r="A1629" s="1324" t="s">
        <v>5915</v>
      </c>
      <c r="C1629" s="1393">
        <v>29</v>
      </c>
      <c r="D1629" s="1324" t="s">
        <v>5239</v>
      </c>
      <c r="E1629" s="1324" t="s">
        <v>4067</v>
      </c>
      <c r="F1629" s="1364">
        <f t="shared" si="739"/>
        <v>-1138.8649161845626</v>
      </c>
      <c r="G1629" s="1445">
        <f t="shared" si="739"/>
        <v>-95.090295473416859</v>
      </c>
      <c r="H1629" s="1364">
        <f t="shared" si="739"/>
        <v>-1043.7034861370585</v>
      </c>
      <c r="I1629" s="1369"/>
      <c r="J1629" s="1364">
        <f t="shared" si="740"/>
        <v>-1043.7034861370585</v>
      </c>
      <c r="K1629" s="1364">
        <f t="shared" si="740"/>
        <v>-605.36163198207646</v>
      </c>
      <c r="L1629" s="1364">
        <f t="shared" si="740"/>
        <v>-49.936228625066079</v>
      </c>
      <c r="M1629" s="1364">
        <f t="shared" si="740"/>
        <v>-319.21722225626615</v>
      </c>
      <c r="N1629" s="1364">
        <f t="shared" si="740"/>
        <v>-39.850037666307671</v>
      </c>
      <c r="O1629" s="1364">
        <f t="shared" si="740"/>
        <v>-28.598387550319735</v>
      </c>
      <c r="P1629" s="1364">
        <f t="shared" si="740"/>
        <v>-0.73997805702244657</v>
      </c>
      <c r="Q1629" s="1364">
        <f t="shared" si="740"/>
        <v>0</v>
      </c>
      <c r="R1629" s="1364"/>
      <c r="V1629" s="1324" t="s">
        <v>5941</v>
      </c>
      <c r="AA1629" s="1320"/>
    </row>
    <row r="1630" spans="1:27" s="1324" customFormat="1">
      <c r="A1630" s="1324" t="s">
        <v>5915</v>
      </c>
      <c r="C1630" s="1393">
        <v>30</v>
      </c>
      <c r="D1630" s="1324" t="s">
        <v>5240</v>
      </c>
      <c r="E1630" s="1324" t="s">
        <v>4067</v>
      </c>
      <c r="F1630" s="1364">
        <f t="shared" si="739"/>
        <v>-4001.5462141957942</v>
      </c>
      <c r="G1630" s="1364">
        <f t="shared" si="739"/>
        <v>0</v>
      </c>
      <c r="H1630" s="1364">
        <f t="shared" si="739"/>
        <v>-4001.5462141957942</v>
      </c>
      <c r="I1630" s="1369"/>
      <c r="J1630" s="1364">
        <f t="shared" si="740"/>
        <v>-4001.5462141957942</v>
      </c>
      <c r="K1630" s="1364">
        <f t="shared" si="740"/>
        <v>-2490.6264367814947</v>
      </c>
      <c r="L1630" s="1364">
        <f t="shared" si="740"/>
        <v>-177.13959882290658</v>
      </c>
      <c r="M1630" s="1364">
        <f t="shared" si="740"/>
        <v>-1186.0602154615526</v>
      </c>
      <c r="N1630" s="1364">
        <f t="shared" si="740"/>
        <v>-124.74968763313296</v>
      </c>
      <c r="O1630" s="1364">
        <f t="shared" si="740"/>
        <v>-8.5176656448973886E-5</v>
      </c>
      <c r="P1630" s="1364">
        <f t="shared" si="740"/>
        <v>-22.970190320051792</v>
      </c>
      <c r="Q1630" s="1364">
        <f t="shared" si="740"/>
        <v>0</v>
      </c>
      <c r="R1630" s="1364"/>
      <c r="V1630" s="1324" t="s">
        <v>5942</v>
      </c>
      <c r="AA1630" s="1320"/>
    </row>
    <row r="1631" spans="1:27" s="1324" customFormat="1">
      <c r="A1631" s="1324" t="s">
        <v>5915</v>
      </c>
      <c r="C1631" s="1393">
        <v>31</v>
      </c>
      <c r="D1631" s="1324" t="s">
        <v>5241</v>
      </c>
      <c r="E1631" s="1324" t="s">
        <v>4067</v>
      </c>
      <c r="F1631" s="1364">
        <f t="shared" si="739"/>
        <v>-1260.2703284984882</v>
      </c>
      <c r="G1631" s="1364">
        <f t="shared" si="739"/>
        <v>0</v>
      </c>
      <c r="H1631" s="1364">
        <f t="shared" si="739"/>
        <v>-1260.2703284984882</v>
      </c>
      <c r="I1631" s="1369"/>
      <c r="J1631" s="1364">
        <f t="shared" si="740"/>
        <v>-1260.2703284984882</v>
      </c>
      <c r="K1631" s="1364">
        <f t="shared" si="740"/>
        <v>-919.53514989340044</v>
      </c>
      <c r="L1631" s="1364">
        <f t="shared" si="740"/>
        <v>-74.040828876175638</v>
      </c>
      <c r="M1631" s="1364">
        <f t="shared" si="740"/>
        <v>-262.13541229524265</v>
      </c>
      <c r="N1631" s="1364">
        <f t="shared" si="740"/>
        <v>0</v>
      </c>
      <c r="O1631" s="1364">
        <f t="shared" si="740"/>
        <v>0</v>
      </c>
      <c r="P1631" s="1364">
        <f t="shared" si="740"/>
        <v>-4.5589374336694384</v>
      </c>
      <c r="Q1631" s="1364">
        <f t="shared" si="740"/>
        <v>0</v>
      </c>
      <c r="R1631" s="1364"/>
      <c r="V1631" s="1324" t="s">
        <v>5943</v>
      </c>
      <c r="AA1631" s="1320"/>
    </row>
    <row r="1632" spans="1:27" s="1324" customFormat="1">
      <c r="A1632" s="1324" t="s">
        <v>5915</v>
      </c>
      <c r="C1632" s="1393">
        <v>32</v>
      </c>
      <c r="D1632" s="1324" t="s">
        <v>5242</v>
      </c>
      <c r="E1632" s="1324" t="s">
        <v>4071</v>
      </c>
      <c r="F1632" s="1364">
        <f t="shared" si="739"/>
        <v>-7111.1672368342252</v>
      </c>
      <c r="G1632" s="1364">
        <f t="shared" si="739"/>
        <v>0</v>
      </c>
      <c r="H1632" s="1364">
        <f t="shared" si="739"/>
        <v>-7111.1672368342252</v>
      </c>
      <c r="I1632" s="1369"/>
      <c r="J1632" s="1364">
        <f t="shared" si="740"/>
        <v>-7111.1672368342252</v>
      </c>
      <c r="K1632" s="1364">
        <f t="shared" si="740"/>
        <v>-2621.5795982323903</v>
      </c>
      <c r="L1632" s="1364">
        <f t="shared" si="740"/>
        <v>-397.65915501273219</v>
      </c>
      <c r="M1632" s="1364">
        <f t="shared" si="740"/>
        <v>-191.71117762958528</v>
      </c>
      <c r="N1632" s="1364">
        <f t="shared" si="740"/>
        <v>-12.358688169381738</v>
      </c>
      <c r="O1632" s="1364">
        <f t="shared" si="740"/>
        <v>-13.483847587337237</v>
      </c>
      <c r="P1632" s="1364">
        <f t="shared" si="740"/>
        <v>-3.0947039313862232</v>
      </c>
      <c r="Q1632" s="1364">
        <f t="shared" si="740"/>
        <v>-3871.280066271413</v>
      </c>
      <c r="R1632" s="1364"/>
      <c r="V1632" s="1324" t="s">
        <v>5944</v>
      </c>
      <c r="AA1632" s="1320"/>
    </row>
    <row r="1633" spans="1:27" s="1324" customFormat="1">
      <c r="A1633" s="1324" t="s">
        <v>5915</v>
      </c>
      <c r="C1633" s="1393">
        <v>33</v>
      </c>
      <c r="D1633" s="1324" t="s">
        <v>5244</v>
      </c>
      <c r="E1633" s="1324" t="s">
        <v>4071</v>
      </c>
      <c r="F1633" s="1366">
        <f t="shared" si="739"/>
        <v>-841.51367610829675</v>
      </c>
      <c r="G1633" s="1366">
        <f t="shared" si="739"/>
        <v>0</v>
      </c>
      <c r="H1633" s="1366">
        <f t="shared" si="739"/>
        <v>-841.51367610829675</v>
      </c>
      <c r="I1633" s="1369"/>
      <c r="J1633" s="1366">
        <f t="shared" si="740"/>
        <v>-841.51367610829675</v>
      </c>
      <c r="K1633" s="1366">
        <f t="shared" si="740"/>
        <v>-750.5349519858521</v>
      </c>
      <c r="L1633" s="1366">
        <f t="shared" si="740"/>
        <v>-72.7576071341974</v>
      </c>
      <c r="M1633" s="1366">
        <f t="shared" si="740"/>
        <v>-17.919578580504666</v>
      </c>
      <c r="N1633" s="1366">
        <f t="shared" si="740"/>
        <v>-6.0502852038952747E-2</v>
      </c>
      <c r="O1633" s="1366">
        <f t="shared" si="740"/>
        <v>-1.0734376974652907E-2</v>
      </c>
      <c r="P1633" s="1366">
        <f t="shared" si="740"/>
        <v>-0.23030117872891692</v>
      </c>
      <c r="Q1633" s="1366">
        <f t="shared" si="740"/>
        <v>0</v>
      </c>
      <c r="R1633" s="1364"/>
      <c r="V1633" s="1324" t="s">
        <v>5945</v>
      </c>
      <c r="AA1633" s="1320"/>
    </row>
    <row r="1634" spans="1:27" s="1324" customFormat="1">
      <c r="A1634" s="1324" t="s">
        <v>5915</v>
      </c>
      <c r="C1634" s="1393">
        <v>34</v>
      </c>
      <c r="D1634" s="1324" t="s">
        <v>5946</v>
      </c>
      <c r="F1634" s="1366">
        <f>SUM(F1626:F1633)</f>
        <v>-89202.684840000002</v>
      </c>
      <c r="G1634" s="1366">
        <f>SUM(G1626:G1633)</f>
        <v>-222.4709677940678</v>
      </c>
      <c r="H1634" s="1366">
        <f>SUM(H1626:H1633)</f>
        <v>-88980.233557245301</v>
      </c>
      <c r="I1634" s="1369"/>
      <c r="J1634" s="1366">
        <f t="shared" ref="J1634:Q1634" si="741">SUM(J1626:J1633)</f>
        <v>-88980.233557245301</v>
      </c>
      <c r="K1634" s="1366">
        <f t="shared" si="741"/>
        <v>-49972.183680318427</v>
      </c>
      <c r="L1634" s="1366">
        <f t="shared" si="741"/>
        <v>-4334.4919267986588</v>
      </c>
      <c r="M1634" s="1366">
        <f t="shared" si="741"/>
        <v>-25247.150934644862</v>
      </c>
      <c r="N1634" s="1378">
        <f t="shared" si="741"/>
        <v>-3201.5320346282801</v>
      </c>
      <c r="O1634" s="1378">
        <f>SUM(O1626:O1633)</f>
        <v>-2223.19671979757</v>
      </c>
      <c r="P1634" s="1378">
        <f>SUM(P1626:P1633)</f>
        <v>-130.39819478609846</v>
      </c>
      <c r="Q1634" s="1366">
        <f t="shared" si="741"/>
        <v>-3871.280066271413</v>
      </c>
      <c r="R1634" s="1364"/>
      <c r="V1634" s="1324" t="s">
        <v>5466</v>
      </c>
      <c r="AA1634" s="1320"/>
    </row>
    <row r="1635" spans="1:27">
      <c r="A1635" s="1320" t="s">
        <v>5915</v>
      </c>
      <c r="C1635" s="1322">
        <v>35</v>
      </c>
      <c r="F1635" s="1358"/>
      <c r="G1635" s="1358"/>
      <c r="H1635" s="1358"/>
      <c r="J1635" s="1364"/>
      <c r="K1635" s="1364"/>
      <c r="L1635" s="1364"/>
      <c r="M1635" s="1364"/>
      <c r="N1635" s="1367"/>
      <c r="O1635" s="1367"/>
      <c r="P1635" s="1367"/>
      <c r="Q1635" s="1364"/>
      <c r="R1635" s="1358"/>
    </row>
    <row r="1636" spans="1:27">
      <c r="A1636" s="1320" t="s">
        <v>5915</v>
      </c>
      <c r="C1636" s="1322">
        <v>36</v>
      </c>
      <c r="D1636" s="1362" t="s">
        <v>5947</v>
      </c>
      <c r="G1636" s="1320"/>
      <c r="M1636" s="1324"/>
      <c r="P1636" s="1325"/>
      <c r="R1636" s="1358"/>
    </row>
    <row r="1637" spans="1:27">
      <c r="A1637" s="1320" t="s">
        <v>5915</v>
      </c>
      <c r="C1637" s="1322">
        <v>37</v>
      </c>
      <c r="D1637" s="1320" t="s">
        <v>5265</v>
      </c>
      <c r="E1637" s="1320" t="s">
        <v>4067</v>
      </c>
      <c r="F1637" s="1320">
        <f t="shared" ref="F1637:H1644" si="742">F739</f>
        <v>101438.76376111731</v>
      </c>
      <c r="G1637" s="1320">
        <f t="shared" si="742"/>
        <v>0</v>
      </c>
      <c r="H1637" s="1320">
        <f t="shared" si="742"/>
        <v>101438.76376111731</v>
      </c>
      <c r="I1637" s="1525"/>
      <c r="J1637" s="1324">
        <f t="shared" ref="J1637:Q1644" si="743">J739</f>
        <v>101438.76376111731</v>
      </c>
      <c r="K1637" s="1320">
        <f t="shared" si="743"/>
        <v>58247.625920460938</v>
      </c>
      <c r="L1637" s="1320">
        <f t="shared" si="743"/>
        <v>4843.9101818869376</v>
      </c>
      <c r="M1637" s="1320">
        <f t="shared" si="743"/>
        <v>31349.352278270751</v>
      </c>
      <c r="N1637" s="1320">
        <f t="shared" si="743"/>
        <v>4006.6593910871638</v>
      </c>
      <c r="O1637" s="1324">
        <f t="shared" si="743"/>
        <v>2883.6053342760811</v>
      </c>
      <c r="P1637" s="1324">
        <f t="shared" si="743"/>
        <v>107.61065513544528</v>
      </c>
      <c r="Q1637" s="1320">
        <f t="shared" si="743"/>
        <v>0</v>
      </c>
      <c r="R1637" s="1358"/>
      <c r="V1637" s="1320" t="s">
        <v>5948</v>
      </c>
    </row>
    <row r="1638" spans="1:27">
      <c r="A1638" s="1320" t="s">
        <v>5915</v>
      </c>
      <c r="C1638" s="1322">
        <v>38</v>
      </c>
      <c r="D1638" s="1320" t="s">
        <v>5265</v>
      </c>
      <c r="E1638" s="1320" t="s">
        <v>2067</v>
      </c>
      <c r="F1638" s="1320">
        <f t="shared" si="742"/>
        <v>7628.7877112605429</v>
      </c>
      <c r="G1638" s="1320">
        <f t="shared" si="742"/>
        <v>0</v>
      </c>
      <c r="H1638" s="1320">
        <f t="shared" si="742"/>
        <v>7628.7877112605429</v>
      </c>
      <c r="I1638" s="1525"/>
      <c r="J1638" s="1324">
        <f t="shared" si="743"/>
        <v>7628.7877112605429</v>
      </c>
      <c r="K1638" s="1320">
        <f t="shared" si="743"/>
        <v>3849.7470708846326</v>
      </c>
      <c r="L1638" s="1320">
        <f t="shared" si="743"/>
        <v>355.76169568245729</v>
      </c>
      <c r="M1638" s="1320">
        <f t="shared" si="743"/>
        <v>2650.2864504366544</v>
      </c>
      <c r="N1638" s="1320">
        <f t="shared" si="743"/>
        <v>421.88298958441027</v>
      </c>
      <c r="O1638" s="1324">
        <f t="shared" si="743"/>
        <v>310.80620381086248</v>
      </c>
      <c r="P1638" s="1324">
        <f t="shared" si="743"/>
        <v>40.303300861525635</v>
      </c>
      <c r="Q1638" s="1320">
        <f t="shared" si="743"/>
        <v>0</v>
      </c>
      <c r="R1638" s="1358"/>
      <c r="V1638" s="1320" t="s">
        <v>5949</v>
      </c>
    </row>
    <row r="1639" spans="1:27">
      <c r="A1639" s="1320" t="s">
        <v>5915</v>
      </c>
      <c r="C1639" s="1322">
        <v>39</v>
      </c>
      <c r="D1639" s="1320" t="s">
        <v>5268</v>
      </c>
      <c r="E1639" s="1320" t="s">
        <v>4067</v>
      </c>
      <c r="F1639" s="1320">
        <f t="shared" si="742"/>
        <v>8001.8674565720094</v>
      </c>
      <c r="G1639" s="1320">
        <f t="shared" si="742"/>
        <v>518.41583438213763</v>
      </c>
      <c r="H1639" s="1320">
        <f t="shared" si="742"/>
        <v>7483.4516221898712</v>
      </c>
      <c r="I1639" s="1525"/>
      <c r="J1639" s="1324">
        <f t="shared" si="743"/>
        <v>7483.4516221898712</v>
      </c>
      <c r="K1639" s="1320">
        <f t="shared" si="743"/>
        <v>4340.4995260051046</v>
      </c>
      <c r="L1639" s="1320">
        <f t="shared" si="743"/>
        <v>358.04743020779904</v>
      </c>
      <c r="M1639" s="1320">
        <f t="shared" si="743"/>
        <v>2288.8173427169118</v>
      </c>
      <c r="N1639" s="1320">
        <f t="shared" si="743"/>
        <v>285.72849758508528</v>
      </c>
      <c r="O1639" s="1324">
        <f t="shared" si="743"/>
        <v>205.05311378959078</v>
      </c>
      <c r="P1639" s="1324">
        <f t="shared" si="743"/>
        <v>5.3057118853796226</v>
      </c>
      <c r="Q1639" s="1320">
        <f t="shared" si="743"/>
        <v>0</v>
      </c>
      <c r="R1639" s="1358"/>
      <c r="V1639" s="1320" t="s">
        <v>5950</v>
      </c>
      <c r="Y1639" s="1324"/>
    </row>
    <row r="1640" spans="1:27">
      <c r="A1640" s="1320" t="s">
        <v>5915</v>
      </c>
      <c r="C1640" s="1322">
        <v>40</v>
      </c>
      <c r="D1640" s="1320" t="s">
        <v>5239</v>
      </c>
      <c r="E1640" s="1320" t="s">
        <v>4067</v>
      </c>
      <c r="F1640" s="1320">
        <f t="shared" si="742"/>
        <v>8686.2498613002645</v>
      </c>
      <c r="G1640" s="1320">
        <f t="shared" si="742"/>
        <v>562.75481866414498</v>
      </c>
      <c r="H1640" s="1320">
        <f t="shared" si="742"/>
        <v>8123.4950426361193</v>
      </c>
      <c r="I1640" s="1525"/>
      <c r="J1640" s="1324">
        <f t="shared" si="743"/>
        <v>8123.4950426361193</v>
      </c>
      <c r="K1640" s="1320">
        <f t="shared" si="743"/>
        <v>4711.7330561093149</v>
      </c>
      <c r="L1640" s="1320">
        <f t="shared" si="743"/>
        <v>388.67045197394077</v>
      </c>
      <c r="M1640" s="1320">
        <f t="shared" si="743"/>
        <v>2484.5749362403858</v>
      </c>
      <c r="N1640" s="1320">
        <f t="shared" si="743"/>
        <v>310.16623756740245</v>
      </c>
      <c r="O1640" s="1324">
        <f t="shared" si="743"/>
        <v>222.59086280555061</v>
      </c>
      <c r="P1640" s="1324">
        <f t="shared" si="743"/>
        <v>5.7594979395249091</v>
      </c>
      <c r="Q1640" s="1320">
        <f t="shared" si="743"/>
        <v>0</v>
      </c>
      <c r="R1640" s="1358"/>
      <c r="V1640" s="1320" t="s">
        <v>5951</v>
      </c>
      <c r="Y1640" s="1324"/>
    </row>
    <row r="1641" spans="1:27">
      <c r="A1641" s="1320" t="s">
        <v>5915</v>
      </c>
      <c r="C1641" s="1322">
        <v>41</v>
      </c>
      <c r="D1641" s="1320" t="s">
        <v>5240</v>
      </c>
      <c r="E1641" s="1320" t="s">
        <v>4067</v>
      </c>
      <c r="F1641" s="1320">
        <f t="shared" si="742"/>
        <v>28304.114763554495</v>
      </c>
      <c r="G1641" s="1320">
        <f t="shared" si="742"/>
        <v>0</v>
      </c>
      <c r="H1641" s="1320">
        <f t="shared" si="742"/>
        <v>28304.114763554495</v>
      </c>
      <c r="I1641" s="1525"/>
      <c r="J1641" s="1324">
        <f t="shared" si="743"/>
        <v>28304.114763554495</v>
      </c>
      <c r="K1641" s="1320">
        <f t="shared" si="743"/>
        <v>17616.934236500845</v>
      </c>
      <c r="L1641" s="1320">
        <f t="shared" si="743"/>
        <v>1252.9605472171684</v>
      </c>
      <c r="M1641" s="1320">
        <f t="shared" si="743"/>
        <v>8389.3531794825776</v>
      </c>
      <c r="N1641" s="1320">
        <f t="shared" si="743"/>
        <v>882.39127739160563</v>
      </c>
      <c r="O1641" s="1324">
        <f t="shared" si="743"/>
        <v>6.0247957420932305E-4</v>
      </c>
      <c r="P1641" s="1324">
        <f t="shared" si="743"/>
        <v>162.47492048273088</v>
      </c>
      <c r="Q1641" s="1320">
        <f t="shared" si="743"/>
        <v>0</v>
      </c>
      <c r="R1641" s="1358"/>
      <c r="V1641" s="1320" t="s">
        <v>5952</v>
      </c>
      <c r="Y1641" s="1324"/>
    </row>
    <row r="1642" spans="1:27">
      <c r="A1642" s="1320" t="s">
        <v>5915</v>
      </c>
      <c r="C1642" s="1322">
        <v>42</v>
      </c>
      <c r="D1642" s="1320" t="s">
        <v>5241</v>
      </c>
      <c r="E1642" s="1320" t="s">
        <v>4067</v>
      </c>
      <c r="F1642" s="1320">
        <f t="shared" si="742"/>
        <v>12442.559437223341</v>
      </c>
      <c r="G1642" s="1320">
        <f t="shared" si="742"/>
        <v>0</v>
      </c>
      <c r="H1642" s="1320">
        <f t="shared" si="742"/>
        <v>12442.559437223341</v>
      </c>
      <c r="I1642" s="1525"/>
      <c r="J1642" s="1324">
        <f t="shared" si="743"/>
        <v>12442.559437223341</v>
      </c>
      <c r="K1642" s="1320">
        <f t="shared" si="743"/>
        <v>9078.50522101571</v>
      </c>
      <c r="L1642" s="1320">
        <f t="shared" si="743"/>
        <v>730.99984443075994</v>
      </c>
      <c r="M1642" s="1320">
        <f t="shared" si="743"/>
        <v>2588.0443063121079</v>
      </c>
      <c r="N1642" s="1320">
        <f t="shared" si="743"/>
        <v>0</v>
      </c>
      <c r="O1642" s="1324">
        <f t="shared" si="743"/>
        <v>0</v>
      </c>
      <c r="P1642" s="1324">
        <f t="shared" si="743"/>
        <v>45.010065464762285</v>
      </c>
      <c r="Q1642" s="1320">
        <f t="shared" si="743"/>
        <v>0</v>
      </c>
      <c r="R1642" s="1358"/>
      <c r="V1642" s="1320" t="s">
        <v>5953</v>
      </c>
      <c r="Y1642" s="1324"/>
    </row>
    <row r="1643" spans="1:27">
      <c r="A1643" s="1320" t="s">
        <v>5915</v>
      </c>
      <c r="C1643" s="1322">
        <v>43</v>
      </c>
      <c r="D1643" s="1320" t="s">
        <v>5242</v>
      </c>
      <c r="E1643" s="1320" t="s">
        <v>4071</v>
      </c>
      <c r="F1643" s="1320">
        <f t="shared" si="742"/>
        <v>12136.7048712376</v>
      </c>
      <c r="G1643" s="1320">
        <f t="shared" si="742"/>
        <v>0</v>
      </c>
      <c r="H1643" s="1320">
        <f t="shared" si="742"/>
        <v>12136.7048712376</v>
      </c>
      <c r="I1643" s="1525"/>
      <c r="J1643" s="1324">
        <f t="shared" si="743"/>
        <v>12136.7048712376</v>
      </c>
      <c r="K1643" s="1320">
        <f t="shared" si="743"/>
        <v>4474.2778253614406</v>
      </c>
      <c r="L1643" s="1320">
        <f t="shared" si="743"/>
        <v>678.68911572438731</v>
      </c>
      <c r="M1643" s="1320">
        <f t="shared" si="743"/>
        <v>327.19550896731715</v>
      </c>
      <c r="N1643" s="1320">
        <f t="shared" si="743"/>
        <v>21.09270474339408</v>
      </c>
      <c r="O1643" s="1324">
        <f t="shared" si="743"/>
        <v>23.013026307213561</v>
      </c>
      <c r="P1643" s="1324">
        <f t="shared" si="743"/>
        <v>5.2817641644741009</v>
      </c>
      <c r="Q1643" s="1320">
        <f t="shared" si="743"/>
        <v>6607.1549259693747</v>
      </c>
      <c r="R1643" s="1358"/>
      <c r="V1643" s="1320" t="s">
        <v>5954</v>
      </c>
      <c r="Y1643" s="1324"/>
    </row>
    <row r="1644" spans="1:27">
      <c r="A1644" s="1320" t="s">
        <v>5915</v>
      </c>
      <c r="C1644" s="1322">
        <v>44</v>
      </c>
      <c r="D1644" s="1320" t="s">
        <v>5244</v>
      </c>
      <c r="E1644" s="1320" t="s">
        <v>4071</v>
      </c>
      <c r="F1644" s="1350">
        <f t="shared" si="742"/>
        <v>3707.9041377343915</v>
      </c>
      <c r="G1644" s="1350">
        <f t="shared" si="742"/>
        <v>0</v>
      </c>
      <c r="H1644" s="1350">
        <f t="shared" si="742"/>
        <v>3707.9041377343915</v>
      </c>
      <c r="I1644" s="1525"/>
      <c r="J1644" s="1366">
        <f t="shared" si="743"/>
        <v>3707.9041377343915</v>
      </c>
      <c r="K1644" s="1350">
        <f t="shared" si="743"/>
        <v>3307.0308100666962</v>
      </c>
      <c r="L1644" s="1350">
        <f t="shared" si="743"/>
        <v>320.58686650485919</v>
      </c>
      <c r="M1644" s="1350">
        <f t="shared" si="743"/>
        <v>78.957813106960074</v>
      </c>
      <c r="N1644" s="1350">
        <f t="shared" si="743"/>
        <v>0.26658957755440421</v>
      </c>
      <c r="O1644" s="1366">
        <f t="shared" si="743"/>
        <v>4.7298150856426559E-2</v>
      </c>
      <c r="P1644" s="1366">
        <f t="shared" si="743"/>
        <v>1.0147603274651515</v>
      </c>
      <c r="Q1644" s="1350">
        <f t="shared" si="743"/>
        <v>0</v>
      </c>
      <c r="V1644" s="1320" t="s">
        <v>5955</v>
      </c>
      <c r="Y1644" s="1324"/>
    </row>
    <row r="1645" spans="1:27">
      <c r="A1645" s="1320" t="s">
        <v>5915</v>
      </c>
      <c r="C1645" s="1322">
        <v>45</v>
      </c>
      <c r="D1645" s="1320" t="s">
        <v>5561</v>
      </c>
      <c r="F1645" s="1350">
        <f>SUM(F1637:F1644)</f>
        <v>182346.95199999996</v>
      </c>
      <c r="G1645" s="1350">
        <f>SUM(G1637:G1644)</f>
        <v>1081.1706530462825</v>
      </c>
      <c r="H1645" s="1350">
        <f>SUM(H1637:H1644)</f>
        <v>181265.78134695365</v>
      </c>
      <c r="I1645" s="1525"/>
      <c r="J1645" s="1366">
        <f t="shared" ref="J1645:Q1645" si="744">SUM(J1637:J1644)</f>
        <v>181265.78134695365</v>
      </c>
      <c r="K1645" s="1366">
        <f t="shared" si="744"/>
        <v>105626.35366640468</v>
      </c>
      <c r="L1645" s="1366">
        <f t="shared" si="744"/>
        <v>8929.6261336283096</v>
      </c>
      <c r="M1645" s="1366">
        <f t="shared" si="744"/>
        <v>50156.581815533653</v>
      </c>
      <c r="N1645" s="1378">
        <f t="shared" si="744"/>
        <v>5928.1876875366161</v>
      </c>
      <c r="O1645" s="1378">
        <f>SUM(O1637:O1644)</f>
        <v>3645.1164416197298</v>
      </c>
      <c r="P1645" s="1378">
        <f>SUM(P1637:P1644)</f>
        <v>372.76067626130788</v>
      </c>
      <c r="Q1645" s="1366">
        <f t="shared" si="744"/>
        <v>6607.1549259693747</v>
      </c>
      <c r="V1645" s="1320" t="s">
        <v>5477</v>
      </c>
      <c r="Y1645" s="1324"/>
    </row>
    <row r="1646" spans="1:27">
      <c r="G1646" s="1320"/>
      <c r="I1646" s="1525"/>
      <c r="Y1646" s="1324"/>
    </row>
    <row r="1647" spans="1:27">
      <c r="G1647" s="1320"/>
      <c r="I1647" s="1525"/>
      <c r="Y1647" s="1324"/>
    </row>
    <row r="1648" spans="1:27">
      <c r="G1648" s="1320"/>
      <c r="I1648" s="1525"/>
      <c r="Y1648" s="1324"/>
    </row>
    <row r="1649" spans="1:27">
      <c r="G1649" s="1320"/>
    </row>
    <row r="1650" spans="1:27">
      <c r="G1650" s="1320"/>
    </row>
    <row r="1651" spans="1:27">
      <c r="B1651" s="1331"/>
      <c r="C1651" s="1340" t="str">
        <f>+C$2</f>
        <v>RATES WITH REVENUE DEFICIENCY ADDITION</v>
      </c>
      <c r="F1651" s="1333"/>
      <c r="G1651" s="1327" t="s">
        <v>2173</v>
      </c>
      <c r="I1651" s="1334" t="s">
        <v>5911</v>
      </c>
      <c r="L1651" s="1329" t="s">
        <v>2173</v>
      </c>
      <c r="M1651" s="1330"/>
      <c r="N1651" s="1330"/>
      <c r="O1651" s="1330"/>
      <c r="S1651" s="1334" t="s">
        <v>5956</v>
      </c>
      <c r="T1651" s="1333" t="s">
        <v>2173</v>
      </c>
      <c r="U1651" s="1334"/>
      <c r="V1651" s="1332" t="s">
        <v>4772</v>
      </c>
    </row>
    <row r="1652" spans="1:27">
      <c r="B1652" s="1331"/>
      <c r="C1652" s="1340" t="str">
        <f>+C$3</f>
        <v>PROD. CAP. ALLOC. METHOD: 12 CP &amp; 1/13th AD</v>
      </c>
      <c r="G1652" s="1336" t="s">
        <v>4768</v>
      </c>
      <c r="I1652" s="1335" t="s">
        <v>4961</v>
      </c>
      <c r="L1652" s="1336" t="s">
        <v>5141</v>
      </c>
      <c r="M1652" s="1337"/>
      <c r="N1652" s="1337"/>
      <c r="O1652" s="1337"/>
      <c r="R1652" s="1331"/>
      <c r="S1652" s="1335" t="s">
        <v>3043</v>
      </c>
      <c r="T1652" s="1333" t="s">
        <v>5141</v>
      </c>
      <c r="V1652" s="1332" t="s">
        <v>5956</v>
      </c>
    </row>
    <row r="1653" spans="1:27">
      <c r="C1653" s="1340" t="str">
        <f>+C$4</f>
        <v>PROJECTED CALENDAR YEAR 2025; FULLY ADJUSTED DATA</v>
      </c>
      <c r="F1653" s="1333"/>
      <c r="G1653" s="1336" t="s">
        <v>2181</v>
      </c>
      <c r="L1653" s="1336" t="s">
        <v>2181</v>
      </c>
      <c r="T1653" s="1339"/>
    </row>
    <row r="1654" spans="1:27">
      <c r="C1654" s="1340" t="str">
        <f>+C$5</f>
        <v>MINIMUM DISTRIBUTION SYSTEM (MDS) NOT EMPLOYED</v>
      </c>
      <c r="G1654" s="1320"/>
      <c r="L1654" s="1336"/>
      <c r="M1654" s="1337"/>
      <c r="N1654" s="1337"/>
      <c r="O1654" s="1337"/>
      <c r="T1654" s="1333"/>
    </row>
    <row r="1655" spans="1:27">
      <c r="C1655" s="1340" t="str">
        <f>+C$6</f>
        <v>Tampa Electric 2025 OB Budget</v>
      </c>
      <c r="F1655" s="1327"/>
      <c r="G1655" s="1333" t="s">
        <v>5912</v>
      </c>
      <c r="L1655" s="1336" t="s">
        <v>5912</v>
      </c>
      <c r="M1655" s="1337"/>
      <c r="N1655" s="1337"/>
      <c r="O1655" s="1337"/>
      <c r="T1655" s="1333" t="s">
        <v>5912</v>
      </c>
    </row>
    <row r="1656" spans="1:27">
      <c r="F1656" s="1333"/>
      <c r="G1656" s="1320"/>
      <c r="L1656" s="1336"/>
      <c r="M1656" s="1337"/>
      <c r="N1656" s="1337"/>
      <c r="O1656" s="1337"/>
    </row>
    <row r="1657" spans="1:27">
      <c r="F1657" s="1333"/>
      <c r="G1657" s="1320"/>
      <c r="L1657" s="1336"/>
      <c r="M1657" s="1337"/>
      <c r="N1657" s="1337"/>
      <c r="O1657" s="1337"/>
    </row>
    <row r="1658" spans="1:27">
      <c r="G1658" s="1320"/>
    </row>
    <row r="1659" spans="1:27">
      <c r="G1659" s="1320"/>
    </row>
    <row r="1660" spans="1:27" ht="27.6">
      <c r="A1660" s="1418" t="s">
        <v>4683</v>
      </c>
      <c r="C1660" s="1349" t="s">
        <v>4297</v>
      </c>
      <c r="D1660" s="1418"/>
      <c r="E1660" s="1418"/>
      <c r="F1660" s="1348" t="s">
        <v>5144</v>
      </c>
      <c r="G1660" s="1348" t="s">
        <v>4956</v>
      </c>
      <c r="H1660" s="1348" t="s">
        <v>4957</v>
      </c>
      <c r="I1660" s="1426" t="s">
        <v>5145</v>
      </c>
      <c r="J1660" s="1352" t="s">
        <v>4957</v>
      </c>
      <c r="K1660" s="1353" t="s">
        <v>1949</v>
      </c>
      <c r="L1660" s="1353" t="s">
        <v>1950</v>
      </c>
      <c r="M1660" s="1354" t="s">
        <v>1934</v>
      </c>
      <c r="N1660" s="1354" t="s">
        <v>1971</v>
      </c>
      <c r="O1660" s="1354" t="s">
        <v>1972</v>
      </c>
      <c r="P1660" s="1352" t="s">
        <v>5146</v>
      </c>
      <c r="Q1660" s="1352" t="s">
        <v>5147</v>
      </c>
      <c r="R1660" s="1350"/>
      <c r="S1660" s="1350"/>
      <c r="T1660" s="1350"/>
      <c r="U1660" s="1366"/>
      <c r="V1660" s="1355" t="s">
        <v>4774</v>
      </c>
    </row>
    <row r="1661" spans="1:27">
      <c r="D1661" s="1435"/>
      <c r="E1661" s="1435"/>
      <c r="G1661" s="1320"/>
      <c r="J1661" s="1399"/>
      <c r="K1661" s="1360"/>
      <c r="L1661" s="1360"/>
      <c r="M1661" s="1361"/>
      <c r="N1661" s="1361"/>
      <c r="O1661" s="1361"/>
      <c r="P1661" s="1399"/>
      <c r="Q1661" s="1399"/>
    </row>
    <row r="1662" spans="1:27" ht="15.6">
      <c r="A1662" s="1320" t="s">
        <v>5915</v>
      </c>
      <c r="C1662" s="1322">
        <v>46</v>
      </c>
      <c r="D1662" s="1528" t="s">
        <v>5957</v>
      </c>
      <c r="E1662" s="1447"/>
      <c r="G1662" s="1320"/>
      <c r="J1662" s="1399"/>
      <c r="K1662" s="1360"/>
      <c r="L1662" s="1360"/>
      <c r="M1662" s="1361"/>
      <c r="N1662" s="1361"/>
      <c r="O1662" s="1361"/>
      <c r="P1662" s="1399"/>
      <c r="Q1662" s="1399"/>
    </row>
    <row r="1663" spans="1:27" s="1324" customFormat="1">
      <c r="A1663" s="1320" t="s">
        <v>5915</v>
      </c>
      <c r="C1663" s="1393">
        <v>47</v>
      </c>
      <c r="D1663" s="1364" t="s">
        <v>5265</v>
      </c>
      <c r="E1663" s="1364" t="s">
        <v>4067</v>
      </c>
      <c r="F1663" s="1364">
        <f>SUM(G1663:H1663)</f>
        <v>4071.9547618950883</v>
      </c>
      <c r="G1663" s="1364">
        <f t="shared" ref="G1663:H1670" si="745">G750</f>
        <v>0</v>
      </c>
      <c r="H1663" s="1364">
        <f t="shared" si="745"/>
        <v>4071.9547618950883</v>
      </c>
      <c r="I1663" s="1374"/>
      <c r="J1663" s="1364">
        <f t="shared" ref="J1663:Q1670" si="746">J750</f>
        <v>4071.9547618950883</v>
      </c>
      <c r="K1663" s="1364">
        <f t="shared" si="746"/>
        <v>2338.176146295064</v>
      </c>
      <c r="L1663" s="1364">
        <f t="shared" si="746"/>
        <v>194.4442380801878</v>
      </c>
      <c r="M1663" s="1364">
        <f t="shared" si="746"/>
        <v>1258.4256704118293</v>
      </c>
      <c r="N1663" s="1364">
        <f t="shared" si="746"/>
        <v>160.83531760353296</v>
      </c>
      <c r="O1663" s="1364">
        <f t="shared" si="746"/>
        <v>115.75368268468962</v>
      </c>
      <c r="P1663" s="1364">
        <f t="shared" si="746"/>
        <v>4.31970681978469</v>
      </c>
      <c r="Q1663" s="1364">
        <f t="shared" si="746"/>
        <v>0</v>
      </c>
      <c r="V1663" s="1324" t="s">
        <v>5958</v>
      </c>
      <c r="AA1663" s="1320"/>
    </row>
    <row r="1664" spans="1:27" s="1324" customFormat="1">
      <c r="A1664" s="1320" t="s">
        <v>5915</v>
      </c>
      <c r="C1664" s="1393">
        <v>48</v>
      </c>
      <c r="D1664" s="1364" t="s">
        <v>5265</v>
      </c>
      <c r="E1664" s="1364" t="s">
        <v>2067</v>
      </c>
      <c r="F1664" s="1364">
        <f t="shared" ref="F1664:F1670" si="747">F751</f>
        <v>306.23478931100033</v>
      </c>
      <c r="G1664" s="1364">
        <f t="shared" si="745"/>
        <v>0</v>
      </c>
      <c r="H1664" s="1364">
        <f t="shared" si="745"/>
        <v>306.23478931100033</v>
      </c>
      <c r="I1664" s="1374"/>
      <c r="J1664" s="1364">
        <f t="shared" si="746"/>
        <v>306.23478931100033</v>
      </c>
      <c r="K1664" s="1364">
        <f t="shared" si="746"/>
        <v>154.5365433898273</v>
      </c>
      <c r="L1664" s="1364">
        <f t="shared" si="746"/>
        <v>14.280985661906657</v>
      </c>
      <c r="M1664" s="1364">
        <f t="shared" si="746"/>
        <v>106.38779626352472</v>
      </c>
      <c r="N1664" s="1364">
        <f t="shared" si="746"/>
        <v>16.935226581095836</v>
      </c>
      <c r="O1664" s="1364">
        <f t="shared" si="746"/>
        <v>12.476382348414344</v>
      </c>
      <c r="P1664" s="1364">
        <f t="shared" si="746"/>
        <v>1.6178550662314581</v>
      </c>
      <c r="Q1664" s="1364">
        <f t="shared" si="746"/>
        <v>0</v>
      </c>
      <c r="V1664" s="1324" t="s">
        <v>5959</v>
      </c>
      <c r="AA1664" s="1320"/>
    </row>
    <row r="1665" spans="1:27" s="1324" customFormat="1">
      <c r="A1665" s="1320" t="s">
        <v>5915</v>
      </c>
      <c r="C1665" s="1393">
        <v>49</v>
      </c>
      <c r="D1665" s="1364" t="s">
        <v>5268</v>
      </c>
      <c r="E1665" s="1364" t="s">
        <v>4067</v>
      </c>
      <c r="F1665" s="1364">
        <f t="shared" si="747"/>
        <v>321.21095610523673</v>
      </c>
      <c r="G1665" s="1364">
        <f t="shared" si="745"/>
        <v>20.8102479484605</v>
      </c>
      <c r="H1665" s="1364">
        <f t="shared" si="745"/>
        <v>300.4007081567762</v>
      </c>
      <c r="I1665" s="1374"/>
      <c r="J1665" s="1364">
        <f t="shared" si="746"/>
        <v>300.4007081567762</v>
      </c>
      <c r="K1665" s="1364">
        <f t="shared" si="746"/>
        <v>174.23632799332907</v>
      </c>
      <c r="L1665" s="1364">
        <f t="shared" si="746"/>
        <v>14.372739615127262</v>
      </c>
      <c r="M1665" s="1364">
        <f t="shared" si="746"/>
        <v>91.877703672850203</v>
      </c>
      <c r="N1665" s="1364">
        <f t="shared" si="746"/>
        <v>11.469713088091581</v>
      </c>
      <c r="O1665" s="1364">
        <f t="shared" si="746"/>
        <v>8.2312419057397097</v>
      </c>
      <c r="P1665" s="1364">
        <f t="shared" si="746"/>
        <v>0.21298188163839027</v>
      </c>
      <c r="Q1665" s="1364">
        <f t="shared" si="746"/>
        <v>0</v>
      </c>
      <c r="V1665" s="1324" t="s">
        <v>5960</v>
      </c>
      <c r="AA1665" s="1320"/>
    </row>
    <row r="1666" spans="1:27" s="1324" customFormat="1">
      <c r="A1666" s="1320" t="s">
        <v>5915</v>
      </c>
      <c r="C1666" s="1393">
        <v>50</v>
      </c>
      <c r="D1666" s="1364" t="s">
        <v>5239</v>
      </c>
      <c r="E1666" s="1364" t="s">
        <v>4067</v>
      </c>
      <c r="F1666" s="1364">
        <f t="shared" si="747"/>
        <v>348.68343396836536</v>
      </c>
      <c r="G1666" s="1364">
        <f t="shared" si="745"/>
        <v>22.590103414856834</v>
      </c>
      <c r="H1666" s="1364">
        <f t="shared" si="745"/>
        <v>326.09333055350851</v>
      </c>
      <c r="I1666" s="1374"/>
      <c r="J1666" s="1364">
        <f t="shared" si="746"/>
        <v>326.09333055350851</v>
      </c>
      <c r="K1666" s="1364">
        <f t="shared" si="746"/>
        <v>189.13838401840846</v>
      </c>
      <c r="L1666" s="1364">
        <f t="shared" si="746"/>
        <v>15.602008926787141</v>
      </c>
      <c r="M1666" s="1364">
        <f t="shared" si="746"/>
        <v>99.73580481258999</v>
      </c>
      <c r="N1666" s="1364">
        <f t="shared" si="746"/>
        <v>12.450692824056123</v>
      </c>
      <c r="O1666" s="1364">
        <f t="shared" si="746"/>
        <v>8.9352422106589628</v>
      </c>
      <c r="P1666" s="1364">
        <f t="shared" si="746"/>
        <v>0.23119776100783862</v>
      </c>
      <c r="Q1666" s="1364">
        <f t="shared" si="746"/>
        <v>0</v>
      </c>
      <c r="V1666" s="1324" t="s">
        <v>5961</v>
      </c>
      <c r="AA1666" s="1320"/>
    </row>
    <row r="1667" spans="1:27" s="1324" customFormat="1">
      <c r="A1667" s="1320" t="s">
        <v>5915</v>
      </c>
      <c r="C1667" s="1393">
        <v>51</v>
      </c>
      <c r="D1667" s="1364" t="s">
        <v>5240</v>
      </c>
      <c r="E1667" s="1364" t="s">
        <v>4067</v>
      </c>
      <c r="F1667" s="1364">
        <f t="shared" si="747"/>
        <v>1136.1837488881017</v>
      </c>
      <c r="G1667" s="1364">
        <f t="shared" si="745"/>
        <v>0</v>
      </c>
      <c r="H1667" s="1364">
        <f t="shared" si="745"/>
        <v>1136.1837488881017</v>
      </c>
      <c r="I1667" s="1374"/>
      <c r="J1667" s="1364">
        <f t="shared" si="746"/>
        <v>1136.1837488881017</v>
      </c>
      <c r="K1667" s="1364">
        <f t="shared" si="746"/>
        <v>707.17895796960852</v>
      </c>
      <c r="L1667" s="1364">
        <f t="shared" si="746"/>
        <v>50.296341137620217</v>
      </c>
      <c r="M1667" s="1364">
        <f t="shared" si="746"/>
        <v>336.76540763904814</v>
      </c>
      <c r="N1667" s="1364">
        <f t="shared" si="746"/>
        <v>35.420949848037282</v>
      </c>
      <c r="O1667" s="1364">
        <f t="shared" si="746"/>
        <v>2.4184734515529909E-5</v>
      </c>
      <c r="P1667" s="1364">
        <f t="shared" si="746"/>
        <v>6.5220681090533681</v>
      </c>
      <c r="Q1667" s="1364">
        <f t="shared" si="746"/>
        <v>0</v>
      </c>
      <c r="V1667" s="1324" t="s">
        <v>5962</v>
      </c>
      <c r="AA1667" s="1320"/>
    </row>
    <row r="1668" spans="1:27" s="1324" customFormat="1">
      <c r="A1668" s="1320" t="s">
        <v>5915</v>
      </c>
      <c r="C1668" s="1393">
        <v>52</v>
      </c>
      <c r="D1668" s="1364" t="s">
        <v>5241</v>
      </c>
      <c r="E1668" s="1364" t="s">
        <v>4067</v>
      </c>
      <c r="F1668" s="1364">
        <f t="shared" si="747"/>
        <v>499.46920952111361</v>
      </c>
      <c r="G1668" s="1364">
        <f t="shared" si="745"/>
        <v>0</v>
      </c>
      <c r="H1668" s="1364">
        <f t="shared" si="745"/>
        <v>499.46920952111361</v>
      </c>
      <c r="I1668" s="1374"/>
      <c r="J1668" s="1364">
        <f t="shared" si="746"/>
        <v>499.46920952111361</v>
      </c>
      <c r="K1668" s="1364">
        <f t="shared" si="746"/>
        <v>364.42934825842514</v>
      </c>
      <c r="L1668" s="1364">
        <f t="shared" si="746"/>
        <v>29.343795084925585</v>
      </c>
      <c r="M1668" s="1364">
        <f t="shared" si="746"/>
        <v>103.88927217114363</v>
      </c>
      <c r="N1668" s="1364">
        <f t="shared" si="746"/>
        <v>0</v>
      </c>
      <c r="O1668" s="1364">
        <f t="shared" si="746"/>
        <v>0</v>
      </c>
      <c r="P1668" s="1364">
        <f t="shared" si="746"/>
        <v>1.8067940066192076</v>
      </c>
      <c r="Q1668" s="1364">
        <f t="shared" si="746"/>
        <v>0</v>
      </c>
      <c r="V1668" s="1324" t="s">
        <v>5963</v>
      </c>
      <c r="AA1668" s="1320"/>
    </row>
    <row r="1669" spans="1:27" s="1324" customFormat="1">
      <c r="A1669" s="1320" t="s">
        <v>5915</v>
      </c>
      <c r="C1669" s="1393">
        <v>53</v>
      </c>
      <c r="D1669" s="1364" t="s">
        <v>5242</v>
      </c>
      <c r="E1669" s="1364" t="s">
        <v>4071</v>
      </c>
      <c r="F1669" s="1364">
        <f t="shared" si="747"/>
        <v>487.19159581373538</v>
      </c>
      <c r="G1669" s="1364">
        <f t="shared" si="745"/>
        <v>0</v>
      </c>
      <c r="H1669" s="1364">
        <f t="shared" si="745"/>
        <v>487.19159581373538</v>
      </c>
      <c r="I1669" s="1374"/>
      <c r="J1669" s="1364">
        <f t="shared" si="746"/>
        <v>487.19159581373538</v>
      </c>
      <c r="K1669" s="1364">
        <f t="shared" si="746"/>
        <v>179.60645636343705</v>
      </c>
      <c r="L1669" s="1364">
        <f t="shared" si="746"/>
        <v>27.243937861155231</v>
      </c>
      <c r="M1669" s="1364">
        <f t="shared" si="746"/>
        <v>13.134281820978284</v>
      </c>
      <c r="N1669" s="1364">
        <f t="shared" si="746"/>
        <v>0.84670333447057178</v>
      </c>
      <c r="O1669" s="1364">
        <f t="shared" si="746"/>
        <v>0.92378888092477507</v>
      </c>
      <c r="P1669" s="1364">
        <f t="shared" si="746"/>
        <v>0.21202057224775719</v>
      </c>
      <c r="Q1669" s="1364">
        <f t="shared" si="746"/>
        <v>265.22440698052179</v>
      </c>
      <c r="V1669" s="1324" t="s">
        <v>5964</v>
      </c>
      <c r="AA1669" s="1320"/>
    </row>
    <row r="1670" spans="1:27" s="1324" customFormat="1">
      <c r="A1670" s="1320" t="s">
        <v>5915</v>
      </c>
      <c r="C1670" s="1393">
        <v>54</v>
      </c>
      <c r="D1670" s="1364" t="s">
        <v>5244</v>
      </c>
      <c r="E1670" s="1364" t="s">
        <v>4071</v>
      </c>
      <c r="F1670" s="1366">
        <f t="shared" si="747"/>
        <v>148.84268449735839</v>
      </c>
      <c r="G1670" s="1366">
        <f t="shared" si="745"/>
        <v>0</v>
      </c>
      <c r="H1670" s="1366">
        <f t="shared" si="745"/>
        <v>148.84268449735839</v>
      </c>
      <c r="I1670" s="1374"/>
      <c r="J1670" s="1366">
        <f t="shared" si="746"/>
        <v>148.84268449735839</v>
      </c>
      <c r="K1670" s="1366">
        <f t="shared" si="746"/>
        <v>132.7508277456607</v>
      </c>
      <c r="L1670" s="1366">
        <f t="shared" si="746"/>
        <v>12.868997701309402</v>
      </c>
      <c r="M1670" s="1366">
        <f t="shared" si="746"/>
        <v>3.1695244613474687</v>
      </c>
      <c r="N1670" s="1366">
        <f t="shared" si="746"/>
        <v>1.0701438577767416E-2</v>
      </c>
      <c r="O1670" s="1366">
        <f t="shared" si="746"/>
        <v>1.8986423283135739E-3</v>
      </c>
      <c r="P1670" s="1366">
        <f t="shared" si="746"/>
        <v>4.0734508134727579E-2</v>
      </c>
      <c r="Q1670" s="1366">
        <f t="shared" si="746"/>
        <v>0</v>
      </c>
      <c r="V1670" s="1324" t="s">
        <v>5965</v>
      </c>
      <c r="AA1670" s="1320"/>
    </row>
    <row r="1671" spans="1:27" s="1324" customFormat="1">
      <c r="A1671" s="1320" t="s">
        <v>5915</v>
      </c>
      <c r="C1671" s="1393">
        <v>55</v>
      </c>
      <c r="D1671" s="1324" t="s">
        <v>5564</v>
      </c>
      <c r="F1671" s="1366">
        <f>SUM(F1663:F1670)</f>
        <v>7319.7711799999997</v>
      </c>
      <c r="G1671" s="1366">
        <f>SUM(G1663:G1670)</f>
        <v>43.400351363317334</v>
      </c>
      <c r="H1671" s="1366">
        <f>SUM(H1663:H1670)</f>
        <v>7276.3708286366818</v>
      </c>
      <c r="I1671" s="1369">
        <f>SUM(I1663:I1670)</f>
        <v>0</v>
      </c>
      <c r="J1671" s="1366">
        <f t="shared" ref="J1671:Q1671" si="748">SUM(J1663:J1670)</f>
        <v>7276.3708286366818</v>
      </c>
      <c r="K1671" s="1366">
        <f t="shared" si="748"/>
        <v>4240.0529920337613</v>
      </c>
      <c r="L1671" s="1366">
        <f t="shared" si="748"/>
        <v>358.45304406901937</v>
      </c>
      <c r="M1671" s="1366">
        <f t="shared" si="748"/>
        <v>2013.3854612533116</v>
      </c>
      <c r="N1671" s="1378">
        <f t="shared" si="748"/>
        <v>237.96930471786212</v>
      </c>
      <c r="O1671" s="1378">
        <f>SUM(O1663:O1670)</f>
        <v>146.32226085749025</v>
      </c>
      <c r="P1671" s="1378">
        <f>SUM(P1663:P1670)</f>
        <v>14.963358724717439</v>
      </c>
      <c r="Q1671" s="1366">
        <f t="shared" si="748"/>
        <v>265.22440698052179</v>
      </c>
      <c r="V1671" s="1324" t="s">
        <v>5481</v>
      </c>
      <c r="AA1671" s="1320"/>
    </row>
    <row r="1672" spans="1:27" s="1324" customFormat="1">
      <c r="A1672" s="1320" t="s">
        <v>5915</v>
      </c>
      <c r="C1672" s="1393">
        <v>56</v>
      </c>
      <c r="D1672" s="1447"/>
      <c r="E1672" s="1447"/>
      <c r="I1672" s="1374"/>
      <c r="J1672" s="1399"/>
      <c r="K1672" s="1360"/>
      <c r="L1672" s="1360"/>
      <c r="M1672" s="1361"/>
      <c r="N1672" s="1361"/>
      <c r="O1672" s="1361"/>
      <c r="P1672" s="1399"/>
      <c r="Q1672" s="1399"/>
      <c r="AA1672" s="1320"/>
    </row>
    <row r="1673" spans="1:27">
      <c r="A1673" s="1320" t="s">
        <v>5915</v>
      </c>
      <c r="C1673" s="1322">
        <v>57</v>
      </c>
      <c r="D1673" s="1356" t="s">
        <v>5966</v>
      </c>
      <c r="G1673" s="1320"/>
      <c r="J1673" s="1399"/>
      <c r="K1673" s="1360"/>
      <c r="L1673" s="1360"/>
      <c r="M1673" s="1361"/>
      <c r="N1673" s="1361"/>
      <c r="O1673" s="1361"/>
      <c r="P1673" s="1399"/>
      <c r="Q1673" s="1399"/>
      <c r="R1673" s="1324"/>
      <c r="S1673" s="1324"/>
      <c r="T1673" s="1324"/>
      <c r="V1673" s="1324"/>
    </row>
    <row r="1674" spans="1:27">
      <c r="A1674" s="1320" t="s">
        <v>5915</v>
      </c>
      <c r="C1674" s="1322">
        <v>58</v>
      </c>
      <c r="D1674" s="1324" t="s">
        <v>5265</v>
      </c>
      <c r="E1674" s="1324" t="s">
        <v>4067</v>
      </c>
      <c r="F1674" s="1324">
        <f t="shared" ref="F1674:H1681" si="749">+F1615+F1626-F1637+F1663</f>
        <v>238160.45452507996</v>
      </c>
      <c r="G1674" s="1324">
        <f t="shared" si="749"/>
        <v>0</v>
      </c>
      <c r="H1674" s="1324">
        <f t="shared" si="749"/>
        <v>238160.45452507996</v>
      </c>
      <c r="I1674" s="1324"/>
      <c r="J1674" s="1324">
        <f t="shared" ref="J1674:Q1681" si="750">+J1615+J1626-J1637+J1663</f>
        <v>238160.45452507996</v>
      </c>
      <c r="K1674" s="1324">
        <f t="shared" si="750"/>
        <v>136755.22600898668</v>
      </c>
      <c r="L1674" s="1324">
        <f t="shared" si="750"/>
        <v>11372.652897403063</v>
      </c>
      <c r="M1674" s="1324">
        <f t="shared" si="750"/>
        <v>73602.789612482258</v>
      </c>
      <c r="N1674" s="1324">
        <f t="shared" si="750"/>
        <v>9406.9346503044126</v>
      </c>
      <c r="O1674" s="1324">
        <f t="shared" si="750"/>
        <v>6770.200381181894</v>
      </c>
      <c r="P1674" s="1324">
        <f t="shared" si="750"/>
        <v>252.65097472158894</v>
      </c>
      <c r="Q1674" s="1324">
        <f t="shared" si="750"/>
        <v>0</v>
      </c>
    </row>
    <row r="1675" spans="1:27">
      <c r="A1675" s="1320" t="s">
        <v>5915</v>
      </c>
      <c r="C1675" s="1322">
        <v>59</v>
      </c>
      <c r="D1675" s="1324" t="s">
        <v>5265</v>
      </c>
      <c r="E1675" s="1324" t="s">
        <v>2067</v>
      </c>
      <c r="F1675" s="1324">
        <f t="shared" si="749"/>
        <v>18325.668015979943</v>
      </c>
      <c r="G1675" s="1324">
        <f t="shared" si="749"/>
        <v>0</v>
      </c>
      <c r="H1675" s="1324">
        <f t="shared" si="749"/>
        <v>18325.668015979943</v>
      </c>
      <c r="I1675" s="1324"/>
      <c r="J1675" s="1324">
        <f t="shared" si="750"/>
        <v>18325.668015979943</v>
      </c>
      <c r="K1675" s="1324">
        <f t="shared" si="750"/>
        <v>9247.7585478474084</v>
      </c>
      <c r="L1675" s="1324">
        <f t="shared" si="750"/>
        <v>854.60114694966819</v>
      </c>
      <c r="M1675" s="1324">
        <f t="shared" si="750"/>
        <v>6366.4466067475378</v>
      </c>
      <c r="N1675" s="1324">
        <f t="shared" si="750"/>
        <v>1013.4359352143441</v>
      </c>
      <c r="O1675" s="1324">
        <f t="shared" si="750"/>
        <v>746.6102772708731</v>
      </c>
      <c r="P1675" s="1324">
        <f t="shared" si="750"/>
        <v>96.815501950104291</v>
      </c>
      <c r="Q1675" s="1324">
        <f t="shared" si="750"/>
        <v>0</v>
      </c>
      <c r="V1675" s="1320" t="s">
        <v>5967</v>
      </c>
    </row>
    <row r="1676" spans="1:27">
      <c r="A1676" s="1320" t="s">
        <v>5915</v>
      </c>
      <c r="C1676" s="1322">
        <v>60</v>
      </c>
      <c r="D1676" s="1324" t="s">
        <v>5268</v>
      </c>
      <c r="E1676" s="1324" t="s">
        <v>4067</v>
      </c>
      <c r="F1676" s="1324">
        <f t="shared" si="749"/>
        <v>22673.789230730123</v>
      </c>
      <c r="G1676" s="1324">
        <f t="shared" si="749"/>
        <v>1440.2703353167644</v>
      </c>
      <c r="H1676" s="1324">
        <f t="shared" si="749"/>
        <v>21233.428075799889</v>
      </c>
      <c r="I1676" s="1324"/>
      <c r="J1676" s="1324">
        <f t="shared" si="750"/>
        <v>21233.428075799889</v>
      </c>
      <c r="K1676" s="1324">
        <f t="shared" si="750"/>
        <v>12315.665170492977</v>
      </c>
      <c r="L1676" s="1324">
        <f t="shared" si="750"/>
        <v>1015.9181539303586</v>
      </c>
      <c r="M1676" s="1324">
        <f t="shared" si="750"/>
        <v>6494.2543733584516</v>
      </c>
      <c r="N1676" s="1324">
        <f t="shared" si="750"/>
        <v>810.72155055956614</v>
      </c>
      <c r="O1676" s="1324">
        <f t="shared" si="750"/>
        <v>581.81448390201388</v>
      </c>
      <c r="P1676" s="1324">
        <f t="shared" si="750"/>
        <v>15.054343556530908</v>
      </c>
      <c r="Q1676" s="1324">
        <f t="shared" si="750"/>
        <v>0</v>
      </c>
      <c r="R1676" s="1358"/>
      <c r="V1676" s="1320" t="s">
        <v>5968</v>
      </c>
      <c r="Y1676" s="1324"/>
    </row>
    <row r="1677" spans="1:27">
      <c r="A1677" s="1320" t="s">
        <v>5915</v>
      </c>
      <c r="C1677" s="1322">
        <v>61</v>
      </c>
      <c r="D1677" s="1324" t="s">
        <v>5239</v>
      </c>
      <c r="E1677" s="1324" t="s">
        <v>4067</v>
      </c>
      <c r="F1677" s="1324">
        <f t="shared" si="749"/>
        <v>25127.709992521392</v>
      </c>
      <c r="G1677" s="1324">
        <f t="shared" si="749"/>
        <v>1606.6385099036245</v>
      </c>
      <c r="H1677" s="1324">
        <f t="shared" si="749"/>
        <v>23521.142617191836</v>
      </c>
      <c r="I1677" s="1324"/>
      <c r="J1677" s="1324">
        <f t="shared" si="750"/>
        <v>23521.142617191836</v>
      </c>
      <c r="K1677" s="1324">
        <f t="shared" si="750"/>
        <v>13642.569436580949</v>
      </c>
      <c r="L1677" s="1324">
        <f t="shared" si="750"/>
        <v>1125.3743719896274</v>
      </c>
      <c r="M1677" s="1324">
        <f t="shared" si="750"/>
        <v>7193.9529859608701</v>
      </c>
      <c r="N1677" s="1324">
        <f t="shared" si="750"/>
        <v>898.06964497060392</v>
      </c>
      <c r="O1677" s="1324">
        <f t="shared" si="750"/>
        <v>644.49986143330739</v>
      </c>
      <c r="P1677" s="1324">
        <f t="shared" si="750"/>
        <v>16.676316256484988</v>
      </c>
      <c r="Q1677" s="1324">
        <f t="shared" si="750"/>
        <v>0</v>
      </c>
      <c r="R1677" s="1358"/>
      <c r="V1677" s="1320" t="s">
        <v>5969</v>
      </c>
      <c r="Y1677" s="1324"/>
    </row>
    <row r="1678" spans="1:27">
      <c r="A1678" s="1320" t="s">
        <v>5915</v>
      </c>
      <c r="C1678" s="1322">
        <v>62</v>
      </c>
      <c r="D1678" s="1324" t="s">
        <v>5240</v>
      </c>
      <c r="E1678" s="1324" t="s">
        <v>4067</v>
      </c>
      <c r="F1678" s="1324">
        <f t="shared" si="749"/>
        <v>81587.996169774371</v>
      </c>
      <c r="G1678" s="1324">
        <f t="shared" si="749"/>
        <v>0</v>
      </c>
      <c r="H1678" s="1324">
        <f t="shared" si="749"/>
        <v>81587.996169774371</v>
      </c>
      <c r="I1678" s="1324"/>
      <c r="J1678" s="1324">
        <f t="shared" si="750"/>
        <v>81587.996169774371</v>
      </c>
      <c r="K1678" s="1324">
        <f t="shared" si="750"/>
        <v>50781.675209343128</v>
      </c>
      <c r="L1678" s="1324">
        <f t="shared" si="750"/>
        <v>3611.7201043455257</v>
      </c>
      <c r="M1678" s="1324">
        <f t="shared" si="750"/>
        <v>24182.721162361202</v>
      </c>
      <c r="N1678" s="1324">
        <f t="shared" si="750"/>
        <v>2543.5360463125703</v>
      </c>
      <c r="O1678" s="1324">
        <f t="shared" si="750"/>
        <v>1.7366768614241071E-3</v>
      </c>
      <c r="P1678" s="1324">
        <f t="shared" si="750"/>
        <v>468.34191073512756</v>
      </c>
      <c r="Q1678" s="1324">
        <f t="shared" si="750"/>
        <v>0</v>
      </c>
      <c r="R1678" s="1358"/>
      <c r="V1678" s="1320" t="s">
        <v>5970</v>
      </c>
    </row>
    <row r="1679" spans="1:27">
      <c r="A1679" s="1320" t="s">
        <v>5915</v>
      </c>
      <c r="C1679" s="1322">
        <v>63</v>
      </c>
      <c r="D1679" s="1324" t="s">
        <v>5241</v>
      </c>
      <c r="E1679" s="1324" t="s">
        <v>4067</v>
      </c>
      <c r="F1679" s="1324">
        <f t="shared" si="749"/>
        <v>36365.105953842307</v>
      </c>
      <c r="G1679" s="1324">
        <f t="shared" si="749"/>
        <v>0</v>
      </c>
      <c r="H1679" s="1324">
        <f t="shared" si="749"/>
        <v>36365.105953842307</v>
      </c>
      <c r="I1679" s="1324"/>
      <c r="J1679" s="1324">
        <f t="shared" si="750"/>
        <v>36365.105953842307</v>
      </c>
      <c r="K1679" s="1324">
        <f t="shared" si="750"/>
        <v>26533.19085437461</v>
      </c>
      <c r="L1679" s="1324">
        <f t="shared" si="750"/>
        <v>2136.448447691645</v>
      </c>
      <c r="M1679" s="1324">
        <f t="shared" si="750"/>
        <v>7563.9184917794209</v>
      </c>
      <c r="N1679" s="1324">
        <f t="shared" si="750"/>
        <v>0</v>
      </c>
      <c r="O1679" s="1324">
        <f t="shared" si="750"/>
        <v>0</v>
      </c>
      <c r="P1679" s="1324">
        <f t="shared" si="750"/>
        <v>131.54815999663208</v>
      </c>
      <c r="Q1679" s="1324">
        <f t="shared" si="750"/>
        <v>0</v>
      </c>
      <c r="R1679" s="1358"/>
      <c r="V1679" s="1320" t="s">
        <v>5971</v>
      </c>
    </row>
    <row r="1680" spans="1:27">
      <c r="A1680" s="1320" t="s">
        <v>5915</v>
      </c>
      <c r="C1680" s="1322">
        <v>64</v>
      </c>
      <c r="D1680" s="1324" t="s">
        <v>5242</v>
      </c>
      <c r="E1680" s="1324" t="s">
        <v>4071</v>
      </c>
      <c r="F1680" s="1324">
        <f t="shared" si="749"/>
        <v>29589.32753773106</v>
      </c>
      <c r="G1680" s="1324">
        <f t="shared" si="749"/>
        <v>0</v>
      </c>
      <c r="H1680" s="1324">
        <f t="shared" si="749"/>
        <v>29589.32753773106</v>
      </c>
      <c r="I1680" s="1324"/>
      <c r="J1680" s="1324">
        <f t="shared" si="750"/>
        <v>29589.32753773106</v>
      </c>
      <c r="K1680" s="1324">
        <f t="shared" si="750"/>
        <v>8834.6966940391048</v>
      </c>
      <c r="L1680" s="1324">
        <f t="shared" si="750"/>
        <v>1717.828172641151</v>
      </c>
      <c r="M1680" s="1324">
        <f t="shared" si="750"/>
        <v>986.93140950966404</v>
      </c>
      <c r="N1680" s="1324">
        <f t="shared" si="750"/>
        <v>74.159862910816514</v>
      </c>
      <c r="O1680" s="1324">
        <f t="shared" si="750"/>
        <v>80.911523527605766</v>
      </c>
      <c r="P1680" s="1324">
        <f t="shared" si="750"/>
        <v>16.615399852870478</v>
      </c>
      <c r="Q1680" s="1324">
        <f t="shared" si="750"/>
        <v>17878.184475249836</v>
      </c>
      <c r="R1680" s="1358"/>
      <c r="V1680" s="1320" t="s">
        <v>5972</v>
      </c>
    </row>
    <row r="1681" spans="1:26">
      <c r="A1681" s="1320" t="s">
        <v>5915</v>
      </c>
      <c r="C1681" s="1322">
        <v>65</v>
      </c>
      <c r="D1681" s="1324" t="s">
        <v>5244</v>
      </c>
      <c r="E1681" s="1324" t="s">
        <v>4071</v>
      </c>
      <c r="F1681" s="1366">
        <f t="shared" si="749"/>
        <v>10370.913244975231</v>
      </c>
      <c r="G1681" s="1366">
        <f t="shared" si="749"/>
        <v>0</v>
      </c>
      <c r="H1681" s="1366">
        <f t="shared" si="749"/>
        <v>10370.913244975231</v>
      </c>
      <c r="I1681" s="1324"/>
      <c r="J1681" s="1366">
        <f t="shared" si="750"/>
        <v>10370.913244975231</v>
      </c>
      <c r="K1681" s="1366">
        <f t="shared" si="750"/>
        <v>9249.680778052154</v>
      </c>
      <c r="L1681" s="1366">
        <f t="shared" si="750"/>
        <v>896.67328401641498</v>
      </c>
      <c r="M1681" s="1366">
        <f t="shared" si="750"/>
        <v>220.84298820238507</v>
      </c>
      <c r="N1681" s="1366">
        <f t="shared" si="750"/>
        <v>0.74564424487000303</v>
      </c>
      <c r="O1681" s="1366">
        <f t="shared" si="750"/>
        <v>0.13229172086403285</v>
      </c>
      <c r="P1681" s="1366">
        <f t="shared" si="750"/>
        <v>2.8382587385374327</v>
      </c>
      <c r="Q1681" s="1366">
        <f t="shared" si="750"/>
        <v>0</v>
      </c>
      <c r="R1681" s="1358"/>
      <c r="V1681" s="1320" t="s">
        <v>5973</v>
      </c>
    </row>
    <row r="1682" spans="1:26">
      <c r="A1682" s="1320" t="s">
        <v>5915</v>
      </c>
      <c r="C1682" s="1322">
        <v>66</v>
      </c>
      <c r="F1682" s="1350">
        <f>SUM(F1674:F1681)</f>
        <v>462200.9646706343</v>
      </c>
      <c r="G1682" s="1350">
        <f>SUM(G1674:G1681)</f>
        <v>3046.9088452203887</v>
      </c>
      <c r="H1682" s="1350">
        <f>SUM(H1674:H1681)</f>
        <v>459154.03614037455</v>
      </c>
      <c r="I1682" s="1525"/>
      <c r="J1682" s="1366">
        <f t="shared" ref="J1682:Q1682" si="751">SUM(J1674:J1681)</f>
        <v>459154.03614037455</v>
      </c>
      <c r="K1682" s="1366">
        <f t="shared" si="751"/>
        <v>267360.46269971703</v>
      </c>
      <c r="L1682" s="1366">
        <f t="shared" si="751"/>
        <v>22731.216578967451</v>
      </c>
      <c r="M1682" s="1366">
        <f t="shared" si="751"/>
        <v>126611.85763040179</v>
      </c>
      <c r="N1682" s="1378">
        <f t="shared" si="751"/>
        <v>14747.603334517184</v>
      </c>
      <c r="O1682" s="1378">
        <f t="shared" si="751"/>
        <v>8824.1705557134192</v>
      </c>
      <c r="P1682" s="1378">
        <f t="shared" si="751"/>
        <v>1000.5408658078767</v>
      </c>
      <c r="Q1682" s="1366">
        <f t="shared" si="751"/>
        <v>17878.184475249836</v>
      </c>
      <c r="R1682" s="1358"/>
      <c r="V1682" s="1320" t="s">
        <v>5974</v>
      </c>
    </row>
    <row r="1683" spans="1:26">
      <c r="A1683" s="1320" t="s">
        <v>5915</v>
      </c>
      <c r="C1683" s="1322">
        <v>67</v>
      </c>
      <c r="D1683" s="1320" t="s">
        <v>5975</v>
      </c>
      <c r="F1683" s="1324"/>
      <c r="G1683" s="1529"/>
      <c r="H1683" s="1529"/>
      <c r="I1683" s="1386"/>
      <c r="J1683" s="1530"/>
      <c r="K1683" s="1530"/>
      <c r="L1683" s="1530"/>
      <c r="M1683" s="1531"/>
      <c r="N1683" s="1531"/>
      <c r="O1683" s="1531"/>
      <c r="R1683" s="1358"/>
      <c r="V1683" s="1320" t="s">
        <v>5492</v>
      </c>
      <c r="Y1683" s="1324"/>
    </row>
    <row r="1684" spans="1:26">
      <c r="A1684" s="1320" t="s">
        <v>5915</v>
      </c>
      <c r="C1684" s="1322">
        <v>68</v>
      </c>
      <c r="F1684" s="1358"/>
      <c r="G1684" s="1358"/>
      <c r="H1684" s="1358"/>
      <c r="J1684" s="1364"/>
      <c r="K1684" s="1364"/>
      <c r="L1684" s="1364"/>
      <c r="M1684" s="1367"/>
      <c r="N1684" s="1367"/>
      <c r="O1684" s="1367"/>
      <c r="P1684" s="1364"/>
      <c r="Q1684" s="1364"/>
      <c r="R1684" s="1358"/>
      <c r="Y1684" s="1324"/>
    </row>
    <row r="1685" spans="1:26">
      <c r="A1685" s="1320" t="s">
        <v>5915</v>
      </c>
      <c r="C1685" s="1322">
        <v>69</v>
      </c>
      <c r="D1685" s="1356" t="s">
        <v>5976</v>
      </c>
      <c r="F1685" s="1324"/>
      <c r="G1685" s="1529"/>
      <c r="H1685" s="1529"/>
      <c r="I1685" s="1386"/>
      <c r="J1685" s="1530"/>
      <c r="K1685" s="1530"/>
      <c r="L1685" s="1530"/>
      <c r="M1685" s="1531"/>
      <c r="N1685" s="1531"/>
      <c r="O1685" s="1531"/>
      <c r="Y1685" s="1324"/>
    </row>
    <row r="1686" spans="1:26">
      <c r="A1686" s="1320" t="s">
        <v>5915</v>
      </c>
      <c r="C1686" s="1322">
        <v>70</v>
      </c>
      <c r="D1686" s="1320" t="s">
        <v>5265</v>
      </c>
      <c r="E1686" s="1320" t="s">
        <v>4067</v>
      </c>
      <c r="F1686" s="1324">
        <f t="shared" ref="F1686:F1693" si="752">G1686+H1686</f>
        <v>63308.475253502256</v>
      </c>
      <c r="G1686" s="1324">
        <f>+G1674*'Tax &amp; Debt Inputs'!C3/(1-'Tax &amp; Debt Inputs'!C3)</f>
        <v>0</v>
      </c>
      <c r="H1686" s="1324">
        <f>+H1674*'Tax &amp; Debt Inputs'!C3/(1-'Tax &amp; Debt Inputs'!C3)</f>
        <v>63308.475253502256</v>
      </c>
      <c r="I1686" s="1324"/>
      <c r="J1686" s="1324">
        <f>+J1674*'Tax &amp; Debt Inputs'!C3/(1-'Tax &amp; Debt Inputs'!C3)</f>
        <v>63308.475253502256</v>
      </c>
      <c r="K1686" s="1324">
        <f>+K1674*'Tax &amp; Debt Inputs'!C3/(1-'Tax &amp; Debt Inputs'!C3)</f>
        <v>36352.655015047087</v>
      </c>
      <c r="L1686" s="1324">
        <f>+L1674*'Tax &amp; Debt Inputs'!C3/(1-'Tax &amp; Debt Inputs'!C3)</f>
        <v>3023.1102638666366</v>
      </c>
      <c r="M1686" s="1324">
        <f>+M1674*'Tax &amp; Debt Inputs'!C3/(1-'Tax &amp; Debt Inputs'!C3)</f>
        <v>19565.29850458389</v>
      </c>
      <c r="N1686" s="1325">
        <f>+N1674*'Tax &amp; Debt Inputs'!C3/(1-'Tax &amp; Debt Inputs'!C3)</f>
        <v>2500.577565270793</v>
      </c>
      <c r="O1686" s="1325">
        <f>+O1674*'Tax &amp; Debt Inputs'!C3/(1-'Tax &amp; Debt Inputs'!C3)</f>
        <v>1799.6735190483514</v>
      </c>
      <c r="P1686" s="1325">
        <f>+P1674*'Tax &amp; Debt Inputs'!C3/(1-'Tax &amp; Debt Inputs'!C3)</f>
        <v>67.160385685485664</v>
      </c>
      <c r="Q1686" s="1324">
        <f>+Q1674*'Tax &amp; Debt Inputs'!C3/(1-'Tax &amp; Debt Inputs'!C3)</f>
        <v>0</v>
      </c>
      <c r="R1686" s="1324"/>
      <c r="V1686" s="1321" t="s">
        <v>5977</v>
      </c>
      <c r="Y1686" s="1324"/>
    </row>
    <row r="1687" spans="1:26">
      <c r="A1687" s="1320" t="s">
        <v>5915</v>
      </c>
      <c r="C1687" s="1322">
        <v>71</v>
      </c>
      <c r="D1687" s="1320" t="s">
        <v>5265</v>
      </c>
      <c r="E1687" s="1320" t="s">
        <v>2067</v>
      </c>
      <c r="F1687" s="1324">
        <f t="shared" si="752"/>
        <v>4871.3801055136555</v>
      </c>
      <c r="G1687" s="1324">
        <f>+G1675*'Tax &amp; Debt Inputs'!C3/(1-'Tax &amp; Debt Inputs'!C3)</f>
        <v>0</v>
      </c>
      <c r="H1687" s="1324">
        <f>+H1675*'Tax &amp; Debt Inputs'!C3/(1-'Tax &amp; Debt Inputs'!C3)</f>
        <v>4871.3801055136555</v>
      </c>
      <c r="I1687" s="1525"/>
      <c r="J1687" s="1324">
        <f>+J1675*'Tax &amp; Debt Inputs'!C3/(1-'Tax &amp; Debt Inputs'!C3)</f>
        <v>4871.3801055136555</v>
      </c>
      <c r="K1687" s="1324">
        <f>+K1675*'Tax &amp; Debt Inputs'!C3/(1-'Tax &amp; Debt Inputs'!C3)</f>
        <v>2458.2649304404499</v>
      </c>
      <c r="L1687" s="1324">
        <f>+L1675*'Tax &amp; Debt Inputs'!C3/(1-'Tax &amp; Debt Inputs'!C3)</f>
        <v>227.17245678408901</v>
      </c>
      <c r="M1687" s="1324">
        <f>+M1675*'Tax &amp; Debt Inputs'!C3/(1-'Tax &amp; Debt Inputs'!C3)</f>
        <v>1692.3465663506111</v>
      </c>
      <c r="N1687" s="1325">
        <f>+N1675*'Tax &amp; Debt Inputs'!C3/(1-'Tax &amp; Debt Inputs'!C3)</f>
        <v>269.39436252533199</v>
      </c>
      <c r="O1687" s="1325">
        <f>+O1675*'Tax &amp; Debt Inputs'!C3/(1-'Tax &amp; Debt Inputs'!C3)</f>
        <v>198.46602307200425</v>
      </c>
      <c r="P1687" s="1325">
        <f>+P1675*'Tax &amp; Debt Inputs'!C3/(1-'Tax &amp; Debt Inputs'!C3)</f>
        <v>25.735766341166961</v>
      </c>
      <c r="Q1687" s="1324">
        <f>+Q1675*'Tax &amp; Debt Inputs'!C3/(1-'Tax &amp; Debt Inputs'!C3)</f>
        <v>0</v>
      </c>
      <c r="R1687" s="1324"/>
      <c r="V1687" s="1321" t="s">
        <v>5978</v>
      </c>
      <c r="Y1687" s="1324"/>
    </row>
    <row r="1688" spans="1:26">
      <c r="A1688" s="1320" t="s">
        <v>5915</v>
      </c>
      <c r="C1688" s="1322">
        <v>72</v>
      </c>
      <c r="D1688" s="1320" t="s">
        <v>5268</v>
      </c>
      <c r="E1688" s="1320" t="s">
        <v>4067</v>
      </c>
      <c r="F1688" s="1324">
        <f t="shared" si="752"/>
        <v>6027.1856535879706</v>
      </c>
      <c r="G1688" s="1324">
        <f>+G1676*'Tax &amp; Debt Inputs'!C3/(1-'Tax &amp; Debt Inputs'!C3)</f>
        <v>382.85667141331709</v>
      </c>
      <c r="H1688" s="1324">
        <f>+H1676*'Tax &amp; Debt Inputs'!C3/(1-'Tax &amp; Debt Inputs'!C3)</f>
        <v>5644.3289821746539</v>
      </c>
      <c r="I1688" s="1525"/>
      <c r="J1688" s="1324">
        <f>+J1676*'Tax &amp; Debt Inputs'!C3/(1-'Tax &amp; Debt Inputs'!C3)</f>
        <v>5644.3289821746539</v>
      </c>
      <c r="K1688" s="1324">
        <f>+K1676*'Tax &amp; Debt Inputs'!C3/(1-'Tax &amp; Debt Inputs'!C3)</f>
        <v>3273.7844124095254</v>
      </c>
      <c r="L1688" s="1324">
        <f>+L1676*'Tax &amp; Debt Inputs'!C3/(1-'Tax &amp; Debt Inputs'!C3)</f>
        <v>270.05419281693071</v>
      </c>
      <c r="M1688" s="1324">
        <f>+M1676*'Tax &amp; Debt Inputs'!C3/(1-'Tax &amp; Debt Inputs'!C3)</f>
        <v>1726.3207827914869</v>
      </c>
      <c r="N1688" s="1325">
        <f>+N1676*'Tax &amp; Debt Inputs'!C3/(1-'Tax &amp; Debt Inputs'!C3)</f>
        <v>215.5082602753277</v>
      </c>
      <c r="O1688" s="1325">
        <f>+O1676*'Tax &amp; Debt Inputs'!C3/(1-'Tax &amp; Debt Inputs'!C3)</f>
        <v>154.65954635369988</v>
      </c>
      <c r="P1688" s="1325">
        <f>+P1676*'Tax &amp; Debt Inputs'!C3/(1-'Tax &amp; Debt Inputs'!C3)</f>
        <v>4.0017875276854307</v>
      </c>
      <c r="Q1688" s="1324">
        <f>+Q1676*'Tax &amp; Debt Inputs'!C3/(1-'Tax &amp; Debt Inputs'!C3)</f>
        <v>0</v>
      </c>
      <c r="R1688" s="1324"/>
      <c r="V1688" s="1321" t="s">
        <v>5979</v>
      </c>
      <c r="Y1688" s="1324"/>
    </row>
    <row r="1689" spans="1:26">
      <c r="A1689" s="1320" t="s">
        <v>5915</v>
      </c>
      <c r="C1689" s="1322">
        <v>73</v>
      </c>
      <c r="D1689" s="1320" t="s">
        <v>5239</v>
      </c>
      <c r="E1689" s="1320" t="s">
        <v>4067</v>
      </c>
      <c r="F1689" s="1324">
        <f t="shared" si="752"/>
        <v>6679.5367553038559</v>
      </c>
      <c r="G1689" s="1324">
        <f>+G1677*'Tax &amp; Debt Inputs'!C3/(1-'Tax &amp; Debt Inputs'!C3)</f>
        <v>427.08112288577354</v>
      </c>
      <c r="H1689" s="1324">
        <f>+H1677*'Tax &amp; Debt Inputs'!C3/(1-'Tax &amp; Debt Inputs'!C3)</f>
        <v>6252.4556324180821</v>
      </c>
      <c r="I1689" s="1525"/>
      <c r="J1689" s="1324">
        <f>+J1677*'Tax &amp; Debt Inputs'!C3/(1-'Tax &amp; Debt Inputs'!C3)</f>
        <v>6252.4556324180821</v>
      </c>
      <c r="K1689" s="1324">
        <f>+K1677*'Tax &amp; Debt Inputs'!C3/(1-'Tax &amp; Debt Inputs'!C3)</f>
        <v>3626.5057995974671</v>
      </c>
      <c r="L1689" s="1324">
        <f>+L1677*'Tax &amp; Debt Inputs'!C3/(1-'Tax &amp; Debt Inputs'!C3)</f>
        <v>299.15014951623004</v>
      </c>
      <c r="M1689" s="1324">
        <f>+M1677*'Tax &amp; Debt Inputs'!C3/(1-'Tax &amp; Debt Inputs'!C3)</f>
        <v>1912.3166165212438</v>
      </c>
      <c r="N1689" s="1325">
        <f>+N1677*'Tax &amp; Debt Inputs'!C3/(1-'Tax &amp; Debt Inputs'!C3)</f>
        <v>238.72737397952761</v>
      </c>
      <c r="O1689" s="1325">
        <f>+O1677*'Tax &amp; Debt Inputs'!C3/(1-'Tax &amp; Debt Inputs'!C3)</f>
        <v>171.32274797594246</v>
      </c>
      <c r="P1689" s="1325">
        <f>+P1677*'Tax &amp; Debt Inputs'!C3/(1-'Tax &amp; Debt Inputs'!C3)</f>
        <v>4.4329448276732242</v>
      </c>
      <c r="Q1689" s="1324">
        <f>+Q1677*'Tax &amp; Debt Inputs'!C3/(1-'Tax &amp; Debt Inputs'!C3)</f>
        <v>0</v>
      </c>
      <c r="R1689" s="1324"/>
      <c r="V1689" s="1321" t="s">
        <v>5980</v>
      </c>
      <c r="Y1689" s="1324"/>
      <c r="Z1689" s="1320" t="s">
        <v>5981</v>
      </c>
    </row>
    <row r="1690" spans="1:26">
      <c r="A1690" s="1320" t="s">
        <v>5915</v>
      </c>
      <c r="C1690" s="1322">
        <v>74</v>
      </c>
      <c r="D1690" s="1320" t="s">
        <v>5240</v>
      </c>
      <c r="E1690" s="1320" t="s">
        <v>4067</v>
      </c>
      <c r="F1690" s="1324">
        <f t="shared" si="752"/>
        <v>21687.948348927363</v>
      </c>
      <c r="G1690" s="1324">
        <f>+G1678*'Tax &amp; Debt Inputs'!C3/(1-'Tax &amp; Debt Inputs'!C3)</f>
        <v>0</v>
      </c>
      <c r="H1690" s="1324">
        <f>+H1678*'Tax &amp; Debt Inputs'!C3/(1-'Tax &amp; Debt Inputs'!C3)</f>
        <v>21687.948348927363</v>
      </c>
      <c r="I1690" s="1525"/>
      <c r="J1690" s="1324">
        <f>+J1678*'Tax &amp; Debt Inputs'!C3/(1-'Tax &amp; Debt Inputs'!C3)</f>
        <v>21687.948348927363</v>
      </c>
      <c r="K1690" s="1324">
        <f>+K1678*'Tax &amp; Debt Inputs'!C3/(1-'Tax &amp; Debt Inputs'!C3)</f>
        <v>13498.926321470957</v>
      </c>
      <c r="L1690" s="1324">
        <f>+L1678*'Tax &amp; Debt Inputs'!C3/(1-'Tax &amp; Debt Inputs'!C3)</f>
        <v>960.07749609184862</v>
      </c>
      <c r="M1690" s="1324">
        <f>+M1678*'Tax &amp; Debt Inputs'!C3/(1-'Tax &amp; Debt Inputs'!C3)</f>
        <v>6428.3182836656351</v>
      </c>
      <c r="N1690" s="1325">
        <f>+N1678*'Tax &amp; Debt Inputs'!C3/(1-'Tax &amp; Debt Inputs'!C3)</f>
        <v>676.12983509574656</v>
      </c>
      <c r="O1690" s="1325">
        <f>+O1678*'Tax &amp; Debt Inputs'!C3/(1-'Tax &amp; Debt Inputs'!C3)</f>
        <v>4.6164827961906645E-4</v>
      </c>
      <c r="P1690" s="1325">
        <f>+P1678*'Tax &amp; Debt Inputs'!C3/(1-'Tax &amp; Debt Inputs'!C3)</f>
        <v>124.49595095490731</v>
      </c>
      <c r="Q1690" s="1324">
        <f>+Q1678*'Tax &amp; Debt Inputs'!C3/(1-'Tax &amp; Debt Inputs'!C3)</f>
        <v>0</v>
      </c>
      <c r="R1690" s="1324"/>
      <c r="V1690" s="1321" t="s">
        <v>5982</v>
      </c>
      <c r="Y1690" s="1324"/>
    </row>
    <row r="1691" spans="1:26">
      <c r="A1691" s="1320" t="s">
        <v>5915</v>
      </c>
      <c r="C1691" s="1322">
        <v>75</v>
      </c>
      <c r="D1691" s="1320" t="s">
        <v>5241</v>
      </c>
      <c r="E1691" s="1320" t="s">
        <v>4067</v>
      </c>
      <c r="F1691" s="1324">
        <f t="shared" si="752"/>
        <v>9666.6737345656747</v>
      </c>
      <c r="G1691" s="1324">
        <f>+G1679*'Tax &amp; Debt Inputs'!C3/(1-'Tax &amp; Debt Inputs'!C3)</f>
        <v>0</v>
      </c>
      <c r="H1691" s="1324">
        <f>+H1679*'Tax &amp; Debt Inputs'!C3/(1-'Tax &amp; Debt Inputs'!C3)</f>
        <v>9666.6737345656747</v>
      </c>
      <c r="I1691" s="1525"/>
      <c r="J1691" s="1324">
        <f>+J1679*'Tax &amp; Debt Inputs'!C3/(1-'Tax &amp; Debt Inputs'!C3)</f>
        <v>9666.6737345656747</v>
      </c>
      <c r="K1691" s="1324">
        <f>+K1679*'Tax &amp; Debt Inputs'!C3/(1-'Tax &amp; Debt Inputs'!C3)</f>
        <v>7053.1266828084408</v>
      </c>
      <c r="L1691" s="1324">
        <f>+L1679*'Tax &amp; Debt Inputs'!C3/(1-'Tax &amp; Debt Inputs'!C3)</f>
        <v>567.916675968665</v>
      </c>
      <c r="M1691" s="1324">
        <f>+M1679*'Tax &amp; Debt Inputs'!C3/(1-'Tax &amp; Debt Inputs'!C3)</f>
        <v>2010.661877561618</v>
      </c>
      <c r="N1691" s="1325">
        <f>+N1679*'Tax &amp; Debt Inputs'!C3/(1-'Tax &amp; Debt Inputs'!C3)</f>
        <v>0</v>
      </c>
      <c r="O1691" s="1325">
        <f>+O1679*'Tax &amp; Debt Inputs'!C3/(1-'Tax &amp; Debt Inputs'!C3)</f>
        <v>0</v>
      </c>
      <c r="P1691" s="1325">
        <f>+P1679*'Tax &amp; Debt Inputs'!C3/(1-'Tax &amp; Debt Inputs'!C3)</f>
        <v>34.968498226952825</v>
      </c>
      <c r="Q1691" s="1324">
        <f>+Q1679*'Tax &amp; Debt Inputs'!C3/(1-'Tax &amp; Debt Inputs'!C3)</f>
        <v>0</v>
      </c>
      <c r="R1691" s="1324"/>
      <c r="V1691" s="1321" t="s">
        <v>5983</v>
      </c>
    </row>
    <row r="1692" spans="1:26">
      <c r="A1692" s="1320" t="s">
        <v>5915</v>
      </c>
      <c r="C1692" s="1322">
        <v>76</v>
      </c>
      <c r="D1692" s="1320" t="s">
        <v>5242</v>
      </c>
      <c r="E1692" s="1320" t="s">
        <v>4071</v>
      </c>
      <c r="F1692" s="1324">
        <f t="shared" si="752"/>
        <v>7865.517446738636</v>
      </c>
      <c r="G1692" s="1324">
        <f>+G1680*'Tax &amp; Debt Inputs'!C3/(1-'Tax &amp; Debt Inputs'!C3)</f>
        <v>0</v>
      </c>
      <c r="H1692" s="1324">
        <f>+H1680*'Tax &amp; Debt Inputs'!C3/(1-'Tax &amp; Debt Inputs'!C3)</f>
        <v>7865.517446738636</v>
      </c>
      <c r="I1692" s="1525"/>
      <c r="J1692" s="1324">
        <f>+J1680*'Tax &amp; Debt Inputs'!C3/(1-'Tax &amp; Debt Inputs'!C3)</f>
        <v>7865.517446738636</v>
      </c>
      <c r="K1692" s="1324">
        <f>+K1680*'Tax &amp; Debt Inputs'!C3/(1-'Tax &amp; Debt Inputs'!C3)</f>
        <v>2348.4636781622935</v>
      </c>
      <c r="L1692" s="1324">
        <f>+L1680*'Tax &amp; Debt Inputs'!C3/(1-'Tax &amp; Debt Inputs'!C3)</f>
        <v>456.63786867676163</v>
      </c>
      <c r="M1692" s="1324">
        <f>+M1680*'Tax &amp; Debt Inputs'!C3/(1-'Tax &amp; Debt Inputs'!C3)</f>
        <v>262.34885569244233</v>
      </c>
      <c r="N1692" s="1325">
        <f>+N1680*'Tax &amp; Debt Inputs'!C3/(1-'Tax &amp; Debt Inputs'!C3)</f>
        <v>19.713381280090463</v>
      </c>
      <c r="O1692" s="1325">
        <f>+O1680*'Tax &amp; Debt Inputs'!C3/(1-'Tax &amp; Debt Inputs'!C3)</f>
        <v>21.50812650733824</v>
      </c>
      <c r="P1692" s="1325">
        <f>+P1680*'Tax &amp; Debt Inputs'!C3/(1-'Tax &amp; Debt Inputs'!C3)</f>
        <v>4.4167518596237976</v>
      </c>
      <c r="Q1692" s="1324">
        <f>+Q1680*'Tax &amp; Debt Inputs'!C3/(1-'Tax &amp; Debt Inputs'!C3)</f>
        <v>4752.4287845600829</v>
      </c>
      <c r="R1692" s="1324"/>
      <c r="V1692" s="1321" t="s">
        <v>5984</v>
      </c>
    </row>
    <row r="1693" spans="1:26">
      <c r="A1693" s="1320" t="s">
        <v>5915</v>
      </c>
      <c r="C1693" s="1322">
        <v>77</v>
      </c>
      <c r="D1693" s="1320" t="s">
        <v>5244</v>
      </c>
      <c r="E1693" s="1320" t="s">
        <v>4071</v>
      </c>
      <c r="F1693" s="1366">
        <f t="shared" si="752"/>
        <v>2756.825039803542</v>
      </c>
      <c r="G1693" s="1366">
        <f>+G1681*'Tax &amp; Debt Inputs'!C3/(1-'Tax &amp; Debt Inputs'!C3)</f>
        <v>0</v>
      </c>
      <c r="H1693" s="1366">
        <f>+H1681*'Tax &amp; Debt Inputs'!C3/(1-'Tax &amp; Debt Inputs'!C3)</f>
        <v>2756.825039803542</v>
      </c>
      <c r="I1693" s="1525"/>
      <c r="J1693" s="1366">
        <f>+J1681*'Tax &amp; Debt Inputs'!C3/(1-'Tax &amp; Debt Inputs'!C3)</f>
        <v>2756.825039803542</v>
      </c>
      <c r="K1693" s="1366">
        <f>+K1681*'Tax &amp; Debt Inputs'!C3/(1-'Tax &amp; Debt Inputs'!C3)</f>
        <v>2458.7759030265215</v>
      </c>
      <c r="L1693" s="1366">
        <f>+L1681*'Tax &amp; Debt Inputs'!C3/(1-'Tax &amp; Debt Inputs'!C3)</f>
        <v>238.35618942208498</v>
      </c>
      <c r="M1693" s="1366">
        <f>+M1681*'Tax &amp; Debt Inputs'!C3/(1-'Tax &amp; Debt Inputs'!C3)</f>
        <v>58.705098129747924</v>
      </c>
      <c r="N1693" s="1378">
        <f>+N1681*'Tax &amp; Debt Inputs'!C3/(1-'Tax &amp; Debt Inputs'!C3)</f>
        <v>0.19820922964898816</v>
      </c>
      <c r="O1693" s="1378">
        <f>+O1681*'Tax &amp; Debt Inputs'!C3/(1-'Tax &amp; Debt Inputs'!C3)</f>
        <v>3.5166153647401131E-2</v>
      </c>
      <c r="P1693" s="1378">
        <f>+P1681*'Tax &amp; Debt Inputs'!C3/(1-'Tax &amp; Debt Inputs'!C3)</f>
        <v>0.75447384188969724</v>
      </c>
      <c r="Q1693" s="1366">
        <f>+Q1681*'Tax &amp; Debt Inputs'!C3/(1-'Tax &amp; Debt Inputs'!C3)</f>
        <v>0</v>
      </c>
      <c r="R1693" s="1364"/>
      <c r="V1693" s="1321" t="s">
        <v>5985</v>
      </c>
      <c r="Y1693" s="1324"/>
    </row>
    <row r="1694" spans="1:26">
      <c r="A1694" s="1320" t="s">
        <v>5915</v>
      </c>
      <c r="C1694" s="1322">
        <v>78</v>
      </c>
      <c r="D1694" s="1320" t="s">
        <v>5613</v>
      </c>
      <c r="F1694" s="1350">
        <f>SUM(F1686:F1693)</f>
        <v>122863.54233794296</v>
      </c>
      <c r="G1694" s="1350">
        <f>SUM(G1686:G1693)</f>
        <v>809.93779429909068</v>
      </c>
      <c r="H1694" s="1350">
        <f>SUM(H1686:H1693)</f>
        <v>122053.60454364389</v>
      </c>
      <c r="I1694" s="1525"/>
      <c r="J1694" s="1366">
        <f t="shared" ref="J1694:Q1694" si="753">SUM(J1686:J1693)</f>
        <v>122053.60454364389</v>
      </c>
      <c r="K1694" s="1366">
        <f t="shared" si="753"/>
        <v>71070.502742962737</v>
      </c>
      <c r="L1694" s="1366">
        <f t="shared" si="753"/>
        <v>6042.4752931432458</v>
      </c>
      <c r="M1694" s="1366">
        <f t="shared" si="753"/>
        <v>33656.316585296678</v>
      </c>
      <c r="N1694" s="1378">
        <f t="shared" si="753"/>
        <v>3920.2489876564664</v>
      </c>
      <c r="O1694" s="1378">
        <f>SUM(O1686:O1693)</f>
        <v>2345.6655907592635</v>
      </c>
      <c r="P1694" s="1378">
        <f>SUM(P1686:P1693)</f>
        <v>265.96655926538494</v>
      </c>
      <c r="Q1694" s="1366">
        <f t="shared" si="753"/>
        <v>4752.4287845600829</v>
      </c>
      <c r="R1694" s="1358"/>
      <c r="V1694" s="1320" t="s">
        <v>5986</v>
      </c>
      <c r="Y1694" s="1324"/>
    </row>
    <row r="1695" spans="1:26">
      <c r="A1695" s="1320" t="s">
        <v>5915</v>
      </c>
      <c r="C1695" s="1322">
        <v>79</v>
      </c>
      <c r="F1695" s="1358"/>
      <c r="G1695" s="1358"/>
      <c r="H1695" s="1446"/>
      <c r="I1695" s="1525"/>
      <c r="J1695" s="1364"/>
      <c r="K1695" s="1364"/>
      <c r="L1695" s="1364"/>
      <c r="M1695" s="1367"/>
      <c r="N1695" s="1367"/>
      <c r="O1695" s="1367"/>
      <c r="P1695" s="1364"/>
      <c r="Q1695" s="1364"/>
      <c r="R1695" s="1358"/>
    </row>
    <row r="1696" spans="1:26">
      <c r="A1696" s="1320" t="s">
        <v>5915</v>
      </c>
      <c r="C1696" s="1322">
        <v>80</v>
      </c>
      <c r="D1696" s="1356" t="s">
        <v>5591</v>
      </c>
      <c r="G1696" s="1320"/>
      <c r="R1696" s="1358"/>
    </row>
    <row r="1697" spans="1:25">
      <c r="A1697" s="1320" t="s">
        <v>5915</v>
      </c>
      <c r="C1697" s="1322">
        <v>81</v>
      </c>
      <c r="D1697" s="1320" t="s">
        <v>5265</v>
      </c>
      <c r="E1697" s="1320" t="s">
        <v>4067</v>
      </c>
      <c r="F1697" s="1320">
        <f t="shared" ref="F1697:H1704" si="754">+F1674+F1686</f>
        <v>301468.92977858218</v>
      </c>
      <c r="G1697" s="1320">
        <f t="shared" si="754"/>
        <v>0</v>
      </c>
      <c r="H1697" s="1320">
        <f t="shared" si="754"/>
        <v>301468.92977858218</v>
      </c>
      <c r="I1697" s="1525"/>
      <c r="J1697" s="1324">
        <f t="shared" ref="J1697:Q1704" si="755">+J1674+J1686</f>
        <v>301468.92977858218</v>
      </c>
      <c r="K1697" s="1324">
        <f t="shared" si="755"/>
        <v>173107.88102403376</v>
      </c>
      <c r="L1697" s="1324">
        <f t="shared" si="755"/>
        <v>14395.763161269699</v>
      </c>
      <c r="M1697" s="1324">
        <f t="shared" si="755"/>
        <v>93168.088117066145</v>
      </c>
      <c r="N1697" s="1325">
        <f t="shared" si="755"/>
        <v>11907.512215575205</v>
      </c>
      <c r="O1697" s="1325">
        <f t="shared" si="755"/>
        <v>8569.8739002302464</v>
      </c>
      <c r="P1697" s="1325">
        <f t="shared" si="755"/>
        <v>319.81136040707463</v>
      </c>
      <c r="Q1697" s="1324">
        <f t="shared" si="755"/>
        <v>0</v>
      </c>
      <c r="R1697" s="1358"/>
      <c r="V1697" s="1320" t="s">
        <v>5987</v>
      </c>
    </row>
    <row r="1698" spans="1:25">
      <c r="A1698" s="1320" t="s">
        <v>5915</v>
      </c>
      <c r="C1698" s="1322">
        <v>82</v>
      </c>
      <c r="D1698" s="1320" t="s">
        <v>5265</v>
      </c>
      <c r="E1698" s="1320" t="s">
        <v>2067</v>
      </c>
      <c r="F1698" s="1358">
        <f t="shared" si="754"/>
        <v>23197.048121493601</v>
      </c>
      <c r="G1698" s="1358">
        <f t="shared" si="754"/>
        <v>0</v>
      </c>
      <c r="H1698" s="1358">
        <f t="shared" si="754"/>
        <v>23197.048121493601</v>
      </c>
      <c r="I1698" s="1525"/>
      <c r="J1698" s="1364">
        <f t="shared" si="755"/>
        <v>23197.048121493601</v>
      </c>
      <c r="K1698" s="1364">
        <f t="shared" si="755"/>
        <v>11706.023478287858</v>
      </c>
      <c r="L1698" s="1364">
        <f t="shared" si="755"/>
        <v>1081.7736037337572</v>
      </c>
      <c r="M1698" s="1364">
        <f t="shared" si="755"/>
        <v>8058.7931730981491</v>
      </c>
      <c r="N1698" s="1367">
        <f t="shared" si="755"/>
        <v>1282.8302977396761</v>
      </c>
      <c r="O1698" s="1367">
        <f t="shared" si="755"/>
        <v>945.0763003428774</v>
      </c>
      <c r="P1698" s="1367">
        <f t="shared" si="755"/>
        <v>122.55126829127126</v>
      </c>
      <c r="Q1698" s="1364">
        <f t="shared" si="755"/>
        <v>0</v>
      </c>
      <c r="R1698" s="1358"/>
      <c r="V1698" s="1320" t="s">
        <v>5988</v>
      </c>
    </row>
    <row r="1699" spans="1:25">
      <c r="A1699" s="1320" t="s">
        <v>5915</v>
      </c>
      <c r="C1699" s="1322">
        <v>83</v>
      </c>
      <c r="D1699" s="1320" t="s">
        <v>5268</v>
      </c>
      <c r="E1699" s="1320" t="s">
        <v>4067</v>
      </c>
      <c r="F1699" s="1358">
        <f t="shared" si="754"/>
        <v>28700.974884318093</v>
      </c>
      <c r="G1699" s="1358">
        <f t="shared" si="754"/>
        <v>1823.1270067300816</v>
      </c>
      <c r="H1699" s="1358">
        <f t="shared" si="754"/>
        <v>26877.757057974544</v>
      </c>
      <c r="I1699" s="1525"/>
      <c r="J1699" s="1364">
        <f t="shared" si="755"/>
        <v>26877.757057974544</v>
      </c>
      <c r="K1699" s="1364">
        <f t="shared" si="755"/>
        <v>15589.449582902504</v>
      </c>
      <c r="L1699" s="1364">
        <f t="shared" si="755"/>
        <v>1285.9723467472893</v>
      </c>
      <c r="M1699" s="1364">
        <f t="shared" si="755"/>
        <v>8220.5751561499383</v>
      </c>
      <c r="N1699" s="1367">
        <f t="shared" si="755"/>
        <v>1026.2298108348939</v>
      </c>
      <c r="O1699" s="1367">
        <f t="shared" si="755"/>
        <v>736.47403025571373</v>
      </c>
      <c r="P1699" s="1367">
        <f t="shared" si="755"/>
        <v>19.056131084216339</v>
      </c>
      <c r="Q1699" s="1364">
        <f t="shared" si="755"/>
        <v>0</v>
      </c>
      <c r="R1699" s="1358"/>
      <c r="V1699" s="1320" t="s">
        <v>5989</v>
      </c>
    </row>
    <row r="1700" spans="1:25">
      <c r="A1700" s="1320" t="s">
        <v>5915</v>
      </c>
      <c r="C1700" s="1322">
        <v>84</v>
      </c>
      <c r="D1700" s="1320" t="s">
        <v>5239</v>
      </c>
      <c r="E1700" s="1320" t="s">
        <v>4067</v>
      </c>
      <c r="F1700" s="1358">
        <f t="shared" si="754"/>
        <v>31807.246747825247</v>
      </c>
      <c r="G1700" s="1358">
        <f t="shared" si="754"/>
        <v>2033.719632789398</v>
      </c>
      <c r="H1700" s="1358">
        <f t="shared" si="754"/>
        <v>29773.598249609917</v>
      </c>
      <c r="I1700" s="1525"/>
      <c r="J1700" s="1364">
        <f t="shared" si="755"/>
        <v>29773.598249609917</v>
      </c>
      <c r="K1700" s="1364">
        <f t="shared" si="755"/>
        <v>17269.075236178414</v>
      </c>
      <c r="L1700" s="1364">
        <f t="shared" si="755"/>
        <v>1424.5245215058576</v>
      </c>
      <c r="M1700" s="1364">
        <f t="shared" si="755"/>
        <v>9106.2696024821144</v>
      </c>
      <c r="N1700" s="1367">
        <f t="shared" si="755"/>
        <v>1136.7970189501316</v>
      </c>
      <c r="O1700" s="1367">
        <f t="shared" si="755"/>
        <v>815.82260940924982</v>
      </c>
      <c r="P1700" s="1367">
        <f t="shared" si="755"/>
        <v>21.109261084158213</v>
      </c>
      <c r="Q1700" s="1364">
        <f t="shared" si="755"/>
        <v>0</v>
      </c>
      <c r="R1700" s="1358"/>
      <c r="V1700" s="1320" t="s">
        <v>5990</v>
      </c>
      <c r="Y1700" s="1324"/>
    </row>
    <row r="1701" spans="1:25">
      <c r="A1701" s="1320" t="s">
        <v>5915</v>
      </c>
      <c r="C1701" s="1322">
        <v>85</v>
      </c>
      <c r="D1701" s="1320" t="s">
        <v>5240</v>
      </c>
      <c r="E1701" s="1320" t="s">
        <v>4067</v>
      </c>
      <c r="F1701" s="1358">
        <f t="shared" si="754"/>
        <v>103275.94451870173</v>
      </c>
      <c r="G1701" s="1358">
        <f t="shared" si="754"/>
        <v>0</v>
      </c>
      <c r="H1701" s="1358">
        <f t="shared" si="754"/>
        <v>103275.94451870173</v>
      </c>
      <c r="I1701" s="1525"/>
      <c r="J1701" s="1364">
        <f t="shared" si="755"/>
        <v>103275.94451870173</v>
      </c>
      <c r="K1701" s="1364">
        <f t="shared" si="755"/>
        <v>64280.601530814085</v>
      </c>
      <c r="L1701" s="1364">
        <f t="shared" si="755"/>
        <v>4571.7976004373741</v>
      </c>
      <c r="M1701" s="1364">
        <f t="shared" si="755"/>
        <v>30611.039446026836</v>
      </c>
      <c r="N1701" s="1367">
        <f t="shared" si="755"/>
        <v>3219.6658814083166</v>
      </c>
      <c r="O1701" s="1367">
        <f t="shared" si="755"/>
        <v>2.1983251410431738E-3</v>
      </c>
      <c r="P1701" s="1367">
        <f t="shared" si="755"/>
        <v>592.83786169003486</v>
      </c>
      <c r="Q1701" s="1364">
        <f t="shared" si="755"/>
        <v>0</v>
      </c>
      <c r="R1701" s="1358"/>
      <c r="V1701" s="1320" t="s">
        <v>5991</v>
      </c>
      <c r="Y1701" s="1324"/>
    </row>
    <row r="1702" spans="1:25">
      <c r="A1702" s="1320" t="s">
        <v>5915</v>
      </c>
      <c r="C1702" s="1322">
        <v>86</v>
      </c>
      <c r="D1702" s="1320" t="s">
        <v>5241</v>
      </c>
      <c r="E1702" s="1320" t="s">
        <v>4067</v>
      </c>
      <c r="F1702" s="1358">
        <f t="shared" si="754"/>
        <v>46031.77968840798</v>
      </c>
      <c r="G1702" s="1358">
        <f t="shared" si="754"/>
        <v>0</v>
      </c>
      <c r="H1702" s="1358">
        <f t="shared" si="754"/>
        <v>46031.77968840798</v>
      </c>
      <c r="I1702" s="1525"/>
      <c r="J1702" s="1364">
        <f t="shared" si="755"/>
        <v>46031.77968840798</v>
      </c>
      <c r="K1702" s="1364">
        <f t="shared" si="755"/>
        <v>33586.317537183051</v>
      </c>
      <c r="L1702" s="1364">
        <f t="shared" si="755"/>
        <v>2704.36512366031</v>
      </c>
      <c r="M1702" s="1364">
        <f t="shared" si="755"/>
        <v>9574.580369341038</v>
      </c>
      <c r="N1702" s="1367">
        <f t="shared" si="755"/>
        <v>0</v>
      </c>
      <c r="O1702" s="1367">
        <f t="shared" si="755"/>
        <v>0</v>
      </c>
      <c r="P1702" s="1367">
        <f t="shared" si="755"/>
        <v>166.5166582235849</v>
      </c>
      <c r="Q1702" s="1364">
        <f t="shared" si="755"/>
        <v>0</v>
      </c>
      <c r="R1702" s="1358"/>
      <c r="V1702" s="1320" t="s">
        <v>5992</v>
      </c>
      <c r="Y1702" s="1324"/>
    </row>
    <row r="1703" spans="1:25">
      <c r="A1703" s="1320" t="s">
        <v>5915</v>
      </c>
      <c r="C1703" s="1322">
        <v>87</v>
      </c>
      <c r="D1703" s="1320" t="s">
        <v>5242</v>
      </c>
      <c r="E1703" s="1320" t="s">
        <v>4071</v>
      </c>
      <c r="F1703" s="1358">
        <f t="shared" si="754"/>
        <v>37454.844984469695</v>
      </c>
      <c r="G1703" s="1358">
        <f t="shared" si="754"/>
        <v>0</v>
      </c>
      <c r="H1703" s="1358">
        <f t="shared" si="754"/>
        <v>37454.844984469695</v>
      </c>
      <c r="I1703" s="1525"/>
      <c r="J1703" s="1364">
        <f t="shared" si="755"/>
        <v>37454.844984469695</v>
      </c>
      <c r="K1703" s="1364">
        <f t="shared" si="755"/>
        <v>11183.160372201399</v>
      </c>
      <c r="L1703" s="1364">
        <f t="shared" si="755"/>
        <v>2174.4660413179126</v>
      </c>
      <c r="M1703" s="1364">
        <f t="shared" si="755"/>
        <v>1249.2802652021064</v>
      </c>
      <c r="N1703" s="1367">
        <f t="shared" si="755"/>
        <v>93.873244190906973</v>
      </c>
      <c r="O1703" s="1367">
        <f t="shared" si="755"/>
        <v>102.419650034944</v>
      </c>
      <c r="P1703" s="1367">
        <f t="shared" si="755"/>
        <v>21.032151712494276</v>
      </c>
      <c r="Q1703" s="1364">
        <f t="shared" si="755"/>
        <v>22630.613259809921</v>
      </c>
      <c r="R1703" s="1358"/>
      <c r="V1703" s="1320" t="s">
        <v>5993</v>
      </c>
      <c r="Y1703" s="1324"/>
    </row>
    <row r="1704" spans="1:25">
      <c r="A1704" s="1320" t="s">
        <v>5915</v>
      </c>
      <c r="C1704" s="1322">
        <v>88</v>
      </c>
      <c r="D1704" s="1320" t="s">
        <v>5244</v>
      </c>
      <c r="E1704" s="1320" t="s">
        <v>4071</v>
      </c>
      <c r="F1704" s="1350">
        <f t="shared" si="754"/>
        <v>13127.738284778772</v>
      </c>
      <c r="G1704" s="1350">
        <f t="shared" si="754"/>
        <v>0</v>
      </c>
      <c r="H1704" s="1350">
        <f t="shared" si="754"/>
        <v>13127.738284778772</v>
      </c>
      <c r="I1704" s="1525"/>
      <c r="J1704" s="1366">
        <f t="shared" si="755"/>
        <v>13127.738284778772</v>
      </c>
      <c r="K1704" s="1366">
        <f t="shared" si="755"/>
        <v>11708.456681078675</v>
      </c>
      <c r="L1704" s="1366">
        <f t="shared" si="755"/>
        <v>1135.0294734385</v>
      </c>
      <c r="M1704" s="1366">
        <f t="shared" si="755"/>
        <v>279.54808633213298</v>
      </c>
      <c r="N1704" s="1378">
        <f t="shared" si="755"/>
        <v>0.94385347451899115</v>
      </c>
      <c r="O1704" s="1378">
        <f t="shared" si="755"/>
        <v>0.16745787451143399</v>
      </c>
      <c r="P1704" s="1378">
        <f t="shared" si="755"/>
        <v>3.5927325804271302</v>
      </c>
      <c r="Q1704" s="1366">
        <f t="shared" si="755"/>
        <v>0</v>
      </c>
      <c r="R1704" s="1358"/>
      <c r="V1704" s="1320" t="s">
        <v>5994</v>
      </c>
      <c r="Y1704" s="1324"/>
    </row>
    <row r="1705" spans="1:25">
      <c r="A1705" s="1320" t="s">
        <v>5915</v>
      </c>
      <c r="C1705" s="1322">
        <v>89</v>
      </c>
      <c r="D1705" s="1320" t="s">
        <v>5601</v>
      </c>
      <c r="F1705" s="1350">
        <f>SUM(F1697:F1704)</f>
        <v>585064.50700857735</v>
      </c>
      <c r="G1705" s="1350">
        <f>SUM(G1697:G1704)</f>
        <v>3856.8466395194796</v>
      </c>
      <c r="H1705" s="1350">
        <f>SUM(H1697:H1704)</f>
        <v>581207.64068401849</v>
      </c>
      <c r="I1705" s="1525"/>
      <c r="J1705" s="1366">
        <f t="shared" ref="J1705:Q1705" si="756">SUM(J1697:J1704)</f>
        <v>581207.64068401849</v>
      </c>
      <c r="K1705" s="1366">
        <f t="shared" si="756"/>
        <v>338430.96544267976</v>
      </c>
      <c r="L1705" s="1366">
        <f t="shared" si="756"/>
        <v>28773.691872110699</v>
      </c>
      <c r="M1705" s="1366">
        <f t="shared" si="756"/>
        <v>160268.17421569847</v>
      </c>
      <c r="N1705" s="1378">
        <f t="shared" si="756"/>
        <v>18667.852322173654</v>
      </c>
      <c r="O1705" s="1378">
        <f>SUM(O1697:O1704)</f>
        <v>11169.836146472682</v>
      </c>
      <c r="P1705" s="1378">
        <f>SUM(P1697:P1704)</f>
        <v>1266.5074250732616</v>
      </c>
      <c r="Q1705" s="1366">
        <f t="shared" si="756"/>
        <v>22630.613259809921</v>
      </c>
      <c r="R1705" s="1358"/>
      <c r="V1705" s="1320" t="s">
        <v>5995</v>
      </c>
      <c r="Y1705" s="1324"/>
    </row>
    <row r="1706" spans="1:25">
      <c r="A1706" s="1320" t="s">
        <v>5915</v>
      </c>
      <c r="G1706" s="1320"/>
      <c r="R1706" s="1358"/>
      <c r="Y1706" s="1324"/>
    </row>
    <row r="1707" spans="1:25">
      <c r="A1707" s="1358"/>
      <c r="F1707" s="1358"/>
      <c r="G1707" s="1358"/>
      <c r="H1707" s="1358"/>
      <c r="J1707" s="1364"/>
      <c r="K1707" s="1364"/>
      <c r="L1707" s="1364"/>
      <c r="M1707" s="1367"/>
      <c r="N1707" s="1367"/>
      <c r="O1707" s="1367"/>
      <c r="P1707" s="1364"/>
      <c r="Q1707" s="1364"/>
      <c r="R1707" s="1358"/>
      <c r="Y1707" s="1324"/>
    </row>
    <row r="1708" spans="1:25">
      <c r="A1708" s="1358"/>
      <c r="F1708" s="1358"/>
      <c r="G1708" s="1358"/>
      <c r="H1708" s="1358"/>
      <c r="J1708" s="1364"/>
      <c r="K1708" s="1364"/>
      <c r="L1708" s="1364"/>
      <c r="M1708" s="1367"/>
      <c r="N1708" s="1367"/>
      <c r="O1708" s="1367"/>
      <c r="P1708" s="1364"/>
      <c r="Q1708" s="1364"/>
      <c r="R1708" s="1358"/>
      <c r="Y1708" s="1324"/>
    </row>
    <row r="1709" spans="1:25">
      <c r="A1709" s="1358"/>
      <c r="F1709" s="1358"/>
      <c r="G1709" s="1358"/>
      <c r="H1709" s="1358"/>
      <c r="J1709" s="1364"/>
      <c r="K1709" s="1364"/>
      <c r="L1709" s="1364"/>
      <c r="M1709" s="1367"/>
      <c r="N1709" s="1367"/>
      <c r="O1709" s="1367"/>
      <c r="P1709" s="1364"/>
      <c r="Q1709" s="1364"/>
      <c r="R1709" s="1358"/>
      <c r="Y1709" s="1324"/>
    </row>
    <row r="1710" spans="1:25">
      <c r="A1710" s="1358"/>
      <c r="F1710" s="1358"/>
      <c r="G1710" s="1358"/>
      <c r="H1710" s="1358"/>
      <c r="J1710" s="1364"/>
      <c r="K1710" s="1364"/>
      <c r="L1710" s="1364"/>
      <c r="M1710" s="1367"/>
      <c r="N1710" s="1367"/>
      <c r="O1710" s="1367"/>
      <c r="P1710" s="1364"/>
      <c r="Q1710" s="1364"/>
      <c r="R1710" s="1358"/>
    </row>
    <row r="1711" spans="1:25">
      <c r="A1711" s="1358"/>
      <c r="B1711" s="1331"/>
      <c r="C1711" s="1340" t="str">
        <f>+C$2</f>
        <v>RATES WITH REVENUE DEFICIENCY ADDITION</v>
      </c>
      <c r="F1711" s="1333"/>
      <c r="G1711" s="1327" t="s">
        <v>2173</v>
      </c>
      <c r="I1711" s="1334" t="s">
        <v>5956</v>
      </c>
      <c r="L1711" s="1329" t="s">
        <v>2173</v>
      </c>
      <c r="M1711" s="1330"/>
      <c r="N1711" s="1330"/>
      <c r="O1711" s="1330"/>
      <c r="S1711" s="1334" t="s">
        <v>5981</v>
      </c>
      <c r="T1711" s="1333" t="s">
        <v>2173</v>
      </c>
      <c r="U1711" s="1334"/>
      <c r="V1711" s="1332" t="s">
        <v>4772</v>
      </c>
    </row>
    <row r="1712" spans="1:25">
      <c r="A1712" s="1358"/>
      <c r="B1712" s="1331"/>
      <c r="C1712" s="1340" t="str">
        <f>+C$3</f>
        <v>PROD. CAP. ALLOC. METHOD: 12 CP &amp; 1/13th AD</v>
      </c>
      <c r="G1712" s="1336" t="s">
        <v>4768</v>
      </c>
      <c r="I1712" s="1335" t="s">
        <v>3043</v>
      </c>
      <c r="L1712" s="1336" t="s">
        <v>5141</v>
      </c>
      <c r="M1712" s="1337"/>
      <c r="N1712" s="1337"/>
      <c r="O1712" s="1337"/>
      <c r="R1712" s="1331"/>
      <c r="S1712" s="1335" t="s">
        <v>3047</v>
      </c>
      <c r="T1712" s="1333" t="s">
        <v>5141</v>
      </c>
      <c r="V1712" s="1332" t="s">
        <v>5981</v>
      </c>
    </row>
    <row r="1713" spans="1:25">
      <c r="A1713" s="1358"/>
      <c r="C1713" s="1340" t="str">
        <f>+C$4</f>
        <v>PROJECTED CALENDAR YEAR 2025; FULLY ADJUSTED DATA</v>
      </c>
      <c r="F1713" s="1333"/>
      <c r="G1713" s="1336" t="s">
        <v>2181</v>
      </c>
      <c r="L1713" s="1336" t="s">
        <v>2181</v>
      </c>
      <c r="P1713" s="1364"/>
      <c r="Q1713" s="1364"/>
      <c r="R1713" s="1358"/>
      <c r="T1713" s="1339"/>
    </row>
    <row r="1714" spans="1:25">
      <c r="A1714" s="1358"/>
      <c r="C1714" s="1340" t="str">
        <f>+C$5</f>
        <v>MINIMUM DISTRIBUTION SYSTEM (MDS) NOT EMPLOYED</v>
      </c>
      <c r="G1714" s="1320"/>
      <c r="J1714" s="1364"/>
      <c r="K1714" s="1364"/>
      <c r="L1714" s="1336"/>
      <c r="M1714" s="1337"/>
      <c r="N1714" s="1337"/>
      <c r="O1714" s="1337"/>
      <c r="P1714" s="1364"/>
      <c r="Q1714" s="1364"/>
      <c r="R1714" s="1358"/>
      <c r="T1714" s="1333"/>
    </row>
    <row r="1715" spans="1:25">
      <c r="A1715" s="1358"/>
      <c r="C1715" s="1340" t="str">
        <f>+C$6</f>
        <v>Tampa Electric 2025 OB Budget</v>
      </c>
      <c r="F1715" s="1327"/>
      <c r="G1715" s="1333" t="s">
        <v>5912</v>
      </c>
      <c r="J1715" s="1364"/>
      <c r="K1715" s="1364"/>
      <c r="L1715" s="1336" t="s">
        <v>5912</v>
      </c>
      <c r="M1715" s="1337"/>
      <c r="N1715" s="1337"/>
      <c r="O1715" s="1337"/>
      <c r="P1715" s="1364"/>
      <c r="Q1715" s="1364"/>
      <c r="R1715" s="1358"/>
      <c r="T1715" s="1333" t="s">
        <v>5912</v>
      </c>
    </row>
    <row r="1716" spans="1:25">
      <c r="A1716" s="1358"/>
      <c r="F1716" s="1333"/>
      <c r="G1716" s="1320"/>
      <c r="J1716" s="1364"/>
      <c r="K1716" s="1364"/>
      <c r="L1716" s="1336"/>
      <c r="M1716" s="1337"/>
      <c r="N1716" s="1337"/>
      <c r="O1716" s="1337"/>
      <c r="P1716" s="1364"/>
      <c r="Q1716" s="1364"/>
      <c r="R1716" s="1358"/>
    </row>
    <row r="1717" spans="1:25">
      <c r="A1717" s="1358"/>
      <c r="F1717" s="1333"/>
      <c r="G1717" s="1320"/>
      <c r="J1717" s="1364"/>
      <c r="K1717" s="1364"/>
      <c r="L1717" s="1336"/>
      <c r="M1717" s="1337"/>
      <c r="N1717" s="1337"/>
      <c r="O1717" s="1337"/>
      <c r="P1717" s="1364"/>
      <c r="Q1717" s="1364"/>
      <c r="R1717" s="1358"/>
    </row>
    <row r="1718" spans="1:25">
      <c r="A1718" s="1358"/>
      <c r="F1718" s="1358"/>
      <c r="G1718" s="1358"/>
      <c r="H1718" s="1358"/>
      <c r="J1718" s="1364"/>
      <c r="K1718" s="1364"/>
      <c r="L1718" s="1336"/>
      <c r="M1718" s="1337"/>
      <c r="N1718" s="1337"/>
      <c r="O1718" s="1337"/>
      <c r="P1718" s="1364"/>
      <c r="Q1718" s="1364"/>
      <c r="R1718" s="1358"/>
    </row>
    <row r="1719" spans="1:25">
      <c r="A1719" s="1358"/>
      <c r="F1719" s="1358"/>
      <c r="G1719" s="1358"/>
      <c r="H1719" s="1358"/>
      <c r="J1719" s="1364"/>
      <c r="K1719" s="1364"/>
      <c r="L1719" s="1336"/>
      <c r="M1719" s="1337"/>
      <c r="N1719" s="1337"/>
      <c r="O1719" s="1337"/>
      <c r="P1719" s="1364"/>
      <c r="Q1719" s="1364"/>
      <c r="R1719" s="1358"/>
    </row>
    <row r="1720" spans="1:25" ht="27.6">
      <c r="A1720" s="1418" t="s">
        <v>4683</v>
      </c>
      <c r="C1720" s="1349" t="s">
        <v>4297</v>
      </c>
      <c r="D1720" s="1418"/>
      <c r="E1720" s="1418"/>
      <c r="F1720" s="1348" t="s">
        <v>5144</v>
      </c>
      <c r="G1720" s="1348" t="s">
        <v>4956</v>
      </c>
      <c r="H1720" s="1348" t="s">
        <v>4957</v>
      </c>
      <c r="I1720" s="1426" t="s">
        <v>5145</v>
      </c>
      <c r="J1720" s="1352" t="s">
        <v>4957</v>
      </c>
      <c r="K1720" s="1353" t="s">
        <v>1949</v>
      </c>
      <c r="L1720" s="1353" t="s">
        <v>1950</v>
      </c>
      <c r="M1720" s="1354" t="s">
        <v>1934</v>
      </c>
      <c r="N1720" s="1354" t="s">
        <v>1971</v>
      </c>
      <c r="O1720" s="1354" t="s">
        <v>1972</v>
      </c>
      <c r="P1720" s="1352" t="s">
        <v>5146</v>
      </c>
      <c r="Q1720" s="1352" t="s">
        <v>5147</v>
      </c>
      <c r="R1720" s="1350"/>
      <c r="S1720" s="1350"/>
      <c r="T1720" s="1350"/>
      <c r="U1720" s="1366"/>
      <c r="V1720" s="1355" t="s">
        <v>4774</v>
      </c>
    </row>
    <row r="1721" spans="1:25">
      <c r="G1721" s="1320"/>
    </row>
    <row r="1722" spans="1:25">
      <c r="A1722" s="1320" t="s">
        <v>5915</v>
      </c>
      <c r="C1722" s="1322">
        <v>90</v>
      </c>
      <c r="D1722" s="1356" t="s">
        <v>5996</v>
      </c>
      <c r="F1722" s="1392"/>
      <c r="G1722" s="1532"/>
      <c r="V1722" s="1321"/>
      <c r="Y1722" s="1324"/>
    </row>
    <row r="1723" spans="1:25">
      <c r="A1723" s="1320" t="s">
        <v>5915</v>
      </c>
      <c r="C1723" s="1322">
        <v>91</v>
      </c>
      <c r="D1723" s="1320" t="s">
        <v>5265</v>
      </c>
      <c r="E1723" s="1320" t="s">
        <v>4067</v>
      </c>
      <c r="F1723" s="1324">
        <f t="shared" ref="F1723:F1730" si="757">G1723+H1723</f>
        <v>17545.81072785399</v>
      </c>
      <c r="G1723" s="1320">
        <f>+G1697*'Tax &amp; Debt Inputs'!C4/(1-'Tax &amp; Debt Inputs'!C4)</f>
        <v>0</v>
      </c>
      <c r="H1723" s="1320">
        <f>+H1697*'Tax &amp; Debt Inputs'!C4/(1-'Tax &amp; Debt Inputs'!C4)</f>
        <v>17545.81072785399</v>
      </c>
      <c r="I1723" s="1525"/>
      <c r="J1723" s="1324">
        <f>+J1697*'Tax &amp; Debt Inputs'!C4/(1-'Tax &amp; Debt Inputs'!C4)</f>
        <v>17545.81072785399</v>
      </c>
      <c r="K1723" s="1320">
        <f>+K1697*'Tax &amp; Debt Inputs'!C4/(1-'Tax &amp; Debt Inputs'!C4)</f>
        <v>10075.061858541647</v>
      </c>
      <c r="L1723" s="1320">
        <f>+L1697*'Tax &amp; Debt Inputs'!C4/(1-'Tax &amp; Debt Inputs'!C4)</f>
        <v>837.84864959770744</v>
      </c>
      <c r="M1723" s="1320">
        <f>+M1697*'Tax &amp; Debt Inputs'!C4/(1-'Tax &amp; Debt Inputs'!C4)</f>
        <v>5422.4813189826864</v>
      </c>
      <c r="N1723" s="1320">
        <f>+N1697*'Tax &amp; Debt Inputs'!C4/(1-'Tax &amp; Debt Inputs'!C4)</f>
        <v>693.02981148850404</v>
      </c>
      <c r="O1723" s="1324">
        <f>+O1697*'Tax &amp; Debt Inputs'!C4/(1-'Tax &amp; Debt Inputs'!C4)</f>
        <v>498.77572964303022</v>
      </c>
      <c r="P1723" s="1324">
        <f>+P1697*'Tax &amp; Debt Inputs'!C4/(1-'Tax &amp; Debt Inputs'!C4)</f>
        <v>18.613359600411751</v>
      </c>
      <c r="Q1723" s="1320">
        <f>+Q1697*'Tax &amp; Debt Inputs'!C4/(1-'Tax &amp; Debt Inputs'!C4)</f>
        <v>0</v>
      </c>
      <c r="V1723" s="1321" t="s">
        <v>5997</v>
      </c>
      <c r="Y1723" s="1324"/>
    </row>
    <row r="1724" spans="1:25">
      <c r="A1724" s="1320" t="s">
        <v>5915</v>
      </c>
      <c r="C1724" s="1322">
        <v>92</v>
      </c>
      <c r="D1724" s="1320" t="s">
        <v>5265</v>
      </c>
      <c r="E1724" s="1320" t="s">
        <v>2067</v>
      </c>
      <c r="F1724" s="1324">
        <f t="shared" si="757"/>
        <v>1350.0927478117969</v>
      </c>
      <c r="G1724" s="1320">
        <f>+G1698*'Tax &amp; Debt Inputs'!C4/(1-'Tax &amp; Debt Inputs'!C4)</f>
        <v>0</v>
      </c>
      <c r="H1724" s="1320">
        <f>+H1698*'Tax &amp; Debt Inputs'!C4/(1-'Tax &amp; Debt Inputs'!C4)</f>
        <v>1350.0927478117969</v>
      </c>
      <c r="I1724" s="1525"/>
      <c r="J1724" s="1324">
        <f>+J1698*'Tax &amp; Debt Inputs'!C4/(1-'Tax &amp; Debt Inputs'!C4)</f>
        <v>1350.0927478117969</v>
      </c>
      <c r="K1724" s="1320">
        <f>+K1698*'Tax &amp; Debt Inputs'!C4/(1-'Tax &amp; Debt Inputs'!C4)</f>
        <v>681.30295376278548</v>
      </c>
      <c r="L1724" s="1320">
        <f>+L1698*'Tax &amp; Debt Inputs'!C4/(1-'Tax &amp; Debt Inputs'!C4)</f>
        <v>62.96036847127688</v>
      </c>
      <c r="M1724" s="1320">
        <f>+M1698*'Tax &amp; Debt Inputs'!C4/(1-'Tax &amp; Debt Inputs'!C4)</f>
        <v>469.03029049777592</v>
      </c>
      <c r="N1724" s="1320">
        <f>+N1698*'Tax &amp; Debt Inputs'!C4/(1-'Tax &amp; Debt Inputs'!C4)</f>
        <v>74.662080820827711</v>
      </c>
      <c r="O1724" s="1324">
        <f>+O1698*'Tax &amp; Debt Inputs'!C4/(1-'Tax &amp; Debt Inputs'!C4)</f>
        <v>55.004440760696575</v>
      </c>
      <c r="P1724" s="1324">
        <f>+P1698*'Tax &amp; Debt Inputs'!C4/(1-'Tax &amp; Debt Inputs'!C4)</f>
        <v>7.132613498433777</v>
      </c>
      <c r="Q1724" s="1320">
        <f>+Q1698*'Tax &amp; Debt Inputs'!C4/(1-'Tax &amp; Debt Inputs'!C4)</f>
        <v>0</v>
      </c>
      <c r="V1724" s="1321" t="s">
        <v>5998</v>
      </c>
    </row>
    <row r="1725" spans="1:25">
      <c r="A1725" s="1320" t="s">
        <v>5915</v>
      </c>
      <c r="C1725" s="1322">
        <v>93</v>
      </c>
      <c r="D1725" s="1320" t="s">
        <v>5268</v>
      </c>
      <c r="E1725" s="1320" t="s">
        <v>4067</v>
      </c>
      <c r="F1725" s="1324">
        <f t="shared" si="757"/>
        <v>1670.4218238716978</v>
      </c>
      <c r="G1725" s="1320">
        <f>+G1699*'Tax &amp; Debt Inputs'!C4/(1-'Tax &amp; Debt Inputs'!C4)</f>
        <v>106.1079210266185</v>
      </c>
      <c r="H1725" s="1320">
        <f>+H1699*'Tax &amp; Debt Inputs'!C4/(1-'Tax &amp; Debt Inputs'!C4)</f>
        <v>1564.3139028450794</v>
      </c>
      <c r="I1725" s="1525"/>
      <c r="J1725" s="1324">
        <f>+J1699*'Tax &amp; Debt Inputs'!C4/(1-'Tax &amp; Debt Inputs'!C4)</f>
        <v>1564.3139028450794</v>
      </c>
      <c r="K1725" s="1320">
        <f>+K1699*'Tax &amp; Debt Inputs'!C4/(1-'Tax &amp; Debt Inputs'!C4)</f>
        <v>907.32246249697118</v>
      </c>
      <c r="L1725" s="1320">
        <f>+L1699*'Tax &amp; Debt Inputs'!C4/(1-'Tax &amp; Debt Inputs'!C4)</f>
        <v>74.844951397990386</v>
      </c>
      <c r="M1725" s="1320">
        <f>+M1699*'Tax &amp; Debt Inputs'!C4/(1-'Tax &amp; Debt Inputs'!C4)</f>
        <v>478.44617310925565</v>
      </c>
      <c r="N1725" s="1320">
        <f>+N1699*'Tax &amp; Debt Inputs'!C4/(1-'Tax &amp; Debt Inputs'!C4)</f>
        <v>59.727660948062613</v>
      </c>
      <c r="O1725" s="1324">
        <f>+O1699*'Tax &amp; Debt Inputs'!C4/(1-'Tax &amp; Debt Inputs'!C4)</f>
        <v>42.863567898480696</v>
      </c>
      <c r="P1725" s="1324">
        <f>+P1699*'Tax &amp; Debt Inputs'!C4/(1-'Tax &amp; Debt Inputs'!C4)</f>
        <v>1.1090869943194697</v>
      </c>
      <c r="Q1725" s="1320">
        <f>+Q1699*'Tax &amp; Debt Inputs'!C4/(1-'Tax &amp; Debt Inputs'!C4)</f>
        <v>0</v>
      </c>
      <c r="R1725" s="1358"/>
      <c r="V1725" s="1321" t="s">
        <v>5999</v>
      </c>
    </row>
    <row r="1726" spans="1:25">
      <c r="A1726" s="1320" t="s">
        <v>5915</v>
      </c>
      <c r="C1726" s="1322">
        <v>94</v>
      </c>
      <c r="D1726" s="1320" t="s">
        <v>5239</v>
      </c>
      <c r="E1726" s="1320" t="s">
        <v>4067</v>
      </c>
      <c r="F1726" s="1324">
        <f t="shared" si="757"/>
        <v>1851.2195592930818</v>
      </c>
      <c r="G1726" s="1320">
        <f>+G1700*'Tax &amp; Debt Inputs'!C4/(1-'Tax &amp; Debt Inputs'!C4)</f>
        <v>118.36463471261048</v>
      </c>
      <c r="H1726" s="1320">
        <f>+H1700*'Tax &amp; Debt Inputs'!C4/(1-'Tax &amp; Debt Inputs'!C4)</f>
        <v>1732.8549245804713</v>
      </c>
      <c r="I1726" s="1525"/>
      <c r="J1726" s="1324">
        <f>+J1700*'Tax &amp; Debt Inputs'!C4/(1-'Tax &amp; Debt Inputs'!C4)</f>
        <v>1732.8549245804713</v>
      </c>
      <c r="K1726" s="1320">
        <f>+K1700*'Tax &amp; Debt Inputs'!C4/(1-'Tax &amp; Debt Inputs'!C4)</f>
        <v>1005.0784528992729</v>
      </c>
      <c r="L1726" s="1320">
        <f>+L1700*'Tax &amp; Debt Inputs'!C4/(1-'Tax &amp; Debt Inputs'!C4)</f>
        <v>82.90883458499701</v>
      </c>
      <c r="M1726" s="1320">
        <f>+M1700*'Tax &amp; Debt Inputs'!C4/(1-'Tax &amp; Debt Inputs'!C4)</f>
        <v>529.99452712858874</v>
      </c>
      <c r="N1726" s="1320">
        <f>+N1700*'Tax &amp; Debt Inputs'!C4/(1-'Tax &amp; Debt Inputs'!C4)</f>
        <v>66.162789462706073</v>
      </c>
      <c r="O1726" s="1324">
        <f>+O1700*'Tax &amp; Debt Inputs'!C4/(1-'Tax &amp; Debt Inputs'!C4)</f>
        <v>47.481739171966922</v>
      </c>
      <c r="P1726" s="1324">
        <f>+P1700*'Tax &amp; Debt Inputs'!C4/(1-'Tax &amp; Debt Inputs'!C4)</f>
        <v>1.2285813329404252</v>
      </c>
      <c r="Q1726" s="1320">
        <f>+Q1700*'Tax &amp; Debt Inputs'!C4/(1-'Tax &amp; Debt Inputs'!C4)</f>
        <v>0</v>
      </c>
      <c r="R1726" s="1358"/>
      <c r="V1726" s="1321" t="s">
        <v>6000</v>
      </c>
    </row>
    <row r="1727" spans="1:25">
      <c r="A1727" s="1320" t="s">
        <v>5915</v>
      </c>
      <c r="C1727" s="1322">
        <v>95</v>
      </c>
      <c r="D1727" s="1320" t="s">
        <v>5240</v>
      </c>
      <c r="E1727" s="1320" t="s">
        <v>4067</v>
      </c>
      <c r="F1727" s="1324">
        <f t="shared" si="757"/>
        <v>6010.7692577022171</v>
      </c>
      <c r="G1727" s="1320">
        <f>+G1701*'Tax &amp; Debt Inputs'!C4/(1-'Tax &amp; Debt Inputs'!C4)</f>
        <v>0</v>
      </c>
      <c r="H1727" s="1320">
        <f>+H1701*'Tax &amp; Debt Inputs'!C4/(1-'Tax &amp; Debt Inputs'!C4)</f>
        <v>6010.7692577022171</v>
      </c>
      <c r="I1727" s="1525"/>
      <c r="J1727" s="1324">
        <f>+J1701*'Tax &amp; Debt Inputs'!C4/(1-'Tax &amp; Debt Inputs'!C4)</f>
        <v>6010.7692577022171</v>
      </c>
      <c r="K1727" s="1320">
        <f>+K1701*'Tax &amp; Debt Inputs'!C4/(1-'Tax &amp; Debt Inputs'!C4)</f>
        <v>3741.1990308939417</v>
      </c>
      <c r="L1727" s="1320">
        <f>+L1701*'Tax &amp; Debt Inputs'!C4/(1-'Tax &amp; Debt Inputs'!C4)</f>
        <v>266.08345822651387</v>
      </c>
      <c r="M1727" s="1320">
        <f>+M1701*'Tax &amp; Debt Inputs'!C4/(1-'Tax &amp; Debt Inputs'!C4)</f>
        <v>1781.5948883930964</v>
      </c>
      <c r="N1727" s="1320">
        <f>+N1701*'Tax &amp; Debt Inputs'!C4/(1-'Tax &amp; Debt Inputs'!C4)</f>
        <v>187.38796135180681</v>
      </c>
      <c r="O1727" s="1324">
        <f>+O1701*'Tax &amp; Debt Inputs'!C4/(1-'Tax &amp; Debt Inputs'!C4)</f>
        <v>1.2794484947870326E-4</v>
      </c>
      <c r="P1727" s="1324">
        <f>+P1701*'Tax &amp; Debt Inputs'!C4/(1-'Tax &amp; Debt Inputs'!C4)</f>
        <v>34.503790892012617</v>
      </c>
      <c r="Q1727" s="1320">
        <f>+Q1701*'Tax &amp; Debt Inputs'!C4/(1-'Tax &amp; Debt Inputs'!C4)</f>
        <v>0</v>
      </c>
      <c r="R1727" s="1358"/>
      <c r="V1727" s="1321" t="s">
        <v>6001</v>
      </c>
    </row>
    <row r="1728" spans="1:25">
      <c r="A1728" s="1320" t="s">
        <v>5915</v>
      </c>
      <c r="C1728" s="1322">
        <v>96</v>
      </c>
      <c r="D1728" s="1320" t="s">
        <v>5241</v>
      </c>
      <c r="E1728" s="1320" t="s">
        <v>4067</v>
      </c>
      <c r="F1728" s="1324">
        <f t="shared" si="757"/>
        <v>2679.098288743322</v>
      </c>
      <c r="G1728" s="1320">
        <f>+G1702*'Tax &amp; Debt Inputs'!C4/(1-'Tax &amp; Debt Inputs'!C4)</f>
        <v>0</v>
      </c>
      <c r="H1728" s="1320">
        <f>+H1702*'Tax &amp; Debt Inputs'!C4/(1-'Tax &amp; Debt Inputs'!C4)</f>
        <v>2679.098288743322</v>
      </c>
      <c r="I1728" s="1525"/>
      <c r="J1728" s="1324">
        <f>+J1702*'Tax &amp; Debt Inputs'!C4/(1-'Tax &amp; Debt Inputs'!C4)</f>
        <v>2679.098288743322</v>
      </c>
      <c r="K1728" s="1320">
        <f>+K1702*'Tax &amp; Debt Inputs'!C4/(1-'Tax &amp; Debt Inputs'!C4)</f>
        <v>1954.7592217408126</v>
      </c>
      <c r="L1728" s="1320">
        <f>+L1702*'Tax &amp; Debt Inputs'!C4/(1-'Tax &amp; Debt Inputs'!C4)</f>
        <v>157.39691195906568</v>
      </c>
      <c r="M1728" s="1320">
        <f>+M1702*'Tax &amp; Debt Inputs'!C4/(1-'Tax &amp; Debt Inputs'!C4)</f>
        <v>557.25070932672713</v>
      </c>
      <c r="N1728" s="1320">
        <f>+N1702*'Tax &amp; Debt Inputs'!C4/(1-'Tax &amp; Debt Inputs'!C4)</f>
        <v>0</v>
      </c>
      <c r="O1728" s="1324">
        <f>+O1702*'Tax &amp; Debt Inputs'!C4/(1-'Tax &amp; Debt Inputs'!C4)</f>
        <v>0</v>
      </c>
      <c r="P1728" s="1324">
        <f>+P1702*'Tax &amp; Debt Inputs'!C4/(1-'Tax &amp; Debt Inputs'!C4)</f>
        <v>9.6914457167165828</v>
      </c>
      <c r="Q1728" s="1320">
        <f>+Q1702*'Tax &amp; Debt Inputs'!C4/(1-'Tax &amp; Debt Inputs'!C4)</f>
        <v>0</v>
      </c>
      <c r="R1728" s="1358"/>
      <c r="V1728" s="1321" t="s">
        <v>6002</v>
      </c>
      <c r="Y1728" s="1324"/>
    </row>
    <row r="1729" spans="1:27">
      <c r="A1729" s="1320" t="s">
        <v>5915</v>
      </c>
      <c r="C1729" s="1322">
        <v>97</v>
      </c>
      <c r="D1729" s="1320" t="s">
        <v>5242</v>
      </c>
      <c r="E1729" s="1320" t="s">
        <v>4071</v>
      </c>
      <c r="F1729" s="1324">
        <f t="shared" si="757"/>
        <v>2179.9116128527339</v>
      </c>
      <c r="G1729" s="1320">
        <f>+G1703*'Tax &amp; Debt Inputs'!C4/(1-'Tax &amp; Debt Inputs'!C4)</f>
        <v>0</v>
      </c>
      <c r="H1729" s="1320">
        <f>+H1703*'Tax &amp; Debt Inputs'!C4/(1-'Tax &amp; Debt Inputs'!C4)</f>
        <v>2179.9116128527339</v>
      </c>
      <c r="I1729" s="1525"/>
      <c r="J1729" s="1324">
        <f>+J1703*'Tax &amp; Debt Inputs'!C4/(1-'Tax &amp; Debt Inputs'!C4)</f>
        <v>2179.9116128527339</v>
      </c>
      <c r="K1729" s="1320">
        <f>+K1703*'Tax &amp; Debt Inputs'!C4/(1-'Tax &amp; Debt Inputs'!C4)</f>
        <v>650.87176769426139</v>
      </c>
      <c r="L1729" s="1320">
        <f>+L1703*'Tax &amp; Debt Inputs'!C4/(1-'Tax &amp; Debt Inputs'!C4)</f>
        <v>126.55622462696846</v>
      </c>
      <c r="M1729" s="1320">
        <f>+M1703*'Tax &amp; Debt Inputs'!C4/(1-'Tax &amp; Debt Inputs'!C4)</f>
        <v>72.709433424461224</v>
      </c>
      <c r="N1729" s="1320">
        <f>+N1703*'Tax &amp; Debt Inputs'!C4/(1-'Tax &amp; Debt Inputs'!C4)</f>
        <v>5.4635221486771259</v>
      </c>
      <c r="O1729" s="1324">
        <f>+O1703*'Tax &amp; Debt Inputs'!C4/(1-'Tax &amp; Debt Inputs'!C4)</f>
        <v>5.960932012615789</v>
      </c>
      <c r="P1729" s="1324">
        <f>+P1703*'Tax &amp; Debt Inputs'!C4/(1-'Tax &amp; Debt Inputs'!C4)</f>
        <v>1.2240934859123653</v>
      </c>
      <c r="Q1729" s="1320">
        <f>+Q1703*'Tax &amp; Debt Inputs'!C4/(1-'Tax &amp; Debt Inputs'!C4)</f>
        <v>1317.1256394598367</v>
      </c>
      <c r="R1729" s="1358"/>
      <c r="V1729" s="1321" t="s">
        <v>6003</v>
      </c>
      <c r="Y1729" s="1324"/>
    </row>
    <row r="1730" spans="1:27">
      <c r="A1730" s="1320" t="s">
        <v>5915</v>
      </c>
      <c r="C1730" s="1322">
        <v>98</v>
      </c>
      <c r="D1730" s="1320" t="s">
        <v>5244</v>
      </c>
      <c r="E1730" s="1320" t="s">
        <v>4071</v>
      </c>
      <c r="F1730" s="1366">
        <f t="shared" si="757"/>
        <v>764.04825996066938</v>
      </c>
      <c r="G1730" s="1350">
        <f>+G1704*'Tax &amp; Debt Inputs'!C4/(1-'Tax &amp; Debt Inputs'!C4)</f>
        <v>0</v>
      </c>
      <c r="H1730" s="1350">
        <f>+H1704*'Tax &amp; Debt Inputs'!C4/(1-'Tax &amp; Debt Inputs'!C4)</f>
        <v>764.04825996066938</v>
      </c>
      <c r="I1730" s="1525"/>
      <c r="J1730" s="1366">
        <f>+J1704*'Tax &amp; Debt Inputs'!C4/(1-'Tax &amp; Debt Inputs'!C4)</f>
        <v>764.04825996066938</v>
      </c>
      <c r="K1730" s="1350">
        <f>+K1704*'Tax &amp; Debt Inputs'!C4/(1-'Tax &amp; Debt Inputs'!C4)</f>
        <v>681.44456874002867</v>
      </c>
      <c r="L1730" s="1350">
        <f>+L1704*'Tax &amp; Debt Inputs'!C4/(1-'Tax &amp; Debt Inputs'!C4)</f>
        <v>66.059916443510588</v>
      </c>
      <c r="M1730" s="1350">
        <f>+M1704*'Tax &amp; Debt Inputs'!C4/(1-'Tax &amp; Debt Inputs'!C4)</f>
        <v>16.269994442610916</v>
      </c>
      <c r="N1730" s="1350">
        <f>+N1704*'Tax &amp; Debt Inputs'!C4/(1-'Tax &amp; Debt Inputs'!C4)</f>
        <v>5.4933271003750811E-2</v>
      </c>
      <c r="O1730" s="1366">
        <f>+O1704*'Tax &amp; Debt Inputs'!C4/(1-'Tax &amp; Debt Inputs'!C4)</f>
        <v>9.7462255006654716E-3</v>
      </c>
      <c r="P1730" s="1366">
        <f>+P1704*'Tax &amp; Debt Inputs'!C4/(1-'Tax &amp; Debt Inputs'!C4)</f>
        <v>0.20910083801427742</v>
      </c>
      <c r="Q1730" s="1350">
        <f>+Q1704*'Tax &amp; Debt Inputs'!C4/(1-'Tax &amp; Debt Inputs'!C4)</f>
        <v>0</v>
      </c>
      <c r="R1730" s="1358"/>
      <c r="V1730" s="1321" t="s">
        <v>6004</v>
      </c>
      <c r="Y1730" s="1324"/>
    </row>
    <row r="1731" spans="1:27">
      <c r="A1731" s="1320" t="s">
        <v>5915</v>
      </c>
      <c r="C1731" s="1322">
        <v>99</v>
      </c>
      <c r="D1731" s="1320" t="s">
        <v>6005</v>
      </c>
      <c r="F1731" s="1350">
        <f>SUM(F1723:F1730)</f>
        <v>34051.372278089504</v>
      </c>
      <c r="G1731" s="1350">
        <f>SUM(G1723:G1730)</f>
        <v>224.47255573922899</v>
      </c>
      <c r="H1731" s="1350">
        <f>SUM(H1723:H1730)</f>
        <v>33826.899722350274</v>
      </c>
      <c r="I1731" s="1525"/>
      <c r="J1731" s="1366">
        <f t="shared" ref="J1731:Q1731" si="758">SUM(J1723:J1730)</f>
        <v>33826.899722350274</v>
      </c>
      <c r="K1731" s="1366">
        <f t="shared" si="758"/>
        <v>19697.040316769722</v>
      </c>
      <c r="L1731" s="1366">
        <f t="shared" si="758"/>
        <v>1674.6593153080303</v>
      </c>
      <c r="M1731" s="1366">
        <f t="shared" si="758"/>
        <v>9327.7773353052035</v>
      </c>
      <c r="N1731" s="1378">
        <f t="shared" si="758"/>
        <v>1086.4887594915883</v>
      </c>
      <c r="O1731" s="1378">
        <f>SUM(O1723:O1730)</f>
        <v>650.09628365714036</v>
      </c>
      <c r="P1731" s="1378">
        <f>SUM(P1723:P1730)</f>
        <v>73.712072358761262</v>
      </c>
      <c r="Q1731" s="1366">
        <f t="shared" si="758"/>
        <v>1317.1256394598367</v>
      </c>
      <c r="R1731" s="1358"/>
      <c r="V1731" s="1320" t="s">
        <v>6006</v>
      </c>
      <c r="Y1731" s="1324"/>
    </row>
    <row r="1732" spans="1:27">
      <c r="A1732" s="1320" t="s">
        <v>5915</v>
      </c>
      <c r="C1732" s="1322">
        <v>100</v>
      </c>
      <c r="D1732" s="1324"/>
      <c r="E1732" s="1324"/>
      <c r="F1732" s="1533"/>
      <c r="G1732" s="1533"/>
      <c r="H1732" s="1533"/>
      <c r="I1732" s="1525"/>
      <c r="J1732" s="1533"/>
      <c r="K1732" s="1533"/>
      <c r="L1732" s="1533"/>
      <c r="M1732" s="1534"/>
      <c r="N1732" s="1534"/>
      <c r="O1732" s="1534"/>
      <c r="P1732" s="1533"/>
      <c r="Q1732" s="1533"/>
      <c r="R1732" s="1358"/>
      <c r="Y1732" s="1324"/>
    </row>
    <row r="1733" spans="1:27" s="1324" customFormat="1">
      <c r="A1733" s="1320" t="s">
        <v>5915</v>
      </c>
      <c r="C1733" s="1322">
        <v>101</v>
      </c>
      <c r="F1733" s="1533"/>
      <c r="G1733" s="1533"/>
      <c r="H1733" s="1533"/>
      <c r="I1733" s="1525"/>
      <c r="J1733" s="1533"/>
      <c r="K1733" s="1533"/>
      <c r="L1733" s="1533"/>
      <c r="M1733" s="1534"/>
      <c r="N1733" s="1534"/>
      <c r="O1733" s="1534"/>
      <c r="P1733" s="1533"/>
      <c r="Q1733" s="1533"/>
      <c r="R1733" s="1533"/>
      <c r="S1733" s="1533"/>
      <c r="T1733" s="1533"/>
      <c r="U1733" s="1533"/>
      <c r="AA1733" s="1320"/>
    </row>
    <row r="1734" spans="1:27" s="1324" customFormat="1">
      <c r="A1734" s="1320" t="s">
        <v>5915</v>
      </c>
      <c r="C1734" s="1322">
        <v>102</v>
      </c>
      <c r="D1734" s="1356" t="s">
        <v>6007</v>
      </c>
      <c r="E1734" s="1320"/>
      <c r="F1734" s="1320"/>
      <c r="G1734" s="1320"/>
      <c r="H1734" s="1320"/>
      <c r="I1734" s="1323"/>
      <c r="M1734" s="1325"/>
      <c r="N1734" s="1325"/>
      <c r="O1734" s="1325"/>
      <c r="R1734" s="1533"/>
      <c r="S1734" s="1533"/>
      <c r="T1734" s="1533"/>
      <c r="U1734" s="1533"/>
      <c r="AA1734" s="1320"/>
    </row>
    <row r="1735" spans="1:27" s="1324" customFormat="1">
      <c r="A1735" s="1320" t="s">
        <v>5915</v>
      </c>
      <c r="C1735" s="1322">
        <v>103</v>
      </c>
      <c r="D1735" s="1320" t="s">
        <v>5265</v>
      </c>
      <c r="E1735" s="1320" t="s">
        <v>4067</v>
      </c>
      <c r="F1735" s="1320">
        <f t="shared" ref="F1735:H1742" si="759">+F750</f>
        <v>4071.9547618950883</v>
      </c>
      <c r="G1735" s="1320">
        <f t="shared" si="759"/>
        <v>0</v>
      </c>
      <c r="H1735" s="1320">
        <f t="shared" si="759"/>
        <v>4071.9547618950883</v>
      </c>
      <c r="I1735" s="1525"/>
      <c r="J1735" s="1324">
        <f t="shared" ref="J1735:Q1742" si="760">+J750</f>
        <v>4071.9547618950883</v>
      </c>
      <c r="K1735" s="1324">
        <f t="shared" si="760"/>
        <v>2338.176146295064</v>
      </c>
      <c r="L1735" s="1324">
        <f t="shared" si="760"/>
        <v>194.4442380801878</v>
      </c>
      <c r="M1735" s="1324">
        <f t="shared" si="760"/>
        <v>1258.4256704118293</v>
      </c>
      <c r="N1735" s="1325">
        <f t="shared" si="760"/>
        <v>160.83531760353296</v>
      </c>
      <c r="O1735" s="1325">
        <f t="shared" si="760"/>
        <v>115.75368268468962</v>
      </c>
      <c r="P1735" s="1325">
        <f t="shared" si="760"/>
        <v>4.31970681978469</v>
      </c>
      <c r="Q1735" s="1324">
        <f t="shared" si="760"/>
        <v>0</v>
      </c>
      <c r="R1735" s="1533"/>
      <c r="S1735" s="1533"/>
      <c r="T1735" s="1533"/>
      <c r="U1735" s="1533"/>
      <c r="V1735" s="1320" t="s">
        <v>6008</v>
      </c>
      <c r="AA1735" s="1320"/>
    </row>
    <row r="1736" spans="1:27" s="1324" customFormat="1">
      <c r="A1736" s="1320" t="s">
        <v>5915</v>
      </c>
      <c r="C1736" s="1322">
        <v>104</v>
      </c>
      <c r="D1736" s="1320" t="s">
        <v>5265</v>
      </c>
      <c r="E1736" s="1320" t="s">
        <v>2067</v>
      </c>
      <c r="F1736" s="1358">
        <f t="shared" si="759"/>
        <v>306.23478931100033</v>
      </c>
      <c r="G1736" s="1358">
        <f t="shared" si="759"/>
        <v>0</v>
      </c>
      <c r="H1736" s="1358">
        <f t="shared" si="759"/>
        <v>306.23478931100033</v>
      </c>
      <c r="I1736" s="1525"/>
      <c r="J1736" s="1364">
        <f t="shared" si="760"/>
        <v>306.23478931100033</v>
      </c>
      <c r="K1736" s="1364">
        <f t="shared" si="760"/>
        <v>154.5365433898273</v>
      </c>
      <c r="L1736" s="1364">
        <f t="shared" si="760"/>
        <v>14.280985661906657</v>
      </c>
      <c r="M1736" s="1364">
        <f t="shared" si="760"/>
        <v>106.38779626352472</v>
      </c>
      <c r="N1736" s="1367">
        <f t="shared" si="760"/>
        <v>16.935226581095836</v>
      </c>
      <c r="O1736" s="1367">
        <f t="shared" si="760"/>
        <v>12.476382348414344</v>
      </c>
      <c r="P1736" s="1367">
        <f t="shared" si="760"/>
        <v>1.6178550662314581</v>
      </c>
      <c r="Q1736" s="1364">
        <f t="shared" si="760"/>
        <v>0</v>
      </c>
      <c r="R1736" s="1533"/>
      <c r="S1736" s="1533"/>
      <c r="T1736" s="1533"/>
      <c r="U1736" s="1533"/>
      <c r="V1736" s="1320" t="s">
        <v>6009</v>
      </c>
      <c r="AA1736" s="1320"/>
    </row>
    <row r="1737" spans="1:27" s="1324" customFormat="1">
      <c r="A1737" s="1320" t="s">
        <v>5915</v>
      </c>
      <c r="C1737" s="1322">
        <v>105</v>
      </c>
      <c r="D1737" s="1320" t="s">
        <v>5268</v>
      </c>
      <c r="E1737" s="1320" t="s">
        <v>4067</v>
      </c>
      <c r="F1737" s="1358">
        <f t="shared" si="759"/>
        <v>321.21095610523673</v>
      </c>
      <c r="G1737" s="1358">
        <f t="shared" si="759"/>
        <v>20.8102479484605</v>
      </c>
      <c r="H1737" s="1358">
        <f t="shared" si="759"/>
        <v>300.4007081567762</v>
      </c>
      <c r="I1737" s="1525"/>
      <c r="J1737" s="1364">
        <f t="shared" si="760"/>
        <v>300.4007081567762</v>
      </c>
      <c r="K1737" s="1364">
        <f t="shared" si="760"/>
        <v>174.23632799332907</v>
      </c>
      <c r="L1737" s="1364">
        <f t="shared" si="760"/>
        <v>14.372739615127262</v>
      </c>
      <c r="M1737" s="1364">
        <f t="shared" si="760"/>
        <v>91.877703672850203</v>
      </c>
      <c r="N1737" s="1367">
        <f t="shared" si="760"/>
        <v>11.469713088091581</v>
      </c>
      <c r="O1737" s="1367">
        <f t="shared" si="760"/>
        <v>8.2312419057397097</v>
      </c>
      <c r="P1737" s="1367">
        <f t="shared" si="760"/>
        <v>0.21298188163839027</v>
      </c>
      <c r="Q1737" s="1364">
        <f t="shared" si="760"/>
        <v>0</v>
      </c>
      <c r="R1737" s="1533"/>
      <c r="S1737" s="1533"/>
      <c r="T1737" s="1533"/>
      <c r="U1737" s="1533"/>
      <c r="V1737" s="1320" t="s">
        <v>6010</v>
      </c>
      <c r="AA1737" s="1320"/>
    </row>
    <row r="1738" spans="1:27" s="1324" customFormat="1">
      <c r="A1738" s="1320" t="s">
        <v>5915</v>
      </c>
      <c r="C1738" s="1322">
        <v>106</v>
      </c>
      <c r="D1738" s="1320" t="s">
        <v>5239</v>
      </c>
      <c r="E1738" s="1320" t="s">
        <v>4067</v>
      </c>
      <c r="F1738" s="1358">
        <f t="shared" si="759"/>
        <v>348.68343396836536</v>
      </c>
      <c r="G1738" s="1358">
        <f t="shared" si="759"/>
        <v>22.590103414856834</v>
      </c>
      <c r="H1738" s="1358">
        <f t="shared" si="759"/>
        <v>326.09333055350851</v>
      </c>
      <c r="I1738" s="1525"/>
      <c r="J1738" s="1364">
        <f t="shared" si="760"/>
        <v>326.09333055350851</v>
      </c>
      <c r="K1738" s="1364">
        <f t="shared" si="760"/>
        <v>189.13838401840846</v>
      </c>
      <c r="L1738" s="1364">
        <f t="shared" si="760"/>
        <v>15.602008926787141</v>
      </c>
      <c r="M1738" s="1364">
        <f t="shared" si="760"/>
        <v>99.73580481258999</v>
      </c>
      <c r="N1738" s="1367">
        <f t="shared" si="760"/>
        <v>12.450692824056123</v>
      </c>
      <c r="O1738" s="1367">
        <f t="shared" si="760"/>
        <v>8.9352422106589628</v>
      </c>
      <c r="P1738" s="1367">
        <f t="shared" si="760"/>
        <v>0.23119776100783862</v>
      </c>
      <c r="Q1738" s="1364">
        <f t="shared" si="760"/>
        <v>0</v>
      </c>
      <c r="R1738" s="1533"/>
      <c r="S1738" s="1533"/>
      <c r="T1738" s="1533"/>
      <c r="U1738" s="1533"/>
      <c r="V1738" s="1320" t="s">
        <v>6011</v>
      </c>
      <c r="AA1738" s="1320"/>
    </row>
    <row r="1739" spans="1:27" s="1324" customFormat="1">
      <c r="A1739" s="1320" t="s">
        <v>5915</v>
      </c>
      <c r="C1739" s="1322">
        <v>107</v>
      </c>
      <c r="D1739" s="1320" t="s">
        <v>5240</v>
      </c>
      <c r="E1739" s="1320" t="s">
        <v>4067</v>
      </c>
      <c r="F1739" s="1358">
        <f t="shared" si="759"/>
        <v>1136.1837488881017</v>
      </c>
      <c r="G1739" s="1358">
        <f t="shared" si="759"/>
        <v>0</v>
      </c>
      <c r="H1739" s="1358">
        <f t="shared" si="759"/>
        <v>1136.1837488881017</v>
      </c>
      <c r="I1739" s="1525"/>
      <c r="J1739" s="1364">
        <f t="shared" si="760"/>
        <v>1136.1837488881017</v>
      </c>
      <c r="K1739" s="1364">
        <f t="shared" si="760"/>
        <v>707.17895796960852</v>
      </c>
      <c r="L1739" s="1364">
        <f t="shared" si="760"/>
        <v>50.296341137620217</v>
      </c>
      <c r="M1739" s="1364">
        <f t="shared" si="760"/>
        <v>336.76540763904814</v>
      </c>
      <c r="N1739" s="1367">
        <f t="shared" si="760"/>
        <v>35.420949848037282</v>
      </c>
      <c r="O1739" s="1367">
        <f t="shared" si="760"/>
        <v>2.4184734515529909E-5</v>
      </c>
      <c r="P1739" s="1367">
        <f t="shared" si="760"/>
        <v>6.5220681090533681</v>
      </c>
      <c r="Q1739" s="1364">
        <f t="shared" si="760"/>
        <v>0</v>
      </c>
      <c r="R1739" s="1533"/>
      <c r="S1739" s="1533"/>
      <c r="T1739" s="1533"/>
      <c r="U1739" s="1533"/>
      <c r="V1739" s="1320" t="s">
        <v>6012</v>
      </c>
      <c r="AA1739" s="1320"/>
    </row>
    <row r="1740" spans="1:27" s="1324" customFormat="1">
      <c r="A1740" s="1320" t="s">
        <v>5915</v>
      </c>
      <c r="C1740" s="1322">
        <v>108</v>
      </c>
      <c r="D1740" s="1320" t="s">
        <v>5241</v>
      </c>
      <c r="E1740" s="1320" t="s">
        <v>4067</v>
      </c>
      <c r="F1740" s="1358">
        <f t="shared" si="759"/>
        <v>499.46920952111361</v>
      </c>
      <c r="G1740" s="1358">
        <f t="shared" si="759"/>
        <v>0</v>
      </c>
      <c r="H1740" s="1358">
        <f t="shared" si="759"/>
        <v>499.46920952111361</v>
      </c>
      <c r="I1740" s="1525"/>
      <c r="J1740" s="1364">
        <f t="shared" si="760"/>
        <v>499.46920952111361</v>
      </c>
      <c r="K1740" s="1364">
        <f t="shared" si="760"/>
        <v>364.42934825842514</v>
      </c>
      <c r="L1740" s="1364">
        <f t="shared" si="760"/>
        <v>29.343795084925585</v>
      </c>
      <c r="M1740" s="1364">
        <f t="shared" si="760"/>
        <v>103.88927217114363</v>
      </c>
      <c r="N1740" s="1367">
        <f t="shared" si="760"/>
        <v>0</v>
      </c>
      <c r="O1740" s="1367">
        <f t="shared" si="760"/>
        <v>0</v>
      </c>
      <c r="P1740" s="1367">
        <f t="shared" si="760"/>
        <v>1.8067940066192076</v>
      </c>
      <c r="Q1740" s="1364">
        <f t="shared" si="760"/>
        <v>0</v>
      </c>
      <c r="R1740" s="1533"/>
      <c r="S1740" s="1533"/>
      <c r="T1740" s="1533"/>
      <c r="U1740" s="1533"/>
      <c r="V1740" s="1320" t="s">
        <v>6013</v>
      </c>
      <c r="AA1740" s="1320"/>
    </row>
    <row r="1741" spans="1:27" s="1324" customFormat="1">
      <c r="A1741" s="1320" t="s">
        <v>5915</v>
      </c>
      <c r="C1741" s="1322">
        <v>109</v>
      </c>
      <c r="D1741" s="1320" t="s">
        <v>5242</v>
      </c>
      <c r="E1741" s="1320" t="s">
        <v>4071</v>
      </c>
      <c r="F1741" s="1358">
        <f t="shared" si="759"/>
        <v>487.19159581373538</v>
      </c>
      <c r="G1741" s="1358">
        <f t="shared" si="759"/>
        <v>0</v>
      </c>
      <c r="H1741" s="1358">
        <f t="shared" si="759"/>
        <v>487.19159581373538</v>
      </c>
      <c r="I1741" s="1525"/>
      <c r="J1741" s="1364">
        <f t="shared" si="760"/>
        <v>487.19159581373538</v>
      </c>
      <c r="K1741" s="1364">
        <f t="shared" si="760"/>
        <v>179.60645636343705</v>
      </c>
      <c r="L1741" s="1364">
        <f t="shared" si="760"/>
        <v>27.243937861155231</v>
      </c>
      <c r="M1741" s="1364">
        <f t="shared" si="760"/>
        <v>13.134281820978284</v>
      </c>
      <c r="N1741" s="1367">
        <f t="shared" si="760"/>
        <v>0.84670333447057178</v>
      </c>
      <c r="O1741" s="1367">
        <f t="shared" si="760"/>
        <v>0.92378888092477507</v>
      </c>
      <c r="P1741" s="1367">
        <f t="shared" si="760"/>
        <v>0.21202057224775719</v>
      </c>
      <c r="Q1741" s="1364">
        <f t="shared" si="760"/>
        <v>265.22440698052179</v>
      </c>
      <c r="R1741" s="1533"/>
      <c r="S1741" s="1533"/>
      <c r="T1741" s="1533"/>
      <c r="U1741" s="1533"/>
      <c r="V1741" s="1320" t="s">
        <v>6014</v>
      </c>
      <c r="AA1741" s="1320"/>
    </row>
    <row r="1742" spans="1:27" s="1324" customFormat="1">
      <c r="A1742" s="1320" t="s">
        <v>5915</v>
      </c>
      <c r="C1742" s="1322">
        <v>110</v>
      </c>
      <c r="D1742" s="1320" t="s">
        <v>5244</v>
      </c>
      <c r="E1742" s="1320" t="s">
        <v>4071</v>
      </c>
      <c r="F1742" s="1350">
        <f t="shared" si="759"/>
        <v>148.84268449735839</v>
      </c>
      <c r="G1742" s="1350">
        <f t="shared" si="759"/>
        <v>0</v>
      </c>
      <c r="H1742" s="1350">
        <f t="shared" si="759"/>
        <v>148.84268449735839</v>
      </c>
      <c r="I1742" s="1525"/>
      <c r="J1742" s="1366">
        <f t="shared" si="760"/>
        <v>148.84268449735839</v>
      </c>
      <c r="K1742" s="1366">
        <f t="shared" si="760"/>
        <v>132.7508277456607</v>
      </c>
      <c r="L1742" s="1366">
        <f t="shared" si="760"/>
        <v>12.868997701309402</v>
      </c>
      <c r="M1742" s="1366">
        <f t="shared" si="760"/>
        <v>3.1695244613474687</v>
      </c>
      <c r="N1742" s="1378">
        <f t="shared" si="760"/>
        <v>1.0701438577767416E-2</v>
      </c>
      <c r="O1742" s="1378">
        <f t="shared" si="760"/>
        <v>1.8986423283135739E-3</v>
      </c>
      <c r="P1742" s="1378">
        <f t="shared" si="760"/>
        <v>4.0734508134727579E-2</v>
      </c>
      <c r="Q1742" s="1366">
        <f t="shared" si="760"/>
        <v>0</v>
      </c>
      <c r="R1742" s="1533"/>
      <c r="S1742" s="1533"/>
      <c r="T1742" s="1533"/>
      <c r="U1742" s="1533"/>
      <c r="V1742" s="1320" t="s">
        <v>6015</v>
      </c>
      <c r="AA1742" s="1320"/>
    </row>
    <row r="1743" spans="1:27" s="1324" customFormat="1">
      <c r="A1743" s="1320" t="s">
        <v>5915</v>
      </c>
      <c r="C1743" s="1322">
        <v>111</v>
      </c>
      <c r="D1743" s="1320" t="s">
        <v>5564</v>
      </c>
      <c r="E1743" s="1320"/>
      <c r="F1743" s="1350">
        <f>SUM(F1735:F1742)</f>
        <v>7319.7711799999997</v>
      </c>
      <c r="G1743" s="1350">
        <f>SUM(G1735:G1742)</f>
        <v>43.400351363317334</v>
      </c>
      <c r="H1743" s="1350">
        <f>SUM(H1735:H1742)</f>
        <v>7276.3708286366818</v>
      </c>
      <c r="I1743" s="1525"/>
      <c r="J1743" s="1366">
        <f t="shared" ref="J1743:Q1743" si="761">SUM(J1735:J1742)</f>
        <v>7276.3708286366818</v>
      </c>
      <c r="K1743" s="1366">
        <f t="shared" si="761"/>
        <v>4240.0529920337613</v>
      </c>
      <c r="L1743" s="1366">
        <f t="shared" si="761"/>
        <v>358.45304406901937</v>
      </c>
      <c r="M1743" s="1366">
        <f t="shared" si="761"/>
        <v>2013.3854612533116</v>
      </c>
      <c r="N1743" s="1378">
        <f t="shared" si="761"/>
        <v>237.96930471786212</v>
      </c>
      <c r="O1743" s="1378">
        <f>SUM(O1735:O1742)</f>
        <v>146.32226085749025</v>
      </c>
      <c r="P1743" s="1378">
        <f>SUM(P1735:P1742)</f>
        <v>14.963358724717439</v>
      </c>
      <c r="Q1743" s="1366">
        <f t="shared" si="761"/>
        <v>265.22440698052179</v>
      </c>
      <c r="R1743" s="1533"/>
      <c r="S1743" s="1533"/>
      <c r="T1743" s="1533"/>
      <c r="U1743" s="1533"/>
      <c r="V1743" s="1320" t="s">
        <v>6016</v>
      </c>
      <c r="AA1743" s="1320"/>
    </row>
    <row r="1744" spans="1:27" s="1324" customFormat="1">
      <c r="A1744" s="1320" t="s">
        <v>5915</v>
      </c>
      <c r="C1744" s="1322">
        <v>112</v>
      </c>
      <c r="R1744" s="1533"/>
      <c r="S1744" s="1533"/>
      <c r="T1744" s="1533"/>
      <c r="U1744" s="1533"/>
      <c r="AA1744" s="1320"/>
    </row>
    <row r="1745" spans="1:27" s="1324" customFormat="1">
      <c r="A1745" s="1320" t="s">
        <v>5915</v>
      </c>
      <c r="C1745" s="1322">
        <v>113</v>
      </c>
      <c r="D1745" s="1356" t="s">
        <v>6017</v>
      </c>
      <c r="E1745" s="1320"/>
      <c r="F1745" s="1320"/>
      <c r="G1745" s="1320"/>
      <c r="H1745" s="1320"/>
      <c r="I1745" s="1323"/>
      <c r="M1745" s="1325"/>
      <c r="N1745" s="1325"/>
      <c r="O1745" s="1325"/>
      <c r="R1745" s="1533"/>
      <c r="S1745" s="1533"/>
      <c r="T1745" s="1533"/>
      <c r="U1745" s="1533"/>
      <c r="AA1745" s="1320"/>
    </row>
    <row r="1746" spans="1:27" s="1324" customFormat="1">
      <c r="A1746" s="1320" t="s">
        <v>5915</v>
      </c>
      <c r="C1746" s="1322">
        <v>114</v>
      </c>
      <c r="D1746" s="1320" t="s">
        <v>5265</v>
      </c>
      <c r="E1746" s="1320" t="s">
        <v>4067</v>
      </c>
      <c r="F1746" s="1320">
        <f t="shared" ref="F1746:H1753" si="762">F1637</f>
        <v>101438.76376111731</v>
      </c>
      <c r="G1746" s="1320">
        <f t="shared" si="762"/>
        <v>0</v>
      </c>
      <c r="H1746" s="1320">
        <f t="shared" si="762"/>
        <v>101438.76376111731</v>
      </c>
      <c r="I1746" s="1525"/>
      <c r="J1746" s="1324">
        <f t="shared" ref="J1746:Q1753" si="763">J1637</f>
        <v>101438.76376111731</v>
      </c>
      <c r="K1746" s="1320">
        <f t="shared" si="763"/>
        <v>58247.625920460938</v>
      </c>
      <c r="L1746" s="1320">
        <f t="shared" si="763"/>
        <v>4843.9101818869376</v>
      </c>
      <c r="M1746" s="1320">
        <f t="shared" si="763"/>
        <v>31349.352278270751</v>
      </c>
      <c r="N1746" s="1320">
        <f t="shared" si="763"/>
        <v>4006.6593910871638</v>
      </c>
      <c r="O1746" s="1324">
        <f t="shared" si="763"/>
        <v>2883.6053342760811</v>
      </c>
      <c r="P1746" s="1324">
        <f t="shared" si="763"/>
        <v>107.61065513544528</v>
      </c>
      <c r="Q1746" s="1320">
        <f t="shared" si="763"/>
        <v>0</v>
      </c>
      <c r="R1746" s="1533"/>
      <c r="S1746" s="1533"/>
      <c r="T1746" s="1533"/>
      <c r="U1746" s="1533"/>
      <c r="V1746" s="1320" t="s">
        <v>6018</v>
      </c>
      <c r="AA1746" s="1320"/>
    </row>
    <row r="1747" spans="1:27" s="1324" customFormat="1">
      <c r="A1747" s="1320" t="s">
        <v>5915</v>
      </c>
      <c r="C1747" s="1322">
        <v>115</v>
      </c>
      <c r="D1747" s="1320" t="s">
        <v>5265</v>
      </c>
      <c r="E1747" s="1320" t="s">
        <v>2067</v>
      </c>
      <c r="F1747" s="1320">
        <f t="shared" si="762"/>
        <v>7628.7877112605429</v>
      </c>
      <c r="G1747" s="1320">
        <f t="shared" si="762"/>
        <v>0</v>
      </c>
      <c r="H1747" s="1320">
        <f t="shared" si="762"/>
        <v>7628.7877112605429</v>
      </c>
      <c r="I1747" s="1525"/>
      <c r="J1747" s="1324">
        <f t="shared" si="763"/>
        <v>7628.7877112605429</v>
      </c>
      <c r="K1747" s="1320">
        <f t="shared" si="763"/>
        <v>3849.7470708846326</v>
      </c>
      <c r="L1747" s="1320">
        <f t="shared" si="763"/>
        <v>355.76169568245729</v>
      </c>
      <c r="M1747" s="1320">
        <f t="shared" si="763"/>
        <v>2650.2864504366544</v>
      </c>
      <c r="N1747" s="1320">
        <f t="shared" si="763"/>
        <v>421.88298958441027</v>
      </c>
      <c r="O1747" s="1324">
        <f t="shared" si="763"/>
        <v>310.80620381086248</v>
      </c>
      <c r="P1747" s="1324">
        <f t="shared" si="763"/>
        <v>40.303300861525635</v>
      </c>
      <c r="Q1747" s="1320">
        <f t="shared" si="763"/>
        <v>0</v>
      </c>
      <c r="R1747" s="1533"/>
      <c r="S1747" s="1533"/>
      <c r="T1747" s="1533"/>
      <c r="U1747" s="1533"/>
      <c r="V1747" s="1320" t="s">
        <v>6019</v>
      </c>
      <c r="AA1747" s="1320"/>
    </row>
    <row r="1748" spans="1:27" s="1324" customFormat="1">
      <c r="A1748" s="1320" t="s">
        <v>5915</v>
      </c>
      <c r="C1748" s="1322">
        <v>116</v>
      </c>
      <c r="D1748" s="1320" t="s">
        <v>5268</v>
      </c>
      <c r="E1748" s="1320" t="s">
        <v>4067</v>
      </c>
      <c r="F1748" s="1320">
        <f t="shared" si="762"/>
        <v>8001.8674565720094</v>
      </c>
      <c r="G1748" s="1320">
        <f t="shared" si="762"/>
        <v>518.41583438213763</v>
      </c>
      <c r="H1748" s="1320">
        <f t="shared" si="762"/>
        <v>7483.4516221898712</v>
      </c>
      <c r="I1748" s="1525"/>
      <c r="J1748" s="1324">
        <f t="shared" si="763"/>
        <v>7483.4516221898712</v>
      </c>
      <c r="K1748" s="1320">
        <f t="shared" si="763"/>
        <v>4340.4995260051046</v>
      </c>
      <c r="L1748" s="1320">
        <f t="shared" si="763"/>
        <v>358.04743020779904</v>
      </c>
      <c r="M1748" s="1320">
        <f t="shared" si="763"/>
        <v>2288.8173427169118</v>
      </c>
      <c r="N1748" s="1320">
        <f t="shared" si="763"/>
        <v>285.72849758508528</v>
      </c>
      <c r="O1748" s="1324">
        <f t="shared" si="763"/>
        <v>205.05311378959078</v>
      </c>
      <c r="P1748" s="1324">
        <f t="shared" si="763"/>
        <v>5.3057118853796226</v>
      </c>
      <c r="Q1748" s="1320">
        <f t="shared" si="763"/>
        <v>0</v>
      </c>
      <c r="R1748" s="1533"/>
      <c r="S1748" s="1533"/>
      <c r="T1748" s="1533"/>
      <c r="U1748" s="1533"/>
      <c r="V1748" s="1320" t="s">
        <v>6020</v>
      </c>
      <c r="AA1748" s="1320"/>
    </row>
    <row r="1749" spans="1:27" s="1324" customFormat="1">
      <c r="A1749" s="1320" t="s">
        <v>5915</v>
      </c>
      <c r="C1749" s="1322">
        <v>117</v>
      </c>
      <c r="D1749" s="1320" t="s">
        <v>5239</v>
      </c>
      <c r="E1749" s="1320" t="s">
        <v>4067</v>
      </c>
      <c r="F1749" s="1320">
        <f t="shared" si="762"/>
        <v>8686.2498613002645</v>
      </c>
      <c r="G1749" s="1320">
        <f t="shared" si="762"/>
        <v>562.75481866414498</v>
      </c>
      <c r="H1749" s="1320">
        <f t="shared" si="762"/>
        <v>8123.4950426361193</v>
      </c>
      <c r="I1749" s="1525"/>
      <c r="J1749" s="1324">
        <f t="shared" si="763"/>
        <v>8123.4950426361193</v>
      </c>
      <c r="K1749" s="1320">
        <f t="shared" si="763"/>
        <v>4711.7330561093149</v>
      </c>
      <c r="L1749" s="1320">
        <f t="shared" si="763"/>
        <v>388.67045197394077</v>
      </c>
      <c r="M1749" s="1320">
        <f t="shared" si="763"/>
        <v>2484.5749362403858</v>
      </c>
      <c r="N1749" s="1320">
        <f t="shared" si="763"/>
        <v>310.16623756740245</v>
      </c>
      <c r="O1749" s="1324">
        <f t="shared" si="763"/>
        <v>222.59086280555061</v>
      </c>
      <c r="P1749" s="1324">
        <f t="shared" si="763"/>
        <v>5.7594979395249091</v>
      </c>
      <c r="Q1749" s="1320">
        <f t="shared" si="763"/>
        <v>0</v>
      </c>
      <c r="R1749" s="1533"/>
      <c r="S1749" s="1533"/>
      <c r="T1749" s="1533"/>
      <c r="U1749" s="1533"/>
      <c r="V1749" s="1320" t="s">
        <v>6021</v>
      </c>
      <c r="AA1749" s="1320"/>
    </row>
    <row r="1750" spans="1:27" s="1324" customFormat="1">
      <c r="A1750" s="1320" t="s">
        <v>5915</v>
      </c>
      <c r="C1750" s="1322">
        <v>118</v>
      </c>
      <c r="D1750" s="1320" t="s">
        <v>5240</v>
      </c>
      <c r="E1750" s="1320" t="s">
        <v>4067</v>
      </c>
      <c r="F1750" s="1320">
        <f t="shared" si="762"/>
        <v>28304.114763554495</v>
      </c>
      <c r="G1750" s="1320">
        <f t="shared" si="762"/>
        <v>0</v>
      </c>
      <c r="H1750" s="1320">
        <f t="shared" si="762"/>
        <v>28304.114763554495</v>
      </c>
      <c r="I1750" s="1525"/>
      <c r="J1750" s="1324">
        <f t="shared" si="763"/>
        <v>28304.114763554495</v>
      </c>
      <c r="K1750" s="1320">
        <f t="shared" si="763"/>
        <v>17616.934236500845</v>
      </c>
      <c r="L1750" s="1320">
        <f t="shared" si="763"/>
        <v>1252.9605472171684</v>
      </c>
      <c r="M1750" s="1320">
        <f t="shared" si="763"/>
        <v>8389.3531794825776</v>
      </c>
      <c r="N1750" s="1320">
        <f t="shared" si="763"/>
        <v>882.39127739160563</v>
      </c>
      <c r="O1750" s="1324">
        <f t="shared" si="763"/>
        <v>6.0247957420932305E-4</v>
      </c>
      <c r="P1750" s="1324">
        <f t="shared" si="763"/>
        <v>162.47492048273088</v>
      </c>
      <c r="Q1750" s="1320">
        <f t="shared" si="763"/>
        <v>0</v>
      </c>
      <c r="R1750" s="1533"/>
      <c r="S1750" s="1533"/>
      <c r="T1750" s="1533"/>
      <c r="U1750" s="1533"/>
      <c r="V1750" s="1320" t="s">
        <v>6022</v>
      </c>
      <c r="AA1750" s="1320"/>
    </row>
    <row r="1751" spans="1:27" s="1324" customFormat="1">
      <c r="A1751" s="1320" t="s">
        <v>5915</v>
      </c>
      <c r="C1751" s="1322">
        <v>119</v>
      </c>
      <c r="D1751" s="1320" t="s">
        <v>5241</v>
      </c>
      <c r="E1751" s="1320" t="s">
        <v>4067</v>
      </c>
      <c r="F1751" s="1320">
        <f t="shared" si="762"/>
        <v>12442.559437223341</v>
      </c>
      <c r="G1751" s="1320">
        <f t="shared" si="762"/>
        <v>0</v>
      </c>
      <c r="H1751" s="1320">
        <f t="shared" si="762"/>
        <v>12442.559437223341</v>
      </c>
      <c r="I1751" s="1525"/>
      <c r="J1751" s="1324">
        <f t="shared" si="763"/>
        <v>12442.559437223341</v>
      </c>
      <c r="K1751" s="1320">
        <f t="shared" si="763"/>
        <v>9078.50522101571</v>
      </c>
      <c r="L1751" s="1320">
        <f t="shared" si="763"/>
        <v>730.99984443075994</v>
      </c>
      <c r="M1751" s="1320">
        <f t="shared" si="763"/>
        <v>2588.0443063121079</v>
      </c>
      <c r="N1751" s="1320">
        <f t="shared" si="763"/>
        <v>0</v>
      </c>
      <c r="O1751" s="1324">
        <f t="shared" si="763"/>
        <v>0</v>
      </c>
      <c r="P1751" s="1324">
        <f t="shared" si="763"/>
        <v>45.010065464762285</v>
      </c>
      <c r="Q1751" s="1320">
        <f t="shared" si="763"/>
        <v>0</v>
      </c>
      <c r="R1751" s="1533"/>
      <c r="S1751" s="1533"/>
      <c r="T1751" s="1533"/>
      <c r="U1751" s="1533"/>
      <c r="V1751" s="1320" t="s">
        <v>6023</v>
      </c>
      <c r="AA1751" s="1320"/>
    </row>
    <row r="1752" spans="1:27" s="1324" customFormat="1">
      <c r="A1752" s="1320" t="s">
        <v>5915</v>
      </c>
      <c r="C1752" s="1322">
        <v>120</v>
      </c>
      <c r="D1752" s="1320" t="s">
        <v>5242</v>
      </c>
      <c r="E1752" s="1320" t="s">
        <v>4071</v>
      </c>
      <c r="F1752" s="1320">
        <f t="shared" si="762"/>
        <v>12136.7048712376</v>
      </c>
      <c r="G1752" s="1320">
        <f t="shared" si="762"/>
        <v>0</v>
      </c>
      <c r="H1752" s="1320">
        <f t="shared" si="762"/>
        <v>12136.7048712376</v>
      </c>
      <c r="I1752" s="1525"/>
      <c r="J1752" s="1324">
        <f t="shared" si="763"/>
        <v>12136.7048712376</v>
      </c>
      <c r="K1752" s="1320">
        <f t="shared" si="763"/>
        <v>4474.2778253614406</v>
      </c>
      <c r="L1752" s="1320">
        <f t="shared" si="763"/>
        <v>678.68911572438731</v>
      </c>
      <c r="M1752" s="1320">
        <f t="shared" si="763"/>
        <v>327.19550896731715</v>
      </c>
      <c r="N1752" s="1320">
        <f t="shared" si="763"/>
        <v>21.09270474339408</v>
      </c>
      <c r="O1752" s="1324">
        <f t="shared" si="763"/>
        <v>23.013026307213561</v>
      </c>
      <c r="P1752" s="1324">
        <f t="shared" si="763"/>
        <v>5.2817641644741009</v>
      </c>
      <c r="Q1752" s="1320">
        <f t="shared" si="763"/>
        <v>6607.1549259693747</v>
      </c>
      <c r="R1752" s="1533"/>
      <c r="S1752" s="1533"/>
      <c r="T1752" s="1533"/>
      <c r="U1752" s="1533"/>
      <c r="V1752" s="1320" t="s">
        <v>6024</v>
      </c>
      <c r="AA1752" s="1320"/>
    </row>
    <row r="1753" spans="1:27" s="1324" customFormat="1">
      <c r="A1753" s="1320" t="s">
        <v>5915</v>
      </c>
      <c r="C1753" s="1322">
        <v>121</v>
      </c>
      <c r="D1753" s="1320" t="s">
        <v>5244</v>
      </c>
      <c r="E1753" s="1320" t="s">
        <v>4071</v>
      </c>
      <c r="F1753" s="1350">
        <f t="shared" si="762"/>
        <v>3707.9041377343915</v>
      </c>
      <c r="G1753" s="1350">
        <f t="shared" si="762"/>
        <v>0</v>
      </c>
      <c r="H1753" s="1350">
        <f t="shared" si="762"/>
        <v>3707.9041377343915</v>
      </c>
      <c r="I1753" s="1525"/>
      <c r="J1753" s="1366">
        <f t="shared" si="763"/>
        <v>3707.9041377343915</v>
      </c>
      <c r="K1753" s="1350">
        <f t="shared" si="763"/>
        <v>3307.0308100666962</v>
      </c>
      <c r="L1753" s="1350">
        <f t="shared" si="763"/>
        <v>320.58686650485919</v>
      </c>
      <c r="M1753" s="1350">
        <f t="shared" si="763"/>
        <v>78.957813106960074</v>
      </c>
      <c r="N1753" s="1350">
        <f t="shared" si="763"/>
        <v>0.26658957755440421</v>
      </c>
      <c r="O1753" s="1366">
        <f t="shared" si="763"/>
        <v>4.7298150856426559E-2</v>
      </c>
      <c r="P1753" s="1366">
        <f t="shared" si="763"/>
        <v>1.0147603274651515</v>
      </c>
      <c r="Q1753" s="1350">
        <f t="shared" si="763"/>
        <v>0</v>
      </c>
      <c r="R1753" s="1533"/>
      <c r="S1753" s="1533"/>
      <c r="T1753" s="1533"/>
      <c r="U1753" s="1533"/>
      <c r="V1753" s="1320" t="s">
        <v>6025</v>
      </c>
      <c r="AA1753" s="1320"/>
    </row>
    <row r="1754" spans="1:27" s="1324" customFormat="1">
      <c r="A1754" s="1320" t="s">
        <v>5915</v>
      </c>
      <c r="C1754" s="1322">
        <v>122</v>
      </c>
      <c r="D1754" s="1320" t="s">
        <v>5561</v>
      </c>
      <c r="E1754" s="1320"/>
      <c r="F1754" s="1350">
        <f>SUM(F1746:F1753)</f>
        <v>182346.95199999996</v>
      </c>
      <c r="G1754" s="1350">
        <f>SUM(G1746:G1753)</f>
        <v>1081.1706530462825</v>
      </c>
      <c r="H1754" s="1350">
        <f>SUM(H1746:H1753)</f>
        <v>181265.78134695365</v>
      </c>
      <c r="I1754" s="1525"/>
      <c r="J1754" s="1366">
        <f t="shared" ref="J1754:Q1754" si="764">SUM(J1746:J1753)</f>
        <v>181265.78134695365</v>
      </c>
      <c r="K1754" s="1366">
        <f t="shared" si="764"/>
        <v>105626.35366640468</v>
      </c>
      <c r="L1754" s="1366">
        <f t="shared" si="764"/>
        <v>8929.6261336283096</v>
      </c>
      <c r="M1754" s="1366">
        <f t="shared" si="764"/>
        <v>50156.581815533653</v>
      </c>
      <c r="N1754" s="1378">
        <f t="shared" si="764"/>
        <v>5928.1876875366161</v>
      </c>
      <c r="O1754" s="1378">
        <f>SUM(O1746:O1753)</f>
        <v>3645.1164416197298</v>
      </c>
      <c r="P1754" s="1378">
        <f>SUM(P1746:P1753)</f>
        <v>372.76067626130788</v>
      </c>
      <c r="Q1754" s="1366">
        <f t="shared" si="764"/>
        <v>6607.1549259693747</v>
      </c>
      <c r="R1754" s="1533"/>
      <c r="S1754" s="1533"/>
      <c r="T1754" s="1533"/>
      <c r="U1754" s="1533"/>
      <c r="V1754" s="1320" t="s">
        <v>6026</v>
      </c>
      <c r="AA1754" s="1320"/>
    </row>
    <row r="1755" spans="1:27" s="1324" customFormat="1">
      <c r="A1755" s="1320" t="s">
        <v>5915</v>
      </c>
      <c r="C1755" s="1322">
        <v>123</v>
      </c>
      <c r="D1755" s="1320"/>
      <c r="E1755" s="1320"/>
      <c r="F1755" s="1320"/>
      <c r="G1755" s="1320"/>
      <c r="H1755" s="1320"/>
      <c r="I1755" s="1320"/>
      <c r="K1755" s="1320"/>
      <c r="L1755" s="1320"/>
      <c r="M1755" s="1320"/>
      <c r="P1755" s="1320"/>
      <c r="Q1755" s="1320"/>
      <c r="R1755" s="1533"/>
      <c r="S1755" s="1533"/>
      <c r="T1755" s="1533"/>
      <c r="U1755" s="1533"/>
      <c r="AA1755" s="1320"/>
    </row>
    <row r="1756" spans="1:27" s="1324" customFormat="1">
      <c r="A1756" s="1320" t="s">
        <v>5915</v>
      </c>
      <c r="C1756" s="1322">
        <v>124</v>
      </c>
      <c r="D1756" s="1356" t="s">
        <v>6027</v>
      </c>
      <c r="E1756" s="1320"/>
      <c r="F1756" s="1320"/>
      <c r="G1756" s="1320"/>
      <c r="H1756" s="1320"/>
      <c r="I1756" s="1323"/>
      <c r="M1756" s="1325"/>
      <c r="N1756" s="1325"/>
      <c r="O1756" s="1325"/>
      <c r="R1756" s="1533"/>
      <c r="S1756" s="1533"/>
      <c r="T1756" s="1533"/>
      <c r="U1756" s="1533"/>
      <c r="AA1756" s="1320"/>
    </row>
    <row r="1757" spans="1:27" s="1324" customFormat="1">
      <c r="A1757" s="1320" t="s">
        <v>5915</v>
      </c>
      <c r="C1757" s="1322">
        <v>125</v>
      </c>
      <c r="D1757" s="1320" t="s">
        <v>5265</v>
      </c>
      <c r="E1757" s="1320" t="s">
        <v>4067</v>
      </c>
      <c r="F1757" s="1364">
        <f t="shared" ref="F1757:H1764" si="765">F1697+F1723-F1735+F1746</f>
        <v>416381.54950565839</v>
      </c>
      <c r="G1757" s="1364">
        <f t="shared" si="765"/>
        <v>0</v>
      </c>
      <c r="H1757" s="1364">
        <f t="shared" si="765"/>
        <v>416381.54950565839</v>
      </c>
      <c r="I1757" s="1525"/>
      <c r="J1757" s="1364">
        <f t="shared" ref="J1757:Q1764" si="766">J1697+J1723-J1735+J1746</f>
        <v>416381.54950565839</v>
      </c>
      <c r="K1757" s="1364">
        <f t="shared" si="766"/>
        <v>239092.39265674129</v>
      </c>
      <c r="L1757" s="1364">
        <f t="shared" si="766"/>
        <v>19883.077754674156</v>
      </c>
      <c r="M1757" s="1364">
        <f t="shared" si="766"/>
        <v>128681.49604390774</v>
      </c>
      <c r="N1757" s="1364">
        <f t="shared" si="766"/>
        <v>16446.36610054734</v>
      </c>
      <c r="O1757" s="1364">
        <f t="shared" si="766"/>
        <v>11836.501281464667</v>
      </c>
      <c r="P1757" s="1364">
        <f t="shared" si="766"/>
        <v>441.71566832314693</v>
      </c>
      <c r="Q1757" s="1364">
        <f t="shared" si="766"/>
        <v>0</v>
      </c>
      <c r="R1757" s="1533"/>
      <c r="S1757" s="1533"/>
      <c r="T1757" s="1533"/>
      <c r="U1757" s="1533"/>
      <c r="V1757" s="1320" t="s">
        <v>6028</v>
      </c>
      <c r="AA1757" s="1320"/>
    </row>
    <row r="1758" spans="1:27" s="1324" customFormat="1">
      <c r="A1758" s="1320" t="s">
        <v>5915</v>
      </c>
      <c r="C1758" s="1322">
        <v>126</v>
      </c>
      <c r="D1758" s="1320" t="s">
        <v>5265</v>
      </c>
      <c r="E1758" s="1320" t="s">
        <v>2067</v>
      </c>
      <c r="F1758" s="1364">
        <f t="shared" si="765"/>
        <v>31869.693791254937</v>
      </c>
      <c r="G1758" s="1364">
        <f t="shared" si="765"/>
        <v>0</v>
      </c>
      <c r="H1758" s="1364">
        <f t="shared" si="765"/>
        <v>31869.693791254937</v>
      </c>
      <c r="I1758" s="1525"/>
      <c r="J1758" s="1364">
        <f t="shared" si="766"/>
        <v>31869.693791254937</v>
      </c>
      <c r="K1758" s="1364">
        <f t="shared" si="766"/>
        <v>16082.536959545449</v>
      </c>
      <c r="L1758" s="1364">
        <f t="shared" si="766"/>
        <v>1486.2146822255847</v>
      </c>
      <c r="M1758" s="1364">
        <f t="shared" si="766"/>
        <v>11071.722117769055</v>
      </c>
      <c r="N1758" s="1364">
        <f t="shared" si="766"/>
        <v>1762.4401415638183</v>
      </c>
      <c r="O1758" s="1364">
        <f t="shared" si="766"/>
        <v>1298.4105625660222</v>
      </c>
      <c r="P1758" s="1364">
        <f t="shared" si="766"/>
        <v>168.36932758499918</v>
      </c>
      <c r="Q1758" s="1364">
        <f t="shared" si="766"/>
        <v>0</v>
      </c>
      <c r="R1758" s="1533"/>
      <c r="S1758" s="1533"/>
      <c r="T1758" s="1533"/>
      <c r="U1758" s="1533"/>
      <c r="V1758" s="1320" t="s">
        <v>6029</v>
      </c>
      <c r="AA1758" s="1320"/>
    </row>
    <row r="1759" spans="1:27" s="1324" customFormat="1">
      <c r="A1759" s="1320" t="s">
        <v>5915</v>
      </c>
      <c r="C1759" s="1322">
        <v>127</v>
      </c>
      <c r="D1759" s="1320" t="s">
        <v>5268</v>
      </c>
      <c r="E1759" s="1320" t="s">
        <v>4067</v>
      </c>
      <c r="F1759" s="1364">
        <f t="shared" si="765"/>
        <v>38052.053208656558</v>
      </c>
      <c r="G1759" s="1364">
        <f t="shared" si="765"/>
        <v>2426.8405141903772</v>
      </c>
      <c r="H1759" s="1364">
        <f t="shared" si="765"/>
        <v>35625.121874852717</v>
      </c>
      <c r="I1759" s="1525"/>
      <c r="J1759" s="1364">
        <f t="shared" si="766"/>
        <v>35625.121874852717</v>
      </c>
      <c r="K1759" s="1364">
        <f t="shared" si="766"/>
        <v>20663.03524341125</v>
      </c>
      <c r="L1759" s="1364">
        <f t="shared" si="766"/>
        <v>1704.4919887379515</v>
      </c>
      <c r="M1759" s="1364">
        <f t="shared" si="766"/>
        <v>10895.960968303256</v>
      </c>
      <c r="N1759" s="1364">
        <f t="shared" si="766"/>
        <v>1360.2162562799501</v>
      </c>
      <c r="O1759" s="1364">
        <f t="shared" si="766"/>
        <v>976.15947003804558</v>
      </c>
      <c r="P1759" s="1364">
        <f t="shared" si="766"/>
        <v>25.257948082277039</v>
      </c>
      <c r="Q1759" s="1364">
        <f t="shared" si="766"/>
        <v>0</v>
      </c>
      <c r="R1759" s="1533"/>
      <c r="S1759" s="1533"/>
      <c r="T1759" s="1533"/>
      <c r="U1759" s="1533"/>
      <c r="V1759" s="1320" t="s">
        <v>6030</v>
      </c>
      <c r="AA1759" s="1320"/>
    </row>
    <row r="1760" spans="1:27" s="1324" customFormat="1">
      <c r="A1760" s="1320" t="s">
        <v>5915</v>
      </c>
      <c r="C1760" s="1322">
        <v>128</v>
      </c>
      <c r="D1760" s="1320" t="s">
        <v>5239</v>
      </c>
      <c r="E1760" s="1320" t="s">
        <v>4067</v>
      </c>
      <c r="F1760" s="1364">
        <f t="shared" si="765"/>
        <v>41996.032734450229</v>
      </c>
      <c r="G1760" s="1364">
        <f t="shared" si="765"/>
        <v>2692.2489827512964</v>
      </c>
      <c r="H1760" s="1364">
        <f t="shared" si="765"/>
        <v>39303.854886273002</v>
      </c>
      <c r="I1760" s="1525"/>
      <c r="J1760" s="1364">
        <f t="shared" si="766"/>
        <v>39303.854886273002</v>
      </c>
      <c r="K1760" s="1364">
        <f t="shared" si="766"/>
        <v>22796.748361168593</v>
      </c>
      <c r="L1760" s="1364">
        <f t="shared" si="766"/>
        <v>1880.5017991380082</v>
      </c>
      <c r="M1760" s="1364">
        <f t="shared" si="766"/>
        <v>12021.103261038499</v>
      </c>
      <c r="N1760" s="1364">
        <f t="shared" si="766"/>
        <v>1500.675353156184</v>
      </c>
      <c r="O1760" s="1364">
        <f t="shared" si="766"/>
        <v>1076.9599691761084</v>
      </c>
      <c r="P1760" s="1364">
        <f t="shared" si="766"/>
        <v>27.86614259561571</v>
      </c>
      <c r="Q1760" s="1364">
        <f t="shared" si="766"/>
        <v>0</v>
      </c>
      <c r="R1760" s="1533"/>
      <c r="S1760" s="1533"/>
      <c r="T1760" s="1533"/>
      <c r="U1760" s="1533"/>
      <c r="V1760" s="1320" t="s">
        <v>9328</v>
      </c>
      <c r="AA1760" s="1320"/>
    </row>
    <row r="1761" spans="1:27" s="1324" customFormat="1">
      <c r="A1761" s="1320" t="s">
        <v>5915</v>
      </c>
      <c r="C1761" s="1322">
        <v>129</v>
      </c>
      <c r="D1761" s="1320" t="s">
        <v>5240</v>
      </c>
      <c r="E1761" s="1320" t="s">
        <v>4067</v>
      </c>
      <c r="F1761" s="1364">
        <f t="shared" si="765"/>
        <v>136454.64479107034</v>
      </c>
      <c r="G1761" s="1364">
        <f t="shared" si="765"/>
        <v>0</v>
      </c>
      <c r="H1761" s="1364">
        <f t="shared" si="765"/>
        <v>136454.64479107034</v>
      </c>
      <c r="I1761" s="1525"/>
      <c r="J1761" s="1364">
        <f t="shared" si="766"/>
        <v>136454.64479107034</v>
      </c>
      <c r="K1761" s="1364">
        <f t="shared" si="766"/>
        <v>84931.555840239263</v>
      </c>
      <c r="L1761" s="1364">
        <f t="shared" si="766"/>
        <v>6040.5452647434358</v>
      </c>
      <c r="M1761" s="1364">
        <f t="shared" si="766"/>
        <v>40445.222106263464</v>
      </c>
      <c r="N1761" s="1364">
        <f t="shared" si="766"/>
        <v>4254.0241703036918</v>
      </c>
      <c r="O1761" s="1364">
        <f t="shared" si="766"/>
        <v>2.9045648302156698E-3</v>
      </c>
      <c r="P1761" s="1364">
        <f t="shared" si="766"/>
        <v>783.29450495572496</v>
      </c>
      <c r="Q1761" s="1364">
        <f t="shared" si="766"/>
        <v>0</v>
      </c>
      <c r="R1761" s="1533"/>
      <c r="S1761" s="1533"/>
      <c r="T1761" s="1533"/>
      <c r="U1761" s="1533"/>
      <c r="V1761" s="1320" t="s">
        <v>6032</v>
      </c>
      <c r="AA1761" s="1320"/>
    </row>
    <row r="1762" spans="1:27" s="1324" customFormat="1">
      <c r="A1762" s="1320" t="s">
        <v>5915</v>
      </c>
      <c r="C1762" s="1322">
        <v>130</v>
      </c>
      <c r="D1762" s="1320" t="s">
        <v>5241</v>
      </c>
      <c r="E1762" s="1320" t="s">
        <v>4067</v>
      </c>
      <c r="F1762" s="1364">
        <f t="shared" si="765"/>
        <v>60653.968204853525</v>
      </c>
      <c r="G1762" s="1364">
        <f t="shared" si="765"/>
        <v>0</v>
      </c>
      <c r="H1762" s="1364">
        <f t="shared" si="765"/>
        <v>60653.968204853525</v>
      </c>
      <c r="I1762" s="1525"/>
      <c r="J1762" s="1364">
        <f t="shared" si="766"/>
        <v>60653.968204853525</v>
      </c>
      <c r="K1762" s="1364">
        <f t="shared" si="766"/>
        <v>44255.152631681143</v>
      </c>
      <c r="L1762" s="1364">
        <f t="shared" si="766"/>
        <v>3563.4180849652098</v>
      </c>
      <c r="M1762" s="1364">
        <f t="shared" si="766"/>
        <v>12615.986112808729</v>
      </c>
      <c r="N1762" s="1364">
        <f t="shared" si="766"/>
        <v>0</v>
      </c>
      <c r="O1762" s="1364">
        <f t="shared" si="766"/>
        <v>0</v>
      </c>
      <c r="P1762" s="1364">
        <f t="shared" si="766"/>
        <v>219.41137539844453</v>
      </c>
      <c r="Q1762" s="1364">
        <f t="shared" si="766"/>
        <v>0</v>
      </c>
      <c r="R1762" s="1533"/>
      <c r="S1762" s="1533"/>
      <c r="T1762" s="1533"/>
      <c r="U1762" s="1533"/>
      <c r="V1762" s="1320" t="s">
        <v>6033</v>
      </c>
      <c r="AA1762" s="1320"/>
    </row>
    <row r="1763" spans="1:27" s="1324" customFormat="1">
      <c r="A1763" s="1320" t="s">
        <v>5915</v>
      </c>
      <c r="C1763" s="1322">
        <v>131</v>
      </c>
      <c r="D1763" s="1320" t="s">
        <v>5242</v>
      </c>
      <c r="E1763" s="1320" t="s">
        <v>4071</v>
      </c>
      <c r="F1763" s="1364">
        <f t="shared" si="765"/>
        <v>51284.269872746292</v>
      </c>
      <c r="G1763" s="1364">
        <f t="shared" si="765"/>
        <v>0</v>
      </c>
      <c r="H1763" s="1364">
        <f t="shared" si="765"/>
        <v>51284.269872746292</v>
      </c>
      <c r="I1763" s="1525"/>
      <c r="J1763" s="1364">
        <f t="shared" si="766"/>
        <v>51284.269872746292</v>
      </c>
      <c r="K1763" s="1364">
        <f t="shared" si="766"/>
        <v>16128.703508893665</v>
      </c>
      <c r="L1763" s="1364">
        <f t="shared" si="766"/>
        <v>2952.4674438081129</v>
      </c>
      <c r="M1763" s="1364">
        <f t="shared" si="766"/>
        <v>1636.0509257729066</v>
      </c>
      <c r="N1763" s="1364">
        <f t="shared" si="766"/>
        <v>119.58276774850761</v>
      </c>
      <c r="O1763" s="1364">
        <f t="shared" si="766"/>
        <v>130.46981947384856</v>
      </c>
      <c r="P1763" s="1364">
        <f t="shared" si="766"/>
        <v>27.325988790632987</v>
      </c>
      <c r="Q1763" s="1364">
        <f t="shared" si="766"/>
        <v>30289.669418258614</v>
      </c>
      <c r="R1763" s="1533"/>
      <c r="S1763" s="1533"/>
      <c r="T1763" s="1533"/>
      <c r="U1763" s="1533"/>
      <c r="V1763" s="1320" t="s">
        <v>6034</v>
      </c>
      <c r="AA1763" s="1320"/>
    </row>
    <row r="1764" spans="1:27" s="1324" customFormat="1">
      <c r="A1764" s="1320" t="s">
        <v>5915</v>
      </c>
      <c r="C1764" s="1322">
        <v>132</v>
      </c>
      <c r="D1764" s="1320" t="s">
        <v>5244</v>
      </c>
      <c r="E1764" s="1320" t="s">
        <v>4071</v>
      </c>
      <c r="F1764" s="1366">
        <f t="shared" si="765"/>
        <v>17450.847997976474</v>
      </c>
      <c r="G1764" s="1366">
        <f t="shared" si="765"/>
        <v>0</v>
      </c>
      <c r="H1764" s="1366">
        <f t="shared" si="765"/>
        <v>17450.847997976474</v>
      </c>
      <c r="I1764" s="1525"/>
      <c r="J1764" s="1366">
        <f t="shared" si="766"/>
        <v>17450.847997976474</v>
      </c>
      <c r="K1764" s="1366">
        <f t="shared" si="766"/>
        <v>15564.181232139741</v>
      </c>
      <c r="L1764" s="1366">
        <f t="shared" si="766"/>
        <v>1508.8072586855603</v>
      </c>
      <c r="M1764" s="1366">
        <f t="shared" si="766"/>
        <v>371.60636942035654</v>
      </c>
      <c r="N1764" s="1366">
        <f t="shared" si="766"/>
        <v>1.2546748844993787</v>
      </c>
      <c r="O1764" s="1366">
        <f t="shared" si="766"/>
        <v>0.22260360854021244</v>
      </c>
      <c r="P1764" s="1366">
        <f t="shared" si="766"/>
        <v>4.7758592377718312</v>
      </c>
      <c r="Q1764" s="1366">
        <f t="shared" si="766"/>
        <v>0</v>
      </c>
      <c r="R1764" s="1533"/>
      <c r="S1764" s="1533"/>
      <c r="T1764" s="1533"/>
      <c r="U1764" s="1533"/>
      <c r="V1764" s="1320" t="s">
        <v>6035</v>
      </c>
      <c r="AA1764" s="1320"/>
    </row>
    <row r="1765" spans="1:27" s="1324" customFormat="1">
      <c r="A1765" s="1320" t="s">
        <v>5915</v>
      </c>
      <c r="C1765" s="1322">
        <v>133</v>
      </c>
      <c r="D1765" s="1320" t="s">
        <v>6036</v>
      </c>
      <c r="E1765" s="1320"/>
      <c r="F1765" s="1350">
        <f>SUM(F1757:F1764)</f>
        <v>794143.06010666676</v>
      </c>
      <c r="G1765" s="1350">
        <f>SUM(G1757:G1764)</f>
        <v>5119.0894969416731</v>
      </c>
      <c r="H1765" s="1350">
        <f>SUM(H1757:H1764)</f>
        <v>789023.95092468557</v>
      </c>
      <c r="I1765" s="1525"/>
      <c r="J1765" s="1366">
        <f t="shared" ref="J1765:Q1765" si="767">SUM(J1757:J1764)</f>
        <v>789023.95092468557</v>
      </c>
      <c r="K1765" s="1366">
        <f t="shared" si="767"/>
        <v>459514.3064338204</v>
      </c>
      <c r="L1765" s="1366">
        <f t="shared" si="767"/>
        <v>39019.524276978023</v>
      </c>
      <c r="M1765" s="1366">
        <f t="shared" si="767"/>
        <v>217739.14790528401</v>
      </c>
      <c r="N1765" s="1378">
        <f t="shared" si="767"/>
        <v>25444.559464483988</v>
      </c>
      <c r="O1765" s="1378">
        <f>SUM(O1757:O1764)</f>
        <v>15318.726610892059</v>
      </c>
      <c r="P1765" s="1378">
        <f>SUM(P1757:P1764)</f>
        <v>1698.0168149686131</v>
      </c>
      <c r="Q1765" s="1366">
        <f t="shared" si="767"/>
        <v>30289.669418258614</v>
      </c>
      <c r="R1765" s="1533"/>
      <c r="S1765" s="1533"/>
      <c r="T1765" s="1533"/>
      <c r="U1765" s="1533"/>
      <c r="V1765" s="1320" t="s">
        <v>6037</v>
      </c>
      <c r="AA1765" s="1320"/>
    </row>
    <row r="1766" spans="1:27" s="1324" customFormat="1">
      <c r="A1766" s="1358"/>
      <c r="C1766" s="1322"/>
      <c r="R1766" s="1533"/>
      <c r="S1766" s="1533"/>
      <c r="T1766" s="1533"/>
      <c r="U1766" s="1533"/>
      <c r="AA1766" s="1320"/>
    </row>
    <row r="1767" spans="1:27" s="1324" customFormat="1">
      <c r="A1767" s="1358"/>
      <c r="C1767" s="1322"/>
      <c r="R1767" s="1533"/>
      <c r="S1767" s="1533"/>
      <c r="T1767" s="1533"/>
      <c r="U1767" s="1533"/>
      <c r="AA1767" s="1320"/>
    </row>
    <row r="1768" spans="1:27">
      <c r="G1768" s="1320"/>
      <c r="Y1768" s="1324"/>
    </row>
    <row r="1769" spans="1:27">
      <c r="G1769" s="1320"/>
      <c r="Y1769" s="1324"/>
    </row>
    <row r="1770" spans="1:27">
      <c r="G1770" s="1320"/>
    </row>
    <row r="1771" spans="1:27">
      <c r="B1771" s="1331"/>
      <c r="C1771" s="1340" t="str">
        <f>+C$2</f>
        <v>RATES WITH REVENUE DEFICIENCY ADDITION</v>
      </c>
      <c r="F1771" s="1333"/>
      <c r="G1771" s="1327" t="s">
        <v>2173</v>
      </c>
      <c r="I1771" s="1334" t="s">
        <v>5981</v>
      </c>
      <c r="L1771" s="1329" t="s">
        <v>2173</v>
      </c>
      <c r="M1771" s="1330"/>
      <c r="N1771" s="1330"/>
      <c r="O1771" s="1330"/>
      <c r="S1771" s="1334" t="s">
        <v>6038</v>
      </c>
      <c r="T1771" s="1333" t="s">
        <v>2173</v>
      </c>
      <c r="U1771" s="1334"/>
      <c r="V1771" s="1332" t="s">
        <v>4772</v>
      </c>
    </row>
    <row r="1772" spans="1:27">
      <c r="B1772" s="1331"/>
      <c r="C1772" s="1340" t="str">
        <f>+C$3</f>
        <v>PROD. CAP. ALLOC. METHOD: 12 CP &amp; 1/13th AD</v>
      </c>
      <c r="G1772" s="1336" t="s">
        <v>4768</v>
      </c>
      <c r="I1772" s="1335" t="s">
        <v>3047</v>
      </c>
      <c r="L1772" s="1336" t="s">
        <v>5141</v>
      </c>
      <c r="M1772" s="1337"/>
      <c r="N1772" s="1337"/>
      <c r="O1772" s="1337"/>
      <c r="R1772" s="1331"/>
      <c r="S1772" s="1335" t="s">
        <v>6039</v>
      </c>
      <c r="T1772" s="1333" t="s">
        <v>5141</v>
      </c>
      <c r="V1772" s="1332" t="s">
        <v>6038</v>
      </c>
    </row>
    <row r="1773" spans="1:27">
      <c r="C1773" s="1340" t="str">
        <f>+C$4</f>
        <v>PROJECTED CALENDAR YEAR 2025; FULLY ADJUSTED DATA</v>
      </c>
      <c r="F1773" s="1333"/>
      <c r="G1773" s="1336" t="s">
        <v>2181</v>
      </c>
      <c r="L1773" s="1336" t="s">
        <v>2181</v>
      </c>
      <c r="P1773" s="1364"/>
      <c r="Q1773" s="1364"/>
      <c r="R1773" s="1358"/>
      <c r="T1773" s="1339"/>
    </row>
    <row r="1774" spans="1:27">
      <c r="C1774" s="1340" t="str">
        <f>+C$5</f>
        <v>MINIMUM DISTRIBUTION SYSTEM (MDS) NOT EMPLOYED</v>
      </c>
      <c r="G1774" s="1320"/>
      <c r="J1774" s="1364"/>
      <c r="K1774" s="1364"/>
      <c r="L1774" s="1336"/>
      <c r="M1774" s="1337"/>
      <c r="N1774" s="1337"/>
      <c r="O1774" s="1337"/>
      <c r="P1774" s="1364"/>
      <c r="Q1774" s="1364"/>
      <c r="R1774" s="1358"/>
      <c r="T1774" s="1333"/>
    </row>
    <row r="1775" spans="1:27">
      <c r="C1775" s="1340" t="str">
        <f>+C$6</f>
        <v>Tampa Electric 2025 OB Budget</v>
      </c>
      <c r="F1775" s="1327"/>
      <c r="G1775" s="1333" t="s">
        <v>5912</v>
      </c>
      <c r="J1775" s="1364"/>
      <c r="K1775" s="1364"/>
      <c r="L1775" s="1336" t="s">
        <v>5912</v>
      </c>
      <c r="M1775" s="1337"/>
      <c r="N1775" s="1337"/>
      <c r="O1775" s="1337"/>
      <c r="P1775" s="1364"/>
      <c r="Q1775" s="1364"/>
      <c r="R1775" s="1358"/>
      <c r="T1775" s="1333" t="s">
        <v>5912</v>
      </c>
    </row>
    <row r="1776" spans="1:27">
      <c r="F1776" s="1333"/>
      <c r="G1776" s="1320"/>
      <c r="J1776" s="1364"/>
      <c r="K1776" s="1364"/>
      <c r="L1776" s="1336"/>
      <c r="M1776" s="1337"/>
      <c r="N1776" s="1337"/>
      <c r="O1776" s="1337"/>
      <c r="P1776" s="1364"/>
      <c r="Q1776" s="1364"/>
      <c r="R1776" s="1358"/>
    </row>
    <row r="1777" spans="1:25">
      <c r="F1777" s="1333"/>
      <c r="G1777" s="1320"/>
      <c r="J1777" s="1364"/>
      <c r="K1777" s="1364"/>
      <c r="L1777" s="1336"/>
      <c r="M1777" s="1337"/>
      <c r="N1777" s="1337"/>
      <c r="O1777" s="1337"/>
      <c r="P1777" s="1364"/>
      <c r="Q1777" s="1364"/>
      <c r="R1777" s="1358"/>
    </row>
    <row r="1778" spans="1:25">
      <c r="G1778" s="1320"/>
    </row>
    <row r="1779" spans="1:25">
      <c r="G1779" s="1320"/>
    </row>
    <row r="1780" spans="1:25" ht="27.6">
      <c r="A1780" s="1418" t="s">
        <v>4683</v>
      </c>
      <c r="C1780" s="1349" t="s">
        <v>4297</v>
      </c>
      <c r="D1780" s="1418"/>
      <c r="E1780" s="1418"/>
      <c r="F1780" s="1348" t="s">
        <v>5144</v>
      </c>
      <c r="G1780" s="1348" t="s">
        <v>4956</v>
      </c>
      <c r="H1780" s="1348" t="s">
        <v>4957</v>
      </c>
      <c r="I1780" s="1426" t="s">
        <v>5145</v>
      </c>
      <c r="J1780" s="1352" t="s">
        <v>4957</v>
      </c>
      <c r="K1780" s="1353" t="s">
        <v>1949</v>
      </c>
      <c r="L1780" s="1353" t="s">
        <v>1950</v>
      </c>
      <c r="M1780" s="1354" t="s">
        <v>1934</v>
      </c>
      <c r="N1780" s="1354" t="s">
        <v>1971</v>
      </c>
      <c r="O1780" s="1354" t="s">
        <v>1972</v>
      </c>
      <c r="P1780" s="1352" t="s">
        <v>5146</v>
      </c>
      <c r="Q1780" s="1352" t="s">
        <v>5147</v>
      </c>
      <c r="R1780" s="1350"/>
      <c r="S1780" s="1350"/>
      <c r="T1780" s="1350"/>
      <c r="U1780" s="1366"/>
      <c r="V1780" s="1355" t="s">
        <v>4774</v>
      </c>
    </row>
    <row r="1781" spans="1:25">
      <c r="C1781" s="1397"/>
      <c r="D1781" s="1435"/>
      <c r="E1781" s="1435"/>
      <c r="F1781" s="1396"/>
      <c r="G1781" s="1396"/>
      <c r="H1781" s="1396"/>
      <c r="I1781" s="1442"/>
      <c r="J1781" s="1399"/>
      <c r="K1781" s="1360"/>
      <c r="L1781" s="1360"/>
      <c r="M1781" s="1361"/>
      <c r="N1781" s="1361"/>
      <c r="O1781" s="1361"/>
      <c r="P1781" s="1399"/>
      <c r="Q1781" s="1399"/>
    </row>
    <row r="1782" spans="1:25">
      <c r="A1782" s="1320" t="s">
        <v>5915</v>
      </c>
      <c r="C1782" s="1322">
        <v>134</v>
      </c>
      <c r="D1782" s="1356" t="s">
        <v>6040</v>
      </c>
      <c r="G1782" s="1320"/>
    </row>
    <row r="1783" spans="1:25">
      <c r="A1783" s="1320" t="s">
        <v>5915</v>
      </c>
      <c r="C1783" s="1322">
        <v>135</v>
      </c>
      <c r="D1783" s="1320" t="s">
        <v>5265</v>
      </c>
      <c r="E1783" s="1320" t="s">
        <v>4067</v>
      </c>
      <c r="F1783" s="1320">
        <f t="shared" ref="F1783:H1790" si="768">+F598</f>
        <v>51196.763326436805</v>
      </c>
      <c r="G1783" s="1320">
        <f t="shared" si="768"/>
        <v>0</v>
      </c>
      <c r="H1783" s="1320">
        <f t="shared" si="768"/>
        <v>51196.763326436805</v>
      </c>
      <c r="I1783" s="1525"/>
      <c r="J1783" s="1324">
        <f t="shared" ref="J1783:Q1790" si="769">+J598</f>
        <v>51196.763326436805</v>
      </c>
      <c r="K1783" s="1324">
        <f t="shared" si="769"/>
        <v>29397.932388049616</v>
      </c>
      <c r="L1783" s="1324">
        <f t="shared" si="769"/>
        <v>2444.7510395591153</v>
      </c>
      <c r="M1783" s="1324">
        <f t="shared" si="769"/>
        <v>15822.20947415499</v>
      </c>
      <c r="N1783" s="1325">
        <f t="shared" si="769"/>
        <v>2022.185454252972</v>
      </c>
      <c r="O1783" s="1325">
        <f t="shared" si="769"/>
        <v>1455.3732158393284</v>
      </c>
      <c r="P1783" s="1325">
        <f t="shared" si="769"/>
        <v>54.311754580786712</v>
      </c>
      <c r="Q1783" s="1324">
        <f t="shared" si="769"/>
        <v>0</v>
      </c>
      <c r="V1783" s="1320" t="s">
        <v>5536</v>
      </c>
    </row>
    <row r="1784" spans="1:25">
      <c r="A1784" s="1320" t="s">
        <v>5915</v>
      </c>
      <c r="C1784" s="1322">
        <v>136</v>
      </c>
      <c r="D1784" s="1320" t="s">
        <v>5265</v>
      </c>
      <c r="E1784" s="1320" t="s">
        <v>2067</v>
      </c>
      <c r="F1784" s="1320">
        <f t="shared" si="768"/>
        <v>5739.4427931324281</v>
      </c>
      <c r="G1784" s="1320">
        <f t="shared" si="768"/>
        <v>0</v>
      </c>
      <c r="H1784" s="1320">
        <f t="shared" si="768"/>
        <v>5739.4427931324281</v>
      </c>
      <c r="I1784" s="1525"/>
      <c r="J1784" s="1324">
        <f t="shared" si="769"/>
        <v>5739.4427931324281</v>
      </c>
      <c r="K1784" s="1324">
        <f t="shared" si="769"/>
        <v>2896.3190375264148</v>
      </c>
      <c r="L1784" s="1324">
        <f t="shared" si="769"/>
        <v>267.65378427601598</v>
      </c>
      <c r="M1784" s="1324">
        <f t="shared" si="769"/>
        <v>1993.91673269956</v>
      </c>
      <c r="N1784" s="1325">
        <f t="shared" si="769"/>
        <v>317.39948413314949</v>
      </c>
      <c r="O1784" s="1325">
        <f t="shared" si="769"/>
        <v>233.83196571193457</v>
      </c>
      <c r="P1784" s="1325">
        <f t="shared" si="769"/>
        <v>30.321788785352023</v>
      </c>
      <c r="Q1784" s="1324">
        <f t="shared" si="769"/>
        <v>0</v>
      </c>
      <c r="V1784" s="1320" t="s">
        <v>5537</v>
      </c>
      <c r="Y1784" s="1324"/>
    </row>
    <row r="1785" spans="1:25">
      <c r="A1785" s="1320" t="s">
        <v>5915</v>
      </c>
      <c r="C1785" s="1322">
        <v>137</v>
      </c>
      <c r="D1785" s="1320" t="s">
        <v>5268</v>
      </c>
      <c r="E1785" s="1320" t="s">
        <v>4067</v>
      </c>
      <c r="F1785" s="1320">
        <f t="shared" si="768"/>
        <v>3842.091768610097</v>
      </c>
      <c r="G1785" s="1320">
        <f t="shared" si="768"/>
        <v>262.12206125588023</v>
      </c>
      <c r="H1785" s="1320">
        <f t="shared" si="768"/>
        <v>3579.9638856632278</v>
      </c>
      <c r="I1785" s="1525"/>
      <c r="J1785" s="1324">
        <f t="shared" si="769"/>
        <v>3579.9638856632278</v>
      </c>
      <c r="K1785" s="1324">
        <f t="shared" si="769"/>
        <v>2076.4257368566418</v>
      </c>
      <c r="L1785" s="1324">
        <f t="shared" si="769"/>
        <v>171.28417930807112</v>
      </c>
      <c r="M1785" s="1324">
        <f t="shared" si="769"/>
        <v>1094.9337072628068</v>
      </c>
      <c r="N1785" s="1325">
        <f t="shared" si="769"/>
        <v>136.6879555185912</v>
      </c>
      <c r="O1785" s="1325">
        <f t="shared" si="769"/>
        <v>98.094138783877625</v>
      </c>
      <c r="P1785" s="1325">
        <f t="shared" si="769"/>
        <v>2.538167933239734</v>
      </c>
      <c r="Q1785" s="1324">
        <f t="shared" si="769"/>
        <v>0</v>
      </c>
      <c r="V1785" s="1320" t="s">
        <v>5538</v>
      </c>
      <c r="Y1785" s="1324"/>
    </row>
    <row r="1786" spans="1:25">
      <c r="A1786" s="1320" t="s">
        <v>5915</v>
      </c>
      <c r="C1786" s="1322">
        <v>138</v>
      </c>
      <c r="D1786" s="1320" t="s">
        <v>5239</v>
      </c>
      <c r="E1786" s="1320" t="s">
        <v>4067</v>
      </c>
      <c r="F1786" s="1320">
        <f t="shared" si="768"/>
        <v>4417.4526336091139</v>
      </c>
      <c r="G1786" s="1320">
        <f t="shared" si="768"/>
        <v>299.83364528135036</v>
      </c>
      <c r="H1786" s="1320">
        <f t="shared" si="768"/>
        <v>4117.6248100187522</v>
      </c>
      <c r="I1786" s="1525"/>
      <c r="J1786" s="1324">
        <f t="shared" si="769"/>
        <v>4117.6248100187522</v>
      </c>
      <c r="K1786" s="1324">
        <f t="shared" si="769"/>
        <v>2388.2760841478166</v>
      </c>
      <c r="L1786" s="1324">
        <f t="shared" si="769"/>
        <v>197.00868746388275</v>
      </c>
      <c r="M1786" s="1324">
        <f t="shared" si="769"/>
        <v>1259.3775642281062</v>
      </c>
      <c r="N1786" s="1325">
        <f t="shared" si="769"/>
        <v>157.21659068351752</v>
      </c>
      <c r="O1786" s="1325">
        <f t="shared" si="769"/>
        <v>112.82651794100083</v>
      </c>
      <c r="P1786" s="1325">
        <f t="shared" si="769"/>
        <v>2.9193655544281407</v>
      </c>
      <c r="Q1786" s="1324">
        <f t="shared" si="769"/>
        <v>0</v>
      </c>
      <c r="V1786" s="1320" t="s">
        <v>5539</v>
      </c>
    </row>
    <row r="1787" spans="1:25">
      <c r="A1787" s="1320" t="s">
        <v>5915</v>
      </c>
      <c r="C1787" s="1322">
        <v>139</v>
      </c>
      <c r="D1787" s="1320" t="s">
        <v>5240</v>
      </c>
      <c r="E1787" s="1320" t="s">
        <v>4067</v>
      </c>
      <c r="F1787" s="1320">
        <f t="shared" si="768"/>
        <v>16853.009913513808</v>
      </c>
      <c r="G1787" s="1320">
        <f t="shared" si="768"/>
        <v>0</v>
      </c>
      <c r="H1787" s="1320">
        <f t="shared" si="768"/>
        <v>16853.009913513808</v>
      </c>
      <c r="I1787" s="1525"/>
      <c r="J1787" s="1324">
        <f t="shared" si="769"/>
        <v>16853.009913513808</v>
      </c>
      <c r="K1787" s="1324">
        <f t="shared" si="769"/>
        <v>10489.583221863124</v>
      </c>
      <c r="L1787" s="1324">
        <f t="shared" si="769"/>
        <v>746.04546723653868</v>
      </c>
      <c r="M1787" s="1324">
        <f t="shared" si="769"/>
        <v>4995.2402144667149</v>
      </c>
      <c r="N1787" s="1325">
        <f t="shared" si="769"/>
        <v>525.39883581263837</v>
      </c>
      <c r="O1787" s="1325">
        <f t="shared" si="769"/>
        <v>3.5873208972122574E-4</v>
      </c>
      <c r="P1787" s="1325">
        <f t="shared" si="769"/>
        <v>96.741815402707303</v>
      </c>
      <c r="Q1787" s="1324">
        <f t="shared" si="769"/>
        <v>0</v>
      </c>
      <c r="V1787" s="1320" t="s">
        <v>5540</v>
      </c>
    </row>
    <row r="1788" spans="1:25">
      <c r="A1788" s="1320" t="s">
        <v>5915</v>
      </c>
      <c r="C1788" s="1322">
        <v>140</v>
      </c>
      <c r="D1788" s="1320" t="s">
        <v>5241</v>
      </c>
      <c r="E1788" s="1320" t="s">
        <v>4067</v>
      </c>
      <c r="F1788" s="1320">
        <f t="shared" si="768"/>
        <v>7339.7985679760041</v>
      </c>
      <c r="G1788" s="1320">
        <f t="shared" si="768"/>
        <v>0</v>
      </c>
      <c r="H1788" s="1320">
        <f t="shared" si="768"/>
        <v>7339.7985679760041</v>
      </c>
      <c r="I1788" s="1525"/>
      <c r="J1788" s="1324">
        <f t="shared" si="769"/>
        <v>7339.7985679760041</v>
      </c>
      <c r="K1788" s="1324">
        <f t="shared" si="769"/>
        <v>5355.361166387469</v>
      </c>
      <c r="L1788" s="1324">
        <f t="shared" si="769"/>
        <v>431.2128576450591</v>
      </c>
      <c r="M1788" s="1324">
        <f t="shared" si="769"/>
        <v>1526.6733495763085</v>
      </c>
      <c r="N1788" s="1325">
        <f t="shared" si="769"/>
        <v>0</v>
      </c>
      <c r="O1788" s="1325">
        <f t="shared" si="769"/>
        <v>0</v>
      </c>
      <c r="P1788" s="1325">
        <f t="shared" si="769"/>
        <v>26.55119436716889</v>
      </c>
      <c r="Q1788" s="1324">
        <f t="shared" si="769"/>
        <v>0</v>
      </c>
      <c r="V1788" s="1320" t="s">
        <v>5541</v>
      </c>
    </row>
    <row r="1789" spans="1:25">
      <c r="A1789" s="1320" t="s">
        <v>5915</v>
      </c>
      <c r="C1789" s="1322">
        <v>141</v>
      </c>
      <c r="D1789" s="1320" t="s">
        <v>5242</v>
      </c>
      <c r="E1789" s="1320" t="s">
        <v>4071</v>
      </c>
      <c r="F1789" s="1320">
        <f t="shared" si="768"/>
        <v>8437.1296707808851</v>
      </c>
      <c r="G1789" s="1320">
        <f t="shared" si="768"/>
        <v>0</v>
      </c>
      <c r="H1789" s="1320">
        <f t="shared" si="768"/>
        <v>8437.1296707808851</v>
      </c>
      <c r="I1789" s="1525"/>
      <c r="J1789" s="1324">
        <f t="shared" si="769"/>
        <v>8437.1296707808851</v>
      </c>
      <c r="K1789" s="1324">
        <f t="shared" si="769"/>
        <v>3110.4045617140023</v>
      </c>
      <c r="L1789" s="1324">
        <f t="shared" si="769"/>
        <v>471.80747462061015</v>
      </c>
      <c r="M1789" s="1324">
        <f t="shared" si="769"/>
        <v>227.45802638709978</v>
      </c>
      <c r="N1789" s="1325">
        <f t="shared" si="769"/>
        <v>14.663113828305843</v>
      </c>
      <c r="O1789" s="1325">
        <f t="shared" si="769"/>
        <v>15.99807271668899</v>
      </c>
      <c r="P1789" s="1325">
        <f t="shared" si="769"/>
        <v>3.6717486021893762</v>
      </c>
      <c r="Q1789" s="1324">
        <f t="shared" si="769"/>
        <v>4593.1266729119889</v>
      </c>
      <c r="V1789" s="1320" t="s">
        <v>5542</v>
      </c>
    </row>
    <row r="1790" spans="1:25">
      <c r="A1790" s="1320" t="s">
        <v>5915</v>
      </c>
      <c r="C1790" s="1322">
        <v>142</v>
      </c>
      <c r="D1790" s="1320" t="s">
        <v>5244</v>
      </c>
      <c r="E1790" s="1320" t="s">
        <v>4071</v>
      </c>
      <c r="F1790" s="1350">
        <f t="shared" si="768"/>
        <v>4328.749069178054</v>
      </c>
      <c r="G1790" s="1350">
        <f t="shared" si="768"/>
        <v>0</v>
      </c>
      <c r="H1790" s="1350">
        <f t="shared" si="768"/>
        <v>4328.749069178054</v>
      </c>
      <c r="I1790" s="1525"/>
      <c r="J1790" s="1366">
        <f t="shared" si="769"/>
        <v>4328.749069178054</v>
      </c>
      <c r="K1790" s="1366">
        <f t="shared" si="769"/>
        <v>3860.7542183025025</v>
      </c>
      <c r="L1790" s="1366">
        <f t="shared" si="769"/>
        <v>374.26536620808031</v>
      </c>
      <c r="M1790" s="1366">
        <f t="shared" si="769"/>
        <v>92.178370123648421</v>
      </c>
      <c r="N1790" s="1378">
        <f t="shared" si="769"/>
        <v>0.31122686639798519</v>
      </c>
      <c r="O1790" s="1378">
        <f t="shared" si="769"/>
        <v>5.5217669844803821E-2</v>
      </c>
      <c r="P1790" s="1378">
        <f t="shared" si="769"/>
        <v>1.1846700075794274</v>
      </c>
      <c r="Q1790" s="1366">
        <f t="shared" si="769"/>
        <v>0</v>
      </c>
      <c r="R1790" s="1358"/>
      <c r="V1790" s="1320" t="s">
        <v>5543</v>
      </c>
    </row>
    <row r="1791" spans="1:25">
      <c r="A1791" s="1320" t="s">
        <v>5915</v>
      </c>
      <c r="C1791" s="1322">
        <v>143</v>
      </c>
      <c r="D1791" s="1320" t="s">
        <v>5491</v>
      </c>
      <c r="F1791" s="1350">
        <f>SUM(F1783:F1790)</f>
        <v>102154.43774323718</v>
      </c>
      <c r="G1791" s="1350">
        <f>SUM(G1783:G1790)</f>
        <v>561.95570653723053</v>
      </c>
      <c r="H1791" s="1350">
        <f>SUM(H1783:H1790)</f>
        <v>101592.48203669996</v>
      </c>
      <c r="I1791" s="1525"/>
      <c r="J1791" s="1366">
        <f t="shared" ref="J1791:Q1791" si="770">SUM(J1783:J1790)</f>
        <v>101592.48203669996</v>
      </c>
      <c r="K1791" s="1366">
        <f t="shared" si="770"/>
        <v>59575.056414847582</v>
      </c>
      <c r="L1791" s="1366">
        <f t="shared" si="770"/>
        <v>5104.0288563173726</v>
      </c>
      <c r="M1791" s="1366">
        <f t="shared" si="770"/>
        <v>27011.987438899236</v>
      </c>
      <c r="N1791" s="1378">
        <f t="shared" si="770"/>
        <v>3173.8626610955725</v>
      </c>
      <c r="O1791" s="1378">
        <f>SUM(O1783:O1790)</f>
        <v>1916.1794873947651</v>
      </c>
      <c r="P1791" s="1378">
        <f>SUM(P1783:P1790)</f>
        <v>218.24050523345159</v>
      </c>
      <c r="Q1791" s="1366">
        <f t="shared" si="770"/>
        <v>4593.1266729119889</v>
      </c>
      <c r="R1791" s="1358"/>
      <c r="V1791" s="1320" t="s">
        <v>6041</v>
      </c>
      <c r="Y1791" s="1324"/>
    </row>
    <row r="1792" spans="1:25">
      <c r="A1792" s="1320" t="s">
        <v>5915</v>
      </c>
      <c r="C1792" s="1322">
        <v>144</v>
      </c>
      <c r="G1792" s="1320"/>
      <c r="I1792" s="1525"/>
      <c r="Y1792" s="1324"/>
    </row>
    <row r="1793" spans="1:25">
      <c r="A1793" s="1320" t="s">
        <v>5915</v>
      </c>
      <c r="C1793" s="1322">
        <v>145</v>
      </c>
      <c r="D1793" s="1356" t="s">
        <v>6042</v>
      </c>
      <c r="G1793" s="1320"/>
      <c r="I1793" s="1525"/>
      <c r="Y1793" s="1324"/>
    </row>
    <row r="1794" spans="1:25">
      <c r="A1794" s="1320" t="s">
        <v>5915</v>
      </c>
      <c r="C1794" s="1322">
        <v>146</v>
      </c>
      <c r="D1794" s="1320" t="s">
        <v>5265</v>
      </c>
      <c r="E1794" s="1320" t="s">
        <v>4067</v>
      </c>
      <c r="F1794" s="1320">
        <f t="shared" ref="F1794:H1801" si="771">+F498</f>
        <v>290551.79552865884</v>
      </c>
      <c r="G1794" s="1320">
        <f t="shared" si="771"/>
        <v>0</v>
      </c>
      <c r="H1794" s="1320">
        <f t="shared" si="771"/>
        <v>290551.79552865884</v>
      </c>
      <c r="I1794" s="1525"/>
      <c r="J1794" s="1324">
        <f t="shared" ref="J1794:Q1801" si="772">+J498</f>
        <v>290551.79552865884</v>
      </c>
      <c r="K1794" s="1324">
        <f t="shared" si="772"/>
        <v>166839.10241972734</v>
      </c>
      <c r="L1794" s="1324">
        <f t="shared" si="772"/>
        <v>13874.447484801451</v>
      </c>
      <c r="M1794" s="1324">
        <f t="shared" si="772"/>
        <v>89794.179812387054</v>
      </c>
      <c r="N1794" s="1325">
        <f t="shared" si="772"/>
        <v>11476.303899894016</v>
      </c>
      <c r="O1794" s="1325">
        <f t="shared" si="772"/>
        <v>8259.5319225596359</v>
      </c>
      <c r="P1794" s="1325">
        <f t="shared" si="772"/>
        <v>308.22998928939768</v>
      </c>
      <c r="Q1794" s="1324">
        <f t="shared" si="772"/>
        <v>0</v>
      </c>
      <c r="V1794" s="1320" t="s">
        <v>5522</v>
      </c>
      <c r="Y1794" s="1324"/>
    </row>
    <row r="1795" spans="1:25">
      <c r="A1795" s="1320" t="s">
        <v>5915</v>
      </c>
      <c r="C1795" s="1322">
        <v>147</v>
      </c>
      <c r="D1795" s="1320" t="s">
        <v>5265</v>
      </c>
      <c r="E1795" s="1320" t="s">
        <v>2067</v>
      </c>
      <c r="F1795" s="1358">
        <f t="shared" si="771"/>
        <v>30632.200099340615</v>
      </c>
      <c r="G1795" s="1358">
        <f t="shared" si="771"/>
        <v>0</v>
      </c>
      <c r="H1795" s="1358">
        <f t="shared" si="771"/>
        <v>30632.200099340615</v>
      </c>
      <c r="I1795" s="1525"/>
      <c r="J1795" s="1364">
        <f t="shared" si="772"/>
        <v>30632.200099340615</v>
      </c>
      <c r="K1795" s="1364">
        <f t="shared" si="772"/>
        <v>15458.055338611979</v>
      </c>
      <c r="L1795" s="1364">
        <f t="shared" si="772"/>
        <v>1428.5052700758743</v>
      </c>
      <c r="M1795" s="1364">
        <f t="shared" si="772"/>
        <v>10641.809412328281</v>
      </c>
      <c r="N1795" s="1367">
        <f t="shared" si="772"/>
        <v>1694.0049513217248</v>
      </c>
      <c r="O1795" s="1367">
        <f t="shared" si="772"/>
        <v>1247.9935459729331</v>
      </c>
      <c r="P1795" s="1367">
        <f t="shared" si="772"/>
        <v>161.83158102982321</v>
      </c>
      <c r="Q1795" s="1364">
        <f t="shared" si="772"/>
        <v>0</v>
      </c>
      <c r="R1795" s="1358"/>
      <c r="V1795" s="1320" t="s">
        <v>5523</v>
      </c>
      <c r="Y1795" s="1324"/>
    </row>
    <row r="1796" spans="1:25">
      <c r="A1796" s="1320" t="s">
        <v>5915</v>
      </c>
      <c r="C1796" s="1322">
        <v>148</v>
      </c>
      <c r="D1796" s="1320" t="s">
        <v>5268</v>
      </c>
      <c r="E1796" s="1320" t="s">
        <v>4067</v>
      </c>
      <c r="F1796" s="1358">
        <f t="shared" si="771"/>
        <v>15709.633517949591</v>
      </c>
      <c r="G1796" s="1358">
        <f t="shared" si="771"/>
        <v>1362.9081027596433</v>
      </c>
      <c r="H1796" s="1358">
        <f t="shared" si="771"/>
        <v>14346.725415189947</v>
      </c>
      <c r="I1796" s="1525"/>
      <c r="J1796" s="1364">
        <f t="shared" si="772"/>
        <v>14346.725415189947</v>
      </c>
      <c r="K1796" s="1364">
        <f t="shared" si="772"/>
        <v>8321.2878238845096</v>
      </c>
      <c r="L1796" s="1364">
        <f t="shared" si="772"/>
        <v>686.42231234234964</v>
      </c>
      <c r="M1796" s="1364">
        <f t="shared" si="772"/>
        <v>4387.9529927227877</v>
      </c>
      <c r="N1796" s="1367">
        <f t="shared" si="772"/>
        <v>547.77775084332268</v>
      </c>
      <c r="O1796" s="1367">
        <f t="shared" si="772"/>
        <v>393.1128131230027</v>
      </c>
      <c r="P1796" s="1367">
        <f t="shared" si="772"/>
        <v>10.171722273976087</v>
      </c>
      <c r="Q1796" s="1364">
        <f t="shared" si="772"/>
        <v>0</v>
      </c>
      <c r="R1796" s="1358"/>
      <c r="V1796" s="1320" t="s">
        <v>5524</v>
      </c>
      <c r="Y1796" s="1324"/>
    </row>
    <row r="1797" spans="1:25">
      <c r="A1797" s="1320" t="s">
        <v>5915</v>
      </c>
      <c r="C1797" s="1322">
        <v>149</v>
      </c>
      <c r="D1797" s="1320" t="s">
        <v>5239</v>
      </c>
      <c r="E1797" s="1320" t="s">
        <v>4067</v>
      </c>
      <c r="F1797" s="1358">
        <f t="shared" si="771"/>
        <v>16596.304009286247</v>
      </c>
      <c r="G1797" s="1358">
        <f t="shared" si="771"/>
        <v>1075.2223574469951</v>
      </c>
      <c r="H1797" s="1358">
        <f t="shared" si="771"/>
        <v>15521.081651839251</v>
      </c>
      <c r="I1797" s="1525"/>
      <c r="J1797" s="1364">
        <f t="shared" si="772"/>
        <v>15521.081651839251</v>
      </c>
      <c r="K1797" s="1364">
        <f t="shared" si="772"/>
        <v>9002.4297548917184</v>
      </c>
      <c r="L1797" s="1364">
        <f t="shared" si="772"/>
        <v>742.60965127482791</v>
      </c>
      <c r="M1797" s="1364">
        <f t="shared" si="772"/>
        <v>4747.1304226938173</v>
      </c>
      <c r="N1797" s="1367">
        <f t="shared" si="772"/>
        <v>592.61629060651421</v>
      </c>
      <c r="O1797" s="1367">
        <f t="shared" si="772"/>
        <v>425.29120020699622</v>
      </c>
      <c r="P1797" s="1367">
        <f t="shared" si="772"/>
        <v>11.004332165377591</v>
      </c>
      <c r="Q1797" s="1364">
        <f t="shared" si="772"/>
        <v>0</v>
      </c>
      <c r="R1797" s="1358"/>
      <c r="V1797" s="1320" t="s">
        <v>5525</v>
      </c>
      <c r="Y1797" s="1324"/>
    </row>
    <row r="1798" spans="1:25">
      <c r="A1798" s="1320" t="s">
        <v>5915</v>
      </c>
      <c r="C1798" s="1322">
        <v>150</v>
      </c>
      <c r="D1798" s="1320" t="s">
        <v>5240</v>
      </c>
      <c r="E1798" s="1320" t="s">
        <v>4067</v>
      </c>
      <c r="F1798" s="1358">
        <f t="shared" si="771"/>
        <v>76341.163093584852</v>
      </c>
      <c r="G1798" s="1358">
        <f t="shared" si="771"/>
        <v>0</v>
      </c>
      <c r="H1798" s="1358">
        <f t="shared" si="771"/>
        <v>76341.163093584852</v>
      </c>
      <c r="I1798" s="1525"/>
      <c r="J1798" s="1364">
        <f t="shared" si="772"/>
        <v>76341.163093584852</v>
      </c>
      <c r="K1798" s="1364">
        <f t="shared" si="772"/>
        <v>47515.96229002763</v>
      </c>
      <c r="L1798" s="1364">
        <f t="shared" si="772"/>
        <v>3379.4544109218741</v>
      </c>
      <c r="M1798" s="1364">
        <f t="shared" si="772"/>
        <v>22627.557324252964</v>
      </c>
      <c r="N1798" s="1367">
        <f t="shared" si="772"/>
        <v>2379.964078807659</v>
      </c>
      <c r="O1798" s="1367">
        <f t="shared" si="772"/>
        <v>1.6249931085812012E-3</v>
      </c>
      <c r="P1798" s="1367">
        <f t="shared" si="772"/>
        <v>438.22336458162823</v>
      </c>
      <c r="Q1798" s="1364">
        <f t="shared" si="772"/>
        <v>0</v>
      </c>
      <c r="R1798" s="1358"/>
      <c r="V1798" s="1320" t="s">
        <v>5526</v>
      </c>
      <c r="Y1798" s="1324"/>
    </row>
    <row r="1799" spans="1:25">
      <c r="A1799" s="1320" t="s">
        <v>5915</v>
      </c>
      <c r="C1799" s="1322">
        <v>151</v>
      </c>
      <c r="D1799" s="1320" t="s">
        <v>5241</v>
      </c>
      <c r="E1799" s="1320" t="s">
        <v>4067</v>
      </c>
      <c r="F1799" s="1358">
        <f t="shared" si="771"/>
        <v>43854.637077825559</v>
      </c>
      <c r="G1799" s="1358">
        <f t="shared" si="771"/>
        <v>0</v>
      </c>
      <c r="H1799" s="1358">
        <f t="shared" si="771"/>
        <v>43854.637077825559</v>
      </c>
      <c r="I1799" s="1525"/>
      <c r="J1799" s="1364">
        <f t="shared" si="772"/>
        <v>43854.637077825559</v>
      </c>
      <c r="K1799" s="1364">
        <f t="shared" si="772"/>
        <v>31997.801873923418</v>
      </c>
      <c r="L1799" s="1364">
        <f t="shared" si="772"/>
        <v>2576.4580867143418</v>
      </c>
      <c r="M1799" s="1364">
        <f t="shared" si="772"/>
        <v>9121.7361160525234</v>
      </c>
      <c r="N1799" s="1367">
        <f t="shared" si="772"/>
        <v>0</v>
      </c>
      <c r="O1799" s="1367">
        <f t="shared" si="772"/>
        <v>0</v>
      </c>
      <c r="P1799" s="1367">
        <f t="shared" si="772"/>
        <v>158.64100113527866</v>
      </c>
      <c r="Q1799" s="1364">
        <f t="shared" si="772"/>
        <v>0</v>
      </c>
      <c r="R1799" s="1358"/>
      <c r="V1799" s="1320" t="s">
        <v>5528</v>
      </c>
    </row>
    <row r="1800" spans="1:25">
      <c r="A1800" s="1320" t="s">
        <v>5915</v>
      </c>
      <c r="C1800" s="1322">
        <v>152</v>
      </c>
      <c r="D1800" s="1320" t="s">
        <v>5242</v>
      </c>
      <c r="E1800" s="1320" t="s">
        <v>4071</v>
      </c>
      <c r="F1800" s="1358">
        <f t="shared" si="771"/>
        <v>47757.415831805716</v>
      </c>
      <c r="G1800" s="1358">
        <f t="shared" si="771"/>
        <v>0</v>
      </c>
      <c r="H1800" s="1358">
        <f t="shared" si="771"/>
        <v>47757.415831805716</v>
      </c>
      <c r="I1800" s="1525"/>
      <c r="J1800" s="1364">
        <f t="shared" si="772"/>
        <v>47757.415831805716</v>
      </c>
      <c r="K1800" s="1364">
        <f t="shared" si="772"/>
        <v>19058.030039976857</v>
      </c>
      <c r="L1800" s="1364">
        <f t="shared" si="772"/>
        <v>3755.5686865087068</v>
      </c>
      <c r="M1800" s="1364">
        <f t="shared" si="772"/>
        <v>2174.0237328748285</v>
      </c>
      <c r="N1800" s="1367">
        <f t="shared" si="772"/>
        <v>164.27153033742925</v>
      </c>
      <c r="O1800" s="1367">
        <f t="shared" si="772"/>
        <v>179.2271354087697</v>
      </c>
      <c r="P1800" s="1367">
        <f t="shared" si="772"/>
        <v>36.659734650343147</v>
      </c>
      <c r="Q1800" s="1364">
        <f t="shared" si="772"/>
        <v>22389.634972048774</v>
      </c>
      <c r="R1800" s="1358"/>
      <c r="V1800" s="1320" t="s">
        <v>5528</v>
      </c>
    </row>
    <row r="1801" spans="1:25">
      <c r="A1801" s="1320" t="s">
        <v>5915</v>
      </c>
      <c r="C1801" s="1322">
        <v>153</v>
      </c>
      <c r="D1801" s="1320" t="s">
        <v>5244</v>
      </c>
      <c r="E1801" s="1320" t="s">
        <v>4071</v>
      </c>
      <c r="F1801" s="1350">
        <f t="shared" si="771"/>
        <v>12431.05871528412</v>
      </c>
      <c r="G1801" s="1350">
        <f t="shared" si="771"/>
        <v>0</v>
      </c>
      <c r="H1801" s="1350">
        <f t="shared" si="771"/>
        <v>12431.05871528412</v>
      </c>
      <c r="I1801" s="1525"/>
      <c r="J1801" s="1366">
        <f t="shared" si="772"/>
        <v>12431.05871528412</v>
      </c>
      <c r="K1801" s="1366">
        <f t="shared" si="772"/>
        <v>11087.097359078902</v>
      </c>
      <c r="L1801" s="1366">
        <f t="shared" si="772"/>
        <v>1074.7942807674417</v>
      </c>
      <c r="M1801" s="1366">
        <f t="shared" si="772"/>
        <v>264.71267171507458</v>
      </c>
      <c r="N1801" s="1378">
        <f t="shared" si="772"/>
        <v>0.89376385374582712</v>
      </c>
      <c r="O1801" s="1378">
        <f t="shared" si="772"/>
        <v>0.15857100630974355</v>
      </c>
      <c r="P1801" s="1378">
        <f t="shared" si="772"/>
        <v>3.4020688626454065</v>
      </c>
      <c r="Q1801" s="1366">
        <f t="shared" si="772"/>
        <v>0</v>
      </c>
      <c r="R1801" s="1358"/>
      <c r="V1801" s="1320" t="s">
        <v>5529</v>
      </c>
      <c r="Y1801" s="1324"/>
    </row>
    <row r="1802" spans="1:25">
      <c r="A1802" s="1320" t="s">
        <v>5915</v>
      </c>
      <c r="C1802" s="1322">
        <v>154</v>
      </c>
      <c r="D1802" s="1320" t="s">
        <v>6043</v>
      </c>
      <c r="F1802" s="1350">
        <f>SUM(F1794:F1801)</f>
        <v>533874.20787373558</v>
      </c>
      <c r="G1802" s="1350">
        <f>SUM(G1794:G1801)</f>
        <v>2438.1304602066384</v>
      </c>
      <c r="H1802" s="1350">
        <f>SUM(H1794:H1801)</f>
        <v>531436.07741352892</v>
      </c>
      <c r="I1802" s="1525"/>
      <c r="J1802" s="1366">
        <f t="shared" ref="J1802:Q1802" si="773">SUM(J1794:J1801)</f>
        <v>531436.07741352892</v>
      </c>
      <c r="K1802" s="1366">
        <f t="shared" si="773"/>
        <v>309279.76690012234</v>
      </c>
      <c r="L1802" s="1366">
        <f t="shared" si="773"/>
        <v>27518.260183406866</v>
      </c>
      <c r="M1802" s="1366">
        <f t="shared" si="773"/>
        <v>143759.10248502731</v>
      </c>
      <c r="N1802" s="1378">
        <f t="shared" si="773"/>
        <v>16855.832265664412</v>
      </c>
      <c r="O1802" s="1378">
        <f>SUM(O1794:O1801)</f>
        <v>10505.316813270758</v>
      </c>
      <c r="P1802" s="1378">
        <f>SUM(P1794:P1801)</f>
        <v>1128.1637939884699</v>
      </c>
      <c r="Q1802" s="1366">
        <f t="shared" si="773"/>
        <v>22389.634972048774</v>
      </c>
      <c r="R1802" s="1358"/>
      <c r="V1802" s="1320" t="s">
        <v>6044</v>
      </c>
      <c r="Y1802" s="1324"/>
    </row>
    <row r="1803" spans="1:25">
      <c r="A1803" s="1320" t="s">
        <v>5915</v>
      </c>
      <c r="C1803" s="1322">
        <v>155</v>
      </c>
      <c r="G1803" s="1320"/>
    </row>
    <row r="1804" spans="1:25">
      <c r="A1804" s="1320" t="s">
        <v>5915</v>
      </c>
      <c r="C1804" s="1322">
        <v>156</v>
      </c>
      <c r="D1804" s="1356" t="s">
        <v>6045</v>
      </c>
      <c r="G1804" s="1320"/>
    </row>
    <row r="1805" spans="1:25">
      <c r="A1805" s="1320" t="s">
        <v>5915</v>
      </c>
      <c r="C1805" s="1322">
        <v>157</v>
      </c>
      <c r="D1805" s="1320" t="s">
        <v>5265</v>
      </c>
      <c r="E1805" s="1320" t="s">
        <v>4067</v>
      </c>
      <c r="F1805" s="1320">
        <f>SUM(G1805:H1805)</f>
        <v>0</v>
      </c>
      <c r="G1805" s="1320">
        <f t="shared" ref="G1805:H1812" si="774">+G701</f>
        <v>0</v>
      </c>
      <c r="H1805" s="1320">
        <f t="shared" si="774"/>
        <v>0</v>
      </c>
      <c r="I1805" s="1525"/>
      <c r="J1805" s="1320">
        <f t="shared" ref="J1805:Q1812" si="775">+J701</f>
        <v>0</v>
      </c>
      <c r="K1805" s="1320">
        <f t="shared" si="775"/>
        <v>0</v>
      </c>
      <c r="L1805" s="1320">
        <f t="shared" si="775"/>
        <v>0</v>
      </c>
      <c r="M1805" s="1320">
        <f t="shared" si="775"/>
        <v>0</v>
      </c>
      <c r="N1805" s="1320">
        <f t="shared" si="775"/>
        <v>0</v>
      </c>
      <c r="O1805" s="1320">
        <f t="shared" si="775"/>
        <v>0</v>
      </c>
      <c r="P1805" s="1320">
        <f t="shared" si="775"/>
        <v>0</v>
      </c>
      <c r="Q1805" s="1320">
        <f t="shared" si="775"/>
        <v>0</v>
      </c>
      <c r="V1805" s="1320" t="s">
        <v>6046</v>
      </c>
    </row>
    <row r="1806" spans="1:25">
      <c r="A1806" s="1320" t="s">
        <v>5915</v>
      </c>
      <c r="C1806" s="1322">
        <v>158</v>
      </c>
      <c r="D1806" s="1320" t="s">
        <v>5265</v>
      </c>
      <c r="E1806" s="1320" t="s">
        <v>2067</v>
      </c>
      <c r="F1806" s="1358">
        <f t="shared" ref="F1806:F1812" si="776">+F702</f>
        <v>0</v>
      </c>
      <c r="G1806" s="1358">
        <f t="shared" si="774"/>
        <v>0</v>
      </c>
      <c r="H1806" s="1358">
        <f t="shared" si="774"/>
        <v>0</v>
      </c>
      <c r="I1806" s="1525"/>
      <c r="J1806" s="1364">
        <f t="shared" si="775"/>
        <v>0</v>
      </c>
      <c r="K1806" s="1364">
        <f t="shared" si="775"/>
        <v>0</v>
      </c>
      <c r="L1806" s="1364">
        <f t="shared" si="775"/>
        <v>0</v>
      </c>
      <c r="M1806" s="1364">
        <f t="shared" si="775"/>
        <v>0</v>
      </c>
      <c r="N1806" s="1364">
        <f t="shared" si="775"/>
        <v>0</v>
      </c>
      <c r="O1806" s="1364">
        <f t="shared" si="775"/>
        <v>0</v>
      </c>
      <c r="P1806" s="1364">
        <f t="shared" si="775"/>
        <v>0</v>
      </c>
      <c r="Q1806" s="1364">
        <f t="shared" si="775"/>
        <v>0</v>
      </c>
      <c r="R1806" s="1358"/>
      <c r="V1806" s="1320" t="s">
        <v>6047</v>
      </c>
    </row>
    <row r="1807" spans="1:25">
      <c r="A1807" s="1320" t="s">
        <v>5915</v>
      </c>
      <c r="C1807" s="1322">
        <v>159</v>
      </c>
      <c r="D1807" s="1320" t="s">
        <v>5268</v>
      </c>
      <c r="E1807" s="1320" t="s">
        <v>4067</v>
      </c>
      <c r="F1807" s="1358">
        <f t="shared" si="776"/>
        <v>0</v>
      </c>
      <c r="G1807" s="1358">
        <f t="shared" si="774"/>
        <v>0</v>
      </c>
      <c r="H1807" s="1358">
        <f t="shared" si="774"/>
        <v>0</v>
      </c>
      <c r="I1807" s="1525"/>
      <c r="J1807" s="1364">
        <f t="shared" si="775"/>
        <v>0</v>
      </c>
      <c r="K1807" s="1364">
        <f t="shared" si="775"/>
        <v>0</v>
      </c>
      <c r="L1807" s="1364">
        <f t="shared" si="775"/>
        <v>0</v>
      </c>
      <c r="M1807" s="1364">
        <f t="shared" si="775"/>
        <v>0</v>
      </c>
      <c r="N1807" s="1364">
        <f t="shared" si="775"/>
        <v>0</v>
      </c>
      <c r="O1807" s="1364">
        <f t="shared" si="775"/>
        <v>0</v>
      </c>
      <c r="P1807" s="1364">
        <f t="shared" si="775"/>
        <v>0</v>
      </c>
      <c r="Q1807" s="1364">
        <f t="shared" si="775"/>
        <v>0</v>
      </c>
      <c r="R1807" s="1358"/>
      <c r="V1807" s="1320" t="s">
        <v>6048</v>
      </c>
    </row>
    <row r="1808" spans="1:25">
      <c r="A1808" s="1320" t="s">
        <v>5915</v>
      </c>
      <c r="C1808" s="1322">
        <v>160</v>
      </c>
      <c r="D1808" s="1320" t="s">
        <v>5239</v>
      </c>
      <c r="E1808" s="1320" t="s">
        <v>4067</v>
      </c>
      <c r="F1808" s="1358">
        <f t="shared" si="776"/>
        <v>0</v>
      </c>
      <c r="G1808" s="1358">
        <f t="shared" si="774"/>
        <v>0</v>
      </c>
      <c r="H1808" s="1358">
        <f t="shared" si="774"/>
        <v>0</v>
      </c>
      <c r="I1808" s="1525"/>
      <c r="J1808" s="1364">
        <f t="shared" si="775"/>
        <v>0</v>
      </c>
      <c r="K1808" s="1364">
        <f t="shared" si="775"/>
        <v>0</v>
      </c>
      <c r="L1808" s="1364">
        <f t="shared" si="775"/>
        <v>0</v>
      </c>
      <c r="M1808" s="1364">
        <f t="shared" si="775"/>
        <v>0</v>
      </c>
      <c r="N1808" s="1364">
        <f t="shared" si="775"/>
        <v>0</v>
      </c>
      <c r="O1808" s="1364">
        <f t="shared" si="775"/>
        <v>0</v>
      </c>
      <c r="P1808" s="1364">
        <f t="shared" si="775"/>
        <v>0</v>
      </c>
      <c r="Q1808" s="1364">
        <f t="shared" si="775"/>
        <v>0</v>
      </c>
      <c r="R1808" s="1358"/>
      <c r="V1808" s="1320" t="s">
        <v>6049</v>
      </c>
      <c r="Y1808" s="1324"/>
    </row>
    <row r="1809" spans="1:25">
      <c r="A1809" s="1320" t="s">
        <v>5915</v>
      </c>
      <c r="C1809" s="1322">
        <v>161</v>
      </c>
      <c r="D1809" s="1320" t="s">
        <v>5240</v>
      </c>
      <c r="E1809" s="1320" t="s">
        <v>4067</v>
      </c>
      <c r="F1809" s="1358">
        <f t="shared" si="776"/>
        <v>0</v>
      </c>
      <c r="G1809" s="1358">
        <f t="shared" si="774"/>
        <v>0</v>
      </c>
      <c r="H1809" s="1358">
        <f t="shared" si="774"/>
        <v>0</v>
      </c>
      <c r="I1809" s="1525"/>
      <c r="J1809" s="1364">
        <f t="shared" si="775"/>
        <v>0</v>
      </c>
      <c r="K1809" s="1364">
        <f t="shared" si="775"/>
        <v>0</v>
      </c>
      <c r="L1809" s="1364">
        <f t="shared" si="775"/>
        <v>0</v>
      </c>
      <c r="M1809" s="1364">
        <f t="shared" si="775"/>
        <v>0</v>
      </c>
      <c r="N1809" s="1364">
        <f t="shared" si="775"/>
        <v>0</v>
      </c>
      <c r="O1809" s="1364">
        <f t="shared" si="775"/>
        <v>0</v>
      </c>
      <c r="P1809" s="1364">
        <f t="shared" si="775"/>
        <v>0</v>
      </c>
      <c r="Q1809" s="1364">
        <f t="shared" si="775"/>
        <v>0</v>
      </c>
      <c r="R1809" s="1358"/>
      <c r="V1809" s="1320" t="s">
        <v>6050</v>
      </c>
      <c r="Y1809" s="1324"/>
    </row>
    <row r="1810" spans="1:25">
      <c r="A1810" s="1320" t="s">
        <v>5915</v>
      </c>
      <c r="C1810" s="1322">
        <v>162</v>
      </c>
      <c r="D1810" s="1320" t="s">
        <v>5241</v>
      </c>
      <c r="E1810" s="1320" t="s">
        <v>4067</v>
      </c>
      <c r="F1810" s="1358">
        <f t="shared" si="776"/>
        <v>0</v>
      </c>
      <c r="G1810" s="1358">
        <f t="shared" si="774"/>
        <v>0</v>
      </c>
      <c r="H1810" s="1358">
        <f t="shared" si="774"/>
        <v>0</v>
      </c>
      <c r="I1810" s="1525"/>
      <c r="J1810" s="1364">
        <f t="shared" si="775"/>
        <v>0</v>
      </c>
      <c r="K1810" s="1364">
        <f t="shared" si="775"/>
        <v>0</v>
      </c>
      <c r="L1810" s="1364">
        <f t="shared" si="775"/>
        <v>0</v>
      </c>
      <c r="M1810" s="1364">
        <f t="shared" si="775"/>
        <v>0</v>
      </c>
      <c r="N1810" s="1364">
        <f t="shared" si="775"/>
        <v>0</v>
      </c>
      <c r="O1810" s="1364">
        <f t="shared" si="775"/>
        <v>0</v>
      </c>
      <c r="P1810" s="1364">
        <f t="shared" si="775"/>
        <v>0</v>
      </c>
      <c r="Q1810" s="1364">
        <f t="shared" si="775"/>
        <v>0</v>
      </c>
      <c r="R1810" s="1358"/>
      <c r="V1810" s="1320" t="s">
        <v>6051</v>
      </c>
      <c r="Y1810" s="1324"/>
    </row>
    <row r="1811" spans="1:25">
      <c r="A1811" s="1320" t="s">
        <v>5915</v>
      </c>
      <c r="C1811" s="1322">
        <v>163</v>
      </c>
      <c r="D1811" s="1320" t="s">
        <v>5242</v>
      </c>
      <c r="E1811" s="1320" t="s">
        <v>4071</v>
      </c>
      <c r="F1811" s="1358">
        <f t="shared" si="776"/>
        <v>0</v>
      </c>
      <c r="G1811" s="1358">
        <f t="shared" si="774"/>
        <v>0</v>
      </c>
      <c r="H1811" s="1358">
        <f t="shared" si="774"/>
        <v>0</v>
      </c>
      <c r="I1811" s="1525"/>
      <c r="J1811" s="1364">
        <f t="shared" si="775"/>
        <v>0</v>
      </c>
      <c r="K1811" s="1364">
        <f t="shared" si="775"/>
        <v>0</v>
      </c>
      <c r="L1811" s="1364">
        <f t="shared" si="775"/>
        <v>0</v>
      </c>
      <c r="M1811" s="1364">
        <f t="shared" si="775"/>
        <v>0</v>
      </c>
      <c r="N1811" s="1364">
        <f t="shared" si="775"/>
        <v>0</v>
      </c>
      <c r="O1811" s="1364">
        <f t="shared" si="775"/>
        <v>0</v>
      </c>
      <c r="P1811" s="1364">
        <f t="shared" si="775"/>
        <v>0</v>
      </c>
      <c r="Q1811" s="1364">
        <f t="shared" si="775"/>
        <v>0</v>
      </c>
      <c r="R1811" s="1358"/>
      <c r="V1811" s="1320" t="s">
        <v>6052</v>
      </c>
      <c r="Y1811" s="1324"/>
    </row>
    <row r="1812" spans="1:25">
      <c r="A1812" s="1320" t="s">
        <v>5915</v>
      </c>
      <c r="C1812" s="1322">
        <v>164</v>
      </c>
      <c r="D1812" s="1320" t="s">
        <v>5244</v>
      </c>
      <c r="E1812" s="1320" t="s">
        <v>4071</v>
      </c>
      <c r="F1812" s="1350">
        <f t="shared" si="776"/>
        <v>0</v>
      </c>
      <c r="G1812" s="1350">
        <f t="shared" si="774"/>
        <v>0</v>
      </c>
      <c r="H1812" s="1350">
        <f t="shared" si="774"/>
        <v>0</v>
      </c>
      <c r="I1812" s="1525"/>
      <c r="J1812" s="1366">
        <f t="shared" si="775"/>
        <v>0</v>
      </c>
      <c r="K1812" s="1366">
        <f t="shared" si="775"/>
        <v>0</v>
      </c>
      <c r="L1812" s="1366">
        <f t="shared" si="775"/>
        <v>0</v>
      </c>
      <c r="M1812" s="1366">
        <f t="shared" si="775"/>
        <v>0</v>
      </c>
      <c r="N1812" s="1366">
        <f t="shared" si="775"/>
        <v>0</v>
      </c>
      <c r="O1812" s="1366">
        <f t="shared" si="775"/>
        <v>0</v>
      </c>
      <c r="P1812" s="1366">
        <f t="shared" si="775"/>
        <v>0</v>
      </c>
      <c r="Q1812" s="1366">
        <f t="shared" si="775"/>
        <v>0</v>
      </c>
      <c r="R1812" s="1358"/>
      <c r="V1812" s="1320" t="s">
        <v>6053</v>
      </c>
      <c r="Y1812" s="1324"/>
    </row>
    <row r="1813" spans="1:25">
      <c r="A1813" s="1320" t="s">
        <v>5915</v>
      </c>
      <c r="C1813" s="1322">
        <v>165</v>
      </c>
      <c r="D1813" s="1320" t="s">
        <v>5546</v>
      </c>
      <c r="F1813" s="1350">
        <f>SUM(F1805:F1812)</f>
        <v>0</v>
      </c>
      <c r="G1813" s="1350">
        <f>SUM(G1805:G1812)</f>
        <v>0</v>
      </c>
      <c r="H1813" s="1350">
        <f>SUM(H1805:H1812)</f>
        <v>0</v>
      </c>
      <c r="I1813" s="1525"/>
      <c r="J1813" s="1366">
        <f t="shared" ref="J1813:Q1813" si="777">SUM(J1805:J1812)</f>
        <v>0</v>
      </c>
      <c r="K1813" s="1366">
        <f t="shared" si="777"/>
        <v>0</v>
      </c>
      <c r="L1813" s="1366">
        <f t="shared" si="777"/>
        <v>0</v>
      </c>
      <c r="M1813" s="1366">
        <f t="shared" si="777"/>
        <v>0</v>
      </c>
      <c r="N1813" s="1366">
        <f t="shared" si="777"/>
        <v>0</v>
      </c>
      <c r="O1813" s="1366">
        <f t="shared" si="777"/>
        <v>0</v>
      </c>
      <c r="P1813" s="1366">
        <f t="shared" si="777"/>
        <v>0</v>
      </c>
      <c r="Q1813" s="1366">
        <f t="shared" si="777"/>
        <v>0</v>
      </c>
      <c r="R1813" s="1358"/>
      <c r="V1813" s="1320" t="s">
        <v>6054</v>
      </c>
      <c r="Y1813" s="1324"/>
    </row>
    <row r="1814" spans="1:25">
      <c r="A1814" s="1320" t="s">
        <v>5915</v>
      </c>
      <c r="C1814" s="1322">
        <v>166</v>
      </c>
      <c r="F1814" s="1358"/>
      <c r="G1814" s="1358"/>
      <c r="H1814" s="1358"/>
      <c r="I1814" s="1525"/>
      <c r="J1814" s="1364"/>
      <c r="K1814" s="1364"/>
      <c r="L1814" s="1364"/>
      <c r="M1814" s="1367"/>
      <c r="N1814" s="1367"/>
      <c r="O1814" s="1367"/>
      <c r="P1814" s="1364"/>
      <c r="Q1814" s="1364"/>
      <c r="R1814" s="1358"/>
      <c r="Y1814" s="1324"/>
    </row>
    <row r="1815" spans="1:25">
      <c r="A1815" s="1320" t="s">
        <v>5915</v>
      </c>
      <c r="C1815" s="1322">
        <v>167</v>
      </c>
      <c r="D1815" s="1356" t="s">
        <v>6055</v>
      </c>
      <c r="G1815" s="1320"/>
      <c r="I1815" s="1525"/>
      <c r="R1815" s="1358"/>
      <c r="Y1815" s="1324"/>
    </row>
    <row r="1816" spans="1:25">
      <c r="A1816" s="1320" t="s">
        <v>5915</v>
      </c>
      <c r="C1816" s="1322">
        <v>168</v>
      </c>
      <c r="D1816" s="1320" t="s">
        <v>5265</v>
      </c>
      <c r="E1816" s="1320" t="s">
        <v>4067</v>
      </c>
      <c r="F1816" s="1320">
        <f t="shared" ref="F1816:H1823" si="778">+F318</f>
        <v>159622.03248406202</v>
      </c>
      <c r="G1816" s="1320">
        <f t="shared" si="778"/>
        <v>0</v>
      </c>
      <c r="H1816" s="1320">
        <f t="shared" si="778"/>
        <v>159622.03248406202</v>
      </c>
      <c r="I1816" s="1525"/>
      <c r="J1816" s="1324">
        <f t="shared" ref="J1816:Q1823" si="779">+J318</f>
        <v>159622.03248406202</v>
      </c>
      <c r="K1816" s="1324">
        <f t="shared" si="779"/>
        <v>91657.312175951331</v>
      </c>
      <c r="L1816" s="1324">
        <f t="shared" si="779"/>
        <v>7622.281263441525</v>
      </c>
      <c r="M1816" s="1324">
        <f t="shared" si="779"/>
        <v>49330.720744001708</v>
      </c>
      <c r="N1816" s="1325">
        <f t="shared" si="779"/>
        <v>6304.79997747996</v>
      </c>
      <c r="O1816" s="1325">
        <f t="shared" si="779"/>
        <v>4537.5843244992775</v>
      </c>
      <c r="P1816" s="1325">
        <f t="shared" si="779"/>
        <v>169.33399868823523</v>
      </c>
      <c r="Q1816" s="1324">
        <f t="shared" si="779"/>
        <v>0</v>
      </c>
      <c r="R1816" s="1358"/>
      <c r="V1816" s="1320" t="s">
        <v>5507</v>
      </c>
    </row>
    <row r="1817" spans="1:25">
      <c r="A1817" s="1320" t="s">
        <v>5915</v>
      </c>
      <c r="C1817" s="1322">
        <v>169</v>
      </c>
      <c r="D1817" s="1320" t="s">
        <v>5265</v>
      </c>
      <c r="E1817" s="1320" t="s">
        <v>2067</v>
      </c>
      <c r="F1817" s="1320">
        <f t="shared" si="778"/>
        <v>41606.418583842657</v>
      </c>
      <c r="G1817" s="1320">
        <f t="shared" si="778"/>
        <v>0</v>
      </c>
      <c r="H1817" s="1320">
        <f t="shared" si="778"/>
        <v>41606.418583842657</v>
      </c>
      <c r="I1817" s="1525"/>
      <c r="J1817" s="1324">
        <f t="shared" si="779"/>
        <v>41606.418583842657</v>
      </c>
      <c r="K1817" s="1324">
        <f t="shared" si="779"/>
        <v>20996.021141959634</v>
      </c>
      <c r="L1817" s="1324">
        <f t="shared" si="779"/>
        <v>1940.278139449782</v>
      </c>
      <c r="M1817" s="1324">
        <f t="shared" si="779"/>
        <v>14454.318510028865</v>
      </c>
      <c r="N1817" s="1325">
        <f t="shared" si="779"/>
        <v>2300.8950992492</v>
      </c>
      <c r="O1817" s="1325">
        <f t="shared" si="779"/>
        <v>1695.0967183320813</v>
      </c>
      <c r="P1817" s="1325">
        <f t="shared" si="779"/>
        <v>219.80897482309194</v>
      </c>
      <c r="Q1817" s="1324">
        <f t="shared" si="779"/>
        <v>0</v>
      </c>
      <c r="R1817" s="1358"/>
      <c r="V1817" s="1320" t="s">
        <v>5508</v>
      </c>
    </row>
    <row r="1818" spans="1:25">
      <c r="A1818" s="1320" t="s">
        <v>5915</v>
      </c>
      <c r="C1818" s="1322">
        <v>170</v>
      </c>
      <c r="D1818" s="1320" t="s">
        <v>5268</v>
      </c>
      <c r="E1818" s="1320" t="s">
        <v>4067</v>
      </c>
      <c r="F1818" s="1320">
        <f t="shared" si="778"/>
        <v>4045.870112441934</v>
      </c>
      <c r="G1818" s="1320">
        <f t="shared" si="778"/>
        <v>406.64102719459561</v>
      </c>
      <c r="H1818" s="1320">
        <f t="shared" si="778"/>
        <v>3639.0936003281759</v>
      </c>
      <c r="I1818" s="1525"/>
      <c r="J1818" s="1324">
        <f t="shared" si="779"/>
        <v>3639.0936003281759</v>
      </c>
      <c r="K1818" s="1324">
        <f t="shared" si="779"/>
        <v>2110.7217424211058</v>
      </c>
      <c r="L1818" s="1324">
        <f t="shared" si="779"/>
        <v>174.11325383858966</v>
      </c>
      <c r="M1818" s="1324">
        <f t="shared" si="779"/>
        <v>1113.0185594443501</v>
      </c>
      <c r="N1818" s="1325">
        <f t="shared" si="779"/>
        <v>138.94560952463209</v>
      </c>
      <c r="O1818" s="1325">
        <f t="shared" si="779"/>
        <v>99.714344635624627</v>
      </c>
      <c r="P1818" s="1325">
        <f t="shared" si="779"/>
        <v>2.5800904638734146</v>
      </c>
      <c r="Q1818" s="1324">
        <f t="shared" si="779"/>
        <v>0</v>
      </c>
      <c r="R1818" s="1358"/>
      <c r="V1818" s="1320" t="s">
        <v>5509</v>
      </c>
    </row>
    <row r="1819" spans="1:25">
      <c r="A1819" s="1320" t="s">
        <v>5915</v>
      </c>
      <c r="C1819" s="1322">
        <v>171</v>
      </c>
      <c r="D1819" s="1320" t="s">
        <v>5239</v>
      </c>
      <c r="E1819" s="1320" t="s">
        <v>4067</v>
      </c>
      <c r="F1819" s="1320">
        <f t="shared" si="778"/>
        <v>12410.707503734577</v>
      </c>
      <c r="G1819" s="1320">
        <f t="shared" si="778"/>
        <v>1290.0636241191005</v>
      </c>
      <c r="H1819" s="1320">
        <f t="shared" si="778"/>
        <v>11120.779364534637</v>
      </c>
      <c r="I1819" s="1525"/>
      <c r="J1819" s="1324">
        <f t="shared" si="779"/>
        <v>11120.779364534637</v>
      </c>
      <c r="K1819" s="1324">
        <f t="shared" si="779"/>
        <v>6450.1970477688265</v>
      </c>
      <c r="L1819" s="1324">
        <f t="shared" si="779"/>
        <v>532.07619617301259</v>
      </c>
      <c r="M1819" s="1324">
        <f t="shared" si="779"/>
        <v>3401.2958136324314</v>
      </c>
      <c r="N1819" s="1325">
        <f t="shared" si="779"/>
        <v>424.60668421797953</v>
      </c>
      <c r="O1819" s="1325">
        <f t="shared" si="779"/>
        <v>304.71907237339212</v>
      </c>
      <c r="P1819" s="1325">
        <f t="shared" si="779"/>
        <v>7.8845503689953329</v>
      </c>
      <c r="Q1819" s="1324">
        <f t="shared" si="779"/>
        <v>0</v>
      </c>
      <c r="R1819" s="1358"/>
      <c r="V1819" s="1320" t="s">
        <v>5510</v>
      </c>
    </row>
    <row r="1820" spans="1:25">
      <c r="A1820" s="1320" t="s">
        <v>5915</v>
      </c>
      <c r="C1820" s="1322">
        <v>172</v>
      </c>
      <c r="D1820" s="1320" t="s">
        <v>5240</v>
      </c>
      <c r="E1820" s="1320" t="s">
        <v>4067</v>
      </c>
      <c r="F1820" s="1320">
        <f t="shared" si="778"/>
        <v>58782.428344976914</v>
      </c>
      <c r="G1820" s="1320">
        <f t="shared" si="778"/>
        <v>0</v>
      </c>
      <c r="H1820" s="1320">
        <f t="shared" si="778"/>
        <v>58782.428344976914</v>
      </c>
      <c r="I1820" s="1525"/>
      <c r="J1820" s="1324">
        <f t="shared" si="779"/>
        <v>58782.428344976914</v>
      </c>
      <c r="K1820" s="1324">
        <f t="shared" si="779"/>
        <v>36587.12463068153</v>
      </c>
      <c r="L1820" s="1324">
        <f t="shared" si="779"/>
        <v>2602.1680664153319</v>
      </c>
      <c r="M1820" s="1324">
        <f t="shared" si="779"/>
        <v>17423.139930475194</v>
      </c>
      <c r="N1820" s="1325">
        <f t="shared" si="779"/>
        <v>1832.5640094666878</v>
      </c>
      <c r="O1820" s="1325">
        <f t="shared" si="779"/>
        <v>1.2512390052160816E-3</v>
      </c>
      <c r="P1820" s="1325">
        <f t="shared" si="779"/>
        <v>337.43045669917126</v>
      </c>
      <c r="Q1820" s="1324">
        <f t="shared" si="779"/>
        <v>0</v>
      </c>
      <c r="R1820" s="1358"/>
      <c r="V1820" s="1320" t="s">
        <v>5511</v>
      </c>
      <c r="Y1820" s="1324"/>
    </row>
    <row r="1821" spans="1:25">
      <c r="A1821" s="1320" t="s">
        <v>5915</v>
      </c>
      <c r="C1821" s="1322">
        <v>173</v>
      </c>
      <c r="D1821" s="1320" t="s">
        <v>5241</v>
      </c>
      <c r="E1821" s="1320" t="s">
        <v>4067</v>
      </c>
      <c r="F1821" s="1320">
        <f t="shared" si="778"/>
        <v>9777.0557636031099</v>
      </c>
      <c r="G1821" s="1320">
        <f t="shared" si="778"/>
        <v>0</v>
      </c>
      <c r="H1821" s="1320">
        <f t="shared" si="778"/>
        <v>9777.0557636031099</v>
      </c>
      <c r="I1821" s="1525"/>
      <c r="J1821" s="1324">
        <f t="shared" si="779"/>
        <v>9777.0557636031099</v>
      </c>
      <c r="K1821" s="1324">
        <f t="shared" si="779"/>
        <v>7133.6650826431833</v>
      </c>
      <c r="L1821" s="1324">
        <f t="shared" si="779"/>
        <v>574.40161553929102</v>
      </c>
      <c r="M1821" s="1324">
        <f t="shared" si="779"/>
        <v>2033.621268128391</v>
      </c>
      <c r="N1821" s="1325">
        <f t="shared" si="779"/>
        <v>0</v>
      </c>
      <c r="O1821" s="1325">
        <f t="shared" si="779"/>
        <v>0</v>
      </c>
      <c r="P1821" s="1325">
        <f t="shared" si="779"/>
        <v>35.367797292243573</v>
      </c>
      <c r="Q1821" s="1324">
        <f t="shared" si="779"/>
        <v>0</v>
      </c>
      <c r="R1821" s="1358"/>
      <c r="V1821" s="1320" t="s">
        <v>5512</v>
      </c>
      <c r="Y1821" s="1324"/>
    </row>
    <row r="1822" spans="1:25">
      <c r="A1822" s="1320" t="s">
        <v>5915</v>
      </c>
      <c r="C1822" s="1322">
        <v>174</v>
      </c>
      <c r="D1822" s="1320" t="s">
        <v>5242</v>
      </c>
      <c r="E1822" s="1320" t="s">
        <v>4071</v>
      </c>
      <c r="F1822" s="1320">
        <f t="shared" si="778"/>
        <v>38382.168272878131</v>
      </c>
      <c r="G1822" s="1320">
        <f t="shared" si="778"/>
        <v>0</v>
      </c>
      <c r="H1822" s="1320">
        <f t="shared" si="778"/>
        <v>38382.168272878131</v>
      </c>
      <c r="I1822" s="1525"/>
      <c r="J1822" s="1324">
        <f t="shared" si="779"/>
        <v>38382.168272878131</v>
      </c>
      <c r="K1822" s="1324">
        <f t="shared" si="779"/>
        <v>21544.192211832418</v>
      </c>
      <c r="L1822" s="1324">
        <f t="shared" si="779"/>
        <v>4185.9635079673872</v>
      </c>
      <c r="M1822" s="1324">
        <f t="shared" si="779"/>
        <v>2403.9105983064192</v>
      </c>
      <c r="N1822" s="1325">
        <f t="shared" si="779"/>
        <v>180.57746751043169</v>
      </c>
      <c r="O1822" s="1325">
        <f t="shared" si="779"/>
        <v>197.01759735716439</v>
      </c>
      <c r="P1822" s="1325">
        <f t="shared" si="779"/>
        <v>40.46714324574485</v>
      </c>
      <c r="Q1822" s="1324">
        <f t="shared" si="779"/>
        <v>9830.0397466585637</v>
      </c>
      <c r="R1822" s="1358"/>
      <c r="V1822" s="1320" t="s">
        <v>5513</v>
      </c>
      <c r="Y1822" s="1324"/>
    </row>
    <row r="1823" spans="1:25">
      <c r="A1823" s="1320" t="s">
        <v>5915</v>
      </c>
      <c r="C1823" s="1322">
        <v>175</v>
      </c>
      <c r="D1823" s="1320" t="s">
        <v>5244</v>
      </c>
      <c r="E1823" s="1320" t="s">
        <v>4071</v>
      </c>
      <c r="F1823" s="1350">
        <f t="shared" si="778"/>
        <v>68841.12898628338</v>
      </c>
      <c r="G1823" s="1350">
        <f t="shared" si="778"/>
        <v>0</v>
      </c>
      <c r="H1823" s="1350">
        <f t="shared" si="778"/>
        <v>68841.12898628338</v>
      </c>
      <c r="I1823" s="1525"/>
      <c r="J1823" s="1366">
        <f t="shared" si="779"/>
        <v>68841.12898628338</v>
      </c>
      <c r="K1823" s="1366">
        <f t="shared" si="779"/>
        <v>59574.211774824587</v>
      </c>
      <c r="L1823" s="1366">
        <f t="shared" si="779"/>
        <v>5763.4842927606624</v>
      </c>
      <c r="M1823" s="1366">
        <f t="shared" si="779"/>
        <v>2902.9081539985177</v>
      </c>
      <c r="N1823" s="1378">
        <f t="shared" si="779"/>
        <v>189.64174066923826</v>
      </c>
      <c r="O1823" s="1378">
        <f t="shared" si="779"/>
        <v>109.48647147567513</v>
      </c>
      <c r="P1823" s="1378">
        <f t="shared" si="779"/>
        <v>31.191344012645786</v>
      </c>
      <c r="Q1823" s="1366">
        <f t="shared" si="779"/>
        <v>270.20520854205262</v>
      </c>
      <c r="R1823" s="1358"/>
      <c r="V1823" s="1320" t="s">
        <v>9329</v>
      </c>
      <c r="Y1823" s="1324"/>
    </row>
    <row r="1824" spans="1:25">
      <c r="A1824" s="1320" t="s">
        <v>5915</v>
      </c>
      <c r="C1824" s="1322">
        <v>176</v>
      </c>
      <c r="D1824" s="1320" t="s">
        <v>6056</v>
      </c>
      <c r="F1824" s="1350">
        <f>SUM(F1816:F1823)</f>
        <v>393467.81005182274</v>
      </c>
      <c r="G1824" s="1350">
        <f>SUM(G1816:G1823)</f>
        <v>1696.7046513136961</v>
      </c>
      <c r="H1824" s="1350">
        <f>SUM(H1816:H1823)</f>
        <v>391771.10540050903</v>
      </c>
      <c r="I1824" s="1525"/>
      <c r="J1824" s="1366">
        <f t="shared" ref="J1824:Q1824" si="780">SUM(J1816:J1823)</f>
        <v>391771.10540050903</v>
      </c>
      <c r="K1824" s="1366">
        <f t="shared" si="780"/>
        <v>246053.44580808264</v>
      </c>
      <c r="L1824" s="1366">
        <f t="shared" si="780"/>
        <v>23394.766335585584</v>
      </c>
      <c r="M1824" s="1366">
        <f t="shared" si="780"/>
        <v>93062.933578015887</v>
      </c>
      <c r="N1824" s="1378">
        <f t="shared" si="780"/>
        <v>11372.030588118128</v>
      </c>
      <c r="O1824" s="1378">
        <f>SUM(O1816:O1823)</f>
        <v>6943.6197799122192</v>
      </c>
      <c r="P1824" s="1378">
        <f>SUM(P1816:P1823)</f>
        <v>844.06435559400143</v>
      </c>
      <c r="Q1824" s="1366">
        <f t="shared" si="780"/>
        <v>10100.244955200616</v>
      </c>
      <c r="R1824" s="1358"/>
      <c r="V1824" s="1320" t="s">
        <v>6057</v>
      </c>
      <c r="Y1824" s="1324"/>
    </row>
    <row r="1825" spans="1:25">
      <c r="F1825" s="1358"/>
      <c r="G1825" s="1358"/>
      <c r="H1825" s="1358"/>
      <c r="J1825" s="1364"/>
      <c r="K1825" s="1364"/>
      <c r="L1825" s="1364"/>
      <c r="M1825" s="1367"/>
      <c r="N1825" s="1367"/>
      <c r="O1825" s="1367"/>
      <c r="P1825" s="1364"/>
      <c r="Q1825" s="1364"/>
      <c r="R1825" s="1358"/>
      <c r="Y1825" s="1324"/>
    </row>
    <row r="1826" spans="1:25">
      <c r="G1826" s="1320"/>
      <c r="Y1826" s="1324"/>
    </row>
    <row r="1827" spans="1:25">
      <c r="G1827" s="1320"/>
      <c r="Y1827" s="1324"/>
    </row>
    <row r="1828" spans="1:25">
      <c r="G1828" s="1320"/>
      <c r="Y1828" s="1324"/>
    </row>
    <row r="1829" spans="1:25">
      <c r="G1829" s="1320"/>
      <c r="Y1829" s="1324"/>
    </row>
    <row r="1830" spans="1:25">
      <c r="B1830" s="1331"/>
      <c r="C1830" s="1340" t="str">
        <f>+C$2</f>
        <v>RATES WITH REVENUE DEFICIENCY ADDITION</v>
      </c>
      <c r="F1830" s="1333"/>
      <c r="G1830" s="1327" t="s">
        <v>2173</v>
      </c>
      <c r="I1830" s="1334" t="s">
        <v>6038</v>
      </c>
      <c r="L1830" s="1329" t="s">
        <v>2173</v>
      </c>
      <c r="M1830" s="1330"/>
      <c r="N1830" s="1330"/>
      <c r="O1830" s="1330"/>
      <c r="S1830" s="1334" t="s">
        <v>6058</v>
      </c>
      <c r="T1830" s="1333" t="s">
        <v>2173</v>
      </c>
      <c r="U1830" s="1431"/>
      <c r="V1830" s="1332" t="s">
        <v>4772</v>
      </c>
    </row>
    <row r="1831" spans="1:25">
      <c r="B1831" s="1331"/>
      <c r="C1831" s="1340" t="str">
        <f>+C$3</f>
        <v>PROD. CAP. ALLOC. METHOD: 12 CP &amp; 1/13th AD</v>
      </c>
      <c r="G1831" s="1336" t="s">
        <v>4768</v>
      </c>
      <c r="I1831" s="1335" t="s">
        <v>6039</v>
      </c>
      <c r="L1831" s="1336" t="s">
        <v>5141</v>
      </c>
      <c r="M1831" s="1337"/>
      <c r="N1831" s="1337"/>
      <c r="O1831" s="1337"/>
      <c r="R1831" s="1331"/>
      <c r="S1831" s="1335" t="s">
        <v>6059</v>
      </c>
      <c r="T1831" s="1333" t="s">
        <v>5141</v>
      </c>
      <c r="V1831" s="1332" t="s">
        <v>6058</v>
      </c>
    </row>
    <row r="1832" spans="1:25">
      <c r="C1832" s="1340" t="str">
        <f>+C$4</f>
        <v>PROJECTED CALENDAR YEAR 2025; FULLY ADJUSTED DATA</v>
      </c>
      <c r="F1832" s="1333"/>
      <c r="G1832" s="1336" t="s">
        <v>2181</v>
      </c>
      <c r="L1832" s="1336" t="s">
        <v>2181</v>
      </c>
      <c r="T1832" s="1339"/>
    </row>
    <row r="1833" spans="1:25">
      <c r="C1833" s="1340" t="str">
        <f>+C$5</f>
        <v>MINIMUM DISTRIBUTION SYSTEM (MDS) NOT EMPLOYED</v>
      </c>
      <c r="G1833" s="1320"/>
      <c r="L1833" s="1336"/>
      <c r="M1833" s="1337"/>
      <c r="N1833" s="1337"/>
      <c r="O1833" s="1337"/>
      <c r="T1833" s="1333"/>
    </row>
    <row r="1834" spans="1:25">
      <c r="C1834" s="1340" t="str">
        <f>+C$6</f>
        <v>Tampa Electric 2025 OB Budget</v>
      </c>
      <c r="F1834" s="1327"/>
      <c r="G1834" s="1333" t="s">
        <v>5912</v>
      </c>
      <c r="L1834" s="1336" t="s">
        <v>5912</v>
      </c>
      <c r="M1834" s="1337"/>
      <c r="N1834" s="1337"/>
      <c r="O1834" s="1337"/>
      <c r="T1834" s="1333" t="s">
        <v>5912</v>
      </c>
    </row>
    <row r="1835" spans="1:25">
      <c r="F1835" s="1333"/>
      <c r="G1835" s="1320"/>
      <c r="L1835" s="1336"/>
      <c r="M1835" s="1337"/>
      <c r="N1835" s="1337"/>
      <c r="O1835" s="1337"/>
    </row>
    <row r="1836" spans="1:25">
      <c r="F1836" s="1333"/>
      <c r="G1836" s="1320"/>
      <c r="L1836" s="1336"/>
      <c r="M1836" s="1337"/>
      <c r="N1836" s="1337"/>
      <c r="O1836" s="1337"/>
    </row>
    <row r="1837" spans="1:25">
      <c r="F1837" s="1339"/>
      <c r="G1837" s="1320"/>
    </row>
    <row r="1838" spans="1:25">
      <c r="G1838" s="1320"/>
    </row>
    <row r="1839" spans="1:25" ht="27.6">
      <c r="A1839" s="1418" t="s">
        <v>4683</v>
      </c>
      <c r="C1839" s="1349" t="s">
        <v>4297</v>
      </c>
      <c r="D1839" s="1418"/>
      <c r="E1839" s="1418"/>
      <c r="F1839" s="1348" t="s">
        <v>5144</v>
      </c>
      <c r="G1839" s="1348" t="s">
        <v>4956</v>
      </c>
      <c r="H1839" s="1348" t="s">
        <v>4957</v>
      </c>
      <c r="I1839" s="1426" t="s">
        <v>5145</v>
      </c>
      <c r="J1839" s="1352" t="s">
        <v>4957</v>
      </c>
      <c r="K1839" s="1353" t="s">
        <v>1949</v>
      </c>
      <c r="L1839" s="1353" t="s">
        <v>1950</v>
      </c>
      <c r="M1839" s="1354" t="s">
        <v>1934</v>
      </c>
      <c r="N1839" s="1354" t="s">
        <v>1971</v>
      </c>
      <c r="O1839" s="1354" t="s">
        <v>1972</v>
      </c>
      <c r="P1839" s="1352" t="s">
        <v>5146</v>
      </c>
      <c r="Q1839" s="1352" t="s">
        <v>5147</v>
      </c>
      <c r="R1839" s="1355"/>
      <c r="S1839" s="1350"/>
      <c r="T1839" s="1350"/>
      <c r="U1839" s="1366"/>
      <c r="V1839" s="1355" t="s">
        <v>4774</v>
      </c>
    </row>
    <row r="1840" spans="1:25">
      <c r="C1840" s="1397"/>
      <c r="D1840" s="1435"/>
      <c r="E1840" s="1435"/>
      <c r="F1840" s="1396"/>
      <c r="G1840" s="1396"/>
      <c r="H1840" s="1396"/>
      <c r="I1840" s="1442"/>
      <c r="J1840" s="1399"/>
      <c r="K1840" s="1360"/>
      <c r="L1840" s="1360"/>
      <c r="M1840" s="1361"/>
      <c r="N1840" s="1361"/>
      <c r="O1840" s="1361"/>
      <c r="P1840" s="1399"/>
      <c r="Q1840" s="1399"/>
      <c r="R1840" s="1346"/>
    </row>
    <row r="1841" spans="1:25">
      <c r="A1841" s="1320" t="s">
        <v>5915</v>
      </c>
      <c r="C1841" s="1322">
        <v>177</v>
      </c>
      <c r="D1841" s="1356" t="s">
        <v>6060</v>
      </c>
      <c r="G1841" s="1320"/>
    </row>
    <row r="1842" spans="1:25">
      <c r="A1842" s="1320" t="s">
        <v>5915</v>
      </c>
      <c r="C1842" s="1322">
        <v>178</v>
      </c>
      <c r="D1842" s="1320" t="s">
        <v>4813</v>
      </c>
      <c r="E1842" s="1320" t="s">
        <v>4067</v>
      </c>
      <c r="F1842" s="1320">
        <f t="shared" ref="F1842:H1843" si="781">+F185</f>
        <v>0</v>
      </c>
      <c r="G1842" s="1320">
        <f t="shared" si="781"/>
        <v>0</v>
      </c>
      <c r="H1842" s="1320">
        <f t="shared" si="781"/>
        <v>0</v>
      </c>
      <c r="J1842" s="1324">
        <f t="shared" ref="J1842:Q1843" si="782">+J185</f>
        <v>0</v>
      </c>
      <c r="K1842" s="1324">
        <f t="shared" si="782"/>
        <v>0</v>
      </c>
      <c r="L1842" s="1324">
        <f t="shared" si="782"/>
        <v>0</v>
      </c>
      <c r="M1842" s="1324">
        <f t="shared" si="782"/>
        <v>0</v>
      </c>
      <c r="N1842" s="1325">
        <f t="shared" si="782"/>
        <v>0</v>
      </c>
      <c r="O1842" s="1325">
        <f t="shared" si="782"/>
        <v>0</v>
      </c>
      <c r="P1842" s="1325">
        <f t="shared" si="782"/>
        <v>0</v>
      </c>
      <c r="Q1842" s="1324">
        <f t="shared" si="782"/>
        <v>0</v>
      </c>
      <c r="V1842" s="1320" t="s">
        <v>5517</v>
      </c>
    </row>
    <row r="1843" spans="1:25">
      <c r="A1843" s="1320" t="s">
        <v>5915</v>
      </c>
      <c r="C1843" s="1322">
        <v>179</v>
      </c>
      <c r="D1843" s="1320" t="s">
        <v>4814</v>
      </c>
      <c r="E1843" s="1320" t="s">
        <v>2067</v>
      </c>
      <c r="F1843" s="1350">
        <f t="shared" si="781"/>
        <v>626.46090775325297</v>
      </c>
      <c r="G1843" s="1350">
        <f t="shared" si="781"/>
        <v>0</v>
      </c>
      <c r="H1843" s="1350">
        <f t="shared" si="781"/>
        <v>626.46090775325297</v>
      </c>
      <c r="I1843" s="1525"/>
      <c r="J1843" s="1366">
        <f t="shared" si="782"/>
        <v>626.46090775325297</v>
      </c>
      <c r="K1843" s="1366">
        <f t="shared" si="782"/>
        <v>316.13358975594224</v>
      </c>
      <c r="L1843" s="1366">
        <f t="shared" si="782"/>
        <v>29.214444451259041</v>
      </c>
      <c r="M1843" s="1366">
        <f t="shared" si="782"/>
        <v>217.63626389760336</v>
      </c>
      <c r="N1843" s="1378">
        <f t="shared" si="782"/>
        <v>34.64419389080566</v>
      </c>
      <c r="O1843" s="1378">
        <f t="shared" si="782"/>
        <v>25.522788671559834</v>
      </c>
      <c r="P1843" s="1378">
        <f t="shared" si="782"/>
        <v>3.3096270860828403</v>
      </c>
      <c r="Q1843" s="1366">
        <f t="shared" si="782"/>
        <v>0</v>
      </c>
      <c r="R1843" s="1358"/>
      <c r="V1843" s="1320" t="s">
        <v>5518</v>
      </c>
      <c r="Y1843" s="1324"/>
    </row>
    <row r="1844" spans="1:25">
      <c r="A1844" s="1320" t="s">
        <v>5915</v>
      </c>
      <c r="C1844" s="1322">
        <v>180</v>
      </c>
      <c r="D1844" s="1320" t="s">
        <v>5519</v>
      </c>
      <c r="F1844" s="1350">
        <f>SUM(F1842:F1843)</f>
        <v>626.46090775325297</v>
      </c>
      <c r="G1844" s="1350">
        <f>SUM(G1842:G1843)</f>
        <v>0</v>
      </c>
      <c r="H1844" s="1350">
        <f>SUM(H1842:H1843)</f>
        <v>626.46090775325297</v>
      </c>
      <c r="I1844" s="1525"/>
      <c r="J1844" s="1366">
        <f t="shared" ref="J1844:Q1844" si="783">SUM(J1842:J1843)</f>
        <v>626.46090775325297</v>
      </c>
      <c r="K1844" s="1366">
        <f t="shared" si="783"/>
        <v>316.13358975594224</v>
      </c>
      <c r="L1844" s="1366">
        <f t="shared" si="783"/>
        <v>29.214444451259041</v>
      </c>
      <c r="M1844" s="1366">
        <f t="shared" si="783"/>
        <v>217.63626389760336</v>
      </c>
      <c r="N1844" s="1378">
        <f t="shared" si="783"/>
        <v>34.64419389080566</v>
      </c>
      <c r="O1844" s="1378">
        <f>SUM(O1842:O1843)</f>
        <v>25.522788671559834</v>
      </c>
      <c r="P1844" s="1378">
        <f>SUM(P1842:P1843)</f>
        <v>3.3096270860828403</v>
      </c>
      <c r="Q1844" s="1366">
        <f t="shared" si="783"/>
        <v>0</v>
      </c>
      <c r="R1844" s="1358"/>
      <c r="V1844" s="1320" t="s">
        <v>6061</v>
      </c>
      <c r="Y1844" s="1324"/>
    </row>
    <row r="1845" spans="1:25">
      <c r="A1845" s="1320" t="s">
        <v>5915</v>
      </c>
      <c r="C1845" s="1322">
        <v>181</v>
      </c>
      <c r="G1845" s="1320"/>
      <c r="I1845" s="1525"/>
    </row>
    <row r="1846" spans="1:25">
      <c r="A1846" s="1320" t="s">
        <v>5915</v>
      </c>
      <c r="C1846" s="1322">
        <v>182</v>
      </c>
      <c r="D1846" s="1356" t="s">
        <v>6062</v>
      </c>
      <c r="G1846" s="1320"/>
      <c r="I1846" s="1525"/>
    </row>
    <row r="1847" spans="1:25">
      <c r="A1847" s="1320" t="s">
        <v>5915</v>
      </c>
      <c r="C1847" s="1322">
        <v>183</v>
      </c>
      <c r="D1847" s="1320" t="s">
        <v>5265</v>
      </c>
      <c r="E1847" s="1320" t="s">
        <v>4067</v>
      </c>
      <c r="F1847" s="1320">
        <f t="shared" ref="F1847:H1848" si="784">+F1757+F1783+F1794+F1805+F1816+F1842</f>
        <v>917752.14084481611</v>
      </c>
      <c r="G1847" s="1320">
        <f t="shared" si="784"/>
        <v>0</v>
      </c>
      <c r="H1847" s="1320">
        <f t="shared" si="784"/>
        <v>917752.14084481611</v>
      </c>
      <c r="I1847" s="1525"/>
      <c r="J1847" s="1324">
        <f t="shared" ref="J1847:Q1848" si="785">+J1757+J1783+J1794+J1805+J1816+J1842</f>
        <v>917752.14084481611</v>
      </c>
      <c r="K1847" s="1324">
        <f t="shared" si="785"/>
        <v>526986.73964046955</v>
      </c>
      <c r="L1847" s="1324">
        <f t="shared" si="785"/>
        <v>43824.557542476243</v>
      </c>
      <c r="M1847" s="1324">
        <f t="shared" si="785"/>
        <v>283628.60607445147</v>
      </c>
      <c r="N1847" s="1325">
        <f t="shared" si="785"/>
        <v>36249.655432174288</v>
      </c>
      <c r="O1847" s="1325">
        <f>+O1757+O1783+O1794+O1805+O1816+O1842</f>
        <v>26088.990744362913</v>
      </c>
      <c r="P1847" s="1325">
        <f>+P1757+P1783+P1794+P1805+P1816+P1842</f>
        <v>973.59141088156662</v>
      </c>
      <c r="Q1847" s="1324">
        <f t="shared" si="785"/>
        <v>0</v>
      </c>
      <c r="V1847" s="1320" t="s">
        <v>6063</v>
      </c>
    </row>
    <row r="1848" spans="1:25">
      <c r="A1848" s="1320" t="s">
        <v>5915</v>
      </c>
      <c r="C1848" s="1322">
        <v>184</v>
      </c>
      <c r="D1848" s="1320" t="s">
        <v>5265</v>
      </c>
      <c r="E1848" s="1320" t="s">
        <v>2067</v>
      </c>
      <c r="F1848" s="1320">
        <f t="shared" si="784"/>
        <v>110474.21617532389</v>
      </c>
      <c r="G1848" s="1320">
        <f t="shared" si="784"/>
        <v>0</v>
      </c>
      <c r="H1848" s="1320">
        <f t="shared" si="784"/>
        <v>110474.21617532389</v>
      </c>
      <c r="I1848" s="1525"/>
      <c r="J1848" s="1324">
        <f t="shared" si="785"/>
        <v>110474.21617532389</v>
      </c>
      <c r="K1848" s="1324">
        <f t="shared" si="785"/>
        <v>55749.066067399421</v>
      </c>
      <c r="L1848" s="1324">
        <f t="shared" si="785"/>
        <v>5151.8663204785162</v>
      </c>
      <c r="M1848" s="1324">
        <f t="shared" si="785"/>
        <v>38379.403036723372</v>
      </c>
      <c r="N1848" s="1325">
        <f t="shared" si="785"/>
        <v>6109.3838701586983</v>
      </c>
      <c r="O1848" s="1325">
        <f>+O1758+O1784+O1795+O1806+O1817+O1843</f>
        <v>4500.855581254531</v>
      </c>
      <c r="P1848" s="1325">
        <f>+P1758+P1784+P1795+P1806+P1817+P1843</f>
        <v>583.64129930934928</v>
      </c>
      <c r="Q1848" s="1324">
        <f t="shared" si="785"/>
        <v>0</v>
      </c>
      <c r="V1848" s="1320" t="s">
        <v>6064</v>
      </c>
    </row>
    <row r="1849" spans="1:25">
      <c r="A1849" s="1320" t="s">
        <v>5915</v>
      </c>
      <c r="C1849" s="1322">
        <v>185</v>
      </c>
      <c r="D1849" s="1320" t="s">
        <v>5268</v>
      </c>
      <c r="E1849" s="1320" t="s">
        <v>4067</v>
      </c>
      <c r="F1849" s="1320">
        <f t="shared" ref="F1849:H1854" si="786">+F1759+F1785+F1796+F1807+F1818</f>
        <v>61649.648607658179</v>
      </c>
      <c r="G1849" s="1320">
        <f t="shared" si="786"/>
        <v>4458.5117054004968</v>
      </c>
      <c r="H1849" s="1320">
        <f t="shared" si="786"/>
        <v>57190.904776034069</v>
      </c>
      <c r="I1849" s="1525"/>
      <c r="J1849" s="1324">
        <f t="shared" ref="J1849:Q1854" si="787">+J1759+J1785+J1796+J1807+J1818</f>
        <v>57190.904776034069</v>
      </c>
      <c r="K1849" s="1324">
        <f t="shared" si="787"/>
        <v>33171.47054657351</v>
      </c>
      <c r="L1849" s="1324">
        <f t="shared" si="787"/>
        <v>2736.311734226962</v>
      </c>
      <c r="M1849" s="1324">
        <f t="shared" si="787"/>
        <v>17491.866227733201</v>
      </c>
      <c r="N1849" s="1325">
        <f t="shared" si="787"/>
        <v>2183.6275721664961</v>
      </c>
      <c r="O1849" s="1325">
        <f t="shared" si="787"/>
        <v>1567.0807665805507</v>
      </c>
      <c r="P1849" s="1325">
        <f t="shared" si="787"/>
        <v>40.547928753366278</v>
      </c>
      <c r="Q1849" s="1324">
        <f t="shared" si="787"/>
        <v>0</v>
      </c>
      <c r="V1849" s="1320" t="s">
        <v>6065</v>
      </c>
    </row>
    <row r="1850" spans="1:25">
      <c r="A1850" s="1320" t="s">
        <v>5915</v>
      </c>
      <c r="C1850" s="1322">
        <v>186</v>
      </c>
      <c r="D1850" s="1320" t="s">
        <v>5239</v>
      </c>
      <c r="E1850" s="1320" t="s">
        <v>4067</v>
      </c>
      <c r="F1850" s="1358">
        <f t="shared" si="786"/>
        <v>75420.496881080166</v>
      </c>
      <c r="G1850" s="1358">
        <f t="shared" si="786"/>
        <v>5357.3686095987423</v>
      </c>
      <c r="H1850" s="1358">
        <f t="shared" si="786"/>
        <v>70063.340712665638</v>
      </c>
      <c r="I1850" s="1525"/>
      <c r="J1850" s="1364">
        <f t="shared" si="787"/>
        <v>70063.340712665638</v>
      </c>
      <c r="K1850" s="1364">
        <f t="shared" si="787"/>
        <v>40637.651247976959</v>
      </c>
      <c r="L1850" s="1364">
        <f t="shared" si="787"/>
        <v>3352.1963340497318</v>
      </c>
      <c r="M1850" s="1364">
        <f t="shared" si="787"/>
        <v>21428.90706159285</v>
      </c>
      <c r="N1850" s="1367">
        <f t="shared" si="787"/>
        <v>2675.1149186641951</v>
      </c>
      <c r="O1850" s="1367">
        <f t="shared" si="787"/>
        <v>1919.7967596974977</v>
      </c>
      <c r="P1850" s="1367">
        <f t="shared" si="787"/>
        <v>49.674390684416778</v>
      </c>
      <c r="Q1850" s="1364">
        <f t="shared" si="787"/>
        <v>0</v>
      </c>
      <c r="R1850" s="1358"/>
      <c r="V1850" s="1320" t="s">
        <v>6066</v>
      </c>
      <c r="Y1850" s="1324"/>
    </row>
    <row r="1851" spans="1:25">
      <c r="A1851" s="1320" t="s">
        <v>5915</v>
      </c>
      <c r="C1851" s="1322">
        <v>187</v>
      </c>
      <c r="D1851" s="1320" t="s">
        <v>5240</v>
      </c>
      <c r="E1851" s="1320" t="s">
        <v>4067</v>
      </c>
      <c r="F1851" s="1358">
        <f t="shared" si="786"/>
        <v>288431.24614314595</v>
      </c>
      <c r="G1851" s="1358">
        <f t="shared" si="786"/>
        <v>0</v>
      </c>
      <c r="H1851" s="1358">
        <f t="shared" si="786"/>
        <v>288431.24614314595</v>
      </c>
      <c r="I1851" s="1525"/>
      <c r="J1851" s="1364">
        <f t="shared" si="787"/>
        <v>288431.24614314595</v>
      </c>
      <c r="K1851" s="1364">
        <f t="shared" si="787"/>
        <v>179524.22598281153</v>
      </c>
      <c r="L1851" s="1364">
        <f t="shared" si="787"/>
        <v>12768.21320931718</v>
      </c>
      <c r="M1851" s="1364">
        <f t="shared" si="787"/>
        <v>85491.15957545834</v>
      </c>
      <c r="N1851" s="1367">
        <f t="shared" si="787"/>
        <v>8991.9510943906753</v>
      </c>
      <c r="O1851" s="1367">
        <f t="shared" si="787"/>
        <v>6.1395290337341781E-3</v>
      </c>
      <c r="P1851" s="1367">
        <f t="shared" si="787"/>
        <v>1655.6901416392316</v>
      </c>
      <c r="Q1851" s="1364">
        <f t="shared" si="787"/>
        <v>0</v>
      </c>
      <c r="R1851" s="1358"/>
      <c r="V1851" s="1320" t="s">
        <v>6067</v>
      </c>
      <c r="Y1851" s="1324"/>
    </row>
    <row r="1852" spans="1:25">
      <c r="A1852" s="1320" t="s">
        <v>5915</v>
      </c>
      <c r="C1852" s="1322">
        <v>188</v>
      </c>
      <c r="D1852" s="1320" t="s">
        <v>5241</v>
      </c>
      <c r="E1852" s="1320" t="s">
        <v>4067</v>
      </c>
      <c r="F1852" s="1358">
        <f t="shared" si="786"/>
        <v>121625.45961425822</v>
      </c>
      <c r="G1852" s="1358">
        <f t="shared" si="786"/>
        <v>0</v>
      </c>
      <c r="H1852" s="1358">
        <f t="shared" si="786"/>
        <v>121625.45961425822</v>
      </c>
      <c r="I1852" s="1525"/>
      <c r="J1852" s="1364">
        <f t="shared" si="787"/>
        <v>121625.45961425822</v>
      </c>
      <c r="K1852" s="1364">
        <f t="shared" si="787"/>
        <v>88741.980754635209</v>
      </c>
      <c r="L1852" s="1364">
        <f t="shared" si="787"/>
        <v>7145.4906448639013</v>
      </c>
      <c r="M1852" s="1364">
        <f t="shared" si="787"/>
        <v>25298.016846565952</v>
      </c>
      <c r="N1852" s="1367">
        <f t="shared" si="787"/>
        <v>0</v>
      </c>
      <c r="O1852" s="1367">
        <f t="shared" si="787"/>
        <v>0</v>
      </c>
      <c r="P1852" s="1367">
        <f t="shared" si="787"/>
        <v>439.97136819313562</v>
      </c>
      <c r="Q1852" s="1364">
        <f t="shared" si="787"/>
        <v>0</v>
      </c>
      <c r="R1852" s="1358"/>
      <c r="V1852" s="1320" t="s">
        <v>6068</v>
      </c>
      <c r="Y1852" s="1324"/>
    </row>
    <row r="1853" spans="1:25">
      <c r="A1853" s="1320" t="s">
        <v>5915</v>
      </c>
      <c r="C1853" s="1322">
        <v>189</v>
      </c>
      <c r="D1853" s="1320" t="s">
        <v>5242</v>
      </c>
      <c r="E1853" s="1320" t="s">
        <v>4071</v>
      </c>
      <c r="F1853" s="1358">
        <f t="shared" si="786"/>
        <v>145860.98364821103</v>
      </c>
      <c r="G1853" s="1358">
        <f t="shared" si="786"/>
        <v>0</v>
      </c>
      <c r="H1853" s="1358">
        <f t="shared" si="786"/>
        <v>145860.98364821103</v>
      </c>
      <c r="I1853" s="1525"/>
      <c r="J1853" s="1364">
        <f t="shared" si="787"/>
        <v>145860.98364821103</v>
      </c>
      <c r="K1853" s="1364">
        <f t="shared" si="787"/>
        <v>59841.330322416936</v>
      </c>
      <c r="L1853" s="1364">
        <f t="shared" si="787"/>
        <v>11365.807112904818</v>
      </c>
      <c r="M1853" s="1364">
        <f t="shared" si="787"/>
        <v>6441.4432833412538</v>
      </c>
      <c r="N1853" s="1367">
        <f t="shared" si="787"/>
        <v>479.09487942467439</v>
      </c>
      <c r="O1853" s="1367">
        <f t="shared" si="787"/>
        <v>522.7126249564717</v>
      </c>
      <c r="P1853" s="1367">
        <f t="shared" si="787"/>
        <v>108.12461528891036</v>
      </c>
      <c r="Q1853" s="1364">
        <f t="shared" si="787"/>
        <v>67102.470809877937</v>
      </c>
      <c r="R1853" s="1358"/>
      <c r="V1853" s="1320" t="s">
        <v>6069</v>
      </c>
      <c r="Y1853" s="1324"/>
    </row>
    <row r="1854" spans="1:25">
      <c r="A1854" s="1320" t="s">
        <v>5915</v>
      </c>
      <c r="C1854" s="1322">
        <v>190</v>
      </c>
      <c r="D1854" s="1320" t="s">
        <v>5244</v>
      </c>
      <c r="E1854" s="1320" t="s">
        <v>4071</v>
      </c>
      <c r="F1854" s="1350">
        <f t="shared" si="786"/>
        <v>103051.78476872202</v>
      </c>
      <c r="G1854" s="1350">
        <f t="shared" si="786"/>
        <v>0</v>
      </c>
      <c r="H1854" s="1350">
        <f t="shared" si="786"/>
        <v>103051.78476872202</v>
      </c>
      <c r="I1854" s="1525"/>
      <c r="J1854" s="1366">
        <f t="shared" si="787"/>
        <v>103051.78476872202</v>
      </c>
      <c r="K1854" s="1366">
        <f t="shared" si="787"/>
        <v>90086.244584345724</v>
      </c>
      <c r="L1854" s="1366">
        <f t="shared" si="787"/>
        <v>8721.3511984217439</v>
      </c>
      <c r="M1854" s="1366">
        <f t="shared" si="787"/>
        <v>3631.4055652575971</v>
      </c>
      <c r="N1854" s="1378">
        <f t="shared" si="787"/>
        <v>192.10140627388145</v>
      </c>
      <c r="O1854" s="1378">
        <f t="shared" si="787"/>
        <v>109.92286376036989</v>
      </c>
      <c r="P1854" s="1378">
        <f t="shared" si="787"/>
        <v>40.553942120642446</v>
      </c>
      <c r="Q1854" s="1366">
        <f t="shared" si="787"/>
        <v>270.20520854205262</v>
      </c>
      <c r="R1854" s="1358"/>
      <c r="V1854" s="1320" t="s">
        <v>6070</v>
      </c>
      <c r="Y1854" s="1324"/>
    </row>
    <row r="1855" spans="1:25">
      <c r="A1855" s="1320" t="s">
        <v>5915</v>
      </c>
      <c r="C1855" s="1322">
        <v>191</v>
      </c>
      <c r="D1855" s="1320" t="s">
        <v>6071</v>
      </c>
      <c r="F1855" s="1350">
        <f>SUM(F1847:F1854)</f>
        <v>1824265.9766832155</v>
      </c>
      <c r="G1855" s="1350">
        <f>SUM(G1847:G1854)</f>
        <v>9815.8803149992382</v>
      </c>
      <c r="H1855" s="1350">
        <f>SUM(H1847:H1854)</f>
        <v>1814450.0766831769</v>
      </c>
      <c r="I1855" s="1525"/>
      <c r="J1855" s="1366">
        <f t="shared" ref="J1855:Q1855" si="788">SUM(J1847:J1854)</f>
        <v>1814450.0766831769</v>
      </c>
      <c r="K1855" s="1366">
        <f t="shared" si="788"/>
        <v>1074738.7091466289</v>
      </c>
      <c r="L1855" s="1366">
        <f t="shared" si="788"/>
        <v>95065.794096739104</v>
      </c>
      <c r="M1855" s="1366">
        <f t="shared" si="788"/>
        <v>481790.807671124</v>
      </c>
      <c r="N1855" s="1378">
        <f t="shared" si="788"/>
        <v>56880.929173252902</v>
      </c>
      <c r="O1855" s="1378">
        <f>SUM(O1847:O1854)</f>
        <v>34709.365480141365</v>
      </c>
      <c r="P1855" s="1378">
        <f>SUM(P1847:P1854)</f>
        <v>3891.7950968706191</v>
      </c>
      <c r="Q1855" s="1366">
        <f t="shared" si="788"/>
        <v>67372.676018419996</v>
      </c>
      <c r="R1855" s="1358"/>
      <c r="V1855" s="1320" t="s">
        <v>6072</v>
      </c>
      <c r="Y1855" s="1324"/>
    </row>
    <row r="1856" spans="1:25">
      <c r="A1856" s="1320" t="s">
        <v>5915</v>
      </c>
      <c r="C1856" s="1322">
        <v>192</v>
      </c>
      <c r="G1856" s="1320"/>
      <c r="Y1856" s="1324"/>
    </row>
    <row r="1857" spans="1:25">
      <c r="A1857" s="1320" t="s">
        <v>5915</v>
      </c>
      <c r="C1857" s="1322">
        <v>193</v>
      </c>
      <c r="D1857" s="1356" t="s">
        <v>6073</v>
      </c>
      <c r="G1857" s="1320"/>
      <c r="V1857" s="1321"/>
      <c r="Y1857" s="1324"/>
    </row>
    <row r="1858" spans="1:25">
      <c r="A1858" s="1320" t="s">
        <v>5915</v>
      </c>
      <c r="C1858" s="1322">
        <v>194</v>
      </c>
      <c r="D1858" s="1320" t="s">
        <v>5265</v>
      </c>
      <c r="E1858" s="1320" t="s">
        <v>4067</v>
      </c>
      <c r="F1858" s="1320">
        <f t="shared" ref="F1858:F1865" si="789">SUM(G1858:H1858)</f>
        <v>-0.98777670229619818</v>
      </c>
      <c r="G1858" s="1438">
        <f>((G1847/G$1855))*(G$89*('Tax &amp; Debt Inputs'!C10+'Tax &amp; Debt Inputs'!C11))</f>
        <v>0</v>
      </c>
      <c r="H1858" s="1438">
        <f>((H1847/H$1855))*(H$89*('Tax &amp; Debt Inputs'!C10+'Tax &amp; Debt Inputs'!C11))</f>
        <v>-0.98777670229619818</v>
      </c>
      <c r="I1858" s="1525"/>
      <c r="J1858" s="1438">
        <f>((J1847/J$1855))*(J$89*('Tax &amp; Debt Inputs'!C10+'Tax &amp; Debt Inputs'!C11))</f>
        <v>-0.98777670229619818</v>
      </c>
      <c r="K1858" s="1438">
        <f>((K1847/K$1855))*(K$89*('Tax &amp; Debt Inputs'!C10+'Tax &amp; Debt Inputs'!C11))</f>
        <v>19.489769293628893</v>
      </c>
      <c r="L1858" s="1438">
        <f>((L1847/L$1855))*(L$89*('Tax &amp; Debt Inputs'!C10+'Tax &amp; Debt Inputs'!C11))</f>
        <v>-4.110284639574119</v>
      </c>
      <c r="M1858" s="1438">
        <f>((M1847/M$1855))*(M$89*('Tax &amp; Debt Inputs'!C10+'Tax &amp; Debt Inputs'!C11))</f>
        <v>5.7604778134389507</v>
      </c>
      <c r="N1858" s="1438">
        <f>((N1847/N$1855))*(N$89*('Tax &amp; Debt Inputs'!C10+'Tax &amp; Debt Inputs'!C11))</f>
        <v>-2.4842856837671089E-2</v>
      </c>
      <c r="O1858" s="1438">
        <f>((O1847/O$1855))*(O$89*('Tax &amp; Debt Inputs'!C10+'Tax &amp; Debt Inputs'!C11))</f>
        <v>3.4649237125925789</v>
      </c>
      <c r="P1858" s="1438">
        <f>((P1847/P$1855))*(P$89*('Tax &amp; Debt Inputs'!C10+'Tax &amp; Debt Inputs'!C11))</f>
        <v>0.16953964461530338</v>
      </c>
      <c r="Q1858" s="1438">
        <f>((Q1847/Q$1855))*(Q$89*('Tax &amp; Debt Inputs'!C10+'Tax &amp; Debt Inputs'!C11))</f>
        <v>0</v>
      </c>
      <c r="V1858" s="1321" t="s">
        <v>6074</v>
      </c>
    </row>
    <row r="1859" spans="1:25">
      <c r="A1859" s="1320" t="s">
        <v>5915</v>
      </c>
      <c r="C1859" s="1322">
        <v>195</v>
      </c>
      <c r="D1859" s="1320" t="s">
        <v>5265</v>
      </c>
      <c r="E1859" s="1320" t="s">
        <v>2067</v>
      </c>
      <c r="F1859" s="1320">
        <f t="shared" si="789"/>
        <v>-0.11890340766949042</v>
      </c>
      <c r="G1859" s="1438">
        <f>((G1848/G$1855))*(G$89*('Tax &amp; Debt Inputs'!C10+'Tax &amp; Debt Inputs'!C11))</f>
        <v>0</v>
      </c>
      <c r="H1859" s="1438">
        <f>((H1848/H$1855))*(H$89*('Tax &amp; Debt Inputs'!C10+'Tax &amp; Debt Inputs'!C11))</f>
        <v>-0.11890340766949042</v>
      </c>
      <c r="I1859" s="1525"/>
      <c r="J1859" s="1438">
        <f>((J1848/J$1855))*(J$89*('Tax &amp; Debt Inputs'!C10+'Tax &amp; Debt Inputs'!C11))</f>
        <v>-0.11890340766949042</v>
      </c>
      <c r="K1859" s="1438">
        <f>((K1848/K$1855))*(K$89*('Tax &amp; Debt Inputs'!C10+'Tax &amp; Debt Inputs'!C11))</f>
        <v>2.0617908464455219</v>
      </c>
      <c r="L1859" s="1438">
        <f>((L1848/L$1855))*(L$89*('Tax &amp; Debt Inputs'!C10+'Tax &amp; Debt Inputs'!C11))</f>
        <v>-0.48319111908153184</v>
      </c>
      <c r="M1859" s="1438">
        <f>((M1848/M$1855))*(M$89*('Tax &amp; Debt Inputs'!C10+'Tax &amp; Debt Inputs'!C11))</f>
        <v>0.77948308087105578</v>
      </c>
      <c r="N1859" s="1438">
        <f>((N1848/N$1855))*(N$89*('Tax &amp; Debt Inputs'!C10+'Tax &amp; Debt Inputs'!C11))</f>
        <v>-4.1869239043309126E-3</v>
      </c>
      <c r="O1859" s="1438">
        <f>((O1848/O$1855))*(O$89*('Tax &amp; Debt Inputs'!C10+'Tax &amp; Debt Inputs'!C11))</f>
        <v>0.59776636755536972</v>
      </c>
      <c r="P1859" s="1438">
        <f>((P1848/P$1855))*(P$89*('Tax &amp; Debt Inputs'!C10+'Tax &amp; Debt Inputs'!C11))</f>
        <v>0.10163435848116566</v>
      </c>
      <c r="Q1859" s="1438">
        <f>((Q1848/Q$1855))*(Q$89*('Tax &amp; Debt Inputs'!C10+'Tax &amp; Debt Inputs'!C11))</f>
        <v>0</v>
      </c>
      <c r="V1859" s="1321" t="s">
        <v>6075</v>
      </c>
    </row>
    <row r="1860" spans="1:25">
      <c r="A1860" s="1320" t="s">
        <v>5915</v>
      </c>
      <c r="C1860" s="1322">
        <v>196</v>
      </c>
      <c r="D1860" s="1320" t="s">
        <v>5268</v>
      </c>
      <c r="E1860" s="1320" t="s">
        <v>4067</v>
      </c>
      <c r="F1860" s="1320">
        <f t="shared" si="789"/>
        <v>2.4749471064179893</v>
      </c>
      <c r="G1860" s="1438">
        <f>((G1849/G$1855))*(G$89*('Tax &amp; Debt Inputs'!C10+'Tax &amp; Debt Inputs'!C11))</f>
        <v>2.536501681784062</v>
      </c>
      <c r="H1860" s="1438">
        <f>((H1849/H$1855))*(H$89*('Tax &amp; Debt Inputs'!C10+'Tax &amp; Debt Inputs'!C11))</f>
        <v>-6.1554575366072728E-2</v>
      </c>
      <c r="I1860" s="1525"/>
      <c r="J1860" s="1438">
        <f>((J1849/J$1855))*(J$89*('Tax &amp; Debt Inputs'!C10+'Tax &amp; Debt Inputs'!C11))</f>
        <v>-6.1554575366072728E-2</v>
      </c>
      <c r="K1860" s="1438">
        <f>((K1849/K$1855))*(K$89*('Tax &amp; Debt Inputs'!C10+'Tax &amp; Debt Inputs'!C11))</f>
        <v>1.2267942615106284</v>
      </c>
      <c r="L1860" s="1438">
        <f>((L1849/L$1855))*(L$89*('Tax &amp; Debt Inputs'!C10+'Tax &amp; Debt Inputs'!C11))</f>
        <v>-0.25663739056300816</v>
      </c>
      <c r="M1860" s="1438">
        <f>((M1849/M$1855))*(M$89*('Tax &amp; Debt Inputs'!C10+'Tax &amp; Debt Inputs'!C11))</f>
        <v>0.3552586204723287</v>
      </c>
      <c r="N1860" s="1438">
        <f>((N1849/N$1855))*(N$89*('Tax &amp; Debt Inputs'!C10+'Tax &amp; Debt Inputs'!C11))</f>
        <v>-1.4964982843388571E-3</v>
      </c>
      <c r="O1860" s="1438">
        <f>((O1849/O$1855))*(O$89*('Tax &amp; Debt Inputs'!C10+'Tax &amp; Debt Inputs'!C11))</f>
        <v>0.20812669071324405</v>
      </c>
      <c r="P1860" s="1438">
        <f>((P1849/P$1855))*(P$89*('Tax &amp; Debt Inputs'!C10+'Tax &amp; Debt Inputs'!C11))</f>
        <v>7.0609511894806683E-3</v>
      </c>
      <c r="Q1860" s="1438">
        <f>((Q1849/Q$1855))*(Q$89*('Tax &amp; Debt Inputs'!C10+'Tax &amp; Debt Inputs'!C11))</f>
        <v>0</v>
      </c>
      <c r="V1860" s="1321" t="s">
        <v>6076</v>
      </c>
      <c r="Y1860" s="1324"/>
    </row>
    <row r="1861" spans="1:25">
      <c r="A1861" s="1320" t="s">
        <v>5915</v>
      </c>
      <c r="C1861" s="1322">
        <v>197</v>
      </c>
      <c r="D1861" s="1320" t="s">
        <v>5239</v>
      </c>
      <c r="E1861" s="1320" t="s">
        <v>4067</v>
      </c>
      <c r="F1861" s="1320">
        <f t="shared" si="789"/>
        <v>2.972463157160298</v>
      </c>
      <c r="G1861" s="1438">
        <f>((G1850/G$1855))*(G$89*('Tax &amp; Debt Inputs'!C10+'Tax &amp; Debt Inputs'!C11))</f>
        <v>3.0478723363503404</v>
      </c>
      <c r="H1861" s="1438">
        <f>((H1850/H$1855))*(H$89*('Tax &amp; Debt Inputs'!C10+'Tax &amp; Debt Inputs'!C11))</f>
        <v>-7.5409179190042475E-2</v>
      </c>
      <c r="I1861" s="1525"/>
      <c r="J1861" s="1438">
        <f>((J1850/J$1855))*(J$89*('Tax &amp; Debt Inputs'!C10+'Tax &amp; Debt Inputs'!C11))</f>
        <v>-7.5409179190042475E-2</v>
      </c>
      <c r="K1861" s="1438">
        <f>((K1850/K$1855))*(K$89*('Tax &amp; Debt Inputs'!C10+'Tax &amp; Debt Inputs'!C11))</f>
        <v>1.5029191208840782</v>
      </c>
      <c r="L1861" s="1438">
        <f>((L1850/L$1855))*(L$89*('Tax &amp; Debt Inputs'!C10+'Tax &amp; Debt Inputs'!C11))</f>
        <v>-0.31440091750673616</v>
      </c>
      <c r="M1861" s="1438">
        <f>((M1850/M$1855))*(M$89*('Tax &amp; Debt Inputs'!C10+'Tax &amp; Debt Inputs'!C11))</f>
        <v>0.43521965362742054</v>
      </c>
      <c r="N1861" s="1438">
        <f>((N1850/N$1855))*(N$89*('Tax &amp; Debt Inputs'!C10+'Tax &amp; Debt Inputs'!C11))</f>
        <v>-1.8333276870186942E-3</v>
      </c>
      <c r="O1861" s="1438">
        <f>((O1850/O$1855))*(O$89*('Tax &amp; Debt Inputs'!C10+'Tax &amp; Debt Inputs'!C11))</f>
        <v>0.25497150814358555</v>
      </c>
      <c r="P1861" s="1438">
        <f>((P1850/P$1855))*(P$89*('Tax &amp; Debt Inputs'!C10+'Tax &amp; Debt Inputs'!C11))</f>
        <v>8.6502186122328403E-3</v>
      </c>
      <c r="Q1861" s="1438">
        <f>((Q1850/Q$1855))*(Q$89*('Tax &amp; Debt Inputs'!C10+'Tax &amp; Debt Inputs'!C11))</f>
        <v>0</v>
      </c>
      <c r="V1861" s="1321" t="s">
        <v>6077</v>
      </c>
      <c r="Y1861" s="1324"/>
    </row>
    <row r="1862" spans="1:25">
      <c r="A1862" s="1320" t="s">
        <v>5915</v>
      </c>
      <c r="C1862" s="1322">
        <v>198</v>
      </c>
      <c r="D1862" s="1320" t="s">
        <v>5240</v>
      </c>
      <c r="E1862" s="1320" t="s">
        <v>4067</v>
      </c>
      <c r="F1862" s="1320">
        <f t="shared" si="789"/>
        <v>-0.3104385731992913</v>
      </c>
      <c r="G1862" s="1438">
        <f>((G1851/G$1855))*(G$89*('Tax &amp; Debt Inputs'!C10+'Tax &amp; Debt Inputs'!C11))</f>
        <v>0</v>
      </c>
      <c r="H1862" s="1438">
        <f>((H1851/H$1855))*(H$89*('Tax &amp; Debt Inputs'!C10+'Tax &amp; Debt Inputs'!C11))</f>
        <v>-0.3104385731992913</v>
      </c>
      <c r="I1862" s="1525"/>
      <c r="J1862" s="1438">
        <f>((J1851/J$1855))*(J$89*('Tax &amp; Debt Inputs'!C10+'Tax &amp; Debt Inputs'!C11))</f>
        <v>-0.3104385731992913</v>
      </c>
      <c r="K1862" s="1438">
        <f>((K1851/K$1855))*(K$89*('Tax &amp; Debt Inputs'!C10+'Tax &amp; Debt Inputs'!C11))</f>
        <v>6.6394189527603062</v>
      </c>
      <c r="L1862" s="1438">
        <f>((L1851/L$1855))*(L$89*('Tax &amp; Debt Inputs'!C10+'Tax &amp; Debt Inputs'!C11))</f>
        <v>-1.1975247115318262</v>
      </c>
      <c r="M1862" s="1438">
        <f>((M1851/M$1855))*(M$89*('Tax &amp; Debt Inputs'!C10+'Tax &amp; Debt Inputs'!C11))</f>
        <v>1.7363196709796089</v>
      </c>
      <c r="N1862" s="1438">
        <f>((N1851/N$1855))*(N$89*('Tax &amp; Debt Inputs'!C10+'Tax &amp; Debt Inputs'!C11))</f>
        <v>-6.1624241959281015E-3</v>
      </c>
      <c r="O1862" s="1438">
        <f>((O1851/O$1855))*(O$89*('Tax &amp; Debt Inputs'!C10+'Tax &amp; Debt Inputs'!C11))</f>
        <v>8.1540140596403284E-7</v>
      </c>
      <c r="P1862" s="1438">
        <f>((P1851/P$1855))*(P$89*('Tax &amp; Debt Inputs'!C10+'Tax &amp; Debt Inputs'!C11))</f>
        <v>0.2883192220773641</v>
      </c>
      <c r="Q1862" s="1438">
        <f>((Q1851/Q$1855))*(Q$89*('Tax &amp; Debt Inputs'!C10+'Tax &amp; Debt Inputs'!C11))</f>
        <v>0</v>
      </c>
      <c r="V1862" s="1321" t="s">
        <v>6078</v>
      </c>
    </row>
    <row r="1863" spans="1:25">
      <c r="A1863" s="1320" t="s">
        <v>5915</v>
      </c>
      <c r="C1863" s="1322">
        <v>199</v>
      </c>
      <c r="D1863" s="1320" t="s">
        <v>5241</v>
      </c>
      <c r="E1863" s="1320" t="s">
        <v>4067</v>
      </c>
      <c r="F1863" s="1320">
        <f t="shared" si="789"/>
        <v>-0.13090549187108444</v>
      </c>
      <c r="G1863" s="1438">
        <f>((G1852/G$1855))*(G$89*('Tax &amp; Debt Inputs'!C10+'Tax &amp; Debt Inputs'!C11))</f>
        <v>0</v>
      </c>
      <c r="H1863" s="1438">
        <f>((H1852/H$1855))*(H$89*('Tax &amp; Debt Inputs'!C10+'Tax &amp; Debt Inputs'!C11))</f>
        <v>-0.13090549187108444</v>
      </c>
      <c r="I1863" s="1525"/>
      <c r="J1863" s="1438">
        <f>((J1852/J$1855))*(J$89*('Tax &amp; Debt Inputs'!C10+'Tax &amp; Debt Inputs'!C11))</f>
        <v>-0.13090549187108444</v>
      </c>
      <c r="K1863" s="1438">
        <f>((K1852/K$1855))*(K$89*('Tax &amp; Debt Inputs'!C10+'Tax &amp; Debt Inputs'!C11))</f>
        <v>3.2819815025089012</v>
      </c>
      <c r="L1863" s="1438">
        <f>((L1852/L$1855))*(L$89*('Tax &amp; Debt Inputs'!C10+'Tax &amp; Debt Inputs'!C11))</f>
        <v>-0.67017220678927025</v>
      </c>
      <c r="M1863" s="1438">
        <f>((M1852/M$1855))*(M$89*('Tax &amp; Debt Inputs'!C10+'Tax &amp; Debt Inputs'!C11))</f>
        <v>0.51380101177239768</v>
      </c>
      <c r="N1863" s="1438">
        <f>((N1852/N$1855))*(N$89*('Tax &amp; Debt Inputs'!C10+'Tax &amp; Debt Inputs'!C11))</f>
        <v>0</v>
      </c>
      <c r="O1863" s="1438">
        <f>((O1852/O$1855))*(O$89*('Tax &amp; Debt Inputs'!C10+'Tax &amp; Debt Inputs'!C11))</f>
        <v>0</v>
      </c>
      <c r="P1863" s="1438">
        <f>((P1852/P$1855))*(P$89*('Tax &amp; Debt Inputs'!C10+'Tax &amp; Debt Inputs'!C11))</f>
        <v>7.6615907423454949E-2</v>
      </c>
      <c r="Q1863" s="1438">
        <f>((Q1852/Q$1855))*(Q$89*('Tax &amp; Debt Inputs'!C10+'Tax &amp; Debt Inputs'!C11))</f>
        <v>0</v>
      </c>
      <c r="V1863" s="1321" t="s">
        <v>6079</v>
      </c>
    </row>
    <row r="1864" spans="1:25">
      <c r="A1864" s="1320" t="s">
        <v>5915</v>
      </c>
      <c r="C1864" s="1322">
        <v>200</v>
      </c>
      <c r="D1864" s="1320" t="s">
        <v>5242</v>
      </c>
      <c r="E1864" s="1320" t="s">
        <v>4071</v>
      </c>
      <c r="F1864" s="1320">
        <f t="shared" si="789"/>
        <v>-0.15699018831934486</v>
      </c>
      <c r="G1864" s="1438">
        <f>((G1853/G$1855))*(G$89*('Tax &amp; Debt Inputs'!C10+'Tax &amp; Debt Inputs'!C11))</f>
        <v>0</v>
      </c>
      <c r="H1864" s="1438">
        <f>((H1853/H$1855))*(H$89*('Tax &amp; Debt Inputs'!C10+'Tax &amp; Debt Inputs'!C11))</f>
        <v>-0.15699018831934486</v>
      </c>
      <c r="I1864" s="1525"/>
      <c r="J1864" s="1438">
        <f>((J1853/J$1855))*(J$89*('Tax &amp; Debt Inputs'!C10+'Tax &amp; Debt Inputs'!C11))</f>
        <v>-0.15699018831934486</v>
      </c>
      <c r="K1864" s="1438">
        <f>((K1853/K$1855))*(K$89*('Tax &amp; Debt Inputs'!C10+'Tax &amp; Debt Inputs'!C11))</f>
        <v>2.2131367536940973</v>
      </c>
      <c r="L1864" s="1438">
        <f>((L1853/L$1855))*(L$89*('Tax &amp; Debt Inputs'!C10+'Tax &amp; Debt Inputs'!C11))</f>
        <v>-1.0659937033535487</v>
      </c>
      <c r="M1864" s="1438">
        <f>((M1853/M$1855))*(M$89*('Tax &amp; Debt Inputs'!C10+'Tax &amp; Debt Inputs'!C11))</f>
        <v>0.13082527758315221</v>
      </c>
      <c r="N1864" s="1438">
        <f>((N1853/N$1855))*(N$89*('Tax &amp; Debt Inputs'!C10+'Tax &amp; Debt Inputs'!C11))</f>
        <v>-3.2833651408019956E-4</v>
      </c>
      <c r="O1864" s="1438">
        <f>((O1853/O$1855))*(O$89*('Tax &amp; Debt Inputs'!C10+'Tax &amp; Debt Inputs'!C11))</f>
        <v>6.9422362360818043E-2</v>
      </c>
      <c r="P1864" s="1438">
        <f>((P1853/P$1855))*(P$89*('Tax &amp; Debt Inputs'!C10+'Tax &amp; Debt Inputs'!C11))</f>
        <v>1.88286468485271E-2</v>
      </c>
      <c r="Q1864" s="1438">
        <f>((Q1853/Q$1855))*(Q$89*('Tax &amp; Debt Inputs'!C10+'Tax &amp; Debt Inputs'!C11))</f>
        <v>-47.624587462500514</v>
      </c>
      <c r="V1864" s="1321" t="s">
        <v>6080</v>
      </c>
    </row>
    <row r="1865" spans="1:25">
      <c r="A1865" s="1320" t="s">
        <v>5915</v>
      </c>
      <c r="C1865" s="1322">
        <v>201</v>
      </c>
      <c r="D1865" s="1320" t="s">
        <v>5244</v>
      </c>
      <c r="E1865" s="1320" t="s">
        <v>4071</v>
      </c>
      <c r="F1865" s="1350">
        <f t="shared" si="789"/>
        <v>-0.11091464415531992</v>
      </c>
      <c r="G1865" s="1535">
        <f>((G1854/G$1855))*(G$89*('Tax &amp; Debt Inputs'!C10+'Tax &amp; Debt Inputs'!C11))</f>
        <v>0</v>
      </c>
      <c r="H1865" s="1535">
        <f>((H1854/H$1855))*(H$89*('Tax &amp; Debt Inputs'!C10+'Tax &amp; Debt Inputs'!C11))</f>
        <v>-0.11091464415531992</v>
      </c>
      <c r="I1865" s="1525"/>
      <c r="J1865" s="1535">
        <f>((J1854/J$1855))*(J$89*('Tax &amp; Debt Inputs'!C10+'Tax &amp; Debt Inputs'!C11))</f>
        <v>-0.11091464415531992</v>
      </c>
      <c r="K1865" s="1535">
        <f>((K1854/K$1855))*(K$89*('Tax &amp; Debt Inputs'!C10+'Tax &amp; Debt Inputs'!C11))</f>
        <v>3.3316969695976977</v>
      </c>
      <c r="L1865" s="1535">
        <f>((L1854/L$1855))*(L$89*('Tax &amp; Debt Inputs'!C10+'Tax &amp; Debt Inputs'!C11))</f>
        <v>-0.81797142692107905</v>
      </c>
      <c r="M1865" s="1535">
        <f>((M1854/M$1855))*(M$89*('Tax &amp; Debt Inputs'!C10+'Tax &amp; Debt Inputs'!C11))</f>
        <v>7.3753601513572492E-2</v>
      </c>
      <c r="N1865" s="1535">
        <f>((N1854/N$1855))*(N$89*('Tax &amp; Debt Inputs'!C10+'Tax &amp; Debt Inputs'!C11))</f>
        <v>-1.3165222337924653E-4</v>
      </c>
      <c r="O1865" s="1535">
        <f>((O1854/O$1855))*(O$89*('Tax &amp; Debt Inputs'!C10+'Tax &amp; Debt Inputs'!C11))</f>
        <v>1.459904451388888E-2</v>
      </c>
      <c r="P1865" s="1535">
        <f>((P1854/P$1855))*(P$89*('Tax &amp; Debt Inputs'!C10+'Tax &amp; Debt Inputs'!C11))</f>
        <v>7.06199834760013E-3</v>
      </c>
      <c r="Q1865" s="1535">
        <f>((Q1854/Q$1855))*(Q$89*('Tax &amp; Debt Inputs'!C10+'Tax &amp; Debt Inputs'!C11))</f>
        <v>-0.1917725447620903</v>
      </c>
      <c r="R1865" s="1358"/>
      <c r="V1865" s="1321" t="s">
        <v>6081</v>
      </c>
    </row>
    <row r="1866" spans="1:25">
      <c r="A1866" s="1320" t="s">
        <v>5915</v>
      </c>
      <c r="C1866" s="1322">
        <v>202</v>
      </c>
      <c r="D1866" s="1320" t="s">
        <v>6082</v>
      </c>
      <c r="F1866" s="1350">
        <f>SUM(F1858:F1865)</f>
        <v>3.6314812560675582</v>
      </c>
      <c r="G1866" s="1350">
        <f>SUM(G1858:G1865)</f>
        <v>5.5843740181344028</v>
      </c>
      <c r="H1866" s="1350">
        <f>SUM(H1858:H1865)</f>
        <v>-1.9528927620668441</v>
      </c>
      <c r="I1866" s="1525"/>
      <c r="J1866" s="1421">
        <f t="shared" ref="J1866:Q1866" si="790">SUM(J1858:J1865)</f>
        <v>-1.9528927620668441</v>
      </c>
      <c r="K1866" s="1366">
        <f t="shared" si="790"/>
        <v>39.747507701030123</v>
      </c>
      <c r="L1866" s="1366">
        <f t="shared" si="790"/>
        <v>-8.9161761153211199</v>
      </c>
      <c r="M1866" s="1366">
        <f t="shared" si="790"/>
        <v>9.7851387302584882</v>
      </c>
      <c r="N1866" s="1366">
        <f t="shared" si="790"/>
        <v>-3.89820196467471E-2</v>
      </c>
      <c r="O1866" s="1366">
        <f t="shared" si="790"/>
        <v>4.609810501280891</v>
      </c>
      <c r="P1866" s="1366">
        <f t="shared" si="790"/>
        <v>0.67771094759512895</v>
      </c>
      <c r="Q1866" s="1366">
        <f t="shared" si="790"/>
        <v>-47.816360007262602</v>
      </c>
      <c r="R1866" s="1358"/>
      <c r="V1866" s="1320" t="s">
        <v>6083</v>
      </c>
    </row>
    <row r="1867" spans="1:25">
      <c r="A1867" s="1320" t="s">
        <v>5915</v>
      </c>
      <c r="C1867" s="1322">
        <v>203</v>
      </c>
      <c r="G1867" s="1320"/>
      <c r="I1867" s="1525"/>
      <c r="Y1867" s="1324"/>
    </row>
    <row r="1868" spans="1:25">
      <c r="A1868" s="1320" t="s">
        <v>5915</v>
      </c>
      <c r="C1868" s="1322">
        <v>204</v>
      </c>
      <c r="D1868" s="1356" t="s">
        <v>6084</v>
      </c>
      <c r="G1868" s="1320"/>
      <c r="I1868" s="1525"/>
      <c r="Y1868" s="1324"/>
    </row>
    <row r="1869" spans="1:25">
      <c r="A1869" s="1320" t="s">
        <v>5915</v>
      </c>
      <c r="C1869" s="1322">
        <v>205</v>
      </c>
      <c r="D1869" s="1320" t="s">
        <v>5265</v>
      </c>
      <c r="E1869" s="1320" t="s">
        <v>4067</v>
      </c>
      <c r="F1869" s="1320">
        <f t="shared" ref="F1869:H1876" si="791">+F1847+F1858</f>
        <v>917751.15306811384</v>
      </c>
      <c r="G1869" s="1320">
        <f t="shared" si="791"/>
        <v>0</v>
      </c>
      <c r="H1869" s="1320">
        <f t="shared" si="791"/>
        <v>917751.15306811384</v>
      </c>
      <c r="I1869" s="1525"/>
      <c r="J1869" s="1324">
        <f t="shared" ref="J1869:L1876" si="792">+J1847+J1858</f>
        <v>917751.15306811384</v>
      </c>
      <c r="K1869" s="1324">
        <f t="shared" si="792"/>
        <v>527006.22940976312</v>
      </c>
      <c r="L1869" s="1324">
        <f t="shared" si="792"/>
        <v>43820.447257836669</v>
      </c>
      <c r="M1869" s="1324">
        <f t="shared" ref="M1869:Q1876" si="793">+M1847+M1858</f>
        <v>283634.3665522649</v>
      </c>
      <c r="N1869" s="1324">
        <f t="shared" si="793"/>
        <v>36249.63058931745</v>
      </c>
      <c r="O1869" s="1324">
        <f t="shared" si="793"/>
        <v>26092.455668075505</v>
      </c>
      <c r="P1869" s="1324">
        <f t="shared" si="793"/>
        <v>973.76095052618189</v>
      </c>
      <c r="Q1869" s="1324">
        <f t="shared" si="793"/>
        <v>0</v>
      </c>
      <c r="V1869" s="1320" t="s">
        <v>6085</v>
      </c>
      <c r="Y1869" s="1324"/>
    </row>
    <row r="1870" spans="1:25">
      <c r="A1870" s="1320" t="s">
        <v>5915</v>
      </c>
      <c r="C1870" s="1322">
        <v>206</v>
      </c>
      <c r="D1870" s="1320" t="s">
        <v>5265</v>
      </c>
      <c r="E1870" s="1320" t="s">
        <v>2067</v>
      </c>
      <c r="F1870" s="1320">
        <f t="shared" si="791"/>
        <v>110474.09727191622</v>
      </c>
      <c r="G1870" s="1320">
        <f t="shared" si="791"/>
        <v>0</v>
      </c>
      <c r="H1870" s="1320">
        <f t="shared" si="791"/>
        <v>110474.09727191622</v>
      </c>
      <c r="I1870" s="1525"/>
      <c r="J1870" s="1324">
        <f t="shared" si="792"/>
        <v>110474.09727191622</v>
      </c>
      <c r="K1870" s="1324">
        <f t="shared" si="792"/>
        <v>55751.127858245869</v>
      </c>
      <c r="L1870" s="1324">
        <f t="shared" si="792"/>
        <v>5151.3831293594349</v>
      </c>
      <c r="M1870" s="1324">
        <f t="shared" si="793"/>
        <v>38380.182519804242</v>
      </c>
      <c r="N1870" s="1324">
        <f t="shared" si="793"/>
        <v>6109.3796832347944</v>
      </c>
      <c r="O1870" s="1324">
        <f t="shared" si="793"/>
        <v>4501.4533476220868</v>
      </c>
      <c r="P1870" s="1324">
        <f t="shared" si="793"/>
        <v>583.74293366783047</v>
      </c>
      <c r="Q1870" s="1324">
        <f t="shared" si="793"/>
        <v>0</v>
      </c>
      <c r="V1870" s="1320" t="s">
        <v>6086</v>
      </c>
      <c r="Y1870" s="1324"/>
    </row>
    <row r="1871" spans="1:25">
      <c r="A1871" s="1320" t="s">
        <v>5915</v>
      </c>
      <c r="C1871" s="1322">
        <v>207</v>
      </c>
      <c r="D1871" s="1320" t="s">
        <v>5268</v>
      </c>
      <c r="E1871" s="1320" t="s">
        <v>4067</v>
      </c>
      <c r="F1871" s="1320">
        <f t="shared" si="791"/>
        <v>61652.123554764599</v>
      </c>
      <c r="G1871" s="1320">
        <f t="shared" si="791"/>
        <v>4461.0482070822809</v>
      </c>
      <c r="H1871" s="1320">
        <f t="shared" si="791"/>
        <v>57190.843221458701</v>
      </c>
      <c r="I1871" s="1525"/>
      <c r="J1871" s="1324">
        <f t="shared" si="792"/>
        <v>57190.843221458701</v>
      </c>
      <c r="K1871" s="1324">
        <f t="shared" si="792"/>
        <v>33172.697340835017</v>
      </c>
      <c r="L1871" s="1324">
        <f t="shared" si="792"/>
        <v>2736.0550968363991</v>
      </c>
      <c r="M1871" s="1324">
        <f t="shared" si="793"/>
        <v>17492.221486353672</v>
      </c>
      <c r="N1871" s="1324">
        <f t="shared" si="793"/>
        <v>2183.6260756682118</v>
      </c>
      <c r="O1871" s="1324">
        <f t="shared" si="793"/>
        <v>1567.288893271264</v>
      </c>
      <c r="P1871" s="1324">
        <f t="shared" si="793"/>
        <v>40.554989704555759</v>
      </c>
      <c r="Q1871" s="1324">
        <f t="shared" si="793"/>
        <v>0</v>
      </c>
      <c r="V1871" s="1320" t="s">
        <v>6087</v>
      </c>
      <c r="Y1871" s="1324"/>
    </row>
    <row r="1872" spans="1:25">
      <c r="A1872" s="1320" t="s">
        <v>5915</v>
      </c>
      <c r="C1872" s="1322">
        <v>208</v>
      </c>
      <c r="D1872" s="1320" t="s">
        <v>5239</v>
      </c>
      <c r="E1872" s="1320" t="s">
        <v>4067</v>
      </c>
      <c r="F1872" s="1320">
        <f t="shared" si="791"/>
        <v>75423.469344237325</v>
      </c>
      <c r="G1872" s="1320">
        <f t="shared" si="791"/>
        <v>5360.4164819350926</v>
      </c>
      <c r="H1872" s="1320">
        <f t="shared" si="791"/>
        <v>70063.265303486449</v>
      </c>
      <c r="I1872" s="1525"/>
      <c r="J1872" s="1324">
        <f t="shared" si="792"/>
        <v>70063.265303486449</v>
      </c>
      <c r="K1872" s="1324">
        <f t="shared" si="792"/>
        <v>40639.15416709784</v>
      </c>
      <c r="L1872" s="1324">
        <f t="shared" si="792"/>
        <v>3351.8819331322252</v>
      </c>
      <c r="M1872" s="1324">
        <f t="shared" si="793"/>
        <v>21429.342281246478</v>
      </c>
      <c r="N1872" s="1324">
        <f t="shared" si="793"/>
        <v>2675.113085336508</v>
      </c>
      <c r="O1872" s="1324">
        <f t="shared" si="793"/>
        <v>1920.0517312056413</v>
      </c>
      <c r="P1872" s="1324">
        <f t="shared" si="793"/>
        <v>49.68304090302901</v>
      </c>
      <c r="Q1872" s="1324">
        <f t="shared" si="793"/>
        <v>0</v>
      </c>
      <c r="V1872" s="1320" t="s">
        <v>6088</v>
      </c>
      <c r="Y1872" s="1324"/>
    </row>
    <row r="1873" spans="1:25">
      <c r="A1873" s="1320" t="s">
        <v>5915</v>
      </c>
      <c r="C1873" s="1322">
        <v>209</v>
      </c>
      <c r="D1873" s="1320" t="s">
        <v>5240</v>
      </c>
      <c r="E1873" s="1320" t="s">
        <v>4067</v>
      </c>
      <c r="F1873" s="1320">
        <f t="shared" si="791"/>
        <v>288430.93570457277</v>
      </c>
      <c r="G1873" s="1320">
        <f t="shared" si="791"/>
        <v>0</v>
      </c>
      <c r="H1873" s="1320">
        <f t="shared" si="791"/>
        <v>288430.93570457277</v>
      </c>
      <c r="I1873" s="1525"/>
      <c r="J1873" s="1324">
        <f t="shared" si="792"/>
        <v>288430.93570457277</v>
      </c>
      <c r="K1873" s="1324">
        <f t="shared" si="792"/>
        <v>179530.86540176428</v>
      </c>
      <c r="L1873" s="1324">
        <f t="shared" si="792"/>
        <v>12767.015684605649</v>
      </c>
      <c r="M1873" s="1324">
        <f t="shared" si="793"/>
        <v>85492.895895129317</v>
      </c>
      <c r="N1873" s="1324">
        <f t="shared" si="793"/>
        <v>8991.94493196648</v>
      </c>
      <c r="O1873" s="1324">
        <f t="shared" si="793"/>
        <v>6.1403444351401425E-3</v>
      </c>
      <c r="P1873" s="1324">
        <f t="shared" si="793"/>
        <v>1655.978460861309</v>
      </c>
      <c r="Q1873" s="1324">
        <f t="shared" si="793"/>
        <v>0</v>
      </c>
      <c r="V1873" s="1320" t="s">
        <v>6089</v>
      </c>
      <c r="Y1873" s="1324"/>
    </row>
    <row r="1874" spans="1:25">
      <c r="A1874" s="1320" t="s">
        <v>5915</v>
      </c>
      <c r="C1874" s="1322">
        <v>210</v>
      </c>
      <c r="D1874" s="1320" t="s">
        <v>5241</v>
      </c>
      <c r="E1874" s="1320" t="s">
        <v>4067</v>
      </c>
      <c r="F1874" s="1320">
        <f t="shared" si="791"/>
        <v>121625.32870876635</v>
      </c>
      <c r="G1874" s="1320">
        <f t="shared" si="791"/>
        <v>0</v>
      </c>
      <c r="H1874" s="1320">
        <f t="shared" si="791"/>
        <v>121625.32870876635</v>
      </c>
      <c r="I1874" s="1525"/>
      <c r="J1874" s="1324">
        <f t="shared" si="792"/>
        <v>121625.32870876635</v>
      </c>
      <c r="K1874" s="1324">
        <f t="shared" si="792"/>
        <v>88745.262736137724</v>
      </c>
      <c r="L1874" s="1324">
        <f t="shared" si="792"/>
        <v>7144.8204726571121</v>
      </c>
      <c r="M1874" s="1324">
        <f t="shared" si="793"/>
        <v>25298.530647577725</v>
      </c>
      <c r="N1874" s="1324">
        <f t="shared" si="793"/>
        <v>0</v>
      </c>
      <c r="O1874" s="1324">
        <f t="shared" si="793"/>
        <v>0</v>
      </c>
      <c r="P1874" s="1324">
        <f t="shared" si="793"/>
        <v>440.04798410055906</v>
      </c>
      <c r="Q1874" s="1324">
        <f t="shared" si="793"/>
        <v>0</v>
      </c>
      <c r="V1874" s="1320" t="s">
        <v>6090</v>
      </c>
      <c r="Y1874" s="1324"/>
    </row>
    <row r="1875" spans="1:25">
      <c r="A1875" s="1320" t="s">
        <v>5915</v>
      </c>
      <c r="C1875" s="1322">
        <v>211</v>
      </c>
      <c r="D1875" s="1320" t="s">
        <v>5242</v>
      </c>
      <c r="E1875" s="1320" t="s">
        <v>4071</v>
      </c>
      <c r="F1875" s="1320">
        <f t="shared" si="791"/>
        <v>145860.82665802271</v>
      </c>
      <c r="G1875" s="1320">
        <f t="shared" si="791"/>
        <v>0</v>
      </c>
      <c r="H1875" s="1320">
        <f t="shared" si="791"/>
        <v>145860.82665802271</v>
      </c>
      <c r="I1875" s="1525"/>
      <c r="J1875" s="1324">
        <f t="shared" si="792"/>
        <v>145860.82665802271</v>
      </c>
      <c r="K1875" s="1324">
        <f t="shared" si="792"/>
        <v>59843.543459170629</v>
      </c>
      <c r="L1875" s="1324">
        <f t="shared" si="792"/>
        <v>11364.741119201464</v>
      </c>
      <c r="M1875" s="1324">
        <f t="shared" si="793"/>
        <v>6441.5741086188373</v>
      </c>
      <c r="N1875" s="1324">
        <f t="shared" si="793"/>
        <v>479.0945510881603</v>
      </c>
      <c r="O1875" s="1324">
        <f t="shared" si="793"/>
        <v>522.7820473188325</v>
      </c>
      <c r="P1875" s="1324">
        <f t="shared" si="793"/>
        <v>108.1434439357589</v>
      </c>
      <c r="Q1875" s="1324">
        <f t="shared" si="793"/>
        <v>67054.846222415435</v>
      </c>
      <c r="V1875" s="1320" t="s">
        <v>6091</v>
      </c>
    </row>
    <row r="1876" spans="1:25">
      <c r="A1876" s="1320" t="s">
        <v>5915</v>
      </c>
      <c r="C1876" s="1322">
        <v>212</v>
      </c>
      <c r="D1876" s="1320" t="s">
        <v>5244</v>
      </c>
      <c r="E1876" s="1320" t="s">
        <v>4071</v>
      </c>
      <c r="F1876" s="1350">
        <f t="shared" si="791"/>
        <v>103051.67385407786</v>
      </c>
      <c r="G1876" s="1350">
        <f t="shared" si="791"/>
        <v>0</v>
      </c>
      <c r="H1876" s="1350">
        <f t="shared" si="791"/>
        <v>103051.67385407786</v>
      </c>
      <c r="I1876" s="1525"/>
      <c r="J1876" s="1366">
        <f t="shared" si="792"/>
        <v>103051.67385407786</v>
      </c>
      <c r="K1876" s="1366">
        <f t="shared" si="792"/>
        <v>90089.576281315327</v>
      </c>
      <c r="L1876" s="1366">
        <f t="shared" si="792"/>
        <v>8720.5332269948231</v>
      </c>
      <c r="M1876" s="1366">
        <f t="shared" si="793"/>
        <v>3631.4793188591107</v>
      </c>
      <c r="N1876" s="1366">
        <f t="shared" si="793"/>
        <v>192.10127462165806</v>
      </c>
      <c r="O1876" s="1366">
        <f t="shared" si="793"/>
        <v>109.93746280488378</v>
      </c>
      <c r="P1876" s="1366">
        <f t="shared" si="793"/>
        <v>40.561004118990049</v>
      </c>
      <c r="Q1876" s="1366">
        <f t="shared" si="793"/>
        <v>270.01343599729051</v>
      </c>
      <c r="R1876" s="1358"/>
      <c r="V1876" s="1320" t="s">
        <v>6092</v>
      </c>
    </row>
    <row r="1877" spans="1:25">
      <c r="A1877" s="1320" t="s">
        <v>5915</v>
      </c>
      <c r="C1877" s="1322">
        <v>213</v>
      </c>
      <c r="D1877" s="1320" t="s">
        <v>6093</v>
      </c>
      <c r="F1877" s="1350">
        <f>SUM(F1869:F1876)</f>
        <v>1824269.6081644718</v>
      </c>
      <c r="G1877" s="1350">
        <f>SUM(G1869:G1876)</f>
        <v>9821.4646890173735</v>
      </c>
      <c r="H1877" s="1350">
        <f>SUM(H1869:H1876)</f>
        <v>1814448.1237904148</v>
      </c>
      <c r="I1877" s="1525"/>
      <c r="J1877" s="1366">
        <f t="shared" ref="J1877:Q1877" si="794">SUM(J1869:J1876)</f>
        <v>1814448.1237904148</v>
      </c>
      <c r="K1877" s="1366">
        <f t="shared" si="794"/>
        <v>1074778.4566543298</v>
      </c>
      <c r="L1877" s="1366">
        <f t="shared" si="794"/>
        <v>95056.877920623781</v>
      </c>
      <c r="M1877" s="1366">
        <f t="shared" si="794"/>
        <v>481800.59280985425</v>
      </c>
      <c r="N1877" s="1366">
        <f t="shared" si="794"/>
        <v>56880.890191233259</v>
      </c>
      <c r="O1877" s="1366">
        <f t="shared" si="794"/>
        <v>34713.975290642644</v>
      </c>
      <c r="P1877" s="1366">
        <f t="shared" si="794"/>
        <v>3892.4728078182143</v>
      </c>
      <c r="Q1877" s="1366">
        <f t="shared" si="794"/>
        <v>67324.859658412723</v>
      </c>
      <c r="R1877" s="1358"/>
      <c r="V1877" s="1320" t="s">
        <v>6094</v>
      </c>
    </row>
    <row r="1878" spans="1:25">
      <c r="G1878" s="1320"/>
    </row>
    <row r="1879" spans="1:25">
      <c r="G1879" s="1320"/>
      <c r="Y1879" s="1324"/>
    </row>
    <row r="1880" spans="1:25">
      <c r="G1880" s="1320"/>
      <c r="Y1880" s="1324"/>
    </row>
    <row r="1881" spans="1:25">
      <c r="F1881" s="1358"/>
      <c r="G1881" s="1358"/>
      <c r="H1881" s="1358"/>
      <c r="J1881" s="1364"/>
      <c r="K1881" s="1364"/>
      <c r="L1881" s="1364"/>
      <c r="M1881" s="1367"/>
      <c r="N1881" s="1367"/>
      <c r="O1881" s="1367"/>
      <c r="P1881" s="1364"/>
      <c r="Q1881" s="1364"/>
      <c r="R1881" s="1358"/>
      <c r="Y1881" s="1324"/>
    </row>
    <row r="1882" spans="1:25">
      <c r="F1882" s="1327"/>
      <c r="G1882" s="1320"/>
      <c r="H1882" s="1415"/>
      <c r="K1882" s="1329"/>
      <c r="L1882" s="1329"/>
      <c r="M1882" s="1330"/>
      <c r="N1882" s="1330"/>
      <c r="O1882" s="1330"/>
      <c r="Q1882" s="1536"/>
      <c r="R1882" s="1415"/>
      <c r="Y1882" s="1324"/>
    </row>
    <row r="1883" spans="1:25">
      <c r="B1883" s="1331"/>
      <c r="C1883" s="1340" t="str">
        <f>+C$2</f>
        <v>RATES WITH REVENUE DEFICIENCY ADDITION</v>
      </c>
      <c r="F1883" s="1333"/>
      <c r="G1883" s="1327" t="s">
        <v>2173</v>
      </c>
      <c r="I1883" s="1334" t="s">
        <v>6058</v>
      </c>
      <c r="L1883" s="1329" t="s">
        <v>2173</v>
      </c>
      <c r="M1883" s="1330"/>
      <c r="N1883" s="1330"/>
      <c r="O1883" s="1330"/>
      <c r="S1883" s="1334" t="s">
        <v>6095</v>
      </c>
      <c r="T1883" s="1333" t="s">
        <v>2173</v>
      </c>
      <c r="U1883" s="1431"/>
      <c r="V1883" s="1332" t="s">
        <v>4772</v>
      </c>
      <c r="Y1883" s="1324"/>
    </row>
    <row r="1884" spans="1:25">
      <c r="B1884" s="1331"/>
      <c r="C1884" s="1340" t="str">
        <f>+C$3</f>
        <v>PROD. CAP. ALLOC. METHOD: 12 CP &amp; 1/13th AD</v>
      </c>
      <c r="G1884" s="1336" t="s">
        <v>4768</v>
      </c>
      <c r="I1884" s="1335" t="s">
        <v>6059</v>
      </c>
      <c r="L1884" s="1336" t="s">
        <v>5141</v>
      </c>
      <c r="M1884" s="1337"/>
      <c r="N1884" s="1337"/>
      <c r="O1884" s="1337"/>
      <c r="R1884" s="1331"/>
      <c r="S1884" s="1335" t="s">
        <v>6096</v>
      </c>
      <c r="T1884" s="1333" t="s">
        <v>5141</v>
      </c>
      <c r="V1884" s="1332" t="s">
        <v>6095</v>
      </c>
      <c r="Y1884" s="1324"/>
    </row>
    <row r="1885" spans="1:25">
      <c r="C1885" s="1340" t="str">
        <f>+C$4</f>
        <v>PROJECTED CALENDAR YEAR 2025; FULLY ADJUSTED DATA</v>
      </c>
      <c r="F1885" s="1333"/>
      <c r="G1885" s="1336" t="s">
        <v>2181</v>
      </c>
      <c r="L1885" s="1336" t="s">
        <v>2181</v>
      </c>
      <c r="T1885" s="1339"/>
      <c r="Y1885" s="1324"/>
    </row>
    <row r="1886" spans="1:25">
      <c r="C1886" s="1340" t="str">
        <f>+C$5</f>
        <v>MINIMUM DISTRIBUTION SYSTEM (MDS) NOT EMPLOYED</v>
      </c>
      <c r="G1886" s="1320"/>
      <c r="L1886" s="1336"/>
      <c r="M1886" s="1337"/>
      <c r="N1886" s="1337"/>
      <c r="O1886" s="1337"/>
      <c r="T1886" s="1333"/>
      <c r="Y1886" s="1324"/>
    </row>
    <row r="1887" spans="1:25">
      <c r="C1887" s="1340" t="str">
        <f>+C$6</f>
        <v>Tampa Electric 2025 OB Budget</v>
      </c>
      <c r="F1887" s="1327"/>
      <c r="G1887" s="1333" t="s">
        <v>5912</v>
      </c>
      <c r="L1887" s="1336" t="s">
        <v>5912</v>
      </c>
      <c r="M1887" s="1337"/>
      <c r="N1887" s="1337"/>
      <c r="O1887" s="1337"/>
      <c r="T1887" s="1333" t="s">
        <v>5912</v>
      </c>
    </row>
    <row r="1888" spans="1:25">
      <c r="F1888" s="1333"/>
      <c r="G1888" s="1320"/>
      <c r="L1888" s="1336"/>
      <c r="M1888" s="1337"/>
      <c r="N1888" s="1337"/>
      <c r="O1888" s="1337"/>
    </row>
    <row r="1889" spans="1:25">
      <c r="F1889" s="1333"/>
      <c r="G1889" s="1320"/>
      <c r="L1889" s="1336"/>
      <c r="M1889" s="1337"/>
      <c r="N1889" s="1337"/>
      <c r="O1889" s="1337"/>
    </row>
    <row r="1890" spans="1:25">
      <c r="F1890" s="1339"/>
      <c r="G1890" s="1320"/>
      <c r="I1890" s="1379"/>
    </row>
    <row r="1891" spans="1:25">
      <c r="G1891" s="1320"/>
      <c r="I1891" s="1379"/>
    </row>
    <row r="1892" spans="1:25" ht="27.6">
      <c r="A1892" s="1418" t="s">
        <v>4683</v>
      </c>
      <c r="C1892" s="1349" t="s">
        <v>4297</v>
      </c>
      <c r="D1892" s="1418"/>
      <c r="E1892" s="1418"/>
      <c r="F1892" s="1348" t="s">
        <v>5144</v>
      </c>
      <c r="G1892" s="1348" t="s">
        <v>4956</v>
      </c>
      <c r="H1892" s="1348" t="s">
        <v>4957</v>
      </c>
      <c r="I1892" s="1426" t="s">
        <v>5145</v>
      </c>
      <c r="J1892" s="1352" t="s">
        <v>4957</v>
      </c>
      <c r="K1892" s="1353" t="s">
        <v>1949</v>
      </c>
      <c r="L1892" s="1353" t="s">
        <v>1950</v>
      </c>
      <c r="M1892" s="1354" t="s">
        <v>1934</v>
      </c>
      <c r="N1892" s="1354" t="s">
        <v>1971</v>
      </c>
      <c r="O1892" s="1354" t="s">
        <v>1972</v>
      </c>
      <c r="P1892" s="1352" t="s">
        <v>5146</v>
      </c>
      <c r="Q1892" s="1352" t="s">
        <v>5147</v>
      </c>
      <c r="R1892" s="1355"/>
      <c r="S1892" s="1350"/>
      <c r="T1892" s="1350"/>
      <c r="U1892" s="1366"/>
      <c r="V1892" s="1355" t="s">
        <v>4774</v>
      </c>
    </row>
    <row r="1893" spans="1:25">
      <c r="C1893" s="1397"/>
      <c r="D1893" s="1435"/>
      <c r="E1893" s="1435"/>
      <c r="F1893" s="1396"/>
      <c r="G1893" s="1396"/>
      <c r="H1893" s="1396"/>
      <c r="I1893" s="1442"/>
      <c r="J1893" s="1399"/>
      <c r="K1893" s="1360"/>
      <c r="L1893" s="1360"/>
      <c r="M1893" s="1361"/>
      <c r="N1893" s="1361"/>
      <c r="O1893" s="1361"/>
      <c r="P1893" s="1399"/>
      <c r="Q1893" s="1399"/>
      <c r="R1893" s="1346"/>
    </row>
    <row r="1894" spans="1:25">
      <c r="A1894" s="1320" t="s">
        <v>5915</v>
      </c>
      <c r="C1894" s="1322">
        <v>214</v>
      </c>
      <c r="D1894" s="1356" t="s">
        <v>6097</v>
      </c>
      <c r="G1894" s="1320"/>
      <c r="I1894" s="1379"/>
    </row>
    <row r="1895" spans="1:25">
      <c r="A1895" s="1320" t="s">
        <v>5915</v>
      </c>
      <c r="C1895" s="1322">
        <v>215</v>
      </c>
      <c r="D1895" s="1320" t="s">
        <v>5265</v>
      </c>
      <c r="E1895" s="1320" t="s">
        <v>4067</v>
      </c>
      <c r="F1895" s="1324">
        <f t="shared" ref="F1895:H1902" si="795">+F151</f>
        <v>1850.9373105288485</v>
      </c>
      <c r="G1895" s="1320">
        <f t="shared" si="795"/>
        <v>0</v>
      </c>
      <c r="H1895" s="1320">
        <f t="shared" si="795"/>
        <v>1850.9373105288485</v>
      </c>
      <c r="I1895" s="1525"/>
      <c r="J1895" s="1324">
        <f t="shared" ref="J1895:Q1902" si="796">+J151</f>
        <v>1850.9373105288485</v>
      </c>
      <c r="K1895" s="1324">
        <f t="shared" si="796"/>
        <v>1062.835350791551</v>
      </c>
      <c r="L1895" s="1324">
        <f t="shared" si="796"/>
        <v>88.386074041862514</v>
      </c>
      <c r="M1895" s="1324">
        <f t="shared" si="796"/>
        <v>572.02674442495356</v>
      </c>
      <c r="N1895" s="1325">
        <f t="shared" si="796"/>
        <v>73.108889369043141</v>
      </c>
      <c r="O1895" s="1325">
        <f t="shared" si="796"/>
        <v>52.616697051048732</v>
      </c>
      <c r="P1895" s="1325">
        <f t="shared" si="796"/>
        <v>1.9635548503894207</v>
      </c>
      <c r="Q1895" s="1324">
        <f t="shared" si="796"/>
        <v>0</v>
      </c>
      <c r="V1895" s="1320" t="s">
        <v>5498</v>
      </c>
    </row>
    <row r="1896" spans="1:25">
      <c r="A1896" s="1320" t="s">
        <v>5915</v>
      </c>
      <c r="C1896" s="1322">
        <v>216</v>
      </c>
      <c r="D1896" s="1320" t="s">
        <v>5265</v>
      </c>
      <c r="E1896" s="1320" t="s">
        <v>2067</v>
      </c>
      <c r="F1896" s="1364">
        <f t="shared" si="795"/>
        <v>683.44915259141396</v>
      </c>
      <c r="G1896" s="1358">
        <f t="shared" si="795"/>
        <v>-1.84900420208578E-3</v>
      </c>
      <c r="H1896" s="1358">
        <f t="shared" si="795"/>
        <v>683.45100159561605</v>
      </c>
      <c r="I1896" s="1525"/>
      <c r="J1896" s="1364">
        <f t="shared" si="796"/>
        <v>683.45100159561605</v>
      </c>
      <c r="K1896" s="1364">
        <f t="shared" si="796"/>
        <v>232.12329599623095</v>
      </c>
      <c r="L1896" s="1364">
        <f t="shared" si="796"/>
        <v>33.039675971418788</v>
      </c>
      <c r="M1896" s="1364">
        <f t="shared" si="796"/>
        <v>321.66119075112124</v>
      </c>
      <c r="N1896" s="1367">
        <f t="shared" si="796"/>
        <v>60.124362646580593</v>
      </c>
      <c r="O1896" s="1367">
        <f t="shared" si="796"/>
        <v>32.559563027653994</v>
      </c>
      <c r="P1896" s="1367">
        <f t="shared" si="796"/>
        <v>3.9429132026103617</v>
      </c>
      <c r="Q1896" s="1364">
        <f t="shared" si="796"/>
        <v>0</v>
      </c>
      <c r="R1896" s="1358"/>
      <c r="V1896" s="1320" t="s">
        <v>5499</v>
      </c>
      <c r="Y1896" s="1324"/>
    </row>
    <row r="1897" spans="1:25">
      <c r="A1897" s="1320" t="s">
        <v>5915</v>
      </c>
      <c r="C1897" s="1322">
        <v>217</v>
      </c>
      <c r="D1897" s="1320" t="s">
        <v>5268</v>
      </c>
      <c r="E1897" s="1320" t="s">
        <v>4067</v>
      </c>
      <c r="F1897" s="1364">
        <f t="shared" si="795"/>
        <v>996.42736350591531</v>
      </c>
      <c r="G1897" s="1358">
        <f t="shared" si="795"/>
        <v>64.555396081805128</v>
      </c>
      <c r="H1897" s="1358">
        <f t="shared" si="795"/>
        <v>931.87196742411015</v>
      </c>
      <c r="I1897" s="1525"/>
      <c r="J1897" s="1364">
        <f t="shared" si="796"/>
        <v>931.87196742411015</v>
      </c>
      <c r="K1897" s="1364">
        <f t="shared" si="796"/>
        <v>540.49789283172697</v>
      </c>
      <c r="L1897" s="1364">
        <f t="shared" si="796"/>
        <v>44.585624396841048</v>
      </c>
      <c r="M1897" s="1364">
        <f t="shared" si="796"/>
        <v>285.01349750262563</v>
      </c>
      <c r="N1897" s="1367">
        <f t="shared" si="796"/>
        <v>35.580156141349192</v>
      </c>
      <c r="O1897" s="1367">
        <f t="shared" si="796"/>
        <v>25.53410621469742</v>
      </c>
      <c r="P1897" s="1367">
        <f t="shared" si="796"/>
        <v>0.66069033686989576</v>
      </c>
      <c r="Q1897" s="1364">
        <f t="shared" si="796"/>
        <v>0</v>
      </c>
      <c r="R1897" s="1358"/>
      <c r="V1897" s="1320" t="s">
        <v>5500</v>
      </c>
      <c r="Y1897" s="1324"/>
    </row>
    <row r="1898" spans="1:25">
      <c r="A1898" s="1320" t="s">
        <v>5915</v>
      </c>
      <c r="C1898" s="1322">
        <v>218</v>
      </c>
      <c r="D1898" s="1320" t="s">
        <v>5239</v>
      </c>
      <c r="E1898" s="1320" t="s">
        <v>4067</v>
      </c>
      <c r="F1898" s="1364">
        <f t="shared" si="795"/>
        <v>273.36871416988186</v>
      </c>
      <c r="G1898" s="1358">
        <f t="shared" si="795"/>
        <v>17.710699511019335</v>
      </c>
      <c r="H1898" s="1358">
        <f t="shared" si="795"/>
        <v>255.6580146588625</v>
      </c>
      <c r="I1898" s="1525"/>
      <c r="J1898" s="1364">
        <f t="shared" si="796"/>
        <v>255.6580146588625</v>
      </c>
      <c r="K1898" s="1364">
        <f t="shared" si="796"/>
        <v>148.28498231428051</v>
      </c>
      <c r="L1898" s="1364">
        <f t="shared" si="796"/>
        <v>12.232015356283817</v>
      </c>
      <c r="M1898" s="1364">
        <f t="shared" si="796"/>
        <v>78.193128959460836</v>
      </c>
      <c r="N1898" s="1367">
        <f t="shared" si="796"/>
        <v>9.7613753802401604</v>
      </c>
      <c r="O1898" s="1367">
        <f t="shared" si="796"/>
        <v>7.0052530059282994</v>
      </c>
      <c r="P1898" s="1367">
        <f t="shared" si="796"/>
        <v>0.18125964266889311</v>
      </c>
      <c r="Q1898" s="1364">
        <f t="shared" si="796"/>
        <v>0</v>
      </c>
      <c r="R1898" s="1358"/>
      <c r="V1898" s="1320" t="s">
        <v>5501</v>
      </c>
    </row>
    <row r="1899" spans="1:25">
      <c r="A1899" s="1320" t="s">
        <v>5915</v>
      </c>
      <c r="C1899" s="1322">
        <v>219</v>
      </c>
      <c r="D1899" s="1320" t="s">
        <v>5240</v>
      </c>
      <c r="E1899" s="1320" t="s">
        <v>4067</v>
      </c>
      <c r="F1899" s="1364">
        <f t="shared" si="795"/>
        <v>14945.554128665908</v>
      </c>
      <c r="G1899" s="1358">
        <f t="shared" si="795"/>
        <v>0</v>
      </c>
      <c r="H1899" s="1358">
        <f t="shared" si="795"/>
        <v>14945.554128665908</v>
      </c>
      <c r="I1899" s="1525"/>
      <c r="J1899" s="1364">
        <f t="shared" si="796"/>
        <v>14945.554128665908</v>
      </c>
      <c r="K1899" s="1364">
        <f t="shared" si="796"/>
        <v>9302.3521990449226</v>
      </c>
      <c r="L1899" s="1364">
        <f t="shared" si="796"/>
        <v>661.60661924780038</v>
      </c>
      <c r="M1899" s="1364">
        <f t="shared" si="796"/>
        <v>4429.8694057692665</v>
      </c>
      <c r="N1899" s="1367">
        <f t="shared" si="796"/>
        <v>465.93319413402276</v>
      </c>
      <c r="O1899" s="1367">
        <f t="shared" si="796"/>
        <v>3.181301080419388E-4</v>
      </c>
      <c r="P1899" s="1367">
        <f t="shared" si="796"/>
        <v>85.792392339791192</v>
      </c>
      <c r="Q1899" s="1364">
        <f t="shared" si="796"/>
        <v>0</v>
      </c>
      <c r="R1899" s="1358"/>
      <c r="V1899" s="1320" t="s">
        <v>5502</v>
      </c>
    </row>
    <row r="1900" spans="1:25">
      <c r="A1900" s="1320" t="s">
        <v>5915</v>
      </c>
      <c r="C1900" s="1322">
        <v>220</v>
      </c>
      <c r="D1900" s="1320" t="s">
        <v>5241</v>
      </c>
      <c r="E1900" s="1320" t="s">
        <v>4067</v>
      </c>
      <c r="F1900" s="1358">
        <f t="shared" si="795"/>
        <v>348.69066960232243</v>
      </c>
      <c r="G1900" s="1358">
        <f t="shared" si="795"/>
        <v>0</v>
      </c>
      <c r="H1900" s="1358">
        <f t="shared" si="795"/>
        <v>348.69066960232243</v>
      </c>
      <c r="I1900" s="1525"/>
      <c r="J1900" s="1364">
        <f t="shared" si="796"/>
        <v>348.69066960232243</v>
      </c>
      <c r="K1900" s="1364">
        <f t="shared" si="796"/>
        <v>254.41631044445109</v>
      </c>
      <c r="L1900" s="1364">
        <f t="shared" si="796"/>
        <v>20.485562196409056</v>
      </c>
      <c r="M1900" s="1364">
        <f t="shared" si="796"/>
        <v>72.52743349802563</v>
      </c>
      <c r="N1900" s="1367">
        <f t="shared" si="796"/>
        <v>0</v>
      </c>
      <c r="O1900" s="1367">
        <f t="shared" si="796"/>
        <v>0</v>
      </c>
      <c r="P1900" s="1367">
        <f t="shared" si="796"/>
        <v>1.2613634634366437</v>
      </c>
      <c r="Q1900" s="1364">
        <f t="shared" si="796"/>
        <v>0</v>
      </c>
      <c r="R1900" s="1358"/>
      <c r="V1900" s="1320" t="s">
        <v>5503</v>
      </c>
    </row>
    <row r="1901" spans="1:25">
      <c r="A1901" s="1320" t="s">
        <v>5915</v>
      </c>
      <c r="C1901" s="1322">
        <v>221</v>
      </c>
      <c r="D1901" s="1320" t="s">
        <v>5242</v>
      </c>
      <c r="E1901" s="1320" t="s">
        <v>4071</v>
      </c>
      <c r="F1901" s="1358">
        <f t="shared" si="795"/>
        <v>216.09497132613194</v>
      </c>
      <c r="G1901" s="1358">
        <f t="shared" si="795"/>
        <v>0</v>
      </c>
      <c r="H1901" s="1358">
        <f t="shared" si="795"/>
        <v>216.09497132613194</v>
      </c>
      <c r="I1901" s="1525"/>
      <c r="J1901" s="1364">
        <f t="shared" si="796"/>
        <v>216.09497132613194</v>
      </c>
      <c r="K1901" s="1364">
        <f t="shared" si="796"/>
        <v>79.664863621095478</v>
      </c>
      <c r="L1901" s="1364">
        <f t="shared" si="796"/>
        <v>12.084112331790104</v>
      </c>
      <c r="M1901" s="1364">
        <f t="shared" si="796"/>
        <v>5.8257414082708596</v>
      </c>
      <c r="N1901" s="1367">
        <f t="shared" si="796"/>
        <v>0.37555724350818143</v>
      </c>
      <c r="O1901" s="1367">
        <f t="shared" si="796"/>
        <v>0.40974871785588124</v>
      </c>
      <c r="P1901" s="1367">
        <f t="shared" si="796"/>
        <v>9.4042220502395357E-2</v>
      </c>
      <c r="Q1901" s="1364">
        <f t="shared" si="796"/>
        <v>117.64090578310908</v>
      </c>
      <c r="R1901" s="1358"/>
      <c r="V1901" s="1320" t="s">
        <v>5504</v>
      </c>
    </row>
    <row r="1902" spans="1:25">
      <c r="A1902" s="1320" t="s">
        <v>5915</v>
      </c>
      <c r="C1902" s="1322">
        <v>222</v>
      </c>
      <c r="D1902" s="1320" t="s">
        <v>5244</v>
      </c>
      <c r="E1902" s="1320" t="s">
        <v>4071</v>
      </c>
      <c r="F1902" s="1350">
        <f t="shared" si="795"/>
        <v>21497.128382830353</v>
      </c>
      <c r="G1902" s="1350">
        <f t="shared" si="795"/>
        <v>0</v>
      </c>
      <c r="H1902" s="1350">
        <f t="shared" si="795"/>
        <v>21497.128382830353</v>
      </c>
      <c r="I1902" s="1525"/>
      <c r="J1902" s="1366">
        <f t="shared" si="796"/>
        <v>21497.128382830353</v>
      </c>
      <c r="K1902" s="1366">
        <f t="shared" si="796"/>
        <v>19178.418704941017</v>
      </c>
      <c r="L1902" s="1366">
        <f t="shared" si="796"/>
        <v>1858.7024168937448</v>
      </c>
      <c r="M1902" s="1366">
        <f t="shared" si="796"/>
        <v>454.56569322625199</v>
      </c>
      <c r="N1902" s="1378">
        <f t="shared" si="796"/>
        <v>3.7671811553707593E-3</v>
      </c>
      <c r="O1902" s="1378">
        <f t="shared" si="796"/>
        <v>6.683708501464251E-4</v>
      </c>
      <c r="P1902" s="1378">
        <f t="shared" si="796"/>
        <v>5.4371322173328691</v>
      </c>
      <c r="Q1902" s="1366">
        <f t="shared" si="796"/>
        <v>0</v>
      </c>
      <c r="R1902" s="1358"/>
      <c r="V1902" s="1320" t="s">
        <v>5505</v>
      </c>
    </row>
    <row r="1903" spans="1:25">
      <c r="A1903" s="1320" t="s">
        <v>5915</v>
      </c>
      <c r="C1903" s="1322">
        <v>223</v>
      </c>
      <c r="G1903" s="1320"/>
      <c r="I1903" s="1525"/>
      <c r="M1903" s="1324"/>
      <c r="P1903" s="1325"/>
      <c r="Y1903" s="1324"/>
    </row>
    <row r="1904" spans="1:25">
      <c r="A1904" s="1320" t="s">
        <v>5915</v>
      </c>
      <c r="C1904" s="1322">
        <v>224</v>
      </c>
      <c r="D1904" s="1320" t="s">
        <v>6098</v>
      </c>
      <c r="F1904" s="1350">
        <f>SUM(F1895:F1902)</f>
        <v>40811.65069322077</v>
      </c>
      <c r="G1904" s="1350">
        <f>SUM(G1895:G1902)</f>
        <v>82.26424658862237</v>
      </c>
      <c r="H1904" s="1350">
        <f>SUM(H1895:H1902)</f>
        <v>40729.386446632154</v>
      </c>
      <c r="I1904" s="1525"/>
      <c r="J1904" s="1366">
        <f t="shared" ref="J1904:Q1904" si="797">SUM(J1895:J1902)</f>
        <v>40729.386446632154</v>
      </c>
      <c r="K1904" s="1366">
        <f t="shared" si="797"/>
        <v>30798.593599985274</v>
      </c>
      <c r="L1904" s="1366">
        <f t="shared" si="797"/>
        <v>2731.1221004361505</v>
      </c>
      <c r="M1904" s="1366">
        <f t="shared" si="797"/>
        <v>6219.6828355399766</v>
      </c>
      <c r="N1904" s="1378">
        <f t="shared" si="797"/>
        <v>644.88730209589937</v>
      </c>
      <c r="O1904" s="1378">
        <f>SUM(O1895:O1902)</f>
        <v>118.12635451814251</v>
      </c>
      <c r="P1904" s="1378">
        <f>SUM(P1895:P1902)</f>
        <v>99.333348273601672</v>
      </c>
      <c r="Q1904" s="1366">
        <f t="shared" si="797"/>
        <v>117.64090578310908</v>
      </c>
      <c r="R1904" s="1358"/>
      <c r="V1904" s="1320" t="s">
        <v>6099</v>
      </c>
      <c r="Y1904" s="1324"/>
    </row>
    <row r="1905" spans="1:25">
      <c r="A1905" s="1320" t="s">
        <v>5915</v>
      </c>
      <c r="C1905" s="1322">
        <v>225</v>
      </c>
      <c r="F1905" s="1597"/>
      <c r="G1905" s="1320"/>
      <c r="I1905" s="1379"/>
      <c r="Y1905" s="1324"/>
    </row>
    <row r="1906" spans="1:25">
      <c r="A1906" s="1320" t="s">
        <v>5915</v>
      </c>
      <c r="C1906" s="1322">
        <v>226</v>
      </c>
      <c r="D1906" s="1356" t="s">
        <v>6100</v>
      </c>
      <c r="G1906" s="1320"/>
      <c r="I1906" s="1379"/>
      <c r="Y1906" s="1324"/>
    </row>
    <row r="1907" spans="1:25">
      <c r="A1907" s="1320" t="s">
        <v>5915</v>
      </c>
      <c r="C1907" s="1322">
        <v>227</v>
      </c>
      <c r="D1907" s="1320" t="s">
        <v>5265</v>
      </c>
      <c r="E1907" s="1320" t="s">
        <v>4067</v>
      </c>
      <c r="F1907" s="1320">
        <f t="shared" ref="F1907:H1914" si="798">+F1869-F1895</f>
        <v>915900.21575758501</v>
      </c>
      <c r="G1907" s="1320">
        <f t="shared" si="798"/>
        <v>0</v>
      </c>
      <c r="H1907" s="1320">
        <f t="shared" si="798"/>
        <v>915900.21575758501</v>
      </c>
      <c r="I1907" s="1525"/>
      <c r="J1907" s="1324">
        <f t="shared" ref="J1907:Q1914" si="799">+J1869-J1895</f>
        <v>915900.21575758501</v>
      </c>
      <c r="K1907" s="1324">
        <f t="shared" si="799"/>
        <v>525943.39405897155</v>
      </c>
      <c r="L1907" s="1324">
        <f t="shared" si="799"/>
        <v>43732.061183794809</v>
      </c>
      <c r="M1907" s="1324">
        <f t="shared" si="799"/>
        <v>283062.33980783995</v>
      </c>
      <c r="N1907" s="1325">
        <f t="shared" si="799"/>
        <v>36176.521699948404</v>
      </c>
      <c r="O1907" s="1325">
        <f t="shared" si="799"/>
        <v>26039.838971024456</v>
      </c>
      <c r="P1907" s="1325">
        <f t="shared" si="799"/>
        <v>971.79739567579247</v>
      </c>
      <c r="Q1907" s="1324">
        <f t="shared" si="799"/>
        <v>0</v>
      </c>
      <c r="V1907" s="1320" t="s">
        <v>6101</v>
      </c>
      <c r="Y1907" s="1324"/>
    </row>
    <row r="1908" spans="1:25">
      <c r="A1908" s="1320" t="s">
        <v>5915</v>
      </c>
      <c r="C1908" s="1322">
        <v>228</v>
      </c>
      <c r="D1908" s="1320" t="s">
        <v>5265</v>
      </c>
      <c r="E1908" s="1320" t="s">
        <v>2067</v>
      </c>
      <c r="F1908" s="1358">
        <f t="shared" si="798"/>
        <v>109790.6481193248</v>
      </c>
      <c r="G1908" s="1358">
        <f t="shared" si="798"/>
        <v>1.84900420208578E-3</v>
      </c>
      <c r="H1908" s="1358">
        <f t="shared" si="798"/>
        <v>109790.64627032061</v>
      </c>
      <c r="I1908" s="1525"/>
      <c r="J1908" s="1364">
        <f t="shared" si="799"/>
        <v>109790.64627032061</v>
      </c>
      <c r="K1908" s="1364">
        <f t="shared" si="799"/>
        <v>55519.00456224964</v>
      </c>
      <c r="L1908" s="1364">
        <f t="shared" si="799"/>
        <v>5118.3434533880163</v>
      </c>
      <c r="M1908" s="1364">
        <f t="shared" si="799"/>
        <v>38058.521329053125</v>
      </c>
      <c r="N1908" s="1367">
        <f t="shared" si="799"/>
        <v>6049.2553205882141</v>
      </c>
      <c r="O1908" s="1367">
        <f t="shared" si="799"/>
        <v>4468.8937845944329</v>
      </c>
      <c r="P1908" s="1367">
        <f t="shared" si="799"/>
        <v>579.80002046522009</v>
      </c>
      <c r="Q1908" s="1364">
        <f t="shared" si="799"/>
        <v>0</v>
      </c>
      <c r="R1908" s="1358"/>
      <c r="V1908" s="1320" t="s">
        <v>6102</v>
      </c>
      <c r="Y1908" s="1324"/>
    </row>
    <row r="1909" spans="1:25">
      <c r="A1909" s="1320" t="s">
        <v>5915</v>
      </c>
      <c r="C1909" s="1322">
        <v>229</v>
      </c>
      <c r="D1909" s="1320" t="s">
        <v>5268</v>
      </c>
      <c r="E1909" s="1320" t="s">
        <v>4067</v>
      </c>
      <c r="F1909" s="1358">
        <f t="shared" si="798"/>
        <v>60655.696191258685</v>
      </c>
      <c r="G1909" s="1358">
        <f t="shared" si="798"/>
        <v>4396.4928110004757</v>
      </c>
      <c r="H1909" s="1358">
        <f t="shared" si="798"/>
        <v>56258.971254034594</v>
      </c>
      <c r="I1909" s="1525"/>
      <c r="J1909" s="1364">
        <f t="shared" si="799"/>
        <v>56258.971254034594</v>
      </c>
      <c r="K1909" s="1364">
        <f t="shared" si="799"/>
        <v>32632.199448003288</v>
      </c>
      <c r="L1909" s="1364">
        <f t="shared" si="799"/>
        <v>2691.4694724395581</v>
      </c>
      <c r="M1909" s="1364">
        <f t="shared" si="799"/>
        <v>17207.207988851045</v>
      </c>
      <c r="N1909" s="1367">
        <f t="shared" si="799"/>
        <v>2148.0459195268627</v>
      </c>
      <c r="O1909" s="1367">
        <f t="shared" si="799"/>
        <v>1541.7547870565666</v>
      </c>
      <c r="P1909" s="1367">
        <f t="shared" si="799"/>
        <v>39.894299367685861</v>
      </c>
      <c r="Q1909" s="1364">
        <f t="shared" si="799"/>
        <v>0</v>
      </c>
      <c r="R1909" s="1358"/>
      <c r="V1909" s="1320" t="s">
        <v>6103</v>
      </c>
      <c r="Y1909" s="1324"/>
    </row>
    <row r="1910" spans="1:25">
      <c r="A1910" s="1320" t="s">
        <v>5915</v>
      </c>
      <c r="C1910" s="1322">
        <v>230</v>
      </c>
      <c r="D1910" s="1320" t="s">
        <v>5239</v>
      </c>
      <c r="E1910" s="1320" t="s">
        <v>4067</v>
      </c>
      <c r="F1910" s="1358">
        <f t="shared" si="798"/>
        <v>75150.100630067449</v>
      </c>
      <c r="G1910" s="1358">
        <f t="shared" si="798"/>
        <v>5342.7057824240737</v>
      </c>
      <c r="H1910" s="1358">
        <f t="shared" si="798"/>
        <v>69807.607288827581</v>
      </c>
      <c r="I1910" s="1525"/>
      <c r="J1910" s="1364">
        <f t="shared" si="799"/>
        <v>69807.607288827581</v>
      </c>
      <c r="K1910" s="1364">
        <f t="shared" si="799"/>
        <v>40490.869184783558</v>
      </c>
      <c r="L1910" s="1364">
        <f t="shared" si="799"/>
        <v>3339.6499177759415</v>
      </c>
      <c r="M1910" s="1364">
        <f t="shared" si="799"/>
        <v>21351.149152287016</v>
      </c>
      <c r="N1910" s="1367">
        <f t="shared" si="799"/>
        <v>2665.3517099562678</v>
      </c>
      <c r="O1910" s="1367">
        <f t="shared" si="799"/>
        <v>1913.046478199713</v>
      </c>
      <c r="P1910" s="1367">
        <f t="shared" si="799"/>
        <v>49.501781260360119</v>
      </c>
      <c r="Q1910" s="1364">
        <f t="shared" si="799"/>
        <v>0</v>
      </c>
      <c r="R1910" s="1358"/>
      <c r="V1910" s="1320" t="s">
        <v>6104</v>
      </c>
      <c r="Y1910" s="1324"/>
    </row>
    <row r="1911" spans="1:25">
      <c r="A1911" s="1320" t="s">
        <v>5915</v>
      </c>
      <c r="C1911" s="1322">
        <v>231</v>
      </c>
      <c r="D1911" s="1320" t="s">
        <v>5240</v>
      </c>
      <c r="E1911" s="1320" t="s">
        <v>4067</v>
      </c>
      <c r="F1911" s="1358">
        <f t="shared" si="798"/>
        <v>273485.38157590688</v>
      </c>
      <c r="G1911" s="1358">
        <f t="shared" si="798"/>
        <v>0</v>
      </c>
      <c r="H1911" s="1358">
        <f t="shared" si="798"/>
        <v>273485.38157590688</v>
      </c>
      <c r="I1911" s="1525"/>
      <c r="J1911" s="1364">
        <f t="shared" si="799"/>
        <v>273485.38157590688</v>
      </c>
      <c r="K1911" s="1364">
        <f t="shared" si="799"/>
        <v>170228.51320271936</v>
      </c>
      <c r="L1911" s="1364">
        <f t="shared" si="799"/>
        <v>12105.409065357848</v>
      </c>
      <c r="M1911" s="1364">
        <f t="shared" si="799"/>
        <v>81063.026489360054</v>
      </c>
      <c r="N1911" s="1367">
        <f t="shared" si="799"/>
        <v>8526.0117378324576</v>
      </c>
      <c r="O1911" s="1367">
        <f t="shared" si="799"/>
        <v>5.8222143270982036E-3</v>
      </c>
      <c r="P1911" s="1367">
        <f t="shared" si="799"/>
        <v>1570.1860685215179</v>
      </c>
      <c r="Q1911" s="1364">
        <f t="shared" si="799"/>
        <v>0</v>
      </c>
      <c r="R1911" s="1358"/>
      <c r="V1911" s="1320" t="s">
        <v>6105</v>
      </c>
    </row>
    <row r="1912" spans="1:25">
      <c r="A1912" s="1320" t="s">
        <v>5915</v>
      </c>
      <c r="C1912" s="1322">
        <v>232</v>
      </c>
      <c r="D1912" s="1320" t="s">
        <v>5241</v>
      </c>
      <c r="E1912" s="1320" t="s">
        <v>4067</v>
      </c>
      <c r="F1912" s="1358">
        <f t="shared" si="798"/>
        <v>121276.63803916403</v>
      </c>
      <c r="G1912" s="1358">
        <f t="shared" si="798"/>
        <v>0</v>
      </c>
      <c r="H1912" s="1358">
        <f t="shared" si="798"/>
        <v>121276.63803916403</v>
      </c>
      <c r="I1912" s="1525"/>
      <c r="J1912" s="1364">
        <f t="shared" si="799"/>
        <v>121276.63803916403</v>
      </c>
      <c r="K1912" s="1364">
        <f t="shared" si="799"/>
        <v>88490.846425693278</v>
      </c>
      <c r="L1912" s="1364">
        <f t="shared" si="799"/>
        <v>7124.3349104607032</v>
      </c>
      <c r="M1912" s="1364">
        <f t="shared" si="799"/>
        <v>25226.003214079701</v>
      </c>
      <c r="N1912" s="1367">
        <f t="shared" si="799"/>
        <v>0</v>
      </c>
      <c r="O1912" s="1367">
        <f t="shared" si="799"/>
        <v>0</v>
      </c>
      <c r="P1912" s="1367">
        <f t="shared" si="799"/>
        <v>438.78662063712244</v>
      </c>
      <c r="Q1912" s="1364">
        <f t="shared" si="799"/>
        <v>0</v>
      </c>
      <c r="R1912" s="1358"/>
      <c r="V1912" s="1320" t="s">
        <v>6106</v>
      </c>
    </row>
    <row r="1913" spans="1:25">
      <c r="A1913" s="1320" t="s">
        <v>5915</v>
      </c>
      <c r="C1913" s="1322">
        <v>233</v>
      </c>
      <c r="D1913" s="1320" t="s">
        <v>5242</v>
      </c>
      <c r="E1913" s="1320" t="s">
        <v>4071</v>
      </c>
      <c r="F1913" s="1358">
        <f t="shared" si="798"/>
        <v>145644.73168669658</v>
      </c>
      <c r="G1913" s="1358">
        <f t="shared" si="798"/>
        <v>0</v>
      </c>
      <c r="H1913" s="1358">
        <f t="shared" si="798"/>
        <v>145644.73168669658</v>
      </c>
      <c r="I1913" s="1525"/>
      <c r="J1913" s="1364">
        <f t="shared" si="799"/>
        <v>145644.73168669658</v>
      </c>
      <c r="K1913" s="1364">
        <f t="shared" si="799"/>
        <v>59763.878595549533</v>
      </c>
      <c r="L1913" s="1364">
        <f t="shared" si="799"/>
        <v>11352.657006869675</v>
      </c>
      <c r="M1913" s="1364">
        <f t="shared" si="799"/>
        <v>6435.7483672105664</v>
      </c>
      <c r="N1913" s="1367">
        <f t="shared" si="799"/>
        <v>478.71899384465212</v>
      </c>
      <c r="O1913" s="1367">
        <f t="shared" si="799"/>
        <v>522.37229860097659</v>
      </c>
      <c r="P1913" s="1367">
        <f t="shared" si="799"/>
        <v>108.04940171525649</v>
      </c>
      <c r="Q1913" s="1364">
        <f t="shared" si="799"/>
        <v>66937.205316632331</v>
      </c>
      <c r="R1913" s="1358"/>
      <c r="V1913" s="1320" t="s">
        <v>6107</v>
      </c>
      <c r="Y1913" s="1324"/>
    </row>
    <row r="1914" spans="1:25">
      <c r="A1914" s="1320" t="s">
        <v>5915</v>
      </c>
      <c r="C1914" s="1322">
        <v>234</v>
      </c>
      <c r="D1914" s="1320" t="s">
        <v>5244</v>
      </c>
      <c r="E1914" s="1320" t="s">
        <v>4071</v>
      </c>
      <c r="F1914" s="1350">
        <f t="shared" si="798"/>
        <v>81554.545471247504</v>
      </c>
      <c r="G1914" s="1350">
        <f t="shared" si="798"/>
        <v>0</v>
      </c>
      <c r="H1914" s="1350">
        <f t="shared" si="798"/>
        <v>81554.545471247504</v>
      </c>
      <c r="I1914" s="1525"/>
      <c r="J1914" s="1366">
        <f t="shared" si="799"/>
        <v>81554.545471247504</v>
      </c>
      <c r="K1914" s="1366">
        <f t="shared" si="799"/>
        <v>70911.157576374302</v>
      </c>
      <c r="L1914" s="1366">
        <f t="shared" si="799"/>
        <v>6861.830810101078</v>
      </c>
      <c r="M1914" s="1366">
        <f t="shared" si="799"/>
        <v>3176.9136256328588</v>
      </c>
      <c r="N1914" s="1378">
        <f t="shared" si="799"/>
        <v>192.09750744050268</v>
      </c>
      <c r="O1914" s="1378">
        <f t="shared" si="799"/>
        <v>109.93679443403363</v>
      </c>
      <c r="P1914" s="1378">
        <f t="shared" si="799"/>
        <v>35.123871901657182</v>
      </c>
      <c r="Q1914" s="1366">
        <f t="shared" si="799"/>
        <v>270.01343599729051</v>
      </c>
      <c r="R1914" s="1358"/>
      <c r="V1914" s="1320" t="s">
        <v>6108</v>
      </c>
      <c r="Y1914" s="1324"/>
    </row>
    <row r="1915" spans="1:25">
      <c r="A1915" s="1320" t="s">
        <v>5915</v>
      </c>
      <c r="C1915" s="1322">
        <v>235</v>
      </c>
      <c r="G1915" s="1320"/>
      <c r="I1915" s="1379"/>
      <c r="M1915" s="1324"/>
      <c r="P1915" s="1325"/>
    </row>
    <row r="1916" spans="1:25" ht="14.4" thickBot="1">
      <c r="A1916" s="1320" t="s">
        <v>5915</v>
      </c>
      <c r="C1916" s="1322">
        <v>236</v>
      </c>
      <c r="D1916" s="1320" t="s">
        <v>6109</v>
      </c>
      <c r="F1916" s="1423">
        <f>SUM(F1907:F1914)</f>
        <v>1783457.957471251</v>
      </c>
      <c r="G1916" s="1423">
        <f>SUM(G1907:G1914)</f>
        <v>9739.2004424287516</v>
      </c>
      <c r="H1916" s="1423">
        <f>SUM(H1907:H1914)</f>
        <v>1773718.737343783</v>
      </c>
      <c r="I1916" s="1379"/>
      <c r="J1916" s="1380">
        <f t="shared" ref="J1916:Q1916" si="800">SUM(J1907:J1914)</f>
        <v>1773718.737343783</v>
      </c>
      <c r="K1916" s="1380">
        <f t="shared" si="800"/>
        <v>1043979.8630543444</v>
      </c>
      <c r="L1916" s="1380">
        <f t="shared" si="800"/>
        <v>92325.755820187624</v>
      </c>
      <c r="M1916" s="1380">
        <f t="shared" si="800"/>
        <v>475580.90997431427</v>
      </c>
      <c r="N1916" s="1424">
        <f t="shared" si="800"/>
        <v>56236.002889137359</v>
      </c>
      <c r="O1916" s="1424">
        <f>SUM(O1907:O1914)</f>
        <v>34595.848936124501</v>
      </c>
      <c r="P1916" s="1424">
        <f>SUM(P1907:P1914)</f>
        <v>3793.1394595446127</v>
      </c>
      <c r="Q1916" s="1380">
        <f t="shared" si="800"/>
        <v>67207.218752629618</v>
      </c>
      <c r="R1916" s="1358"/>
      <c r="V1916" s="1320" t="s">
        <v>6110</v>
      </c>
    </row>
    <row r="1917" spans="1:25" ht="14.4" thickTop="1">
      <c r="G1917" s="1320"/>
      <c r="I1917" s="1379"/>
      <c r="M1917" s="1324"/>
      <c r="P1917" s="1325"/>
    </row>
    <row r="1918" spans="1:25">
      <c r="I1918" s="1379"/>
      <c r="M1918" s="1324"/>
      <c r="P1918" s="1325"/>
    </row>
    <row r="1919" spans="1:25">
      <c r="A1919" s="1485" t="s">
        <v>6111</v>
      </c>
      <c r="B1919" s="1485"/>
      <c r="C1919" s="1485"/>
      <c r="D1919" s="1324"/>
      <c r="E1919" s="1324"/>
      <c r="F1919" s="1412">
        <f>+F1916-F96</f>
        <v>-0.50522206933237612</v>
      </c>
      <c r="G1919" s="1537">
        <f>+G1916-G96</f>
        <v>0</v>
      </c>
      <c r="H1919" s="1537">
        <f>+H1916-H96</f>
        <v>-0.49845749954693019</v>
      </c>
      <c r="I1919" s="1538"/>
      <c r="J1919" s="1537">
        <f t="shared" ref="J1919:P1919" si="801">+J1916-J96</f>
        <v>-0.49845749954693019</v>
      </c>
      <c r="K1919" s="1537">
        <f t="shared" si="801"/>
        <v>0</v>
      </c>
      <c r="L1919" s="1537">
        <f t="shared" si="801"/>
        <v>0</v>
      </c>
      <c r="M1919" s="1537">
        <f t="shared" si="801"/>
        <v>0</v>
      </c>
      <c r="N1919" s="1537">
        <f t="shared" si="801"/>
        <v>0</v>
      </c>
      <c r="O1919" s="1537">
        <f t="shared" si="801"/>
        <v>0</v>
      </c>
      <c r="P1919" s="1537">
        <f t="shared" si="801"/>
        <v>0</v>
      </c>
      <c r="Q1919" s="1537"/>
      <c r="R1919" s="1539"/>
      <c r="S1919" s="1539"/>
    </row>
    <row r="1920" spans="1:25">
      <c r="G1920" s="1320"/>
      <c r="I1920" s="1379"/>
      <c r="Y1920" s="1324"/>
    </row>
    <row r="1921" spans="2:27">
      <c r="G1921" s="1320"/>
      <c r="I1921" s="1379"/>
      <c r="Y1921" s="1324"/>
    </row>
    <row r="1922" spans="2:27">
      <c r="G1922" s="1320"/>
      <c r="I1922" s="1379"/>
      <c r="Y1922" s="1324"/>
    </row>
    <row r="1923" spans="2:27">
      <c r="C1923" s="1340" t="str">
        <f>+C$2</f>
        <v>RATES WITH REVENUE DEFICIENCY ADDITION</v>
      </c>
      <c r="D1923" s="1321"/>
      <c r="G1923" s="1327" t="s">
        <v>2173</v>
      </c>
      <c r="I1923" s="1540" t="s">
        <v>4767</v>
      </c>
      <c r="L1923" s="1329" t="s">
        <v>2173</v>
      </c>
      <c r="M1923" s="1330"/>
      <c r="N1923" s="1330"/>
      <c r="O1923" s="1330"/>
      <c r="R1923" s="1332"/>
      <c r="T1923" s="1333" t="s">
        <v>2173</v>
      </c>
      <c r="V1923" s="1332"/>
      <c r="Y1923" s="1324"/>
    </row>
    <row r="1924" spans="2:27">
      <c r="C1924" s="1340" t="str">
        <f>+C$3</f>
        <v>PROD. CAP. ALLOC. METHOD: 12 CP &amp; 1/13th AD</v>
      </c>
      <c r="D1924" s="1321"/>
      <c r="G1924" s="1333" t="s">
        <v>4768</v>
      </c>
      <c r="L1924" s="1336" t="s">
        <v>5141</v>
      </c>
      <c r="M1924" s="1337"/>
      <c r="N1924" s="1337"/>
      <c r="O1924" s="1337"/>
      <c r="T1924" s="1333" t="s">
        <v>5141</v>
      </c>
      <c r="Y1924" s="1324"/>
    </row>
    <row r="1925" spans="2:27">
      <c r="C1925" s="1340" t="str">
        <f>+C$4</f>
        <v>PROJECTED CALENDAR YEAR 2025; FULLY ADJUSTED DATA</v>
      </c>
      <c r="G1925" s="1320"/>
      <c r="L1925" s="1336"/>
      <c r="R1925" s="1331"/>
      <c r="T1925" s="1339"/>
      <c r="Y1925" s="1324"/>
    </row>
    <row r="1926" spans="2:27">
      <c r="C1926" s="1340" t="str">
        <f>+C$5</f>
        <v>MINIMUM DISTRIBUTION SYSTEM (MDS) NOT EMPLOYED</v>
      </c>
      <c r="G1926" s="1320"/>
      <c r="T1926" s="1333"/>
      <c r="Y1926" s="1324"/>
    </row>
    <row r="1927" spans="2:27">
      <c r="C1927" s="1340" t="str">
        <f>+C$6</f>
        <v>Tampa Electric 2025 OB Budget</v>
      </c>
      <c r="G1927" s="1333" t="s">
        <v>6112</v>
      </c>
      <c r="L1927" s="1336" t="s">
        <v>6112</v>
      </c>
      <c r="M1927" s="1337"/>
      <c r="N1927" s="1337"/>
      <c r="O1927" s="1337"/>
      <c r="T1927" s="1333" t="s">
        <v>6112</v>
      </c>
      <c r="Y1927" s="1324"/>
    </row>
    <row r="1928" spans="2:27">
      <c r="L1928" s="1336"/>
      <c r="M1928" s="1337"/>
      <c r="N1928" s="1337"/>
      <c r="O1928" s="1337"/>
    </row>
    <row r="1929" spans="2:27">
      <c r="F1929" s="1339"/>
      <c r="G1929" s="1320"/>
    </row>
    <row r="1930" spans="2:27" ht="27.6">
      <c r="B1930" s="1349" t="s">
        <v>4297</v>
      </c>
      <c r="C1930" s="1349" t="s">
        <v>6113</v>
      </c>
      <c r="D1930" s="1353"/>
      <c r="E1930" s="1355" t="s">
        <v>6114</v>
      </c>
      <c r="F1930" s="1348" t="s">
        <v>5144</v>
      </c>
      <c r="G1930" s="1348" t="s">
        <v>4956</v>
      </c>
      <c r="H1930" s="1348" t="s">
        <v>4957</v>
      </c>
      <c r="I1930" s="1415"/>
      <c r="J1930" s="1352" t="s">
        <v>4957</v>
      </c>
      <c r="K1930" s="1353" t="s">
        <v>1949</v>
      </c>
      <c r="L1930" s="1353" t="s">
        <v>1950</v>
      </c>
      <c r="M1930" s="1354" t="s">
        <v>1934</v>
      </c>
      <c r="N1930" s="1354" t="s">
        <v>1971</v>
      </c>
      <c r="O1930" s="1354" t="s">
        <v>1972</v>
      </c>
      <c r="P1930" s="1352" t="s">
        <v>5146</v>
      </c>
      <c r="Q1930" s="1352" t="s">
        <v>5147</v>
      </c>
      <c r="R1930" s="1355"/>
      <c r="S1930" s="1350"/>
      <c r="T1930" s="1350"/>
      <c r="U1930" s="1366"/>
      <c r="V1930" s="1350"/>
    </row>
    <row r="1931" spans="2:27">
      <c r="G1931" s="1320"/>
      <c r="M1931" s="1324"/>
      <c r="N1931" s="1324"/>
      <c r="O1931" s="1324"/>
    </row>
    <row r="1932" spans="2:27" s="1324" customFormat="1">
      <c r="B1932" s="1344">
        <v>1</v>
      </c>
      <c r="C1932" s="1393">
        <v>101</v>
      </c>
      <c r="D1932" s="1324" t="s">
        <v>9332</v>
      </c>
      <c r="E1932" s="1344" t="s">
        <v>6115</v>
      </c>
      <c r="F1932" s="1324">
        <f>SUM(G1932:H1932)</f>
        <v>3929693.4213738362</v>
      </c>
      <c r="G1932" s="1324">
        <f>+'Load Research'!E7</f>
        <v>0</v>
      </c>
      <c r="H1932" s="1324">
        <f>+'Load Research'!F7</f>
        <v>3929693.4213738362</v>
      </c>
      <c r="I1932" s="1395"/>
      <c r="J1932" s="1324">
        <f>+'Load Research'!F7</f>
        <v>3929693.4213738362</v>
      </c>
      <c r="K1932" s="1324">
        <f>+'Load Research'!G7</f>
        <v>2293413.5539451065</v>
      </c>
      <c r="L1932" s="1324">
        <f>+'Load Research'!H7</f>
        <v>189971.77408652118</v>
      </c>
      <c r="M1932" s="1324">
        <f>+'Load Research'!I7</f>
        <v>1182868.1660745537</v>
      </c>
      <c r="N1932" s="1324">
        <f>+'Load Research'!J7</f>
        <v>151725.93203270945</v>
      </c>
      <c r="O1932" s="1324">
        <f>+'Load Research'!K7</f>
        <v>108896.00045594225</v>
      </c>
      <c r="P1932" s="1324">
        <f>+'Load Research'!L7</f>
        <v>2817.891048503418</v>
      </c>
      <c r="Q1932" s="1324">
        <v>0</v>
      </c>
      <c r="V1932" s="1324" t="s">
        <v>6116</v>
      </c>
      <c r="AA1932" s="1320"/>
    </row>
    <row r="1933" spans="2:27" s="1324" customFormat="1">
      <c r="B1933" s="1324">
        <v>2</v>
      </c>
      <c r="C1933" s="1541">
        <v>101</v>
      </c>
      <c r="D1933" s="1324" t="s">
        <v>6117</v>
      </c>
      <c r="E1933" s="1344" t="s">
        <v>3179</v>
      </c>
      <c r="F1933" s="1374">
        <f>+SUM(G1933:H1933)</f>
        <v>1</v>
      </c>
      <c r="G1933" s="1374">
        <f>+G1932/F1932</f>
        <v>0</v>
      </c>
      <c r="H1933" s="1374">
        <f>+H1932/F1932</f>
        <v>1</v>
      </c>
      <c r="I1933" s="1374"/>
      <c r="J1933" s="1374">
        <f>+SUM(K1933:Q1933)</f>
        <v>0.99999997360341175</v>
      </c>
      <c r="K1933" s="1374">
        <f>+K1932/$J1932</f>
        <v>0.58361131722670623</v>
      </c>
      <c r="L1933" s="1374">
        <f t="shared" ref="L1933:Q1933" si="802">+L1932/$J1932</f>
        <v>4.834264501481296E-2</v>
      </c>
      <c r="M1933" s="1374">
        <f t="shared" si="802"/>
        <v>0.30100774773952171</v>
      </c>
      <c r="N1933" s="1374">
        <f t="shared" si="802"/>
        <v>3.8610119356248779E-2</v>
      </c>
      <c r="O1933" s="1374">
        <f t="shared" si="802"/>
        <v>2.771106770407341E-2</v>
      </c>
      <c r="P1933" s="1374">
        <f t="shared" si="802"/>
        <v>7.1707656204851524E-4</v>
      </c>
      <c r="Q1933" s="1374">
        <f t="shared" si="802"/>
        <v>0</v>
      </c>
      <c r="R1933" s="1374"/>
      <c r="AA1933" s="1320"/>
    </row>
    <row r="1934" spans="2:27" s="1324" customFormat="1">
      <c r="B1934" s="1324">
        <v>3</v>
      </c>
      <c r="C1934" s="1393"/>
      <c r="E1934" s="1344"/>
      <c r="I1934" s="1527"/>
      <c r="AA1934" s="1320"/>
    </row>
    <row r="1935" spans="2:27" s="1324" customFormat="1">
      <c r="B1935" s="1324">
        <v>4</v>
      </c>
      <c r="C1935" s="1393">
        <v>105</v>
      </c>
      <c r="D1935" s="1324" t="s">
        <v>4786</v>
      </c>
      <c r="E1935" s="1344" t="s">
        <v>6115</v>
      </c>
      <c r="F1935" s="1324">
        <f>SUM(G1935:H1935)</f>
        <v>4697937.6521934383</v>
      </c>
      <c r="G1935" s="1324">
        <f>+'Load Research'!E8</f>
        <v>0</v>
      </c>
      <c r="H1935" s="1324">
        <f>+'Load Research'!F8</f>
        <v>4697937.6521934383</v>
      </c>
      <c r="I1935" s="1527"/>
      <c r="J1935" s="1324">
        <f>+'Load Research'!F8</f>
        <v>4697937.6521934383</v>
      </c>
      <c r="K1935" s="1324">
        <f>+'Load Research'!G8</f>
        <v>2924071.6184645439</v>
      </c>
      <c r="L1935" s="1324">
        <f>+'Load Research'!H8</f>
        <v>207967.30725046038</v>
      </c>
      <c r="M1935" s="1324">
        <f>+'Load Research'!I8</f>
        <v>1392470.9714005697</v>
      </c>
      <c r="N1935" s="1324">
        <f>+'Load Research'!J8</f>
        <v>146459.94904468433</v>
      </c>
      <c r="O1935" s="1324">
        <f>+'Load Research'!K8</f>
        <v>0.1</v>
      </c>
      <c r="P1935" s="1324">
        <f>+'Load Research'!L8</f>
        <v>26967.70603318101</v>
      </c>
      <c r="Q1935" s="1324">
        <v>0</v>
      </c>
      <c r="V1935" s="1324" t="s">
        <v>6116</v>
      </c>
      <c r="AA1935" s="1320"/>
    </row>
    <row r="1936" spans="2:27" s="1324" customFormat="1">
      <c r="B1936" s="1324">
        <v>5</v>
      </c>
      <c r="C1936" s="1541">
        <v>105</v>
      </c>
      <c r="D1936" s="1324" t="s">
        <v>6117</v>
      </c>
      <c r="E1936" s="1344" t="s">
        <v>3179</v>
      </c>
      <c r="F1936" s="1374">
        <f>+SUM(G1936:H1936)</f>
        <v>1</v>
      </c>
      <c r="G1936" s="1374">
        <f>+G1935/F1935</f>
        <v>0</v>
      </c>
      <c r="H1936" s="1374">
        <f>+H1935/F1935</f>
        <v>1</v>
      </c>
      <c r="I1936" s="1374"/>
      <c r="J1936" s="1374">
        <f>+SUM(K1936:Q1936)</f>
        <v>1.0000000000000002</v>
      </c>
      <c r="K1936" s="1374">
        <f t="shared" ref="K1936:Q1936" si="803">+K1935/$J1935</f>
        <v>0.62241601207698294</v>
      </c>
      <c r="L1936" s="1374">
        <f t="shared" si="803"/>
        <v>4.4267787835234836E-2</v>
      </c>
      <c r="M1936" s="1374">
        <f t="shared" si="803"/>
        <v>0.29640047920824014</v>
      </c>
      <c r="N1936" s="1374">
        <f t="shared" si="803"/>
        <v>3.1175370957999639E-2</v>
      </c>
      <c r="O1936" s="1374">
        <f t="shared" si="803"/>
        <v>2.1285935958156154E-8</v>
      </c>
      <c r="P1936" s="1374">
        <f t="shared" si="803"/>
        <v>5.7403286356067229E-3</v>
      </c>
      <c r="Q1936" s="1374">
        <f t="shared" si="803"/>
        <v>0</v>
      </c>
      <c r="R1936" s="1374"/>
      <c r="AA1936" s="1320"/>
    </row>
    <row r="1937" spans="2:27" s="1324" customFormat="1">
      <c r="B1937" s="1324">
        <v>6</v>
      </c>
      <c r="C1937" s="1393"/>
      <c r="E1937" s="1344"/>
      <c r="I1937" s="1527"/>
      <c r="AA1937" s="1320"/>
    </row>
    <row r="1938" spans="2:27" s="1324" customFormat="1">
      <c r="B1938" s="1324">
        <v>7</v>
      </c>
      <c r="C1938" s="1393">
        <v>106</v>
      </c>
      <c r="D1938" s="1324" t="s">
        <v>4788</v>
      </c>
      <c r="E1938" s="1344" t="s">
        <v>6115</v>
      </c>
      <c r="F1938" s="1324">
        <f>SUM(G1938:H1938)</f>
        <v>7187229.5482128784</v>
      </c>
      <c r="G1938" s="1324">
        <f>+'Load Research'!E9</f>
        <v>0</v>
      </c>
      <c r="H1938" s="1324">
        <f>+'Load Research'!F9</f>
        <v>7187229.5482128784</v>
      </c>
      <c r="I1938" s="1527"/>
      <c r="J1938" s="1324">
        <f>+'Load Research'!F9</f>
        <v>7187229.5482128784</v>
      </c>
      <c r="K1938" s="1324">
        <f>+'Load Research'!G9</f>
        <v>5244041.7349253921</v>
      </c>
      <c r="L1938" s="1324">
        <f>+'Load Research'!H9</f>
        <v>422249.43414087628</v>
      </c>
      <c r="M1938" s="1324">
        <f>+'Load Research'!I9</f>
        <v>1494939.0922549148</v>
      </c>
      <c r="N1938" s="1324">
        <f>+'Load Research'!J9</f>
        <v>0</v>
      </c>
      <c r="O1938" s="1324">
        <f>+'Load Research'!K9</f>
        <v>0</v>
      </c>
      <c r="P1938" s="1324">
        <f>+'Load Research'!L9</f>
        <v>25999.286891694905</v>
      </c>
      <c r="Q1938" s="1324">
        <v>0</v>
      </c>
      <c r="V1938" s="1324" t="s">
        <v>6116</v>
      </c>
      <c r="AA1938" s="1320"/>
    </row>
    <row r="1939" spans="2:27" s="1324" customFormat="1">
      <c r="B1939" s="1324">
        <v>8</v>
      </c>
      <c r="C1939" s="1541">
        <v>106</v>
      </c>
      <c r="D1939" s="1324" t="s">
        <v>6117</v>
      </c>
      <c r="E1939" s="1344" t="s">
        <v>3179</v>
      </c>
      <c r="F1939" s="1374">
        <f>+SUM(G1939:H1939)</f>
        <v>1</v>
      </c>
      <c r="G1939" s="1374">
        <f>+G1938/F1938</f>
        <v>0</v>
      </c>
      <c r="H1939" s="1374">
        <f>+H1938/F1938</f>
        <v>1</v>
      </c>
      <c r="I1939" s="1374"/>
      <c r="J1939" s="1374">
        <f>+SUM(K1939:Q1939)</f>
        <v>0.99999999999999989</v>
      </c>
      <c r="K1939" s="1374">
        <f t="shared" ref="K1939:Q1939" si="804">+K1938/$J1938</f>
        <v>0.72963326129319683</v>
      </c>
      <c r="L1939" s="1374">
        <f t="shared" si="804"/>
        <v>5.8749958006540863E-2</v>
      </c>
      <c r="M1939" s="1374">
        <f t="shared" si="804"/>
        <v>0.2079993524941241</v>
      </c>
      <c r="N1939" s="1374">
        <f t="shared" si="804"/>
        <v>0</v>
      </c>
      <c r="O1939" s="1374">
        <f t="shared" si="804"/>
        <v>0</v>
      </c>
      <c r="P1939" s="1374">
        <f t="shared" si="804"/>
        <v>3.6174282061381619E-3</v>
      </c>
      <c r="Q1939" s="1374">
        <f t="shared" si="804"/>
        <v>0</v>
      </c>
      <c r="R1939" s="1374"/>
      <c r="AA1939" s="1320"/>
    </row>
    <row r="1940" spans="2:27" s="1324" customFormat="1">
      <c r="B1940" s="1324">
        <v>9</v>
      </c>
      <c r="C1940" s="1393"/>
      <c r="E1940" s="1344"/>
      <c r="I1940" s="1527"/>
      <c r="Y1940" s="1320"/>
      <c r="AA1940" s="1320"/>
    </row>
    <row r="1941" spans="2:27" s="1324" customFormat="1">
      <c r="B1941" s="1324">
        <v>10</v>
      </c>
      <c r="C1941" s="1393">
        <v>117</v>
      </c>
      <c r="D1941" s="1324" t="s">
        <v>9327</v>
      </c>
      <c r="E1941" s="1344" t="s">
        <v>6115</v>
      </c>
      <c r="F1941" s="1324">
        <f>SUM(G1941:H1941)</f>
        <v>4249833.2296028445</v>
      </c>
      <c r="G1941" s="1324">
        <f>+'Load Research'!E10</f>
        <v>275333.33333333337</v>
      </c>
      <c r="H1941" s="1324">
        <f>+'Load Research'!F10</f>
        <v>3974499.896269511</v>
      </c>
      <c r="I1941" s="1527"/>
      <c r="J1941" s="1324">
        <f>+'Load Research'!F10</f>
        <v>3974499.896269511</v>
      </c>
      <c r="K1941" s="1324">
        <f>+'Load Research'!G10</f>
        <v>2305261.7678066748</v>
      </c>
      <c r="L1941" s="1324">
        <f>+'Load Research'!H10</f>
        <v>190160.84369421427</v>
      </c>
      <c r="M1941" s="1324">
        <f>+'Load Research'!I10</f>
        <v>1215602.739280649</v>
      </c>
      <c r="N1941" s="1324">
        <f>+'Load Research'!J10</f>
        <v>151751.88420351513</v>
      </c>
      <c r="O1941" s="1324">
        <f>+'Load Research'!K10</f>
        <v>108904.77023595448</v>
      </c>
      <c r="P1941" s="1324">
        <f>+'Load Research'!L10</f>
        <v>2817.891048503418</v>
      </c>
      <c r="Q1941" s="1324">
        <v>0</v>
      </c>
      <c r="V1941" s="1324" t="s">
        <v>6116</v>
      </c>
      <c r="AA1941" s="1320"/>
    </row>
    <row r="1942" spans="2:27" s="1324" customFormat="1">
      <c r="B1942" s="1324">
        <v>11</v>
      </c>
      <c r="C1942" s="1541">
        <v>117</v>
      </c>
      <c r="D1942" s="1324" t="s">
        <v>6117</v>
      </c>
      <c r="E1942" s="1344" t="s">
        <v>3179</v>
      </c>
      <c r="F1942" s="1374">
        <f>+SUM(G1942:H1942)</f>
        <v>0.99999999999999989</v>
      </c>
      <c r="G1942" s="1374">
        <f>+G1941/F1941</f>
        <v>6.4786855967772602E-2</v>
      </c>
      <c r="H1942" s="1374">
        <f>+H1941/F1941</f>
        <v>0.93521314403222733</v>
      </c>
      <c r="I1942" s="1374"/>
      <c r="J1942" s="1374">
        <f>+SUM(K1942:Q1942)</f>
        <v>1</v>
      </c>
      <c r="K1942" s="1374">
        <f t="shared" ref="K1942:Q1942" si="805">+K1941/$J1941</f>
        <v>0.58001304012371646</v>
      </c>
      <c r="L1942" s="1374">
        <f t="shared" si="805"/>
        <v>4.7845225476719815E-2</v>
      </c>
      <c r="M1942" s="1374">
        <f t="shared" si="805"/>
        <v>0.3058504896230142</v>
      </c>
      <c r="N1942" s="1374">
        <f t="shared" si="805"/>
        <v>3.8181378327862163E-2</v>
      </c>
      <c r="O1942" s="1374">
        <f t="shared" si="805"/>
        <v>2.7400873840297026E-2</v>
      </c>
      <c r="P1942" s="1374">
        <f t="shared" si="805"/>
        <v>7.0899260839038069E-4</v>
      </c>
      <c r="Q1942" s="1374">
        <f t="shared" si="805"/>
        <v>0</v>
      </c>
      <c r="R1942" s="1374"/>
      <c r="AA1942" s="1320"/>
    </row>
    <row r="1943" spans="2:27" s="1324" customFormat="1">
      <c r="B1943" s="1324">
        <v>12</v>
      </c>
      <c r="C1943" s="1393"/>
      <c r="E1943" s="1344"/>
      <c r="I1943" s="1527"/>
      <c r="Y1943" s="1320"/>
      <c r="AA1943" s="1320"/>
    </row>
    <row r="1944" spans="2:27" s="1324" customFormat="1">
      <c r="B1944" s="1324">
        <v>13</v>
      </c>
      <c r="C1944" s="1393">
        <v>118</v>
      </c>
      <c r="D1944" s="1324" t="s">
        <v>9327</v>
      </c>
      <c r="E1944" s="1344" t="s">
        <v>6115</v>
      </c>
      <c r="F1944" s="1324">
        <f>SUM(G1944:H1944)</f>
        <v>4249833.2296028445</v>
      </c>
      <c r="G1944" s="1324">
        <f>+'Load Research'!E11</f>
        <v>275333.33333333337</v>
      </c>
      <c r="H1944" s="1324">
        <f>+'Load Research'!F11</f>
        <v>3974499.896269511</v>
      </c>
      <c r="J1944" s="1324">
        <f>+'Load Research'!F11</f>
        <v>3974499.896269511</v>
      </c>
      <c r="K1944" s="1324">
        <f>+'Load Research'!G11</f>
        <v>2305261.7678066748</v>
      </c>
      <c r="L1944" s="1324">
        <f>+'Load Research'!H11</f>
        <v>190160.84369421427</v>
      </c>
      <c r="M1944" s="1324">
        <f>+'Load Research'!I11</f>
        <v>1215602.739280649</v>
      </c>
      <c r="N1944" s="1324">
        <f>+'Load Research'!J11</f>
        <v>151751.88420351513</v>
      </c>
      <c r="O1944" s="1324">
        <f>+'Load Research'!K11</f>
        <v>108904.77023595448</v>
      </c>
      <c r="P1944" s="1324">
        <f>+'Load Research'!L11</f>
        <v>2817.891048503418</v>
      </c>
      <c r="Q1944" s="1324">
        <v>0</v>
      </c>
      <c r="R1944" s="1387"/>
      <c r="V1944" s="1324" t="s">
        <v>6116</v>
      </c>
      <c r="AA1944" s="1320"/>
    </row>
    <row r="1945" spans="2:27" s="1324" customFormat="1">
      <c r="B1945" s="1324">
        <v>14</v>
      </c>
      <c r="C1945" s="1541">
        <v>117</v>
      </c>
      <c r="D1945" s="1324" t="s">
        <v>6117</v>
      </c>
      <c r="E1945" s="1344" t="s">
        <v>3179</v>
      </c>
      <c r="F1945" s="1374">
        <f>+SUM(G1945:H1945)</f>
        <v>0.99999999999999989</v>
      </c>
      <c r="G1945" s="1374">
        <f>+G1944/F1944</f>
        <v>6.4786855967772602E-2</v>
      </c>
      <c r="H1945" s="1374">
        <f>+H1944/F1944</f>
        <v>0.93521314403222733</v>
      </c>
      <c r="J1945" s="1374">
        <f>+SUM(K1945:Q1945)</f>
        <v>1</v>
      </c>
      <c r="K1945" s="1374">
        <f t="shared" ref="K1945:Q1945" si="806">+K1944/$J1944</f>
        <v>0.58001304012371646</v>
      </c>
      <c r="L1945" s="1374">
        <f t="shared" si="806"/>
        <v>4.7845225476719815E-2</v>
      </c>
      <c r="M1945" s="1374">
        <f t="shared" si="806"/>
        <v>0.3058504896230142</v>
      </c>
      <c r="N1945" s="1374">
        <f t="shared" si="806"/>
        <v>3.8181378327862163E-2</v>
      </c>
      <c r="O1945" s="1374">
        <f t="shared" si="806"/>
        <v>2.7400873840297026E-2</v>
      </c>
      <c r="P1945" s="1374">
        <f t="shared" si="806"/>
        <v>7.0899260839038069E-4</v>
      </c>
      <c r="Q1945" s="1374">
        <f t="shared" si="806"/>
        <v>0</v>
      </c>
      <c r="R1945" s="1374"/>
      <c r="AA1945" s="1320"/>
    </row>
    <row r="1946" spans="2:27" s="1324" customFormat="1">
      <c r="B1946" s="1324">
        <v>15</v>
      </c>
      <c r="AA1946" s="1320"/>
    </row>
    <row r="1947" spans="2:27" s="1324" customFormat="1">
      <c r="B1947" s="1324">
        <v>16</v>
      </c>
      <c r="C1947" s="1393">
        <v>121</v>
      </c>
      <c r="D1947" s="1324" t="s">
        <v>9475</v>
      </c>
      <c r="E1947" s="1344" t="s">
        <v>3179</v>
      </c>
      <c r="F1947" s="1374">
        <f>+SUM(G1947:H1947)</f>
        <v>1</v>
      </c>
      <c r="G1947" s="1374">
        <f>+'Load Research'!E13</f>
        <v>0</v>
      </c>
      <c r="H1947" s="1374">
        <f>+'Load Research'!F13</f>
        <v>1</v>
      </c>
      <c r="I1947" s="1527"/>
      <c r="J1947" s="1374">
        <f>+'Load Research'!F13</f>
        <v>1</v>
      </c>
      <c r="K1947" s="1374">
        <f>+K1950</f>
        <v>0.57421466666954735</v>
      </c>
      <c r="L1947" s="1374">
        <f t="shared" ref="L1947:Q1947" si="807">+L1950</f>
        <v>4.7752062449164689E-2</v>
      </c>
      <c r="M1947" s="1374">
        <f t="shared" si="807"/>
        <v>0.30904706559808581</v>
      </c>
      <c r="N1947" s="1374">
        <f t="shared" si="807"/>
        <v>3.9498306589408221E-2</v>
      </c>
      <c r="O1947" s="1374">
        <f t="shared" si="807"/>
        <v>2.842705517455647E-2</v>
      </c>
      <c r="P1947" s="1374">
        <f t="shared" si="807"/>
        <v>1.0608435192375021E-3</v>
      </c>
      <c r="Q1947" s="1374">
        <f t="shared" si="807"/>
        <v>0</v>
      </c>
      <c r="R1947" s="1387"/>
      <c r="V1947" s="1324" t="s">
        <v>6116</v>
      </c>
      <c r="AA1947" s="1320"/>
    </row>
    <row r="1948" spans="2:27" s="1324" customFormat="1">
      <c r="B1948" s="1324">
        <v>17</v>
      </c>
      <c r="C1948" s="1541">
        <v>121</v>
      </c>
      <c r="D1948" s="1324" t="s">
        <v>6117</v>
      </c>
      <c r="E1948" s="1344" t="s">
        <v>3179</v>
      </c>
      <c r="F1948" s="1374">
        <f>+SUM(G1948:H1948)</f>
        <v>1</v>
      </c>
      <c r="G1948" s="1374">
        <f>+G1947/F1947</f>
        <v>0</v>
      </c>
      <c r="H1948" s="1374">
        <f>+H1947/F1947</f>
        <v>1</v>
      </c>
      <c r="I1948" s="1374"/>
      <c r="J1948" s="1374">
        <f>+SUM(K1948:Q1948)</f>
        <v>1</v>
      </c>
      <c r="K1948" s="1374">
        <f>+K1951</f>
        <v>0.57421466666954735</v>
      </c>
      <c r="L1948" s="1374">
        <f t="shared" ref="L1948:Q1948" si="808">+L1951</f>
        <v>4.7752062449164689E-2</v>
      </c>
      <c r="M1948" s="1374">
        <f t="shared" si="808"/>
        <v>0.30904706559808581</v>
      </c>
      <c r="N1948" s="1374">
        <f t="shared" si="808"/>
        <v>3.9498306589408221E-2</v>
      </c>
      <c r="O1948" s="1374">
        <f t="shared" si="808"/>
        <v>2.842705517455647E-2</v>
      </c>
      <c r="P1948" s="1374">
        <f t="shared" si="808"/>
        <v>1.0608435192375021E-3</v>
      </c>
      <c r="Q1948" s="1374">
        <f t="shared" si="808"/>
        <v>0</v>
      </c>
      <c r="R1948" s="1374"/>
      <c r="AA1948" s="1320"/>
    </row>
    <row r="1949" spans="2:27" s="1324" customFormat="1">
      <c r="B1949" s="1324">
        <v>18</v>
      </c>
      <c r="C1949" s="1541"/>
      <c r="E1949" s="1344"/>
      <c r="F1949" s="1374"/>
      <c r="G1949" s="1374"/>
      <c r="H1949" s="1374"/>
      <c r="I1949" s="1374"/>
      <c r="J1949" s="1374"/>
      <c r="K1949" s="1374"/>
      <c r="L1949" s="1374"/>
      <c r="M1949" s="1374"/>
      <c r="N1949" s="1374"/>
      <c r="O1949" s="1374"/>
      <c r="P1949" s="1374"/>
      <c r="Q1949" s="1374"/>
      <c r="R1949" s="1374"/>
      <c r="AA1949" s="1320"/>
    </row>
    <row r="1950" spans="2:27" s="1324" customFormat="1">
      <c r="B1950" s="1324">
        <v>19</v>
      </c>
      <c r="C1950" s="1393">
        <v>122</v>
      </c>
      <c r="D1950" s="1324" t="s">
        <v>9474</v>
      </c>
      <c r="E1950" s="1344" t="s">
        <v>3179</v>
      </c>
      <c r="F1950" s="1374">
        <f>+SUM(G1950:H1950)</f>
        <v>1</v>
      </c>
      <c r="G1950" s="1374">
        <f>+'Load Research'!E12</f>
        <v>0</v>
      </c>
      <c r="H1950" s="1374">
        <f>+'Load Research'!F12</f>
        <v>1</v>
      </c>
      <c r="I1950" s="1374"/>
      <c r="J1950" s="1374">
        <f>+'Load Research'!F12</f>
        <v>1</v>
      </c>
      <c r="K1950" s="1374">
        <f>+'Load Research'!G12</f>
        <v>0.57421466666954735</v>
      </c>
      <c r="L1950" s="1374">
        <f>+'Load Research'!H12</f>
        <v>4.7752062449164689E-2</v>
      </c>
      <c r="M1950" s="1374">
        <f>+'Load Research'!I12</f>
        <v>0.30904706559808581</v>
      </c>
      <c r="N1950" s="1374">
        <f>+'Load Research'!J12</f>
        <v>3.9498306589408221E-2</v>
      </c>
      <c r="O1950" s="1374">
        <f>+'Load Research'!K12</f>
        <v>2.842705517455647E-2</v>
      </c>
      <c r="P1950" s="1374">
        <f>+'Load Research'!L12</f>
        <v>1.0608435192375021E-3</v>
      </c>
      <c r="Q1950" s="1374">
        <f>+'Load Research'!M9</f>
        <v>0</v>
      </c>
      <c r="R1950" s="1374"/>
      <c r="V1950" s="1324" t="s">
        <v>6116</v>
      </c>
      <c r="AA1950" s="1320"/>
    </row>
    <row r="1951" spans="2:27" s="1324" customFormat="1">
      <c r="B1951" s="1324">
        <v>20</v>
      </c>
      <c r="C1951" s="1541">
        <v>122</v>
      </c>
      <c r="D1951" s="1324" t="s">
        <v>6117</v>
      </c>
      <c r="E1951" s="1344" t="s">
        <v>3179</v>
      </c>
      <c r="F1951" s="1374">
        <f>+SUM(G1951:H1951)</f>
        <v>1</v>
      </c>
      <c r="G1951" s="1374">
        <f>+G1950/F1950</f>
        <v>0</v>
      </c>
      <c r="H1951" s="1374">
        <f>+H1950/F1950</f>
        <v>1</v>
      </c>
      <c r="I1951" s="1374"/>
      <c r="J1951" s="1374">
        <f>+SUM(K1951:Q1951)</f>
        <v>1</v>
      </c>
      <c r="K1951" s="1374">
        <f t="shared" ref="K1951:Q1951" si="809">+K1950/$J1950</f>
        <v>0.57421466666954735</v>
      </c>
      <c r="L1951" s="1374">
        <f t="shared" si="809"/>
        <v>4.7752062449164689E-2</v>
      </c>
      <c r="M1951" s="1374">
        <f t="shared" si="809"/>
        <v>0.30904706559808581</v>
      </c>
      <c r="N1951" s="1374">
        <f t="shared" si="809"/>
        <v>3.9498306589408221E-2</v>
      </c>
      <c r="O1951" s="1374">
        <f t="shared" si="809"/>
        <v>2.842705517455647E-2</v>
      </c>
      <c r="P1951" s="1374">
        <f t="shared" si="809"/>
        <v>1.0608435192375021E-3</v>
      </c>
      <c r="Q1951" s="1374">
        <f t="shared" si="809"/>
        <v>0</v>
      </c>
      <c r="R1951" s="1374"/>
      <c r="AA1951" s="1320"/>
    </row>
    <row r="1952" spans="2:27" s="1324" customFormat="1">
      <c r="B1952" s="1324">
        <v>21</v>
      </c>
      <c r="C1952" s="1393"/>
      <c r="E1952" s="1502"/>
      <c r="I1952" s="1527"/>
      <c r="AA1952" s="1320"/>
    </row>
    <row r="1953" spans="2:27" s="1324" customFormat="1">
      <c r="B1953" s="1324">
        <v>22</v>
      </c>
      <c r="C1953" s="1393">
        <v>123</v>
      </c>
      <c r="D1953" s="1324" t="s">
        <v>9327</v>
      </c>
      <c r="E1953" s="1344" t="s">
        <v>3179</v>
      </c>
      <c r="F1953" s="1374">
        <f>+SUM(G1953:H1953)</f>
        <v>1</v>
      </c>
      <c r="G1953" s="1374">
        <f>+'Load Research'!E13</f>
        <v>0</v>
      </c>
      <c r="H1953" s="1374">
        <f>+'Load Research'!F13</f>
        <v>1</v>
      </c>
      <c r="I1953" s="1527"/>
      <c r="J1953" s="1374">
        <f>+'Load Research'!F13</f>
        <v>1</v>
      </c>
      <c r="K1953" s="1374">
        <f>+'Load Research'!G13</f>
        <v>0.58001304012371646</v>
      </c>
      <c r="L1953" s="1374">
        <f>+'Load Research'!H13</f>
        <v>4.7845225476719815E-2</v>
      </c>
      <c r="M1953" s="1374">
        <f>+'Load Research'!I13</f>
        <v>0.3058504896230142</v>
      </c>
      <c r="N1953" s="1374">
        <f>+'Load Research'!J13</f>
        <v>3.8181378327862163E-2</v>
      </c>
      <c r="O1953" s="1374">
        <f>+'Load Research'!K13</f>
        <v>2.7400873840297026E-2</v>
      </c>
      <c r="P1953" s="1374">
        <f>+'Load Research'!L13</f>
        <v>7.0899260839038069E-4</v>
      </c>
      <c r="Q1953" s="1374">
        <f>+'Load Research'!M12</f>
        <v>0</v>
      </c>
      <c r="R1953" s="1387"/>
      <c r="V1953" s="1324" t="s">
        <v>6116</v>
      </c>
      <c r="AA1953" s="1320"/>
    </row>
    <row r="1954" spans="2:27" s="1324" customFormat="1">
      <c r="B1954" s="1324">
        <v>23</v>
      </c>
      <c r="C1954" s="1541"/>
      <c r="D1954" s="1324" t="s">
        <v>6117</v>
      </c>
      <c r="E1954" s="1344" t="s">
        <v>3179</v>
      </c>
      <c r="F1954" s="1374">
        <f>+SUM(G1954:H1954)</f>
        <v>1</v>
      </c>
      <c r="G1954" s="1374">
        <f>+G1953/F1953</f>
        <v>0</v>
      </c>
      <c r="H1954" s="1374">
        <f>+H1953/F1953</f>
        <v>1</v>
      </c>
      <c r="I1954" s="1374"/>
      <c r="J1954" s="1374">
        <f>+SUM(K1954:Q1954)</f>
        <v>1</v>
      </c>
      <c r="K1954" s="1374">
        <f t="shared" ref="K1954:Q1954" si="810">+K1953/$J1953</f>
        <v>0.58001304012371646</v>
      </c>
      <c r="L1954" s="1374">
        <f t="shared" si="810"/>
        <v>4.7845225476719815E-2</v>
      </c>
      <c r="M1954" s="1374">
        <f t="shared" si="810"/>
        <v>0.3058504896230142</v>
      </c>
      <c r="N1954" s="1374">
        <f t="shared" si="810"/>
        <v>3.8181378327862163E-2</v>
      </c>
      <c r="O1954" s="1374">
        <f t="shared" si="810"/>
        <v>2.7400873840297026E-2</v>
      </c>
      <c r="P1954" s="1374">
        <f t="shared" si="810"/>
        <v>7.0899260839038069E-4</v>
      </c>
      <c r="Q1954" s="1374">
        <f t="shared" si="810"/>
        <v>0</v>
      </c>
      <c r="R1954" s="1374"/>
      <c r="AA1954" s="1320"/>
    </row>
    <row r="1955" spans="2:27" s="1324" customFormat="1">
      <c r="B1955" s="1324">
        <v>24</v>
      </c>
      <c r="C1955" s="1393"/>
      <c r="E1955" s="1502"/>
      <c r="I1955" s="1527"/>
      <c r="R1955" s="1374"/>
      <c r="AA1955" s="1320"/>
    </row>
    <row r="1956" spans="2:27" s="1324" customFormat="1">
      <c r="B1956" s="1324">
        <v>25</v>
      </c>
      <c r="C1956" s="1393">
        <v>124</v>
      </c>
      <c r="D1956" s="1324" t="s">
        <v>6118</v>
      </c>
      <c r="E1956" s="1502" t="s">
        <v>3179</v>
      </c>
      <c r="F1956" s="1374">
        <v>0</v>
      </c>
      <c r="G1956" s="1374">
        <v>0</v>
      </c>
      <c r="H1956" s="1374">
        <v>0</v>
      </c>
      <c r="I1956" s="1527"/>
      <c r="J1956" s="1374">
        <v>0</v>
      </c>
      <c r="K1956" s="1374">
        <v>0</v>
      </c>
      <c r="L1956" s="1374">
        <v>0</v>
      </c>
      <c r="M1956" s="1374">
        <v>0</v>
      </c>
      <c r="N1956" s="1374">
        <v>0</v>
      </c>
      <c r="O1956" s="1374">
        <v>0</v>
      </c>
      <c r="P1956" s="1374">
        <v>0</v>
      </c>
      <c r="Q1956" s="1374">
        <v>0</v>
      </c>
      <c r="R1956" s="1374"/>
      <c r="V1956" s="1324" t="s">
        <v>6116</v>
      </c>
      <c r="AA1956" s="1320"/>
    </row>
    <row r="1957" spans="2:27" s="1324" customFormat="1">
      <c r="B1957" s="1324">
        <v>26</v>
      </c>
      <c r="C1957" s="1541">
        <v>124</v>
      </c>
      <c r="D1957" s="1324" t="s">
        <v>6117</v>
      </c>
      <c r="E1957" s="1344" t="s">
        <v>3179</v>
      </c>
      <c r="F1957" s="1374">
        <v>0</v>
      </c>
      <c r="G1957" s="1374">
        <v>0</v>
      </c>
      <c r="H1957" s="1374">
        <v>0</v>
      </c>
      <c r="I1957" s="1527"/>
      <c r="J1957" s="1374">
        <v>0</v>
      </c>
      <c r="K1957" s="1374">
        <v>0</v>
      </c>
      <c r="L1957" s="1374">
        <v>0</v>
      </c>
      <c r="M1957" s="1374">
        <v>0</v>
      </c>
      <c r="N1957" s="1374">
        <v>0</v>
      </c>
      <c r="O1957" s="1374">
        <v>0</v>
      </c>
      <c r="P1957" s="1374">
        <v>0</v>
      </c>
      <c r="Q1957" s="1374">
        <v>0</v>
      </c>
      <c r="R1957" s="1374"/>
      <c r="AA1957" s="1320"/>
    </row>
    <row r="1958" spans="2:27" s="1324" customFormat="1">
      <c r="B1958" s="1324">
        <v>27</v>
      </c>
      <c r="C1958" s="1393"/>
      <c r="E1958" s="1502"/>
      <c r="F1958" s="1374"/>
      <c r="G1958" s="1374"/>
      <c r="H1958" s="1374"/>
      <c r="I1958" s="1527"/>
      <c r="J1958" s="1374"/>
      <c r="K1958" s="1374"/>
      <c r="L1958" s="1374"/>
      <c r="M1958" s="1374"/>
      <c r="N1958" s="1374"/>
      <c r="O1958" s="1374"/>
      <c r="P1958" s="1374"/>
      <c r="Q1958" s="1374"/>
      <c r="R1958" s="1374"/>
      <c r="AA1958" s="1320"/>
    </row>
    <row r="1959" spans="2:27" s="1324" customFormat="1">
      <c r="B1959" s="1324">
        <v>28</v>
      </c>
      <c r="C1959" s="1393">
        <v>125</v>
      </c>
      <c r="D1959" s="1324" t="s">
        <v>6119</v>
      </c>
      <c r="E1959" s="1502" t="s">
        <v>3179</v>
      </c>
      <c r="F1959" s="1374">
        <v>0</v>
      </c>
      <c r="G1959" s="1374">
        <v>0</v>
      </c>
      <c r="H1959" s="1374">
        <v>0</v>
      </c>
      <c r="I1959" s="1527"/>
      <c r="J1959" s="1374">
        <v>0</v>
      </c>
      <c r="K1959" s="1374">
        <v>0</v>
      </c>
      <c r="L1959" s="1374">
        <v>0</v>
      </c>
      <c r="M1959" s="1374">
        <v>0</v>
      </c>
      <c r="N1959" s="1374">
        <v>0</v>
      </c>
      <c r="O1959" s="1374">
        <v>0</v>
      </c>
      <c r="P1959" s="1374">
        <v>0</v>
      </c>
      <c r="Q1959" s="1374">
        <v>0</v>
      </c>
      <c r="R1959" s="1374"/>
      <c r="V1959" s="1324" t="s">
        <v>6116</v>
      </c>
      <c r="AA1959" s="1320"/>
    </row>
    <row r="1960" spans="2:27" s="1324" customFormat="1">
      <c r="B1960" s="1324">
        <v>29</v>
      </c>
      <c r="C1960" s="1541">
        <v>125</v>
      </c>
      <c r="D1960" s="1324" t="s">
        <v>6117</v>
      </c>
      <c r="E1960" s="1344" t="s">
        <v>3179</v>
      </c>
      <c r="F1960" s="1374">
        <v>0</v>
      </c>
      <c r="G1960" s="1374">
        <v>0</v>
      </c>
      <c r="H1960" s="1374">
        <v>0</v>
      </c>
      <c r="I1960" s="1527"/>
      <c r="J1960" s="1374">
        <v>0</v>
      </c>
      <c r="K1960" s="1374">
        <v>0</v>
      </c>
      <c r="L1960" s="1374">
        <v>0</v>
      </c>
      <c r="M1960" s="1374">
        <v>0</v>
      </c>
      <c r="N1960" s="1374">
        <v>0</v>
      </c>
      <c r="O1960" s="1374">
        <v>0</v>
      </c>
      <c r="P1960" s="1374">
        <v>0</v>
      </c>
      <c r="Q1960" s="1374">
        <v>0</v>
      </c>
      <c r="R1960" s="1374"/>
      <c r="AA1960" s="1320"/>
    </row>
    <row r="1961" spans="2:27" s="1324" customFormat="1">
      <c r="B1961" s="1324">
        <v>30</v>
      </c>
      <c r="C1961" s="1393"/>
      <c r="E1961" s="1502"/>
      <c r="F1961" s="1374"/>
      <c r="G1961" s="1374"/>
      <c r="H1961" s="1374"/>
      <c r="I1961" s="1527"/>
      <c r="J1961" s="1374"/>
      <c r="K1961" s="1374"/>
      <c r="L1961" s="1374"/>
      <c r="M1961" s="1374"/>
      <c r="N1961" s="1374"/>
      <c r="O1961" s="1374"/>
      <c r="P1961" s="1374"/>
      <c r="Q1961" s="1374"/>
      <c r="R1961" s="1374"/>
      <c r="AA1961" s="1320"/>
    </row>
    <row r="1962" spans="2:27" s="1324" customFormat="1">
      <c r="B1962" s="1324">
        <v>31</v>
      </c>
      <c r="C1962" s="1393">
        <v>126</v>
      </c>
      <c r="D1962" s="1324" t="s">
        <v>6120</v>
      </c>
      <c r="E1962" s="1502" t="s">
        <v>3179</v>
      </c>
      <c r="F1962" s="1374">
        <v>0</v>
      </c>
      <c r="G1962" s="1374">
        <v>0</v>
      </c>
      <c r="H1962" s="1374">
        <v>0</v>
      </c>
      <c r="I1962" s="1527"/>
      <c r="J1962" s="1374">
        <v>0</v>
      </c>
      <c r="K1962" s="1374">
        <v>0</v>
      </c>
      <c r="L1962" s="1374">
        <v>0</v>
      </c>
      <c r="M1962" s="1374">
        <v>0</v>
      </c>
      <c r="N1962" s="1374">
        <v>0</v>
      </c>
      <c r="O1962" s="1374">
        <v>0</v>
      </c>
      <c r="P1962" s="1374">
        <v>0</v>
      </c>
      <c r="Q1962" s="1374">
        <v>0</v>
      </c>
      <c r="R1962" s="1374"/>
      <c r="V1962" s="1324" t="s">
        <v>6116</v>
      </c>
      <c r="AA1962" s="1320"/>
    </row>
    <row r="1963" spans="2:27" s="1324" customFormat="1">
      <c r="B1963" s="1324">
        <v>32</v>
      </c>
      <c r="C1963" s="1541">
        <v>126</v>
      </c>
      <c r="D1963" s="1324" t="s">
        <v>6117</v>
      </c>
      <c r="E1963" s="1344" t="s">
        <v>3179</v>
      </c>
      <c r="F1963" s="1374">
        <v>0</v>
      </c>
      <c r="G1963" s="1374">
        <v>0</v>
      </c>
      <c r="H1963" s="1374">
        <v>0</v>
      </c>
      <c r="I1963" s="1527"/>
      <c r="J1963" s="1374">
        <v>0</v>
      </c>
      <c r="K1963" s="1374">
        <v>0</v>
      </c>
      <c r="L1963" s="1374">
        <v>0</v>
      </c>
      <c r="M1963" s="1374">
        <v>0</v>
      </c>
      <c r="N1963" s="1374">
        <v>0</v>
      </c>
      <c r="O1963" s="1374">
        <v>0</v>
      </c>
      <c r="P1963" s="1374">
        <v>0</v>
      </c>
      <c r="Q1963" s="1374">
        <v>0</v>
      </c>
      <c r="R1963" s="1374"/>
      <c r="AA1963" s="1320"/>
    </row>
    <row r="1964" spans="2:27" s="1324" customFormat="1">
      <c r="B1964" s="1324">
        <v>33</v>
      </c>
      <c r="C1964" s="1393"/>
      <c r="E1964" s="1502"/>
      <c r="F1964" s="1374"/>
      <c r="G1964" s="1374"/>
      <c r="H1964" s="1374"/>
      <c r="I1964" s="1527"/>
      <c r="J1964" s="1374"/>
      <c r="K1964" s="1374"/>
      <c r="L1964" s="1374"/>
      <c r="M1964" s="1374"/>
      <c r="N1964" s="1374"/>
      <c r="O1964" s="1374"/>
      <c r="P1964" s="1374"/>
      <c r="Q1964" s="1374"/>
      <c r="AA1964" s="1320"/>
    </row>
    <row r="1965" spans="2:27" s="1324" customFormat="1">
      <c r="B1965" s="1324">
        <v>34</v>
      </c>
      <c r="C1965" s="1393">
        <v>128</v>
      </c>
      <c r="D1965" s="1324" t="s">
        <v>6121</v>
      </c>
      <c r="E1965" s="1502" t="s">
        <v>3179</v>
      </c>
      <c r="F1965" s="1374">
        <v>0</v>
      </c>
      <c r="G1965" s="1374">
        <v>0</v>
      </c>
      <c r="H1965" s="1374">
        <v>0</v>
      </c>
      <c r="I1965" s="1527"/>
      <c r="J1965" s="1374">
        <v>0</v>
      </c>
      <c r="K1965" s="1374">
        <v>0</v>
      </c>
      <c r="L1965" s="1374">
        <v>0</v>
      </c>
      <c r="M1965" s="1374">
        <v>0</v>
      </c>
      <c r="N1965" s="1374">
        <v>0</v>
      </c>
      <c r="O1965" s="1374">
        <v>0</v>
      </c>
      <c r="P1965" s="1374">
        <v>0</v>
      </c>
      <c r="Q1965" s="1374">
        <v>0</v>
      </c>
      <c r="V1965" s="1324" t="s">
        <v>6116</v>
      </c>
      <c r="AA1965" s="1320"/>
    </row>
    <row r="1966" spans="2:27" s="1324" customFormat="1">
      <c r="B1966" s="1324">
        <v>35</v>
      </c>
      <c r="C1966" s="1541">
        <v>128</v>
      </c>
      <c r="D1966" s="1324" t="s">
        <v>6117</v>
      </c>
      <c r="E1966" s="1344" t="s">
        <v>3179</v>
      </c>
      <c r="F1966" s="1374">
        <v>0</v>
      </c>
      <c r="G1966" s="1374">
        <v>0</v>
      </c>
      <c r="H1966" s="1374">
        <v>0</v>
      </c>
      <c r="I1966" s="1527"/>
      <c r="J1966" s="1374">
        <v>0</v>
      </c>
      <c r="K1966" s="1374">
        <v>0</v>
      </c>
      <c r="L1966" s="1374">
        <v>0</v>
      </c>
      <c r="M1966" s="1374">
        <v>0</v>
      </c>
      <c r="N1966" s="1374">
        <v>0</v>
      </c>
      <c r="O1966" s="1374">
        <v>0</v>
      </c>
      <c r="P1966" s="1374">
        <v>0</v>
      </c>
      <c r="Q1966" s="1374">
        <v>0</v>
      </c>
      <c r="R1966" s="1374"/>
      <c r="Y1966" s="1320"/>
      <c r="AA1966" s="1320"/>
    </row>
    <row r="1967" spans="2:27" s="1324" customFormat="1">
      <c r="B1967" s="1324">
        <v>36</v>
      </c>
      <c r="C1967" s="1393"/>
      <c r="E1967" s="1344"/>
      <c r="I1967" s="1527"/>
      <c r="Y1967" s="1320"/>
      <c r="AA1967" s="1320"/>
    </row>
    <row r="1968" spans="2:27" s="1324" customFormat="1">
      <c r="B1968" s="1324">
        <v>37</v>
      </c>
      <c r="C1968" s="1393">
        <v>201</v>
      </c>
      <c r="D1968" s="1324" t="s">
        <v>4790</v>
      </c>
      <c r="E1968" s="1344" t="s">
        <v>9267</v>
      </c>
      <c r="F1968" s="1324">
        <f>+SUM(G1968:H1968)</f>
        <v>21513101.492999993</v>
      </c>
      <c r="G1968" s="1324">
        <f>+'Load Research'!E14</f>
        <v>0</v>
      </c>
      <c r="H1968" s="1324">
        <f>+'Load Research'!F14</f>
        <v>21513101.492999993</v>
      </c>
      <c r="I1968" s="1527"/>
      <c r="J1968" s="1324">
        <f>+'Load Research'!F14</f>
        <v>21513101.492999993</v>
      </c>
      <c r="K1968" s="1324">
        <f>+'Load Research'!G14</f>
        <v>10856246.44346484</v>
      </c>
      <c r="L1968" s="1324">
        <f>+'Load Research'!H14</f>
        <v>1003244.2579626911</v>
      </c>
      <c r="M1968" s="1324">
        <f>+'Load Research'!I14</f>
        <v>7473780.0489070648</v>
      </c>
      <c r="N1968" s="1324">
        <f>+'Load Research'!J14</f>
        <v>1189705.6146552546</v>
      </c>
      <c r="O1968" s="1324">
        <f>+'Load Research'!K14</f>
        <v>876470.24144709064</v>
      </c>
      <c r="P1968" s="1324">
        <f>+'Load Research'!L14</f>
        <v>113654.88656305107</v>
      </c>
      <c r="Q1968" s="1324">
        <v>0</v>
      </c>
      <c r="V1968" s="1324" t="s">
        <v>6116</v>
      </c>
      <c r="Y1968" s="1320"/>
      <c r="AA1968" s="1320"/>
    </row>
    <row r="1969" spans="2:27" s="1324" customFormat="1">
      <c r="B1969" s="1324">
        <v>38</v>
      </c>
      <c r="C1969" s="1541">
        <v>201</v>
      </c>
      <c r="D1969" s="1324" t="s">
        <v>6117</v>
      </c>
      <c r="E1969" s="1344" t="s">
        <v>3179</v>
      </c>
      <c r="F1969" s="1374">
        <f>+SUM(G1969:H1969)</f>
        <v>1</v>
      </c>
      <c r="G1969" s="1374">
        <f>+G1968/F1968</f>
        <v>0</v>
      </c>
      <c r="H1969" s="1374">
        <f>+H1968/F1968</f>
        <v>1</v>
      </c>
      <c r="I1969" s="1374"/>
      <c r="J1969" s="1374">
        <f>+SUM(K1969:Q1969)</f>
        <v>0.99999999999999978</v>
      </c>
      <c r="K1969" s="1374">
        <f t="shared" ref="K1969:Q1969" si="811">+K1968/$J1968</f>
        <v>0.50463418521951764</v>
      </c>
      <c r="L1969" s="1374">
        <f t="shared" si="811"/>
        <v>4.6634106118503195E-2</v>
      </c>
      <c r="M1969" s="1374">
        <f t="shared" si="811"/>
        <v>0.34740597729894546</v>
      </c>
      <c r="N1969" s="1374">
        <f t="shared" si="811"/>
        <v>5.5301445727960939E-2</v>
      </c>
      <c r="O1969" s="1374">
        <f t="shared" si="811"/>
        <v>4.0741231185669788E-2</v>
      </c>
      <c r="P1969" s="1374">
        <f t="shared" si="811"/>
        <v>5.2830544494029599E-3</v>
      </c>
      <c r="Q1969" s="1374">
        <f t="shared" si="811"/>
        <v>0</v>
      </c>
      <c r="R1969" s="1374"/>
      <c r="Y1969" s="1320"/>
      <c r="AA1969" s="1320"/>
    </row>
    <row r="1970" spans="2:27" s="1324" customFormat="1">
      <c r="B1970" s="1324">
        <v>39</v>
      </c>
      <c r="C1970" s="1393"/>
      <c r="E1970" s="1344"/>
      <c r="I1970" s="1527"/>
      <c r="AA1970" s="1320"/>
    </row>
    <row r="1971" spans="2:27" s="1324" customFormat="1">
      <c r="B1971" s="1324">
        <v>40</v>
      </c>
      <c r="C1971" s="1393">
        <v>202</v>
      </c>
      <c r="D1971" s="1324" t="s">
        <v>4792</v>
      </c>
      <c r="E1971" s="1344" t="s">
        <v>3179</v>
      </c>
      <c r="F1971" s="1374">
        <v>1</v>
      </c>
      <c r="G1971" s="1374">
        <v>1</v>
      </c>
      <c r="H1971" s="1374">
        <v>0</v>
      </c>
      <c r="I1971" s="1527"/>
      <c r="J1971" s="1374">
        <v>0</v>
      </c>
      <c r="K1971" s="1374">
        <v>0</v>
      </c>
      <c r="L1971" s="1374">
        <v>0</v>
      </c>
      <c r="M1971" s="1374">
        <v>0</v>
      </c>
      <c r="N1971" s="1374">
        <v>0</v>
      </c>
      <c r="O1971" s="1374">
        <v>0</v>
      </c>
      <c r="P1971" s="1374">
        <v>0</v>
      </c>
      <c r="Q1971" s="1374">
        <v>0</v>
      </c>
      <c r="V1971" s="1324" t="s">
        <v>6123</v>
      </c>
      <c r="AA1971" s="1320"/>
    </row>
    <row r="1972" spans="2:27" s="1324" customFormat="1">
      <c r="B1972" s="1324">
        <v>41</v>
      </c>
      <c r="C1972" s="1541">
        <v>202</v>
      </c>
      <c r="D1972" s="1324" t="s">
        <v>6117</v>
      </c>
      <c r="E1972" s="1344" t="s">
        <v>3179</v>
      </c>
      <c r="F1972" s="1374">
        <f>+SUM(G1972:H1972)</f>
        <v>1</v>
      </c>
      <c r="G1972" s="1374">
        <f>+G1971/F1971</f>
        <v>1</v>
      </c>
      <c r="H1972" s="1374">
        <f>+H1971/F1971</f>
        <v>0</v>
      </c>
      <c r="I1972" s="1374"/>
      <c r="J1972" s="1374">
        <v>0</v>
      </c>
      <c r="K1972" s="1374">
        <v>0</v>
      </c>
      <c r="L1972" s="1374">
        <v>0</v>
      </c>
      <c r="M1972" s="1374">
        <v>0</v>
      </c>
      <c r="N1972" s="1374">
        <v>0</v>
      </c>
      <c r="O1972" s="1374">
        <v>0</v>
      </c>
      <c r="P1972" s="1374">
        <v>0</v>
      </c>
      <c r="Q1972" s="1374">
        <v>0</v>
      </c>
      <c r="R1972" s="1374"/>
      <c r="AA1972" s="1320"/>
    </row>
    <row r="1973" spans="2:27">
      <c r="B1973" s="1324">
        <v>42</v>
      </c>
      <c r="C1973" s="1393"/>
      <c r="D1973" s="1324"/>
      <c r="E1973" s="1344"/>
      <c r="F1973" s="1324"/>
      <c r="H1973" s="1324"/>
      <c r="I1973" s="1527"/>
      <c r="M1973" s="1324"/>
      <c r="N1973" s="1324"/>
      <c r="O1973" s="1324"/>
      <c r="V1973" s="1324"/>
      <c r="Y1973" s="1324"/>
    </row>
    <row r="1974" spans="2:27">
      <c r="B1974" s="1324">
        <v>43</v>
      </c>
      <c r="C1974" s="1393">
        <v>204</v>
      </c>
      <c r="D1974" s="1324" t="s">
        <v>4800</v>
      </c>
      <c r="E1974" s="1344" t="s">
        <v>9267</v>
      </c>
      <c r="F1974" s="1324">
        <f>+SUM(G1974:H1974)</f>
        <v>21513101.492999993</v>
      </c>
      <c r="G1974" s="1324">
        <f>+'Load Research'!E16</f>
        <v>0</v>
      </c>
      <c r="H1974" s="1324">
        <f>+'Load Research'!F16</f>
        <v>21513101.492999993</v>
      </c>
      <c r="I1974" s="1527"/>
      <c r="J1974" s="1324">
        <f>+'Load Research'!F16</f>
        <v>21513101.492999993</v>
      </c>
      <c r="K1974" s="1324">
        <f>+'Load Research'!G16</f>
        <v>10856246.44346484</v>
      </c>
      <c r="L1974" s="1324">
        <f>+'Load Research'!H16</f>
        <v>1003244.2579626911</v>
      </c>
      <c r="M1974" s="1324">
        <f>+'Load Research'!I16</f>
        <v>7473780.0489070648</v>
      </c>
      <c r="N1974" s="1324">
        <f>+'Load Research'!J16</f>
        <v>1189705.6146552546</v>
      </c>
      <c r="O1974" s="1324">
        <f>+'Load Research'!K16</f>
        <v>876470.24144709064</v>
      </c>
      <c r="P1974" s="1324">
        <f>+'Load Research'!L16</f>
        <v>113654.88656305107</v>
      </c>
      <c r="Q1974" s="1324">
        <v>0</v>
      </c>
      <c r="V1974" s="1324" t="s">
        <v>6116</v>
      </c>
      <c r="Y1974" s="1324"/>
    </row>
    <row r="1975" spans="2:27">
      <c r="B1975" s="1324">
        <v>44</v>
      </c>
      <c r="C1975" s="1541">
        <v>204</v>
      </c>
      <c r="D1975" s="1324" t="s">
        <v>6117</v>
      </c>
      <c r="E1975" s="1344" t="s">
        <v>3179</v>
      </c>
      <c r="F1975" s="1374">
        <f>+SUM(G1975:H1975)</f>
        <v>1</v>
      </c>
      <c r="G1975" s="1374">
        <f>+G1974/F1974</f>
        <v>0</v>
      </c>
      <c r="H1975" s="1374">
        <f>+H1974/F1974</f>
        <v>1</v>
      </c>
      <c r="I1975" s="1374"/>
      <c r="J1975" s="1374">
        <f>+SUM(K1975:Q1975)</f>
        <v>0.99999999999999978</v>
      </c>
      <c r="K1975" s="1374">
        <f t="shared" ref="K1975:Q1975" si="812">+K1974/$J1974</f>
        <v>0.50463418521951764</v>
      </c>
      <c r="L1975" s="1374">
        <f t="shared" si="812"/>
        <v>4.6634106118503195E-2</v>
      </c>
      <c r="M1975" s="1374">
        <f t="shared" si="812"/>
        <v>0.34740597729894546</v>
      </c>
      <c r="N1975" s="1374">
        <f t="shared" si="812"/>
        <v>5.5301445727960939E-2</v>
      </c>
      <c r="O1975" s="1374">
        <f t="shared" si="812"/>
        <v>4.0741231185669788E-2</v>
      </c>
      <c r="P1975" s="1374">
        <f t="shared" si="812"/>
        <v>5.2830544494029599E-3</v>
      </c>
      <c r="Q1975" s="1374">
        <f t="shared" si="812"/>
        <v>0</v>
      </c>
      <c r="V1975" s="1324"/>
      <c r="Y1975" s="1324"/>
    </row>
    <row r="1976" spans="2:27">
      <c r="B1976" s="1324">
        <v>45</v>
      </c>
      <c r="E1976" s="1339"/>
      <c r="G1976" s="1320"/>
      <c r="I1976" s="1527"/>
      <c r="M1976" s="1324"/>
      <c r="N1976" s="1324"/>
      <c r="O1976" s="1324"/>
      <c r="Y1976" s="1324"/>
    </row>
    <row r="1977" spans="2:27">
      <c r="B1977" s="1324">
        <v>46</v>
      </c>
      <c r="C1977" s="1322">
        <v>205</v>
      </c>
      <c r="D1977" s="1324" t="s">
        <v>4810</v>
      </c>
      <c r="E1977" s="1344" t="s">
        <v>3179</v>
      </c>
      <c r="F1977" s="1374">
        <v>1</v>
      </c>
      <c r="G1977" s="1374">
        <v>0</v>
      </c>
      <c r="H1977" s="1374">
        <v>1</v>
      </c>
      <c r="I1977" s="1527"/>
      <c r="J1977" s="1374">
        <v>0</v>
      </c>
      <c r="K1977" s="1374">
        <v>0</v>
      </c>
      <c r="L1977" s="1374">
        <v>0</v>
      </c>
      <c r="M1977" s="1374">
        <v>0</v>
      </c>
      <c r="N1977" s="1374">
        <v>0</v>
      </c>
      <c r="O1977" s="1374">
        <v>0</v>
      </c>
      <c r="P1977" s="1374">
        <v>0</v>
      </c>
      <c r="Q1977" s="1374">
        <v>0</v>
      </c>
      <c r="V1977" s="1320" t="s">
        <v>6124</v>
      </c>
      <c r="Y1977" s="1324"/>
    </row>
    <row r="1978" spans="2:27">
      <c r="B1978" s="1324">
        <v>47</v>
      </c>
      <c r="C1978" s="1541">
        <v>205</v>
      </c>
      <c r="D1978" s="1324" t="s">
        <v>6117</v>
      </c>
      <c r="E1978" s="1344" t="s">
        <v>3179</v>
      </c>
      <c r="F1978" s="1374">
        <f>+SUM(G1978:H1978)</f>
        <v>1</v>
      </c>
      <c r="G1978" s="1374">
        <f>+G1977/F1977</f>
        <v>0</v>
      </c>
      <c r="H1978" s="1374">
        <f>+H1977/F1977</f>
        <v>1</v>
      </c>
      <c r="I1978" s="1374"/>
      <c r="J1978" s="1374">
        <v>0</v>
      </c>
      <c r="K1978" s="1374">
        <v>0</v>
      </c>
      <c r="L1978" s="1374">
        <v>0</v>
      </c>
      <c r="M1978" s="1374">
        <v>0</v>
      </c>
      <c r="N1978" s="1374">
        <v>0</v>
      </c>
      <c r="O1978" s="1374">
        <v>0</v>
      </c>
      <c r="P1978" s="1374">
        <v>0</v>
      </c>
      <c r="Q1978" s="1374">
        <v>0</v>
      </c>
      <c r="Y1978" s="1324"/>
    </row>
    <row r="1979" spans="2:27">
      <c r="G1979" s="1320"/>
      <c r="I1979" s="1527"/>
      <c r="L1979" s="1326"/>
      <c r="Y1979" s="1324"/>
    </row>
    <row r="1980" spans="2:27">
      <c r="G1980" s="1320"/>
      <c r="I1980" s="1527"/>
    </row>
    <row r="1981" spans="2:27">
      <c r="C1981" s="1340" t="str">
        <f>+C$2</f>
        <v>RATES WITH REVENUE DEFICIENCY ADDITION</v>
      </c>
      <c r="D1981" s="1321"/>
      <c r="G1981" s="1327" t="s">
        <v>2173</v>
      </c>
      <c r="I1981" s="1540" t="s">
        <v>4851</v>
      </c>
      <c r="L1981" s="1329" t="s">
        <v>2173</v>
      </c>
      <c r="M1981" s="1330"/>
      <c r="N1981" s="1330"/>
      <c r="O1981" s="1330"/>
      <c r="R1981" s="1332"/>
      <c r="T1981" s="1333" t="s">
        <v>2173</v>
      </c>
    </row>
    <row r="1982" spans="2:27">
      <c r="C1982" s="1340" t="str">
        <f>+C$3</f>
        <v>PROD. CAP. ALLOC. METHOD: 12 CP &amp; 1/13th AD</v>
      </c>
      <c r="D1982" s="1321"/>
      <c r="G1982" s="1333" t="s">
        <v>4768</v>
      </c>
      <c r="L1982" s="1336" t="s">
        <v>5141</v>
      </c>
      <c r="M1982" s="1337"/>
      <c r="N1982" s="1337"/>
      <c r="O1982" s="1337"/>
      <c r="T1982" s="1333" t="s">
        <v>5141</v>
      </c>
    </row>
    <row r="1983" spans="2:27">
      <c r="C1983" s="1340" t="str">
        <f>+C$4</f>
        <v>PROJECTED CALENDAR YEAR 2025; FULLY ADJUSTED DATA</v>
      </c>
      <c r="G1983" s="1320"/>
      <c r="L1983" s="1336"/>
      <c r="T1983" s="1339"/>
    </row>
    <row r="1984" spans="2:27" ht="15" customHeight="1">
      <c r="C1984" s="1340" t="str">
        <f>+C$5</f>
        <v>MINIMUM DISTRIBUTION SYSTEM (MDS) NOT EMPLOYED</v>
      </c>
      <c r="G1984" s="1320"/>
      <c r="T1984" s="1333"/>
      <c r="Y1984" s="1324"/>
    </row>
    <row r="1985" spans="2:27" ht="15" customHeight="1">
      <c r="C1985" s="1340" t="str">
        <f>+C$6</f>
        <v>Tampa Electric 2025 OB Budget</v>
      </c>
      <c r="G1985" s="1333" t="s">
        <v>6112</v>
      </c>
      <c r="L1985" s="1336" t="s">
        <v>6112</v>
      </c>
      <c r="M1985" s="1337"/>
      <c r="N1985" s="1337"/>
      <c r="O1985" s="1337"/>
      <c r="T1985" s="1333" t="s">
        <v>6112</v>
      </c>
      <c r="Y1985" s="1324"/>
    </row>
    <row r="1986" spans="2:27" ht="15" customHeight="1">
      <c r="G1986" s="1320"/>
      <c r="I1986" s="1527"/>
      <c r="Y1986" s="1324"/>
    </row>
    <row r="1987" spans="2:27" ht="15" customHeight="1">
      <c r="F1987" s="1339"/>
      <c r="G1987" s="1320"/>
      <c r="I1987" s="1527"/>
      <c r="Y1987" s="1324"/>
    </row>
    <row r="1988" spans="2:27" ht="27.6">
      <c r="B1988" s="1349" t="s">
        <v>4297</v>
      </c>
      <c r="C1988" s="1349" t="s">
        <v>6113</v>
      </c>
      <c r="D1988" s="1353"/>
      <c r="E1988" s="1355" t="s">
        <v>6114</v>
      </c>
      <c r="F1988" s="1348" t="s">
        <v>5144</v>
      </c>
      <c r="G1988" s="1348" t="s">
        <v>4956</v>
      </c>
      <c r="H1988" s="1348" t="s">
        <v>4957</v>
      </c>
      <c r="I1988" s="1415"/>
      <c r="J1988" s="1352" t="s">
        <v>4957</v>
      </c>
      <c r="K1988" s="1353" t="s">
        <v>1949</v>
      </c>
      <c r="L1988" s="1353" t="s">
        <v>1950</v>
      </c>
      <c r="M1988" s="1354" t="s">
        <v>1934</v>
      </c>
      <c r="N1988" s="1354" t="s">
        <v>1971</v>
      </c>
      <c r="O1988" s="1354" t="s">
        <v>1972</v>
      </c>
      <c r="P1988" s="1352" t="s">
        <v>5146</v>
      </c>
      <c r="Q1988" s="1352" t="s">
        <v>5147</v>
      </c>
      <c r="R1988" s="1355"/>
      <c r="S1988" s="1350"/>
      <c r="T1988" s="1350"/>
      <c r="U1988" s="1366"/>
      <c r="V1988" s="1350"/>
      <c r="W1988" s="1350"/>
      <c r="Y1988" s="1324"/>
    </row>
    <row r="1989" spans="2:27">
      <c r="B1989" s="1324"/>
      <c r="G1989" s="1320"/>
      <c r="I1989" s="1527"/>
      <c r="M1989" s="1324"/>
      <c r="N1989" s="1324"/>
      <c r="O1989" s="1324"/>
      <c r="Y1989" s="1324"/>
    </row>
    <row r="1990" spans="2:27" s="1324" customFormat="1">
      <c r="B1990" s="1324">
        <v>42</v>
      </c>
      <c r="C1990" s="1393">
        <v>308</v>
      </c>
      <c r="D1990" s="1324" t="s">
        <v>4837</v>
      </c>
      <c r="E1990" s="1344" t="s">
        <v>6125</v>
      </c>
      <c r="F1990" s="1324">
        <f>SUM(G1990:H1990)</f>
        <v>255853086.6769709</v>
      </c>
      <c r="G1990" s="1324">
        <f>+'Weighted Meters'!L52</f>
        <v>0</v>
      </c>
      <c r="H1990" s="1324">
        <f>+'Weighted Meters'!M52</f>
        <v>255853086.6769709</v>
      </c>
      <c r="I1990" s="1527"/>
      <c r="J1990" s="1324">
        <f>+'Weighted Meters'!M52</f>
        <v>255853086.6769709</v>
      </c>
      <c r="K1990" s="1324">
        <f>+'Weighted Meters'!N52</f>
        <v>174663821.41775307</v>
      </c>
      <c r="L1990" s="1324">
        <f>+'Weighted Meters'!O52</f>
        <v>45550089.690557122</v>
      </c>
      <c r="M1990" s="1324">
        <f>+'Weighted Meters'!P52</f>
        <v>29969441.063496064</v>
      </c>
      <c r="N1990" s="1324">
        <f>+'Weighted Meters'!Q52</f>
        <v>2463581.8057832038</v>
      </c>
      <c r="O1990" s="1324">
        <f>+'Weighted Meters'!R52</f>
        <v>2687871.1666514659</v>
      </c>
      <c r="P1990" s="1324">
        <f>+'Weighted Meters'!S52</f>
        <v>518281.53272996884</v>
      </c>
      <c r="Q1990" s="1324">
        <v>0</v>
      </c>
      <c r="V1990" s="1324" t="s">
        <v>6126</v>
      </c>
      <c r="AA1990" s="1320"/>
    </row>
    <row r="1991" spans="2:27" s="1324" customFormat="1">
      <c r="B1991" s="1324">
        <v>43</v>
      </c>
      <c r="C1991" s="1541">
        <v>308</v>
      </c>
      <c r="D1991" s="1324" t="s">
        <v>6117</v>
      </c>
      <c r="E1991" s="1344" t="s">
        <v>3179</v>
      </c>
      <c r="F1991" s="1374">
        <f>+SUM(G1991:H1991)</f>
        <v>1</v>
      </c>
      <c r="G1991" s="1374">
        <f>+G1990/F1990</f>
        <v>0</v>
      </c>
      <c r="H1991" s="1374">
        <f>+H1990/F1990</f>
        <v>1</v>
      </c>
      <c r="I1991" s="1374"/>
      <c r="J1991" s="1374">
        <f>+SUM(K1991:Q1991)</f>
        <v>1</v>
      </c>
      <c r="K1991" s="1374">
        <f t="shared" ref="K1991:Q1991" si="813">+K1990/$J1990</f>
        <v>0.68267232452143956</v>
      </c>
      <c r="L1991" s="1374">
        <f t="shared" si="813"/>
        <v>0.17803220700661981</v>
      </c>
      <c r="M1991" s="1374">
        <f t="shared" si="813"/>
        <v>0.11713535080909222</v>
      </c>
      <c r="N1991" s="1374">
        <f t="shared" si="813"/>
        <v>9.6288922591487684E-3</v>
      </c>
      <c r="O1991" s="1374">
        <f t="shared" si="813"/>
        <v>1.0505525657562445E-2</v>
      </c>
      <c r="P1991" s="1374">
        <f t="shared" si="813"/>
        <v>2.0256997461372385E-3</v>
      </c>
      <c r="Q1991" s="1374">
        <f t="shared" si="813"/>
        <v>0</v>
      </c>
      <c r="R1991" s="1374"/>
      <c r="AA1991" s="1320"/>
    </row>
    <row r="1992" spans="2:27" s="1324" customFormat="1">
      <c r="B1992" s="1324">
        <v>44</v>
      </c>
      <c r="C1992" s="1393"/>
      <c r="I1992" s="1527"/>
      <c r="AA1992" s="1320"/>
    </row>
    <row r="1993" spans="2:27" s="1324" customFormat="1">
      <c r="B1993" s="1324">
        <v>45</v>
      </c>
      <c r="C1993" s="1393">
        <v>309</v>
      </c>
      <c r="D1993" s="1324" t="s">
        <v>4839</v>
      </c>
      <c r="E1993" s="1344" t="s">
        <v>3179</v>
      </c>
      <c r="F1993" s="1374">
        <v>1</v>
      </c>
      <c r="G1993" s="1374">
        <v>0</v>
      </c>
      <c r="H1993" s="1374">
        <v>1</v>
      </c>
      <c r="I1993" s="1527"/>
      <c r="J1993" s="1374">
        <v>1</v>
      </c>
      <c r="K1993" s="1374">
        <v>0</v>
      </c>
      <c r="L1993" s="1374">
        <v>0</v>
      </c>
      <c r="M1993" s="1374">
        <v>0</v>
      </c>
      <c r="N1993" s="1374">
        <v>0</v>
      </c>
      <c r="O1993" s="1374">
        <v>0</v>
      </c>
      <c r="P1993" s="1374">
        <v>0</v>
      </c>
      <c r="Q1993" s="1374">
        <v>0</v>
      </c>
      <c r="V1993" s="1324" t="s">
        <v>6127</v>
      </c>
      <c r="AA1993" s="1320"/>
    </row>
    <row r="1994" spans="2:27" s="1324" customFormat="1">
      <c r="B1994" s="1324">
        <v>46</v>
      </c>
      <c r="C1994" s="1541">
        <v>309</v>
      </c>
      <c r="D1994" s="1324" t="s">
        <v>6117</v>
      </c>
      <c r="E1994" s="1344" t="s">
        <v>3179</v>
      </c>
      <c r="F1994" s="1374">
        <f>SUM(G1994:H1994)</f>
        <v>1</v>
      </c>
      <c r="G1994" s="1374">
        <f>IF($F1993=0,0,G1993/$F1993)</f>
        <v>0</v>
      </c>
      <c r="H1994" s="1374">
        <f>IF($F1993=0,0,H1993/$F1993)</f>
        <v>1</v>
      </c>
      <c r="I1994" s="1527"/>
      <c r="J1994" s="1374">
        <f>SUM(K1994:S1994)-M1994</f>
        <v>0</v>
      </c>
      <c r="K1994" s="1374">
        <f t="shared" ref="K1994:Q1994" si="814">IF($J1993=0,0,K1993/$J1993)</f>
        <v>0</v>
      </c>
      <c r="L1994" s="1374">
        <f t="shared" si="814"/>
        <v>0</v>
      </c>
      <c r="M1994" s="1374">
        <f t="shared" si="814"/>
        <v>0</v>
      </c>
      <c r="N1994" s="1374">
        <f t="shared" si="814"/>
        <v>0</v>
      </c>
      <c r="O1994" s="1374">
        <f>IF($J1993=0,0,O1993/$J1993)</f>
        <v>0</v>
      </c>
      <c r="P1994" s="1374">
        <f>IF($J1993=0,0,P1993/$J1993)</f>
        <v>0</v>
      </c>
      <c r="Q1994" s="1374">
        <f t="shared" si="814"/>
        <v>0</v>
      </c>
      <c r="R1994" s="1374"/>
      <c r="S1994" s="1374"/>
      <c r="AA1994" s="1320"/>
    </row>
    <row r="1995" spans="2:27" s="1324" customFormat="1">
      <c r="B1995" s="1324">
        <v>47</v>
      </c>
      <c r="C1995" s="1393"/>
      <c r="I1995" s="1527"/>
      <c r="AA1995" s="1320"/>
    </row>
    <row r="1996" spans="2:27" s="1324" customFormat="1">
      <c r="B1996" s="1324">
        <v>48</v>
      </c>
      <c r="C1996" s="1393">
        <v>310</v>
      </c>
      <c r="D1996" s="1324" t="s">
        <v>4821</v>
      </c>
      <c r="E1996" s="1344" t="s">
        <v>3179</v>
      </c>
      <c r="F1996" s="1374">
        <v>1</v>
      </c>
      <c r="G1996" s="1374">
        <v>0</v>
      </c>
      <c r="H1996" s="1374">
        <v>1</v>
      </c>
      <c r="I1996" s="1527"/>
      <c r="J1996" s="1374">
        <v>1</v>
      </c>
      <c r="K1996" s="1374">
        <v>0</v>
      </c>
      <c r="L1996" s="1374">
        <v>0</v>
      </c>
      <c r="M1996" s="1374">
        <v>0</v>
      </c>
      <c r="N1996" s="1374">
        <v>0</v>
      </c>
      <c r="O1996" s="1374">
        <v>0</v>
      </c>
      <c r="P1996" s="1374">
        <v>0</v>
      </c>
      <c r="Q1996" s="1374">
        <v>1</v>
      </c>
      <c r="V1996" s="1324" t="s">
        <v>6128</v>
      </c>
      <c r="AA1996" s="1320"/>
    </row>
    <row r="1997" spans="2:27" s="1324" customFormat="1">
      <c r="B1997" s="1324">
        <v>49</v>
      </c>
      <c r="C1997" s="1541">
        <v>310</v>
      </c>
      <c r="D1997" s="1324" t="s">
        <v>6117</v>
      </c>
      <c r="E1997" s="1344" t="s">
        <v>3179</v>
      </c>
      <c r="F1997" s="1374">
        <f>+SUM(G1997:H1997)</f>
        <v>1</v>
      </c>
      <c r="G1997" s="1374">
        <f>+G1996/F1996</f>
        <v>0</v>
      </c>
      <c r="H1997" s="1374">
        <f>+H1996/F1996</f>
        <v>1</v>
      </c>
      <c r="I1997" s="1374"/>
      <c r="J1997" s="1374">
        <f>+SUM(K1997:Q1997)</f>
        <v>1</v>
      </c>
      <c r="K1997" s="1374">
        <f t="shared" ref="K1997:Q1997" si="815">+K1996/$J1996</f>
        <v>0</v>
      </c>
      <c r="L1997" s="1374">
        <f t="shared" si="815"/>
        <v>0</v>
      </c>
      <c r="M1997" s="1374">
        <f t="shared" si="815"/>
        <v>0</v>
      </c>
      <c r="N1997" s="1374">
        <f t="shared" si="815"/>
        <v>0</v>
      </c>
      <c r="O1997" s="1374">
        <f t="shared" si="815"/>
        <v>0</v>
      </c>
      <c r="P1997" s="1374">
        <f t="shared" si="815"/>
        <v>0</v>
      </c>
      <c r="Q1997" s="1374">
        <f t="shared" si="815"/>
        <v>1</v>
      </c>
      <c r="R1997" s="1374"/>
      <c r="AA1997" s="1320"/>
    </row>
    <row r="1998" spans="2:27" s="1324" customFormat="1">
      <c r="B1998" s="1324">
        <v>50</v>
      </c>
      <c r="C1998" s="1393"/>
      <c r="I1998" s="1527"/>
      <c r="AA1998" s="1320"/>
    </row>
    <row r="1999" spans="2:27" s="1324" customFormat="1">
      <c r="B1999" s="1324">
        <v>51</v>
      </c>
      <c r="C1999" s="1393">
        <v>311</v>
      </c>
      <c r="D1999" s="1324" t="s">
        <v>4843</v>
      </c>
      <c r="E1999" s="1344" t="s">
        <v>2334</v>
      </c>
      <c r="F1999" s="1324">
        <f>+SUM(G1999:H1999)</f>
        <v>57640822.250094414</v>
      </c>
      <c r="G1999" s="1324">
        <f>+'Weighted Meters'!L63</f>
        <v>0</v>
      </c>
      <c r="H1999" s="1324">
        <f>+'Weighted Meters'!M63</f>
        <v>57640822.250094414</v>
      </c>
      <c r="I1999" s="1527"/>
      <c r="J1999" s="1324">
        <f>+'Weighted Meters'!M63</f>
        <v>57640822.250094414</v>
      </c>
      <c r="K1999" s="1324">
        <f>+'Weighted Meters'!N63</f>
        <v>51110226.705206528</v>
      </c>
      <c r="L1999" s="1324">
        <f>+'Weighted Meters'!O63</f>
        <v>5004319.6476968629</v>
      </c>
      <c r="M1999" s="1324">
        <f>+'Weighted Meters'!P63</f>
        <v>1451202.7702471646</v>
      </c>
      <c r="N1999" s="1324">
        <f>+'Weighted Meters'!Q63</f>
        <v>21794.185529936356</v>
      </c>
      <c r="O1999" s="1324">
        <f>+'Weighted Meters'!R63</f>
        <v>7817.4795922597805</v>
      </c>
      <c r="P1999" s="1324">
        <f>+'Weighted Meters'!S63</f>
        <v>45461.461821655656</v>
      </c>
      <c r="Q1999" s="1324">
        <f>+'Weighted Meters'!T63</f>
        <v>0</v>
      </c>
      <c r="V1999" s="1324" t="s">
        <v>6129</v>
      </c>
      <c r="AA1999" s="1320"/>
    </row>
    <row r="2000" spans="2:27" s="1324" customFormat="1">
      <c r="B2000" s="1324">
        <v>52</v>
      </c>
      <c r="C2000" s="1541">
        <v>311</v>
      </c>
      <c r="D2000" s="1324" t="s">
        <v>6117</v>
      </c>
      <c r="E2000" s="1344" t="s">
        <v>3179</v>
      </c>
      <c r="F2000" s="1374">
        <f>+SUM(G2000:H2000)</f>
        <v>1</v>
      </c>
      <c r="G2000" s="1374">
        <f>+G1999/F1999</f>
        <v>0</v>
      </c>
      <c r="H2000" s="1374">
        <f>+H1999/F1999</f>
        <v>1</v>
      </c>
      <c r="I2000" s="1527"/>
      <c r="J2000" s="1374">
        <f>+SUM(K2000:Q2000)</f>
        <v>0.99999999999999989</v>
      </c>
      <c r="K2000" s="1374">
        <f t="shared" ref="K2000:Q2000" si="816">+K1999/$J1999</f>
        <v>0.88670190170860741</v>
      </c>
      <c r="L2000" s="1374">
        <f t="shared" si="816"/>
        <v>8.6819019096984973E-2</v>
      </c>
      <c r="M2000" s="1374">
        <f t="shared" si="816"/>
        <v>2.5176649353658164E-2</v>
      </c>
      <c r="N2000" s="1374">
        <f t="shared" si="816"/>
        <v>3.7810330732921939E-4</v>
      </c>
      <c r="O2000" s="1374">
        <f t="shared" si="816"/>
        <v>1.3562401241156783E-4</v>
      </c>
      <c r="P2000" s="1374">
        <f t="shared" si="816"/>
        <v>7.8870252100855819E-4</v>
      </c>
      <c r="Q2000" s="1374">
        <f t="shared" si="816"/>
        <v>0</v>
      </c>
      <c r="R2000" s="1374"/>
      <c r="AA2000" s="1320"/>
    </row>
    <row r="2001" spans="2:27" s="1324" customFormat="1" ht="15.75" customHeight="1">
      <c r="B2001" s="1324">
        <v>53</v>
      </c>
      <c r="C2001" s="1393"/>
      <c r="I2001" s="1527"/>
      <c r="AA2001" s="1320"/>
    </row>
    <row r="2002" spans="2:27" s="1324" customFormat="1">
      <c r="B2002" s="1324">
        <v>54</v>
      </c>
      <c r="C2002" s="1393">
        <v>401</v>
      </c>
      <c r="D2002" s="1324" t="s">
        <v>6130</v>
      </c>
      <c r="E2002" s="1502" t="s">
        <v>6115</v>
      </c>
      <c r="F2002" s="1324">
        <f>+SUM(G2002:H2002)</f>
        <v>35356244.437981486</v>
      </c>
      <c r="G2002" s="1324">
        <v>0</v>
      </c>
      <c r="H2002" s="1324">
        <f>+J2002</f>
        <v>35356244.437981486</v>
      </c>
      <c r="I2002" s="1527"/>
      <c r="J2002" s="1324">
        <f>+'Load Research'!D20</f>
        <v>35356244.437981486</v>
      </c>
      <c r="K2002" s="1324">
        <f>+'Load Research'!E20</f>
        <v>10290068.453940002</v>
      </c>
      <c r="L2002" s="1324">
        <f>+'Load Research'!F20</f>
        <v>950935.90074000007</v>
      </c>
      <c r="M2002" s="1324">
        <f>+'Load Research'!G20</f>
        <v>18168858.210000001</v>
      </c>
      <c r="N2002" s="1324">
        <f>+'Load Research'!H20</f>
        <v>2634852.5689424397</v>
      </c>
      <c r="O2002" s="1324">
        <f>+'Load Research'!I20</f>
        <v>3203801.7791090398</v>
      </c>
      <c r="P2002" s="1324">
        <f>+'Load Research'!J20</f>
        <v>107727.52524999999</v>
      </c>
      <c r="Q2002" s="1324">
        <v>0</v>
      </c>
      <c r="V2002" s="1324" t="s">
        <v>6116</v>
      </c>
      <c r="AA2002" s="1320"/>
    </row>
    <row r="2003" spans="2:27" s="1324" customFormat="1">
      <c r="B2003" s="1324">
        <v>55</v>
      </c>
      <c r="C2003" s="1541">
        <v>401</v>
      </c>
      <c r="D2003" s="1324" t="s">
        <v>6117</v>
      </c>
      <c r="E2003" s="1502"/>
      <c r="F2003" s="1374">
        <f>+SUM(G2003:H2003)</f>
        <v>1</v>
      </c>
      <c r="G2003" s="1374">
        <f>+G2002/F2002</f>
        <v>0</v>
      </c>
      <c r="H2003" s="1374">
        <f>+H2002/F2002</f>
        <v>1</v>
      </c>
      <c r="I2003" s="1527"/>
      <c r="J2003" s="1374">
        <f>+SUM(K2003:Q2003)</f>
        <v>0.99999999999999978</v>
      </c>
      <c r="K2003" s="1374">
        <f t="shared" ref="K2003:Q2003" si="817">+K2002/$J2002</f>
        <v>0.29103963437038249</v>
      </c>
      <c r="L2003" s="1374">
        <f t="shared" si="817"/>
        <v>2.6895840207464345E-2</v>
      </c>
      <c r="M2003" s="1374">
        <f t="shared" si="817"/>
        <v>0.5138797544481869</v>
      </c>
      <c r="N2003" s="1374">
        <f t="shared" si="817"/>
        <v>7.452297637449147E-2</v>
      </c>
      <c r="O2003" s="1374">
        <f t="shared" si="817"/>
        <v>9.0614878079849234E-2</v>
      </c>
      <c r="P2003" s="1374">
        <f t="shared" si="817"/>
        <v>3.046916519625415E-3</v>
      </c>
      <c r="Q2003" s="1374">
        <f t="shared" si="817"/>
        <v>0</v>
      </c>
      <c r="R2003" s="1374"/>
      <c r="AA2003" s="1320"/>
    </row>
    <row r="2004" spans="2:27" s="1324" customFormat="1">
      <c r="B2004" s="1324">
        <v>56</v>
      </c>
      <c r="C2004" s="1393"/>
      <c r="E2004" s="907"/>
      <c r="I2004" s="1527"/>
      <c r="AA2004" s="1320"/>
    </row>
    <row r="2005" spans="2:27" s="1324" customFormat="1">
      <c r="B2005" s="1324">
        <v>57</v>
      </c>
      <c r="C2005" s="1393">
        <v>402</v>
      </c>
      <c r="D2005" s="1324" t="s">
        <v>6131</v>
      </c>
      <c r="E2005" s="1502" t="s">
        <v>6115</v>
      </c>
      <c r="F2005" s="1324">
        <f>+SUM(G2005:H2005)</f>
        <v>32150017.252903681</v>
      </c>
      <c r="G2005" s="1324">
        <v>0</v>
      </c>
      <c r="H2005" s="1324">
        <f>+J2005</f>
        <v>32150017.252903681</v>
      </c>
      <c r="I2005" s="1527"/>
      <c r="J2005" s="1324">
        <f>+'Load Research'!D21</f>
        <v>32150017.252903681</v>
      </c>
      <c r="K2005" s="1324">
        <f>+'Load Research'!E21</f>
        <v>10290068.453940002</v>
      </c>
      <c r="L2005" s="1324">
        <f>+'Load Research'!F21</f>
        <v>950935.90074000007</v>
      </c>
      <c r="M2005" s="1324">
        <f>+'Load Research'!G21</f>
        <v>18166432.804031242</v>
      </c>
      <c r="N2005" s="1324">
        <f>+'Load Research'!H21</f>
        <v>2634852.5689424397</v>
      </c>
      <c r="O2005" s="1324">
        <f>+'Load Research'!I21</f>
        <v>0</v>
      </c>
      <c r="P2005" s="1324">
        <f>+'Load Research'!J21</f>
        <v>107727.52524999999</v>
      </c>
      <c r="Q2005" s="1324">
        <v>0</v>
      </c>
      <c r="V2005" s="1324" t="s">
        <v>6116</v>
      </c>
      <c r="AA2005" s="1320"/>
    </row>
    <row r="2006" spans="2:27" s="1324" customFormat="1">
      <c r="B2006" s="1324">
        <v>58</v>
      </c>
      <c r="C2006" s="1541">
        <v>402</v>
      </c>
      <c r="D2006" s="1324" t="s">
        <v>6117</v>
      </c>
      <c r="E2006" s="1502"/>
      <c r="F2006" s="1374">
        <f>+SUM(G2006:H2006)</f>
        <v>1</v>
      </c>
      <c r="G2006" s="1374">
        <f>+G2005/F2005</f>
        <v>0</v>
      </c>
      <c r="H2006" s="1374">
        <f>+H2005/F2005</f>
        <v>1</v>
      </c>
      <c r="I2006" s="1527"/>
      <c r="J2006" s="1374">
        <f>+SUM(K2006:Q2006)</f>
        <v>1.0000000000000002</v>
      </c>
      <c r="K2006" s="1374">
        <f t="shared" ref="K2006:Q2006" si="818">+K2005/$J2005</f>
        <v>0.32006416584459652</v>
      </c>
      <c r="L2006" s="1374">
        <f t="shared" si="818"/>
        <v>2.9578083683737828E-2</v>
      </c>
      <c r="M2006" s="1374">
        <f t="shared" si="818"/>
        <v>0.56505203904332313</v>
      </c>
      <c r="N2006" s="1374">
        <f t="shared" si="818"/>
        <v>8.1954934836138194E-2</v>
      </c>
      <c r="O2006" s="1374">
        <f t="shared" si="818"/>
        <v>0</v>
      </c>
      <c r="P2006" s="1374">
        <f t="shared" si="818"/>
        <v>3.3507765922044849E-3</v>
      </c>
      <c r="Q2006" s="1374">
        <f t="shared" si="818"/>
        <v>0</v>
      </c>
      <c r="R2006" s="1374"/>
      <c r="AA2006" s="1320"/>
    </row>
    <row r="2007" spans="2:27" s="1324" customFormat="1">
      <c r="B2007" s="1324">
        <v>59</v>
      </c>
      <c r="C2007" s="1393"/>
      <c r="I2007" s="1527"/>
      <c r="AA2007" s="1320"/>
    </row>
    <row r="2008" spans="2:27" s="1324" customFormat="1">
      <c r="B2008" s="1324">
        <v>60</v>
      </c>
      <c r="C2008" s="1393">
        <v>403</v>
      </c>
      <c r="D2008" s="1324" t="s">
        <v>6132</v>
      </c>
      <c r="E2008" s="1502" t="s">
        <v>6115</v>
      </c>
      <c r="F2008" s="1324">
        <f>+SUM(G2008:H2008)</f>
        <v>29287373.041316651</v>
      </c>
      <c r="G2008" s="1324">
        <v>0</v>
      </c>
      <c r="H2008" s="1324">
        <f>+J2008</f>
        <v>29287373.041316651</v>
      </c>
      <c r="I2008" s="1527"/>
      <c r="J2008" s="1324">
        <f>+'Load Research'!D22</f>
        <v>29287373.041316651</v>
      </c>
      <c r="K2008" s="1324">
        <f>+'Load Research'!E22</f>
        <v>10290068.453940002</v>
      </c>
      <c r="L2008" s="1324">
        <f>+'Load Research'!F22</f>
        <v>950935.90074000007</v>
      </c>
      <c r="M2008" s="1324">
        <f>+'Load Research'!G22</f>
        <v>17938641.16138665</v>
      </c>
      <c r="N2008" s="1324">
        <f>+'Load Research'!H22</f>
        <v>0</v>
      </c>
      <c r="O2008" s="1324">
        <f>+'Load Research'!I22</f>
        <v>0</v>
      </c>
      <c r="P2008" s="1324">
        <f>+'Load Research'!J22</f>
        <v>107727.52524999999</v>
      </c>
      <c r="Q2008" s="1324">
        <v>0</v>
      </c>
      <c r="V2008" s="1324" t="s">
        <v>6116</v>
      </c>
      <c r="AA2008" s="1320"/>
    </row>
    <row r="2009" spans="2:27" s="1324" customFormat="1">
      <c r="B2009" s="1324">
        <v>61</v>
      </c>
      <c r="C2009" s="1541">
        <v>403</v>
      </c>
      <c r="D2009" s="1324" t="s">
        <v>6117</v>
      </c>
      <c r="E2009" s="1502"/>
      <c r="F2009" s="1374">
        <f>+SUM(G2009:H2009)</f>
        <v>1</v>
      </c>
      <c r="G2009" s="1374">
        <f>+G2008/F2008</f>
        <v>0</v>
      </c>
      <c r="H2009" s="1374">
        <f>+H2008/F2008</f>
        <v>1</v>
      </c>
      <c r="I2009" s="1527"/>
      <c r="J2009" s="1374">
        <f>+SUM(K2009:Q2009)</f>
        <v>1</v>
      </c>
      <c r="K2009" s="1374">
        <f t="shared" ref="K2009:Q2009" si="819">+K2008/$J2008</f>
        <v>0.35134829059005968</v>
      </c>
      <c r="L2009" s="1374">
        <f t="shared" si="819"/>
        <v>3.2469142910102722E-2</v>
      </c>
      <c r="M2009" s="1374">
        <f t="shared" si="819"/>
        <v>0.61250427397773177</v>
      </c>
      <c r="N2009" s="1374">
        <f t="shared" si="819"/>
        <v>0</v>
      </c>
      <c r="O2009" s="1374">
        <f t="shared" si="819"/>
        <v>0</v>
      </c>
      <c r="P2009" s="1374">
        <f t="shared" si="819"/>
        <v>3.6782925221058669E-3</v>
      </c>
      <c r="Q2009" s="1374">
        <f t="shared" si="819"/>
        <v>0</v>
      </c>
      <c r="R2009" s="1374"/>
      <c r="AA2009" s="1320"/>
    </row>
    <row r="2010" spans="2:27" s="1324" customFormat="1">
      <c r="B2010" s="1324">
        <v>62</v>
      </c>
      <c r="C2010" s="1393"/>
      <c r="I2010" s="1527"/>
      <c r="AA2010" s="1320"/>
    </row>
    <row r="2011" spans="2:27" s="1324" customFormat="1">
      <c r="B2011" s="1324">
        <v>63</v>
      </c>
      <c r="C2011" s="1393">
        <v>404</v>
      </c>
      <c r="D2011" s="1324" t="s">
        <v>6133</v>
      </c>
      <c r="E2011" s="1344" t="s">
        <v>9267</v>
      </c>
      <c r="F2011" s="1324">
        <f>+SUM(G2011:H2011)</f>
        <v>20434223.836788256</v>
      </c>
      <c r="G2011" s="1324">
        <v>0</v>
      </c>
      <c r="H2011" s="1324">
        <f>+J2011</f>
        <v>20434223.836788256</v>
      </c>
      <c r="I2011" s="1527"/>
      <c r="J2011" s="1324">
        <f>+'Load Research'!D23</f>
        <v>20434223.836788256</v>
      </c>
      <c r="K2011" s="1324">
        <f>+'Load Research'!E23</f>
        <v>10290068.453940002</v>
      </c>
      <c r="L2011" s="1324">
        <f>+'Load Research'!F23</f>
        <v>950935.90074000007</v>
      </c>
      <c r="M2011" s="1324">
        <f>+'Load Research'!G23</f>
        <v>7089279.4422360742</v>
      </c>
      <c r="N2011" s="1324">
        <f>+'Load Research'!H23</f>
        <v>1148446.0116341452</v>
      </c>
      <c r="O2011" s="1324">
        <f>+'Load Research'!I23</f>
        <v>847766.50298803649</v>
      </c>
      <c r="P2011" s="1324">
        <f>+'Load Research'!J23</f>
        <v>107727.52524999999</v>
      </c>
      <c r="Q2011" s="1324">
        <v>0</v>
      </c>
      <c r="V2011" s="1324" t="s">
        <v>6116</v>
      </c>
      <c r="AA2011" s="1320"/>
    </row>
    <row r="2012" spans="2:27" s="1324" customFormat="1">
      <c r="B2012" s="1324">
        <v>64</v>
      </c>
      <c r="C2012" s="1541">
        <v>404</v>
      </c>
      <c r="D2012" s="1324" t="s">
        <v>6117</v>
      </c>
      <c r="E2012" s="1502"/>
      <c r="F2012" s="1374">
        <f>+SUM(G2012:H2012)</f>
        <v>1</v>
      </c>
      <c r="G2012" s="1374">
        <f>+G2011/F2011</f>
        <v>0</v>
      </c>
      <c r="H2012" s="1374">
        <f>+H2011/F2011</f>
        <v>1</v>
      </c>
      <c r="I2012" s="1527"/>
      <c r="J2012" s="1374">
        <f>+SUM(K2012:Q2012)</f>
        <v>1</v>
      </c>
      <c r="K2012" s="1374">
        <f t="shared" ref="K2012:Q2012" si="820">+K2011/$J2011</f>
        <v>0.50357031106875361</v>
      </c>
      <c r="L2012" s="1374">
        <f t="shared" si="820"/>
        <v>4.6536433599597055E-2</v>
      </c>
      <c r="M2012" s="1374">
        <f t="shared" si="820"/>
        <v>0.34693167202529429</v>
      </c>
      <c r="N2012" s="1374">
        <f t="shared" si="820"/>
        <v>5.6202086304181928E-2</v>
      </c>
      <c r="O2012" s="1374">
        <f t="shared" si="820"/>
        <v>4.1487580333821182E-2</v>
      </c>
      <c r="P2012" s="1374">
        <f t="shared" si="820"/>
        <v>5.2719166683520115E-3</v>
      </c>
      <c r="Q2012" s="1374">
        <f t="shared" si="820"/>
        <v>0</v>
      </c>
      <c r="R2012" s="1374"/>
      <c r="AA2012" s="1320"/>
    </row>
    <row r="2013" spans="2:27" s="1324" customFormat="1">
      <c r="B2013" s="1324">
        <v>65</v>
      </c>
      <c r="C2013" s="1393"/>
      <c r="I2013" s="1527"/>
      <c r="AA2013" s="1320"/>
    </row>
    <row r="2014" spans="2:27" s="1324" customFormat="1">
      <c r="B2014" s="1324">
        <v>66</v>
      </c>
      <c r="C2014" s="1393">
        <v>405</v>
      </c>
      <c r="D2014" s="1324" t="s">
        <v>6134</v>
      </c>
      <c r="E2014" s="1344" t="s">
        <v>9267</v>
      </c>
      <c r="F2014" s="1324">
        <f>+SUM(G2014:H2014)</f>
        <v>19585405.539539233</v>
      </c>
      <c r="G2014" s="1324">
        <v>0</v>
      </c>
      <c r="H2014" s="1324">
        <f>+J2014</f>
        <v>19585405.539539233</v>
      </c>
      <c r="I2014" s="1527"/>
      <c r="J2014" s="1324">
        <f>+'Load Research'!D24</f>
        <v>19585405.539539233</v>
      </c>
      <c r="K2014" s="1324">
        <f>+'Load Research'!E24</f>
        <v>10290068.453940002</v>
      </c>
      <c r="L2014" s="1324">
        <f>+'Load Research'!F24</f>
        <v>950935.90074000007</v>
      </c>
      <c r="M2014" s="1324">
        <f>+'Load Research'!G24</f>
        <v>7088227.647975089</v>
      </c>
      <c r="N2014" s="1324">
        <f>+'Load Research'!H24</f>
        <v>1148446.0116341452</v>
      </c>
      <c r="O2014" s="1324">
        <f>+'Load Research'!I24</f>
        <v>0</v>
      </c>
      <c r="P2014" s="1324">
        <f>+'Load Research'!J24</f>
        <v>107727.52524999999</v>
      </c>
      <c r="Q2014" s="1324">
        <v>0</v>
      </c>
      <c r="V2014" s="1324" t="s">
        <v>6116</v>
      </c>
      <c r="AA2014" s="1320"/>
    </row>
    <row r="2015" spans="2:27" s="1324" customFormat="1">
      <c r="B2015" s="1324">
        <v>67</v>
      </c>
      <c r="C2015" s="1541">
        <v>405</v>
      </c>
      <c r="D2015" s="1324" t="s">
        <v>6117</v>
      </c>
      <c r="E2015" s="1502"/>
      <c r="F2015" s="1374">
        <f>+SUM(G2015:H2015)</f>
        <v>1</v>
      </c>
      <c r="G2015" s="1374">
        <f>+G2014/F2014</f>
        <v>0</v>
      </c>
      <c r="H2015" s="1374">
        <f>+H2014/F2014</f>
        <v>1</v>
      </c>
      <c r="I2015" s="1527"/>
      <c r="J2015" s="1374">
        <f>+SUM(K2015:Q2015)</f>
        <v>1.0000000000000002</v>
      </c>
      <c r="K2015" s="1374">
        <f t="shared" ref="K2015:Q2015" si="821">+K2014/$J2014</f>
        <v>0.52539470950276201</v>
      </c>
      <c r="L2015" s="1374">
        <f t="shared" si="821"/>
        <v>4.8553291317876474E-2</v>
      </c>
      <c r="M2015" s="1374">
        <f t="shared" si="821"/>
        <v>0.36191375428327471</v>
      </c>
      <c r="N2015" s="1374">
        <f t="shared" si="821"/>
        <v>5.8637846906751542E-2</v>
      </c>
      <c r="O2015" s="1374">
        <f t="shared" si="821"/>
        <v>0</v>
      </c>
      <c r="P2015" s="1374">
        <f t="shared" si="821"/>
        <v>5.5003979893353998E-3</v>
      </c>
      <c r="Q2015" s="1374">
        <f t="shared" si="821"/>
        <v>0</v>
      </c>
      <c r="R2015" s="1374"/>
      <c r="AA2015" s="1320"/>
    </row>
    <row r="2016" spans="2:27" s="1324" customFormat="1">
      <c r="B2016" s="1324">
        <v>68</v>
      </c>
      <c r="C2016" s="1393"/>
      <c r="F2016" s="1374"/>
      <c r="G2016" s="1374"/>
      <c r="H2016" s="1374"/>
      <c r="I2016" s="1527"/>
      <c r="J2016" s="1374"/>
      <c r="K2016" s="1374"/>
      <c r="L2016" s="1374"/>
      <c r="M2016" s="1374"/>
      <c r="N2016" s="1374"/>
      <c r="O2016" s="1374"/>
      <c r="P2016" s="1374"/>
      <c r="Q2016" s="1374"/>
      <c r="R2016" s="1374"/>
      <c r="AA2016" s="1320"/>
    </row>
    <row r="2017" spans="2:27" s="1324" customFormat="1">
      <c r="B2017" s="1324">
        <v>69</v>
      </c>
      <c r="C2017" s="1393">
        <v>406</v>
      </c>
      <c r="D2017" s="1324" t="s">
        <v>6135</v>
      </c>
      <c r="E2017" s="1344" t="s">
        <v>9267</v>
      </c>
      <c r="F2017" s="1324">
        <f>+SUM(G2017:H2017)</f>
        <v>18353841.420239165</v>
      </c>
      <c r="G2017" s="1324">
        <v>0</v>
      </c>
      <c r="H2017" s="1324">
        <f>+J2017</f>
        <v>18353841.420239165</v>
      </c>
      <c r="I2017" s="1527"/>
      <c r="J2017" s="1324">
        <f>+'Load Research'!D25</f>
        <v>18353841.420239165</v>
      </c>
      <c r="K2017" s="1324">
        <f>+'Load Research'!E25</f>
        <v>10290068.453940002</v>
      </c>
      <c r="L2017" s="1324">
        <f>+'Load Research'!F25</f>
        <v>950935.90074000007</v>
      </c>
      <c r="M2017" s="1324">
        <f>+'Load Research'!G25</f>
        <v>7005109.5403091656</v>
      </c>
      <c r="N2017" s="1324">
        <f>+'Load Research'!H25</f>
        <v>0</v>
      </c>
      <c r="O2017" s="1324">
        <f>+'Load Research'!I25</f>
        <v>0</v>
      </c>
      <c r="P2017" s="1324">
        <f>+'Load Research'!J25</f>
        <v>107727.52524999999</v>
      </c>
      <c r="Q2017" s="1324">
        <v>0</v>
      </c>
      <c r="V2017" s="1324" t="s">
        <v>6116</v>
      </c>
      <c r="AA2017" s="1320"/>
    </row>
    <row r="2018" spans="2:27" s="1324" customFormat="1">
      <c r="B2018" s="1324">
        <v>70</v>
      </c>
      <c r="C2018" s="1541">
        <v>406</v>
      </c>
      <c r="D2018" s="1324" t="s">
        <v>6117</v>
      </c>
      <c r="E2018" s="1502"/>
      <c r="F2018" s="1374">
        <f>+SUM(G2018:H2018)</f>
        <v>1</v>
      </c>
      <c r="G2018" s="1374">
        <f>+G2017/F2017</f>
        <v>0</v>
      </c>
      <c r="H2018" s="1374">
        <f>+H2017/F2017</f>
        <v>1</v>
      </c>
      <c r="I2018" s="1527"/>
      <c r="J2018" s="1374">
        <f>+SUM(K2018:Q2018)</f>
        <v>1</v>
      </c>
      <c r="K2018" s="1374">
        <f t="shared" ref="K2018:Q2018" si="822">+K2017/$J2017</f>
        <v>0.56064930595907447</v>
      </c>
      <c r="L2018" s="1374">
        <f t="shared" si="822"/>
        <v>5.1811273671100978E-2</v>
      </c>
      <c r="M2018" s="1374">
        <f t="shared" si="822"/>
        <v>0.3816699392741012</v>
      </c>
      <c r="N2018" s="1374">
        <f t="shared" si="822"/>
        <v>0</v>
      </c>
      <c r="O2018" s="1374">
        <f t="shared" si="822"/>
        <v>0</v>
      </c>
      <c r="P2018" s="1374">
        <f t="shared" si="822"/>
        <v>5.8694810957234597E-3</v>
      </c>
      <c r="Q2018" s="1374">
        <f t="shared" si="822"/>
        <v>0</v>
      </c>
      <c r="R2018" s="1374"/>
      <c r="AA2018" s="1320"/>
    </row>
    <row r="2019" spans="2:27" s="1324" customFormat="1">
      <c r="B2019" s="1324">
        <v>71</v>
      </c>
      <c r="C2019" s="1393"/>
      <c r="E2019" s="1502"/>
      <c r="F2019" s="1374"/>
      <c r="G2019" s="1374"/>
      <c r="H2019" s="1374"/>
      <c r="I2019" s="1527"/>
      <c r="J2019" s="1374"/>
      <c r="K2019" s="1374"/>
      <c r="L2019" s="1374"/>
      <c r="M2019" s="1374"/>
      <c r="N2019" s="1374"/>
      <c r="O2019" s="1374"/>
      <c r="P2019" s="1374"/>
      <c r="Q2019" s="1374"/>
      <c r="R2019" s="1374"/>
      <c r="AA2019" s="1320"/>
    </row>
    <row r="2020" spans="2:27" s="1324" customFormat="1">
      <c r="B2020" s="1324">
        <v>72</v>
      </c>
      <c r="C2020" s="1393">
        <v>412</v>
      </c>
      <c r="D2020" s="1324" t="s">
        <v>4795</v>
      </c>
      <c r="E2020" s="1344" t="s">
        <v>6136</v>
      </c>
      <c r="F2020" s="1324">
        <f>+SUM(G2020:H2020)</f>
        <v>10348044</v>
      </c>
      <c r="G2020" s="1324">
        <v>0</v>
      </c>
      <c r="H2020" s="1324">
        <f>+J2020</f>
        <v>10348044</v>
      </c>
      <c r="I2020" s="1527"/>
      <c r="J2020" s="1364">
        <f>+SUM(K2020:Q2020)</f>
        <v>10348044</v>
      </c>
      <c r="K2020" s="1364">
        <f>+'Weighted Meters'!N70</f>
        <v>9229284</v>
      </c>
      <c r="L2020" s="1364">
        <f>+'Weighted Meters'!O70</f>
        <v>894696</v>
      </c>
      <c r="M2020" s="1364">
        <f>+'Weighted Meters'!P70</f>
        <v>220356</v>
      </c>
      <c r="N2020" s="1364">
        <f>+'Weighted Meters'!Q70</f>
        <v>744</v>
      </c>
      <c r="O2020" s="1364">
        <f>+'Weighted Meters'!R70</f>
        <v>132</v>
      </c>
      <c r="P2020" s="1364">
        <f>+'Weighted Meters'!S70</f>
        <v>2832</v>
      </c>
      <c r="Q2020" s="1364">
        <v>0</v>
      </c>
      <c r="R2020" s="1374"/>
      <c r="V2020" s="1324" t="s">
        <v>6126</v>
      </c>
      <c r="AA2020" s="1320"/>
    </row>
    <row r="2021" spans="2:27" s="1324" customFormat="1">
      <c r="B2021" s="1324">
        <v>73</v>
      </c>
      <c r="C2021" s="1541">
        <v>412</v>
      </c>
      <c r="D2021" s="1324" t="s">
        <v>6117</v>
      </c>
      <c r="E2021" s="1502"/>
      <c r="F2021" s="1374">
        <f>+SUM(G2021:H2021)</f>
        <v>1</v>
      </c>
      <c r="G2021" s="1374">
        <f>+G2020/F2020</f>
        <v>0</v>
      </c>
      <c r="H2021" s="1374">
        <f>+H2020/F2020</f>
        <v>1</v>
      </c>
      <c r="I2021" s="1527"/>
      <c r="J2021" s="1374">
        <f>+SUM(K2021:Q2021)</f>
        <v>1</v>
      </c>
      <c r="K2021" s="1374">
        <f t="shared" ref="K2021:Q2021" si="823">+K2020/$J2020</f>
        <v>0.89188681455161956</v>
      </c>
      <c r="L2021" s="1374">
        <f t="shared" si="823"/>
        <v>8.646039773313681E-2</v>
      </c>
      <c r="M2021" s="1374">
        <f t="shared" si="823"/>
        <v>2.1294459126768306E-2</v>
      </c>
      <c r="N2021" s="1374">
        <f t="shared" si="823"/>
        <v>7.1897645584035008E-5</v>
      </c>
      <c r="O2021" s="1374">
        <f t="shared" si="823"/>
        <v>1.2756033893941696E-5</v>
      </c>
      <c r="P2021" s="1374">
        <f t="shared" si="823"/>
        <v>2.7367490899729455E-4</v>
      </c>
      <c r="Q2021" s="1374">
        <f t="shared" si="823"/>
        <v>0</v>
      </c>
      <c r="R2021" s="1374"/>
      <c r="AA2021" s="1320"/>
    </row>
    <row r="2022" spans="2:27" s="1324" customFormat="1">
      <c r="B2022" s="1324">
        <v>74</v>
      </c>
      <c r="C2022" s="1543"/>
      <c r="D2022" s="1360"/>
      <c r="E2022" s="1447"/>
      <c r="F2022" s="1399"/>
      <c r="G2022" s="1399"/>
      <c r="H2022" s="1399"/>
      <c r="I2022" s="1527"/>
      <c r="J2022" s="1399"/>
      <c r="K2022" s="1360"/>
      <c r="L2022" s="1360"/>
      <c r="M2022" s="1361"/>
      <c r="N2022" s="1361"/>
      <c r="O2022" s="1361"/>
      <c r="P2022" s="1399"/>
      <c r="Q2022" s="1399"/>
      <c r="R2022" s="1374"/>
      <c r="AA2022" s="1320"/>
    </row>
    <row r="2023" spans="2:27" s="1324" customFormat="1">
      <c r="B2023" s="1324">
        <v>75</v>
      </c>
      <c r="C2023" s="1544">
        <v>418</v>
      </c>
      <c r="D2023" s="1324" t="s">
        <v>4824</v>
      </c>
      <c r="E2023" s="1511" t="s">
        <v>6137</v>
      </c>
      <c r="F2023" s="1324">
        <f>+SUM(G2023:H2023)</f>
        <v>862322</v>
      </c>
      <c r="G2023" s="1324">
        <v>0</v>
      </c>
      <c r="H2023" s="1324">
        <f>+J2023</f>
        <v>862322</v>
      </c>
      <c r="I2023" s="1527"/>
      <c r="J2023" s="1364">
        <f>+SUM(K2023:Q2023)</f>
        <v>862322</v>
      </c>
      <c r="K2023" s="1545">
        <f>+'Weighted Meters'!N75</f>
        <v>769107</v>
      </c>
      <c r="L2023" s="1545">
        <f>+'Weighted Meters'!O75</f>
        <v>74558</v>
      </c>
      <c r="M2023" s="1545">
        <f>+'Weighted Meters'!P75</f>
        <v>18359</v>
      </c>
      <c r="N2023" s="1545">
        <f>+'Weighted Meters'!Q75</f>
        <v>62</v>
      </c>
      <c r="O2023" s="1545">
        <f>+'Weighted Meters'!R75</f>
        <v>0</v>
      </c>
      <c r="P2023" s="1545">
        <f>+'Weighted Meters'!S75</f>
        <v>236</v>
      </c>
      <c r="Q2023" s="1545">
        <f>+'Weighted Meters'!T75</f>
        <v>0</v>
      </c>
      <c r="R2023" s="1545"/>
      <c r="S2023" s="1545"/>
      <c r="V2023" s="1324" t="s">
        <v>6138</v>
      </c>
      <c r="AA2023" s="1320"/>
    </row>
    <row r="2024" spans="2:27" s="1324" customFormat="1">
      <c r="B2024" s="1324">
        <v>76</v>
      </c>
      <c r="C2024" s="1541">
        <v>418</v>
      </c>
      <c r="D2024" s="1324" t="s">
        <v>6117</v>
      </c>
      <c r="E2024" s="1502" t="s">
        <v>3179</v>
      </c>
      <c r="F2024" s="1374">
        <f>+SUM(G2024:H2024)</f>
        <v>1</v>
      </c>
      <c r="G2024" s="1374">
        <f>+G2023/F2023</f>
        <v>0</v>
      </c>
      <c r="H2024" s="1374">
        <f>+H2023/F2023</f>
        <v>1</v>
      </c>
      <c r="I2024" s="1527"/>
      <c r="J2024" s="1374">
        <f>+SUM(K2024:Q2024)</f>
        <v>0.99999999999999989</v>
      </c>
      <c r="K2024" s="1374">
        <f t="shared" ref="K2024:Q2024" si="824">+K2023/$J2023</f>
        <v>0.89190232882844223</v>
      </c>
      <c r="L2024" s="1374">
        <f t="shared" si="824"/>
        <v>8.6461901702612254E-2</v>
      </c>
      <c r="M2024" s="1374">
        <f t="shared" si="824"/>
        <v>2.1290190903166101E-2</v>
      </c>
      <c r="N2024" s="1374">
        <f t="shared" si="824"/>
        <v>7.1898896235976812E-5</v>
      </c>
      <c r="O2024" s="1374">
        <f t="shared" si="824"/>
        <v>0</v>
      </c>
      <c r="P2024" s="1374">
        <f t="shared" si="824"/>
        <v>2.7367966954339564E-4</v>
      </c>
      <c r="Q2024" s="1374">
        <f t="shared" si="824"/>
        <v>0</v>
      </c>
      <c r="R2024" s="1360"/>
      <c r="AA2024" s="1320"/>
    </row>
    <row r="2025" spans="2:27" s="1324" customFormat="1">
      <c r="B2025" s="1324">
        <v>77</v>
      </c>
      <c r="C2025" s="1543"/>
      <c r="D2025" s="1360"/>
      <c r="E2025" s="1447"/>
      <c r="F2025" s="1399"/>
      <c r="G2025" s="1399"/>
      <c r="H2025" s="1399"/>
      <c r="I2025" s="1527"/>
      <c r="J2025" s="1399"/>
      <c r="K2025" s="1360"/>
      <c r="L2025" s="1360"/>
      <c r="M2025" s="1361"/>
      <c r="N2025" s="1361"/>
      <c r="O2025" s="1361"/>
      <c r="P2025" s="1399"/>
      <c r="Q2025" s="1399"/>
      <c r="R2025" s="1360"/>
      <c r="AA2025" s="1320"/>
    </row>
    <row r="2026" spans="2:27" s="1324" customFormat="1">
      <c r="B2026" s="1324">
        <v>78</v>
      </c>
      <c r="C2026" s="1544">
        <v>420</v>
      </c>
      <c r="D2026" s="1324" t="s">
        <v>4781</v>
      </c>
      <c r="E2026" s="1511" t="s">
        <v>6137</v>
      </c>
      <c r="F2026" s="1324">
        <f>+SUM(G2026:H2026)</f>
        <v>862093</v>
      </c>
      <c r="G2026" s="1324">
        <v>0</v>
      </c>
      <c r="H2026" s="1324">
        <f>+J2026</f>
        <v>862093</v>
      </c>
      <c r="I2026" s="1527"/>
      <c r="J2026" s="1364">
        <f>+SUM(K2026:Q2026)</f>
        <v>862093</v>
      </c>
      <c r="K2026" s="1545">
        <f>+'Weighted Meters'!N80</f>
        <v>769107</v>
      </c>
      <c r="L2026" s="1545">
        <f>+'Weighted Meters'!O80</f>
        <v>74539</v>
      </c>
      <c r="M2026" s="1545">
        <f>+'Weighted Meters'!P80</f>
        <v>18229</v>
      </c>
      <c r="N2026" s="1545">
        <f>+'Weighted Meters'!Q80</f>
        <v>0</v>
      </c>
      <c r="O2026" s="1545">
        <f>+'Weighted Meters'!R80</f>
        <v>0</v>
      </c>
      <c r="P2026" s="1545">
        <f>+'Weighted Meters'!S80</f>
        <v>218</v>
      </c>
      <c r="Q2026" s="1545">
        <f>+'Weighted Meters'!T80</f>
        <v>0</v>
      </c>
      <c r="R2026" s="1360"/>
      <c r="V2026" s="1324" t="s">
        <v>6139</v>
      </c>
      <c r="AA2026" s="1320"/>
    </row>
    <row r="2027" spans="2:27" s="1324" customFormat="1">
      <c r="B2027" s="1324">
        <v>79</v>
      </c>
      <c r="C2027" s="1541">
        <v>420</v>
      </c>
      <c r="D2027" s="1324" t="s">
        <v>6117</v>
      </c>
      <c r="E2027" s="1502" t="s">
        <v>3179</v>
      </c>
      <c r="F2027" s="1374">
        <f>+SUM(G2027:H2027)</f>
        <v>1</v>
      </c>
      <c r="G2027" s="1374">
        <f>+G2026/F2026</f>
        <v>0</v>
      </c>
      <c r="H2027" s="1374">
        <f>+H2026/F2026</f>
        <v>1</v>
      </c>
      <c r="I2027" s="1527"/>
      <c r="J2027" s="1374">
        <f>+SUM(K2027:Q2027)</f>
        <v>1</v>
      </c>
      <c r="K2027" s="1374">
        <f t="shared" ref="K2027:Q2027" si="825">+K2026/$J2026</f>
        <v>0.89213924715778925</v>
      </c>
      <c r="L2027" s="1374">
        <f t="shared" si="825"/>
        <v>8.6462829416315876E-2</v>
      </c>
      <c r="M2027" s="1374">
        <f t="shared" si="825"/>
        <v>2.114505047599273E-2</v>
      </c>
      <c r="N2027" s="1374">
        <f t="shared" si="825"/>
        <v>0</v>
      </c>
      <c r="O2027" s="1374">
        <f t="shared" si="825"/>
        <v>0</v>
      </c>
      <c r="P2027" s="1374">
        <f t="shared" si="825"/>
        <v>2.5287294990215673E-4</v>
      </c>
      <c r="Q2027" s="1374">
        <f t="shared" si="825"/>
        <v>0</v>
      </c>
      <c r="R2027" s="1360"/>
    </row>
    <row r="2028" spans="2:27" s="1324" customFormat="1">
      <c r="J2028" s="1545"/>
      <c r="K2028" s="1545"/>
      <c r="L2028" s="1545"/>
      <c r="M2028" s="1326"/>
      <c r="N2028" s="1326"/>
      <c r="O2028" s="1326"/>
      <c r="P2028" s="1545"/>
      <c r="Q2028" s="1545"/>
    </row>
    <row r="2029" spans="2:27" s="1324" customFormat="1">
      <c r="J2029" s="1374"/>
      <c r="K2029" s="1374"/>
      <c r="L2029" s="1374"/>
      <c r="M2029" s="1374"/>
      <c r="N2029" s="1374"/>
      <c r="O2029" s="1374"/>
      <c r="P2029" s="1374"/>
      <c r="Q2029" s="1374"/>
      <c r="Y2029" s="1320"/>
    </row>
    <row r="2030" spans="2:27" s="1324" customFormat="1">
      <c r="Y2030" s="1320"/>
    </row>
    <row r="2031" spans="2:27">
      <c r="G2031" s="1320"/>
      <c r="I2031" s="1527"/>
      <c r="R2031" s="1324"/>
    </row>
    <row r="2032" spans="2:27">
      <c r="G2032" s="1320"/>
      <c r="I2032" s="1527"/>
      <c r="R2032" s="1324"/>
      <c r="Y2032" s="1324"/>
    </row>
    <row r="2033" spans="2:25">
      <c r="C2033" s="1340" t="str">
        <f>+C$2</f>
        <v>RATES WITH REVENUE DEFICIENCY ADDITION</v>
      </c>
      <c r="D2033" s="1321"/>
      <c r="G2033" s="1327" t="s">
        <v>2173</v>
      </c>
      <c r="I2033" s="1540" t="s">
        <v>4867</v>
      </c>
      <c r="L2033" s="1329" t="s">
        <v>2173</v>
      </c>
      <c r="M2033" s="1330"/>
      <c r="N2033" s="1330"/>
      <c r="O2033" s="1330"/>
      <c r="R2033" s="1334"/>
      <c r="T2033" s="1333" t="s">
        <v>2173</v>
      </c>
      <c r="Y2033" s="1324"/>
    </row>
    <row r="2034" spans="2:25">
      <c r="C2034" s="1340" t="str">
        <f>+C$3</f>
        <v>PROD. CAP. ALLOC. METHOD: 12 CP &amp; 1/13th AD</v>
      </c>
      <c r="D2034" s="1321"/>
      <c r="G2034" s="1333" t="s">
        <v>4768</v>
      </c>
      <c r="L2034" s="1336" t="s">
        <v>5141</v>
      </c>
      <c r="M2034" s="1337"/>
      <c r="N2034" s="1337"/>
      <c r="O2034" s="1337"/>
      <c r="R2034" s="1324"/>
      <c r="T2034" s="1333" t="s">
        <v>5141</v>
      </c>
      <c r="Y2034" s="1324"/>
    </row>
    <row r="2035" spans="2:25">
      <c r="C2035" s="1340" t="str">
        <f>+C$4</f>
        <v>PROJECTED CALENDAR YEAR 2025; FULLY ADJUSTED DATA</v>
      </c>
      <c r="G2035" s="1320"/>
      <c r="L2035" s="1336"/>
      <c r="R2035" s="1324"/>
      <c r="T2035" s="1339"/>
      <c r="Y2035" s="1324"/>
    </row>
    <row r="2036" spans="2:25">
      <c r="C2036" s="1340" t="str">
        <f>+C$5</f>
        <v>MINIMUM DISTRIBUTION SYSTEM (MDS) NOT EMPLOYED</v>
      </c>
      <c r="G2036" s="1320"/>
      <c r="R2036" s="1324"/>
      <c r="T2036" s="1333"/>
      <c r="Y2036" s="1324"/>
    </row>
    <row r="2037" spans="2:25">
      <c r="C2037" s="1340" t="str">
        <f>+C$6</f>
        <v>Tampa Electric 2025 OB Budget</v>
      </c>
      <c r="G2037" s="1333" t="s">
        <v>6112</v>
      </c>
      <c r="L2037" s="1336" t="s">
        <v>6112</v>
      </c>
      <c r="M2037" s="1337"/>
      <c r="N2037" s="1337"/>
      <c r="O2037" s="1337"/>
      <c r="R2037" s="1324"/>
      <c r="T2037" s="1333" t="s">
        <v>6112</v>
      </c>
      <c r="Y2037" s="1324"/>
    </row>
    <row r="2038" spans="2:25">
      <c r="C2038" s="1522"/>
      <c r="G2038" s="1333"/>
      <c r="L2038" s="1336"/>
      <c r="M2038" s="1337"/>
      <c r="N2038" s="1337"/>
      <c r="O2038" s="1337"/>
      <c r="R2038" s="1324"/>
      <c r="Y2038" s="1324"/>
    </row>
    <row r="2039" spans="2:25">
      <c r="G2039" s="1320"/>
      <c r="I2039" s="1527"/>
      <c r="R2039" s="1324"/>
    </row>
    <row r="2040" spans="2:25" ht="27.6">
      <c r="B2040" s="1349" t="s">
        <v>4297</v>
      </c>
      <c r="C2040" s="1349" t="s">
        <v>6113</v>
      </c>
      <c r="D2040" s="1353"/>
      <c r="E2040" s="1355" t="s">
        <v>6114</v>
      </c>
      <c r="F2040" s="1348" t="s">
        <v>5144</v>
      </c>
      <c r="G2040" s="1348" t="s">
        <v>4956</v>
      </c>
      <c r="H2040" s="1348" t="s">
        <v>4957</v>
      </c>
      <c r="I2040" s="1415"/>
      <c r="J2040" s="1352" t="s">
        <v>4957</v>
      </c>
      <c r="K2040" s="1353" t="s">
        <v>1949</v>
      </c>
      <c r="L2040" s="1353" t="s">
        <v>1950</v>
      </c>
      <c r="M2040" s="1354" t="s">
        <v>1934</v>
      </c>
      <c r="N2040" s="1354" t="s">
        <v>1971</v>
      </c>
      <c r="O2040" s="1354" t="s">
        <v>1972</v>
      </c>
      <c r="P2040" s="1352" t="s">
        <v>5146</v>
      </c>
      <c r="Q2040" s="1352" t="s">
        <v>5147</v>
      </c>
      <c r="R2040" s="1360"/>
    </row>
    <row r="2041" spans="2:25">
      <c r="B2041" s="1397"/>
      <c r="C2041" s="1397"/>
      <c r="D2041" s="1360"/>
      <c r="E2041" s="1435"/>
      <c r="F2041" s="1396"/>
      <c r="G2041" s="1396"/>
      <c r="H2041" s="1396"/>
      <c r="I2041" s="1415"/>
      <c r="J2041" s="1399"/>
      <c r="K2041" s="1360"/>
      <c r="L2041" s="1360"/>
      <c r="M2041" s="1361"/>
      <c r="N2041" s="1361"/>
      <c r="O2041" s="1361"/>
      <c r="P2041" s="1399"/>
      <c r="Q2041" s="1399"/>
      <c r="R2041" s="1360"/>
    </row>
    <row r="2042" spans="2:25">
      <c r="B2042" s="1546">
        <v>80</v>
      </c>
      <c r="C2042" s="1393">
        <v>501</v>
      </c>
      <c r="D2042" s="1324" t="s">
        <v>4778</v>
      </c>
      <c r="E2042" s="1344" t="s">
        <v>6125</v>
      </c>
      <c r="F2042" s="1324">
        <f>+SUM(G2042:H2042)</f>
        <v>1774352.2642492782</v>
      </c>
      <c r="G2042" s="1324">
        <v>0</v>
      </c>
      <c r="H2042" s="1324">
        <f>+J2042</f>
        <v>1774352.2642492782</v>
      </c>
      <c r="I2042" s="1364"/>
      <c r="J2042" s="1364">
        <f>+SUM(K2042:Q2042)</f>
        <v>1774352.2642492782</v>
      </c>
      <c r="K2042" s="1326">
        <f>+'Functionalized Revenues'!G38</f>
        <v>1031095.7438643834</v>
      </c>
      <c r="L2042" s="1326">
        <f>+'Functionalized Revenues'!G39</f>
        <v>95215.926359999998</v>
      </c>
      <c r="M2042" s="1326">
        <f>+'Functionalized Revenues'!G40</f>
        <v>472409.06597747206</v>
      </c>
      <c r="N2042" s="1326">
        <f>+'Functionalized Revenues'!G41</f>
        <v>56248.638876056895</v>
      </c>
      <c r="O2042" s="1326">
        <f>+'Functionalized Revenues'!G42</f>
        <v>33101.5829713657</v>
      </c>
      <c r="P2042" s="1326">
        <f>+'Functionalized Revenues'!G43</f>
        <v>3573.4600599999999</v>
      </c>
      <c r="Q2042" s="1326">
        <f>+'Functionalized Revenues'!G44</f>
        <v>82707.846140000009</v>
      </c>
      <c r="R2042" s="1324"/>
      <c r="S2042" s="1324"/>
      <c r="T2042" s="1324"/>
      <c r="V2042" s="1324" t="s">
        <v>6140</v>
      </c>
    </row>
    <row r="2043" spans="2:25">
      <c r="B2043" s="1546">
        <v>81</v>
      </c>
      <c r="C2043" s="1541">
        <v>501</v>
      </c>
      <c r="D2043" s="1324" t="s">
        <v>6117</v>
      </c>
      <c r="E2043" s="1502" t="s">
        <v>3179</v>
      </c>
      <c r="F2043" s="1374">
        <f>+SUM(G2043:H2043)</f>
        <v>1</v>
      </c>
      <c r="G2043" s="1374">
        <f>+G2042/F2042</f>
        <v>0</v>
      </c>
      <c r="H2043" s="1374">
        <f>+H2042/F2042</f>
        <v>1</v>
      </c>
      <c r="I2043" s="1527"/>
      <c r="J2043" s="1374">
        <f>+SUM(K2043:Q2043)</f>
        <v>1</v>
      </c>
      <c r="K2043" s="1374">
        <f t="shared" ref="K2043:Q2043" si="826">+K2042/$J2042</f>
        <v>0.58111107058024702</v>
      </c>
      <c r="L2043" s="1374">
        <f t="shared" si="826"/>
        <v>5.3662357964913747E-2</v>
      </c>
      <c r="M2043" s="1374">
        <f t="shared" si="826"/>
        <v>0.26624311051185012</v>
      </c>
      <c r="N2043" s="1374">
        <f t="shared" si="826"/>
        <v>3.1700942371697245E-2</v>
      </c>
      <c r="O2043" s="1374">
        <f t="shared" si="826"/>
        <v>1.8655586964503271E-2</v>
      </c>
      <c r="P2043" s="1374">
        <f t="shared" si="826"/>
        <v>2.0139518696485658E-3</v>
      </c>
      <c r="Q2043" s="1374">
        <f t="shared" si="826"/>
        <v>4.6612979737139959E-2</v>
      </c>
      <c r="R2043" s="1374"/>
      <c r="S2043" s="1324"/>
      <c r="T2043" s="1324"/>
      <c r="V2043" s="1324"/>
    </row>
    <row r="2044" spans="2:25">
      <c r="B2044" s="1546">
        <v>82</v>
      </c>
      <c r="C2044" s="1393"/>
      <c r="D2044" s="1324"/>
      <c r="E2044" s="1324"/>
      <c r="F2044" s="1324"/>
      <c r="H2044" s="1324"/>
      <c r="I2044" s="1415"/>
      <c r="M2044" s="1324"/>
      <c r="N2044" s="1324"/>
      <c r="O2044" s="1324"/>
      <c r="R2044" s="1324"/>
      <c r="S2044" s="1324"/>
      <c r="T2044" s="1324"/>
      <c r="V2044" s="1324"/>
    </row>
    <row r="2045" spans="2:25">
      <c r="B2045" s="1546">
        <v>83</v>
      </c>
      <c r="C2045" s="1393">
        <v>507</v>
      </c>
      <c r="D2045" s="1324" t="s">
        <v>4842</v>
      </c>
      <c r="E2045" s="1344" t="s">
        <v>6125</v>
      </c>
      <c r="F2045" s="1324">
        <f>+SUM(G2045:H2045)</f>
        <v>1774352.2642492782</v>
      </c>
      <c r="G2045" s="1324">
        <v>0</v>
      </c>
      <c r="H2045" s="1324">
        <f>+J2045</f>
        <v>1774352.2642492782</v>
      </c>
      <c r="I2045" s="1415"/>
      <c r="J2045" s="1364">
        <f>+SUM(K2045:Q2045)</f>
        <v>1774352.2642492782</v>
      </c>
      <c r="K2045" s="1324">
        <f>+'Functionalized Revenues'!G38</f>
        <v>1031095.7438643834</v>
      </c>
      <c r="L2045" s="1324">
        <f>+'Functionalized Revenues'!G39</f>
        <v>95215.926359999998</v>
      </c>
      <c r="M2045" s="1324">
        <f>+'Functionalized Revenues'!G40</f>
        <v>472409.06597747206</v>
      </c>
      <c r="N2045" s="1324">
        <f>+'Functionalized Revenues'!G41</f>
        <v>56248.638876056895</v>
      </c>
      <c r="O2045" s="1324">
        <f>+'Functionalized Revenues'!G42</f>
        <v>33101.5829713657</v>
      </c>
      <c r="P2045" s="1324">
        <f>+'Functionalized Revenues'!G43</f>
        <v>3573.4600599999999</v>
      </c>
      <c r="Q2045" s="1324">
        <f>+'Functionalized Revenues'!G44</f>
        <v>82707.846140000009</v>
      </c>
      <c r="R2045" s="1324"/>
      <c r="S2045" s="1324"/>
      <c r="T2045" s="1324"/>
      <c r="V2045" s="1324" t="s">
        <v>6140</v>
      </c>
    </row>
    <row r="2046" spans="2:25">
      <c r="B2046" s="1546">
        <v>84</v>
      </c>
      <c r="C2046" s="1541">
        <v>507</v>
      </c>
      <c r="D2046" s="1324" t="s">
        <v>6117</v>
      </c>
      <c r="E2046" s="1344" t="s">
        <v>3179</v>
      </c>
      <c r="F2046" s="1374">
        <f>+SUM(G2046:H2046)</f>
        <v>1</v>
      </c>
      <c r="G2046" s="1374">
        <f>+G2045/F2045</f>
        <v>0</v>
      </c>
      <c r="H2046" s="1374">
        <f>+H2045/F2045</f>
        <v>1</v>
      </c>
      <c r="I2046" s="1527"/>
      <c r="J2046" s="1374">
        <f>+SUM(K2046:Q2046)</f>
        <v>1</v>
      </c>
      <c r="K2046" s="1374">
        <f t="shared" ref="K2046:Q2046" si="827">+K2045/$J2045</f>
        <v>0.58111107058024702</v>
      </c>
      <c r="L2046" s="1374">
        <f t="shared" si="827"/>
        <v>5.3662357964913747E-2</v>
      </c>
      <c r="M2046" s="1374">
        <f t="shared" si="827"/>
        <v>0.26624311051185012</v>
      </c>
      <c r="N2046" s="1374">
        <f t="shared" si="827"/>
        <v>3.1700942371697245E-2</v>
      </c>
      <c r="O2046" s="1374">
        <f t="shared" si="827"/>
        <v>1.8655586964503271E-2</v>
      </c>
      <c r="P2046" s="1374">
        <f t="shared" si="827"/>
        <v>2.0139518696485658E-3</v>
      </c>
      <c r="Q2046" s="1374">
        <f t="shared" si="827"/>
        <v>4.6612979737139959E-2</v>
      </c>
      <c r="R2046" s="1374"/>
      <c r="S2046" s="1324"/>
      <c r="T2046" s="1324"/>
      <c r="V2046" s="1324"/>
    </row>
    <row r="2047" spans="2:25">
      <c r="B2047" s="1546">
        <v>85</v>
      </c>
      <c r="G2047" s="1320"/>
      <c r="I2047" s="1415"/>
      <c r="M2047" s="1324"/>
      <c r="N2047" s="1324"/>
      <c r="O2047" s="1324"/>
      <c r="R2047" s="1324"/>
    </row>
    <row r="2048" spans="2:25">
      <c r="B2048" s="1546">
        <v>86</v>
      </c>
      <c r="C2048" s="1393">
        <v>508</v>
      </c>
      <c r="D2048" s="1324" t="s">
        <v>4802</v>
      </c>
      <c r="E2048" s="1344" t="s">
        <v>6125</v>
      </c>
      <c r="F2048" s="1410">
        <f>+G2048+H2048</f>
        <v>-70.099129249415967</v>
      </c>
      <c r="G2048" s="1410">
        <v>0</v>
      </c>
      <c r="H2048" s="1410">
        <f>+J2048</f>
        <v>-70.099129249415967</v>
      </c>
      <c r="I2048" s="1415"/>
      <c r="J2048" s="1410">
        <v>-70.099129249415967</v>
      </c>
      <c r="K2048" s="1410">
        <v>-161.08847186830459</v>
      </c>
      <c r="L2048" s="1410">
        <v>-1.9674397927552434</v>
      </c>
      <c r="M2048" s="1410">
        <v>69.541555740602192</v>
      </c>
      <c r="N2048" s="1410">
        <v>21.01500523825645</v>
      </c>
      <c r="O2048" s="1410">
        <v>2.4002214327852136</v>
      </c>
      <c r="P2048" s="1410">
        <v>0</v>
      </c>
      <c r="Q2048" s="1410">
        <v>0</v>
      </c>
      <c r="R2048" s="1324"/>
      <c r="S2048" s="1365"/>
      <c r="V2048" s="1320" t="s">
        <v>6141</v>
      </c>
    </row>
    <row r="2049" spans="2:25">
      <c r="B2049" s="1546">
        <v>87</v>
      </c>
      <c r="C2049" s="1541">
        <v>508</v>
      </c>
      <c r="D2049" s="1324" t="s">
        <v>6117</v>
      </c>
      <c r="E2049" s="1502" t="s">
        <v>3179</v>
      </c>
      <c r="F2049" s="1374">
        <v>1</v>
      </c>
      <c r="G2049" s="1374">
        <v>0</v>
      </c>
      <c r="H2049" s="1374">
        <f>+H2048/F2048</f>
        <v>1</v>
      </c>
      <c r="I2049" s="1527"/>
      <c r="J2049" s="1374">
        <f>+J2048/F2048</f>
        <v>1</v>
      </c>
      <c r="K2049" s="1374">
        <f>+K2048/J2048</f>
        <v>2.2980095985949314</v>
      </c>
      <c r="L2049" s="1374">
        <f>+L2048/J2048</f>
        <v>2.8066536828938358E-2</v>
      </c>
      <c r="M2049" s="1374">
        <f>+M2048/J2048</f>
        <v>-0.99204592817651271</v>
      </c>
      <c r="N2049" s="1374">
        <f>+N2048/J2048</f>
        <v>-0.29978981855087078</v>
      </c>
      <c r="O2049" s="1374">
        <f>+O2048/J2048</f>
        <v>-3.4240388696485997E-2</v>
      </c>
      <c r="P2049" s="1374">
        <v>0</v>
      </c>
      <c r="Q2049" s="1374">
        <v>0</v>
      </c>
      <c r="R2049" s="1324"/>
    </row>
    <row r="2050" spans="2:25">
      <c r="B2050" s="1546">
        <v>88</v>
      </c>
      <c r="G2050" s="1320"/>
      <c r="I2050" s="1415"/>
      <c r="M2050" s="1324"/>
      <c r="N2050" s="1324"/>
      <c r="O2050" s="1324"/>
      <c r="R2050" s="1324"/>
    </row>
    <row r="2051" spans="2:25" s="1324" customFormat="1">
      <c r="B2051" s="1546">
        <v>89</v>
      </c>
      <c r="C2051" s="1393">
        <v>607</v>
      </c>
      <c r="D2051" s="1324" t="s">
        <v>6142</v>
      </c>
      <c r="E2051" s="1344" t="s">
        <v>6125</v>
      </c>
      <c r="F2051" s="1324">
        <f>SUM(G2051:H2051)</f>
        <v>18434.779499890956</v>
      </c>
      <c r="G2051" s="1324">
        <f>+G266</f>
        <v>0</v>
      </c>
      <c r="H2051" s="1324">
        <f>+H266</f>
        <v>18434.779499890956</v>
      </c>
      <c r="I2051" s="1527"/>
      <c r="J2051" s="1324">
        <f t="shared" ref="J2051:Q2051" si="828">+J254</f>
        <v>18434.779499890956</v>
      </c>
      <c r="K2051" s="1324">
        <f t="shared" si="828"/>
        <v>10347.576773275841</v>
      </c>
      <c r="L2051" s="1324">
        <f t="shared" si="828"/>
        <v>2010.4990868506331</v>
      </c>
      <c r="M2051" s="1324">
        <f t="shared" si="828"/>
        <v>1154.5872422362431</v>
      </c>
      <c r="N2051" s="1324">
        <f t="shared" si="828"/>
        <v>86.730529983003223</v>
      </c>
      <c r="O2051" s="1324">
        <f t="shared" si="828"/>
        <v>94.626648996379828</v>
      </c>
      <c r="P2051" s="1324">
        <f t="shared" si="828"/>
        <v>19.436183423044227</v>
      </c>
      <c r="Q2051" s="1324">
        <f t="shared" si="828"/>
        <v>4721.3230351258117</v>
      </c>
      <c r="V2051" s="1324" t="s">
        <v>6143</v>
      </c>
      <c r="Y2051" s="1320"/>
    </row>
    <row r="2052" spans="2:25" s="1324" customFormat="1">
      <c r="B2052" s="1546">
        <v>90</v>
      </c>
      <c r="C2052" s="1541">
        <v>607</v>
      </c>
      <c r="D2052" s="1324" t="s">
        <v>6117</v>
      </c>
      <c r="E2052" s="1502" t="s">
        <v>3179</v>
      </c>
      <c r="F2052" s="1374">
        <f>SUM(G2052:H2052)</f>
        <v>1</v>
      </c>
      <c r="G2052" s="1374">
        <f>IF($F2051=0,0,G2051/$F2051)</f>
        <v>0</v>
      </c>
      <c r="H2052" s="1374">
        <f>IF($F2051=0,0,H2051/$F2051)</f>
        <v>1</v>
      </c>
      <c r="I2052" s="1527"/>
      <c r="J2052" s="1374">
        <f>SUM(K2052:S2052)</f>
        <v>1</v>
      </c>
      <c r="K2052" s="1374">
        <f t="shared" ref="K2052:Q2052" si="829">IF($J2051=0,0,K2051/$J2051)</f>
        <v>0.56130732528355165</v>
      </c>
      <c r="L2052" s="1374">
        <f t="shared" si="829"/>
        <v>0.10906011036706599</v>
      </c>
      <c r="M2052" s="1374">
        <f t="shared" si="829"/>
        <v>6.2630922287032112E-2</v>
      </c>
      <c r="N2052" s="1374">
        <f t="shared" si="829"/>
        <v>4.7047229386994426E-3</v>
      </c>
      <c r="O2052" s="1374">
        <f>IF($J2051=0,0,O2051/$J2051)</f>
        <v>5.1330502215629729E-3</v>
      </c>
      <c r="P2052" s="1374">
        <f>IF($J2051=0,0,P2051/$J2051)</f>
        <v>1.0543214483883137E-3</v>
      </c>
      <c r="Q2052" s="1374">
        <f t="shared" si="829"/>
        <v>0.25610954745369963</v>
      </c>
      <c r="R2052" s="1374"/>
      <c r="S2052" s="1374"/>
    </row>
    <row r="2053" spans="2:25" s="1324" customFormat="1">
      <c r="B2053" s="1546">
        <v>91</v>
      </c>
      <c r="C2053" s="1322"/>
      <c r="D2053" s="1320"/>
      <c r="F2053" s="1320"/>
      <c r="G2053" s="1320"/>
      <c r="H2053" s="1320"/>
      <c r="I2053" s="1527"/>
      <c r="T2053" s="1320"/>
      <c r="V2053" s="1320"/>
    </row>
    <row r="2054" spans="2:25" s="1324" customFormat="1">
      <c r="B2054" s="1546">
        <v>92</v>
      </c>
      <c r="C2054" s="1393">
        <v>907</v>
      </c>
      <c r="D2054" s="1324" t="s">
        <v>6144</v>
      </c>
      <c r="E2054" s="1344" t="s">
        <v>6125</v>
      </c>
      <c r="F2054" s="1324">
        <f>SUM(G2054:H2054)</f>
        <v>830246.67682678136</v>
      </c>
      <c r="G2054" s="1324">
        <f>+G949</f>
        <v>0</v>
      </c>
      <c r="H2054" s="1324">
        <f>+H949</f>
        <v>830246.67682678136</v>
      </c>
      <c r="I2054" s="1527"/>
      <c r="J2054" s="1324">
        <f t="shared" ref="J2054:Q2054" si="830">+J937</f>
        <v>830246.67682678136</v>
      </c>
      <c r="K2054" s="1324">
        <f t="shared" si="830"/>
        <v>306076.01775911805</v>
      </c>
      <c r="L2054" s="1324">
        <f t="shared" si="830"/>
        <v>46427.707430214577</v>
      </c>
      <c r="M2054" s="1324">
        <f t="shared" si="830"/>
        <v>22382.762609359015</v>
      </c>
      <c r="N2054" s="1324">
        <f t="shared" si="830"/>
        <v>1442.907956013079</v>
      </c>
      <c r="O2054" s="1324">
        <f t="shared" si="830"/>
        <v>1574.273150579053</v>
      </c>
      <c r="P2054" s="1324">
        <f t="shared" si="830"/>
        <v>361.31447471625313</v>
      </c>
      <c r="Q2054" s="1324">
        <f t="shared" si="830"/>
        <v>451981.69344678143</v>
      </c>
      <c r="V2054" s="1324" t="s">
        <v>6145</v>
      </c>
      <c r="Y2054" s="1320"/>
    </row>
    <row r="2055" spans="2:25" s="1324" customFormat="1">
      <c r="B2055" s="1546">
        <v>93</v>
      </c>
      <c r="C2055" s="1541">
        <v>907</v>
      </c>
      <c r="D2055" s="1324" t="s">
        <v>6117</v>
      </c>
      <c r="E2055" s="1502" t="s">
        <v>3179</v>
      </c>
      <c r="F2055" s="1374">
        <f>SUM(G2055:H2055)</f>
        <v>1</v>
      </c>
      <c r="G2055" s="1374">
        <f>IF($F2054=0,0,G2054/$F2054)</f>
        <v>0</v>
      </c>
      <c r="H2055" s="1374">
        <f>IF($F2054=0,0,H2054/$F2054)</f>
        <v>1</v>
      </c>
      <c r="I2055" s="1527"/>
      <c r="J2055" s="1374">
        <f>SUM(K2055:S2055)</f>
        <v>1</v>
      </c>
      <c r="K2055" s="1374">
        <f t="shared" ref="K2055:Q2055" si="831">IF($J2054=0,0,K2054/$J2054)</f>
        <v>0.36865672131196769</v>
      </c>
      <c r="L2055" s="1374">
        <f t="shared" si="831"/>
        <v>5.5920377312032324E-2</v>
      </c>
      <c r="M2055" s="1374">
        <f t="shared" si="831"/>
        <v>2.6959171574051175E-2</v>
      </c>
      <c r="N2055" s="1374">
        <f t="shared" si="831"/>
        <v>1.7379268069194816E-3</v>
      </c>
      <c r="O2055" s="1374">
        <f>IF($J2054=0,0,O2054/$J2054)</f>
        <v>1.8961511012557798E-3</v>
      </c>
      <c r="P2055" s="1374">
        <f>IF($J2054=0,0,P2054/$J2054)</f>
        <v>4.3518930554134098E-4</v>
      </c>
      <c r="Q2055" s="1374">
        <f t="shared" si="831"/>
        <v>0.54439446258823232</v>
      </c>
      <c r="R2055" s="1374"/>
      <c r="S2055" s="1374"/>
      <c r="Y2055" s="1320"/>
    </row>
    <row r="2056" spans="2:25">
      <c r="B2056" s="1546">
        <v>94</v>
      </c>
      <c r="G2056" s="1320"/>
      <c r="I2056" s="1527"/>
      <c r="M2056" s="1324"/>
      <c r="P2056" s="1325"/>
      <c r="R2056" s="1324"/>
      <c r="S2056" s="1324"/>
      <c r="Y2056" s="1324"/>
    </row>
    <row r="2057" spans="2:25">
      <c r="B2057" s="1546">
        <v>95</v>
      </c>
      <c r="C2057" s="1322">
        <v>817</v>
      </c>
      <c r="D2057" s="1320" t="s">
        <v>9326</v>
      </c>
      <c r="E2057" s="1344" t="s">
        <v>6115</v>
      </c>
      <c r="F2057" s="1320">
        <f>H2057</f>
        <v>3974499.896269511</v>
      </c>
      <c r="G2057" s="1320">
        <v>0</v>
      </c>
      <c r="H2057" s="1320">
        <f>H1941</f>
        <v>3974499.896269511</v>
      </c>
      <c r="I2057" s="1527"/>
      <c r="J2057" s="1324">
        <f t="shared" ref="J2057:Q2057" si="832">J1944</f>
        <v>3974499.896269511</v>
      </c>
      <c r="K2057" s="1324">
        <f t="shared" si="832"/>
        <v>2305261.7678066748</v>
      </c>
      <c r="L2057" s="1324">
        <f t="shared" si="832"/>
        <v>190160.84369421427</v>
      </c>
      <c r="M2057" s="1324">
        <f t="shared" si="832"/>
        <v>1215602.739280649</v>
      </c>
      <c r="N2057" s="1324">
        <f t="shared" si="832"/>
        <v>151751.88420351513</v>
      </c>
      <c r="O2057" s="1324">
        <f t="shared" si="832"/>
        <v>108904.77023595448</v>
      </c>
      <c r="P2057" s="1324">
        <f t="shared" si="832"/>
        <v>2817.891048503418</v>
      </c>
      <c r="Q2057" s="1324">
        <f t="shared" si="832"/>
        <v>0</v>
      </c>
      <c r="R2057" s="1324"/>
      <c r="S2057" s="1324"/>
      <c r="V2057" s="1320" t="s">
        <v>6147</v>
      </c>
      <c r="Y2057" s="1324"/>
    </row>
    <row r="2058" spans="2:25">
      <c r="B2058" s="1546">
        <v>96</v>
      </c>
      <c r="C2058" s="1541">
        <v>817</v>
      </c>
      <c r="D2058" s="1320" t="s">
        <v>6117</v>
      </c>
      <c r="E2058" s="1344" t="s">
        <v>3179</v>
      </c>
      <c r="F2058" s="1374">
        <f>SUM(G2058:H2058)</f>
        <v>1</v>
      </c>
      <c r="G2058" s="1374">
        <f>IF($F2057=0,0,G2057/$F2057)</f>
        <v>0</v>
      </c>
      <c r="H2058" s="1323">
        <f>H2057/$F$2057</f>
        <v>1</v>
      </c>
      <c r="I2058" s="1527"/>
      <c r="J2058" s="1374">
        <f>SUM(K2058:S2058)</f>
        <v>1</v>
      </c>
      <c r="K2058" s="1374">
        <f>K2057/$J$2057</f>
        <v>0.58001304012371646</v>
      </c>
      <c r="L2058" s="1374">
        <f>L2057/$J$2057</f>
        <v>4.7845225476719815E-2</v>
      </c>
      <c r="M2058" s="1374">
        <f>IF($J2057=0,0,M2057/$J2057)</f>
        <v>0.3058504896230142</v>
      </c>
      <c r="N2058" s="1374">
        <f>N2057/$J$2057</f>
        <v>3.8181378327862163E-2</v>
      </c>
      <c r="O2058" s="1374">
        <f>O2057/$J$2057</f>
        <v>2.7400873840297026E-2</v>
      </c>
      <c r="P2058" s="1374">
        <f>P2057/$J$2057</f>
        <v>7.0899260839038069E-4</v>
      </c>
      <c r="Q2058" s="1374">
        <f>Q2057/$J$2057</f>
        <v>0</v>
      </c>
      <c r="R2058" s="1374"/>
      <c r="S2058" s="1374"/>
      <c r="Y2058" s="1324"/>
    </row>
    <row r="2059" spans="2:25">
      <c r="B2059" s="1546"/>
      <c r="C2059" s="1320"/>
      <c r="G2059" s="1320"/>
      <c r="I2059" s="1527"/>
      <c r="Y2059" s="1324"/>
    </row>
    <row r="2060" spans="2:25" s="1324" customFormat="1">
      <c r="B2060" s="1546"/>
      <c r="I2060" s="1527"/>
    </row>
    <row r="2061" spans="2:25" s="1324" customFormat="1">
      <c r="B2061" s="1546"/>
      <c r="I2061" s="1527"/>
    </row>
    <row r="2062" spans="2:25">
      <c r="B2062" s="1546"/>
      <c r="C2062" s="1320"/>
      <c r="G2062" s="1320"/>
      <c r="I2062" s="1527"/>
      <c r="Y2062" s="1324"/>
    </row>
    <row r="2063" spans="2:25" s="1324" customFormat="1">
      <c r="B2063" s="1546"/>
      <c r="I2063" s="1527"/>
    </row>
    <row r="2064" spans="2:25" s="1324" customFormat="1">
      <c r="B2064" s="1546"/>
      <c r="I2064" s="1527"/>
    </row>
    <row r="2065" spans="2:25">
      <c r="B2065" s="1546"/>
      <c r="C2065" s="1320"/>
      <c r="G2065" s="1320"/>
      <c r="I2065" s="1527"/>
      <c r="Y2065" s="1324"/>
    </row>
    <row r="2066" spans="2:25">
      <c r="B2066" s="1546"/>
      <c r="C2066" s="1320"/>
      <c r="G2066" s="1320"/>
      <c r="I2066" s="1527"/>
      <c r="Y2066" s="1324"/>
    </row>
    <row r="2067" spans="2:25">
      <c r="B2067" s="1546"/>
      <c r="C2067" s="1320"/>
      <c r="G2067" s="1320"/>
      <c r="I2067" s="1527"/>
    </row>
    <row r="2068" spans="2:25">
      <c r="B2068" s="1547"/>
      <c r="G2068" s="1320"/>
      <c r="I2068" s="1527"/>
      <c r="R2068" s="1324"/>
    </row>
    <row r="2069" spans="2:25">
      <c r="C2069" s="1341"/>
      <c r="G2069" s="1320"/>
      <c r="I2069" s="1527"/>
      <c r="R2069" s="1324"/>
      <c r="Y2069" s="1324"/>
    </row>
    <row r="2070" spans="2:25">
      <c r="E2070" s="1339"/>
      <c r="G2070" s="1320"/>
      <c r="I2070" s="1527"/>
      <c r="R2070" s="1324"/>
      <c r="Y2070" s="1324"/>
    </row>
    <row r="2071" spans="2:25">
      <c r="D2071" s="1324"/>
      <c r="E2071" s="1548"/>
      <c r="G2071" s="1320"/>
      <c r="I2071" s="1527"/>
      <c r="M2071" s="1324"/>
      <c r="N2071" s="1324"/>
      <c r="O2071" s="1324"/>
      <c r="R2071" s="1324"/>
    </row>
    <row r="2072" spans="2:25">
      <c r="D2072" s="1548"/>
      <c r="F2072" s="1374"/>
      <c r="G2072" s="1374"/>
      <c r="H2072" s="1323"/>
      <c r="I2072" s="1527"/>
      <c r="M2072" s="1324"/>
      <c r="N2072" s="1324"/>
      <c r="O2072" s="1324"/>
      <c r="R2072" s="1324"/>
    </row>
    <row r="2073" spans="2:25">
      <c r="D2073" s="1548"/>
      <c r="G2073" s="1320"/>
      <c r="I2073" s="1527"/>
      <c r="R2073" s="1324"/>
    </row>
    <row r="2074" spans="2:25">
      <c r="E2074" s="1548"/>
      <c r="G2074" s="1320"/>
      <c r="I2074" s="1527"/>
      <c r="M2074" s="1324"/>
      <c r="N2074" s="1324"/>
      <c r="O2074" s="1324"/>
      <c r="R2074" s="1324"/>
      <c r="V2074" s="1324"/>
    </row>
    <row r="2075" spans="2:25">
      <c r="E2075" s="1548"/>
      <c r="F2075" s="1374"/>
      <c r="G2075" s="1374"/>
      <c r="H2075" s="1323"/>
      <c r="I2075" s="1527"/>
      <c r="J2075" s="1374"/>
      <c r="K2075" s="1374"/>
      <c r="L2075" s="1374"/>
      <c r="M2075" s="1374"/>
      <c r="N2075" s="1374"/>
      <c r="O2075" s="1374"/>
      <c r="P2075" s="1374"/>
      <c r="Q2075" s="1374"/>
      <c r="R2075" s="1324"/>
    </row>
    <row r="2076" spans="2:25">
      <c r="E2076" s="1548"/>
      <c r="G2076" s="1320"/>
      <c r="I2076" s="1527"/>
      <c r="R2076" s="1324"/>
    </row>
    <row r="2077" spans="2:25">
      <c r="E2077" s="1548"/>
      <c r="G2077" s="1320"/>
      <c r="I2077" s="1527"/>
      <c r="M2077" s="1324"/>
      <c r="N2077" s="1324"/>
      <c r="O2077" s="1324"/>
      <c r="R2077" s="1324"/>
      <c r="V2077" s="1324"/>
    </row>
    <row r="2078" spans="2:25">
      <c r="E2078" s="1548"/>
      <c r="F2078" s="1374"/>
      <c r="G2078" s="1374"/>
      <c r="H2078" s="1323"/>
      <c r="I2078" s="1527"/>
      <c r="J2078" s="1374"/>
      <c r="K2078" s="1374"/>
      <c r="L2078" s="1374"/>
      <c r="M2078" s="1374"/>
      <c r="N2078" s="1374"/>
      <c r="O2078" s="1374"/>
      <c r="P2078" s="1374"/>
      <c r="Q2078" s="1374"/>
      <c r="R2078" s="1324"/>
    </row>
    <row r="2079" spans="2:25">
      <c r="E2079" s="1548"/>
      <c r="G2079" s="1320"/>
      <c r="I2079" s="1527"/>
      <c r="R2079" s="1324"/>
    </row>
    <row r="2080" spans="2:25">
      <c r="C2080" s="1320"/>
      <c r="G2080" s="1320"/>
      <c r="I2080" s="1320"/>
      <c r="M2080" s="1324"/>
      <c r="N2080" s="1324"/>
      <c r="O2080" s="1324"/>
      <c r="R2080" s="1324"/>
      <c r="U2080" s="1320"/>
    </row>
    <row r="2081" spans="3:25">
      <c r="C2081" s="1320"/>
      <c r="G2081" s="1320"/>
      <c r="I2081" s="1320"/>
      <c r="M2081" s="1324"/>
      <c r="N2081" s="1324"/>
      <c r="O2081" s="1324"/>
      <c r="R2081" s="1324"/>
      <c r="U2081" s="1320"/>
    </row>
    <row r="2082" spans="3:25">
      <c r="E2082" s="1548"/>
      <c r="G2082" s="1320"/>
      <c r="I2082" s="1527"/>
      <c r="R2082" s="1324"/>
      <c r="Y2082" s="1324"/>
    </row>
    <row r="2083" spans="3:25">
      <c r="C2083" s="1320"/>
      <c r="G2083" s="1320"/>
      <c r="I2083" s="1320"/>
      <c r="M2083" s="1324"/>
      <c r="N2083" s="1324"/>
      <c r="O2083" s="1324"/>
      <c r="R2083" s="1324"/>
      <c r="U2083" s="1320"/>
      <c r="Y2083" s="1324"/>
    </row>
    <row r="2084" spans="3:25">
      <c r="C2084" s="1320"/>
      <c r="G2084" s="1320"/>
      <c r="I2084" s="1320"/>
      <c r="M2084" s="1324"/>
      <c r="N2084" s="1324"/>
      <c r="O2084" s="1324"/>
      <c r="R2084" s="1324"/>
      <c r="U2084" s="1320"/>
      <c r="Y2084" s="1324"/>
    </row>
    <row r="2085" spans="3:25">
      <c r="E2085" s="1548"/>
      <c r="G2085" s="1320"/>
      <c r="I2085" s="1527"/>
      <c r="R2085" s="1324"/>
      <c r="Y2085" s="1324"/>
    </row>
    <row r="2086" spans="3:25">
      <c r="C2086" s="1320"/>
      <c r="G2086" s="1320"/>
      <c r="I2086" s="1320"/>
      <c r="M2086" s="1324"/>
      <c r="N2086" s="1324"/>
      <c r="O2086" s="1324"/>
      <c r="R2086" s="1324"/>
      <c r="U2086" s="1320"/>
      <c r="Y2086" s="1324"/>
    </row>
    <row r="2087" spans="3:25">
      <c r="C2087" s="1320"/>
      <c r="G2087" s="1320"/>
      <c r="I2087" s="1320"/>
      <c r="M2087" s="1324"/>
      <c r="N2087" s="1324"/>
      <c r="O2087" s="1324"/>
      <c r="R2087" s="1324"/>
      <c r="U2087" s="1320"/>
      <c r="Y2087" s="1324"/>
    </row>
    <row r="2088" spans="3:25">
      <c r="G2088" s="1320"/>
      <c r="I2088" s="1527"/>
      <c r="R2088" s="1324"/>
      <c r="Y2088" s="1324"/>
    </row>
    <row r="2089" spans="3:25">
      <c r="G2089" s="1320"/>
      <c r="I2089" s="1527"/>
      <c r="R2089" s="1324"/>
      <c r="Y2089" s="1324"/>
    </row>
    <row r="2090" spans="3:25">
      <c r="G2090" s="1320"/>
      <c r="I2090" s="1527"/>
      <c r="R2090" s="1324"/>
    </row>
    <row r="2091" spans="3:25">
      <c r="G2091" s="1320"/>
      <c r="I2091" s="1527"/>
      <c r="R2091" s="1324"/>
    </row>
    <row r="2092" spans="3:25">
      <c r="G2092" s="1320"/>
      <c r="I2092" s="1527"/>
      <c r="R2092" s="1324"/>
    </row>
    <row r="2093" spans="3:25">
      <c r="G2093" s="1320"/>
      <c r="I2093" s="1527"/>
      <c r="R2093" s="1324"/>
    </row>
    <row r="2094" spans="3:25">
      <c r="G2094" s="1320"/>
      <c r="I2094" s="1527"/>
      <c r="R2094" s="1324"/>
      <c r="Y2094" s="1324"/>
    </row>
    <row r="2095" spans="3:25">
      <c r="I2095" s="1527"/>
      <c r="R2095" s="1324"/>
      <c r="Y2095" s="1324"/>
    </row>
    <row r="2096" spans="3:25">
      <c r="I2096" s="1527"/>
      <c r="R2096" s="1324"/>
      <c r="Y2096" s="1324"/>
    </row>
    <row r="2097" spans="9:25">
      <c r="I2097" s="1527"/>
      <c r="R2097" s="1324"/>
      <c r="Y2097" s="1324"/>
    </row>
    <row r="2098" spans="9:25">
      <c r="I2098" s="1527"/>
      <c r="R2098" s="1324"/>
      <c r="Y2098" s="1324"/>
    </row>
    <row r="2099" spans="9:25">
      <c r="I2099" s="1527"/>
      <c r="R2099" s="1324"/>
      <c r="Y2099" s="1324"/>
    </row>
    <row r="2100" spans="9:25">
      <c r="I2100" s="1527"/>
      <c r="R2100" s="1324"/>
      <c r="Y2100" s="1324"/>
    </row>
    <row r="2101" spans="9:25">
      <c r="I2101" s="1527"/>
      <c r="Y2101" s="1324"/>
    </row>
    <row r="2102" spans="9:25">
      <c r="I2102" s="1527"/>
    </row>
    <row r="2103" spans="9:25">
      <c r="I2103" s="1527"/>
    </row>
    <row r="2104" spans="9:25">
      <c r="I2104" s="1527"/>
    </row>
    <row r="2105" spans="9:25">
      <c r="I2105" s="1527"/>
    </row>
    <row r="2106" spans="9:25">
      <c r="I2106" s="1527"/>
    </row>
    <row r="2107" spans="9:25">
      <c r="I2107" s="1527"/>
    </row>
    <row r="2108" spans="9:25">
      <c r="I2108" s="1527"/>
    </row>
    <row r="2125" hidden="1"/>
    <row r="2126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</sheetPr>
  <dimension ref="A1:AB350"/>
  <sheetViews>
    <sheetView tabSelected="1" showOutlineSymbols="0" workbookViewId="0"/>
  </sheetViews>
  <sheetFormatPr defaultRowHeight="14.4"/>
  <cols>
    <col min="2" max="2" width="6.5546875" bestFit="1" customWidth="1"/>
    <col min="3" max="3" width="10.5546875" bestFit="1" customWidth="1"/>
    <col min="4" max="4" width="37.109375" bestFit="1" customWidth="1"/>
    <col min="5" max="5" width="36.44140625" bestFit="1" customWidth="1"/>
    <col min="6" max="6" width="12.6640625" bestFit="1" customWidth="1"/>
    <col min="7" max="7" width="11.109375" bestFit="1" customWidth="1"/>
    <col min="8" max="8" width="11.88671875" bestFit="1" customWidth="1"/>
    <col min="9" max="9" width="10.88671875" bestFit="1" customWidth="1"/>
    <col min="10" max="12" width="11.109375" bestFit="1" customWidth="1"/>
    <col min="13" max="13" width="12.5546875" bestFit="1" customWidth="1"/>
    <col min="14" max="14" width="11.88671875" bestFit="1" customWidth="1"/>
    <col min="15" max="16" width="10.5546875" bestFit="1" customWidth="1"/>
    <col min="17" max="17" width="11.88671875" bestFit="1" customWidth="1"/>
    <col min="18" max="19" width="11.109375" bestFit="1" customWidth="1"/>
    <col min="20" max="20" width="5.5546875" bestFit="1" customWidth="1"/>
    <col min="22" max="23" width="12" customWidth="1"/>
    <col min="25" max="25" width="10.88671875" bestFit="1" customWidth="1"/>
    <col min="26" max="26" width="10.33203125" bestFit="1" customWidth="1"/>
    <col min="27" max="27" width="11.88671875" bestFit="1" customWidth="1"/>
  </cols>
  <sheetData>
    <row r="1" spans="1:28">
      <c r="A1" s="1605" t="s">
        <v>8244</v>
      </c>
    </row>
    <row r="2" spans="1:28">
      <c r="A2" s="1607" t="s">
        <v>37</v>
      </c>
      <c r="B2">
        <f>+'300s - 5 Digit FERC Accounts'!A1</f>
        <v>0</v>
      </c>
      <c r="F2" s="29"/>
    </row>
    <row r="3" spans="1:28" ht="17.399999999999999">
      <c r="A3" s="1609" t="s">
        <v>8245</v>
      </c>
      <c r="D3" s="614" t="s">
        <v>1531</v>
      </c>
      <c r="E3" s="67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1"/>
    </row>
    <row r="4" spans="1:28">
      <c r="D4" s="62"/>
      <c r="E4" s="62"/>
      <c r="F4" s="60" t="s">
        <v>1532</v>
      </c>
      <c r="G4" s="60"/>
      <c r="I4" s="60"/>
      <c r="J4" s="60" t="s">
        <v>1532</v>
      </c>
      <c r="K4" s="60" t="s">
        <v>1532</v>
      </c>
      <c r="L4" s="60" t="s">
        <v>1533</v>
      </c>
      <c r="M4" s="60"/>
      <c r="N4" s="60"/>
      <c r="O4" s="60"/>
      <c r="P4" s="60"/>
      <c r="Q4" s="60"/>
      <c r="R4" s="60" t="s">
        <v>1533</v>
      </c>
      <c r="S4" s="60" t="s">
        <v>1533</v>
      </c>
      <c r="T4" s="63" t="s">
        <v>1540</v>
      </c>
    </row>
    <row r="5" spans="1:28" ht="27.6" thickBot="1">
      <c r="B5" s="65" t="s">
        <v>1541</v>
      </c>
      <c r="C5" s="66" t="s">
        <v>1542</v>
      </c>
      <c r="D5" s="41" t="s">
        <v>1543</v>
      </c>
      <c r="E5" s="35" t="s">
        <v>1544</v>
      </c>
      <c r="F5" s="41" t="s">
        <v>1545</v>
      </c>
      <c r="G5" s="41" t="s">
        <v>1534</v>
      </c>
      <c r="H5" s="41" t="s">
        <v>1535</v>
      </c>
      <c r="I5" s="41" t="s">
        <v>1536</v>
      </c>
      <c r="J5" s="41" t="s">
        <v>1546</v>
      </c>
      <c r="K5" s="41" t="s">
        <v>1547</v>
      </c>
      <c r="L5" s="41" t="s">
        <v>1545</v>
      </c>
      <c r="M5" s="41" t="s">
        <v>1537</v>
      </c>
      <c r="N5" s="41" t="s">
        <v>1535</v>
      </c>
      <c r="O5" s="41" t="s">
        <v>1538</v>
      </c>
      <c r="P5" s="41" t="s">
        <v>1539</v>
      </c>
      <c r="Q5" s="41" t="s">
        <v>1536</v>
      </c>
      <c r="R5" s="41" t="s">
        <v>1546</v>
      </c>
      <c r="S5" s="41" t="s">
        <v>1547</v>
      </c>
      <c r="T5" s="41" t="s">
        <v>1548</v>
      </c>
      <c r="V5" s="60" t="s">
        <v>8243</v>
      </c>
      <c r="W5" s="60" t="s">
        <v>3197</v>
      </c>
    </row>
    <row r="6" spans="1:28">
      <c r="A6">
        <f>+_xlfn.XMATCH(D6,'300s - 5 Digit FERC Accounts'!B:B)</f>
        <v>4</v>
      </c>
      <c r="B6" s="1608" t="str">
        <f>IF(D6="","",MID(D6,1,3))</f>
        <v>303</v>
      </c>
      <c r="C6" s="1608" t="str">
        <f t="shared" ref="C6:C69" si="0">+_xlfn.SINGLE(IF(D6="","",_xlfn.XLOOKUP(D6,W:W,V:V,"CHECK")))</f>
        <v>SOFT</v>
      </c>
      <c r="D6" s="29">
        <v>30300</v>
      </c>
      <c r="E6" s="29" t="s">
        <v>1549</v>
      </c>
      <c r="F6" s="83">
        <v>0</v>
      </c>
      <c r="G6" s="83">
        <v>0</v>
      </c>
      <c r="H6" s="83">
        <v>0</v>
      </c>
      <c r="I6" s="1606">
        <f>+J6-F6-G6-H6</f>
        <v>0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83">
        <v>0</v>
      </c>
      <c r="P6" s="83">
        <v>0</v>
      </c>
      <c r="Q6" s="1606">
        <f>+R6-P6-O6-N6-M6-L6</f>
        <v>0</v>
      </c>
      <c r="R6" s="83">
        <v>0</v>
      </c>
      <c r="S6" s="83">
        <v>0</v>
      </c>
      <c r="T6" s="1673">
        <v>0</v>
      </c>
      <c r="V6" s="328" t="s">
        <v>1758</v>
      </c>
      <c r="W6" s="29">
        <v>30300</v>
      </c>
      <c r="Y6" s="503"/>
      <c r="Z6" s="503"/>
      <c r="AA6" s="503"/>
    </row>
    <row r="7" spans="1:28">
      <c r="A7">
        <f>+_xlfn.XMATCH(D7,'300s - 5 Digit FERC Accounts'!B:B)</f>
        <v>5</v>
      </c>
      <c r="B7" s="1608" t="str">
        <f t="shared" ref="B7:B70" si="1">IF(D7="","",MID(D7,1,3))</f>
        <v>303</v>
      </c>
      <c r="C7" s="1608" t="str">
        <f t="shared" si="0"/>
        <v>SOFT</v>
      </c>
      <c r="D7" s="29">
        <v>30301</v>
      </c>
      <c r="E7" s="29" t="s">
        <v>1550</v>
      </c>
      <c r="F7" s="83">
        <v>0</v>
      </c>
      <c r="G7" s="83">
        <v>0</v>
      </c>
      <c r="H7" s="83">
        <v>0</v>
      </c>
      <c r="I7" s="1606">
        <f t="shared" ref="I7:I70" si="2">+J7-F7-G7-H7</f>
        <v>0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83">
        <v>0</v>
      </c>
      <c r="P7" s="83">
        <v>0</v>
      </c>
      <c r="Q7" s="1606">
        <f t="shared" ref="Q7:Q70" si="3">+R7-P7-O7-N7-M7-L7</f>
        <v>0</v>
      </c>
      <c r="R7" s="83">
        <v>0</v>
      </c>
      <c r="S7" s="83">
        <v>0</v>
      </c>
      <c r="T7" s="1673">
        <v>0</v>
      </c>
      <c r="V7" s="328" t="s">
        <v>1758</v>
      </c>
      <c r="W7" s="29">
        <v>30301</v>
      </c>
      <c r="Y7" s="503"/>
      <c r="Z7" s="503"/>
      <c r="AA7" s="503"/>
      <c r="AB7" s="503"/>
    </row>
    <row r="8" spans="1:28">
      <c r="A8">
        <f>+_xlfn.XMATCH(D8,'300s - 5 Digit FERC Accounts'!B:B)</f>
        <v>6</v>
      </c>
      <c r="B8" s="1608" t="str">
        <f t="shared" si="1"/>
        <v>303</v>
      </c>
      <c r="C8" s="1608" t="str">
        <f t="shared" si="0"/>
        <v>SOFT</v>
      </c>
      <c r="D8" s="29">
        <v>30302</v>
      </c>
      <c r="E8" s="29" t="s">
        <v>8187</v>
      </c>
      <c r="F8" s="83">
        <v>0</v>
      </c>
      <c r="G8" s="83">
        <v>0</v>
      </c>
      <c r="H8" s="83">
        <v>0</v>
      </c>
      <c r="I8" s="1606">
        <f t="shared" si="2"/>
        <v>0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83">
        <v>0</v>
      </c>
      <c r="P8" s="83">
        <v>0</v>
      </c>
      <c r="Q8" s="1606">
        <f t="shared" si="3"/>
        <v>0</v>
      </c>
      <c r="R8" s="83">
        <v>0</v>
      </c>
      <c r="S8" s="83">
        <v>0</v>
      </c>
      <c r="T8" s="1673">
        <v>0</v>
      </c>
      <c r="V8" s="328" t="s">
        <v>1758</v>
      </c>
      <c r="W8" s="29">
        <v>30302</v>
      </c>
      <c r="Y8" s="503"/>
      <c r="Z8" s="503"/>
      <c r="AA8" s="503"/>
      <c r="AB8" s="503"/>
    </row>
    <row r="9" spans="1:28">
      <c r="A9">
        <f>+_xlfn.XMATCH(D9,'300s - 5 Digit FERC Accounts'!B:B)</f>
        <v>7</v>
      </c>
      <c r="B9" s="1608" t="str">
        <f t="shared" si="1"/>
        <v>303</v>
      </c>
      <c r="C9" s="1608" t="str">
        <f t="shared" si="0"/>
        <v>SOFT</v>
      </c>
      <c r="D9" s="29">
        <v>30315</v>
      </c>
      <c r="E9" s="29" t="s">
        <v>8188</v>
      </c>
      <c r="F9" s="83">
        <v>577595317.85000014</v>
      </c>
      <c r="G9" s="83">
        <v>83861887.680000007</v>
      </c>
      <c r="H9" s="83">
        <v>-4800478.3099999996</v>
      </c>
      <c r="I9" s="1606">
        <f t="shared" si="2"/>
        <v>1.1641532182693481E-7</v>
      </c>
      <c r="J9" s="83">
        <v>656656727.22000027</v>
      </c>
      <c r="K9" s="83">
        <v>596630121.51999998</v>
      </c>
      <c r="L9" s="83">
        <v>176428182.05000007</v>
      </c>
      <c r="M9" s="83">
        <v>39639069.590000004</v>
      </c>
      <c r="N9" s="83">
        <v>-4800478.3099999996</v>
      </c>
      <c r="O9" s="83">
        <v>0</v>
      </c>
      <c r="P9" s="83">
        <v>0</v>
      </c>
      <c r="Q9" s="1606">
        <f t="shared" si="3"/>
        <v>0</v>
      </c>
      <c r="R9" s="83">
        <v>211266773.33000007</v>
      </c>
      <c r="S9" s="83">
        <v>192032007.41999999</v>
      </c>
      <c r="T9" s="1673">
        <v>6.7000000000000004E-2</v>
      </c>
      <c r="V9" s="328" t="s">
        <v>1758</v>
      </c>
      <c r="W9" s="29">
        <v>30315</v>
      </c>
      <c r="Y9" s="503"/>
      <c r="Z9" s="503"/>
      <c r="AA9" s="503"/>
      <c r="AB9" s="503"/>
    </row>
    <row r="10" spans="1:28">
      <c r="A10">
        <f>+_xlfn.XMATCH(D10,'300s - 5 Digit FERC Accounts'!B:B)</f>
        <v>8</v>
      </c>
      <c r="B10" s="1608" t="str">
        <f t="shared" si="1"/>
        <v>303</v>
      </c>
      <c r="C10" s="1608" t="str">
        <f t="shared" si="0"/>
        <v>SOFT</v>
      </c>
      <c r="D10" s="29">
        <v>30399</v>
      </c>
      <c r="E10" s="29" t="s">
        <v>1551</v>
      </c>
      <c r="F10" s="83">
        <v>4620086.03</v>
      </c>
      <c r="G10" s="83">
        <v>0</v>
      </c>
      <c r="H10" s="83">
        <v>0</v>
      </c>
      <c r="I10" s="1606">
        <f t="shared" si="2"/>
        <v>0</v>
      </c>
      <c r="J10" s="83">
        <v>4620086.03</v>
      </c>
      <c r="K10" s="83">
        <v>4620086.03</v>
      </c>
      <c r="L10" s="83">
        <v>362891.23999999987</v>
      </c>
      <c r="M10" s="83">
        <v>152462.88</v>
      </c>
      <c r="N10" s="83">
        <v>0</v>
      </c>
      <c r="O10" s="83">
        <v>0</v>
      </c>
      <c r="P10" s="83">
        <v>0</v>
      </c>
      <c r="Q10" s="1606">
        <f t="shared" si="3"/>
        <v>0</v>
      </c>
      <c r="R10" s="83">
        <v>515354.11999999988</v>
      </c>
      <c r="S10" s="83">
        <v>439122.68</v>
      </c>
      <c r="T10" s="1673">
        <v>3.3000000000000002E-2</v>
      </c>
      <c r="V10" s="328" t="s">
        <v>1758</v>
      </c>
      <c r="W10" s="29">
        <v>30399</v>
      </c>
      <c r="Y10" s="503"/>
      <c r="Z10" s="503"/>
      <c r="AA10" s="503"/>
      <c r="AB10" s="503"/>
    </row>
    <row r="11" spans="1:28">
      <c r="A11">
        <f>+_xlfn.XMATCH(D11,'300s - 5 Digit FERC Accounts'!B:B)</f>
        <v>9</v>
      </c>
      <c r="B11" s="1608" t="str">
        <f t="shared" si="1"/>
        <v>310</v>
      </c>
      <c r="C11" s="1608" t="str">
        <f t="shared" si="0"/>
        <v>Prod</v>
      </c>
      <c r="D11" s="29">
        <v>31001</v>
      </c>
      <c r="E11" s="29" t="s">
        <v>1552</v>
      </c>
      <c r="F11" s="83">
        <v>0</v>
      </c>
      <c r="G11" s="83">
        <v>0</v>
      </c>
      <c r="H11" s="83">
        <v>0</v>
      </c>
      <c r="I11" s="1606">
        <f t="shared" si="2"/>
        <v>0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1606">
        <f t="shared" si="3"/>
        <v>0</v>
      </c>
      <c r="R11" s="83">
        <v>0</v>
      </c>
      <c r="S11" s="83">
        <v>0</v>
      </c>
      <c r="T11" s="1673">
        <v>0</v>
      </c>
      <c r="V11" s="328" t="s">
        <v>1441</v>
      </c>
      <c r="W11" s="29">
        <v>31001</v>
      </c>
      <c r="Y11" s="503"/>
      <c r="Z11" s="503"/>
      <c r="AA11" s="503"/>
      <c r="AB11" s="503"/>
    </row>
    <row r="12" spans="1:28">
      <c r="A12">
        <f>+_xlfn.XMATCH(D12,'300s - 5 Digit FERC Accounts'!B:B)</f>
        <v>10</v>
      </c>
      <c r="B12" s="1608" t="str">
        <f t="shared" si="1"/>
        <v>310</v>
      </c>
      <c r="C12" s="1608" t="str">
        <f t="shared" si="0"/>
        <v>Prod</v>
      </c>
      <c r="D12" s="29">
        <v>31011</v>
      </c>
      <c r="E12" s="29" t="s">
        <v>8189</v>
      </c>
      <c r="F12" s="83">
        <v>0</v>
      </c>
      <c r="G12" s="83">
        <v>0</v>
      </c>
      <c r="H12" s="83">
        <v>0</v>
      </c>
      <c r="I12" s="1606">
        <f t="shared" si="2"/>
        <v>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83">
        <v>0</v>
      </c>
      <c r="P12" s="83">
        <v>0</v>
      </c>
      <c r="Q12" s="1606">
        <f t="shared" si="3"/>
        <v>0</v>
      </c>
      <c r="R12" s="83">
        <v>0</v>
      </c>
      <c r="S12" s="83">
        <v>0</v>
      </c>
      <c r="T12" s="1673">
        <v>0</v>
      </c>
      <c r="V12" s="328" t="s">
        <v>1441</v>
      </c>
      <c r="W12" s="29">
        <v>31040</v>
      </c>
      <c r="Y12" s="503"/>
      <c r="Z12" s="503"/>
      <c r="AA12" s="503"/>
      <c r="AB12" s="503"/>
    </row>
    <row r="13" spans="1:28">
      <c r="A13">
        <f>+_xlfn.XMATCH(D13,'300s - 5 Digit FERC Accounts'!B:B)</f>
        <v>11</v>
      </c>
      <c r="B13" s="1608" t="str">
        <f t="shared" si="1"/>
        <v>310</v>
      </c>
      <c r="C13" s="1608" t="str">
        <f t="shared" si="0"/>
        <v>Prod</v>
      </c>
      <c r="D13" s="29">
        <v>31040</v>
      </c>
      <c r="E13" s="29" t="s">
        <v>1553</v>
      </c>
      <c r="F13" s="83">
        <v>6923628.5099999998</v>
      </c>
      <c r="G13" s="83">
        <v>0</v>
      </c>
      <c r="H13" s="83">
        <v>0</v>
      </c>
      <c r="I13" s="1606">
        <f t="shared" si="2"/>
        <v>0</v>
      </c>
      <c r="J13" s="83">
        <v>6923628.5099999998</v>
      </c>
      <c r="K13" s="83">
        <v>6923628.5099999998</v>
      </c>
      <c r="L13" s="83">
        <v>0</v>
      </c>
      <c r="M13" s="83">
        <v>0</v>
      </c>
      <c r="N13" s="83">
        <v>0</v>
      </c>
      <c r="O13" s="83">
        <v>0</v>
      </c>
      <c r="P13" s="83">
        <v>0</v>
      </c>
      <c r="Q13" s="1606">
        <f t="shared" si="3"/>
        <v>0</v>
      </c>
      <c r="R13" s="83">
        <v>0</v>
      </c>
      <c r="S13" s="83">
        <v>0</v>
      </c>
      <c r="T13" s="1673">
        <v>0</v>
      </c>
      <c r="V13" s="328" t="s">
        <v>1441</v>
      </c>
      <c r="W13" s="29">
        <v>31101</v>
      </c>
      <c r="Y13" s="503"/>
      <c r="Z13" s="503"/>
      <c r="AA13" s="503"/>
      <c r="AB13" s="503"/>
    </row>
    <row r="14" spans="1:28">
      <c r="A14">
        <f>+_xlfn.XMATCH(D14,'300s - 5 Digit FERC Accounts'!B:B)</f>
        <v>12</v>
      </c>
      <c r="B14" s="1608" t="str">
        <f t="shared" si="1"/>
        <v>311</v>
      </c>
      <c r="C14" s="1608" t="str">
        <f t="shared" si="0"/>
        <v>Prod</v>
      </c>
      <c r="D14" s="29">
        <v>31101</v>
      </c>
      <c r="E14" s="29" t="s">
        <v>1554</v>
      </c>
      <c r="F14" s="83">
        <v>0</v>
      </c>
      <c r="G14" s="83">
        <v>0</v>
      </c>
      <c r="H14" s="83">
        <v>0</v>
      </c>
      <c r="I14" s="1606">
        <f t="shared" si="2"/>
        <v>0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83">
        <v>0</v>
      </c>
      <c r="P14" s="83">
        <v>0</v>
      </c>
      <c r="Q14" s="1606">
        <f t="shared" si="3"/>
        <v>0</v>
      </c>
      <c r="R14" s="83">
        <v>0</v>
      </c>
      <c r="S14" s="83">
        <v>0</v>
      </c>
      <c r="T14" s="1673">
        <v>0</v>
      </c>
      <c r="V14" s="328" t="s">
        <v>1441</v>
      </c>
      <c r="W14" s="29">
        <v>31130</v>
      </c>
      <c r="Y14" s="503"/>
      <c r="Z14" s="503"/>
      <c r="AA14" s="503"/>
      <c r="AB14" s="503"/>
    </row>
    <row r="15" spans="1:28">
      <c r="A15">
        <f>+_xlfn.XMATCH(D15,'300s - 5 Digit FERC Accounts'!B:B)</f>
        <v>13</v>
      </c>
      <c r="B15" s="1608" t="str">
        <f t="shared" si="1"/>
        <v>311</v>
      </c>
      <c r="C15" s="1608" t="str">
        <f t="shared" si="0"/>
        <v>Prod</v>
      </c>
      <c r="D15" s="29">
        <v>31130</v>
      </c>
      <c r="E15" s="29" t="s">
        <v>1555</v>
      </c>
      <c r="F15" s="83">
        <v>0</v>
      </c>
      <c r="G15" s="83">
        <v>0</v>
      </c>
      <c r="H15" s="83">
        <v>0</v>
      </c>
      <c r="I15" s="1606">
        <f t="shared" si="2"/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83">
        <v>0</v>
      </c>
      <c r="P15" s="83">
        <v>0</v>
      </c>
      <c r="Q15" s="1606">
        <f t="shared" si="3"/>
        <v>0</v>
      </c>
      <c r="R15" s="83">
        <v>0</v>
      </c>
      <c r="S15" s="83">
        <v>0</v>
      </c>
      <c r="T15" s="1673">
        <v>0</v>
      </c>
      <c r="V15" s="328" t="s">
        <v>1441</v>
      </c>
      <c r="W15" s="29">
        <v>31140</v>
      </c>
      <c r="Y15" s="503"/>
      <c r="Z15" s="503"/>
      <c r="AA15" s="503"/>
      <c r="AB15" s="503"/>
    </row>
    <row r="16" spans="1:28">
      <c r="A16">
        <f>+_xlfn.XMATCH(D16,'300s - 5 Digit FERC Accounts'!B:B)</f>
        <v>14</v>
      </c>
      <c r="B16" s="1608" t="str">
        <f t="shared" si="1"/>
        <v>311</v>
      </c>
      <c r="C16" s="1608" t="str">
        <f t="shared" si="0"/>
        <v>Prod</v>
      </c>
      <c r="D16" s="29">
        <v>31131</v>
      </c>
      <c r="E16" s="29" t="s">
        <v>8190</v>
      </c>
      <c r="F16" s="83">
        <v>0</v>
      </c>
      <c r="G16" s="83">
        <v>0</v>
      </c>
      <c r="H16" s="83">
        <v>0</v>
      </c>
      <c r="I16" s="1606">
        <f t="shared" si="2"/>
        <v>0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83">
        <v>0</v>
      </c>
      <c r="P16" s="83">
        <v>0</v>
      </c>
      <c r="Q16" s="1606">
        <f t="shared" si="3"/>
        <v>0</v>
      </c>
      <c r="R16" s="83">
        <v>0</v>
      </c>
      <c r="S16" s="83">
        <v>0</v>
      </c>
      <c r="T16" s="1673">
        <v>0</v>
      </c>
      <c r="V16" s="328" t="s">
        <v>1441</v>
      </c>
      <c r="W16" s="29">
        <v>31141</v>
      </c>
      <c r="Y16" s="503"/>
      <c r="Z16" s="503"/>
      <c r="AA16" s="503"/>
      <c r="AB16" s="503"/>
    </row>
    <row r="17" spans="1:28">
      <c r="A17">
        <f>+_xlfn.XMATCH(D17,'300s - 5 Digit FERC Accounts'!B:B)</f>
        <v>15</v>
      </c>
      <c r="B17" s="1608" t="str">
        <f t="shared" si="1"/>
        <v>311</v>
      </c>
      <c r="C17" s="1608" t="str">
        <f t="shared" si="0"/>
        <v>Prod</v>
      </c>
      <c r="D17" s="29">
        <v>31132</v>
      </c>
      <c r="E17" s="29" t="s">
        <v>8191</v>
      </c>
      <c r="F17" s="83">
        <v>0</v>
      </c>
      <c r="G17" s="83">
        <v>0</v>
      </c>
      <c r="H17" s="83">
        <v>0</v>
      </c>
      <c r="I17" s="1606">
        <f t="shared" si="2"/>
        <v>0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83">
        <v>0</v>
      </c>
      <c r="P17" s="83">
        <v>0</v>
      </c>
      <c r="Q17" s="1606">
        <f t="shared" si="3"/>
        <v>0</v>
      </c>
      <c r="R17" s="83">
        <v>0</v>
      </c>
      <c r="S17" s="83">
        <v>0</v>
      </c>
      <c r="T17" s="1673">
        <v>0</v>
      </c>
      <c r="V17" s="328" t="s">
        <v>1441</v>
      </c>
      <c r="W17" s="29">
        <v>31142</v>
      </c>
      <c r="Y17" s="503"/>
      <c r="Z17" s="503"/>
      <c r="AA17" s="503"/>
      <c r="AB17" s="503"/>
    </row>
    <row r="18" spans="1:28">
      <c r="A18">
        <f>+_xlfn.XMATCH(D18,'300s - 5 Digit FERC Accounts'!B:B)</f>
        <v>16</v>
      </c>
      <c r="B18" s="1608" t="str">
        <f t="shared" si="1"/>
        <v>311</v>
      </c>
      <c r="C18" s="1608" t="str">
        <f t="shared" si="0"/>
        <v>Prod</v>
      </c>
      <c r="D18" s="29">
        <v>31133</v>
      </c>
      <c r="E18" s="29" t="s">
        <v>8192</v>
      </c>
      <c r="F18" s="83">
        <v>0</v>
      </c>
      <c r="G18" s="83">
        <v>0</v>
      </c>
      <c r="H18" s="83">
        <v>0</v>
      </c>
      <c r="I18" s="1606">
        <f t="shared" si="2"/>
        <v>0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83">
        <v>0</v>
      </c>
      <c r="P18" s="83">
        <v>0</v>
      </c>
      <c r="Q18" s="1606">
        <f t="shared" si="3"/>
        <v>0</v>
      </c>
      <c r="R18" s="83">
        <v>0</v>
      </c>
      <c r="S18" s="83">
        <v>0</v>
      </c>
      <c r="T18" s="1673">
        <v>0</v>
      </c>
      <c r="V18" s="328" t="s">
        <v>1441</v>
      </c>
      <c r="W18" s="29">
        <v>31143</v>
      </c>
      <c r="Y18" s="503"/>
      <c r="Z18" s="503"/>
      <c r="AA18" s="503"/>
      <c r="AB18" s="503"/>
    </row>
    <row r="19" spans="1:28">
      <c r="A19">
        <f>+_xlfn.XMATCH(D19,'300s - 5 Digit FERC Accounts'!B:B)</f>
        <v>17</v>
      </c>
      <c r="B19" s="1608" t="str">
        <f t="shared" si="1"/>
        <v>311</v>
      </c>
      <c r="C19" s="1608" t="str">
        <f t="shared" si="0"/>
        <v>Prod</v>
      </c>
      <c r="D19" s="29">
        <v>31134</v>
      </c>
      <c r="E19" s="29" t="s">
        <v>8193</v>
      </c>
      <c r="F19" s="83">
        <v>0</v>
      </c>
      <c r="G19" s="83">
        <v>0</v>
      </c>
      <c r="H19" s="83">
        <v>0</v>
      </c>
      <c r="I19" s="1606">
        <f t="shared" si="2"/>
        <v>0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83">
        <v>0</v>
      </c>
      <c r="P19" s="83">
        <v>0</v>
      </c>
      <c r="Q19" s="1606">
        <f t="shared" si="3"/>
        <v>0</v>
      </c>
      <c r="R19" s="83">
        <v>0</v>
      </c>
      <c r="S19" s="83">
        <v>0</v>
      </c>
      <c r="T19" s="1673">
        <v>0</v>
      </c>
      <c r="V19" s="328" t="s">
        <v>1441</v>
      </c>
      <c r="W19" s="29">
        <v>31144</v>
      </c>
      <c r="Y19" s="503"/>
      <c r="Z19" s="503"/>
      <c r="AA19" s="503"/>
      <c r="AB19" s="503"/>
    </row>
    <row r="20" spans="1:28">
      <c r="A20">
        <f>+_xlfn.XMATCH(D20,'300s - 5 Digit FERC Accounts'!B:B)</f>
        <v>18</v>
      </c>
      <c r="B20" s="1608" t="str">
        <f t="shared" si="1"/>
        <v>311</v>
      </c>
      <c r="C20" s="1608" t="str">
        <f t="shared" si="0"/>
        <v>Prod</v>
      </c>
      <c r="D20" s="29">
        <v>31140</v>
      </c>
      <c r="E20" s="29" t="s">
        <v>1556</v>
      </c>
      <c r="F20" s="83">
        <v>280963525.30000001</v>
      </c>
      <c r="G20" s="83">
        <v>0</v>
      </c>
      <c r="H20" s="83">
        <v>0</v>
      </c>
      <c r="I20" s="1606">
        <f t="shared" si="2"/>
        <v>0</v>
      </c>
      <c r="J20" s="83">
        <v>280963525.30000001</v>
      </c>
      <c r="K20" s="83">
        <v>280963525.30000001</v>
      </c>
      <c r="L20" s="83">
        <v>72424455.289999992</v>
      </c>
      <c r="M20" s="83">
        <v>7080280.7999999998</v>
      </c>
      <c r="N20" s="83">
        <v>0</v>
      </c>
      <c r="O20" s="83">
        <v>0</v>
      </c>
      <c r="P20" s="83">
        <v>0</v>
      </c>
      <c r="Q20" s="1606">
        <f t="shared" si="3"/>
        <v>0</v>
      </c>
      <c r="R20" s="83">
        <v>79504736.089999989</v>
      </c>
      <c r="S20" s="83">
        <v>75964595.689999998</v>
      </c>
      <c r="T20" s="1673">
        <v>2.52E-2</v>
      </c>
      <c r="V20" s="328" t="s">
        <v>1441</v>
      </c>
      <c r="W20" s="29">
        <v>31145</v>
      </c>
      <c r="Y20" s="503"/>
      <c r="Z20" s="503"/>
      <c r="AA20" s="503"/>
      <c r="AB20" s="503"/>
    </row>
    <row r="21" spans="1:28">
      <c r="A21">
        <f>+_xlfn.XMATCH(D21,'300s - 5 Digit FERC Accounts'!B:B)</f>
        <v>19</v>
      </c>
      <c r="B21" s="1608" t="str">
        <f t="shared" si="1"/>
        <v>311</v>
      </c>
      <c r="C21" s="1608" t="str">
        <f t="shared" si="0"/>
        <v>Prod</v>
      </c>
      <c r="D21" s="29">
        <v>31141</v>
      </c>
      <c r="E21" s="29" t="s">
        <v>1557</v>
      </c>
      <c r="F21" s="83">
        <v>0</v>
      </c>
      <c r="G21" s="83">
        <v>0</v>
      </c>
      <c r="H21" s="83">
        <v>0</v>
      </c>
      <c r="I21" s="1606">
        <f t="shared" si="2"/>
        <v>0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1606">
        <f t="shared" si="3"/>
        <v>0</v>
      </c>
      <c r="R21" s="83">
        <v>0</v>
      </c>
      <c r="S21" s="83">
        <v>0</v>
      </c>
      <c r="T21" s="1673">
        <v>0</v>
      </c>
      <c r="V21" s="328" t="s">
        <v>1441</v>
      </c>
      <c r="W21" s="29">
        <v>31146</v>
      </c>
      <c r="Y21" s="503"/>
      <c r="Z21" s="503"/>
      <c r="AA21" s="503"/>
      <c r="AB21" s="503"/>
    </row>
    <row r="22" spans="1:28">
      <c r="A22">
        <f>+_xlfn.XMATCH(D22,'300s - 5 Digit FERC Accounts'!B:B)</f>
        <v>20</v>
      </c>
      <c r="B22" s="1608" t="str">
        <f t="shared" si="1"/>
        <v>311</v>
      </c>
      <c r="C22" s="1608" t="str">
        <f t="shared" si="0"/>
        <v>Prod</v>
      </c>
      <c r="D22" s="29">
        <v>31142</v>
      </c>
      <c r="E22" s="29" t="s">
        <v>1558</v>
      </c>
      <c r="F22" s="83">
        <v>0</v>
      </c>
      <c r="G22" s="83">
        <v>0</v>
      </c>
      <c r="H22" s="83">
        <v>0</v>
      </c>
      <c r="I22" s="1606">
        <f t="shared" si="2"/>
        <v>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83">
        <v>0</v>
      </c>
      <c r="P22" s="83">
        <v>0</v>
      </c>
      <c r="Q22" s="1606">
        <f t="shared" si="3"/>
        <v>0</v>
      </c>
      <c r="R22" s="83">
        <v>0</v>
      </c>
      <c r="S22" s="83">
        <v>0</v>
      </c>
      <c r="T22" s="1673">
        <v>0</v>
      </c>
      <c r="V22" s="328" t="s">
        <v>1441</v>
      </c>
      <c r="W22" s="29">
        <v>31151</v>
      </c>
      <c r="Y22" s="503"/>
      <c r="Z22" s="503"/>
      <c r="AA22" s="503"/>
      <c r="AB22" s="503"/>
    </row>
    <row r="23" spans="1:28">
      <c r="A23">
        <f>+_xlfn.XMATCH(D23,'300s - 5 Digit FERC Accounts'!B:B)</f>
        <v>21</v>
      </c>
      <c r="B23" s="1608" t="str">
        <f t="shared" si="1"/>
        <v>311</v>
      </c>
      <c r="C23" s="1608" t="str">
        <f t="shared" si="0"/>
        <v>Prod</v>
      </c>
      <c r="D23" s="29">
        <v>31143</v>
      </c>
      <c r="E23" s="29" t="s">
        <v>1559</v>
      </c>
      <c r="F23" s="83">
        <v>0</v>
      </c>
      <c r="G23" s="83">
        <v>0</v>
      </c>
      <c r="H23" s="83">
        <v>0</v>
      </c>
      <c r="I23" s="1606">
        <f t="shared" si="2"/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1606">
        <f t="shared" si="3"/>
        <v>0</v>
      </c>
      <c r="R23" s="83">
        <v>0</v>
      </c>
      <c r="S23" s="83">
        <v>0</v>
      </c>
      <c r="T23" s="1673">
        <v>0</v>
      </c>
      <c r="V23" s="328" t="s">
        <v>1441</v>
      </c>
      <c r="W23" s="29">
        <v>31152</v>
      </c>
      <c r="Y23" s="503"/>
      <c r="Z23" s="503"/>
      <c r="AA23" s="503"/>
      <c r="AB23" s="503"/>
    </row>
    <row r="24" spans="1:28">
      <c r="A24">
        <f>+_xlfn.XMATCH(D24,'300s - 5 Digit FERC Accounts'!B:B)</f>
        <v>22</v>
      </c>
      <c r="B24" s="1608" t="str">
        <f t="shared" si="1"/>
        <v>311</v>
      </c>
      <c r="C24" s="1608" t="str">
        <f t="shared" si="0"/>
        <v>Prod</v>
      </c>
      <c r="D24" s="29">
        <v>31144</v>
      </c>
      <c r="E24" s="29" t="s">
        <v>1560</v>
      </c>
      <c r="F24" s="83">
        <v>55902236.31000001</v>
      </c>
      <c r="G24" s="83">
        <v>0</v>
      </c>
      <c r="H24" s="83">
        <v>0</v>
      </c>
      <c r="I24" s="1606">
        <f t="shared" si="2"/>
        <v>0</v>
      </c>
      <c r="J24" s="83">
        <v>55902236.31000001</v>
      </c>
      <c r="K24" s="83">
        <v>55902236.310000002</v>
      </c>
      <c r="L24" s="83">
        <v>27319473.670000017</v>
      </c>
      <c r="M24" s="83">
        <v>1950988.08</v>
      </c>
      <c r="N24" s="83">
        <v>0</v>
      </c>
      <c r="O24" s="83">
        <v>0</v>
      </c>
      <c r="P24" s="83">
        <v>0</v>
      </c>
      <c r="Q24" s="1606">
        <f t="shared" si="3"/>
        <v>0</v>
      </c>
      <c r="R24" s="83">
        <v>29270461.750000015</v>
      </c>
      <c r="S24" s="83">
        <v>28294967.710000001</v>
      </c>
      <c r="T24" s="1673">
        <v>3.49E-2</v>
      </c>
      <c r="V24" s="328" t="s">
        <v>1441</v>
      </c>
      <c r="W24" s="29">
        <v>31153</v>
      </c>
      <c r="Y24" s="503"/>
      <c r="Z24" s="503"/>
      <c r="AA24" s="503"/>
      <c r="AB24" s="503"/>
    </row>
    <row r="25" spans="1:28">
      <c r="A25">
        <f>+_xlfn.XMATCH(D25,'300s - 5 Digit FERC Accounts'!B:B)</f>
        <v>23</v>
      </c>
      <c r="B25" s="1608" t="str">
        <f t="shared" si="1"/>
        <v>311</v>
      </c>
      <c r="C25" s="1608" t="str">
        <f t="shared" si="0"/>
        <v>Prod</v>
      </c>
      <c r="D25" s="29">
        <v>31145</v>
      </c>
      <c r="E25" s="29" t="s">
        <v>1561</v>
      </c>
      <c r="F25" s="83">
        <v>31998663.150000006</v>
      </c>
      <c r="G25" s="83">
        <v>0</v>
      </c>
      <c r="H25" s="83">
        <v>0</v>
      </c>
      <c r="I25" s="1606">
        <f t="shared" si="2"/>
        <v>0</v>
      </c>
      <c r="J25" s="83">
        <v>31998663.150000006</v>
      </c>
      <c r="K25" s="83">
        <v>31998663.149999999</v>
      </c>
      <c r="L25" s="83">
        <v>19373050.54000001</v>
      </c>
      <c r="M25" s="83">
        <v>1116753.3600000001</v>
      </c>
      <c r="N25" s="83">
        <v>0</v>
      </c>
      <c r="O25" s="83">
        <v>0</v>
      </c>
      <c r="P25" s="83">
        <v>0</v>
      </c>
      <c r="Q25" s="1606">
        <f t="shared" si="3"/>
        <v>0</v>
      </c>
      <c r="R25" s="83">
        <v>20489803.90000001</v>
      </c>
      <c r="S25" s="83">
        <v>19931427.219999999</v>
      </c>
      <c r="T25" s="1673">
        <v>3.49E-2</v>
      </c>
      <c r="V25" s="328" t="s">
        <v>1441</v>
      </c>
      <c r="W25" s="29">
        <v>31154</v>
      </c>
      <c r="Y25" s="503"/>
      <c r="Z25" s="503"/>
      <c r="AA25" s="503"/>
      <c r="AB25" s="503"/>
    </row>
    <row r="26" spans="1:28">
      <c r="A26">
        <f>+_xlfn.XMATCH(D26,'300s - 5 Digit FERC Accounts'!B:B)</f>
        <v>24</v>
      </c>
      <c r="B26" s="1608" t="str">
        <f t="shared" si="1"/>
        <v>311</v>
      </c>
      <c r="C26" s="1608" t="str">
        <f t="shared" si="0"/>
        <v>Prod</v>
      </c>
      <c r="D26" s="29">
        <v>31146</v>
      </c>
      <c r="E26" s="29" t="s">
        <v>1562</v>
      </c>
      <c r="F26" s="83">
        <v>0</v>
      </c>
      <c r="G26" s="83">
        <v>0</v>
      </c>
      <c r="H26" s="83">
        <v>0</v>
      </c>
      <c r="I26" s="1606">
        <f t="shared" si="2"/>
        <v>0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83">
        <v>0</v>
      </c>
      <c r="P26" s="83">
        <v>0</v>
      </c>
      <c r="Q26" s="1606">
        <f t="shared" si="3"/>
        <v>0</v>
      </c>
      <c r="R26" s="83">
        <v>0</v>
      </c>
      <c r="S26" s="83">
        <v>0</v>
      </c>
      <c r="T26" s="1673">
        <v>0</v>
      </c>
      <c r="V26" s="328" t="s">
        <v>1441</v>
      </c>
      <c r="W26" s="29">
        <v>31240</v>
      </c>
      <c r="Y26" s="503"/>
      <c r="Z26" s="503"/>
      <c r="AA26" s="503"/>
      <c r="AB26" s="503"/>
    </row>
    <row r="27" spans="1:28">
      <c r="A27">
        <f>+_xlfn.XMATCH(D27,'300s - 5 Digit FERC Accounts'!B:B)</f>
        <v>25</v>
      </c>
      <c r="B27" s="1608" t="str">
        <f t="shared" si="1"/>
        <v>311</v>
      </c>
      <c r="C27" s="1608" t="str">
        <f t="shared" si="0"/>
        <v>Prod</v>
      </c>
      <c r="D27" s="29">
        <v>31151</v>
      </c>
      <c r="E27" s="29" t="s">
        <v>1563</v>
      </c>
      <c r="F27" s="83">
        <v>0</v>
      </c>
      <c r="G27" s="83">
        <v>0</v>
      </c>
      <c r="H27" s="83">
        <v>0</v>
      </c>
      <c r="I27" s="1606">
        <f t="shared" si="2"/>
        <v>0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83">
        <v>0</v>
      </c>
      <c r="P27" s="83">
        <v>0</v>
      </c>
      <c r="Q27" s="1606">
        <f t="shared" si="3"/>
        <v>0</v>
      </c>
      <c r="R27" s="83">
        <v>0</v>
      </c>
      <c r="S27" s="83">
        <v>0</v>
      </c>
      <c r="T27" s="1673">
        <v>0</v>
      </c>
      <c r="V27" s="328" t="s">
        <v>1441</v>
      </c>
      <c r="W27" s="29">
        <v>31241</v>
      </c>
      <c r="Y27" s="503"/>
      <c r="Z27" s="503"/>
      <c r="AA27" s="503"/>
      <c r="AB27" s="503"/>
    </row>
    <row r="28" spans="1:28">
      <c r="A28">
        <f>+_xlfn.XMATCH(D28,'300s - 5 Digit FERC Accounts'!B:B)</f>
        <v>26</v>
      </c>
      <c r="B28" s="1608" t="str">
        <f t="shared" si="1"/>
        <v>311</v>
      </c>
      <c r="C28" s="1608" t="str">
        <f t="shared" si="0"/>
        <v>Prod</v>
      </c>
      <c r="D28" s="29">
        <v>31152</v>
      </c>
      <c r="E28" s="29" t="s">
        <v>1564</v>
      </c>
      <c r="F28" s="83">
        <v>0</v>
      </c>
      <c r="G28" s="83">
        <v>0</v>
      </c>
      <c r="H28" s="83">
        <v>0</v>
      </c>
      <c r="I28" s="1606">
        <f t="shared" si="2"/>
        <v>0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83">
        <v>0</v>
      </c>
      <c r="P28" s="83">
        <v>0</v>
      </c>
      <c r="Q28" s="1606">
        <f t="shared" si="3"/>
        <v>0</v>
      </c>
      <c r="R28" s="83">
        <v>0</v>
      </c>
      <c r="S28" s="83">
        <v>0</v>
      </c>
      <c r="T28" s="1673">
        <v>0</v>
      </c>
      <c r="V28" s="328" t="s">
        <v>1441</v>
      </c>
      <c r="W28" s="29">
        <v>31242</v>
      </c>
      <c r="Y28" s="503"/>
      <c r="Z28" s="503"/>
      <c r="AA28" s="503"/>
      <c r="AB28" s="503"/>
    </row>
    <row r="29" spans="1:28">
      <c r="A29">
        <f>+_xlfn.XMATCH(D29,'300s - 5 Digit FERC Accounts'!B:B)</f>
        <v>27</v>
      </c>
      <c r="B29" s="1608" t="str">
        <f t="shared" si="1"/>
        <v>311</v>
      </c>
      <c r="C29" s="1608" t="str">
        <f t="shared" si="0"/>
        <v>Prod</v>
      </c>
      <c r="D29" s="29">
        <v>31153</v>
      </c>
      <c r="E29" s="29" t="s">
        <v>1565</v>
      </c>
      <c r="F29" s="83">
        <v>0</v>
      </c>
      <c r="G29" s="83">
        <v>0</v>
      </c>
      <c r="H29" s="83">
        <v>0</v>
      </c>
      <c r="I29" s="1606">
        <f t="shared" si="2"/>
        <v>0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83">
        <v>0</v>
      </c>
      <c r="P29" s="83">
        <v>0</v>
      </c>
      <c r="Q29" s="1606">
        <f t="shared" si="3"/>
        <v>0</v>
      </c>
      <c r="R29" s="83">
        <v>0</v>
      </c>
      <c r="S29" s="83">
        <v>0</v>
      </c>
      <c r="T29" s="1673">
        <v>0</v>
      </c>
      <c r="V29" s="328" t="s">
        <v>1441</v>
      </c>
      <c r="W29" s="29">
        <v>31243</v>
      </c>
      <c r="Y29" s="503"/>
      <c r="Z29" s="503"/>
      <c r="AA29" s="503"/>
      <c r="AB29" s="503"/>
    </row>
    <row r="30" spans="1:28">
      <c r="A30">
        <f>+_xlfn.XMATCH(D30,'300s - 5 Digit FERC Accounts'!B:B)</f>
        <v>28</v>
      </c>
      <c r="B30" s="1608" t="str">
        <f t="shared" si="1"/>
        <v>311</v>
      </c>
      <c r="C30" s="1608" t="str">
        <f t="shared" si="0"/>
        <v>Prod</v>
      </c>
      <c r="D30" s="29">
        <v>31154</v>
      </c>
      <c r="E30" s="29" t="s">
        <v>1566</v>
      </c>
      <c r="F30" s="83">
        <v>16995428.25</v>
      </c>
      <c r="G30" s="83">
        <v>0</v>
      </c>
      <c r="H30" s="83">
        <v>0</v>
      </c>
      <c r="I30" s="1606">
        <f t="shared" si="2"/>
        <v>0</v>
      </c>
      <c r="J30" s="83">
        <v>16995428.25</v>
      </c>
      <c r="K30" s="83">
        <v>16995428.25</v>
      </c>
      <c r="L30" s="83">
        <v>7340803.75</v>
      </c>
      <c r="M30" s="83">
        <v>593140.43999999994</v>
      </c>
      <c r="N30" s="83">
        <v>0</v>
      </c>
      <c r="O30" s="83">
        <v>0</v>
      </c>
      <c r="P30" s="83">
        <v>0</v>
      </c>
      <c r="Q30" s="1606">
        <f t="shared" si="3"/>
        <v>0</v>
      </c>
      <c r="R30" s="83">
        <v>7933944.1899999995</v>
      </c>
      <c r="S30" s="83">
        <v>7637373.9699999997</v>
      </c>
      <c r="T30" s="1673">
        <v>3.49E-2</v>
      </c>
      <c r="V30" s="328" t="s">
        <v>1441</v>
      </c>
      <c r="W30" s="29">
        <v>31244</v>
      </c>
      <c r="Y30" s="503"/>
      <c r="Z30" s="503"/>
      <c r="AA30" s="503"/>
      <c r="AB30" s="503"/>
    </row>
    <row r="31" spans="1:28">
      <c r="A31">
        <f>+_xlfn.XMATCH(D31,'300s - 5 Digit FERC Accounts'!B:B)</f>
        <v>29</v>
      </c>
      <c r="B31" s="1608" t="str">
        <f t="shared" si="1"/>
        <v>311</v>
      </c>
      <c r="C31" s="1608" t="str">
        <f t="shared" si="0"/>
        <v>Prod</v>
      </c>
      <c r="D31" s="29">
        <v>31175</v>
      </c>
      <c r="E31" s="29" t="s">
        <v>8194</v>
      </c>
      <c r="F31" s="83">
        <v>0</v>
      </c>
      <c r="G31" s="83">
        <v>0</v>
      </c>
      <c r="H31" s="83">
        <v>0</v>
      </c>
      <c r="I31" s="1606">
        <f t="shared" si="2"/>
        <v>0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83">
        <v>0</v>
      </c>
      <c r="P31" s="83">
        <v>0</v>
      </c>
      <c r="Q31" s="1606">
        <f t="shared" si="3"/>
        <v>0</v>
      </c>
      <c r="R31" s="83">
        <v>0</v>
      </c>
      <c r="S31" s="83">
        <v>0</v>
      </c>
      <c r="T31" s="1673">
        <v>0</v>
      </c>
      <c r="V31" s="328" t="s">
        <v>1441</v>
      </c>
      <c r="W31" s="29">
        <v>31245</v>
      </c>
      <c r="Y31" s="503"/>
      <c r="Z31" s="503"/>
      <c r="AA31" s="503"/>
      <c r="AB31" s="503"/>
    </row>
    <row r="32" spans="1:28">
      <c r="A32">
        <f>+_xlfn.XMATCH(D32,'300s - 5 Digit FERC Accounts'!B:B)</f>
        <v>30</v>
      </c>
      <c r="B32" s="1608" t="str">
        <f t="shared" si="1"/>
        <v>311</v>
      </c>
      <c r="C32" s="1608" t="str">
        <f t="shared" si="0"/>
        <v>Prod</v>
      </c>
      <c r="D32" s="29">
        <v>31178</v>
      </c>
      <c r="E32" s="29" t="s">
        <v>8195</v>
      </c>
      <c r="F32" s="83">
        <v>0</v>
      </c>
      <c r="G32" s="83">
        <v>0</v>
      </c>
      <c r="H32" s="83">
        <v>0</v>
      </c>
      <c r="I32" s="1606">
        <f t="shared" si="2"/>
        <v>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83">
        <v>0</v>
      </c>
      <c r="P32" s="83">
        <v>0</v>
      </c>
      <c r="Q32" s="1606">
        <f t="shared" si="3"/>
        <v>0</v>
      </c>
      <c r="R32" s="83">
        <v>0</v>
      </c>
      <c r="S32" s="83">
        <v>0</v>
      </c>
      <c r="T32" s="1673">
        <v>0</v>
      </c>
      <c r="V32" s="328" t="s">
        <v>1441</v>
      </c>
      <c r="W32" s="29">
        <v>31246</v>
      </c>
      <c r="Y32" s="503"/>
      <c r="Z32" s="503"/>
      <c r="AA32" s="503"/>
      <c r="AB32" s="503"/>
    </row>
    <row r="33" spans="1:28">
      <c r="A33">
        <f>+_xlfn.XMATCH(D33,'300s - 5 Digit FERC Accounts'!B:B)</f>
        <v>31</v>
      </c>
      <c r="B33" s="1608" t="str">
        <f t="shared" si="1"/>
        <v>311</v>
      </c>
      <c r="C33" s="1608" t="str">
        <f t="shared" si="0"/>
        <v>Prod</v>
      </c>
      <c r="D33" s="29">
        <v>31179</v>
      </c>
      <c r="E33" s="29" t="s">
        <v>8196</v>
      </c>
      <c r="F33" s="83">
        <v>0</v>
      </c>
      <c r="G33" s="83">
        <v>0</v>
      </c>
      <c r="H33" s="83">
        <v>0</v>
      </c>
      <c r="I33" s="1606">
        <f t="shared" si="2"/>
        <v>0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83">
        <v>0</v>
      </c>
      <c r="P33" s="83">
        <v>0</v>
      </c>
      <c r="Q33" s="1606">
        <f t="shared" si="3"/>
        <v>0</v>
      </c>
      <c r="R33" s="83">
        <v>0</v>
      </c>
      <c r="S33" s="83">
        <v>0</v>
      </c>
      <c r="T33" s="1673">
        <v>0</v>
      </c>
      <c r="V33" s="328" t="s">
        <v>1441</v>
      </c>
      <c r="W33" s="29">
        <v>31247</v>
      </c>
      <c r="Y33" s="503"/>
      <c r="Z33" s="503"/>
      <c r="AA33" s="503"/>
      <c r="AB33" s="503"/>
    </row>
    <row r="34" spans="1:28">
      <c r="A34">
        <f>+_xlfn.XMATCH(D34,'300s - 5 Digit FERC Accounts'!B:B)</f>
        <v>32</v>
      </c>
      <c r="B34" s="1608" t="str">
        <f t="shared" si="1"/>
        <v>312</v>
      </c>
      <c r="C34" s="1608" t="str">
        <f t="shared" si="0"/>
        <v>Prod</v>
      </c>
      <c r="D34" s="29">
        <v>31230</v>
      </c>
      <c r="E34" s="29" t="s">
        <v>8197</v>
      </c>
      <c r="F34" s="83">
        <v>0</v>
      </c>
      <c r="G34" s="83">
        <v>0</v>
      </c>
      <c r="H34" s="83">
        <v>0</v>
      </c>
      <c r="I34" s="1606">
        <f t="shared" si="2"/>
        <v>0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83">
        <v>0</v>
      </c>
      <c r="P34" s="83">
        <v>0</v>
      </c>
      <c r="Q34" s="1606">
        <f t="shared" si="3"/>
        <v>0</v>
      </c>
      <c r="R34" s="83">
        <v>0</v>
      </c>
      <c r="S34" s="83">
        <v>0</v>
      </c>
      <c r="T34" s="1673">
        <v>0</v>
      </c>
      <c r="V34" s="328" t="s">
        <v>1441</v>
      </c>
      <c r="W34" s="29">
        <v>31251</v>
      </c>
      <c r="Y34" s="503"/>
      <c r="Z34" s="503"/>
      <c r="AA34" s="503"/>
      <c r="AB34" s="503"/>
    </row>
    <row r="35" spans="1:28">
      <c r="A35">
        <f>+_xlfn.XMATCH(D35,'300s - 5 Digit FERC Accounts'!B:B)</f>
        <v>33</v>
      </c>
      <c r="B35" s="1608" t="str">
        <f t="shared" si="1"/>
        <v>312</v>
      </c>
      <c r="C35" s="1608" t="str">
        <f t="shared" si="0"/>
        <v>Prod</v>
      </c>
      <c r="D35" s="29">
        <v>31231</v>
      </c>
      <c r="E35" s="29" t="s">
        <v>8198</v>
      </c>
      <c r="F35" s="83">
        <v>0</v>
      </c>
      <c r="G35" s="83">
        <v>0</v>
      </c>
      <c r="H35" s="83">
        <v>0</v>
      </c>
      <c r="I35" s="1606">
        <f t="shared" si="2"/>
        <v>0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1606">
        <f t="shared" si="3"/>
        <v>0</v>
      </c>
      <c r="R35" s="83">
        <v>0</v>
      </c>
      <c r="S35" s="83">
        <v>0</v>
      </c>
      <c r="T35" s="1673">
        <v>0</v>
      </c>
      <c r="V35" s="328" t="s">
        <v>1441</v>
      </c>
      <c r="W35" s="29">
        <v>31252</v>
      </c>
      <c r="Y35" s="503"/>
      <c r="Z35" s="503"/>
      <c r="AA35" s="503"/>
      <c r="AB35" s="503"/>
    </row>
    <row r="36" spans="1:28">
      <c r="A36">
        <f>+_xlfn.XMATCH(D36,'300s - 5 Digit FERC Accounts'!B:B)</f>
        <v>34</v>
      </c>
      <c r="B36" s="1608" t="str">
        <f t="shared" si="1"/>
        <v>312</v>
      </c>
      <c r="C36" s="1608" t="str">
        <f t="shared" si="0"/>
        <v>Prod</v>
      </c>
      <c r="D36" s="29">
        <v>31232</v>
      </c>
      <c r="E36" s="29" t="s">
        <v>8199</v>
      </c>
      <c r="F36" s="83">
        <v>0</v>
      </c>
      <c r="G36" s="83">
        <v>0</v>
      </c>
      <c r="H36" s="83">
        <v>0</v>
      </c>
      <c r="I36" s="1606">
        <f t="shared" si="2"/>
        <v>0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83">
        <v>0</v>
      </c>
      <c r="P36" s="83">
        <v>0</v>
      </c>
      <c r="Q36" s="1606">
        <f t="shared" si="3"/>
        <v>0</v>
      </c>
      <c r="R36" s="83">
        <v>0</v>
      </c>
      <c r="S36" s="83">
        <v>0</v>
      </c>
      <c r="T36" s="1673">
        <v>0</v>
      </c>
      <c r="V36" s="328" t="s">
        <v>1441</v>
      </c>
      <c r="W36" s="29">
        <v>31253</v>
      </c>
      <c r="Y36" s="503"/>
      <c r="Z36" s="503"/>
      <c r="AA36" s="503"/>
      <c r="AB36" s="503"/>
    </row>
    <row r="37" spans="1:28">
      <c r="A37">
        <f>+_xlfn.XMATCH(D37,'300s - 5 Digit FERC Accounts'!B:B)</f>
        <v>35</v>
      </c>
      <c r="B37" s="1608" t="str">
        <f t="shared" si="1"/>
        <v>312</v>
      </c>
      <c r="C37" s="1608" t="str">
        <f t="shared" si="0"/>
        <v>Prod</v>
      </c>
      <c r="D37" s="29">
        <v>31240</v>
      </c>
      <c r="E37" s="29" t="s">
        <v>1567</v>
      </c>
      <c r="F37" s="83">
        <v>197728668.46999997</v>
      </c>
      <c r="G37" s="83">
        <v>5357065.62</v>
      </c>
      <c r="H37" s="83">
        <v>-1071413.0900000001</v>
      </c>
      <c r="I37" s="1606">
        <f t="shared" si="2"/>
        <v>0</v>
      </c>
      <c r="J37" s="83">
        <v>202014320.99999997</v>
      </c>
      <c r="K37" s="83">
        <v>199557615.38999999</v>
      </c>
      <c r="L37" s="83">
        <v>50486989.93500001</v>
      </c>
      <c r="M37" s="83">
        <v>7595345.1100000003</v>
      </c>
      <c r="N37" s="83">
        <v>-1071413.0900000001</v>
      </c>
      <c r="O37" s="83">
        <v>-548245.75</v>
      </c>
      <c r="P37" s="83">
        <v>0</v>
      </c>
      <c r="Q37" s="1606">
        <f t="shared" si="3"/>
        <v>0</v>
      </c>
      <c r="R37" s="83">
        <v>56462676.205000006</v>
      </c>
      <c r="S37" s="83">
        <v>53547756.219999999</v>
      </c>
      <c r="T37" s="1673">
        <v>3.8100000000000002E-2</v>
      </c>
      <c r="V37" s="328" t="s">
        <v>1441</v>
      </c>
      <c r="W37" s="29">
        <v>31254</v>
      </c>
      <c r="Y37" s="503"/>
      <c r="Z37" s="503"/>
      <c r="AA37" s="503"/>
      <c r="AB37" s="503"/>
    </row>
    <row r="38" spans="1:28">
      <c r="A38">
        <f>+_xlfn.XMATCH(D38,'300s - 5 Digit FERC Accounts'!B:B)</f>
        <v>36</v>
      </c>
      <c r="B38" s="1608" t="str">
        <f t="shared" si="1"/>
        <v>312</v>
      </c>
      <c r="C38" s="1608" t="str">
        <f t="shared" si="0"/>
        <v>Prod</v>
      </c>
      <c r="D38" s="29">
        <v>31241</v>
      </c>
      <c r="E38" s="29" t="s">
        <v>1568</v>
      </c>
      <c r="F38" s="83">
        <v>0</v>
      </c>
      <c r="G38" s="83">
        <v>0</v>
      </c>
      <c r="H38" s="83">
        <v>0</v>
      </c>
      <c r="I38" s="1606">
        <f t="shared" si="2"/>
        <v>0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83">
        <v>0</v>
      </c>
      <c r="P38" s="83">
        <v>0</v>
      </c>
      <c r="Q38" s="1606">
        <f t="shared" si="3"/>
        <v>0</v>
      </c>
      <c r="R38" s="83">
        <v>0</v>
      </c>
      <c r="S38" s="83">
        <v>0</v>
      </c>
      <c r="T38" s="1673">
        <v>0</v>
      </c>
      <c r="V38" s="328" t="s">
        <v>1441</v>
      </c>
      <c r="W38" s="29">
        <v>31440</v>
      </c>
      <c r="Y38" s="503"/>
      <c r="Z38" s="503"/>
      <c r="AA38" s="503"/>
      <c r="AB38" s="503"/>
    </row>
    <row r="39" spans="1:28">
      <c r="A39">
        <f>+_xlfn.XMATCH(D39,'300s - 5 Digit FERC Accounts'!B:B)</f>
        <v>37</v>
      </c>
      <c r="B39" s="1608" t="str">
        <f t="shared" si="1"/>
        <v>312</v>
      </c>
      <c r="C39" s="1608" t="str">
        <f t="shared" si="0"/>
        <v>Prod</v>
      </c>
      <c r="D39" s="29">
        <v>31242</v>
      </c>
      <c r="E39" s="29" t="s">
        <v>1569</v>
      </c>
      <c r="F39" s="83">
        <v>0</v>
      </c>
      <c r="G39" s="83">
        <v>0</v>
      </c>
      <c r="H39" s="83">
        <v>0</v>
      </c>
      <c r="I39" s="1606">
        <f t="shared" si="2"/>
        <v>0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83">
        <v>0</v>
      </c>
      <c r="P39" s="83">
        <v>0</v>
      </c>
      <c r="Q39" s="1606">
        <f t="shared" si="3"/>
        <v>0</v>
      </c>
      <c r="R39" s="83">
        <v>0</v>
      </c>
      <c r="S39" s="83">
        <v>0</v>
      </c>
      <c r="T39" s="1673">
        <v>0</v>
      </c>
      <c r="V39" s="328" t="s">
        <v>1441</v>
      </c>
      <c r="W39" s="29">
        <v>31441</v>
      </c>
      <c r="Y39" s="503"/>
      <c r="Z39" s="503"/>
      <c r="AA39" s="503"/>
      <c r="AB39" s="503"/>
    </row>
    <row r="40" spans="1:28">
      <c r="A40">
        <f>+_xlfn.XMATCH(D40,'300s - 5 Digit FERC Accounts'!B:B)</f>
        <v>38</v>
      </c>
      <c r="B40" s="1608" t="str">
        <f t="shared" si="1"/>
        <v>312</v>
      </c>
      <c r="C40" s="1608" t="str">
        <f t="shared" si="0"/>
        <v>Prod</v>
      </c>
      <c r="D40" s="29">
        <v>31243</v>
      </c>
      <c r="E40" s="29" t="s">
        <v>1570</v>
      </c>
      <c r="F40" s="83">
        <v>0</v>
      </c>
      <c r="G40" s="83">
        <v>0</v>
      </c>
      <c r="H40" s="83">
        <v>0</v>
      </c>
      <c r="I40" s="1606">
        <f t="shared" si="2"/>
        <v>0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83">
        <v>0</v>
      </c>
      <c r="P40" s="83">
        <v>0</v>
      </c>
      <c r="Q40" s="1606">
        <f t="shared" si="3"/>
        <v>0</v>
      </c>
      <c r="R40" s="83">
        <v>0</v>
      </c>
      <c r="S40" s="83">
        <v>0</v>
      </c>
      <c r="T40" s="1673">
        <v>0</v>
      </c>
      <c r="V40" s="328" t="s">
        <v>1441</v>
      </c>
      <c r="W40" s="29">
        <v>31442</v>
      </c>
      <c r="Y40" s="503"/>
      <c r="Z40" s="503"/>
      <c r="AA40" s="503"/>
      <c r="AB40" s="503"/>
    </row>
    <row r="41" spans="1:28">
      <c r="A41">
        <f>+_xlfn.XMATCH(D41,'300s - 5 Digit FERC Accounts'!B:B)</f>
        <v>39</v>
      </c>
      <c r="B41" s="1608" t="str">
        <f t="shared" si="1"/>
        <v>312</v>
      </c>
      <c r="C41" s="1608" t="str">
        <f t="shared" si="0"/>
        <v>Prod</v>
      </c>
      <c r="D41" s="29">
        <v>31244</v>
      </c>
      <c r="E41" s="29" t="s">
        <v>1571</v>
      </c>
      <c r="F41" s="83">
        <v>315953309.90499985</v>
      </c>
      <c r="G41" s="83">
        <v>3285059.34</v>
      </c>
      <c r="H41" s="83">
        <v>-657011.86</v>
      </c>
      <c r="I41" s="1606">
        <f t="shared" si="2"/>
        <v>-4.0396116673946381E-8</v>
      </c>
      <c r="J41" s="83">
        <v>318581357.38499981</v>
      </c>
      <c r="K41" s="83">
        <v>316923751.88999999</v>
      </c>
      <c r="L41" s="83">
        <v>117102393.98499998</v>
      </c>
      <c r="M41" s="83">
        <v>17043066.280000001</v>
      </c>
      <c r="N41" s="83">
        <v>-657011.86</v>
      </c>
      <c r="O41" s="83">
        <v>-302050.63</v>
      </c>
      <c r="P41" s="83">
        <v>0</v>
      </c>
      <c r="Q41" s="1606">
        <f t="shared" si="3"/>
        <v>0</v>
      </c>
      <c r="R41" s="83">
        <v>133186397.77499999</v>
      </c>
      <c r="S41" s="83">
        <v>125203501.81999999</v>
      </c>
      <c r="T41" s="1673">
        <v>5.3800000000000001E-2</v>
      </c>
      <c r="V41" s="328" t="s">
        <v>1441</v>
      </c>
      <c r="W41" s="29">
        <v>31443</v>
      </c>
      <c r="Y41" s="503"/>
      <c r="Z41" s="503"/>
      <c r="AA41" s="503"/>
      <c r="AB41" s="503"/>
    </row>
    <row r="42" spans="1:28">
      <c r="A42">
        <f>+_xlfn.XMATCH(D42,'300s - 5 Digit FERC Accounts'!B:B)</f>
        <v>40</v>
      </c>
      <c r="B42" s="1608" t="str">
        <f t="shared" si="1"/>
        <v>312</v>
      </c>
      <c r="C42" s="1608" t="str">
        <f t="shared" si="0"/>
        <v>Prod</v>
      </c>
      <c r="D42" s="29">
        <v>31245</v>
      </c>
      <c r="E42" s="29" t="s">
        <v>1572</v>
      </c>
      <c r="F42" s="83">
        <v>197144713.0399999</v>
      </c>
      <c r="G42" s="83">
        <v>575002.88</v>
      </c>
      <c r="H42" s="83">
        <v>-115000.58</v>
      </c>
      <c r="I42" s="1606">
        <f t="shared" si="2"/>
        <v>-1.7884303815662861E-8</v>
      </c>
      <c r="J42" s="83">
        <v>197604715.33999988</v>
      </c>
      <c r="K42" s="83">
        <v>197292965.18000001</v>
      </c>
      <c r="L42" s="83">
        <v>80754234.110000014</v>
      </c>
      <c r="M42" s="83">
        <v>10612963.85</v>
      </c>
      <c r="N42" s="83">
        <v>-115000.58</v>
      </c>
      <c r="O42" s="83">
        <v>-7869.48</v>
      </c>
      <c r="P42" s="83">
        <v>0</v>
      </c>
      <c r="Q42" s="1606">
        <f t="shared" si="3"/>
        <v>0</v>
      </c>
      <c r="R42" s="83">
        <v>91244327.900000006</v>
      </c>
      <c r="S42" s="83">
        <v>86017606.680000007</v>
      </c>
      <c r="T42" s="1673">
        <v>5.3800000000000001E-2</v>
      </c>
      <c r="V42" s="328" t="s">
        <v>1441</v>
      </c>
      <c r="W42" s="29">
        <v>31444</v>
      </c>
      <c r="Y42" s="503"/>
      <c r="Z42" s="503"/>
      <c r="AA42" s="503"/>
      <c r="AB42" s="503"/>
    </row>
    <row r="43" spans="1:28">
      <c r="A43">
        <f>+_xlfn.XMATCH(D43,'300s - 5 Digit FERC Accounts'!B:B)</f>
        <v>41</v>
      </c>
      <c r="B43" s="1608" t="str">
        <f t="shared" si="1"/>
        <v>312</v>
      </c>
      <c r="C43" s="1608" t="str">
        <f t="shared" si="0"/>
        <v>Prod</v>
      </c>
      <c r="D43" s="29">
        <v>31246</v>
      </c>
      <c r="E43" s="29" t="s">
        <v>1573</v>
      </c>
      <c r="F43" s="83">
        <v>0</v>
      </c>
      <c r="G43" s="83">
        <v>0</v>
      </c>
      <c r="H43" s="83">
        <v>0</v>
      </c>
      <c r="I43" s="1606">
        <f t="shared" si="2"/>
        <v>0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83">
        <v>0</v>
      </c>
      <c r="P43" s="83">
        <v>0</v>
      </c>
      <c r="Q43" s="1606">
        <f t="shared" si="3"/>
        <v>0</v>
      </c>
      <c r="R43" s="83">
        <v>0</v>
      </c>
      <c r="S43" s="83">
        <v>0</v>
      </c>
      <c r="T43" s="1673">
        <v>0</v>
      </c>
      <c r="V43" s="328" t="s">
        <v>1441</v>
      </c>
      <c r="W43" s="29">
        <v>31540</v>
      </c>
      <c r="Y43" s="503"/>
      <c r="Z43" s="503"/>
      <c r="AA43" s="503"/>
      <c r="AB43" s="503"/>
    </row>
    <row r="44" spans="1:28">
      <c r="A44">
        <f>+_xlfn.XMATCH(D44,'300s - 5 Digit FERC Accounts'!B:B)</f>
        <v>42</v>
      </c>
      <c r="B44" s="1608" t="str">
        <f t="shared" si="1"/>
        <v>312</v>
      </c>
      <c r="C44" s="1608" t="str">
        <f t="shared" si="0"/>
        <v>Prod</v>
      </c>
      <c r="D44" s="29">
        <v>31247</v>
      </c>
      <c r="E44" s="29" t="s">
        <v>8200</v>
      </c>
      <c r="F44" s="83">
        <v>10156523.809999999</v>
      </c>
      <c r="G44" s="83">
        <v>0</v>
      </c>
      <c r="H44" s="83">
        <v>0</v>
      </c>
      <c r="I44" s="1606">
        <f t="shared" si="2"/>
        <v>0</v>
      </c>
      <c r="J44" s="83">
        <v>10156523.809999999</v>
      </c>
      <c r="K44" s="83">
        <v>10156523.810000001</v>
      </c>
      <c r="L44" s="83">
        <v>10187109.649999999</v>
      </c>
      <c r="M44" s="83">
        <v>0</v>
      </c>
      <c r="N44" s="83">
        <v>0</v>
      </c>
      <c r="O44" s="83">
        <v>0</v>
      </c>
      <c r="P44" s="83">
        <v>0</v>
      </c>
      <c r="Q44" s="1606">
        <f t="shared" si="3"/>
        <v>0</v>
      </c>
      <c r="R44" s="83">
        <v>10187109.649999999</v>
      </c>
      <c r="S44" s="83">
        <v>10187109.65</v>
      </c>
      <c r="T44" s="1673">
        <v>0.2</v>
      </c>
      <c r="V44" s="328" t="s">
        <v>1441</v>
      </c>
      <c r="W44" s="29">
        <v>31541</v>
      </c>
      <c r="Y44" s="503"/>
      <c r="Z44" s="503"/>
      <c r="AA44" s="503"/>
      <c r="AB44" s="503"/>
    </row>
    <row r="45" spans="1:28">
      <c r="A45">
        <f>+_xlfn.XMATCH(D45,'300s - 5 Digit FERC Accounts'!B:B)</f>
        <v>43</v>
      </c>
      <c r="B45" s="1608" t="str">
        <f t="shared" si="1"/>
        <v>312</v>
      </c>
      <c r="C45" s="1608" t="str">
        <f t="shared" si="0"/>
        <v>Prod</v>
      </c>
      <c r="D45" s="29">
        <v>31251</v>
      </c>
      <c r="E45" s="29" t="s">
        <v>1574</v>
      </c>
      <c r="F45" s="83">
        <v>0</v>
      </c>
      <c r="G45" s="83">
        <v>0</v>
      </c>
      <c r="H45" s="83">
        <v>0</v>
      </c>
      <c r="I45" s="1606">
        <f t="shared" si="2"/>
        <v>0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83">
        <v>0</v>
      </c>
      <c r="P45" s="83">
        <v>0</v>
      </c>
      <c r="Q45" s="1606">
        <f t="shared" si="3"/>
        <v>0</v>
      </c>
      <c r="R45" s="83">
        <v>0</v>
      </c>
      <c r="S45" s="83">
        <v>0</v>
      </c>
      <c r="T45" s="1673">
        <v>0</v>
      </c>
      <c r="V45" s="328" t="s">
        <v>1441</v>
      </c>
      <c r="W45" s="29">
        <v>31542</v>
      </c>
      <c r="Y45" s="503"/>
      <c r="Z45" s="503"/>
      <c r="AA45" s="503"/>
      <c r="AB45" s="503"/>
    </row>
    <row r="46" spans="1:28">
      <c r="A46">
        <f>+_xlfn.XMATCH(D46,'300s - 5 Digit FERC Accounts'!B:B)</f>
        <v>44</v>
      </c>
      <c r="B46" s="1608" t="str">
        <f t="shared" si="1"/>
        <v>312</v>
      </c>
      <c r="C46" s="1608" t="str">
        <f t="shared" si="0"/>
        <v>Prod</v>
      </c>
      <c r="D46" s="29">
        <v>31252</v>
      </c>
      <c r="E46" s="29" t="s">
        <v>1575</v>
      </c>
      <c r="F46" s="83">
        <v>0</v>
      </c>
      <c r="G46" s="83">
        <v>0</v>
      </c>
      <c r="H46" s="83">
        <v>0</v>
      </c>
      <c r="I46" s="1606">
        <f t="shared" si="2"/>
        <v>0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1606">
        <f t="shared" si="3"/>
        <v>0</v>
      </c>
      <c r="R46" s="83">
        <v>0</v>
      </c>
      <c r="S46" s="83">
        <v>0</v>
      </c>
      <c r="T46" s="1673">
        <v>0</v>
      </c>
      <c r="V46" s="328" t="s">
        <v>1441</v>
      </c>
      <c r="W46" s="29">
        <v>31543</v>
      </c>
      <c r="Y46" s="503"/>
      <c r="Z46" s="503"/>
      <c r="AA46" s="503"/>
      <c r="AB46" s="503"/>
    </row>
    <row r="47" spans="1:28">
      <c r="A47">
        <f>+_xlfn.XMATCH(D47,'300s - 5 Digit FERC Accounts'!B:B)</f>
        <v>45</v>
      </c>
      <c r="B47" s="1608" t="str">
        <f t="shared" si="1"/>
        <v>312</v>
      </c>
      <c r="C47" s="1608" t="str">
        <f t="shared" si="0"/>
        <v>Prod</v>
      </c>
      <c r="D47" s="29">
        <v>31253</v>
      </c>
      <c r="E47" s="29" t="s">
        <v>1576</v>
      </c>
      <c r="F47" s="83">
        <v>0</v>
      </c>
      <c r="G47" s="83">
        <v>0</v>
      </c>
      <c r="H47" s="83">
        <v>0</v>
      </c>
      <c r="I47" s="1606">
        <f t="shared" si="2"/>
        <v>0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83">
        <v>0</v>
      </c>
      <c r="P47" s="83">
        <v>0</v>
      </c>
      <c r="Q47" s="1606">
        <f t="shared" si="3"/>
        <v>0</v>
      </c>
      <c r="R47" s="83">
        <v>0</v>
      </c>
      <c r="S47" s="83">
        <v>0</v>
      </c>
      <c r="T47" s="1673">
        <v>0</v>
      </c>
      <c r="V47" s="328" t="s">
        <v>1441</v>
      </c>
      <c r="W47" s="29">
        <v>31544</v>
      </c>
      <c r="Y47" s="503"/>
      <c r="Z47" s="503"/>
      <c r="AA47" s="503"/>
      <c r="AB47" s="503"/>
    </row>
    <row r="48" spans="1:28">
      <c r="A48">
        <f>+_xlfn.XMATCH(D48,'300s - 5 Digit FERC Accounts'!B:B)</f>
        <v>46</v>
      </c>
      <c r="B48" s="1608" t="str">
        <f t="shared" si="1"/>
        <v>312</v>
      </c>
      <c r="C48" s="1608" t="str">
        <f t="shared" si="0"/>
        <v>Prod</v>
      </c>
      <c r="D48" s="29">
        <v>31254</v>
      </c>
      <c r="E48" s="29" t="s">
        <v>1577</v>
      </c>
      <c r="F48" s="83">
        <v>40267602.585000001</v>
      </c>
      <c r="G48" s="83">
        <v>0</v>
      </c>
      <c r="H48" s="83">
        <v>0</v>
      </c>
      <c r="I48" s="1606">
        <f t="shared" si="2"/>
        <v>0</v>
      </c>
      <c r="J48" s="83">
        <v>40267602.585000001</v>
      </c>
      <c r="K48" s="83">
        <v>40267602.590000004</v>
      </c>
      <c r="L48" s="83">
        <v>16146175.740000011</v>
      </c>
      <c r="M48" s="83">
        <v>2166396.96</v>
      </c>
      <c r="N48" s="83">
        <v>0</v>
      </c>
      <c r="O48" s="83">
        <v>0</v>
      </c>
      <c r="P48" s="83">
        <v>0</v>
      </c>
      <c r="Q48" s="1606">
        <f t="shared" si="3"/>
        <v>0</v>
      </c>
      <c r="R48" s="83">
        <v>18312572.70000001</v>
      </c>
      <c r="S48" s="83">
        <v>17229374.219999999</v>
      </c>
      <c r="T48" s="1673">
        <v>5.3800000000000001E-2</v>
      </c>
      <c r="V48" s="328" t="s">
        <v>1441</v>
      </c>
      <c r="W48" s="29">
        <v>31545</v>
      </c>
      <c r="Y48" s="503"/>
      <c r="Z48" s="503"/>
      <c r="AA48" s="503"/>
      <c r="AB48" s="503"/>
    </row>
    <row r="49" spans="1:28">
      <c r="A49">
        <f>+_xlfn.XMATCH(D49,'300s - 5 Digit FERC Accounts'!B:B)</f>
        <v>47</v>
      </c>
      <c r="B49" s="1608" t="str">
        <f t="shared" si="1"/>
        <v>312</v>
      </c>
      <c r="C49" s="1608" t="str">
        <f t="shared" si="0"/>
        <v>Prod</v>
      </c>
      <c r="D49" s="29">
        <v>31275</v>
      </c>
      <c r="E49" s="29" t="s">
        <v>8201</v>
      </c>
      <c r="F49" s="83">
        <v>0</v>
      </c>
      <c r="G49" s="83">
        <v>0</v>
      </c>
      <c r="H49" s="83">
        <v>0</v>
      </c>
      <c r="I49" s="1606">
        <f t="shared" si="2"/>
        <v>0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83">
        <v>0</v>
      </c>
      <c r="P49" s="83">
        <v>0</v>
      </c>
      <c r="Q49" s="1606">
        <f t="shared" si="3"/>
        <v>0</v>
      </c>
      <c r="R49" s="83">
        <v>0</v>
      </c>
      <c r="S49" s="83">
        <v>0</v>
      </c>
      <c r="T49" s="1673">
        <v>0</v>
      </c>
      <c r="V49" s="328" t="s">
        <v>1441</v>
      </c>
      <c r="W49" s="29">
        <v>31546</v>
      </c>
      <c r="Y49" s="503"/>
      <c r="Z49" s="503"/>
      <c r="AA49" s="503"/>
      <c r="AB49" s="503"/>
    </row>
    <row r="50" spans="1:28">
      <c r="A50">
        <f>+_xlfn.XMATCH(D50,'300s - 5 Digit FERC Accounts'!B:B)</f>
        <v>48</v>
      </c>
      <c r="B50" s="1608" t="str">
        <f t="shared" si="1"/>
        <v>314</v>
      </c>
      <c r="C50" s="1608" t="str">
        <f t="shared" si="0"/>
        <v>Prod</v>
      </c>
      <c r="D50" s="29">
        <v>31430</v>
      </c>
      <c r="E50" s="29" t="s">
        <v>8202</v>
      </c>
      <c r="F50" s="83">
        <v>0</v>
      </c>
      <c r="G50" s="83">
        <v>0</v>
      </c>
      <c r="H50" s="83">
        <v>0</v>
      </c>
      <c r="I50" s="1606">
        <f t="shared" si="2"/>
        <v>0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83">
        <v>0</v>
      </c>
      <c r="P50" s="83">
        <v>0</v>
      </c>
      <c r="Q50" s="1606">
        <f t="shared" si="3"/>
        <v>0</v>
      </c>
      <c r="R50" s="83">
        <v>0</v>
      </c>
      <c r="S50" s="83">
        <v>0</v>
      </c>
      <c r="T50" s="1673">
        <v>0</v>
      </c>
      <c r="V50" s="328" t="s">
        <v>1441</v>
      </c>
      <c r="W50" s="29">
        <v>31551</v>
      </c>
      <c r="Y50" s="503"/>
      <c r="Z50" s="503"/>
      <c r="AA50" s="503"/>
      <c r="AB50" s="503"/>
    </row>
    <row r="51" spans="1:28">
      <c r="A51">
        <f>+_xlfn.XMATCH(D51,'300s - 5 Digit FERC Accounts'!B:B)</f>
        <v>49</v>
      </c>
      <c r="B51" s="1608" t="str">
        <f t="shared" si="1"/>
        <v>314</v>
      </c>
      <c r="C51" s="1608" t="str">
        <f t="shared" si="0"/>
        <v>Prod</v>
      </c>
      <c r="D51" s="29">
        <v>31431</v>
      </c>
      <c r="E51" s="29" t="s">
        <v>8203</v>
      </c>
      <c r="F51" s="83">
        <v>0</v>
      </c>
      <c r="G51" s="83">
        <v>0</v>
      </c>
      <c r="H51" s="83">
        <v>0</v>
      </c>
      <c r="I51" s="1606">
        <f t="shared" si="2"/>
        <v>0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83">
        <v>0</v>
      </c>
      <c r="P51" s="83">
        <v>0</v>
      </c>
      <c r="Q51" s="1606">
        <f t="shared" si="3"/>
        <v>0</v>
      </c>
      <c r="R51" s="83">
        <v>0</v>
      </c>
      <c r="S51" s="83">
        <v>0</v>
      </c>
      <c r="T51" s="1673">
        <v>0</v>
      </c>
      <c r="V51" s="328" t="s">
        <v>1441</v>
      </c>
      <c r="W51" s="29">
        <v>31552</v>
      </c>
      <c r="Y51" s="503"/>
      <c r="Z51" s="503"/>
      <c r="AA51" s="503"/>
      <c r="AB51" s="503"/>
    </row>
    <row r="52" spans="1:28">
      <c r="A52">
        <f>+_xlfn.XMATCH(D52,'300s - 5 Digit FERC Accounts'!B:B)</f>
        <v>50</v>
      </c>
      <c r="B52" s="1608" t="str">
        <f t="shared" si="1"/>
        <v>314</v>
      </c>
      <c r="C52" s="1608" t="str">
        <f t="shared" si="0"/>
        <v>Prod</v>
      </c>
      <c r="D52" s="29">
        <v>31432</v>
      </c>
      <c r="E52" s="29" t="s">
        <v>8204</v>
      </c>
      <c r="F52" s="83">
        <v>0</v>
      </c>
      <c r="G52" s="83">
        <v>0</v>
      </c>
      <c r="H52" s="83">
        <v>0</v>
      </c>
      <c r="I52" s="1606">
        <f t="shared" si="2"/>
        <v>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83">
        <v>0</v>
      </c>
      <c r="P52" s="83">
        <v>0</v>
      </c>
      <c r="Q52" s="1606">
        <f t="shared" si="3"/>
        <v>0</v>
      </c>
      <c r="R52" s="83">
        <v>0</v>
      </c>
      <c r="S52" s="83">
        <v>0</v>
      </c>
      <c r="T52" s="1673">
        <v>0</v>
      </c>
      <c r="V52" s="328" t="s">
        <v>1441</v>
      </c>
      <c r="W52" s="29">
        <v>31553</v>
      </c>
      <c r="Y52" s="503"/>
      <c r="Z52" s="503"/>
      <c r="AA52" s="503"/>
      <c r="AB52" s="503"/>
    </row>
    <row r="53" spans="1:28">
      <c r="A53">
        <f>+_xlfn.XMATCH(D53,'300s - 5 Digit FERC Accounts'!B:B)</f>
        <v>51</v>
      </c>
      <c r="B53" s="1608" t="str">
        <f t="shared" si="1"/>
        <v>314</v>
      </c>
      <c r="C53" s="1608" t="str">
        <f t="shared" si="0"/>
        <v>Prod</v>
      </c>
      <c r="D53" s="29">
        <v>31433</v>
      </c>
      <c r="E53" s="29" t="s">
        <v>8205</v>
      </c>
      <c r="F53" s="83">
        <v>0</v>
      </c>
      <c r="G53" s="83">
        <v>0</v>
      </c>
      <c r="H53" s="83">
        <v>0</v>
      </c>
      <c r="I53" s="1606">
        <f t="shared" si="2"/>
        <v>0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83">
        <v>0</v>
      </c>
      <c r="P53" s="83">
        <v>0</v>
      </c>
      <c r="Q53" s="1606">
        <f t="shared" si="3"/>
        <v>0</v>
      </c>
      <c r="R53" s="83">
        <v>0</v>
      </c>
      <c r="S53" s="83">
        <v>0</v>
      </c>
      <c r="T53" s="1673">
        <v>0</v>
      </c>
      <c r="V53" s="328" t="s">
        <v>1441</v>
      </c>
      <c r="W53" s="29">
        <v>31554</v>
      </c>
      <c r="Y53" s="503"/>
      <c r="Z53" s="503"/>
      <c r="AA53" s="503"/>
      <c r="AB53" s="503"/>
    </row>
    <row r="54" spans="1:28">
      <c r="A54">
        <f>+_xlfn.XMATCH(D54,'300s - 5 Digit FERC Accounts'!B:B)</f>
        <v>52</v>
      </c>
      <c r="B54" s="1608" t="str">
        <f t="shared" si="1"/>
        <v>314</v>
      </c>
      <c r="C54" s="1608" t="str">
        <f t="shared" si="0"/>
        <v>Prod</v>
      </c>
      <c r="D54" s="29">
        <v>31434</v>
      </c>
      <c r="E54" s="29" t="s">
        <v>8206</v>
      </c>
      <c r="F54" s="83">
        <v>0</v>
      </c>
      <c r="G54" s="83">
        <v>0</v>
      </c>
      <c r="H54" s="83">
        <v>0</v>
      </c>
      <c r="I54" s="1606">
        <f t="shared" si="2"/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1606">
        <f t="shared" si="3"/>
        <v>0</v>
      </c>
      <c r="R54" s="83">
        <v>0</v>
      </c>
      <c r="S54" s="83">
        <v>0</v>
      </c>
      <c r="T54" s="1673">
        <v>0</v>
      </c>
      <c r="V54" s="328" t="s">
        <v>1441</v>
      </c>
      <c r="W54" s="29">
        <v>31601</v>
      </c>
      <c r="Y54" s="503"/>
      <c r="Z54" s="503"/>
      <c r="AA54" s="503"/>
      <c r="AB54" s="503"/>
    </row>
    <row r="55" spans="1:28">
      <c r="A55">
        <f>+_xlfn.XMATCH(D55,'300s - 5 Digit FERC Accounts'!B:B)</f>
        <v>53</v>
      </c>
      <c r="B55" s="1608" t="str">
        <f t="shared" si="1"/>
        <v>314</v>
      </c>
      <c r="C55" s="1608" t="str">
        <f t="shared" si="0"/>
        <v>Prod</v>
      </c>
      <c r="D55" s="29">
        <v>31440</v>
      </c>
      <c r="E55" s="29" t="s">
        <v>1578</v>
      </c>
      <c r="F55" s="83">
        <v>28785796.029999997</v>
      </c>
      <c r="G55" s="83">
        <v>5357065.62</v>
      </c>
      <c r="H55" s="83">
        <v>-1071413.0900000001</v>
      </c>
      <c r="I55" s="1606">
        <f t="shared" si="2"/>
        <v>0</v>
      </c>
      <c r="J55" s="83">
        <v>33071448.559999999</v>
      </c>
      <c r="K55" s="83">
        <v>30614742.949999999</v>
      </c>
      <c r="L55" s="83">
        <v>954130.38500000094</v>
      </c>
      <c r="M55" s="83">
        <v>1185990.68</v>
      </c>
      <c r="N55" s="83">
        <v>-1071413.0900000001</v>
      </c>
      <c r="O55" s="83">
        <v>-548245.75</v>
      </c>
      <c r="P55" s="83">
        <v>0</v>
      </c>
      <c r="Q55" s="1606">
        <f t="shared" si="3"/>
        <v>0</v>
      </c>
      <c r="R55" s="83">
        <v>520462.22500000079</v>
      </c>
      <c r="S55" s="83">
        <v>809922.62</v>
      </c>
      <c r="T55" s="1673">
        <v>3.9E-2</v>
      </c>
      <c r="V55" s="328" t="s">
        <v>1441</v>
      </c>
      <c r="W55" s="29">
        <v>31617</v>
      </c>
      <c r="Y55" s="503"/>
      <c r="Z55" s="503"/>
      <c r="AA55" s="503"/>
      <c r="AB55" s="503"/>
    </row>
    <row r="56" spans="1:28">
      <c r="A56">
        <f>+_xlfn.XMATCH(D56,'300s - 5 Digit FERC Accounts'!B:B)</f>
        <v>54</v>
      </c>
      <c r="B56" s="1608" t="str">
        <f t="shared" si="1"/>
        <v>314</v>
      </c>
      <c r="C56" s="1608" t="str">
        <f t="shared" si="0"/>
        <v>Prod</v>
      </c>
      <c r="D56" s="29">
        <v>31441</v>
      </c>
      <c r="E56" s="29" t="s">
        <v>1579</v>
      </c>
      <c r="F56" s="83">
        <v>0</v>
      </c>
      <c r="G56" s="83">
        <v>0</v>
      </c>
      <c r="H56" s="83">
        <v>0</v>
      </c>
      <c r="I56" s="1606">
        <f t="shared" si="2"/>
        <v>0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83">
        <v>0</v>
      </c>
      <c r="P56" s="83">
        <v>0</v>
      </c>
      <c r="Q56" s="1606">
        <f t="shared" si="3"/>
        <v>0</v>
      </c>
      <c r="R56" s="83">
        <v>0</v>
      </c>
      <c r="S56" s="83">
        <v>0</v>
      </c>
      <c r="T56" s="1673">
        <v>0</v>
      </c>
      <c r="V56" s="328" t="s">
        <v>1441</v>
      </c>
      <c r="W56" s="29">
        <v>31630</v>
      </c>
      <c r="Y56" s="503"/>
      <c r="Z56" s="503"/>
      <c r="AA56" s="503"/>
      <c r="AB56" s="503"/>
    </row>
    <row r="57" spans="1:28">
      <c r="A57">
        <f>+_xlfn.XMATCH(D57,'300s - 5 Digit FERC Accounts'!B:B)</f>
        <v>55</v>
      </c>
      <c r="B57" s="1608" t="str">
        <f t="shared" si="1"/>
        <v>314</v>
      </c>
      <c r="C57" s="1608" t="str">
        <f t="shared" si="0"/>
        <v>Prod</v>
      </c>
      <c r="D57" s="29">
        <v>31442</v>
      </c>
      <c r="E57" s="29" t="s">
        <v>1580</v>
      </c>
      <c r="F57" s="83">
        <v>0</v>
      </c>
      <c r="G57" s="83">
        <v>0</v>
      </c>
      <c r="H57" s="83">
        <v>0</v>
      </c>
      <c r="I57" s="1606">
        <f t="shared" si="2"/>
        <v>0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83">
        <v>0</v>
      </c>
      <c r="P57" s="83">
        <v>0</v>
      </c>
      <c r="Q57" s="1606">
        <f t="shared" si="3"/>
        <v>0</v>
      </c>
      <c r="R57" s="83">
        <v>0</v>
      </c>
      <c r="S57" s="83">
        <v>0</v>
      </c>
      <c r="T57" s="1673">
        <v>0</v>
      </c>
      <c r="V57" s="328" t="s">
        <v>1441</v>
      </c>
      <c r="W57" s="29">
        <v>31640</v>
      </c>
      <c r="Y57" s="503"/>
      <c r="Z57" s="503"/>
      <c r="AA57" s="503"/>
      <c r="AB57" s="503"/>
    </row>
    <row r="58" spans="1:28">
      <c r="A58">
        <f>+_xlfn.XMATCH(D58,'300s - 5 Digit FERC Accounts'!B:B)</f>
        <v>56</v>
      </c>
      <c r="B58" s="1608" t="str">
        <f t="shared" si="1"/>
        <v>314</v>
      </c>
      <c r="C58" s="1608" t="str">
        <f t="shared" si="0"/>
        <v>Prod</v>
      </c>
      <c r="D58" s="29">
        <v>31443</v>
      </c>
      <c r="E58" s="29" t="s">
        <v>1581</v>
      </c>
      <c r="F58" s="83">
        <v>0</v>
      </c>
      <c r="G58" s="83">
        <v>0</v>
      </c>
      <c r="H58" s="83">
        <v>0</v>
      </c>
      <c r="I58" s="1606">
        <f t="shared" si="2"/>
        <v>0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83">
        <v>0</v>
      </c>
      <c r="P58" s="83">
        <v>0</v>
      </c>
      <c r="Q58" s="1606">
        <f t="shared" si="3"/>
        <v>0</v>
      </c>
      <c r="R58" s="83">
        <v>0</v>
      </c>
      <c r="S58" s="83">
        <v>0</v>
      </c>
      <c r="T58" s="1673">
        <v>0</v>
      </c>
      <c r="V58" s="328" t="s">
        <v>1441</v>
      </c>
      <c r="W58" s="29">
        <v>31641</v>
      </c>
      <c r="Y58" s="503"/>
      <c r="Z58" s="503"/>
      <c r="AA58" s="503"/>
      <c r="AB58" s="503"/>
    </row>
    <row r="59" spans="1:28">
      <c r="A59">
        <f>+_xlfn.XMATCH(D59,'300s - 5 Digit FERC Accounts'!B:B)</f>
        <v>57</v>
      </c>
      <c r="B59" s="1608" t="str">
        <f t="shared" si="1"/>
        <v>314</v>
      </c>
      <c r="C59" s="1608" t="str">
        <f t="shared" si="0"/>
        <v>Prod</v>
      </c>
      <c r="D59" s="29">
        <v>31444</v>
      </c>
      <c r="E59" s="29" t="s">
        <v>1582</v>
      </c>
      <c r="F59" s="83">
        <v>120281000.42500004</v>
      </c>
      <c r="G59" s="83">
        <v>3285059.34</v>
      </c>
      <c r="H59" s="83">
        <v>-657011.86</v>
      </c>
      <c r="I59" s="1606">
        <f t="shared" si="2"/>
        <v>4.3073669075965881E-9</v>
      </c>
      <c r="J59" s="83">
        <v>122909047.90500005</v>
      </c>
      <c r="K59" s="83">
        <v>121251442.41</v>
      </c>
      <c r="L59" s="83">
        <v>53046999.285000034</v>
      </c>
      <c r="M59" s="83">
        <v>5643880.1900000004</v>
      </c>
      <c r="N59" s="83">
        <v>-657011.86</v>
      </c>
      <c r="O59" s="83">
        <v>-302050.63</v>
      </c>
      <c r="P59" s="83">
        <v>0</v>
      </c>
      <c r="Q59" s="1606">
        <f t="shared" si="3"/>
        <v>0</v>
      </c>
      <c r="R59" s="83">
        <v>57731816.985000029</v>
      </c>
      <c r="S59" s="83">
        <v>55450091.729999997</v>
      </c>
      <c r="T59" s="1673">
        <v>4.6600000000000003E-2</v>
      </c>
      <c r="V59" s="328" t="s">
        <v>1441</v>
      </c>
      <c r="W59" s="29">
        <v>31642</v>
      </c>
      <c r="Y59" s="503"/>
      <c r="Z59" s="503"/>
      <c r="AA59" s="503"/>
      <c r="AB59" s="503"/>
    </row>
    <row r="60" spans="1:28">
      <c r="A60">
        <f>+_xlfn.XMATCH(D60,'300s - 5 Digit FERC Accounts'!B:B)</f>
        <v>58</v>
      </c>
      <c r="B60" s="1608" t="str">
        <f t="shared" si="1"/>
        <v>315</v>
      </c>
      <c r="C60" s="1608" t="str">
        <f t="shared" si="0"/>
        <v>Prod</v>
      </c>
      <c r="D60" s="29">
        <v>31530</v>
      </c>
      <c r="E60" s="29" t="s">
        <v>8207</v>
      </c>
      <c r="F60" s="83">
        <v>0</v>
      </c>
      <c r="G60" s="83">
        <v>0</v>
      </c>
      <c r="H60" s="83">
        <v>0</v>
      </c>
      <c r="I60" s="1606">
        <f t="shared" si="2"/>
        <v>0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83">
        <v>0</v>
      </c>
      <c r="P60" s="83">
        <v>0</v>
      </c>
      <c r="Q60" s="1606">
        <f t="shared" si="3"/>
        <v>0</v>
      </c>
      <c r="R60" s="83">
        <v>0</v>
      </c>
      <c r="S60" s="83">
        <v>0</v>
      </c>
      <c r="T60" s="1673">
        <v>0</v>
      </c>
      <c r="V60" s="328" t="s">
        <v>1441</v>
      </c>
      <c r="W60" s="29">
        <v>31643</v>
      </c>
      <c r="Y60" s="503"/>
      <c r="Z60" s="503"/>
      <c r="AA60" s="503"/>
      <c r="AB60" s="503"/>
    </row>
    <row r="61" spans="1:28">
      <c r="A61">
        <f>+_xlfn.XMATCH(D61,'300s - 5 Digit FERC Accounts'!B:B)</f>
        <v>59</v>
      </c>
      <c r="B61" s="1608" t="str">
        <f t="shared" si="1"/>
        <v>315</v>
      </c>
      <c r="C61" s="1608" t="str">
        <f t="shared" si="0"/>
        <v>Prod</v>
      </c>
      <c r="D61" s="29">
        <v>31531</v>
      </c>
      <c r="E61" s="29" t="s">
        <v>8208</v>
      </c>
      <c r="F61" s="83">
        <v>0</v>
      </c>
      <c r="G61" s="83">
        <v>0</v>
      </c>
      <c r="H61" s="83">
        <v>0</v>
      </c>
      <c r="I61" s="1606">
        <f t="shared" si="2"/>
        <v>0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83">
        <v>0</v>
      </c>
      <c r="P61" s="83">
        <v>0</v>
      </c>
      <c r="Q61" s="1606">
        <f t="shared" si="3"/>
        <v>0</v>
      </c>
      <c r="R61" s="83">
        <v>0</v>
      </c>
      <c r="S61" s="83">
        <v>0</v>
      </c>
      <c r="T61" s="1673">
        <v>0</v>
      </c>
      <c r="V61" s="328" t="s">
        <v>1441</v>
      </c>
      <c r="W61" s="29">
        <v>31644</v>
      </c>
      <c r="Y61" s="503"/>
      <c r="Z61" s="503"/>
      <c r="AA61" s="503"/>
      <c r="AB61" s="503"/>
    </row>
    <row r="62" spans="1:28">
      <c r="A62">
        <f>+_xlfn.XMATCH(D62,'300s - 5 Digit FERC Accounts'!B:B)</f>
        <v>60</v>
      </c>
      <c r="B62" s="1608" t="str">
        <f t="shared" si="1"/>
        <v>315</v>
      </c>
      <c r="C62" s="1608" t="str">
        <f t="shared" si="0"/>
        <v>Prod</v>
      </c>
      <c r="D62" s="29">
        <v>31532</v>
      </c>
      <c r="E62" s="29" t="s">
        <v>8209</v>
      </c>
      <c r="F62" s="83">
        <v>0</v>
      </c>
      <c r="G62" s="83">
        <v>0</v>
      </c>
      <c r="H62" s="83">
        <v>0</v>
      </c>
      <c r="I62" s="1606">
        <f t="shared" si="2"/>
        <v>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83">
        <v>0</v>
      </c>
      <c r="P62" s="83">
        <v>0</v>
      </c>
      <c r="Q62" s="1606">
        <f t="shared" si="3"/>
        <v>0</v>
      </c>
      <c r="R62" s="83">
        <v>0</v>
      </c>
      <c r="S62" s="83">
        <v>0</v>
      </c>
      <c r="T62" s="1673">
        <v>0</v>
      </c>
      <c r="V62" s="328" t="s">
        <v>1441</v>
      </c>
      <c r="W62" s="29">
        <v>31645</v>
      </c>
      <c r="Y62" s="503"/>
      <c r="Z62" s="503"/>
      <c r="AA62" s="503"/>
      <c r="AB62" s="503"/>
    </row>
    <row r="63" spans="1:28">
      <c r="A63">
        <f>+_xlfn.XMATCH(D63,'300s - 5 Digit FERC Accounts'!B:B)</f>
        <v>61</v>
      </c>
      <c r="B63" s="1608" t="str">
        <f t="shared" si="1"/>
        <v>315</v>
      </c>
      <c r="C63" s="1608" t="str">
        <f t="shared" si="0"/>
        <v>Prod</v>
      </c>
      <c r="D63" s="29">
        <v>31533</v>
      </c>
      <c r="E63" s="29" t="s">
        <v>8210</v>
      </c>
      <c r="F63" s="83">
        <v>0</v>
      </c>
      <c r="G63" s="83">
        <v>0</v>
      </c>
      <c r="H63" s="83">
        <v>0</v>
      </c>
      <c r="I63" s="1606">
        <f t="shared" si="2"/>
        <v>0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83">
        <v>0</v>
      </c>
      <c r="P63" s="83">
        <v>0</v>
      </c>
      <c r="Q63" s="1606">
        <f t="shared" si="3"/>
        <v>0</v>
      </c>
      <c r="R63" s="83">
        <v>0</v>
      </c>
      <c r="S63" s="83">
        <v>0</v>
      </c>
      <c r="T63" s="1673">
        <v>0</v>
      </c>
      <c r="V63" s="328" t="s">
        <v>1441</v>
      </c>
      <c r="W63" s="29">
        <v>31646</v>
      </c>
      <c r="Y63" s="503"/>
      <c r="Z63" s="503"/>
      <c r="AA63" s="503"/>
      <c r="AB63" s="503"/>
    </row>
    <row r="64" spans="1:28">
      <c r="A64">
        <f>+_xlfn.XMATCH(D64,'300s - 5 Digit FERC Accounts'!B:B)</f>
        <v>62</v>
      </c>
      <c r="B64" s="1608" t="str">
        <f t="shared" si="1"/>
        <v>315</v>
      </c>
      <c r="C64" s="1608" t="str">
        <f t="shared" si="0"/>
        <v>Prod</v>
      </c>
      <c r="D64" s="29">
        <v>31534</v>
      </c>
      <c r="E64" s="29" t="s">
        <v>8211</v>
      </c>
      <c r="F64" s="83">
        <v>0</v>
      </c>
      <c r="G64" s="83">
        <v>0</v>
      </c>
      <c r="H64" s="83">
        <v>0</v>
      </c>
      <c r="I64" s="1606">
        <f t="shared" si="2"/>
        <v>0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83">
        <v>0</v>
      </c>
      <c r="P64" s="83">
        <v>0</v>
      </c>
      <c r="Q64" s="1606">
        <f t="shared" si="3"/>
        <v>0</v>
      </c>
      <c r="R64" s="83">
        <v>0</v>
      </c>
      <c r="S64" s="83">
        <v>0</v>
      </c>
      <c r="T64" s="1673">
        <v>0</v>
      </c>
      <c r="V64" s="328" t="s">
        <v>1441</v>
      </c>
      <c r="W64" s="29">
        <v>31647</v>
      </c>
      <c r="Y64" s="503"/>
      <c r="Z64" s="503"/>
      <c r="AA64" s="503"/>
      <c r="AB64" s="503"/>
    </row>
    <row r="65" spans="1:28">
      <c r="A65">
        <f>+_xlfn.XMATCH(D65,'300s - 5 Digit FERC Accounts'!B:B)</f>
        <v>63</v>
      </c>
      <c r="B65" s="1608" t="str">
        <f t="shared" si="1"/>
        <v>315</v>
      </c>
      <c r="C65" s="1608" t="str">
        <f t="shared" si="0"/>
        <v>Prod</v>
      </c>
      <c r="D65" s="29">
        <v>31540</v>
      </c>
      <c r="E65" s="29" t="s">
        <v>1583</v>
      </c>
      <c r="F65" s="83">
        <v>43980094.719999999</v>
      </c>
      <c r="G65" s="83">
        <v>0</v>
      </c>
      <c r="H65" s="83">
        <v>0</v>
      </c>
      <c r="I65" s="1606">
        <f t="shared" si="2"/>
        <v>0</v>
      </c>
      <c r="J65" s="83">
        <v>43980094.719999999</v>
      </c>
      <c r="K65" s="83">
        <v>43980094.719999999</v>
      </c>
      <c r="L65" s="83">
        <v>19711999.14000003</v>
      </c>
      <c r="M65" s="83">
        <v>949970.04</v>
      </c>
      <c r="N65" s="83">
        <v>0</v>
      </c>
      <c r="O65" s="83">
        <v>0</v>
      </c>
      <c r="P65" s="83">
        <v>0</v>
      </c>
      <c r="Q65" s="1606">
        <f t="shared" si="3"/>
        <v>0</v>
      </c>
      <c r="R65" s="83">
        <v>20661969.18000003</v>
      </c>
      <c r="S65" s="83">
        <v>20186984.16</v>
      </c>
      <c r="T65" s="1673">
        <v>2.1600000000000001E-2</v>
      </c>
      <c r="V65" s="328" t="s">
        <v>1441</v>
      </c>
      <c r="W65" s="29">
        <v>31651</v>
      </c>
      <c r="Y65" s="503"/>
      <c r="Z65" s="503"/>
      <c r="AA65" s="503"/>
      <c r="AB65" s="503"/>
    </row>
    <row r="66" spans="1:28">
      <c r="A66">
        <f>+_xlfn.XMATCH(D66,'300s - 5 Digit FERC Accounts'!B:B)</f>
        <v>64</v>
      </c>
      <c r="B66" s="1608" t="str">
        <f t="shared" si="1"/>
        <v>315</v>
      </c>
      <c r="C66" s="1608" t="str">
        <f t="shared" si="0"/>
        <v>Prod</v>
      </c>
      <c r="D66" s="29">
        <v>31541</v>
      </c>
      <c r="E66" s="29" t="s">
        <v>1584</v>
      </c>
      <c r="F66" s="83">
        <v>0</v>
      </c>
      <c r="G66" s="83">
        <v>0</v>
      </c>
      <c r="H66" s="83">
        <v>0</v>
      </c>
      <c r="I66" s="1606">
        <f t="shared" si="2"/>
        <v>0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83">
        <v>0</v>
      </c>
      <c r="P66" s="83">
        <v>0</v>
      </c>
      <c r="Q66" s="1606">
        <f t="shared" si="3"/>
        <v>0</v>
      </c>
      <c r="R66" s="83">
        <v>0</v>
      </c>
      <c r="S66" s="83">
        <v>0</v>
      </c>
      <c r="T66" s="1673">
        <v>0</v>
      </c>
      <c r="V66" s="328" t="s">
        <v>1441</v>
      </c>
      <c r="W66" s="29">
        <v>31652</v>
      </c>
      <c r="Y66" s="503"/>
      <c r="Z66" s="503"/>
      <c r="AA66" s="503"/>
      <c r="AB66" s="503"/>
    </row>
    <row r="67" spans="1:28">
      <c r="A67">
        <f>+_xlfn.XMATCH(D67,'300s - 5 Digit FERC Accounts'!B:B)</f>
        <v>65</v>
      </c>
      <c r="B67" s="1608" t="str">
        <f t="shared" si="1"/>
        <v>315</v>
      </c>
      <c r="C67" s="1608" t="str">
        <f t="shared" si="0"/>
        <v>Prod</v>
      </c>
      <c r="D67" s="29">
        <v>31542</v>
      </c>
      <c r="E67" s="29" t="s">
        <v>1585</v>
      </c>
      <c r="F67" s="83">
        <v>0</v>
      </c>
      <c r="G67" s="83">
        <v>0</v>
      </c>
      <c r="H67" s="83">
        <v>0</v>
      </c>
      <c r="I67" s="1606">
        <f t="shared" si="2"/>
        <v>0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83">
        <v>0</v>
      </c>
      <c r="P67" s="83">
        <v>0</v>
      </c>
      <c r="Q67" s="1606">
        <f t="shared" si="3"/>
        <v>0</v>
      </c>
      <c r="R67" s="83">
        <v>0</v>
      </c>
      <c r="S67" s="83">
        <v>0</v>
      </c>
      <c r="T67" s="1673">
        <v>0</v>
      </c>
      <c r="V67" s="328" t="s">
        <v>1441</v>
      </c>
      <c r="W67" s="29">
        <v>31653</v>
      </c>
      <c r="Y67" s="503"/>
      <c r="Z67" s="503"/>
      <c r="AA67" s="503"/>
      <c r="AB67" s="503"/>
    </row>
    <row r="68" spans="1:28">
      <c r="A68">
        <f>+_xlfn.XMATCH(D68,'300s - 5 Digit FERC Accounts'!B:B)</f>
        <v>66</v>
      </c>
      <c r="B68" s="1608" t="str">
        <f t="shared" si="1"/>
        <v>315</v>
      </c>
      <c r="C68" s="1608" t="str">
        <f t="shared" si="0"/>
        <v>Prod</v>
      </c>
      <c r="D68" s="29">
        <v>31543</v>
      </c>
      <c r="E68" s="29" t="s">
        <v>1586</v>
      </c>
      <c r="F68" s="83">
        <v>0</v>
      </c>
      <c r="G68" s="83">
        <v>0</v>
      </c>
      <c r="H68" s="83">
        <v>0</v>
      </c>
      <c r="I68" s="1606">
        <f t="shared" si="2"/>
        <v>0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83">
        <v>0</v>
      </c>
      <c r="P68" s="83">
        <v>0</v>
      </c>
      <c r="Q68" s="1606">
        <f t="shared" si="3"/>
        <v>0</v>
      </c>
      <c r="R68" s="83">
        <v>0</v>
      </c>
      <c r="S68" s="83">
        <v>0</v>
      </c>
      <c r="T68" s="1673">
        <v>0</v>
      </c>
      <c r="V68" s="328" t="s">
        <v>1441</v>
      </c>
      <c r="W68" s="29">
        <v>31654</v>
      </c>
      <c r="Y68" s="503"/>
      <c r="Z68" s="503"/>
      <c r="AA68" s="503"/>
      <c r="AB68" s="503"/>
    </row>
    <row r="69" spans="1:28">
      <c r="A69">
        <f>+_xlfn.XMATCH(D69,'300s - 5 Digit FERC Accounts'!B:B)</f>
        <v>67</v>
      </c>
      <c r="B69" s="1608" t="str">
        <f t="shared" si="1"/>
        <v>315</v>
      </c>
      <c r="C69" s="1608" t="str">
        <f t="shared" si="0"/>
        <v>Prod</v>
      </c>
      <c r="D69" s="29">
        <v>31544</v>
      </c>
      <c r="E69" s="29" t="s">
        <v>1587</v>
      </c>
      <c r="F69" s="83">
        <v>52859494.079999998</v>
      </c>
      <c r="G69" s="83">
        <v>0</v>
      </c>
      <c r="H69" s="83">
        <v>0</v>
      </c>
      <c r="I69" s="1606">
        <f t="shared" si="2"/>
        <v>0</v>
      </c>
      <c r="J69" s="83">
        <v>52859494.079999998</v>
      </c>
      <c r="K69" s="83">
        <v>52859494.079999998</v>
      </c>
      <c r="L69" s="83">
        <v>34250240.040000007</v>
      </c>
      <c r="M69" s="83">
        <v>1480065.84</v>
      </c>
      <c r="N69" s="83">
        <v>0</v>
      </c>
      <c r="O69" s="83">
        <v>0</v>
      </c>
      <c r="P69" s="83">
        <v>0</v>
      </c>
      <c r="Q69" s="1606">
        <f t="shared" si="3"/>
        <v>0</v>
      </c>
      <c r="R69" s="83">
        <v>35730305.88000001</v>
      </c>
      <c r="S69" s="83">
        <v>34990272.960000001</v>
      </c>
      <c r="T69" s="1673">
        <v>2.7999999999999997E-2</v>
      </c>
      <c r="V69" s="328" t="s">
        <v>1759</v>
      </c>
      <c r="W69" s="29">
        <v>31700</v>
      </c>
      <c r="Y69" s="503"/>
      <c r="Z69" s="503"/>
      <c r="AA69" s="503"/>
      <c r="AB69" s="503"/>
    </row>
    <row r="70" spans="1:28">
      <c r="A70">
        <f>+_xlfn.XMATCH(D70,'300s - 5 Digit FERC Accounts'!B:B)</f>
        <v>68</v>
      </c>
      <c r="B70" s="1608" t="str">
        <f t="shared" si="1"/>
        <v>315</v>
      </c>
      <c r="C70" s="1608" t="str">
        <f t="shared" ref="C70:C133" si="4">+_xlfn.SINGLE(IF(D70="","",_xlfn.XLOOKUP(D70,W:W,V:V,"CHECK")))</f>
        <v>Prod</v>
      </c>
      <c r="D70" s="29">
        <v>31545</v>
      </c>
      <c r="E70" s="29" t="s">
        <v>1588</v>
      </c>
      <c r="F70" s="83">
        <v>26849743.93</v>
      </c>
      <c r="G70" s="83">
        <v>575002.88</v>
      </c>
      <c r="H70" s="83">
        <v>-115000.58</v>
      </c>
      <c r="I70" s="1606">
        <f t="shared" si="2"/>
        <v>7.4214767664670944E-10</v>
      </c>
      <c r="J70" s="83">
        <v>27309746.23</v>
      </c>
      <c r="K70" s="83">
        <v>26997996.07</v>
      </c>
      <c r="L70" s="83">
        <v>17640077.5</v>
      </c>
      <c r="M70" s="83">
        <v>755216.5</v>
      </c>
      <c r="N70" s="83">
        <v>-115000.58</v>
      </c>
      <c r="O70" s="83">
        <v>-7869.48</v>
      </c>
      <c r="P70" s="83">
        <v>0</v>
      </c>
      <c r="Q70" s="1606">
        <f t="shared" si="3"/>
        <v>0</v>
      </c>
      <c r="R70" s="83">
        <v>18272423.940000001</v>
      </c>
      <c r="S70" s="83">
        <v>17975589.02</v>
      </c>
      <c r="T70" s="1673">
        <v>2.7999999999999997E-2</v>
      </c>
      <c r="V70" s="328" t="s">
        <v>1441</v>
      </c>
      <c r="W70" s="29">
        <v>34028</v>
      </c>
      <c r="Y70" s="503"/>
      <c r="Z70" s="503"/>
      <c r="AA70" s="503"/>
      <c r="AB70" s="503"/>
    </row>
    <row r="71" spans="1:28">
      <c r="A71">
        <f>+_xlfn.XMATCH(D71,'300s - 5 Digit FERC Accounts'!B:B)</f>
        <v>69</v>
      </c>
      <c r="B71" s="1608" t="str">
        <f t="shared" ref="B71:B134" si="5">IF(D71="","",MID(D71,1,3))</f>
        <v>315</v>
      </c>
      <c r="C71" s="1608" t="str">
        <f t="shared" si="4"/>
        <v>Prod</v>
      </c>
      <c r="D71" s="29">
        <v>31546</v>
      </c>
      <c r="E71" s="29" t="s">
        <v>1589</v>
      </c>
      <c r="F71" s="83">
        <v>0</v>
      </c>
      <c r="G71" s="83">
        <v>0</v>
      </c>
      <c r="H71" s="83">
        <v>0</v>
      </c>
      <c r="I71" s="1606">
        <f t="shared" ref="I71:I134" si="6">+J71-F71-G71-H71</f>
        <v>0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83">
        <v>0</v>
      </c>
      <c r="P71" s="83">
        <v>0</v>
      </c>
      <c r="Q71" s="1606">
        <f t="shared" ref="Q71:Q134" si="7">+R71-P71-O71-N71-M71-L71</f>
        <v>0</v>
      </c>
      <c r="R71" s="83">
        <v>0</v>
      </c>
      <c r="S71" s="83">
        <v>0</v>
      </c>
      <c r="T71" s="1673">
        <v>0</v>
      </c>
      <c r="V71" s="328" t="s">
        <v>1441</v>
      </c>
      <c r="W71" s="29">
        <v>34030</v>
      </c>
      <c r="Y71" s="503"/>
      <c r="Z71" s="503"/>
      <c r="AA71" s="503"/>
      <c r="AB71" s="503"/>
    </row>
    <row r="72" spans="1:28">
      <c r="A72">
        <f>+_xlfn.XMATCH(D72,'300s - 5 Digit FERC Accounts'!B:B)</f>
        <v>70</v>
      </c>
      <c r="B72" s="1608" t="str">
        <f t="shared" si="5"/>
        <v>315</v>
      </c>
      <c r="C72" s="1608" t="str">
        <f t="shared" si="4"/>
        <v>Prod</v>
      </c>
      <c r="D72" s="29">
        <v>31551</v>
      </c>
      <c r="E72" s="29" t="s">
        <v>1590</v>
      </c>
      <c r="F72" s="83">
        <v>0</v>
      </c>
      <c r="G72" s="83">
        <v>0</v>
      </c>
      <c r="H72" s="83">
        <v>0</v>
      </c>
      <c r="I72" s="1606">
        <f t="shared" si="6"/>
        <v>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83">
        <v>0</v>
      </c>
      <c r="P72" s="83">
        <v>0</v>
      </c>
      <c r="Q72" s="1606">
        <f t="shared" si="7"/>
        <v>0</v>
      </c>
      <c r="R72" s="83">
        <v>0</v>
      </c>
      <c r="S72" s="83">
        <v>0</v>
      </c>
      <c r="T72" s="1673">
        <v>0</v>
      </c>
      <c r="V72" s="328" t="s">
        <v>1441</v>
      </c>
      <c r="W72" s="29">
        <v>34081</v>
      </c>
      <c r="Y72" s="503"/>
      <c r="Z72" s="503"/>
      <c r="AA72" s="503"/>
      <c r="AB72" s="503"/>
    </row>
    <row r="73" spans="1:28">
      <c r="A73">
        <f>+_xlfn.XMATCH(D73,'300s - 5 Digit FERC Accounts'!B:B)</f>
        <v>71</v>
      </c>
      <c r="B73" s="1608" t="str">
        <f t="shared" si="5"/>
        <v>315</v>
      </c>
      <c r="C73" s="1608" t="str">
        <f t="shared" si="4"/>
        <v>Prod</v>
      </c>
      <c r="D73" s="29">
        <v>31552</v>
      </c>
      <c r="E73" s="29" t="s">
        <v>1591</v>
      </c>
      <c r="F73" s="83">
        <v>0</v>
      </c>
      <c r="G73" s="83">
        <v>0</v>
      </c>
      <c r="H73" s="83">
        <v>0</v>
      </c>
      <c r="I73" s="1606">
        <f t="shared" si="6"/>
        <v>0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83">
        <v>0</v>
      </c>
      <c r="P73" s="83">
        <v>0</v>
      </c>
      <c r="Q73" s="1606">
        <f t="shared" si="7"/>
        <v>0</v>
      </c>
      <c r="R73" s="83">
        <v>0</v>
      </c>
      <c r="S73" s="83">
        <v>0</v>
      </c>
      <c r="T73" s="1673">
        <v>0</v>
      </c>
      <c r="V73" s="328" t="s">
        <v>1441</v>
      </c>
      <c r="W73" s="29">
        <v>34099</v>
      </c>
      <c r="Y73" s="503"/>
      <c r="Z73" s="503"/>
      <c r="AA73" s="503"/>
      <c r="AB73" s="503"/>
    </row>
    <row r="74" spans="1:28">
      <c r="A74">
        <f>+_xlfn.XMATCH(D74,'300s - 5 Digit FERC Accounts'!B:B)</f>
        <v>72</v>
      </c>
      <c r="B74" s="1608" t="str">
        <f t="shared" si="5"/>
        <v>315</v>
      </c>
      <c r="C74" s="1608" t="str">
        <f t="shared" si="4"/>
        <v>Prod</v>
      </c>
      <c r="D74" s="29">
        <v>31553</v>
      </c>
      <c r="E74" s="29" t="s">
        <v>1592</v>
      </c>
      <c r="F74" s="83">
        <v>0</v>
      </c>
      <c r="G74" s="83">
        <v>0</v>
      </c>
      <c r="H74" s="83">
        <v>0</v>
      </c>
      <c r="I74" s="1606">
        <f t="shared" si="6"/>
        <v>0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83">
        <v>0</v>
      </c>
      <c r="P74" s="83">
        <v>0</v>
      </c>
      <c r="Q74" s="1606">
        <f t="shared" si="7"/>
        <v>0</v>
      </c>
      <c r="R74" s="83">
        <v>0</v>
      </c>
      <c r="S74" s="83">
        <v>0</v>
      </c>
      <c r="T74" s="1673">
        <v>0</v>
      </c>
      <c r="V74" s="328" t="s">
        <v>1441</v>
      </c>
      <c r="W74" s="29">
        <v>34128</v>
      </c>
      <c r="Y74" s="503"/>
      <c r="Z74" s="503"/>
      <c r="AA74" s="503"/>
      <c r="AB74" s="503"/>
    </row>
    <row r="75" spans="1:28">
      <c r="A75">
        <f>+_xlfn.XMATCH(D75,'300s - 5 Digit FERC Accounts'!B:B)</f>
        <v>73</v>
      </c>
      <c r="B75" s="1608" t="str">
        <f t="shared" si="5"/>
        <v>315</v>
      </c>
      <c r="C75" s="1608" t="str">
        <f t="shared" si="4"/>
        <v>Prod</v>
      </c>
      <c r="D75" s="29">
        <v>31554</v>
      </c>
      <c r="E75" s="29" t="s">
        <v>1593</v>
      </c>
      <c r="F75" s="83">
        <v>15495565.484999999</v>
      </c>
      <c r="G75" s="83">
        <v>0</v>
      </c>
      <c r="H75" s="83">
        <v>0</v>
      </c>
      <c r="I75" s="1606">
        <f t="shared" si="6"/>
        <v>0</v>
      </c>
      <c r="J75" s="83">
        <v>15495565.484999999</v>
      </c>
      <c r="K75" s="83">
        <v>15495565.49</v>
      </c>
      <c r="L75" s="83">
        <v>10029918.600000015</v>
      </c>
      <c r="M75" s="83">
        <v>433875.84</v>
      </c>
      <c r="N75" s="83">
        <v>0</v>
      </c>
      <c r="O75" s="83">
        <v>0</v>
      </c>
      <c r="P75" s="83">
        <v>0</v>
      </c>
      <c r="Q75" s="1606">
        <f t="shared" si="7"/>
        <v>0</v>
      </c>
      <c r="R75" s="83">
        <v>10463794.440000014</v>
      </c>
      <c r="S75" s="83">
        <v>10246856.52</v>
      </c>
      <c r="T75" s="1673">
        <v>2.7999999999999997E-2</v>
      </c>
      <c r="V75" s="328" t="s">
        <v>1441</v>
      </c>
      <c r="W75" s="29">
        <v>34130</v>
      </c>
      <c r="Y75" s="503"/>
      <c r="Z75" s="503"/>
      <c r="AA75" s="503"/>
      <c r="AB75" s="503"/>
    </row>
    <row r="76" spans="1:28">
      <c r="A76">
        <f>+_xlfn.XMATCH(D76,'300s - 5 Digit FERC Accounts'!B:B)</f>
        <v>74</v>
      </c>
      <c r="B76" s="1608" t="str">
        <f t="shared" si="5"/>
        <v>316</v>
      </c>
      <c r="C76" s="1608" t="str">
        <f t="shared" si="4"/>
        <v>Prod</v>
      </c>
      <c r="D76" s="29">
        <v>31601</v>
      </c>
      <c r="E76" s="29" t="s">
        <v>1594</v>
      </c>
      <c r="F76" s="83">
        <v>0</v>
      </c>
      <c r="G76" s="83">
        <v>0</v>
      </c>
      <c r="H76" s="83">
        <v>0</v>
      </c>
      <c r="I76" s="1606">
        <f t="shared" si="6"/>
        <v>0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83">
        <v>0</v>
      </c>
      <c r="P76" s="83">
        <v>0</v>
      </c>
      <c r="Q76" s="1606">
        <f t="shared" si="7"/>
        <v>0</v>
      </c>
      <c r="R76" s="83">
        <v>0</v>
      </c>
      <c r="S76" s="83">
        <v>0</v>
      </c>
      <c r="T76" s="1673">
        <v>0</v>
      </c>
      <c r="V76" s="328" t="s">
        <v>1441</v>
      </c>
      <c r="W76" s="29">
        <v>34131</v>
      </c>
      <c r="Y76" s="503"/>
      <c r="Z76" s="503"/>
      <c r="AA76" s="503"/>
      <c r="AB76" s="503"/>
    </row>
    <row r="77" spans="1:28">
      <c r="A77">
        <f>+_xlfn.XMATCH(D77,'300s - 5 Digit FERC Accounts'!B:B)</f>
        <v>75</v>
      </c>
      <c r="B77" s="1608" t="str">
        <f t="shared" si="5"/>
        <v>316</v>
      </c>
      <c r="C77" s="1608" t="str">
        <f t="shared" si="4"/>
        <v>Prod</v>
      </c>
      <c r="D77" s="29">
        <v>31617</v>
      </c>
      <c r="E77" s="29" t="s">
        <v>1595</v>
      </c>
      <c r="F77" s="83">
        <v>0</v>
      </c>
      <c r="G77" s="83">
        <v>0</v>
      </c>
      <c r="H77" s="83">
        <v>0</v>
      </c>
      <c r="I77" s="1606">
        <f t="shared" si="6"/>
        <v>0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83">
        <v>0</v>
      </c>
      <c r="P77" s="83">
        <v>0</v>
      </c>
      <c r="Q77" s="1606">
        <f t="shared" si="7"/>
        <v>0</v>
      </c>
      <c r="R77" s="83">
        <v>0</v>
      </c>
      <c r="S77" s="83">
        <v>0</v>
      </c>
      <c r="T77" s="1673">
        <v>0</v>
      </c>
      <c r="V77" s="328" t="s">
        <v>1441</v>
      </c>
      <c r="W77" s="29">
        <v>34132</v>
      </c>
      <c r="Y77" s="503"/>
      <c r="Z77" s="503"/>
      <c r="AA77" s="503"/>
      <c r="AB77" s="503"/>
    </row>
    <row r="78" spans="1:28">
      <c r="A78">
        <f>+_xlfn.XMATCH(D78,'300s - 5 Digit FERC Accounts'!B:B)</f>
        <v>76</v>
      </c>
      <c r="B78" s="1608" t="str">
        <f t="shared" si="5"/>
        <v>316</v>
      </c>
      <c r="C78" s="1608" t="str">
        <f t="shared" si="4"/>
        <v>Prod</v>
      </c>
      <c r="D78" s="29">
        <v>31630</v>
      </c>
      <c r="E78" s="29" t="s">
        <v>1596</v>
      </c>
      <c r="F78" s="83">
        <v>0</v>
      </c>
      <c r="G78" s="83">
        <v>0</v>
      </c>
      <c r="H78" s="83">
        <v>0</v>
      </c>
      <c r="I78" s="1606">
        <f t="shared" si="6"/>
        <v>0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83">
        <v>0</v>
      </c>
      <c r="P78" s="83">
        <v>0</v>
      </c>
      <c r="Q78" s="1606">
        <f t="shared" si="7"/>
        <v>0</v>
      </c>
      <c r="R78" s="83">
        <v>0</v>
      </c>
      <c r="S78" s="83">
        <v>0</v>
      </c>
      <c r="T78" s="1673">
        <v>0</v>
      </c>
      <c r="V78" s="328" t="s">
        <v>1441</v>
      </c>
      <c r="W78" s="29">
        <v>34133</v>
      </c>
      <c r="Y78" s="503"/>
      <c r="Z78" s="503"/>
      <c r="AA78" s="503"/>
      <c r="AB78" s="503"/>
    </row>
    <row r="79" spans="1:28">
      <c r="A79">
        <f>+_xlfn.XMATCH(D79,'300s - 5 Digit FERC Accounts'!B:B)</f>
        <v>77</v>
      </c>
      <c r="B79" s="1608" t="str">
        <f t="shared" si="5"/>
        <v>316</v>
      </c>
      <c r="C79" s="1608" t="str">
        <f t="shared" si="4"/>
        <v>Prod</v>
      </c>
      <c r="D79" s="29">
        <v>31631</v>
      </c>
      <c r="E79" s="29" t="s">
        <v>8212</v>
      </c>
      <c r="F79" s="83">
        <v>0</v>
      </c>
      <c r="G79" s="83">
        <v>0</v>
      </c>
      <c r="H79" s="83">
        <v>0</v>
      </c>
      <c r="I79" s="1606">
        <f t="shared" si="6"/>
        <v>0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83">
        <v>0</v>
      </c>
      <c r="P79" s="83">
        <v>0</v>
      </c>
      <c r="Q79" s="1606">
        <f t="shared" si="7"/>
        <v>0</v>
      </c>
      <c r="R79" s="83">
        <v>0</v>
      </c>
      <c r="S79" s="83">
        <v>0</v>
      </c>
      <c r="T79" s="1673">
        <v>0</v>
      </c>
      <c r="V79" s="328" t="s">
        <v>1441</v>
      </c>
      <c r="W79" s="29">
        <v>34134</v>
      </c>
      <c r="Y79" s="503"/>
      <c r="Z79" s="503"/>
      <c r="AA79" s="503"/>
      <c r="AB79" s="503"/>
    </row>
    <row r="80" spans="1:28">
      <c r="A80">
        <f>+_xlfn.XMATCH(D80,'300s - 5 Digit FERC Accounts'!B:B)</f>
        <v>78</v>
      </c>
      <c r="B80" s="1608" t="str">
        <f t="shared" si="5"/>
        <v>316</v>
      </c>
      <c r="C80" s="1608" t="str">
        <f t="shared" si="4"/>
        <v>Prod</v>
      </c>
      <c r="D80" s="29">
        <v>31632</v>
      </c>
      <c r="E80" s="29" t="s">
        <v>8213</v>
      </c>
      <c r="F80" s="83">
        <v>0</v>
      </c>
      <c r="G80" s="83">
        <v>0</v>
      </c>
      <c r="H80" s="83">
        <v>0</v>
      </c>
      <c r="I80" s="1606">
        <f t="shared" si="6"/>
        <v>0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83">
        <v>0</v>
      </c>
      <c r="P80" s="83">
        <v>0</v>
      </c>
      <c r="Q80" s="1606">
        <f t="shared" si="7"/>
        <v>0</v>
      </c>
      <c r="R80" s="83">
        <v>0</v>
      </c>
      <c r="S80" s="83">
        <v>0</v>
      </c>
      <c r="T80" s="1673">
        <v>0</v>
      </c>
      <c r="V80" s="328" t="s">
        <v>1441</v>
      </c>
      <c r="W80" s="29">
        <v>34135</v>
      </c>
      <c r="Y80" s="503"/>
      <c r="Z80" s="503"/>
      <c r="AA80" s="503"/>
      <c r="AB80" s="503"/>
    </row>
    <row r="81" spans="1:28">
      <c r="A81">
        <f>+_xlfn.XMATCH(D81,'300s - 5 Digit FERC Accounts'!B:B)</f>
        <v>79</v>
      </c>
      <c r="B81" s="1608" t="str">
        <f t="shared" si="5"/>
        <v>316</v>
      </c>
      <c r="C81" s="1608" t="str">
        <f t="shared" si="4"/>
        <v>Prod</v>
      </c>
      <c r="D81" s="29">
        <v>31633</v>
      </c>
      <c r="E81" s="29" t="s">
        <v>8214</v>
      </c>
      <c r="F81" s="83">
        <v>0</v>
      </c>
      <c r="G81" s="83">
        <v>0</v>
      </c>
      <c r="H81" s="83">
        <v>0</v>
      </c>
      <c r="I81" s="1606">
        <f t="shared" si="6"/>
        <v>0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83">
        <v>0</v>
      </c>
      <c r="P81" s="83">
        <v>0</v>
      </c>
      <c r="Q81" s="1606">
        <f t="shared" si="7"/>
        <v>0</v>
      </c>
      <c r="R81" s="83">
        <v>0</v>
      </c>
      <c r="S81" s="83">
        <v>0</v>
      </c>
      <c r="T81" s="1673">
        <v>0</v>
      </c>
      <c r="V81" s="328" t="s">
        <v>1441</v>
      </c>
      <c r="W81" s="29">
        <v>34136</v>
      </c>
      <c r="Y81" s="503"/>
      <c r="Z81" s="503"/>
      <c r="AA81" s="503"/>
      <c r="AB81" s="503"/>
    </row>
    <row r="82" spans="1:28">
      <c r="A82">
        <f>+_xlfn.XMATCH(D82,'300s - 5 Digit FERC Accounts'!B:B)</f>
        <v>80</v>
      </c>
      <c r="B82" s="1608" t="str">
        <f t="shared" si="5"/>
        <v>316</v>
      </c>
      <c r="C82" s="1608" t="str">
        <f t="shared" si="4"/>
        <v>Prod</v>
      </c>
      <c r="D82" s="29">
        <v>31634</v>
      </c>
      <c r="E82" s="29" t="s">
        <v>8215</v>
      </c>
      <c r="F82" s="83">
        <v>0</v>
      </c>
      <c r="G82" s="83">
        <v>0</v>
      </c>
      <c r="H82" s="83">
        <v>0</v>
      </c>
      <c r="I82" s="1606">
        <f t="shared" si="6"/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83">
        <v>0</v>
      </c>
      <c r="P82" s="83">
        <v>0</v>
      </c>
      <c r="Q82" s="1606">
        <f t="shared" si="7"/>
        <v>0</v>
      </c>
      <c r="R82" s="83">
        <v>0</v>
      </c>
      <c r="S82" s="83">
        <v>0</v>
      </c>
      <c r="T82" s="1673">
        <v>0</v>
      </c>
      <c r="V82" s="328" t="s">
        <v>1441</v>
      </c>
      <c r="W82" s="29">
        <v>34141</v>
      </c>
      <c r="Y82" s="503"/>
      <c r="Z82" s="503"/>
      <c r="AA82" s="503"/>
      <c r="AB82" s="503"/>
    </row>
    <row r="83" spans="1:28">
      <c r="A83">
        <f>+_xlfn.XMATCH(D83,'300s - 5 Digit FERC Accounts'!B:B)</f>
        <v>81</v>
      </c>
      <c r="B83" s="1608" t="str">
        <f t="shared" si="5"/>
        <v>316</v>
      </c>
      <c r="C83" s="1608" t="str">
        <f t="shared" si="4"/>
        <v>Prod</v>
      </c>
      <c r="D83" s="29">
        <v>31640</v>
      </c>
      <c r="E83" s="29" t="s">
        <v>1597</v>
      </c>
      <c r="F83" s="83">
        <v>26448498.799999997</v>
      </c>
      <c r="G83" s="83">
        <v>0</v>
      </c>
      <c r="H83" s="83">
        <v>0</v>
      </c>
      <c r="I83" s="1606">
        <f t="shared" si="6"/>
        <v>0</v>
      </c>
      <c r="J83" s="83">
        <v>26448498.799999997</v>
      </c>
      <c r="K83" s="83">
        <v>26448498.800000001</v>
      </c>
      <c r="L83" s="83">
        <v>11794161.239999993</v>
      </c>
      <c r="M83" s="83">
        <v>534259.68000000005</v>
      </c>
      <c r="N83" s="83">
        <v>0</v>
      </c>
      <c r="O83" s="83">
        <v>0</v>
      </c>
      <c r="P83" s="83">
        <v>0</v>
      </c>
      <c r="Q83" s="1606">
        <f t="shared" si="7"/>
        <v>0</v>
      </c>
      <c r="R83" s="83">
        <v>12328420.919999992</v>
      </c>
      <c r="S83" s="83">
        <v>12061291.08</v>
      </c>
      <c r="T83" s="1673">
        <v>2.0199999999999999E-2</v>
      </c>
      <c r="V83" s="328" t="s">
        <v>1441</v>
      </c>
      <c r="W83" s="29">
        <v>34144</v>
      </c>
      <c r="Y83" s="503"/>
      <c r="Z83" s="503"/>
      <c r="AA83" s="503"/>
      <c r="AB83" s="503"/>
    </row>
    <row r="84" spans="1:28">
      <c r="A84">
        <f>+_xlfn.XMATCH(D84,'300s - 5 Digit FERC Accounts'!B:B)</f>
        <v>82</v>
      </c>
      <c r="B84" s="1608" t="str">
        <f t="shared" si="5"/>
        <v>316</v>
      </c>
      <c r="C84" s="1608" t="str">
        <f t="shared" si="4"/>
        <v>Prod</v>
      </c>
      <c r="D84" s="29">
        <v>31641</v>
      </c>
      <c r="E84" s="29" t="s">
        <v>1598</v>
      </c>
      <c r="F84" s="83">
        <v>0</v>
      </c>
      <c r="G84" s="83">
        <v>0</v>
      </c>
      <c r="H84" s="83">
        <v>0</v>
      </c>
      <c r="I84" s="1606">
        <f t="shared" si="6"/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1606">
        <f t="shared" si="7"/>
        <v>0</v>
      </c>
      <c r="R84" s="83">
        <v>0</v>
      </c>
      <c r="S84" s="83">
        <v>0</v>
      </c>
      <c r="T84" s="1673">
        <v>0</v>
      </c>
      <c r="V84" s="328" t="s">
        <v>1441</v>
      </c>
      <c r="W84" s="29">
        <v>34180</v>
      </c>
      <c r="Y84" s="503"/>
      <c r="Z84" s="503"/>
      <c r="AA84" s="503"/>
      <c r="AB84" s="503"/>
    </row>
    <row r="85" spans="1:28">
      <c r="A85">
        <f>+_xlfn.XMATCH(D85,'300s - 5 Digit FERC Accounts'!B:B)</f>
        <v>83</v>
      </c>
      <c r="B85" s="1608" t="str">
        <f t="shared" si="5"/>
        <v>316</v>
      </c>
      <c r="C85" s="1608" t="str">
        <f t="shared" si="4"/>
        <v>Prod</v>
      </c>
      <c r="D85" s="29">
        <v>31642</v>
      </c>
      <c r="E85" s="29" t="s">
        <v>1599</v>
      </c>
      <c r="F85" s="83">
        <v>0</v>
      </c>
      <c r="G85" s="83">
        <v>0</v>
      </c>
      <c r="H85" s="83">
        <v>0</v>
      </c>
      <c r="I85" s="1606">
        <f t="shared" si="6"/>
        <v>0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83">
        <v>0</v>
      </c>
      <c r="P85" s="83">
        <v>0</v>
      </c>
      <c r="Q85" s="1606">
        <f t="shared" si="7"/>
        <v>0</v>
      </c>
      <c r="R85" s="83">
        <v>0</v>
      </c>
      <c r="S85" s="83">
        <v>0</v>
      </c>
      <c r="T85" s="1673">
        <v>0</v>
      </c>
      <c r="V85" s="328" t="s">
        <v>1441</v>
      </c>
      <c r="W85" s="29">
        <v>34181</v>
      </c>
      <c r="Y85" s="503"/>
      <c r="Z85" s="503"/>
      <c r="AA85" s="503"/>
      <c r="AB85" s="503"/>
    </row>
    <row r="86" spans="1:28">
      <c r="A86">
        <f>+_xlfn.XMATCH(D86,'300s - 5 Digit FERC Accounts'!B:B)</f>
        <v>84</v>
      </c>
      <c r="B86" s="1608" t="str">
        <f t="shared" si="5"/>
        <v>316</v>
      </c>
      <c r="C86" s="1608" t="str">
        <f t="shared" si="4"/>
        <v>Prod</v>
      </c>
      <c r="D86" s="29">
        <v>31643</v>
      </c>
      <c r="E86" s="29" t="s">
        <v>1600</v>
      </c>
      <c r="F86" s="83">
        <v>0</v>
      </c>
      <c r="G86" s="83">
        <v>0</v>
      </c>
      <c r="H86" s="83">
        <v>0</v>
      </c>
      <c r="I86" s="1606">
        <f t="shared" si="6"/>
        <v>0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83">
        <v>0</v>
      </c>
      <c r="P86" s="83">
        <v>0</v>
      </c>
      <c r="Q86" s="1606">
        <f t="shared" si="7"/>
        <v>0</v>
      </c>
      <c r="R86" s="83">
        <v>0</v>
      </c>
      <c r="S86" s="83">
        <v>0</v>
      </c>
      <c r="T86" s="1673">
        <v>0</v>
      </c>
      <c r="V86" s="328" t="s">
        <v>1441</v>
      </c>
      <c r="W86" s="29">
        <v>34182</v>
      </c>
      <c r="Y86" s="503"/>
      <c r="Z86" s="503"/>
      <c r="AA86" s="503"/>
      <c r="AB86" s="503"/>
    </row>
    <row r="87" spans="1:28">
      <c r="A87">
        <f>+_xlfn.XMATCH(D87,'300s - 5 Digit FERC Accounts'!B:B)</f>
        <v>85</v>
      </c>
      <c r="B87" s="1608" t="str">
        <f t="shared" si="5"/>
        <v>316</v>
      </c>
      <c r="C87" s="1608" t="str">
        <f t="shared" si="4"/>
        <v>Prod</v>
      </c>
      <c r="D87" s="29">
        <v>31644</v>
      </c>
      <c r="E87" s="29" t="s">
        <v>1601</v>
      </c>
      <c r="F87" s="83">
        <v>5865811.79</v>
      </c>
      <c r="G87" s="83">
        <v>0</v>
      </c>
      <c r="H87" s="83">
        <v>0</v>
      </c>
      <c r="I87" s="1606">
        <f t="shared" si="6"/>
        <v>0</v>
      </c>
      <c r="J87" s="83">
        <v>5865811.79</v>
      </c>
      <c r="K87" s="83">
        <v>5865811.79</v>
      </c>
      <c r="L87" s="83">
        <v>4399680.9099999964</v>
      </c>
      <c r="M87" s="83">
        <v>112623.6</v>
      </c>
      <c r="N87" s="83">
        <v>0</v>
      </c>
      <c r="O87" s="83">
        <v>0</v>
      </c>
      <c r="P87" s="83">
        <v>0</v>
      </c>
      <c r="Q87" s="1606">
        <f t="shared" si="7"/>
        <v>0</v>
      </c>
      <c r="R87" s="83">
        <v>4512304.5099999961</v>
      </c>
      <c r="S87" s="83">
        <v>4455992.71</v>
      </c>
      <c r="T87" s="1673">
        <v>1.9199999999999998E-2</v>
      </c>
      <c r="V87" s="328" t="s">
        <v>1441</v>
      </c>
      <c r="W87" s="29">
        <v>34183</v>
      </c>
      <c r="Y87" s="503"/>
      <c r="Z87" s="503"/>
      <c r="AA87" s="503"/>
      <c r="AB87" s="503"/>
    </row>
    <row r="88" spans="1:28">
      <c r="A88">
        <f>+_xlfn.XMATCH(D88,'300s - 5 Digit FERC Accounts'!B:B)</f>
        <v>86</v>
      </c>
      <c r="B88" s="1608" t="str">
        <f t="shared" si="5"/>
        <v>316</v>
      </c>
      <c r="C88" s="1608" t="str">
        <f t="shared" si="4"/>
        <v>Prod</v>
      </c>
      <c r="D88" s="29">
        <v>31645</v>
      </c>
      <c r="E88" s="29" t="s">
        <v>1602</v>
      </c>
      <c r="F88" s="83">
        <v>1694847.9500000002</v>
      </c>
      <c r="G88" s="83">
        <v>0</v>
      </c>
      <c r="H88" s="83">
        <v>0</v>
      </c>
      <c r="I88" s="1606">
        <f t="shared" si="6"/>
        <v>0</v>
      </c>
      <c r="J88" s="83">
        <v>1694847.9500000002</v>
      </c>
      <c r="K88" s="83">
        <v>1694847.95</v>
      </c>
      <c r="L88" s="83">
        <v>1278883.3199999977</v>
      </c>
      <c r="M88" s="83">
        <v>32541.119999999999</v>
      </c>
      <c r="N88" s="83">
        <v>0</v>
      </c>
      <c r="O88" s="83">
        <v>0</v>
      </c>
      <c r="P88" s="83">
        <v>0</v>
      </c>
      <c r="Q88" s="1606">
        <f t="shared" si="7"/>
        <v>0</v>
      </c>
      <c r="R88" s="83">
        <v>1311424.4399999978</v>
      </c>
      <c r="S88" s="83">
        <v>1295153.8799999999</v>
      </c>
      <c r="T88" s="1673">
        <v>1.9199999999999998E-2</v>
      </c>
      <c r="V88" s="328" t="s">
        <v>1441</v>
      </c>
      <c r="W88" s="29">
        <v>34184</v>
      </c>
      <c r="Y88" s="503"/>
      <c r="Z88" s="503"/>
      <c r="AA88" s="503"/>
      <c r="AB88" s="503"/>
    </row>
    <row r="89" spans="1:28">
      <c r="A89">
        <f>+_xlfn.XMATCH(D89,'300s - 5 Digit FERC Accounts'!B:B)</f>
        <v>87</v>
      </c>
      <c r="B89" s="1608" t="str">
        <f t="shared" si="5"/>
        <v>316</v>
      </c>
      <c r="C89" s="1608" t="str">
        <f t="shared" si="4"/>
        <v>Prod</v>
      </c>
      <c r="D89" s="29">
        <v>31646</v>
      </c>
      <c r="E89" s="29" t="s">
        <v>1603</v>
      </c>
      <c r="F89" s="83">
        <v>0</v>
      </c>
      <c r="G89" s="83">
        <v>0</v>
      </c>
      <c r="H89" s="83">
        <v>0</v>
      </c>
      <c r="I89" s="1606">
        <f t="shared" si="6"/>
        <v>0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83">
        <v>0</v>
      </c>
      <c r="P89" s="83">
        <v>0</v>
      </c>
      <c r="Q89" s="1606">
        <f t="shared" si="7"/>
        <v>0</v>
      </c>
      <c r="R89" s="83">
        <v>0</v>
      </c>
      <c r="S89" s="83">
        <v>0</v>
      </c>
      <c r="T89" s="1673">
        <v>0</v>
      </c>
      <c r="V89" s="328" t="s">
        <v>1441</v>
      </c>
      <c r="W89" s="29">
        <v>34185</v>
      </c>
      <c r="Y89" s="503"/>
      <c r="Z89" s="503"/>
      <c r="AA89" s="503"/>
      <c r="AB89" s="503"/>
    </row>
    <row r="90" spans="1:28">
      <c r="A90">
        <f>+_xlfn.XMATCH(D90,'300s - 5 Digit FERC Accounts'!B:B)</f>
        <v>88</v>
      </c>
      <c r="B90" s="1608" t="str">
        <f t="shared" si="5"/>
        <v>316</v>
      </c>
      <c r="C90" s="1608" t="str">
        <f t="shared" si="4"/>
        <v>Prod</v>
      </c>
      <c r="D90" s="29">
        <v>31647</v>
      </c>
      <c r="E90" s="29" t="s">
        <v>1604</v>
      </c>
      <c r="F90" s="83">
        <v>765494.25000000023</v>
      </c>
      <c r="G90" s="83">
        <v>0</v>
      </c>
      <c r="H90" s="83">
        <v>-37591.32</v>
      </c>
      <c r="I90" s="1606">
        <f t="shared" si="6"/>
        <v>0</v>
      </c>
      <c r="J90" s="83">
        <v>727902.93000000028</v>
      </c>
      <c r="K90" s="83">
        <v>736139.37</v>
      </c>
      <c r="L90" s="83">
        <v>312572.24000000005</v>
      </c>
      <c r="M90" s="83">
        <v>105366.11</v>
      </c>
      <c r="N90" s="83">
        <v>-37591.32</v>
      </c>
      <c r="O90" s="83">
        <v>0</v>
      </c>
      <c r="P90" s="83">
        <v>0</v>
      </c>
      <c r="Q90" s="1606">
        <f t="shared" si="7"/>
        <v>0</v>
      </c>
      <c r="R90" s="83">
        <v>380347.03</v>
      </c>
      <c r="S90" s="83">
        <v>336339.82</v>
      </c>
      <c r="T90" s="1673">
        <v>0.14300000000000002</v>
      </c>
      <c r="V90" s="328" t="s">
        <v>1441</v>
      </c>
      <c r="W90" s="29">
        <v>34186</v>
      </c>
      <c r="Y90" s="503"/>
      <c r="Z90" s="503"/>
      <c r="AA90" s="503"/>
      <c r="AB90" s="503"/>
    </row>
    <row r="91" spans="1:28">
      <c r="A91">
        <f>+_xlfn.XMATCH(D91,'300s - 5 Digit FERC Accounts'!B:B)</f>
        <v>89</v>
      </c>
      <c r="B91" s="1608" t="str">
        <f t="shared" si="5"/>
        <v>316</v>
      </c>
      <c r="C91" s="1608" t="str">
        <f t="shared" si="4"/>
        <v>Prod</v>
      </c>
      <c r="D91" s="29">
        <v>31651</v>
      </c>
      <c r="E91" s="29" t="s">
        <v>1605</v>
      </c>
      <c r="F91" s="83">
        <v>0</v>
      </c>
      <c r="G91" s="83">
        <v>0</v>
      </c>
      <c r="H91" s="83">
        <v>0</v>
      </c>
      <c r="I91" s="1606">
        <f t="shared" si="6"/>
        <v>0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83">
        <v>0</v>
      </c>
      <c r="P91" s="83">
        <v>0</v>
      </c>
      <c r="Q91" s="1606">
        <f t="shared" si="7"/>
        <v>0</v>
      </c>
      <c r="R91" s="83">
        <v>0</v>
      </c>
      <c r="S91" s="83">
        <v>0</v>
      </c>
      <c r="T91" s="1673">
        <v>0</v>
      </c>
      <c r="V91" s="328" t="s">
        <v>1441</v>
      </c>
      <c r="W91" s="29">
        <v>34199</v>
      </c>
      <c r="Y91" s="503"/>
      <c r="Z91" s="503"/>
      <c r="AA91" s="503"/>
      <c r="AB91" s="503"/>
    </row>
    <row r="92" spans="1:28">
      <c r="A92">
        <f>+_xlfn.XMATCH(D92,'300s - 5 Digit FERC Accounts'!B:B)</f>
        <v>90</v>
      </c>
      <c r="B92" s="1608" t="str">
        <f t="shared" si="5"/>
        <v>316</v>
      </c>
      <c r="C92" s="1608" t="str">
        <f t="shared" si="4"/>
        <v>Prod</v>
      </c>
      <c r="D92" s="29">
        <v>31652</v>
      </c>
      <c r="E92" s="29" t="s">
        <v>1606</v>
      </c>
      <c r="F92" s="83">
        <v>0</v>
      </c>
      <c r="G92" s="83">
        <v>0</v>
      </c>
      <c r="H92" s="83">
        <v>0</v>
      </c>
      <c r="I92" s="1606">
        <f t="shared" si="6"/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83">
        <v>0</v>
      </c>
      <c r="P92" s="83">
        <v>0</v>
      </c>
      <c r="Q92" s="1606">
        <f t="shared" si="7"/>
        <v>0</v>
      </c>
      <c r="R92" s="83">
        <v>0</v>
      </c>
      <c r="S92" s="83">
        <v>0</v>
      </c>
      <c r="T92" s="1673">
        <v>0</v>
      </c>
      <c r="V92" s="328" t="s">
        <v>1441</v>
      </c>
      <c r="W92" s="29">
        <v>34228</v>
      </c>
      <c r="Y92" s="503"/>
      <c r="Z92" s="503"/>
      <c r="AA92" s="503"/>
      <c r="AB92" s="503"/>
    </row>
    <row r="93" spans="1:28">
      <c r="A93">
        <f>+_xlfn.XMATCH(D93,'300s - 5 Digit FERC Accounts'!B:B)</f>
        <v>91</v>
      </c>
      <c r="B93" s="1608" t="str">
        <f t="shared" si="5"/>
        <v>316</v>
      </c>
      <c r="C93" s="1608" t="str">
        <f t="shared" si="4"/>
        <v>Prod</v>
      </c>
      <c r="D93" s="29">
        <v>31653</v>
      </c>
      <c r="E93" s="29" t="s">
        <v>1607</v>
      </c>
      <c r="F93" s="83">
        <v>0</v>
      </c>
      <c r="G93" s="83">
        <v>0</v>
      </c>
      <c r="H93" s="83">
        <v>0</v>
      </c>
      <c r="I93" s="1606">
        <f t="shared" si="6"/>
        <v>0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83">
        <v>0</v>
      </c>
      <c r="P93" s="83">
        <v>0</v>
      </c>
      <c r="Q93" s="1606">
        <f t="shared" si="7"/>
        <v>0</v>
      </c>
      <c r="R93" s="83">
        <v>0</v>
      </c>
      <c r="S93" s="83">
        <v>0</v>
      </c>
      <c r="T93" s="1673">
        <v>0</v>
      </c>
      <c r="V93" s="328" t="s">
        <v>1441</v>
      </c>
      <c r="W93" s="29">
        <v>34230</v>
      </c>
      <c r="Y93" s="503"/>
      <c r="Z93" s="503"/>
      <c r="AA93" s="503"/>
      <c r="AB93" s="503"/>
    </row>
    <row r="94" spans="1:28">
      <c r="A94">
        <f>+_xlfn.XMATCH(D94,'300s - 5 Digit FERC Accounts'!B:B)</f>
        <v>92</v>
      </c>
      <c r="B94" s="1608" t="str">
        <f t="shared" si="5"/>
        <v>316</v>
      </c>
      <c r="C94" s="1608" t="str">
        <f t="shared" si="4"/>
        <v>Prod</v>
      </c>
      <c r="D94" s="29">
        <v>31654</v>
      </c>
      <c r="E94" s="29" t="s">
        <v>1608</v>
      </c>
      <c r="F94" s="83">
        <v>687934.36</v>
      </c>
      <c r="G94" s="83">
        <v>0</v>
      </c>
      <c r="H94" s="83">
        <v>0</v>
      </c>
      <c r="I94" s="1606">
        <f t="shared" si="6"/>
        <v>0</v>
      </c>
      <c r="J94" s="83">
        <v>687934.36</v>
      </c>
      <c r="K94" s="83">
        <v>687934.36</v>
      </c>
      <c r="L94" s="83">
        <v>377528.43999999983</v>
      </c>
      <c r="M94" s="83">
        <v>13208.28</v>
      </c>
      <c r="N94" s="83">
        <v>0</v>
      </c>
      <c r="O94" s="83">
        <v>0</v>
      </c>
      <c r="P94" s="83">
        <v>0</v>
      </c>
      <c r="Q94" s="1606">
        <f t="shared" si="7"/>
        <v>0</v>
      </c>
      <c r="R94" s="83">
        <v>390736.71999999986</v>
      </c>
      <c r="S94" s="83">
        <v>384132.58</v>
      </c>
      <c r="T94" s="1673">
        <v>1.9199999999999998E-2</v>
      </c>
      <c r="V94" s="328" t="s">
        <v>1441</v>
      </c>
      <c r="W94" s="29">
        <v>34231</v>
      </c>
      <c r="Y94" s="503"/>
      <c r="Z94" s="503"/>
      <c r="AA94" s="503"/>
      <c r="AB94" s="503"/>
    </row>
    <row r="95" spans="1:28">
      <c r="A95">
        <f>+_xlfn.XMATCH(D95,'300s - 5 Digit FERC Accounts'!B:B)</f>
        <v>93</v>
      </c>
      <c r="B95" s="1608" t="str">
        <f t="shared" si="5"/>
        <v>317</v>
      </c>
      <c r="C95" s="1608" t="str">
        <f t="shared" si="4"/>
        <v>ARO</v>
      </c>
      <c r="D95" s="29">
        <v>31700</v>
      </c>
      <c r="E95" s="29" t="s">
        <v>1609</v>
      </c>
      <c r="F95" s="83">
        <v>5602918.4799999967</v>
      </c>
      <c r="G95" s="83">
        <v>0</v>
      </c>
      <c r="H95" s="83">
        <v>0</v>
      </c>
      <c r="I95" s="1606">
        <f t="shared" si="6"/>
        <v>0</v>
      </c>
      <c r="J95" s="83">
        <v>5602918.4799999967</v>
      </c>
      <c r="K95" s="83">
        <v>5602918.4800000004</v>
      </c>
      <c r="L95" s="83">
        <v>1504338.839999988</v>
      </c>
      <c r="M95" s="83">
        <v>156881.76</v>
      </c>
      <c r="N95" s="83">
        <v>0</v>
      </c>
      <c r="O95" s="83">
        <v>0</v>
      </c>
      <c r="P95" s="83">
        <v>0</v>
      </c>
      <c r="Q95" s="1606">
        <f t="shared" si="7"/>
        <v>0</v>
      </c>
      <c r="R95" s="83">
        <v>1661220.599999988</v>
      </c>
      <c r="S95" s="83">
        <v>1582779.72</v>
      </c>
      <c r="T95" s="1673">
        <v>2.7999999999999997E-2</v>
      </c>
      <c r="V95" s="328" t="s">
        <v>1441</v>
      </c>
      <c r="W95" s="29">
        <v>34232</v>
      </c>
      <c r="Y95" s="503"/>
      <c r="Z95" s="503"/>
      <c r="AA95" s="503"/>
      <c r="AB95" s="503"/>
    </row>
    <row r="96" spans="1:28">
      <c r="A96">
        <f>+_xlfn.XMATCH(D96,'300s - 5 Digit FERC Accounts'!B:B)</f>
        <v>94</v>
      </c>
      <c r="B96" s="1608" t="str">
        <f t="shared" si="5"/>
        <v>340</v>
      </c>
      <c r="C96" s="1608" t="str">
        <f t="shared" si="4"/>
        <v>Prod</v>
      </c>
      <c r="D96" s="29">
        <v>34028</v>
      </c>
      <c r="E96" s="29" t="s">
        <v>1610</v>
      </c>
      <c r="F96" s="83">
        <v>0</v>
      </c>
      <c r="G96" s="83">
        <v>0</v>
      </c>
      <c r="H96" s="83">
        <v>0</v>
      </c>
      <c r="I96" s="1606">
        <f t="shared" si="6"/>
        <v>0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83">
        <v>0</v>
      </c>
      <c r="P96" s="83">
        <v>0</v>
      </c>
      <c r="Q96" s="1606">
        <f t="shared" si="7"/>
        <v>0</v>
      </c>
      <c r="R96" s="83">
        <v>0</v>
      </c>
      <c r="S96" s="83">
        <v>0</v>
      </c>
      <c r="T96" s="1673">
        <v>0</v>
      </c>
      <c r="V96" s="328" t="s">
        <v>1441</v>
      </c>
      <c r="W96" s="29">
        <v>34233</v>
      </c>
      <c r="Y96" s="503"/>
      <c r="Z96" s="503"/>
      <c r="AA96" s="503"/>
      <c r="AB96" s="503"/>
    </row>
    <row r="97" spans="1:28">
      <c r="A97">
        <f>+_xlfn.XMATCH(D97,'300s - 5 Digit FERC Accounts'!B:B)</f>
        <v>95</v>
      </c>
      <c r="B97" s="1608" t="str">
        <f t="shared" si="5"/>
        <v>340</v>
      </c>
      <c r="C97" s="1608" t="str">
        <f t="shared" si="4"/>
        <v>Prod</v>
      </c>
      <c r="D97" s="29">
        <v>34030</v>
      </c>
      <c r="E97" s="29" t="s">
        <v>1611</v>
      </c>
      <c r="F97" s="83">
        <v>1592891.05</v>
      </c>
      <c r="G97" s="83">
        <v>0</v>
      </c>
      <c r="H97" s="83">
        <v>0</v>
      </c>
      <c r="I97" s="1606">
        <f t="shared" si="6"/>
        <v>0</v>
      </c>
      <c r="J97" s="83">
        <v>1592891.05</v>
      </c>
      <c r="K97" s="83">
        <v>1592891.05</v>
      </c>
      <c r="L97" s="83">
        <v>0</v>
      </c>
      <c r="M97" s="83">
        <v>0</v>
      </c>
      <c r="N97" s="83">
        <v>0</v>
      </c>
      <c r="O97" s="83">
        <v>0</v>
      </c>
      <c r="P97" s="83">
        <v>0</v>
      </c>
      <c r="Q97" s="1606">
        <f t="shared" si="7"/>
        <v>0</v>
      </c>
      <c r="R97" s="83">
        <v>0</v>
      </c>
      <c r="S97" s="83">
        <v>0</v>
      </c>
      <c r="T97" s="1673">
        <v>0</v>
      </c>
      <c r="V97" s="328" t="s">
        <v>1441</v>
      </c>
      <c r="W97" s="29">
        <v>34234</v>
      </c>
      <c r="Y97" s="503"/>
      <c r="Z97" s="503"/>
      <c r="AA97" s="503"/>
      <c r="AB97" s="503"/>
    </row>
    <row r="98" spans="1:28">
      <c r="A98">
        <f>+_xlfn.XMATCH(D98,'300s - 5 Digit FERC Accounts'!B:B)</f>
        <v>96</v>
      </c>
      <c r="B98" s="1608" t="str">
        <f t="shared" si="5"/>
        <v>340</v>
      </c>
      <c r="C98" s="1608" t="str">
        <f t="shared" si="4"/>
        <v>Prod</v>
      </c>
      <c r="D98" s="29">
        <v>34042</v>
      </c>
      <c r="E98" s="29" t="s">
        <v>8216</v>
      </c>
      <c r="F98" s="83">
        <v>0</v>
      </c>
      <c r="G98" s="83">
        <v>0</v>
      </c>
      <c r="H98" s="83">
        <v>0</v>
      </c>
      <c r="I98" s="1606">
        <f t="shared" si="6"/>
        <v>0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83">
        <v>0</v>
      </c>
      <c r="P98" s="83">
        <v>0</v>
      </c>
      <c r="Q98" s="1606">
        <f t="shared" si="7"/>
        <v>0</v>
      </c>
      <c r="R98" s="83">
        <v>0</v>
      </c>
      <c r="S98" s="83">
        <v>0</v>
      </c>
      <c r="T98" s="1673">
        <v>0</v>
      </c>
      <c r="V98" s="328" t="s">
        <v>1441</v>
      </c>
      <c r="W98" s="29">
        <v>34235</v>
      </c>
      <c r="Y98" s="503"/>
      <c r="Z98" s="503"/>
      <c r="AA98" s="503"/>
      <c r="AB98" s="503"/>
    </row>
    <row r="99" spans="1:28">
      <c r="A99">
        <f>+_xlfn.XMATCH(D99,'300s - 5 Digit FERC Accounts'!B:B)</f>
        <v>97</v>
      </c>
      <c r="B99" s="1608" t="str">
        <f t="shared" si="5"/>
        <v>340</v>
      </c>
      <c r="C99" s="1608" t="str">
        <f t="shared" si="4"/>
        <v>Prod</v>
      </c>
      <c r="D99" s="29">
        <v>34081</v>
      </c>
      <c r="E99" s="29" t="s">
        <v>1612</v>
      </c>
      <c r="F99" s="83">
        <v>18197341.469999999</v>
      </c>
      <c r="G99" s="83">
        <v>0</v>
      </c>
      <c r="H99" s="83">
        <v>0</v>
      </c>
      <c r="I99" s="1606">
        <f t="shared" si="6"/>
        <v>0</v>
      </c>
      <c r="J99" s="83">
        <v>18197341.469999999</v>
      </c>
      <c r="K99" s="83">
        <v>18197341.469999999</v>
      </c>
      <c r="L99" s="83">
        <v>0</v>
      </c>
      <c r="M99" s="83">
        <v>0</v>
      </c>
      <c r="N99" s="83">
        <v>0</v>
      </c>
      <c r="O99" s="83">
        <v>0</v>
      </c>
      <c r="P99" s="83">
        <v>0</v>
      </c>
      <c r="Q99" s="1606">
        <f t="shared" si="7"/>
        <v>0</v>
      </c>
      <c r="R99" s="83">
        <v>0</v>
      </c>
      <c r="S99" s="83">
        <v>0</v>
      </c>
      <c r="T99" s="1673">
        <v>0</v>
      </c>
      <c r="V99" s="328" t="s">
        <v>1441</v>
      </c>
      <c r="W99" s="29">
        <v>34236</v>
      </c>
      <c r="Y99" s="503"/>
      <c r="Z99" s="503"/>
      <c r="AA99" s="503"/>
      <c r="AB99" s="503"/>
    </row>
    <row r="100" spans="1:28">
      <c r="A100">
        <f>+_xlfn.XMATCH(D100,'300s - 5 Digit FERC Accounts'!B:B)</f>
        <v>98</v>
      </c>
      <c r="B100" s="1608" t="str">
        <f t="shared" si="5"/>
        <v>340</v>
      </c>
      <c r="C100" s="1608" t="str">
        <f t="shared" si="4"/>
        <v>Prod</v>
      </c>
      <c r="D100" s="29">
        <v>34099</v>
      </c>
      <c r="E100" s="29" t="s">
        <v>1613</v>
      </c>
      <c r="F100" s="83">
        <v>174163367.94</v>
      </c>
      <c r="G100" s="83">
        <v>15362126.26</v>
      </c>
      <c r="H100" s="83">
        <v>0</v>
      </c>
      <c r="I100" s="1606">
        <f t="shared" si="6"/>
        <v>-9.3132257461547852E-9</v>
      </c>
      <c r="J100" s="83">
        <v>189525494.19999999</v>
      </c>
      <c r="K100" s="83">
        <v>175345069.96000001</v>
      </c>
      <c r="L100" s="83">
        <v>0</v>
      </c>
      <c r="M100" s="83">
        <v>0</v>
      </c>
      <c r="N100" s="83">
        <v>0</v>
      </c>
      <c r="O100" s="83">
        <v>0</v>
      </c>
      <c r="P100" s="83">
        <v>0</v>
      </c>
      <c r="Q100" s="1606">
        <f t="shared" si="7"/>
        <v>0</v>
      </c>
      <c r="R100" s="83">
        <v>0</v>
      </c>
      <c r="S100" s="83">
        <v>0</v>
      </c>
      <c r="T100" s="1673">
        <v>0</v>
      </c>
      <c r="V100" s="328" t="s">
        <v>1441</v>
      </c>
      <c r="W100" s="29">
        <v>34241</v>
      </c>
      <c r="Y100" s="503"/>
      <c r="Z100" s="503"/>
      <c r="AA100" s="503"/>
      <c r="AB100" s="503"/>
    </row>
    <row r="101" spans="1:28">
      <c r="A101">
        <f>+_xlfn.XMATCH(D101,'300s - 5 Digit FERC Accounts'!B:B)</f>
        <v>99</v>
      </c>
      <c r="B101" s="1608" t="str">
        <f t="shared" si="5"/>
        <v>341</v>
      </c>
      <c r="C101" s="1608" t="str">
        <f t="shared" si="4"/>
        <v>Prod</v>
      </c>
      <c r="D101" s="29">
        <v>34120</v>
      </c>
      <c r="E101" s="29" t="s">
        <v>8953</v>
      </c>
      <c r="F101" s="83">
        <v>0</v>
      </c>
      <c r="G101" s="83">
        <v>0</v>
      </c>
      <c r="H101" s="83">
        <v>0</v>
      </c>
      <c r="I101" s="1606">
        <f t="shared" si="6"/>
        <v>0</v>
      </c>
      <c r="J101" s="83">
        <v>0</v>
      </c>
      <c r="K101" s="83">
        <v>0</v>
      </c>
      <c r="L101" s="83">
        <v>0</v>
      </c>
      <c r="M101" s="83">
        <v>0</v>
      </c>
      <c r="N101" s="83">
        <v>0</v>
      </c>
      <c r="O101" s="83">
        <v>0</v>
      </c>
      <c r="P101" s="83">
        <v>0</v>
      </c>
      <c r="Q101" s="1606">
        <f t="shared" si="7"/>
        <v>0</v>
      </c>
      <c r="R101" s="83">
        <v>0</v>
      </c>
      <c r="S101" s="83">
        <v>0</v>
      </c>
      <c r="T101" s="1673">
        <v>2.2000000000000002E-2</v>
      </c>
      <c r="V101" s="328" t="s">
        <v>1441</v>
      </c>
      <c r="W101" s="29">
        <v>34244</v>
      </c>
      <c r="Y101" s="503"/>
      <c r="Z101" s="503"/>
      <c r="AA101" s="503"/>
      <c r="AB101" s="503"/>
    </row>
    <row r="102" spans="1:28">
      <c r="A102">
        <f>+_xlfn.XMATCH(D102,'300s - 5 Digit FERC Accounts'!B:B)</f>
        <v>100</v>
      </c>
      <c r="B102" s="1608" t="str">
        <f t="shared" si="5"/>
        <v>341</v>
      </c>
      <c r="C102" s="1608" t="str">
        <f t="shared" si="4"/>
        <v>Prod</v>
      </c>
      <c r="D102" s="29">
        <v>34128</v>
      </c>
      <c r="E102" s="29" t="s">
        <v>1614</v>
      </c>
      <c r="F102" s="83">
        <v>0</v>
      </c>
      <c r="G102" s="83">
        <v>0</v>
      </c>
      <c r="H102" s="83">
        <v>0</v>
      </c>
      <c r="I102" s="1606">
        <f t="shared" si="6"/>
        <v>0</v>
      </c>
      <c r="J102" s="83">
        <v>0</v>
      </c>
      <c r="K102" s="83">
        <v>0</v>
      </c>
      <c r="L102" s="83">
        <v>0</v>
      </c>
      <c r="M102" s="83">
        <v>0</v>
      </c>
      <c r="N102" s="83">
        <v>0</v>
      </c>
      <c r="O102" s="83">
        <v>0</v>
      </c>
      <c r="P102" s="83">
        <v>0</v>
      </c>
      <c r="Q102" s="1606">
        <f t="shared" si="7"/>
        <v>0</v>
      </c>
      <c r="R102" s="83">
        <v>0</v>
      </c>
      <c r="S102" s="83">
        <v>0</v>
      </c>
      <c r="T102" s="1673">
        <v>0</v>
      </c>
      <c r="V102" s="328" t="s">
        <v>1441</v>
      </c>
      <c r="W102" s="29">
        <v>34280</v>
      </c>
      <c r="Y102" s="503"/>
      <c r="Z102" s="503"/>
      <c r="AA102" s="503"/>
      <c r="AB102" s="503"/>
    </row>
    <row r="103" spans="1:28">
      <c r="A103">
        <f>+_xlfn.XMATCH(D103,'300s - 5 Digit FERC Accounts'!B:B)</f>
        <v>101</v>
      </c>
      <c r="B103" s="1608" t="str">
        <f t="shared" si="5"/>
        <v>341</v>
      </c>
      <c r="C103" s="1608" t="str">
        <f t="shared" si="4"/>
        <v>Prod</v>
      </c>
      <c r="D103" s="29">
        <v>34130</v>
      </c>
      <c r="E103" s="29" t="s">
        <v>1615</v>
      </c>
      <c r="F103" s="83">
        <v>112232113.92</v>
      </c>
      <c r="G103" s="83">
        <v>0</v>
      </c>
      <c r="H103" s="83">
        <v>0</v>
      </c>
      <c r="I103" s="1606">
        <f t="shared" si="6"/>
        <v>0</v>
      </c>
      <c r="J103" s="83">
        <v>112232113.92</v>
      </c>
      <c r="K103" s="83">
        <v>112232113.92</v>
      </c>
      <c r="L103" s="83">
        <v>27560672.960000008</v>
      </c>
      <c r="M103" s="83">
        <v>4152588.24</v>
      </c>
      <c r="N103" s="83">
        <v>0</v>
      </c>
      <c r="O103" s="83">
        <v>0</v>
      </c>
      <c r="P103" s="83">
        <v>0</v>
      </c>
      <c r="Q103" s="1606">
        <f t="shared" si="7"/>
        <v>0</v>
      </c>
      <c r="R103" s="83">
        <v>31713261.20000001</v>
      </c>
      <c r="S103" s="83">
        <v>29636967.079999998</v>
      </c>
      <c r="T103" s="1673">
        <v>3.7000000000000005E-2</v>
      </c>
      <c r="V103" s="328" t="s">
        <v>1441</v>
      </c>
      <c r="W103" s="29">
        <v>34281</v>
      </c>
      <c r="Y103" s="503"/>
      <c r="Z103" s="503"/>
      <c r="AA103" s="503"/>
      <c r="AB103" s="503"/>
    </row>
    <row r="104" spans="1:28">
      <c r="A104">
        <f>+_xlfn.XMATCH(D104,'300s - 5 Digit FERC Accounts'!B:B)</f>
        <v>102</v>
      </c>
      <c r="B104" s="1608" t="str">
        <f t="shared" si="5"/>
        <v>341</v>
      </c>
      <c r="C104" s="1608" t="str">
        <f t="shared" si="4"/>
        <v>Prod</v>
      </c>
      <c r="D104" s="29">
        <v>34131</v>
      </c>
      <c r="E104" s="29" t="s">
        <v>1616</v>
      </c>
      <c r="F104" s="83">
        <v>21253120.770000003</v>
      </c>
      <c r="G104" s="83">
        <v>0</v>
      </c>
      <c r="H104" s="83">
        <v>0</v>
      </c>
      <c r="I104" s="1606">
        <f t="shared" si="6"/>
        <v>0</v>
      </c>
      <c r="J104" s="83">
        <v>21253120.770000003</v>
      </c>
      <c r="K104" s="83">
        <v>21253120.77</v>
      </c>
      <c r="L104" s="83">
        <v>9609725.6199999861</v>
      </c>
      <c r="M104" s="83">
        <v>1041402.96</v>
      </c>
      <c r="N104" s="83">
        <v>0</v>
      </c>
      <c r="O104" s="83">
        <v>0</v>
      </c>
      <c r="P104" s="83">
        <v>0</v>
      </c>
      <c r="Q104" s="1606">
        <f t="shared" si="7"/>
        <v>0</v>
      </c>
      <c r="R104" s="83">
        <v>10651128.579999987</v>
      </c>
      <c r="S104" s="83">
        <v>10130427.1</v>
      </c>
      <c r="T104" s="1673">
        <v>4.9000000000000002E-2</v>
      </c>
      <c r="V104" s="328" t="s">
        <v>1441</v>
      </c>
      <c r="W104" s="29">
        <v>34282</v>
      </c>
      <c r="Y104" s="503"/>
      <c r="Z104" s="503"/>
      <c r="AA104" s="503"/>
      <c r="AB104" s="503"/>
    </row>
    <row r="105" spans="1:28">
      <c r="A105">
        <f>+_xlfn.XMATCH(D105,'300s - 5 Digit FERC Accounts'!B:B)</f>
        <v>103</v>
      </c>
      <c r="B105" s="1608" t="str">
        <f t="shared" si="5"/>
        <v>341</v>
      </c>
      <c r="C105" s="1608" t="str">
        <f t="shared" si="4"/>
        <v>Prod</v>
      </c>
      <c r="D105" s="29">
        <v>34132</v>
      </c>
      <c r="E105" s="29" t="s">
        <v>1617</v>
      </c>
      <c r="F105" s="83">
        <v>27131136.169999998</v>
      </c>
      <c r="G105" s="83">
        <v>0</v>
      </c>
      <c r="H105" s="83">
        <v>0</v>
      </c>
      <c r="I105" s="1606">
        <f t="shared" si="6"/>
        <v>0</v>
      </c>
      <c r="J105" s="83">
        <v>27131136.169999998</v>
      </c>
      <c r="K105" s="83">
        <v>27131136.170000002</v>
      </c>
      <c r="L105" s="83">
        <v>14552664.960000016</v>
      </c>
      <c r="M105" s="83">
        <v>1150360.2</v>
      </c>
      <c r="N105" s="83">
        <v>0</v>
      </c>
      <c r="O105" s="83">
        <v>0</v>
      </c>
      <c r="P105" s="83">
        <v>0</v>
      </c>
      <c r="Q105" s="1606">
        <f t="shared" si="7"/>
        <v>0</v>
      </c>
      <c r="R105" s="83">
        <v>15703025.160000015</v>
      </c>
      <c r="S105" s="83">
        <v>15127845.060000001</v>
      </c>
      <c r="T105" s="1673">
        <v>4.24E-2</v>
      </c>
      <c r="V105" s="328" t="s">
        <v>1441</v>
      </c>
      <c r="W105" s="29">
        <v>34283</v>
      </c>
      <c r="Y105" s="503"/>
      <c r="Z105" s="503"/>
      <c r="AA105" s="503"/>
      <c r="AB105" s="503"/>
    </row>
    <row r="106" spans="1:28">
      <c r="A106">
        <f>+_xlfn.XMATCH(D106,'300s - 5 Digit FERC Accounts'!B:B)</f>
        <v>104</v>
      </c>
      <c r="B106" s="1608" t="str">
        <f t="shared" si="5"/>
        <v>341</v>
      </c>
      <c r="C106" s="1608" t="str">
        <f t="shared" si="4"/>
        <v>Prod</v>
      </c>
      <c r="D106" s="29">
        <v>34133</v>
      </c>
      <c r="E106" s="29" t="s">
        <v>1618</v>
      </c>
      <c r="F106" s="83">
        <v>656349.29</v>
      </c>
      <c r="G106" s="83">
        <v>0</v>
      </c>
      <c r="H106" s="83">
        <v>0</v>
      </c>
      <c r="I106" s="1606">
        <f t="shared" si="6"/>
        <v>0</v>
      </c>
      <c r="J106" s="83">
        <v>656349.29</v>
      </c>
      <c r="K106" s="83">
        <v>656349.29</v>
      </c>
      <c r="L106" s="83">
        <v>75171.190000000031</v>
      </c>
      <c r="M106" s="83">
        <v>27829.200000000001</v>
      </c>
      <c r="N106" s="83">
        <v>0</v>
      </c>
      <c r="O106" s="83">
        <v>0</v>
      </c>
      <c r="P106" s="83">
        <v>0</v>
      </c>
      <c r="Q106" s="1606">
        <f t="shared" si="7"/>
        <v>0</v>
      </c>
      <c r="R106" s="83">
        <v>103000.39000000003</v>
      </c>
      <c r="S106" s="83">
        <v>89085.79</v>
      </c>
      <c r="T106" s="1673">
        <v>4.24E-2</v>
      </c>
      <c r="V106" s="328" t="s">
        <v>1441</v>
      </c>
      <c r="W106" s="29">
        <v>34284</v>
      </c>
      <c r="Y106" s="503"/>
      <c r="Z106" s="503"/>
      <c r="AA106" s="503"/>
      <c r="AB106" s="503"/>
    </row>
    <row r="107" spans="1:28">
      <c r="A107">
        <f>+_xlfn.XMATCH(D107,'300s - 5 Digit FERC Accounts'!B:B)</f>
        <v>105</v>
      </c>
      <c r="B107" s="1608" t="str">
        <f t="shared" si="5"/>
        <v>341</v>
      </c>
      <c r="C107" s="1608" t="str">
        <f t="shared" si="4"/>
        <v>Prod</v>
      </c>
      <c r="D107" s="29">
        <v>34134</v>
      </c>
      <c r="E107" s="29" t="s">
        <v>1619</v>
      </c>
      <c r="F107" s="83">
        <v>242333.96</v>
      </c>
      <c r="G107" s="83">
        <v>0</v>
      </c>
      <c r="H107" s="83">
        <v>0</v>
      </c>
      <c r="I107" s="1606">
        <f t="shared" si="6"/>
        <v>0</v>
      </c>
      <c r="J107" s="83">
        <v>242333.96</v>
      </c>
      <c r="K107" s="83">
        <v>242333.96</v>
      </c>
      <c r="L107" s="83">
        <v>-73139.029999999941</v>
      </c>
      <c r="M107" s="83">
        <v>14661.24</v>
      </c>
      <c r="N107" s="83">
        <v>0</v>
      </c>
      <c r="O107" s="83">
        <v>0</v>
      </c>
      <c r="P107" s="83">
        <v>0</v>
      </c>
      <c r="Q107" s="1606">
        <f t="shared" si="7"/>
        <v>0</v>
      </c>
      <c r="R107" s="83">
        <v>-58477.789999999943</v>
      </c>
      <c r="S107" s="83">
        <v>-65808.41</v>
      </c>
      <c r="T107" s="1673">
        <v>6.0499999999999998E-2</v>
      </c>
      <c r="V107" s="328" t="s">
        <v>1441</v>
      </c>
      <c r="W107" s="29">
        <v>34285</v>
      </c>
      <c r="Y107" s="503"/>
      <c r="Z107" s="503"/>
      <c r="AA107" s="503"/>
      <c r="AB107" s="503"/>
    </row>
    <row r="108" spans="1:28">
      <c r="A108">
        <f>+_xlfn.XMATCH(D108,'300s - 5 Digit FERC Accounts'!B:B)</f>
        <v>106</v>
      </c>
      <c r="B108" s="1608" t="str">
        <f t="shared" si="5"/>
        <v>341</v>
      </c>
      <c r="C108" s="1608" t="str">
        <f t="shared" si="4"/>
        <v>Prod</v>
      </c>
      <c r="D108" s="29">
        <v>34135</v>
      </c>
      <c r="E108" s="29" t="s">
        <v>1620</v>
      </c>
      <c r="F108" s="83">
        <v>793114.26</v>
      </c>
      <c r="G108" s="83">
        <v>0</v>
      </c>
      <c r="H108" s="83">
        <v>0</v>
      </c>
      <c r="I108" s="1606">
        <f t="shared" si="6"/>
        <v>0</v>
      </c>
      <c r="J108" s="83">
        <v>793114.26</v>
      </c>
      <c r="K108" s="83">
        <v>793114.26</v>
      </c>
      <c r="L108" s="83">
        <v>-27676.379999999997</v>
      </c>
      <c r="M108" s="83">
        <v>38545.32</v>
      </c>
      <c r="N108" s="83">
        <v>0</v>
      </c>
      <c r="O108" s="83">
        <v>0</v>
      </c>
      <c r="P108" s="83">
        <v>0</v>
      </c>
      <c r="Q108" s="1606">
        <f t="shared" si="7"/>
        <v>0</v>
      </c>
      <c r="R108" s="83">
        <v>10868.940000000002</v>
      </c>
      <c r="S108" s="83">
        <v>-8403.7199999999993</v>
      </c>
      <c r="T108" s="1673">
        <v>4.8600000000000004E-2</v>
      </c>
      <c r="V108" s="328" t="s">
        <v>1441</v>
      </c>
      <c r="W108" s="29">
        <v>34286</v>
      </c>
      <c r="Y108" s="503"/>
      <c r="Z108" s="503"/>
      <c r="AA108" s="503"/>
      <c r="AB108" s="503"/>
    </row>
    <row r="109" spans="1:28">
      <c r="A109">
        <f>+_xlfn.XMATCH(D109,'300s - 5 Digit FERC Accounts'!B:B)</f>
        <v>107</v>
      </c>
      <c r="B109" s="1608" t="str">
        <f t="shared" si="5"/>
        <v>341</v>
      </c>
      <c r="C109" s="1608" t="str">
        <f t="shared" si="4"/>
        <v>Prod</v>
      </c>
      <c r="D109" s="29">
        <v>34136</v>
      </c>
      <c r="E109" s="29" t="s">
        <v>1621</v>
      </c>
      <c r="F109" s="83">
        <v>2656231.54</v>
      </c>
      <c r="G109" s="83">
        <v>0</v>
      </c>
      <c r="H109" s="83">
        <v>0</v>
      </c>
      <c r="I109" s="1606">
        <f t="shared" si="6"/>
        <v>0</v>
      </c>
      <c r="J109" s="83">
        <v>2656231.54</v>
      </c>
      <c r="K109" s="83">
        <v>2656231.54</v>
      </c>
      <c r="L109" s="83">
        <v>695087.72000000114</v>
      </c>
      <c r="M109" s="83">
        <v>96155.64</v>
      </c>
      <c r="N109" s="83">
        <v>0</v>
      </c>
      <c r="O109" s="83">
        <v>0</v>
      </c>
      <c r="P109" s="83">
        <v>0</v>
      </c>
      <c r="Q109" s="1606">
        <f t="shared" si="7"/>
        <v>0</v>
      </c>
      <c r="R109" s="83">
        <v>791243.36000000115</v>
      </c>
      <c r="S109" s="83">
        <v>743165.54</v>
      </c>
      <c r="T109" s="1673">
        <v>3.6200000000000003E-2</v>
      </c>
      <c r="V109" s="328" t="s">
        <v>1441</v>
      </c>
      <c r="W109" s="29">
        <v>34287</v>
      </c>
      <c r="Y109" s="503"/>
      <c r="Z109" s="503"/>
      <c r="AA109" s="503"/>
      <c r="AB109" s="503"/>
    </row>
    <row r="110" spans="1:28">
      <c r="A110">
        <f>+_xlfn.XMATCH(D110,'300s - 5 Digit FERC Accounts'!B:B)</f>
        <v>108</v>
      </c>
      <c r="B110" s="1608" t="str">
        <f t="shared" si="5"/>
        <v>341</v>
      </c>
      <c r="C110" s="1608" t="str">
        <f t="shared" si="4"/>
        <v>Prod</v>
      </c>
      <c r="D110" s="29">
        <v>34141</v>
      </c>
      <c r="E110" s="29" t="s">
        <v>1622</v>
      </c>
      <c r="F110" s="83">
        <v>0</v>
      </c>
      <c r="G110" s="83">
        <v>0</v>
      </c>
      <c r="H110" s="83">
        <v>0</v>
      </c>
      <c r="I110" s="1606">
        <f t="shared" si="6"/>
        <v>0</v>
      </c>
      <c r="J110" s="83">
        <v>0</v>
      </c>
      <c r="K110" s="83">
        <v>0</v>
      </c>
      <c r="L110" s="83">
        <v>0</v>
      </c>
      <c r="M110" s="83">
        <v>0</v>
      </c>
      <c r="N110" s="83">
        <v>0</v>
      </c>
      <c r="O110" s="83">
        <v>0</v>
      </c>
      <c r="P110" s="83">
        <v>0</v>
      </c>
      <c r="Q110" s="1606">
        <f t="shared" si="7"/>
        <v>0</v>
      </c>
      <c r="R110" s="83">
        <v>0</v>
      </c>
      <c r="S110" s="83">
        <v>0</v>
      </c>
      <c r="T110" s="1673">
        <v>0</v>
      </c>
      <c r="V110" s="328" t="s">
        <v>1441</v>
      </c>
      <c r="W110" s="29">
        <v>34328</v>
      </c>
      <c r="Y110" s="503"/>
      <c r="Z110" s="503"/>
      <c r="AA110" s="503"/>
      <c r="AB110" s="503"/>
    </row>
    <row r="111" spans="1:28">
      <c r="A111">
        <f>+_xlfn.XMATCH(D111,'300s - 5 Digit FERC Accounts'!B:B)</f>
        <v>109</v>
      </c>
      <c r="B111" s="1608" t="str">
        <f t="shared" si="5"/>
        <v>341</v>
      </c>
      <c r="C111" s="1608" t="str">
        <f t="shared" si="4"/>
        <v>Prod</v>
      </c>
      <c r="D111" s="29">
        <v>34142</v>
      </c>
      <c r="E111" s="29" t="s">
        <v>8217</v>
      </c>
      <c r="F111" s="83">
        <v>0</v>
      </c>
      <c r="G111" s="83">
        <v>0</v>
      </c>
      <c r="H111" s="83">
        <v>0</v>
      </c>
      <c r="I111" s="1606">
        <f t="shared" si="6"/>
        <v>0</v>
      </c>
      <c r="J111" s="83">
        <v>0</v>
      </c>
      <c r="K111" s="83">
        <v>0</v>
      </c>
      <c r="L111" s="83">
        <v>0</v>
      </c>
      <c r="M111" s="83">
        <v>0</v>
      </c>
      <c r="N111" s="83">
        <v>0</v>
      </c>
      <c r="O111" s="83">
        <v>0</v>
      </c>
      <c r="P111" s="83">
        <v>0</v>
      </c>
      <c r="Q111" s="1606">
        <f t="shared" si="7"/>
        <v>0</v>
      </c>
      <c r="R111" s="83">
        <v>0</v>
      </c>
      <c r="S111" s="83">
        <v>0</v>
      </c>
      <c r="T111" s="1673">
        <v>0</v>
      </c>
      <c r="V111" s="328" t="s">
        <v>1441</v>
      </c>
      <c r="W111" s="29">
        <v>34330</v>
      </c>
      <c r="Y111" s="503"/>
      <c r="Z111" s="503"/>
      <c r="AA111" s="503"/>
      <c r="AB111" s="503"/>
    </row>
    <row r="112" spans="1:28">
      <c r="A112">
        <f>+_xlfn.XMATCH(D112,'300s - 5 Digit FERC Accounts'!B:B)</f>
        <v>110</v>
      </c>
      <c r="B112" s="1608" t="str">
        <f t="shared" si="5"/>
        <v>341</v>
      </c>
      <c r="C112" s="1608" t="str">
        <f t="shared" si="4"/>
        <v>Prod</v>
      </c>
      <c r="D112" s="29">
        <v>34143</v>
      </c>
      <c r="E112" s="29" t="s">
        <v>8218</v>
      </c>
      <c r="F112" s="83">
        <v>2290548.98</v>
      </c>
      <c r="G112" s="83">
        <v>0</v>
      </c>
      <c r="H112" s="83">
        <v>0</v>
      </c>
      <c r="I112" s="1606">
        <f t="shared" si="6"/>
        <v>0</v>
      </c>
      <c r="J112" s="83">
        <v>2290548.98</v>
      </c>
      <c r="K112" s="83">
        <v>2290548.98</v>
      </c>
      <c r="L112" s="83">
        <v>1537836.1399999992</v>
      </c>
      <c r="M112" s="83">
        <v>78565.8</v>
      </c>
      <c r="N112" s="83">
        <v>0</v>
      </c>
      <c r="O112" s="83">
        <v>0</v>
      </c>
      <c r="P112" s="83">
        <v>0</v>
      </c>
      <c r="Q112" s="1606">
        <f t="shared" si="7"/>
        <v>0</v>
      </c>
      <c r="R112" s="83">
        <v>1616401.9399999992</v>
      </c>
      <c r="S112" s="83">
        <v>1577119.04</v>
      </c>
      <c r="T112" s="1673">
        <v>3.4300000000000004E-2</v>
      </c>
      <c r="V112" s="328" t="s">
        <v>1441</v>
      </c>
      <c r="W112" s="29">
        <v>34331</v>
      </c>
      <c r="Y112" s="503"/>
      <c r="Z112" s="503"/>
      <c r="AA112" s="503"/>
      <c r="AB112" s="503"/>
    </row>
    <row r="113" spans="1:28">
      <c r="A113">
        <f>+_xlfn.XMATCH(D113,'300s - 5 Digit FERC Accounts'!B:B)</f>
        <v>111</v>
      </c>
      <c r="B113" s="1608" t="str">
        <f t="shared" si="5"/>
        <v>341</v>
      </c>
      <c r="C113" s="1608" t="str">
        <f t="shared" si="4"/>
        <v>Prod</v>
      </c>
      <c r="D113" s="29">
        <v>34144</v>
      </c>
      <c r="E113" s="29" t="s">
        <v>1623</v>
      </c>
      <c r="F113" s="83">
        <v>3335882.55</v>
      </c>
      <c r="G113" s="83">
        <v>0</v>
      </c>
      <c r="H113" s="83">
        <v>0</v>
      </c>
      <c r="I113" s="1606">
        <f t="shared" si="6"/>
        <v>0</v>
      </c>
      <c r="J113" s="83">
        <v>3335882.55</v>
      </c>
      <c r="K113" s="83">
        <v>3335882.55</v>
      </c>
      <c r="L113" s="83">
        <v>1049697.2600000002</v>
      </c>
      <c r="M113" s="83">
        <v>112752.84</v>
      </c>
      <c r="N113" s="83">
        <v>0</v>
      </c>
      <c r="O113" s="83">
        <v>0</v>
      </c>
      <c r="P113" s="83">
        <v>0</v>
      </c>
      <c r="Q113" s="1606">
        <f t="shared" si="7"/>
        <v>0</v>
      </c>
      <c r="R113" s="83">
        <v>1162450.1000000003</v>
      </c>
      <c r="S113" s="83">
        <v>1106073.68</v>
      </c>
      <c r="T113" s="1673">
        <v>3.3799999999999997E-2</v>
      </c>
      <c r="V113" s="328" t="s">
        <v>1441</v>
      </c>
      <c r="W113" s="29">
        <v>34332</v>
      </c>
      <c r="Y113" s="503"/>
      <c r="Z113" s="503"/>
      <c r="AA113" s="503"/>
      <c r="AB113" s="503"/>
    </row>
    <row r="114" spans="1:28">
      <c r="A114">
        <f>+_xlfn.XMATCH(D114,'300s - 5 Digit FERC Accounts'!B:B)</f>
        <v>112</v>
      </c>
      <c r="B114" s="1608" t="str">
        <f t="shared" si="5"/>
        <v>341</v>
      </c>
      <c r="C114" s="1608" t="str">
        <f t="shared" si="4"/>
        <v>Prod</v>
      </c>
      <c r="D114" s="29">
        <v>34145</v>
      </c>
      <c r="E114" s="29" t="s">
        <v>8219</v>
      </c>
      <c r="F114" s="83">
        <v>0</v>
      </c>
      <c r="G114" s="83">
        <v>0</v>
      </c>
      <c r="H114" s="83">
        <v>0</v>
      </c>
      <c r="I114" s="1606">
        <f t="shared" si="6"/>
        <v>0</v>
      </c>
      <c r="J114" s="83">
        <v>0</v>
      </c>
      <c r="K114" s="83">
        <v>0</v>
      </c>
      <c r="L114" s="83">
        <v>0</v>
      </c>
      <c r="M114" s="83">
        <v>0</v>
      </c>
      <c r="N114" s="83">
        <v>0</v>
      </c>
      <c r="O114" s="83">
        <v>0</v>
      </c>
      <c r="P114" s="83">
        <v>0</v>
      </c>
      <c r="Q114" s="1606">
        <f t="shared" si="7"/>
        <v>0</v>
      </c>
      <c r="R114" s="83">
        <v>0</v>
      </c>
      <c r="S114" s="83">
        <v>0</v>
      </c>
      <c r="T114" s="1673">
        <v>2.2000000000000002E-2</v>
      </c>
      <c r="V114" s="328" t="s">
        <v>1441</v>
      </c>
      <c r="W114" s="29">
        <v>34333</v>
      </c>
      <c r="Y114" s="503"/>
      <c r="Z114" s="503"/>
      <c r="AA114" s="503"/>
      <c r="AB114" s="503"/>
    </row>
    <row r="115" spans="1:28">
      <c r="A115">
        <f>+_xlfn.XMATCH(D115,'300s - 5 Digit FERC Accounts'!B:B)</f>
        <v>113</v>
      </c>
      <c r="B115" s="1608" t="str">
        <f t="shared" si="5"/>
        <v>341</v>
      </c>
      <c r="C115" s="1608" t="str">
        <f t="shared" si="4"/>
        <v>Prod</v>
      </c>
      <c r="D115" s="29">
        <v>34146</v>
      </c>
      <c r="E115" s="29" t="s">
        <v>8220</v>
      </c>
      <c r="F115" s="83">
        <v>0</v>
      </c>
      <c r="G115" s="83">
        <v>0</v>
      </c>
      <c r="H115" s="83">
        <v>0</v>
      </c>
      <c r="I115" s="1606">
        <f t="shared" si="6"/>
        <v>0</v>
      </c>
      <c r="J115" s="83">
        <v>0</v>
      </c>
      <c r="K115" s="83">
        <v>0</v>
      </c>
      <c r="L115" s="83">
        <v>0</v>
      </c>
      <c r="M115" s="83">
        <v>0</v>
      </c>
      <c r="N115" s="83">
        <v>0</v>
      </c>
      <c r="O115" s="83">
        <v>0</v>
      </c>
      <c r="P115" s="83">
        <v>0</v>
      </c>
      <c r="Q115" s="1606">
        <f t="shared" si="7"/>
        <v>0</v>
      </c>
      <c r="R115" s="83">
        <v>0</v>
      </c>
      <c r="S115" s="83">
        <v>0</v>
      </c>
      <c r="T115" s="1673">
        <v>2.2000000000000002E-2</v>
      </c>
      <c r="V115" s="328" t="s">
        <v>1441</v>
      </c>
      <c r="W115" s="29">
        <v>34334</v>
      </c>
      <c r="Y115" s="503"/>
      <c r="Z115" s="503"/>
      <c r="AA115" s="503"/>
      <c r="AB115" s="503"/>
    </row>
    <row r="116" spans="1:28">
      <c r="A116">
        <f>+_xlfn.XMATCH(D116,'300s - 5 Digit FERC Accounts'!B:B)</f>
        <v>114</v>
      </c>
      <c r="B116" s="1608" t="str">
        <f t="shared" si="5"/>
        <v>341</v>
      </c>
      <c r="C116" s="1608" t="str">
        <f t="shared" si="4"/>
        <v>Prod</v>
      </c>
      <c r="D116" s="29">
        <v>34180</v>
      </c>
      <c r="E116" s="29" t="s">
        <v>1624</v>
      </c>
      <c r="F116" s="83">
        <v>193028877.69000003</v>
      </c>
      <c r="G116" s="83">
        <v>0</v>
      </c>
      <c r="H116" s="83">
        <v>0</v>
      </c>
      <c r="I116" s="1606">
        <f t="shared" si="6"/>
        <v>0</v>
      </c>
      <c r="J116" s="83">
        <v>193028877.69000003</v>
      </c>
      <c r="K116" s="83">
        <v>193028877.69</v>
      </c>
      <c r="L116" s="83">
        <v>67242114.899999991</v>
      </c>
      <c r="M116" s="83">
        <v>5752260.5999999996</v>
      </c>
      <c r="N116" s="83">
        <v>0</v>
      </c>
      <c r="O116" s="83">
        <v>0</v>
      </c>
      <c r="P116" s="83">
        <v>0</v>
      </c>
      <c r="Q116" s="1606">
        <f t="shared" si="7"/>
        <v>0</v>
      </c>
      <c r="R116" s="83">
        <v>72994375.499999985</v>
      </c>
      <c r="S116" s="83">
        <v>70118245.200000003</v>
      </c>
      <c r="T116" s="1673">
        <v>2.98E-2</v>
      </c>
      <c r="V116" s="328" t="s">
        <v>1441</v>
      </c>
      <c r="W116" s="29">
        <v>34335</v>
      </c>
      <c r="Y116" s="503"/>
      <c r="Z116" s="503"/>
      <c r="AA116" s="503"/>
      <c r="AB116" s="503"/>
    </row>
    <row r="117" spans="1:28">
      <c r="A117">
        <f>+_xlfn.XMATCH(D117,'300s - 5 Digit FERC Accounts'!B:B)</f>
        <v>115</v>
      </c>
      <c r="B117" s="1608" t="str">
        <f t="shared" si="5"/>
        <v>341</v>
      </c>
      <c r="C117" s="1608" t="str">
        <f t="shared" si="4"/>
        <v>Prod</v>
      </c>
      <c r="D117" s="29">
        <v>34181</v>
      </c>
      <c r="E117" s="29" t="s">
        <v>1625</v>
      </c>
      <c r="F117" s="83">
        <v>53101275.780000016</v>
      </c>
      <c r="G117" s="83">
        <v>0</v>
      </c>
      <c r="H117" s="83">
        <v>0</v>
      </c>
      <c r="I117" s="1606">
        <f t="shared" si="6"/>
        <v>0</v>
      </c>
      <c r="J117" s="83">
        <v>53101275.780000016</v>
      </c>
      <c r="K117" s="83">
        <v>53101275.780000001</v>
      </c>
      <c r="L117" s="83">
        <v>28571969.029999975</v>
      </c>
      <c r="M117" s="83">
        <v>2601962.52</v>
      </c>
      <c r="N117" s="83">
        <v>0</v>
      </c>
      <c r="O117" s="83">
        <v>0</v>
      </c>
      <c r="P117" s="83">
        <v>0</v>
      </c>
      <c r="Q117" s="1606">
        <f t="shared" si="7"/>
        <v>0</v>
      </c>
      <c r="R117" s="83">
        <v>31173931.549999975</v>
      </c>
      <c r="S117" s="83">
        <v>29872950.289999999</v>
      </c>
      <c r="T117" s="1673">
        <v>4.9000000000000002E-2</v>
      </c>
      <c r="V117" s="328" t="s">
        <v>1441</v>
      </c>
      <c r="W117" s="29">
        <v>34336</v>
      </c>
      <c r="Y117" s="503"/>
      <c r="Z117" s="503"/>
      <c r="AA117" s="503"/>
      <c r="AB117" s="503"/>
    </row>
    <row r="118" spans="1:28">
      <c r="A118">
        <f>+_xlfn.XMATCH(D118,'300s - 5 Digit FERC Accounts'!B:B)</f>
        <v>116</v>
      </c>
      <c r="B118" s="1608" t="str">
        <f t="shared" si="5"/>
        <v>341</v>
      </c>
      <c r="C118" s="1608" t="str">
        <f t="shared" si="4"/>
        <v>Prod</v>
      </c>
      <c r="D118" s="29">
        <v>34182</v>
      </c>
      <c r="E118" s="29" t="s">
        <v>1626</v>
      </c>
      <c r="F118" s="83">
        <v>2342155.2899999996</v>
      </c>
      <c r="G118" s="83">
        <v>0</v>
      </c>
      <c r="H118" s="83">
        <v>0</v>
      </c>
      <c r="I118" s="1606">
        <f t="shared" si="6"/>
        <v>0</v>
      </c>
      <c r="J118" s="83">
        <v>2342155.2899999996</v>
      </c>
      <c r="K118" s="83">
        <v>2342155.29</v>
      </c>
      <c r="L118" s="83">
        <v>1331510.5799999984</v>
      </c>
      <c r="M118" s="83">
        <v>52932.72</v>
      </c>
      <c r="N118" s="83">
        <v>0</v>
      </c>
      <c r="O118" s="83">
        <v>0</v>
      </c>
      <c r="P118" s="83">
        <v>0</v>
      </c>
      <c r="Q118" s="1606">
        <f t="shared" si="7"/>
        <v>0</v>
      </c>
      <c r="R118" s="83">
        <v>1384443.2999999984</v>
      </c>
      <c r="S118" s="83">
        <v>1357976.94</v>
      </c>
      <c r="T118" s="1673">
        <v>2.2599999999999999E-2</v>
      </c>
      <c r="V118" s="328" t="s">
        <v>1441</v>
      </c>
      <c r="W118" s="29">
        <v>34337</v>
      </c>
      <c r="Y118" s="503"/>
      <c r="Z118" s="503"/>
      <c r="AA118" s="503"/>
      <c r="AB118" s="503"/>
    </row>
    <row r="119" spans="1:28">
      <c r="A119">
        <f>+_xlfn.XMATCH(D119,'300s - 5 Digit FERC Accounts'!B:B)</f>
        <v>117</v>
      </c>
      <c r="B119" s="1608" t="str">
        <f t="shared" si="5"/>
        <v>341</v>
      </c>
      <c r="C119" s="1608" t="str">
        <f t="shared" si="4"/>
        <v>Prod</v>
      </c>
      <c r="D119" s="29">
        <v>34183</v>
      </c>
      <c r="E119" s="29" t="s">
        <v>1627</v>
      </c>
      <c r="F119" s="83">
        <v>10708676.690000001</v>
      </c>
      <c r="G119" s="83">
        <v>0</v>
      </c>
      <c r="H119" s="83">
        <v>0</v>
      </c>
      <c r="I119" s="1606">
        <f t="shared" si="6"/>
        <v>0</v>
      </c>
      <c r="J119" s="83">
        <v>10708676.690000001</v>
      </c>
      <c r="K119" s="83">
        <v>10708676.689999999</v>
      </c>
      <c r="L119" s="83">
        <v>6000960.3099999996</v>
      </c>
      <c r="M119" s="83">
        <v>243087</v>
      </c>
      <c r="N119" s="83">
        <v>0</v>
      </c>
      <c r="O119" s="83">
        <v>0</v>
      </c>
      <c r="P119" s="83">
        <v>0</v>
      </c>
      <c r="Q119" s="1606">
        <f t="shared" si="7"/>
        <v>0</v>
      </c>
      <c r="R119" s="83">
        <v>6244047.3099999996</v>
      </c>
      <c r="S119" s="83">
        <v>6122503.8099999996</v>
      </c>
      <c r="T119" s="1673">
        <v>2.2700000000000001E-2</v>
      </c>
      <c r="V119" s="328" t="s">
        <v>1441</v>
      </c>
      <c r="W119" s="29">
        <v>34342</v>
      </c>
      <c r="Y119" s="503"/>
      <c r="Z119" s="503"/>
      <c r="AA119" s="503"/>
      <c r="AB119" s="503"/>
    </row>
    <row r="120" spans="1:28">
      <c r="A120">
        <f>+_xlfn.XMATCH(D120,'300s - 5 Digit FERC Accounts'!B:B)</f>
        <v>118</v>
      </c>
      <c r="B120" s="1608" t="str">
        <f t="shared" si="5"/>
        <v>341</v>
      </c>
      <c r="C120" s="1608" t="str">
        <f t="shared" si="4"/>
        <v>Prod</v>
      </c>
      <c r="D120" s="29">
        <v>34184</v>
      </c>
      <c r="E120" s="29" t="s">
        <v>1628</v>
      </c>
      <c r="F120" s="83">
        <v>5812062.1499999994</v>
      </c>
      <c r="G120" s="83">
        <v>0</v>
      </c>
      <c r="H120" s="83">
        <v>0</v>
      </c>
      <c r="I120" s="1606">
        <f t="shared" si="6"/>
        <v>0</v>
      </c>
      <c r="J120" s="83">
        <v>5812062.1499999994</v>
      </c>
      <c r="K120" s="83">
        <v>5812062.1500000004</v>
      </c>
      <c r="L120" s="83">
        <v>2397493.3800000036</v>
      </c>
      <c r="M120" s="83">
        <v>159250.56</v>
      </c>
      <c r="N120" s="83">
        <v>0</v>
      </c>
      <c r="O120" s="83">
        <v>0</v>
      </c>
      <c r="P120" s="83">
        <v>0</v>
      </c>
      <c r="Q120" s="1606">
        <f t="shared" si="7"/>
        <v>0</v>
      </c>
      <c r="R120" s="83">
        <v>2556743.9400000037</v>
      </c>
      <c r="S120" s="83">
        <v>2477118.66</v>
      </c>
      <c r="T120" s="1673">
        <v>2.7400000000000001E-2</v>
      </c>
      <c r="V120" s="328" t="s">
        <v>1441</v>
      </c>
      <c r="W120" s="29">
        <v>34344</v>
      </c>
      <c r="Y120" s="503"/>
      <c r="Z120" s="503"/>
      <c r="AA120" s="503"/>
      <c r="AB120" s="503"/>
    </row>
    <row r="121" spans="1:28">
      <c r="A121">
        <f>+_xlfn.XMATCH(D121,'300s - 5 Digit FERC Accounts'!B:B)</f>
        <v>119</v>
      </c>
      <c r="B121" s="1608" t="str">
        <f t="shared" si="5"/>
        <v>341</v>
      </c>
      <c r="C121" s="1608" t="str">
        <f t="shared" si="4"/>
        <v>Prod</v>
      </c>
      <c r="D121" s="29">
        <v>34185</v>
      </c>
      <c r="E121" s="29" t="s">
        <v>1629</v>
      </c>
      <c r="F121" s="83">
        <v>5746580.1100000003</v>
      </c>
      <c r="G121" s="83">
        <v>0</v>
      </c>
      <c r="H121" s="83">
        <v>0</v>
      </c>
      <c r="I121" s="1606">
        <f t="shared" si="6"/>
        <v>0</v>
      </c>
      <c r="J121" s="83">
        <v>5746580.1100000003</v>
      </c>
      <c r="K121" s="83">
        <v>5746580.1100000003</v>
      </c>
      <c r="L121" s="83">
        <v>2424266.6999999988</v>
      </c>
      <c r="M121" s="83">
        <v>156306.96</v>
      </c>
      <c r="N121" s="83">
        <v>0</v>
      </c>
      <c r="O121" s="83">
        <v>0</v>
      </c>
      <c r="P121" s="83">
        <v>0</v>
      </c>
      <c r="Q121" s="1606">
        <f t="shared" si="7"/>
        <v>0</v>
      </c>
      <c r="R121" s="83">
        <v>2580573.6599999988</v>
      </c>
      <c r="S121" s="83">
        <v>2502420.1800000002</v>
      </c>
      <c r="T121" s="1673">
        <v>2.7200000000000002E-2</v>
      </c>
      <c r="V121" s="328" t="s">
        <v>1441</v>
      </c>
      <c r="W121" s="29">
        <v>34345</v>
      </c>
      <c r="Y121" s="503"/>
      <c r="Z121" s="503"/>
      <c r="AA121" s="503"/>
      <c r="AB121" s="503"/>
    </row>
    <row r="122" spans="1:28">
      <c r="A122">
        <f>+_xlfn.XMATCH(D122,'300s - 5 Digit FERC Accounts'!B:B)</f>
        <v>120</v>
      </c>
      <c r="B122" s="1608" t="str">
        <f t="shared" si="5"/>
        <v>341</v>
      </c>
      <c r="C122" s="1608" t="str">
        <f t="shared" si="4"/>
        <v>Prod</v>
      </c>
      <c r="D122" s="29">
        <v>34186</v>
      </c>
      <c r="E122" s="29" t="s">
        <v>1630</v>
      </c>
      <c r="F122" s="83">
        <v>13374554.050000001</v>
      </c>
      <c r="G122" s="83">
        <v>1291111.07</v>
      </c>
      <c r="H122" s="83">
        <v>-258222.22</v>
      </c>
      <c r="I122" s="1606">
        <f t="shared" si="6"/>
        <v>-4.3655745685100555E-10</v>
      </c>
      <c r="J122" s="83">
        <v>14407442.9</v>
      </c>
      <c r="K122" s="83">
        <v>13593049.77</v>
      </c>
      <c r="L122" s="83">
        <v>4266581.8700000066</v>
      </c>
      <c r="M122" s="83">
        <v>396287.85</v>
      </c>
      <c r="N122" s="83">
        <v>-258222.22</v>
      </c>
      <c r="O122" s="83">
        <v>-108888.9</v>
      </c>
      <c r="P122" s="83">
        <v>0</v>
      </c>
      <c r="Q122" s="1606">
        <f t="shared" si="7"/>
        <v>0</v>
      </c>
      <c r="R122" s="83">
        <v>4295758.6000000061</v>
      </c>
      <c r="S122" s="83">
        <v>4353951.88</v>
      </c>
      <c r="T122" s="1673">
        <v>2.9300000000000003E-2</v>
      </c>
      <c r="V122" s="328" t="s">
        <v>1441</v>
      </c>
      <c r="W122" s="29">
        <v>34198</v>
      </c>
      <c r="Y122" s="503"/>
      <c r="Z122" s="503"/>
      <c r="AA122" s="503"/>
      <c r="AB122" s="503"/>
    </row>
    <row r="123" spans="1:28">
      <c r="A123">
        <f>+_xlfn.XMATCH(D123,'300s - 5 Digit FERC Accounts'!B:B)</f>
        <v>121</v>
      </c>
      <c r="B123" s="1608" t="str">
        <f t="shared" si="5"/>
        <v>341</v>
      </c>
      <c r="C123" s="1608" t="str">
        <f t="shared" si="4"/>
        <v>Prod</v>
      </c>
      <c r="D123" s="29">
        <v>34198</v>
      </c>
      <c r="E123" s="29" t="s">
        <v>8507</v>
      </c>
      <c r="F123" s="83">
        <v>0</v>
      </c>
      <c r="G123" s="83">
        <v>0</v>
      </c>
      <c r="H123" s="83">
        <v>0</v>
      </c>
      <c r="I123" s="1606">
        <f t="shared" si="6"/>
        <v>0</v>
      </c>
      <c r="J123" s="83">
        <v>0</v>
      </c>
      <c r="K123" s="83">
        <v>0</v>
      </c>
      <c r="L123" s="83">
        <v>0</v>
      </c>
      <c r="M123" s="83">
        <v>0</v>
      </c>
      <c r="N123" s="83">
        <v>0</v>
      </c>
      <c r="O123" s="83">
        <v>0</v>
      </c>
      <c r="P123" s="83">
        <v>0</v>
      </c>
      <c r="Q123" s="1606">
        <f t="shared" si="7"/>
        <v>0</v>
      </c>
      <c r="R123" s="83">
        <v>0</v>
      </c>
      <c r="S123" s="83">
        <v>0</v>
      </c>
      <c r="T123" s="1673">
        <v>3.3300000000000003E-2</v>
      </c>
      <c r="V123" s="328" t="s">
        <v>1441</v>
      </c>
      <c r="W123" s="29">
        <v>34346</v>
      </c>
      <c r="Y123" s="503"/>
      <c r="Z123" s="503"/>
      <c r="AA123" s="503"/>
      <c r="AB123" s="503"/>
    </row>
    <row r="124" spans="1:28">
      <c r="A124">
        <f>+_xlfn.XMATCH(D124,'300s - 5 Digit FERC Accounts'!B:B)</f>
        <v>122</v>
      </c>
      <c r="B124" s="1608" t="str">
        <f t="shared" si="5"/>
        <v>341</v>
      </c>
      <c r="C124" s="1608" t="str">
        <f t="shared" si="4"/>
        <v>Prod</v>
      </c>
      <c r="D124" s="29">
        <v>34199</v>
      </c>
      <c r="E124" s="29" t="s">
        <v>1631</v>
      </c>
      <c r="F124" s="83">
        <v>470718920.08000004</v>
      </c>
      <c r="G124" s="83">
        <v>0</v>
      </c>
      <c r="H124" s="83">
        <v>0</v>
      </c>
      <c r="I124" s="1606">
        <f t="shared" si="6"/>
        <v>0</v>
      </c>
      <c r="J124" s="83">
        <v>470718920.08000004</v>
      </c>
      <c r="K124" s="83">
        <v>470718920.07999998</v>
      </c>
      <c r="L124" s="83">
        <v>54082009.740000002</v>
      </c>
      <c r="M124" s="83">
        <v>15863227.560000001</v>
      </c>
      <c r="N124" s="83">
        <v>0</v>
      </c>
      <c r="O124" s="83">
        <v>0</v>
      </c>
      <c r="P124" s="83">
        <v>0</v>
      </c>
      <c r="Q124" s="1606">
        <f t="shared" si="7"/>
        <v>0</v>
      </c>
      <c r="R124" s="83">
        <v>69945237.299999997</v>
      </c>
      <c r="S124" s="83">
        <v>62013623.520000003</v>
      </c>
      <c r="T124" s="1673">
        <v>3.3700000000000001E-2</v>
      </c>
      <c r="V124" s="328" t="s">
        <v>1441</v>
      </c>
      <c r="W124" s="29">
        <v>34343</v>
      </c>
      <c r="Y124" s="503"/>
      <c r="Z124" s="503"/>
      <c r="AA124" s="503"/>
      <c r="AB124" s="503"/>
    </row>
    <row r="125" spans="1:28">
      <c r="A125">
        <f>+_xlfn.XMATCH(D125,'300s - 5 Digit FERC Accounts'!B:B)</f>
        <v>123</v>
      </c>
      <c r="B125" s="1608" t="str">
        <f t="shared" si="5"/>
        <v>342</v>
      </c>
      <c r="C125" s="1608" t="str">
        <f t="shared" si="4"/>
        <v>Prod</v>
      </c>
      <c r="D125" s="29">
        <v>34220</v>
      </c>
      <c r="E125" s="29" t="s">
        <v>8954</v>
      </c>
      <c r="F125" s="83">
        <v>0</v>
      </c>
      <c r="G125" s="83">
        <v>53790116.170000002</v>
      </c>
      <c r="H125" s="83">
        <v>0</v>
      </c>
      <c r="I125" s="1606">
        <f t="shared" si="6"/>
        <v>0</v>
      </c>
      <c r="J125" s="83">
        <v>53790116.170000002</v>
      </c>
      <c r="K125" s="83">
        <v>36099210.57</v>
      </c>
      <c r="L125" s="83">
        <v>0</v>
      </c>
      <c r="M125" s="83">
        <v>761749.3</v>
      </c>
      <c r="N125" s="83">
        <v>0</v>
      </c>
      <c r="O125" s="83">
        <v>0</v>
      </c>
      <c r="P125" s="83">
        <v>0</v>
      </c>
      <c r="Q125" s="1606">
        <f t="shared" si="7"/>
        <v>0</v>
      </c>
      <c r="R125" s="83">
        <v>761749.3</v>
      </c>
      <c r="S125" s="83">
        <v>261886.81</v>
      </c>
      <c r="T125" s="1673">
        <v>2.2000000000000002E-2</v>
      </c>
      <c r="V125" s="328" t="s">
        <v>1441</v>
      </c>
      <c r="W125" s="29">
        <v>34380</v>
      </c>
      <c r="Y125" s="503"/>
      <c r="Z125" s="503"/>
      <c r="AA125" s="503"/>
      <c r="AB125" s="503"/>
    </row>
    <row r="126" spans="1:28">
      <c r="A126">
        <f>+_xlfn.XMATCH(D126,'300s - 5 Digit FERC Accounts'!B:B)</f>
        <v>124</v>
      </c>
      <c r="B126" s="1608" t="str">
        <f t="shared" si="5"/>
        <v>342</v>
      </c>
      <c r="C126" s="1608" t="str">
        <f t="shared" si="4"/>
        <v>Prod</v>
      </c>
      <c r="D126" s="29">
        <v>34228</v>
      </c>
      <c r="E126" s="29" t="s">
        <v>1632</v>
      </c>
      <c r="F126" s="83">
        <v>0</v>
      </c>
      <c r="G126" s="83">
        <v>0</v>
      </c>
      <c r="H126" s="83">
        <v>0</v>
      </c>
      <c r="I126" s="1606">
        <f t="shared" si="6"/>
        <v>0</v>
      </c>
      <c r="J126" s="83">
        <v>0</v>
      </c>
      <c r="K126" s="83">
        <v>0</v>
      </c>
      <c r="L126" s="83">
        <v>0</v>
      </c>
      <c r="M126" s="83">
        <v>0</v>
      </c>
      <c r="N126" s="83">
        <v>0</v>
      </c>
      <c r="O126" s="83">
        <v>0</v>
      </c>
      <c r="P126" s="83">
        <v>0</v>
      </c>
      <c r="Q126" s="1606">
        <f t="shared" si="7"/>
        <v>0</v>
      </c>
      <c r="R126" s="83">
        <v>0</v>
      </c>
      <c r="S126" s="83">
        <v>0</v>
      </c>
      <c r="T126" s="1673">
        <v>0</v>
      </c>
      <c r="V126" s="328" t="s">
        <v>1441</v>
      </c>
      <c r="W126" s="29">
        <v>34381</v>
      </c>
      <c r="Y126" s="503"/>
      <c r="Z126" s="503"/>
      <c r="AA126" s="503"/>
      <c r="AB126" s="503"/>
    </row>
    <row r="127" spans="1:28">
      <c r="A127">
        <f>+_xlfn.XMATCH(D127,'300s - 5 Digit FERC Accounts'!B:B)</f>
        <v>125</v>
      </c>
      <c r="B127" s="1608" t="str">
        <f t="shared" si="5"/>
        <v>342</v>
      </c>
      <c r="C127" s="1608" t="str">
        <f t="shared" si="4"/>
        <v>Prod</v>
      </c>
      <c r="D127" s="29">
        <v>34230</v>
      </c>
      <c r="E127" s="29" t="s">
        <v>1633</v>
      </c>
      <c r="F127" s="83">
        <v>41315289.07</v>
      </c>
      <c r="G127" s="83">
        <v>8972430.3900000006</v>
      </c>
      <c r="H127" s="83">
        <v>-1794486.08</v>
      </c>
      <c r="I127" s="1606">
        <f t="shared" si="6"/>
        <v>1.862645149230957E-9</v>
      </c>
      <c r="J127" s="83">
        <v>48493233.380000003</v>
      </c>
      <c r="K127" s="83">
        <v>45243593.82</v>
      </c>
      <c r="L127" s="83">
        <v>4083940.739999996</v>
      </c>
      <c r="M127" s="83">
        <v>1915840.89</v>
      </c>
      <c r="N127" s="83">
        <v>-1794486.08</v>
      </c>
      <c r="O127" s="83">
        <v>-50000</v>
      </c>
      <c r="P127" s="83">
        <v>0</v>
      </c>
      <c r="Q127" s="1606">
        <f t="shared" si="7"/>
        <v>0</v>
      </c>
      <c r="R127" s="83">
        <v>4155295.5499999961</v>
      </c>
      <c r="S127" s="83">
        <v>4014239.17</v>
      </c>
      <c r="T127" s="1673">
        <v>4.2599999999999999E-2</v>
      </c>
      <c r="V127" s="328" t="s">
        <v>1441</v>
      </c>
      <c r="W127" s="29">
        <v>34382</v>
      </c>
      <c r="Y127" s="503"/>
      <c r="Z127" s="503"/>
      <c r="AA127" s="503"/>
      <c r="AB127" s="503"/>
    </row>
    <row r="128" spans="1:28">
      <c r="A128">
        <f>+_xlfn.XMATCH(D128,'300s - 5 Digit FERC Accounts'!B:B)</f>
        <v>126</v>
      </c>
      <c r="B128" s="1608" t="str">
        <f t="shared" si="5"/>
        <v>342</v>
      </c>
      <c r="C128" s="1608" t="str">
        <f t="shared" si="4"/>
        <v>Prod</v>
      </c>
      <c r="D128" s="29">
        <v>34231</v>
      </c>
      <c r="E128" s="29" t="s">
        <v>1634</v>
      </c>
      <c r="F128" s="83">
        <v>90649036.199999973</v>
      </c>
      <c r="G128" s="83">
        <v>17523903.68</v>
      </c>
      <c r="H128" s="83">
        <v>-3504780.74</v>
      </c>
      <c r="I128" s="1606">
        <f t="shared" si="6"/>
        <v>0</v>
      </c>
      <c r="J128" s="83">
        <v>104668159.13999997</v>
      </c>
      <c r="K128" s="83">
        <v>97775274.159999996</v>
      </c>
      <c r="L128" s="83">
        <v>38098120.839999981</v>
      </c>
      <c r="M128" s="83">
        <v>4578160.8499999996</v>
      </c>
      <c r="N128" s="83">
        <v>-3504780.74</v>
      </c>
      <c r="O128" s="83">
        <v>-112204.15</v>
      </c>
      <c r="P128" s="83">
        <v>0</v>
      </c>
      <c r="Q128" s="1606">
        <f t="shared" si="7"/>
        <v>0</v>
      </c>
      <c r="R128" s="83">
        <v>39059296.799999982</v>
      </c>
      <c r="S128" s="83">
        <v>38502885.350000001</v>
      </c>
      <c r="T128" s="1673">
        <v>4.7100000000000003E-2</v>
      </c>
      <c r="V128" s="328" t="s">
        <v>1441</v>
      </c>
      <c r="W128" s="29">
        <v>34383</v>
      </c>
      <c r="Y128" s="503"/>
      <c r="Z128" s="503"/>
      <c r="AA128" s="503"/>
      <c r="AB128" s="503"/>
    </row>
    <row r="129" spans="1:28">
      <c r="A129">
        <f>+_xlfn.XMATCH(D129,'300s - 5 Digit FERC Accounts'!B:B)</f>
        <v>127</v>
      </c>
      <c r="B129" s="1608" t="str">
        <f t="shared" si="5"/>
        <v>342</v>
      </c>
      <c r="C129" s="1608" t="str">
        <f t="shared" si="4"/>
        <v>Prod</v>
      </c>
      <c r="D129" s="29">
        <v>34232</v>
      </c>
      <c r="E129" s="29" t="s">
        <v>1635</v>
      </c>
      <c r="F129" s="83">
        <v>142690124.315</v>
      </c>
      <c r="G129" s="83">
        <v>5985489.5</v>
      </c>
      <c r="H129" s="83">
        <v>-1197097.8999999999</v>
      </c>
      <c r="I129" s="1606">
        <f t="shared" si="6"/>
        <v>-6.0535967350006104E-9</v>
      </c>
      <c r="J129" s="83">
        <v>147478515.91499999</v>
      </c>
      <c r="K129" s="83">
        <v>144286029.88</v>
      </c>
      <c r="L129" s="83">
        <v>41339893.114999965</v>
      </c>
      <c r="M129" s="83">
        <v>8065119.4000000004</v>
      </c>
      <c r="N129" s="83">
        <v>-1197097.8999999999</v>
      </c>
      <c r="O129" s="83">
        <v>-1225000</v>
      </c>
      <c r="P129" s="83">
        <v>0</v>
      </c>
      <c r="Q129" s="1606">
        <f t="shared" si="7"/>
        <v>0</v>
      </c>
      <c r="R129" s="83">
        <v>46982914.614999965</v>
      </c>
      <c r="S129" s="83">
        <v>44248025.609999999</v>
      </c>
      <c r="T129" s="1673">
        <v>5.5999999999999994E-2</v>
      </c>
      <c r="V129" s="328" t="s">
        <v>1441</v>
      </c>
      <c r="W129" s="29">
        <v>34384</v>
      </c>
      <c r="Y129" s="503"/>
      <c r="Z129" s="503"/>
      <c r="AA129" s="503"/>
      <c r="AB129" s="503"/>
    </row>
    <row r="130" spans="1:28">
      <c r="A130">
        <f>+_xlfn.XMATCH(D130,'300s - 5 Digit FERC Accounts'!B:B)</f>
        <v>128</v>
      </c>
      <c r="B130" s="1608" t="str">
        <f t="shared" si="5"/>
        <v>342</v>
      </c>
      <c r="C130" s="1608" t="str">
        <f t="shared" si="4"/>
        <v>Prod</v>
      </c>
      <c r="D130" s="29">
        <v>34233</v>
      </c>
      <c r="E130" s="29" t="s">
        <v>1636</v>
      </c>
      <c r="F130" s="83">
        <v>4701026.2849999992</v>
      </c>
      <c r="G130" s="83">
        <v>0</v>
      </c>
      <c r="H130" s="83">
        <v>0</v>
      </c>
      <c r="I130" s="1606">
        <f t="shared" si="6"/>
        <v>0</v>
      </c>
      <c r="J130" s="83">
        <v>4701026.2849999992</v>
      </c>
      <c r="K130" s="83">
        <v>4701026.29</v>
      </c>
      <c r="L130" s="83">
        <v>1093320.219999999</v>
      </c>
      <c r="M130" s="83">
        <v>151843.20000000001</v>
      </c>
      <c r="N130" s="83">
        <v>0</v>
      </c>
      <c r="O130" s="83">
        <v>0</v>
      </c>
      <c r="P130" s="83">
        <v>0</v>
      </c>
      <c r="Q130" s="1606">
        <f t="shared" si="7"/>
        <v>0</v>
      </c>
      <c r="R130" s="83">
        <v>1245163.419999999</v>
      </c>
      <c r="S130" s="83">
        <v>1169241.82</v>
      </c>
      <c r="T130" s="1673">
        <v>3.2300000000000002E-2</v>
      </c>
      <c r="V130" s="328" t="s">
        <v>1441</v>
      </c>
      <c r="W130" s="29">
        <v>34385</v>
      </c>
      <c r="Y130" s="503"/>
      <c r="Z130" s="503"/>
      <c r="AA130" s="503"/>
      <c r="AB130" s="503"/>
    </row>
    <row r="131" spans="1:28">
      <c r="A131">
        <f>+_xlfn.XMATCH(D131,'300s - 5 Digit FERC Accounts'!B:B)</f>
        <v>129</v>
      </c>
      <c r="B131" s="1608" t="str">
        <f t="shared" si="5"/>
        <v>342</v>
      </c>
      <c r="C131" s="1608" t="str">
        <f t="shared" si="4"/>
        <v>Prod</v>
      </c>
      <c r="D131" s="29">
        <v>34234</v>
      </c>
      <c r="E131" s="29" t="s">
        <v>1637</v>
      </c>
      <c r="F131" s="83">
        <v>3384097.5599999996</v>
      </c>
      <c r="G131" s="83">
        <v>0</v>
      </c>
      <c r="H131" s="83">
        <v>0</v>
      </c>
      <c r="I131" s="1606">
        <f t="shared" si="6"/>
        <v>0</v>
      </c>
      <c r="J131" s="83">
        <v>3384097.5599999996</v>
      </c>
      <c r="K131" s="83">
        <v>3384097.56</v>
      </c>
      <c r="L131" s="83">
        <v>1414628.3200000017</v>
      </c>
      <c r="M131" s="83">
        <v>95093.16</v>
      </c>
      <c r="N131" s="83">
        <v>0</v>
      </c>
      <c r="O131" s="83">
        <v>0</v>
      </c>
      <c r="P131" s="83">
        <v>0</v>
      </c>
      <c r="Q131" s="1606">
        <f t="shared" si="7"/>
        <v>0</v>
      </c>
      <c r="R131" s="83">
        <v>1509721.4800000016</v>
      </c>
      <c r="S131" s="83">
        <v>1462174.9</v>
      </c>
      <c r="T131" s="1673">
        <v>2.81E-2</v>
      </c>
      <c r="V131" s="328" t="s">
        <v>1441</v>
      </c>
      <c r="W131" s="29">
        <v>34386</v>
      </c>
      <c r="Y131" s="503"/>
      <c r="Z131" s="503"/>
      <c r="AA131" s="503"/>
      <c r="AB131" s="503"/>
    </row>
    <row r="132" spans="1:28">
      <c r="A132">
        <f>+_xlfn.XMATCH(D132,'300s - 5 Digit FERC Accounts'!B:B)</f>
        <v>130</v>
      </c>
      <c r="B132" s="1608" t="str">
        <f t="shared" si="5"/>
        <v>342</v>
      </c>
      <c r="C132" s="1608" t="str">
        <f t="shared" si="4"/>
        <v>Prod</v>
      </c>
      <c r="D132" s="29">
        <v>34235</v>
      </c>
      <c r="E132" s="29" t="s">
        <v>1638</v>
      </c>
      <c r="F132" s="83">
        <v>2224655.6949999998</v>
      </c>
      <c r="G132" s="83">
        <v>0</v>
      </c>
      <c r="H132" s="83">
        <v>0</v>
      </c>
      <c r="I132" s="1606">
        <f t="shared" si="6"/>
        <v>0</v>
      </c>
      <c r="J132" s="83">
        <v>2224655.6949999998</v>
      </c>
      <c r="K132" s="83">
        <v>2224655.7000000002</v>
      </c>
      <c r="L132" s="83">
        <v>844700.81000000029</v>
      </c>
      <c r="M132" s="83">
        <v>67851.960000000006</v>
      </c>
      <c r="N132" s="83">
        <v>0</v>
      </c>
      <c r="O132" s="83">
        <v>0</v>
      </c>
      <c r="P132" s="83">
        <v>0</v>
      </c>
      <c r="Q132" s="1606">
        <f t="shared" si="7"/>
        <v>0</v>
      </c>
      <c r="R132" s="83">
        <v>912552.77000000025</v>
      </c>
      <c r="S132" s="83">
        <v>878626.79</v>
      </c>
      <c r="T132" s="1673">
        <v>3.0499999999999999E-2</v>
      </c>
      <c r="V132" s="328" t="s">
        <v>1441</v>
      </c>
      <c r="W132" s="29">
        <v>34388</v>
      </c>
      <c r="Y132" s="503"/>
      <c r="Z132" s="503"/>
      <c r="AA132" s="503"/>
      <c r="AB132" s="503"/>
    </row>
    <row r="133" spans="1:28">
      <c r="A133">
        <f>+_xlfn.XMATCH(D133,'300s - 5 Digit FERC Accounts'!B:B)</f>
        <v>131</v>
      </c>
      <c r="B133" s="1608" t="str">
        <f t="shared" si="5"/>
        <v>342</v>
      </c>
      <c r="C133" s="1608" t="str">
        <f t="shared" si="4"/>
        <v>Prod</v>
      </c>
      <c r="D133" s="29">
        <v>34236</v>
      </c>
      <c r="E133" s="29" t="s">
        <v>1639</v>
      </c>
      <c r="F133" s="83">
        <v>1562890.97</v>
      </c>
      <c r="G133" s="83">
        <v>0</v>
      </c>
      <c r="H133" s="83">
        <v>0</v>
      </c>
      <c r="I133" s="1606">
        <f t="shared" si="6"/>
        <v>0</v>
      </c>
      <c r="J133" s="83">
        <v>1562890.97</v>
      </c>
      <c r="K133" s="83">
        <v>1562890.97</v>
      </c>
      <c r="L133" s="83">
        <v>635398.15999999922</v>
      </c>
      <c r="M133" s="83">
        <v>44386.080000000002</v>
      </c>
      <c r="N133" s="83">
        <v>0</v>
      </c>
      <c r="O133" s="83">
        <v>0</v>
      </c>
      <c r="P133" s="83">
        <v>0</v>
      </c>
      <c r="Q133" s="1606">
        <f t="shared" si="7"/>
        <v>0</v>
      </c>
      <c r="R133" s="83">
        <v>679784.23999999918</v>
      </c>
      <c r="S133" s="83">
        <v>657591.19999999995</v>
      </c>
      <c r="T133" s="1673">
        <v>2.8399999999999998E-2</v>
      </c>
      <c r="V133" s="328" t="s">
        <v>1441</v>
      </c>
      <c r="W133" s="29">
        <v>34390</v>
      </c>
      <c r="Y133" s="503"/>
      <c r="Z133" s="503"/>
      <c r="AA133" s="503"/>
      <c r="AB133" s="503"/>
    </row>
    <row r="134" spans="1:28">
      <c r="A134">
        <f>+_xlfn.XMATCH(D134,'300s - 5 Digit FERC Accounts'!B:B)</f>
        <v>132</v>
      </c>
      <c r="B134" s="1608" t="str">
        <f t="shared" si="5"/>
        <v>342</v>
      </c>
      <c r="C134" s="1608" t="str">
        <f t="shared" ref="C134:C197" si="8">+_xlfn.SINGLE(IF(D134="","",_xlfn.XLOOKUP(D134,W:W,V:V,"CHECK")))</f>
        <v>Prod</v>
      </c>
      <c r="D134" s="29">
        <v>34241</v>
      </c>
      <c r="E134" s="29" t="s">
        <v>1640</v>
      </c>
      <c r="F134" s="83">
        <v>0</v>
      </c>
      <c r="G134" s="83">
        <v>0</v>
      </c>
      <c r="H134" s="83">
        <v>0</v>
      </c>
      <c r="I134" s="1606">
        <f t="shared" si="6"/>
        <v>0</v>
      </c>
      <c r="J134" s="83">
        <v>0</v>
      </c>
      <c r="K134" s="83">
        <v>0</v>
      </c>
      <c r="L134" s="83">
        <v>0</v>
      </c>
      <c r="M134" s="83">
        <v>0</v>
      </c>
      <c r="N134" s="83">
        <v>0</v>
      </c>
      <c r="O134" s="83">
        <v>0</v>
      </c>
      <c r="P134" s="83">
        <v>0</v>
      </c>
      <c r="Q134" s="1606">
        <f t="shared" si="7"/>
        <v>0</v>
      </c>
      <c r="R134" s="83">
        <v>0</v>
      </c>
      <c r="S134" s="83">
        <v>0</v>
      </c>
      <c r="T134" s="1673">
        <v>0</v>
      </c>
      <c r="V134" s="328" t="s">
        <v>1441</v>
      </c>
      <c r="W134" s="29">
        <v>34399</v>
      </c>
      <c r="Y134" s="503"/>
      <c r="Z134" s="503"/>
      <c r="AA134" s="503"/>
      <c r="AB134" s="503"/>
    </row>
    <row r="135" spans="1:28">
      <c r="A135">
        <f>+_xlfn.XMATCH(D135,'300s - 5 Digit FERC Accounts'!B:B)</f>
        <v>133</v>
      </c>
      <c r="B135" s="1608" t="str">
        <f t="shared" ref="B135:B198" si="9">IF(D135="","",MID(D135,1,3))</f>
        <v>342</v>
      </c>
      <c r="C135" s="1608" t="str">
        <f t="shared" si="8"/>
        <v>Prod</v>
      </c>
      <c r="D135" s="29">
        <v>34242</v>
      </c>
      <c r="E135" s="29" t="s">
        <v>8221</v>
      </c>
      <c r="F135" s="83">
        <v>0</v>
      </c>
      <c r="G135" s="83">
        <v>0</v>
      </c>
      <c r="H135" s="83">
        <v>0</v>
      </c>
      <c r="I135" s="1606">
        <f t="shared" ref="I135:I198" si="10">+J135-F135-G135-H135</f>
        <v>0</v>
      </c>
      <c r="J135" s="83">
        <v>0</v>
      </c>
      <c r="K135" s="83">
        <v>0</v>
      </c>
      <c r="L135" s="83">
        <v>0</v>
      </c>
      <c r="M135" s="83">
        <v>0</v>
      </c>
      <c r="N135" s="83">
        <v>0</v>
      </c>
      <c r="O135" s="83">
        <v>0</v>
      </c>
      <c r="P135" s="83">
        <v>0</v>
      </c>
      <c r="Q135" s="1606">
        <f t="shared" ref="Q135:Q198" si="11">+R135-P135-O135-N135-M135-L135</f>
        <v>0</v>
      </c>
      <c r="R135" s="83">
        <v>0</v>
      </c>
      <c r="S135" s="83">
        <v>0</v>
      </c>
      <c r="T135" s="1673">
        <v>0</v>
      </c>
      <c r="V135" s="328" t="s">
        <v>1441</v>
      </c>
      <c r="W135" s="29">
        <v>34528</v>
      </c>
      <c r="Y135" s="503"/>
      <c r="Z135" s="503"/>
      <c r="AA135" s="503"/>
      <c r="AB135" s="503"/>
    </row>
    <row r="136" spans="1:28">
      <c r="A136">
        <f>+_xlfn.XMATCH(D136,'300s - 5 Digit FERC Accounts'!B:B)</f>
        <v>134</v>
      </c>
      <c r="B136" s="1608" t="str">
        <f t="shared" si="9"/>
        <v>342</v>
      </c>
      <c r="C136" s="1608" t="str">
        <f t="shared" si="8"/>
        <v>Prod</v>
      </c>
      <c r="D136" s="29">
        <v>34243</v>
      </c>
      <c r="E136" s="29" t="s">
        <v>8222</v>
      </c>
      <c r="F136" s="83">
        <v>3578328.7149999999</v>
      </c>
      <c r="G136" s="83">
        <v>22673.64</v>
      </c>
      <c r="H136" s="83">
        <v>0</v>
      </c>
      <c r="I136" s="1606">
        <f t="shared" si="10"/>
        <v>1.3096723705530167E-10</v>
      </c>
      <c r="J136" s="83">
        <v>3601002.355</v>
      </c>
      <c r="K136" s="83">
        <v>3590537.6</v>
      </c>
      <c r="L136" s="83">
        <v>1581137.0800000003</v>
      </c>
      <c r="M136" s="83">
        <v>79690.559999999998</v>
      </c>
      <c r="N136" s="83">
        <v>0</v>
      </c>
      <c r="O136" s="83">
        <v>-269950.2</v>
      </c>
      <c r="P136" s="83">
        <v>0</v>
      </c>
      <c r="Q136" s="1606">
        <f t="shared" si="11"/>
        <v>0</v>
      </c>
      <c r="R136" s="83">
        <v>1390877.4400000004</v>
      </c>
      <c r="S136" s="83">
        <v>1485949.19</v>
      </c>
      <c r="T136" s="1673">
        <v>2.2200000000000001E-2</v>
      </c>
      <c r="V136" s="328" t="s">
        <v>1441</v>
      </c>
      <c r="W136" s="29">
        <v>34530</v>
      </c>
      <c r="Y136" s="503"/>
      <c r="Z136" s="503"/>
      <c r="AA136" s="503"/>
      <c r="AB136" s="503"/>
    </row>
    <row r="137" spans="1:28">
      <c r="A137">
        <f>+_xlfn.XMATCH(D137,'300s - 5 Digit FERC Accounts'!B:B)</f>
        <v>135</v>
      </c>
      <c r="B137" s="1608" t="str">
        <f t="shared" si="9"/>
        <v>342</v>
      </c>
      <c r="C137" s="1608" t="str">
        <f t="shared" si="8"/>
        <v>Prod</v>
      </c>
      <c r="D137" s="29">
        <v>34244</v>
      </c>
      <c r="E137" s="29" t="s">
        <v>1641</v>
      </c>
      <c r="F137" s="83">
        <v>3722741.3250000007</v>
      </c>
      <c r="G137" s="83">
        <v>0</v>
      </c>
      <c r="H137" s="83">
        <v>0</v>
      </c>
      <c r="I137" s="1606">
        <f t="shared" si="10"/>
        <v>0</v>
      </c>
      <c r="J137" s="83">
        <v>3722741.3250000007</v>
      </c>
      <c r="K137" s="83">
        <v>3722741.33</v>
      </c>
      <c r="L137" s="83">
        <v>669545.61000000045</v>
      </c>
      <c r="M137" s="83">
        <v>165662.04</v>
      </c>
      <c r="N137" s="83">
        <v>0</v>
      </c>
      <c r="O137" s="83">
        <v>0</v>
      </c>
      <c r="P137" s="83">
        <v>0</v>
      </c>
      <c r="Q137" s="1606">
        <f t="shared" si="11"/>
        <v>0</v>
      </c>
      <c r="R137" s="83">
        <v>835207.65000000049</v>
      </c>
      <c r="S137" s="83">
        <v>752376.63</v>
      </c>
      <c r="T137" s="1673">
        <v>4.4500000000000005E-2</v>
      </c>
      <c r="V137" s="328" t="s">
        <v>1441</v>
      </c>
      <c r="W137" s="29">
        <v>34531</v>
      </c>
      <c r="Y137" s="503"/>
      <c r="Z137" s="503"/>
      <c r="AA137" s="503"/>
      <c r="AB137" s="503"/>
    </row>
    <row r="138" spans="1:28">
      <c r="A138">
        <f>+_xlfn.XMATCH(D138,'300s - 5 Digit FERC Accounts'!B:B)</f>
        <v>136</v>
      </c>
      <c r="B138" s="1608" t="str">
        <f t="shared" si="9"/>
        <v>342</v>
      </c>
      <c r="C138" s="1608" t="str">
        <f t="shared" si="8"/>
        <v>Prod</v>
      </c>
      <c r="D138" s="29">
        <v>34245</v>
      </c>
      <c r="E138" s="29" t="s">
        <v>8223</v>
      </c>
      <c r="F138" s="83">
        <v>307028.13</v>
      </c>
      <c r="G138" s="83">
        <v>202500</v>
      </c>
      <c r="H138" s="83">
        <v>0</v>
      </c>
      <c r="I138" s="1606">
        <f t="shared" si="10"/>
        <v>0</v>
      </c>
      <c r="J138" s="83">
        <v>509528.13</v>
      </c>
      <c r="K138" s="83">
        <v>391835.82</v>
      </c>
      <c r="L138" s="83">
        <v>-15387.880000000001</v>
      </c>
      <c r="M138" s="83">
        <v>14440.65</v>
      </c>
      <c r="N138" s="83">
        <v>0</v>
      </c>
      <c r="O138" s="83">
        <v>-20000</v>
      </c>
      <c r="P138" s="83">
        <v>0</v>
      </c>
      <c r="Q138" s="1606">
        <f t="shared" si="11"/>
        <v>0</v>
      </c>
      <c r="R138" s="83">
        <v>-20947.230000000003</v>
      </c>
      <c r="S138" s="83">
        <v>-18885.39</v>
      </c>
      <c r="T138" s="1673">
        <v>3.78E-2</v>
      </c>
      <c r="V138" s="328" t="s">
        <v>1441</v>
      </c>
      <c r="W138" s="29">
        <v>34532</v>
      </c>
      <c r="Y138" s="503"/>
      <c r="Z138" s="503"/>
      <c r="AA138" s="503"/>
      <c r="AB138" s="503"/>
    </row>
    <row r="139" spans="1:28">
      <c r="A139">
        <f>+_xlfn.XMATCH(D139,'300s - 5 Digit FERC Accounts'!B:B)</f>
        <v>137</v>
      </c>
      <c r="B139" s="1608" t="str">
        <f t="shared" si="9"/>
        <v>342</v>
      </c>
      <c r="C139" s="1608" t="str">
        <f t="shared" si="8"/>
        <v>Prod</v>
      </c>
      <c r="D139" s="29">
        <v>34246</v>
      </c>
      <c r="E139" s="29" t="s">
        <v>8224</v>
      </c>
      <c r="F139" s="83">
        <v>388113.42500000016</v>
      </c>
      <c r="G139" s="83">
        <v>0</v>
      </c>
      <c r="H139" s="83">
        <v>0</v>
      </c>
      <c r="I139" s="1606">
        <f t="shared" si="10"/>
        <v>0</v>
      </c>
      <c r="J139" s="83">
        <v>388113.42500000016</v>
      </c>
      <c r="K139" s="83">
        <v>388113.43</v>
      </c>
      <c r="L139" s="83">
        <v>-15044.130000000001</v>
      </c>
      <c r="M139" s="83">
        <v>14166.12</v>
      </c>
      <c r="N139" s="83">
        <v>0</v>
      </c>
      <c r="O139" s="83">
        <v>0</v>
      </c>
      <c r="P139" s="83">
        <v>0</v>
      </c>
      <c r="Q139" s="1606">
        <f t="shared" si="11"/>
        <v>0</v>
      </c>
      <c r="R139" s="83">
        <v>-878.01000000000022</v>
      </c>
      <c r="S139" s="83">
        <v>-7961.07</v>
      </c>
      <c r="T139" s="1673">
        <v>3.6499999999999998E-2</v>
      </c>
      <c r="V139" s="328" t="s">
        <v>1441</v>
      </c>
      <c r="W139" s="29">
        <v>34533</v>
      </c>
      <c r="Y139" s="503"/>
      <c r="Z139" s="503"/>
      <c r="AA139" s="503"/>
      <c r="AB139" s="503"/>
    </row>
    <row r="140" spans="1:28">
      <c r="A140">
        <f>+_xlfn.XMATCH(D140,'300s - 5 Digit FERC Accounts'!B:B)</f>
        <v>138</v>
      </c>
      <c r="B140" s="1608" t="str">
        <f t="shared" si="9"/>
        <v>342</v>
      </c>
      <c r="C140" s="1608" t="str">
        <f t="shared" si="8"/>
        <v>Prod</v>
      </c>
      <c r="D140" s="29">
        <v>34280</v>
      </c>
      <c r="E140" s="29" t="s">
        <v>1642</v>
      </c>
      <c r="F140" s="83">
        <v>12463388.849999996</v>
      </c>
      <c r="G140" s="83">
        <v>3094842.98</v>
      </c>
      <c r="H140" s="83">
        <v>-618968.59</v>
      </c>
      <c r="I140" s="1606">
        <f t="shared" si="10"/>
        <v>0</v>
      </c>
      <c r="J140" s="83">
        <v>14939263.239999996</v>
      </c>
      <c r="K140" s="83">
        <v>13157136.470000001</v>
      </c>
      <c r="L140" s="83">
        <v>3981107.2900000005</v>
      </c>
      <c r="M140" s="83">
        <v>413674.3</v>
      </c>
      <c r="N140" s="83">
        <v>-618968.59</v>
      </c>
      <c r="O140" s="83">
        <v>-238333.34</v>
      </c>
      <c r="P140" s="83">
        <v>0</v>
      </c>
      <c r="Q140" s="1606">
        <f t="shared" si="11"/>
        <v>0</v>
      </c>
      <c r="R140" s="83">
        <v>3537479.6600000011</v>
      </c>
      <c r="S140" s="83">
        <v>3898106.62</v>
      </c>
      <c r="T140" s="1673">
        <v>3.1800000000000002E-2</v>
      </c>
      <c r="V140" s="328" t="s">
        <v>1441</v>
      </c>
      <c r="W140" s="29">
        <v>34534</v>
      </c>
      <c r="Y140" s="503"/>
      <c r="Z140" s="503"/>
      <c r="AA140" s="503"/>
      <c r="AB140" s="503"/>
    </row>
    <row r="141" spans="1:28">
      <c r="A141">
        <f>+_xlfn.XMATCH(D141,'300s - 5 Digit FERC Accounts'!B:B)</f>
        <v>139</v>
      </c>
      <c r="B141" s="1608" t="str">
        <f t="shared" si="9"/>
        <v>342</v>
      </c>
      <c r="C141" s="1608" t="str">
        <f t="shared" si="8"/>
        <v>Prod</v>
      </c>
      <c r="D141" s="29">
        <v>34281</v>
      </c>
      <c r="E141" s="29" t="s">
        <v>1643</v>
      </c>
      <c r="F141" s="83">
        <v>249190687.45500001</v>
      </c>
      <c r="G141" s="83">
        <v>41699077.409999996</v>
      </c>
      <c r="H141" s="83">
        <v>-282925.78000000003</v>
      </c>
      <c r="I141" s="1606">
        <f t="shared" si="10"/>
        <v>2.8638169169425964E-8</v>
      </c>
      <c r="J141" s="83">
        <v>290606839.08500004</v>
      </c>
      <c r="K141" s="83">
        <v>274202644.38</v>
      </c>
      <c r="L141" s="83">
        <v>153401051.44999993</v>
      </c>
      <c r="M141" s="83">
        <v>10176768.939999999</v>
      </c>
      <c r="N141" s="83">
        <v>-282925.78000000003</v>
      </c>
      <c r="O141" s="83">
        <v>-98333.23</v>
      </c>
      <c r="P141" s="83">
        <v>0</v>
      </c>
      <c r="Q141" s="1606">
        <f t="shared" si="11"/>
        <v>0</v>
      </c>
      <c r="R141" s="83">
        <v>163196561.37999994</v>
      </c>
      <c r="S141" s="83">
        <v>158218001.62</v>
      </c>
      <c r="T141" s="1673">
        <v>3.73E-2</v>
      </c>
      <c r="V141" s="328" t="s">
        <v>1441</v>
      </c>
      <c r="W141" s="29">
        <v>34535</v>
      </c>
      <c r="Y141" s="503"/>
      <c r="Z141" s="503"/>
      <c r="AA141" s="503"/>
      <c r="AB141" s="503"/>
    </row>
    <row r="142" spans="1:28">
      <c r="A142">
        <f>+_xlfn.XMATCH(D142,'300s - 5 Digit FERC Accounts'!B:B)</f>
        <v>140</v>
      </c>
      <c r="B142" s="1608" t="str">
        <f t="shared" si="9"/>
        <v>342</v>
      </c>
      <c r="C142" s="1608" t="str">
        <f t="shared" si="8"/>
        <v>Prod</v>
      </c>
      <c r="D142" s="29">
        <v>34282</v>
      </c>
      <c r="E142" s="29" t="s">
        <v>1644</v>
      </c>
      <c r="F142" s="83">
        <v>3721240.5999999996</v>
      </c>
      <c r="G142" s="83">
        <v>5122430.82</v>
      </c>
      <c r="H142" s="83">
        <v>-1024486.19</v>
      </c>
      <c r="I142" s="1606">
        <f t="shared" si="10"/>
        <v>0</v>
      </c>
      <c r="J142" s="83">
        <v>7819185.2300000004</v>
      </c>
      <c r="K142" s="83">
        <v>4238123.0599999996</v>
      </c>
      <c r="L142" s="83">
        <v>454514.10999999964</v>
      </c>
      <c r="M142" s="83">
        <v>121342.79</v>
      </c>
      <c r="N142" s="83">
        <v>-1024486.19</v>
      </c>
      <c r="O142" s="83">
        <v>-52133.4</v>
      </c>
      <c r="P142" s="83">
        <v>0</v>
      </c>
      <c r="Q142" s="1606">
        <f t="shared" si="11"/>
        <v>0</v>
      </c>
      <c r="R142" s="83">
        <v>-500762.69000000029</v>
      </c>
      <c r="S142" s="83">
        <v>357825.41</v>
      </c>
      <c r="T142" s="1673">
        <v>3.0800000000000001E-2</v>
      </c>
      <c r="V142" s="328" t="s">
        <v>1441</v>
      </c>
      <c r="W142" s="29">
        <v>34536</v>
      </c>
      <c r="Y142" s="503"/>
      <c r="Z142" s="503"/>
      <c r="AA142" s="503"/>
      <c r="AB142" s="503"/>
    </row>
    <row r="143" spans="1:28">
      <c r="A143">
        <f>+_xlfn.XMATCH(D143,'300s - 5 Digit FERC Accounts'!B:B)</f>
        <v>141</v>
      </c>
      <c r="B143" s="1608" t="str">
        <f t="shared" si="9"/>
        <v>342</v>
      </c>
      <c r="C143" s="1608" t="str">
        <f t="shared" si="8"/>
        <v>Prod</v>
      </c>
      <c r="D143" s="29">
        <v>34283</v>
      </c>
      <c r="E143" s="29" t="s">
        <v>1645</v>
      </c>
      <c r="F143" s="83">
        <v>1847091.01</v>
      </c>
      <c r="G143" s="83">
        <v>1949801.76</v>
      </c>
      <c r="H143" s="83">
        <v>-389960.35</v>
      </c>
      <c r="I143" s="1606">
        <f t="shared" si="10"/>
        <v>0</v>
      </c>
      <c r="J143" s="83">
        <v>3406932.42</v>
      </c>
      <c r="K143" s="83">
        <v>1967078.81</v>
      </c>
      <c r="L143" s="83">
        <v>563166.31999999948</v>
      </c>
      <c r="M143" s="83">
        <v>47285.52</v>
      </c>
      <c r="N143" s="83">
        <v>-389960.35</v>
      </c>
      <c r="O143" s="83">
        <v>0</v>
      </c>
      <c r="P143" s="83">
        <v>0</v>
      </c>
      <c r="Q143" s="1606">
        <f t="shared" si="11"/>
        <v>0</v>
      </c>
      <c r="R143" s="83">
        <v>220491.48999999953</v>
      </c>
      <c r="S143" s="83">
        <v>556812.13</v>
      </c>
      <c r="T143" s="1673">
        <v>2.5600000000000001E-2</v>
      </c>
      <c r="V143" s="328" t="s">
        <v>1441</v>
      </c>
      <c r="W143" s="29">
        <v>34541</v>
      </c>
      <c r="Y143" s="503"/>
      <c r="Z143" s="503"/>
      <c r="AA143" s="503"/>
      <c r="AB143" s="503"/>
    </row>
    <row r="144" spans="1:28">
      <c r="A144">
        <f>+_xlfn.XMATCH(D144,'300s - 5 Digit FERC Accounts'!B:B)</f>
        <v>142</v>
      </c>
      <c r="B144" s="1608" t="str">
        <f t="shared" si="9"/>
        <v>342</v>
      </c>
      <c r="C144" s="1608" t="str">
        <f t="shared" si="8"/>
        <v>Prod</v>
      </c>
      <c r="D144" s="29">
        <v>34284</v>
      </c>
      <c r="E144" s="29" t="s">
        <v>1646</v>
      </c>
      <c r="F144" s="83">
        <v>2710665.564999999</v>
      </c>
      <c r="G144" s="83">
        <v>3206910.65</v>
      </c>
      <c r="H144" s="83">
        <v>-641382.13</v>
      </c>
      <c r="I144" s="1606">
        <f t="shared" si="10"/>
        <v>0</v>
      </c>
      <c r="J144" s="83">
        <v>5276194.084999999</v>
      </c>
      <c r="K144" s="83">
        <v>2908013.91</v>
      </c>
      <c r="L144" s="83">
        <v>289986.77000000025</v>
      </c>
      <c r="M144" s="83">
        <v>105173.88</v>
      </c>
      <c r="N144" s="83">
        <v>-641382.13</v>
      </c>
      <c r="O144" s="83">
        <v>0</v>
      </c>
      <c r="P144" s="83">
        <v>0</v>
      </c>
      <c r="Q144" s="1606">
        <f t="shared" si="11"/>
        <v>0</v>
      </c>
      <c r="R144" s="83">
        <v>-246221.47999999975</v>
      </c>
      <c r="S144" s="83">
        <v>293236.62</v>
      </c>
      <c r="T144" s="1673">
        <v>3.8800000000000001E-2</v>
      </c>
      <c r="V144" s="328" t="s">
        <v>1441</v>
      </c>
      <c r="W144" s="29">
        <v>34544</v>
      </c>
      <c r="Y144" s="503"/>
      <c r="Z144" s="503"/>
      <c r="AA144" s="503"/>
      <c r="AB144" s="503"/>
    </row>
    <row r="145" spans="1:28">
      <c r="A145">
        <f>+_xlfn.XMATCH(D145,'300s - 5 Digit FERC Accounts'!B:B)</f>
        <v>143</v>
      </c>
      <c r="B145" s="1608" t="str">
        <f t="shared" si="9"/>
        <v>342</v>
      </c>
      <c r="C145" s="1608" t="str">
        <f t="shared" si="8"/>
        <v>Prod</v>
      </c>
      <c r="D145" s="29">
        <v>34285</v>
      </c>
      <c r="E145" s="29" t="s">
        <v>1647</v>
      </c>
      <c r="F145" s="83">
        <v>3090954.2100000004</v>
      </c>
      <c r="G145" s="83">
        <v>3543064.53</v>
      </c>
      <c r="H145" s="83">
        <v>-708612.91</v>
      </c>
      <c r="I145" s="1606">
        <f t="shared" si="10"/>
        <v>0</v>
      </c>
      <c r="J145" s="83">
        <v>5925405.8300000001</v>
      </c>
      <c r="K145" s="83">
        <v>3437805.12</v>
      </c>
      <c r="L145" s="83">
        <v>821501.3899999992</v>
      </c>
      <c r="M145" s="83">
        <v>101114.82</v>
      </c>
      <c r="N145" s="83">
        <v>-708612.91</v>
      </c>
      <c r="O145" s="83">
        <v>0</v>
      </c>
      <c r="P145" s="83">
        <v>0</v>
      </c>
      <c r="Q145" s="1606">
        <f t="shared" si="11"/>
        <v>0</v>
      </c>
      <c r="R145" s="83">
        <v>214003.29999999923</v>
      </c>
      <c r="S145" s="83">
        <v>783498.1</v>
      </c>
      <c r="T145" s="1673">
        <v>3.1300000000000001E-2</v>
      </c>
      <c r="V145" s="328" t="s">
        <v>1441</v>
      </c>
      <c r="W145" s="29">
        <v>34580</v>
      </c>
      <c r="Y145" s="503"/>
      <c r="Z145" s="503"/>
      <c r="AA145" s="503"/>
      <c r="AB145" s="503"/>
    </row>
    <row r="146" spans="1:28">
      <c r="A146">
        <f>+_xlfn.XMATCH(D146,'300s - 5 Digit FERC Accounts'!B:B)</f>
        <v>144</v>
      </c>
      <c r="B146" s="1608" t="str">
        <f t="shared" si="9"/>
        <v>342</v>
      </c>
      <c r="C146" s="1608" t="str">
        <f t="shared" si="8"/>
        <v>Prod</v>
      </c>
      <c r="D146" s="29">
        <v>34286</v>
      </c>
      <c r="E146" s="29" t="s">
        <v>1648</v>
      </c>
      <c r="F146" s="83">
        <v>215270346.14499995</v>
      </c>
      <c r="G146" s="83">
        <v>3629358.14</v>
      </c>
      <c r="H146" s="83">
        <v>-725871.64</v>
      </c>
      <c r="I146" s="1606">
        <f t="shared" si="10"/>
        <v>0</v>
      </c>
      <c r="J146" s="83">
        <v>218173832.64499995</v>
      </c>
      <c r="K146" s="83">
        <v>215839674.16999999</v>
      </c>
      <c r="L146" s="83">
        <v>46404921.260000035</v>
      </c>
      <c r="M146" s="83">
        <v>7267241.9299999997</v>
      </c>
      <c r="N146" s="83">
        <v>-725871.64</v>
      </c>
      <c r="O146" s="83">
        <v>-1234907.6200000001</v>
      </c>
      <c r="P146" s="83">
        <v>0</v>
      </c>
      <c r="Q146" s="1606">
        <f t="shared" si="11"/>
        <v>0</v>
      </c>
      <c r="R146" s="83">
        <v>51711383.930000037</v>
      </c>
      <c r="S146" s="83">
        <v>49276651.200000003</v>
      </c>
      <c r="T146" s="1673">
        <v>3.3700000000000001E-2</v>
      </c>
      <c r="V146" s="328" t="s">
        <v>1441</v>
      </c>
      <c r="W146" s="29">
        <v>34581</v>
      </c>
      <c r="Y146" s="503"/>
      <c r="Z146" s="503"/>
      <c r="AA146" s="503"/>
      <c r="AB146" s="503"/>
    </row>
    <row r="147" spans="1:28">
      <c r="A147">
        <f>+_xlfn.XMATCH(D147,'300s - 5 Digit FERC Accounts'!B:B)</f>
        <v>145</v>
      </c>
      <c r="B147" s="1608" t="str">
        <f t="shared" si="9"/>
        <v>342</v>
      </c>
      <c r="C147" s="1608" t="str">
        <f t="shared" si="8"/>
        <v>Prod</v>
      </c>
      <c r="D147" s="29">
        <v>34287</v>
      </c>
      <c r="E147" s="29" t="s">
        <v>1649</v>
      </c>
      <c r="F147" s="83">
        <v>0</v>
      </c>
      <c r="G147" s="83">
        <v>0</v>
      </c>
      <c r="H147" s="83">
        <v>0</v>
      </c>
      <c r="I147" s="1606">
        <f t="shared" si="10"/>
        <v>0</v>
      </c>
      <c r="J147" s="83">
        <v>0</v>
      </c>
      <c r="K147" s="83">
        <v>0</v>
      </c>
      <c r="L147" s="83">
        <v>0</v>
      </c>
      <c r="M147" s="83">
        <v>0</v>
      </c>
      <c r="N147" s="83">
        <v>0</v>
      </c>
      <c r="O147" s="83">
        <v>0</v>
      </c>
      <c r="P147" s="83">
        <v>0</v>
      </c>
      <c r="Q147" s="1606">
        <f t="shared" si="11"/>
        <v>0</v>
      </c>
      <c r="R147" s="83">
        <v>0</v>
      </c>
      <c r="S147" s="83">
        <v>0</v>
      </c>
      <c r="T147" s="1673">
        <v>0.2</v>
      </c>
      <c r="V147" s="328" t="s">
        <v>1441</v>
      </c>
      <c r="W147" s="29">
        <v>34582</v>
      </c>
      <c r="Y147" s="503"/>
      <c r="Z147" s="503"/>
      <c r="AA147" s="503"/>
      <c r="AB147" s="503"/>
    </row>
    <row r="148" spans="1:28">
      <c r="A148">
        <f>+_xlfn.XMATCH(D148,'300s - 5 Digit FERC Accounts'!B:B)</f>
        <v>146</v>
      </c>
      <c r="B148" s="1608" t="str">
        <f t="shared" si="9"/>
        <v>343</v>
      </c>
      <c r="C148" s="1608" t="str">
        <f t="shared" si="8"/>
        <v>Prod</v>
      </c>
      <c r="D148" s="29">
        <v>34320</v>
      </c>
      <c r="E148" s="29" t="s">
        <v>8955</v>
      </c>
      <c r="F148" s="83">
        <v>0</v>
      </c>
      <c r="G148" s="83">
        <v>53790116.170000002</v>
      </c>
      <c r="H148" s="83">
        <v>0</v>
      </c>
      <c r="I148" s="1606">
        <f t="shared" si="10"/>
        <v>0</v>
      </c>
      <c r="J148" s="83">
        <v>53790116.170000002</v>
      </c>
      <c r="K148" s="83">
        <v>36099210.57</v>
      </c>
      <c r="L148" s="83">
        <v>0</v>
      </c>
      <c r="M148" s="83">
        <v>720199.34</v>
      </c>
      <c r="N148" s="83">
        <v>0</v>
      </c>
      <c r="O148" s="83">
        <v>0</v>
      </c>
      <c r="P148" s="83">
        <v>0</v>
      </c>
      <c r="Q148" s="1606">
        <f t="shared" si="11"/>
        <v>0</v>
      </c>
      <c r="R148" s="83">
        <v>720199.34</v>
      </c>
      <c r="S148" s="83">
        <v>247602.08</v>
      </c>
      <c r="T148" s="1673">
        <v>2.0799999999999999E-2</v>
      </c>
      <c r="V148" s="328" t="s">
        <v>1441</v>
      </c>
      <c r="W148" s="29">
        <v>34583</v>
      </c>
      <c r="Y148" s="503"/>
      <c r="Z148" s="503"/>
      <c r="AA148" s="503"/>
      <c r="AB148" s="503"/>
    </row>
    <row r="149" spans="1:28">
      <c r="A149">
        <f>+_xlfn.XMATCH(D149,'300s - 5 Digit FERC Accounts'!B:B)</f>
        <v>147</v>
      </c>
      <c r="B149" s="1608" t="str">
        <f t="shared" si="9"/>
        <v>343</v>
      </c>
      <c r="C149" s="1608" t="str">
        <f t="shared" si="8"/>
        <v>Prod</v>
      </c>
      <c r="D149" s="29">
        <v>34328</v>
      </c>
      <c r="E149" s="29" t="s">
        <v>1650</v>
      </c>
      <c r="F149" s="83">
        <v>0</v>
      </c>
      <c r="G149" s="83">
        <v>0</v>
      </c>
      <c r="H149" s="83">
        <v>0</v>
      </c>
      <c r="I149" s="1606">
        <f t="shared" si="10"/>
        <v>0</v>
      </c>
      <c r="J149" s="83">
        <v>0</v>
      </c>
      <c r="K149" s="83">
        <v>0</v>
      </c>
      <c r="L149" s="83">
        <v>0</v>
      </c>
      <c r="M149" s="83">
        <v>0</v>
      </c>
      <c r="N149" s="83">
        <v>0</v>
      </c>
      <c r="O149" s="83">
        <v>0</v>
      </c>
      <c r="P149" s="83">
        <v>0</v>
      </c>
      <c r="Q149" s="1606">
        <f t="shared" si="11"/>
        <v>0</v>
      </c>
      <c r="R149" s="83">
        <v>0</v>
      </c>
      <c r="S149" s="83">
        <v>0</v>
      </c>
      <c r="T149" s="1673">
        <v>0</v>
      </c>
      <c r="V149" s="328" t="s">
        <v>1441</v>
      </c>
      <c r="W149" s="29">
        <v>34584</v>
      </c>
      <c r="Y149" s="503"/>
      <c r="Z149" s="503"/>
      <c r="AA149" s="503"/>
      <c r="AB149" s="503"/>
    </row>
    <row r="150" spans="1:28">
      <c r="A150">
        <f>+_xlfn.XMATCH(D150,'300s - 5 Digit FERC Accounts'!B:B)</f>
        <v>148</v>
      </c>
      <c r="B150" s="1608" t="str">
        <f t="shared" si="9"/>
        <v>343</v>
      </c>
      <c r="C150" s="1608" t="str">
        <f t="shared" si="8"/>
        <v>Prod</v>
      </c>
      <c r="D150" s="29">
        <v>34330</v>
      </c>
      <c r="E150" s="29" t="s">
        <v>1651</v>
      </c>
      <c r="F150" s="83">
        <v>56329274.839999996</v>
      </c>
      <c r="G150" s="83">
        <v>8972430.3900000006</v>
      </c>
      <c r="H150" s="83">
        <v>-1794486.08</v>
      </c>
      <c r="I150" s="1606">
        <f t="shared" si="10"/>
        <v>1.862645149230957E-9</v>
      </c>
      <c r="J150" s="83">
        <v>63507219.149999999</v>
      </c>
      <c r="K150" s="83">
        <v>60257579.590000004</v>
      </c>
      <c r="L150" s="83">
        <v>14254042.050000012</v>
      </c>
      <c r="M150" s="83">
        <v>3281276.66</v>
      </c>
      <c r="N150" s="83">
        <v>-1794486.08</v>
      </c>
      <c r="O150" s="83">
        <v>-50000</v>
      </c>
      <c r="P150" s="83">
        <v>0</v>
      </c>
      <c r="Q150" s="1606">
        <f t="shared" si="11"/>
        <v>0</v>
      </c>
      <c r="R150" s="83">
        <v>15690832.630000012</v>
      </c>
      <c r="S150" s="83">
        <v>14861222.58</v>
      </c>
      <c r="T150" s="1673">
        <v>5.4699999999999999E-2</v>
      </c>
      <c r="V150" s="328" t="s">
        <v>1441</v>
      </c>
      <c r="W150" s="29">
        <v>34585</v>
      </c>
      <c r="Y150" s="503"/>
      <c r="Z150" s="503"/>
      <c r="AA150" s="503"/>
      <c r="AB150" s="503"/>
    </row>
    <row r="151" spans="1:28">
      <c r="A151">
        <f>+_xlfn.XMATCH(D151,'300s - 5 Digit FERC Accounts'!B:B)</f>
        <v>149</v>
      </c>
      <c r="B151" s="1608" t="str">
        <f t="shared" si="9"/>
        <v>343</v>
      </c>
      <c r="C151" s="1608" t="str">
        <f t="shared" si="8"/>
        <v>Prod</v>
      </c>
      <c r="D151" s="29">
        <v>34331</v>
      </c>
      <c r="E151" s="29" t="s">
        <v>1652</v>
      </c>
      <c r="F151" s="83">
        <v>257142960.82999992</v>
      </c>
      <c r="G151" s="83">
        <v>17523903.68</v>
      </c>
      <c r="H151" s="83">
        <v>-3504780.74</v>
      </c>
      <c r="I151" s="1606">
        <f t="shared" si="10"/>
        <v>0</v>
      </c>
      <c r="J151" s="83">
        <v>271162083.76999992</v>
      </c>
      <c r="K151" s="83">
        <v>264269198.78999999</v>
      </c>
      <c r="L151" s="83">
        <v>105037292.93999995</v>
      </c>
      <c r="M151" s="83">
        <v>13633020.720000001</v>
      </c>
      <c r="N151" s="83">
        <v>-3504780.74</v>
      </c>
      <c r="O151" s="83">
        <v>-112204.15</v>
      </c>
      <c r="P151" s="83">
        <v>0</v>
      </c>
      <c r="Q151" s="1606">
        <f t="shared" si="11"/>
        <v>0</v>
      </c>
      <c r="R151" s="83">
        <v>115053328.76999995</v>
      </c>
      <c r="S151" s="83">
        <v>109964930.92</v>
      </c>
      <c r="T151" s="1673">
        <v>5.1699999999999996E-2</v>
      </c>
      <c r="V151" s="328" t="s">
        <v>1441</v>
      </c>
      <c r="W151" s="29">
        <v>34586</v>
      </c>
      <c r="Y151" s="503"/>
      <c r="Z151" s="503"/>
      <c r="AA151" s="503"/>
      <c r="AB151" s="503"/>
    </row>
    <row r="152" spans="1:28">
      <c r="A152">
        <f>+_xlfn.XMATCH(D152,'300s - 5 Digit FERC Accounts'!B:B)</f>
        <v>150</v>
      </c>
      <c r="B152" s="1608" t="str">
        <f t="shared" si="9"/>
        <v>343</v>
      </c>
      <c r="C152" s="1608" t="str">
        <f t="shared" si="8"/>
        <v>Prod</v>
      </c>
      <c r="D152" s="29">
        <v>34332</v>
      </c>
      <c r="E152" s="29" t="s">
        <v>1653</v>
      </c>
      <c r="F152" s="83">
        <v>325379582.98500013</v>
      </c>
      <c r="G152" s="83">
        <v>5985489.5</v>
      </c>
      <c r="H152" s="83">
        <v>-1197097.8999999999</v>
      </c>
      <c r="I152" s="1606">
        <f t="shared" si="10"/>
        <v>2.3748725652694702E-8</v>
      </c>
      <c r="J152" s="83">
        <v>330167974.58500016</v>
      </c>
      <c r="K152" s="83">
        <v>326975488.55000001</v>
      </c>
      <c r="L152" s="83">
        <v>127467801.04499994</v>
      </c>
      <c r="M152" s="83">
        <v>17642310.219999999</v>
      </c>
      <c r="N152" s="83">
        <v>-1197097.8999999999</v>
      </c>
      <c r="O152" s="83">
        <v>-1225000</v>
      </c>
      <c r="P152" s="83">
        <v>0</v>
      </c>
      <c r="Q152" s="1606">
        <f t="shared" si="11"/>
        <v>0</v>
      </c>
      <c r="R152" s="83">
        <v>142688013.36499992</v>
      </c>
      <c r="S152" s="83">
        <v>135165197.52000001</v>
      </c>
      <c r="T152" s="1673">
        <v>5.4000000000000006E-2</v>
      </c>
      <c r="V152" s="328" t="s">
        <v>1441</v>
      </c>
      <c r="W152" s="29">
        <v>34599</v>
      </c>
      <c r="Y152" s="503"/>
      <c r="Z152" s="503"/>
      <c r="AA152" s="503"/>
      <c r="AB152" s="503"/>
    </row>
    <row r="153" spans="1:28">
      <c r="A153">
        <f>+_xlfn.XMATCH(D153,'300s - 5 Digit FERC Accounts'!B:B)</f>
        <v>151</v>
      </c>
      <c r="B153" s="1608" t="str">
        <f t="shared" si="9"/>
        <v>343</v>
      </c>
      <c r="C153" s="1608" t="str">
        <f t="shared" si="8"/>
        <v>Prod</v>
      </c>
      <c r="D153" s="29">
        <v>34333</v>
      </c>
      <c r="E153" s="29" t="s">
        <v>1654</v>
      </c>
      <c r="F153" s="83">
        <v>16800143.014999993</v>
      </c>
      <c r="G153" s="83">
        <v>0</v>
      </c>
      <c r="H153" s="83">
        <v>0</v>
      </c>
      <c r="I153" s="1606">
        <f t="shared" si="10"/>
        <v>0</v>
      </c>
      <c r="J153" s="83">
        <v>16800143.014999993</v>
      </c>
      <c r="K153" s="83">
        <v>16800143.02</v>
      </c>
      <c r="L153" s="83">
        <v>9023420.4900000058</v>
      </c>
      <c r="M153" s="83">
        <v>356163</v>
      </c>
      <c r="N153" s="83">
        <v>0</v>
      </c>
      <c r="O153" s="83">
        <v>0</v>
      </c>
      <c r="P153" s="83">
        <v>0</v>
      </c>
      <c r="Q153" s="1606">
        <f t="shared" si="11"/>
        <v>0</v>
      </c>
      <c r="R153" s="83">
        <v>9379583.4900000058</v>
      </c>
      <c r="S153" s="83">
        <v>9201501.9900000002</v>
      </c>
      <c r="T153" s="1673">
        <v>2.12E-2</v>
      </c>
      <c r="V153" s="328" t="s">
        <v>1441</v>
      </c>
      <c r="W153" s="29">
        <v>34628</v>
      </c>
      <c r="Y153" s="503"/>
      <c r="Z153" s="503"/>
      <c r="AA153" s="503"/>
      <c r="AB153" s="503"/>
    </row>
    <row r="154" spans="1:28">
      <c r="A154">
        <f>+_xlfn.XMATCH(D154,'300s - 5 Digit FERC Accounts'!B:B)</f>
        <v>152</v>
      </c>
      <c r="B154" s="1608" t="str">
        <f t="shared" si="9"/>
        <v>343</v>
      </c>
      <c r="C154" s="1608" t="str">
        <f t="shared" si="8"/>
        <v>Prod</v>
      </c>
      <c r="D154" s="29">
        <v>34334</v>
      </c>
      <c r="E154" s="29" t="s">
        <v>1655</v>
      </c>
      <c r="F154" s="83">
        <v>16052104.970000001</v>
      </c>
      <c r="G154" s="83">
        <v>0</v>
      </c>
      <c r="H154" s="83">
        <v>0</v>
      </c>
      <c r="I154" s="1606">
        <f t="shared" si="10"/>
        <v>0</v>
      </c>
      <c r="J154" s="83">
        <v>16052104.970000001</v>
      </c>
      <c r="K154" s="83">
        <v>16052104.970000001</v>
      </c>
      <c r="L154" s="83">
        <v>9491777.7400000058</v>
      </c>
      <c r="M154" s="83">
        <v>329068.2</v>
      </c>
      <c r="N154" s="83">
        <v>0</v>
      </c>
      <c r="O154" s="83">
        <v>0</v>
      </c>
      <c r="P154" s="83">
        <v>0</v>
      </c>
      <c r="Q154" s="1606">
        <f t="shared" si="11"/>
        <v>0</v>
      </c>
      <c r="R154" s="83">
        <v>9820845.9400000051</v>
      </c>
      <c r="S154" s="83">
        <v>9656311.8399999999</v>
      </c>
      <c r="T154" s="1673">
        <v>2.0499999999999997E-2</v>
      </c>
      <c r="V154" s="328" t="s">
        <v>1441</v>
      </c>
      <c r="W154" s="29">
        <v>34630</v>
      </c>
      <c r="Y154" s="503"/>
      <c r="Z154" s="503"/>
      <c r="AA154" s="503"/>
      <c r="AB154" s="503"/>
    </row>
    <row r="155" spans="1:28">
      <c r="A155">
        <f>+_xlfn.XMATCH(D155,'300s - 5 Digit FERC Accounts'!B:B)</f>
        <v>153</v>
      </c>
      <c r="B155" s="1608" t="str">
        <f t="shared" si="9"/>
        <v>343</v>
      </c>
      <c r="C155" s="1608" t="str">
        <f t="shared" si="8"/>
        <v>Prod</v>
      </c>
      <c r="D155" s="29">
        <v>34335</v>
      </c>
      <c r="E155" s="29" t="s">
        <v>1656</v>
      </c>
      <c r="F155" s="83">
        <v>18801752.445</v>
      </c>
      <c r="G155" s="83">
        <v>0</v>
      </c>
      <c r="H155" s="83">
        <v>0</v>
      </c>
      <c r="I155" s="1606">
        <f t="shared" si="10"/>
        <v>0</v>
      </c>
      <c r="J155" s="83">
        <v>18801752.445</v>
      </c>
      <c r="K155" s="83">
        <v>18801752.449999999</v>
      </c>
      <c r="L155" s="83">
        <v>11929082.48</v>
      </c>
      <c r="M155" s="83">
        <v>389196.24</v>
      </c>
      <c r="N155" s="83">
        <v>0</v>
      </c>
      <c r="O155" s="83">
        <v>0</v>
      </c>
      <c r="P155" s="83">
        <v>0</v>
      </c>
      <c r="Q155" s="1606">
        <f t="shared" si="11"/>
        <v>0</v>
      </c>
      <c r="R155" s="83">
        <v>12318278.720000001</v>
      </c>
      <c r="S155" s="83">
        <v>12123680.6</v>
      </c>
      <c r="T155" s="1673">
        <v>2.07E-2</v>
      </c>
      <c r="V155" s="328" t="s">
        <v>1441</v>
      </c>
      <c r="W155" s="29">
        <v>34631</v>
      </c>
      <c r="Y155" s="503"/>
      <c r="Z155" s="503"/>
      <c r="AA155" s="503"/>
      <c r="AB155" s="503"/>
    </row>
    <row r="156" spans="1:28">
      <c r="A156">
        <f>+_xlfn.XMATCH(D156,'300s - 5 Digit FERC Accounts'!B:B)</f>
        <v>154</v>
      </c>
      <c r="B156" s="1608" t="str">
        <f t="shared" si="9"/>
        <v>343</v>
      </c>
      <c r="C156" s="1608" t="str">
        <f t="shared" si="8"/>
        <v>Prod</v>
      </c>
      <c r="D156" s="29">
        <v>34336</v>
      </c>
      <c r="E156" s="29" t="s">
        <v>1657</v>
      </c>
      <c r="F156" s="83">
        <v>17542092.239999998</v>
      </c>
      <c r="G156" s="83">
        <v>0</v>
      </c>
      <c r="H156" s="83">
        <v>0</v>
      </c>
      <c r="I156" s="1606">
        <f t="shared" si="10"/>
        <v>0</v>
      </c>
      <c r="J156" s="83">
        <v>17542092.239999998</v>
      </c>
      <c r="K156" s="83">
        <v>17542092.239999998</v>
      </c>
      <c r="L156" s="83">
        <v>11493965.270000007</v>
      </c>
      <c r="M156" s="83">
        <v>315757.68</v>
      </c>
      <c r="N156" s="83">
        <v>0</v>
      </c>
      <c r="O156" s="83">
        <v>0</v>
      </c>
      <c r="P156" s="83">
        <v>0</v>
      </c>
      <c r="Q156" s="1606">
        <f t="shared" si="11"/>
        <v>0</v>
      </c>
      <c r="R156" s="83">
        <v>11809722.950000007</v>
      </c>
      <c r="S156" s="83">
        <v>11651844.109999999</v>
      </c>
      <c r="T156" s="1673">
        <v>1.8000000000000002E-2</v>
      </c>
      <c r="V156" s="328" t="s">
        <v>1441</v>
      </c>
      <c r="W156" s="29">
        <v>34632</v>
      </c>
      <c r="Y156" s="503"/>
      <c r="Z156" s="503"/>
      <c r="AA156" s="503"/>
      <c r="AB156" s="503"/>
    </row>
    <row r="157" spans="1:28">
      <c r="A157">
        <f>+_xlfn.XMATCH(D157,'300s - 5 Digit FERC Accounts'!B:B)</f>
        <v>155</v>
      </c>
      <c r="B157" s="1608" t="str">
        <f t="shared" si="9"/>
        <v>343</v>
      </c>
      <c r="C157" s="1608" t="str">
        <f t="shared" si="8"/>
        <v>Prod</v>
      </c>
      <c r="D157" s="29">
        <v>34341</v>
      </c>
      <c r="E157" s="29" t="s">
        <v>8225</v>
      </c>
      <c r="F157" s="83">
        <v>0</v>
      </c>
      <c r="G157" s="83">
        <v>0</v>
      </c>
      <c r="H157" s="83">
        <v>0</v>
      </c>
      <c r="I157" s="1606">
        <f t="shared" si="10"/>
        <v>0</v>
      </c>
      <c r="J157" s="83">
        <v>0</v>
      </c>
      <c r="K157" s="83">
        <v>0</v>
      </c>
      <c r="L157" s="83">
        <v>0</v>
      </c>
      <c r="M157" s="83">
        <v>0</v>
      </c>
      <c r="N157" s="83">
        <v>0</v>
      </c>
      <c r="O157" s="83">
        <v>0</v>
      </c>
      <c r="P157" s="83">
        <v>0</v>
      </c>
      <c r="Q157" s="1606">
        <f t="shared" si="11"/>
        <v>0</v>
      </c>
      <c r="R157" s="83">
        <v>0</v>
      </c>
      <c r="S157" s="83">
        <v>0</v>
      </c>
      <c r="T157" s="1673">
        <v>0</v>
      </c>
      <c r="V157" s="328" t="s">
        <v>1441</v>
      </c>
      <c r="W157" s="29">
        <v>34633</v>
      </c>
      <c r="Y157" s="503"/>
      <c r="Z157" s="503"/>
      <c r="AA157" s="503"/>
      <c r="AB157" s="503"/>
    </row>
    <row r="158" spans="1:28">
      <c r="A158">
        <f>+_xlfn.XMATCH(D158,'300s - 5 Digit FERC Accounts'!B:B)</f>
        <v>156</v>
      </c>
      <c r="B158" s="1608" t="str">
        <f t="shared" si="9"/>
        <v>343</v>
      </c>
      <c r="C158" s="1608" t="str">
        <f t="shared" si="8"/>
        <v>Prod</v>
      </c>
      <c r="D158" s="29">
        <v>34342</v>
      </c>
      <c r="E158" s="29" t="s">
        <v>1658</v>
      </c>
      <c r="F158" s="83">
        <v>0</v>
      </c>
      <c r="G158" s="83">
        <v>0</v>
      </c>
      <c r="H158" s="83">
        <v>0</v>
      </c>
      <c r="I158" s="1606">
        <f t="shared" si="10"/>
        <v>0</v>
      </c>
      <c r="J158" s="83">
        <v>0</v>
      </c>
      <c r="K158" s="83">
        <v>0</v>
      </c>
      <c r="L158" s="83">
        <v>0</v>
      </c>
      <c r="M158" s="83">
        <v>0</v>
      </c>
      <c r="N158" s="83">
        <v>0</v>
      </c>
      <c r="O158" s="83">
        <v>0</v>
      </c>
      <c r="P158" s="83">
        <v>0</v>
      </c>
      <c r="Q158" s="1606">
        <f t="shared" si="11"/>
        <v>0</v>
      </c>
      <c r="R158" s="83">
        <v>0</v>
      </c>
      <c r="S158" s="83">
        <v>0</v>
      </c>
      <c r="T158" s="1673">
        <v>0</v>
      </c>
      <c r="V158" s="328" t="s">
        <v>1441</v>
      </c>
      <c r="W158" s="29">
        <v>34634</v>
      </c>
      <c r="Y158" s="503"/>
      <c r="Z158" s="503"/>
      <c r="AA158" s="503"/>
      <c r="AB158" s="503"/>
    </row>
    <row r="159" spans="1:28">
      <c r="A159">
        <f>+_xlfn.XMATCH(D159,'300s - 5 Digit FERC Accounts'!B:B)</f>
        <v>157</v>
      </c>
      <c r="B159" s="1608" t="str">
        <f t="shared" si="9"/>
        <v>343</v>
      </c>
      <c r="C159" s="1608" t="str">
        <f t="shared" si="8"/>
        <v>Prod</v>
      </c>
      <c r="D159" s="29">
        <v>34343</v>
      </c>
      <c r="E159" s="29" t="s">
        <v>8226</v>
      </c>
      <c r="F159" s="83">
        <v>459235396.42500007</v>
      </c>
      <c r="G159" s="83">
        <v>22673.64</v>
      </c>
      <c r="H159" s="83">
        <v>0</v>
      </c>
      <c r="I159" s="1606">
        <f t="shared" si="10"/>
        <v>-1.4304532669484615E-8</v>
      </c>
      <c r="J159" s="83">
        <v>459258070.06500006</v>
      </c>
      <c r="K159" s="83">
        <v>459247605.31</v>
      </c>
      <c r="L159" s="83">
        <v>19813608.059999999</v>
      </c>
      <c r="M159" s="83">
        <v>16716581.1</v>
      </c>
      <c r="N159" s="83">
        <v>0</v>
      </c>
      <c r="O159" s="83">
        <v>-269950.2</v>
      </c>
      <c r="P159" s="83">
        <v>0</v>
      </c>
      <c r="Q159" s="1606">
        <f t="shared" si="11"/>
        <v>0</v>
      </c>
      <c r="R159" s="83">
        <v>36260238.959999993</v>
      </c>
      <c r="S159" s="83">
        <v>28036828.289999999</v>
      </c>
      <c r="T159" s="1673">
        <v>3.6400000000000002E-2</v>
      </c>
      <c r="V159" s="328" t="s">
        <v>1441</v>
      </c>
      <c r="W159" s="29">
        <v>34635</v>
      </c>
      <c r="Y159" s="503"/>
      <c r="Z159" s="503"/>
      <c r="AA159" s="503"/>
      <c r="AB159" s="503"/>
    </row>
    <row r="160" spans="1:28">
      <c r="A160">
        <f>+_xlfn.XMATCH(D160,'300s - 5 Digit FERC Accounts'!B:B)</f>
        <v>158</v>
      </c>
      <c r="B160" s="1608" t="str">
        <f t="shared" si="9"/>
        <v>343</v>
      </c>
      <c r="C160" s="1608" t="str">
        <f t="shared" si="8"/>
        <v>Prod</v>
      </c>
      <c r="D160" s="29">
        <v>34344</v>
      </c>
      <c r="E160" s="29" t="s">
        <v>1659</v>
      </c>
      <c r="F160" s="83">
        <v>21710268.795000002</v>
      </c>
      <c r="G160" s="83">
        <v>0</v>
      </c>
      <c r="H160" s="83">
        <v>0</v>
      </c>
      <c r="I160" s="1606">
        <f t="shared" si="10"/>
        <v>0</v>
      </c>
      <c r="J160" s="83">
        <v>21710268.795000002</v>
      </c>
      <c r="K160" s="83">
        <v>21710268.800000001</v>
      </c>
      <c r="L160" s="83">
        <v>11147576.739999995</v>
      </c>
      <c r="M160" s="83">
        <v>590519.28</v>
      </c>
      <c r="N160" s="83">
        <v>0</v>
      </c>
      <c r="O160" s="83">
        <v>0</v>
      </c>
      <c r="P160" s="83">
        <v>0</v>
      </c>
      <c r="Q160" s="1606">
        <f t="shared" si="11"/>
        <v>0</v>
      </c>
      <c r="R160" s="83">
        <v>11738096.019999994</v>
      </c>
      <c r="S160" s="83">
        <v>11442836.380000001</v>
      </c>
      <c r="T160" s="1673">
        <v>2.7200000000000002E-2</v>
      </c>
      <c r="V160" s="328" t="s">
        <v>1441</v>
      </c>
      <c r="W160" s="29">
        <v>34636</v>
      </c>
      <c r="Y160" s="503"/>
      <c r="Z160" s="503"/>
      <c r="AA160" s="503"/>
      <c r="AB160" s="503"/>
    </row>
    <row r="161" spans="1:28">
      <c r="A161">
        <f>+_xlfn.XMATCH(D161,'300s - 5 Digit FERC Accounts'!B:B)</f>
        <v>159</v>
      </c>
      <c r="B161" s="1608" t="str">
        <f t="shared" si="9"/>
        <v>343</v>
      </c>
      <c r="C161" s="1608" t="str">
        <f t="shared" si="8"/>
        <v>Prod</v>
      </c>
      <c r="D161" s="29">
        <v>34345</v>
      </c>
      <c r="E161" s="29" t="s">
        <v>1660</v>
      </c>
      <c r="F161" s="83">
        <v>176825383.25000009</v>
      </c>
      <c r="G161" s="83">
        <v>202500</v>
      </c>
      <c r="H161" s="83">
        <v>0</v>
      </c>
      <c r="I161" s="1606">
        <f t="shared" si="10"/>
        <v>0</v>
      </c>
      <c r="J161" s="83">
        <v>177027883.25000009</v>
      </c>
      <c r="K161" s="83">
        <v>176910190.94</v>
      </c>
      <c r="L161" s="83">
        <v>14396000.979999999</v>
      </c>
      <c r="M161" s="83">
        <v>6191513.4299999997</v>
      </c>
      <c r="N161" s="83">
        <v>0</v>
      </c>
      <c r="O161" s="83">
        <v>-20000</v>
      </c>
      <c r="P161" s="83">
        <v>0</v>
      </c>
      <c r="Q161" s="1606">
        <f t="shared" si="11"/>
        <v>0</v>
      </c>
      <c r="R161" s="83">
        <v>20567514.409999996</v>
      </c>
      <c r="S161" s="83">
        <v>17481093.02</v>
      </c>
      <c r="T161" s="1673">
        <v>3.5000000000000003E-2</v>
      </c>
      <c r="V161" s="328" t="s">
        <v>1441</v>
      </c>
      <c r="W161" s="29">
        <v>34637</v>
      </c>
      <c r="Y161" s="503"/>
      <c r="Z161" s="503"/>
      <c r="AA161" s="503"/>
      <c r="AB161" s="503"/>
    </row>
    <row r="162" spans="1:28">
      <c r="A162">
        <f>+_xlfn.XMATCH(D162,'300s - 5 Digit FERC Accounts'!B:B)</f>
        <v>160</v>
      </c>
      <c r="B162" s="1608" t="str">
        <f t="shared" si="9"/>
        <v>343</v>
      </c>
      <c r="C162" s="1608" t="str">
        <f t="shared" si="8"/>
        <v>Prod</v>
      </c>
      <c r="D162" s="29">
        <v>34346</v>
      </c>
      <c r="E162" s="29" t="s">
        <v>1661</v>
      </c>
      <c r="F162" s="83">
        <v>175636432.62500012</v>
      </c>
      <c r="G162" s="83">
        <v>0</v>
      </c>
      <c r="H162" s="83">
        <v>0</v>
      </c>
      <c r="I162" s="1606">
        <f t="shared" si="10"/>
        <v>0</v>
      </c>
      <c r="J162" s="83">
        <v>175636432.62500012</v>
      </c>
      <c r="K162" s="83">
        <v>175636432.63</v>
      </c>
      <c r="L162" s="83">
        <v>14305937.169999998</v>
      </c>
      <c r="M162" s="83">
        <v>6147275.1600000001</v>
      </c>
      <c r="N162" s="83">
        <v>0</v>
      </c>
      <c r="O162" s="83">
        <v>0</v>
      </c>
      <c r="P162" s="83">
        <v>0</v>
      </c>
      <c r="Q162" s="1606">
        <f t="shared" si="11"/>
        <v>0</v>
      </c>
      <c r="R162" s="83">
        <v>20453212.329999998</v>
      </c>
      <c r="S162" s="83">
        <v>17379574.75</v>
      </c>
      <c r="T162" s="1673">
        <v>3.5000000000000003E-2</v>
      </c>
      <c r="V162" s="328" t="s">
        <v>1441</v>
      </c>
      <c r="W162" s="29">
        <v>34644</v>
      </c>
      <c r="Y162" s="503"/>
      <c r="Z162" s="503"/>
      <c r="AA162" s="503"/>
      <c r="AB162" s="503"/>
    </row>
    <row r="163" spans="1:28">
      <c r="A163">
        <f>+_xlfn.XMATCH(D163,'300s - 5 Digit FERC Accounts'!B:B)</f>
        <v>161</v>
      </c>
      <c r="B163" s="1608" t="str">
        <f t="shared" si="9"/>
        <v>343</v>
      </c>
      <c r="C163" s="1608" t="str">
        <f t="shared" si="8"/>
        <v>Prod</v>
      </c>
      <c r="D163" s="29">
        <v>34352</v>
      </c>
      <c r="E163" s="29" t="s">
        <v>8227</v>
      </c>
      <c r="F163" s="83">
        <v>0</v>
      </c>
      <c r="G163" s="83">
        <v>0</v>
      </c>
      <c r="H163" s="83">
        <v>0</v>
      </c>
      <c r="I163" s="1606">
        <f t="shared" si="10"/>
        <v>0</v>
      </c>
      <c r="J163" s="83">
        <v>0</v>
      </c>
      <c r="K163" s="83">
        <v>0</v>
      </c>
      <c r="L163" s="83">
        <v>0</v>
      </c>
      <c r="M163" s="83">
        <v>0</v>
      </c>
      <c r="N163" s="83">
        <v>0</v>
      </c>
      <c r="O163" s="83">
        <v>0</v>
      </c>
      <c r="P163" s="83">
        <v>0</v>
      </c>
      <c r="Q163" s="1606">
        <f t="shared" si="11"/>
        <v>0</v>
      </c>
      <c r="R163" s="83">
        <v>0</v>
      </c>
      <c r="S163" s="83">
        <v>0</v>
      </c>
      <c r="T163" s="1673">
        <v>0</v>
      </c>
      <c r="V163" s="328" t="s">
        <v>1441</v>
      </c>
      <c r="W163" s="29">
        <v>34680</v>
      </c>
      <c r="Y163" s="503"/>
      <c r="Z163" s="503"/>
      <c r="AA163" s="503"/>
      <c r="AB163" s="503"/>
    </row>
    <row r="164" spans="1:28">
      <c r="A164">
        <f>+_xlfn.XMATCH(D164,'300s - 5 Digit FERC Accounts'!B:B)</f>
        <v>162</v>
      </c>
      <c r="B164" s="1608" t="str">
        <f t="shared" si="9"/>
        <v>343</v>
      </c>
      <c r="C164" s="1608" t="str">
        <f t="shared" si="8"/>
        <v>Prod</v>
      </c>
      <c r="D164" s="29">
        <v>34380</v>
      </c>
      <c r="E164" s="29" t="s">
        <v>1662</v>
      </c>
      <c r="F164" s="83">
        <v>13374221.219999995</v>
      </c>
      <c r="G164" s="83">
        <v>3094842.98</v>
      </c>
      <c r="H164" s="83">
        <v>-618968.59</v>
      </c>
      <c r="I164" s="1606">
        <f t="shared" si="10"/>
        <v>0</v>
      </c>
      <c r="J164" s="83">
        <v>15850095.609999996</v>
      </c>
      <c r="K164" s="83">
        <v>14067968.84</v>
      </c>
      <c r="L164" s="83">
        <v>2663150.1200000015</v>
      </c>
      <c r="M164" s="83">
        <v>526155.56000000006</v>
      </c>
      <c r="N164" s="83">
        <v>-618968.59</v>
      </c>
      <c r="O164" s="83">
        <v>-238333.34</v>
      </c>
      <c r="P164" s="83">
        <v>0</v>
      </c>
      <c r="Q164" s="1606">
        <f t="shared" si="11"/>
        <v>0</v>
      </c>
      <c r="R164" s="83">
        <v>2332003.7500000019</v>
      </c>
      <c r="S164" s="83">
        <v>2635807.2599999998</v>
      </c>
      <c r="T164" s="1673">
        <v>3.78E-2</v>
      </c>
      <c r="V164" s="328" t="s">
        <v>1441</v>
      </c>
      <c r="W164" s="29">
        <v>34681</v>
      </c>
      <c r="Y164" s="503"/>
      <c r="Z164" s="503"/>
      <c r="AA164" s="503"/>
      <c r="AB164" s="503"/>
    </row>
    <row r="165" spans="1:28">
      <c r="A165">
        <f>+_xlfn.XMATCH(D165,'300s - 5 Digit FERC Accounts'!B:B)</f>
        <v>163</v>
      </c>
      <c r="B165" s="1608" t="str">
        <f t="shared" si="9"/>
        <v>343</v>
      </c>
      <c r="C165" s="1608" t="str">
        <f t="shared" si="8"/>
        <v>Prod</v>
      </c>
      <c r="D165" s="29">
        <v>34381</v>
      </c>
      <c r="E165" s="29" t="s">
        <v>1663</v>
      </c>
      <c r="F165" s="83">
        <v>164019280.71499991</v>
      </c>
      <c r="G165" s="83">
        <v>41699077.409999996</v>
      </c>
      <c r="H165" s="83">
        <v>-282925.78000000003</v>
      </c>
      <c r="I165" s="1606">
        <f t="shared" si="10"/>
        <v>-1.1641532182693481E-9</v>
      </c>
      <c r="J165" s="83">
        <v>205435432.34499991</v>
      </c>
      <c r="K165" s="83">
        <v>189031237.63999999</v>
      </c>
      <c r="L165" s="83">
        <v>91770284.029999986</v>
      </c>
      <c r="M165" s="83">
        <v>8032028.6799999997</v>
      </c>
      <c r="N165" s="83">
        <v>-282925.78000000003</v>
      </c>
      <c r="O165" s="83">
        <v>-98333.23</v>
      </c>
      <c r="P165" s="83">
        <v>0</v>
      </c>
      <c r="Q165" s="1606">
        <f t="shared" si="11"/>
        <v>0</v>
      </c>
      <c r="R165" s="83">
        <v>99421053.699999973</v>
      </c>
      <c r="S165" s="83">
        <v>95489877.969999999</v>
      </c>
      <c r="T165" s="1673">
        <v>4.2800000000000005E-2</v>
      </c>
      <c r="V165" s="328" t="s">
        <v>1441</v>
      </c>
      <c r="W165" s="29">
        <v>34682</v>
      </c>
      <c r="Y165" s="503"/>
      <c r="Z165" s="503"/>
      <c r="AA165" s="503"/>
      <c r="AB165" s="503"/>
    </row>
    <row r="166" spans="1:28">
      <c r="A166">
        <f>+_xlfn.XMATCH(D166,'300s - 5 Digit FERC Accounts'!B:B)</f>
        <v>164</v>
      </c>
      <c r="B166" s="1608" t="str">
        <f t="shared" si="9"/>
        <v>343</v>
      </c>
      <c r="C166" s="1608" t="str">
        <f t="shared" si="8"/>
        <v>Prod</v>
      </c>
      <c r="D166" s="29">
        <v>34382</v>
      </c>
      <c r="E166" s="29" t="s">
        <v>1664</v>
      </c>
      <c r="F166" s="83">
        <v>37467329.220000029</v>
      </c>
      <c r="G166" s="83">
        <v>5122430.82</v>
      </c>
      <c r="H166" s="83">
        <v>-1024486.19</v>
      </c>
      <c r="I166" s="1606">
        <f t="shared" si="10"/>
        <v>2.3283064365386963E-9</v>
      </c>
      <c r="J166" s="83">
        <v>41565273.850000031</v>
      </c>
      <c r="K166" s="83">
        <v>37984211.68</v>
      </c>
      <c r="L166" s="83">
        <v>10409071.580000006</v>
      </c>
      <c r="M166" s="83">
        <v>1477282.95</v>
      </c>
      <c r="N166" s="83">
        <v>-1024486.19</v>
      </c>
      <c r="O166" s="83">
        <v>-52133.4</v>
      </c>
      <c r="P166" s="83">
        <v>0</v>
      </c>
      <c r="Q166" s="1606">
        <f t="shared" si="11"/>
        <v>0</v>
      </c>
      <c r="R166" s="83">
        <v>10809734.940000005</v>
      </c>
      <c r="S166" s="83">
        <v>10989787.67</v>
      </c>
      <c r="T166" s="1673">
        <v>3.9199999999999999E-2</v>
      </c>
      <c r="V166" s="328" t="s">
        <v>1441</v>
      </c>
      <c r="W166" s="29">
        <v>34683</v>
      </c>
      <c r="Y166" s="503"/>
      <c r="Z166" s="503"/>
      <c r="AA166" s="503"/>
      <c r="AB166" s="503"/>
    </row>
    <row r="167" spans="1:28">
      <c r="A167">
        <f>+_xlfn.XMATCH(D167,'300s - 5 Digit FERC Accounts'!B:B)</f>
        <v>165</v>
      </c>
      <c r="B167" s="1608" t="str">
        <f t="shared" si="9"/>
        <v>343</v>
      </c>
      <c r="C167" s="1608" t="str">
        <f t="shared" si="8"/>
        <v>Prod</v>
      </c>
      <c r="D167" s="29">
        <v>34383</v>
      </c>
      <c r="E167" s="29" t="s">
        <v>1665</v>
      </c>
      <c r="F167" s="83">
        <v>38711529.969999999</v>
      </c>
      <c r="G167" s="83">
        <v>1949801.76</v>
      </c>
      <c r="H167" s="83">
        <v>-389960.35</v>
      </c>
      <c r="I167" s="1606">
        <f t="shared" si="10"/>
        <v>-3.6088749766349792E-9</v>
      </c>
      <c r="J167" s="83">
        <v>40271371.379999995</v>
      </c>
      <c r="K167" s="83">
        <v>38831517.770000003</v>
      </c>
      <c r="L167" s="83">
        <v>23362826.240000024</v>
      </c>
      <c r="M167" s="83">
        <v>874880.52</v>
      </c>
      <c r="N167" s="83">
        <v>-389960.35</v>
      </c>
      <c r="O167" s="83">
        <v>0</v>
      </c>
      <c r="P167" s="83">
        <v>0</v>
      </c>
      <c r="Q167" s="1606">
        <f t="shared" si="11"/>
        <v>0</v>
      </c>
      <c r="R167" s="83">
        <v>23847746.410000023</v>
      </c>
      <c r="S167" s="83">
        <v>23770269.550000001</v>
      </c>
      <c r="T167" s="1673">
        <v>2.2599999999999999E-2</v>
      </c>
      <c r="V167" s="328" t="s">
        <v>1441</v>
      </c>
      <c r="W167" s="29">
        <v>34684</v>
      </c>
      <c r="Y167" s="503"/>
      <c r="Z167" s="503"/>
      <c r="AA167" s="503"/>
      <c r="AB167" s="503"/>
    </row>
    <row r="168" spans="1:28">
      <c r="A168">
        <f>+_xlfn.XMATCH(D168,'300s - 5 Digit FERC Accounts'!B:B)</f>
        <v>166</v>
      </c>
      <c r="B168" s="1608" t="str">
        <f t="shared" si="9"/>
        <v>343</v>
      </c>
      <c r="C168" s="1608" t="str">
        <f t="shared" si="8"/>
        <v>Prod</v>
      </c>
      <c r="D168" s="29">
        <v>34384</v>
      </c>
      <c r="E168" s="29" t="s">
        <v>1666</v>
      </c>
      <c r="F168" s="83">
        <v>28730215.395000007</v>
      </c>
      <c r="G168" s="83">
        <v>3206910.65</v>
      </c>
      <c r="H168" s="83">
        <v>-641382.13</v>
      </c>
      <c r="I168" s="1606">
        <f t="shared" si="10"/>
        <v>0</v>
      </c>
      <c r="J168" s="83">
        <v>31295743.915000007</v>
      </c>
      <c r="K168" s="83">
        <v>28927563.739999998</v>
      </c>
      <c r="L168" s="83">
        <v>8371480.6000000034</v>
      </c>
      <c r="M168" s="83">
        <v>1172192.76</v>
      </c>
      <c r="N168" s="83">
        <v>-641382.13</v>
      </c>
      <c r="O168" s="83">
        <v>0</v>
      </c>
      <c r="P168" s="83">
        <v>0</v>
      </c>
      <c r="Q168" s="1606">
        <f t="shared" si="11"/>
        <v>0</v>
      </c>
      <c r="R168" s="83">
        <v>8902291.2300000023</v>
      </c>
      <c r="S168" s="83">
        <v>8908239.8900000006</v>
      </c>
      <c r="T168" s="1673">
        <v>4.0800000000000003E-2</v>
      </c>
      <c r="V168" s="328" t="s">
        <v>1441</v>
      </c>
      <c r="W168" s="29">
        <v>34685</v>
      </c>
      <c r="Y168" s="503"/>
      <c r="Z168" s="503"/>
      <c r="AA168" s="503"/>
      <c r="AB168" s="503"/>
    </row>
    <row r="169" spans="1:28">
      <c r="A169">
        <f>+_xlfn.XMATCH(D169,'300s - 5 Digit FERC Accounts'!B:B)</f>
        <v>167</v>
      </c>
      <c r="B169" s="1608" t="str">
        <f t="shared" si="9"/>
        <v>343</v>
      </c>
      <c r="C169" s="1608" t="str">
        <f t="shared" si="8"/>
        <v>Prod</v>
      </c>
      <c r="D169" s="29">
        <v>34385</v>
      </c>
      <c r="E169" s="29" t="s">
        <v>1667</v>
      </c>
      <c r="F169" s="83">
        <v>25537597.419999994</v>
      </c>
      <c r="G169" s="83">
        <v>3543064.53</v>
      </c>
      <c r="H169" s="83">
        <v>-708612.91</v>
      </c>
      <c r="I169" s="1606">
        <f t="shared" si="10"/>
        <v>1.280568540096283E-9</v>
      </c>
      <c r="J169" s="83">
        <v>28372049.039999995</v>
      </c>
      <c r="K169" s="83">
        <v>25884448.329999998</v>
      </c>
      <c r="L169" s="83">
        <v>6881861.0700000022</v>
      </c>
      <c r="M169" s="83">
        <v>1073304.75</v>
      </c>
      <c r="N169" s="83">
        <v>-708612.91</v>
      </c>
      <c r="O169" s="83">
        <v>0</v>
      </c>
      <c r="P169" s="83">
        <v>0</v>
      </c>
      <c r="Q169" s="1606">
        <f t="shared" si="11"/>
        <v>0</v>
      </c>
      <c r="R169" s="83">
        <v>7246552.910000002</v>
      </c>
      <c r="S169" s="83">
        <v>7329332.8099999996</v>
      </c>
      <c r="T169" s="1673">
        <v>4.1799999999999997E-2</v>
      </c>
      <c r="V169" s="328" t="s">
        <v>1441</v>
      </c>
      <c r="W169" s="29">
        <v>34686</v>
      </c>
      <c r="Y169" s="503"/>
      <c r="Z169" s="503"/>
      <c r="AA169" s="503"/>
      <c r="AB169" s="503"/>
    </row>
    <row r="170" spans="1:28">
      <c r="A170">
        <f>+_xlfn.XMATCH(D170,'300s - 5 Digit FERC Accounts'!B:B)</f>
        <v>168</v>
      </c>
      <c r="B170" s="1608" t="str">
        <f t="shared" si="9"/>
        <v>343</v>
      </c>
      <c r="C170" s="1608" t="str">
        <f t="shared" si="8"/>
        <v>Prod</v>
      </c>
      <c r="D170" s="29">
        <v>34386</v>
      </c>
      <c r="E170" s="29" t="s">
        <v>1668</v>
      </c>
      <c r="F170" s="83">
        <v>225351015.47500005</v>
      </c>
      <c r="G170" s="83">
        <v>3629358.14</v>
      </c>
      <c r="H170" s="83">
        <v>-725871.64</v>
      </c>
      <c r="I170" s="1606">
        <f t="shared" si="10"/>
        <v>0</v>
      </c>
      <c r="J170" s="83">
        <v>228254501.97500005</v>
      </c>
      <c r="K170" s="83">
        <v>225920343.5</v>
      </c>
      <c r="L170" s="83">
        <v>49140894.330000043</v>
      </c>
      <c r="M170" s="83">
        <v>7855258.8600000003</v>
      </c>
      <c r="N170" s="83">
        <v>-725871.64</v>
      </c>
      <c r="O170" s="83">
        <v>-1234907.6200000001</v>
      </c>
      <c r="P170" s="83">
        <v>0</v>
      </c>
      <c r="Q170" s="1606">
        <f t="shared" si="11"/>
        <v>0</v>
      </c>
      <c r="R170" s="83">
        <v>55035373.930000044</v>
      </c>
      <c r="S170" s="83">
        <v>52306564.020000003</v>
      </c>
      <c r="T170" s="1673">
        <v>3.4800000000000005E-2</v>
      </c>
      <c r="V170" s="328" t="s">
        <v>1441</v>
      </c>
      <c r="W170" s="29">
        <v>34687</v>
      </c>
      <c r="Y170" s="503"/>
      <c r="Z170" s="503"/>
      <c r="AA170" s="503"/>
      <c r="AB170" s="503"/>
    </row>
    <row r="171" spans="1:28">
      <c r="A171">
        <f>+_xlfn.XMATCH(D171,'300s - 5 Digit FERC Accounts'!B:B)</f>
        <v>169</v>
      </c>
      <c r="B171" s="1608" t="str">
        <f t="shared" si="9"/>
        <v>343</v>
      </c>
      <c r="C171" s="1608" t="str">
        <f t="shared" si="8"/>
        <v>Prod</v>
      </c>
      <c r="D171" s="29">
        <v>34390</v>
      </c>
      <c r="E171" s="29" t="s">
        <v>1669</v>
      </c>
      <c r="F171" s="83">
        <v>0</v>
      </c>
      <c r="G171" s="83">
        <v>0</v>
      </c>
      <c r="H171" s="83">
        <v>0</v>
      </c>
      <c r="I171" s="1606">
        <f t="shared" si="10"/>
        <v>0</v>
      </c>
      <c r="J171" s="83">
        <v>0</v>
      </c>
      <c r="K171" s="83">
        <v>0</v>
      </c>
      <c r="L171" s="83">
        <v>0</v>
      </c>
      <c r="M171" s="83">
        <v>0</v>
      </c>
      <c r="N171" s="83">
        <v>0</v>
      </c>
      <c r="O171" s="83">
        <v>0</v>
      </c>
      <c r="P171" s="83">
        <v>0</v>
      </c>
      <c r="Q171" s="1606">
        <f t="shared" si="11"/>
        <v>0</v>
      </c>
      <c r="R171" s="83">
        <v>0</v>
      </c>
      <c r="S171" s="83">
        <v>0</v>
      </c>
      <c r="T171" s="1673">
        <v>0</v>
      </c>
      <c r="V171" s="328" t="s">
        <v>1759</v>
      </c>
      <c r="W171" s="29">
        <v>34700</v>
      </c>
      <c r="Y171" s="503"/>
      <c r="Z171" s="503"/>
      <c r="AA171" s="503"/>
      <c r="AB171" s="503"/>
    </row>
    <row r="172" spans="1:28">
      <c r="A172">
        <f>+_xlfn.XMATCH(D172,'300s - 5 Digit FERC Accounts'!B:B)</f>
        <v>280</v>
      </c>
      <c r="B172" s="1608" t="str">
        <f t="shared" si="9"/>
        <v>343</v>
      </c>
      <c r="C172" s="1608" t="str">
        <f t="shared" si="8"/>
        <v>Prod</v>
      </c>
      <c r="D172" s="29">
        <v>34398</v>
      </c>
      <c r="E172" s="29" t="s">
        <v>8508</v>
      </c>
      <c r="F172" s="83">
        <v>940672.19000000018</v>
      </c>
      <c r="G172" s="83">
        <v>0</v>
      </c>
      <c r="H172" s="83">
        <v>0</v>
      </c>
      <c r="I172" s="1606">
        <f t="shared" si="10"/>
        <v>0</v>
      </c>
      <c r="J172" s="83">
        <v>940672.19000000018</v>
      </c>
      <c r="K172" s="83">
        <v>940672.19</v>
      </c>
      <c r="L172" s="83">
        <v>56806.889999999985</v>
      </c>
      <c r="M172" s="83">
        <v>32076.959999999999</v>
      </c>
      <c r="N172" s="83">
        <v>0</v>
      </c>
      <c r="O172" s="83">
        <v>0</v>
      </c>
      <c r="P172" s="83">
        <v>0</v>
      </c>
      <c r="Q172" s="1606">
        <f t="shared" si="11"/>
        <v>0</v>
      </c>
      <c r="R172" s="83">
        <v>88883.849999999977</v>
      </c>
      <c r="S172" s="83">
        <v>72845.37</v>
      </c>
      <c r="T172" s="1673">
        <v>3.4099999999999998E-2</v>
      </c>
      <c r="V172" s="328" t="s">
        <v>1441</v>
      </c>
      <c r="W172" s="29">
        <v>34800</v>
      </c>
      <c r="Y172" s="503"/>
      <c r="Z172" s="503"/>
      <c r="AA172" s="503"/>
      <c r="AB172" s="503"/>
    </row>
    <row r="173" spans="1:28">
      <c r="A173">
        <f>+_xlfn.XMATCH(D173,'300s - 5 Digit FERC Accounts'!B:B)</f>
        <v>170</v>
      </c>
      <c r="B173" s="1608" t="str">
        <f t="shared" si="9"/>
        <v>343</v>
      </c>
      <c r="C173" s="1608" t="str">
        <f t="shared" si="8"/>
        <v>Prod</v>
      </c>
      <c r="D173" s="29">
        <v>34399</v>
      </c>
      <c r="E173" s="29" t="s">
        <v>1670</v>
      </c>
      <c r="F173" s="83">
        <v>960796152.64999998</v>
      </c>
      <c r="G173" s="83">
        <v>222493915.77000001</v>
      </c>
      <c r="H173" s="83">
        <v>0</v>
      </c>
      <c r="I173" s="1606">
        <f t="shared" si="10"/>
        <v>8.9406967163085938E-8</v>
      </c>
      <c r="J173" s="83">
        <v>1183290068.4200001</v>
      </c>
      <c r="K173" s="83">
        <v>988809302.15999997</v>
      </c>
      <c r="L173" s="83">
        <v>92761911.579999998</v>
      </c>
      <c r="M173" s="83">
        <v>32971227.170000002</v>
      </c>
      <c r="N173" s="83">
        <v>0</v>
      </c>
      <c r="O173" s="83">
        <v>0</v>
      </c>
      <c r="P173" s="83">
        <v>0</v>
      </c>
      <c r="Q173" s="1606">
        <f t="shared" si="11"/>
        <v>0</v>
      </c>
      <c r="R173" s="83">
        <v>125733138.75</v>
      </c>
      <c r="S173" s="83">
        <v>109212885.17</v>
      </c>
      <c r="T173" s="1673">
        <v>3.39E-2</v>
      </c>
      <c r="V173" s="328" t="s">
        <v>1441</v>
      </c>
      <c r="W173" s="29">
        <v>34899</v>
      </c>
      <c r="Y173" s="503"/>
      <c r="Z173" s="503"/>
      <c r="AA173" s="503"/>
      <c r="AB173" s="503"/>
    </row>
    <row r="174" spans="1:28">
      <c r="A174">
        <f>+_xlfn.XMATCH(D174,'300s - 5 Digit FERC Accounts'!B:B)</f>
        <v>171</v>
      </c>
      <c r="B174" s="1608" t="str">
        <f t="shared" si="9"/>
        <v>345</v>
      </c>
      <c r="C174" s="1608" t="str">
        <f t="shared" si="8"/>
        <v>Prod</v>
      </c>
      <c r="D174" s="29">
        <v>34520</v>
      </c>
      <c r="E174" s="29" t="s">
        <v>8956</v>
      </c>
      <c r="F174" s="83">
        <v>0</v>
      </c>
      <c r="G174" s="83">
        <v>0</v>
      </c>
      <c r="H174" s="83">
        <v>0</v>
      </c>
      <c r="I174" s="1606">
        <f t="shared" si="10"/>
        <v>0</v>
      </c>
      <c r="J174" s="83">
        <v>0</v>
      </c>
      <c r="K174" s="83">
        <v>0</v>
      </c>
      <c r="L174" s="83">
        <v>0</v>
      </c>
      <c r="M174" s="83">
        <v>0</v>
      </c>
      <c r="N174" s="83">
        <v>0</v>
      </c>
      <c r="O174" s="83">
        <v>0</v>
      </c>
      <c r="P174" s="83">
        <v>0</v>
      </c>
      <c r="Q174" s="1606">
        <f t="shared" si="11"/>
        <v>0</v>
      </c>
      <c r="R174" s="83">
        <v>0</v>
      </c>
      <c r="S174" s="83">
        <v>0</v>
      </c>
      <c r="T174" s="1673">
        <v>1.89E-2</v>
      </c>
      <c r="V174" s="328" t="s">
        <v>1760</v>
      </c>
      <c r="W174" s="29">
        <v>35000</v>
      </c>
      <c r="Y174" s="503"/>
      <c r="Z174" s="503"/>
      <c r="AA174" s="503"/>
      <c r="AB174" s="503"/>
    </row>
    <row r="175" spans="1:28">
      <c r="A175">
        <f>+_xlfn.XMATCH(D175,'300s - 5 Digit FERC Accounts'!B:B)</f>
        <v>172</v>
      </c>
      <c r="B175" s="1608" t="str">
        <f t="shared" si="9"/>
        <v>345</v>
      </c>
      <c r="C175" s="1608" t="str">
        <f t="shared" si="8"/>
        <v>Prod</v>
      </c>
      <c r="D175" s="29">
        <v>34528</v>
      </c>
      <c r="E175" s="29" t="s">
        <v>1671</v>
      </c>
      <c r="F175" s="83">
        <v>0</v>
      </c>
      <c r="G175" s="83">
        <v>0</v>
      </c>
      <c r="H175" s="83">
        <v>0</v>
      </c>
      <c r="I175" s="1606">
        <f t="shared" si="10"/>
        <v>0</v>
      </c>
      <c r="J175" s="83">
        <v>0</v>
      </c>
      <c r="K175" s="83">
        <v>0</v>
      </c>
      <c r="L175" s="83">
        <v>0</v>
      </c>
      <c r="M175" s="83">
        <v>0</v>
      </c>
      <c r="N175" s="83">
        <v>0</v>
      </c>
      <c r="O175" s="83">
        <v>0</v>
      </c>
      <c r="P175" s="83">
        <v>0</v>
      </c>
      <c r="Q175" s="1606">
        <f t="shared" si="11"/>
        <v>0</v>
      </c>
      <c r="R175" s="83">
        <v>0</v>
      </c>
      <c r="S175" s="83">
        <v>0</v>
      </c>
      <c r="T175" s="1673">
        <v>0</v>
      </c>
      <c r="V175" s="328" t="s">
        <v>1760</v>
      </c>
      <c r="W175" s="29">
        <v>35001</v>
      </c>
      <c r="Y175" s="503"/>
      <c r="Z175" s="503"/>
      <c r="AA175" s="503"/>
      <c r="AB175" s="503"/>
    </row>
    <row r="176" spans="1:28">
      <c r="A176">
        <f>+_xlfn.XMATCH(D176,'300s - 5 Digit FERC Accounts'!B:B)</f>
        <v>173</v>
      </c>
      <c r="B176" s="1608" t="str">
        <f t="shared" si="9"/>
        <v>345</v>
      </c>
      <c r="C176" s="1608" t="str">
        <f t="shared" si="8"/>
        <v>Prod</v>
      </c>
      <c r="D176" s="29">
        <v>34530</v>
      </c>
      <c r="E176" s="29" t="s">
        <v>1672</v>
      </c>
      <c r="F176" s="83">
        <v>32858830.609999999</v>
      </c>
      <c r="G176" s="83">
        <v>0</v>
      </c>
      <c r="H176" s="83">
        <v>0</v>
      </c>
      <c r="I176" s="1606">
        <f t="shared" si="10"/>
        <v>0</v>
      </c>
      <c r="J176" s="83">
        <v>32858830.609999999</v>
      </c>
      <c r="K176" s="83">
        <v>32858830.609999999</v>
      </c>
      <c r="L176" s="83">
        <v>14137386.859999998</v>
      </c>
      <c r="M176" s="83">
        <v>808327.2</v>
      </c>
      <c r="N176" s="83">
        <v>0</v>
      </c>
      <c r="O176" s="83">
        <v>0</v>
      </c>
      <c r="P176" s="83">
        <v>0</v>
      </c>
      <c r="Q176" s="1606">
        <f t="shared" si="11"/>
        <v>0</v>
      </c>
      <c r="R176" s="83">
        <v>14945714.059999997</v>
      </c>
      <c r="S176" s="83">
        <v>14541550.460000001</v>
      </c>
      <c r="T176" s="1673">
        <v>2.46E-2</v>
      </c>
      <c r="V176" s="328" t="s">
        <v>1760</v>
      </c>
      <c r="W176" s="29">
        <v>35200</v>
      </c>
      <c r="Y176" s="503"/>
      <c r="Z176" s="503"/>
      <c r="AA176" s="503"/>
      <c r="AB176" s="503"/>
    </row>
    <row r="177" spans="1:28">
      <c r="A177">
        <f>+_xlfn.XMATCH(D177,'300s - 5 Digit FERC Accounts'!B:B)</f>
        <v>174</v>
      </c>
      <c r="B177" s="1608" t="str">
        <f t="shared" si="9"/>
        <v>345</v>
      </c>
      <c r="C177" s="1608" t="str">
        <f t="shared" si="8"/>
        <v>Prod</v>
      </c>
      <c r="D177" s="29">
        <v>34531</v>
      </c>
      <c r="E177" s="29" t="s">
        <v>1673</v>
      </c>
      <c r="F177" s="83">
        <v>40601976.5</v>
      </c>
      <c r="G177" s="83">
        <v>0</v>
      </c>
      <c r="H177" s="83">
        <v>0</v>
      </c>
      <c r="I177" s="1606">
        <f t="shared" si="10"/>
        <v>0</v>
      </c>
      <c r="J177" s="83">
        <v>40601976.5</v>
      </c>
      <c r="K177" s="83">
        <v>40601976.5</v>
      </c>
      <c r="L177" s="83">
        <v>23536486.480000019</v>
      </c>
      <c r="M177" s="83">
        <v>1364226.36</v>
      </c>
      <c r="N177" s="83">
        <v>0</v>
      </c>
      <c r="O177" s="83">
        <v>0</v>
      </c>
      <c r="P177" s="83">
        <v>0</v>
      </c>
      <c r="Q177" s="1606">
        <f t="shared" si="11"/>
        <v>0</v>
      </c>
      <c r="R177" s="83">
        <v>24900712.840000018</v>
      </c>
      <c r="S177" s="83">
        <v>24218599.66</v>
      </c>
      <c r="T177" s="1673">
        <v>3.3599999999999998E-2</v>
      </c>
      <c r="V177" s="328" t="s">
        <v>1760</v>
      </c>
      <c r="W177" s="29">
        <v>35300</v>
      </c>
      <c r="Y177" s="503"/>
      <c r="Z177" s="503"/>
      <c r="AA177" s="503"/>
      <c r="AB177" s="503"/>
    </row>
    <row r="178" spans="1:28">
      <c r="A178">
        <f>+_xlfn.XMATCH(D178,'300s - 5 Digit FERC Accounts'!B:B)</f>
        <v>175</v>
      </c>
      <c r="B178" s="1608" t="str">
        <f t="shared" si="9"/>
        <v>345</v>
      </c>
      <c r="C178" s="1608" t="str">
        <f t="shared" si="8"/>
        <v>Prod</v>
      </c>
      <c r="D178" s="29">
        <v>34532</v>
      </c>
      <c r="E178" s="29" t="s">
        <v>1674</v>
      </c>
      <c r="F178" s="83">
        <v>44698672.580000006</v>
      </c>
      <c r="G178" s="83">
        <v>0</v>
      </c>
      <c r="H178" s="83">
        <v>0</v>
      </c>
      <c r="I178" s="1606">
        <f t="shared" si="10"/>
        <v>0</v>
      </c>
      <c r="J178" s="83">
        <v>44698672.580000006</v>
      </c>
      <c r="K178" s="83">
        <v>44698672.579999998</v>
      </c>
      <c r="L178" s="83">
        <v>25733846.520000026</v>
      </c>
      <c r="M178" s="83">
        <v>1600212.48</v>
      </c>
      <c r="N178" s="83">
        <v>0</v>
      </c>
      <c r="O178" s="83">
        <v>0</v>
      </c>
      <c r="P178" s="83">
        <v>0</v>
      </c>
      <c r="Q178" s="1606">
        <f t="shared" si="11"/>
        <v>0</v>
      </c>
      <c r="R178" s="83">
        <v>27334059.000000026</v>
      </c>
      <c r="S178" s="83">
        <v>26533952.760000002</v>
      </c>
      <c r="T178" s="1673">
        <v>3.5799999999999998E-2</v>
      </c>
      <c r="V178" s="328" t="s">
        <v>1760</v>
      </c>
      <c r="W178" s="29">
        <v>35400</v>
      </c>
      <c r="Y178" s="503"/>
      <c r="Z178" s="503"/>
      <c r="AA178" s="503"/>
      <c r="AB178" s="503"/>
    </row>
    <row r="179" spans="1:28">
      <c r="A179">
        <f>+_xlfn.XMATCH(D179,'300s - 5 Digit FERC Accounts'!B:B)</f>
        <v>176</v>
      </c>
      <c r="B179" s="1608" t="str">
        <f t="shared" si="9"/>
        <v>345</v>
      </c>
      <c r="C179" s="1608" t="str">
        <f t="shared" si="8"/>
        <v>Prod</v>
      </c>
      <c r="D179" s="29">
        <v>34533</v>
      </c>
      <c r="E179" s="29" t="s">
        <v>1675</v>
      </c>
      <c r="F179" s="83">
        <v>14174190.639999999</v>
      </c>
      <c r="G179" s="83">
        <v>0</v>
      </c>
      <c r="H179" s="83">
        <v>0</v>
      </c>
      <c r="I179" s="1606">
        <f t="shared" si="10"/>
        <v>0</v>
      </c>
      <c r="J179" s="83">
        <v>14174190.639999999</v>
      </c>
      <c r="K179" s="83">
        <v>14174190.640000001</v>
      </c>
      <c r="L179" s="83">
        <v>6497504.6499999929</v>
      </c>
      <c r="M179" s="83">
        <v>364276.68</v>
      </c>
      <c r="N179" s="83">
        <v>0</v>
      </c>
      <c r="O179" s="83">
        <v>0</v>
      </c>
      <c r="P179" s="83">
        <v>0</v>
      </c>
      <c r="Q179" s="1606">
        <f t="shared" si="11"/>
        <v>0</v>
      </c>
      <c r="R179" s="83">
        <v>6861781.3299999926</v>
      </c>
      <c r="S179" s="83">
        <v>6679642.9900000002</v>
      </c>
      <c r="T179" s="1673">
        <v>2.5699999999999997E-2</v>
      </c>
      <c r="V179" s="328" t="s">
        <v>1760</v>
      </c>
      <c r="W179" s="29">
        <v>35500</v>
      </c>
      <c r="Y179" s="503"/>
      <c r="Z179" s="503"/>
      <c r="AA179" s="503"/>
      <c r="AB179" s="503"/>
    </row>
    <row r="180" spans="1:28">
      <c r="A180">
        <f>+_xlfn.XMATCH(D180,'300s - 5 Digit FERC Accounts'!B:B)</f>
        <v>177</v>
      </c>
      <c r="B180" s="1608" t="str">
        <f t="shared" si="9"/>
        <v>345</v>
      </c>
      <c r="C180" s="1608" t="str">
        <f t="shared" si="8"/>
        <v>Prod</v>
      </c>
      <c r="D180" s="29">
        <v>34534</v>
      </c>
      <c r="E180" s="29" t="s">
        <v>1676</v>
      </c>
      <c r="F180" s="83">
        <v>4189431.02</v>
      </c>
      <c r="G180" s="83">
        <v>0</v>
      </c>
      <c r="H180" s="83">
        <v>0</v>
      </c>
      <c r="I180" s="1606">
        <f t="shared" si="10"/>
        <v>0</v>
      </c>
      <c r="J180" s="83">
        <v>4189431.02</v>
      </c>
      <c r="K180" s="83">
        <v>4189431.02</v>
      </c>
      <c r="L180" s="83">
        <v>2059900.969999999</v>
      </c>
      <c r="M180" s="83">
        <v>101803.2</v>
      </c>
      <c r="N180" s="83">
        <v>0</v>
      </c>
      <c r="O180" s="83">
        <v>0</v>
      </c>
      <c r="P180" s="83">
        <v>0</v>
      </c>
      <c r="Q180" s="1606">
        <f t="shared" si="11"/>
        <v>0</v>
      </c>
      <c r="R180" s="83">
        <v>2161704.169999999</v>
      </c>
      <c r="S180" s="83">
        <v>2110802.5699999998</v>
      </c>
      <c r="T180" s="1673">
        <v>2.4300000000000002E-2</v>
      </c>
      <c r="V180" s="328" t="s">
        <v>1760</v>
      </c>
      <c r="W180" s="29">
        <v>35600</v>
      </c>
      <c r="Y180" s="503"/>
      <c r="Z180" s="503"/>
      <c r="AA180" s="503"/>
      <c r="AB180" s="503"/>
    </row>
    <row r="181" spans="1:28">
      <c r="A181">
        <f>+_xlfn.XMATCH(D181,'300s - 5 Digit FERC Accounts'!B:B)</f>
        <v>178</v>
      </c>
      <c r="B181" s="1608" t="str">
        <f t="shared" si="9"/>
        <v>345</v>
      </c>
      <c r="C181" s="1608" t="str">
        <f t="shared" si="8"/>
        <v>Prod</v>
      </c>
      <c r="D181" s="29">
        <v>34535</v>
      </c>
      <c r="E181" s="29" t="s">
        <v>1677</v>
      </c>
      <c r="F181" s="83">
        <v>10408627.609999998</v>
      </c>
      <c r="G181" s="83">
        <v>0</v>
      </c>
      <c r="H181" s="83">
        <v>0</v>
      </c>
      <c r="I181" s="1606">
        <f t="shared" si="10"/>
        <v>0</v>
      </c>
      <c r="J181" s="83">
        <v>10408627.609999998</v>
      </c>
      <c r="K181" s="83">
        <v>10408627.609999999</v>
      </c>
      <c r="L181" s="83">
        <v>5186295.3899999931</v>
      </c>
      <c r="M181" s="83">
        <v>183191.88</v>
      </c>
      <c r="N181" s="83">
        <v>0</v>
      </c>
      <c r="O181" s="83">
        <v>0</v>
      </c>
      <c r="P181" s="83">
        <v>0</v>
      </c>
      <c r="Q181" s="1606">
        <f t="shared" si="11"/>
        <v>0</v>
      </c>
      <c r="R181" s="83">
        <v>5369487.269999993</v>
      </c>
      <c r="S181" s="83">
        <v>5277891.33</v>
      </c>
      <c r="T181" s="1673">
        <v>1.7600000000000001E-2</v>
      </c>
      <c r="V181" s="328" t="s">
        <v>1760</v>
      </c>
      <c r="W181" s="29">
        <v>35601</v>
      </c>
      <c r="Y181" s="503"/>
      <c r="Z181" s="503"/>
      <c r="AA181" s="503"/>
      <c r="AB181" s="503"/>
    </row>
    <row r="182" spans="1:28">
      <c r="A182">
        <f>+_xlfn.XMATCH(D182,'300s - 5 Digit FERC Accounts'!B:B)</f>
        <v>179</v>
      </c>
      <c r="B182" s="1608" t="str">
        <f t="shared" si="9"/>
        <v>345</v>
      </c>
      <c r="C182" s="1608" t="str">
        <f t="shared" si="8"/>
        <v>Prod</v>
      </c>
      <c r="D182" s="29">
        <v>34536</v>
      </c>
      <c r="E182" s="29" t="s">
        <v>1678</v>
      </c>
      <c r="F182" s="83">
        <v>14353367.069999998</v>
      </c>
      <c r="G182" s="83">
        <v>0</v>
      </c>
      <c r="H182" s="83">
        <v>0</v>
      </c>
      <c r="I182" s="1606">
        <f t="shared" si="10"/>
        <v>0</v>
      </c>
      <c r="J182" s="83">
        <v>14353367.069999998</v>
      </c>
      <c r="K182" s="83">
        <v>14353367.07</v>
      </c>
      <c r="L182" s="83">
        <v>7179143.4200000055</v>
      </c>
      <c r="M182" s="83">
        <v>345916.2</v>
      </c>
      <c r="N182" s="83">
        <v>0</v>
      </c>
      <c r="O182" s="83">
        <v>0</v>
      </c>
      <c r="P182" s="83">
        <v>0</v>
      </c>
      <c r="Q182" s="1606">
        <f t="shared" si="11"/>
        <v>0</v>
      </c>
      <c r="R182" s="83">
        <v>7525059.6200000057</v>
      </c>
      <c r="S182" s="83">
        <v>7352101.5199999996</v>
      </c>
      <c r="T182" s="1673">
        <v>2.41E-2</v>
      </c>
      <c r="V182" s="328" t="s">
        <v>1760</v>
      </c>
      <c r="W182" s="29">
        <v>35700</v>
      </c>
      <c r="Y182" s="503"/>
      <c r="Z182" s="503"/>
      <c r="AA182" s="503"/>
      <c r="AB182" s="503"/>
    </row>
    <row r="183" spans="1:28">
      <c r="A183">
        <f>+_xlfn.XMATCH(D183,'300s - 5 Digit FERC Accounts'!B:B)</f>
        <v>180</v>
      </c>
      <c r="B183" s="1608" t="str">
        <f t="shared" si="9"/>
        <v>345</v>
      </c>
      <c r="C183" s="1608" t="str">
        <f t="shared" si="8"/>
        <v>Prod</v>
      </c>
      <c r="D183" s="29">
        <v>34541</v>
      </c>
      <c r="E183" s="29" t="s">
        <v>1679</v>
      </c>
      <c r="F183" s="83">
        <v>0</v>
      </c>
      <c r="G183" s="83">
        <v>0</v>
      </c>
      <c r="H183" s="83">
        <v>0</v>
      </c>
      <c r="I183" s="1606">
        <f t="shared" si="10"/>
        <v>0</v>
      </c>
      <c r="J183" s="83">
        <v>0</v>
      </c>
      <c r="K183" s="83">
        <v>0</v>
      </c>
      <c r="L183" s="83">
        <v>0</v>
      </c>
      <c r="M183" s="83">
        <v>0</v>
      </c>
      <c r="N183" s="83">
        <v>0</v>
      </c>
      <c r="O183" s="83">
        <v>0</v>
      </c>
      <c r="P183" s="83">
        <v>0</v>
      </c>
      <c r="Q183" s="1606">
        <f t="shared" si="11"/>
        <v>0</v>
      </c>
      <c r="R183" s="83">
        <v>0</v>
      </c>
      <c r="S183" s="83">
        <v>0</v>
      </c>
      <c r="T183" s="1673">
        <v>0</v>
      </c>
      <c r="V183" s="328" t="s">
        <v>1760</v>
      </c>
      <c r="W183" s="29">
        <v>35800</v>
      </c>
      <c r="Y183" s="503"/>
      <c r="Z183" s="503"/>
      <c r="AA183" s="503"/>
      <c r="AB183" s="503"/>
    </row>
    <row r="184" spans="1:28">
      <c r="A184">
        <f>+_xlfn.XMATCH(D184,'300s - 5 Digit FERC Accounts'!B:B)</f>
        <v>181</v>
      </c>
      <c r="B184" s="1608" t="str">
        <f t="shared" si="9"/>
        <v>345</v>
      </c>
      <c r="C184" s="1608" t="str">
        <f t="shared" si="8"/>
        <v>Prod</v>
      </c>
      <c r="D184" s="29">
        <v>34542</v>
      </c>
      <c r="E184" s="29" t="s">
        <v>8228</v>
      </c>
      <c r="F184" s="83">
        <v>0</v>
      </c>
      <c r="G184" s="83">
        <v>0</v>
      </c>
      <c r="H184" s="83">
        <v>0</v>
      </c>
      <c r="I184" s="1606">
        <f t="shared" si="10"/>
        <v>0</v>
      </c>
      <c r="J184" s="83">
        <v>0</v>
      </c>
      <c r="K184" s="83">
        <v>0</v>
      </c>
      <c r="L184" s="83">
        <v>0</v>
      </c>
      <c r="M184" s="83">
        <v>0</v>
      </c>
      <c r="N184" s="83">
        <v>0</v>
      </c>
      <c r="O184" s="83">
        <v>0</v>
      </c>
      <c r="P184" s="83">
        <v>0</v>
      </c>
      <c r="Q184" s="1606">
        <f t="shared" si="11"/>
        <v>0</v>
      </c>
      <c r="R184" s="83">
        <v>0</v>
      </c>
      <c r="S184" s="83">
        <v>0</v>
      </c>
      <c r="T184" s="1673">
        <v>0</v>
      </c>
      <c r="V184" s="328" t="s">
        <v>1760</v>
      </c>
      <c r="W184" s="29">
        <v>35900</v>
      </c>
      <c r="Y184" s="503"/>
      <c r="Z184" s="503"/>
      <c r="AA184" s="503"/>
      <c r="AB184" s="503"/>
    </row>
    <row r="185" spans="1:28">
      <c r="A185">
        <f>+_xlfn.XMATCH(D185,'300s - 5 Digit FERC Accounts'!B:B)</f>
        <v>182</v>
      </c>
      <c r="B185" s="1608" t="str">
        <f t="shared" si="9"/>
        <v>345</v>
      </c>
      <c r="C185" s="1608" t="str">
        <f t="shared" si="8"/>
        <v>Prod</v>
      </c>
      <c r="D185" s="29">
        <v>34543</v>
      </c>
      <c r="E185" s="29" t="s">
        <v>8229</v>
      </c>
      <c r="F185" s="83">
        <v>700677.02</v>
      </c>
      <c r="G185" s="83">
        <v>0</v>
      </c>
      <c r="H185" s="83">
        <v>0</v>
      </c>
      <c r="I185" s="1606">
        <f t="shared" si="10"/>
        <v>0</v>
      </c>
      <c r="J185" s="83">
        <v>700677.02</v>
      </c>
      <c r="K185" s="83">
        <v>700677.02</v>
      </c>
      <c r="L185" s="83">
        <v>95984.73000000004</v>
      </c>
      <c r="M185" s="83">
        <v>20459.759999999998</v>
      </c>
      <c r="N185" s="83">
        <v>0</v>
      </c>
      <c r="O185" s="83">
        <v>0</v>
      </c>
      <c r="P185" s="83">
        <v>0</v>
      </c>
      <c r="Q185" s="1606">
        <f t="shared" si="11"/>
        <v>0</v>
      </c>
      <c r="R185" s="83">
        <v>116444.49000000003</v>
      </c>
      <c r="S185" s="83">
        <v>106214.61</v>
      </c>
      <c r="T185" s="1673">
        <v>2.92E-2</v>
      </c>
      <c r="V185" s="328" t="s">
        <v>1762</v>
      </c>
      <c r="W185" s="29">
        <v>36000</v>
      </c>
      <c r="Y185" s="503"/>
      <c r="Z185" s="503"/>
      <c r="AA185" s="503"/>
      <c r="AB185" s="503"/>
    </row>
    <row r="186" spans="1:28">
      <c r="A186">
        <f>+_xlfn.XMATCH(D186,'300s - 5 Digit FERC Accounts'!B:B)</f>
        <v>183</v>
      </c>
      <c r="B186" s="1608" t="str">
        <f t="shared" si="9"/>
        <v>345</v>
      </c>
      <c r="C186" s="1608" t="str">
        <f t="shared" si="8"/>
        <v>Prod</v>
      </c>
      <c r="D186" s="29">
        <v>34544</v>
      </c>
      <c r="E186" s="29" t="s">
        <v>1680</v>
      </c>
      <c r="F186" s="83">
        <v>16328713.470000001</v>
      </c>
      <c r="G186" s="83">
        <v>0</v>
      </c>
      <c r="H186" s="83">
        <v>0</v>
      </c>
      <c r="I186" s="1606">
        <f t="shared" si="10"/>
        <v>0</v>
      </c>
      <c r="J186" s="83">
        <v>16328713.470000001</v>
      </c>
      <c r="K186" s="83">
        <v>16328713.470000001</v>
      </c>
      <c r="L186" s="83">
        <v>7561769.4300000044</v>
      </c>
      <c r="M186" s="83">
        <v>395154.84</v>
      </c>
      <c r="N186" s="83">
        <v>0</v>
      </c>
      <c r="O186" s="83">
        <v>0</v>
      </c>
      <c r="P186" s="83">
        <v>0</v>
      </c>
      <c r="Q186" s="1606">
        <f t="shared" si="11"/>
        <v>0</v>
      </c>
      <c r="R186" s="83">
        <v>7956924.2700000042</v>
      </c>
      <c r="S186" s="83">
        <v>7759346.8499999996</v>
      </c>
      <c r="T186" s="1673">
        <v>2.4199999999999999E-2</v>
      </c>
      <c r="V186" s="328" t="s">
        <v>1762</v>
      </c>
      <c r="W186" s="29">
        <v>36100</v>
      </c>
      <c r="Y186" s="503"/>
      <c r="Z186" s="503"/>
      <c r="AA186" s="503"/>
      <c r="AB186" s="503"/>
    </row>
    <row r="187" spans="1:28">
      <c r="A187">
        <f>+_xlfn.XMATCH(D187,'300s - 5 Digit FERC Accounts'!B:B)</f>
        <v>184</v>
      </c>
      <c r="B187" s="1608" t="str">
        <f t="shared" si="9"/>
        <v>345</v>
      </c>
      <c r="C187" s="1608" t="str">
        <f t="shared" si="8"/>
        <v>Prod</v>
      </c>
      <c r="D187" s="29">
        <v>34545</v>
      </c>
      <c r="E187" s="29" t="s">
        <v>8230</v>
      </c>
      <c r="F187" s="83">
        <v>58769.36</v>
      </c>
      <c r="G187" s="83">
        <v>0</v>
      </c>
      <c r="H187" s="83">
        <v>0</v>
      </c>
      <c r="I187" s="1606">
        <f t="shared" si="10"/>
        <v>0</v>
      </c>
      <c r="J187" s="83">
        <v>58769.36</v>
      </c>
      <c r="K187" s="83">
        <v>58769.36</v>
      </c>
      <c r="L187" s="83">
        <v>1704.36</v>
      </c>
      <c r="M187" s="83">
        <v>1110.72</v>
      </c>
      <c r="N187" s="83">
        <v>0</v>
      </c>
      <c r="O187" s="83">
        <v>0</v>
      </c>
      <c r="P187" s="83">
        <v>0</v>
      </c>
      <c r="Q187" s="1606">
        <f t="shared" si="11"/>
        <v>0</v>
      </c>
      <c r="R187" s="83">
        <v>2815.08</v>
      </c>
      <c r="S187" s="83">
        <v>2259.7199999999998</v>
      </c>
      <c r="T187" s="1673">
        <v>1.89E-2</v>
      </c>
      <c r="V187" s="328" t="s">
        <v>1762</v>
      </c>
      <c r="W187" s="29">
        <v>36200</v>
      </c>
      <c r="Y187" s="503"/>
      <c r="Z187" s="503"/>
      <c r="AA187" s="503"/>
      <c r="AB187" s="503"/>
    </row>
    <row r="188" spans="1:28">
      <c r="A188">
        <f>+_xlfn.XMATCH(D188,'300s - 5 Digit FERC Accounts'!B:B)</f>
        <v>185</v>
      </c>
      <c r="B188" s="1608" t="str">
        <f t="shared" si="9"/>
        <v>345</v>
      </c>
      <c r="C188" s="1608" t="str">
        <f t="shared" si="8"/>
        <v>Prod</v>
      </c>
      <c r="D188" s="29">
        <v>34546</v>
      </c>
      <c r="E188" s="29" t="s">
        <v>8231</v>
      </c>
      <c r="F188" s="83">
        <v>19190.82</v>
      </c>
      <c r="G188" s="83">
        <v>0</v>
      </c>
      <c r="H188" s="83">
        <v>0</v>
      </c>
      <c r="I188" s="1606">
        <f t="shared" si="10"/>
        <v>0</v>
      </c>
      <c r="J188" s="83">
        <v>19190.82</v>
      </c>
      <c r="K188" s="83">
        <v>19190.82</v>
      </c>
      <c r="L188" s="83">
        <v>686.47</v>
      </c>
      <c r="M188" s="83">
        <v>362.76</v>
      </c>
      <c r="N188" s="83">
        <v>0</v>
      </c>
      <c r="O188" s="83">
        <v>0</v>
      </c>
      <c r="P188" s="83">
        <v>0</v>
      </c>
      <c r="Q188" s="1606">
        <f t="shared" si="11"/>
        <v>0</v>
      </c>
      <c r="R188" s="83">
        <v>1049.23</v>
      </c>
      <c r="S188" s="83">
        <v>867.85</v>
      </c>
      <c r="T188" s="1673">
        <v>1.89E-2</v>
      </c>
      <c r="V188" s="328" t="s">
        <v>1762</v>
      </c>
      <c r="W188" s="29">
        <v>36400</v>
      </c>
      <c r="Y188" s="503"/>
      <c r="Z188" s="503"/>
      <c r="AA188" s="503"/>
      <c r="AB188" s="503"/>
    </row>
    <row r="189" spans="1:28">
      <c r="A189">
        <f>+_xlfn.XMATCH(D189,'300s - 5 Digit FERC Accounts'!B:B)</f>
        <v>186</v>
      </c>
      <c r="B189" s="1608" t="str">
        <f t="shared" si="9"/>
        <v>345</v>
      </c>
      <c r="C189" s="1608" t="str">
        <f t="shared" si="8"/>
        <v>Prod</v>
      </c>
      <c r="D189" s="29">
        <v>34580</v>
      </c>
      <c r="E189" s="29" t="s">
        <v>1681</v>
      </c>
      <c r="F189" s="83">
        <v>14500596.529999997</v>
      </c>
      <c r="G189" s="83">
        <v>0</v>
      </c>
      <c r="H189" s="83">
        <v>0</v>
      </c>
      <c r="I189" s="1606">
        <f t="shared" si="10"/>
        <v>0</v>
      </c>
      <c r="J189" s="83">
        <v>14500596.529999997</v>
      </c>
      <c r="K189" s="83">
        <v>14500596.529999999</v>
      </c>
      <c r="L189" s="83">
        <v>4502475.62</v>
      </c>
      <c r="M189" s="83">
        <v>411816.96000000002</v>
      </c>
      <c r="N189" s="83">
        <v>0</v>
      </c>
      <c r="O189" s="83">
        <v>0</v>
      </c>
      <c r="P189" s="83">
        <v>0</v>
      </c>
      <c r="Q189" s="1606">
        <f t="shared" si="11"/>
        <v>0</v>
      </c>
      <c r="R189" s="83">
        <v>4914292.58</v>
      </c>
      <c r="S189" s="83">
        <v>4708384.0999999996</v>
      </c>
      <c r="T189" s="1673">
        <v>2.8399999999999998E-2</v>
      </c>
      <c r="V189" s="328" t="s">
        <v>1762</v>
      </c>
      <c r="W189" s="29">
        <v>36500</v>
      </c>
      <c r="Y189" s="503"/>
      <c r="Z189" s="503"/>
      <c r="AA189" s="503"/>
      <c r="AB189" s="503"/>
    </row>
    <row r="190" spans="1:28">
      <c r="A190">
        <f>+_xlfn.XMATCH(D190,'300s - 5 Digit FERC Accounts'!B:B)</f>
        <v>187</v>
      </c>
      <c r="B190" s="1608" t="str">
        <f t="shared" si="9"/>
        <v>345</v>
      </c>
      <c r="C190" s="1608" t="str">
        <f t="shared" si="8"/>
        <v>Prod</v>
      </c>
      <c r="D190" s="29">
        <v>34581</v>
      </c>
      <c r="E190" s="29" t="s">
        <v>1682</v>
      </c>
      <c r="F190" s="83">
        <v>60502604.230000012</v>
      </c>
      <c r="G190" s="83">
        <v>0</v>
      </c>
      <c r="H190" s="83">
        <v>0</v>
      </c>
      <c r="I190" s="1606">
        <f t="shared" si="10"/>
        <v>0</v>
      </c>
      <c r="J190" s="83">
        <v>60502604.230000012</v>
      </c>
      <c r="K190" s="83">
        <v>60502604.229999997</v>
      </c>
      <c r="L190" s="83">
        <v>45601245.639999948</v>
      </c>
      <c r="M190" s="83">
        <v>1536766.2</v>
      </c>
      <c r="N190" s="83">
        <v>0</v>
      </c>
      <c r="O190" s="83">
        <v>0</v>
      </c>
      <c r="P190" s="83">
        <v>0</v>
      </c>
      <c r="Q190" s="1606">
        <f t="shared" si="11"/>
        <v>0</v>
      </c>
      <c r="R190" s="83">
        <v>47138011.839999951</v>
      </c>
      <c r="S190" s="83">
        <v>46369628.740000002</v>
      </c>
      <c r="T190" s="1673">
        <v>2.5399999999999999E-2</v>
      </c>
      <c r="V190" s="328" t="s">
        <v>1762</v>
      </c>
      <c r="W190" s="29">
        <v>36600</v>
      </c>
      <c r="Y190" s="503"/>
      <c r="Z190" s="503"/>
      <c r="AA190" s="503"/>
      <c r="AB190" s="503"/>
    </row>
    <row r="191" spans="1:28">
      <c r="A191">
        <f>+_xlfn.XMATCH(D191,'300s - 5 Digit FERC Accounts'!B:B)</f>
        <v>188</v>
      </c>
      <c r="B191" s="1608" t="str">
        <f t="shared" si="9"/>
        <v>345</v>
      </c>
      <c r="C191" s="1608" t="str">
        <f t="shared" si="8"/>
        <v>Prod</v>
      </c>
      <c r="D191" s="29">
        <v>34582</v>
      </c>
      <c r="E191" s="29" t="s">
        <v>1683</v>
      </c>
      <c r="F191" s="83">
        <v>19218097.860000003</v>
      </c>
      <c r="G191" s="83">
        <v>0</v>
      </c>
      <c r="H191" s="83">
        <v>0</v>
      </c>
      <c r="I191" s="1606">
        <f t="shared" si="10"/>
        <v>0</v>
      </c>
      <c r="J191" s="83">
        <v>19218097.860000003</v>
      </c>
      <c r="K191" s="83">
        <v>19218097.859999999</v>
      </c>
      <c r="L191" s="83">
        <v>11226851.10999999</v>
      </c>
      <c r="M191" s="83">
        <v>370909.32</v>
      </c>
      <c r="N191" s="83">
        <v>0</v>
      </c>
      <c r="O191" s="83">
        <v>0</v>
      </c>
      <c r="P191" s="83">
        <v>0</v>
      </c>
      <c r="Q191" s="1606">
        <f t="shared" si="11"/>
        <v>0</v>
      </c>
      <c r="R191" s="83">
        <v>11597760.42999999</v>
      </c>
      <c r="S191" s="83">
        <v>11412305.77</v>
      </c>
      <c r="T191" s="1673">
        <v>1.9299999999999998E-2</v>
      </c>
      <c r="V191" s="328" t="s">
        <v>1762</v>
      </c>
      <c r="W191" s="29">
        <v>36700</v>
      </c>
      <c r="Y191" s="503"/>
      <c r="Z191" s="503"/>
      <c r="AA191" s="503"/>
      <c r="AB191" s="503"/>
    </row>
    <row r="192" spans="1:28">
      <c r="A192">
        <f>+_xlfn.XMATCH(D192,'300s - 5 Digit FERC Accounts'!B:B)</f>
        <v>189</v>
      </c>
      <c r="B192" s="1608" t="str">
        <f t="shared" si="9"/>
        <v>345</v>
      </c>
      <c r="C192" s="1608" t="str">
        <f t="shared" si="8"/>
        <v>Prod</v>
      </c>
      <c r="D192" s="29">
        <v>34583</v>
      </c>
      <c r="E192" s="29" t="s">
        <v>1684</v>
      </c>
      <c r="F192" s="83">
        <v>9146691.5499999989</v>
      </c>
      <c r="G192" s="83">
        <v>0</v>
      </c>
      <c r="H192" s="83">
        <v>0</v>
      </c>
      <c r="I192" s="1606">
        <f t="shared" si="10"/>
        <v>0</v>
      </c>
      <c r="J192" s="83">
        <v>9146691.5499999989</v>
      </c>
      <c r="K192" s="83">
        <v>9146691.5500000007</v>
      </c>
      <c r="L192" s="83">
        <v>5946088.9699999867</v>
      </c>
      <c r="M192" s="83">
        <v>151835.04</v>
      </c>
      <c r="N192" s="83">
        <v>0</v>
      </c>
      <c r="O192" s="83">
        <v>0</v>
      </c>
      <c r="P192" s="83">
        <v>0</v>
      </c>
      <c r="Q192" s="1606">
        <f t="shared" si="11"/>
        <v>0</v>
      </c>
      <c r="R192" s="83">
        <v>6097924.0099999867</v>
      </c>
      <c r="S192" s="83">
        <v>6022006.4900000002</v>
      </c>
      <c r="T192" s="1673">
        <v>1.66E-2</v>
      </c>
      <c r="V192" s="328" t="s">
        <v>1762</v>
      </c>
      <c r="W192" s="29">
        <v>36800</v>
      </c>
      <c r="Y192" s="503"/>
      <c r="Z192" s="503"/>
      <c r="AA192" s="503"/>
      <c r="AB192" s="503"/>
    </row>
    <row r="193" spans="1:28">
      <c r="A193">
        <f>+_xlfn.XMATCH(D193,'300s - 5 Digit FERC Accounts'!B:B)</f>
        <v>190</v>
      </c>
      <c r="B193" s="1608" t="str">
        <f t="shared" si="9"/>
        <v>345</v>
      </c>
      <c r="C193" s="1608" t="str">
        <f t="shared" si="8"/>
        <v>Prod</v>
      </c>
      <c r="D193" s="29">
        <v>34584</v>
      </c>
      <c r="E193" s="29" t="s">
        <v>1685</v>
      </c>
      <c r="F193" s="83">
        <v>5586747.4299999997</v>
      </c>
      <c r="G193" s="83">
        <v>0</v>
      </c>
      <c r="H193" s="83">
        <v>0</v>
      </c>
      <c r="I193" s="1606">
        <f t="shared" si="10"/>
        <v>0</v>
      </c>
      <c r="J193" s="83">
        <v>5586747.4299999997</v>
      </c>
      <c r="K193" s="83">
        <v>5586747.4299999997</v>
      </c>
      <c r="L193" s="83">
        <v>3437914.8499999959</v>
      </c>
      <c r="M193" s="83">
        <v>97768.08</v>
      </c>
      <c r="N193" s="83">
        <v>0</v>
      </c>
      <c r="O193" s="83">
        <v>0</v>
      </c>
      <c r="P193" s="83">
        <v>0</v>
      </c>
      <c r="Q193" s="1606">
        <f t="shared" si="11"/>
        <v>0</v>
      </c>
      <c r="R193" s="83">
        <v>3535682.929999996</v>
      </c>
      <c r="S193" s="83">
        <v>3486798.89</v>
      </c>
      <c r="T193" s="1673">
        <v>1.7500000000000002E-2</v>
      </c>
      <c r="V193" s="328" t="s">
        <v>1762</v>
      </c>
      <c r="W193" s="29">
        <v>36900</v>
      </c>
      <c r="Y193" s="503"/>
      <c r="Z193" s="503"/>
      <c r="AA193" s="503"/>
      <c r="AB193" s="503"/>
    </row>
    <row r="194" spans="1:28">
      <c r="A194">
        <f>+_xlfn.XMATCH(D194,'300s - 5 Digit FERC Accounts'!B:B)</f>
        <v>191</v>
      </c>
      <c r="B194" s="1608" t="str">
        <f t="shared" si="9"/>
        <v>345</v>
      </c>
      <c r="C194" s="1608" t="str">
        <f t="shared" si="8"/>
        <v>Prod</v>
      </c>
      <c r="D194" s="29">
        <v>34585</v>
      </c>
      <c r="E194" s="29" t="s">
        <v>1686</v>
      </c>
      <c r="F194" s="83">
        <v>5489268.9800000014</v>
      </c>
      <c r="G194" s="83">
        <v>0</v>
      </c>
      <c r="H194" s="83">
        <v>0</v>
      </c>
      <c r="I194" s="1606">
        <f t="shared" si="10"/>
        <v>0</v>
      </c>
      <c r="J194" s="83">
        <v>5489268.9800000014</v>
      </c>
      <c r="K194" s="83">
        <v>5489268.9800000004</v>
      </c>
      <c r="L194" s="83">
        <v>3413552.0199999972</v>
      </c>
      <c r="M194" s="83">
        <v>93866.52</v>
      </c>
      <c r="N194" s="83">
        <v>0</v>
      </c>
      <c r="O194" s="83">
        <v>0</v>
      </c>
      <c r="P194" s="83">
        <v>0</v>
      </c>
      <c r="Q194" s="1606">
        <f t="shared" si="11"/>
        <v>0</v>
      </c>
      <c r="R194" s="83">
        <v>3507418.5399999972</v>
      </c>
      <c r="S194" s="83">
        <v>3460485.28</v>
      </c>
      <c r="T194" s="1673">
        <v>1.7100000000000001E-2</v>
      </c>
      <c r="V194" s="328" t="s">
        <v>1762</v>
      </c>
      <c r="W194" s="29">
        <v>36902</v>
      </c>
      <c r="Y194" s="503"/>
      <c r="Z194" s="503"/>
      <c r="AA194" s="503"/>
      <c r="AB194" s="503"/>
    </row>
    <row r="195" spans="1:28">
      <c r="A195">
        <f>+_xlfn.XMATCH(D195,'300s - 5 Digit FERC Accounts'!B:B)</f>
        <v>192</v>
      </c>
      <c r="B195" s="1608" t="str">
        <f t="shared" si="9"/>
        <v>345</v>
      </c>
      <c r="C195" s="1608" t="str">
        <f t="shared" si="8"/>
        <v>Prod</v>
      </c>
      <c r="D195" s="29">
        <v>34586</v>
      </c>
      <c r="E195" s="29" t="s">
        <v>1687</v>
      </c>
      <c r="F195" s="83">
        <v>18338595.009999998</v>
      </c>
      <c r="G195" s="83">
        <v>0</v>
      </c>
      <c r="H195" s="83">
        <v>0</v>
      </c>
      <c r="I195" s="1606">
        <f t="shared" si="10"/>
        <v>0</v>
      </c>
      <c r="J195" s="83">
        <v>18338595.009999998</v>
      </c>
      <c r="K195" s="83">
        <v>18338595.010000002</v>
      </c>
      <c r="L195" s="83">
        <v>4565338.5300000021</v>
      </c>
      <c r="M195" s="83">
        <v>557493.24</v>
      </c>
      <c r="N195" s="83">
        <v>0</v>
      </c>
      <c r="O195" s="83">
        <v>0</v>
      </c>
      <c r="P195" s="83">
        <v>0</v>
      </c>
      <c r="Q195" s="1606">
        <f t="shared" si="11"/>
        <v>0</v>
      </c>
      <c r="R195" s="83">
        <v>5122831.7700000023</v>
      </c>
      <c r="S195" s="83">
        <v>4844085.1500000004</v>
      </c>
      <c r="T195" s="1673">
        <v>3.04E-2</v>
      </c>
      <c r="V195" s="328" t="s">
        <v>1762</v>
      </c>
      <c r="W195" s="29">
        <v>37000</v>
      </c>
      <c r="Y195" s="503"/>
      <c r="Z195" s="503"/>
      <c r="AA195" s="503"/>
      <c r="AB195" s="503"/>
    </row>
    <row r="196" spans="1:28">
      <c r="A196">
        <f>+_xlfn.XMATCH(D196,'300s - 5 Digit FERC Accounts'!B:B)</f>
        <v>281</v>
      </c>
      <c r="B196" s="1608" t="str">
        <f t="shared" si="9"/>
        <v>345</v>
      </c>
      <c r="C196" s="1608" t="str">
        <f t="shared" si="8"/>
        <v>Prod</v>
      </c>
      <c r="D196" s="29">
        <v>34598</v>
      </c>
      <c r="E196" s="29" t="s">
        <v>8509</v>
      </c>
      <c r="F196" s="83">
        <v>0</v>
      </c>
      <c r="G196" s="83">
        <v>0</v>
      </c>
      <c r="H196" s="83">
        <v>0</v>
      </c>
      <c r="I196" s="1606">
        <f t="shared" si="10"/>
        <v>0</v>
      </c>
      <c r="J196" s="83">
        <v>0</v>
      </c>
      <c r="K196" s="83">
        <v>0</v>
      </c>
      <c r="L196" s="83">
        <v>0</v>
      </c>
      <c r="M196" s="83">
        <v>0</v>
      </c>
      <c r="N196" s="83">
        <v>0</v>
      </c>
      <c r="O196" s="83">
        <v>0</v>
      </c>
      <c r="P196" s="83">
        <v>0</v>
      </c>
      <c r="Q196" s="1606">
        <f t="shared" si="11"/>
        <v>0</v>
      </c>
      <c r="R196" s="83">
        <v>0</v>
      </c>
      <c r="S196" s="83">
        <v>0</v>
      </c>
      <c r="T196" s="1673">
        <v>3.3300000000000003E-2</v>
      </c>
      <c r="V196" s="328" t="s">
        <v>1762</v>
      </c>
      <c r="W196" s="29">
        <v>37000</v>
      </c>
      <c r="Y196" s="503"/>
      <c r="Z196" s="503"/>
      <c r="AA196" s="503"/>
      <c r="AB196" s="503"/>
    </row>
    <row r="197" spans="1:28">
      <c r="A197">
        <f>+_xlfn.XMATCH(D197,'300s - 5 Digit FERC Accounts'!B:B)</f>
        <v>193</v>
      </c>
      <c r="B197" s="1608" t="str">
        <f t="shared" si="9"/>
        <v>345</v>
      </c>
      <c r="C197" s="1608" t="str">
        <f t="shared" si="8"/>
        <v>Prod</v>
      </c>
      <c r="D197" s="29">
        <v>34599</v>
      </c>
      <c r="E197" s="29" t="s">
        <v>1688</v>
      </c>
      <c r="F197" s="83">
        <v>324613475.78000015</v>
      </c>
      <c r="G197" s="83">
        <v>0</v>
      </c>
      <c r="H197" s="83">
        <v>0</v>
      </c>
      <c r="I197" s="1606">
        <f t="shared" si="10"/>
        <v>0</v>
      </c>
      <c r="J197" s="83">
        <v>324613475.78000015</v>
      </c>
      <c r="K197" s="83">
        <v>324613475.77999997</v>
      </c>
      <c r="L197" s="83">
        <v>37445332.689999998</v>
      </c>
      <c r="M197" s="83">
        <v>10971935.52</v>
      </c>
      <c r="N197" s="83">
        <v>0</v>
      </c>
      <c r="O197" s="83">
        <v>0</v>
      </c>
      <c r="P197" s="83">
        <v>0</v>
      </c>
      <c r="Q197" s="1606">
        <f t="shared" si="11"/>
        <v>0</v>
      </c>
      <c r="R197" s="83">
        <v>48417268.209999993</v>
      </c>
      <c r="S197" s="83">
        <v>42931300.450000003</v>
      </c>
      <c r="T197" s="1673">
        <v>3.3799999999999997E-2</v>
      </c>
      <c r="V197" s="328" t="s">
        <v>1762</v>
      </c>
      <c r="W197" s="29">
        <v>37001</v>
      </c>
      <c r="Y197" s="503"/>
      <c r="Z197" s="503"/>
      <c r="AA197" s="503"/>
      <c r="AB197" s="503"/>
    </row>
    <row r="198" spans="1:28">
      <c r="A198">
        <f>+_xlfn.XMATCH(D198,'300s - 5 Digit FERC Accounts'!B:B)</f>
        <v>194</v>
      </c>
      <c r="B198" s="1608" t="str">
        <f t="shared" si="9"/>
        <v>346</v>
      </c>
      <c r="C198" s="1608" t="str">
        <f t="shared" ref="C198:C261" si="12">+_xlfn.SINGLE(IF(D198="","",_xlfn.XLOOKUP(D198,W:W,V:V,"CHECK")))</f>
        <v>Prod</v>
      </c>
      <c r="D198" s="29">
        <v>34620</v>
      </c>
      <c r="E198" s="29" t="s">
        <v>8957</v>
      </c>
      <c r="F198" s="83">
        <v>0</v>
      </c>
      <c r="G198" s="83">
        <v>0</v>
      </c>
      <c r="H198" s="83">
        <v>0</v>
      </c>
      <c r="I198" s="1606">
        <f t="shared" si="10"/>
        <v>0</v>
      </c>
      <c r="J198" s="83">
        <v>0</v>
      </c>
      <c r="K198" s="83">
        <v>0</v>
      </c>
      <c r="L198" s="83">
        <v>0</v>
      </c>
      <c r="M198" s="83">
        <v>0</v>
      </c>
      <c r="N198" s="83">
        <v>0</v>
      </c>
      <c r="O198" s="83">
        <v>0</v>
      </c>
      <c r="P198" s="83">
        <v>0</v>
      </c>
      <c r="Q198" s="1606">
        <f t="shared" si="11"/>
        <v>0</v>
      </c>
      <c r="R198" s="83">
        <v>0</v>
      </c>
      <c r="S198" s="83">
        <v>0</v>
      </c>
      <c r="T198" s="1673">
        <v>2.9700000000000001E-2</v>
      </c>
      <c r="V198" s="328" t="s">
        <v>1762</v>
      </c>
      <c r="W198" s="29">
        <v>37101</v>
      </c>
      <c r="Y198" s="503"/>
      <c r="Z198" s="503"/>
      <c r="AA198" s="503"/>
      <c r="AB198" s="503"/>
    </row>
    <row r="199" spans="1:28">
      <c r="A199">
        <f>+_xlfn.XMATCH(D199,'300s - 5 Digit FERC Accounts'!B:B)</f>
        <v>195</v>
      </c>
      <c r="B199" s="1608" t="str">
        <f t="shared" ref="B199:B262" si="13">IF(D199="","",MID(D199,1,3))</f>
        <v>346</v>
      </c>
      <c r="C199" s="1608" t="str">
        <f t="shared" si="12"/>
        <v>Prod</v>
      </c>
      <c r="D199" s="29">
        <v>34628</v>
      </c>
      <c r="E199" s="29" t="s">
        <v>1689</v>
      </c>
      <c r="F199" s="83">
        <v>0</v>
      </c>
      <c r="G199" s="83">
        <v>0</v>
      </c>
      <c r="H199" s="83">
        <v>0</v>
      </c>
      <c r="I199" s="1606">
        <f t="shared" ref="I199:I262" si="14">+J199-F199-G199-H199</f>
        <v>0</v>
      </c>
      <c r="J199" s="83">
        <v>0</v>
      </c>
      <c r="K199" s="83">
        <v>0</v>
      </c>
      <c r="L199" s="83">
        <v>0</v>
      </c>
      <c r="M199" s="83">
        <v>0</v>
      </c>
      <c r="N199" s="83">
        <v>0</v>
      </c>
      <c r="O199" s="83">
        <v>0</v>
      </c>
      <c r="P199" s="83">
        <v>0</v>
      </c>
      <c r="Q199" s="1606">
        <f t="shared" ref="Q199:Q262" si="15">+R199-P199-O199-N199-M199-L199</f>
        <v>0</v>
      </c>
      <c r="R199" s="83">
        <v>0</v>
      </c>
      <c r="S199" s="83">
        <v>0</v>
      </c>
      <c r="T199" s="1673">
        <v>0</v>
      </c>
      <c r="V199" s="328" t="s">
        <v>1762</v>
      </c>
      <c r="W199" s="29">
        <v>37102</v>
      </c>
      <c r="Y199" s="503"/>
      <c r="Z199" s="503"/>
      <c r="AA199" s="503"/>
      <c r="AB199" s="503"/>
    </row>
    <row r="200" spans="1:28">
      <c r="A200">
        <f>+_xlfn.XMATCH(D200,'300s - 5 Digit FERC Accounts'!B:B)</f>
        <v>196</v>
      </c>
      <c r="B200" s="1608" t="str">
        <f t="shared" si="13"/>
        <v>346</v>
      </c>
      <c r="C200" s="1608" t="str">
        <f t="shared" si="12"/>
        <v>Prod</v>
      </c>
      <c r="D200" s="29">
        <v>34630</v>
      </c>
      <c r="E200" s="29" t="s">
        <v>1690</v>
      </c>
      <c r="F200" s="83">
        <v>11491776.410000002</v>
      </c>
      <c r="G200" s="83">
        <v>0</v>
      </c>
      <c r="H200" s="83">
        <v>0</v>
      </c>
      <c r="I200" s="1606">
        <f t="shared" si="14"/>
        <v>0</v>
      </c>
      <c r="J200" s="83">
        <v>11491776.410000002</v>
      </c>
      <c r="K200" s="83">
        <v>11491776.41</v>
      </c>
      <c r="L200" s="83">
        <v>5402366.7299999995</v>
      </c>
      <c r="M200" s="83">
        <v>374631.96</v>
      </c>
      <c r="N200" s="83">
        <v>0</v>
      </c>
      <c r="O200" s="83">
        <v>0</v>
      </c>
      <c r="P200" s="83">
        <v>0</v>
      </c>
      <c r="Q200" s="1606">
        <f t="shared" si="15"/>
        <v>0</v>
      </c>
      <c r="R200" s="83">
        <v>5776998.6899999995</v>
      </c>
      <c r="S200" s="83">
        <v>5589682.71</v>
      </c>
      <c r="T200" s="1673">
        <v>3.2599999999999997E-2</v>
      </c>
      <c r="V200" s="328" t="s">
        <v>1762</v>
      </c>
      <c r="W200" s="29">
        <v>37103</v>
      </c>
      <c r="Y200" s="503"/>
      <c r="Z200" s="503"/>
      <c r="AA200" s="503"/>
      <c r="AB200" s="503"/>
    </row>
    <row r="201" spans="1:28">
      <c r="A201">
        <f>+_xlfn.XMATCH(D201,'300s - 5 Digit FERC Accounts'!B:B)</f>
        <v>197</v>
      </c>
      <c r="B201" s="1608" t="str">
        <f t="shared" si="13"/>
        <v>346</v>
      </c>
      <c r="C201" s="1608" t="str">
        <f t="shared" si="12"/>
        <v>Prod</v>
      </c>
      <c r="D201" s="29">
        <v>34631</v>
      </c>
      <c r="E201" s="29" t="s">
        <v>1691</v>
      </c>
      <c r="F201" s="83">
        <v>1175705.21</v>
      </c>
      <c r="G201" s="83">
        <v>0</v>
      </c>
      <c r="H201" s="83">
        <v>0</v>
      </c>
      <c r="I201" s="1606">
        <f t="shared" si="14"/>
        <v>0</v>
      </c>
      <c r="J201" s="83">
        <v>1175705.21</v>
      </c>
      <c r="K201" s="83">
        <v>1175705.21</v>
      </c>
      <c r="L201" s="83">
        <v>673431.15999999887</v>
      </c>
      <c r="M201" s="83">
        <v>50437.8</v>
      </c>
      <c r="N201" s="83">
        <v>0</v>
      </c>
      <c r="O201" s="83">
        <v>0</v>
      </c>
      <c r="P201" s="83">
        <v>0</v>
      </c>
      <c r="Q201" s="1606">
        <f t="shared" si="15"/>
        <v>0</v>
      </c>
      <c r="R201" s="83">
        <v>723868.95999999892</v>
      </c>
      <c r="S201" s="83">
        <v>698650.06</v>
      </c>
      <c r="T201" s="1673">
        <v>4.2900000000000001E-2</v>
      </c>
      <c r="V201" s="328" t="s">
        <v>1762</v>
      </c>
      <c r="W201" s="29">
        <v>37104</v>
      </c>
      <c r="Y201" s="503"/>
      <c r="Z201" s="503"/>
      <c r="AA201" s="503"/>
      <c r="AB201" s="503"/>
    </row>
    <row r="202" spans="1:28">
      <c r="A202">
        <f>+_xlfn.XMATCH(D202,'300s - 5 Digit FERC Accounts'!B:B)</f>
        <v>198</v>
      </c>
      <c r="B202" s="1608" t="str">
        <f t="shared" si="13"/>
        <v>346</v>
      </c>
      <c r="C202" s="1608" t="str">
        <f t="shared" si="12"/>
        <v>Prod</v>
      </c>
      <c r="D202" s="29">
        <v>34632</v>
      </c>
      <c r="E202" s="29" t="s">
        <v>1692</v>
      </c>
      <c r="F202" s="83">
        <v>1455592.35</v>
      </c>
      <c r="G202" s="83">
        <v>0</v>
      </c>
      <c r="H202" s="83">
        <v>0</v>
      </c>
      <c r="I202" s="1606">
        <f t="shared" si="14"/>
        <v>0</v>
      </c>
      <c r="J202" s="83">
        <v>1455592.35</v>
      </c>
      <c r="K202" s="83">
        <v>1455592.35</v>
      </c>
      <c r="L202" s="83">
        <v>853788.74000000022</v>
      </c>
      <c r="M202" s="83">
        <v>60261.48</v>
      </c>
      <c r="N202" s="83">
        <v>0</v>
      </c>
      <c r="O202" s="83">
        <v>0</v>
      </c>
      <c r="P202" s="83">
        <v>0</v>
      </c>
      <c r="Q202" s="1606">
        <f t="shared" si="15"/>
        <v>0</v>
      </c>
      <c r="R202" s="83">
        <v>914050.2200000002</v>
      </c>
      <c r="S202" s="83">
        <v>883919.48</v>
      </c>
      <c r="T202" s="1673">
        <v>4.1399999999999999E-2</v>
      </c>
      <c r="V202" s="328" t="s">
        <v>1762</v>
      </c>
      <c r="W202" s="29">
        <v>37300</v>
      </c>
      <c r="Y202" s="503"/>
      <c r="Z202" s="503"/>
      <c r="AA202" s="503"/>
      <c r="AB202" s="503"/>
    </row>
    <row r="203" spans="1:28">
      <c r="A203">
        <f>+_xlfn.XMATCH(D203,'300s - 5 Digit FERC Accounts'!B:B)</f>
        <v>199</v>
      </c>
      <c r="B203" s="1608" t="str">
        <f t="shared" si="13"/>
        <v>346</v>
      </c>
      <c r="C203" s="1608" t="str">
        <f t="shared" si="12"/>
        <v>Prod</v>
      </c>
      <c r="D203" s="29">
        <v>34633</v>
      </c>
      <c r="E203" s="29" t="s">
        <v>1693</v>
      </c>
      <c r="F203" s="83">
        <v>904.61</v>
      </c>
      <c r="G203" s="83">
        <v>0</v>
      </c>
      <c r="H203" s="83">
        <v>0</v>
      </c>
      <c r="I203" s="1606">
        <f t="shared" si="14"/>
        <v>0</v>
      </c>
      <c r="J203" s="83">
        <v>904.61</v>
      </c>
      <c r="K203" s="83">
        <v>904.61</v>
      </c>
      <c r="L203" s="83">
        <v>486.96000000000009</v>
      </c>
      <c r="M203" s="83">
        <v>25.92</v>
      </c>
      <c r="N203" s="83">
        <v>0</v>
      </c>
      <c r="O203" s="83">
        <v>0</v>
      </c>
      <c r="P203" s="83">
        <v>0</v>
      </c>
      <c r="Q203" s="1606">
        <f t="shared" si="15"/>
        <v>0</v>
      </c>
      <c r="R203" s="83">
        <v>512.88000000000011</v>
      </c>
      <c r="S203" s="83">
        <v>499.92</v>
      </c>
      <c r="T203" s="1673">
        <v>2.87E-2</v>
      </c>
      <c r="V203" s="328" t="s">
        <v>1762</v>
      </c>
      <c r="W203" s="29">
        <v>37302</v>
      </c>
      <c r="Y203" s="503"/>
      <c r="Z203" s="503"/>
      <c r="AA203" s="503"/>
      <c r="AB203" s="503"/>
    </row>
    <row r="204" spans="1:28">
      <c r="A204">
        <f>+_xlfn.XMATCH(D204,'300s - 5 Digit FERC Accounts'!B:B)</f>
        <v>200</v>
      </c>
      <c r="B204" s="1608" t="str">
        <f t="shared" si="13"/>
        <v>346</v>
      </c>
      <c r="C204" s="1608" t="str">
        <f t="shared" si="12"/>
        <v>Prod</v>
      </c>
      <c r="D204" s="29">
        <v>34634</v>
      </c>
      <c r="E204" s="29" t="s">
        <v>1694</v>
      </c>
      <c r="F204" s="83">
        <v>904.61</v>
      </c>
      <c r="G204" s="83">
        <v>0</v>
      </c>
      <c r="H204" s="83">
        <v>0</v>
      </c>
      <c r="I204" s="1606">
        <f t="shared" si="14"/>
        <v>0</v>
      </c>
      <c r="J204" s="83">
        <v>904.61</v>
      </c>
      <c r="K204" s="83">
        <v>904.61</v>
      </c>
      <c r="L204" s="83">
        <v>486.96000000000009</v>
      </c>
      <c r="M204" s="83">
        <v>25.92</v>
      </c>
      <c r="N204" s="83">
        <v>0</v>
      </c>
      <c r="O204" s="83">
        <v>0</v>
      </c>
      <c r="P204" s="83">
        <v>0</v>
      </c>
      <c r="Q204" s="1606">
        <f t="shared" si="15"/>
        <v>0</v>
      </c>
      <c r="R204" s="83">
        <v>512.88000000000011</v>
      </c>
      <c r="S204" s="83">
        <v>499.92</v>
      </c>
      <c r="T204" s="1673">
        <v>2.87E-2</v>
      </c>
      <c r="V204" s="328" t="s">
        <v>1759</v>
      </c>
      <c r="W204" s="29">
        <v>37400</v>
      </c>
      <c r="Y204" s="503"/>
      <c r="Z204" s="503"/>
      <c r="AA204" s="503"/>
      <c r="AB204" s="503"/>
    </row>
    <row r="205" spans="1:28">
      <c r="A205">
        <f>+_xlfn.XMATCH(D205,'300s - 5 Digit FERC Accounts'!B:B)</f>
        <v>201</v>
      </c>
      <c r="B205" s="1608" t="str">
        <f t="shared" si="13"/>
        <v>346</v>
      </c>
      <c r="C205" s="1608" t="str">
        <f t="shared" si="12"/>
        <v>Prod</v>
      </c>
      <c r="D205" s="29">
        <v>34635</v>
      </c>
      <c r="E205" s="29" t="s">
        <v>1695</v>
      </c>
      <c r="F205" s="83">
        <v>0</v>
      </c>
      <c r="G205" s="83">
        <v>0</v>
      </c>
      <c r="H205" s="83">
        <v>0</v>
      </c>
      <c r="I205" s="1606">
        <f t="shared" si="14"/>
        <v>0</v>
      </c>
      <c r="J205" s="83">
        <v>0</v>
      </c>
      <c r="K205" s="83">
        <v>0</v>
      </c>
      <c r="L205" s="83">
        <v>0</v>
      </c>
      <c r="M205" s="83">
        <v>0</v>
      </c>
      <c r="N205" s="83">
        <v>0</v>
      </c>
      <c r="O205" s="83">
        <v>0</v>
      </c>
      <c r="P205" s="83">
        <v>0</v>
      </c>
      <c r="Q205" s="1606">
        <f t="shared" si="15"/>
        <v>0</v>
      </c>
      <c r="R205" s="83">
        <v>0</v>
      </c>
      <c r="S205" s="83">
        <v>0</v>
      </c>
      <c r="T205" s="1673">
        <v>2.9399999999999999E-2</v>
      </c>
      <c r="V205" s="328" t="s">
        <v>1772</v>
      </c>
      <c r="W205" s="29">
        <v>38900</v>
      </c>
      <c r="Y205" s="503"/>
      <c r="Z205" s="503"/>
      <c r="AA205" s="503"/>
      <c r="AB205" s="503"/>
    </row>
    <row r="206" spans="1:28">
      <c r="A206">
        <f>+_xlfn.XMATCH(D206,'300s - 5 Digit FERC Accounts'!B:B)</f>
        <v>202</v>
      </c>
      <c r="B206" s="1608" t="str">
        <f t="shared" si="13"/>
        <v>346</v>
      </c>
      <c r="C206" s="1608" t="str">
        <f t="shared" si="12"/>
        <v>Prod</v>
      </c>
      <c r="D206" s="29">
        <v>34636</v>
      </c>
      <c r="E206" s="29" t="s">
        <v>1696</v>
      </c>
      <c r="F206" s="83">
        <v>11736.48</v>
      </c>
      <c r="G206" s="83">
        <v>0</v>
      </c>
      <c r="H206" s="83">
        <v>0</v>
      </c>
      <c r="I206" s="1606">
        <f t="shared" si="14"/>
        <v>0</v>
      </c>
      <c r="J206" s="83">
        <v>11736.48</v>
      </c>
      <c r="K206" s="83">
        <v>11736.48</v>
      </c>
      <c r="L206" s="83">
        <v>5889.7200000000103</v>
      </c>
      <c r="M206" s="83">
        <v>363.84</v>
      </c>
      <c r="N206" s="83">
        <v>0</v>
      </c>
      <c r="O206" s="83">
        <v>0</v>
      </c>
      <c r="P206" s="83">
        <v>0</v>
      </c>
      <c r="Q206" s="1606">
        <f t="shared" si="15"/>
        <v>0</v>
      </c>
      <c r="R206" s="83">
        <v>6253.5600000000104</v>
      </c>
      <c r="S206" s="83">
        <v>6071.64</v>
      </c>
      <c r="T206" s="1673">
        <v>3.1E-2</v>
      </c>
      <c r="V206" s="328" t="s">
        <v>1772</v>
      </c>
      <c r="W206" s="29">
        <v>39000</v>
      </c>
      <c r="Y206" s="503"/>
      <c r="Z206" s="503"/>
      <c r="AA206" s="503"/>
      <c r="AB206" s="503"/>
    </row>
    <row r="207" spans="1:28">
      <c r="A207">
        <f>+_xlfn.XMATCH(D207,'300s - 5 Digit FERC Accounts'!B:B)</f>
        <v>203</v>
      </c>
      <c r="B207" s="1608" t="str">
        <f t="shared" si="13"/>
        <v>346</v>
      </c>
      <c r="C207" s="1608" t="str">
        <f t="shared" si="12"/>
        <v>Prod</v>
      </c>
      <c r="D207" s="29">
        <v>34637</v>
      </c>
      <c r="E207" s="29" t="s">
        <v>1697</v>
      </c>
      <c r="F207" s="83">
        <v>268326.1999999999</v>
      </c>
      <c r="G207" s="83">
        <v>0</v>
      </c>
      <c r="H207" s="83">
        <v>-47209.02</v>
      </c>
      <c r="I207" s="1606">
        <f t="shared" si="14"/>
        <v>0</v>
      </c>
      <c r="J207" s="83">
        <v>221117.17999999991</v>
      </c>
      <c r="K207" s="83">
        <v>253800.35</v>
      </c>
      <c r="L207" s="83">
        <v>165016.37</v>
      </c>
      <c r="M207" s="83">
        <v>36682.89</v>
      </c>
      <c r="N207" s="83">
        <v>-47209.02</v>
      </c>
      <c r="O207" s="83">
        <v>0</v>
      </c>
      <c r="P207" s="83">
        <v>0</v>
      </c>
      <c r="Q207" s="1606">
        <f t="shared" si="15"/>
        <v>0</v>
      </c>
      <c r="R207" s="83">
        <v>154490.24000000002</v>
      </c>
      <c r="S207" s="83">
        <v>169416.17</v>
      </c>
      <c r="T207" s="1673">
        <v>0.14300000000000002</v>
      </c>
      <c r="V207" s="328" t="s">
        <v>1772</v>
      </c>
      <c r="W207" s="29">
        <v>39101</v>
      </c>
      <c r="Y207" s="503"/>
      <c r="Z207" s="503"/>
      <c r="AA207" s="503"/>
      <c r="AB207" s="503"/>
    </row>
    <row r="208" spans="1:28">
      <c r="A208">
        <f>+_xlfn.XMATCH(D208,'300s - 5 Digit FERC Accounts'!B:B)</f>
        <v>204</v>
      </c>
      <c r="B208" s="1608" t="str">
        <f t="shared" si="13"/>
        <v>346</v>
      </c>
      <c r="C208" s="1608" t="str">
        <f t="shared" si="12"/>
        <v>Prod</v>
      </c>
      <c r="D208" s="29">
        <v>34641</v>
      </c>
      <c r="E208" s="29" t="s">
        <v>8232</v>
      </c>
      <c r="F208" s="83">
        <v>0</v>
      </c>
      <c r="G208" s="83">
        <v>0</v>
      </c>
      <c r="H208" s="83">
        <v>0</v>
      </c>
      <c r="I208" s="1606">
        <f t="shared" si="14"/>
        <v>0</v>
      </c>
      <c r="J208" s="83">
        <v>0</v>
      </c>
      <c r="K208" s="83">
        <v>0</v>
      </c>
      <c r="L208" s="83">
        <v>0</v>
      </c>
      <c r="M208" s="83">
        <v>0</v>
      </c>
      <c r="N208" s="83">
        <v>0</v>
      </c>
      <c r="O208" s="83">
        <v>0</v>
      </c>
      <c r="P208" s="83">
        <v>0</v>
      </c>
      <c r="Q208" s="1606">
        <f t="shared" si="15"/>
        <v>0</v>
      </c>
      <c r="R208" s="83">
        <v>0</v>
      </c>
      <c r="S208" s="83">
        <v>0</v>
      </c>
      <c r="T208" s="1673">
        <v>0</v>
      </c>
      <c r="V208" s="328" t="s">
        <v>1772</v>
      </c>
      <c r="W208" s="29">
        <v>39102</v>
      </c>
      <c r="Y208" s="503"/>
      <c r="Z208" s="503"/>
      <c r="AA208" s="503"/>
      <c r="AB208" s="503"/>
    </row>
    <row r="209" spans="1:28">
      <c r="A209">
        <f>+_xlfn.XMATCH(D209,'300s - 5 Digit FERC Accounts'!B:B)</f>
        <v>205</v>
      </c>
      <c r="B209" s="1608" t="str">
        <f t="shared" si="13"/>
        <v>346</v>
      </c>
      <c r="C209" s="1608" t="str">
        <f t="shared" si="12"/>
        <v>Prod</v>
      </c>
      <c r="D209" s="29">
        <v>34643</v>
      </c>
      <c r="E209" s="29" t="s">
        <v>8233</v>
      </c>
      <c r="F209" s="83">
        <v>308525.93</v>
      </c>
      <c r="G209" s="83">
        <v>0</v>
      </c>
      <c r="H209" s="83">
        <v>0</v>
      </c>
      <c r="I209" s="1606">
        <f t="shared" si="14"/>
        <v>0</v>
      </c>
      <c r="J209" s="83">
        <v>308525.93</v>
      </c>
      <c r="K209" s="83">
        <v>308525.93</v>
      </c>
      <c r="L209" s="83">
        <v>245232.20000000013</v>
      </c>
      <c r="M209" s="83">
        <v>8206.7999999999993</v>
      </c>
      <c r="N209" s="83">
        <v>0</v>
      </c>
      <c r="O209" s="83">
        <v>0</v>
      </c>
      <c r="P209" s="83">
        <v>0</v>
      </c>
      <c r="Q209" s="1606">
        <f t="shared" si="15"/>
        <v>0</v>
      </c>
      <c r="R209" s="83">
        <v>253439.00000000012</v>
      </c>
      <c r="S209" s="83">
        <v>249335.6</v>
      </c>
      <c r="T209" s="1673">
        <v>2.6600000000000002E-2</v>
      </c>
      <c r="V209" s="328" t="s">
        <v>1772</v>
      </c>
      <c r="W209" s="29">
        <v>39103</v>
      </c>
      <c r="Y209" s="503"/>
      <c r="Z209" s="503"/>
      <c r="AA209" s="503"/>
      <c r="AB209" s="503"/>
    </row>
    <row r="210" spans="1:28">
      <c r="A210">
        <f>+_xlfn.XMATCH(D210,'300s - 5 Digit FERC Accounts'!B:B)</f>
        <v>206</v>
      </c>
      <c r="B210" s="1608" t="str">
        <f t="shared" si="13"/>
        <v>346</v>
      </c>
      <c r="C210" s="1608" t="str">
        <f t="shared" si="12"/>
        <v>Prod</v>
      </c>
      <c r="D210" s="29">
        <v>34644</v>
      </c>
      <c r="E210" s="29" t="s">
        <v>1698</v>
      </c>
      <c r="F210" s="83">
        <v>510664.71</v>
      </c>
      <c r="G210" s="83">
        <v>0</v>
      </c>
      <c r="H210" s="83">
        <v>0</v>
      </c>
      <c r="I210" s="1606">
        <f t="shared" si="14"/>
        <v>0</v>
      </c>
      <c r="J210" s="83">
        <v>510664.71</v>
      </c>
      <c r="K210" s="83">
        <v>510664.71</v>
      </c>
      <c r="L210" s="83">
        <v>252986.53999999998</v>
      </c>
      <c r="M210" s="83">
        <v>15983.76</v>
      </c>
      <c r="N210" s="83">
        <v>0</v>
      </c>
      <c r="O210" s="83">
        <v>0</v>
      </c>
      <c r="P210" s="83">
        <v>0</v>
      </c>
      <c r="Q210" s="1606">
        <f t="shared" si="15"/>
        <v>0</v>
      </c>
      <c r="R210" s="83">
        <v>268970.3</v>
      </c>
      <c r="S210" s="83">
        <v>260978.42</v>
      </c>
      <c r="T210" s="1673">
        <v>3.1300000000000001E-2</v>
      </c>
      <c r="V210" s="328" t="s">
        <v>1772</v>
      </c>
      <c r="W210" s="29">
        <v>39104</v>
      </c>
      <c r="Y210" s="503"/>
      <c r="Z210" s="503"/>
      <c r="AA210" s="503"/>
      <c r="AB210" s="503"/>
    </row>
    <row r="211" spans="1:28">
      <c r="A211">
        <f>+_xlfn.XMATCH(D211,'300s - 5 Digit FERC Accounts'!B:B)</f>
        <v>207</v>
      </c>
      <c r="B211" s="1608" t="str">
        <f t="shared" si="13"/>
        <v>346</v>
      </c>
      <c r="C211" s="1608" t="str">
        <f t="shared" si="12"/>
        <v>Prod</v>
      </c>
      <c r="D211" s="29">
        <v>34645</v>
      </c>
      <c r="E211" s="29" t="s">
        <v>8234</v>
      </c>
      <c r="F211" s="83">
        <v>0</v>
      </c>
      <c r="G211" s="83">
        <v>0</v>
      </c>
      <c r="H211" s="83">
        <v>0</v>
      </c>
      <c r="I211" s="1606">
        <f t="shared" si="14"/>
        <v>0</v>
      </c>
      <c r="J211" s="83">
        <v>0</v>
      </c>
      <c r="K211" s="83">
        <v>0</v>
      </c>
      <c r="L211" s="83">
        <v>0</v>
      </c>
      <c r="M211" s="83">
        <v>0</v>
      </c>
      <c r="N211" s="83">
        <v>0</v>
      </c>
      <c r="O211" s="83">
        <v>0</v>
      </c>
      <c r="P211" s="83">
        <v>0</v>
      </c>
      <c r="Q211" s="1606">
        <f t="shared" si="15"/>
        <v>0</v>
      </c>
      <c r="R211" s="83">
        <v>0</v>
      </c>
      <c r="S211" s="83">
        <v>0</v>
      </c>
      <c r="T211" s="1673">
        <v>2.9399999999999999E-2</v>
      </c>
      <c r="V211" s="328" t="s">
        <v>1772</v>
      </c>
      <c r="W211" s="29">
        <v>39202</v>
      </c>
      <c r="Y211" s="503"/>
      <c r="Z211" s="503"/>
      <c r="AA211" s="503"/>
      <c r="AB211" s="503"/>
    </row>
    <row r="212" spans="1:28">
      <c r="A212">
        <f>+_xlfn.XMATCH(D212,'300s - 5 Digit FERC Accounts'!B:B)</f>
        <v>208</v>
      </c>
      <c r="B212" s="1608" t="str">
        <f t="shared" si="13"/>
        <v>346</v>
      </c>
      <c r="C212" s="1608" t="str">
        <f t="shared" si="12"/>
        <v>Prod</v>
      </c>
      <c r="D212" s="29">
        <v>34646</v>
      </c>
      <c r="E212" s="29" t="s">
        <v>8235</v>
      </c>
      <c r="F212" s="83">
        <v>0</v>
      </c>
      <c r="G212" s="83">
        <v>0</v>
      </c>
      <c r="H212" s="83">
        <v>0</v>
      </c>
      <c r="I212" s="1606">
        <f t="shared" si="14"/>
        <v>0</v>
      </c>
      <c r="J212" s="83">
        <v>0</v>
      </c>
      <c r="K212" s="83">
        <v>0</v>
      </c>
      <c r="L212" s="83">
        <v>0</v>
      </c>
      <c r="M212" s="83">
        <v>0</v>
      </c>
      <c r="N212" s="83">
        <v>0</v>
      </c>
      <c r="O212" s="83">
        <v>0</v>
      </c>
      <c r="P212" s="83">
        <v>0</v>
      </c>
      <c r="Q212" s="1606">
        <f t="shared" si="15"/>
        <v>0</v>
      </c>
      <c r="R212" s="83">
        <v>0</v>
      </c>
      <c r="S212" s="83">
        <v>0</v>
      </c>
      <c r="T212" s="1673">
        <v>2.9399999999999999E-2</v>
      </c>
      <c r="V212" s="328" t="s">
        <v>1772</v>
      </c>
      <c r="W212" s="29">
        <v>39203</v>
      </c>
      <c r="Y212" s="503"/>
      <c r="Z212" s="503"/>
      <c r="AA212" s="503"/>
      <c r="AB212" s="503"/>
    </row>
    <row r="213" spans="1:28">
      <c r="A213">
        <f>+_xlfn.XMATCH(D213,'300s - 5 Digit FERC Accounts'!B:B)</f>
        <v>209</v>
      </c>
      <c r="B213" s="1608" t="str">
        <f t="shared" si="13"/>
        <v>346</v>
      </c>
      <c r="C213" s="1608" t="str">
        <f t="shared" si="12"/>
        <v>Prod</v>
      </c>
      <c r="D213" s="29">
        <v>34680</v>
      </c>
      <c r="E213" s="29" t="s">
        <v>1699</v>
      </c>
      <c r="F213" s="83">
        <v>1259507.78</v>
      </c>
      <c r="G213" s="83">
        <v>0</v>
      </c>
      <c r="H213" s="83">
        <v>0</v>
      </c>
      <c r="I213" s="1606">
        <f t="shared" si="14"/>
        <v>0</v>
      </c>
      <c r="J213" s="83">
        <v>1259507.78</v>
      </c>
      <c r="K213" s="83">
        <v>1259507.78</v>
      </c>
      <c r="L213" s="83">
        <v>68357.699999999968</v>
      </c>
      <c r="M213" s="83">
        <v>58818.96</v>
      </c>
      <c r="N213" s="83">
        <v>0</v>
      </c>
      <c r="O213" s="83">
        <v>0</v>
      </c>
      <c r="P213" s="83">
        <v>0</v>
      </c>
      <c r="Q213" s="1606">
        <f t="shared" si="15"/>
        <v>0</v>
      </c>
      <c r="R213" s="83">
        <v>127176.65999999997</v>
      </c>
      <c r="S213" s="83">
        <v>97767.18</v>
      </c>
      <c r="T213" s="1673">
        <v>4.6699999999999998E-2</v>
      </c>
      <c r="V213" s="328" t="s">
        <v>1772</v>
      </c>
      <c r="W213" s="29">
        <v>39204</v>
      </c>
      <c r="Y213" s="503"/>
      <c r="Z213" s="503"/>
      <c r="AA213" s="503"/>
      <c r="AB213" s="503"/>
    </row>
    <row r="214" spans="1:28">
      <c r="A214">
        <f>+_xlfn.XMATCH(D214,'300s - 5 Digit FERC Accounts'!B:B)</f>
        <v>210</v>
      </c>
      <c r="B214" s="1608" t="str">
        <f t="shared" si="13"/>
        <v>346</v>
      </c>
      <c r="C214" s="1608" t="str">
        <f t="shared" si="12"/>
        <v>Prod</v>
      </c>
      <c r="D214" s="29">
        <v>34681</v>
      </c>
      <c r="E214" s="29" t="s">
        <v>1700</v>
      </c>
      <c r="F214" s="83">
        <v>6717060.589999998</v>
      </c>
      <c r="G214" s="83">
        <v>0</v>
      </c>
      <c r="H214" s="83">
        <v>0</v>
      </c>
      <c r="I214" s="1606">
        <f t="shared" si="14"/>
        <v>0</v>
      </c>
      <c r="J214" s="83">
        <v>6717060.589999998</v>
      </c>
      <c r="K214" s="83">
        <v>6717060.5899999999</v>
      </c>
      <c r="L214" s="83">
        <v>2936532.67</v>
      </c>
      <c r="M214" s="83">
        <v>354660.84</v>
      </c>
      <c r="N214" s="83">
        <v>0</v>
      </c>
      <c r="O214" s="83">
        <v>0</v>
      </c>
      <c r="P214" s="83">
        <v>0</v>
      </c>
      <c r="Q214" s="1606">
        <f t="shared" si="15"/>
        <v>0</v>
      </c>
      <c r="R214" s="83">
        <v>3291193.51</v>
      </c>
      <c r="S214" s="83">
        <v>3113863.09</v>
      </c>
      <c r="T214" s="1673">
        <v>5.28E-2</v>
      </c>
      <c r="V214" s="328" t="s">
        <v>1772</v>
      </c>
      <c r="W214" s="29">
        <v>39212</v>
      </c>
      <c r="Y214" s="503"/>
      <c r="Z214" s="503"/>
      <c r="AA214" s="503"/>
      <c r="AB214" s="503"/>
    </row>
    <row r="215" spans="1:28">
      <c r="A215">
        <f>+_xlfn.XMATCH(D215,'300s - 5 Digit FERC Accounts'!B:B)</f>
        <v>211</v>
      </c>
      <c r="B215" s="1608" t="str">
        <f t="shared" si="13"/>
        <v>346</v>
      </c>
      <c r="C215" s="1608" t="str">
        <f t="shared" si="12"/>
        <v>Prod</v>
      </c>
      <c r="D215" s="29">
        <v>34682</v>
      </c>
      <c r="E215" s="29" t="s">
        <v>1701</v>
      </c>
      <c r="F215" s="83">
        <v>173209.90999999997</v>
      </c>
      <c r="G215" s="83">
        <v>0</v>
      </c>
      <c r="H215" s="83">
        <v>0</v>
      </c>
      <c r="I215" s="1606">
        <f t="shared" si="14"/>
        <v>0</v>
      </c>
      <c r="J215" s="83">
        <v>173209.90999999997</v>
      </c>
      <c r="K215" s="83">
        <v>173209.91</v>
      </c>
      <c r="L215" s="83">
        <v>139897.27000000016</v>
      </c>
      <c r="M215" s="83">
        <v>2598.12</v>
      </c>
      <c r="N215" s="83">
        <v>0</v>
      </c>
      <c r="O215" s="83">
        <v>0</v>
      </c>
      <c r="P215" s="83">
        <v>0</v>
      </c>
      <c r="Q215" s="1606">
        <f t="shared" si="15"/>
        <v>0</v>
      </c>
      <c r="R215" s="83">
        <v>142495.39000000016</v>
      </c>
      <c r="S215" s="83">
        <v>141196.32999999999</v>
      </c>
      <c r="T215" s="1673">
        <v>1.4999999999999999E-2</v>
      </c>
      <c r="V215" s="328" t="s">
        <v>1772</v>
      </c>
      <c r="W215" s="29">
        <v>39213</v>
      </c>
      <c r="Y215" s="503"/>
      <c r="Z215" s="503"/>
      <c r="AA215" s="503"/>
      <c r="AB215" s="503"/>
    </row>
    <row r="216" spans="1:28">
      <c r="A216">
        <f>+_xlfn.XMATCH(D216,'300s - 5 Digit FERC Accounts'!B:B)</f>
        <v>212</v>
      </c>
      <c r="B216" s="1608" t="str">
        <f t="shared" si="13"/>
        <v>346</v>
      </c>
      <c r="C216" s="1608" t="str">
        <f t="shared" si="12"/>
        <v>Prod</v>
      </c>
      <c r="D216" s="29">
        <v>34683</v>
      </c>
      <c r="E216" s="29" t="s">
        <v>1702</v>
      </c>
      <c r="F216" s="83">
        <v>432910.42</v>
      </c>
      <c r="G216" s="83">
        <v>0</v>
      </c>
      <c r="H216" s="83">
        <v>0</v>
      </c>
      <c r="I216" s="1606">
        <f t="shared" si="14"/>
        <v>0</v>
      </c>
      <c r="J216" s="83">
        <v>432910.42</v>
      </c>
      <c r="K216" s="83">
        <v>432910.42</v>
      </c>
      <c r="L216" s="83">
        <v>283696.63999999966</v>
      </c>
      <c r="M216" s="83">
        <v>10563</v>
      </c>
      <c r="N216" s="83">
        <v>0</v>
      </c>
      <c r="O216" s="83">
        <v>0</v>
      </c>
      <c r="P216" s="83">
        <v>0</v>
      </c>
      <c r="Q216" s="1606">
        <f t="shared" si="15"/>
        <v>0</v>
      </c>
      <c r="R216" s="83">
        <v>294259.63999999966</v>
      </c>
      <c r="S216" s="83">
        <v>288978.14</v>
      </c>
      <c r="T216" s="1673">
        <v>2.4399999999999998E-2</v>
      </c>
      <c r="V216" s="328" t="s">
        <v>1772</v>
      </c>
      <c r="W216" s="29">
        <v>39214</v>
      </c>
      <c r="Y216" s="503"/>
      <c r="Z216" s="503"/>
      <c r="AA216" s="503"/>
      <c r="AB216" s="503"/>
    </row>
    <row r="217" spans="1:28">
      <c r="A217">
        <f>+_xlfn.XMATCH(D217,'300s - 5 Digit FERC Accounts'!B:B)</f>
        <v>213</v>
      </c>
      <c r="B217" s="1608" t="str">
        <f t="shared" si="13"/>
        <v>346</v>
      </c>
      <c r="C217" s="1608" t="str">
        <f t="shared" si="12"/>
        <v>Prod</v>
      </c>
      <c r="D217" s="29">
        <v>34684</v>
      </c>
      <c r="E217" s="29" t="s">
        <v>1703</v>
      </c>
      <c r="F217" s="83">
        <v>0</v>
      </c>
      <c r="G217" s="83">
        <v>0</v>
      </c>
      <c r="H217" s="83">
        <v>0</v>
      </c>
      <c r="I217" s="1606">
        <f t="shared" si="14"/>
        <v>0</v>
      </c>
      <c r="J217" s="83">
        <v>0</v>
      </c>
      <c r="K217" s="83">
        <v>0</v>
      </c>
      <c r="L217" s="83">
        <v>0</v>
      </c>
      <c r="M217" s="83">
        <v>0</v>
      </c>
      <c r="N217" s="83">
        <v>0</v>
      </c>
      <c r="O217" s="83">
        <v>0</v>
      </c>
      <c r="P217" s="83">
        <v>0</v>
      </c>
      <c r="Q217" s="1606">
        <f t="shared" si="15"/>
        <v>0</v>
      </c>
      <c r="R217" s="83">
        <v>0</v>
      </c>
      <c r="S217" s="83">
        <v>0</v>
      </c>
      <c r="T217" s="1673">
        <v>2.9399999999999999E-2</v>
      </c>
      <c r="V217" s="328" t="s">
        <v>1772</v>
      </c>
      <c r="W217" s="29">
        <v>39300</v>
      </c>
      <c r="Y217" s="503"/>
      <c r="Z217" s="503"/>
      <c r="AA217" s="503"/>
      <c r="AB217" s="503"/>
    </row>
    <row r="218" spans="1:28">
      <c r="A218">
        <f>+_xlfn.XMATCH(D218,'300s - 5 Digit FERC Accounts'!B:B)</f>
        <v>214</v>
      </c>
      <c r="B218" s="1608" t="str">
        <f t="shared" si="13"/>
        <v>346</v>
      </c>
      <c r="C218" s="1608" t="str">
        <f t="shared" si="12"/>
        <v>Prod</v>
      </c>
      <c r="D218" s="29">
        <v>34685</v>
      </c>
      <c r="E218" s="29" t="s">
        <v>1704</v>
      </c>
      <c r="F218" s="83">
        <v>0</v>
      </c>
      <c r="G218" s="83">
        <v>0</v>
      </c>
      <c r="H218" s="83">
        <v>0</v>
      </c>
      <c r="I218" s="1606">
        <f t="shared" si="14"/>
        <v>0</v>
      </c>
      <c r="J218" s="83">
        <v>0</v>
      </c>
      <c r="K218" s="83">
        <v>0</v>
      </c>
      <c r="L218" s="83">
        <v>0</v>
      </c>
      <c r="M218" s="83">
        <v>0</v>
      </c>
      <c r="N218" s="83">
        <v>0</v>
      </c>
      <c r="O218" s="83">
        <v>0</v>
      </c>
      <c r="P218" s="83">
        <v>0</v>
      </c>
      <c r="Q218" s="1606">
        <f t="shared" si="15"/>
        <v>0</v>
      </c>
      <c r="R218" s="83">
        <v>0</v>
      </c>
      <c r="S218" s="83">
        <v>0</v>
      </c>
      <c r="T218" s="1673">
        <v>2.9399999999999999E-2</v>
      </c>
      <c r="V218" s="328" t="s">
        <v>1772</v>
      </c>
      <c r="W218" s="29">
        <v>39400</v>
      </c>
      <c r="Y218" s="503"/>
      <c r="Z218" s="503"/>
      <c r="AA218" s="503"/>
      <c r="AB218" s="503"/>
    </row>
    <row r="219" spans="1:28">
      <c r="A219">
        <f>+_xlfn.XMATCH(D219,'300s - 5 Digit FERC Accounts'!B:B)</f>
        <v>215</v>
      </c>
      <c r="B219" s="1608" t="str">
        <f t="shared" si="13"/>
        <v>346</v>
      </c>
      <c r="C219" s="1608" t="str">
        <f t="shared" si="12"/>
        <v>Prod</v>
      </c>
      <c r="D219" s="29">
        <v>34686</v>
      </c>
      <c r="E219" s="29" t="s">
        <v>1705</v>
      </c>
      <c r="F219" s="83">
        <v>141626.41</v>
      </c>
      <c r="G219" s="83">
        <v>0</v>
      </c>
      <c r="H219" s="83">
        <v>0</v>
      </c>
      <c r="I219" s="1606">
        <f t="shared" si="14"/>
        <v>0</v>
      </c>
      <c r="J219" s="83">
        <v>141626.41</v>
      </c>
      <c r="K219" s="83">
        <v>141626.41</v>
      </c>
      <c r="L219" s="83">
        <v>30886.060000000027</v>
      </c>
      <c r="M219" s="83">
        <v>5254.32</v>
      </c>
      <c r="N219" s="83">
        <v>0</v>
      </c>
      <c r="O219" s="83">
        <v>0</v>
      </c>
      <c r="P219" s="83">
        <v>0</v>
      </c>
      <c r="Q219" s="1606">
        <f t="shared" si="15"/>
        <v>0</v>
      </c>
      <c r="R219" s="83">
        <v>36140.380000000026</v>
      </c>
      <c r="S219" s="83">
        <v>33513.22</v>
      </c>
      <c r="T219" s="1673">
        <v>3.7100000000000001E-2</v>
      </c>
      <c r="V219" s="328" t="s">
        <v>1772</v>
      </c>
      <c r="W219" s="29">
        <v>39401</v>
      </c>
      <c r="Y219" s="503"/>
      <c r="Z219" s="503"/>
      <c r="AA219" s="503"/>
      <c r="AB219" s="503"/>
    </row>
    <row r="220" spans="1:28">
      <c r="A220">
        <f>+_xlfn.XMATCH(D220,'300s - 5 Digit FERC Accounts'!B:B)</f>
        <v>216</v>
      </c>
      <c r="B220" s="1608" t="str">
        <f t="shared" si="13"/>
        <v>346</v>
      </c>
      <c r="C220" s="1608" t="str">
        <f t="shared" si="12"/>
        <v>Prod</v>
      </c>
      <c r="D220" s="29">
        <v>34687</v>
      </c>
      <c r="E220" s="29" t="s">
        <v>1706</v>
      </c>
      <c r="F220" s="83">
        <v>2111959.9400000004</v>
      </c>
      <c r="G220" s="83">
        <v>0</v>
      </c>
      <c r="H220" s="83">
        <v>0</v>
      </c>
      <c r="I220" s="1606">
        <f t="shared" si="14"/>
        <v>0</v>
      </c>
      <c r="J220" s="83">
        <v>2111959.9400000004</v>
      </c>
      <c r="K220" s="83">
        <v>2111959.94</v>
      </c>
      <c r="L220" s="83">
        <v>1086892.4700000002</v>
      </c>
      <c r="M220" s="83">
        <v>302010.23999999999</v>
      </c>
      <c r="N220" s="83">
        <v>0</v>
      </c>
      <c r="O220" s="83">
        <v>0</v>
      </c>
      <c r="P220" s="83">
        <v>0</v>
      </c>
      <c r="Q220" s="1606">
        <f t="shared" si="15"/>
        <v>0</v>
      </c>
      <c r="R220" s="83">
        <v>1388902.7100000002</v>
      </c>
      <c r="S220" s="83">
        <v>1237897.5900000001</v>
      </c>
      <c r="T220" s="1673">
        <v>0.14300000000000002</v>
      </c>
      <c r="V220" s="328" t="s">
        <v>1772</v>
      </c>
      <c r="W220" s="29">
        <v>39500</v>
      </c>
      <c r="Y220" s="503"/>
      <c r="Z220" s="503"/>
      <c r="AA220" s="503"/>
      <c r="AB220" s="503"/>
    </row>
    <row r="221" spans="1:28">
      <c r="A221">
        <f>+_xlfn.XMATCH(D221,'300s - 5 Digit FERC Accounts'!B:B)</f>
        <v>217</v>
      </c>
      <c r="B221" s="1608" t="str">
        <f t="shared" si="13"/>
        <v>347</v>
      </c>
      <c r="C221" s="1608" t="str">
        <f t="shared" si="12"/>
        <v>ARO</v>
      </c>
      <c r="D221" s="29">
        <v>34700</v>
      </c>
      <c r="E221" s="29" t="s">
        <v>1707</v>
      </c>
      <c r="F221" s="83">
        <v>12376233.219999999</v>
      </c>
      <c r="G221" s="83">
        <v>0</v>
      </c>
      <c r="H221" s="83">
        <v>0</v>
      </c>
      <c r="I221" s="1606">
        <f t="shared" si="14"/>
        <v>0</v>
      </c>
      <c r="J221" s="83">
        <v>12376233.219999999</v>
      </c>
      <c r="K221" s="83">
        <v>12376233.220000001</v>
      </c>
      <c r="L221" s="83">
        <v>1980782.0799999989</v>
      </c>
      <c r="M221" s="83">
        <v>420791.88</v>
      </c>
      <c r="N221" s="83">
        <v>0</v>
      </c>
      <c r="O221" s="83">
        <v>0</v>
      </c>
      <c r="P221" s="83">
        <v>0</v>
      </c>
      <c r="Q221" s="1606">
        <f t="shared" si="15"/>
        <v>0</v>
      </c>
      <c r="R221" s="83">
        <v>2401573.959999999</v>
      </c>
      <c r="S221" s="83">
        <v>2191178.02</v>
      </c>
      <c r="T221" s="1673">
        <v>3.4000000000000002E-2</v>
      </c>
      <c r="V221" s="328" t="s">
        <v>1772</v>
      </c>
      <c r="W221" s="29">
        <v>39600</v>
      </c>
      <c r="Y221" s="503"/>
      <c r="Z221" s="503"/>
      <c r="AA221" s="503"/>
      <c r="AB221" s="503"/>
    </row>
    <row r="222" spans="1:28">
      <c r="A222">
        <f>+_xlfn.XMATCH(D222,'300s - 5 Digit FERC Accounts'!B:B)</f>
        <v>218</v>
      </c>
      <c r="B222" s="1608" t="str">
        <f t="shared" si="13"/>
        <v>343</v>
      </c>
      <c r="C222" s="1608" t="str">
        <f t="shared" si="12"/>
        <v>Prod</v>
      </c>
      <c r="D222" s="29">
        <v>34300</v>
      </c>
      <c r="E222" s="29" t="s">
        <v>8958</v>
      </c>
      <c r="F222" s="83">
        <v>0</v>
      </c>
      <c r="G222" s="83">
        <v>0</v>
      </c>
      <c r="H222" s="83">
        <v>0</v>
      </c>
      <c r="I222" s="1606">
        <f t="shared" si="14"/>
        <v>0</v>
      </c>
      <c r="J222" s="83">
        <v>0</v>
      </c>
      <c r="K222" s="83">
        <v>0</v>
      </c>
      <c r="L222" s="83">
        <v>0</v>
      </c>
      <c r="M222" s="83">
        <v>0</v>
      </c>
      <c r="N222" s="83">
        <v>0</v>
      </c>
      <c r="O222" s="83">
        <v>0</v>
      </c>
      <c r="P222" s="83">
        <v>0</v>
      </c>
      <c r="Q222" s="1606">
        <f t="shared" si="15"/>
        <v>0</v>
      </c>
      <c r="R222" s="83">
        <v>0</v>
      </c>
      <c r="S222" s="83">
        <v>0</v>
      </c>
      <c r="T222" s="1673">
        <v>3.3000000000000002E-2</v>
      </c>
      <c r="V222" s="328" t="s">
        <v>1772</v>
      </c>
      <c r="W222" s="29">
        <v>39700</v>
      </c>
      <c r="Y222" s="503"/>
      <c r="Z222" s="503"/>
      <c r="AA222" s="503"/>
      <c r="AB222" s="503"/>
    </row>
    <row r="223" spans="1:28">
      <c r="A223">
        <f>+_xlfn.XMATCH(D223,'300s - 5 Digit FERC Accounts'!B:B)</f>
        <v>221</v>
      </c>
      <c r="B223" s="1608" t="str">
        <f t="shared" si="13"/>
        <v>348</v>
      </c>
      <c r="C223" s="1608" t="str">
        <f t="shared" si="12"/>
        <v>Prod</v>
      </c>
      <c r="D223" s="29">
        <v>34800</v>
      </c>
      <c r="E223" s="29" t="s">
        <v>8959</v>
      </c>
      <c r="F223" s="83">
        <v>0</v>
      </c>
      <c r="G223" s="83">
        <v>0</v>
      </c>
      <c r="H223" s="83">
        <v>0</v>
      </c>
      <c r="I223" s="1606">
        <f t="shared" si="14"/>
        <v>0</v>
      </c>
      <c r="J223" s="83">
        <v>0</v>
      </c>
      <c r="K223" s="83">
        <v>0</v>
      </c>
      <c r="L223" s="83">
        <v>0</v>
      </c>
      <c r="M223" s="83">
        <v>0</v>
      </c>
      <c r="N223" s="83">
        <v>0</v>
      </c>
      <c r="O223" s="83">
        <v>0</v>
      </c>
      <c r="P223" s="83">
        <v>0</v>
      </c>
      <c r="Q223" s="1606">
        <f t="shared" si="15"/>
        <v>0</v>
      </c>
      <c r="R223" s="83">
        <v>0</v>
      </c>
      <c r="S223" s="83">
        <v>0</v>
      </c>
      <c r="T223" s="1673">
        <v>0.1</v>
      </c>
      <c r="V223" s="328" t="s">
        <v>1772</v>
      </c>
      <c r="W223" s="29">
        <v>39725</v>
      </c>
      <c r="Y223" s="503"/>
      <c r="Z223" s="503"/>
      <c r="AA223" s="503"/>
      <c r="AB223" s="503"/>
    </row>
    <row r="224" spans="1:28">
      <c r="A224">
        <f>+_xlfn.XMATCH(D224,'300s - 5 Digit FERC Accounts'!B:B)</f>
        <v>220</v>
      </c>
      <c r="B224" s="1608" t="str">
        <f t="shared" si="13"/>
        <v>348</v>
      </c>
      <c r="C224" s="1608" t="str">
        <f t="shared" si="12"/>
        <v>Prod</v>
      </c>
      <c r="D224" s="29">
        <v>34820</v>
      </c>
      <c r="E224" s="29" t="s">
        <v>8960</v>
      </c>
      <c r="F224" s="83">
        <v>0</v>
      </c>
      <c r="G224" s="83">
        <v>32203865.48</v>
      </c>
      <c r="H224" s="83">
        <v>0</v>
      </c>
      <c r="I224" s="1606">
        <f t="shared" si="14"/>
        <v>0</v>
      </c>
      <c r="J224" s="83">
        <v>32203865.48</v>
      </c>
      <c r="K224" s="83">
        <v>20609769.649999999</v>
      </c>
      <c r="L224" s="83">
        <v>0</v>
      </c>
      <c r="M224" s="83">
        <v>1964359.53</v>
      </c>
      <c r="N224" s="83">
        <v>0</v>
      </c>
      <c r="O224" s="83">
        <v>0</v>
      </c>
      <c r="P224" s="83">
        <v>0</v>
      </c>
      <c r="Q224" s="1606">
        <f t="shared" si="15"/>
        <v>0</v>
      </c>
      <c r="R224" s="83">
        <v>1964359.53</v>
      </c>
      <c r="S224" s="83">
        <v>662588.54</v>
      </c>
      <c r="T224" s="1673">
        <v>0.1</v>
      </c>
      <c r="V224" s="328" t="s">
        <v>1772</v>
      </c>
      <c r="W224" s="29">
        <v>39800</v>
      </c>
      <c r="Y224" s="503"/>
      <c r="Z224" s="503"/>
      <c r="AA224" s="503"/>
      <c r="AB224" s="503"/>
    </row>
    <row r="225" spans="1:28">
      <c r="A225">
        <f>+_xlfn.XMATCH(D225,'300s - 5 Digit FERC Accounts'!B:B)</f>
        <v>282</v>
      </c>
      <c r="B225" s="1608" t="str">
        <f t="shared" si="13"/>
        <v>348</v>
      </c>
      <c r="C225" s="1608" t="str">
        <f t="shared" si="12"/>
        <v>Prod</v>
      </c>
      <c r="D225" s="29">
        <v>34898</v>
      </c>
      <c r="E225" s="29" t="s">
        <v>8510</v>
      </c>
      <c r="F225" s="83">
        <v>9237.029999999997</v>
      </c>
      <c r="G225" s="83">
        <v>0</v>
      </c>
      <c r="H225" s="83">
        <v>0</v>
      </c>
      <c r="I225" s="1606">
        <f t="shared" si="14"/>
        <v>0</v>
      </c>
      <c r="J225" s="83">
        <v>9237.029999999997</v>
      </c>
      <c r="K225" s="83">
        <v>9237.0300000000007</v>
      </c>
      <c r="L225" s="83">
        <v>1788.87</v>
      </c>
      <c r="M225" s="83">
        <v>991.08</v>
      </c>
      <c r="N225" s="83">
        <v>0</v>
      </c>
      <c r="O225" s="83">
        <v>0</v>
      </c>
      <c r="P225" s="83">
        <v>0</v>
      </c>
      <c r="Q225" s="1606">
        <f t="shared" si="15"/>
        <v>0</v>
      </c>
      <c r="R225" s="83">
        <v>2779.95</v>
      </c>
      <c r="S225" s="83">
        <v>2284.41</v>
      </c>
      <c r="T225" s="1673">
        <v>0.10730000000000001</v>
      </c>
      <c r="V225" s="328" t="s">
        <v>1772</v>
      </c>
      <c r="W225" s="29">
        <v>39910</v>
      </c>
      <c r="Y225" s="503"/>
      <c r="Z225" s="503"/>
      <c r="AA225" s="503"/>
      <c r="AB225" s="503"/>
    </row>
    <row r="226" spans="1:28">
      <c r="A226">
        <f>+_xlfn.XMATCH(D226,'300s - 5 Digit FERC Accounts'!B:B)</f>
        <v>222</v>
      </c>
      <c r="B226" s="1608" t="str">
        <f t="shared" si="13"/>
        <v>348</v>
      </c>
      <c r="C226" s="1608" t="str">
        <f t="shared" si="12"/>
        <v>Prod</v>
      </c>
      <c r="D226" s="29">
        <v>34899</v>
      </c>
      <c r="E226" s="29" t="s">
        <v>1708</v>
      </c>
      <c r="F226" s="83">
        <v>28009837.169999998</v>
      </c>
      <c r="G226" s="83">
        <v>115229275.86</v>
      </c>
      <c r="H226" s="83">
        <v>0</v>
      </c>
      <c r="I226" s="1606">
        <f t="shared" si="14"/>
        <v>0</v>
      </c>
      <c r="J226" s="83">
        <v>143239113.03</v>
      </c>
      <c r="K226" s="83">
        <v>108541769.38</v>
      </c>
      <c r="L226" s="83">
        <v>4326803.6099999975</v>
      </c>
      <c r="M226" s="83">
        <v>10860853.32</v>
      </c>
      <c r="N226" s="83">
        <v>0</v>
      </c>
      <c r="O226" s="83">
        <v>0</v>
      </c>
      <c r="P226" s="83">
        <v>0</v>
      </c>
      <c r="Q226" s="1606">
        <f t="shared" si="15"/>
        <v>0</v>
      </c>
      <c r="R226" s="83">
        <v>15187656.929999998</v>
      </c>
      <c r="S226" s="83">
        <v>8752577.0700000003</v>
      </c>
      <c r="T226" s="1673">
        <v>0.10279999999999999</v>
      </c>
      <c r="V226" t="s">
        <v>1441</v>
      </c>
      <c r="W226" s="29">
        <v>31011</v>
      </c>
      <c r="Y226" s="503"/>
      <c r="Z226" s="503"/>
      <c r="AA226" s="503"/>
      <c r="AB226" s="503"/>
    </row>
    <row r="227" spans="1:28">
      <c r="A227">
        <f>+_xlfn.XMATCH(D227,'300s - 5 Digit FERC Accounts'!B:B)</f>
        <v>223</v>
      </c>
      <c r="B227" s="1608" t="str">
        <f t="shared" si="13"/>
        <v>350</v>
      </c>
      <c r="C227" s="1608" t="str">
        <f t="shared" si="12"/>
        <v>Trans</v>
      </c>
      <c r="D227" s="29">
        <v>35000</v>
      </c>
      <c r="E227" s="29" t="s">
        <v>1709</v>
      </c>
      <c r="F227" s="83">
        <v>17799998.559999999</v>
      </c>
      <c r="G227" s="83">
        <v>0</v>
      </c>
      <c r="H227" s="83">
        <v>0</v>
      </c>
      <c r="I227" s="1606">
        <f t="shared" si="14"/>
        <v>0</v>
      </c>
      <c r="J227" s="83">
        <v>17799998.559999999</v>
      </c>
      <c r="K227" s="83">
        <v>17799998.559999999</v>
      </c>
      <c r="L227" s="83">
        <v>0</v>
      </c>
      <c r="M227" s="83">
        <v>0</v>
      </c>
      <c r="N227" s="83">
        <v>0</v>
      </c>
      <c r="O227" s="83">
        <v>0</v>
      </c>
      <c r="P227" s="83">
        <v>0</v>
      </c>
      <c r="Q227" s="1606">
        <f t="shared" si="15"/>
        <v>0</v>
      </c>
      <c r="R227" s="83">
        <v>0</v>
      </c>
      <c r="S227" s="83">
        <v>0</v>
      </c>
      <c r="T227" s="1673">
        <v>0</v>
      </c>
      <c r="V227" t="s">
        <v>1441</v>
      </c>
      <c r="W227" s="29">
        <v>31131</v>
      </c>
      <c r="Y227" s="503"/>
      <c r="Z227" s="503"/>
      <c r="AA227" s="503"/>
      <c r="AB227" s="503"/>
    </row>
    <row r="228" spans="1:28">
      <c r="A228">
        <f>+_xlfn.XMATCH(D228,'300s - 5 Digit FERC Accounts'!B:B)</f>
        <v>224</v>
      </c>
      <c r="B228" s="1608" t="str">
        <f t="shared" si="13"/>
        <v>350</v>
      </c>
      <c r="C228" s="1608" t="str">
        <f t="shared" si="12"/>
        <v>Trans</v>
      </c>
      <c r="D228" s="29">
        <v>35001</v>
      </c>
      <c r="E228" s="29" t="s">
        <v>1710</v>
      </c>
      <c r="F228" s="83">
        <v>12162254.090000002</v>
      </c>
      <c r="G228" s="83">
        <v>0</v>
      </c>
      <c r="H228" s="83">
        <v>0</v>
      </c>
      <c r="I228" s="1606">
        <f t="shared" si="14"/>
        <v>0</v>
      </c>
      <c r="J228" s="83">
        <v>12162254.090000002</v>
      </c>
      <c r="K228" s="83">
        <v>12162254.09</v>
      </c>
      <c r="L228" s="83">
        <v>5088906.0300000086</v>
      </c>
      <c r="M228" s="83">
        <v>187298.76</v>
      </c>
      <c r="N228" s="83">
        <v>0</v>
      </c>
      <c r="O228" s="83">
        <v>0</v>
      </c>
      <c r="P228" s="83">
        <v>0</v>
      </c>
      <c r="Q228" s="1606">
        <f t="shared" si="15"/>
        <v>0</v>
      </c>
      <c r="R228" s="83">
        <v>5276204.7900000084</v>
      </c>
      <c r="S228" s="83">
        <v>5182555.41</v>
      </c>
      <c r="T228" s="1673">
        <v>1.54E-2</v>
      </c>
      <c r="V228" t="s">
        <v>1441</v>
      </c>
      <c r="W228" s="29">
        <v>31132</v>
      </c>
      <c r="Y228" s="503"/>
      <c r="Z228" s="503"/>
      <c r="AA228" s="503"/>
      <c r="AB228" s="503"/>
    </row>
    <row r="229" spans="1:28">
      <c r="A229">
        <f>+_xlfn.XMATCH(D229,'300s - 5 Digit FERC Accounts'!B:B)</f>
        <v>225</v>
      </c>
      <c r="B229" s="1608" t="str">
        <f t="shared" si="13"/>
        <v>351</v>
      </c>
      <c r="C229" s="1608" t="str">
        <f t="shared" si="12"/>
        <v>Trans</v>
      </c>
      <c r="D229" s="29">
        <v>35100</v>
      </c>
      <c r="E229" s="29" t="s">
        <v>8236</v>
      </c>
      <c r="F229" s="83">
        <v>0</v>
      </c>
      <c r="G229" s="83">
        <v>0</v>
      </c>
      <c r="H229" s="83">
        <v>0</v>
      </c>
      <c r="I229" s="1606">
        <f t="shared" si="14"/>
        <v>0</v>
      </c>
      <c r="J229" s="83">
        <v>0</v>
      </c>
      <c r="K229" s="83">
        <v>0</v>
      </c>
      <c r="L229" s="83">
        <v>0</v>
      </c>
      <c r="M229" s="83">
        <v>0</v>
      </c>
      <c r="N229" s="83">
        <v>0</v>
      </c>
      <c r="O229" s="83">
        <v>0</v>
      </c>
      <c r="P229" s="83">
        <v>0</v>
      </c>
      <c r="Q229" s="1606">
        <f t="shared" si="15"/>
        <v>0</v>
      </c>
      <c r="R229" s="83">
        <v>0</v>
      </c>
      <c r="S229" s="83">
        <v>0</v>
      </c>
      <c r="T229" s="1673">
        <v>0.1</v>
      </c>
      <c r="V229" t="s">
        <v>1441</v>
      </c>
      <c r="W229" s="29">
        <v>31133</v>
      </c>
      <c r="Y229" s="503"/>
      <c r="Z229" s="503"/>
      <c r="AA229" s="503"/>
      <c r="AB229" s="503"/>
    </row>
    <row r="230" spans="1:28">
      <c r="A230">
        <f>+_xlfn.XMATCH(D230,'300s - 5 Digit FERC Accounts'!B:B)</f>
        <v>226</v>
      </c>
      <c r="B230" s="1608" t="str">
        <f t="shared" si="13"/>
        <v>352</v>
      </c>
      <c r="C230" s="1608" t="str">
        <f t="shared" si="12"/>
        <v>Trans</v>
      </c>
      <c r="D230" s="29">
        <v>35200</v>
      </c>
      <c r="E230" s="29" t="s">
        <v>1711</v>
      </c>
      <c r="F230" s="83">
        <v>76277379.719999999</v>
      </c>
      <c r="G230" s="83">
        <v>0</v>
      </c>
      <c r="H230" s="83">
        <v>0</v>
      </c>
      <c r="I230" s="1606">
        <f t="shared" si="14"/>
        <v>0</v>
      </c>
      <c r="J230" s="83">
        <v>76277379.719999999</v>
      </c>
      <c r="K230" s="83">
        <v>76277379.719999999</v>
      </c>
      <c r="L230" s="83">
        <v>16146070.070000004</v>
      </c>
      <c r="M230" s="83">
        <v>1655219.16</v>
      </c>
      <c r="N230" s="83">
        <v>0</v>
      </c>
      <c r="O230" s="83">
        <v>0</v>
      </c>
      <c r="P230" s="83">
        <v>0</v>
      </c>
      <c r="Q230" s="1606">
        <f t="shared" si="15"/>
        <v>0</v>
      </c>
      <c r="R230" s="83">
        <v>17801289.230000004</v>
      </c>
      <c r="S230" s="83">
        <v>16973679.649999999</v>
      </c>
      <c r="T230" s="1673">
        <v>2.1700000000000001E-2</v>
      </c>
      <c r="V230" t="s">
        <v>1441</v>
      </c>
      <c r="W230" s="29">
        <v>31134</v>
      </c>
      <c r="Y230" s="503"/>
      <c r="Z230" s="503"/>
      <c r="AA230" s="503"/>
      <c r="AB230" s="503"/>
    </row>
    <row r="231" spans="1:28">
      <c r="A231">
        <f>+_xlfn.XMATCH(D231,'300s - 5 Digit FERC Accounts'!B:B)</f>
        <v>227</v>
      </c>
      <c r="B231" s="1608" t="str">
        <f t="shared" si="13"/>
        <v>353</v>
      </c>
      <c r="C231" s="1608" t="str">
        <f t="shared" si="12"/>
        <v>Trans</v>
      </c>
      <c r="D231" s="29">
        <v>35300</v>
      </c>
      <c r="E231" s="29" t="s">
        <v>1712</v>
      </c>
      <c r="F231" s="83">
        <v>449281371.64640033</v>
      </c>
      <c r="G231" s="83">
        <v>36762021.990000002</v>
      </c>
      <c r="H231" s="83">
        <v>-5514303.2800000003</v>
      </c>
      <c r="I231" s="1606">
        <f t="shared" si="14"/>
        <v>3.6321580410003662E-8</v>
      </c>
      <c r="J231" s="83">
        <v>480529090.35640037</v>
      </c>
      <c r="K231" s="83">
        <v>458449851.30000001</v>
      </c>
      <c r="L231" s="83">
        <v>95817470.748700008</v>
      </c>
      <c r="M231" s="83">
        <v>10775994.01</v>
      </c>
      <c r="N231" s="83">
        <v>-5514303.2800000003</v>
      </c>
      <c r="O231" s="83">
        <v>3800.8</v>
      </c>
      <c r="P231" s="83">
        <v>0</v>
      </c>
      <c r="Q231" s="1606">
        <f t="shared" si="15"/>
        <v>0</v>
      </c>
      <c r="R231" s="83">
        <v>101082962.27870001</v>
      </c>
      <c r="S231" s="83">
        <v>99557050.689999998</v>
      </c>
      <c r="T231" s="1673">
        <v>2.3599999999999999E-2</v>
      </c>
      <c r="V231" t="s">
        <v>1441</v>
      </c>
      <c r="W231" s="29">
        <v>31175</v>
      </c>
      <c r="Y231" s="503"/>
      <c r="Z231" s="503"/>
      <c r="AA231" s="503"/>
      <c r="AB231" s="503"/>
    </row>
    <row r="232" spans="1:28">
      <c r="A232">
        <f>+_xlfn.XMATCH(D232,'300s - 5 Digit FERC Accounts'!B:B)</f>
        <v>228</v>
      </c>
      <c r="B232" s="1608" t="str">
        <f t="shared" si="13"/>
        <v>354</v>
      </c>
      <c r="C232" s="1608" t="str">
        <f t="shared" si="12"/>
        <v>Trans</v>
      </c>
      <c r="D232" s="29">
        <v>35400</v>
      </c>
      <c r="E232" s="29" t="s">
        <v>1713</v>
      </c>
      <c r="F232" s="83">
        <v>5092060.55</v>
      </c>
      <c r="G232" s="83">
        <v>0</v>
      </c>
      <c r="H232" s="83">
        <v>0</v>
      </c>
      <c r="I232" s="1606">
        <f t="shared" si="14"/>
        <v>0</v>
      </c>
      <c r="J232" s="83">
        <v>5092060.55</v>
      </c>
      <c r="K232" s="83">
        <v>5092060.55</v>
      </c>
      <c r="L232" s="83">
        <v>5281270.2899999907</v>
      </c>
      <c r="M232" s="83">
        <v>65687.64</v>
      </c>
      <c r="N232" s="83">
        <v>0</v>
      </c>
      <c r="O232" s="83">
        <v>0</v>
      </c>
      <c r="P232" s="83">
        <v>0</v>
      </c>
      <c r="Q232" s="1606">
        <f t="shared" si="15"/>
        <v>0</v>
      </c>
      <c r="R232" s="83">
        <v>5346957.9299999904</v>
      </c>
      <c r="S232" s="83">
        <v>5314114.1100000003</v>
      </c>
      <c r="T232" s="1673">
        <v>1.29E-2</v>
      </c>
      <c r="V232" t="s">
        <v>1441</v>
      </c>
      <c r="W232" s="29">
        <v>31178</v>
      </c>
      <c r="Y232" s="503"/>
      <c r="Z232" s="503"/>
      <c r="AA232" s="503"/>
      <c r="AB232" s="503"/>
    </row>
    <row r="233" spans="1:28">
      <c r="A233">
        <f>+_xlfn.XMATCH(D233,'300s - 5 Digit FERC Accounts'!B:B)</f>
        <v>229</v>
      </c>
      <c r="B233" s="1608" t="str">
        <f t="shared" si="13"/>
        <v>355</v>
      </c>
      <c r="C233" s="1608" t="str">
        <f t="shared" si="12"/>
        <v>Trans</v>
      </c>
      <c r="D233" s="29">
        <v>35500</v>
      </c>
      <c r="E233" s="29" t="s">
        <v>1714</v>
      </c>
      <c r="F233" s="83">
        <v>502089088.43919998</v>
      </c>
      <c r="G233" s="83">
        <v>98503789.409999996</v>
      </c>
      <c r="H233" s="83">
        <v>-5910227.3799999999</v>
      </c>
      <c r="I233" s="1606">
        <f t="shared" si="14"/>
        <v>3.4458935260772705E-8</v>
      </c>
      <c r="J233" s="83">
        <v>594682650.46920002</v>
      </c>
      <c r="K233" s="83">
        <v>534134812.68000001</v>
      </c>
      <c r="L233" s="83">
        <v>139406507.31360009</v>
      </c>
      <c r="M233" s="83">
        <v>15079041.050000001</v>
      </c>
      <c r="N233" s="83">
        <v>-5910227.3799999999</v>
      </c>
      <c r="O233" s="83">
        <v>-2931244.34</v>
      </c>
      <c r="P233" s="83">
        <v>0</v>
      </c>
      <c r="Q233" s="1606">
        <f t="shared" si="15"/>
        <v>0</v>
      </c>
      <c r="R233" s="83">
        <v>145644076.64360011</v>
      </c>
      <c r="S233" s="83">
        <v>143297337.16999999</v>
      </c>
      <c r="T233" s="1673">
        <v>2.8500000000000001E-2</v>
      </c>
      <c r="V233" t="s">
        <v>1441</v>
      </c>
      <c r="W233" s="29">
        <v>31179</v>
      </c>
      <c r="Y233" s="503"/>
      <c r="Z233" s="503"/>
      <c r="AA233" s="503"/>
      <c r="AB233" s="503"/>
    </row>
    <row r="234" spans="1:28">
      <c r="A234">
        <f>+_xlfn.XMATCH(D234,'300s - 5 Digit FERC Accounts'!B:B)</f>
        <v>230</v>
      </c>
      <c r="B234" s="1608" t="str">
        <f t="shared" si="13"/>
        <v>356</v>
      </c>
      <c r="C234" s="1608" t="str">
        <f t="shared" si="12"/>
        <v>Trans</v>
      </c>
      <c r="D234" s="29">
        <v>35600</v>
      </c>
      <c r="E234" s="29" t="s">
        <v>1715</v>
      </c>
      <c r="F234" s="83">
        <v>186194171.88119996</v>
      </c>
      <c r="G234" s="83">
        <v>22784901.960000001</v>
      </c>
      <c r="H234" s="83">
        <v>-5696225.4900000002</v>
      </c>
      <c r="I234" s="1606">
        <f t="shared" si="14"/>
        <v>0</v>
      </c>
      <c r="J234" s="83">
        <v>203282848.35119995</v>
      </c>
      <c r="K234" s="83">
        <v>191363148.16</v>
      </c>
      <c r="L234" s="83">
        <v>31677206.469600018</v>
      </c>
      <c r="M234" s="83">
        <v>5692058.21</v>
      </c>
      <c r="N234" s="83">
        <v>-5696225.4900000002</v>
      </c>
      <c r="O234" s="83">
        <v>2252.33</v>
      </c>
      <c r="P234" s="83">
        <v>0</v>
      </c>
      <c r="Q234" s="1606">
        <f t="shared" si="15"/>
        <v>0</v>
      </c>
      <c r="R234" s="83">
        <v>31675291.519600011</v>
      </c>
      <c r="S234" s="83">
        <v>32778268.300000001</v>
      </c>
      <c r="T234" s="1673">
        <v>2.9900000000000003E-2</v>
      </c>
      <c r="V234" t="s">
        <v>1441</v>
      </c>
      <c r="W234" s="29">
        <v>31230</v>
      </c>
      <c r="Y234" s="503"/>
      <c r="Z234" s="503"/>
      <c r="AA234" s="503"/>
      <c r="AB234" s="503"/>
    </row>
    <row r="235" spans="1:28">
      <c r="A235">
        <f>+_xlfn.XMATCH(D235,'300s - 5 Digit FERC Accounts'!B:B)</f>
        <v>231</v>
      </c>
      <c r="B235" s="1608" t="str">
        <f t="shared" si="13"/>
        <v>356</v>
      </c>
      <c r="C235" s="1608" t="str">
        <f t="shared" si="12"/>
        <v>Trans</v>
      </c>
      <c r="D235" s="29">
        <v>35601</v>
      </c>
      <c r="E235" s="29" t="s">
        <v>1716</v>
      </c>
      <c r="F235" s="83">
        <v>2110610.13</v>
      </c>
      <c r="G235" s="83">
        <v>0</v>
      </c>
      <c r="H235" s="83">
        <v>0</v>
      </c>
      <c r="I235" s="1606">
        <f t="shared" si="14"/>
        <v>0</v>
      </c>
      <c r="J235" s="83">
        <v>2110610.13</v>
      </c>
      <c r="K235" s="83">
        <v>2110610.13</v>
      </c>
      <c r="L235" s="83">
        <v>1797133.0899999966</v>
      </c>
      <c r="M235" s="83">
        <v>21528.240000000002</v>
      </c>
      <c r="N235" s="83">
        <v>0</v>
      </c>
      <c r="O235" s="83">
        <v>0</v>
      </c>
      <c r="P235" s="83">
        <v>0</v>
      </c>
      <c r="Q235" s="1606">
        <f t="shared" si="15"/>
        <v>0</v>
      </c>
      <c r="R235" s="83">
        <v>1818661.3299999966</v>
      </c>
      <c r="S235" s="83">
        <v>1807897.21</v>
      </c>
      <c r="T235" s="1673">
        <v>1.0200000000000001E-2</v>
      </c>
      <c r="V235" t="s">
        <v>1441</v>
      </c>
      <c r="W235" s="29">
        <v>31231</v>
      </c>
      <c r="Y235" s="503"/>
      <c r="Z235" s="503"/>
      <c r="AA235" s="503"/>
      <c r="AB235" s="503"/>
    </row>
    <row r="236" spans="1:28">
      <c r="A236">
        <f>+_xlfn.XMATCH(D236,'300s - 5 Digit FERC Accounts'!B:B)</f>
        <v>232</v>
      </c>
      <c r="B236" s="1608" t="str">
        <f t="shared" si="13"/>
        <v>357</v>
      </c>
      <c r="C236" s="1608" t="str">
        <f t="shared" si="12"/>
        <v>Trans</v>
      </c>
      <c r="D236" s="29">
        <v>35700</v>
      </c>
      <c r="E236" s="29" t="s">
        <v>1717</v>
      </c>
      <c r="F236" s="83">
        <v>4322860.5300000012</v>
      </c>
      <c r="G236" s="83">
        <v>0</v>
      </c>
      <c r="H236" s="83">
        <v>0</v>
      </c>
      <c r="I236" s="1606">
        <f t="shared" si="14"/>
        <v>0</v>
      </c>
      <c r="J236" s="83">
        <v>4322860.5300000012</v>
      </c>
      <c r="K236" s="83">
        <v>4322860.53</v>
      </c>
      <c r="L236" s="83">
        <v>1846613.4600000021</v>
      </c>
      <c r="M236" s="83">
        <v>78676.08</v>
      </c>
      <c r="N236" s="83">
        <v>0</v>
      </c>
      <c r="O236" s="83">
        <v>0</v>
      </c>
      <c r="P236" s="83">
        <v>0</v>
      </c>
      <c r="Q236" s="1606">
        <f t="shared" si="15"/>
        <v>0</v>
      </c>
      <c r="R236" s="83">
        <v>1925289.5400000021</v>
      </c>
      <c r="S236" s="83">
        <v>1885951.5</v>
      </c>
      <c r="T236" s="1673">
        <v>1.8200000000000001E-2</v>
      </c>
      <c r="V236" t="s">
        <v>1441</v>
      </c>
      <c r="W236" s="29">
        <v>31232</v>
      </c>
      <c r="Y236" s="503"/>
      <c r="Z236" s="503"/>
      <c r="AA236" s="503"/>
      <c r="AB236" s="503"/>
    </row>
    <row r="237" spans="1:28">
      <c r="A237">
        <f>+_xlfn.XMATCH(D237,'300s - 5 Digit FERC Accounts'!B:B)</f>
        <v>233</v>
      </c>
      <c r="B237" s="1608" t="str">
        <f t="shared" si="13"/>
        <v>358</v>
      </c>
      <c r="C237" s="1608" t="str">
        <f t="shared" si="12"/>
        <v>Trans</v>
      </c>
      <c r="D237" s="29">
        <v>35800</v>
      </c>
      <c r="E237" s="29" t="s">
        <v>1718</v>
      </c>
      <c r="F237" s="83">
        <v>12363044.739999998</v>
      </c>
      <c r="G237" s="83">
        <v>0</v>
      </c>
      <c r="H237" s="83">
        <v>0</v>
      </c>
      <c r="I237" s="1606">
        <f t="shared" si="14"/>
        <v>0</v>
      </c>
      <c r="J237" s="83">
        <v>12363044.739999998</v>
      </c>
      <c r="K237" s="83">
        <v>12363044.74</v>
      </c>
      <c r="L237" s="83">
        <v>3964149.2600000026</v>
      </c>
      <c r="M237" s="83">
        <v>346165.2</v>
      </c>
      <c r="N237" s="83">
        <v>0</v>
      </c>
      <c r="O237" s="83">
        <v>0</v>
      </c>
      <c r="P237" s="83">
        <v>0</v>
      </c>
      <c r="Q237" s="1606">
        <f t="shared" si="15"/>
        <v>0</v>
      </c>
      <c r="R237" s="83">
        <v>4310314.4600000028</v>
      </c>
      <c r="S237" s="83">
        <v>4137231.86</v>
      </c>
      <c r="T237" s="1673">
        <v>2.7999999999999997E-2</v>
      </c>
      <c r="V237" t="s">
        <v>1441</v>
      </c>
      <c r="W237" s="29">
        <v>31275</v>
      </c>
      <c r="Y237" s="503"/>
      <c r="Z237" s="503"/>
      <c r="AA237" s="503"/>
      <c r="AB237" s="503"/>
    </row>
    <row r="238" spans="1:28">
      <c r="A238">
        <f>+_xlfn.XMATCH(D238,'300s - 5 Digit FERC Accounts'!B:B)</f>
        <v>234</v>
      </c>
      <c r="B238" s="1608" t="str">
        <f t="shared" si="13"/>
        <v>359</v>
      </c>
      <c r="C238" s="1608" t="str">
        <f t="shared" si="12"/>
        <v>Trans</v>
      </c>
      <c r="D238" s="29">
        <v>35900</v>
      </c>
      <c r="E238" s="29" t="s">
        <v>1719</v>
      </c>
      <c r="F238" s="83">
        <v>19815799.533199996</v>
      </c>
      <c r="G238" s="83">
        <v>1361556.37</v>
      </c>
      <c r="H238" s="83">
        <v>13615.56</v>
      </c>
      <c r="I238" s="1606">
        <f t="shared" si="14"/>
        <v>-4.0927261579781771E-10</v>
      </c>
      <c r="J238" s="83">
        <v>21190971.463199995</v>
      </c>
      <c r="K238" s="83">
        <v>20219292.530000001</v>
      </c>
      <c r="L238" s="83">
        <v>3556859.3081</v>
      </c>
      <c r="M238" s="83">
        <v>356448.25</v>
      </c>
      <c r="N238" s="83">
        <v>13615.56</v>
      </c>
      <c r="O238" s="83">
        <v>140.77000000000001</v>
      </c>
      <c r="P238" s="83">
        <v>0</v>
      </c>
      <c r="Q238" s="1606">
        <f t="shared" si="15"/>
        <v>0</v>
      </c>
      <c r="R238" s="83">
        <v>3927063.8881000001</v>
      </c>
      <c r="S238" s="83">
        <v>3738078.57</v>
      </c>
      <c r="T238" s="1673">
        <v>1.77E-2</v>
      </c>
      <c r="V238" t="s">
        <v>1441</v>
      </c>
      <c r="W238" s="29">
        <v>31430</v>
      </c>
      <c r="Y238" s="503"/>
      <c r="Z238" s="503"/>
      <c r="AA238" s="503"/>
      <c r="AB238" s="503"/>
    </row>
    <row r="239" spans="1:28">
      <c r="A239">
        <f>+_xlfn.XMATCH(D239,'300s - 5 Digit FERC Accounts'!B:B)</f>
        <v>235</v>
      </c>
      <c r="B239" s="1608" t="str">
        <f t="shared" si="13"/>
        <v>359</v>
      </c>
      <c r="C239" s="1608" t="str">
        <f t="shared" si="12"/>
        <v>ARO</v>
      </c>
      <c r="D239" s="29">
        <v>35910</v>
      </c>
      <c r="E239" s="29" t="s">
        <v>8237</v>
      </c>
      <c r="F239" s="83">
        <v>0</v>
      </c>
      <c r="G239" s="83">
        <v>0</v>
      </c>
      <c r="H239" s="83">
        <v>0</v>
      </c>
      <c r="I239" s="1606">
        <f t="shared" si="14"/>
        <v>0</v>
      </c>
      <c r="J239" s="83">
        <v>0</v>
      </c>
      <c r="K239" s="83">
        <v>0</v>
      </c>
      <c r="L239" s="83">
        <v>0</v>
      </c>
      <c r="M239" s="83">
        <v>0</v>
      </c>
      <c r="N239" s="83">
        <v>0</v>
      </c>
      <c r="O239" s="83">
        <v>0</v>
      </c>
      <c r="P239" s="83">
        <v>0</v>
      </c>
      <c r="Q239" s="1606">
        <f t="shared" si="15"/>
        <v>0</v>
      </c>
      <c r="R239" s="83">
        <v>0</v>
      </c>
      <c r="S239" s="83">
        <v>0</v>
      </c>
      <c r="T239" s="1673">
        <v>0</v>
      </c>
      <c r="V239" t="s">
        <v>1441</v>
      </c>
      <c r="W239" s="29">
        <v>31431</v>
      </c>
      <c r="Y239" s="503"/>
      <c r="Z239" s="503"/>
      <c r="AA239" s="503"/>
      <c r="AB239" s="503"/>
    </row>
    <row r="240" spans="1:28">
      <c r="A240">
        <f>+_xlfn.XMATCH(D240,'300s - 5 Digit FERC Accounts'!B:B)</f>
        <v>236</v>
      </c>
      <c r="B240" s="1608" t="str">
        <f t="shared" si="13"/>
        <v>360</v>
      </c>
      <c r="C240" s="1608" t="str">
        <f t="shared" si="12"/>
        <v>Distri</v>
      </c>
      <c r="D240" s="29">
        <v>36000</v>
      </c>
      <c r="E240" s="29" t="s">
        <v>1720</v>
      </c>
      <c r="F240" s="83">
        <v>10119782.539999999</v>
      </c>
      <c r="G240" s="83">
        <v>0</v>
      </c>
      <c r="H240" s="83">
        <v>0</v>
      </c>
      <c r="I240" s="1606">
        <f t="shared" si="14"/>
        <v>0</v>
      </c>
      <c r="J240" s="83">
        <v>10119782.539999999</v>
      </c>
      <c r="K240" s="83">
        <v>10119782.539999999</v>
      </c>
      <c r="L240" s="83">
        <v>0</v>
      </c>
      <c r="M240" s="83">
        <v>0</v>
      </c>
      <c r="N240" s="83">
        <v>0</v>
      </c>
      <c r="O240" s="83">
        <v>0</v>
      </c>
      <c r="P240" s="83">
        <v>0</v>
      </c>
      <c r="Q240" s="1606">
        <f t="shared" si="15"/>
        <v>0</v>
      </c>
      <c r="R240" s="83">
        <v>0</v>
      </c>
      <c r="S240" s="83">
        <v>0</v>
      </c>
      <c r="T240" s="1673">
        <v>0</v>
      </c>
      <c r="V240" t="s">
        <v>1441</v>
      </c>
      <c r="W240" s="29">
        <v>31432</v>
      </c>
      <c r="Y240" s="503"/>
      <c r="Z240" s="503"/>
      <c r="AA240" s="503"/>
      <c r="AB240" s="503"/>
    </row>
    <row r="241" spans="1:28">
      <c r="A241">
        <f>+_xlfn.XMATCH(D241,'300s - 5 Digit FERC Accounts'!B:B)</f>
        <v>237</v>
      </c>
      <c r="B241" s="1608" t="str">
        <f t="shared" si="13"/>
        <v>361</v>
      </c>
      <c r="C241" s="1608" t="str">
        <f t="shared" si="12"/>
        <v>Distri</v>
      </c>
      <c r="D241" s="29">
        <v>36100</v>
      </c>
      <c r="E241" s="29" t="s">
        <v>1721</v>
      </c>
      <c r="F241" s="83">
        <v>34138496.829999983</v>
      </c>
      <c r="G241" s="83">
        <v>0</v>
      </c>
      <c r="H241" s="83">
        <v>0</v>
      </c>
      <c r="I241" s="1606">
        <f t="shared" si="14"/>
        <v>0</v>
      </c>
      <c r="J241" s="83">
        <v>34138496.829999983</v>
      </c>
      <c r="K241" s="83">
        <v>34138496.829999998</v>
      </c>
      <c r="L241" s="83">
        <v>9856495.3399999999</v>
      </c>
      <c r="M241" s="83">
        <v>880773.24</v>
      </c>
      <c r="N241" s="83">
        <v>0</v>
      </c>
      <c r="O241" s="83">
        <v>0</v>
      </c>
      <c r="P241" s="83">
        <v>0</v>
      </c>
      <c r="Q241" s="1606">
        <f t="shared" si="15"/>
        <v>0</v>
      </c>
      <c r="R241" s="83">
        <v>10737268.58</v>
      </c>
      <c r="S241" s="83">
        <v>10296881.960000001</v>
      </c>
      <c r="T241" s="1673">
        <v>2.58E-2</v>
      </c>
      <c r="V241" t="s">
        <v>1441</v>
      </c>
      <c r="W241" s="29">
        <v>31433</v>
      </c>
      <c r="Y241" s="503"/>
      <c r="Z241" s="503"/>
      <c r="AA241" s="503"/>
      <c r="AB241" s="503"/>
    </row>
    <row r="242" spans="1:28">
      <c r="A242">
        <f>+_xlfn.XMATCH(D242,'300s - 5 Digit FERC Accounts'!B:B)</f>
        <v>238</v>
      </c>
      <c r="B242" s="1608" t="str">
        <f t="shared" si="13"/>
        <v>362</v>
      </c>
      <c r="C242" s="1608" t="str">
        <f t="shared" si="12"/>
        <v>Distri</v>
      </c>
      <c r="D242" s="29">
        <v>36200</v>
      </c>
      <c r="E242" s="29" t="s">
        <v>1722</v>
      </c>
      <c r="F242" s="83">
        <v>324446834.12040013</v>
      </c>
      <c r="G242" s="83">
        <v>20542987.850000001</v>
      </c>
      <c r="H242" s="83">
        <v>-1848868.91</v>
      </c>
      <c r="I242" s="1606">
        <f t="shared" si="14"/>
        <v>-3.9581209421157837E-9</v>
      </c>
      <c r="J242" s="83">
        <v>343140953.06040013</v>
      </c>
      <c r="K242" s="83">
        <v>331220247.22000003</v>
      </c>
      <c r="L242" s="83">
        <v>79369590.867200106</v>
      </c>
      <c r="M242" s="83">
        <v>9114261.2100000009</v>
      </c>
      <c r="N242" s="83">
        <v>-1848868.91</v>
      </c>
      <c r="O242" s="83">
        <v>-1406794.22</v>
      </c>
      <c r="P242" s="83">
        <v>271250.23</v>
      </c>
      <c r="Q242" s="1606">
        <f t="shared" si="15"/>
        <v>0</v>
      </c>
      <c r="R242" s="83">
        <v>85499439.177200124</v>
      </c>
      <c r="S242" s="83">
        <v>82677371.489999995</v>
      </c>
      <c r="T242" s="1673">
        <v>2.76E-2</v>
      </c>
      <c r="V242" t="s">
        <v>1441</v>
      </c>
      <c r="W242" s="29">
        <v>31434</v>
      </c>
      <c r="Y242" s="503"/>
      <c r="Z242" s="503"/>
      <c r="AA242" s="503"/>
      <c r="AB242" s="503"/>
    </row>
    <row r="243" spans="1:28">
      <c r="A243">
        <f>+_xlfn.XMATCH(D243,'300s - 5 Digit FERC Accounts'!B:B)</f>
        <v>239</v>
      </c>
      <c r="B243" s="1608" t="str">
        <f t="shared" si="13"/>
        <v>363</v>
      </c>
      <c r="C243" s="1608" t="str">
        <f t="shared" si="12"/>
        <v>Distri</v>
      </c>
      <c r="D243" s="29">
        <v>36300</v>
      </c>
      <c r="E243" s="29" t="s">
        <v>8238</v>
      </c>
      <c r="F243" s="83">
        <v>0</v>
      </c>
      <c r="G243" s="83">
        <v>0</v>
      </c>
      <c r="H243" s="83">
        <v>0</v>
      </c>
      <c r="I243" s="1606">
        <f t="shared" si="14"/>
        <v>0</v>
      </c>
      <c r="J243" s="83">
        <v>0</v>
      </c>
      <c r="K243" s="83">
        <v>0</v>
      </c>
      <c r="L243" s="83">
        <v>0</v>
      </c>
      <c r="M243" s="83">
        <v>0</v>
      </c>
      <c r="N243" s="83">
        <v>0</v>
      </c>
      <c r="O243" s="83">
        <v>0</v>
      </c>
      <c r="P243" s="83">
        <v>0</v>
      </c>
      <c r="Q243" s="1606">
        <f t="shared" si="15"/>
        <v>0</v>
      </c>
      <c r="R243" s="83">
        <v>0</v>
      </c>
      <c r="S243" s="83">
        <v>0</v>
      </c>
      <c r="T243" s="1673">
        <v>0.1</v>
      </c>
      <c r="V243" t="s">
        <v>1441</v>
      </c>
      <c r="W243" s="29">
        <v>31530</v>
      </c>
      <c r="Y243" s="503"/>
      <c r="Z243" s="503"/>
      <c r="AA243" s="503"/>
      <c r="AB243" s="503"/>
    </row>
    <row r="244" spans="1:28">
      <c r="A244">
        <f>+_xlfn.XMATCH(D244,'300s - 5 Digit FERC Accounts'!B:B)</f>
        <v>240</v>
      </c>
      <c r="B244" s="1608" t="str">
        <f t="shared" si="13"/>
        <v>364</v>
      </c>
      <c r="C244" s="1608" t="str">
        <f t="shared" si="12"/>
        <v>Distri</v>
      </c>
      <c r="D244" s="29">
        <v>36400</v>
      </c>
      <c r="E244" s="29" t="s">
        <v>1723</v>
      </c>
      <c r="F244" s="83">
        <v>463677269.34720021</v>
      </c>
      <c r="G244" s="83">
        <v>86227910.329999998</v>
      </c>
      <c r="H244" s="83">
        <v>-12934186.550000001</v>
      </c>
      <c r="I244" s="1606">
        <f t="shared" si="14"/>
        <v>3.3527612686157227E-8</v>
      </c>
      <c r="J244" s="83">
        <v>536970993.12720025</v>
      </c>
      <c r="K244" s="83">
        <v>499219433.48000002</v>
      </c>
      <c r="L244" s="83">
        <v>189632327.78209987</v>
      </c>
      <c r="M244" s="83">
        <v>26341501.280000001</v>
      </c>
      <c r="N244" s="83">
        <v>-12934186.550000001</v>
      </c>
      <c r="O244" s="83">
        <v>-7239637.3499999996</v>
      </c>
      <c r="P244" s="83">
        <v>644219.29</v>
      </c>
      <c r="Q244" s="1606">
        <f t="shared" si="15"/>
        <v>0</v>
      </c>
      <c r="R244" s="83">
        <v>196444224.45209986</v>
      </c>
      <c r="S244" s="83">
        <v>192985641.19</v>
      </c>
      <c r="T244" s="1673">
        <v>5.3099999999999994E-2</v>
      </c>
      <c r="V244" t="s">
        <v>1441</v>
      </c>
      <c r="W244" s="29">
        <v>31531</v>
      </c>
      <c r="Y244" s="503"/>
      <c r="Z244" s="503"/>
      <c r="AA244" s="503"/>
      <c r="AB244" s="503"/>
    </row>
    <row r="245" spans="1:28">
      <c r="A245">
        <f>+_xlfn.XMATCH(D245,'300s - 5 Digit FERC Accounts'!B:B)</f>
        <v>241</v>
      </c>
      <c r="B245" s="1608" t="str">
        <f t="shared" si="13"/>
        <v>365</v>
      </c>
      <c r="C245" s="1608" t="str">
        <f t="shared" si="12"/>
        <v>Distri</v>
      </c>
      <c r="D245" s="29">
        <v>36500</v>
      </c>
      <c r="E245" s="29" t="s">
        <v>1724</v>
      </c>
      <c r="F245" s="83">
        <v>295008858.25520003</v>
      </c>
      <c r="G245" s="83">
        <v>24715640.43</v>
      </c>
      <c r="H245" s="83">
        <v>-7909004.9199999999</v>
      </c>
      <c r="I245" s="1606">
        <f t="shared" si="14"/>
        <v>-9.3132257461547852E-9</v>
      </c>
      <c r="J245" s="83">
        <v>311815493.76520002</v>
      </c>
      <c r="K245" s="83">
        <v>303327783.04000002</v>
      </c>
      <c r="L245" s="83">
        <v>152134506.23360002</v>
      </c>
      <c r="M245" s="83">
        <v>7051057.04</v>
      </c>
      <c r="N245" s="83">
        <v>-7909004.9199999999</v>
      </c>
      <c r="O245" s="83">
        <v>-703397.11</v>
      </c>
      <c r="P245" s="83">
        <v>135625.10999999999</v>
      </c>
      <c r="Q245" s="1606">
        <f t="shared" si="15"/>
        <v>0</v>
      </c>
      <c r="R245" s="83">
        <v>150708786.35360003</v>
      </c>
      <c r="S245" s="83">
        <v>151439200.53999999</v>
      </c>
      <c r="T245" s="1673">
        <v>2.3300000000000001E-2</v>
      </c>
      <c r="V245" t="s">
        <v>1441</v>
      </c>
      <c r="W245" s="29">
        <v>31532</v>
      </c>
      <c r="Y245" s="503"/>
      <c r="Z245" s="503"/>
      <c r="AA245" s="503"/>
      <c r="AB245" s="503"/>
    </row>
    <row r="246" spans="1:28">
      <c r="A246">
        <f>+_xlfn.XMATCH(D246,'300s - 5 Digit FERC Accounts'!B:B)</f>
        <v>242</v>
      </c>
      <c r="B246" s="1608" t="str">
        <f t="shared" si="13"/>
        <v>366</v>
      </c>
      <c r="C246" s="1608" t="str">
        <f t="shared" si="12"/>
        <v>Distri</v>
      </c>
      <c r="D246" s="29">
        <v>36600</v>
      </c>
      <c r="E246" s="29" t="s">
        <v>1725</v>
      </c>
      <c r="F246" s="83">
        <v>453436794.29440022</v>
      </c>
      <c r="G246" s="83">
        <v>23499553.870000001</v>
      </c>
      <c r="H246" s="83">
        <v>-234995.53</v>
      </c>
      <c r="I246" s="1606">
        <f t="shared" si="14"/>
        <v>3.2334355637431145E-8</v>
      </c>
      <c r="J246" s="83">
        <v>476701352.63440025</v>
      </c>
      <c r="K246" s="83">
        <v>464182170.16000003</v>
      </c>
      <c r="L246" s="83">
        <v>98415100.006700009</v>
      </c>
      <c r="M246" s="83">
        <v>8151244.7199999997</v>
      </c>
      <c r="N246" s="83">
        <v>-234995.53</v>
      </c>
      <c r="O246" s="83">
        <v>-2286040.61</v>
      </c>
      <c r="P246" s="83">
        <v>440781.62</v>
      </c>
      <c r="Q246" s="1606">
        <f t="shared" si="15"/>
        <v>0</v>
      </c>
      <c r="R246" s="83">
        <v>104486090.20670001</v>
      </c>
      <c r="S246" s="83">
        <v>101456610.04000001</v>
      </c>
      <c r="T246" s="1673">
        <v>1.7600000000000001E-2</v>
      </c>
      <c r="V246" t="s">
        <v>1441</v>
      </c>
      <c r="W246" s="29">
        <v>31533</v>
      </c>
      <c r="Y246" s="503"/>
      <c r="Z246" s="503"/>
      <c r="AA246" s="503"/>
      <c r="AB246" s="503"/>
    </row>
    <row r="247" spans="1:28">
      <c r="A247">
        <f>+_xlfn.XMATCH(D247,'300s - 5 Digit FERC Accounts'!B:B)</f>
        <v>243</v>
      </c>
      <c r="B247" s="1608" t="str">
        <f t="shared" si="13"/>
        <v>367</v>
      </c>
      <c r="C247" s="1608" t="str">
        <f t="shared" si="12"/>
        <v>Distri</v>
      </c>
      <c r="D247" s="29">
        <v>36700</v>
      </c>
      <c r="E247" s="29" t="s">
        <v>1726</v>
      </c>
      <c r="F247" s="83">
        <v>710559613.38919997</v>
      </c>
      <c r="G247" s="83">
        <v>164552217.69</v>
      </c>
      <c r="H247" s="83">
        <v>-16455221.779999999</v>
      </c>
      <c r="I247" s="1606">
        <f t="shared" si="14"/>
        <v>8.754432201385498E-8</v>
      </c>
      <c r="J247" s="83">
        <v>858656609.29920006</v>
      </c>
      <c r="K247" s="83">
        <v>784983492.21000004</v>
      </c>
      <c r="L247" s="83">
        <v>62438192.203100026</v>
      </c>
      <c r="M247" s="83">
        <v>27882617.57</v>
      </c>
      <c r="N247" s="83">
        <v>-16455221.779999999</v>
      </c>
      <c r="O247" s="83">
        <v>-8981711.5</v>
      </c>
      <c r="P247" s="83">
        <v>305156.51</v>
      </c>
      <c r="Q247" s="1606">
        <f t="shared" si="15"/>
        <v>0</v>
      </c>
      <c r="R247" s="83">
        <v>65189033.003100015</v>
      </c>
      <c r="S247" s="83">
        <v>63380247.600000001</v>
      </c>
      <c r="T247" s="1673">
        <v>3.5799999999999998E-2</v>
      </c>
      <c r="V247" t="s">
        <v>1441</v>
      </c>
      <c r="W247" s="29">
        <v>31534</v>
      </c>
      <c r="Y247" s="503"/>
      <c r="Z247" s="503"/>
      <c r="AA247" s="503"/>
      <c r="AB247" s="503"/>
    </row>
    <row r="248" spans="1:28">
      <c r="A248">
        <f>+_xlfn.XMATCH(D248,'300s - 5 Digit FERC Accounts'!B:B)</f>
        <v>244</v>
      </c>
      <c r="B248" s="1608" t="str">
        <f t="shared" si="13"/>
        <v>368</v>
      </c>
      <c r="C248" s="1608" t="str">
        <f t="shared" si="12"/>
        <v>Distri</v>
      </c>
      <c r="D248" s="29">
        <v>36800</v>
      </c>
      <c r="E248" s="29" t="s">
        <v>8239</v>
      </c>
      <c r="F248" s="83">
        <v>1012768588.9443998</v>
      </c>
      <c r="G248" s="83">
        <v>68691003.629999995</v>
      </c>
      <c r="H248" s="83">
        <v>-8242920.4299999997</v>
      </c>
      <c r="I248" s="1606">
        <f t="shared" si="14"/>
        <v>1.7136335372924805E-7</v>
      </c>
      <c r="J248" s="83">
        <v>1073216672.1444</v>
      </c>
      <c r="K248" s="83">
        <v>1040688198.04</v>
      </c>
      <c r="L248" s="83">
        <v>365510328.88420016</v>
      </c>
      <c r="M248" s="83">
        <v>40688717.689999998</v>
      </c>
      <c r="N248" s="83">
        <v>-8242920.4299999997</v>
      </c>
      <c r="O248" s="83">
        <v>-6682272.5499999998</v>
      </c>
      <c r="P248" s="83">
        <v>1288438.58</v>
      </c>
      <c r="Q248" s="1606">
        <f t="shared" si="15"/>
        <v>0</v>
      </c>
      <c r="R248" s="83">
        <v>392562292.17420012</v>
      </c>
      <c r="S248" s="83">
        <v>379252067.89999998</v>
      </c>
      <c r="T248" s="1673">
        <v>3.9199999999999999E-2</v>
      </c>
      <c r="V248" t="s">
        <v>1441</v>
      </c>
      <c r="W248" s="29">
        <v>31631</v>
      </c>
      <c r="Y248" s="503"/>
      <c r="Z248" s="503"/>
      <c r="AA248" s="503"/>
      <c r="AB248" s="503"/>
    </row>
    <row r="249" spans="1:28">
      <c r="A249">
        <f>+_xlfn.XMATCH(D249,'300s - 5 Digit FERC Accounts'!B:B)</f>
        <v>245</v>
      </c>
      <c r="B249" s="1608" t="str">
        <f t="shared" si="13"/>
        <v>369</v>
      </c>
      <c r="C249" s="1608" t="str">
        <f t="shared" si="12"/>
        <v>Distri</v>
      </c>
      <c r="D249" s="29">
        <v>36900</v>
      </c>
      <c r="E249" s="29" t="s">
        <v>1727</v>
      </c>
      <c r="F249" s="83">
        <v>84517203.168800056</v>
      </c>
      <c r="G249" s="83">
        <v>1807657.99</v>
      </c>
      <c r="H249" s="83">
        <v>-180765.8</v>
      </c>
      <c r="I249" s="1606">
        <f t="shared" si="14"/>
        <v>-2.3865140974521637E-9</v>
      </c>
      <c r="J249" s="83">
        <v>86144095.358800054</v>
      </c>
      <c r="K249" s="83">
        <v>85268628.049999997</v>
      </c>
      <c r="L249" s="83">
        <v>66612392.865900002</v>
      </c>
      <c r="M249" s="83">
        <v>1993578.74</v>
      </c>
      <c r="N249" s="83">
        <v>-180765.8</v>
      </c>
      <c r="O249" s="83">
        <v>-175849.28</v>
      </c>
      <c r="P249" s="83">
        <v>33906.28</v>
      </c>
      <c r="Q249" s="1606">
        <f t="shared" si="15"/>
        <v>0</v>
      </c>
      <c r="R249" s="83">
        <v>68283262.805900007</v>
      </c>
      <c r="S249" s="83">
        <v>67453988.900000006</v>
      </c>
      <c r="T249" s="1673">
        <v>2.3399999999999997E-2</v>
      </c>
      <c r="V249" t="s">
        <v>1441</v>
      </c>
      <c r="W249" s="29">
        <v>31632</v>
      </c>
      <c r="Y249" s="503"/>
      <c r="Z249" s="503"/>
      <c r="AA249" s="503"/>
      <c r="AB249" s="503"/>
    </row>
    <row r="250" spans="1:28">
      <c r="A250">
        <f>+_xlfn.XMATCH(D250,'300s - 5 Digit FERC Accounts'!B:B)</f>
        <v>246</v>
      </c>
      <c r="B250" s="1608" t="str">
        <f t="shared" si="13"/>
        <v>369</v>
      </c>
      <c r="C250" s="1608" t="str">
        <f t="shared" si="12"/>
        <v>Distri</v>
      </c>
      <c r="D250" s="29">
        <v>36902</v>
      </c>
      <c r="E250" s="29" t="s">
        <v>1728</v>
      </c>
      <c r="F250" s="83">
        <v>152450524.02760002</v>
      </c>
      <c r="G250" s="83">
        <v>3615315.98</v>
      </c>
      <c r="H250" s="83">
        <v>-108459.47</v>
      </c>
      <c r="I250" s="1606">
        <f t="shared" si="14"/>
        <v>-9.5169525593519211E-9</v>
      </c>
      <c r="J250" s="83">
        <v>155957380.53760001</v>
      </c>
      <c r="K250" s="83">
        <v>154070262.12</v>
      </c>
      <c r="L250" s="83">
        <v>74802744.641799927</v>
      </c>
      <c r="M250" s="83">
        <v>4063303.26</v>
      </c>
      <c r="N250" s="83">
        <v>-108459.47</v>
      </c>
      <c r="O250" s="83">
        <v>-351698.56</v>
      </c>
      <c r="P250" s="83">
        <v>67812.56</v>
      </c>
      <c r="Q250" s="1606">
        <f t="shared" si="15"/>
        <v>0</v>
      </c>
      <c r="R250" s="83">
        <v>78473702.431799933</v>
      </c>
      <c r="S250" s="83">
        <v>76639637.709999993</v>
      </c>
      <c r="T250" s="1673">
        <v>2.64E-2</v>
      </c>
      <c r="V250" t="s">
        <v>1441</v>
      </c>
      <c r="W250" s="29">
        <v>31633</v>
      </c>
      <c r="Y250" s="503"/>
      <c r="Z250" s="503"/>
      <c r="AA250" s="503"/>
      <c r="AB250" s="503"/>
    </row>
    <row r="251" spans="1:28">
      <c r="A251">
        <f>+_xlfn.XMATCH(D251,'300s - 5 Digit FERC Accounts'!B:B)</f>
        <v>247</v>
      </c>
      <c r="B251" s="1608" t="str">
        <f t="shared" si="13"/>
        <v>370</v>
      </c>
      <c r="C251" s="1608" t="str">
        <f t="shared" si="12"/>
        <v>Distri</v>
      </c>
      <c r="D251" s="29">
        <v>37000</v>
      </c>
      <c r="E251" s="29" t="s">
        <v>1729</v>
      </c>
      <c r="F251" s="83">
        <v>18799459.209999971</v>
      </c>
      <c r="G251" s="83">
        <v>0</v>
      </c>
      <c r="H251" s="83">
        <v>0</v>
      </c>
      <c r="I251" s="1606">
        <f t="shared" si="14"/>
        <v>0</v>
      </c>
      <c r="J251" s="83">
        <v>18799459.209999971</v>
      </c>
      <c r="K251" s="83">
        <v>18799459.210000001</v>
      </c>
      <c r="L251" s="83">
        <v>5210375.6900000023</v>
      </c>
      <c r="M251" s="83">
        <v>1372360.56</v>
      </c>
      <c r="N251" s="83">
        <v>0</v>
      </c>
      <c r="O251" s="83">
        <v>0</v>
      </c>
      <c r="P251" s="83">
        <v>0</v>
      </c>
      <c r="Q251" s="1606">
        <f t="shared" si="15"/>
        <v>0</v>
      </c>
      <c r="R251" s="83">
        <v>6582736.2500000019</v>
      </c>
      <c r="S251" s="83">
        <v>5896555.9699999997</v>
      </c>
      <c r="T251" s="1673">
        <v>7.2999999999999995E-2</v>
      </c>
      <c r="V251" t="s">
        <v>1441</v>
      </c>
      <c r="W251" s="29">
        <v>31634</v>
      </c>
      <c r="Y251" s="503"/>
      <c r="Z251" s="503"/>
      <c r="AA251" s="503"/>
      <c r="AB251" s="503"/>
    </row>
    <row r="252" spans="1:28">
      <c r="A252">
        <f>+_xlfn.XMATCH(D252,'300s - 5 Digit FERC Accounts'!B:B)</f>
        <v>248</v>
      </c>
      <c r="B252" s="1608" t="str">
        <f t="shared" si="13"/>
        <v>370</v>
      </c>
      <c r="C252" s="1608" t="str">
        <f t="shared" si="12"/>
        <v>Distri</v>
      </c>
      <c r="D252" s="29">
        <v>37001</v>
      </c>
      <c r="E252" s="29" t="s">
        <v>1730</v>
      </c>
      <c r="F252" s="83">
        <v>121027749.79279995</v>
      </c>
      <c r="G252" s="83">
        <v>14637401.939999999</v>
      </c>
      <c r="H252" s="83">
        <v>-7318700.96</v>
      </c>
      <c r="I252" s="1606">
        <f t="shared" si="14"/>
        <v>0</v>
      </c>
      <c r="J252" s="83">
        <v>128346450.77279995</v>
      </c>
      <c r="K252" s="83">
        <v>124480363.42</v>
      </c>
      <c r="L252" s="83">
        <v>16007484.385400003</v>
      </c>
      <c r="M252" s="83">
        <v>13384252.84</v>
      </c>
      <c r="N252" s="83">
        <v>-7318700.96</v>
      </c>
      <c r="O252" s="83">
        <v>-1172470.71</v>
      </c>
      <c r="P252" s="83">
        <v>344588.96</v>
      </c>
      <c r="Q252" s="1606">
        <f t="shared" si="15"/>
        <v>0</v>
      </c>
      <c r="R252" s="83">
        <v>21245154.5154</v>
      </c>
      <c r="S252" s="83">
        <v>18779219.93</v>
      </c>
      <c r="T252" s="1673">
        <v>0.10779999999999999</v>
      </c>
      <c r="V252" t="s">
        <v>1441</v>
      </c>
      <c r="W252" s="29">
        <v>34042</v>
      </c>
      <c r="Y252" s="503"/>
      <c r="Z252" s="503"/>
      <c r="AA252" s="503"/>
      <c r="AB252" s="503"/>
    </row>
    <row r="253" spans="1:28">
      <c r="A253">
        <f>+_xlfn.XMATCH(D253,'300s - 5 Digit FERC Accounts'!B:B)</f>
        <v>249</v>
      </c>
      <c r="B253" s="1608" t="str">
        <f t="shared" si="13"/>
        <v>370</v>
      </c>
      <c r="C253" s="1608" t="str">
        <f t="shared" si="12"/>
        <v>Distri</v>
      </c>
      <c r="D253" s="29">
        <v>37010</v>
      </c>
      <c r="E253" s="29" t="s">
        <v>8961</v>
      </c>
      <c r="F253" s="83">
        <v>4959785.3200000012</v>
      </c>
      <c r="G253" s="83">
        <v>3208575.69</v>
      </c>
      <c r="H253" s="83">
        <v>0</v>
      </c>
      <c r="I253" s="1606">
        <f t="shared" si="14"/>
        <v>4.6566128730773926E-10</v>
      </c>
      <c r="J253" s="83">
        <v>8168361.0100000016</v>
      </c>
      <c r="K253" s="83">
        <v>6574569.5800000001</v>
      </c>
      <c r="L253" s="83">
        <v>409424.99</v>
      </c>
      <c r="M253" s="83">
        <v>647396.23</v>
      </c>
      <c r="N253" s="83">
        <v>0</v>
      </c>
      <c r="O253" s="83">
        <v>-5000</v>
      </c>
      <c r="P253" s="83">
        <v>0</v>
      </c>
      <c r="Q253" s="1606">
        <f t="shared" si="15"/>
        <v>0</v>
      </c>
      <c r="R253" s="83">
        <v>1051821.22</v>
      </c>
      <c r="S253" s="83">
        <v>705136.44</v>
      </c>
      <c r="T253" s="1673">
        <v>0.10050000000000001</v>
      </c>
      <c r="V253" t="s">
        <v>1441</v>
      </c>
      <c r="W253" s="29">
        <v>34142</v>
      </c>
      <c r="Y253" s="503"/>
      <c r="Z253" s="503"/>
      <c r="AA253" s="503"/>
      <c r="AB253" s="503"/>
    </row>
    <row r="254" spans="1:28">
      <c r="A254">
        <f>+_xlfn.XMATCH(D254,'300s - 5 Digit FERC Accounts'!B:B)</f>
        <v>250</v>
      </c>
      <c r="B254" s="1608" t="str">
        <f t="shared" si="13"/>
        <v>371</v>
      </c>
      <c r="C254" s="1608" t="str">
        <f t="shared" si="12"/>
        <v>Distri</v>
      </c>
      <c r="D254" s="29">
        <v>37101</v>
      </c>
      <c r="E254" s="29" t="s">
        <v>8962</v>
      </c>
      <c r="F254" s="83">
        <v>0</v>
      </c>
      <c r="G254" s="83">
        <v>0</v>
      </c>
      <c r="H254" s="83">
        <v>0</v>
      </c>
      <c r="I254" s="1606">
        <f t="shared" si="14"/>
        <v>0</v>
      </c>
      <c r="J254" s="83">
        <v>0</v>
      </c>
      <c r="K254" s="83">
        <v>0</v>
      </c>
      <c r="L254" s="83">
        <v>0</v>
      </c>
      <c r="M254" s="83">
        <v>0</v>
      </c>
      <c r="N254" s="83">
        <v>0</v>
      </c>
      <c r="O254" s="83">
        <v>0</v>
      </c>
      <c r="P254" s="83">
        <v>0</v>
      </c>
      <c r="Q254" s="1606">
        <f t="shared" si="15"/>
        <v>0</v>
      </c>
      <c r="R254" s="83">
        <v>0</v>
      </c>
      <c r="S254" s="83">
        <v>0</v>
      </c>
      <c r="T254" s="1673">
        <v>0.1</v>
      </c>
      <c r="V254" t="s">
        <v>1441</v>
      </c>
      <c r="W254" s="29">
        <v>34143</v>
      </c>
      <c r="Y254" s="503"/>
      <c r="Z254" s="503"/>
      <c r="AA254" s="503"/>
      <c r="AB254" s="503"/>
    </row>
    <row r="255" spans="1:28">
      <c r="A255">
        <f>+_xlfn.XMATCH(D255,'300s - 5 Digit FERC Accounts'!B:B)</f>
        <v>251</v>
      </c>
      <c r="B255" s="1608" t="str">
        <f t="shared" si="13"/>
        <v>371</v>
      </c>
      <c r="C255" s="1608" t="str">
        <f t="shared" si="12"/>
        <v>Distri</v>
      </c>
      <c r="D255" s="29">
        <v>37102</v>
      </c>
      <c r="E255" s="29" t="s">
        <v>8963</v>
      </c>
      <c r="F255" s="83">
        <v>0</v>
      </c>
      <c r="G255" s="83">
        <v>0</v>
      </c>
      <c r="H255" s="83">
        <v>0</v>
      </c>
      <c r="I255" s="1606">
        <f t="shared" si="14"/>
        <v>0</v>
      </c>
      <c r="J255" s="83">
        <v>0</v>
      </c>
      <c r="K255" s="83">
        <v>0</v>
      </c>
      <c r="L255" s="83">
        <v>0</v>
      </c>
      <c r="M255" s="83">
        <v>0</v>
      </c>
      <c r="N255" s="83">
        <v>0</v>
      </c>
      <c r="O255" s="83">
        <v>0</v>
      </c>
      <c r="P255" s="83">
        <v>0</v>
      </c>
      <c r="Q255" s="1606">
        <f t="shared" si="15"/>
        <v>0</v>
      </c>
      <c r="R255" s="83">
        <v>0</v>
      </c>
      <c r="S255" s="83">
        <v>0</v>
      </c>
      <c r="T255" s="1673">
        <v>6.7000000000000004E-2</v>
      </c>
      <c r="V255" t="s">
        <v>1441</v>
      </c>
      <c r="W255" s="29">
        <v>34145</v>
      </c>
      <c r="Y255" s="503"/>
      <c r="Z255" s="503"/>
      <c r="AA255" s="503"/>
      <c r="AB255" s="503"/>
    </row>
    <row r="256" spans="1:28">
      <c r="A256">
        <f>+_xlfn.XMATCH(D256,'300s - 5 Digit FERC Accounts'!B:B)</f>
        <v>252</v>
      </c>
      <c r="B256" s="1608" t="str">
        <f t="shared" si="13"/>
        <v>371</v>
      </c>
      <c r="C256" s="1608" t="str">
        <f t="shared" si="12"/>
        <v>Distri</v>
      </c>
      <c r="D256" s="29">
        <v>37103</v>
      </c>
      <c r="E256" s="29" t="s">
        <v>8964</v>
      </c>
      <c r="F256" s="83">
        <v>0</v>
      </c>
      <c r="G256" s="83">
        <v>0</v>
      </c>
      <c r="H256" s="83">
        <v>0</v>
      </c>
      <c r="I256" s="1606">
        <f t="shared" si="14"/>
        <v>0</v>
      </c>
      <c r="J256" s="83">
        <v>0</v>
      </c>
      <c r="K256" s="83">
        <v>0</v>
      </c>
      <c r="L256" s="83">
        <v>0</v>
      </c>
      <c r="M256" s="83">
        <v>0</v>
      </c>
      <c r="N256" s="83">
        <v>0</v>
      </c>
      <c r="O256" s="83">
        <v>0</v>
      </c>
      <c r="P256" s="83">
        <v>0</v>
      </c>
      <c r="Q256" s="1606">
        <f t="shared" si="15"/>
        <v>0</v>
      </c>
      <c r="R256" s="83">
        <v>0</v>
      </c>
      <c r="S256" s="83">
        <v>0</v>
      </c>
      <c r="T256" s="1673">
        <v>3.3000000000000002E-2</v>
      </c>
      <c r="V256" t="s">
        <v>1441</v>
      </c>
      <c r="W256" s="29">
        <v>34146</v>
      </c>
      <c r="Y256" s="503"/>
      <c r="Z256" s="503"/>
      <c r="AA256" s="503"/>
      <c r="AB256" s="503"/>
    </row>
    <row r="257" spans="1:28">
      <c r="A257">
        <f>+_xlfn.XMATCH(D257,'300s - 5 Digit FERC Accounts'!B:B)</f>
        <v>254</v>
      </c>
      <c r="B257" s="1608" t="str">
        <f t="shared" si="13"/>
        <v>373</v>
      </c>
      <c r="C257" s="1608" t="str">
        <f t="shared" si="12"/>
        <v>Distri</v>
      </c>
      <c r="D257" s="29">
        <v>37300</v>
      </c>
      <c r="E257" s="29" t="s">
        <v>1735</v>
      </c>
      <c r="F257" s="83">
        <v>389454091.40999979</v>
      </c>
      <c r="G257" s="83">
        <v>14546121.310000001</v>
      </c>
      <c r="H257" s="83">
        <v>-5091142.47</v>
      </c>
      <c r="I257" s="1606">
        <f t="shared" si="14"/>
        <v>-2.7008354663848877E-8</v>
      </c>
      <c r="J257" s="83">
        <v>398909070.24999976</v>
      </c>
      <c r="K257" s="83">
        <v>394175875.25999999</v>
      </c>
      <c r="L257" s="83">
        <v>127432283.98999992</v>
      </c>
      <c r="M257" s="83">
        <v>14373022.65</v>
      </c>
      <c r="N257" s="83">
        <v>-5091142.47</v>
      </c>
      <c r="O257" s="83">
        <v>-2934375.63</v>
      </c>
      <c r="P257" s="83">
        <v>0</v>
      </c>
      <c r="Q257" s="1606">
        <f t="shared" si="15"/>
        <v>0</v>
      </c>
      <c r="R257" s="83">
        <v>133779788.53999993</v>
      </c>
      <c r="S257" s="83">
        <v>130582391.13</v>
      </c>
      <c r="T257" s="1673">
        <v>3.6499999999999998E-2</v>
      </c>
      <c r="V257" t="s">
        <v>1441</v>
      </c>
      <c r="W257" s="29">
        <v>34242</v>
      </c>
      <c r="Y257" s="503"/>
      <c r="Z257" s="503"/>
      <c r="AA257" s="503"/>
      <c r="AB257" s="503"/>
    </row>
    <row r="258" spans="1:28">
      <c r="A258">
        <f>+_xlfn.XMATCH(D258,'300s - 5 Digit FERC Accounts'!B:B)</f>
        <v>255</v>
      </c>
      <c r="B258" s="1608" t="str">
        <f t="shared" si="13"/>
        <v>373</v>
      </c>
      <c r="C258" s="1608" t="str">
        <f t="shared" si="12"/>
        <v>Distri</v>
      </c>
      <c r="D258" s="29">
        <v>37302</v>
      </c>
      <c r="E258" s="29" t="s">
        <v>1736</v>
      </c>
      <c r="F258" s="83">
        <v>22121804.289999999</v>
      </c>
      <c r="G258" s="83">
        <v>0</v>
      </c>
      <c r="H258" s="83">
        <v>0</v>
      </c>
      <c r="I258" s="1606">
        <f t="shared" si="14"/>
        <v>0</v>
      </c>
      <c r="J258" s="83">
        <v>22121804.289999999</v>
      </c>
      <c r="K258" s="83">
        <v>22121804.289999999</v>
      </c>
      <c r="L258" s="83">
        <v>1183906.5900000003</v>
      </c>
      <c r="M258" s="83">
        <v>902569.56</v>
      </c>
      <c r="N258" s="83">
        <v>0</v>
      </c>
      <c r="O258" s="83">
        <v>0</v>
      </c>
      <c r="P258" s="83">
        <v>0</v>
      </c>
      <c r="Q258" s="1606">
        <f t="shared" si="15"/>
        <v>0</v>
      </c>
      <c r="R258" s="83">
        <v>2086476.1500000004</v>
      </c>
      <c r="S258" s="83">
        <v>1635191.37</v>
      </c>
      <c r="T258" s="1673">
        <v>4.0800000000000003E-2</v>
      </c>
      <c r="V258" t="s">
        <v>1441</v>
      </c>
      <c r="W258" s="29">
        <v>34243</v>
      </c>
      <c r="Y258" s="503"/>
      <c r="Z258" s="503"/>
      <c r="AA258" s="503"/>
      <c r="AB258" s="503"/>
    </row>
    <row r="259" spans="1:28">
      <c r="A259">
        <f>+_xlfn.XMATCH(D259,'300s - 5 Digit FERC Accounts'!B:B)</f>
        <v>256</v>
      </c>
      <c r="B259" s="1608" t="str">
        <f t="shared" si="13"/>
        <v>374</v>
      </c>
      <c r="C259" s="1608" t="str">
        <f t="shared" si="12"/>
        <v>ARO</v>
      </c>
      <c r="D259" s="29">
        <v>37400</v>
      </c>
      <c r="E259" s="29" t="s">
        <v>1737</v>
      </c>
      <c r="F259" s="83">
        <v>7160182.2599999998</v>
      </c>
      <c r="G259" s="83">
        <v>0</v>
      </c>
      <c r="H259" s="83">
        <v>0</v>
      </c>
      <c r="I259" s="1606">
        <f t="shared" si="14"/>
        <v>0</v>
      </c>
      <c r="J259" s="83">
        <v>7160182.2599999998</v>
      </c>
      <c r="K259" s="83">
        <v>7160182.2599999998</v>
      </c>
      <c r="L259" s="83">
        <v>1867312.2500000012</v>
      </c>
      <c r="M259" s="83">
        <v>100242.6</v>
      </c>
      <c r="N259" s="83">
        <v>0</v>
      </c>
      <c r="O259" s="83">
        <v>0</v>
      </c>
      <c r="P259" s="83">
        <v>0</v>
      </c>
      <c r="Q259" s="1606">
        <f t="shared" si="15"/>
        <v>0</v>
      </c>
      <c r="R259" s="83">
        <v>1967554.8500000013</v>
      </c>
      <c r="S259" s="83">
        <v>1917433.55</v>
      </c>
      <c r="T259" s="1673">
        <v>1.3999999999999999E-2</v>
      </c>
      <c r="V259" t="s">
        <v>1441</v>
      </c>
      <c r="W259" s="29">
        <v>34245</v>
      </c>
      <c r="Y259" s="503"/>
      <c r="Z259" s="503"/>
      <c r="AA259" s="503"/>
      <c r="AB259" s="503"/>
    </row>
    <row r="260" spans="1:28">
      <c r="A260">
        <f>+_xlfn.XMATCH(D260,'300s - 5 Digit FERC Accounts'!B:B)</f>
        <v>257</v>
      </c>
      <c r="B260" s="1608" t="str">
        <f t="shared" si="13"/>
        <v>389</v>
      </c>
      <c r="C260" s="1608" t="str">
        <f t="shared" si="12"/>
        <v>Gen</v>
      </c>
      <c r="D260" s="29">
        <v>38900</v>
      </c>
      <c r="E260" s="29" t="s">
        <v>1738</v>
      </c>
      <c r="F260" s="83">
        <v>3286630.42</v>
      </c>
      <c r="G260" s="83">
        <v>23298939.879999999</v>
      </c>
      <c r="H260" s="83">
        <v>0</v>
      </c>
      <c r="I260" s="1606">
        <f t="shared" si="14"/>
        <v>-3.7252902984619141E-9</v>
      </c>
      <c r="J260" s="83">
        <v>26585570.299999997</v>
      </c>
      <c r="K260" s="83">
        <v>16600915.82</v>
      </c>
      <c r="L260" s="83">
        <v>0</v>
      </c>
      <c r="M260" s="83">
        <v>0</v>
      </c>
      <c r="N260" s="83">
        <v>0</v>
      </c>
      <c r="O260" s="83">
        <v>0</v>
      </c>
      <c r="P260" s="83">
        <v>0</v>
      </c>
      <c r="Q260" s="1606">
        <f t="shared" si="15"/>
        <v>0</v>
      </c>
      <c r="R260" s="83">
        <v>0</v>
      </c>
      <c r="S260" s="83">
        <v>0</v>
      </c>
      <c r="T260" s="1673">
        <v>0</v>
      </c>
      <c r="V260" t="s">
        <v>1441</v>
      </c>
      <c r="W260" s="29">
        <v>34246</v>
      </c>
      <c r="Y260" s="503"/>
      <c r="Z260" s="503"/>
      <c r="AA260" s="503"/>
      <c r="AB260" s="503"/>
    </row>
    <row r="261" spans="1:28">
      <c r="A261">
        <f>+_xlfn.XMATCH(D261,'300s - 5 Digit FERC Accounts'!B:B)</f>
        <v>258</v>
      </c>
      <c r="B261" s="1608" t="str">
        <f t="shared" si="13"/>
        <v>390</v>
      </c>
      <c r="C261" s="1608" t="str">
        <f t="shared" si="12"/>
        <v>Gen</v>
      </c>
      <c r="D261" s="29">
        <v>39000</v>
      </c>
      <c r="E261" s="29" t="s">
        <v>1739</v>
      </c>
      <c r="F261" s="83">
        <v>178441382.23999989</v>
      </c>
      <c r="G261" s="83">
        <v>485649517.87</v>
      </c>
      <c r="H261" s="83">
        <v>-15499278.039999999</v>
      </c>
      <c r="I261" s="1606">
        <f t="shared" si="14"/>
        <v>3.7252902984619141E-8</v>
      </c>
      <c r="J261" s="83">
        <v>648591622.06999993</v>
      </c>
      <c r="K261" s="83">
        <v>440479478.23000002</v>
      </c>
      <c r="L261" s="83">
        <v>52207882.039999992</v>
      </c>
      <c r="M261" s="83">
        <v>7193325.5899999999</v>
      </c>
      <c r="N261" s="83">
        <v>-15499278.039999999</v>
      </c>
      <c r="O261" s="83">
        <v>-479540.17</v>
      </c>
      <c r="P261" s="83">
        <v>0</v>
      </c>
      <c r="Q261" s="1606">
        <f t="shared" si="15"/>
        <v>0</v>
      </c>
      <c r="R261" s="83">
        <v>43422389.419999994</v>
      </c>
      <c r="S261" s="83">
        <v>45485804.700000003</v>
      </c>
      <c r="T261" s="1673">
        <v>1.7000000000000001E-2</v>
      </c>
      <c r="V261" t="s">
        <v>1441</v>
      </c>
      <c r="W261" s="29">
        <v>34341</v>
      </c>
      <c r="Y261" s="503"/>
      <c r="Z261" s="503"/>
      <c r="AA261" s="503"/>
      <c r="AB261" s="503"/>
    </row>
    <row r="262" spans="1:28">
      <c r="A262">
        <f>+_xlfn.XMATCH(D262,'300s - 5 Digit FERC Accounts'!B:B)</f>
        <v>259</v>
      </c>
      <c r="B262" s="1608" t="str">
        <f t="shared" si="13"/>
        <v>391</v>
      </c>
      <c r="C262" s="1608" t="str">
        <f t="shared" ref="C262:C325" si="16">+_xlfn.SINGLE(IF(D262="","",_xlfn.XLOOKUP(D262,W:W,V:V,"CHECK")))</f>
        <v>Gen</v>
      </c>
      <c r="D262" s="29">
        <v>39101</v>
      </c>
      <c r="E262" s="29" t="s">
        <v>1740</v>
      </c>
      <c r="F262" s="83">
        <v>6802255.2699999968</v>
      </c>
      <c r="G262" s="83">
        <v>321642.02</v>
      </c>
      <c r="H262" s="83">
        <v>-674911.45</v>
      </c>
      <c r="I262" s="1606">
        <f t="shared" si="14"/>
        <v>0</v>
      </c>
      <c r="J262" s="83">
        <v>6448985.8399999971</v>
      </c>
      <c r="K262" s="83">
        <v>6522111.1699999999</v>
      </c>
      <c r="L262" s="83">
        <v>3782379.5600000015</v>
      </c>
      <c r="M262" s="83">
        <v>933533.31</v>
      </c>
      <c r="N262" s="83">
        <v>-674911.45</v>
      </c>
      <c r="O262" s="83">
        <v>0</v>
      </c>
      <c r="P262" s="83">
        <v>0</v>
      </c>
      <c r="Q262" s="1606">
        <f t="shared" si="15"/>
        <v>0</v>
      </c>
      <c r="R262" s="83">
        <v>4041001.4200000009</v>
      </c>
      <c r="S262" s="83">
        <v>3840867.1</v>
      </c>
      <c r="T262" s="1673">
        <v>0.14300000000000002</v>
      </c>
      <c r="V262" t="s">
        <v>1441</v>
      </c>
      <c r="W262" s="29">
        <v>34352</v>
      </c>
      <c r="Y262" s="503"/>
      <c r="Z262" s="503"/>
      <c r="AA262" s="503"/>
      <c r="AB262" s="503"/>
    </row>
    <row r="263" spans="1:28">
      <c r="A263">
        <f>+_xlfn.XMATCH(D263,'300s - 5 Digit FERC Accounts'!B:B)</f>
        <v>260</v>
      </c>
      <c r="B263" s="1608" t="str">
        <f t="shared" ref="B263:B326" si="17">IF(D263="","",MID(D263,1,3))</f>
        <v>391</v>
      </c>
      <c r="C263" s="1608" t="str">
        <f t="shared" si="16"/>
        <v>Gen</v>
      </c>
      <c r="D263" s="29">
        <v>39102</v>
      </c>
      <c r="E263" s="29" t="s">
        <v>1741</v>
      </c>
      <c r="F263" s="83">
        <v>13056303.310000001</v>
      </c>
      <c r="G263" s="83">
        <v>2847880.67</v>
      </c>
      <c r="H263" s="83">
        <v>-891362.76</v>
      </c>
      <c r="I263" s="1606">
        <f t="shared" ref="I263:I276" si="18">+J263-F263-G263-H263</f>
        <v>0</v>
      </c>
      <c r="J263" s="83">
        <v>15012821.220000001</v>
      </c>
      <c r="K263" s="83">
        <v>13313638.630000001</v>
      </c>
      <c r="L263" s="83">
        <v>8574964.3599999994</v>
      </c>
      <c r="M263" s="83">
        <v>3293010.02</v>
      </c>
      <c r="N263" s="83">
        <v>-891362.76</v>
      </c>
      <c r="O263" s="83">
        <v>0</v>
      </c>
      <c r="P263" s="83">
        <v>0</v>
      </c>
      <c r="Q263" s="1606">
        <f t="shared" ref="Q263:Q276" si="19">+R263-P263-O263-N263-M263-L263</f>
        <v>0</v>
      </c>
      <c r="R263" s="83">
        <v>10976611.619999999</v>
      </c>
      <c r="S263" s="83">
        <v>9594376.6199999992</v>
      </c>
      <c r="T263" s="1673">
        <v>0.25</v>
      </c>
      <c r="V263" t="s">
        <v>1441</v>
      </c>
      <c r="W263" s="29">
        <v>34542</v>
      </c>
      <c r="Y263" s="503"/>
      <c r="Z263" s="503"/>
      <c r="AA263" s="503"/>
      <c r="AB263" s="503"/>
    </row>
    <row r="264" spans="1:28">
      <c r="A264">
        <f>+_xlfn.XMATCH(D264,'300s - 5 Digit FERC Accounts'!B:B)</f>
        <v>261</v>
      </c>
      <c r="B264" s="1608" t="str">
        <f t="shared" si="17"/>
        <v>391</v>
      </c>
      <c r="C264" s="1608" t="str">
        <f t="shared" si="16"/>
        <v>Gen</v>
      </c>
      <c r="D264" s="29">
        <v>39103</v>
      </c>
      <c r="E264" s="29" t="s">
        <v>1742</v>
      </c>
      <c r="F264" s="83">
        <v>0</v>
      </c>
      <c r="G264" s="83">
        <v>0</v>
      </c>
      <c r="H264" s="83">
        <v>0</v>
      </c>
      <c r="I264" s="1606">
        <f t="shared" si="18"/>
        <v>0</v>
      </c>
      <c r="J264" s="83">
        <v>0</v>
      </c>
      <c r="K264" s="83">
        <v>0</v>
      </c>
      <c r="L264" s="83">
        <v>0</v>
      </c>
      <c r="M264" s="83">
        <v>0</v>
      </c>
      <c r="N264" s="83">
        <v>0</v>
      </c>
      <c r="O264" s="83">
        <v>0</v>
      </c>
      <c r="P264" s="83">
        <v>0</v>
      </c>
      <c r="Q264" s="1606">
        <f t="shared" si="19"/>
        <v>0</v>
      </c>
      <c r="R264" s="83">
        <v>0</v>
      </c>
      <c r="S264" s="83">
        <v>0</v>
      </c>
      <c r="T264" s="1673">
        <v>0</v>
      </c>
      <c r="V264" t="s">
        <v>1441</v>
      </c>
      <c r="W264" s="29">
        <v>34543</v>
      </c>
      <c r="Y264" s="503"/>
      <c r="Z264" s="503"/>
      <c r="AA264" s="503"/>
      <c r="AB264" s="503"/>
    </row>
    <row r="265" spans="1:28">
      <c r="A265">
        <f>+_xlfn.XMATCH(D265,'300s - 5 Digit FERC Accounts'!B:B)</f>
        <v>262</v>
      </c>
      <c r="B265" s="1608" t="str">
        <f t="shared" si="17"/>
        <v>391</v>
      </c>
      <c r="C265" s="1608" t="str">
        <f t="shared" si="16"/>
        <v>Gen</v>
      </c>
      <c r="D265" s="29">
        <v>39104</v>
      </c>
      <c r="E265" s="29" t="s">
        <v>1743</v>
      </c>
      <c r="F265" s="83">
        <v>55362003.109999977</v>
      </c>
      <c r="G265" s="83">
        <v>13376933.220000001</v>
      </c>
      <c r="H265" s="83">
        <v>-4172496.44</v>
      </c>
      <c r="I265" s="1606">
        <f t="shared" si="18"/>
        <v>7.9162418842315674E-9</v>
      </c>
      <c r="J265" s="83">
        <v>64566439.889999986</v>
      </c>
      <c r="K265" s="83">
        <v>53762035.640000001</v>
      </c>
      <c r="L265" s="83">
        <v>24183219.899999995</v>
      </c>
      <c r="M265" s="83">
        <v>10572333.720000001</v>
      </c>
      <c r="N265" s="83">
        <v>-4172496.44</v>
      </c>
      <c r="O265" s="83">
        <v>0</v>
      </c>
      <c r="P265" s="83">
        <v>0</v>
      </c>
      <c r="Q265" s="1606">
        <f t="shared" si="19"/>
        <v>0</v>
      </c>
      <c r="R265" s="83">
        <v>30583057.179999996</v>
      </c>
      <c r="S265" s="83">
        <v>25663039.079999998</v>
      </c>
      <c r="T265" s="1673">
        <v>0.2</v>
      </c>
      <c r="V265" t="s">
        <v>1441</v>
      </c>
      <c r="W265" s="29">
        <v>34545</v>
      </c>
      <c r="Y265" s="503"/>
      <c r="Z265" s="503"/>
      <c r="AA265" s="503"/>
      <c r="AB265" s="503"/>
    </row>
    <row r="266" spans="1:28">
      <c r="A266">
        <f>+_xlfn.XMATCH(D266,'300s - 5 Digit FERC Accounts'!B:B)</f>
        <v>263</v>
      </c>
      <c r="B266" s="1608" t="str">
        <f t="shared" si="17"/>
        <v>392</v>
      </c>
      <c r="C266" s="1608" t="str">
        <f t="shared" si="16"/>
        <v>Gen</v>
      </c>
      <c r="D266" s="29">
        <v>39201</v>
      </c>
      <c r="E266" s="29" t="s">
        <v>8240</v>
      </c>
      <c r="F266" s="83">
        <v>0</v>
      </c>
      <c r="G266" s="83">
        <v>0</v>
      </c>
      <c r="H266" s="83">
        <v>0</v>
      </c>
      <c r="I266" s="1606">
        <f t="shared" si="18"/>
        <v>0</v>
      </c>
      <c r="J266" s="83">
        <v>0</v>
      </c>
      <c r="K266" s="83">
        <v>0</v>
      </c>
      <c r="L266" s="83">
        <v>0</v>
      </c>
      <c r="M266" s="83">
        <v>0</v>
      </c>
      <c r="N266" s="83">
        <v>0</v>
      </c>
      <c r="O266" s="83">
        <v>0</v>
      </c>
      <c r="P266" s="83">
        <v>0</v>
      </c>
      <c r="Q266" s="1606">
        <f t="shared" si="19"/>
        <v>0</v>
      </c>
      <c r="R266" s="83">
        <v>0</v>
      </c>
      <c r="S266" s="83">
        <v>0</v>
      </c>
      <c r="T266" s="1673">
        <v>0</v>
      </c>
      <c r="V266" t="s">
        <v>1441</v>
      </c>
      <c r="W266" s="29">
        <v>34546</v>
      </c>
      <c r="Y266" s="503"/>
      <c r="Z266" s="503"/>
      <c r="AA266" s="503"/>
      <c r="AB266" s="503"/>
    </row>
    <row r="267" spans="1:28">
      <c r="A267">
        <f>+_xlfn.XMATCH(D267,'300s - 5 Digit FERC Accounts'!B:B)</f>
        <v>264</v>
      </c>
      <c r="B267" s="1608" t="str">
        <f t="shared" si="17"/>
        <v>392</v>
      </c>
      <c r="C267" s="1608" t="str">
        <f t="shared" si="16"/>
        <v>Gen</v>
      </c>
      <c r="D267" s="29">
        <v>39202</v>
      </c>
      <c r="E267" s="29" t="s">
        <v>1744</v>
      </c>
      <c r="F267" s="83">
        <v>31038759.249999993</v>
      </c>
      <c r="G267" s="83">
        <v>130000</v>
      </c>
      <c r="H267" s="83">
        <v>-19500</v>
      </c>
      <c r="I267" s="1606">
        <f t="shared" si="18"/>
        <v>0</v>
      </c>
      <c r="J267" s="83">
        <v>31149259.249999993</v>
      </c>
      <c r="K267" s="83">
        <v>31088615.02</v>
      </c>
      <c r="L267" s="83">
        <v>7607982.429999995</v>
      </c>
      <c r="M267" s="83">
        <v>2166524.2200000002</v>
      </c>
      <c r="N267" s="83">
        <v>-19500</v>
      </c>
      <c r="O267" s="83">
        <v>0</v>
      </c>
      <c r="P267" s="83">
        <v>35200</v>
      </c>
      <c r="Q267" s="1606">
        <f t="shared" si="19"/>
        <v>0</v>
      </c>
      <c r="R267" s="83">
        <v>9790206.6499999948</v>
      </c>
      <c r="S267" s="83">
        <v>8690962.6500000004</v>
      </c>
      <c r="T267" s="1673">
        <v>6.9699999999999998E-2</v>
      </c>
      <c r="V267" t="s">
        <v>1441</v>
      </c>
      <c r="W267" s="29">
        <v>34641</v>
      </c>
      <c r="Y267" s="503"/>
      <c r="Z267" s="503"/>
      <c r="AA267" s="503"/>
      <c r="AB267" s="503"/>
    </row>
    <row r="268" spans="1:28">
      <c r="A268">
        <f>+_xlfn.XMATCH(D268,'300s - 5 Digit FERC Accounts'!B:B)</f>
        <v>265</v>
      </c>
      <c r="B268" s="1608" t="str">
        <f t="shared" si="17"/>
        <v>392</v>
      </c>
      <c r="C268" s="1608" t="str">
        <f t="shared" si="16"/>
        <v>Gen</v>
      </c>
      <c r="D268" s="29">
        <v>39203</v>
      </c>
      <c r="E268" s="29" t="s">
        <v>1745</v>
      </c>
      <c r="F268" s="83">
        <v>80730762.210000008</v>
      </c>
      <c r="G268" s="83">
        <v>0</v>
      </c>
      <c r="H268" s="83">
        <v>0</v>
      </c>
      <c r="I268" s="1606">
        <f t="shared" si="18"/>
        <v>0</v>
      </c>
      <c r="J268" s="83">
        <v>80730762.210000008</v>
      </c>
      <c r="K268" s="83">
        <v>80730762.209999993</v>
      </c>
      <c r="L268" s="83">
        <v>28088665.460000016</v>
      </c>
      <c r="M268" s="83">
        <v>3366472.8</v>
      </c>
      <c r="N268" s="83">
        <v>0</v>
      </c>
      <c r="O268" s="83">
        <v>56425</v>
      </c>
      <c r="P268" s="83">
        <v>1000000</v>
      </c>
      <c r="Q268" s="1606">
        <f t="shared" si="19"/>
        <v>0</v>
      </c>
      <c r="R268" s="83">
        <v>32511563.260000017</v>
      </c>
      <c r="S268" s="83">
        <v>30234072.18</v>
      </c>
      <c r="T268" s="1673">
        <v>4.1700000000000001E-2</v>
      </c>
      <c r="V268" t="s">
        <v>1441</v>
      </c>
      <c r="W268" s="29">
        <v>34643</v>
      </c>
      <c r="Y268" s="503"/>
      <c r="Z268" s="503"/>
      <c r="AA268" s="503"/>
      <c r="AB268" s="503"/>
    </row>
    <row r="269" spans="1:28">
      <c r="A269">
        <f>+_xlfn.XMATCH(D269,'300s - 5 Digit FERC Accounts'!B:B)</f>
        <v>266</v>
      </c>
      <c r="B269" s="1608" t="str">
        <f t="shared" si="17"/>
        <v>392</v>
      </c>
      <c r="C269" s="1608" t="str">
        <f t="shared" si="16"/>
        <v>Gen</v>
      </c>
      <c r="D269" s="29">
        <v>39204</v>
      </c>
      <c r="E269" s="29" t="s">
        <v>1746</v>
      </c>
      <c r="F269" s="83">
        <v>0</v>
      </c>
      <c r="G269" s="83">
        <v>0</v>
      </c>
      <c r="H269" s="83">
        <v>0</v>
      </c>
      <c r="I269" s="1606">
        <f t="shared" si="18"/>
        <v>0</v>
      </c>
      <c r="J269" s="83">
        <v>0</v>
      </c>
      <c r="K269" s="83">
        <v>0</v>
      </c>
      <c r="L269" s="83">
        <v>0</v>
      </c>
      <c r="M269" s="83">
        <v>0</v>
      </c>
      <c r="N269" s="83">
        <v>0</v>
      </c>
      <c r="O269" s="83">
        <v>0</v>
      </c>
      <c r="P269" s="83">
        <v>0</v>
      </c>
      <c r="Q269" s="1606">
        <f t="shared" si="19"/>
        <v>0</v>
      </c>
      <c r="R269" s="83">
        <v>0</v>
      </c>
      <c r="S269" s="83">
        <v>0</v>
      </c>
      <c r="T269" s="1673">
        <v>0</v>
      </c>
      <c r="V269" t="s">
        <v>1441</v>
      </c>
      <c r="W269" s="29">
        <v>34645</v>
      </c>
      <c r="Y269" s="503"/>
      <c r="Z269" s="503"/>
      <c r="AA269" s="503"/>
      <c r="AB269" s="503"/>
    </row>
    <row r="270" spans="1:28">
      <c r="A270">
        <f>+_xlfn.XMATCH(D270,'300s - 5 Digit FERC Accounts'!B:B)</f>
        <v>267</v>
      </c>
      <c r="B270" s="1608" t="str">
        <f t="shared" si="17"/>
        <v>392</v>
      </c>
      <c r="C270" s="1608" t="str">
        <f t="shared" si="16"/>
        <v>Gen</v>
      </c>
      <c r="D270" s="29">
        <v>39212</v>
      </c>
      <c r="E270" s="29" t="s">
        <v>1747</v>
      </c>
      <c r="F270" s="83">
        <v>6411738.3199999994</v>
      </c>
      <c r="G270" s="83">
        <v>0</v>
      </c>
      <c r="H270" s="83">
        <v>0</v>
      </c>
      <c r="I270" s="1606">
        <f t="shared" si="18"/>
        <v>0</v>
      </c>
      <c r="J270" s="83">
        <v>6411738.3199999994</v>
      </c>
      <c r="K270" s="83">
        <v>6411738.3200000003</v>
      </c>
      <c r="L270" s="83">
        <v>2193421.4700000011</v>
      </c>
      <c r="M270" s="83">
        <v>363545.52</v>
      </c>
      <c r="N270" s="83">
        <v>0</v>
      </c>
      <c r="O270" s="83">
        <v>0</v>
      </c>
      <c r="P270" s="83">
        <v>0</v>
      </c>
      <c r="Q270" s="1606">
        <f t="shared" si="19"/>
        <v>0</v>
      </c>
      <c r="R270" s="83">
        <v>2556966.9900000012</v>
      </c>
      <c r="S270" s="83">
        <v>2375194.23</v>
      </c>
      <c r="T270" s="1673">
        <v>5.67E-2</v>
      </c>
      <c r="V270" t="s">
        <v>1441</v>
      </c>
      <c r="W270" s="29">
        <v>34646</v>
      </c>
      <c r="Y270" s="503"/>
      <c r="Z270" s="503"/>
      <c r="AA270" s="503"/>
      <c r="AB270" s="503"/>
    </row>
    <row r="271" spans="1:28">
      <c r="A271">
        <f>+_xlfn.XMATCH(D271,'300s - 5 Digit FERC Accounts'!B:B)</f>
        <v>268</v>
      </c>
      <c r="B271" s="1608" t="str">
        <f t="shared" si="17"/>
        <v>392</v>
      </c>
      <c r="C271" s="1608" t="str">
        <f t="shared" si="16"/>
        <v>Gen</v>
      </c>
      <c r="D271" s="29">
        <v>39213</v>
      </c>
      <c r="E271" s="29" t="s">
        <v>1748</v>
      </c>
      <c r="F271" s="83">
        <v>1071147.3900000001</v>
      </c>
      <c r="G271" s="83">
        <v>0</v>
      </c>
      <c r="H271" s="83">
        <v>0</v>
      </c>
      <c r="I271" s="1606">
        <f t="shared" si="18"/>
        <v>0</v>
      </c>
      <c r="J271" s="83">
        <v>1071147.3900000001</v>
      </c>
      <c r="K271" s="83">
        <v>1071147.3899999999</v>
      </c>
      <c r="L271" s="83">
        <v>273203.89000000007</v>
      </c>
      <c r="M271" s="83">
        <v>64590.239999999998</v>
      </c>
      <c r="N271" s="83">
        <v>0</v>
      </c>
      <c r="O271" s="83">
        <v>0</v>
      </c>
      <c r="P271" s="83">
        <v>0</v>
      </c>
      <c r="Q271" s="1606">
        <f t="shared" si="19"/>
        <v>0</v>
      </c>
      <c r="R271" s="83">
        <v>337794.13000000006</v>
      </c>
      <c r="S271" s="83">
        <v>305499.01</v>
      </c>
      <c r="T271" s="1673">
        <v>6.0299999999999999E-2</v>
      </c>
      <c r="V271" t="s">
        <v>1760</v>
      </c>
      <c r="W271" s="29">
        <v>35100</v>
      </c>
      <c r="Y271" s="503"/>
      <c r="Z271" s="503"/>
      <c r="AA271" s="503"/>
      <c r="AB271" s="503"/>
    </row>
    <row r="272" spans="1:28">
      <c r="A272">
        <f>+_xlfn.XMATCH(D272,'300s - 5 Digit FERC Accounts'!B:B)</f>
        <v>269</v>
      </c>
      <c r="B272" s="1608" t="str">
        <f t="shared" si="17"/>
        <v>392</v>
      </c>
      <c r="C272" s="1608" t="str">
        <f t="shared" si="16"/>
        <v>Gen</v>
      </c>
      <c r="D272" s="29">
        <v>39214</v>
      </c>
      <c r="E272" s="29" t="s">
        <v>1749</v>
      </c>
      <c r="F272" s="83">
        <v>0</v>
      </c>
      <c r="G272" s="83">
        <v>0</v>
      </c>
      <c r="H272" s="83">
        <v>0</v>
      </c>
      <c r="I272" s="1606">
        <f t="shared" si="18"/>
        <v>0</v>
      </c>
      <c r="J272" s="83">
        <v>0</v>
      </c>
      <c r="K272" s="83">
        <v>0</v>
      </c>
      <c r="L272" s="83">
        <v>0</v>
      </c>
      <c r="M272" s="83">
        <v>0</v>
      </c>
      <c r="N272" s="83">
        <v>0</v>
      </c>
      <c r="O272" s="83">
        <v>0</v>
      </c>
      <c r="P272" s="83">
        <v>0</v>
      </c>
      <c r="Q272" s="1606">
        <f t="shared" si="19"/>
        <v>0</v>
      </c>
      <c r="R272" s="83">
        <v>0</v>
      </c>
      <c r="S272" s="83">
        <v>0</v>
      </c>
      <c r="T272" s="1673">
        <v>0</v>
      </c>
      <c r="V272" t="s">
        <v>1759</v>
      </c>
      <c r="W272" s="29">
        <v>35910</v>
      </c>
      <c r="Y272" s="503"/>
      <c r="Z272" s="503"/>
      <c r="AA272" s="503"/>
      <c r="AB272" s="503"/>
    </row>
    <row r="273" spans="1:28">
      <c r="A273">
        <f>+_xlfn.XMATCH(D273,'300s - 5 Digit FERC Accounts'!B:B)</f>
        <v>270</v>
      </c>
      <c r="B273" s="1608" t="str">
        <f t="shared" si="17"/>
        <v>393</v>
      </c>
      <c r="C273" s="1608" t="str">
        <f t="shared" si="16"/>
        <v>Gen</v>
      </c>
      <c r="D273" s="29">
        <v>39300</v>
      </c>
      <c r="E273" s="29" t="s">
        <v>1750</v>
      </c>
      <c r="F273" s="83">
        <v>0</v>
      </c>
      <c r="G273" s="83">
        <v>0</v>
      </c>
      <c r="H273" s="83">
        <v>0</v>
      </c>
      <c r="I273" s="1606">
        <f t="shared" si="18"/>
        <v>0</v>
      </c>
      <c r="J273" s="83">
        <v>0</v>
      </c>
      <c r="K273" s="83">
        <v>0</v>
      </c>
      <c r="L273" s="83">
        <v>0</v>
      </c>
      <c r="M273" s="83">
        <v>0</v>
      </c>
      <c r="N273" s="83">
        <v>0</v>
      </c>
      <c r="O273" s="83">
        <v>0</v>
      </c>
      <c r="P273" s="83">
        <v>0</v>
      </c>
      <c r="Q273" s="1606">
        <f t="shared" si="19"/>
        <v>0</v>
      </c>
      <c r="R273" s="83">
        <v>0</v>
      </c>
      <c r="S273" s="83">
        <v>0</v>
      </c>
      <c r="T273" s="1673">
        <v>0.14300000000000002</v>
      </c>
      <c r="V273" t="s">
        <v>1762</v>
      </c>
      <c r="W273" s="29">
        <v>36300</v>
      </c>
      <c r="Y273" s="503"/>
      <c r="Z273" s="503"/>
      <c r="AA273" s="503"/>
      <c r="AB273" s="503"/>
    </row>
    <row r="274" spans="1:28">
      <c r="A274">
        <f>+_xlfn.XMATCH(D274,'300s - 5 Digit FERC Accounts'!B:B)</f>
        <v>271</v>
      </c>
      <c r="B274" s="1608" t="str">
        <f t="shared" si="17"/>
        <v>394</v>
      </c>
      <c r="C274" s="1608" t="str">
        <f t="shared" si="16"/>
        <v>Gen</v>
      </c>
      <c r="D274" s="29">
        <v>39400</v>
      </c>
      <c r="E274" s="29" t="s">
        <v>1751</v>
      </c>
      <c r="F274" s="83">
        <v>16145975.260000002</v>
      </c>
      <c r="G274" s="83">
        <v>2799742.39</v>
      </c>
      <c r="H274" s="83">
        <v>-2311617.2000000002</v>
      </c>
      <c r="I274" s="1606">
        <f t="shared" si="18"/>
        <v>0</v>
      </c>
      <c r="J274" s="83">
        <v>16634100.450000003</v>
      </c>
      <c r="K274" s="83">
        <v>15905802.65</v>
      </c>
      <c r="L274" s="83">
        <v>6575993.2300000014</v>
      </c>
      <c r="M274" s="83">
        <v>2265850.92</v>
      </c>
      <c r="N274" s="83">
        <v>-2311617.2000000002</v>
      </c>
      <c r="O274" s="83">
        <v>0</v>
      </c>
      <c r="P274" s="83">
        <v>0</v>
      </c>
      <c r="Q274" s="1606">
        <f t="shared" si="19"/>
        <v>0</v>
      </c>
      <c r="R274" s="83">
        <v>6530226.950000002</v>
      </c>
      <c r="S274" s="83">
        <v>6796314.5999999996</v>
      </c>
      <c r="T274" s="1673">
        <v>0.14300000000000002</v>
      </c>
      <c r="V274" t="s">
        <v>1772</v>
      </c>
      <c r="W274" s="29">
        <v>39201</v>
      </c>
      <c r="Y274" s="503"/>
      <c r="Z274" s="503"/>
      <c r="AA274" s="503"/>
      <c r="AB274" s="503"/>
    </row>
    <row r="275" spans="1:28">
      <c r="A275">
        <f>+_xlfn.XMATCH(D275,'300s - 5 Digit FERC Accounts'!B:B)</f>
        <v>272</v>
      </c>
      <c r="B275" s="1608" t="str">
        <f t="shared" si="17"/>
        <v>394</v>
      </c>
      <c r="C275" s="1608" t="str">
        <f t="shared" si="16"/>
        <v>Gen</v>
      </c>
      <c r="D275" s="29">
        <v>39401</v>
      </c>
      <c r="E275" s="29" t="s">
        <v>8511</v>
      </c>
      <c r="F275" s="83">
        <v>4188533.43</v>
      </c>
      <c r="G275" s="83">
        <v>0</v>
      </c>
      <c r="H275" s="83">
        <v>0</v>
      </c>
      <c r="I275" s="1606">
        <f t="shared" si="18"/>
        <v>0</v>
      </c>
      <c r="J275" s="83">
        <v>4188533.43</v>
      </c>
      <c r="K275" s="83">
        <v>4188533.43</v>
      </c>
      <c r="L275" s="83">
        <v>2993233.67</v>
      </c>
      <c r="M275" s="83">
        <v>837706.68</v>
      </c>
      <c r="N275" s="83">
        <v>0</v>
      </c>
      <c r="O275" s="83">
        <v>0</v>
      </c>
      <c r="P275" s="83">
        <v>0</v>
      </c>
      <c r="Q275" s="1606">
        <f t="shared" si="19"/>
        <v>0</v>
      </c>
      <c r="R275" s="83">
        <v>3830940.35</v>
      </c>
      <c r="S275" s="83">
        <v>3412087.01</v>
      </c>
      <c r="T275" s="1673">
        <v>0.2</v>
      </c>
      <c r="V275" t="s">
        <v>1772</v>
      </c>
      <c r="W275" s="29">
        <v>39403</v>
      </c>
      <c r="Y275" s="503"/>
      <c r="Z275" s="503"/>
      <c r="AA275" s="503"/>
      <c r="AB275" s="503"/>
    </row>
    <row r="276" spans="1:28">
      <c r="A276">
        <f>+_xlfn.XMATCH(D276,'300s - 5 Digit FERC Accounts'!B:B)</f>
        <v>273</v>
      </c>
      <c r="B276" s="1608" t="str">
        <f t="shared" si="17"/>
        <v>394</v>
      </c>
      <c r="C276" s="1608" t="str">
        <f t="shared" si="16"/>
        <v>Gen</v>
      </c>
      <c r="D276" s="29">
        <v>39403</v>
      </c>
      <c r="E276" s="29" t="s">
        <v>8242</v>
      </c>
      <c r="F276" s="83">
        <v>0</v>
      </c>
      <c r="G276" s="83">
        <v>0</v>
      </c>
      <c r="H276" s="83">
        <v>0</v>
      </c>
      <c r="I276" s="1606">
        <f t="shared" si="18"/>
        <v>0</v>
      </c>
      <c r="J276" s="83">
        <v>0</v>
      </c>
      <c r="K276" s="83">
        <v>0</v>
      </c>
      <c r="L276" s="83">
        <v>0</v>
      </c>
      <c r="M276" s="83">
        <v>0</v>
      </c>
      <c r="N276" s="83">
        <v>0</v>
      </c>
      <c r="O276" s="83">
        <v>0</v>
      </c>
      <c r="P276" s="83">
        <v>0</v>
      </c>
      <c r="Q276" s="1606">
        <f t="shared" si="19"/>
        <v>0</v>
      </c>
      <c r="R276" s="83">
        <v>0</v>
      </c>
      <c r="S276" s="83">
        <v>0</v>
      </c>
      <c r="T276" s="1673">
        <v>0</v>
      </c>
      <c r="V276" t="s">
        <v>1772</v>
      </c>
      <c r="W276" s="29">
        <v>39404</v>
      </c>
      <c r="Y276" s="503"/>
      <c r="Z276" s="503"/>
      <c r="AA276" s="503"/>
      <c r="AB276" s="503"/>
    </row>
    <row r="277" spans="1:28">
      <c r="A277">
        <f>+_xlfn.XMATCH(D277,'300s - 5 Digit FERC Accounts'!B:B)</f>
        <v>274</v>
      </c>
      <c r="B277" s="1608" t="str">
        <f t="shared" si="17"/>
        <v>395</v>
      </c>
      <c r="C277" s="1608" t="str">
        <f t="shared" si="16"/>
        <v>Gen</v>
      </c>
      <c r="D277" s="29">
        <v>39500</v>
      </c>
      <c r="E277" s="29" t="s">
        <v>1752</v>
      </c>
      <c r="F277" s="83">
        <v>12803541.98</v>
      </c>
      <c r="G277" s="83">
        <v>8613341</v>
      </c>
      <c r="H277" s="83">
        <v>-457528.73</v>
      </c>
      <c r="I277" s="1606">
        <f t="shared" ref="I277:I282" si="20">+J277-F277-G277-H277</f>
        <v>-4.6566128730773926E-10</v>
      </c>
      <c r="J277" s="83">
        <v>20959354.25</v>
      </c>
      <c r="K277" s="83">
        <v>17773394.870000001</v>
      </c>
      <c r="L277" s="83">
        <v>1908021.2299999997</v>
      </c>
      <c r="M277" s="83">
        <v>2503629.46</v>
      </c>
      <c r="N277" s="83">
        <v>-457528.73</v>
      </c>
      <c r="O277" s="83">
        <v>0</v>
      </c>
      <c r="P277" s="83">
        <v>0</v>
      </c>
      <c r="Q277" s="1606">
        <f t="shared" ref="Q277:Q282" si="21">+R277-P277-O277-N277-M277-L277</f>
        <v>0</v>
      </c>
      <c r="R277" s="83">
        <v>3954121.9599999995</v>
      </c>
      <c r="S277" s="83">
        <v>2821810.42</v>
      </c>
      <c r="T277" s="1673">
        <v>0.14300000000000002</v>
      </c>
      <c r="V277" t="s">
        <v>1772</v>
      </c>
      <c r="W277" s="29">
        <v>39405</v>
      </c>
      <c r="Y277" s="503"/>
      <c r="Z277" s="503"/>
      <c r="AA277" s="503"/>
      <c r="AB277" s="503"/>
    </row>
    <row r="278" spans="1:28">
      <c r="A278">
        <f>+_xlfn.XMATCH(D278,'300s - 5 Digit FERC Accounts'!B:B)</f>
        <v>275</v>
      </c>
      <c r="B278" s="1608" t="str">
        <f t="shared" si="17"/>
        <v>396</v>
      </c>
      <c r="C278" s="1608" t="str">
        <f t="shared" si="16"/>
        <v>Gen</v>
      </c>
      <c r="D278" s="29">
        <v>39600</v>
      </c>
      <c r="E278" s="29" t="s">
        <v>1753</v>
      </c>
      <c r="F278" s="83">
        <v>0</v>
      </c>
      <c r="G278" s="83">
        <v>0</v>
      </c>
      <c r="H278" s="83">
        <v>0</v>
      </c>
      <c r="I278" s="1606">
        <f t="shared" si="20"/>
        <v>0</v>
      </c>
      <c r="J278" s="83">
        <v>0</v>
      </c>
      <c r="K278" s="83">
        <v>0</v>
      </c>
      <c r="L278" s="83">
        <v>0</v>
      </c>
      <c r="M278" s="83">
        <v>0</v>
      </c>
      <c r="N278" s="83">
        <v>0</v>
      </c>
      <c r="O278" s="83">
        <v>0</v>
      </c>
      <c r="P278" s="83">
        <v>0</v>
      </c>
      <c r="Q278" s="1606">
        <f t="shared" si="21"/>
        <v>0</v>
      </c>
      <c r="R278" s="83">
        <v>0</v>
      </c>
      <c r="S278" s="83">
        <v>0</v>
      </c>
      <c r="T278" s="1673">
        <v>0.14300000000000002</v>
      </c>
      <c r="V278" t="s">
        <v>1441</v>
      </c>
      <c r="W278" s="29">
        <v>34398</v>
      </c>
      <c r="Y278" s="503"/>
      <c r="Z278" s="503"/>
      <c r="AA278" s="503"/>
      <c r="AB278" s="503"/>
    </row>
    <row r="279" spans="1:28">
      <c r="A279">
        <f>+_xlfn.XMATCH(D279,'300s - 5 Digit FERC Accounts'!B:B)</f>
        <v>276</v>
      </c>
      <c r="B279" s="1608" t="str">
        <f t="shared" si="17"/>
        <v>397</v>
      </c>
      <c r="C279" s="1608" t="str">
        <f t="shared" si="16"/>
        <v>Gen</v>
      </c>
      <c r="D279" s="29">
        <v>39700</v>
      </c>
      <c r="E279" s="29" t="s">
        <v>1754</v>
      </c>
      <c r="F279" s="83">
        <v>46193295.790000029</v>
      </c>
      <c r="G279" s="83">
        <v>6480102.8099999996</v>
      </c>
      <c r="H279" s="83">
        <v>-13200666.1</v>
      </c>
      <c r="I279" s="1606">
        <f t="shared" si="20"/>
        <v>0</v>
      </c>
      <c r="J279" s="83">
        <v>39472732.50000003</v>
      </c>
      <c r="K279" s="83">
        <v>45249965.670000002</v>
      </c>
      <c r="L279" s="83">
        <v>25138803.880000003</v>
      </c>
      <c r="M279" s="83">
        <v>6539590.46</v>
      </c>
      <c r="N279" s="83">
        <v>-13200666.1</v>
      </c>
      <c r="O279" s="83">
        <v>-1968.72</v>
      </c>
      <c r="P279" s="83">
        <v>0</v>
      </c>
      <c r="Q279" s="1606">
        <f t="shared" si="21"/>
        <v>0</v>
      </c>
      <c r="R279" s="83">
        <v>18475759.520000003</v>
      </c>
      <c r="S279" s="83">
        <v>24586568.800000001</v>
      </c>
      <c r="T279" s="1673">
        <v>0.14300000000000002</v>
      </c>
      <c r="V279" t="s">
        <v>1441</v>
      </c>
      <c r="W279" s="29">
        <v>34598</v>
      </c>
      <c r="Y279" s="503"/>
      <c r="Z279" s="503"/>
      <c r="AA279" s="503"/>
      <c r="AB279" s="503"/>
    </row>
    <row r="280" spans="1:28">
      <c r="A280">
        <f>+_xlfn.XMATCH(D280,'300s - 5 Digit FERC Accounts'!B:B)</f>
        <v>277</v>
      </c>
      <c r="B280" s="1608" t="str">
        <f t="shared" si="17"/>
        <v>397</v>
      </c>
      <c r="C280" s="1608" t="str">
        <f t="shared" si="16"/>
        <v>Gen</v>
      </c>
      <c r="D280" s="29">
        <v>39725</v>
      </c>
      <c r="E280" s="29" t="s">
        <v>1755</v>
      </c>
      <c r="F280" s="83">
        <v>51778218.330000013</v>
      </c>
      <c r="G280" s="83">
        <v>37340104.920000002</v>
      </c>
      <c r="H280" s="83">
        <v>-4244731.01</v>
      </c>
      <c r="I280" s="1606">
        <f t="shared" si="20"/>
        <v>0</v>
      </c>
      <c r="J280" s="83">
        <v>84873592.24000001</v>
      </c>
      <c r="K280" s="83">
        <v>64751054.149999999</v>
      </c>
      <c r="L280" s="83">
        <v>27439427.159999989</v>
      </c>
      <c r="M280" s="83">
        <v>1810228.83</v>
      </c>
      <c r="N280" s="83">
        <v>-4244731.01</v>
      </c>
      <c r="O280" s="83">
        <v>0</v>
      </c>
      <c r="P280" s="83">
        <v>0</v>
      </c>
      <c r="Q280" s="1606">
        <f t="shared" si="21"/>
        <v>0</v>
      </c>
      <c r="R280" s="83">
        <v>25004924.979999989</v>
      </c>
      <c r="S280" s="83">
        <v>25897297.41</v>
      </c>
      <c r="T280" s="1673">
        <v>2.87E-2</v>
      </c>
      <c r="V280" t="s">
        <v>1441</v>
      </c>
      <c r="W280" s="29">
        <v>34898</v>
      </c>
      <c r="Y280" s="503"/>
      <c r="Z280" s="503"/>
      <c r="AA280" s="503"/>
      <c r="AB280" s="503"/>
    </row>
    <row r="281" spans="1:28">
      <c r="A281">
        <f>+_xlfn.XMATCH(D281,'300s - 5 Digit FERC Accounts'!B:B)</f>
        <v>278</v>
      </c>
      <c r="B281" s="1608" t="str">
        <f t="shared" si="17"/>
        <v>398</v>
      </c>
      <c r="C281" s="1608" t="str">
        <f t="shared" si="16"/>
        <v>Gen</v>
      </c>
      <c r="D281" s="29">
        <v>39800</v>
      </c>
      <c r="E281" s="29" t="s">
        <v>1756</v>
      </c>
      <c r="F281" s="83">
        <v>5268687.0399999991</v>
      </c>
      <c r="G281" s="83">
        <v>910000</v>
      </c>
      <c r="H281" s="83">
        <v>-692571.1</v>
      </c>
      <c r="I281" s="1606">
        <f t="shared" si="20"/>
        <v>0</v>
      </c>
      <c r="J281" s="83">
        <v>5486115.9399999995</v>
      </c>
      <c r="K281" s="83">
        <v>4972845.12</v>
      </c>
      <c r="L281" s="83">
        <v>2747129.8600000008</v>
      </c>
      <c r="M281" s="83">
        <v>705000.38</v>
      </c>
      <c r="N281" s="83">
        <v>-692571.1</v>
      </c>
      <c r="O281" s="83">
        <v>0</v>
      </c>
      <c r="P281" s="83">
        <v>0</v>
      </c>
      <c r="Q281" s="1606">
        <f t="shared" si="21"/>
        <v>0</v>
      </c>
      <c r="R281" s="83">
        <v>2759559.1400000006</v>
      </c>
      <c r="S281" s="83">
        <v>2741421.98</v>
      </c>
      <c r="T281" s="1673">
        <v>0.14300000000000002</v>
      </c>
      <c r="V281" t="s">
        <v>1441</v>
      </c>
      <c r="W281" s="29">
        <v>34300</v>
      </c>
      <c r="X281" s="29"/>
      <c r="Y281" s="503"/>
      <c r="Z281" s="503"/>
      <c r="AA281" s="503"/>
      <c r="AB281" s="503"/>
    </row>
    <row r="282" spans="1:28">
      <c r="A282">
        <f>+_xlfn.XMATCH(D282,'300s - 5 Digit FERC Accounts'!B:B)</f>
        <v>279</v>
      </c>
      <c r="B282" s="1608" t="str">
        <f t="shared" si="17"/>
        <v>399</v>
      </c>
      <c r="C282" s="1608" t="str">
        <f t="shared" si="16"/>
        <v>Gen</v>
      </c>
      <c r="D282" s="29">
        <v>39910</v>
      </c>
      <c r="E282" s="29" t="s">
        <v>1757</v>
      </c>
      <c r="F282" s="83">
        <v>269187.51</v>
      </c>
      <c r="G282" s="83">
        <v>0</v>
      </c>
      <c r="H282" s="83">
        <v>0</v>
      </c>
      <c r="I282" s="1606">
        <f t="shared" si="20"/>
        <v>0</v>
      </c>
      <c r="J282" s="83">
        <v>269187.51</v>
      </c>
      <c r="K282" s="83">
        <v>269187.51</v>
      </c>
      <c r="L282" s="83">
        <v>140835.12999999995</v>
      </c>
      <c r="M282" s="83">
        <v>11575.08</v>
      </c>
      <c r="N282" s="83">
        <v>0</v>
      </c>
      <c r="O282" s="83">
        <v>0</v>
      </c>
      <c r="P282" s="83">
        <v>0</v>
      </c>
      <c r="Q282" s="1606">
        <f t="shared" si="21"/>
        <v>0</v>
      </c>
      <c r="R282" s="83">
        <v>152410.20999999993</v>
      </c>
      <c r="S282" s="83">
        <v>146622.67000000001</v>
      </c>
      <c r="T282" s="1673">
        <v>4.2999999999999997E-2</v>
      </c>
      <c r="V282" t="s">
        <v>1441</v>
      </c>
      <c r="W282" s="29">
        <v>34820</v>
      </c>
      <c r="X282" s="29"/>
      <c r="Y282" s="503"/>
      <c r="Z282" s="503"/>
      <c r="AA282" s="503"/>
      <c r="AB282" s="503"/>
    </row>
    <row r="283" spans="1:28">
      <c r="A283">
        <f>+_xlfn.XMATCH(D283,'300s - 5 Digit FERC Accounts'!B:B)</f>
        <v>1</v>
      </c>
      <c r="B283" s="1608" t="str">
        <f t="shared" si="17"/>
        <v/>
      </c>
      <c r="C283" s="1608" t="str">
        <f t="shared" si="16"/>
        <v/>
      </c>
      <c r="I283" s="1606">
        <f t="shared" ref="I283:I326" si="22">+J283-F283-G283-H283</f>
        <v>0</v>
      </c>
      <c r="Q283" s="1606">
        <f t="shared" ref="Q283:Q326" si="23">+R283-P283-O283-N283-M283-L283</f>
        <v>0</v>
      </c>
      <c r="V283" t="s">
        <v>1441</v>
      </c>
      <c r="W283" s="29">
        <v>34120</v>
      </c>
    </row>
    <row r="284" spans="1:28">
      <c r="A284">
        <f>+_xlfn.XMATCH(D284,'300s - 5 Digit FERC Accounts'!B:B)</f>
        <v>1</v>
      </c>
      <c r="B284" s="1608" t="str">
        <f t="shared" si="17"/>
        <v/>
      </c>
      <c r="C284" s="1608" t="str">
        <f t="shared" si="16"/>
        <v/>
      </c>
      <c r="I284" s="1606">
        <f t="shared" si="22"/>
        <v>0</v>
      </c>
      <c r="Q284" s="1606">
        <f t="shared" si="23"/>
        <v>0</v>
      </c>
      <c r="V284" t="s">
        <v>1441</v>
      </c>
      <c r="W284" s="29">
        <v>34220</v>
      </c>
    </row>
    <row r="285" spans="1:28">
      <c r="A285">
        <f>+_xlfn.XMATCH(D285,'300s - 5 Digit FERC Accounts'!B:B)</f>
        <v>1</v>
      </c>
      <c r="B285" s="1608" t="str">
        <f t="shared" si="17"/>
        <v/>
      </c>
      <c r="C285" s="1608" t="str">
        <f t="shared" si="16"/>
        <v/>
      </c>
      <c r="I285" s="1606">
        <f t="shared" si="22"/>
        <v>0</v>
      </c>
      <c r="Q285" s="1606">
        <f t="shared" si="23"/>
        <v>0</v>
      </c>
      <c r="V285" t="s">
        <v>1441</v>
      </c>
      <c r="W285" s="29">
        <v>34320</v>
      </c>
    </row>
    <row r="286" spans="1:28">
      <c r="A286">
        <f>+_xlfn.XMATCH(D286,'300s - 5 Digit FERC Accounts'!B:B)</f>
        <v>1</v>
      </c>
      <c r="B286" s="1608" t="str">
        <f t="shared" si="17"/>
        <v/>
      </c>
      <c r="C286" s="1608" t="str">
        <f t="shared" si="16"/>
        <v/>
      </c>
      <c r="I286" s="1606">
        <f t="shared" si="22"/>
        <v>0</v>
      </c>
      <c r="Q286" s="1606">
        <f t="shared" si="23"/>
        <v>0</v>
      </c>
      <c r="V286" t="s">
        <v>1441</v>
      </c>
      <c r="W286" s="29">
        <v>34520</v>
      </c>
    </row>
    <row r="287" spans="1:28">
      <c r="A287">
        <f>+_xlfn.XMATCH(D287,'300s - 5 Digit FERC Accounts'!B:B)</f>
        <v>1</v>
      </c>
      <c r="B287" s="1608" t="str">
        <f t="shared" si="17"/>
        <v/>
      </c>
      <c r="C287" s="1608" t="str">
        <f t="shared" si="16"/>
        <v/>
      </c>
      <c r="I287" s="1606">
        <f t="shared" si="22"/>
        <v>0</v>
      </c>
      <c r="Q287" s="1606">
        <f t="shared" si="23"/>
        <v>0</v>
      </c>
      <c r="V287" t="s">
        <v>1441</v>
      </c>
      <c r="W287" s="29">
        <v>34620</v>
      </c>
    </row>
    <row r="288" spans="1:28">
      <c r="A288">
        <f>+_xlfn.XMATCH(D288,'300s - 5 Digit FERC Accounts'!B:B)</f>
        <v>1</v>
      </c>
      <c r="B288" s="1608" t="str">
        <f t="shared" si="17"/>
        <v/>
      </c>
      <c r="C288" s="1608" t="str">
        <f t="shared" si="16"/>
        <v/>
      </c>
      <c r="I288" s="1606">
        <f t="shared" si="22"/>
        <v>0</v>
      </c>
      <c r="Q288" s="1606">
        <f t="shared" si="23"/>
        <v>0</v>
      </c>
      <c r="V288" t="s">
        <v>1762</v>
      </c>
      <c r="W288" s="29">
        <v>37010</v>
      </c>
    </row>
    <row r="289" spans="1:17">
      <c r="A289">
        <f>+_xlfn.XMATCH(D289,'300s - 5 Digit FERC Accounts'!B:B)</f>
        <v>1</v>
      </c>
      <c r="B289" s="1608" t="str">
        <f t="shared" si="17"/>
        <v/>
      </c>
      <c r="C289" s="1608" t="str">
        <f t="shared" si="16"/>
        <v/>
      </c>
      <c r="I289" s="1606">
        <f t="shared" si="22"/>
        <v>0</v>
      </c>
      <c r="Q289" s="1606">
        <f t="shared" si="23"/>
        <v>0</v>
      </c>
    </row>
    <row r="290" spans="1:17">
      <c r="A290">
        <f>+_xlfn.XMATCH(D290,'300s - 5 Digit FERC Accounts'!B:B)</f>
        <v>1</v>
      </c>
      <c r="B290" s="1608" t="str">
        <f t="shared" si="17"/>
        <v/>
      </c>
      <c r="C290" s="1608" t="str">
        <f t="shared" si="16"/>
        <v/>
      </c>
      <c r="I290" s="1606">
        <f t="shared" si="22"/>
        <v>0</v>
      </c>
      <c r="Q290" s="1606">
        <f t="shared" si="23"/>
        <v>0</v>
      </c>
    </row>
    <row r="291" spans="1:17">
      <c r="A291">
        <f>+_xlfn.XMATCH(D291,'300s - 5 Digit FERC Accounts'!B:B)</f>
        <v>1</v>
      </c>
      <c r="B291" s="1608" t="str">
        <f t="shared" si="17"/>
        <v/>
      </c>
      <c r="C291" s="1608" t="str">
        <f t="shared" si="16"/>
        <v/>
      </c>
      <c r="I291" s="1606">
        <f t="shared" si="22"/>
        <v>0</v>
      </c>
      <c r="Q291" s="1606">
        <f t="shared" si="23"/>
        <v>0</v>
      </c>
    </row>
    <row r="292" spans="1:17">
      <c r="A292">
        <f>+_xlfn.XMATCH(D292,'300s - 5 Digit FERC Accounts'!B:B)</f>
        <v>1</v>
      </c>
      <c r="B292" s="1608" t="str">
        <f t="shared" si="17"/>
        <v/>
      </c>
      <c r="C292" s="1608" t="str">
        <f t="shared" si="16"/>
        <v/>
      </c>
      <c r="I292" s="1606">
        <f t="shared" si="22"/>
        <v>0</v>
      </c>
      <c r="Q292" s="1606">
        <f t="shared" si="23"/>
        <v>0</v>
      </c>
    </row>
    <row r="293" spans="1:17">
      <c r="A293">
        <f>+_xlfn.XMATCH(D293,'300s - 5 Digit FERC Accounts'!B:B)</f>
        <v>1</v>
      </c>
      <c r="B293" s="1608" t="str">
        <f t="shared" si="17"/>
        <v/>
      </c>
      <c r="C293" s="1608" t="str">
        <f t="shared" si="16"/>
        <v/>
      </c>
      <c r="I293" s="1606">
        <f t="shared" si="22"/>
        <v>0</v>
      </c>
      <c r="Q293" s="1606">
        <f t="shared" si="23"/>
        <v>0</v>
      </c>
    </row>
    <row r="294" spans="1:17">
      <c r="A294">
        <f>+_xlfn.XMATCH(D294,'300s - 5 Digit FERC Accounts'!B:B)</f>
        <v>1</v>
      </c>
      <c r="B294" s="1608" t="str">
        <f t="shared" si="17"/>
        <v/>
      </c>
      <c r="C294" s="1608" t="str">
        <f t="shared" si="16"/>
        <v/>
      </c>
      <c r="I294" s="1606">
        <f t="shared" si="22"/>
        <v>0</v>
      </c>
      <c r="Q294" s="1606">
        <f t="shared" si="23"/>
        <v>0</v>
      </c>
    </row>
    <row r="295" spans="1:17">
      <c r="A295">
        <f>+_xlfn.XMATCH(D295,'300s - 5 Digit FERC Accounts'!B:B)</f>
        <v>1</v>
      </c>
      <c r="B295" s="1608" t="str">
        <f t="shared" si="17"/>
        <v/>
      </c>
      <c r="C295" s="1608" t="str">
        <f t="shared" si="16"/>
        <v/>
      </c>
      <c r="I295" s="1606">
        <f t="shared" si="22"/>
        <v>0</v>
      </c>
      <c r="Q295" s="1606">
        <f t="shared" si="23"/>
        <v>0</v>
      </c>
    </row>
    <row r="296" spans="1:17">
      <c r="A296">
        <f>+_xlfn.XMATCH(D296,'300s - 5 Digit FERC Accounts'!B:B)</f>
        <v>1</v>
      </c>
      <c r="B296" s="1608" t="str">
        <f t="shared" si="17"/>
        <v/>
      </c>
      <c r="C296" s="1608" t="str">
        <f t="shared" si="16"/>
        <v/>
      </c>
      <c r="I296" s="1606">
        <f t="shared" si="22"/>
        <v>0</v>
      </c>
      <c r="Q296" s="1606">
        <f t="shared" si="23"/>
        <v>0</v>
      </c>
    </row>
    <row r="297" spans="1:17">
      <c r="A297">
        <f>+_xlfn.XMATCH(D297,'300s - 5 Digit FERC Accounts'!B:B)</f>
        <v>1</v>
      </c>
      <c r="B297" s="1608" t="str">
        <f t="shared" si="17"/>
        <v/>
      </c>
      <c r="C297" s="1608" t="str">
        <f t="shared" si="16"/>
        <v/>
      </c>
      <c r="I297" s="1606">
        <f t="shared" si="22"/>
        <v>0</v>
      </c>
      <c r="Q297" s="1606">
        <f t="shared" si="23"/>
        <v>0</v>
      </c>
    </row>
    <row r="298" spans="1:17">
      <c r="A298">
        <f>+_xlfn.XMATCH(D298,'300s - 5 Digit FERC Accounts'!B:B)</f>
        <v>1</v>
      </c>
      <c r="B298" s="1608" t="str">
        <f t="shared" si="17"/>
        <v/>
      </c>
      <c r="C298" s="1608" t="str">
        <f t="shared" si="16"/>
        <v/>
      </c>
      <c r="I298" s="1606">
        <f t="shared" si="22"/>
        <v>0</v>
      </c>
      <c r="Q298" s="1606">
        <f t="shared" si="23"/>
        <v>0</v>
      </c>
    </row>
    <row r="299" spans="1:17">
      <c r="A299">
        <f>+_xlfn.XMATCH(D299,'300s - 5 Digit FERC Accounts'!B:B)</f>
        <v>1</v>
      </c>
      <c r="B299" s="1608" t="str">
        <f t="shared" si="17"/>
        <v/>
      </c>
      <c r="C299" s="1608" t="str">
        <f t="shared" si="16"/>
        <v/>
      </c>
      <c r="I299" s="1606">
        <f t="shared" si="22"/>
        <v>0</v>
      </c>
      <c r="Q299" s="1606">
        <f t="shared" si="23"/>
        <v>0</v>
      </c>
    </row>
    <row r="300" spans="1:17">
      <c r="A300">
        <f>+_xlfn.XMATCH(D300,'300s - 5 Digit FERC Accounts'!B:B)</f>
        <v>1</v>
      </c>
      <c r="B300" s="1608" t="str">
        <f t="shared" si="17"/>
        <v/>
      </c>
      <c r="C300" s="1608" t="str">
        <f t="shared" si="16"/>
        <v/>
      </c>
      <c r="I300" s="1606">
        <f t="shared" si="22"/>
        <v>0</v>
      </c>
      <c r="Q300" s="1606">
        <f t="shared" si="23"/>
        <v>0</v>
      </c>
    </row>
    <row r="301" spans="1:17">
      <c r="A301">
        <f>+_xlfn.XMATCH(D301,'300s - 5 Digit FERC Accounts'!B:B)</f>
        <v>1</v>
      </c>
      <c r="B301" s="1608" t="str">
        <f t="shared" si="17"/>
        <v/>
      </c>
      <c r="C301" s="1608" t="str">
        <f t="shared" si="16"/>
        <v/>
      </c>
      <c r="I301" s="1606">
        <f t="shared" si="22"/>
        <v>0</v>
      </c>
      <c r="Q301" s="1606">
        <f t="shared" si="23"/>
        <v>0</v>
      </c>
    </row>
    <row r="302" spans="1:17">
      <c r="A302">
        <f>+_xlfn.XMATCH(D302,'300s - 5 Digit FERC Accounts'!B:B)</f>
        <v>1</v>
      </c>
      <c r="B302" s="1608" t="str">
        <f t="shared" si="17"/>
        <v/>
      </c>
      <c r="C302" s="1608" t="str">
        <f t="shared" si="16"/>
        <v/>
      </c>
      <c r="I302" s="1606">
        <f t="shared" si="22"/>
        <v>0</v>
      </c>
      <c r="Q302" s="1606">
        <f t="shared" si="23"/>
        <v>0</v>
      </c>
    </row>
    <row r="303" spans="1:17">
      <c r="A303">
        <f>+_xlfn.XMATCH(D303,'300s - 5 Digit FERC Accounts'!B:B)</f>
        <v>1</v>
      </c>
      <c r="B303" s="1608" t="str">
        <f t="shared" si="17"/>
        <v/>
      </c>
      <c r="C303" s="1608" t="str">
        <f t="shared" si="16"/>
        <v/>
      </c>
      <c r="I303" s="1606">
        <f t="shared" si="22"/>
        <v>0</v>
      </c>
      <c r="Q303" s="1606">
        <f t="shared" si="23"/>
        <v>0</v>
      </c>
    </row>
    <row r="304" spans="1:17">
      <c r="A304">
        <f>+_xlfn.XMATCH(D304,'300s - 5 Digit FERC Accounts'!B:B)</f>
        <v>1</v>
      </c>
      <c r="B304" s="1608" t="str">
        <f t="shared" si="17"/>
        <v/>
      </c>
      <c r="C304" s="1608" t="str">
        <f t="shared" si="16"/>
        <v/>
      </c>
      <c r="I304" s="1606">
        <f t="shared" si="22"/>
        <v>0</v>
      </c>
      <c r="Q304" s="1606">
        <f t="shared" si="23"/>
        <v>0</v>
      </c>
    </row>
    <row r="305" spans="1:17">
      <c r="A305">
        <f>+_xlfn.XMATCH(D305,'300s - 5 Digit FERC Accounts'!B:B)</f>
        <v>1</v>
      </c>
      <c r="B305" s="1608" t="str">
        <f t="shared" si="17"/>
        <v/>
      </c>
      <c r="C305" s="1608" t="str">
        <f t="shared" si="16"/>
        <v/>
      </c>
      <c r="I305" s="1606">
        <f t="shared" si="22"/>
        <v>0</v>
      </c>
      <c r="Q305" s="1606">
        <f t="shared" si="23"/>
        <v>0</v>
      </c>
    </row>
    <row r="306" spans="1:17">
      <c r="A306">
        <f>+_xlfn.XMATCH(D306,'300s - 5 Digit FERC Accounts'!B:B)</f>
        <v>1</v>
      </c>
      <c r="B306" s="1608" t="str">
        <f t="shared" si="17"/>
        <v/>
      </c>
      <c r="C306" s="1608" t="str">
        <f t="shared" si="16"/>
        <v/>
      </c>
      <c r="I306" s="1606">
        <f t="shared" si="22"/>
        <v>0</v>
      </c>
      <c r="Q306" s="1606">
        <f t="shared" si="23"/>
        <v>0</v>
      </c>
    </row>
    <row r="307" spans="1:17">
      <c r="A307">
        <f>+_xlfn.XMATCH(D307,'300s - 5 Digit FERC Accounts'!B:B)</f>
        <v>1</v>
      </c>
      <c r="B307" s="1608" t="str">
        <f t="shared" si="17"/>
        <v/>
      </c>
      <c r="C307" s="1608" t="str">
        <f t="shared" si="16"/>
        <v/>
      </c>
      <c r="I307" s="1606">
        <f t="shared" si="22"/>
        <v>0</v>
      </c>
      <c r="Q307" s="1606">
        <f t="shared" si="23"/>
        <v>0</v>
      </c>
    </row>
    <row r="308" spans="1:17">
      <c r="A308">
        <f>+_xlfn.XMATCH(D308,'300s - 5 Digit FERC Accounts'!B:B)</f>
        <v>1</v>
      </c>
      <c r="B308" s="1608" t="str">
        <f t="shared" si="17"/>
        <v/>
      </c>
      <c r="C308" s="1608" t="str">
        <f t="shared" si="16"/>
        <v/>
      </c>
      <c r="I308" s="1606">
        <f t="shared" si="22"/>
        <v>0</v>
      </c>
      <c r="Q308" s="1606">
        <f t="shared" si="23"/>
        <v>0</v>
      </c>
    </row>
    <row r="309" spans="1:17">
      <c r="A309">
        <f>+_xlfn.XMATCH(D309,'300s - 5 Digit FERC Accounts'!B:B)</f>
        <v>1</v>
      </c>
      <c r="B309" s="1608" t="str">
        <f t="shared" si="17"/>
        <v/>
      </c>
      <c r="C309" s="1608" t="str">
        <f t="shared" si="16"/>
        <v/>
      </c>
      <c r="I309" s="1606">
        <f t="shared" si="22"/>
        <v>0</v>
      </c>
      <c r="Q309" s="1606">
        <f t="shared" si="23"/>
        <v>0</v>
      </c>
    </row>
    <row r="310" spans="1:17">
      <c r="A310">
        <f>+_xlfn.XMATCH(D310,'300s - 5 Digit FERC Accounts'!B:B)</f>
        <v>1</v>
      </c>
      <c r="B310" s="1608" t="str">
        <f t="shared" si="17"/>
        <v/>
      </c>
      <c r="C310" s="1608" t="str">
        <f t="shared" si="16"/>
        <v/>
      </c>
      <c r="I310" s="1606">
        <f t="shared" si="22"/>
        <v>0</v>
      </c>
      <c r="Q310" s="1606">
        <f t="shared" si="23"/>
        <v>0</v>
      </c>
    </row>
    <row r="311" spans="1:17">
      <c r="A311">
        <f>+_xlfn.XMATCH(D311,'300s - 5 Digit FERC Accounts'!B:B)</f>
        <v>1</v>
      </c>
      <c r="B311" s="1608" t="str">
        <f t="shared" si="17"/>
        <v/>
      </c>
      <c r="C311" s="1608" t="str">
        <f t="shared" si="16"/>
        <v/>
      </c>
      <c r="I311" s="1606">
        <f t="shared" si="22"/>
        <v>0</v>
      </c>
      <c r="Q311" s="1606">
        <f t="shared" si="23"/>
        <v>0</v>
      </c>
    </row>
    <row r="312" spans="1:17">
      <c r="A312">
        <f>+_xlfn.XMATCH(D312,'300s - 5 Digit FERC Accounts'!B:B)</f>
        <v>1</v>
      </c>
      <c r="B312" s="1608" t="str">
        <f t="shared" si="17"/>
        <v/>
      </c>
      <c r="C312" s="1608" t="str">
        <f t="shared" si="16"/>
        <v/>
      </c>
      <c r="I312" s="1606">
        <f t="shared" si="22"/>
        <v>0</v>
      </c>
      <c r="Q312" s="1606">
        <f t="shared" si="23"/>
        <v>0</v>
      </c>
    </row>
    <row r="313" spans="1:17">
      <c r="A313">
        <f>+_xlfn.XMATCH(D313,'300s - 5 Digit FERC Accounts'!B:B)</f>
        <v>1</v>
      </c>
      <c r="B313" s="1608" t="str">
        <f t="shared" si="17"/>
        <v/>
      </c>
      <c r="C313" s="1608" t="str">
        <f t="shared" si="16"/>
        <v/>
      </c>
      <c r="I313" s="1606">
        <f t="shared" si="22"/>
        <v>0</v>
      </c>
      <c r="Q313" s="1606">
        <f t="shared" si="23"/>
        <v>0</v>
      </c>
    </row>
    <row r="314" spans="1:17">
      <c r="A314">
        <f>+_xlfn.XMATCH(D314,'300s - 5 Digit FERC Accounts'!B:B)</f>
        <v>1</v>
      </c>
      <c r="B314" s="1608" t="str">
        <f t="shared" si="17"/>
        <v/>
      </c>
      <c r="C314" s="1608" t="str">
        <f t="shared" si="16"/>
        <v/>
      </c>
      <c r="I314" s="1606">
        <f t="shared" si="22"/>
        <v>0</v>
      </c>
      <c r="Q314" s="1606">
        <f t="shared" si="23"/>
        <v>0</v>
      </c>
    </row>
    <row r="315" spans="1:17">
      <c r="A315">
        <f>+_xlfn.XMATCH(D315,'300s - 5 Digit FERC Accounts'!B:B)</f>
        <v>1</v>
      </c>
      <c r="B315" s="1608" t="str">
        <f t="shared" si="17"/>
        <v/>
      </c>
      <c r="C315" s="1608" t="str">
        <f t="shared" si="16"/>
        <v/>
      </c>
      <c r="I315" s="1606">
        <f t="shared" si="22"/>
        <v>0</v>
      </c>
      <c r="Q315" s="1606">
        <f t="shared" si="23"/>
        <v>0</v>
      </c>
    </row>
    <row r="316" spans="1:17">
      <c r="A316">
        <f>+_xlfn.XMATCH(D316,'300s - 5 Digit FERC Accounts'!B:B)</f>
        <v>1</v>
      </c>
      <c r="B316" s="1608" t="str">
        <f t="shared" si="17"/>
        <v/>
      </c>
      <c r="C316" s="1608" t="str">
        <f t="shared" si="16"/>
        <v/>
      </c>
      <c r="I316" s="1606">
        <f t="shared" si="22"/>
        <v>0</v>
      </c>
      <c r="Q316" s="1606">
        <f t="shared" si="23"/>
        <v>0</v>
      </c>
    </row>
    <row r="317" spans="1:17">
      <c r="A317">
        <f>+_xlfn.XMATCH(D317,'300s - 5 Digit FERC Accounts'!B:B)</f>
        <v>1</v>
      </c>
      <c r="B317" s="1608" t="str">
        <f t="shared" si="17"/>
        <v/>
      </c>
      <c r="C317" s="1608" t="str">
        <f t="shared" si="16"/>
        <v/>
      </c>
      <c r="I317" s="1606">
        <f t="shared" si="22"/>
        <v>0</v>
      </c>
      <c r="Q317" s="1606">
        <f t="shared" si="23"/>
        <v>0</v>
      </c>
    </row>
    <row r="318" spans="1:17">
      <c r="A318">
        <f>+_xlfn.XMATCH(D318,'300s - 5 Digit FERC Accounts'!B:B)</f>
        <v>1</v>
      </c>
      <c r="B318" s="1608" t="str">
        <f t="shared" si="17"/>
        <v/>
      </c>
      <c r="C318" s="1608" t="str">
        <f t="shared" si="16"/>
        <v/>
      </c>
      <c r="I318" s="1606">
        <f t="shared" si="22"/>
        <v>0</v>
      </c>
      <c r="Q318" s="1606">
        <f t="shared" si="23"/>
        <v>0</v>
      </c>
    </row>
    <row r="319" spans="1:17">
      <c r="A319">
        <f>+_xlfn.XMATCH(D319,'300s - 5 Digit FERC Accounts'!B:B)</f>
        <v>1</v>
      </c>
      <c r="B319" s="1608" t="str">
        <f t="shared" si="17"/>
        <v/>
      </c>
      <c r="C319" s="1608" t="str">
        <f t="shared" si="16"/>
        <v/>
      </c>
      <c r="I319" s="1606">
        <f t="shared" si="22"/>
        <v>0</v>
      </c>
      <c r="Q319" s="1606">
        <f t="shared" si="23"/>
        <v>0</v>
      </c>
    </row>
    <row r="320" spans="1:17">
      <c r="A320">
        <f>+_xlfn.XMATCH(D320,'300s - 5 Digit FERC Accounts'!B:B)</f>
        <v>1</v>
      </c>
      <c r="B320" s="1608" t="str">
        <f t="shared" si="17"/>
        <v/>
      </c>
      <c r="C320" s="1608" t="str">
        <f t="shared" si="16"/>
        <v/>
      </c>
      <c r="I320" s="1606">
        <f t="shared" si="22"/>
        <v>0</v>
      </c>
      <c r="Q320" s="1606">
        <f t="shared" si="23"/>
        <v>0</v>
      </c>
    </row>
    <row r="321" spans="1:17">
      <c r="A321">
        <f>+_xlfn.XMATCH(D321,'300s - 5 Digit FERC Accounts'!B:B)</f>
        <v>1</v>
      </c>
      <c r="B321" s="1608" t="str">
        <f t="shared" si="17"/>
        <v/>
      </c>
      <c r="C321" s="1608" t="str">
        <f t="shared" si="16"/>
        <v/>
      </c>
      <c r="I321" s="1606">
        <f t="shared" si="22"/>
        <v>0</v>
      </c>
      <c r="Q321" s="1606">
        <f t="shared" si="23"/>
        <v>0</v>
      </c>
    </row>
    <row r="322" spans="1:17">
      <c r="A322">
        <f>+_xlfn.XMATCH(D322,'300s - 5 Digit FERC Accounts'!B:B)</f>
        <v>1</v>
      </c>
      <c r="B322" s="1608" t="str">
        <f t="shared" si="17"/>
        <v/>
      </c>
      <c r="C322" s="1608" t="str">
        <f t="shared" si="16"/>
        <v/>
      </c>
      <c r="I322" s="1606">
        <f t="shared" si="22"/>
        <v>0</v>
      </c>
      <c r="Q322" s="1606">
        <f t="shared" si="23"/>
        <v>0</v>
      </c>
    </row>
    <row r="323" spans="1:17">
      <c r="A323">
        <f>+_xlfn.XMATCH(D323,'300s - 5 Digit FERC Accounts'!B:B)</f>
        <v>1</v>
      </c>
      <c r="B323" s="1608" t="str">
        <f t="shared" si="17"/>
        <v/>
      </c>
      <c r="C323" s="1608" t="str">
        <f t="shared" si="16"/>
        <v/>
      </c>
      <c r="I323" s="1606">
        <f t="shared" si="22"/>
        <v>0</v>
      </c>
      <c r="Q323" s="1606">
        <f t="shared" si="23"/>
        <v>0</v>
      </c>
    </row>
    <row r="324" spans="1:17">
      <c r="A324">
        <f>+_xlfn.XMATCH(D324,'300s - 5 Digit FERC Accounts'!B:B)</f>
        <v>1</v>
      </c>
      <c r="B324" s="1608" t="str">
        <f t="shared" si="17"/>
        <v/>
      </c>
      <c r="C324" s="1608" t="str">
        <f t="shared" si="16"/>
        <v/>
      </c>
      <c r="I324" s="1606">
        <f t="shared" si="22"/>
        <v>0</v>
      </c>
      <c r="Q324" s="1606">
        <f t="shared" si="23"/>
        <v>0</v>
      </c>
    </row>
    <row r="325" spans="1:17">
      <c r="A325">
        <f>+_xlfn.XMATCH(D325,'300s - 5 Digit FERC Accounts'!B:B)</f>
        <v>1</v>
      </c>
      <c r="B325" s="1608" t="str">
        <f t="shared" si="17"/>
        <v/>
      </c>
      <c r="C325" s="1608" t="str">
        <f t="shared" si="16"/>
        <v/>
      </c>
      <c r="I325" s="1606">
        <f t="shared" si="22"/>
        <v>0</v>
      </c>
      <c r="Q325" s="1606">
        <f t="shared" si="23"/>
        <v>0</v>
      </c>
    </row>
    <row r="326" spans="1:17">
      <c r="A326">
        <f>+_xlfn.XMATCH(D326,'300s - 5 Digit FERC Accounts'!B:B)</f>
        <v>1</v>
      </c>
      <c r="B326" s="1608" t="str">
        <f t="shared" si="17"/>
        <v/>
      </c>
      <c r="C326" s="1608" t="str">
        <f t="shared" ref="C326:C350" si="24">+_xlfn.SINGLE(IF(D326="","",_xlfn.XLOOKUP(D326,W:W,V:V,"CHECK")))</f>
        <v/>
      </c>
      <c r="I326" s="1606">
        <f t="shared" si="22"/>
        <v>0</v>
      </c>
      <c r="Q326" s="1606">
        <f t="shared" si="23"/>
        <v>0</v>
      </c>
    </row>
    <row r="327" spans="1:17">
      <c r="A327">
        <f>+_xlfn.XMATCH(D327,'300s - 5 Digit FERC Accounts'!B:B)</f>
        <v>1</v>
      </c>
      <c r="B327" s="1608" t="str">
        <f t="shared" ref="B327:B350" si="25">IF(D327="","",MID(D327,1,3))</f>
        <v/>
      </c>
      <c r="C327" s="1608" t="str">
        <f t="shared" si="24"/>
        <v/>
      </c>
      <c r="I327" s="1606">
        <f t="shared" ref="I327:I350" si="26">+J327-F327-G327-H327</f>
        <v>0</v>
      </c>
      <c r="Q327" s="1606">
        <f t="shared" ref="Q327:Q350" si="27">+R327-P327-O327-N327-M327-L327</f>
        <v>0</v>
      </c>
    </row>
    <row r="328" spans="1:17">
      <c r="A328">
        <f>+_xlfn.XMATCH(D328,'300s - 5 Digit FERC Accounts'!B:B)</f>
        <v>1</v>
      </c>
      <c r="B328" s="1608" t="str">
        <f t="shared" si="25"/>
        <v/>
      </c>
      <c r="C328" s="1608" t="str">
        <f t="shared" si="24"/>
        <v/>
      </c>
      <c r="I328" s="1606">
        <f t="shared" si="26"/>
        <v>0</v>
      </c>
      <c r="Q328" s="1606">
        <f t="shared" si="27"/>
        <v>0</v>
      </c>
    </row>
    <row r="329" spans="1:17">
      <c r="A329">
        <f>+_xlfn.XMATCH(D329,'300s - 5 Digit FERC Accounts'!B:B)</f>
        <v>1</v>
      </c>
      <c r="B329" s="1608" t="str">
        <f t="shared" si="25"/>
        <v/>
      </c>
      <c r="C329" s="1608" t="str">
        <f t="shared" si="24"/>
        <v/>
      </c>
      <c r="I329" s="1606">
        <f t="shared" si="26"/>
        <v>0</v>
      </c>
      <c r="Q329" s="1606">
        <f t="shared" si="27"/>
        <v>0</v>
      </c>
    </row>
    <row r="330" spans="1:17">
      <c r="A330">
        <f>+_xlfn.XMATCH(D330,'300s - 5 Digit FERC Accounts'!B:B)</f>
        <v>1</v>
      </c>
      <c r="B330" s="1608" t="str">
        <f t="shared" si="25"/>
        <v/>
      </c>
      <c r="C330" s="1608" t="str">
        <f t="shared" si="24"/>
        <v/>
      </c>
      <c r="I330" s="1606">
        <f t="shared" si="26"/>
        <v>0</v>
      </c>
      <c r="Q330" s="1606">
        <f t="shared" si="27"/>
        <v>0</v>
      </c>
    </row>
    <row r="331" spans="1:17">
      <c r="A331">
        <f>+_xlfn.XMATCH(D331,'300s - 5 Digit FERC Accounts'!B:B)</f>
        <v>1</v>
      </c>
      <c r="B331" s="1608" t="str">
        <f t="shared" si="25"/>
        <v/>
      </c>
      <c r="C331" s="1608" t="str">
        <f t="shared" si="24"/>
        <v/>
      </c>
      <c r="I331" s="1606">
        <f t="shared" si="26"/>
        <v>0</v>
      </c>
      <c r="Q331" s="1606">
        <f t="shared" si="27"/>
        <v>0</v>
      </c>
    </row>
    <row r="332" spans="1:17">
      <c r="A332">
        <f>+_xlfn.XMATCH(D332,'300s - 5 Digit FERC Accounts'!B:B)</f>
        <v>1</v>
      </c>
      <c r="B332" s="1608" t="str">
        <f t="shared" si="25"/>
        <v/>
      </c>
      <c r="C332" s="1608" t="str">
        <f t="shared" si="24"/>
        <v/>
      </c>
      <c r="I332" s="1606">
        <f t="shared" si="26"/>
        <v>0</v>
      </c>
      <c r="Q332" s="1606">
        <f t="shared" si="27"/>
        <v>0</v>
      </c>
    </row>
    <row r="333" spans="1:17">
      <c r="A333">
        <f>+_xlfn.XMATCH(D333,'300s - 5 Digit FERC Accounts'!B:B)</f>
        <v>1</v>
      </c>
      <c r="B333" s="1608" t="str">
        <f t="shared" si="25"/>
        <v/>
      </c>
      <c r="C333" s="1608" t="str">
        <f t="shared" si="24"/>
        <v/>
      </c>
      <c r="I333" s="1606">
        <f t="shared" si="26"/>
        <v>0</v>
      </c>
      <c r="Q333" s="1606">
        <f t="shared" si="27"/>
        <v>0</v>
      </c>
    </row>
    <row r="334" spans="1:17">
      <c r="A334">
        <f>+_xlfn.XMATCH(D334,'300s - 5 Digit FERC Accounts'!B:B)</f>
        <v>1</v>
      </c>
      <c r="B334" s="1608" t="str">
        <f t="shared" si="25"/>
        <v/>
      </c>
      <c r="C334" s="1608" t="str">
        <f t="shared" si="24"/>
        <v/>
      </c>
      <c r="I334" s="1606">
        <f t="shared" si="26"/>
        <v>0</v>
      </c>
      <c r="Q334" s="1606">
        <f t="shared" si="27"/>
        <v>0</v>
      </c>
    </row>
    <row r="335" spans="1:17">
      <c r="A335">
        <f>+_xlfn.XMATCH(D335,'300s - 5 Digit FERC Accounts'!B:B)</f>
        <v>1</v>
      </c>
      <c r="B335" s="1608" t="str">
        <f t="shared" si="25"/>
        <v/>
      </c>
      <c r="C335" s="1608" t="str">
        <f t="shared" si="24"/>
        <v/>
      </c>
      <c r="I335" s="1606">
        <f t="shared" si="26"/>
        <v>0</v>
      </c>
      <c r="Q335" s="1606">
        <f t="shared" si="27"/>
        <v>0</v>
      </c>
    </row>
    <row r="336" spans="1:17">
      <c r="A336">
        <f>+_xlfn.XMATCH(D336,'300s - 5 Digit FERC Accounts'!B:B)</f>
        <v>1</v>
      </c>
      <c r="B336" s="1608" t="str">
        <f t="shared" si="25"/>
        <v/>
      </c>
      <c r="C336" s="1608" t="str">
        <f t="shared" si="24"/>
        <v/>
      </c>
      <c r="I336" s="1606">
        <f t="shared" si="26"/>
        <v>0</v>
      </c>
      <c r="Q336" s="1606">
        <f t="shared" si="27"/>
        <v>0</v>
      </c>
    </row>
    <row r="337" spans="1:17">
      <c r="A337">
        <f>+_xlfn.XMATCH(D337,'300s - 5 Digit FERC Accounts'!B:B)</f>
        <v>1</v>
      </c>
      <c r="B337" s="1608" t="str">
        <f t="shared" si="25"/>
        <v/>
      </c>
      <c r="C337" s="1608" t="str">
        <f t="shared" si="24"/>
        <v/>
      </c>
      <c r="I337" s="1606">
        <f t="shared" si="26"/>
        <v>0</v>
      </c>
      <c r="Q337" s="1606">
        <f t="shared" si="27"/>
        <v>0</v>
      </c>
    </row>
    <row r="338" spans="1:17">
      <c r="A338">
        <f>+_xlfn.XMATCH(D338,'300s - 5 Digit FERC Accounts'!B:B)</f>
        <v>1</v>
      </c>
      <c r="B338" s="1608" t="str">
        <f t="shared" si="25"/>
        <v/>
      </c>
      <c r="C338" s="1608" t="str">
        <f t="shared" si="24"/>
        <v/>
      </c>
      <c r="I338" s="1606">
        <f t="shared" si="26"/>
        <v>0</v>
      </c>
      <c r="Q338" s="1606">
        <f t="shared" si="27"/>
        <v>0</v>
      </c>
    </row>
    <row r="339" spans="1:17">
      <c r="A339">
        <f>+_xlfn.XMATCH(D339,'300s - 5 Digit FERC Accounts'!B:B)</f>
        <v>1</v>
      </c>
      <c r="B339" s="1608" t="str">
        <f t="shared" si="25"/>
        <v/>
      </c>
      <c r="C339" s="1608" t="str">
        <f t="shared" si="24"/>
        <v/>
      </c>
      <c r="I339" s="1606">
        <f t="shared" si="26"/>
        <v>0</v>
      </c>
      <c r="Q339" s="1606">
        <f t="shared" si="27"/>
        <v>0</v>
      </c>
    </row>
    <row r="340" spans="1:17">
      <c r="A340">
        <f>+_xlfn.XMATCH(D340,'300s - 5 Digit FERC Accounts'!B:B)</f>
        <v>1</v>
      </c>
      <c r="B340" s="1608" t="str">
        <f t="shared" si="25"/>
        <v/>
      </c>
      <c r="C340" s="1608" t="str">
        <f t="shared" si="24"/>
        <v/>
      </c>
      <c r="I340" s="1606">
        <f t="shared" si="26"/>
        <v>0</v>
      </c>
      <c r="Q340" s="1606">
        <f t="shared" si="27"/>
        <v>0</v>
      </c>
    </row>
    <row r="341" spans="1:17">
      <c r="A341">
        <f>+_xlfn.XMATCH(D341,'300s - 5 Digit FERC Accounts'!B:B)</f>
        <v>1</v>
      </c>
      <c r="B341" s="1608" t="str">
        <f t="shared" si="25"/>
        <v/>
      </c>
      <c r="C341" s="1608" t="str">
        <f t="shared" si="24"/>
        <v/>
      </c>
      <c r="I341" s="1606">
        <f t="shared" si="26"/>
        <v>0</v>
      </c>
      <c r="Q341" s="1606">
        <f t="shared" si="27"/>
        <v>0</v>
      </c>
    </row>
    <row r="342" spans="1:17">
      <c r="A342">
        <f>+_xlfn.XMATCH(D342,'300s - 5 Digit FERC Accounts'!B:B)</f>
        <v>1</v>
      </c>
      <c r="B342" s="1608" t="str">
        <f t="shared" si="25"/>
        <v/>
      </c>
      <c r="C342" s="1608" t="str">
        <f t="shared" si="24"/>
        <v/>
      </c>
      <c r="I342" s="1606">
        <f t="shared" si="26"/>
        <v>0</v>
      </c>
      <c r="Q342" s="1606">
        <f t="shared" si="27"/>
        <v>0</v>
      </c>
    </row>
    <row r="343" spans="1:17">
      <c r="A343">
        <f>+_xlfn.XMATCH(D343,'300s - 5 Digit FERC Accounts'!B:B)</f>
        <v>1</v>
      </c>
      <c r="B343" s="1608" t="str">
        <f t="shared" si="25"/>
        <v/>
      </c>
      <c r="C343" s="1608" t="str">
        <f t="shared" si="24"/>
        <v/>
      </c>
      <c r="I343" s="1606">
        <f t="shared" si="26"/>
        <v>0</v>
      </c>
      <c r="Q343" s="1606">
        <f t="shared" si="27"/>
        <v>0</v>
      </c>
    </row>
    <row r="344" spans="1:17">
      <c r="A344">
        <f>+_xlfn.XMATCH(D344,'300s - 5 Digit FERC Accounts'!B:B)</f>
        <v>1</v>
      </c>
      <c r="B344" s="1608" t="str">
        <f t="shared" si="25"/>
        <v/>
      </c>
      <c r="C344" s="1608" t="str">
        <f t="shared" si="24"/>
        <v/>
      </c>
      <c r="I344" s="1606">
        <f t="shared" si="26"/>
        <v>0</v>
      </c>
      <c r="Q344" s="1606">
        <f t="shared" si="27"/>
        <v>0</v>
      </c>
    </row>
    <row r="345" spans="1:17">
      <c r="A345">
        <f>+_xlfn.XMATCH(D345,'300s - 5 Digit FERC Accounts'!B:B)</f>
        <v>1</v>
      </c>
      <c r="B345" s="1608" t="str">
        <f t="shared" si="25"/>
        <v/>
      </c>
      <c r="C345" s="1608" t="str">
        <f t="shared" si="24"/>
        <v/>
      </c>
      <c r="I345" s="1606">
        <f t="shared" si="26"/>
        <v>0</v>
      </c>
      <c r="Q345" s="1606">
        <f t="shared" si="27"/>
        <v>0</v>
      </c>
    </row>
    <row r="346" spans="1:17">
      <c r="A346">
        <f>+_xlfn.XMATCH(D346,'300s - 5 Digit FERC Accounts'!B:B)</f>
        <v>1</v>
      </c>
      <c r="B346" s="1608" t="str">
        <f t="shared" si="25"/>
        <v/>
      </c>
      <c r="C346" s="1608" t="str">
        <f t="shared" si="24"/>
        <v/>
      </c>
      <c r="I346" s="1606">
        <f t="shared" si="26"/>
        <v>0</v>
      </c>
      <c r="Q346" s="1606">
        <f t="shared" si="27"/>
        <v>0</v>
      </c>
    </row>
    <row r="347" spans="1:17">
      <c r="A347">
        <f>+_xlfn.XMATCH(D347,'300s - 5 Digit FERC Accounts'!B:B)</f>
        <v>1</v>
      </c>
      <c r="B347" s="1608" t="str">
        <f t="shared" si="25"/>
        <v/>
      </c>
      <c r="C347" s="1608" t="str">
        <f t="shared" si="24"/>
        <v/>
      </c>
      <c r="I347" s="1606">
        <f t="shared" si="26"/>
        <v>0</v>
      </c>
      <c r="Q347" s="1606">
        <f t="shared" si="27"/>
        <v>0</v>
      </c>
    </row>
    <row r="348" spans="1:17">
      <c r="A348">
        <f>+_xlfn.XMATCH(D348,'300s - 5 Digit FERC Accounts'!B:B)</f>
        <v>1</v>
      </c>
      <c r="B348" s="1608" t="str">
        <f t="shared" si="25"/>
        <v/>
      </c>
      <c r="C348" s="1608" t="str">
        <f t="shared" si="24"/>
        <v/>
      </c>
      <c r="I348" s="1606">
        <f t="shared" si="26"/>
        <v>0</v>
      </c>
      <c r="Q348" s="1606">
        <f t="shared" si="27"/>
        <v>0</v>
      </c>
    </row>
    <row r="349" spans="1:17">
      <c r="A349">
        <f>+_xlfn.XMATCH(D349,'300s - 5 Digit FERC Accounts'!B:B)</f>
        <v>1</v>
      </c>
      <c r="B349" s="1608" t="str">
        <f t="shared" si="25"/>
        <v/>
      </c>
      <c r="C349" s="1608" t="str">
        <f t="shared" si="24"/>
        <v/>
      </c>
      <c r="I349" s="1606">
        <f t="shared" si="26"/>
        <v>0</v>
      </c>
      <c r="Q349" s="1606">
        <f t="shared" si="27"/>
        <v>0</v>
      </c>
    </row>
    <row r="350" spans="1:17">
      <c r="A350">
        <f>+_xlfn.XMATCH(D350,'300s - 5 Digit FERC Accounts'!B:B)</f>
        <v>1</v>
      </c>
      <c r="B350" s="1608" t="str">
        <f t="shared" si="25"/>
        <v/>
      </c>
      <c r="C350" s="1608" t="str">
        <f t="shared" si="24"/>
        <v/>
      </c>
      <c r="I350" s="1606">
        <f t="shared" si="26"/>
        <v>0</v>
      </c>
      <c r="Q350" s="1606">
        <f t="shared" si="27"/>
        <v>0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theme="2" tint="-0.499984740745262"/>
  </sheetPr>
  <dimension ref="A1:AV2123"/>
  <sheetViews>
    <sheetView tabSelected="1" showOutlineSymbols="0" workbookViewId="0"/>
  </sheetViews>
  <sheetFormatPr defaultColWidth="8.5546875" defaultRowHeight="13.8"/>
  <cols>
    <col min="1" max="2" width="11.88671875" style="1320" customWidth="1"/>
    <col min="3" max="3" width="10.88671875" style="1322" customWidth="1"/>
    <col min="4" max="4" width="75.6640625" style="1320" customWidth="1"/>
    <col min="5" max="5" width="16.109375" style="1320" customWidth="1"/>
    <col min="6" max="6" width="25.88671875" style="1320" customWidth="1"/>
    <col min="7" max="7" width="25.88671875" style="1324" customWidth="1"/>
    <col min="8" max="8" width="25.88671875" style="1320" customWidth="1"/>
    <col min="9" max="9" width="19.5546875" style="1323" customWidth="1"/>
    <col min="10" max="10" width="17.88671875" style="1324" customWidth="1"/>
    <col min="11" max="12" width="15.109375" style="1324" customWidth="1"/>
    <col min="13" max="15" width="15.109375" style="1325" customWidth="1"/>
    <col min="16" max="16" width="15.109375" style="1324" customWidth="1"/>
    <col min="17" max="17" width="12.44140625" style="1324" customWidth="1"/>
    <col min="18" max="18" width="4.109375" style="1320" customWidth="1"/>
    <col min="19" max="19" width="26.44140625" style="1320" customWidth="1"/>
    <col min="20" max="20" width="11.88671875" style="1320" customWidth="1"/>
    <col min="21" max="21" width="24.33203125" style="1324" customWidth="1"/>
    <col min="22" max="22" width="94.88671875" style="1320" customWidth="1"/>
    <col min="23" max="24" width="8.5546875" style="1320"/>
    <col min="25" max="25" width="9.88671875" style="1320" customWidth="1"/>
    <col min="26" max="26" width="8.5546875" style="1320"/>
    <col min="27" max="27" width="10.5546875" style="1320" customWidth="1"/>
    <col min="28" max="28" width="12.5546875" style="1320" customWidth="1"/>
    <col min="29" max="30" width="8.5546875" style="1320"/>
    <col min="31" max="31" width="13.109375" style="1320" customWidth="1"/>
    <col min="32" max="32" width="9.88671875" style="1320" bestFit="1" customWidth="1"/>
    <col min="33" max="33" width="9.44140625" style="1320" bestFit="1" customWidth="1"/>
    <col min="34" max="35" width="8.5546875" style="1320"/>
    <col min="36" max="36" width="13.109375" style="1320" customWidth="1"/>
    <col min="37" max="37" width="9.88671875" style="1320" bestFit="1" customWidth="1"/>
    <col min="38" max="38" width="8.5546875" style="1320"/>
    <col min="39" max="39" width="9.44140625" style="1320" bestFit="1" customWidth="1"/>
    <col min="40" max="40" width="12.109375" style="1320" customWidth="1"/>
    <col min="41" max="42" width="8.5546875" style="1320"/>
    <col min="43" max="43" width="13.44140625" style="1320" customWidth="1"/>
    <col min="44" max="44" width="13.109375" style="1320" customWidth="1"/>
    <col min="45" max="46" width="8.5546875" style="1320"/>
    <col min="47" max="47" width="13.5546875" style="1320" customWidth="1"/>
    <col min="48" max="16384" width="8.5546875" style="1320"/>
  </cols>
  <sheetData>
    <row r="1" spans="1:24" ht="12.75" customHeight="1">
      <c r="B1" s="1321"/>
      <c r="E1" s="84" t="s">
        <v>116</v>
      </c>
      <c r="G1" s="1320"/>
      <c r="S1" s="1321"/>
      <c r="T1" s="1321"/>
      <c r="U1" s="1326"/>
    </row>
    <row r="2" spans="1:24">
      <c r="C2" s="1580" t="s">
        <v>9478</v>
      </c>
      <c r="G2" s="1327" t="s">
        <v>2173</v>
      </c>
      <c r="I2" s="1328" t="s">
        <v>4767</v>
      </c>
      <c r="L2" s="1329" t="s">
        <v>2173</v>
      </c>
      <c r="M2" s="1330"/>
      <c r="N2" s="1330"/>
      <c r="O2" s="1330"/>
      <c r="R2" s="1331"/>
      <c r="S2" s="1332" t="s">
        <v>4767</v>
      </c>
      <c r="T2" s="1333" t="s">
        <v>2173</v>
      </c>
      <c r="U2" s="1334"/>
      <c r="V2" s="1332" t="s">
        <v>4772</v>
      </c>
    </row>
    <row r="3" spans="1:24">
      <c r="C3" s="1580" t="s">
        <v>9472</v>
      </c>
      <c r="G3" s="1333" t="s">
        <v>4768</v>
      </c>
      <c r="I3" s="1335" t="s">
        <v>5140</v>
      </c>
      <c r="L3" s="1336" t="s">
        <v>5141</v>
      </c>
      <c r="M3" s="1337"/>
      <c r="N3" s="1337"/>
      <c r="O3" s="1337"/>
      <c r="S3" s="1335" t="s">
        <v>5140</v>
      </c>
      <c r="T3" s="1333" t="s">
        <v>5141</v>
      </c>
      <c r="U3" s="1334"/>
      <c r="V3" s="1332" t="s">
        <v>4767</v>
      </c>
    </row>
    <row r="4" spans="1:24">
      <c r="C4" s="1340" t="s">
        <v>9357</v>
      </c>
      <c r="G4" s="1336" t="s">
        <v>2181</v>
      </c>
      <c r="L4" s="1338" t="s">
        <v>2181</v>
      </c>
      <c r="M4" s="1337"/>
      <c r="N4" s="1337"/>
      <c r="O4" s="1337"/>
      <c r="T4" s="1339"/>
    </row>
    <row r="5" spans="1:24">
      <c r="C5" s="1581" t="s">
        <v>9473</v>
      </c>
      <c r="S5" s="1332"/>
      <c r="T5" s="1333"/>
      <c r="U5" s="1334"/>
    </row>
    <row r="6" spans="1:24">
      <c r="C6" s="1522" t="s">
        <v>9358</v>
      </c>
      <c r="D6" s="1340"/>
      <c r="G6" s="1333" t="s">
        <v>3148</v>
      </c>
      <c r="L6" s="1333" t="s">
        <v>5142</v>
      </c>
      <c r="M6" s="1337"/>
      <c r="N6" s="1337"/>
      <c r="O6" s="1337"/>
      <c r="T6" s="1333" t="s">
        <v>5142</v>
      </c>
    </row>
    <row r="7" spans="1:24">
      <c r="C7" s="1341"/>
      <c r="G7" s="1333"/>
      <c r="L7" s="1336"/>
      <c r="M7" s="1337"/>
      <c r="N7" s="1337"/>
      <c r="O7" s="1337"/>
    </row>
    <row r="8" spans="1:24" ht="15.75" customHeight="1">
      <c r="D8" s="907"/>
      <c r="G8" s="1336"/>
      <c r="L8" s="1336"/>
      <c r="M8" s="1337"/>
      <c r="N8" s="1337"/>
      <c r="O8" s="1337"/>
    </row>
    <row r="9" spans="1:24">
      <c r="G9" s="1320"/>
    </row>
    <row r="10" spans="1:24">
      <c r="C10" s="1342"/>
      <c r="F10" s="1333"/>
      <c r="G10" s="1339"/>
      <c r="H10" s="1339"/>
      <c r="I10" s="1343"/>
      <c r="K10" s="1344"/>
      <c r="P10" s="1345"/>
      <c r="Q10" s="1345"/>
      <c r="R10" s="1346"/>
    </row>
    <row r="11" spans="1:24" ht="30" customHeight="1">
      <c r="A11" s="1347" t="s">
        <v>4683</v>
      </c>
      <c r="B11" s="1348" t="s">
        <v>5143</v>
      </c>
      <c r="C11" s="1349" t="s">
        <v>4297</v>
      </c>
      <c r="D11" s="1350"/>
      <c r="E11" s="1350"/>
      <c r="F11" s="1348" t="s">
        <v>5144</v>
      </c>
      <c r="G11" s="1348" t="s">
        <v>4956</v>
      </c>
      <c r="H11" s="1348" t="s">
        <v>4957</v>
      </c>
      <c r="I11" s="1351" t="s">
        <v>5145</v>
      </c>
      <c r="J11" s="1352" t="s">
        <v>4957</v>
      </c>
      <c r="K11" s="1353" t="s">
        <v>1949</v>
      </c>
      <c r="L11" s="1353" t="s">
        <v>1950</v>
      </c>
      <c r="M11" s="1354" t="s">
        <v>1934</v>
      </c>
      <c r="N11" s="1354" t="s">
        <v>1971</v>
      </c>
      <c r="O11" s="1354" t="s">
        <v>1972</v>
      </c>
      <c r="P11" s="1352" t="s">
        <v>5146</v>
      </c>
      <c r="Q11" s="1352" t="s">
        <v>5147</v>
      </c>
      <c r="R11" s="1355"/>
      <c r="S11" s="1348" t="s">
        <v>5143</v>
      </c>
      <c r="T11" s="1348"/>
      <c r="U11" s="1352"/>
      <c r="V11" s="1355" t="s">
        <v>4774</v>
      </c>
      <c r="W11" s="1350"/>
    </row>
    <row r="12" spans="1:24">
      <c r="B12" s="1356"/>
      <c r="C12" s="1357"/>
      <c r="D12" s="1358"/>
      <c r="E12" s="1358"/>
      <c r="F12" s="1346"/>
      <c r="G12" s="1346"/>
      <c r="H12" s="1346"/>
      <c r="I12" s="1359"/>
      <c r="J12" s="1360"/>
      <c r="K12" s="1360"/>
      <c r="L12" s="1360"/>
      <c r="M12" s="1361"/>
      <c r="N12" s="1361"/>
      <c r="O12" s="1361"/>
      <c r="P12" s="1360"/>
      <c r="Q12" s="1360"/>
      <c r="R12" s="1346"/>
      <c r="S12" s="1356"/>
      <c r="T12" s="1356"/>
      <c r="U12" s="1362"/>
    </row>
    <row r="13" spans="1:24">
      <c r="A13" s="1320" t="s">
        <v>5148</v>
      </c>
      <c r="C13" s="1322">
        <v>1</v>
      </c>
      <c r="D13" s="1356" t="s">
        <v>5149</v>
      </c>
      <c r="E13" s="1339"/>
      <c r="G13" s="1320"/>
    </row>
    <row r="14" spans="1:24">
      <c r="A14" s="1320" t="s">
        <v>5148</v>
      </c>
      <c r="C14" s="1322">
        <v>2</v>
      </c>
      <c r="D14" s="1320" t="s">
        <v>4776</v>
      </c>
      <c r="E14" s="1363"/>
      <c r="F14" s="1358">
        <f>+F115+F131</f>
        <v>1488654.5251124175</v>
      </c>
      <c r="G14" s="1358">
        <f>+G115+G131</f>
        <v>7929.0305824175994</v>
      </c>
      <c r="H14" s="1358">
        <f>+H115+H131</f>
        <v>1480725.49453</v>
      </c>
      <c r="I14" s="1323">
        <f>IF(F14=0,0,+H14/F14)</f>
        <v>0.99467369329239186</v>
      </c>
      <c r="J14" s="1364">
        <f t="shared" ref="J14:Q14" si="0">+J115</f>
        <v>1480725.49453</v>
      </c>
      <c r="K14" s="1364">
        <f t="shared" si="0"/>
        <v>920603.76834000018</v>
      </c>
      <c r="L14" s="1364">
        <f t="shared" si="0"/>
        <v>95214.926359999983</v>
      </c>
      <c r="M14" s="1364">
        <f t="shared" si="0"/>
        <v>310482.25785000005</v>
      </c>
      <c r="N14" s="1364">
        <f t="shared" si="0"/>
        <v>44352.932979999998</v>
      </c>
      <c r="O14" s="1364">
        <f>+O115</f>
        <v>23795.302800000001</v>
      </c>
      <c r="P14" s="1364">
        <f>+P115</f>
        <v>8901.6767400000099</v>
      </c>
      <c r="Q14" s="1364">
        <f t="shared" si="0"/>
        <v>77374.629459999996</v>
      </c>
      <c r="R14" s="1358"/>
      <c r="S14" s="1324"/>
      <c r="T14" s="1365"/>
      <c r="V14" s="1320" t="s">
        <v>5150</v>
      </c>
      <c r="W14" s="907"/>
      <c r="X14" s="907"/>
    </row>
    <row r="15" spans="1:24">
      <c r="A15" s="1320" t="s">
        <v>5148</v>
      </c>
      <c r="C15" s="1322">
        <v>3</v>
      </c>
      <c r="D15" s="1320" t="s">
        <v>5151</v>
      </c>
      <c r="E15" s="1363"/>
      <c r="F15" s="1350">
        <f>F125+F137+F147+F117-F131</f>
        <v>40050.163994830684</v>
      </c>
      <c r="G15" s="1350">
        <f>G125+G137+G147+G117-G131</f>
        <v>82.264246588621972</v>
      </c>
      <c r="H15" s="1350">
        <f>H125+H137+H147+H117-H131</f>
        <v>39967.899748242067</v>
      </c>
      <c r="I15" s="1323">
        <f>IF(F15=0,0,+H15/F15)</f>
        <v>0.99794596979430006</v>
      </c>
      <c r="J15" s="1366">
        <f t="shared" ref="J15:Q15" si="1">J125+J137+J147+J117-J131</f>
        <v>39967.899748242067</v>
      </c>
      <c r="K15" s="1366">
        <f t="shared" si="1"/>
        <v>30484.421691497635</v>
      </c>
      <c r="L15" s="1366">
        <f t="shared" si="1"/>
        <v>2699.679424153157</v>
      </c>
      <c r="M15" s="1366">
        <f t="shared" si="1"/>
        <v>5927.7559690382159</v>
      </c>
      <c r="N15" s="1366">
        <f t="shared" si="1"/>
        <v>600.07681537854978</v>
      </c>
      <c r="O15" s="1366">
        <f>O125+O137+O147+O117-O131</f>
        <v>114.07386736303793</v>
      </c>
      <c r="P15" s="1366">
        <f>P125+P137+P147+P117-P131</f>
        <v>94.351075053650149</v>
      </c>
      <c r="Q15" s="1366">
        <f t="shared" si="1"/>
        <v>117.64090575782981</v>
      </c>
      <c r="R15" s="1358"/>
      <c r="S15" s="1324"/>
      <c r="T15" s="1365"/>
      <c r="V15" s="1320" t="s">
        <v>5152</v>
      </c>
      <c r="W15" s="907"/>
      <c r="X15" s="907"/>
    </row>
    <row r="16" spans="1:24">
      <c r="A16" s="1320" t="s">
        <v>5148</v>
      </c>
      <c r="C16" s="1322">
        <v>4</v>
      </c>
      <c r="E16" s="1363"/>
      <c r="F16" s="1358"/>
      <c r="G16" s="1358"/>
      <c r="H16" s="1358"/>
      <c r="J16" s="1364"/>
      <c r="K16" s="1364"/>
      <c r="L16" s="1364"/>
      <c r="M16" s="1364"/>
      <c r="N16" s="1367"/>
      <c r="O16" s="1367"/>
      <c r="P16" s="1367"/>
      <c r="Q16" s="1364"/>
      <c r="R16" s="1358"/>
      <c r="S16" s="1324"/>
      <c r="T16" s="1365"/>
      <c r="W16" s="907"/>
      <c r="X16" s="907"/>
    </row>
    <row r="17" spans="1:25">
      <c r="A17" s="1320" t="s">
        <v>5148</v>
      </c>
      <c r="C17" s="1322">
        <v>5</v>
      </c>
      <c r="D17" s="1320" t="s">
        <v>5153</v>
      </c>
      <c r="E17" s="1363"/>
      <c r="F17" s="1364">
        <f>SUM(F14:F15)</f>
        <v>1528704.6891072481</v>
      </c>
      <c r="G17" s="1358">
        <f>SUM(G14:G15)</f>
        <v>8011.2948290062213</v>
      </c>
      <c r="H17" s="1358">
        <f>SUM(H14:H15)</f>
        <v>1520693.394278242</v>
      </c>
      <c r="J17" s="1364">
        <f t="shared" ref="J17:Q17" si="2">SUM(J14:J15)</f>
        <v>1520693.394278242</v>
      </c>
      <c r="K17" s="1364">
        <f t="shared" si="2"/>
        <v>951088.19003149786</v>
      </c>
      <c r="L17" s="1364">
        <f t="shared" si="2"/>
        <v>97914.605784153144</v>
      </c>
      <c r="M17" s="1364">
        <f t="shared" si="2"/>
        <v>316410.01381903829</v>
      </c>
      <c r="N17" s="1367">
        <f t="shared" si="2"/>
        <v>44953.009795378544</v>
      </c>
      <c r="O17" s="1367">
        <f>SUM(O14:O15)</f>
        <v>23909.376667363038</v>
      </c>
      <c r="P17" s="1367">
        <f>SUM(P14:P15)</f>
        <v>8996.0278150536597</v>
      </c>
      <c r="Q17" s="1364">
        <f t="shared" si="2"/>
        <v>77492.270365757824</v>
      </c>
      <c r="R17" s="1358"/>
      <c r="S17" s="1324"/>
      <c r="T17" s="1365"/>
      <c r="V17" s="1320" t="s">
        <v>5154</v>
      </c>
      <c r="W17" s="907"/>
      <c r="X17" s="907"/>
    </row>
    <row r="18" spans="1:25">
      <c r="A18" s="1320" t="s">
        <v>5148</v>
      </c>
      <c r="C18" s="1322">
        <v>6</v>
      </c>
      <c r="E18" s="1339"/>
      <c r="F18" s="1324"/>
      <c r="G18" s="1320"/>
      <c r="J18" s="1368"/>
      <c r="K18" s="1369"/>
      <c r="L18" s="1369"/>
      <c r="M18" s="1369"/>
      <c r="N18" s="1369"/>
      <c r="O18" s="1369"/>
      <c r="P18" s="1369"/>
      <c r="Q18" s="1369"/>
      <c r="T18" s="1365"/>
      <c r="U18" s="1368"/>
      <c r="W18" s="907"/>
      <c r="X18" s="907"/>
    </row>
    <row r="19" spans="1:25">
      <c r="A19" s="1320" t="s">
        <v>5148</v>
      </c>
      <c r="C19" s="1322">
        <v>7</v>
      </c>
      <c r="E19" s="1339"/>
      <c r="F19" s="1324"/>
      <c r="G19" s="1320"/>
      <c r="J19" s="1370"/>
      <c r="K19" s="1370"/>
      <c r="L19" s="1370"/>
      <c r="M19" s="1370"/>
      <c r="N19" s="1370"/>
      <c r="O19" s="1370"/>
      <c r="P19" s="1370"/>
      <c r="Q19" s="1370"/>
      <c r="R19" s="1371"/>
      <c r="S19" s="1371"/>
      <c r="T19" s="1372"/>
      <c r="W19" s="907"/>
      <c r="X19" s="907"/>
    </row>
    <row r="20" spans="1:25">
      <c r="A20" s="1320" t="s">
        <v>5148</v>
      </c>
      <c r="B20" s="1339"/>
      <c r="C20" s="1322">
        <v>8</v>
      </c>
      <c r="D20" s="1356" t="s">
        <v>5155</v>
      </c>
      <c r="E20" s="1339"/>
      <c r="F20" s="1324"/>
      <c r="G20" s="1320"/>
      <c r="S20" s="1339"/>
      <c r="T20" s="1339"/>
      <c r="U20" s="1344"/>
      <c r="W20" s="907"/>
      <c r="X20" s="907"/>
    </row>
    <row r="21" spans="1:25">
      <c r="A21" s="1320" t="s">
        <v>5148</v>
      </c>
      <c r="C21" s="1322">
        <v>9</v>
      </c>
      <c r="D21" s="1320" t="s">
        <v>5156</v>
      </c>
      <c r="E21" s="1363"/>
      <c r="F21" s="1324">
        <f>+F187</f>
        <v>626.46090775325297</v>
      </c>
      <c r="G21" s="1320">
        <f>+G187</f>
        <v>0</v>
      </c>
      <c r="H21" s="1320">
        <f>+H187</f>
        <v>626.46090775325297</v>
      </c>
      <c r="I21" s="1323">
        <f t="shared" ref="I21:I26" si="3">IF(F21=0,0,+H21/F21)</f>
        <v>1</v>
      </c>
      <c r="J21" s="1324">
        <f t="shared" ref="J21:Q21" si="4">+J187</f>
        <v>626.46090775325297</v>
      </c>
      <c r="K21" s="1324">
        <f t="shared" si="4"/>
        <v>316.13358975594224</v>
      </c>
      <c r="L21" s="1324">
        <f t="shared" si="4"/>
        <v>29.214444451259041</v>
      </c>
      <c r="M21" s="1324">
        <f t="shared" si="4"/>
        <v>217.63626389760336</v>
      </c>
      <c r="N21" s="1324">
        <f t="shared" si="4"/>
        <v>34.64419389080566</v>
      </c>
      <c r="O21" s="1324">
        <f>+O187</f>
        <v>25.522788671559834</v>
      </c>
      <c r="P21" s="1324">
        <f>+P187</f>
        <v>3.3096270860828403</v>
      </c>
      <c r="Q21" s="1324">
        <f t="shared" si="4"/>
        <v>0</v>
      </c>
      <c r="S21" s="1324"/>
      <c r="T21" s="1324"/>
      <c r="V21" s="1324" t="s">
        <v>5157</v>
      </c>
      <c r="W21" s="907"/>
      <c r="X21" s="907"/>
    </row>
    <row r="22" spans="1:25" s="1324" customFormat="1">
      <c r="A22" s="1320" t="s">
        <v>5148</v>
      </c>
      <c r="C22" s="1322">
        <v>10</v>
      </c>
      <c r="D22" s="1324" t="s">
        <v>5158</v>
      </c>
      <c r="E22" s="1373"/>
      <c r="F22" s="1324">
        <f>+F327</f>
        <v>393467.81745022279</v>
      </c>
      <c r="G22" s="1324">
        <f>+G327</f>
        <v>1066.1699237413127</v>
      </c>
      <c r="H22" s="1324">
        <f>+H327</f>
        <v>392401.64752648154</v>
      </c>
      <c r="I22" s="1374">
        <f t="shared" si="3"/>
        <v>0.99729032496062753</v>
      </c>
      <c r="J22" s="1324">
        <f t="shared" ref="J22:Q22" si="5">+J327</f>
        <v>392401.64752648154</v>
      </c>
      <c r="K22" s="1324">
        <f t="shared" si="5"/>
        <v>247580.14556105225</v>
      </c>
      <c r="L22" s="1324">
        <f t="shared" si="5"/>
        <v>23501.486448849028</v>
      </c>
      <c r="M22" s="1324">
        <f t="shared" si="5"/>
        <v>92417.671910949386</v>
      </c>
      <c r="N22" s="1324">
        <f t="shared" si="5"/>
        <v>11175.765328954869</v>
      </c>
      <c r="O22" s="1324">
        <f>+O327</f>
        <v>6782.1081157975914</v>
      </c>
      <c r="P22" s="1324">
        <f>+P327</f>
        <v>811.52231464667159</v>
      </c>
      <c r="Q22" s="1324">
        <f t="shared" si="5"/>
        <v>10132.947846231667</v>
      </c>
      <c r="V22" s="1324" t="s">
        <v>5159</v>
      </c>
      <c r="W22" s="907"/>
      <c r="X22" s="907"/>
      <c r="Y22" s="1320"/>
    </row>
    <row r="23" spans="1:25">
      <c r="A23" s="1320" t="s">
        <v>5148</v>
      </c>
      <c r="C23" s="1322">
        <v>11</v>
      </c>
      <c r="D23" s="1320" t="s">
        <v>5160</v>
      </c>
      <c r="E23" s="1363"/>
      <c r="F23" s="1324">
        <f>+F507</f>
        <v>533874.20787373558</v>
      </c>
      <c r="G23" s="1320">
        <f>+G507</f>
        <v>2093.0001214808881</v>
      </c>
      <c r="H23" s="1320">
        <f>+H507</f>
        <v>531781.20775225468</v>
      </c>
      <c r="I23" s="1323">
        <f t="shared" si="3"/>
        <v>0.99607960060513745</v>
      </c>
      <c r="J23" s="1324">
        <f t="shared" ref="J23:Q23" si="6">+J507</f>
        <v>531781.20775225468</v>
      </c>
      <c r="K23" s="1324">
        <f t="shared" si="6"/>
        <v>311164.67481860949</v>
      </c>
      <c r="L23" s="1324">
        <f t="shared" si="6"/>
        <v>27561.84170714474</v>
      </c>
      <c r="M23" s="1324">
        <f t="shared" si="6"/>
        <v>142935.88988162612</v>
      </c>
      <c r="N23" s="1324">
        <f t="shared" si="6"/>
        <v>16486.373946924527</v>
      </c>
      <c r="O23" s="1324">
        <f>+O507</f>
        <v>10216.614856912653</v>
      </c>
      <c r="P23" s="1324">
        <f>+P507</f>
        <v>1026.1775749925157</v>
      </c>
      <c r="Q23" s="1324">
        <f t="shared" si="6"/>
        <v>22389.634966044672</v>
      </c>
      <c r="S23" s="1324"/>
      <c r="T23" s="1324"/>
      <c r="V23" s="1324" t="s">
        <v>5161</v>
      </c>
      <c r="W23" s="907"/>
      <c r="X23" s="907"/>
    </row>
    <row r="24" spans="1:25">
      <c r="A24" s="1320" t="s">
        <v>5148</v>
      </c>
      <c r="C24" s="1322">
        <v>12</v>
      </c>
      <c r="D24" s="1320" t="s">
        <v>5162</v>
      </c>
      <c r="E24" s="1363"/>
      <c r="F24" s="1324">
        <f>+F607</f>
        <v>102154.4377432372</v>
      </c>
      <c r="G24" s="1320">
        <f>+G607</f>
        <v>528.40056472214428</v>
      </c>
      <c r="H24" s="1320">
        <f>+H607</f>
        <v>101626.03717851505</v>
      </c>
      <c r="I24" s="1323">
        <f t="shared" si="3"/>
        <v>0.99482743406556384</v>
      </c>
      <c r="J24" s="1324">
        <f t="shared" ref="J24:Q24" si="7">+J607</f>
        <v>101626.03717851505</v>
      </c>
      <c r="K24" s="1324">
        <f t="shared" si="7"/>
        <v>59891.376789199014</v>
      </c>
      <c r="L24" s="1324">
        <f t="shared" si="7"/>
        <v>5110.4039550914458</v>
      </c>
      <c r="M24" s="1324">
        <f t="shared" si="7"/>
        <v>26858.595952712822</v>
      </c>
      <c r="N24" s="1324">
        <f t="shared" si="7"/>
        <v>3107.7213782052122</v>
      </c>
      <c r="O24" s="1324">
        <f>+O607</f>
        <v>1864.5617646949661</v>
      </c>
      <c r="P24" s="1324">
        <f>+P607</f>
        <v>200.25066778953899</v>
      </c>
      <c r="Q24" s="1324">
        <f t="shared" si="7"/>
        <v>4593.1266708220564</v>
      </c>
      <c r="S24" s="1324"/>
      <c r="T24" s="1324"/>
      <c r="V24" s="1324" t="s">
        <v>5163</v>
      </c>
      <c r="W24" s="907"/>
      <c r="X24" s="907"/>
    </row>
    <row r="25" spans="1:25">
      <c r="A25" s="1320" t="s">
        <v>5148</v>
      </c>
      <c r="C25" s="1322">
        <v>13</v>
      </c>
      <c r="D25" s="1320" t="s">
        <v>5164</v>
      </c>
      <c r="E25" s="1373"/>
      <c r="F25" s="1324">
        <f>+F845</f>
        <v>-7760.8594460476525</v>
      </c>
      <c r="G25" s="1320">
        <f>+G845</f>
        <v>656.88599111870178</v>
      </c>
      <c r="H25" s="1320">
        <f>+H845</f>
        <v>-8417.7454371663553</v>
      </c>
      <c r="I25" s="1323">
        <f t="shared" si="3"/>
        <v>1.0846408823256337</v>
      </c>
      <c r="J25" s="1324">
        <f>+J845</f>
        <v>-8417.7454371663553</v>
      </c>
      <c r="K25" s="1324">
        <f t="shared" ref="K25:Q25" si="8">+K845</f>
        <v>7630.0280596558732</v>
      </c>
      <c r="L25" s="1324">
        <f t="shared" si="8"/>
        <v>4025.9333734693009</v>
      </c>
      <c r="M25" s="1324">
        <f t="shared" si="8"/>
        <v>-23624.955850016337</v>
      </c>
      <c r="N25" s="1324">
        <f t="shared" si="8"/>
        <v>-953.61354516924746</v>
      </c>
      <c r="O25" s="1324">
        <f t="shared" si="8"/>
        <v>-1754.0752808325726</v>
      </c>
      <c r="P25" s="1324">
        <f t="shared" si="8"/>
        <v>1573.614798678165</v>
      </c>
      <c r="Q25" s="1324">
        <f t="shared" si="8"/>
        <v>4703.089852048417</v>
      </c>
      <c r="S25" s="1324"/>
      <c r="T25" s="1324"/>
      <c r="V25" s="1324" t="s">
        <v>5165</v>
      </c>
      <c r="W25" s="907"/>
      <c r="X25" s="907"/>
    </row>
    <row r="26" spans="1:25">
      <c r="A26" s="1320" t="s">
        <v>5148</v>
      </c>
      <c r="C26" s="1322">
        <v>14</v>
      </c>
      <c r="D26" s="1320" t="s">
        <v>5166</v>
      </c>
      <c r="E26" s="1363"/>
      <c r="F26" s="1324">
        <f>+F709</f>
        <v>0</v>
      </c>
      <c r="G26" s="1324">
        <f>+G709</f>
        <v>0</v>
      </c>
      <c r="H26" s="1366">
        <f>+H709</f>
        <v>0</v>
      </c>
      <c r="I26" s="1323">
        <f t="shared" si="3"/>
        <v>0</v>
      </c>
      <c r="J26" s="1324">
        <f t="shared" ref="J26:Q26" si="9">+J709</f>
        <v>0</v>
      </c>
      <c r="K26" s="1324">
        <f t="shared" si="9"/>
        <v>0</v>
      </c>
      <c r="L26" s="1324">
        <f t="shared" si="9"/>
        <v>0</v>
      </c>
      <c r="M26" s="1324">
        <f t="shared" si="9"/>
        <v>0</v>
      </c>
      <c r="N26" s="1324">
        <f t="shared" si="9"/>
        <v>0</v>
      </c>
      <c r="O26" s="1324">
        <f>+O709</f>
        <v>0</v>
      </c>
      <c r="P26" s="1324">
        <f>+P709</f>
        <v>0</v>
      </c>
      <c r="Q26" s="1366">
        <f t="shared" si="9"/>
        <v>0</v>
      </c>
      <c r="R26" s="1364"/>
      <c r="S26" s="1324"/>
      <c r="T26" s="1324"/>
      <c r="V26" s="1324" t="s">
        <v>5167</v>
      </c>
      <c r="W26" s="907"/>
      <c r="X26" s="907"/>
    </row>
    <row r="27" spans="1:25">
      <c r="A27" s="1320" t="s">
        <v>5148</v>
      </c>
      <c r="C27" s="1322">
        <v>15</v>
      </c>
      <c r="F27" s="1375"/>
      <c r="G27" s="1376"/>
      <c r="H27" s="1358"/>
      <c r="J27" s="1375"/>
      <c r="K27" s="1375"/>
      <c r="L27" s="1375"/>
      <c r="M27" s="1375"/>
      <c r="N27" s="1377"/>
      <c r="O27" s="1377"/>
      <c r="P27" s="1377"/>
      <c r="Q27" s="1364"/>
      <c r="R27" s="1358"/>
      <c r="S27" s="1324"/>
      <c r="T27" s="1324"/>
      <c r="V27" s="1324"/>
      <c r="W27" s="907"/>
      <c r="X27" s="907"/>
    </row>
    <row r="28" spans="1:25">
      <c r="A28" s="1320" t="s">
        <v>5148</v>
      </c>
      <c r="C28" s="1322">
        <v>16</v>
      </c>
      <c r="D28" s="1320" t="s">
        <v>5168</v>
      </c>
      <c r="E28" s="1373"/>
      <c r="F28" s="1350">
        <f>SUM(F21:F26)</f>
        <v>1022362.0645289012</v>
      </c>
      <c r="G28" s="1350">
        <f>SUM(G21:G26)</f>
        <v>4344.4566010630469</v>
      </c>
      <c r="H28" s="1350">
        <f>SUM(H21:H26)</f>
        <v>1018017.6079278382</v>
      </c>
      <c r="I28" s="1323">
        <f>IF(F28=0,0,+H28/F28)</f>
        <v>0.99575056943934537</v>
      </c>
      <c r="J28" s="1366">
        <f t="shared" ref="J28:Q28" si="10">SUM(J21:J26)</f>
        <v>1018017.6079278382</v>
      </c>
      <c r="K28" s="1366">
        <f t="shared" si="10"/>
        <v>626582.35881827271</v>
      </c>
      <c r="L28" s="1366">
        <f t="shared" si="10"/>
        <v>60228.879929005772</v>
      </c>
      <c r="M28" s="1366">
        <f t="shared" si="10"/>
        <v>238804.83815916959</v>
      </c>
      <c r="N28" s="1378">
        <f t="shared" si="10"/>
        <v>29850.891302806169</v>
      </c>
      <c r="O28" s="1378">
        <f>SUM(O21:O26)</f>
        <v>17134.732245244195</v>
      </c>
      <c r="P28" s="1378">
        <f>SUM(P21:P26)</f>
        <v>3614.8749831929745</v>
      </c>
      <c r="Q28" s="1366">
        <f t="shared" si="10"/>
        <v>41818.799335146818</v>
      </c>
      <c r="S28" s="1324"/>
      <c r="T28" s="1324"/>
      <c r="V28" s="1320" t="s">
        <v>5169</v>
      </c>
      <c r="W28" s="907"/>
      <c r="X28" s="907"/>
    </row>
    <row r="29" spans="1:25">
      <c r="A29" s="1320" t="s">
        <v>5148</v>
      </c>
      <c r="C29" s="1322">
        <v>17</v>
      </c>
      <c r="E29" s="1373"/>
      <c r="F29" s="1358"/>
      <c r="G29" s="1358"/>
      <c r="H29" s="1358"/>
      <c r="I29" s="1379"/>
      <c r="J29" s="1364"/>
      <c r="K29" s="1364"/>
      <c r="L29" s="1364"/>
      <c r="M29" s="1367"/>
      <c r="N29" s="1367"/>
      <c r="O29" s="1367"/>
      <c r="P29" s="1364"/>
      <c r="Q29" s="1364"/>
      <c r="S29" s="1324"/>
      <c r="T29" s="1324"/>
      <c r="V29" s="1324"/>
      <c r="W29" s="907"/>
      <c r="X29" s="907"/>
    </row>
    <row r="30" spans="1:25">
      <c r="A30" s="1320" t="s">
        <v>5148</v>
      </c>
      <c r="C30" s="1322">
        <v>18</v>
      </c>
      <c r="E30" s="1373"/>
      <c r="F30" s="1364"/>
      <c r="G30" s="1358"/>
      <c r="H30" s="1358"/>
      <c r="I30" s="1379"/>
      <c r="J30" s="1364"/>
      <c r="K30" s="1364"/>
      <c r="L30" s="1364"/>
      <c r="M30" s="1367"/>
      <c r="N30" s="1367"/>
      <c r="O30" s="1367"/>
      <c r="P30" s="1364"/>
      <c r="Q30" s="1364"/>
      <c r="R30" s="1358"/>
      <c r="S30" s="1324"/>
      <c r="T30" s="1324"/>
      <c r="V30" s="1324"/>
      <c r="W30" s="907"/>
      <c r="X30" s="907"/>
    </row>
    <row r="31" spans="1:25" ht="14.4" thickBot="1">
      <c r="A31" s="1320" t="s">
        <v>5148</v>
      </c>
      <c r="C31" s="1322">
        <v>19</v>
      </c>
      <c r="D31" s="1320" t="s">
        <v>5170</v>
      </c>
      <c r="E31" s="1373"/>
      <c r="F31" s="1320">
        <f>+F17-F28</f>
        <v>506342.62457834685</v>
      </c>
      <c r="G31" s="1320">
        <f>+G17-G28</f>
        <v>3666.8382279431744</v>
      </c>
      <c r="H31" s="1320">
        <f>+H17-H28</f>
        <v>502675.7863504038</v>
      </c>
      <c r="I31" s="1323">
        <f>IF(F31=0,0,+H31/F31)</f>
        <v>0.99275818773701585</v>
      </c>
      <c r="J31" s="1324">
        <f t="shared" ref="J31:Q31" si="11">+J17-J28</f>
        <v>502675.7863504038</v>
      </c>
      <c r="K31" s="1380">
        <f t="shared" si="11"/>
        <v>324505.83121322514</v>
      </c>
      <c r="L31" s="1324">
        <f t="shared" si="11"/>
        <v>37685.725855147371</v>
      </c>
      <c r="M31" s="1324">
        <f t="shared" si="11"/>
        <v>77605.175659868692</v>
      </c>
      <c r="N31" s="1325">
        <f t="shared" si="11"/>
        <v>15102.118492572376</v>
      </c>
      <c r="O31" s="1325">
        <f>+O17-O28</f>
        <v>6774.6444221188431</v>
      </c>
      <c r="P31" s="1325">
        <f>+P17-P28</f>
        <v>5381.1528318606852</v>
      </c>
      <c r="Q31" s="1324">
        <f t="shared" si="11"/>
        <v>35673.471030611006</v>
      </c>
      <c r="S31" s="1324"/>
      <c r="T31" s="1324"/>
      <c r="V31" s="1326" t="s">
        <v>5171</v>
      </c>
      <c r="W31" s="907"/>
      <c r="X31" s="907"/>
    </row>
    <row r="32" spans="1:25" ht="14.4" thickTop="1">
      <c r="A32" s="1320" t="s">
        <v>5148</v>
      </c>
      <c r="C32" s="1322">
        <v>20</v>
      </c>
      <c r="F32" s="1381"/>
      <c r="G32" s="1381"/>
      <c r="H32" s="1381"/>
      <c r="J32" s="1381"/>
      <c r="K32" s="1382"/>
      <c r="L32" s="1381"/>
      <c r="M32" s="1381"/>
      <c r="N32" s="1383"/>
      <c r="O32" s="1383"/>
      <c r="P32" s="1383"/>
      <c r="Q32" s="1381"/>
      <c r="R32" s="1364"/>
      <c r="S32" s="1324"/>
      <c r="T32" s="1324"/>
      <c r="V32" s="1326"/>
      <c r="W32" s="907"/>
      <c r="X32" s="907"/>
    </row>
    <row r="33" spans="1:25">
      <c r="A33" s="1320" t="s">
        <v>5148</v>
      </c>
      <c r="C33" s="1322">
        <v>21</v>
      </c>
      <c r="E33" s="1339"/>
      <c r="F33" s="1384"/>
      <c r="G33" s="1320"/>
      <c r="M33" s="1324"/>
      <c r="P33" s="1325"/>
      <c r="S33" s="1324"/>
      <c r="T33" s="1324"/>
      <c r="V33" s="1324"/>
      <c r="W33" s="907"/>
      <c r="X33" s="907"/>
    </row>
    <row r="34" spans="1:25">
      <c r="A34" s="1320" t="s">
        <v>5148</v>
      </c>
      <c r="C34" s="1322">
        <v>22</v>
      </c>
      <c r="D34" s="1356" t="s">
        <v>2305</v>
      </c>
      <c r="E34" s="1339"/>
      <c r="G34" s="1320"/>
      <c r="K34" s="1382"/>
      <c r="M34" s="1324"/>
      <c r="P34" s="1325"/>
      <c r="S34" s="1324"/>
      <c r="T34" s="1324"/>
      <c r="V34" s="1324"/>
      <c r="W34" s="907"/>
      <c r="X34" s="907"/>
    </row>
    <row r="35" spans="1:25">
      <c r="A35" s="1320" t="s">
        <v>5148</v>
      </c>
      <c r="C35" s="1322">
        <v>23</v>
      </c>
      <c r="D35" s="1320" t="s">
        <v>5172</v>
      </c>
      <c r="E35" s="1324"/>
      <c r="F35" s="1324">
        <f>+F1015</f>
        <v>13492110.21479091</v>
      </c>
      <c r="G35" s="1324">
        <f>+G1015</f>
        <v>74031.718711794587</v>
      </c>
      <c r="H35" s="1324">
        <f>+H1015</f>
        <v>13418078.496079115</v>
      </c>
      <c r="I35" s="1323">
        <f>IF(F35=0,0,+H35/F35)</f>
        <v>0.99451296220285568</v>
      </c>
      <c r="J35" s="1324">
        <f t="shared" ref="J35:Q35" si="12">+J1015</f>
        <v>13418078.496079115</v>
      </c>
      <c r="K35" s="1324">
        <f t="shared" si="12"/>
        <v>7845628.475459395</v>
      </c>
      <c r="L35" s="1324">
        <f t="shared" si="12"/>
        <v>662866.43336582044</v>
      </c>
      <c r="M35" s="1324">
        <f t="shared" si="12"/>
        <v>3655100.5126439026</v>
      </c>
      <c r="N35" s="1324">
        <f t="shared" si="12"/>
        <v>421762.74661214469</v>
      </c>
      <c r="O35" s="1324">
        <f>+O1015</f>
        <v>256192.06335684514</v>
      </c>
      <c r="P35" s="1324">
        <f>+P1015</f>
        <v>26129.351537261464</v>
      </c>
      <c r="Q35" s="1324">
        <f t="shared" si="12"/>
        <v>550398.91310374916</v>
      </c>
      <c r="S35" s="1324"/>
      <c r="T35" s="1324"/>
      <c r="V35" s="1324" t="s">
        <v>5173</v>
      </c>
      <c r="W35" s="907"/>
      <c r="X35" s="907"/>
    </row>
    <row r="36" spans="1:25">
      <c r="A36" s="1320" t="s">
        <v>5148</v>
      </c>
      <c r="C36" s="1322">
        <v>24</v>
      </c>
      <c r="D36" s="1320" t="s">
        <v>5174</v>
      </c>
      <c r="E36" s="1324"/>
      <c r="F36" s="1324">
        <f>+F1043</f>
        <v>69494.543000000005</v>
      </c>
      <c r="G36" s="1324">
        <f>+G1043</f>
        <v>1460.9831868422684</v>
      </c>
      <c r="H36" s="1324">
        <f>+H1043</f>
        <v>68033.559813157728</v>
      </c>
      <c r="I36" s="1323">
        <f>IF(F36=0,0,+H36/F36)</f>
        <v>0.97897700849918134</v>
      </c>
      <c r="J36" s="1324">
        <f t="shared" ref="J36:Q36" si="13">+J1043</f>
        <v>68033.559813157728</v>
      </c>
      <c r="K36" s="1324">
        <f t="shared" si="13"/>
        <v>40333.44965803044</v>
      </c>
      <c r="L36" s="1324">
        <f t="shared" si="13"/>
        <v>3181.419829571566</v>
      </c>
      <c r="M36" s="1324">
        <f t="shared" si="13"/>
        <v>20613.517272505655</v>
      </c>
      <c r="N36" s="1324">
        <f t="shared" si="13"/>
        <v>2453.3579895523635</v>
      </c>
      <c r="O36" s="1324">
        <f>+O1043</f>
        <v>1299.982118438001</v>
      </c>
      <c r="P36" s="1324">
        <f>+P1043</f>
        <v>151.83294505970741</v>
      </c>
      <c r="Q36" s="1324">
        <f t="shared" si="13"/>
        <v>0</v>
      </c>
      <c r="S36" s="1324"/>
      <c r="T36" s="1324"/>
      <c r="V36" s="1324" t="s">
        <v>5175</v>
      </c>
      <c r="W36" s="907"/>
      <c r="X36" s="907"/>
    </row>
    <row r="37" spans="1:25">
      <c r="A37" s="1320" t="s">
        <v>5148</v>
      </c>
      <c r="C37" s="1322">
        <v>25</v>
      </c>
      <c r="D37" s="1320" t="s">
        <v>5176</v>
      </c>
      <c r="E37" s="1324"/>
      <c r="F37" s="1324">
        <f>+F1314</f>
        <v>86969.811518665971</v>
      </c>
      <c r="G37" s="1324">
        <f>+G1314</f>
        <v>299.29182373394633</v>
      </c>
      <c r="H37" s="1324">
        <f>+H1314</f>
        <v>86670.519694932053</v>
      </c>
      <c r="I37" s="1323">
        <f>IF(F37=0,0,+H37/F37)</f>
        <v>0.99655866997400955</v>
      </c>
      <c r="J37" s="1324">
        <f t="shared" ref="J37:Q37" si="14">+J1314</f>
        <v>86670.519694932053</v>
      </c>
      <c r="K37" s="1324">
        <f t="shared" si="14"/>
        <v>47142.364559848524</v>
      </c>
      <c r="L37" s="1324">
        <f t="shared" si="14"/>
        <v>4072.2744856448617</v>
      </c>
      <c r="M37" s="1324">
        <f t="shared" si="14"/>
        <v>27371.375789822963</v>
      </c>
      <c r="N37" s="1324">
        <f t="shared" si="14"/>
        <v>3713.3583586374507</v>
      </c>
      <c r="O37" s="1324">
        <f>+O1314</f>
        <v>2553.5228369941074</v>
      </c>
      <c r="P37" s="1324">
        <f>+P1314</f>
        <v>287.22399426118784</v>
      </c>
      <c r="Q37" s="1324">
        <f t="shared" si="14"/>
        <v>1530.3996697229522</v>
      </c>
      <c r="S37" s="1324"/>
      <c r="T37" s="1324"/>
      <c r="V37" s="1324" t="s">
        <v>5177</v>
      </c>
      <c r="W37" s="907"/>
      <c r="X37" s="907"/>
    </row>
    <row r="38" spans="1:25">
      <c r="A38" s="1320" t="s">
        <v>5148</v>
      </c>
      <c r="C38" s="1322">
        <v>26</v>
      </c>
      <c r="D38" s="1320" t="s">
        <v>5178</v>
      </c>
      <c r="E38" s="1324"/>
      <c r="F38" s="1324">
        <f>+F1399</f>
        <v>231613.9264123078</v>
      </c>
      <c r="G38" s="1324">
        <f>+G1399</f>
        <v>1439.1026842580379</v>
      </c>
      <c r="H38" s="1324">
        <f>+H1399</f>
        <v>230174.82372804979</v>
      </c>
      <c r="I38" s="1323">
        <f>IF(F38=0,0,+H38/F38)</f>
        <v>0.99378663145800572</v>
      </c>
      <c r="J38" s="1324">
        <f t="shared" ref="J38:Q38" si="15">+J1399</f>
        <v>230174.82372804979</v>
      </c>
      <c r="K38" s="1324">
        <f t="shared" si="15"/>
        <v>137496.40174108092</v>
      </c>
      <c r="L38" s="1324">
        <f t="shared" si="15"/>
        <v>11923.295850537113</v>
      </c>
      <c r="M38" s="1324">
        <f t="shared" si="15"/>
        <v>61801.2784628929</v>
      </c>
      <c r="N38" s="1324">
        <f t="shared" si="15"/>
        <v>7904.6024335527309</v>
      </c>
      <c r="O38" s="1324">
        <f>+O1399</f>
        <v>5474.9155426655961</v>
      </c>
      <c r="P38" s="1324">
        <f>+P1399</f>
        <v>255.93897883567072</v>
      </c>
      <c r="Q38" s="1324">
        <f t="shared" si="15"/>
        <v>5318.390718484864</v>
      </c>
      <c r="S38" s="1324"/>
      <c r="T38" s="1324"/>
      <c r="V38" s="1324" t="s">
        <v>5179</v>
      </c>
      <c r="W38" s="907"/>
      <c r="X38" s="907"/>
    </row>
    <row r="39" spans="1:25">
      <c r="A39" s="1320" t="s">
        <v>5148</v>
      </c>
      <c r="C39" s="1322">
        <v>27</v>
      </c>
      <c r="D39" s="1320" t="s">
        <v>5180</v>
      </c>
      <c r="E39" s="1324"/>
      <c r="F39" s="1366">
        <f>+F1209</f>
        <v>4023596.4966630763</v>
      </c>
      <c r="G39" s="1366">
        <f>+G1209</f>
        <v>18789.439490788645</v>
      </c>
      <c r="H39" s="1366">
        <f>+H1209</f>
        <v>4004807.0571722877</v>
      </c>
      <c r="I39" s="1323">
        <f>IF(F39=0,0,+H39/F39)</f>
        <v>0.99533018792854322</v>
      </c>
      <c r="J39" s="1366">
        <f t="shared" ref="J39:Q39" si="16">+J1209</f>
        <v>4004807.0571722877</v>
      </c>
      <c r="K39" s="1366">
        <f t="shared" si="16"/>
        <v>2357410.347501073</v>
      </c>
      <c r="L39" s="1366">
        <f t="shared" si="16"/>
        <v>197992.81680406703</v>
      </c>
      <c r="M39" s="1366">
        <f t="shared" si="16"/>
        <v>1068679.9503992239</v>
      </c>
      <c r="N39" s="1366">
        <f t="shared" si="16"/>
        <v>122303.94683220984</v>
      </c>
      <c r="O39" s="1366">
        <f>+O1209</f>
        <v>73777.319506120708</v>
      </c>
      <c r="P39" s="1366">
        <f>+P1209</f>
        <v>8553.6572153835259</v>
      </c>
      <c r="Q39" s="1366">
        <f t="shared" si="16"/>
        <v>176089.01891421096</v>
      </c>
      <c r="R39" s="1358"/>
      <c r="S39" s="1324"/>
      <c r="T39" s="1324"/>
      <c r="V39" s="1324" t="s">
        <v>5181</v>
      </c>
      <c r="W39" s="907"/>
      <c r="X39" s="907"/>
    </row>
    <row r="40" spans="1:25">
      <c r="A40" s="1320" t="s">
        <v>5148</v>
      </c>
      <c r="C40" s="1322">
        <v>28</v>
      </c>
      <c r="E40" s="1339"/>
      <c r="F40" s="1375"/>
      <c r="G40" s="1375"/>
      <c r="H40" s="1375"/>
      <c r="J40" s="1375"/>
      <c r="K40" s="1375"/>
      <c r="L40" s="1375"/>
      <c r="M40" s="1375"/>
      <c r="N40" s="1377"/>
      <c r="O40" s="1377"/>
      <c r="P40" s="1377"/>
      <c r="Q40" s="1375"/>
      <c r="R40" s="1364"/>
      <c r="S40" s="1324"/>
      <c r="T40" s="1324"/>
      <c r="V40" s="1324"/>
      <c r="W40" s="1324"/>
      <c r="X40" s="1344"/>
    </row>
    <row r="41" spans="1:25" ht="14.4" thickBot="1">
      <c r="A41" s="1320" t="s">
        <v>5148</v>
      </c>
      <c r="C41" s="1322">
        <v>29</v>
      </c>
      <c r="D41" s="1320" t="s">
        <v>5182</v>
      </c>
      <c r="E41" s="1339"/>
      <c r="F41" s="1320">
        <f>SUM(F35:F38)-F39</f>
        <v>9856591.9990588073</v>
      </c>
      <c r="G41" s="1320">
        <f>SUM(G35:G38)-G39</f>
        <v>58441.656915840184</v>
      </c>
      <c r="H41" s="1320">
        <f>SUM(H35:H38)-H39</f>
        <v>9798150.3421429675</v>
      </c>
      <c r="I41" s="1323">
        <f>IF(F41=0,0,+H41/F41)</f>
        <v>0.99407080490686639</v>
      </c>
      <c r="J41" s="1324">
        <f t="shared" ref="J41:Q41" si="17">SUM(J35:J38)-J39</f>
        <v>9798150.3421429675</v>
      </c>
      <c r="K41" s="1324">
        <f t="shared" si="17"/>
        <v>5713190.3439172823</v>
      </c>
      <c r="L41" s="1324">
        <f t="shared" si="17"/>
        <v>484050.60672750708</v>
      </c>
      <c r="M41" s="1324">
        <f t="shared" si="17"/>
        <v>2696206.7337699002</v>
      </c>
      <c r="N41" s="1325">
        <f t="shared" si="17"/>
        <v>313530.1185616774</v>
      </c>
      <c r="O41" s="1325">
        <f>SUM(O35:O38)-O39</f>
        <v>191743.16434882215</v>
      </c>
      <c r="P41" s="1325">
        <f>SUM(P35:P38)-P39</f>
        <v>18270.690240034506</v>
      </c>
      <c r="Q41" s="1324">
        <f t="shared" si="17"/>
        <v>381158.68457774608</v>
      </c>
      <c r="S41" s="1324"/>
      <c r="T41" s="1324"/>
      <c r="V41" s="1324" t="s">
        <v>5183</v>
      </c>
      <c r="W41" s="1324"/>
      <c r="X41" s="1324"/>
    </row>
    <row r="42" spans="1:25" ht="14.4" thickTop="1">
      <c r="A42" s="1320" t="s">
        <v>5148</v>
      </c>
      <c r="C42" s="1322">
        <v>30</v>
      </c>
      <c r="F42" s="1381"/>
      <c r="G42" s="1381"/>
      <c r="H42" s="1381"/>
      <c r="J42" s="1381"/>
      <c r="K42" s="1381"/>
      <c r="L42" s="1381"/>
      <c r="M42" s="1381"/>
      <c r="N42" s="1383"/>
      <c r="O42" s="1383"/>
      <c r="P42" s="1383"/>
      <c r="Q42" s="1381"/>
      <c r="R42" s="1364"/>
      <c r="S42" s="1324"/>
      <c r="V42" s="1324"/>
    </row>
    <row r="43" spans="1:25">
      <c r="A43" s="1320" t="s">
        <v>5148</v>
      </c>
      <c r="C43" s="1322">
        <v>31</v>
      </c>
      <c r="F43" s="1384"/>
      <c r="G43" s="1320"/>
      <c r="M43" s="1324"/>
      <c r="P43" s="1325"/>
      <c r="S43" s="1324"/>
    </row>
    <row r="44" spans="1:25">
      <c r="A44" s="1320" t="s">
        <v>5148</v>
      </c>
      <c r="C44" s="1322">
        <v>32</v>
      </c>
      <c r="D44" s="907"/>
      <c r="E44" s="907"/>
      <c r="F44" s="907"/>
      <c r="G44" s="907"/>
      <c r="H44" s="1385"/>
      <c r="I44" s="1386"/>
      <c r="J44" s="1387"/>
      <c r="M44" s="1324"/>
      <c r="P44" s="1325"/>
      <c r="S44" s="1324"/>
    </row>
    <row r="45" spans="1:25">
      <c r="A45" s="1320" t="s">
        <v>5148</v>
      </c>
      <c r="C45" s="1322">
        <v>33</v>
      </c>
      <c r="D45" s="1320" t="s">
        <v>5184</v>
      </c>
      <c r="F45" s="1388">
        <f>ROUND(IF(F41=0,0,F31/F41*100),4)</f>
        <v>5.1371000000000002</v>
      </c>
      <c r="G45" s="1388">
        <f>ROUND(IF(G41=0,0,G31/G41*100),4)</f>
        <v>6.2744</v>
      </c>
      <c r="H45" s="1388">
        <f>ROUND(IF(H41=0,0,H31/H41*100),4)</f>
        <v>5.1303000000000001</v>
      </c>
      <c r="I45" s="1386"/>
      <c r="J45" s="1389">
        <f t="shared" ref="J45:Q45" si="18">ROUND(IF(J41=0,0,J31/J41*100),4)</f>
        <v>5.1303000000000001</v>
      </c>
      <c r="K45" s="1389">
        <f t="shared" si="18"/>
        <v>5.6798999999999999</v>
      </c>
      <c r="L45" s="1389">
        <f t="shared" si="18"/>
        <v>7.7854999999999999</v>
      </c>
      <c r="M45" s="1389">
        <f t="shared" si="18"/>
        <v>2.8782999999999999</v>
      </c>
      <c r="N45" s="1390">
        <f t="shared" si="18"/>
        <v>4.8167999999999997</v>
      </c>
      <c r="O45" s="1390">
        <f>ROUND(IF(O41=0,0,O31/O41*100),4)</f>
        <v>3.5331999999999999</v>
      </c>
      <c r="P45" s="1390">
        <f>ROUND(IF(P41=0,0,P31/P41*100),4)</f>
        <v>29.452400000000001</v>
      </c>
      <c r="Q45" s="1390">
        <f t="shared" si="18"/>
        <v>9.3591999999999995</v>
      </c>
      <c r="R45" s="1388"/>
      <c r="S45" s="1391"/>
      <c r="V45" s="1320" t="s">
        <v>5185</v>
      </c>
    </row>
    <row r="46" spans="1:25">
      <c r="A46" s="1320" t="s">
        <v>5148</v>
      </c>
      <c r="C46" s="1322">
        <v>34</v>
      </c>
      <c r="G46" s="1320"/>
      <c r="H46" s="1392"/>
      <c r="I46" s="1386"/>
      <c r="J46" s="1387"/>
      <c r="M46" s="1324"/>
      <c r="P46" s="1325"/>
    </row>
    <row r="47" spans="1:25" s="1324" customFormat="1">
      <c r="A47" s="1320" t="s">
        <v>5148</v>
      </c>
      <c r="C47" s="1393">
        <v>35</v>
      </c>
      <c r="D47" s="1324" t="s">
        <v>5186</v>
      </c>
      <c r="F47" s="1394"/>
      <c r="G47" s="1389"/>
      <c r="H47" s="1389"/>
      <c r="I47" s="1395"/>
      <c r="J47" s="1389">
        <f t="shared" ref="J47:Q47" si="19">+J45/$J$45</f>
        <v>1</v>
      </c>
      <c r="K47" s="1389">
        <f t="shared" si="19"/>
        <v>1.10712823811473</v>
      </c>
      <c r="L47" s="1389">
        <f t="shared" si="19"/>
        <v>1.5175525797711635</v>
      </c>
      <c r="M47" s="1389">
        <f t="shared" si="19"/>
        <v>0.56103931543964292</v>
      </c>
      <c r="N47" s="1390">
        <f t="shared" si="19"/>
        <v>0.93889246242909763</v>
      </c>
      <c r="O47" s="1390">
        <f>+O45/$J$45</f>
        <v>0.68869266904469517</v>
      </c>
      <c r="P47" s="1390">
        <f>+P45/$J$45</f>
        <v>5.7408728534393703</v>
      </c>
      <c r="Q47" s="1389">
        <f t="shared" si="19"/>
        <v>1.8242987739508409</v>
      </c>
      <c r="R47" s="1389"/>
      <c r="V47" s="1320" t="s">
        <v>5187</v>
      </c>
      <c r="Y47" s="1320"/>
    </row>
    <row r="48" spans="1:25">
      <c r="C48" s="1393"/>
      <c r="D48" s="1324"/>
      <c r="E48" s="1324"/>
      <c r="F48" s="1324"/>
      <c r="H48" s="1324"/>
    </row>
    <row r="49" spans="1:22">
      <c r="C49" s="1393"/>
      <c r="D49" s="1324"/>
      <c r="E49" s="1324"/>
      <c r="F49" s="1324"/>
      <c r="H49" s="1324"/>
    </row>
    <row r="50" spans="1:22">
      <c r="C50" s="1393"/>
      <c r="D50" s="1324"/>
      <c r="E50" s="1324"/>
      <c r="F50" s="1324"/>
      <c r="H50" s="1324"/>
    </row>
    <row r="51" spans="1:22">
      <c r="C51" s="1393"/>
      <c r="D51" s="1324"/>
      <c r="E51" s="1324"/>
      <c r="F51" s="1324"/>
      <c r="H51" s="1324"/>
    </row>
    <row r="52" spans="1:22">
      <c r="C52" s="1393"/>
      <c r="D52" s="1324"/>
      <c r="E52" s="1324"/>
      <c r="F52" s="1324"/>
      <c r="H52" s="1324"/>
    </row>
    <row r="53" spans="1:22">
      <c r="C53" s="1340" t="str">
        <f>+C$2</f>
        <v>RATES WITH REVENUE DEFICIENCY ADDITION</v>
      </c>
      <c r="G53" s="1327" t="s">
        <v>2173</v>
      </c>
      <c r="I53" s="1328" t="s">
        <v>5188</v>
      </c>
      <c r="L53" s="1329" t="s">
        <v>2173</v>
      </c>
      <c r="M53" s="1330"/>
      <c r="N53" s="1330"/>
      <c r="O53" s="1330"/>
      <c r="R53" s="1331"/>
      <c r="S53" s="1332" t="s">
        <v>4851</v>
      </c>
      <c r="T53" s="1333" t="s">
        <v>2173</v>
      </c>
      <c r="U53" s="1334"/>
      <c r="V53" s="1332" t="s">
        <v>4772</v>
      </c>
    </row>
    <row r="54" spans="1:22">
      <c r="C54" s="1340" t="str">
        <f>+C$3</f>
        <v>PROD. CAP. ALLOC. METHOD: 12 CP &amp; 1/13th AD</v>
      </c>
      <c r="G54" s="1333" t="s">
        <v>4768</v>
      </c>
      <c r="L54" s="1336" t="s">
        <v>5141</v>
      </c>
      <c r="M54" s="1337"/>
      <c r="N54" s="1337"/>
      <c r="O54" s="1337"/>
      <c r="S54" s="1335" t="s">
        <v>5189</v>
      </c>
      <c r="T54" s="1333" t="s">
        <v>5141</v>
      </c>
      <c r="U54" s="1334"/>
      <c r="V54" s="1332" t="s">
        <v>4851</v>
      </c>
    </row>
    <row r="55" spans="1:22">
      <c r="C55" s="1340" t="str">
        <f>+C$4</f>
        <v>PROJECTED CALENDAR YEAR 2025; FULLY ADJUSTED DATA</v>
      </c>
      <c r="G55" s="1336" t="s">
        <v>2181</v>
      </c>
      <c r="L55" s="1336" t="s">
        <v>2181</v>
      </c>
      <c r="M55" s="1337"/>
      <c r="N55" s="1337"/>
      <c r="O55" s="1337"/>
      <c r="T55" s="1339"/>
    </row>
    <row r="56" spans="1:22">
      <c r="C56" s="1340" t="str">
        <f>+C$5</f>
        <v>MINIMUM DISTRIBUTION SYSTEM (MDS) NOT EMPLOYED</v>
      </c>
      <c r="S56" s="1332"/>
      <c r="T56" s="1333"/>
      <c r="U56" s="1334"/>
    </row>
    <row r="57" spans="1:22">
      <c r="C57" s="1340" t="str">
        <f>+C$6</f>
        <v>Tampa Electric 2025 OB Budget</v>
      </c>
      <c r="D57" s="1340"/>
      <c r="G57" s="1333" t="s">
        <v>3148</v>
      </c>
      <c r="L57" s="1333" t="s">
        <v>5190</v>
      </c>
      <c r="M57" s="1337"/>
      <c r="N57" s="1337"/>
      <c r="O57" s="1337"/>
      <c r="T57" s="1333" t="s">
        <v>5190</v>
      </c>
    </row>
    <row r="58" spans="1:22">
      <c r="G58" s="1333"/>
      <c r="L58" s="1336"/>
      <c r="M58" s="1337"/>
      <c r="N58" s="1337"/>
      <c r="O58" s="1337"/>
    </row>
    <row r="59" spans="1:22">
      <c r="D59" s="907"/>
      <c r="G59" s="1336"/>
      <c r="L59" s="1336"/>
      <c r="M59" s="1337"/>
      <c r="N59" s="1337"/>
      <c r="O59" s="1337"/>
    </row>
    <row r="60" spans="1:22">
      <c r="G60" s="1320"/>
    </row>
    <row r="61" spans="1:22" ht="30" customHeight="1">
      <c r="A61" s="1347" t="s">
        <v>4683</v>
      </c>
      <c r="B61" s="1348" t="s">
        <v>5143</v>
      </c>
      <c r="C61" s="1349" t="s">
        <v>4297</v>
      </c>
      <c r="D61" s="1350"/>
      <c r="E61" s="1350"/>
      <c r="F61" s="1348" t="s">
        <v>5144</v>
      </c>
      <c r="G61" s="1348" t="s">
        <v>4956</v>
      </c>
      <c r="H61" s="1348" t="s">
        <v>4957</v>
      </c>
      <c r="I61" s="1351" t="s">
        <v>5145</v>
      </c>
      <c r="J61" s="1352" t="s">
        <v>4957</v>
      </c>
      <c r="K61" s="1352" t="s">
        <v>1949</v>
      </c>
      <c r="L61" s="1352" t="s">
        <v>1950</v>
      </c>
      <c r="M61" s="1352" t="s">
        <v>1934</v>
      </c>
      <c r="N61" s="1352" t="s">
        <v>1971</v>
      </c>
      <c r="O61" s="1352" t="s">
        <v>1972</v>
      </c>
      <c r="P61" s="1352" t="s">
        <v>5146</v>
      </c>
      <c r="Q61" s="1352" t="s">
        <v>5147</v>
      </c>
      <c r="R61" s="1355"/>
      <c r="S61" s="1348" t="s">
        <v>5143</v>
      </c>
      <c r="T61" s="1348"/>
      <c r="U61" s="1352"/>
      <c r="V61" s="1355" t="s">
        <v>4774</v>
      </c>
    </row>
    <row r="62" spans="1:22">
      <c r="B62" s="1396"/>
      <c r="C62" s="1397"/>
      <c r="D62" s="1358"/>
      <c r="E62" s="1358"/>
      <c r="F62" s="1396"/>
      <c r="G62" s="1396"/>
      <c r="H62" s="1396"/>
      <c r="I62" s="1398"/>
      <c r="J62" s="1399"/>
      <c r="K62" s="1360"/>
      <c r="L62" s="1360"/>
      <c r="M62" s="1361"/>
      <c r="N62" s="1361"/>
      <c r="O62" s="1361"/>
      <c r="P62" s="1399"/>
      <c r="Q62" s="1399"/>
      <c r="R62" s="1346"/>
      <c r="S62" s="1396"/>
      <c r="T62" s="1396"/>
      <c r="U62" s="1399"/>
    </row>
    <row r="63" spans="1:22" ht="15.6">
      <c r="A63" s="1320" t="s">
        <v>5148</v>
      </c>
      <c r="C63" s="1393"/>
      <c r="D63" s="1324" t="s">
        <v>5191</v>
      </c>
      <c r="E63" s="1324"/>
      <c r="F63" s="1599" t="s">
        <v>5192</v>
      </c>
      <c r="G63" s="1600"/>
      <c r="H63" s="1600"/>
      <c r="J63" s="1600"/>
      <c r="K63" s="1600"/>
      <c r="L63" s="1600"/>
      <c r="M63" s="1600"/>
      <c r="N63" s="1600"/>
      <c r="O63" s="1600"/>
      <c r="P63" s="1600"/>
      <c r="Q63" s="1600"/>
    </row>
    <row r="64" spans="1:22">
      <c r="C64" s="1393"/>
      <c r="D64" s="1324"/>
      <c r="E64" s="1324"/>
      <c r="F64" s="1601"/>
      <c r="G64" s="1601"/>
      <c r="H64" s="1601"/>
      <c r="J64" s="1601"/>
      <c r="K64" s="1601"/>
      <c r="L64" s="1601"/>
      <c r="M64" s="1601"/>
      <c r="N64" s="1601"/>
      <c r="O64" s="1601"/>
      <c r="P64" s="1601"/>
      <c r="Q64" s="1601"/>
      <c r="R64" s="1400"/>
    </row>
    <row r="65" spans="1:48">
      <c r="C65" s="1393"/>
      <c r="D65" s="1324"/>
      <c r="E65" s="1324"/>
      <c r="F65" s="1602"/>
      <c r="G65" s="1602"/>
      <c r="H65" s="1602"/>
      <c r="J65" s="1602"/>
      <c r="K65" s="1602"/>
      <c r="L65" s="1602"/>
      <c r="M65" s="1602"/>
      <c r="N65" s="1602"/>
      <c r="O65" s="1602"/>
      <c r="P65" s="1602"/>
      <c r="Q65" s="1602"/>
      <c r="R65" s="1402"/>
    </row>
    <row r="66" spans="1:48">
      <c r="C66" s="1393"/>
      <c r="D66" s="1324"/>
      <c r="E66" s="1324"/>
      <c r="F66" s="1602"/>
      <c r="G66" s="1602"/>
      <c r="H66" s="1602"/>
      <c r="J66" s="1602"/>
      <c r="K66" s="1602"/>
      <c r="L66" s="1602"/>
      <c r="M66" s="1602"/>
      <c r="N66" s="1602"/>
      <c r="O66" s="1602"/>
      <c r="P66" s="1602"/>
      <c r="Q66" s="1602"/>
      <c r="R66" s="1402"/>
    </row>
    <row r="67" spans="1:48">
      <c r="C67" s="1393"/>
      <c r="D67" s="1324"/>
      <c r="E67" s="1324"/>
      <c r="F67" s="1602"/>
      <c r="G67" s="1602"/>
      <c r="H67" s="1602"/>
      <c r="J67" s="1602"/>
      <c r="K67" s="1602"/>
      <c r="L67" s="1602"/>
      <c r="M67" s="1602"/>
      <c r="N67" s="1602"/>
      <c r="O67" s="1602"/>
      <c r="P67" s="1602"/>
      <c r="Q67" s="1602"/>
      <c r="R67" s="1402"/>
    </row>
    <row r="68" spans="1:48">
      <c r="C68" s="1393"/>
      <c r="D68" s="1324"/>
      <c r="E68" s="1324"/>
      <c r="F68" s="1602"/>
      <c r="G68" s="1602"/>
      <c r="H68" s="1602"/>
      <c r="J68" s="1602"/>
      <c r="K68" s="1602"/>
      <c r="L68" s="1602"/>
      <c r="M68" s="1602"/>
      <c r="N68" s="1602"/>
      <c r="O68" s="1602"/>
      <c r="P68" s="1602"/>
      <c r="Q68" s="1602"/>
      <c r="R68" s="1402"/>
    </row>
    <row r="69" spans="1:48">
      <c r="C69" s="1393"/>
      <c r="D69" s="1324"/>
      <c r="E69" s="1324"/>
      <c r="F69" s="1603"/>
      <c r="G69" s="1603"/>
      <c r="H69" s="1603"/>
      <c r="J69" s="1603"/>
      <c r="K69" s="1603"/>
      <c r="L69" s="1603"/>
      <c r="M69" s="1603"/>
      <c r="N69" s="1603"/>
      <c r="O69" s="1603"/>
      <c r="P69" s="1603"/>
      <c r="Q69" s="1603"/>
      <c r="R69" s="1402"/>
    </row>
    <row r="70" spans="1:48">
      <c r="A70" s="1320" t="s">
        <v>5148</v>
      </c>
      <c r="C70" s="1393"/>
      <c r="D70" s="1324" t="s">
        <v>9139</v>
      </c>
      <c r="E70" s="1324"/>
      <c r="F70" s="1601">
        <f>+'Tax &amp; Debt Inputs'!$C$21</f>
        <v>1.9799999999999998E-2</v>
      </c>
      <c r="G70" s="1601">
        <f>+$F$70</f>
        <v>1.9799999999999998E-2</v>
      </c>
      <c r="H70" s="1601">
        <f>+$F$70</f>
        <v>1.9799999999999998E-2</v>
      </c>
      <c r="J70" s="1601">
        <f>+'Tax &amp; Debt Inputs'!$C$21</f>
        <v>1.9799999999999998E-2</v>
      </c>
      <c r="K70" s="1601">
        <f>+$J$70</f>
        <v>1.9799999999999998E-2</v>
      </c>
      <c r="L70" s="1601">
        <f t="shared" ref="L70:Q70" si="20">+$J$70</f>
        <v>1.9799999999999998E-2</v>
      </c>
      <c r="M70" s="1601">
        <f t="shared" si="20"/>
        <v>1.9799999999999998E-2</v>
      </c>
      <c r="N70" s="1601">
        <f t="shared" si="20"/>
        <v>1.9799999999999998E-2</v>
      </c>
      <c r="O70" s="1601">
        <f t="shared" si="20"/>
        <v>1.9799999999999998E-2</v>
      </c>
      <c r="P70" s="1601">
        <f t="shared" si="20"/>
        <v>1.9799999999999998E-2</v>
      </c>
      <c r="Q70" s="1601">
        <f t="shared" si="20"/>
        <v>1.9799999999999998E-2</v>
      </c>
      <c r="R70" s="1403"/>
    </row>
    <row r="71" spans="1:48">
      <c r="A71" s="1320" t="s">
        <v>5148</v>
      </c>
      <c r="C71" s="1393"/>
      <c r="D71" s="1324"/>
      <c r="E71" s="1324"/>
      <c r="F71" s="1601"/>
      <c r="G71" s="1601"/>
      <c r="H71" s="1601"/>
      <c r="J71" s="1601"/>
      <c r="K71" s="1601"/>
      <c r="L71" s="1601"/>
      <c r="M71" s="1601"/>
      <c r="N71" s="1601"/>
      <c r="O71" s="1601"/>
      <c r="P71" s="1601"/>
      <c r="Q71" s="1601"/>
      <c r="R71" s="1403"/>
    </row>
    <row r="72" spans="1:48">
      <c r="A72" s="1320" t="s">
        <v>5148</v>
      </c>
      <c r="C72" s="1393"/>
      <c r="D72" s="1324" t="s">
        <v>5193</v>
      </c>
      <c r="E72" s="1324"/>
      <c r="F72" s="1601">
        <f>+F45/100-F70</f>
        <v>3.1571000000000002E-2</v>
      </c>
      <c r="G72" s="1601">
        <f>+G45/100-G70</f>
        <v>4.2943999999999996E-2</v>
      </c>
      <c r="H72" s="1601">
        <f>+H45/100-H70</f>
        <v>3.1503000000000003E-2</v>
      </c>
      <c r="J72" s="1601">
        <f t="shared" ref="J72:Q72" si="21">+J45/100-J70</f>
        <v>3.1503000000000003E-2</v>
      </c>
      <c r="K72" s="1601">
        <f t="shared" si="21"/>
        <v>3.6999000000000004E-2</v>
      </c>
      <c r="L72" s="1601">
        <f t="shared" si="21"/>
        <v>5.8054999999999995E-2</v>
      </c>
      <c r="M72" s="1601">
        <f t="shared" si="21"/>
        <v>8.9830000000000014E-3</v>
      </c>
      <c r="N72" s="1601">
        <f t="shared" si="21"/>
        <v>2.8367999999999997E-2</v>
      </c>
      <c r="O72" s="1601">
        <f t="shared" si="21"/>
        <v>1.5532000000000004E-2</v>
      </c>
      <c r="P72" s="1601">
        <f t="shared" si="21"/>
        <v>0.27472400000000002</v>
      </c>
      <c r="Q72" s="1601">
        <f t="shared" si="21"/>
        <v>7.3791999999999996E-2</v>
      </c>
      <c r="R72" s="1403"/>
    </row>
    <row r="73" spans="1:48">
      <c r="A73" s="1320" t="s">
        <v>5148</v>
      </c>
      <c r="C73" s="1393"/>
      <c r="D73" s="1324"/>
      <c r="E73" s="1324"/>
      <c r="F73" s="1601"/>
      <c r="G73" s="1601"/>
      <c r="H73" s="1601"/>
      <c r="J73" s="1601"/>
      <c r="K73" s="1601"/>
      <c r="L73" s="1601"/>
      <c r="M73" s="1601"/>
      <c r="N73" s="1601"/>
      <c r="O73" s="1601"/>
      <c r="P73" s="1601"/>
      <c r="Q73" s="1601"/>
      <c r="R73" s="1403"/>
    </row>
    <row r="74" spans="1:48">
      <c r="A74" s="1320" t="s">
        <v>5148</v>
      </c>
      <c r="C74" s="1393"/>
      <c r="D74" s="1324" t="s">
        <v>12</v>
      </c>
      <c r="E74" s="1324"/>
      <c r="F74" s="1603">
        <f>+'Tax &amp; Debt Inputs'!$C$22</f>
        <v>0.46829999999999999</v>
      </c>
      <c r="G74" s="1603">
        <f>+$F$74</f>
        <v>0.46829999999999999</v>
      </c>
      <c r="H74" s="1603">
        <f>+$F$74</f>
        <v>0.46829999999999999</v>
      </c>
      <c r="J74" s="1603">
        <f>+'Tax &amp; Debt Inputs'!$C$22</f>
        <v>0.46829999999999999</v>
      </c>
      <c r="K74" s="1603">
        <f>+$J$74</f>
        <v>0.46829999999999999</v>
      </c>
      <c r="L74" s="1603">
        <f t="shared" ref="L74:Q74" si="22">+$J$74</f>
        <v>0.46829999999999999</v>
      </c>
      <c r="M74" s="1603">
        <f t="shared" si="22"/>
        <v>0.46829999999999999</v>
      </c>
      <c r="N74" s="1603">
        <f t="shared" si="22"/>
        <v>0.46829999999999999</v>
      </c>
      <c r="O74" s="1603">
        <f t="shared" si="22"/>
        <v>0.46829999999999999</v>
      </c>
      <c r="P74" s="1603">
        <f t="shared" si="22"/>
        <v>0.46829999999999999</v>
      </c>
      <c r="Q74" s="1603">
        <f t="shared" si="22"/>
        <v>0.46829999999999999</v>
      </c>
      <c r="R74" s="1402"/>
    </row>
    <row r="75" spans="1:48">
      <c r="A75" s="1320" t="s">
        <v>5148</v>
      </c>
      <c r="C75" s="1393"/>
      <c r="D75" s="1324"/>
      <c r="E75" s="1324"/>
      <c r="F75" s="1604"/>
      <c r="G75" s="1604"/>
      <c r="H75" s="1604"/>
      <c r="J75" s="1604"/>
      <c r="K75" s="1604"/>
      <c r="L75" s="1604"/>
      <c r="M75" s="1604"/>
      <c r="N75" s="1604"/>
      <c r="O75" s="1604"/>
      <c r="P75" s="1604"/>
      <c r="Q75" s="1604"/>
      <c r="R75" s="1404"/>
    </row>
    <row r="76" spans="1:48" ht="14.4" thickBot="1">
      <c r="A76" s="1320" t="s">
        <v>5148</v>
      </c>
      <c r="C76" s="1393"/>
      <c r="D76" s="1324" t="s">
        <v>5194</v>
      </c>
      <c r="E76" s="1324"/>
      <c r="F76" s="1601">
        <f>+F72/F74</f>
        <v>6.7416186205423875E-2</v>
      </c>
      <c r="G76" s="1601">
        <f>+G72/G74</f>
        <v>9.1701900491138147E-2</v>
      </c>
      <c r="H76" s="1601">
        <f>+H72/H74</f>
        <v>6.7270980140935299E-2</v>
      </c>
      <c r="J76" s="1601">
        <f t="shared" ref="J76:Q76" si="23">+J72/J74</f>
        <v>6.7270980140935299E-2</v>
      </c>
      <c r="K76" s="1601">
        <f t="shared" si="23"/>
        <v>7.9007046764894312E-2</v>
      </c>
      <c r="L76" s="1601">
        <f t="shared" si="23"/>
        <v>0.1239696775571215</v>
      </c>
      <c r="M76" s="1601">
        <f t="shared" si="23"/>
        <v>1.9182148195601115E-2</v>
      </c>
      <c r="N76" s="1601">
        <f t="shared" si="23"/>
        <v>6.0576553491351694E-2</v>
      </c>
      <c r="O76" s="1601">
        <f t="shared" si="23"/>
        <v>3.3166773435831742E-2</v>
      </c>
      <c r="P76" s="1601">
        <f t="shared" si="23"/>
        <v>0.58664104206705114</v>
      </c>
      <c r="Q76" s="1601">
        <f t="shared" si="23"/>
        <v>0.15757420456972027</v>
      </c>
      <c r="R76" s="1402"/>
    </row>
    <row r="77" spans="1:48" ht="14.4" thickTop="1">
      <c r="A77" s="1320" t="s">
        <v>5148</v>
      </c>
      <c r="C77" s="1393"/>
      <c r="D77" s="1324"/>
      <c r="E77" s="1324"/>
      <c r="F77" s="1381"/>
      <c r="G77" s="1381"/>
      <c r="H77" s="1381"/>
      <c r="J77" s="1381"/>
      <c r="K77" s="1381"/>
      <c r="L77" s="1381"/>
      <c r="M77" s="1383"/>
      <c r="N77" s="1383"/>
      <c r="O77" s="1383"/>
      <c r="P77" s="1381"/>
      <c r="Q77" s="1381"/>
      <c r="R77" s="1364"/>
    </row>
    <row r="78" spans="1:48" ht="15.6">
      <c r="A78" s="1320" t="s">
        <v>5148</v>
      </c>
      <c r="C78" s="1393">
        <v>36</v>
      </c>
      <c r="D78" s="1405" t="s">
        <v>5195</v>
      </c>
      <c r="E78" s="1406"/>
      <c r="F78" s="1324"/>
      <c r="H78" s="1324"/>
      <c r="I78" s="1320"/>
      <c r="R78" s="1324"/>
    </row>
    <row r="79" spans="1:48">
      <c r="A79" s="1320" t="s">
        <v>5148</v>
      </c>
      <c r="C79" s="1393">
        <v>37</v>
      </c>
      <c r="D79" s="1324" t="s">
        <v>5196</v>
      </c>
      <c r="E79" s="1407"/>
      <c r="F79" s="1324">
        <f>+F41</f>
        <v>9856591.9990588073</v>
      </c>
      <c r="G79" s="1324">
        <f>+G41</f>
        <v>58441.656915840184</v>
      </c>
      <c r="H79" s="1324">
        <f>+H41</f>
        <v>9798150.3421429675</v>
      </c>
      <c r="J79" s="1324">
        <f>+J41</f>
        <v>9798150.3421429675</v>
      </c>
      <c r="K79" s="1324">
        <f>+K41</f>
        <v>5713190.3439172823</v>
      </c>
      <c r="L79" s="1324">
        <f>+L41</f>
        <v>484050.60672750708</v>
      </c>
      <c r="M79" s="1324">
        <f>+M41</f>
        <v>2696206.7337699002</v>
      </c>
      <c r="N79" s="1324">
        <f>N41</f>
        <v>313530.1185616774</v>
      </c>
      <c r="O79" s="1324">
        <f>O41</f>
        <v>191743.16434882215</v>
      </c>
      <c r="P79" s="1324">
        <f>P41</f>
        <v>18270.690240034506</v>
      </c>
      <c r="Q79" s="1324">
        <f>Q41</f>
        <v>381158.68457774608</v>
      </c>
      <c r="R79" s="1324"/>
      <c r="S79" s="1324"/>
      <c r="V79" s="1320" t="s">
        <v>5197</v>
      </c>
    </row>
    <row r="80" spans="1:48" ht="14.4">
      <c r="A80" s="1320" t="s">
        <v>5148</v>
      </c>
      <c r="C80" s="1393">
        <v>38</v>
      </c>
      <c r="D80" s="1324" t="s">
        <v>5198</v>
      </c>
      <c r="E80" s="1408"/>
      <c r="F80" s="1400">
        <f>ROUND(+F70+('Tax &amp; Debt Inputs'!$C$6*F74),4)</f>
        <v>7.3700000000000002E-2</v>
      </c>
      <c r="G80" s="1400">
        <f>ROUND(IF(G$45=0,"-",+G70+('Tax &amp; Debt Inputs'!$C$6*G74)),4)</f>
        <v>7.3700000000000002E-2</v>
      </c>
      <c r="H80" s="1400">
        <f>ROUND(IF(H$45=0,"-",+H70+('Tax &amp; Debt Inputs'!$C$6*H74)),4)</f>
        <v>7.3700000000000002E-2</v>
      </c>
      <c r="I80" s="1409"/>
      <c r="J80" s="1400">
        <f>ROUND(IF(J$45=0,"-",+J70+('Tax &amp; Debt Inputs'!$C$6*J74)),4)</f>
        <v>7.3700000000000002E-2</v>
      </c>
      <c r="K80" s="1400">
        <f>ROUND(IF(K$45=0,"-",+K70+('Tax &amp; Debt Inputs'!$C$6*K74)),4)</f>
        <v>7.3700000000000002E-2</v>
      </c>
      <c r="L80" s="1400">
        <f>ROUND(IF(L$45=0,"-",+L70+('Tax &amp; Debt Inputs'!$C$6*L74)),4)</f>
        <v>7.3700000000000002E-2</v>
      </c>
      <c r="M80" s="1400">
        <f>ROUND(IF(M$45=0,0,+M70+('Tax &amp; Debt Inputs'!$C$6*M74)),4)</f>
        <v>7.3700000000000002E-2</v>
      </c>
      <c r="N80" s="1401">
        <f>ROUND(IF(N$45=0,0,+N70+('Tax &amp; Debt Inputs'!$C$6*N74)),4)</f>
        <v>7.3700000000000002E-2</v>
      </c>
      <c r="O80" s="1401">
        <f>ROUND(IF(O$45=0,0,+O70+('Tax &amp; Debt Inputs'!$C$6*O74)),4)</f>
        <v>7.3700000000000002E-2</v>
      </c>
      <c r="P80" s="1401">
        <f>ROUND(IF(P$45=0,0,+P70+('Tax &amp; Debt Inputs'!$C$6*P74)),4)</f>
        <v>7.3700000000000002E-2</v>
      </c>
      <c r="Q80" s="1400">
        <f>ROUND(IF(Q$45=0,0,+Q70+('Tax &amp; Debt Inputs'!$C$6*Q74)),4)</f>
        <v>7.3700000000000002E-2</v>
      </c>
      <c r="R80" s="1400"/>
      <c r="S80" s="1324"/>
      <c r="V80" s="1320" t="s">
        <v>5199</v>
      </c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</row>
    <row r="81" spans="1:48" ht="14.4">
      <c r="A81" s="1320" t="s">
        <v>5148</v>
      </c>
      <c r="C81" s="1393">
        <v>39</v>
      </c>
      <c r="D81" s="1596" t="str">
        <f>"(@ "&amp;TEXT('Tax &amp; Debt Inputs'!C6,"#.#0%")&amp;" ROE)"</f>
        <v>(@ 11.50% ROE)</v>
      </c>
      <c r="E81" s="1407"/>
      <c r="F81" s="1324"/>
      <c r="H81" s="1324"/>
      <c r="M81" s="1324"/>
      <c r="P81" s="1325"/>
      <c r="R81" s="1324"/>
      <c r="S81" s="1324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</row>
    <row r="82" spans="1:48" ht="14.4">
      <c r="A82" s="1320" t="s">
        <v>5148</v>
      </c>
      <c r="C82" s="1393">
        <v>40</v>
      </c>
      <c r="D82" s="1324" t="s">
        <v>5200</v>
      </c>
      <c r="E82" s="1407"/>
      <c r="F82" s="1324">
        <f>+F79*F80</f>
        <v>726430.83033063414</v>
      </c>
      <c r="G82" s="1324">
        <f>IF(G$80="-",0,+G79*G80)</f>
        <v>4307.1501146974215</v>
      </c>
      <c r="H82" s="1324">
        <f>IF(H$80="-",0,+H79*H80)</f>
        <v>722123.68021593674</v>
      </c>
      <c r="J82" s="1324">
        <f t="shared" ref="J82:Q82" si="24">IF(J$80="-",0,+J79*J80)</f>
        <v>722123.68021593674</v>
      </c>
      <c r="K82" s="1324">
        <f t="shared" si="24"/>
        <v>421062.12834670371</v>
      </c>
      <c r="L82" s="1324">
        <f t="shared" si="24"/>
        <v>35674.529715817276</v>
      </c>
      <c r="M82" s="1324">
        <f t="shared" si="24"/>
        <v>198710.43627884163</v>
      </c>
      <c r="N82" s="1325">
        <f t="shared" si="24"/>
        <v>23107.169737995624</v>
      </c>
      <c r="O82" s="1325">
        <f>IF(O$80="-",0,+O79*O80)</f>
        <v>14131.471212508193</v>
      </c>
      <c r="P82" s="1325">
        <f>IF(P$80="-",0,+P79*P80)</f>
        <v>1346.5498706905432</v>
      </c>
      <c r="Q82" s="1324">
        <f t="shared" si="24"/>
        <v>28091.395053379885</v>
      </c>
      <c r="R82" s="1324"/>
      <c r="S82" s="1324"/>
      <c r="V82" s="1320" t="s">
        <v>5201</v>
      </c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</row>
    <row r="83" spans="1:48" ht="14.4">
      <c r="A83" s="1320" t="s">
        <v>5148</v>
      </c>
      <c r="C83" s="1393">
        <v>41</v>
      </c>
      <c r="D83" s="1324"/>
      <c r="E83" s="1407"/>
      <c r="F83" s="1324"/>
      <c r="H83" s="1324"/>
      <c r="M83" s="1324"/>
      <c r="P83" s="1325"/>
      <c r="R83" s="1324"/>
      <c r="S83" s="1324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</row>
    <row r="84" spans="1:48" ht="14.4">
      <c r="A84" s="1320" t="s">
        <v>5148</v>
      </c>
      <c r="C84" s="1393">
        <v>42</v>
      </c>
      <c r="D84" s="1324" t="s">
        <v>5202</v>
      </c>
      <c r="E84" s="1407"/>
      <c r="F84" s="1324">
        <f>+F31</f>
        <v>506342.62457834685</v>
      </c>
      <c r="G84" s="1324">
        <f>+G31</f>
        <v>3666.8382279431744</v>
      </c>
      <c r="H84" s="1324">
        <f>+H31</f>
        <v>502675.7863504038</v>
      </c>
      <c r="J84" s="1324">
        <f t="shared" ref="J84:Q84" si="25">+J31</f>
        <v>502675.7863504038</v>
      </c>
      <c r="K84" s="1324">
        <f t="shared" si="25"/>
        <v>324505.83121322514</v>
      </c>
      <c r="L84" s="1324">
        <f t="shared" si="25"/>
        <v>37685.725855147371</v>
      </c>
      <c r="M84" s="1324">
        <f t="shared" si="25"/>
        <v>77605.175659868692</v>
      </c>
      <c r="N84" s="1325">
        <f t="shared" si="25"/>
        <v>15102.118492572376</v>
      </c>
      <c r="O84" s="1325">
        <f>+O31</f>
        <v>6774.6444221188431</v>
      </c>
      <c r="P84" s="1325">
        <f>+P31</f>
        <v>5381.1528318606852</v>
      </c>
      <c r="Q84" s="1324">
        <f t="shared" si="25"/>
        <v>35673.471030611006</v>
      </c>
      <c r="R84" s="1324"/>
      <c r="S84" s="1324"/>
      <c r="V84" s="1320" t="s">
        <v>5203</v>
      </c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</row>
    <row r="85" spans="1:48" ht="14.4">
      <c r="A85" s="1320" t="s">
        <v>5148</v>
      </c>
      <c r="C85" s="1393">
        <v>43</v>
      </c>
      <c r="D85" s="1324"/>
      <c r="E85" s="1408"/>
      <c r="F85" s="1375"/>
      <c r="G85" s="1375"/>
      <c r="H85" s="1375"/>
      <c r="J85" s="1375"/>
      <c r="K85" s="1375"/>
      <c r="L85" s="1375"/>
      <c r="M85" s="1375"/>
      <c r="N85" s="1377"/>
      <c r="O85" s="1377"/>
      <c r="P85" s="1377"/>
      <c r="Q85" s="1375"/>
      <c r="R85" s="1364"/>
      <c r="S85" s="1324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</row>
    <row r="86" spans="1:48" ht="14.4">
      <c r="A86" s="1320" t="s">
        <v>5148</v>
      </c>
      <c r="C86" s="1393">
        <v>44</v>
      </c>
      <c r="D86" s="1324" t="s">
        <v>5204</v>
      </c>
      <c r="E86" s="1407"/>
      <c r="F86" s="1324">
        <f>+F82-F84</f>
        <v>220088.20575228729</v>
      </c>
      <c r="G86" s="1410">
        <f>+G82-G84</f>
        <v>640.3118867542471</v>
      </c>
      <c r="H86" s="1410">
        <f>+H82-H84</f>
        <v>219447.89386553294</v>
      </c>
      <c r="J86" s="1324">
        <f t="shared" ref="J86:Q86" si="26">+J82-J84</f>
        <v>219447.89386553294</v>
      </c>
      <c r="K86" s="1324">
        <f t="shared" si="26"/>
        <v>96556.297133478569</v>
      </c>
      <c r="L86" s="1324">
        <f t="shared" si="26"/>
        <v>-2011.1961393300953</v>
      </c>
      <c r="M86" s="1324">
        <f t="shared" si="26"/>
        <v>121105.26061897294</v>
      </c>
      <c r="N86" s="1325">
        <f t="shared" si="26"/>
        <v>8005.0512454232485</v>
      </c>
      <c r="O86" s="1325">
        <f>+O82-O84</f>
        <v>7356.8267903893502</v>
      </c>
      <c r="P86" s="1325">
        <f>+P82-P84</f>
        <v>-4034.602961170142</v>
      </c>
      <c r="Q86" s="1324">
        <f t="shared" si="26"/>
        <v>-7582.0759772311212</v>
      </c>
      <c r="R86" s="1324"/>
      <c r="S86" s="1324"/>
      <c r="V86" s="1326" t="s">
        <v>5205</v>
      </c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</row>
    <row r="87" spans="1:48" ht="14.4">
      <c r="A87" s="1320" t="s">
        <v>5148</v>
      </c>
      <c r="C87" s="1393">
        <v>45</v>
      </c>
      <c r="D87" s="1324" t="s">
        <v>5206</v>
      </c>
      <c r="E87" s="1407"/>
      <c r="F87" s="1411">
        <f>+'Expansion Factor'!$D$3</f>
        <v>1.3436401402136453</v>
      </c>
      <c r="G87" s="1411">
        <f>+'Expansion Factor'!$D$3</f>
        <v>1.3436401402136453</v>
      </c>
      <c r="H87" s="1411">
        <f>+'Expansion Factor'!$D$3</f>
        <v>1.3436401402136453</v>
      </c>
      <c r="J87" s="1411">
        <f>+'Expansion Factor'!$D$3</f>
        <v>1.3436401402136453</v>
      </c>
      <c r="K87" s="1411">
        <f>+'Expansion Factor'!$D$3</f>
        <v>1.3436401402136453</v>
      </c>
      <c r="L87" s="1411">
        <f>+'Expansion Factor'!$D$3</f>
        <v>1.3436401402136453</v>
      </c>
      <c r="M87" s="1411">
        <f>+'Expansion Factor'!$D$3</f>
        <v>1.3436401402136453</v>
      </c>
      <c r="N87" s="1411">
        <f>+'Expansion Factor'!$D$3</f>
        <v>1.3436401402136453</v>
      </c>
      <c r="O87" s="1411">
        <f>+'Expansion Factor'!$D$3</f>
        <v>1.3436401402136453</v>
      </c>
      <c r="P87" s="1411">
        <f>+'Expansion Factor'!$D$3</f>
        <v>1.3436401402136453</v>
      </c>
      <c r="Q87" s="1411">
        <f>+'Expansion Factor'!$D$3</f>
        <v>1.3436401402136453</v>
      </c>
      <c r="R87" s="1411"/>
      <c r="S87" s="1324"/>
      <c r="V87" s="1326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</row>
    <row r="88" spans="1:48" ht="14.4">
      <c r="A88" s="1320" t="s">
        <v>5148</v>
      </c>
      <c r="C88" s="1393">
        <v>46</v>
      </c>
      <c r="D88" s="1324"/>
      <c r="E88" s="1407"/>
      <c r="F88" s="1375"/>
      <c r="G88" s="1375"/>
      <c r="H88" s="1375"/>
      <c r="J88" s="1375"/>
      <c r="K88" s="1375"/>
      <c r="L88" s="1375"/>
      <c r="M88" s="1375"/>
      <c r="N88" s="1377"/>
      <c r="O88" s="1377"/>
      <c r="P88" s="1377"/>
      <c r="Q88" s="1375"/>
      <c r="R88" s="1364"/>
      <c r="S88" s="1324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</row>
    <row r="89" spans="1:48" ht="15" thickBot="1">
      <c r="A89" s="1320" t="s">
        <v>5148</v>
      </c>
      <c r="C89" s="1393">
        <v>47</v>
      </c>
      <c r="D89" s="1324" t="s">
        <v>5207</v>
      </c>
      <c r="E89" s="1407"/>
      <c r="F89" s="1324">
        <f>+F86*F87</f>
        <v>295719.3476363729</v>
      </c>
      <c r="G89" s="1410">
        <f>+G86*G87</f>
        <v>860.34875329894032</v>
      </c>
      <c r="H89" s="1410">
        <f>+H86*H87</f>
        <v>294858.99888307386</v>
      </c>
      <c r="I89" s="1320"/>
      <c r="J89" s="1324">
        <f t="shared" ref="J89:Q89" si="27">+J86*J87</f>
        <v>294858.99888307386</v>
      </c>
      <c r="K89" s="1324">
        <f t="shared" si="27"/>
        <v>129736.91661893754</v>
      </c>
      <c r="L89" s="1324">
        <f t="shared" si="27"/>
        <v>-2702.3238626466314</v>
      </c>
      <c r="M89" s="1324">
        <f t="shared" si="27"/>
        <v>162721.88935868687</v>
      </c>
      <c r="N89" s="1325">
        <f t="shared" si="27"/>
        <v>10755.90817781791</v>
      </c>
      <c r="O89" s="1325">
        <f>+O86*O87</f>
        <v>9884.9277801662483</v>
      </c>
      <c r="P89" s="1325">
        <f>+P86*P87</f>
        <v>-5421.0544884530382</v>
      </c>
      <c r="Q89" s="1324">
        <f t="shared" si="27"/>
        <v>-10187.581629157336</v>
      </c>
      <c r="R89" s="1324"/>
      <c r="S89" s="1324"/>
      <c r="V89" s="1320" t="s">
        <v>5208</v>
      </c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</row>
    <row r="90" spans="1:48" s="1324" customFormat="1" ht="15" thickTop="1">
      <c r="A90" s="1320" t="s">
        <v>5148</v>
      </c>
      <c r="C90" s="1393">
        <v>48</v>
      </c>
      <c r="E90" s="1407"/>
      <c r="F90" s="1381"/>
      <c r="G90" s="1381"/>
      <c r="H90" s="1381"/>
      <c r="I90" s="1374"/>
      <c r="J90" s="1381"/>
      <c r="K90" s="1381"/>
      <c r="L90" s="1381"/>
      <c r="M90" s="1381"/>
      <c r="N90" s="1383"/>
      <c r="O90" s="1383"/>
      <c r="P90" s="1383"/>
      <c r="Q90" s="1381"/>
      <c r="R90" s="1364"/>
      <c r="Y90" s="132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</row>
    <row r="91" spans="1:48" s="1324" customFormat="1" ht="14.4">
      <c r="A91" s="1320" t="s">
        <v>5148</v>
      </c>
      <c r="C91" s="1393">
        <v>49</v>
      </c>
      <c r="D91" s="1324" t="s">
        <v>5209</v>
      </c>
      <c r="E91" s="1407"/>
      <c r="F91" s="1364">
        <f>F17</f>
        <v>1528704.6891072481</v>
      </c>
      <c r="G91" s="1364">
        <f>G17</f>
        <v>8011.2948290062213</v>
      </c>
      <c r="H91" s="1364">
        <f>H17</f>
        <v>1520693.394278242</v>
      </c>
      <c r="I91" s="1374"/>
      <c r="J91" s="1364">
        <f t="shared" ref="J91:Q91" si="28">J17</f>
        <v>1520693.394278242</v>
      </c>
      <c r="K91" s="1364">
        <f>K17</f>
        <v>951088.19003149786</v>
      </c>
      <c r="L91" s="1364">
        <f t="shared" si="28"/>
        <v>97914.605784153144</v>
      </c>
      <c r="M91" s="1364">
        <f t="shared" si="28"/>
        <v>316410.01381903829</v>
      </c>
      <c r="N91" s="1367">
        <f t="shared" si="28"/>
        <v>44953.009795378544</v>
      </c>
      <c r="O91" s="1367">
        <f>O17</f>
        <v>23909.376667363038</v>
      </c>
      <c r="P91" s="1367">
        <f>P17</f>
        <v>8996.0278150536597</v>
      </c>
      <c r="Q91" s="1364">
        <f t="shared" si="28"/>
        <v>77492.270365757824</v>
      </c>
      <c r="R91" s="1364"/>
      <c r="V91" s="1320" t="s">
        <v>5210</v>
      </c>
      <c r="Y91" s="1320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</row>
    <row r="92" spans="1:48" s="1324" customFormat="1" ht="14.4">
      <c r="A92" s="1320" t="s">
        <v>5148</v>
      </c>
      <c r="C92" s="1393">
        <v>50</v>
      </c>
      <c r="E92" s="1407"/>
      <c r="F92" s="1364"/>
      <c r="G92" s="1364"/>
      <c r="H92" s="1364"/>
      <c r="I92" s="1374"/>
      <c r="J92" s="1364"/>
      <c r="K92" s="1364"/>
      <c r="L92" s="1364"/>
      <c r="M92" s="1364"/>
      <c r="N92" s="1367"/>
      <c r="O92" s="1367"/>
      <c r="P92" s="1367"/>
      <c r="Q92" s="1364"/>
      <c r="R92" s="1364"/>
      <c r="Y92" s="1320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</row>
    <row r="93" spans="1:48" s="1324" customFormat="1" ht="14.4">
      <c r="A93" s="1320" t="s">
        <v>5148</v>
      </c>
      <c r="C93" s="1393">
        <v>51</v>
      </c>
      <c r="D93" s="1324" t="s">
        <v>5211</v>
      </c>
      <c r="E93" s="1407"/>
      <c r="F93" s="1324">
        <f>F89+F17</f>
        <v>1824424.0367436209</v>
      </c>
      <c r="G93" s="1324">
        <f>G89+G17</f>
        <v>8871.6435823051615</v>
      </c>
      <c r="H93" s="1324">
        <f>H89+H17</f>
        <v>1815552.3931613159</v>
      </c>
      <c r="I93" s="1374"/>
      <c r="J93" s="1324">
        <f t="shared" ref="J93:Q93" si="29">J89+J17</f>
        <v>1815552.3931613159</v>
      </c>
      <c r="K93" s="1324">
        <f>K89+K17</f>
        <v>1080825.1066504354</v>
      </c>
      <c r="L93" s="1324">
        <f t="shared" si="29"/>
        <v>95212.28192150651</v>
      </c>
      <c r="M93" s="1324">
        <f t="shared" si="29"/>
        <v>479131.90317772515</v>
      </c>
      <c r="N93" s="1325">
        <f t="shared" si="29"/>
        <v>55708.917973196454</v>
      </c>
      <c r="O93" s="1325">
        <f>O89+O17</f>
        <v>33794.304447529285</v>
      </c>
      <c r="P93" s="1325">
        <f>P89+P17</f>
        <v>3574.9733266006215</v>
      </c>
      <c r="Q93" s="1324">
        <f t="shared" si="29"/>
        <v>67304.688736600481</v>
      </c>
      <c r="S93" s="1320"/>
      <c r="V93" s="1320" t="s">
        <v>5212</v>
      </c>
      <c r="Y93" s="1320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</row>
    <row r="94" spans="1:48" s="1324" customFormat="1" ht="14.4">
      <c r="A94" s="1320" t="s">
        <v>5148</v>
      </c>
      <c r="C94" s="1393">
        <v>52</v>
      </c>
      <c r="D94" s="1324" t="s">
        <v>5213</v>
      </c>
      <c r="E94" s="1407"/>
      <c r="F94" s="1366">
        <f>-F15</f>
        <v>-40050.163994830684</v>
      </c>
      <c r="G94" s="1366">
        <f>-G15</f>
        <v>-82.264246588621972</v>
      </c>
      <c r="H94" s="1366">
        <f>-H15</f>
        <v>-39967.899748242067</v>
      </c>
      <c r="I94" s="1374"/>
      <c r="J94" s="1366">
        <f t="shared" ref="J94:Q94" si="30">-J15</f>
        <v>-39967.899748242067</v>
      </c>
      <c r="K94" s="1366">
        <f t="shared" si="30"/>
        <v>-30484.421691497635</v>
      </c>
      <c r="L94" s="1366">
        <f t="shared" si="30"/>
        <v>-2699.679424153157</v>
      </c>
      <c r="M94" s="1366">
        <f t="shared" si="30"/>
        <v>-5927.7559690382159</v>
      </c>
      <c r="N94" s="1378">
        <f t="shared" si="30"/>
        <v>-600.07681537854978</v>
      </c>
      <c r="O94" s="1378">
        <f>-O15</f>
        <v>-114.07386736303793</v>
      </c>
      <c r="P94" s="1378">
        <f>-P15</f>
        <v>-94.351075053650149</v>
      </c>
      <c r="Q94" s="1366">
        <f t="shared" si="30"/>
        <v>-117.64090575782981</v>
      </c>
      <c r="R94" s="1364"/>
      <c r="V94" s="1320" t="s">
        <v>5214</v>
      </c>
      <c r="Y94" s="1320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</row>
    <row r="95" spans="1:48" s="1324" customFormat="1" ht="14.4">
      <c r="A95" s="1320" t="s">
        <v>5148</v>
      </c>
      <c r="C95" s="1393">
        <v>53</v>
      </c>
      <c r="E95" s="1407"/>
      <c r="F95" s="1364"/>
      <c r="G95" s="1364"/>
      <c r="H95" s="1364"/>
      <c r="I95" s="1374"/>
      <c r="J95" s="1364"/>
      <c r="K95" s="1364"/>
      <c r="L95" s="1364"/>
      <c r="M95" s="1364"/>
      <c r="N95" s="1367"/>
      <c r="O95" s="1367"/>
      <c r="P95" s="1367"/>
      <c r="Q95" s="1364"/>
      <c r="R95" s="1364"/>
      <c r="Y95" s="1320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</row>
    <row r="96" spans="1:48" s="1324" customFormat="1" ht="14.4">
      <c r="A96" s="1320" t="s">
        <v>5148</v>
      </c>
      <c r="C96" s="1393">
        <v>54</v>
      </c>
      <c r="D96" s="1324" t="s">
        <v>5215</v>
      </c>
      <c r="E96" s="1407"/>
      <c r="F96" s="1324">
        <f>SUM(F93:F94)</f>
        <v>1784373.8727487903</v>
      </c>
      <c r="G96" s="1324">
        <f>SUM(G93:G94)</f>
        <v>8789.3793357165396</v>
      </c>
      <c r="H96" s="1324">
        <f>SUM(H93:H94)</f>
        <v>1775584.4934130739</v>
      </c>
      <c r="I96" s="1374"/>
      <c r="J96" s="1324">
        <f t="shared" ref="J96:Q96" si="31">SUM(J93:J94)</f>
        <v>1775584.4934130739</v>
      </c>
      <c r="K96" s="1324">
        <f t="shared" si="31"/>
        <v>1050340.6849589378</v>
      </c>
      <c r="L96" s="1324">
        <f t="shared" si="31"/>
        <v>92512.602497353349</v>
      </c>
      <c r="M96" s="1324">
        <f t="shared" si="31"/>
        <v>473204.14720868692</v>
      </c>
      <c r="N96" s="1325">
        <f t="shared" si="31"/>
        <v>55108.841157817908</v>
      </c>
      <c r="O96" s="1325">
        <f>SUM(O93:O94)</f>
        <v>33680.230580166244</v>
      </c>
      <c r="P96" s="1325">
        <f>SUM(P93:P94)</f>
        <v>3480.6222515469713</v>
      </c>
      <c r="Q96" s="1324">
        <f t="shared" si="31"/>
        <v>67187.047830842654</v>
      </c>
      <c r="V96" s="1320" t="s">
        <v>5216</v>
      </c>
      <c r="Y96" s="1320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</row>
    <row r="97" spans="1:48" s="1324" customFormat="1" ht="14.4">
      <c r="A97" s="1320" t="s">
        <v>5148</v>
      </c>
      <c r="C97" s="1393">
        <v>55</v>
      </c>
      <c r="E97" s="1407"/>
      <c r="I97" s="1395"/>
      <c r="N97" s="1325"/>
      <c r="O97" s="1325"/>
      <c r="P97" s="1325"/>
      <c r="Y97" s="1320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</row>
    <row r="98" spans="1:48" s="1324" customFormat="1" ht="14.4">
      <c r="A98" s="1320" t="s">
        <v>5148</v>
      </c>
      <c r="C98" s="1393">
        <v>56</v>
      </c>
      <c r="D98" s="1324" t="s">
        <v>5217</v>
      </c>
      <c r="E98" s="1407"/>
      <c r="F98" s="1412">
        <f>-F14+F96</f>
        <v>295719.34763637278</v>
      </c>
      <c r="G98" s="1413"/>
      <c r="H98" s="1413"/>
      <c r="I98" s="1374"/>
      <c r="J98" s="1389">
        <f t="shared" ref="J98:P98" si="32">J14/J96</f>
        <v>0.83393693739896968</v>
      </c>
      <c r="K98" s="1389">
        <f t="shared" si="32"/>
        <v>0.87648110896131803</v>
      </c>
      <c r="L98" s="1389">
        <f t="shared" si="32"/>
        <v>1.0292103323190367</v>
      </c>
      <c r="M98" s="1389">
        <f t="shared" si="32"/>
        <v>0.65612750792962693</v>
      </c>
      <c r="N98" s="1389">
        <f t="shared" si="32"/>
        <v>0.80482427226122055</v>
      </c>
      <c r="O98" s="1389">
        <f t="shared" si="32"/>
        <v>0.70650652890757459</v>
      </c>
      <c r="P98" s="1389">
        <f t="shared" si="32"/>
        <v>2.5574957857157976</v>
      </c>
      <c r="Q98" s="1389">
        <f>IF(Q14=0,0,Q14/Q96)</f>
        <v>1.151630142387067</v>
      </c>
      <c r="R98" s="1389"/>
      <c r="S98" s="1320"/>
      <c r="V98" s="1320" t="s">
        <v>5218</v>
      </c>
      <c r="Y98" s="1320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</row>
    <row r="99" spans="1:48" ht="14.4">
      <c r="E99" s="1414"/>
      <c r="F99" s="1384"/>
      <c r="G99" s="1384"/>
      <c r="H99" s="1384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</row>
    <row r="100" spans="1:48" ht="14.4">
      <c r="G100" s="1320"/>
      <c r="K100" s="1389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</row>
    <row r="101" spans="1:48" ht="14.4">
      <c r="G101" s="1320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</row>
    <row r="102" spans="1:48" ht="14.4">
      <c r="G102" s="1320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</row>
    <row r="103" spans="1:48" ht="14.4">
      <c r="G103" s="1320"/>
      <c r="V103" s="1332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</row>
    <row r="104" spans="1:48" ht="14.4">
      <c r="C104" s="1340" t="str">
        <f>+C$2</f>
        <v>RATES WITH REVENUE DEFICIENCY ADDITION</v>
      </c>
      <c r="F104" s="1333"/>
      <c r="G104" s="1327" t="s">
        <v>2173</v>
      </c>
      <c r="I104" s="1334" t="s">
        <v>4851</v>
      </c>
      <c r="L104" s="1329" t="s">
        <v>2173</v>
      </c>
      <c r="M104" s="1330"/>
      <c r="N104" s="1330"/>
      <c r="O104" s="1330"/>
      <c r="S104" s="1334" t="s">
        <v>4867</v>
      </c>
      <c r="T104" s="1333" t="s">
        <v>2173</v>
      </c>
      <c r="U104" s="1334"/>
      <c r="V104" s="1332" t="s">
        <v>4772</v>
      </c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</row>
    <row r="105" spans="1:48" ht="14.4">
      <c r="C105" s="1340" t="str">
        <f>+C$3</f>
        <v>PROD. CAP. ALLOC. METHOD: 12 CP &amp; 1/13th AD</v>
      </c>
      <c r="G105" s="1333" t="s">
        <v>4768</v>
      </c>
      <c r="I105" s="1335" t="s">
        <v>5189</v>
      </c>
      <c r="L105" s="1336" t="s">
        <v>5219</v>
      </c>
      <c r="M105" s="1337"/>
      <c r="N105" s="1337"/>
      <c r="O105" s="1337"/>
      <c r="R105" s="1331"/>
      <c r="S105" s="1335" t="s">
        <v>5220</v>
      </c>
      <c r="T105" s="1333" t="s">
        <v>5219</v>
      </c>
      <c r="V105" s="1332" t="s">
        <v>4867</v>
      </c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</row>
    <row r="106" spans="1:48" ht="14.4">
      <c r="C106" s="1340" t="str">
        <f>+C$4</f>
        <v>PROJECTED CALENDAR YEAR 2025; FULLY ADJUSTED DATA</v>
      </c>
      <c r="G106" s="1336" t="s">
        <v>2181</v>
      </c>
      <c r="L106" s="1336" t="s">
        <v>2181</v>
      </c>
      <c r="T106" s="1339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</row>
    <row r="107" spans="1:48" ht="14.4">
      <c r="C107" s="1340" t="str">
        <f>+C$5</f>
        <v>MINIMUM DISTRIBUTION SYSTEM (MDS) NOT EMPLOYED</v>
      </c>
      <c r="T107" s="1333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</row>
    <row r="108" spans="1:48" ht="14.4">
      <c r="C108" s="1340" t="str">
        <f>+C$6</f>
        <v>Tampa Electric 2025 OB Budget</v>
      </c>
      <c r="D108" s="1358"/>
      <c r="F108" s="1327"/>
      <c r="G108" s="1333" t="s">
        <v>5221</v>
      </c>
      <c r="L108" s="1336" t="s">
        <v>5221</v>
      </c>
      <c r="M108" s="1337"/>
      <c r="N108" s="1337"/>
      <c r="O108" s="1337"/>
      <c r="T108" s="1333" t="s">
        <v>5221</v>
      </c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</row>
    <row r="109" spans="1:48" ht="14.4">
      <c r="F109" s="1333"/>
      <c r="G109" s="1320"/>
      <c r="L109" s="1336"/>
      <c r="M109" s="1337"/>
      <c r="N109" s="1337"/>
      <c r="O109" s="1337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</row>
    <row r="110" spans="1:48" ht="14.4">
      <c r="F110" s="1333"/>
      <c r="G110" s="1320"/>
      <c r="L110" s="1336"/>
      <c r="M110" s="1337"/>
      <c r="N110" s="1337"/>
      <c r="O110" s="1337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</row>
    <row r="111" spans="1:48" ht="14.4">
      <c r="C111" s="1342"/>
      <c r="E111" s="1331"/>
      <c r="F111" s="1331"/>
      <c r="G111" s="1331"/>
      <c r="H111" s="1331"/>
      <c r="I111" s="1415"/>
      <c r="J111" s="1416"/>
      <c r="K111" s="1416"/>
      <c r="L111" s="1416"/>
      <c r="M111" s="1417"/>
      <c r="N111" s="1417"/>
      <c r="O111" s="1417"/>
      <c r="P111" s="1416"/>
      <c r="Q111" s="1416"/>
      <c r="R111" s="133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</row>
    <row r="112" spans="1:48" ht="14.4">
      <c r="C112" s="1342"/>
      <c r="E112" s="1331"/>
      <c r="F112" s="1333"/>
      <c r="G112" s="1333"/>
      <c r="H112" s="1333"/>
      <c r="I112" s="1343"/>
      <c r="J112" s="1416"/>
      <c r="K112" s="1336"/>
      <c r="L112" s="1416"/>
      <c r="M112" s="1417"/>
      <c r="N112" s="1417"/>
      <c r="O112" s="1417"/>
      <c r="P112" s="3164"/>
      <c r="Q112" s="3164"/>
      <c r="R112" s="1333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</row>
    <row r="113" spans="1:48" ht="30" customHeight="1">
      <c r="A113" s="1347" t="s">
        <v>4683</v>
      </c>
      <c r="B113" s="1348" t="s">
        <v>5143</v>
      </c>
      <c r="C113" s="1349" t="s">
        <v>4297</v>
      </c>
      <c r="D113" s="1350"/>
      <c r="E113" s="1418"/>
      <c r="F113" s="1348" t="s">
        <v>5144</v>
      </c>
      <c r="G113" s="1348" t="s">
        <v>4956</v>
      </c>
      <c r="H113" s="1348" t="s">
        <v>4957</v>
      </c>
      <c r="I113" s="1351" t="s">
        <v>5145</v>
      </c>
      <c r="J113" s="1352" t="s">
        <v>4957</v>
      </c>
      <c r="K113" s="1353" t="s">
        <v>1949</v>
      </c>
      <c r="L113" s="1353" t="s">
        <v>1950</v>
      </c>
      <c r="M113" s="1354" t="s">
        <v>1934</v>
      </c>
      <c r="N113" s="1354" t="s">
        <v>1971</v>
      </c>
      <c r="O113" s="1354" t="s">
        <v>1972</v>
      </c>
      <c r="P113" s="1352" t="s">
        <v>5146</v>
      </c>
      <c r="Q113" s="1352" t="s">
        <v>5147</v>
      </c>
      <c r="R113" s="1355"/>
      <c r="S113" s="1348" t="s">
        <v>5143</v>
      </c>
      <c r="T113" s="1348"/>
      <c r="U113" s="1352"/>
      <c r="V113" s="1355" t="s">
        <v>4774</v>
      </c>
      <c r="W113" s="1350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</row>
    <row r="114" spans="1:48" ht="14.4">
      <c r="G114" s="1320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1:48" ht="14.4">
      <c r="A115" s="1320" t="s">
        <v>4775</v>
      </c>
      <c r="B115" s="1320">
        <v>501</v>
      </c>
      <c r="C115" s="1322">
        <v>1</v>
      </c>
      <c r="D115" s="1362" t="s">
        <v>5222</v>
      </c>
      <c r="E115" s="1320" t="s">
        <v>4777</v>
      </c>
      <c r="F115" s="1350">
        <f>+'0 MDS Allocation Assignment'!F14</f>
        <v>1480725.49453</v>
      </c>
      <c r="G115" s="1350">
        <f>+$F$115*G2040</f>
        <v>0</v>
      </c>
      <c r="H115" s="1350">
        <f>+$F$115*H2040</f>
        <v>1480725.49453</v>
      </c>
      <c r="I115" s="1323">
        <f t="shared" ref="I115:I141" si="33">IF(E115="","",IF(F115=0,0,+H115/F115))</f>
        <v>1</v>
      </c>
      <c r="J115" s="1366">
        <f>+H115</f>
        <v>1480725.49453</v>
      </c>
      <c r="K115" s="1366">
        <f>+$J$115*K2040</f>
        <v>920603.76834000018</v>
      </c>
      <c r="L115" s="1366">
        <f t="shared" ref="L115:Q115" si="34">+$J$115*L2040</f>
        <v>95214.926359999983</v>
      </c>
      <c r="M115" s="1366">
        <f t="shared" si="34"/>
        <v>310482.25785000005</v>
      </c>
      <c r="N115" s="1366">
        <f t="shared" si="34"/>
        <v>44352.932979999998</v>
      </c>
      <c r="O115" s="1366">
        <f t="shared" si="34"/>
        <v>23795.302800000001</v>
      </c>
      <c r="P115" s="1366">
        <f t="shared" si="34"/>
        <v>8901.6767400000099</v>
      </c>
      <c r="Q115" s="1366">
        <f t="shared" si="34"/>
        <v>77374.629459999996</v>
      </c>
      <c r="R115" s="1358"/>
      <c r="S115" s="1320">
        <v>501</v>
      </c>
      <c r="V115" s="1321" t="s">
        <v>5223</v>
      </c>
      <c r="W115" s="1321">
        <v>501</v>
      </c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</row>
    <row r="116" spans="1:48" ht="14.4">
      <c r="A116" s="1320" t="s">
        <v>4775</v>
      </c>
      <c r="C116" s="1322">
        <v>2</v>
      </c>
      <c r="G116" s="1320"/>
      <c r="I116" s="1323" t="str">
        <f t="shared" si="33"/>
        <v/>
      </c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</row>
    <row r="117" spans="1:48" s="1324" customFormat="1" ht="14.4">
      <c r="A117" s="1324" t="s">
        <v>4775</v>
      </c>
      <c r="B117" s="1324">
        <v>420</v>
      </c>
      <c r="C117" s="1393">
        <v>3</v>
      </c>
      <c r="D117" s="1362" t="s">
        <v>5224</v>
      </c>
      <c r="E117" s="1324" t="s">
        <v>4071</v>
      </c>
      <c r="F117" s="1366">
        <f>+'0 MDS Allocation Assignment'!F15</f>
        <v>21444.964123999598</v>
      </c>
      <c r="G117" s="1366">
        <f>+$F$117*G2023</f>
        <v>0</v>
      </c>
      <c r="H117" s="1366">
        <f>+$F$117*H2024</f>
        <v>21444.964123999598</v>
      </c>
      <c r="I117" s="1323">
        <f t="shared" si="33"/>
        <v>1</v>
      </c>
      <c r="J117" s="1366">
        <f>+H117</f>
        <v>21444.964123999598</v>
      </c>
      <c r="K117" s="1366">
        <f>+$J$117*K$2024</f>
        <v>19131.8941489108</v>
      </c>
      <c r="L117" s="1366">
        <f t="shared" ref="L117:Q117" si="35">+$J$117*L$2024</f>
        <v>1854.192274892391</v>
      </c>
      <c r="M117" s="1366">
        <f t="shared" si="35"/>
        <v>453.45484885782474</v>
      </c>
      <c r="N117" s="1366">
        <f t="shared" si="35"/>
        <v>0</v>
      </c>
      <c r="O117" s="1366">
        <f t="shared" si="35"/>
        <v>0</v>
      </c>
      <c r="P117" s="1366">
        <f t="shared" si="35"/>
        <v>5.4228513385816983</v>
      </c>
      <c r="Q117" s="1366">
        <f t="shared" si="35"/>
        <v>0</v>
      </c>
      <c r="R117" s="1364"/>
      <c r="S117" s="1324">
        <v>420</v>
      </c>
      <c r="T117" s="1368"/>
      <c r="V117" s="1326" t="s">
        <v>5225</v>
      </c>
      <c r="W117" s="1326">
        <v>420</v>
      </c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</row>
    <row r="118" spans="1:48" ht="14.4">
      <c r="A118" s="1320" t="s">
        <v>4775</v>
      </c>
      <c r="C118" s="1322">
        <v>4</v>
      </c>
      <c r="F118" s="1324"/>
      <c r="G118" s="1320"/>
      <c r="I118" s="1323" t="str">
        <f t="shared" si="33"/>
        <v/>
      </c>
      <c r="K118" s="1419"/>
      <c r="L118" s="1419"/>
      <c r="M118" s="1419"/>
      <c r="N118" s="1419"/>
      <c r="O118" s="1419"/>
      <c r="P118" s="1419"/>
      <c r="Q118" s="1419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</row>
    <row r="119" spans="1:48" ht="14.4">
      <c r="A119" s="1320" t="s">
        <v>4775</v>
      </c>
      <c r="B119" s="1321"/>
      <c r="C119" s="1322">
        <v>5</v>
      </c>
      <c r="D119" s="1362" t="s">
        <v>5226</v>
      </c>
      <c r="F119" s="1324"/>
      <c r="G119" s="1320"/>
      <c r="I119" s="1323" t="str">
        <f t="shared" si="33"/>
        <v/>
      </c>
      <c r="S119" s="1321"/>
      <c r="T119" s="1321"/>
      <c r="U119" s="1326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</row>
    <row r="120" spans="1:48" s="1324" customFormat="1" ht="14.4">
      <c r="A120" s="1320" t="s">
        <v>4775</v>
      </c>
      <c r="B120" s="1324">
        <v>101</v>
      </c>
      <c r="C120" s="1393">
        <v>6</v>
      </c>
      <c r="D120" s="1320" t="s">
        <v>1528</v>
      </c>
      <c r="E120" s="1324" t="s">
        <v>4067</v>
      </c>
      <c r="F120" s="1364">
        <f>+'0 MDS Allocation Assignment'!F16</f>
        <v>312.20800000000003</v>
      </c>
      <c r="G120" s="1324">
        <f>+$F120*G$1933</f>
        <v>0</v>
      </c>
      <c r="H120" s="1324">
        <f>+$F120*H$1933</f>
        <v>312.20800000000003</v>
      </c>
      <c r="I120" s="1323">
        <f t="shared" si="33"/>
        <v>1</v>
      </c>
      <c r="J120" s="1324">
        <f>+H120</f>
        <v>312.20800000000003</v>
      </c>
      <c r="K120" s="1324">
        <f t="shared" ref="K120:Q120" si="36">+$J120*K$1951</f>
        <v>181.08471123094529</v>
      </c>
      <c r="L120" s="1324">
        <f t="shared" si="36"/>
        <v>14.93766215563574</v>
      </c>
      <c r="M120" s="1324">
        <f t="shared" si="36"/>
        <v>95.488969664222026</v>
      </c>
      <c r="N120" s="1324">
        <f t="shared" si="36"/>
        <v>11.920531764985192</v>
      </c>
      <c r="O120" s="1324">
        <f t="shared" si="36"/>
        <v>8.5547720199314536</v>
      </c>
      <c r="P120" s="1324">
        <f t="shared" si="36"/>
        <v>0.22135316428034399</v>
      </c>
      <c r="Q120" s="1324">
        <f t="shared" si="36"/>
        <v>0</v>
      </c>
      <c r="S120" s="1324">
        <v>122</v>
      </c>
      <c r="T120" s="1320"/>
      <c r="V120" s="1321" t="s">
        <v>5227</v>
      </c>
      <c r="W120" s="1321">
        <v>122</v>
      </c>
      <c r="Y120" s="13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</row>
    <row r="121" spans="1:48" ht="14.4">
      <c r="A121" s="1320" t="s">
        <v>4775</v>
      </c>
      <c r="B121" s="1320">
        <v>117</v>
      </c>
      <c r="C121" s="1322">
        <v>7</v>
      </c>
      <c r="D121" s="1320" t="s">
        <v>1529</v>
      </c>
      <c r="E121" s="1324" t="s">
        <v>4067</v>
      </c>
      <c r="F121" s="1364">
        <f>+'0 MDS Allocation Assignment'!F17</f>
        <v>755.73100000000011</v>
      </c>
      <c r="G121" s="1320">
        <f>+$F121*G$1942</f>
        <v>48.961435447380765</v>
      </c>
      <c r="H121" s="1320">
        <f>+$F121*H$1942</f>
        <v>706.76956455261927</v>
      </c>
      <c r="I121" s="1323">
        <f t="shared" si="33"/>
        <v>0.93521314403222733</v>
      </c>
      <c r="J121" s="1324">
        <f>+H121</f>
        <v>706.76956455261927</v>
      </c>
      <c r="K121" s="1324">
        <f t="shared" ref="K121:Q122" si="37">+$J121*K$1945</f>
        <v>409.93556380307996</v>
      </c>
      <c r="L121" s="1324">
        <f t="shared" si="37"/>
        <v>33.815549176103147</v>
      </c>
      <c r="M121" s="1324">
        <f t="shared" si="37"/>
        <v>216.16581736906315</v>
      </c>
      <c r="N121" s="1324">
        <f t="shared" si="37"/>
        <v>26.985436134801954</v>
      </c>
      <c r="O121" s="1324">
        <f t="shared" si="37"/>
        <v>19.366103672467986</v>
      </c>
      <c r="P121" s="1324">
        <f t="shared" si="37"/>
        <v>0.50109439710309511</v>
      </c>
      <c r="Q121" s="1324">
        <f t="shared" si="37"/>
        <v>0</v>
      </c>
      <c r="R121" s="1324"/>
      <c r="S121" s="1324">
        <v>117</v>
      </c>
      <c r="V121" s="1321" t="s">
        <v>5228</v>
      </c>
      <c r="W121" s="1321">
        <v>117</v>
      </c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</row>
    <row r="122" spans="1:48" ht="14.4">
      <c r="A122" s="1320" t="s">
        <v>4775</v>
      </c>
      <c r="B122" s="1320">
        <v>117</v>
      </c>
      <c r="C122" s="1322">
        <v>8</v>
      </c>
      <c r="D122" s="1320" t="s">
        <v>1953</v>
      </c>
      <c r="E122" s="1324" t="s">
        <v>4067</v>
      </c>
      <c r="F122" s="1364">
        <f>+'0 MDS Allocation Assignment'!F18</f>
        <v>148.62792999999999</v>
      </c>
      <c r="G122" s="1320">
        <f>+$F122*G$1942</f>
        <v>9.6291362936981884</v>
      </c>
      <c r="H122" s="1320">
        <f>+$F122*H$1942</f>
        <v>138.9987937063018</v>
      </c>
      <c r="I122" s="1323">
        <f t="shared" si="33"/>
        <v>0.93521314403222733</v>
      </c>
      <c r="J122" s="1324">
        <f>+H122</f>
        <v>138.9987937063018</v>
      </c>
      <c r="K122" s="1324">
        <f t="shared" si="37"/>
        <v>80.621112911121415</v>
      </c>
      <c r="L122" s="1324">
        <f t="shared" si="37"/>
        <v>6.6504286258700729</v>
      </c>
      <c r="M122" s="1324">
        <f t="shared" si="37"/>
        <v>42.512849112080751</v>
      </c>
      <c r="N122" s="1324">
        <f t="shared" si="37"/>
        <v>5.3071655296167748</v>
      </c>
      <c r="O122" s="1324">
        <f t="shared" si="37"/>
        <v>3.8086884102998479</v>
      </c>
      <c r="P122" s="1324">
        <f t="shared" si="37"/>
        <v>9.854911731294734E-2</v>
      </c>
      <c r="Q122" s="1324">
        <f t="shared" si="37"/>
        <v>0</v>
      </c>
      <c r="R122" s="1324"/>
      <c r="S122" s="1324">
        <v>117</v>
      </c>
      <c r="V122" s="1321" t="s">
        <v>5228</v>
      </c>
      <c r="W122" s="1321">
        <v>117</v>
      </c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</row>
    <row r="123" spans="1:48" ht="14.4">
      <c r="A123" s="1320" t="s">
        <v>4775</v>
      </c>
      <c r="B123" s="1320">
        <v>105</v>
      </c>
      <c r="C123" s="1322">
        <v>9</v>
      </c>
      <c r="D123" s="1320" t="s">
        <v>2040</v>
      </c>
      <c r="E123" s="1324" t="s">
        <v>4067</v>
      </c>
      <c r="F123" s="1364">
        <f>+'0 MDS Allocation Assignment'!F19</f>
        <v>13733.925089886799</v>
      </c>
      <c r="G123" s="1358">
        <f>+$F123*G1936</f>
        <v>0</v>
      </c>
      <c r="H123" s="1358">
        <f>+$F123*H1936</f>
        <v>13733.925089886799</v>
      </c>
      <c r="I123" s="1323">
        <f t="shared" si="33"/>
        <v>1</v>
      </c>
      <c r="J123" s="1324">
        <f>+H123</f>
        <v>13733.925089886799</v>
      </c>
      <c r="K123" s="1364">
        <f>+$J123*K1936</f>
        <v>8548.2148846113614</v>
      </c>
      <c r="L123" s="1364">
        <f t="shared" ref="L123:Q123" si="38">+$J123*L1936</f>
        <v>607.97048202411736</v>
      </c>
      <c r="M123" s="1364">
        <f t="shared" si="38"/>
        <v>4070.7419780525202</v>
      </c>
      <c r="N123" s="1364">
        <f t="shared" si="38"/>
        <v>428.16020938659949</v>
      </c>
      <c r="O123" s="1364">
        <f t="shared" si="38"/>
        <v>2.9233944991744441E-4</v>
      </c>
      <c r="P123" s="1364">
        <f t="shared" si="38"/>
        <v>78.837243472754835</v>
      </c>
      <c r="Q123" s="1364">
        <f t="shared" si="38"/>
        <v>0</v>
      </c>
      <c r="R123" s="1364"/>
      <c r="S123" s="1420">
        <v>105</v>
      </c>
      <c r="V123" s="1321" t="s">
        <v>5229</v>
      </c>
      <c r="W123" s="1321">
        <v>105</v>
      </c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</row>
    <row r="124" spans="1:48" ht="14.4">
      <c r="A124" s="1320" t="s">
        <v>4775</v>
      </c>
      <c r="B124" s="1320">
        <v>106</v>
      </c>
      <c r="C124" s="1322">
        <v>10</v>
      </c>
      <c r="D124" s="1320" t="s">
        <v>4787</v>
      </c>
      <c r="E124" s="1324" t="s">
        <v>4067</v>
      </c>
      <c r="F124" s="1364">
        <f>+'0 MDS Allocation Assignment'!F20</f>
        <v>118.96596000000004</v>
      </c>
      <c r="G124" s="1350">
        <f>+$F124*G$1939</f>
        <v>0</v>
      </c>
      <c r="H124" s="1350">
        <f>+$F124*H$1939</f>
        <v>118.96596000000004</v>
      </c>
      <c r="I124" s="1323">
        <f t="shared" si="33"/>
        <v>1</v>
      </c>
      <c r="J124" s="1324">
        <f>+H124</f>
        <v>118.96596000000004</v>
      </c>
      <c r="K124" s="1366">
        <f>+$J124*K$1939</f>
        <v>86.801521377676025</v>
      </c>
      <c r="L124" s="1366">
        <f t="shared" ref="L124:Q124" si="39">+$J124*L$1939</f>
        <v>6.989245154207822</v>
      </c>
      <c r="M124" s="1366">
        <f t="shared" si="39"/>
        <v>24.744842648841875</v>
      </c>
      <c r="N124" s="1366">
        <f t="shared" si="39"/>
        <v>0</v>
      </c>
      <c r="O124" s="1366">
        <f t="shared" si="39"/>
        <v>0</v>
      </c>
      <c r="P124" s="1366">
        <f t="shared" si="39"/>
        <v>0.43035081927430446</v>
      </c>
      <c r="Q124" s="1366">
        <f t="shared" si="39"/>
        <v>0</v>
      </c>
      <c r="R124" s="1364"/>
      <c r="S124" s="1324">
        <v>106</v>
      </c>
      <c r="V124" s="1321" t="s">
        <v>5230</v>
      </c>
      <c r="W124" s="1321">
        <v>106</v>
      </c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</row>
    <row r="125" spans="1:48" ht="14.4">
      <c r="A125" s="1320" t="s">
        <v>4775</v>
      </c>
      <c r="C125" s="1322">
        <v>11</v>
      </c>
      <c r="D125" s="1320" t="s">
        <v>5231</v>
      </c>
      <c r="F125" s="1421">
        <f>+SUM(F120:F124)</f>
        <v>15069.457979886798</v>
      </c>
      <c r="G125" s="1366">
        <f>+SUM(G120:G124)</f>
        <v>58.590571741078953</v>
      </c>
      <c r="H125" s="1366">
        <f>+SUM(H120:H124)</f>
        <v>15010.867408145719</v>
      </c>
      <c r="I125" s="1323">
        <f>IF(F125=0,0,+H125/F125)</f>
        <v>0.99611196555182813</v>
      </c>
      <c r="J125" s="1421">
        <f>+SUM(J120:J124)</f>
        <v>15010.867408145719</v>
      </c>
      <c r="K125" s="1366">
        <f>+SUM(K120:K124)</f>
        <v>9306.6577939341842</v>
      </c>
      <c r="L125" s="1366">
        <f t="shared" ref="L125:Q125" si="40">+SUM(L120:L124)</f>
        <v>670.36336713593414</v>
      </c>
      <c r="M125" s="1366">
        <f t="shared" si="40"/>
        <v>4449.654456846728</v>
      </c>
      <c r="N125" s="1366">
        <f t="shared" si="40"/>
        <v>472.3733428160034</v>
      </c>
      <c r="O125" s="1366">
        <f t="shared" si="40"/>
        <v>31.729856442149206</v>
      </c>
      <c r="P125" s="1366">
        <f t="shared" si="40"/>
        <v>80.088590970725534</v>
      </c>
      <c r="Q125" s="1366">
        <f t="shared" si="40"/>
        <v>0</v>
      </c>
      <c r="R125" s="1364"/>
      <c r="S125" s="1364"/>
      <c r="V125" s="1320" t="s">
        <v>5232</v>
      </c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</row>
    <row r="126" spans="1:48" ht="14.4">
      <c r="A126" s="1320" t="s">
        <v>4775</v>
      </c>
      <c r="C126" s="1322">
        <v>12</v>
      </c>
      <c r="F126" s="1324"/>
      <c r="G126" s="1320"/>
      <c r="I126" s="1323" t="str">
        <f t="shared" si="33"/>
        <v/>
      </c>
      <c r="R126" s="1324"/>
      <c r="S126" s="1324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</row>
    <row r="127" spans="1:48" ht="14.4">
      <c r="A127" s="1320" t="s">
        <v>4775</v>
      </c>
      <c r="C127" s="1322">
        <v>13</v>
      </c>
      <c r="D127" s="1362" t="s">
        <v>5233</v>
      </c>
      <c r="F127" s="1324"/>
      <c r="G127" s="1320"/>
      <c r="I127" s="1323" t="str">
        <f t="shared" si="33"/>
        <v/>
      </c>
      <c r="R127" s="1324"/>
      <c r="S127" s="1324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</row>
    <row r="128" spans="1:48" ht="14.4">
      <c r="A128" s="1320" t="s">
        <v>4775</v>
      </c>
      <c r="B128" s="1320">
        <v>101</v>
      </c>
      <c r="C128" s="1322">
        <v>14</v>
      </c>
      <c r="D128" s="1320" t="s">
        <v>5234</v>
      </c>
      <c r="E128" s="1320" t="s">
        <v>4067</v>
      </c>
      <c r="F128" s="1364">
        <f>+'0 MDS Allocation Assignment'!F21</f>
        <v>1538.7293105288488</v>
      </c>
      <c r="G128" s="1320">
        <f>+$F128*G$1933</f>
        <v>0</v>
      </c>
      <c r="H128" s="1320">
        <f>+$F128*H$1933</f>
        <v>1538.7293105288488</v>
      </c>
      <c r="I128" s="1323">
        <f t="shared" si="33"/>
        <v>1</v>
      </c>
      <c r="J128" s="1324">
        <f>+H128</f>
        <v>1538.7293105288488</v>
      </c>
      <c r="K128" s="1324">
        <f t="shared" ref="K128:Q128" si="41">+$J128*K$1951</f>
        <v>892.48306532730771</v>
      </c>
      <c r="L128" s="1324">
        <f t="shared" si="41"/>
        <v>73.620850809890399</v>
      </c>
      <c r="M128" s="1324">
        <f t="shared" si="41"/>
        <v>470.62111302253146</v>
      </c>
      <c r="N128" s="1324">
        <f t="shared" si="41"/>
        <v>58.750805949472479</v>
      </c>
      <c r="O128" s="1324">
        <f t="shared" si="41"/>
        <v>42.162527712168213</v>
      </c>
      <c r="P128" s="1324">
        <f t="shared" si="41"/>
        <v>1.0909477074785805</v>
      </c>
      <c r="Q128" s="1324">
        <f t="shared" si="41"/>
        <v>0</v>
      </c>
      <c r="R128" s="1324"/>
      <c r="S128" s="1324">
        <v>122</v>
      </c>
      <c r="V128" s="1321" t="s">
        <v>5227</v>
      </c>
      <c r="W128" s="1321">
        <v>122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</row>
    <row r="129" spans="1:48" s="1324" customFormat="1" ht="14.4">
      <c r="A129" s="1320" t="s">
        <v>4775</v>
      </c>
      <c r="B129" s="1324">
        <v>201</v>
      </c>
      <c r="C129" s="1393">
        <v>15</v>
      </c>
      <c r="D129" s="1320" t="s">
        <v>5234</v>
      </c>
      <c r="E129" s="1324" t="s">
        <v>2067</v>
      </c>
      <c r="F129" s="1364">
        <f>+'0 MDS Allocation Assignment'!F22</f>
        <v>145.45872532694909</v>
      </c>
      <c r="G129" s="1324">
        <f>+$F129*G$1966</f>
        <v>0</v>
      </c>
      <c r="H129" s="1324">
        <f>+$F129*H$1966</f>
        <v>145.45872532694909</v>
      </c>
      <c r="I129" s="1323">
        <f t="shared" si="33"/>
        <v>1</v>
      </c>
      <c r="J129" s="1324">
        <f t="shared" ref="J129:J136" si="42">+H129</f>
        <v>145.45872532694909</v>
      </c>
      <c r="K129" s="1324">
        <f t="shared" ref="K129:Q129" si="43">+$J129*K1966</f>
        <v>73.403445338434565</v>
      </c>
      <c r="L129" s="1324">
        <f t="shared" si="43"/>
        <v>6.7833376327591521</v>
      </c>
      <c r="M129" s="1324">
        <f t="shared" si="43"/>
        <v>50.533230628867621</v>
      </c>
      <c r="N129" s="1324">
        <f t="shared" si="43"/>
        <v>8.044077804326653</v>
      </c>
      <c r="O129" s="1324">
        <f t="shared" si="43"/>
        <v>5.9261675565180738</v>
      </c>
      <c r="P129" s="1324">
        <f t="shared" si="43"/>
        <v>0.76846636604302143</v>
      </c>
      <c r="Q129" s="1324">
        <f t="shared" si="43"/>
        <v>0</v>
      </c>
      <c r="S129" s="1324">
        <v>201</v>
      </c>
      <c r="V129" s="1321" t="s">
        <v>5235</v>
      </c>
      <c r="W129" s="1321">
        <v>201</v>
      </c>
      <c r="Y129" s="1320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</row>
    <row r="130" spans="1:48" s="1324" customFormat="1" ht="14.4">
      <c r="A130" s="1320" t="s">
        <v>4775</v>
      </c>
      <c r="B130" s="1324">
        <v>117</v>
      </c>
      <c r="C130" s="1393">
        <v>16</v>
      </c>
      <c r="D130" s="1320" t="s">
        <v>5236</v>
      </c>
      <c r="E130" s="1324" t="s">
        <v>4067</v>
      </c>
      <c r="F130" s="1364">
        <f>+'0 MDS Allocation Assignment'!F23</f>
        <v>240.69636350591523</v>
      </c>
      <c r="G130" s="1324">
        <f>+$F130*G$1942</f>
        <v>15.593960634424368</v>
      </c>
      <c r="H130" s="1324">
        <f>+$F130*H$1942</f>
        <v>225.10240287149085</v>
      </c>
      <c r="I130" s="1323">
        <f t="shared" si="33"/>
        <v>0.93521314403222733</v>
      </c>
      <c r="J130" s="1324">
        <f t="shared" si="42"/>
        <v>225.10240287149085</v>
      </c>
      <c r="K130" s="1324">
        <f t="shared" ref="K130:Q130" si="44">+$J130*K$1945</f>
        <v>130.56232902864701</v>
      </c>
      <c r="L130" s="1324">
        <f t="shared" si="44"/>
        <v>10.770075220737901</v>
      </c>
      <c r="M130" s="1324">
        <f t="shared" si="44"/>
        <v>68.847680133562477</v>
      </c>
      <c r="N130" s="1324">
        <f t="shared" si="44"/>
        <v>8.594720006547238</v>
      </c>
      <c r="O130" s="1324">
        <f t="shared" si="44"/>
        <v>6.168002542229436</v>
      </c>
      <c r="P130" s="1324">
        <f t="shared" si="44"/>
        <v>0.15959593976680062</v>
      </c>
      <c r="Q130" s="1324">
        <f t="shared" si="44"/>
        <v>0</v>
      </c>
      <c r="S130" s="1324">
        <v>117</v>
      </c>
      <c r="V130" s="1321" t="s">
        <v>5228</v>
      </c>
      <c r="W130" s="1321">
        <v>117</v>
      </c>
      <c r="Y130" s="132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</row>
    <row r="131" spans="1:48" s="1324" customFormat="1" ht="14.4">
      <c r="A131" s="1320" t="s">
        <v>4775</v>
      </c>
      <c r="B131" s="1324">
        <v>202</v>
      </c>
      <c r="C131" s="1393">
        <v>17</v>
      </c>
      <c r="D131" s="1324" t="s">
        <v>5237</v>
      </c>
      <c r="E131" s="1324" t="s">
        <v>4777</v>
      </c>
      <c r="F131" s="1364">
        <f>+'0 MDS Allocation Assignment'!F24</f>
        <v>7929.0305824175994</v>
      </c>
      <c r="G131" s="1324">
        <f>+$F131*G$1969</f>
        <v>7929.0305824175994</v>
      </c>
      <c r="H131" s="1324">
        <f>+$F131*H$1969</f>
        <v>0</v>
      </c>
      <c r="I131" s="1323">
        <f t="shared" si="33"/>
        <v>0</v>
      </c>
      <c r="J131" s="1324">
        <f t="shared" si="42"/>
        <v>0</v>
      </c>
      <c r="K131" s="1324">
        <f t="shared" ref="K131:Q131" si="45">+$J131*K$1969</f>
        <v>0</v>
      </c>
      <c r="L131" s="1324">
        <f t="shared" si="45"/>
        <v>0</v>
      </c>
      <c r="M131" s="1324">
        <f t="shared" si="45"/>
        <v>0</v>
      </c>
      <c r="N131" s="1324">
        <f t="shared" si="45"/>
        <v>0</v>
      </c>
      <c r="O131" s="1324">
        <f t="shared" si="45"/>
        <v>0</v>
      </c>
      <c r="P131" s="1324">
        <f t="shared" si="45"/>
        <v>0</v>
      </c>
      <c r="Q131" s="1324">
        <f t="shared" si="45"/>
        <v>0</v>
      </c>
      <c r="S131" s="1324">
        <v>202</v>
      </c>
      <c r="V131" s="1321" t="s">
        <v>5238</v>
      </c>
      <c r="W131" s="1321">
        <v>202</v>
      </c>
      <c r="Y131" s="1320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</row>
    <row r="132" spans="1:48" s="1324" customFormat="1" ht="14.4">
      <c r="A132" s="1320" t="s">
        <v>4775</v>
      </c>
      <c r="B132" s="1324">
        <v>117</v>
      </c>
      <c r="C132" s="1393">
        <v>18</v>
      </c>
      <c r="D132" s="1324" t="s">
        <v>5239</v>
      </c>
      <c r="E132" s="1324" t="s">
        <v>4067</v>
      </c>
      <c r="F132" s="1364">
        <f>+'0 MDS Allocation Assignment'!F25</f>
        <v>124.74078416988189</v>
      </c>
      <c r="G132" s="1324">
        <f>+$F132*G$1942</f>
        <v>8.0815632173211469</v>
      </c>
      <c r="H132" s="1324">
        <f>+$F132*H$1942</f>
        <v>116.65922095256073</v>
      </c>
      <c r="I132" s="1323">
        <f t="shared" si="33"/>
        <v>0.93521314403222733</v>
      </c>
      <c r="J132" s="1324">
        <f t="shared" si="42"/>
        <v>116.65922095256073</v>
      </c>
      <c r="K132" s="1324">
        <f t="shared" ref="K132:Q132" si="46">+$J132*K$1945</f>
        <v>67.663869403159111</v>
      </c>
      <c r="L132" s="1324">
        <f t="shared" si="46"/>
        <v>5.5815867304137443</v>
      </c>
      <c r="M132" s="1324">
        <f t="shared" si="46"/>
        <v>35.680279847380099</v>
      </c>
      <c r="N132" s="1324">
        <f t="shared" si="46"/>
        <v>4.4542098506233856</v>
      </c>
      <c r="O132" s="1324">
        <f t="shared" si="46"/>
        <v>3.1965645956284519</v>
      </c>
      <c r="P132" s="1324">
        <f t="shared" si="46"/>
        <v>8.271052535594578E-2</v>
      </c>
      <c r="Q132" s="1324">
        <f t="shared" si="46"/>
        <v>0</v>
      </c>
      <c r="S132" s="1324">
        <v>117</v>
      </c>
      <c r="V132" s="1321" t="s">
        <v>5228</v>
      </c>
      <c r="W132" s="1321">
        <v>117</v>
      </c>
      <c r="Y132" s="1320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</row>
    <row r="133" spans="1:48" s="1324" customFormat="1" ht="14.4">
      <c r="A133" s="1320" t="s">
        <v>4775</v>
      </c>
      <c r="B133" s="1324">
        <v>105</v>
      </c>
      <c r="C133" s="1393">
        <v>19</v>
      </c>
      <c r="D133" s="1324" t="s">
        <v>5240</v>
      </c>
      <c r="E133" s="1324" t="s">
        <v>4067</v>
      </c>
      <c r="F133" s="1364">
        <f>+'0 MDS Allocation Assignment'!F26</f>
        <v>457.1290388086324</v>
      </c>
      <c r="G133" s="1324">
        <f>+$F133*G$1936</f>
        <v>0</v>
      </c>
      <c r="H133" s="1324">
        <f>+$F133*H$1936</f>
        <v>457.1290388086324</v>
      </c>
      <c r="I133" s="1323">
        <f t="shared" si="33"/>
        <v>1</v>
      </c>
      <c r="J133" s="1324">
        <f t="shared" si="42"/>
        <v>457.1290388086324</v>
      </c>
      <c r="K133" s="1324">
        <f>+$J133*K$1936</f>
        <v>284.52443333985337</v>
      </c>
      <c r="L133" s="1324">
        <f t="shared" ref="L133:Q133" si="47">+$J133*L$1936</f>
        <v>20.236091303305372</v>
      </c>
      <c r="M133" s="1324">
        <f t="shared" si="47"/>
        <v>135.49326616288084</v>
      </c>
      <c r="N133" s="1324">
        <f t="shared" si="47"/>
        <v>14.251167360532929</v>
      </c>
      <c r="O133" s="1324">
        <f t="shared" si="47"/>
        <v>9.7304194446940282E-6</v>
      </c>
      <c r="P133" s="1324">
        <f t="shared" si="47"/>
        <v>2.6240709116405694</v>
      </c>
      <c r="Q133" s="1324">
        <f t="shared" si="47"/>
        <v>0</v>
      </c>
      <c r="S133" s="1324">
        <v>105</v>
      </c>
      <c r="V133" s="1321" t="s">
        <v>5229</v>
      </c>
      <c r="W133" s="1321">
        <v>105</v>
      </c>
      <c r="Y133" s="1320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</row>
    <row r="134" spans="1:48" s="1324" customFormat="1" ht="14.4">
      <c r="A134" s="1320" t="s">
        <v>4775</v>
      </c>
      <c r="B134" s="1324">
        <v>106</v>
      </c>
      <c r="C134" s="1393">
        <v>20</v>
      </c>
      <c r="D134" s="1324" t="s">
        <v>5241</v>
      </c>
      <c r="E134" s="1324" t="s">
        <v>4067</v>
      </c>
      <c r="F134" s="1364">
        <f>+'0 MDS Allocation Assignment'!F27</f>
        <v>229.72470961923418</v>
      </c>
      <c r="G134" s="1324">
        <f>+$F134*G$1939</f>
        <v>0</v>
      </c>
      <c r="H134" s="1324">
        <f>+$F134*H$1939</f>
        <v>229.72470961923418</v>
      </c>
      <c r="I134" s="1323">
        <f t="shared" si="33"/>
        <v>1</v>
      </c>
      <c r="J134" s="1324">
        <f t="shared" si="42"/>
        <v>229.72470961923418</v>
      </c>
      <c r="K134" s="1324">
        <f>+$J134*K$1939</f>
        <v>167.61478907911444</v>
      </c>
      <c r="L134" s="1324">
        <f t="shared" ref="L134:Q134" si="48">+$J134*L$1939</f>
        <v>13.496317043194802</v>
      </c>
      <c r="M134" s="1324">
        <f t="shared" si="48"/>
        <v>47.782590852701389</v>
      </c>
      <c r="N134" s="1324">
        <f t="shared" si="48"/>
        <v>0</v>
      </c>
      <c r="O134" s="1324">
        <f t="shared" si="48"/>
        <v>0</v>
      </c>
      <c r="P134" s="1324">
        <f t="shared" si="48"/>
        <v>0.83101264422351639</v>
      </c>
      <c r="Q134" s="1324">
        <f t="shared" si="48"/>
        <v>0</v>
      </c>
      <c r="S134" s="1324">
        <v>106</v>
      </c>
      <c r="V134" s="1321" t="s">
        <v>5230</v>
      </c>
      <c r="W134" s="1321">
        <v>106</v>
      </c>
      <c r="Y134" s="1320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</row>
    <row r="135" spans="1:48" s="1324" customFormat="1" ht="14.4">
      <c r="A135" s="1320" t="s">
        <v>4775</v>
      </c>
      <c r="B135" s="1324">
        <v>907</v>
      </c>
      <c r="C135" s="1393">
        <v>21</v>
      </c>
      <c r="D135" s="1324" t="s">
        <v>5242</v>
      </c>
      <c r="E135" s="1324" t="s">
        <v>4071</v>
      </c>
      <c r="F135" s="1364">
        <f>+'0 MDS Allocation Assignment'!F28</f>
        <v>216.09497127969638</v>
      </c>
      <c r="G135" s="1324">
        <f>+$F135*G$2052</f>
        <v>0</v>
      </c>
      <c r="H135" s="1324">
        <f>+$F135*H$2052</f>
        <v>216.09497127969638</v>
      </c>
      <c r="I135" s="1323">
        <f t="shared" si="33"/>
        <v>1</v>
      </c>
      <c r="J135" s="1324">
        <f t="shared" si="42"/>
        <v>216.09497127969638</v>
      </c>
      <c r="K135" s="1324">
        <f>+$J135*K$2052</f>
        <v>79.664863603976698</v>
      </c>
      <c r="L135" s="1324">
        <f t="shared" ref="L135:Q135" si="49">+$J135*L$2052</f>
        <v>12.08411232919341</v>
      </c>
      <c r="M135" s="1324">
        <f t="shared" si="49"/>
        <v>5.8257414070189961</v>
      </c>
      <c r="N135" s="1324">
        <f t="shared" si="49"/>
        <v>0.37555724342747981</v>
      </c>
      <c r="O135" s="1324">
        <f t="shared" si="49"/>
        <v>0.40974871776783239</v>
      </c>
      <c r="P135" s="1324">
        <f t="shared" si="49"/>
        <v>9.4042220482187092E-2</v>
      </c>
      <c r="Q135" s="1324">
        <f t="shared" si="49"/>
        <v>117.64090575782981</v>
      </c>
      <c r="S135" s="1324">
        <v>907</v>
      </c>
      <c r="V135" s="1321" t="s">
        <v>5243</v>
      </c>
      <c r="W135" s="1321">
        <v>907</v>
      </c>
      <c r="Y135" s="1320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</row>
    <row r="136" spans="1:48" s="1324" customFormat="1" ht="14.4">
      <c r="A136" s="1320" t="s">
        <v>4775</v>
      </c>
      <c r="B136" s="1324">
        <v>412</v>
      </c>
      <c r="C136" s="1393">
        <v>22</v>
      </c>
      <c r="D136" s="1324" t="s">
        <v>5244</v>
      </c>
      <c r="E136" s="1324" t="s">
        <v>4071</v>
      </c>
      <c r="F136" s="1364">
        <f>+'0 MDS Allocation Assignment'!F29</f>
        <v>52.396446709337987</v>
      </c>
      <c r="G136" s="1366">
        <f>+$F136*G$2018</f>
        <v>0</v>
      </c>
      <c r="H136" s="1366">
        <f>+$F136*H$2018</f>
        <v>52.396446709337987</v>
      </c>
      <c r="I136" s="1323">
        <f t="shared" si="33"/>
        <v>1</v>
      </c>
      <c r="J136" s="1324">
        <f t="shared" si="42"/>
        <v>52.396446709337987</v>
      </c>
      <c r="K136" s="1324">
        <f>+$J136*K$2018</f>
        <v>46.731699949415145</v>
      </c>
      <c r="L136" s="1324">
        <f t="shared" ref="L136:Q136" si="50">+$J136*L$2018</f>
        <v>4.5302176222924695</v>
      </c>
      <c r="M136" s="1324">
        <f t="shared" si="50"/>
        <v>1.1157539928398914</v>
      </c>
      <c r="N136" s="1324">
        <f t="shared" si="50"/>
        <v>3.7671811553707597E-3</v>
      </c>
      <c r="O136" s="1324">
        <f t="shared" si="50"/>
        <v>6.6837085014642521E-4</v>
      </c>
      <c r="P136" s="1324">
        <f t="shared" si="50"/>
        <v>1.4339592784959667E-2</v>
      </c>
      <c r="Q136" s="1324">
        <f t="shared" si="50"/>
        <v>0</v>
      </c>
      <c r="S136" s="1324">
        <v>412</v>
      </c>
      <c r="V136" s="1321" t="s">
        <v>5245</v>
      </c>
      <c r="W136" s="1321">
        <v>412</v>
      </c>
      <c r="Y136" s="1320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</row>
    <row r="137" spans="1:48" s="1324" customFormat="1" ht="14.4">
      <c r="A137" s="1320" t="s">
        <v>4775</v>
      </c>
      <c r="C137" s="1393">
        <v>23</v>
      </c>
      <c r="D137" s="1324" t="s">
        <v>5246</v>
      </c>
      <c r="F137" s="1421">
        <f>+SUM(F128:F136)</f>
        <v>10934.000932366096</v>
      </c>
      <c r="G137" s="1366">
        <f>+SUM(G128:G136)</f>
        <v>7952.7061062693447</v>
      </c>
      <c r="H137" s="1366">
        <f>+SUM(H128:H136)</f>
        <v>2981.2948260967501</v>
      </c>
      <c r="I137" s="1323">
        <f>IF(F137=0,0,+H137/F137)</f>
        <v>0.2726627557961625</v>
      </c>
      <c r="J137" s="1421">
        <f>+SUM(J128:J136)</f>
        <v>2981.2948260967501</v>
      </c>
      <c r="K137" s="1421">
        <f>+SUM(K128:K136)</f>
        <v>1742.6484950699082</v>
      </c>
      <c r="L137" s="1421">
        <f t="shared" ref="L137:Q137" si="51">+SUM(L128:L136)</f>
        <v>147.10258869178725</v>
      </c>
      <c r="M137" s="1421">
        <f t="shared" si="51"/>
        <v>815.89965604778286</v>
      </c>
      <c r="N137" s="1421">
        <f t="shared" si="51"/>
        <v>94.474305396085526</v>
      </c>
      <c r="O137" s="1421">
        <f t="shared" si="51"/>
        <v>57.863689225581602</v>
      </c>
      <c r="P137" s="1421">
        <f t="shared" si="51"/>
        <v>5.6651859077755811</v>
      </c>
      <c r="Q137" s="1421">
        <f t="shared" si="51"/>
        <v>117.64090575782981</v>
      </c>
      <c r="R137" s="1364"/>
      <c r="S137" s="1364"/>
      <c r="V137" s="1320" t="s">
        <v>5247</v>
      </c>
      <c r="Y137" s="1320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</row>
    <row r="138" spans="1:48" s="1324" customFormat="1" ht="14.4">
      <c r="A138" s="1320" t="s">
        <v>4775</v>
      </c>
      <c r="C138" s="1393">
        <v>24</v>
      </c>
      <c r="G138" s="1364"/>
      <c r="H138" s="1364"/>
      <c r="I138" s="1323" t="str">
        <f t="shared" si="33"/>
        <v/>
      </c>
      <c r="J138" s="1364"/>
      <c r="K138" s="1364"/>
      <c r="L138" s="1364"/>
      <c r="M138" s="1367"/>
      <c r="N138" s="1367"/>
      <c r="O138" s="1367"/>
      <c r="P138" s="1364"/>
      <c r="Q138" s="1364"/>
      <c r="R138" s="1364"/>
      <c r="Y138" s="1320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</row>
    <row r="139" spans="1:48" s="1324" customFormat="1" ht="14.4">
      <c r="A139" s="1320" t="s">
        <v>4775</v>
      </c>
      <c r="C139" s="1393">
        <v>25</v>
      </c>
      <c r="D139" s="1362" t="s">
        <v>5248</v>
      </c>
      <c r="I139" s="1323" t="str">
        <f t="shared" si="33"/>
        <v/>
      </c>
      <c r="M139" s="1325"/>
      <c r="N139" s="1325"/>
      <c r="O139" s="1325"/>
      <c r="Y139" s="1320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</row>
    <row r="140" spans="1:48" s="1324" customFormat="1" ht="14.4">
      <c r="A140" s="1320" t="s">
        <v>4775</v>
      </c>
      <c r="B140" s="1324">
        <v>201</v>
      </c>
      <c r="C140" s="1393">
        <v>26</v>
      </c>
      <c r="D140" s="1324" t="s">
        <v>5249</v>
      </c>
      <c r="E140" s="1324" t="s">
        <v>2067</v>
      </c>
      <c r="F140" s="1364">
        <f>+'0 MDS Allocation Assignment'!F30</f>
        <v>493.87339000000003</v>
      </c>
      <c r="G140" s="1324">
        <f>+$F140*G$1966</f>
        <v>0</v>
      </c>
      <c r="H140" s="1324">
        <f>+$F140*H$1966</f>
        <v>493.87339000000003</v>
      </c>
      <c r="I140" s="1323">
        <f t="shared" si="33"/>
        <v>1</v>
      </c>
      <c r="J140" s="1364">
        <f>+H140</f>
        <v>493.87339000000003</v>
      </c>
      <c r="K140" s="1364">
        <f t="shared" ref="K140:Q140" si="52">+$J140*K$1966</f>
        <v>249.22539576425109</v>
      </c>
      <c r="L140" s="1364">
        <f t="shared" si="52"/>
        <v>23.031344078364917</v>
      </c>
      <c r="M140" s="1364">
        <f t="shared" si="52"/>
        <v>171.57456771489325</v>
      </c>
      <c r="N140" s="1364">
        <f t="shared" si="52"/>
        <v>27.311912473569087</v>
      </c>
      <c r="O140" s="1364">
        <f t="shared" si="52"/>
        <v>20.12100995844046</v>
      </c>
      <c r="P140" s="1364">
        <f t="shared" si="52"/>
        <v>2.6091600104812236</v>
      </c>
      <c r="Q140" s="1364">
        <f t="shared" si="52"/>
        <v>0</v>
      </c>
      <c r="R140" s="1364"/>
      <c r="S140" s="1324">
        <v>201</v>
      </c>
      <c r="V140" s="1321" t="s">
        <v>5235</v>
      </c>
      <c r="W140" s="1321">
        <v>201</v>
      </c>
      <c r="Y140" s="132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</row>
    <row r="141" spans="1:48" s="1324" customFormat="1" ht="14.4">
      <c r="A141" s="1320" t="s">
        <v>4775</v>
      </c>
      <c r="B141" s="1324">
        <v>202</v>
      </c>
      <c r="C141" s="1393">
        <v>27</v>
      </c>
      <c r="D141" s="1324" t="s">
        <v>5250</v>
      </c>
      <c r="E141" s="1324" t="s">
        <v>2067</v>
      </c>
      <c r="F141" s="1366">
        <f>+'0 MDS Allocation Assignment'!F31</f>
        <v>-1.84900420208578E-3</v>
      </c>
      <c r="G141" s="1366">
        <f>+$F141*G$1969</f>
        <v>-1.84900420208578E-3</v>
      </c>
      <c r="H141" s="1366">
        <f>+$F141*$H$1969</f>
        <v>0</v>
      </c>
      <c r="I141" s="1323">
        <f t="shared" si="33"/>
        <v>0</v>
      </c>
      <c r="J141" s="1366">
        <f>+H141</f>
        <v>0</v>
      </c>
      <c r="K141" s="1366">
        <f t="shared" ref="K141:Q141" si="53">+$J141*K$1969</f>
        <v>0</v>
      </c>
      <c r="L141" s="1366">
        <f t="shared" si="53"/>
        <v>0</v>
      </c>
      <c r="M141" s="1366">
        <f t="shared" si="53"/>
        <v>0</v>
      </c>
      <c r="N141" s="1366">
        <f t="shared" si="53"/>
        <v>0</v>
      </c>
      <c r="O141" s="1366">
        <f t="shared" si="53"/>
        <v>0</v>
      </c>
      <c r="P141" s="1366">
        <f t="shared" si="53"/>
        <v>0</v>
      </c>
      <c r="Q141" s="1366">
        <f t="shared" si="53"/>
        <v>0</v>
      </c>
      <c r="R141" s="1364"/>
      <c r="S141" s="1324">
        <v>202</v>
      </c>
      <c r="V141" s="1321" t="s">
        <v>5238</v>
      </c>
      <c r="W141" s="1321">
        <v>202</v>
      </c>
      <c r="Y141" s="1320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</row>
    <row r="142" spans="1:48" s="1324" customFormat="1" ht="14.4">
      <c r="A142" s="1320" t="s">
        <v>4775</v>
      </c>
      <c r="C142" s="1393">
        <v>28</v>
      </c>
      <c r="D142" s="1324" t="s">
        <v>5251</v>
      </c>
      <c r="E142" s="1324" t="s">
        <v>4374</v>
      </c>
      <c r="F142" s="1366">
        <f>+SUM(F140:F141)</f>
        <v>493.87154099579794</v>
      </c>
      <c r="G142" s="1366">
        <f>+SUM(G140:G141)</f>
        <v>-1.84900420208578E-3</v>
      </c>
      <c r="H142" s="1366">
        <f>+SUM(H140:H141)</f>
        <v>493.87339000000003</v>
      </c>
      <c r="I142" s="1323">
        <f>IF(E142="","",IF(F142=0,0,+H142/F142))</f>
        <v>1.0000037438970433</v>
      </c>
      <c r="J142" s="1366">
        <f>+SUM(J140:J141)</f>
        <v>493.87339000000003</v>
      </c>
      <c r="K142" s="1366">
        <f>+SUM(K140:K141)</f>
        <v>249.22539576425109</v>
      </c>
      <c r="L142" s="1366">
        <f t="shared" ref="L142:Q142" si="54">+SUM(L140:L141)</f>
        <v>23.031344078364917</v>
      </c>
      <c r="M142" s="1366">
        <f t="shared" si="54"/>
        <v>171.57456771489325</v>
      </c>
      <c r="N142" s="1366">
        <f t="shared" si="54"/>
        <v>27.311912473569087</v>
      </c>
      <c r="O142" s="1366">
        <f t="shared" si="54"/>
        <v>20.12100995844046</v>
      </c>
      <c r="P142" s="1366">
        <f t="shared" si="54"/>
        <v>2.6091600104812236</v>
      </c>
      <c r="Q142" s="1366">
        <f t="shared" si="54"/>
        <v>0</v>
      </c>
      <c r="R142" s="1364"/>
      <c r="V142" s="1320" t="s">
        <v>5252</v>
      </c>
      <c r="W142" s="1321"/>
      <c r="Y142" s="1320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</row>
    <row r="143" spans="1:48" s="1324" customFormat="1" ht="14.4">
      <c r="A143" s="1320" t="s">
        <v>4775</v>
      </c>
      <c r="B143" s="1320">
        <v>204</v>
      </c>
      <c r="C143" s="1393">
        <v>29</v>
      </c>
      <c r="D143" s="1324" t="s">
        <v>5253</v>
      </c>
      <c r="E143" s="1324" t="s">
        <v>2067</v>
      </c>
      <c r="F143" s="1364">
        <f>+'0 MDS Allocation Assignment'!F32</f>
        <v>107</v>
      </c>
      <c r="G143" s="1364">
        <f>+$F143*G$1972</f>
        <v>0</v>
      </c>
      <c r="H143" s="1364">
        <f>+$F143*H$1972</f>
        <v>107</v>
      </c>
      <c r="I143" s="1323">
        <f t="shared" ref="I143:I159" si="55">IF(E143="","",IF(F143=0,0,+H143/F143))</f>
        <v>1</v>
      </c>
      <c r="J143" s="1364">
        <f>+H143</f>
        <v>107</v>
      </c>
      <c r="K143" s="1364">
        <f t="shared" ref="K143:Q143" si="56">+$J143*K$1972</f>
        <v>53.995857818488389</v>
      </c>
      <c r="L143" s="1364">
        <f t="shared" si="56"/>
        <v>4.9898493546798415</v>
      </c>
      <c r="M143" s="1364">
        <f t="shared" si="56"/>
        <v>37.172439570987166</v>
      </c>
      <c r="N143" s="1364">
        <f t="shared" si="56"/>
        <v>5.9172546928918202</v>
      </c>
      <c r="O143" s="1364">
        <f t="shared" si="56"/>
        <v>4.3593117368666672</v>
      </c>
      <c r="P143" s="1364">
        <f t="shared" si="56"/>
        <v>0.56528682608611669</v>
      </c>
      <c r="Q143" s="1364">
        <f t="shared" si="56"/>
        <v>0</v>
      </c>
      <c r="R143" s="1364"/>
      <c r="S143" s="1320">
        <v>204</v>
      </c>
      <c r="T143" s="1320"/>
      <c r="V143" s="1321" t="s">
        <v>5254</v>
      </c>
      <c r="W143" s="1321">
        <v>204</v>
      </c>
      <c r="Y143" s="1320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</row>
    <row r="144" spans="1:48" ht="14.4">
      <c r="A144" s="1320" t="s">
        <v>4775</v>
      </c>
      <c r="B144" s="1320">
        <v>201</v>
      </c>
      <c r="C144" s="1393">
        <v>30</v>
      </c>
      <c r="D144" s="1324" t="s">
        <v>5255</v>
      </c>
      <c r="E144" s="1324" t="s">
        <v>2067</v>
      </c>
      <c r="F144" s="1364">
        <f>+'0 MDS Allocation Assignment'!F33</f>
        <v>0</v>
      </c>
      <c r="G144" s="1364">
        <f>+$F144*G$1966</f>
        <v>0</v>
      </c>
      <c r="H144" s="1364">
        <f>+$F144*H$1966</f>
        <v>0</v>
      </c>
      <c r="I144" s="1323">
        <f t="shared" si="55"/>
        <v>0</v>
      </c>
      <c r="J144" s="1364">
        <f>+H144</f>
        <v>0</v>
      </c>
      <c r="K144" s="1364">
        <f t="shared" ref="K144:Q144" si="57">+$J144*K$1966</f>
        <v>0</v>
      </c>
      <c r="L144" s="1364">
        <f t="shared" si="57"/>
        <v>0</v>
      </c>
      <c r="M144" s="1364">
        <f t="shared" si="57"/>
        <v>0</v>
      </c>
      <c r="N144" s="1364">
        <f t="shared" si="57"/>
        <v>0</v>
      </c>
      <c r="O144" s="1364">
        <f t="shared" si="57"/>
        <v>0</v>
      </c>
      <c r="P144" s="1364">
        <f t="shared" si="57"/>
        <v>0</v>
      </c>
      <c r="Q144" s="1364">
        <f t="shared" si="57"/>
        <v>0</v>
      </c>
      <c r="R144" s="1364"/>
      <c r="S144" s="1324">
        <v>201</v>
      </c>
      <c r="T144" s="1324"/>
      <c r="V144" s="1321" t="s">
        <v>5235</v>
      </c>
      <c r="W144" s="1321">
        <v>201</v>
      </c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</row>
    <row r="145" spans="1:48" s="1324" customFormat="1" ht="14.4">
      <c r="A145" s="1324" t="s">
        <v>4775</v>
      </c>
      <c r="B145" s="1324">
        <v>508</v>
      </c>
      <c r="C145" s="1393">
        <v>31</v>
      </c>
      <c r="D145" s="1324" t="s">
        <v>5256</v>
      </c>
      <c r="E145" s="1324" t="s">
        <v>2067</v>
      </c>
      <c r="F145" s="1366">
        <f>+'0 MDS Allocation Assignment'!F34</f>
        <v>-70.100000000003888</v>
      </c>
      <c r="G145" s="1366">
        <f>+$F145*G$1972</f>
        <v>0</v>
      </c>
      <c r="H145" s="1366">
        <f>+$F145*H$1972</f>
        <v>-70.100000000003888</v>
      </c>
      <c r="I145" s="1323">
        <f t="shared" si="55"/>
        <v>1</v>
      </c>
      <c r="J145" s="1366">
        <f>+H145</f>
        <v>-70.100000000003888</v>
      </c>
      <c r="K145" s="1366">
        <f>+$J145*K$2046</f>
        <v>0</v>
      </c>
      <c r="L145" s="1366">
        <f t="shared" ref="L145:Q145" si="58">+$J145*L$2046</f>
        <v>0</v>
      </c>
      <c r="M145" s="1366">
        <f t="shared" si="58"/>
        <v>0</v>
      </c>
      <c r="N145" s="1366">
        <f t="shared" si="58"/>
        <v>0</v>
      </c>
      <c r="O145" s="1366">
        <f t="shared" si="58"/>
        <v>0</v>
      </c>
      <c r="P145" s="1366">
        <f t="shared" si="58"/>
        <v>0</v>
      </c>
      <c r="Q145" s="1366">
        <f t="shared" si="58"/>
        <v>0</v>
      </c>
      <c r="R145" s="1364"/>
      <c r="S145" s="1324">
        <v>508</v>
      </c>
      <c r="V145" s="1326" t="s">
        <v>5257</v>
      </c>
      <c r="W145" s="1326">
        <v>508</v>
      </c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</row>
    <row r="146" spans="1:48" ht="14.4">
      <c r="A146" s="1320" t="s">
        <v>4775</v>
      </c>
      <c r="C146" s="1322">
        <v>32</v>
      </c>
      <c r="D146" s="1320" t="s">
        <v>5258</v>
      </c>
      <c r="E146" s="1320" t="s">
        <v>4374</v>
      </c>
      <c r="F146" s="1350">
        <f>+SUM(F143:F145)</f>
        <v>36.899999999996112</v>
      </c>
      <c r="G146" s="1350">
        <f>+SUM(G143:G145)</f>
        <v>0</v>
      </c>
      <c r="H146" s="1350">
        <f>+SUM(H143:H145)</f>
        <v>36.899999999996112</v>
      </c>
      <c r="I146" s="1323">
        <f t="shared" si="55"/>
        <v>1</v>
      </c>
      <c r="J146" s="1366">
        <f>+SUM(J143:J145)</f>
        <v>36.899999999996112</v>
      </c>
      <c r="K146" s="1366">
        <f>+SUM(K143:K145)</f>
        <v>53.995857818488389</v>
      </c>
      <c r="L146" s="1366">
        <f t="shared" ref="L146:Q146" si="59">+SUM(L143:L145)</f>
        <v>4.9898493546798415</v>
      </c>
      <c r="M146" s="1366">
        <f t="shared" si="59"/>
        <v>37.172439570987166</v>
      </c>
      <c r="N146" s="1366">
        <f t="shared" si="59"/>
        <v>5.9172546928918202</v>
      </c>
      <c r="O146" s="1366">
        <f t="shared" si="59"/>
        <v>4.3593117368666672</v>
      </c>
      <c r="P146" s="1366">
        <f t="shared" si="59"/>
        <v>0.56528682608611669</v>
      </c>
      <c r="Q146" s="1366">
        <f t="shared" si="59"/>
        <v>0</v>
      </c>
      <c r="R146" s="1358"/>
      <c r="V146" s="1320" t="s">
        <v>5259</v>
      </c>
      <c r="W146" s="1321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</row>
    <row r="147" spans="1:48" ht="14.4">
      <c r="A147" s="1320" t="s">
        <v>4775</v>
      </c>
      <c r="C147" s="1322">
        <v>33</v>
      </c>
      <c r="D147" s="1320" t="s">
        <v>5260</v>
      </c>
      <c r="F147" s="1350">
        <f>+F142+F146</f>
        <v>530.77154099579411</v>
      </c>
      <c r="G147" s="1350">
        <f>+G142+G146</f>
        <v>-1.84900420208578E-3</v>
      </c>
      <c r="H147" s="1350">
        <f>+H142+H146</f>
        <v>530.7733899999962</v>
      </c>
      <c r="I147" s="1323">
        <f>IF(F147=0,0,+H147/F147)</f>
        <v>1.0000034836159426</v>
      </c>
      <c r="J147" s="1366">
        <f>+J142+J146</f>
        <v>530.7733899999962</v>
      </c>
      <c r="K147" s="1366">
        <f>+K142+K146</f>
        <v>303.22125358273945</v>
      </c>
      <c r="L147" s="1366">
        <f t="shared" ref="L147:Q147" si="60">+L142+L146</f>
        <v>28.021193433044758</v>
      </c>
      <c r="M147" s="1366">
        <f t="shared" si="60"/>
        <v>208.74700728588041</v>
      </c>
      <c r="N147" s="1366">
        <f t="shared" si="60"/>
        <v>33.229167166460911</v>
      </c>
      <c r="O147" s="1366">
        <f t="shared" si="60"/>
        <v>24.480321695307126</v>
      </c>
      <c r="P147" s="1366">
        <f t="shared" si="60"/>
        <v>3.1744468365673404</v>
      </c>
      <c r="Q147" s="1366">
        <f t="shared" si="60"/>
        <v>0</v>
      </c>
      <c r="R147" s="1358"/>
      <c r="V147" s="1320" t="s">
        <v>5261</v>
      </c>
      <c r="W147" s="1321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</row>
    <row r="148" spans="1:48" ht="14.4">
      <c r="A148" s="1320" t="s">
        <v>4775</v>
      </c>
      <c r="C148" s="1322">
        <v>34</v>
      </c>
      <c r="G148" s="1320"/>
      <c r="I148" s="1323" t="str">
        <f t="shared" si="55"/>
        <v/>
      </c>
      <c r="V148" s="1321"/>
      <c r="W148" s="1321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</row>
    <row r="149" spans="1:48" ht="14.4">
      <c r="A149" s="1320" t="s">
        <v>4775</v>
      </c>
      <c r="C149" s="1322">
        <v>35</v>
      </c>
      <c r="D149" s="1356" t="s">
        <v>5262</v>
      </c>
      <c r="G149" s="1320"/>
      <c r="I149" s="1323" t="str">
        <f t="shared" si="55"/>
        <v/>
      </c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</row>
    <row r="150" spans="1:48" ht="14.4">
      <c r="A150" s="1320" t="s">
        <v>4775</v>
      </c>
      <c r="B150" s="1321"/>
      <c r="C150" s="1322">
        <v>36</v>
      </c>
      <c r="D150" s="1320" t="s">
        <v>5263</v>
      </c>
      <c r="E150" s="1320" t="s">
        <v>4777</v>
      </c>
      <c r="F150" s="1320">
        <f>+F115+F131</f>
        <v>1488654.5251124175</v>
      </c>
      <c r="G150" s="1320">
        <f>+G115+G131</f>
        <v>7929.0305824175994</v>
      </c>
      <c r="H150" s="1320">
        <f>+H115+H131</f>
        <v>1480725.49453</v>
      </c>
      <c r="I150" s="1323">
        <f t="shared" si="55"/>
        <v>0.99467369329239186</v>
      </c>
      <c r="J150" s="1320">
        <f t="shared" ref="J150:Q150" si="61">+J115+J131</f>
        <v>1480725.49453</v>
      </c>
      <c r="K150" s="1320">
        <f t="shared" si="61"/>
        <v>920603.76834000018</v>
      </c>
      <c r="L150" s="1320">
        <f t="shared" si="61"/>
        <v>95214.926359999983</v>
      </c>
      <c r="M150" s="1320">
        <f t="shared" si="61"/>
        <v>310482.25785000005</v>
      </c>
      <c r="N150" s="1320">
        <f t="shared" si="61"/>
        <v>44352.932979999998</v>
      </c>
      <c r="O150" s="1320">
        <f t="shared" si="61"/>
        <v>23795.302800000001</v>
      </c>
      <c r="P150" s="1320">
        <f t="shared" si="61"/>
        <v>8901.6767400000099</v>
      </c>
      <c r="Q150" s="1320">
        <f t="shared" si="61"/>
        <v>77374.629459999996</v>
      </c>
      <c r="S150" s="1321"/>
      <c r="T150" s="1321"/>
      <c r="U150" s="1326"/>
      <c r="V150" s="1320" t="s">
        <v>5264</v>
      </c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</row>
    <row r="151" spans="1:48" ht="14.4">
      <c r="A151" s="1320" t="s">
        <v>4775</v>
      </c>
      <c r="B151" s="1321"/>
      <c r="C151" s="1322">
        <v>37</v>
      </c>
      <c r="D151" s="1320" t="s">
        <v>5265</v>
      </c>
      <c r="E151" s="1320" t="s">
        <v>4067</v>
      </c>
      <c r="F151" s="1320">
        <f>+F128+F120</f>
        <v>1850.9373105288489</v>
      </c>
      <c r="G151" s="1320">
        <f>+G128+G120</f>
        <v>0</v>
      </c>
      <c r="H151" s="1320">
        <f>+H128+H120</f>
        <v>1850.9373105288489</v>
      </c>
      <c r="I151" s="1323">
        <f t="shared" si="55"/>
        <v>1</v>
      </c>
      <c r="J151" s="1320">
        <f t="shared" ref="J151:Q151" si="62">+J128+J120</f>
        <v>1850.9373105288489</v>
      </c>
      <c r="K151" s="1320">
        <f t="shared" si="62"/>
        <v>1073.5677765582529</v>
      </c>
      <c r="L151" s="1320">
        <f t="shared" si="62"/>
        <v>88.558512965526134</v>
      </c>
      <c r="M151" s="1320">
        <f t="shared" si="62"/>
        <v>566.11008268675346</v>
      </c>
      <c r="N151" s="1320">
        <f t="shared" si="62"/>
        <v>70.671337714457678</v>
      </c>
      <c r="O151" s="1320">
        <f t="shared" si="62"/>
        <v>50.717299732099669</v>
      </c>
      <c r="P151" s="1320">
        <f t="shared" si="62"/>
        <v>1.3123008717589244</v>
      </c>
      <c r="Q151" s="1320">
        <f t="shared" si="62"/>
        <v>0</v>
      </c>
      <c r="S151" s="1321"/>
      <c r="T151" s="1321"/>
      <c r="U151" s="1326"/>
      <c r="V151" s="1320" t="s">
        <v>5266</v>
      </c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</row>
    <row r="152" spans="1:48" ht="14.4">
      <c r="A152" s="1320" t="s">
        <v>4775</v>
      </c>
      <c r="B152" s="1321"/>
      <c r="C152" s="1322">
        <v>38</v>
      </c>
      <c r="D152" s="1320" t="s">
        <v>5265</v>
      </c>
      <c r="E152" s="1320" t="s">
        <v>2067</v>
      </c>
      <c r="F152" s="1320">
        <f>+F129+F140+F141+F144+F145+F143</f>
        <v>676.2302663227432</v>
      </c>
      <c r="G152" s="1320">
        <f>+G129+G140+G141+G144+G145+G143</f>
        <v>-1.84900420208578E-3</v>
      </c>
      <c r="H152" s="1320">
        <f>+H129+H140+H141+H144+H145+H143</f>
        <v>676.23211532694529</v>
      </c>
      <c r="I152" s="1323">
        <f t="shared" si="55"/>
        <v>1.0000027342819364</v>
      </c>
      <c r="J152" s="1320">
        <f t="shared" ref="J152:Q152" si="63">+J129+J140+J141+J144+J145+J143</f>
        <v>676.23211532694529</v>
      </c>
      <c r="K152" s="1320">
        <f t="shared" si="63"/>
        <v>376.62469892117406</v>
      </c>
      <c r="L152" s="1320">
        <f t="shared" si="63"/>
        <v>34.804531065803914</v>
      </c>
      <c r="M152" s="1320">
        <f t="shared" si="63"/>
        <v>259.280237914748</v>
      </c>
      <c r="N152" s="1320">
        <f t="shared" si="63"/>
        <v>41.273244970787559</v>
      </c>
      <c r="O152" s="1320">
        <f t="shared" si="63"/>
        <v>30.406489251825199</v>
      </c>
      <c r="P152" s="1320">
        <f t="shared" si="63"/>
        <v>3.9429132026103617</v>
      </c>
      <c r="Q152" s="1320">
        <f t="shared" si="63"/>
        <v>0</v>
      </c>
      <c r="S152" s="1321"/>
      <c r="T152" s="1321"/>
      <c r="U152" s="1326"/>
      <c r="V152" s="1320" t="s">
        <v>5267</v>
      </c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</row>
    <row r="153" spans="1:48" ht="14.4">
      <c r="A153" s="1320" t="s">
        <v>4775</v>
      </c>
      <c r="B153" s="1321"/>
      <c r="C153" s="1322">
        <v>39</v>
      </c>
      <c r="D153" s="1320" t="s">
        <v>5268</v>
      </c>
      <c r="E153" s="1320" t="s">
        <v>4067</v>
      </c>
      <c r="F153" s="1358">
        <f>+F121+F130</f>
        <v>996.42736350591531</v>
      </c>
      <c r="G153" s="1358">
        <f>+G121+G130</f>
        <v>64.555396081805128</v>
      </c>
      <c r="H153" s="1358">
        <f>+H121+H130</f>
        <v>931.87196742411015</v>
      </c>
      <c r="I153" s="1323">
        <f t="shared" si="55"/>
        <v>0.93521314403222733</v>
      </c>
      <c r="J153" s="1358">
        <f t="shared" ref="J153:Q153" si="64">+J121+J130</f>
        <v>931.87196742411015</v>
      </c>
      <c r="K153" s="1358">
        <f t="shared" si="64"/>
        <v>540.49789283172697</v>
      </c>
      <c r="L153" s="1358">
        <f t="shared" si="64"/>
        <v>44.585624396841048</v>
      </c>
      <c r="M153" s="1358">
        <f t="shared" si="64"/>
        <v>285.01349750262563</v>
      </c>
      <c r="N153" s="1358">
        <f t="shared" si="64"/>
        <v>35.580156141349192</v>
      </c>
      <c r="O153" s="1358">
        <f t="shared" si="64"/>
        <v>25.534106214697424</v>
      </c>
      <c r="P153" s="1358">
        <f t="shared" si="64"/>
        <v>0.66069033686989576</v>
      </c>
      <c r="Q153" s="1358">
        <f t="shared" si="64"/>
        <v>0</v>
      </c>
      <c r="R153" s="1358"/>
      <c r="S153" s="1321"/>
      <c r="T153" s="1321"/>
      <c r="U153" s="1326"/>
      <c r="V153" s="1320" t="s">
        <v>5269</v>
      </c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</row>
    <row r="154" spans="1:48" ht="14.4">
      <c r="A154" s="1320" t="s">
        <v>4775</v>
      </c>
      <c r="B154" s="1321"/>
      <c r="C154" s="1322">
        <v>40</v>
      </c>
      <c r="D154" s="1320" t="s">
        <v>5239</v>
      </c>
      <c r="E154" s="1320" t="s">
        <v>4067</v>
      </c>
      <c r="F154" s="1358">
        <f t="shared" ref="F154:H156" si="65">+F122+F132</f>
        <v>273.36871416988186</v>
      </c>
      <c r="G154" s="1358">
        <f t="shared" si="65"/>
        <v>17.710699511019335</v>
      </c>
      <c r="H154" s="1358">
        <f t="shared" si="65"/>
        <v>255.65801465886253</v>
      </c>
      <c r="I154" s="1323">
        <f t="shared" si="55"/>
        <v>0.93521314403222744</v>
      </c>
      <c r="J154" s="1358">
        <f t="shared" ref="J154:Q156" si="66">+J122+J132</f>
        <v>255.65801465886253</v>
      </c>
      <c r="K154" s="1358">
        <f t="shared" si="66"/>
        <v>148.28498231428051</v>
      </c>
      <c r="L154" s="1358">
        <f t="shared" si="66"/>
        <v>12.232015356283817</v>
      </c>
      <c r="M154" s="1358">
        <f t="shared" si="66"/>
        <v>78.19312895946085</v>
      </c>
      <c r="N154" s="1358">
        <f t="shared" si="66"/>
        <v>9.7613753802401604</v>
      </c>
      <c r="O154" s="1358">
        <f t="shared" si="66"/>
        <v>7.0052530059282994</v>
      </c>
      <c r="P154" s="1358">
        <f t="shared" si="66"/>
        <v>0.18125964266889311</v>
      </c>
      <c r="Q154" s="1358">
        <f t="shared" si="66"/>
        <v>0</v>
      </c>
      <c r="R154" s="1358"/>
      <c r="S154" s="1321"/>
      <c r="T154" s="1321"/>
      <c r="U154" s="1326"/>
      <c r="V154" s="1320" t="s">
        <v>5270</v>
      </c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</row>
    <row r="155" spans="1:48" ht="14.4">
      <c r="A155" s="1320" t="s">
        <v>4775</v>
      </c>
      <c r="B155" s="1321"/>
      <c r="C155" s="1322">
        <v>41</v>
      </c>
      <c r="D155" s="1320" t="s">
        <v>5240</v>
      </c>
      <c r="E155" s="1320" t="s">
        <v>4067</v>
      </c>
      <c r="F155" s="1358">
        <f t="shared" si="65"/>
        <v>14191.054128695432</v>
      </c>
      <c r="G155" s="1358">
        <f t="shared" si="65"/>
        <v>0</v>
      </c>
      <c r="H155" s="1358">
        <f t="shared" si="65"/>
        <v>14191.054128695432</v>
      </c>
      <c r="I155" s="1323">
        <f t="shared" si="55"/>
        <v>1</v>
      </c>
      <c r="J155" s="1358">
        <f t="shared" si="66"/>
        <v>14191.054128695432</v>
      </c>
      <c r="K155" s="1358">
        <f t="shared" si="66"/>
        <v>8832.7393179512146</v>
      </c>
      <c r="L155" s="1358">
        <f t="shared" si="66"/>
        <v>628.20657332742269</v>
      </c>
      <c r="M155" s="1358">
        <f t="shared" si="66"/>
        <v>4206.2352442154006</v>
      </c>
      <c r="N155" s="1358">
        <f t="shared" si="66"/>
        <v>442.41137674713241</v>
      </c>
      <c r="O155" s="1358">
        <f t="shared" si="66"/>
        <v>3.0206986936213846E-4</v>
      </c>
      <c r="P155" s="1358">
        <f t="shared" si="66"/>
        <v>81.461314384395408</v>
      </c>
      <c r="Q155" s="1358">
        <f t="shared" si="66"/>
        <v>0</v>
      </c>
      <c r="R155" s="1358"/>
      <c r="S155" s="1321"/>
      <c r="T155" s="1321"/>
      <c r="U155" s="1326"/>
      <c r="V155" s="1320" t="s">
        <v>5271</v>
      </c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</row>
    <row r="156" spans="1:48" ht="14.4">
      <c r="A156" s="1320" t="s">
        <v>4775</v>
      </c>
      <c r="B156" s="1321"/>
      <c r="C156" s="1322">
        <v>42</v>
      </c>
      <c r="D156" s="1320" t="s">
        <v>5241</v>
      </c>
      <c r="E156" s="1320" t="s">
        <v>4067</v>
      </c>
      <c r="F156" s="1358">
        <f t="shared" si="65"/>
        <v>348.6906696192342</v>
      </c>
      <c r="G156" s="1358">
        <f t="shared" si="65"/>
        <v>0</v>
      </c>
      <c r="H156" s="1358">
        <f t="shared" si="65"/>
        <v>348.6906696192342</v>
      </c>
      <c r="I156" s="1323">
        <f t="shared" si="55"/>
        <v>1</v>
      </c>
      <c r="J156" s="1358">
        <f t="shared" si="66"/>
        <v>348.6906696192342</v>
      </c>
      <c r="K156" s="1358">
        <f t="shared" si="66"/>
        <v>254.41631045679048</v>
      </c>
      <c r="L156" s="1358">
        <f t="shared" si="66"/>
        <v>20.485562197402622</v>
      </c>
      <c r="M156" s="1358">
        <f t="shared" si="66"/>
        <v>72.527433501543271</v>
      </c>
      <c r="N156" s="1358">
        <f t="shared" si="66"/>
        <v>0</v>
      </c>
      <c r="O156" s="1358">
        <f t="shared" si="66"/>
        <v>0</v>
      </c>
      <c r="P156" s="1358">
        <f t="shared" si="66"/>
        <v>1.2613634634978208</v>
      </c>
      <c r="Q156" s="1358">
        <f t="shared" si="66"/>
        <v>0</v>
      </c>
      <c r="R156" s="1358"/>
      <c r="S156" s="1321"/>
      <c r="T156" s="1321"/>
      <c r="U156" s="1326"/>
      <c r="V156" s="1320" t="s">
        <v>5272</v>
      </c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</row>
    <row r="157" spans="1:48" ht="14.4">
      <c r="A157" s="1320" t="s">
        <v>4775</v>
      </c>
      <c r="B157" s="1321"/>
      <c r="C157" s="1322">
        <v>43</v>
      </c>
      <c r="D157" s="1320" t="s">
        <v>5242</v>
      </c>
      <c r="E157" s="1320" t="s">
        <v>4071</v>
      </c>
      <c r="F157" s="1358">
        <f>+F135</f>
        <v>216.09497127969638</v>
      </c>
      <c r="G157" s="1358">
        <f>+G135</f>
        <v>0</v>
      </c>
      <c r="H157" s="1358">
        <f>+H135</f>
        <v>216.09497127969638</v>
      </c>
      <c r="I157" s="1323">
        <f t="shared" si="55"/>
        <v>1</v>
      </c>
      <c r="J157" s="1358">
        <f t="shared" ref="J157:Q157" si="67">+J135</f>
        <v>216.09497127969638</v>
      </c>
      <c r="K157" s="1358">
        <f t="shared" si="67"/>
        <v>79.664863603976698</v>
      </c>
      <c r="L157" s="1358">
        <f t="shared" si="67"/>
        <v>12.08411232919341</v>
      </c>
      <c r="M157" s="1358">
        <f t="shared" si="67"/>
        <v>5.8257414070189961</v>
      </c>
      <c r="N157" s="1358">
        <f t="shared" si="67"/>
        <v>0.37555724342747981</v>
      </c>
      <c r="O157" s="1358">
        <f t="shared" si="67"/>
        <v>0.40974871776783239</v>
      </c>
      <c r="P157" s="1358">
        <f t="shared" si="67"/>
        <v>9.4042220482187092E-2</v>
      </c>
      <c r="Q157" s="1358">
        <f t="shared" si="67"/>
        <v>117.64090575782981</v>
      </c>
      <c r="R157" s="1358"/>
      <c r="S157" s="1321"/>
      <c r="T157" s="1321"/>
      <c r="U157" s="1326"/>
      <c r="V157" s="1320" t="s">
        <v>5273</v>
      </c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</row>
    <row r="158" spans="1:48" ht="14.4">
      <c r="A158" s="1320" t="s">
        <v>4775</v>
      </c>
      <c r="B158" s="1321"/>
      <c r="C158" s="1322">
        <v>44</v>
      </c>
      <c r="D158" s="1320" t="s">
        <v>5244</v>
      </c>
      <c r="E158" s="1320" t="s">
        <v>4071</v>
      </c>
      <c r="F158" s="1350">
        <f>+F117+F136</f>
        <v>21497.360570708937</v>
      </c>
      <c r="G158" s="1350">
        <f>+G117+G136</f>
        <v>0</v>
      </c>
      <c r="H158" s="1350">
        <f>+H117+H136</f>
        <v>21497.360570708937</v>
      </c>
      <c r="I158" s="1323">
        <f t="shared" si="55"/>
        <v>1</v>
      </c>
      <c r="J158" s="1350">
        <f t="shared" ref="J158:Q158" si="68">+J117+J136</f>
        <v>21497.360570708937</v>
      </c>
      <c r="K158" s="1350">
        <f t="shared" si="68"/>
        <v>19178.625848860214</v>
      </c>
      <c r="L158" s="1350">
        <f t="shared" si="68"/>
        <v>1858.7224925146834</v>
      </c>
      <c r="M158" s="1350">
        <f t="shared" si="68"/>
        <v>454.57060285066461</v>
      </c>
      <c r="N158" s="1350">
        <f t="shared" si="68"/>
        <v>3.7671811553707597E-3</v>
      </c>
      <c r="O158" s="1350">
        <f t="shared" si="68"/>
        <v>6.6837085014642521E-4</v>
      </c>
      <c r="P158" s="1350">
        <f t="shared" si="68"/>
        <v>5.4371909313666578</v>
      </c>
      <c r="Q158" s="1350">
        <f t="shared" si="68"/>
        <v>0</v>
      </c>
      <c r="R158" s="1358"/>
      <c r="S158" s="1321"/>
      <c r="T158" s="1321"/>
      <c r="U158" s="1326"/>
      <c r="V158" s="1320" t="s">
        <v>5274</v>
      </c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</row>
    <row r="159" spans="1:48" ht="14.4">
      <c r="A159" s="1320" t="s">
        <v>4775</v>
      </c>
      <c r="C159" s="1322">
        <v>45</v>
      </c>
      <c r="G159" s="1320"/>
      <c r="I159" s="1323" t="str">
        <f t="shared" si="55"/>
        <v/>
      </c>
      <c r="J159" s="1320"/>
      <c r="K159" s="1320"/>
      <c r="L159" s="1320"/>
      <c r="M159" s="1320"/>
      <c r="N159" s="1320"/>
      <c r="O159" s="1320"/>
      <c r="P159" s="1320"/>
      <c r="Q159" s="1320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</row>
    <row r="160" spans="1:48" ht="15" thickBot="1">
      <c r="A160" s="1320" t="s">
        <v>4775</v>
      </c>
      <c r="C160" s="1322">
        <v>46</v>
      </c>
      <c r="D160" s="1320" t="s">
        <v>5262</v>
      </c>
      <c r="F160" s="1423">
        <f>+SUM(F150:F158)</f>
        <v>1528704.6891072483</v>
      </c>
      <c r="G160" s="1423">
        <f>+SUM(G150:G158)</f>
        <v>8011.2948290062213</v>
      </c>
      <c r="H160" s="1423">
        <f>+SUM(H150:H158)</f>
        <v>1520693.3942782423</v>
      </c>
      <c r="I160" s="1323">
        <f>IF(F160=0,0,+H160/F160)</f>
        <v>0.99475942287212804</v>
      </c>
      <c r="J160" s="1423">
        <f t="shared" ref="J160:Q160" si="69">+SUM(J150:J158)</f>
        <v>1520693.3942782423</v>
      </c>
      <c r="K160" s="1423">
        <f t="shared" si="69"/>
        <v>951088.19003149797</v>
      </c>
      <c r="L160" s="1423">
        <f t="shared" si="69"/>
        <v>97914.605784153144</v>
      </c>
      <c r="M160" s="1423">
        <f t="shared" si="69"/>
        <v>316410.01381903823</v>
      </c>
      <c r="N160" s="1423">
        <f t="shared" si="69"/>
        <v>44953.009795378559</v>
      </c>
      <c r="O160" s="1423">
        <f t="shared" si="69"/>
        <v>23909.376667363038</v>
      </c>
      <c r="P160" s="1423">
        <f t="shared" si="69"/>
        <v>8996.0278150536615</v>
      </c>
      <c r="Q160" s="1423">
        <f t="shared" si="69"/>
        <v>77492.270365757824</v>
      </c>
      <c r="R160" s="1358"/>
      <c r="V160" s="1320" t="s">
        <v>5275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</row>
    <row r="161" spans="1:48" ht="15" thickTop="1">
      <c r="G161" s="1320"/>
      <c r="J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</row>
    <row r="162" spans="1:48" ht="14.4">
      <c r="G162" s="1320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</row>
    <row r="163" spans="1:48" ht="14.4">
      <c r="G163" s="1320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</row>
    <row r="164" spans="1:48" ht="14.4">
      <c r="G164" s="1320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</row>
    <row r="165" spans="1:48" ht="14.4">
      <c r="G165" s="1320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</row>
    <row r="166" spans="1:48" ht="14.4">
      <c r="C166" s="1340" t="str">
        <f>+C$2</f>
        <v>RATES WITH REVENUE DEFICIENCY ADDITION</v>
      </c>
      <c r="F166" s="1333"/>
      <c r="G166" s="1327" t="s">
        <v>2173</v>
      </c>
      <c r="I166" s="1334" t="s">
        <v>4867</v>
      </c>
      <c r="L166" s="1329" t="s">
        <v>2173</v>
      </c>
      <c r="M166" s="1330"/>
      <c r="N166" s="1330"/>
      <c r="O166" s="1330"/>
      <c r="S166" s="1334" t="s">
        <v>4875</v>
      </c>
      <c r="T166" s="1333" t="s">
        <v>2173</v>
      </c>
      <c r="U166" s="1334"/>
      <c r="V166" s="1332" t="s">
        <v>4772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</row>
    <row r="167" spans="1:48" ht="14.4">
      <c r="C167" s="1340" t="str">
        <f>+C$3</f>
        <v>PROD. CAP. ALLOC. METHOD: 12 CP &amp; 1/13th AD</v>
      </c>
      <c r="G167" s="1336" t="s">
        <v>4768</v>
      </c>
      <c r="I167" s="1335" t="s">
        <v>5220</v>
      </c>
      <c r="L167" s="1336" t="s">
        <v>5141</v>
      </c>
      <c r="M167" s="1337"/>
      <c r="N167" s="1337"/>
      <c r="O167" s="1337"/>
      <c r="R167" s="1331"/>
      <c r="S167" s="1335" t="s">
        <v>5276</v>
      </c>
      <c r="T167" s="1333" t="s">
        <v>5141</v>
      </c>
      <c r="V167" s="1332" t="s">
        <v>4875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</row>
    <row r="168" spans="1:48" ht="14.4">
      <c r="C168" s="1340" t="str">
        <f>+C$4</f>
        <v>PROJECTED CALENDAR YEAR 2025; FULLY ADJUSTED DATA</v>
      </c>
      <c r="G168" s="1336" t="s">
        <v>2181</v>
      </c>
      <c r="L168" s="1336" t="s">
        <v>2181</v>
      </c>
      <c r="T168" s="1339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</row>
    <row r="169" spans="1:48" ht="14.4">
      <c r="C169" s="1340" t="str">
        <f>+C$5</f>
        <v>MINIMUM DISTRIBUTION SYSTEM (MDS) NOT EMPLOYED</v>
      </c>
      <c r="D169" s="1358"/>
      <c r="G169" s="1320"/>
      <c r="L169" s="1329"/>
      <c r="M169" s="1330"/>
      <c r="N169" s="1330"/>
      <c r="O169" s="1330"/>
      <c r="T169" s="1333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</row>
    <row r="170" spans="1:48" ht="14.4">
      <c r="C170" s="1340" t="str">
        <f>+C$6</f>
        <v>Tampa Electric 2025 OB Budget</v>
      </c>
      <c r="F170" s="1327"/>
      <c r="G170" s="1333" t="s">
        <v>5277</v>
      </c>
      <c r="L170" s="1336" t="s">
        <v>5277</v>
      </c>
      <c r="M170" s="1337"/>
      <c r="N170" s="1337"/>
      <c r="O170" s="1337"/>
      <c r="T170" s="1333" t="s">
        <v>5277</v>
      </c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</row>
    <row r="171" spans="1:48" ht="14.4">
      <c r="F171" s="1333"/>
      <c r="G171" s="1320"/>
      <c r="L171" s="1336"/>
      <c r="M171" s="1337"/>
      <c r="N171" s="1337"/>
      <c r="O171" s="1337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</row>
    <row r="172" spans="1:48" ht="14.4">
      <c r="F172" s="1333"/>
      <c r="G172" s="1320"/>
      <c r="L172" s="1336"/>
      <c r="M172" s="1337"/>
      <c r="N172" s="1337"/>
      <c r="O172" s="1337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</row>
    <row r="173" spans="1:48" ht="14.4">
      <c r="G173" s="1320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</row>
    <row r="174" spans="1:48" ht="14.4">
      <c r="G174" s="1320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</row>
    <row r="175" spans="1:48" ht="30" customHeight="1">
      <c r="A175" s="1418" t="s">
        <v>4683</v>
      </c>
      <c r="B175" s="1425" t="s">
        <v>5143</v>
      </c>
      <c r="C175" s="1349" t="s">
        <v>4297</v>
      </c>
      <c r="D175" s="1418"/>
      <c r="E175" s="1418"/>
      <c r="F175" s="1348" t="s">
        <v>5144</v>
      </c>
      <c r="G175" s="1348" t="s">
        <v>4956</v>
      </c>
      <c r="H175" s="1348" t="s">
        <v>4957</v>
      </c>
      <c r="I175" s="1426" t="s">
        <v>5145</v>
      </c>
      <c r="J175" s="1352" t="s">
        <v>4957</v>
      </c>
      <c r="K175" s="1353" t="s">
        <v>1949</v>
      </c>
      <c r="L175" s="1353" t="s">
        <v>1950</v>
      </c>
      <c r="M175" s="1354" t="s">
        <v>1934</v>
      </c>
      <c r="N175" s="1354" t="s">
        <v>1971</v>
      </c>
      <c r="O175" s="1354" t="s">
        <v>1972</v>
      </c>
      <c r="P175" s="1352" t="s">
        <v>5146</v>
      </c>
      <c r="Q175" s="1352" t="s">
        <v>5147</v>
      </c>
      <c r="R175" s="1355"/>
      <c r="S175" s="1348" t="s">
        <v>5143</v>
      </c>
      <c r="T175" s="1348"/>
      <c r="U175" s="1352"/>
      <c r="V175" s="1355" t="s">
        <v>4774</v>
      </c>
      <c r="W175" s="1350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</row>
    <row r="176" spans="1:48" ht="14.4">
      <c r="G176" s="1320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</row>
    <row r="177" spans="1:48" ht="14.4">
      <c r="A177" s="1320" t="s">
        <v>4682</v>
      </c>
      <c r="B177" s="1321"/>
      <c r="C177" s="1322">
        <v>1</v>
      </c>
      <c r="D177" s="1356" t="s">
        <v>5278</v>
      </c>
      <c r="G177" s="1320"/>
      <c r="S177" s="1321"/>
      <c r="T177" s="1321"/>
      <c r="U177" s="1326"/>
      <c r="W177" s="1321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</row>
    <row r="178" spans="1:48" ht="14.4">
      <c r="A178" s="1320" t="s">
        <v>4682</v>
      </c>
      <c r="B178" s="1320">
        <v>202</v>
      </c>
      <c r="C178" s="1322">
        <v>2</v>
      </c>
      <c r="D178" s="1320" t="s">
        <v>5279</v>
      </c>
      <c r="E178" s="1320" t="s">
        <v>4067</v>
      </c>
      <c r="F178" s="1320">
        <f>+'0 MDS Allocation Assignment'!F35+'0 MDS Allocation Assignment'!F37</f>
        <v>0</v>
      </c>
      <c r="G178" s="1358">
        <f>+$F178*$G$1969</f>
        <v>0</v>
      </c>
      <c r="H178" s="1358">
        <f>+$F178*$H$1969</f>
        <v>0</v>
      </c>
      <c r="I178" s="1323">
        <f>IF(F178=0,0,+H178/F178)</f>
        <v>0</v>
      </c>
      <c r="J178" s="1364">
        <f>+H178</f>
        <v>0</v>
      </c>
      <c r="K178" s="1364">
        <f t="shared" ref="K178:Q180" si="70">+$J178*K$1966</f>
        <v>0</v>
      </c>
      <c r="L178" s="1364">
        <f t="shared" si="70"/>
        <v>0</v>
      </c>
      <c r="M178" s="1364">
        <f t="shared" si="70"/>
        <v>0</v>
      </c>
      <c r="N178" s="1364">
        <f t="shared" si="70"/>
        <v>0</v>
      </c>
      <c r="O178" s="1364">
        <f t="shared" si="70"/>
        <v>0</v>
      </c>
      <c r="P178" s="1364">
        <f t="shared" si="70"/>
        <v>0</v>
      </c>
      <c r="Q178" s="1364">
        <f t="shared" si="70"/>
        <v>0</v>
      </c>
      <c r="R178" s="1358"/>
      <c r="S178" s="1320">
        <v>201</v>
      </c>
      <c r="V178" s="1321" t="s">
        <v>5235</v>
      </c>
      <c r="W178" s="1321">
        <v>201</v>
      </c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</row>
    <row r="179" spans="1:48" ht="14.4">
      <c r="A179" s="1320" t="s">
        <v>4682</v>
      </c>
      <c r="B179" s="1320">
        <v>202</v>
      </c>
      <c r="C179" s="1322">
        <v>3</v>
      </c>
      <c r="D179" s="1320" t="s">
        <v>4805</v>
      </c>
      <c r="E179" s="1320" t="s">
        <v>2067</v>
      </c>
      <c r="F179" s="1320">
        <f>+'0 MDS Allocation Assignment'!F36</f>
        <v>0</v>
      </c>
      <c r="G179" s="1358">
        <f>+$F179*$G$1969</f>
        <v>0</v>
      </c>
      <c r="H179" s="1358">
        <f>+$F179*$H$1969</f>
        <v>0</v>
      </c>
      <c r="I179" s="1323">
        <f>IF(F179=0,0,+H179/F179)</f>
        <v>0</v>
      </c>
      <c r="J179" s="1364">
        <f>+H179</f>
        <v>0</v>
      </c>
      <c r="K179" s="1364">
        <f t="shared" si="70"/>
        <v>0</v>
      </c>
      <c r="L179" s="1364">
        <f t="shared" si="70"/>
        <v>0</v>
      </c>
      <c r="M179" s="1364">
        <f t="shared" si="70"/>
        <v>0</v>
      </c>
      <c r="N179" s="1364">
        <f t="shared" si="70"/>
        <v>0</v>
      </c>
      <c r="O179" s="1364">
        <f t="shared" si="70"/>
        <v>0</v>
      </c>
      <c r="P179" s="1364">
        <f t="shared" si="70"/>
        <v>0</v>
      </c>
      <c r="Q179" s="1364">
        <f t="shared" si="70"/>
        <v>0</v>
      </c>
      <c r="R179" s="1358"/>
      <c r="S179" s="1320">
        <v>201</v>
      </c>
      <c r="V179" s="1321" t="s">
        <v>5235</v>
      </c>
      <c r="W179" s="1321">
        <v>201</v>
      </c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</row>
    <row r="180" spans="1:48" ht="14.4">
      <c r="A180" s="1320" t="s">
        <v>4682</v>
      </c>
      <c r="B180" s="1320">
        <v>202</v>
      </c>
      <c r="C180" s="1322">
        <v>4</v>
      </c>
      <c r="D180" s="1320" t="s">
        <v>4808</v>
      </c>
      <c r="E180" s="1320" t="s">
        <v>2067</v>
      </c>
      <c r="F180" s="1320">
        <f>+'0 MDS Allocation Assignment'!F38</f>
        <v>0</v>
      </c>
      <c r="G180" s="1358">
        <f>+$F180*$G$1969</f>
        <v>0</v>
      </c>
      <c r="H180" s="1358">
        <f>+$F180*$H$1969</f>
        <v>0</v>
      </c>
      <c r="I180" s="1323">
        <f>IF(F180=0,0,+H180/F180)</f>
        <v>0</v>
      </c>
      <c r="J180" s="1364">
        <f>+H180</f>
        <v>0</v>
      </c>
      <c r="K180" s="1364">
        <f t="shared" si="70"/>
        <v>0</v>
      </c>
      <c r="L180" s="1364">
        <f t="shared" si="70"/>
        <v>0</v>
      </c>
      <c r="M180" s="1364">
        <f t="shared" si="70"/>
        <v>0</v>
      </c>
      <c r="N180" s="1364">
        <f t="shared" si="70"/>
        <v>0</v>
      </c>
      <c r="O180" s="1364">
        <f t="shared" si="70"/>
        <v>0</v>
      </c>
      <c r="P180" s="1364">
        <f t="shared" si="70"/>
        <v>0</v>
      </c>
      <c r="Q180" s="1364">
        <f t="shared" si="70"/>
        <v>0</v>
      </c>
      <c r="R180" s="1358"/>
      <c r="S180" s="1320">
        <v>201</v>
      </c>
      <c r="V180" s="1321" t="s">
        <v>5235</v>
      </c>
      <c r="W180" s="1321">
        <v>201</v>
      </c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</row>
    <row r="181" spans="1:48" ht="14.4">
      <c r="A181" s="1320" t="s">
        <v>4682</v>
      </c>
      <c r="B181" s="1321"/>
      <c r="C181" s="1322">
        <v>5</v>
      </c>
      <c r="G181" s="1320"/>
      <c r="M181" s="1324"/>
      <c r="P181" s="1325"/>
      <c r="S181" s="1321"/>
      <c r="T181" s="1321"/>
      <c r="U181" s="1326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</row>
    <row r="182" spans="1:48" ht="14.4">
      <c r="A182" s="1320" t="s">
        <v>4682</v>
      </c>
      <c r="B182" s="1321">
        <v>205</v>
      </c>
      <c r="C182" s="1322">
        <v>6</v>
      </c>
      <c r="D182" s="1320" t="s">
        <v>4811</v>
      </c>
      <c r="E182" s="1320" t="s">
        <v>4067</v>
      </c>
      <c r="F182" s="1320">
        <f>+'0 MDS Allocation Assignment'!F40</f>
        <v>0</v>
      </c>
      <c r="G182" s="1358">
        <f>+$F182*G$1975</f>
        <v>0</v>
      </c>
      <c r="H182" s="1358">
        <f>+$F182*H$1975</f>
        <v>0</v>
      </c>
      <c r="I182" s="1323">
        <f>IF(F182=0,0,+H182/F182)</f>
        <v>0</v>
      </c>
      <c r="J182" s="1324">
        <f>H182</f>
        <v>0</v>
      </c>
      <c r="K182" s="1324">
        <f t="shared" ref="K182:Q182" si="71">$J182*K$1951</f>
        <v>0</v>
      </c>
      <c r="L182" s="1324">
        <f t="shared" si="71"/>
        <v>0</v>
      </c>
      <c r="M182" s="1324">
        <f t="shared" si="71"/>
        <v>0</v>
      </c>
      <c r="N182" s="1324">
        <f t="shared" si="71"/>
        <v>0</v>
      </c>
      <c r="O182" s="1324">
        <f t="shared" si="71"/>
        <v>0</v>
      </c>
      <c r="P182" s="1324">
        <f t="shared" si="71"/>
        <v>0</v>
      </c>
      <c r="Q182" s="1324">
        <f t="shared" si="71"/>
        <v>0</v>
      </c>
      <c r="R182" s="1324"/>
      <c r="S182" s="1324">
        <v>122</v>
      </c>
      <c r="T182" s="1321"/>
      <c r="U182" s="1326"/>
      <c r="V182" s="1321" t="s">
        <v>5227</v>
      </c>
      <c r="W182" s="1321">
        <v>122</v>
      </c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</row>
    <row r="183" spans="1:48" ht="14.4">
      <c r="A183" s="1320" t="s">
        <v>4682</v>
      </c>
      <c r="B183" s="1321">
        <v>205</v>
      </c>
      <c r="C183" s="1322">
        <v>7</v>
      </c>
      <c r="D183" s="1320" t="s">
        <v>5280</v>
      </c>
      <c r="E183" s="1320" t="s">
        <v>2067</v>
      </c>
      <c r="F183" s="1320">
        <f>+'0 MDS Allocation Assignment'!F39+'0 MDS Allocation Assignment'!F41</f>
        <v>626.46090775325297</v>
      </c>
      <c r="G183" s="1358">
        <f>+$F183*G$1975</f>
        <v>0</v>
      </c>
      <c r="H183" s="1358">
        <f>+$F183*H$1975</f>
        <v>626.46090775325297</v>
      </c>
      <c r="I183" s="1323">
        <f>IF(F183=0,0,+H183/F183)</f>
        <v>1</v>
      </c>
      <c r="J183" s="1324">
        <f>H183</f>
        <v>626.46090775325297</v>
      </c>
      <c r="K183" s="1364">
        <f t="shared" ref="K183:Q183" si="72">+$J183*K$1966</f>
        <v>316.13358975594224</v>
      </c>
      <c r="L183" s="1364">
        <f t="shared" si="72"/>
        <v>29.214444451259041</v>
      </c>
      <c r="M183" s="1364">
        <f t="shared" si="72"/>
        <v>217.63626389760336</v>
      </c>
      <c r="N183" s="1364">
        <f t="shared" si="72"/>
        <v>34.64419389080566</v>
      </c>
      <c r="O183" s="1364">
        <f t="shared" si="72"/>
        <v>25.522788671559834</v>
      </c>
      <c r="P183" s="1364">
        <f t="shared" si="72"/>
        <v>3.3096270860828403</v>
      </c>
      <c r="Q183" s="1364">
        <f t="shared" si="72"/>
        <v>0</v>
      </c>
      <c r="R183" s="1324"/>
      <c r="S183" s="1324">
        <v>201</v>
      </c>
      <c r="T183" s="1321"/>
      <c r="U183" s="1326"/>
      <c r="V183" s="1321" t="s">
        <v>5235</v>
      </c>
      <c r="W183" s="1321">
        <v>201</v>
      </c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</row>
    <row r="184" spans="1:48" ht="14.4">
      <c r="A184" s="1320" t="s">
        <v>4682</v>
      </c>
      <c r="B184" s="1321"/>
      <c r="C184" s="1322">
        <v>8</v>
      </c>
      <c r="G184" s="1320"/>
      <c r="M184" s="1324"/>
      <c r="P184" s="1325"/>
      <c r="R184" s="1324"/>
      <c r="S184" s="1326"/>
      <c r="T184" s="1321"/>
      <c r="U184" s="1326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</row>
    <row r="185" spans="1:48" ht="14.4">
      <c r="A185" s="1320" t="s">
        <v>4682</v>
      </c>
      <c r="B185" s="1321"/>
      <c r="C185" s="1322">
        <v>9</v>
      </c>
      <c r="D185" s="1320" t="s">
        <v>4813</v>
      </c>
      <c r="E185" s="1320" t="s">
        <v>4067</v>
      </c>
      <c r="F185" s="1320">
        <f>+F178+F182</f>
        <v>0</v>
      </c>
      <c r="G185" s="1320">
        <f>+G178+G182</f>
        <v>0</v>
      </c>
      <c r="H185" s="1320">
        <f>+H178+H182</f>
        <v>0</v>
      </c>
      <c r="I185" s="1323">
        <f>IF(F185=0,0,+H185/F185)</f>
        <v>0</v>
      </c>
      <c r="J185" s="1324">
        <f>+H185</f>
        <v>0</v>
      </c>
      <c r="K185" s="1324">
        <f t="shared" ref="K185:Q185" si="73">K178+K182</f>
        <v>0</v>
      </c>
      <c r="L185" s="1324">
        <f t="shared" si="73"/>
        <v>0</v>
      </c>
      <c r="M185" s="1324">
        <f>M178+M182</f>
        <v>0</v>
      </c>
      <c r="N185" s="1324">
        <f t="shared" si="73"/>
        <v>0</v>
      </c>
      <c r="O185" s="1324">
        <f>O178+O182</f>
        <v>0</v>
      </c>
      <c r="P185" s="1324">
        <f>P178+P182</f>
        <v>0</v>
      </c>
      <c r="Q185" s="1324">
        <f t="shared" si="73"/>
        <v>0</v>
      </c>
      <c r="R185" s="1324"/>
      <c r="S185" s="1326"/>
      <c r="T185" s="1321"/>
      <c r="U185" s="1326"/>
      <c r="V185" s="1320" t="s">
        <v>5281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</row>
    <row r="186" spans="1:48" ht="14.4">
      <c r="A186" s="1320" t="s">
        <v>4682</v>
      </c>
      <c r="B186" s="1321"/>
      <c r="C186" s="1322">
        <v>10</v>
      </c>
      <c r="D186" s="1320" t="s">
        <v>4814</v>
      </c>
      <c r="E186" s="1320" t="s">
        <v>2067</v>
      </c>
      <c r="F186" s="1350">
        <f>+F179+F180+F183</f>
        <v>626.46090775325297</v>
      </c>
      <c r="G186" s="1350">
        <f>+G179+G180+G183</f>
        <v>0</v>
      </c>
      <c r="H186" s="1350">
        <f>+H179+H180+H183</f>
        <v>626.46090775325297</v>
      </c>
      <c r="I186" s="1323">
        <f>IF(F186=0,0,+H186/F186)</f>
        <v>1</v>
      </c>
      <c r="J186" s="1366">
        <f>+H186</f>
        <v>626.46090775325297</v>
      </c>
      <c r="K186" s="1366">
        <f t="shared" ref="K186:Q186" si="74">K179+K180+K183</f>
        <v>316.13358975594224</v>
      </c>
      <c r="L186" s="1366">
        <f t="shared" si="74"/>
        <v>29.214444451259041</v>
      </c>
      <c r="M186" s="1366">
        <f t="shared" si="74"/>
        <v>217.63626389760336</v>
      </c>
      <c r="N186" s="1366">
        <f t="shared" si="74"/>
        <v>34.64419389080566</v>
      </c>
      <c r="O186" s="1366">
        <f>O179+O180+O183</f>
        <v>25.522788671559834</v>
      </c>
      <c r="P186" s="1366">
        <f>P179+P180+P183</f>
        <v>3.3096270860828403</v>
      </c>
      <c r="Q186" s="1366">
        <f t="shared" si="74"/>
        <v>0</v>
      </c>
      <c r="R186" s="1364"/>
      <c r="S186" s="1326"/>
      <c r="T186" s="1321"/>
      <c r="U186" s="1326"/>
      <c r="V186" s="1320" t="s">
        <v>5282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</row>
    <row r="187" spans="1:48" ht="14.4">
      <c r="A187" s="1320" t="s">
        <v>4682</v>
      </c>
      <c r="B187" s="1321"/>
      <c r="C187" s="1322">
        <v>11</v>
      </c>
      <c r="D187" s="1320" t="s">
        <v>5283</v>
      </c>
      <c r="F187" s="1427">
        <f>SUM(F185:F186)</f>
        <v>626.46090775325297</v>
      </c>
      <c r="G187" s="1427">
        <f>SUM(G185:G186)</f>
        <v>0</v>
      </c>
      <c r="H187" s="1427">
        <f>SUM(H185:H186)</f>
        <v>626.46090775325297</v>
      </c>
      <c r="I187" s="1323">
        <f>IF(F187=0,0,+H187/F187)</f>
        <v>1</v>
      </c>
      <c r="J187" s="1421">
        <f t="shared" ref="J187:Q187" si="75">SUM(J185:J186)</f>
        <v>626.46090775325297</v>
      </c>
      <c r="K187" s="1421">
        <f t="shared" si="75"/>
        <v>316.13358975594224</v>
      </c>
      <c r="L187" s="1421">
        <f t="shared" si="75"/>
        <v>29.214444451259041</v>
      </c>
      <c r="M187" s="1421">
        <f t="shared" si="75"/>
        <v>217.63626389760336</v>
      </c>
      <c r="N187" s="1422">
        <f t="shared" si="75"/>
        <v>34.64419389080566</v>
      </c>
      <c r="O187" s="1422">
        <f>SUM(O185:O186)</f>
        <v>25.522788671559834</v>
      </c>
      <c r="P187" s="1422">
        <f>SUM(P185:P186)</f>
        <v>3.3096270860828403</v>
      </c>
      <c r="Q187" s="1421">
        <f t="shared" si="75"/>
        <v>0</v>
      </c>
      <c r="R187" s="1364"/>
      <c r="S187" s="1326"/>
      <c r="T187" s="1321"/>
      <c r="U187" s="1326"/>
      <c r="V187" s="1320" t="s">
        <v>5284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</row>
    <row r="188" spans="1:48" ht="14.4">
      <c r="A188" s="1320" t="s">
        <v>4682</v>
      </c>
      <c r="B188" s="1321"/>
      <c r="C188" s="1322">
        <v>12</v>
      </c>
      <c r="G188" s="1320"/>
      <c r="R188" s="1324"/>
      <c r="S188" s="1326"/>
      <c r="T188" s="1321"/>
      <c r="U188"/>
      <c r="V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</row>
    <row r="189" spans="1:48" ht="14.4">
      <c r="A189" s="1320" t="s">
        <v>4682</v>
      </c>
      <c r="B189" s="1321"/>
      <c r="C189" s="1322">
        <v>13</v>
      </c>
      <c r="G189" s="1320"/>
      <c r="R189" s="1324"/>
      <c r="S189" s="1326"/>
      <c r="T189" s="1321"/>
      <c r="U189" s="1326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</row>
    <row r="190" spans="1:48" ht="14.4">
      <c r="A190" s="1320" t="s">
        <v>4682</v>
      </c>
      <c r="B190" s="1321"/>
      <c r="C190" s="1322">
        <v>14</v>
      </c>
      <c r="D190" s="1356" t="s">
        <v>5285</v>
      </c>
      <c r="G190" s="1320"/>
      <c r="R190" s="1324"/>
      <c r="S190" s="1326"/>
      <c r="T190" s="1321"/>
      <c r="U190" s="1326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</row>
    <row r="191" spans="1:48" ht="14.4">
      <c r="A191" s="1320" t="s">
        <v>4682</v>
      </c>
      <c r="B191" s="1320">
        <v>101</v>
      </c>
      <c r="C191" s="1322">
        <v>15</v>
      </c>
      <c r="D191" s="1320" t="s">
        <v>4813</v>
      </c>
      <c r="E191" s="1320" t="s">
        <v>4067</v>
      </c>
      <c r="F191" s="1320">
        <f>+'0 MDS Allocation Assignment'!F42+'0 MDS Allocation Assignment'!F44</f>
        <v>95092.072680275</v>
      </c>
      <c r="G191" s="1358">
        <f>+$F191*G$1933</f>
        <v>0</v>
      </c>
      <c r="H191" s="1358">
        <f>+$F191*H$1933</f>
        <v>95092.072680275</v>
      </c>
      <c r="I191" s="1323">
        <f>IF(F191=0,0,+H191/F191)</f>
        <v>1</v>
      </c>
      <c r="J191" s="1364">
        <f>+H191</f>
        <v>95092.072680275</v>
      </c>
      <c r="K191" s="1324">
        <f t="shared" ref="K191:Q191" si="76">$J191*K$1951</f>
        <v>55154.642166951708</v>
      </c>
      <c r="L191" s="1324">
        <f t="shared" si="76"/>
        <v>4549.7016584363855</v>
      </c>
      <c r="M191" s="1324">
        <f t="shared" si="76"/>
        <v>29083.95698852936</v>
      </c>
      <c r="N191" s="1324">
        <f t="shared" si="76"/>
        <v>3630.7464029861453</v>
      </c>
      <c r="O191" s="1324">
        <f t="shared" si="76"/>
        <v>2605.6058867245706</v>
      </c>
      <c r="P191" s="1324">
        <f t="shared" si="76"/>
        <v>67.419576646835836</v>
      </c>
      <c r="Q191" s="1324">
        <f t="shared" si="76"/>
        <v>0</v>
      </c>
      <c r="R191" s="1324"/>
      <c r="S191" s="1324">
        <v>122</v>
      </c>
      <c r="V191" s="1321" t="s">
        <v>5227</v>
      </c>
      <c r="W191" s="1321">
        <v>122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</row>
    <row r="192" spans="1:48" s="1324" customFormat="1" ht="14.4">
      <c r="A192" s="1324" t="s">
        <v>4682</v>
      </c>
      <c r="B192" s="1324">
        <v>101</v>
      </c>
      <c r="C192" s="1393">
        <v>16</v>
      </c>
      <c r="D192" s="1324" t="s">
        <v>5286</v>
      </c>
      <c r="E192" s="1324" t="s">
        <v>4067</v>
      </c>
      <c r="F192" s="1324">
        <f>+'0 MDS Allocation Assignment'!F45</f>
        <v>0</v>
      </c>
      <c r="G192" s="1364">
        <f>+$F192*G$1933</f>
        <v>0</v>
      </c>
      <c r="H192" s="1364">
        <f>+$F192*H$1933</f>
        <v>0</v>
      </c>
      <c r="I192" s="1374">
        <f>IF(F192=0,0,+H192/F192)</f>
        <v>0</v>
      </c>
      <c r="J192" s="1364">
        <f>+H192</f>
        <v>0</v>
      </c>
      <c r="K192" s="1324">
        <f t="shared" ref="K192:Q192" si="77">$J192*K$1948</f>
        <v>0</v>
      </c>
      <c r="L192" s="1324">
        <f t="shared" si="77"/>
        <v>0</v>
      </c>
      <c r="M192" s="1324">
        <f t="shared" si="77"/>
        <v>0</v>
      </c>
      <c r="N192" s="1324">
        <f t="shared" si="77"/>
        <v>0</v>
      </c>
      <c r="O192" s="1324">
        <f t="shared" si="77"/>
        <v>0</v>
      </c>
      <c r="P192" s="1324">
        <f t="shared" si="77"/>
        <v>0</v>
      </c>
      <c r="Q192" s="1324">
        <f t="shared" si="77"/>
        <v>0</v>
      </c>
      <c r="S192" s="1324">
        <v>121</v>
      </c>
      <c r="V192" s="1326" t="s">
        <v>5287</v>
      </c>
      <c r="W192" s="1326">
        <v>121</v>
      </c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</row>
    <row r="193" spans="1:48" ht="14.4">
      <c r="A193" s="1320" t="s">
        <v>4682</v>
      </c>
      <c r="B193" s="1324">
        <v>201</v>
      </c>
      <c r="C193" s="1322">
        <v>17</v>
      </c>
      <c r="D193" s="1320" t="s">
        <v>4814</v>
      </c>
      <c r="E193" s="1320" t="s">
        <v>2067</v>
      </c>
      <c r="F193" s="1350">
        <f>+'0 MDS Allocation Assignment'!F43+'0 MDS Allocation Assignment'!F46</f>
        <v>29310.186608764699</v>
      </c>
      <c r="G193" s="1358">
        <f>+$F193*G$1966</f>
        <v>0</v>
      </c>
      <c r="H193" s="1358">
        <f>+$F193*H$1966</f>
        <v>29310.186608764699</v>
      </c>
      <c r="I193" s="1323">
        <f>IF(F193=0,0,+H193/F193)</f>
        <v>1</v>
      </c>
      <c r="J193" s="1364">
        <f>+H193</f>
        <v>29310.186608764699</v>
      </c>
      <c r="K193" s="1364">
        <f t="shared" ref="K193:Q193" si="78">+$J193*K$1966</f>
        <v>14790.92213794599</v>
      </c>
      <c r="L193" s="1364">
        <f t="shared" si="78"/>
        <v>1366.8543526662643</v>
      </c>
      <c r="M193" s="1364">
        <f t="shared" si="78"/>
        <v>10182.534023632365</v>
      </c>
      <c r="N193" s="1367">
        <f t="shared" si="78"/>
        <v>1620.8956940210085</v>
      </c>
      <c r="O193" s="1367">
        <f t="shared" si="78"/>
        <v>1194.1330887228053</v>
      </c>
      <c r="P193" s="1367">
        <f t="shared" si="78"/>
        <v>154.8473117762654</v>
      </c>
      <c r="Q193" s="1364">
        <f t="shared" si="78"/>
        <v>0</v>
      </c>
      <c r="R193" s="1364"/>
      <c r="S193" s="1324">
        <v>201</v>
      </c>
      <c r="V193" s="1321" t="s">
        <v>5235</v>
      </c>
      <c r="W193" s="1321">
        <v>201</v>
      </c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</row>
    <row r="194" spans="1:48" ht="14.4">
      <c r="A194" s="1320" t="s">
        <v>4682</v>
      </c>
      <c r="B194" s="1321"/>
      <c r="C194" s="1322">
        <v>18</v>
      </c>
      <c r="D194" s="1320" t="s">
        <v>5288</v>
      </c>
      <c r="F194" s="1427">
        <f>SUM(F191:F193)</f>
        <v>124402.25928903971</v>
      </c>
      <c r="G194" s="1427">
        <f>SUM(G191:G193)</f>
        <v>0</v>
      </c>
      <c r="H194" s="1427">
        <f>SUM(H191:H193)</f>
        <v>124402.25928903971</v>
      </c>
      <c r="I194" s="1323">
        <f>IF(F194=0,0,+H194/F194)</f>
        <v>1</v>
      </c>
      <c r="J194" s="1421">
        <f t="shared" ref="J194:Q194" si="79">SUM(J191:J193)</f>
        <v>124402.25928903971</v>
      </c>
      <c r="K194" s="1421">
        <f t="shared" si="79"/>
        <v>69945.564304897693</v>
      </c>
      <c r="L194" s="1421">
        <f t="shared" si="79"/>
        <v>5916.5560111026498</v>
      </c>
      <c r="M194" s="1421">
        <f t="shared" si="79"/>
        <v>39266.491012161729</v>
      </c>
      <c r="N194" s="1422">
        <f t="shared" si="79"/>
        <v>5251.642097007154</v>
      </c>
      <c r="O194" s="1422">
        <f>SUM(O191:O193)</f>
        <v>3799.7389754473761</v>
      </c>
      <c r="P194" s="1422">
        <f>SUM(P191:P193)</f>
        <v>222.26688842310125</v>
      </c>
      <c r="Q194" s="1421">
        <f t="shared" si="79"/>
        <v>0</v>
      </c>
      <c r="R194" s="1364"/>
      <c r="S194" s="1326"/>
      <c r="T194" s="1321"/>
      <c r="U194" s="1326"/>
      <c r="V194" s="1320" t="s">
        <v>5289</v>
      </c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</row>
    <row r="195" spans="1:48">
      <c r="A195" s="1320" t="s">
        <v>4682</v>
      </c>
      <c r="B195" s="1321"/>
      <c r="C195" s="1322">
        <v>19</v>
      </c>
      <c r="G195" s="1320"/>
      <c r="R195" s="1324"/>
      <c r="S195" s="1326"/>
      <c r="T195" s="1321"/>
      <c r="U195" s="1326"/>
    </row>
    <row r="196" spans="1:48">
      <c r="A196" s="1320" t="s">
        <v>4682</v>
      </c>
      <c r="B196" s="1321"/>
      <c r="C196" s="1322">
        <v>20</v>
      </c>
      <c r="G196" s="1320"/>
      <c r="R196" s="1324"/>
      <c r="S196" s="1326"/>
      <c r="T196" s="1321"/>
      <c r="U196" s="1326"/>
    </row>
    <row r="197" spans="1:48">
      <c r="A197" s="1320" t="s">
        <v>4682</v>
      </c>
      <c r="B197" s="1321"/>
      <c r="C197" s="1322">
        <v>21</v>
      </c>
      <c r="D197" s="1356" t="s">
        <v>5290</v>
      </c>
      <c r="G197" s="1320"/>
      <c r="R197" s="1324"/>
      <c r="S197" s="1326"/>
      <c r="T197" s="1321"/>
      <c r="U197" s="1326"/>
    </row>
    <row r="198" spans="1:48">
      <c r="A198" s="1320" t="s">
        <v>4682</v>
      </c>
      <c r="B198" s="1320">
        <v>101</v>
      </c>
      <c r="C198" s="1322">
        <v>22</v>
      </c>
      <c r="D198" s="1320" t="s">
        <v>5291</v>
      </c>
      <c r="E198" s="1320" t="s">
        <v>4067</v>
      </c>
      <c r="F198" s="1350">
        <f>+'0 MDS Allocation Assignment'!F47</f>
        <v>3435.0487828274636</v>
      </c>
      <c r="G198" s="1350">
        <f>+$F198*G1933</f>
        <v>0</v>
      </c>
      <c r="H198" s="1350">
        <f>+$F198*H1933</f>
        <v>3435.0487828274636</v>
      </c>
      <c r="I198" s="1323">
        <f>IF(F198=0,0,+H198/F198)</f>
        <v>1</v>
      </c>
      <c r="J198" s="1366">
        <f>+H198</f>
        <v>3435.0487828274636</v>
      </c>
      <c r="K198" s="1366">
        <f t="shared" ref="K198:Q198" si="80">$J198*K$1951</f>
        <v>1992.373087501029</v>
      </c>
      <c r="L198" s="1366">
        <f t="shared" si="80"/>
        <v>164.35068353791195</v>
      </c>
      <c r="M198" s="1366">
        <f t="shared" si="80"/>
        <v>1050.6113521067186</v>
      </c>
      <c r="N198" s="1366">
        <f t="shared" si="80"/>
        <v>131.15489715179783</v>
      </c>
      <c r="O198" s="1366">
        <f t="shared" si="80"/>
        <v>94.12333833352119</v>
      </c>
      <c r="P198" s="1366">
        <f t="shared" si="80"/>
        <v>2.4354241964850458</v>
      </c>
      <c r="Q198" s="1366">
        <f t="shared" si="80"/>
        <v>0</v>
      </c>
      <c r="R198" s="1324"/>
      <c r="S198" s="1324">
        <v>122</v>
      </c>
      <c r="V198" s="1321" t="s">
        <v>5227</v>
      </c>
      <c r="W198" s="1321">
        <v>122</v>
      </c>
    </row>
    <row r="199" spans="1:48">
      <c r="A199" s="1320" t="s">
        <v>4682</v>
      </c>
      <c r="B199" s="1321"/>
      <c r="C199" s="1322">
        <v>23</v>
      </c>
      <c r="G199" s="1320"/>
      <c r="M199" s="1324"/>
      <c r="P199" s="1325"/>
      <c r="R199" s="1324"/>
      <c r="S199" s="1326"/>
      <c r="T199" s="1321"/>
      <c r="U199" s="1326"/>
      <c r="W199" s="1321"/>
    </row>
    <row r="200" spans="1:48">
      <c r="A200" s="1320" t="s">
        <v>4682</v>
      </c>
      <c r="B200" s="1320">
        <v>117</v>
      </c>
      <c r="C200" s="1322">
        <v>24</v>
      </c>
      <c r="D200" s="1320" t="s">
        <v>5292</v>
      </c>
      <c r="E200" s="1320" t="s">
        <v>4067</v>
      </c>
      <c r="F200" s="1350">
        <f>+'0 MDS Allocation Assignment'!F48</f>
        <v>2130.0112029296843</v>
      </c>
      <c r="G200" s="1350">
        <f>+$F200*G$1942</f>
        <v>137.99672901394752</v>
      </c>
      <c r="H200" s="1350">
        <f>+$F200*H$1942</f>
        <v>1992.0144739157365</v>
      </c>
      <c r="I200" s="1323">
        <f>IF(F200=0,0,+H200/F200)</f>
        <v>0.93521314403222733</v>
      </c>
      <c r="J200" s="1366">
        <f>+H200</f>
        <v>1992.0144739157365</v>
      </c>
      <c r="K200" s="1366">
        <f t="shared" ref="K200:Q200" si="81">+$J200*K$1945</f>
        <v>1155.394370986312</v>
      </c>
      <c r="L200" s="1366">
        <f t="shared" si="81"/>
        <v>95.308381657387812</v>
      </c>
      <c r="M200" s="1366">
        <f t="shared" si="81"/>
        <v>609.25860218325909</v>
      </c>
      <c r="N200" s="1378">
        <f t="shared" si="81"/>
        <v>76.057858263154046</v>
      </c>
      <c r="O200" s="1378">
        <f t="shared" si="81"/>
        <v>54.582937287810743</v>
      </c>
      <c r="P200" s="1378">
        <f t="shared" si="81"/>
        <v>1.41232353781291</v>
      </c>
      <c r="Q200" s="1366">
        <f t="shared" si="81"/>
        <v>0</v>
      </c>
      <c r="R200" s="1364"/>
      <c r="S200" s="1324">
        <v>117</v>
      </c>
      <c r="V200" s="1321" t="s">
        <v>5228</v>
      </c>
      <c r="W200" s="1321">
        <v>117</v>
      </c>
    </row>
    <row r="201" spans="1:48">
      <c r="A201" s="1320" t="s">
        <v>4682</v>
      </c>
      <c r="B201" s="1321"/>
      <c r="C201" s="1322">
        <v>25</v>
      </c>
      <c r="G201" s="1320"/>
      <c r="S201" s="1321"/>
      <c r="T201" s="1321"/>
      <c r="U201" s="1326"/>
    </row>
    <row r="202" spans="1:48">
      <c r="A202" s="1320" t="s">
        <v>4682</v>
      </c>
      <c r="B202" s="1321"/>
      <c r="C202" s="1322">
        <v>26</v>
      </c>
      <c r="D202" s="1320" t="s">
        <v>1953</v>
      </c>
      <c r="G202" s="1320"/>
      <c r="S202" s="1321"/>
      <c r="T202" s="1321"/>
      <c r="U202" s="1326"/>
    </row>
    <row r="203" spans="1:48">
      <c r="A203" s="1320" t="s">
        <v>4682</v>
      </c>
      <c r="B203" s="1320">
        <v>117</v>
      </c>
      <c r="C203" s="1322">
        <v>27</v>
      </c>
      <c r="D203" s="1320" t="s">
        <v>5293</v>
      </c>
      <c r="E203" s="1320" t="s">
        <v>4067</v>
      </c>
      <c r="F203" s="1358">
        <f>+'0 MDS Allocation Assignment'!F49</f>
        <v>4395.4471926732531</v>
      </c>
      <c r="G203" s="1358">
        <f>+$F203*G$1942</f>
        <v>284.76720418567248</v>
      </c>
      <c r="H203" s="1358">
        <f>+$F203*H$1942</f>
        <v>4110.67998848758</v>
      </c>
      <c r="I203" s="1323">
        <f>IF(F203=0,0,+H203/F203)</f>
        <v>0.93521314403222722</v>
      </c>
      <c r="J203" s="1364">
        <f>+H203</f>
        <v>4110.67998848758</v>
      </c>
      <c r="K203" s="1364">
        <f t="shared" ref="K203:Q204" si="82">+$J203*K$1945</f>
        <v>2384.247997098405</v>
      </c>
      <c r="L203" s="1364">
        <f t="shared" si="82"/>
        <v>196.67641091182827</v>
      </c>
      <c r="M203" s="1364">
        <f t="shared" si="82"/>
        <v>1257.2534871624528</v>
      </c>
      <c r="N203" s="1367">
        <f t="shared" si="82"/>
        <v>156.95142782521637</v>
      </c>
      <c r="O203" s="1367">
        <f t="shared" si="82"/>
        <v>112.6362237623818</v>
      </c>
      <c r="P203" s="1367">
        <f t="shared" si="82"/>
        <v>2.9144417272959493</v>
      </c>
      <c r="Q203" s="1364">
        <f t="shared" si="82"/>
        <v>0</v>
      </c>
      <c r="R203" s="1358"/>
      <c r="S203" s="1320">
        <v>117</v>
      </c>
      <c r="V203" s="1321" t="s">
        <v>5228</v>
      </c>
      <c r="W203" s="1321">
        <v>117</v>
      </c>
    </row>
    <row r="204" spans="1:48">
      <c r="A204" s="1320" t="s">
        <v>4682</v>
      </c>
      <c r="B204" s="1320">
        <v>117</v>
      </c>
      <c r="C204" s="1322">
        <v>28</v>
      </c>
      <c r="D204" s="1320" t="s">
        <v>5294</v>
      </c>
      <c r="E204" s="1320" t="s">
        <v>4067</v>
      </c>
      <c r="F204" s="1358">
        <f>+'0 MDS Allocation Assignment'!F50</f>
        <v>1579.0860305628878</v>
      </c>
      <c r="G204" s="1358">
        <f>+$F204*G$1942</f>
        <v>102.30401922279958</v>
      </c>
      <c r="H204" s="1358">
        <f>+$F204*H$1942</f>
        <v>1476.782011340088</v>
      </c>
      <c r="I204" s="1323">
        <f>IF(F204=0,0,+H204/F204)</f>
        <v>0.93521314403222733</v>
      </c>
      <c r="J204" s="1364">
        <f>+H204</f>
        <v>1476.782011340088</v>
      </c>
      <c r="K204" s="1364">
        <f t="shared" si="82"/>
        <v>856.55282399738121</v>
      </c>
      <c r="L204" s="1364">
        <f t="shared" si="82"/>
        <v>70.65696831253031</v>
      </c>
      <c r="M204" s="1364">
        <f t="shared" si="82"/>
        <v>451.67450123482564</v>
      </c>
      <c r="N204" s="1367">
        <f t="shared" si="82"/>
        <v>56.385572682757136</v>
      </c>
      <c r="O204" s="1367">
        <f t="shared" si="82"/>
        <v>40.465117582349841</v>
      </c>
      <c r="P204" s="1367">
        <f t="shared" si="82"/>
        <v>1.0470275302440017</v>
      </c>
      <c r="Q204" s="1364">
        <f t="shared" si="82"/>
        <v>0</v>
      </c>
      <c r="R204" s="1358"/>
      <c r="S204" s="1320">
        <v>117</v>
      </c>
      <c r="V204" s="1321" t="s">
        <v>5228</v>
      </c>
      <c r="W204" s="1321">
        <v>117</v>
      </c>
    </row>
    <row r="205" spans="1:48">
      <c r="A205" s="1320" t="s">
        <v>4682</v>
      </c>
      <c r="B205" s="1321"/>
      <c r="C205" s="1322">
        <v>29</v>
      </c>
      <c r="D205" s="1320" t="s">
        <v>1953</v>
      </c>
      <c r="F205" s="1427">
        <f>SUM(F203:F204)</f>
        <v>5974.5332232361407</v>
      </c>
      <c r="G205" s="1427">
        <f>SUM(G203:G204)</f>
        <v>387.07122340847206</v>
      </c>
      <c r="H205" s="1427">
        <f>SUM(H203:H204)</f>
        <v>5587.4619998276685</v>
      </c>
      <c r="I205" s="1323">
        <f>IF(F205=0,0,+H205/F205)</f>
        <v>0.93521314403222733</v>
      </c>
      <c r="J205" s="1421">
        <f t="shared" ref="J205:Q205" si="83">SUM(J203:J204)</f>
        <v>5587.4619998276685</v>
      </c>
      <c r="K205" s="1421">
        <f t="shared" si="83"/>
        <v>3240.800821095786</v>
      </c>
      <c r="L205" s="1421">
        <f t="shared" si="83"/>
        <v>267.33337922435857</v>
      </c>
      <c r="M205" s="1421">
        <f t="shared" si="83"/>
        <v>1708.9279883972783</v>
      </c>
      <c r="N205" s="1422">
        <f t="shared" si="83"/>
        <v>213.3370005079735</v>
      </c>
      <c r="O205" s="1422">
        <f>SUM(O203:O204)</f>
        <v>153.10134134473165</v>
      </c>
      <c r="P205" s="1422">
        <f>SUM(P203:P204)</f>
        <v>3.9614692575399513</v>
      </c>
      <c r="Q205" s="1421">
        <f t="shared" si="83"/>
        <v>0</v>
      </c>
      <c r="R205" s="1358"/>
      <c r="S205" s="1321"/>
      <c r="T205" s="1321"/>
      <c r="U205" s="1326"/>
      <c r="V205" s="1320" t="s">
        <v>5295</v>
      </c>
    </row>
    <row r="206" spans="1:48">
      <c r="A206" s="1320" t="s">
        <v>4682</v>
      </c>
      <c r="C206" s="1322">
        <v>30</v>
      </c>
      <c r="G206" s="1320"/>
      <c r="M206" s="1324"/>
      <c r="P206" s="1325"/>
    </row>
    <row r="207" spans="1:48">
      <c r="A207" s="1320" t="s">
        <v>4682</v>
      </c>
      <c r="C207" s="1322">
        <v>31</v>
      </c>
      <c r="D207" s="1320" t="s">
        <v>5296</v>
      </c>
      <c r="F207" s="1350">
        <f>F198+F200+F205</f>
        <v>11539.593208993288</v>
      </c>
      <c r="G207" s="1350">
        <f>G198+G200+G205</f>
        <v>525.06795242241958</v>
      </c>
      <c r="H207" s="1350">
        <f>H198+H200+H205</f>
        <v>11014.525256570869</v>
      </c>
      <c r="I207" s="1323">
        <f>IF(F207=0,0,+H207/F207)</f>
        <v>0.95449857348409717</v>
      </c>
      <c r="J207" s="1366">
        <f t="shared" ref="J207:Q207" si="84">J198+J200+J205</f>
        <v>11014.525256570869</v>
      </c>
      <c r="K207" s="1366">
        <f t="shared" si="84"/>
        <v>6388.5682795831272</v>
      </c>
      <c r="L207" s="1366">
        <f t="shared" si="84"/>
        <v>526.99244441965834</v>
      </c>
      <c r="M207" s="1366">
        <f t="shared" si="84"/>
        <v>3368.7979426872562</v>
      </c>
      <c r="N207" s="1366">
        <f t="shared" si="84"/>
        <v>420.54975592292533</v>
      </c>
      <c r="O207" s="1366">
        <f>O198+O200+O205</f>
        <v>301.80761696606362</v>
      </c>
      <c r="P207" s="1366">
        <f>P198+P200+P205</f>
        <v>7.8092169918379071</v>
      </c>
      <c r="Q207" s="1366">
        <f t="shared" si="84"/>
        <v>0</v>
      </c>
      <c r="V207" s="1320" t="s">
        <v>5297</v>
      </c>
    </row>
    <row r="208" spans="1:48">
      <c r="G208" s="1320"/>
    </row>
    <row r="209" spans="1:23">
      <c r="G209" s="1320"/>
    </row>
    <row r="210" spans="1:23">
      <c r="G210" s="1320"/>
    </row>
    <row r="211" spans="1:23">
      <c r="G211" s="1320"/>
    </row>
    <row r="212" spans="1:23">
      <c r="G212" s="1320"/>
    </row>
    <row r="213" spans="1:23">
      <c r="C213" s="1340" t="str">
        <f>+C$2</f>
        <v>RATES WITH REVENUE DEFICIENCY ADDITION</v>
      </c>
      <c r="F213" s="1333"/>
      <c r="G213" s="1327" t="s">
        <v>2173</v>
      </c>
      <c r="I213" s="1334" t="s">
        <v>4875</v>
      </c>
      <c r="L213" s="1329" t="s">
        <v>2173</v>
      </c>
      <c r="M213" s="1330"/>
      <c r="N213" s="1330"/>
      <c r="O213" s="1330"/>
      <c r="S213" s="1334" t="s">
        <v>4882</v>
      </c>
      <c r="T213" s="1333" t="s">
        <v>2173</v>
      </c>
      <c r="U213" s="1334"/>
      <c r="V213" s="1332" t="s">
        <v>4772</v>
      </c>
    </row>
    <row r="214" spans="1:23">
      <c r="C214" s="1340" t="str">
        <f>+C$3</f>
        <v>PROD. CAP. ALLOC. METHOD: 12 CP &amp; 1/13th AD</v>
      </c>
      <c r="G214" s="1336" t="s">
        <v>4768</v>
      </c>
      <c r="I214" s="1335" t="s">
        <v>5276</v>
      </c>
      <c r="L214" s="1336" t="s">
        <v>5141</v>
      </c>
      <c r="M214" s="1337"/>
      <c r="N214" s="1337"/>
      <c r="O214" s="1337"/>
      <c r="R214" s="1331"/>
      <c r="S214" s="1335" t="s">
        <v>5298</v>
      </c>
      <c r="T214" s="1333" t="s">
        <v>5141</v>
      </c>
      <c r="V214" s="1332" t="s">
        <v>4882</v>
      </c>
    </row>
    <row r="215" spans="1:23">
      <c r="C215" s="1340" t="str">
        <f>+C$4</f>
        <v>PROJECTED CALENDAR YEAR 2025; FULLY ADJUSTED DATA</v>
      </c>
      <c r="G215" s="1336" t="s">
        <v>2181</v>
      </c>
      <c r="L215" s="1336" t="s">
        <v>2181</v>
      </c>
      <c r="T215" s="1339"/>
    </row>
    <row r="216" spans="1:23">
      <c r="C216" s="1340" t="str">
        <f>+C$5</f>
        <v>MINIMUM DISTRIBUTION SYSTEM (MDS) NOT EMPLOYED</v>
      </c>
      <c r="D216" s="1358"/>
      <c r="G216" s="1320"/>
      <c r="L216" s="1336"/>
      <c r="M216" s="1337"/>
      <c r="N216" s="1337"/>
      <c r="O216" s="1337"/>
      <c r="T216" s="1333"/>
    </row>
    <row r="217" spans="1:23">
      <c r="C217" s="1340" t="str">
        <f>+C$6</f>
        <v>Tampa Electric 2025 OB Budget</v>
      </c>
      <c r="F217" s="1327"/>
      <c r="G217" s="1333" t="s">
        <v>5277</v>
      </c>
      <c r="L217" s="1336" t="s">
        <v>5277</v>
      </c>
      <c r="M217" s="1337"/>
      <c r="N217" s="1337"/>
      <c r="O217" s="1337"/>
      <c r="T217" s="1333" t="s">
        <v>5277</v>
      </c>
    </row>
    <row r="218" spans="1:23" ht="10.5" customHeight="1">
      <c r="F218" s="1333"/>
      <c r="G218" s="1320"/>
      <c r="L218" s="1336"/>
      <c r="M218" s="1337"/>
      <c r="N218" s="1337"/>
      <c r="O218" s="1337"/>
    </row>
    <row r="219" spans="1:23" ht="10.5" customHeight="1">
      <c r="F219" s="1333"/>
      <c r="G219" s="1320"/>
      <c r="L219" s="1336"/>
      <c r="M219" s="1337"/>
      <c r="N219" s="1337"/>
      <c r="O219" s="1337"/>
    </row>
    <row r="220" spans="1:23" ht="10.5" customHeight="1">
      <c r="G220" s="1320"/>
    </row>
    <row r="221" spans="1:23" ht="10.5" customHeight="1">
      <c r="C221" s="1342"/>
      <c r="D221" s="1331"/>
      <c r="E221" s="1331"/>
      <c r="F221" s="1333"/>
      <c r="G221" s="1333"/>
      <c r="H221" s="1333"/>
      <c r="I221" s="1343"/>
      <c r="J221" s="1416"/>
      <c r="K221" s="1336"/>
      <c r="L221" s="1416"/>
      <c r="M221" s="1417"/>
      <c r="N221" s="1417"/>
      <c r="O221" s="1417"/>
      <c r="P221" s="3164"/>
      <c r="Q221" s="3164"/>
      <c r="R221" s="1333"/>
    </row>
    <row r="222" spans="1:23" ht="30" customHeight="1">
      <c r="A222" s="1418" t="s">
        <v>4683</v>
      </c>
      <c r="B222" s="1425" t="s">
        <v>5143</v>
      </c>
      <c r="C222" s="1349" t="s">
        <v>4297</v>
      </c>
      <c r="D222" s="1418"/>
      <c r="E222" s="1418"/>
      <c r="F222" s="1348" t="s">
        <v>5144</v>
      </c>
      <c r="G222" s="1348" t="s">
        <v>4956</v>
      </c>
      <c r="H222" s="1348" t="s">
        <v>4957</v>
      </c>
      <c r="I222" s="1426" t="s">
        <v>5145</v>
      </c>
      <c r="J222" s="1352" t="s">
        <v>4957</v>
      </c>
      <c r="K222" s="1353" t="s">
        <v>1949</v>
      </c>
      <c r="L222" s="1353" t="s">
        <v>1950</v>
      </c>
      <c r="M222" s="1354" t="s">
        <v>1934</v>
      </c>
      <c r="N222" s="1354" t="s">
        <v>1971</v>
      </c>
      <c r="O222" s="1354" t="s">
        <v>1972</v>
      </c>
      <c r="P222" s="1352" t="s">
        <v>5146</v>
      </c>
      <c r="Q222" s="1352" t="s">
        <v>5147</v>
      </c>
      <c r="R222" s="1355"/>
      <c r="S222" s="1348" t="s">
        <v>5299</v>
      </c>
      <c r="T222" s="1348"/>
      <c r="U222" s="1352"/>
      <c r="V222" s="1355" t="s">
        <v>4774</v>
      </c>
      <c r="W222" s="1350"/>
    </row>
    <row r="223" spans="1:23">
      <c r="G223" s="1320"/>
    </row>
    <row r="224" spans="1:23">
      <c r="A224" s="1320" t="s">
        <v>4682</v>
      </c>
      <c r="B224" s="1321"/>
      <c r="C224" s="1322">
        <v>32</v>
      </c>
      <c r="D224" s="1356" t="s">
        <v>5300</v>
      </c>
      <c r="G224" s="1320"/>
      <c r="Q224" s="1387"/>
      <c r="R224" s="1392"/>
      <c r="S224" s="1321"/>
      <c r="T224" s="1321"/>
      <c r="U224" s="1326"/>
    </row>
    <row r="225" spans="1:23">
      <c r="A225" s="1320" t="s">
        <v>4682</v>
      </c>
      <c r="B225" s="1320">
        <v>105</v>
      </c>
      <c r="C225" s="1322">
        <v>33</v>
      </c>
      <c r="D225" s="1320" t="s">
        <v>5293</v>
      </c>
      <c r="E225" s="1320" t="s">
        <v>4067</v>
      </c>
      <c r="F225" s="1350">
        <f>+'0 MDS Allocation Assignment'!F51</f>
        <v>5220.568238843096</v>
      </c>
      <c r="G225" s="1428">
        <f>+$F225*G$1936</f>
        <v>0</v>
      </c>
      <c r="H225" s="1350">
        <f>+$F225*H$1936</f>
        <v>5220.568238843096</v>
      </c>
      <c r="I225" s="1323">
        <f>IF(F225=0,0,+H225/F225)</f>
        <v>1</v>
      </c>
      <c r="J225" s="1366">
        <f>+H225</f>
        <v>5220.568238843096</v>
      </c>
      <c r="K225" s="1366">
        <f t="shared" ref="K225:Q225" si="85">+$J225*K$1936</f>
        <v>3249.365263996478</v>
      </c>
      <c r="L225" s="1366">
        <f t="shared" si="85"/>
        <v>231.10300717647175</v>
      </c>
      <c r="M225" s="1366">
        <f t="shared" si="85"/>
        <v>1547.378927732412</v>
      </c>
      <c r="N225" s="1378">
        <f t="shared" si="85"/>
        <v>162.75315145748436</v>
      </c>
      <c r="O225" s="1378">
        <f t="shared" si="85"/>
        <v>1.1112468119719821E-4</v>
      </c>
      <c r="P225" s="1378">
        <f t="shared" si="85"/>
        <v>29.967777355569982</v>
      </c>
      <c r="Q225" s="1366">
        <f t="shared" si="85"/>
        <v>0</v>
      </c>
      <c r="R225" s="1358"/>
      <c r="S225" s="1320">
        <v>105</v>
      </c>
      <c r="V225" s="1321" t="s">
        <v>5229</v>
      </c>
      <c r="W225" s="1321">
        <v>105</v>
      </c>
    </row>
    <row r="226" spans="1:23">
      <c r="A226" s="1320" t="s">
        <v>4682</v>
      </c>
      <c r="B226" s="1321"/>
      <c r="C226" s="1322">
        <v>34</v>
      </c>
      <c r="G226" s="1320"/>
      <c r="M226" s="1324"/>
      <c r="P226" s="1325"/>
      <c r="S226" s="1321"/>
      <c r="T226" s="1321"/>
      <c r="U226" s="1326"/>
    </row>
    <row r="227" spans="1:23" s="1324" customFormat="1">
      <c r="A227" s="1324" t="s">
        <v>4682</v>
      </c>
      <c r="B227" s="1324">
        <v>310</v>
      </c>
      <c r="C227" s="1393">
        <v>35</v>
      </c>
      <c r="D227" s="1324" t="s">
        <v>5301</v>
      </c>
      <c r="E227" s="1324" t="s">
        <v>4071</v>
      </c>
      <c r="F227" s="1324">
        <f>+'0 MDS Allocation Assignment'!F52</f>
        <v>1266.574296933371</v>
      </c>
      <c r="G227" s="1429">
        <f>+$F227*G$1994</f>
        <v>0</v>
      </c>
      <c r="H227" s="1429">
        <f>+$F227*H$1994</f>
        <v>1266.574296933371</v>
      </c>
      <c r="I227" s="1374">
        <f t="shared" ref="I227:I232" si="86">IF(F227=0,0,+H227/F227)</f>
        <v>1</v>
      </c>
      <c r="J227" s="1364">
        <f>+H227</f>
        <v>1266.574296933371</v>
      </c>
      <c r="K227" s="1364">
        <f t="shared" ref="K227:Q227" si="87">+$J227*K$1994</f>
        <v>0</v>
      </c>
      <c r="L227" s="1364">
        <f t="shared" si="87"/>
        <v>0</v>
      </c>
      <c r="M227" s="1364">
        <f t="shared" si="87"/>
        <v>0</v>
      </c>
      <c r="N227" s="1367">
        <f t="shared" si="87"/>
        <v>0</v>
      </c>
      <c r="O227" s="1367">
        <f t="shared" si="87"/>
        <v>0</v>
      </c>
      <c r="P227" s="1367">
        <f t="shared" si="87"/>
        <v>0</v>
      </c>
      <c r="Q227" s="1364">
        <f t="shared" si="87"/>
        <v>1266.574296933371</v>
      </c>
      <c r="R227" s="1364"/>
      <c r="S227" s="1324">
        <v>310</v>
      </c>
      <c r="V227" s="1326" t="s">
        <v>5302</v>
      </c>
      <c r="W227" s="1326">
        <v>310</v>
      </c>
    </row>
    <row r="228" spans="1:23" s="1324" customFormat="1">
      <c r="A228" s="1324" t="s">
        <v>4682</v>
      </c>
      <c r="B228" s="1324">
        <v>105</v>
      </c>
      <c r="C228" s="1393">
        <v>36</v>
      </c>
      <c r="D228" s="1324" t="s">
        <v>5303</v>
      </c>
      <c r="E228" s="1324" t="s">
        <v>4067</v>
      </c>
      <c r="F228" s="1324">
        <f>+'0 MDS Allocation Assignment'!F53</f>
        <v>19118.91188561554</v>
      </c>
      <c r="G228" s="1364">
        <f>+$F228*G$1936</f>
        <v>0</v>
      </c>
      <c r="H228" s="1364">
        <f>+$F228*H$1936</f>
        <v>19118.91188561554</v>
      </c>
      <c r="I228" s="1374">
        <f t="shared" si="86"/>
        <v>1</v>
      </c>
      <c r="J228" s="1364">
        <f>+H228</f>
        <v>19118.91188561554</v>
      </c>
      <c r="K228" s="1364">
        <f t="shared" ref="K228:Q228" si="88">+$J228*K$1936</f>
        <v>11899.916891096054</v>
      </c>
      <c r="L228" s="1364">
        <f t="shared" si="88"/>
        <v>846.35193499297827</v>
      </c>
      <c r="M228" s="1364">
        <f t="shared" si="88"/>
        <v>5666.8546448365641</v>
      </c>
      <c r="N228" s="1367">
        <f t="shared" si="88"/>
        <v>596.03917034737287</v>
      </c>
      <c r="O228" s="1367">
        <f t="shared" si="88"/>
        <v>4.0696393398684293E-4</v>
      </c>
      <c r="P228" s="1367">
        <f t="shared" si="88"/>
        <v>109.74883737864062</v>
      </c>
      <c r="Q228" s="1364">
        <f t="shared" si="88"/>
        <v>0</v>
      </c>
      <c r="R228" s="1364"/>
      <c r="S228" s="1324">
        <v>105</v>
      </c>
      <c r="V228" s="1326" t="s">
        <v>5229</v>
      </c>
      <c r="W228" s="1326">
        <v>105</v>
      </c>
    </row>
    <row r="229" spans="1:23" s="1324" customFormat="1">
      <c r="A229" s="1324" t="s">
        <v>4682</v>
      </c>
      <c r="B229" s="1324">
        <v>418</v>
      </c>
      <c r="C229" s="1393">
        <v>37</v>
      </c>
      <c r="D229" s="1324" t="s">
        <v>5304</v>
      </c>
      <c r="E229" s="1324" t="s">
        <v>4071</v>
      </c>
      <c r="F229" s="1324">
        <f>+'0 MDS Allocation Assignment'!F54</f>
        <v>0</v>
      </c>
      <c r="G229" s="1364">
        <f>+$F229*G$2021</f>
        <v>0</v>
      </c>
      <c r="H229" s="1364">
        <f>+$F229*H$1936</f>
        <v>0</v>
      </c>
      <c r="I229" s="1374">
        <f t="shared" si="86"/>
        <v>0</v>
      </c>
      <c r="J229" s="1364">
        <f>+H229</f>
        <v>0</v>
      </c>
      <c r="K229" s="1364">
        <f t="shared" ref="K229:Q229" si="89">+$J229*K$2021</f>
        <v>0</v>
      </c>
      <c r="L229" s="1364">
        <f t="shared" si="89"/>
        <v>0</v>
      </c>
      <c r="M229" s="1364">
        <f t="shared" si="89"/>
        <v>0</v>
      </c>
      <c r="N229" s="1367">
        <f t="shared" si="89"/>
        <v>0</v>
      </c>
      <c r="O229" s="1367">
        <f t="shared" si="89"/>
        <v>0</v>
      </c>
      <c r="P229" s="1367">
        <f t="shared" si="89"/>
        <v>0</v>
      </c>
      <c r="Q229" s="1364">
        <f t="shared" si="89"/>
        <v>0</v>
      </c>
      <c r="R229" s="1364"/>
      <c r="S229" s="1324">
        <v>418</v>
      </c>
      <c r="V229" s="1326" t="s">
        <v>5305</v>
      </c>
      <c r="W229" s="1326">
        <v>418</v>
      </c>
    </row>
    <row r="230" spans="1:23" s="1324" customFormat="1">
      <c r="A230" s="1324" t="s">
        <v>4682</v>
      </c>
      <c r="B230" s="1324">
        <v>106</v>
      </c>
      <c r="C230" s="1393">
        <v>38</v>
      </c>
      <c r="D230" s="1324" t="s">
        <v>5306</v>
      </c>
      <c r="E230" s="1324" t="s">
        <v>4067</v>
      </c>
      <c r="F230" s="1324">
        <f>+'0 MDS Allocation Assignment'!F55</f>
        <v>4451.4385317619144</v>
      </c>
      <c r="G230" s="1364">
        <f>+$F230*G$1939</f>
        <v>0</v>
      </c>
      <c r="H230" s="1364">
        <f>+$F230*H$1939</f>
        <v>4451.4385317619144</v>
      </c>
      <c r="I230" s="1374">
        <f t="shared" si="86"/>
        <v>1</v>
      </c>
      <c r="J230" s="1364">
        <f>+H230</f>
        <v>4451.4385317619144</v>
      </c>
      <c r="K230" s="1364">
        <f t="shared" ref="K230:Q230" si="90">+$J230*K$1939</f>
        <v>3247.9176133756455</v>
      </c>
      <c r="L230" s="1364">
        <f t="shared" si="90"/>
        <v>261.52182680971038</v>
      </c>
      <c r="M230" s="1364">
        <f t="shared" si="90"/>
        <v>925.89633227387264</v>
      </c>
      <c r="N230" s="1367">
        <f t="shared" si="90"/>
        <v>0</v>
      </c>
      <c r="O230" s="1367">
        <f t="shared" si="90"/>
        <v>0</v>
      </c>
      <c r="P230" s="1367">
        <f t="shared" si="90"/>
        <v>16.102759302685794</v>
      </c>
      <c r="Q230" s="1364">
        <f t="shared" si="90"/>
        <v>0</v>
      </c>
      <c r="R230" s="1364"/>
      <c r="S230" s="1324">
        <v>106</v>
      </c>
      <c r="V230" s="1326" t="s">
        <v>5230</v>
      </c>
      <c r="W230" s="1326">
        <v>106</v>
      </c>
    </row>
    <row r="231" spans="1:23" s="1324" customFormat="1">
      <c r="A231" s="1324" t="s">
        <v>4682</v>
      </c>
      <c r="B231" s="1324">
        <v>420</v>
      </c>
      <c r="C231" s="1393">
        <v>39</v>
      </c>
      <c r="D231" s="1324" t="s">
        <v>5307</v>
      </c>
      <c r="E231" s="1324" t="s">
        <v>4071</v>
      </c>
      <c r="F231" s="1324">
        <f>+'0 MDS Allocation Assignment'!F56</f>
        <v>0</v>
      </c>
      <c r="G231" s="1366">
        <f>+$F231*G$2024</f>
        <v>0</v>
      </c>
      <c r="H231" s="1366">
        <f>+$F231*H$2024</f>
        <v>0</v>
      </c>
      <c r="I231" s="1374">
        <f t="shared" si="86"/>
        <v>0</v>
      </c>
      <c r="J231" s="1364">
        <f>+H231</f>
        <v>0</v>
      </c>
      <c r="K231" s="1364">
        <f t="shared" ref="K231:Q231" si="91">+$J231*K$2024</f>
        <v>0</v>
      </c>
      <c r="L231" s="1364">
        <f t="shared" si="91"/>
        <v>0</v>
      </c>
      <c r="M231" s="1364">
        <f t="shared" si="91"/>
        <v>0</v>
      </c>
      <c r="N231" s="1367">
        <f t="shared" si="91"/>
        <v>0</v>
      </c>
      <c r="O231" s="1367">
        <f t="shared" si="91"/>
        <v>0</v>
      </c>
      <c r="P231" s="1367">
        <f t="shared" si="91"/>
        <v>0</v>
      </c>
      <c r="Q231" s="1364">
        <f t="shared" si="91"/>
        <v>0</v>
      </c>
      <c r="R231" s="1364"/>
      <c r="S231" s="1324">
        <v>420</v>
      </c>
      <c r="V231" s="1326" t="s">
        <v>5225</v>
      </c>
      <c r="W231" s="1326">
        <v>420</v>
      </c>
    </row>
    <row r="232" spans="1:23" s="1324" customFormat="1">
      <c r="A232" s="1324" t="s">
        <v>4682</v>
      </c>
      <c r="B232" s="1326"/>
      <c r="C232" s="1393">
        <v>40</v>
      </c>
      <c r="D232" s="1324" t="s">
        <v>5308</v>
      </c>
      <c r="F232" s="1421">
        <f>SUM(F227:F231)</f>
        <v>24836.924714310822</v>
      </c>
      <c r="G232" s="1366">
        <f>SUM(G227:G231)</f>
        <v>0</v>
      </c>
      <c r="H232" s="1366">
        <f>SUM(H227:H231)</f>
        <v>24836.924714310822</v>
      </c>
      <c r="I232" s="1374">
        <f t="shared" si="86"/>
        <v>1</v>
      </c>
      <c r="J232" s="1421">
        <f>SUM(J227:J231)</f>
        <v>24836.924714310822</v>
      </c>
      <c r="K232" s="1421">
        <f t="shared" ref="K232:Q232" si="92">SUM(K227:K231)</f>
        <v>15147.834504471699</v>
      </c>
      <c r="L232" s="1421">
        <f t="shared" si="92"/>
        <v>1107.8737618026887</v>
      </c>
      <c r="M232" s="1421">
        <f>SUM(M227:M231)</f>
        <v>6592.7509771104369</v>
      </c>
      <c r="N232" s="1421">
        <f t="shared" si="92"/>
        <v>596.03917034737287</v>
      </c>
      <c r="O232" s="1421">
        <f>SUM(O227:O231)</f>
        <v>4.0696393398684293E-4</v>
      </c>
      <c r="P232" s="1421">
        <f>SUM(P227:P231)</f>
        <v>125.85159668132641</v>
      </c>
      <c r="Q232" s="1421">
        <f t="shared" si="92"/>
        <v>1266.574296933371</v>
      </c>
      <c r="R232" s="1364"/>
      <c r="S232" s="1326"/>
      <c r="T232" s="1326"/>
      <c r="U232" s="1326"/>
      <c r="V232" s="1324" t="s">
        <v>5309</v>
      </c>
    </row>
    <row r="233" spans="1:23" s="1324" customFormat="1">
      <c r="A233" s="1324" t="s">
        <v>4682</v>
      </c>
      <c r="B233" s="1326"/>
      <c r="C233" s="1393">
        <v>41</v>
      </c>
      <c r="I233" s="1374"/>
      <c r="N233" s="1325"/>
      <c r="O233" s="1325"/>
      <c r="P233" s="1325"/>
      <c r="S233" s="1326"/>
      <c r="T233" s="1326"/>
      <c r="U233" s="1326"/>
    </row>
    <row r="234" spans="1:23" s="1324" customFormat="1">
      <c r="A234" s="1324" t="s">
        <v>4682</v>
      </c>
      <c r="B234" s="1324">
        <v>310</v>
      </c>
      <c r="C234" s="1393">
        <v>42</v>
      </c>
      <c r="D234" s="1324" t="s">
        <v>5310</v>
      </c>
      <c r="E234" s="1324" t="s">
        <v>4071</v>
      </c>
      <c r="F234" s="1324">
        <f>+'0 MDS Allocation Assignment'!F57</f>
        <v>3.1713748768343235</v>
      </c>
      <c r="G234" s="1429">
        <f>+$F234*G$1994</f>
        <v>0</v>
      </c>
      <c r="H234" s="1429">
        <f>+$F234*H$1994</f>
        <v>3.1713748768343235</v>
      </c>
      <c r="I234" s="1374">
        <f t="shared" ref="I234:I239" si="93">IF(F234=0,0,+H234/F234)</f>
        <v>1</v>
      </c>
      <c r="J234" s="1364">
        <f>+H234</f>
        <v>3.1713748768343235</v>
      </c>
      <c r="K234" s="1364">
        <f t="shared" ref="K234:Q234" si="94">+$J234*K$1994</f>
        <v>0</v>
      </c>
      <c r="L234" s="1364">
        <f t="shared" si="94"/>
        <v>0</v>
      </c>
      <c r="M234" s="1364">
        <f t="shared" si="94"/>
        <v>0</v>
      </c>
      <c r="N234" s="1367">
        <f t="shared" si="94"/>
        <v>0</v>
      </c>
      <c r="O234" s="1367">
        <f t="shared" si="94"/>
        <v>0</v>
      </c>
      <c r="P234" s="1367">
        <f t="shared" si="94"/>
        <v>0</v>
      </c>
      <c r="Q234" s="1364">
        <f t="shared" si="94"/>
        <v>3.1713748768343235</v>
      </c>
      <c r="R234" s="1364"/>
      <c r="S234" s="1324">
        <v>310</v>
      </c>
      <c r="V234" s="1326" t="s">
        <v>5302</v>
      </c>
      <c r="W234" s="1326">
        <v>310</v>
      </c>
    </row>
    <row r="235" spans="1:23" s="1324" customFormat="1">
      <c r="A235" s="1324" t="s">
        <v>4682</v>
      </c>
      <c r="B235" s="1324">
        <v>105</v>
      </c>
      <c r="C235" s="1393">
        <v>43</v>
      </c>
      <c r="D235" s="1324" t="s">
        <v>5311</v>
      </c>
      <c r="E235" s="1324" t="s">
        <v>4067</v>
      </c>
      <c r="F235" s="1324">
        <f>+'0 MDS Allocation Assignment'!F58</f>
        <v>6192.9745528379444</v>
      </c>
      <c r="G235" s="1364">
        <f>+$F235*G$1936</f>
        <v>0</v>
      </c>
      <c r="H235" s="1364">
        <f>+$F235*H$1936</f>
        <v>6192.9745528379444</v>
      </c>
      <c r="I235" s="1374">
        <f t="shared" si="93"/>
        <v>1</v>
      </c>
      <c r="J235" s="1364">
        <f>+H235</f>
        <v>6192.9745528379444</v>
      </c>
      <c r="K235" s="1364">
        <f t="shared" ref="K235:Q235" si="95">+$J235*K$1936</f>
        <v>3854.6065240716302</v>
      </c>
      <c r="L235" s="1364">
        <f t="shared" si="95"/>
        <v>274.14928357403846</v>
      </c>
      <c r="M235" s="1364">
        <f t="shared" si="95"/>
        <v>1835.6006251856033</v>
      </c>
      <c r="N235" s="1367">
        <f t="shared" si="95"/>
        <v>193.06827901817485</v>
      </c>
      <c r="O235" s="1367">
        <f t="shared" si="95"/>
        <v>1.3182325972219922E-4</v>
      </c>
      <c r="P235" s="1367">
        <f t="shared" si="95"/>
        <v>35.549709165239392</v>
      </c>
      <c r="Q235" s="1364">
        <f t="shared" si="95"/>
        <v>0</v>
      </c>
      <c r="R235" s="1364"/>
      <c r="S235" s="1324">
        <v>105</v>
      </c>
      <c r="V235" s="1326" t="s">
        <v>5229</v>
      </c>
      <c r="W235" s="1326">
        <v>105</v>
      </c>
    </row>
    <row r="236" spans="1:23" s="1324" customFormat="1">
      <c r="A236" s="1324" t="s">
        <v>4682</v>
      </c>
      <c r="B236" s="1324">
        <v>418</v>
      </c>
      <c r="C236" s="1393">
        <v>44</v>
      </c>
      <c r="D236" s="1324" t="s">
        <v>5312</v>
      </c>
      <c r="E236" s="1324" t="s">
        <v>4071</v>
      </c>
      <c r="F236" s="1324">
        <f>+'0 MDS Allocation Assignment'!F59</f>
        <v>0</v>
      </c>
      <c r="G236" s="1364">
        <f>+$F236*G$2021</f>
        <v>0</v>
      </c>
      <c r="H236" s="1364">
        <f>+$F236*H$1936</f>
        <v>0</v>
      </c>
      <c r="I236" s="1374">
        <f t="shared" si="93"/>
        <v>0</v>
      </c>
      <c r="J236" s="1364">
        <f>+H236</f>
        <v>0</v>
      </c>
      <c r="K236" s="1364">
        <f t="shared" ref="K236:Q236" si="96">+$J236*K$2021</f>
        <v>0</v>
      </c>
      <c r="L236" s="1364">
        <f t="shared" si="96"/>
        <v>0</v>
      </c>
      <c r="M236" s="1364">
        <f t="shared" si="96"/>
        <v>0</v>
      </c>
      <c r="N236" s="1367">
        <f t="shared" si="96"/>
        <v>0</v>
      </c>
      <c r="O236" s="1367">
        <f t="shared" si="96"/>
        <v>0</v>
      </c>
      <c r="P236" s="1367">
        <f t="shared" si="96"/>
        <v>0</v>
      </c>
      <c r="Q236" s="1364">
        <f t="shared" si="96"/>
        <v>0</v>
      </c>
      <c r="R236" s="1364"/>
      <c r="S236" s="1324">
        <v>418</v>
      </c>
      <c r="V236" s="1326" t="s">
        <v>5305</v>
      </c>
      <c r="W236" s="1326">
        <v>418</v>
      </c>
    </row>
    <row r="237" spans="1:23" s="1324" customFormat="1">
      <c r="A237" s="1324" t="s">
        <v>4682</v>
      </c>
      <c r="B237" s="1324">
        <v>106</v>
      </c>
      <c r="C237" s="1393">
        <v>45</v>
      </c>
      <c r="D237" s="1324" t="s">
        <v>5313</v>
      </c>
      <c r="E237" s="1324" t="s">
        <v>4067</v>
      </c>
      <c r="F237" s="1324">
        <f>+'0 MDS Allocation Assignment'!F60</f>
        <v>472.1914336836557</v>
      </c>
      <c r="G237" s="1364">
        <f>+$F237*G$1939</f>
        <v>0</v>
      </c>
      <c r="H237" s="1364">
        <f>+$F237*H$1939</f>
        <v>472.1914336836557</v>
      </c>
      <c r="I237" s="1374">
        <f t="shared" si="93"/>
        <v>1</v>
      </c>
      <c r="J237" s="1364">
        <f>+H237</f>
        <v>472.1914336836557</v>
      </c>
      <c r="K237" s="1364">
        <f t="shared" ref="K237:Q237" si="97">+$J237*K$1939</f>
        <v>344.52657571331599</v>
      </c>
      <c r="L237" s="1364">
        <f t="shared" si="97"/>
        <v>27.741226899963099</v>
      </c>
      <c r="M237" s="1364">
        <f t="shared" si="97"/>
        <v>98.215512459472521</v>
      </c>
      <c r="N237" s="1367">
        <f t="shared" si="97"/>
        <v>0</v>
      </c>
      <c r="O237" s="1367">
        <f t="shared" si="97"/>
        <v>0</v>
      </c>
      <c r="P237" s="1367">
        <f t="shared" si="97"/>
        <v>1.7081186109040736</v>
      </c>
      <c r="Q237" s="1364">
        <f t="shared" si="97"/>
        <v>0</v>
      </c>
      <c r="R237" s="1364"/>
      <c r="S237" s="1324">
        <v>106</v>
      </c>
      <c r="V237" s="1326" t="s">
        <v>5230</v>
      </c>
      <c r="W237" s="1326">
        <v>106</v>
      </c>
    </row>
    <row r="238" spans="1:23" s="1324" customFormat="1">
      <c r="A238" s="1324" t="s">
        <v>4682</v>
      </c>
      <c r="B238" s="1324">
        <v>420</v>
      </c>
      <c r="C238" s="1393">
        <v>46</v>
      </c>
      <c r="D238" s="1324" t="s">
        <v>5314</v>
      </c>
      <c r="E238" s="1324" t="s">
        <v>4071</v>
      </c>
      <c r="F238" s="1324">
        <f>+'0 MDS Allocation Assignment'!F61</f>
        <v>0</v>
      </c>
      <c r="G238" s="1366">
        <f>+$F238*G$2024</f>
        <v>0</v>
      </c>
      <c r="H238" s="1366">
        <f>+$F238*H$2024</f>
        <v>0</v>
      </c>
      <c r="I238" s="1374">
        <f t="shared" si="93"/>
        <v>0</v>
      </c>
      <c r="J238" s="1364">
        <f>+H238</f>
        <v>0</v>
      </c>
      <c r="K238" s="1364">
        <f t="shared" ref="K238:Q238" si="98">+$J238*K$2024</f>
        <v>0</v>
      </c>
      <c r="L238" s="1364">
        <f t="shared" si="98"/>
        <v>0</v>
      </c>
      <c r="M238" s="1364">
        <f t="shared" si="98"/>
        <v>0</v>
      </c>
      <c r="N238" s="1367">
        <f t="shared" si="98"/>
        <v>0</v>
      </c>
      <c r="O238" s="1367">
        <f t="shared" si="98"/>
        <v>0</v>
      </c>
      <c r="P238" s="1367">
        <f t="shared" si="98"/>
        <v>0</v>
      </c>
      <c r="Q238" s="1364">
        <f t="shared" si="98"/>
        <v>0</v>
      </c>
      <c r="R238" s="1364"/>
      <c r="S238" s="1324">
        <v>420</v>
      </c>
      <c r="V238" s="1326" t="s">
        <v>5225</v>
      </c>
      <c r="W238" s="1326">
        <v>420</v>
      </c>
    </row>
    <row r="239" spans="1:23" s="1324" customFormat="1">
      <c r="A239" s="1324" t="s">
        <v>4682</v>
      </c>
      <c r="B239" s="1326"/>
      <c r="C239" s="1393">
        <v>47</v>
      </c>
      <c r="D239" s="1324" t="s">
        <v>5315</v>
      </c>
      <c r="F239" s="1421">
        <f>+SUM(F234:F238)</f>
        <v>6668.337361398434</v>
      </c>
      <c r="G239" s="1366">
        <f>SUM(G234:G238)</f>
        <v>0</v>
      </c>
      <c r="H239" s="1366">
        <f>SUM(H234:H238)</f>
        <v>6668.337361398434</v>
      </c>
      <c r="I239" s="1374">
        <f t="shared" si="93"/>
        <v>1</v>
      </c>
      <c r="J239" s="1421">
        <f>SUM(J234:J238)</f>
        <v>6668.337361398434</v>
      </c>
      <c r="K239" s="1421">
        <f t="shared" ref="K239:Q239" si="99">SUM(K234:K238)</f>
        <v>4199.1330997849464</v>
      </c>
      <c r="L239" s="1421">
        <f t="shared" si="99"/>
        <v>301.89051047400159</v>
      </c>
      <c r="M239" s="1421">
        <f>SUM(M234:M238)</f>
        <v>1933.816137645076</v>
      </c>
      <c r="N239" s="1421">
        <f t="shared" si="99"/>
        <v>193.06827901817485</v>
      </c>
      <c r="O239" s="1421">
        <f>SUM(O234:O238)</f>
        <v>1.3182325972219922E-4</v>
      </c>
      <c r="P239" s="1421">
        <f>SUM(P234:P238)</f>
        <v>37.257827776143465</v>
      </c>
      <c r="Q239" s="1421">
        <f t="shared" si="99"/>
        <v>3.1713748768343235</v>
      </c>
      <c r="R239" s="1364"/>
      <c r="S239" s="1326"/>
      <c r="T239" s="1326"/>
      <c r="U239" s="1326"/>
      <c r="V239" s="1324" t="s">
        <v>5316</v>
      </c>
    </row>
    <row r="240" spans="1:23" s="1324" customFormat="1">
      <c r="A240" s="1324" t="s">
        <v>4682</v>
      </c>
      <c r="B240" s="1326"/>
      <c r="C240" s="1393">
        <v>48</v>
      </c>
      <c r="I240" s="1374"/>
      <c r="N240" s="1325"/>
      <c r="O240" s="1325"/>
      <c r="P240" s="1325"/>
      <c r="S240" s="1326"/>
      <c r="T240" s="1326"/>
      <c r="U240" s="1326"/>
    </row>
    <row r="241" spans="1:23" s="1324" customFormat="1">
      <c r="A241" s="1324" t="s">
        <v>4682</v>
      </c>
      <c r="B241" s="1324">
        <v>310</v>
      </c>
      <c r="C241" s="1393">
        <v>49</v>
      </c>
      <c r="D241" s="1324" t="s">
        <v>5317</v>
      </c>
      <c r="E241" s="1324" t="s">
        <v>4071</v>
      </c>
      <c r="F241" s="1324">
        <f>+'0 MDS Allocation Assignment'!F62</f>
        <v>0</v>
      </c>
      <c r="G241" s="1429">
        <f>+$F241*G$1994</f>
        <v>0</v>
      </c>
      <c r="H241" s="1429">
        <f>+$F241*H$1994</f>
        <v>0</v>
      </c>
      <c r="I241" s="1374">
        <f t="shared" ref="I241:I246" si="100">IF(F241=0,0,+H241/F241)</f>
        <v>0</v>
      </c>
      <c r="J241" s="1364">
        <f>+H241</f>
        <v>0</v>
      </c>
      <c r="K241" s="1364">
        <f t="shared" ref="K241:Q241" si="101">+$J241*K$1994</f>
        <v>0</v>
      </c>
      <c r="L241" s="1364">
        <f t="shared" si="101"/>
        <v>0</v>
      </c>
      <c r="M241" s="1364">
        <f t="shared" si="101"/>
        <v>0</v>
      </c>
      <c r="N241" s="1367">
        <f t="shared" si="101"/>
        <v>0</v>
      </c>
      <c r="O241" s="1367">
        <f t="shared" si="101"/>
        <v>0</v>
      </c>
      <c r="P241" s="1367">
        <f t="shared" si="101"/>
        <v>0</v>
      </c>
      <c r="Q241" s="1364">
        <f t="shared" si="101"/>
        <v>0</v>
      </c>
      <c r="R241" s="1364"/>
      <c r="S241" s="1324">
        <v>310</v>
      </c>
      <c r="V241" s="1326" t="s">
        <v>5302</v>
      </c>
      <c r="W241" s="1326">
        <v>310</v>
      </c>
    </row>
    <row r="242" spans="1:23" s="1324" customFormat="1">
      <c r="A242" s="1324" t="s">
        <v>4682</v>
      </c>
      <c r="B242" s="1324">
        <v>105</v>
      </c>
      <c r="C242" s="1393">
        <v>50</v>
      </c>
      <c r="D242" s="1324" t="s">
        <v>5318</v>
      </c>
      <c r="E242" s="1324" t="s">
        <v>4067</v>
      </c>
      <c r="F242" s="1324">
        <f>+'0 MDS Allocation Assignment'!F63</f>
        <v>50.038320483973791</v>
      </c>
      <c r="G242" s="1364">
        <f>+$F242*G$1936</f>
        <v>0</v>
      </c>
      <c r="H242" s="1364">
        <f>+$F242*H$1936</f>
        <v>50.038320483973791</v>
      </c>
      <c r="I242" s="1374">
        <f t="shared" si="100"/>
        <v>1</v>
      </c>
      <c r="J242" s="1364">
        <f>+H242</f>
        <v>50.038320483973791</v>
      </c>
      <c r="K242" s="1364">
        <f t="shared" ref="K242:Q242" si="102">+$J242*K$1936</f>
        <v>31.144651886664974</v>
      </c>
      <c r="L242" s="1364">
        <f t="shared" si="102"/>
        <v>2.215085754816037</v>
      </c>
      <c r="M242" s="1364">
        <f t="shared" si="102"/>
        <v>14.83138217022533</v>
      </c>
      <c r="N242" s="1367">
        <f t="shared" si="102"/>
        <v>1.559963203203155</v>
      </c>
      <c r="O242" s="1367">
        <f t="shared" si="102"/>
        <v>1.0651124852755594E-6</v>
      </c>
      <c r="P242" s="1367">
        <f t="shared" si="102"/>
        <v>0.28723640395182121</v>
      </c>
      <c r="Q242" s="1364">
        <f t="shared" si="102"/>
        <v>0</v>
      </c>
      <c r="R242" s="1364"/>
      <c r="S242" s="1324">
        <v>105</v>
      </c>
      <c r="V242" s="1326" t="s">
        <v>5229</v>
      </c>
      <c r="W242" s="1326">
        <v>105</v>
      </c>
    </row>
    <row r="243" spans="1:23" s="1324" customFormat="1">
      <c r="A243" s="1324" t="s">
        <v>4682</v>
      </c>
      <c r="B243" s="1324">
        <v>418</v>
      </c>
      <c r="C243" s="1393">
        <v>51</v>
      </c>
      <c r="D243" s="1324" t="s">
        <v>5319</v>
      </c>
      <c r="E243" s="1324" t="s">
        <v>4071</v>
      </c>
      <c r="F243" s="1324">
        <f>+'0 MDS Allocation Assignment'!F64</f>
        <v>0</v>
      </c>
      <c r="G243" s="1364">
        <f>+$F243*G$2021</f>
        <v>0</v>
      </c>
      <c r="H243" s="1364">
        <f>+$F243*H$1936</f>
        <v>0</v>
      </c>
      <c r="I243" s="1374">
        <f t="shared" si="100"/>
        <v>0</v>
      </c>
      <c r="J243" s="1364">
        <f>+H243</f>
        <v>0</v>
      </c>
      <c r="K243" s="1364">
        <f t="shared" ref="K243:Q243" si="103">+$J243*K$2021</f>
        <v>0</v>
      </c>
      <c r="L243" s="1364">
        <f t="shared" si="103"/>
        <v>0</v>
      </c>
      <c r="M243" s="1364">
        <f t="shared" si="103"/>
        <v>0</v>
      </c>
      <c r="N243" s="1367">
        <f t="shared" si="103"/>
        <v>0</v>
      </c>
      <c r="O243" s="1367">
        <f t="shared" si="103"/>
        <v>0</v>
      </c>
      <c r="P243" s="1367">
        <f t="shared" si="103"/>
        <v>0</v>
      </c>
      <c r="Q243" s="1364">
        <f t="shared" si="103"/>
        <v>0</v>
      </c>
      <c r="R243" s="1364"/>
      <c r="S243" s="1324">
        <v>418</v>
      </c>
      <c r="V243" s="1326" t="s">
        <v>5305</v>
      </c>
      <c r="W243" s="1326">
        <v>418</v>
      </c>
    </row>
    <row r="244" spans="1:23" s="1324" customFormat="1">
      <c r="A244" s="1324" t="s">
        <v>4682</v>
      </c>
      <c r="B244" s="1324">
        <v>106</v>
      </c>
      <c r="C244" s="1393">
        <v>52</v>
      </c>
      <c r="D244" s="1324" t="s">
        <v>5320</v>
      </c>
      <c r="E244" s="1324" t="s">
        <v>4067</v>
      </c>
      <c r="F244" s="1324">
        <f>+'0 MDS Allocation Assignment'!F65</f>
        <v>254.20882089235909</v>
      </c>
      <c r="G244" s="1364">
        <f>+$F244*G$1939</f>
        <v>0</v>
      </c>
      <c r="H244" s="1364">
        <f>+$F244*H$1939</f>
        <v>254.20882089235909</v>
      </c>
      <c r="I244" s="1374">
        <f t="shared" si="100"/>
        <v>1</v>
      </c>
      <c r="J244" s="1364">
        <f>+H244</f>
        <v>254.20882089235909</v>
      </c>
      <c r="K244" s="1364">
        <f t="shared" ref="K244:Q244" si="104">+$J244*K$1939</f>
        <v>185.47921103719011</v>
      </c>
      <c r="L244" s="1364">
        <f t="shared" si="104"/>
        <v>14.934757552318365</v>
      </c>
      <c r="M244" s="1364">
        <f t="shared" si="104"/>
        <v>52.875270143905453</v>
      </c>
      <c r="N244" s="1367">
        <f t="shared" si="104"/>
        <v>0</v>
      </c>
      <c r="O244" s="1367">
        <f t="shared" si="104"/>
        <v>0</v>
      </c>
      <c r="P244" s="1367">
        <f t="shared" si="104"/>
        <v>0.91958215894514383</v>
      </c>
      <c r="Q244" s="1364">
        <f t="shared" si="104"/>
        <v>0</v>
      </c>
      <c r="R244" s="1364"/>
      <c r="S244" s="1324">
        <v>106</v>
      </c>
      <c r="V244" s="1326" t="s">
        <v>5230</v>
      </c>
      <c r="W244" s="1326">
        <v>106</v>
      </c>
    </row>
    <row r="245" spans="1:23" s="1324" customFormat="1">
      <c r="A245" s="1324" t="s">
        <v>4682</v>
      </c>
      <c r="B245" s="1324">
        <v>420</v>
      </c>
      <c r="C245" s="1393">
        <v>53</v>
      </c>
      <c r="D245" s="1324" t="s">
        <v>5321</v>
      </c>
      <c r="E245" s="1324" t="s">
        <v>4071</v>
      </c>
      <c r="F245" s="1324">
        <f>+'0 MDS Allocation Assignment'!F66</f>
        <v>0</v>
      </c>
      <c r="G245" s="1364">
        <f>+$F245*G$2024</f>
        <v>0</v>
      </c>
      <c r="H245" s="1364">
        <f>+$F245*H$2024</f>
        <v>0</v>
      </c>
      <c r="I245" s="1374">
        <f t="shared" si="100"/>
        <v>0</v>
      </c>
      <c r="J245" s="1364">
        <f>+H245</f>
        <v>0</v>
      </c>
      <c r="K245" s="1364">
        <f t="shared" ref="K245:Q245" si="105">+$J245*K$2024</f>
        <v>0</v>
      </c>
      <c r="L245" s="1364">
        <f t="shared" si="105"/>
        <v>0</v>
      </c>
      <c r="M245" s="1364">
        <f t="shared" si="105"/>
        <v>0</v>
      </c>
      <c r="N245" s="1367">
        <f t="shared" si="105"/>
        <v>0</v>
      </c>
      <c r="O245" s="1367">
        <f t="shared" si="105"/>
        <v>0</v>
      </c>
      <c r="P245" s="1367">
        <f t="shared" si="105"/>
        <v>0</v>
      </c>
      <c r="Q245" s="1364">
        <f t="shared" si="105"/>
        <v>0</v>
      </c>
      <c r="R245" s="1364"/>
      <c r="S245" s="1324">
        <v>420</v>
      </c>
      <c r="V245" s="1326" t="s">
        <v>5225</v>
      </c>
      <c r="W245" s="1326">
        <v>420</v>
      </c>
    </row>
    <row r="246" spans="1:23" s="1324" customFormat="1">
      <c r="A246" s="1324" t="s">
        <v>4682</v>
      </c>
      <c r="B246" s="1326"/>
      <c r="C246" s="1393">
        <v>54</v>
      </c>
      <c r="D246" s="1324" t="s">
        <v>5322</v>
      </c>
      <c r="F246" s="1421">
        <f>+SUM(F241:F245)</f>
        <v>304.24714137633288</v>
      </c>
      <c r="G246" s="1421">
        <f>SUM(G241:G245)</f>
        <v>0</v>
      </c>
      <c r="H246" s="1421">
        <f>SUM(H241:H245)</f>
        <v>304.24714137633288</v>
      </c>
      <c r="I246" s="1374">
        <f t="shared" si="100"/>
        <v>1</v>
      </c>
      <c r="J246" s="1421">
        <f>SUM(J241:J245)</f>
        <v>304.24714137633288</v>
      </c>
      <c r="K246" s="1421">
        <f t="shared" ref="K246:Q246" si="106">SUM(K241:K245)</f>
        <v>216.62386292385509</v>
      </c>
      <c r="L246" s="1421">
        <f t="shared" si="106"/>
        <v>17.1498433071344</v>
      </c>
      <c r="M246" s="1421">
        <f>SUM(M241:M245)</f>
        <v>67.706652314130778</v>
      </c>
      <c r="N246" s="1421">
        <f t="shared" si="106"/>
        <v>1.559963203203155</v>
      </c>
      <c r="O246" s="1421">
        <f t="shared" si="106"/>
        <v>1.0651124852755594E-6</v>
      </c>
      <c r="P246" s="1421">
        <f t="shared" si="106"/>
        <v>1.206818562896965</v>
      </c>
      <c r="Q246" s="1421">
        <f t="shared" si="106"/>
        <v>0</v>
      </c>
      <c r="R246" s="1364"/>
      <c r="S246" s="1326"/>
      <c r="T246" s="1326"/>
      <c r="U246" s="1326"/>
      <c r="V246" s="1324" t="s">
        <v>5323</v>
      </c>
    </row>
    <row r="247" spans="1:23" s="1324" customFormat="1">
      <c r="A247" s="1324" t="s">
        <v>4682</v>
      </c>
      <c r="B247" s="1326"/>
      <c r="C247" s="1393">
        <v>55</v>
      </c>
      <c r="I247" s="1374"/>
      <c r="N247" s="1325"/>
      <c r="O247" s="1325"/>
      <c r="P247" s="1325"/>
      <c r="S247" s="1326"/>
      <c r="T247" s="1326"/>
      <c r="U247" s="1326"/>
    </row>
    <row r="248" spans="1:23" s="1324" customFormat="1">
      <c r="A248" s="1324" t="s">
        <v>4682</v>
      </c>
      <c r="B248" s="1324">
        <v>420</v>
      </c>
      <c r="C248" s="1393">
        <v>56</v>
      </c>
      <c r="D248" s="1324" t="s">
        <v>5324</v>
      </c>
      <c r="E248" s="1324" t="s">
        <v>4071</v>
      </c>
      <c r="F248" s="1364">
        <f>+'0 MDS Allocation Assignment'!F67</f>
        <v>4706.1348450784026</v>
      </c>
      <c r="G248" s="1364">
        <f>+$F248*G$2024</f>
        <v>0</v>
      </c>
      <c r="H248" s="1364">
        <f>+$F248*H$2024</f>
        <v>4706.1348450784026</v>
      </c>
      <c r="I248" s="1374">
        <f>IF(F248=0,0,+H248/F248)</f>
        <v>1</v>
      </c>
      <c r="J248" s="1364">
        <f>+H248</f>
        <v>4706.1348450784026</v>
      </c>
      <c r="K248" s="1364">
        <f t="shared" ref="K248:Q248" si="107">+$J248*K$2024</f>
        <v>4198.5275977112851</v>
      </c>
      <c r="L248" s="1364">
        <f t="shared" si="107"/>
        <v>406.90573432019409</v>
      </c>
      <c r="M248" s="1364">
        <f t="shared" si="107"/>
        <v>99.511458846011053</v>
      </c>
      <c r="N248" s="1364">
        <f t="shared" si="107"/>
        <v>0</v>
      </c>
      <c r="O248" s="1364">
        <f t="shared" si="107"/>
        <v>0</v>
      </c>
      <c r="P248" s="1364">
        <f t="shared" si="107"/>
        <v>1.190054200912305</v>
      </c>
      <c r="Q248" s="1364">
        <f t="shared" si="107"/>
        <v>0</v>
      </c>
      <c r="R248" s="1364"/>
      <c r="S248" s="1324">
        <v>420</v>
      </c>
      <c r="V248" s="1326" t="s">
        <v>5225</v>
      </c>
      <c r="W248" s="1326">
        <v>420</v>
      </c>
    </row>
    <row r="249" spans="1:23" s="1324" customFormat="1">
      <c r="A249" s="1324" t="s">
        <v>4682</v>
      </c>
      <c r="B249" s="1324">
        <v>308</v>
      </c>
      <c r="C249" s="1393">
        <v>57</v>
      </c>
      <c r="D249" s="1324" t="s">
        <v>5325</v>
      </c>
      <c r="E249" s="1324" t="s">
        <v>4071</v>
      </c>
      <c r="F249" s="1364">
        <f>+'0 MDS Allocation Assignment'!F68</f>
        <v>9007.321652204364</v>
      </c>
      <c r="G249" s="1364">
        <f>+$F249*G1988</f>
        <v>0</v>
      </c>
      <c r="H249" s="1364">
        <f>+$F249*H1988</f>
        <v>9007.321652204364</v>
      </c>
      <c r="I249" s="1374">
        <f>IF(F249=0,0,+H249/F249)</f>
        <v>1</v>
      </c>
      <c r="J249" s="1364">
        <f>+H249</f>
        <v>9007.321652204364</v>
      </c>
      <c r="K249" s="1364">
        <f t="shared" ref="K249:Q249" si="108">+$J249*K$1988</f>
        <v>6149.0492100226465</v>
      </c>
      <c r="L249" s="1364">
        <f t="shared" si="108"/>
        <v>1603.5933529604561</v>
      </c>
      <c r="M249" s="1364">
        <f t="shared" si="108"/>
        <v>1055.0757815812904</v>
      </c>
      <c r="N249" s="1364">
        <f t="shared" si="108"/>
        <v>86.7305297325737</v>
      </c>
      <c r="O249" s="1364">
        <f t="shared" si="108"/>
        <v>94.626648723150709</v>
      </c>
      <c r="P249" s="1364">
        <f t="shared" si="108"/>
        <v>18.246129184246833</v>
      </c>
      <c r="Q249" s="1364">
        <f t="shared" si="108"/>
        <v>0</v>
      </c>
      <c r="R249" s="1364"/>
      <c r="S249" s="1324">
        <v>308</v>
      </c>
      <c r="V249" s="1326" t="s">
        <v>5326</v>
      </c>
      <c r="W249" s="1326">
        <v>308</v>
      </c>
    </row>
    <row r="250" spans="1:23" s="1324" customFormat="1">
      <c r="A250" s="1324" t="s">
        <v>4682</v>
      </c>
      <c r="B250" s="1324">
        <v>309</v>
      </c>
      <c r="C250" s="1393">
        <v>58</v>
      </c>
      <c r="D250" s="1324" t="s">
        <v>5327</v>
      </c>
      <c r="E250" s="1324" t="s">
        <v>4071</v>
      </c>
      <c r="F250" s="1364">
        <f>+'0 MDS Allocation Assignment'!F69</f>
        <v>0</v>
      </c>
      <c r="G250" s="1364">
        <f>+$F250*G1991</f>
        <v>0</v>
      </c>
      <c r="H250" s="1364">
        <f>+$F250*H1991</f>
        <v>0</v>
      </c>
      <c r="I250" s="1374">
        <f>IF(F250=0,0,+H250/F250)</f>
        <v>0</v>
      </c>
      <c r="J250" s="1364">
        <f>+H250</f>
        <v>0</v>
      </c>
      <c r="K250" s="1364">
        <f t="shared" ref="K250:Q250" si="109">+$J250*K1991</f>
        <v>0</v>
      </c>
      <c r="L250" s="1364">
        <f t="shared" si="109"/>
        <v>0</v>
      </c>
      <c r="M250" s="1364">
        <f t="shared" si="109"/>
        <v>0</v>
      </c>
      <c r="N250" s="1367">
        <f t="shared" si="109"/>
        <v>0</v>
      </c>
      <c r="O250" s="1367">
        <f t="shared" si="109"/>
        <v>0</v>
      </c>
      <c r="P250" s="1367">
        <f t="shared" si="109"/>
        <v>0</v>
      </c>
      <c r="Q250" s="1364">
        <f t="shared" si="109"/>
        <v>0</v>
      </c>
      <c r="R250" s="1364"/>
      <c r="S250" s="1324">
        <v>309</v>
      </c>
      <c r="V250" s="1326" t="s">
        <v>5328</v>
      </c>
      <c r="W250" s="1326">
        <v>309</v>
      </c>
    </row>
    <row r="251" spans="1:23" s="1324" customFormat="1">
      <c r="A251" s="1324" t="s">
        <v>4682</v>
      </c>
      <c r="B251" s="1324">
        <v>310</v>
      </c>
      <c r="C251" s="1393">
        <v>59</v>
      </c>
      <c r="D251" s="1324" t="s">
        <v>5329</v>
      </c>
      <c r="E251" s="1324" t="s">
        <v>4071</v>
      </c>
      <c r="F251" s="1364">
        <f>+'0 MDS Allocation Assignment'!F70</f>
        <v>3451.577374302251</v>
      </c>
      <c r="G251" s="1364">
        <f>+$F251*G1994</f>
        <v>0</v>
      </c>
      <c r="H251" s="1364">
        <f>+$F251*H1994</f>
        <v>3451.577374302251</v>
      </c>
      <c r="I251" s="1374">
        <f>IF(F251=0,0,+H251/F251)</f>
        <v>1</v>
      </c>
      <c r="J251" s="1364">
        <f>+H251</f>
        <v>3451.577374302251</v>
      </c>
      <c r="K251" s="1364">
        <f t="shared" ref="K251:Q251" si="110">+$J251*K1994</f>
        <v>0</v>
      </c>
      <c r="L251" s="1364">
        <f t="shared" si="110"/>
        <v>0</v>
      </c>
      <c r="M251" s="1364">
        <f t="shared" si="110"/>
        <v>0</v>
      </c>
      <c r="N251" s="1367">
        <f t="shared" si="110"/>
        <v>0</v>
      </c>
      <c r="O251" s="1367">
        <f t="shared" si="110"/>
        <v>0</v>
      </c>
      <c r="P251" s="1367">
        <f t="shared" si="110"/>
        <v>0</v>
      </c>
      <c r="Q251" s="1364">
        <f t="shared" si="110"/>
        <v>3451.577374302251</v>
      </c>
      <c r="R251" s="1364"/>
      <c r="S251" s="1324">
        <v>310</v>
      </c>
      <c r="V251" s="1326" t="s">
        <v>5302</v>
      </c>
      <c r="W251" s="1326">
        <v>310</v>
      </c>
    </row>
    <row r="252" spans="1:23" s="1324" customFormat="1">
      <c r="A252" s="1324" t="s">
        <v>4682</v>
      </c>
      <c r="B252" s="1326"/>
      <c r="C252" s="1393">
        <v>60</v>
      </c>
      <c r="I252" s="1374"/>
      <c r="N252" s="1325"/>
      <c r="O252" s="1325"/>
      <c r="P252" s="1325"/>
      <c r="S252" s="1326"/>
      <c r="T252" s="1326"/>
      <c r="U252" s="1326"/>
    </row>
    <row r="253" spans="1:23">
      <c r="A253" s="1320" t="s">
        <v>4682</v>
      </c>
      <c r="B253" s="1321"/>
      <c r="C253" s="1322">
        <v>61</v>
      </c>
      <c r="D253" s="1320" t="s">
        <v>5330</v>
      </c>
      <c r="E253" s="1320" t="s">
        <v>4067</v>
      </c>
      <c r="F253" s="1320">
        <f t="shared" ref="F253:H254" si="111">SUMIF($E$225:$E$251,$E253,F$225:F$251)</f>
        <v>35760.331784118483</v>
      </c>
      <c r="G253" s="1320">
        <f t="shared" si="111"/>
        <v>0</v>
      </c>
      <c r="H253" s="1320">
        <f t="shared" si="111"/>
        <v>35760.331784118483</v>
      </c>
      <c r="I253" s="1323">
        <f>IF(F253=0,0,+H253/F253)</f>
        <v>1</v>
      </c>
      <c r="J253" s="1324">
        <f t="shared" ref="J253:Q253" si="112">SUMIF($E$225:$E$251,$E253,J$225:J$251)</f>
        <v>35760.331784118483</v>
      </c>
      <c r="K253" s="1324">
        <f t="shared" si="112"/>
        <v>22812.956731176979</v>
      </c>
      <c r="L253" s="1324">
        <f t="shared" si="112"/>
        <v>1658.0171227602964</v>
      </c>
      <c r="M253" s="1324">
        <f t="shared" si="112"/>
        <v>10141.652694802056</v>
      </c>
      <c r="N253" s="1324">
        <f t="shared" si="112"/>
        <v>953.4205640262353</v>
      </c>
      <c r="O253" s="1324">
        <f t="shared" si="112"/>
        <v>6.5097698739151593E-4</v>
      </c>
      <c r="P253" s="1324">
        <f t="shared" si="112"/>
        <v>194.28402037593682</v>
      </c>
      <c r="Q253" s="1324">
        <f t="shared" si="112"/>
        <v>0</v>
      </c>
      <c r="S253" s="1321"/>
      <c r="T253" s="1321"/>
      <c r="U253" s="1326"/>
      <c r="V253" s="1326" t="s">
        <v>5331</v>
      </c>
    </row>
    <row r="254" spans="1:23">
      <c r="A254" s="1320" t="s">
        <v>4682</v>
      </c>
      <c r="B254" s="1321"/>
      <c r="C254" s="1322">
        <v>62</v>
      </c>
      <c r="D254" s="1320" t="s">
        <v>5330</v>
      </c>
      <c r="E254" s="1320" t="s">
        <v>4071</v>
      </c>
      <c r="F254" s="1320">
        <f t="shared" si="111"/>
        <v>18434.779543395223</v>
      </c>
      <c r="G254" s="1320">
        <f t="shared" si="111"/>
        <v>0</v>
      </c>
      <c r="H254" s="1320">
        <f t="shared" si="111"/>
        <v>18434.779543395223</v>
      </c>
      <c r="I254" s="1323">
        <f>IF(F254=0,0,+H254/F254)</f>
        <v>1</v>
      </c>
      <c r="J254" s="1324">
        <f t="shared" ref="J254:Q254" si="113">SUMIF($E$225:$E$251,$E$254,J$225:J$251)</f>
        <v>18434.779543395223</v>
      </c>
      <c r="K254" s="1320">
        <f t="shared" si="113"/>
        <v>10347.576807733931</v>
      </c>
      <c r="L254" s="1320">
        <f t="shared" si="113"/>
        <v>2010.4990872806502</v>
      </c>
      <c r="M254" s="1364">
        <f t="shared" si="113"/>
        <v>1154.5872404273014</v>
      </c>
      <c r="N254" s="1324">
        <f t="shared" si="113"/>
        <v>86.7305297325737</v>
      </c>
      <c r="O254" s="1324">
        <f t="shared" si="113"/>
        <v>94.626648723150709</v>
      </c>
      <c r="P254" s="1324">
        <f t="shared" si="113"/>
        <v>19.436183385159136</v>
      </c>
      <c r="Q254" s="1320">
        <f t="shared" si="113"/>
        <v>4721.3230461124567</v>
      </c>
      <c r="S254" s="1321"/>
      <c r="T254" s="1321"/>
      <c r="U254" s="1326"/>
      <c r="V254" s="1326" t="s">
        <v>5332</v>
      </c>
    </row>
    <row r="255" spans="1:23">
      <c r="A255" s="1320" t="s">
        <v>4682</v>
      </c>
      <c r="B255" s="1321"/>
      <c r="C255" s="1322">
        <v>63</v>
      </c>
      <c r="F255" s="1376"/>
      <c r="G255" s="1376"/>
      <c r="H255" s="1376"/>
      <c r="J255" s="1430"/>
      <c r="K255" s="1430"/>
      <c r="L255" s="1430"/>
      <c r="M255" s="1430"/>
      <c r="N255" s="1430"/>
      <c r="O255" s="1430"/>
      <c r="P255" s="1430"/>
      <c r="Q255" s="1430"/>
      <c r="R255" s="1358"/>
      <c r="S255" s="1321"/>
      <c r="T255" s="1321"/>
      <c r="U255" s="1326"/>
    </row>
    <row r="256" spans="1:23">
      <c r="A256" s="1320" t="s">
        <v>4682</v>
      </c>
      <c r="B256" s="1321"/>
      <c r="C256" s="1322">
        <v>64</v>
      </c>
      <c r="D256" s="1320" t="s">
        <v>5333</v>
      </c>
      <c r="F256" s="1350">
        <f>+SUM(F253:F254)</f>
        <v>54195.111327513703</v>
      </c>
      <c r="G256" s="1350">
        <f>SUM(G253:G254)</f>
        <v>0</v>
      </c>
      <c r="H256" s="1350">
        <f>SUM(H253:H254)</f>
        <v>54195.111327513703</v>
      </c>
      <c r="I256" s="1323">
        <f>IF(F256=0,0,+H256/F256)</f>
        <v>1</v>
      </c>
      <c r="J256" s="1366">
        <f t="shared" ref="J256:Q256" si="114">SUM(J253:J254)</f>
        <v>54195.111327513703</v>
      </c>
      <c r="K256" s="1366">
        <f t="shared" si="114"/>
        <v>33160.53353891091</v>
      </c>
      <c r="L256" s="1366">
        <f t="shared" si="114"/>
        <v>3668.5162100409466</v>
      </c>
      <c r="M256" s="1366">
        <f>SUM(M253:M254)</f>
        <v>11296.239935229358</v>
      </c>
      <c r="N256" s="1378">
        <f>SUM(N253:N254)</f>
        <v>1040.1510937588091</v>
      </c>
      <c r="O256" s="1378">
        <f>SUM(O253:O254)</f>
        <v>94.627299700138096</v>
      </c>
      <c r="P256" s="1378">
        <f>SUM(P253:P254)</f>
        <v>213.72020376109595</v>
      </c>
      <c r="Q256" s="1366">
        <f t="shared" si="114"/>
        <v>4721.3230461124567</v>
      </c>
      <c r="R256" s="1358"/>
      <c r="S256" s="1321"/>
      <c r="T256" s="1321"/>
      <c r="U256" s="1326"/>
      <c r="V256" s="1320" t="s">
        <v>5334</v>
      </c>
    </row>
    <row r="257" spans="1:31">
      <c r="A257" s="1320" t="s">
        <v>4682</v>
      </c>
      <c r="B257" s="1321"/>
      <c r="C257" s="1322">
        <v>65</v>
      </c>
      <c r="F257" s="1358"/>
      <c r="G257" s="1358"/>
      <c r="H257" s="1358"/>
      <c r="I257" s="1374"/>
      <c r="K257" s="1364"/>
      <c r="L257" s="1364"/>
      <c r="M257" s="1364"/>
      <c r="N257" s="1367"/>
      <c r="O257" s="1367"/>
      <c r="P257" s="1367"/>
      <c r="Q257" s="1364"/>
      <c r="R257" s="1358"/>
      <c r="S257" s="1321"/>
      <c r="T257" s="1321"/>
      <c r="U257" s="1326"/>
    </row>
    <row r="258" spans="1:31">
      <c r="A258" s="1320" t="s">
        <v>4682</v>
      </c>
      <c r="B258" s="1321"/>
      <c r="C258" s="1322">
        <v>66</v>
      </c>
      <c r="F258" s="1358"/>
      <c r="G258" s="1358"/>
      <c r="H258" s="1358"/>
      <c r="J258" s="1364"/>
      <c r="K258" s="1364"/>
      <c r="L258" s="1364"/>
      <c r="M258" s="1364"/>
      <c r="N258" s="1367"/>
      <c r="O258" s="1367"/>
      <c r="P258" s="1367"/>
      <c r="Q258" s="1364"/>
      <c r="R258" s="1358"/>
      <c r="S258" s="1321"/>
      <c r="T258" s="1321"/>
      <c r="U258" s="1326"/>
    </row>
    <row r="259" spans="1:31">
      <c r="A259" s="1320" t="s">
        <v>4682</v>
      </c>
      <c r="B259" s="1321"/>
      <c r="C259" s="1322">
        <v>67</v>
      </c>
      <c r="D259" s="1356" t="s">
        <v>5335</v>
      </c>
      <c r="G259" s="1320"/>
      <c r="M259" s="1324"/>
      <c r="P259" s="1325"/>
      <c r="S259" s="1321"/>
      <c r="T259" s="1321"/>
      <c r="U259" s="1326"/>
    </row>
    <row r="260" spans="1:31" s="1324" customFormat="1">
      <c r="A260" s="1324" t="s">
        <v>4682</v>
      </c>
      <c r="B260" s="1326"/>
      <c r="C260" s="1393">
        <v>68</v>
      </c>
      <c r="D260" s="1324" t="s">
        <v>5265</v>
      </c>
      <c r="E260" s="1324" t="s">
        <v>4067</v>
      </c>
      <c r="F260" s="1324">
        <f>+F191+F192+F198</f>
        <v>98527.121463102463</v>
      </c>
      <c r="G260" s="1324">
        <f>+G191+G192+G198</f>
        <v>0</v>
      </c>
      <c r="H260" s="1324">
        <f>+H191+H192+H198</f>
        <v>98527.121463102463</v>
      </c>
      <c r="I260" s="1374">
        <f t="shared" ref="I260:I268" si="115">IF(F260=0,0,+H260/F260)</f>
        <v>1</v>
      </c>
      <c r="J260" s="1324">
        <f>+J191+J192+J198</f>
        <v>98527.121463102463</v>
      </c>
      <c r="K260" s="1324">
        <f t="shared" ref="K260:Q260" si="116">+K191+K192+K198</f>
        <v>57147.015254452737</v>
      </c>
      <c r="L260" s="1324">
        <f t="shared" si="116"/>
        <v>4714.0523419742976</v>
      </c>
      <c r="M260" s="1324">
        <f t="shared" si="116"/>
        <v>30134.56834063608</v>
      </c>
      <c r="N260" s="1324">
        <f t="shared" si="116"/>
        <v>3761.9013001379431</v>
      </c>
      <c r="O260" s="1324">
        <f t="shared" si="116"/>
        <v>2699.7292250580917</v>
      </c>
      <c r="P260" s="1324">
        <f t="shared" si="116"/>
        <v>69.85500084332088</v>
      </c>
      <c r="Q260" s="1324">
        <f t="shared" si="116"/>
        <v>0</v>
      </c>
      <c r="S260" s="1326"/>
      <c r="T260" s="1326"/>
      <c r="U260" s="1326"/>
      <c r="V260" s="1324" t="s">
        <v>5336</v>
      </c>
    </row>
    <row r="261" spans="1:31" s="1324" customFormat="1">
      <c r="A261" s="1324" t="s">
        <v>4682</v>
      </c>
      <c r="B261" s="1326"/>
      <c r="C261" s="1393">
        <v>69</v>
      </c>
      <c r="D261" s="1324" t="s">
        <v>5265</v>
      </c>
      <c r="E261" s="1324" t="s">
        <v>2067</v>
      </c>
      <c r="F261" s="1324">
        <f>+F193</f>
        <v>29310.186608764699</v>
      </c>
      <c r="G261" s="1324">
        <f>+G193</f>
        <v>0</v>
      </c>
      <c r="H261" s="1324">
        <f>+H193</f>
        <v>29310.186608764699</v>
      </c>
      <c r="I261" s="1374">
        <f t="shared" si="115"/>
        <v>1</v>
      </c>
      <c r="J261" s="1324">
        <f t="shared" ref="J261:Q261" si="117">+J193</f>
        <v>29310.186608764699</v>
      </c>
      <c r="K261" s="1324">
        <f t="shared" si="117"/>
        <v>14790.92213794599</v>
      </c>
      <c r="L261" s="1324">
        <f t="shared" si="117"/>
        <v>1366.8543526662643</v>
      </c>
      <c r="M261" s="1364">
        <f t="shared" si="117"/>
        <v>10182.534023632365</v>
      </c>
      <c r="N261" s="1324">
        <f t="shared" si="117"/>
        <v>1620.8956940210085</v>
      </c>
      <c r="O261" s="1324">
        <f>+O193</f>
        <v>1194.1330887228053</v>
      </c>
      <c r="P261" s="1324">
        <f>+P193</f>
        <v>154.8473117762654</v>
      </c>
      <c r="Q261" s="1324">
        <f t="shared" si="117"/>
        <v>0</v>
      </c>
      <c r="S261" s="1326"/>
      <c r="T261" s="1326"/>
      <c r="U261" s="1326"/>
      <c r="V261" s="1324" t="s">
        <v>5337</v>
      </c>
    </row>
    <row r="262" spans="1:31" s="1324" customFormat="1">
      <c r="A262" s="1324" t="s">
        <v>4682</v>
      </c>
      <c r="B262" s="1326"/>
      <c r="C262" s="1393">
        <v>70</v>
      </c>
      <c r="D262" s="1324" t="s">
        <v>5268</v>
      </c>
      <c r="E262" s="1324" t="s">
        <v>4067</v>
      </c>
      <c r="F262" s="1324">
        <f>+F200</f>
        <v>2130.0112029296843</v>
      </c>
      <c r="G262" s="1324">
        <f>+G200</f>
        <v>137.99672901394752</v>
      </c>
      <c r="H262" s="1324">
        <f>+H200</f>
        <v>1992.0144739157365</v>
      </c>
      <c r="I262" s="1374">
        <f t="shared" si="115"/>
        <v>0.93521314403222733</v>
      </c>
      <c r="J262" s="1324">
        <f t="shared" ref="J262:Q262" si="118">+J200</f>
        <v>1992.0144739157365</v>
      </c>
      <c r="K262" s="1324">
        <f t="shared" si="118"/>
        <v>1155.394370986312</v>
      </c>
      <c r="L262" s="1324">
        <f t="shared" si="118"/>
        <v>95.308381657387812</v>
      </c>
      <c r="M262" s="1364">
        <f t="shared" si="118"/>
        <v>609.25860218325909</v>
      </c>
      <c r="N262" s="1324">
        <f t="shared" si="118"/>
        <v>76.057858263154046</v>
      </c>
      <c r="O262" s="1324">
        <f>+O200</f>
        <v>54.582937287810743</v>
      </c>
      <c r="P262" s="1324">
        <f>+P200</f>
        <v>1.41232353781291</v>
      </c>
      <c r="Q262" s="1324">
        <f t="shared" si="118"/>
        <v>0</v>
      </c>
      <c r="S262" s="1326"/>
      <c r="T262" s="1326"/>
      <c r="U262" s="1326"/>
      <c r="V262" s="1324" t="s">
        <v>5338</v>
      </c>
    </row>
    <row r="263" spans="1:31" s="1324" customFormat="1">
      <c r="A263" s="1324" t="s">
        <v>4682</v>
      </c>
      <c r="B263" s="1326"/>
      <c r="C263" s="1393">
        <v>71</v>
      </c>
      <c r="D263" s="1324" t="s">
        <v>5239</v>
      </c>
      <c r="E263" s="1324" t="s">
        <v>4067</v>
      </c>
      <c r="F263" s="1324">
        <f>+F205</f>
        <v>5974.5332232361407</v>
      </c>
      <c r="G263" s="1324">
        <f>+G205</f>
        <v>387.07122340847206</v>
      </c>
      <c r="H263" s="1324">
        <f>+H205</f>
        <v>5587.4619998276685</v>
      </c>
      <c r="I263" s="1374">
        <f t="shared" si="115"/>
        <v>0.93521314403222733</v>
      </c>
      <c r="J263" s="1324">
        <f t="shared" ref="J263:Q263" si="119">+J205</f>
        <v>5587.4619998276685</v>
      </c>
      <c r="K263" s="1324">
        <f t="shared" si="119"/>
        <v>3240.800821095786</v>
      </c>
      <c r="L263" s="1324">
        <f t="shared" si="119"/>
        <v>267.33337922435857</v>
      </c>
      <c r="M263" s="1364">
        <f t="shared" si="119"/>
        <v>1708.9279883972783</v>
      </c>
      <c r="N263" s="1324">
        <f t="shared" si="119"/>
        <v>213.3370005079735</v>
      </c>
      <c r="O263" s="1324">
        <f>+O205</f>
        <v>153.10134134473165</v>
      </c>
      <c r="P263" s="1324">
        <f>+P205</f>
        <v>3.9614692575399513</v>
      </c>
      <c r="Q263" s="1324">
        <f t="shared" si="119"/>
        <v>0</v>
      </c>
      <c r="S263" s="1326"/>
      <c r="T263" s="1326"/>
      <c r="U263" s="1326"/>
      <c r="V263" s="1324" t="s">
        <v>5339</v>
      </c>
      <c r="AE263" s="1387"/>
    </row>
    <row r="264" spans="1:31" s="1324" customFormat="1">
      <c r="A264" s="1324" t="s">
        <v>4682</v>
      </c>
      <c r="B264" s="1326"/>
      <c r="C264" s="1393">
        <v>72</v>
      </c>
      <c r="D264" s="1324" t="s">
        <v>5240</v>
      </c>
      <c r="E264" s="1324" t="s">
        <v>4067</v>
      </c>
      <c r="F264" s="1324">
        <f>+F225+F228+F235+F242</f>
        <v>30582.492997780551</v>
      </c>
      <c r="G264" s="1324">
        <f>+G225+G228+G235+G242</f>
        <v>0</v>
      </c>
      <c r="H264" s="1324">
        <f>+H225+H228+H235+H242</f>
        <v>30582.492997780551</v>
      </c>
      <c r="I264" s="1374">
        <f t="shared" si="115"/>
        <v>1</v>
      </c>
      <c r="J264" s="1324">
        <f t="shared" ref="J264:Q264" si="120">+J225+J228+J235+J242</f>
        <v>30582.492997780551</v>
      </c>
      <c r="K264" s="1324">
        <f t="shared" si="120"/>
        <v>19035.033331050829</v>
      </c>
      <c r="L264" s="1324">
        <f t="shared" si="120"/>
        <v>1353.8193114983046</v>
      </c>
      <c r="M264" s="1324">
        <f t="shared" si="120"/>
        <v>9064.6655799248038</v>
      </c>
      <c r="N264" s="1324">
        <f t="shared" si="120"/>
        <v>953.4205640262353</v>
      </c>
      <c r="O264" s="1324">
        <f t="shared" si="120"/>
        <v>6.5097698739151593E-4</v>
      </c>
      <c r="P264" s="1324">
        <f t="shared" si="120"/>
        <v>175.55356030340181</v>
      </c>
      <c r="Q264" s="1324">
        <f t="shared" si="120"/>
        <v>0</v>
      </c>
      <c r="S264" s="1326"/>
      <c r="T264" s="1326"/>
      <c r="U264" s="1326"/>
      <c r="V264" s="1324" t="s">
        <v>5340</v>
      </c>
    </row>
    <row r="265" spans="1:31" s="1324" customFormat="1">
      <c r="A265" s="1324" t="s">
        <v>4682</v>
      </c>
      <c r="B265" s="1326"/>
      <c r="C265" s="1393">
        <v>73</v>
      </c>
      <c r="D265" s="1324" t="s">
        <v>5241</v>
      </c>
      <c r="E265" s="1324" t="s">
        <v>4067</v>
      </c>
      <c r="F265" s="1324">
        <f>+F230+F237+F244</f>
        <v>5177.8387863379285</v>
      </c>
      <c r="G265" s="1324">
        <f>+G230+G237+G244</f>
        <v>0</v>
      </c>
      <c r="H265" s="1324">
        <f>+H230+H237+H244</f>
        <v>5177.8387863379285</v>
      </c>
      <c r="I265" s="1374">
        <f t="shared" si="115"/>
        <v>1</v>
      </c>
      <c r="J265" s="1324">
        <f t="shared" ref="J265:Q265" si="121">J230+J237+J244</f>
        <v>5177.8387863379285</v>
      </c>
      <c r="K265" s="1324">
        <f t="shared" si="121"/>
        <v>3777.9234001261516</v>
      </c>
      <c r="L265" s="1324">
        <f t="shared" si="121"/>
        <v>304.19781126199189</v>
      </c>
      <c r="M265" s="1364">
        <f t="shared" si="121"/>
        <v>1076.9871148772506</v>
      </c>
      <c r="N265" s="1324">
        <f t="shared" si="121"/>
        <v>0</v>
      </c>
      <c r="O265" s="1324">
        <f>O230+O237+O244</f>
        <v>0</v>
      </c>
      <c r="P265" s="1324">
        <f>P230+P237+P244</f>
        <v>18.73046007253501</v>
      </c>
      <c r="Q265" s="1324">
        <f t="shared" si="121"/>
        <v>0</v>
      </c>
      <c r="S265" s="1326"/>
      <c r="T265" s="1326"/>
      <c r="U265" s="1326"/>
      <c r="V265" s="1324" t="s">
        <v>5341</v>
      </c>
    </row>
    <row r="266" spans="1:31" s="1324" customFormat="1">
      <c r="A266" s="1324" t="s">
        <v>4682</v>
      </c>
      <c r="B266" s="1326"/>
      <c r="C266" s="1393">
        <v>74</v>
      </c>
      <c r="D266" s="1324" t="s">
        <v>5242</v>
      </c>
      <c r="E266" s="1324" t="s">
        <v>4071</v>
      </c>
      <c r="F266" s="1324">
        <f>F254</f>
        <v>18434.779543395223</v>
      </c>
      <c r="G266" s="1324">
        <f>G254</f>
        <v>0</v>
      </c>
      <c r="H266" s="1324">
        <f>H254</f>
        <v>18434.779543395223</v>
      </c>
      <c r="I266" s="1374">
        <f t="shared" si="115"/>
        <v>1</v>
      </c>
      <c r="J266" s="1324">
        <f t="shared" ref="J266:Q266" si="122">J254</f>
        <v>18434.779543395223</v>
      </c>
      <c r="K266" s="1324">
        <f t="shared" si="122"/>
        <v>10347.576807733931</v>
      </c>
      <c r="L266" s="1324">
        <f t="shared" si="122"/>
        <v>2010.4990872806502</v>
      </c>
      <c r="M266" s="1364">
        <f t="shared" si="122"/>
        <v>1154.5872404273014</v>
      </c>
      <c r="N266" s="1324">
        <f t="shared" si="122"/>
        <v>86.7305297325737</v>
      </c>
      <c r="O266" s="1324">
        <f>O254</f>
        <v>94.626648723150709</v>
      </c>
      <c r="P266" s="1324">
        <f>P254</f>
        <v>19.436183385159136</v>
      </c>
      <c r="Q266" s="1324">
        <f t="shared" si="122"/>
        <v>4721.3230461124567</v>
      </c>
      <c r="S266" s="1326"/>
      <c r="T266" s="1326"/>
      <c r="U266" s="1326"/>
      <c r="V266" s="1326" t="s">
        <v>5342</v>
      </c>
    </row>
    <row r="267" spans="1:31" s="1324" customFormat="1">
      <c r="A267" s="1324" t="s">
        <v>4682</v>
      </c>
      <c r="B267" s="1326"/>
      <c r="C267" s="1393">
        <v>75</v>
      </c>
      <c r="D267" s="1324" t="s">
        <v>5244</v>
      </c>
      <c r="E267" s="1324" t="s">
        <v>4071</v>
      </c>
      <c r="F267" s="1366">
        <v>0</v>
      </c>
      <c r="G267" s="1366">
        <v>0</v>
      </c>
      <c r="H267" s="1366">
        <v>0</v>
      </c>
      <c r="I267" s="1374">
        <f t="shared" si="115"/>
        <v>0</v>
      </c>
      <c r="J267" s="1366">
        <f t="shared" ref="J267:P267" si="123">+H267</f>
        <v>0</v>
      </c>
      <c r="K267" s="1366">
        <f t="shared" si="123"/>
        <v>0</v>
      </c>
      <c r="L267" s="1366">
        <f t="shared" si="123"/>
        <v>0</v>
      </c>
      <c r="M267" s="1364">
        <f t="shared" si="123"/>
        <v>0</v>
      </c>
      <c r="N267" s="1366">
        <f t="shared" si="123"/>
        <v>0</v>
      </c>
      <c r="O267" s="1366">
        <f t="shared" si="123"/>
        <v>0</v>
      </c>
      <c r="P267" s="1366">
        <f t="shared" si="123"/>
        <v>0</v>
      </c>
      <c r="Q267" s="1366">
        <f>+M267</f>
        <v>0</v>
      </c>
      <c r="R267" s="1416"/>
      <c r="S267" s="1326"/>
      <c r="T267" s="1326"/>
      <c r="U267" s="1326"/>
      <c r="V267" s="1324" t="s">
        <v>5343</v>
      </c>
    </row>
    <row r="268" spans="1:31" s="1324" customFormat="1">
      <c r="A268" s="1324" t="s">
        <v>4682</v>
      </c>
      <c r="B268" s="1326"/>
      <c r="C268" s="1393">
        <v>76</v>
      </c>
      <c r="D268" s="1324" t="s">
        <v>5344</v>
      </c>
      <c r="F268" s="1421">
        <f>SUM(F260:F267)</f>
        <v>190136.9638255467</v>
      </c>
      <c r="G268" s="1421">
        <f>SUM(G260:G267)</f>
        <v>525.06795242241958</v>
      </c>
      <c r="H268" s="1421">
        <f>SUM(H260:H267)</f>
        <v>189611.89587312427</v>
      </c>
      <c r="I268" s="1374">
        <f t="shared" si="115"/>
        <v>0.99723847513993025</v>
      </c>
      <c r="J268" s="1421">
        <f t="shared" ref="J268:Q268" si="124">SUM(J260:J267)</f>
        <v>189611.89587312427</v>
      </c>
      <c r="K268" s="1421">
        <f t="shared" si="124"/>
        <v>109494.66612339174</v>
      </c>
      <c r="L268" s="1421">
        <f t="shared" si="124"/>
        <v>10112.064665563255</v>
      </c>
      <c r="M268" s="1421">
        <f t="shared" si="124"/>
        <v>53931.528890078342</v>
      </c>
      <c r="N268" s="1422">
        <f t="shared" si="124"/>
        <v>6712.3429466888883</v>
      </c>
      <c r="O268" s="1422">
        <f>SUM(O260:O267)</f>
        <v>4196.1738921135775</v>
      </c>
      <c r="P268" s="1422">
        <f>SUM(P260:P267)</f>
        <v>443.79630917603509</v>
      </c>
      <c r="Q268" s="1421">
        <f t="shared" si="124"/>
        <v>4721.3230461124567</v>
      </c>
      <c r="S268" s="1326"/>
      <c r="T268" s="1326"/>
      <c r="U268" s="1326"/>
      <c r="V268" s="1324" t="s">
        <v>5345</v>
      </c>
    </row>
    <row r="269" spans="1:31">
      <c r="B269" s="1321"/>
      <c r="F269" s="1358"/>
      <c r="G269" s="1358"/>
      <c r="H269" s="1358"/>
      <c r="J269" s="1364"/>
      <c r="K269" s="1364"/>
      <c r="L269" s="1364"/>
      <c r="M269" s="1367"/>
      <c r="N269" s="1367"/>
      <c r="O269" s="1367"/>
      <c r="P269" s="1364"/>
      <c r="Q269" s="1364"/>
      <c r="S269" s="1321"/>
      <c r="T269" s="1321"/>
      <c r="U269" s="1326"/>
    </row>
    <row r="270" spans="1:31">
      <c r="B270" s="1321"/>
      <c r="F270" s="1358"/>
      <c r="G270" s="1358"/>
      <c r="H270" s="1358"/>
      <c r="J270" s="1364"/>
      <c r="K270" s="1364"/>
      <c r="L270" s="1364"/>
      <c r="M270" s="1367"/>
      <c r="N270" s="1367"/>
      <c r="O270" s="1367"/>
      <c r="P270" s="1364"/>
      <c r="Q270" s="1364"/>
      <c r="S270" s="1321"/>
      <c r="T270" s="1321"/>
      <c r="U270" s="1326"/>
    </row>
    <row r="271" spans="1:31">
      <c r="B271" s="1321"/>
      <c r="F271" s="1358"/>
      <c r="G271" s="1358"/>
      <c r="H271" s="1358"/>
      <c r="J271" s="1364"/>
      <c r="K271" s="1364"/>
      <c r="L271" s="1364"/>
      <c r="M271" s="1367"/>
      <c r="N271" s="1367"/>
      <c r="O271" s="1367"/>
      <c r="P271" s="1364"/>
      <c r="Q271" s="1364"/>
      <c r="S271" s="1321"/>
      <c r="T271" s="1321"/>
      <c r="U271" s="1326"/>
    </row>
    <row r="272" spans="1:31">
      <c r="B272" s="1321"/>
      <c r="F272" s="1358"/>
      <c r="G272" s="1358"/>
      <c r="H272" s="1358"/>
      <c r="J272" s="1364"/>
      <c r="K272" s="1364"/>
      <c r="L272" s="1364"/>
      <c r="M272" s="1367"/>
      <c r="N272" s="1367"/>
      <c r="O272" s="1367"/>
      <c r="P272" s="1364"/>
      <c r="Q272" s="1364"/>
      <c r="S272" s="1321"/>
      <c r="T272" s="1321"/>
      <c r="U272" s="1326"/>
    </row>
    <row r="273" spans="1:23">
      <c r="B273" s="1321"/>
      <c r="F273" s="1358"/>
      <c r="G273" s="1358"/>
      <c r="H273" s="1358"/>
      <c r="J273" s="1364"/>
      <c r="K273" s="1364"/>
      <c r="L273" s="1364"/>
      <c r="M273" s="1367"/>
      <c r="N273" s="1367"/>
      <c r="O273" s="1367"/>
      <c r="P273" s="1364"/>
      <c r="Q273" s="1364"/>
      <c r="S273" s="1321"/>
      <c r="T273" s="1333"/>
      <c r="U273" s="1326"/>
    </row>
    <row r="274" spans="1:23">
      <c r="C274" s="1340" t="str">
        <f>+C$2</f>
        <v>RATES WITH REVENUE DEFICIENCY ADDITION</v>
      </c>
      <c r="F274" s="1333"/>
      <c r="G274" s="1327" t="s">
        <v>2173</v>
      </c>
      <c r="I274" s="1334" t="s">
        <v>4882</v>
      </c>
      <c r="L274" s="1329" t="s">
        <v>2173</v>
      </c>
      <c r="M274" s="1330"/>
      <c r="N274" s="1330"/>
      <c r="O274" s="1330"/>
      <c r="S274" s="1334" t="s">
        <v>4889</v>
      </c>
      <c r="T274" s="1333" t="s">
        <v>2173</v>
      </c>
      <c r="U274" s="1431"/>
      <c r="V274" s="1332" t="s">
        <v>4772</v>
      </c>
    </row>
    <row r="275" spans="1:23" s="1324" customFormat="1">
      <c r="C275" s="1340" t="str">
        <f>+C$3</f>
        <v>PROD. CAP. ALLOC. METHOD: 12 CP &amp; 1/13th AD</v>
      </c>
      <c r="D275" s="1364"/>
      <c r="G275" s="1336" t="s">
        <v>4768</v>
      </c>
      <c r="H275" s="1320"/>
      <c r="I275" s="1335" t="s">
        <v>5298</v>
      </c>
      <c r="L275" s="1336" t="s">
        <v>5141</v>
      </c>
      <c r="M275" s="1337"/>
      <c r="N275" s="1337"/>
      <c r="O275" s="1337"/>
      <c r="R275" s="1331"/>
      <c r="S275" s="1335" t="s">
        <v>5346</v>
      </c>
      <c r="T275" s="1336" t="s">
        <v>5141</v>
      </c>
      <c r="U275" s="1326"/>
      <c r="V275" s="1334" t="s">
        <v>4889</v>
      </c>
    </row>
    <row r="276" spans="1:23">
      <c r="B276" s="1321"/>
      <c r="C276" s="1340" t="str">
        <f>+C$4</f>
        <v>PROJECTED CALENDAR YEAR 2025; FULLY ADJUSTED DATA</v>
      </c>
      <c r="G276" s="1336" t="s">
        <v>2181</v>
      </c>
      <c r="L276" s="1336" t="s">
        <v>2181</v>
      </c>
      <c r="S276" s="1321"/>
      <c r="T276" s="1339"/>
      <c r="U276" s="1326"/>
    </row>
    <row r="277" spans="1:23">
      <c r="B277" s="1321"/>
      <c r="C277" s="1340" t="str">
        <f>+C$5</f>
        <v>MINIMUM DISTRIBUTION SYSTEM (MDS) NOT EMPLOYED</v>
      </c>
      <c r="G277" s="1320"/>
      <c r="L277" s="1336"/>
      <c r="M277" s="1337"/>
      <c r="N277" s="1337"/>
      <c r="O277" s="1337"/>
      <c r="S277" s="1321"/>
      <c r="T277" s="1333"/>
      <c r="U277" s="1326"/>
    </row>
    <row r="278" spans="1:23">
      <c r="B278" s="1321"/>
      <c r="C278" s="1340" t="str">
        <f>+C$6</f>
        <v>Tampa Electric 2025 OB Budget</v>
      </c>
      <c r="F278" s="1327"/>
      <c r="G278" s="1333" t="s">
        <v>5277</v>
      </c>
      <c r="L278" s="1336" t="s">
        <v>5277</v>
      </c>
      <c r="M278" s="1337"/>
      <c r="N278" s="1337"/>
      <c r="O278" s="1337"/>
      <c r="S278" s="1321"/>
      <c r="T278" s="1333" t="s">
        <v>5277</v>
      </c>
      <c r="U278" s="1326"/>
    </row>
    <row r="279" spans="1:23">
      <c r="B279" s="1321"/>
      <c r="F279" s="1333"/>
      <c r="G279" s="1320"/>
      <c r="L279" s="1336"/>
      <c r="M279" s="1337"/>
      <c r="N279" s="1337"/>
      <c r="O279" s="1337"/>
      <c r="S279" s="1321"/>
      <c r="T279" s="1321"/>
      <c r="U279" s="1326"/>
    </row>
    <row r="280" spans="1:23" hidden="1">
      <c r="B280" s="1321"/>
      <c r="F280" s="1333"/>
      <c r="G280" s="1320"/>
      <c r="L280" s="1336"/>
      <c r="M280" s="1337"/>
      <c r="N280" s="1337"/>
      <c r="O280" s="1337"/>
      <c r="S280" s="1321"/>
      <c r="T280" s="1321"/>
      <c r="U280" s="1326"/>
    </row>
    <row r="281" spans="1:23" ht="21.75" customHeight="1">
      <c r="B281" s="1321"/>
      <c r="G281" s="1320"/>
      <c r="S281" s="1321"/>
      <c r="T281" s="1321"/>
      <c r="U281" s="1326"/>
    </row>
    <row r="282" spans="1:23">
      <c r="B282" s="1321"/>
      <c r="C282" s="1342"/>
      <c r="D282" s="1331"/>
      <c r="E282" s="1331"/>
      <c r="F282" s="1333"/>
      <c r="G282" s="1333"/>
      <c r="H282" s="1333"/>
      <c r="I282" s="1343"/>
      <c r="J282" s="1416"/>
      <c r="K282" s="1336"/>
      <c r="L282" s="1416"/>
      <c r="M282" s="1417"/>
      <c r="N282" s="1417"/>
      <c r="O282" s="1417"/>
      <c r="P282" s="3164"/>
      <c r="Q282" s="3164"/>
      <c r="R282" s="1333"/>
      <c r="S282" s="1321"/>
      <c r="T282" s="1321"/>
      <c r="U282" s="1326"/>
    </row>
    <row r="283" spans="1:23" ht="30" customHeight="1">
      <c r="A283" s="1418" t="s">
        <v>4683</v>
      </c>
      <c r="B283" s="1425" t="s">
        <v>5143</v>
      </c>
      <c r="C283" s="1349" t="s">
        <v>4297</v>
      </c>
      <c r="D283" s="1418"/>
      <c r="E283" s="1418"/>
      <c r="F283" s="1348" t="s">
        <v>5144</v>
      </c>
      <c r="G283" s="1348" t="s">
        <v>4956</v>
      </c>
      <c r="H283" s="1348" t="s">
        <v>4957</v>
      </c>
      <c r="I283" s="1426" t="s">
        <v>5145</v>
      </c>
      <c r="J283" s="1352" t="s">
        <v>4957</v>
      </c>
      <c r="K283" s="1353" t="s">
        <v>1949</v>
      </c>
      <c r="L283" s="1353" t="s">
        <v>1950</v>
      </c>
      <c r="M283" s="1354" t="s">
        <v>1934</v>
      </c>
      <c r="N283" s="1354" t="s">
        <v>1971</v>
      </c>
      <c r="O283" s="1354" t="s">
        <v>1972</v>
      </c>
      <c r="P283" s="1352" t="s">
        <v>5146</v>
      </c>
      <c r="Q283" s="1352" t="s">
        <v>5147</v>
      </c>
      <c r="R283" s="1355"/>
      <c r="S283" s="1348" t="s">
        <v>5299</v>
      </c>
      <c r="T283" s="1348"/>
      <c r="U283" s="1352"/>
      <c r="V283" s="1355" t="s">
        <v>4774</v>
      </c>
    </row>
    <row r="284" spans="1:23" ht="9" customHeight="1">
      <c r="B284" s="1321"/>
      <c r="G284" s="1320"/>
      <c r="S284" s="1321"/>
      <c r="T284" s="1321"/>
      <c r="U284" s="1326"/>
    </row>
    <row r="285" spans="1:23">
      <c r="A285" s="1320" t="s">
        <v>4682</v>
      </c>
      <c r="B285" s="1321"/>
      <c r="C285" s="1322">
        <v>77</v>
      </c>
      <c r="D285" s="1356" t="s">
        <v>5347</v>
      </c>
      <c r="G285" s="1320"/>
      <c r="S285" s="1321"/>
      <c r="T285" s="1321"/>
      <c r="U285" s="1326"/>
    </row>
    <row r="286" spans="1:23">
      <c r="A286" s="1320" t="s">
        <v>4682</v>
      </c>
      <c r="B286" s="1320">
        <v>507</v>
      </c>
      <c r="C286" s="1322">
        <v>78</v>
      </c>
      <c r="D286" s="1320" t="s">
        <v>5348</v>
      </c>
      <c r="E286" s="1320" t="s">
        <v>4071</v>
      </c>
      <c r="F286" s="1320">
        <f>+'0 MDS Allocation Assignment'!F71</f>
        <v>5796.7804260915</v>
      </c>
      <c r="G286" s="1358">
        <f>+$F286*G2043</f>
        <v>0</v>
      </c>
      <c r="H286" s="1358">
        <f>+$F286*H2043</f>
        <v>5796.7804260915</v>
      </c>
      <c r="I286" s="1323">
        <f t="shared" ref="I286:I291" si="125">IF(F286=0,0,+H286/F286)</f>
        <v>1</v>
      </c>
      <c r="J286" s="1364">
        <f>+H286</f>
        <v>5796.7804260915</v>
      </c>
      <c r="K286" s="1364">
        <f t="shared" ref="K286:Q286" si="126">+$J286*K2043</f>
        <v>3604.0021761044018</v>
      </c>
      <c r="L286" s="1364">
        <f t="shared" si="126"/>
        <v>372.74972534364576</v>
      </c>
      <c r="M286" s="1364">
        <f t="shared" si="126"/>
        <v>1215.4835461415835</v>
      </c>
      <c r="N286" s="1367">
        <f t="shared" si="126"/>
        <v>173.63394814770854</v>
      </c>
      <c r="O286" s="1367">
        <f t="shared" si="126"/>
        <v>93.154434102414669</v>
      </c>
      <c r="P286" s="1367">
        <f t="shared" si="126"/>
        <v>34.848502086610488</v>
      </c>
      <c r="Q286" s="1364">
        <f t="shared" si="126"/>
        <v>302.90809416513594</v>
      </c>
      <c r="R286" s="1364"/>
      <c r="S286" s="1324">
        <v>507</v>
      </c>
      <c r="T286" s="1324"/>
      <c r="V286" s="1321" t="s">
        <v>5349</v>
      </c>
      <c r="W286" s="1321">
        <v>507</v>
      </c>
    </row>
    <row r="287" spans="1:23">
      <c r="A287" s="1320" t="s">
        <v>4682</v>
      </c>
      <c r="B287" s="1320">
        <v>412</v>
      </c>
      <c r="C287" s="1322">
        <v>79</v>
      </c>
      <c r="D287" s="1320" t="s">
        <v>5350</v>
      </c>
      <c r="E287" s="1320" t="s">
        <v>4071</v>
      </c>
      <c r="F287" s="1320">
        <f>+'0 MDS Allocation Assignment'!F72</f>
        <v>29376.6058748381</v>
      </c>
      <c r="G287" s="1358">
        <f>+$F287*G1997</f>
        <v>0</v>
      </c>
      <c r="H287" s="1358">
        <f>+$F287*H1997</f>
        <v>29376.6058748381</v>
      </c>
      <c r="I287" s="1323">
        <f t="shared" si="125"/>
        <v>1</v>
      </c>
      <c r="J287" s="1364">
        <f>+H287</f>
        <v>29376.6058748381</v>
      </c>
      <c r="K287" s="1364">
        <f t="shared" ref="K287:Q287" si="127">+$J287*K2018</f>
        <v>26200.607436047747</v>
      </c>
      <c r="L287" s="1364">
        <f t="shared" si="127"/>
        <v>2539.9130279881056</v>
      </c>
      <c r="M287" s="1364">
        <f t="shared" si="127"/>
        <v>625.55893308492159</v>
      </c>
      <c r="N287" s="1367">
        <f t="shared" si="127"/>
        <v>2.1121087976509902</v>
      </c>
      <c r="O287" s="1367">
        <f t="shared" si="127"/>
        <v>0.37472898022840156</v>
      </c>
      <c r="P287" s="1367">
        <f t="shared" si="127"/>
        <v>8.0396399394457045</v>
      </c>
      <c r="Q287" s="1364">
        <f t="shared" si="127"/>
        <v>0</v>
      </c>
      <c r="R287" s="1358"/>
      <c r="S287" s="1320">
        <v>412</v>
      </c>
      <c r="V287" s="1321" t="s">
        <v>5245</v>
      </c>
      <c r="W287" s="1321">
        <v>412</v>
      </c>
    </row>
    <row r="288" spans="1:23">
      <c r="A288" s="1320" t="s">
        <v>4682</v>
      </c>
      <c r="B288" s="1320">
        <v>311</v>
      </c>
      <c r="C288" s="1322">
        <v>80</v>
      </c>
      <c r="D288" s="1320" t="s">
        <v>5351</v>
      </c>
      <c r="E288" s="1320" t="s">
        <v>4071</v>
      </c>
      <c r="F288" s="1320">
        <f>+'0 MDS Allocation Assignment'!F73</f>
        <v>4394.4262944155998</v>
      </c>
      <c r="G288" s="1358">
        <f>+$F288*G1998</f>
        <v>0</v>
      </c>
      <c r="H288" s="1358">
        <f>+$F288*H1997</f>
        <v>4394.4262944155998</v>
      </c>
      <c r="I288" s="1323">
        <f t="shared" si="125"/>
        <v>1</v>
      </c>
      <c r="J288" s="1364">
        <f>+H288</f>
        <v>4394.4262944155998</v>
      </c>
      <c r="K288" s="1364">
        <f t="shared" ref="K288:Q288" si="128">+$J288*K1997</f>
        <v>3896.546152176621</v>
      </c>
      <c r="L288" s="1364">
        <f t="shared" si="128"/>
        <v>381.51978037516085</v>
      </c>
      <c r="M288" s="1364">
        <f t="shared" si="128"/>
        <v>110.63692992499695</v>
      </c>
      <c r="N288" s="1367">
        <f t="shared" si="128"/>
        <v>1.6615471157330242</v>
      </c>
      <c r="O288" s="1367">
        <f t="shared" si="128"/>
        <v>0.59598972629554137</v>
      </c>
      <c r="P288" s="1367">
        <f t="shared" si="128"/>
        <v>3.46589509679188</v>
      </c>
      <c r="Q288" s="1364">
        <f t="shared" si="128"/>
        <v>0</v>
      </c>
      <c r="R288" s="1364"/>
      <c r="S288" s="1320">
        <v>311</v>
      </c>
      <c r="T288" s="1365"/>
      <c r="V288" s="1321" t="s">
        <v>5352</v>
      </c>
      <c r="W288" s="1321">
        <v>311</v>
      </c>
    </row>
    <row r="289" spans="1:25">
      <c r="A289" s="1320" t="s">
        <v>4682</v>
      </c>
      <c r="B289" s="1320">
        <v>412</v>
      </c>
      <c r="C289" s="1322">
        <v>81</v>
      </c>
      <c r="D289" s="1320" t="s">
        <v>5353</v>
      </c>
      <c r="E289" s="1320" t="s">
        <v>4071</v>
      </c>
      <c r="F289" s="1320">
        <f>+'0 MDS Allocation Assignment'!F74</f>
        <v>5164.9798171764114</v>
      </c>
      <c r="G289" s="1358">
        <f>+$F289*G2018</f>
        <v>0</v>
      </c>
      <c r="H289" s="1358">
        <f>+$F289*H2018</f>
        <v>5164.9798171764114</v>
      </c>
      <c r="I289" s="1323">
        <f t="shared" si="125"/>
        <v>1</v>
      </c>
      <c r="J289" s="1364">
        <f>+H289</f>
        <v>5164.9798171764114</v>
      </c>
      <c r="K289" s="1364">
        <f t="shared" ref="K289:Q289" si="129">+$J289*K2018</f>
        <v>4606.5773963648762</v>
      </c>
      <c r="L289" s="1364">
        <f t="shared" si="129"/>
        <v>446.56620927669678</v>
      </c>
      <c r="M289" s="1364">
        <f t="shared" si="129"/>
        <v>109.98545160744634</v>
      </c>
      <c r="N289" s="1364">
        <f t="shared" si="129"/>
        <v>0.37134988834404353</v>
      </c>
      <c r="O289" s="1364">
        <f t="shared" si="129"/>
        <v>6.5884657609427091E-2</v>
      </c>
      <c r="P289" s="1364">
        <f t="shared" si="129"/>
        <v>1.4135253814386175</v>
      </c>
      <c r="Q289" s="1364">
        <f t="shared" si="129"/>
        <v>0</v>
      </c>
      <c r="R289" s="1358"/>
      <c r="S289" s="1320">
        <v>412</v>
      </c>
      <c r="T289" s="1365"/>
      <c r="V289" s="1321" t="s">
        <v>5245</v>
      </c>
      <c r="W289" s="1321">
        <v>412</v>
      </c>
    </row>
    <row r="290" spans="1:25">
      <c r="A290" s="1320" t="s">
        <v>4682</v>
      </c>
      <c r="B290" s="1320">
        <v>412</v>
      </c>
      <c r="C290" s="1322">
        <v>82</v>
      </c>
      <c r="D290" s="1320" t="s">
        <v>5354</v>
      </c>
      <c r="E290" s="1320" t="s">
        <v>4071</v>
      </c>
      <c r="F290" s="1320">
        <f>+'0 MDS Allocation Assignment'!F75</f>
        <v>311.50189999999998</v>
      </c>
      <c r="G290" s="1358">
        <f>+$F290*G2018</f>
        <v>0</v>
      </c>
      <c r="H290" s="1358">
        <f>+$F290*H2018</f>
        <v>311.50189999999998</v>
      </c>
      <c r="I290" s="1323">
        <f t="shared" si="125"/>
        <v>1</v>
      </c>
      <c r="J290" s="1364">
        <f>+H290</f>
        <v>311.50189999999998</v>
      </c>
      <c r="K290" s="1364">
        <f t="shared" ref="K290:Q290" si="130">+$J290*K2018</f>
        <v>277.8244373177771</v>
      </c>
      <c r="L290" s="1364">
        <f t="shared" si="130"/>
        <v>26.932578168627806</v>
      </c>
      <c r="M290" s="1364">
        <f t="shared" si="130"/>
        <v>6.6332644774606679</v>
      </c>
      <c r="N290" s="1364">
        <f t="shared" si="130"/>
        <v>2.2396253204953514E-2</v>
      </c>
      <c r="O290" s="1364">
        <f t="shared" si="130"/>
        <v>3.9735287944272363E-3</v>
      </c>
      <c r="P290" s="1364">
        <f t="shared" si="130"/>
        <v>8.5250254134984341E-2</v>
      </c>
      <c r="Q290" s="1364">
        <f t="shared" si="130"/>
        <v>0</v>
      </c>
      <c r="R290" s="1358"/>
      <c r="S290" s="1320">
        <v>412</v>
      </c>
      <c r="V290" s="1321" t="s">
        <v>5245</v>
      </c>
      <c r="W290" s="1321">
        <v>412</v>
      </c>
    </row>
    <row r="291" spans="1:25">
      <c r="A291" s="1320" t="s">
        <v>4682</v>
      </c>
      <c r="B291" s="1321"/>
      <c r="C291" s="1322">
        <v>83</v>
      </c>
      <c r="D291" s="1320" t="s">
        <v>5355</v>
      </c>
      <c r="F291" s="1427">
        <f>+SUM(F286:F290)</f>
        <v>45044.294312521619</v>
      </c>
      <c r="G291" s="1427">
        <f>SUM(G286:G290)</f>
        <v>0</v>
      </c>
      <c r="H291" s="1427">
        <f>SUM(H286:H290)</f>
        <v>45044.294312521619</v>
      </c>
      <c r="I291" s="1323">
        <f t="shared" si="125"/>
        <v>1</v>
      </c>
      <c r="J291" s="1421">
        <f t="shared" ref="J291:Q291" si="131">SUM(J286:J290)</f>
        <v>45044.294312521619</v>
      </c>
      <c r="K291" s="1421">
        <f t="shared" si="131"/>
        <v>38585.557598011423</v>
      </c>
      <c r="L291" s="1421">
        <f t="shared" si="131"/>
        <v>3767.6813211522372</v>
      </c>
      <c r="M291" s="1421">
        <f>SUM(M286:M290)</f>
        <v>2068.2981252364093</v>
      </c>
      <c r="N291" s="1422">
        <f t="shared" si="131"/>
        <v>177.80135020264154</v>
      </c>
      <c r="O291" s="1422">
        <f>SUM(O286:O290)</f>
        <v>94.195010995342471</v>
      </c>
      <c r="P291" s="1422">
        <f>SUM(P286:P290)</f>
        <v>47.852812758421678</v>
      </c>
      <c r="Q291" s="1421">
        <f t="shared" si="131"/>
        <v>302.90809416513594</v>
      </c>
      <c r="R291" s="1358"/>
      <c r="S291" s="1321"/>
      <c r="T291" s="1321"/>
      <c r="U291" s="1326"/>
      <c r="V291" s="1320" t="s">
        <v>5356</v>
      </c>
    </row>
    <row r="292" spans="1:25">
      <c r="A292" s="1320" t="s">
        <v>4682</v>
      </c>
      <c r="B292" s="1321"/>
      <c r="C292" s="1322">
        <v>84</v>
      </c>
      <c r="G292" s="1320"/>
      <c r="M292" s="1324"/>
      <c r="P292" s="1325"/>
      <c r="S292" s="1321"/>
      <c r="T292" s="1321"/>
      <c r="U292" s="1326"/>
    </row>
    <row r="293" spans="1:25">
      <c r="A293" s="1320" t="s">
        <v>4682</v>
      </c>
      <c r="B293" s="1321"/>
      <c r="C293" s="1322">
        <v>85</v>
      </c>
      <c r="D293" s="1356" t="s">
        <v>5357</v>
      </c>
      <c r="G293" s="1320"/>
      <c r="M293" s="1324"/>
      <c r="P293" s="1325"/>
      <c r="S293" s="1321"/>
      <c r="T293" s="1321"/>
      <c r="U293" s="1326"/>
    </row>
    <row r="294" spans="1:25">
      <c r="A294" s="1320" t="s">
        <v>4682</v>
      </c>
      <c r="B294" s="1320">
        <v>101</v>
      </c>
      <c r="C294" s="1322">
        <v>86</v>
      </c>
      <c r="D294" s="1320" t="s">
        <v>5265</v>
      </c>
      <c r="E294" s="1320" t="s">
        <v>4067</v>
      </c>
      <c r="F294" s="1320">
        <f>+'0 MDS Allocation Assignment'!F76-'0 MDS Allocation Assignment'!F85</f>
        <v>57914.995842463672</v>
      </c>
      <c r="G294" s="1358">
        <f>+$F294*G$1933</f>
        <v>0</v>
      </c>
      <c r="H294" s="1358">
        <f>+$F294*H$1933</f>
        <v>57914.995842463672</v>
      </c>
      <c r="I294" s="1323">
        <f t="shared" ref="I294:I303" si="132">IF(F294=0,0,+H294/F294)</f>
        <v>1</v>
      </c>
      <c r="J294" s="1364">
        <f t="shared" ref="J294:J302" si="133">+H294</f>
        <v>57914.995842463672</v>
      </c>
      <c r="K294" s="1324">
        <f t="shared" ref="K294:Q294" si="134">$J294*K$1951</f>
        <v>33591.452807339752</v>
      </c>
      <c r="L294" s="1324">
        <f t="shared" si="134"/>
        <v>2770.9560345659652</v>
      </c>
      <c r="M294" s="1324">
        <f t="shared" si="134"/>
        <v>17713.329834932345</v>
      </c>
      <c r="N294" s="1324">
        <f t="shared" si="134"/>
        <v>2211.2743671176695</v>
      </c>
      <c r="O294" s="1324">
        <f t="shared" si="134"/>
        <v>1586.9214945406738</v>
      </c>
      <c r="P294" s="1324">
        <f t="shared" si="134"/>
        <v>41.061303967266369</v>
      </c>
      <c r="Q294" s="1324">
        <f t="shared" si="134"/>
        <v>0</v>
      </c>
      <c r="R294" s="1324"/>
      <c r="S294" s="1324">
        <v>122</v>
      </c>
      <c r="V294" s="1321" t="s">
        <v>5227</v>
      </c>
      <c r="W294" s="1321">
        <v>122</v>
      </c>
    </row>
    <row r="295" spans="1:25" s="1324" customFormat="1">
      <c r="A295" s="1324" t="s">
        <v>4682</v>
      </c>
      <c r="B295" s="1324">
        <v>101</v>
      </c>
      <c r="C295" s="1393">
        <v>87</v>
      </c>
      <c r="D295" s="1324" t="s">
        <v>5358</v>
      </c>
      <c r="E295" s="1324" t="s">
        <v>4067</v>
      </c>
      <c r="F295" s="1320">
        <f>+'0 MDS Allocation Assignment'!F77-'0 MDS Allocation Assignment'!F86</f>
        <v>3179.9221784590645</v>
      </c>
      <c r="G295" s="1364">
        <f>+$F295*G$1933</f>
        <v>0</v>
      </c>
      <c r="H295" s="1364">
        <f>+$F295*H$1933</f>
        <v>3179.9221784590645</v>
      </c>
      <c r="I295" s="1374">
        <f>IF(F295=0,0,+H295/F295)</f>
        <v>1</v>
      </c>
      <c r="J295" s="1364">
        <f>+H295</f>
        <v>3179.9221784590645</v>
      </c>
      <c r="K295" s="1324">
        <f t="shared" ref="K295:Q295" si="135">$J295*K$1948</f>
        <v>1844.3963300848732</v>
      </c>
      <c r="L295" s="1324">
        <f t="shared" si="135"/>
        <v>152.14409362679601</v>
      </c>
      <c r="M295" s="1324">
        <f t="shared" si="135"/>
        <v>972.58075524478681</v>
      </c>
      <c r="N295" s="1324">
        <f t="shared" si="135"/>
        <v>121.41381174890516</v>
      </c>
      <c r="O295" s="1324">
        <f t="shared" si="135"/>
        <v>87.132646433919305</v>
      </c>
      <c r="P295" s="1324">
        <f t="shared" si="135"/>
        <v>2.254541319784114</v>
      </c>
      <c r="Q295" s="1324">
        <f t="shared" si="135"/>
        <v>0</v>
      </c>
      <c r="S295" s="1324">
        <v>121</v>
      </c>
      <c r="V295" s="1326" t="s">
        <v>5287</v>
      </c>
      <c r="W295" s="1326">
        <v>121</v>
      </c>
    </row>
    <row r="296" spans="1:25">
      <c r="A296" s="1320" t="s">
        <v>4682</v>
      </c>
      <c r="B296" s="1320">
        <v>201</v>
      </c>
      <c r="C296" s="1322">
        <v>88</v>
      </c>
      <c r="D296" s="1320" t="s">
        <v>5265</v>
      </c>
      <c r="E296" s="1320" t="s">
        <v>2067</v>
      </c>
      <c r="F296" s="1320">
        <f>+'0 MDS Allocation Assignment'!F78-'0 MDS Allocation Assignment'!F86</f>
        <v>12296.231975068233</v>
      </c>
      <c r="G296" s="1358">
        <f>+$F296*G$1966</f>
        <v>0</v>
      </c>
      <c r="H296" s="1358">
        <f>+$F296*H$1966</f>
        <v>12296.231975068233</v>
      </c>
      <c r="I296" s="1323">
        <f t="shared" si="132"/>
        <v>1</v>
      </c>
      <c r="J296" s="1364">
        <f t="shared" si="133"/>
        <v>12296.231975068233</v>
      </c>
      <c r="K296" s="1364">
        <f t="shared" ref="K296:Q296" si="136">+$J296*K$1966</f>
        <v>6205.0990040087381</v>
      </c>
      <c r="L296" s="1364">
        <f t="shared" si="136"/>
        <v>573.42378678306409</v>
      </c>
      <c r="M296" s="1364">
        <f t="shared" si="136"/>
        <v>4271.7844863931214</v>
      </c>
      <c r="N296" s="1367">
        <f t="shared" si="136"/>
        <v>679.99940522765382</v>
      </c>
      <c r="O296" s="1367">
        <f t="shared" si="136"/>
        <v>500.9636296088799</v>
      </c>
      <c r="P296" s="1367">
        <f t="shared" si="136"/>
        <v>64.961663046775172</v>
      </c>
      <c r="Q296" s="1364">
        <f t="shared" si="136"/>
        <v>0</v>
      </c>
      <c r="R296" s="1358"/>
      <c r="S296" s="1320">
        <v>201</v>
      </c>
      <c r="V296" s="1321" t="s">
        <v>5235</v>
      </c>
      <c r="W296" s="1321">
        <v>201</v>
      </c>
    </row>
    <row r="297" spans="1:25">
      <c r="A297" s="1320" t="s">
        <v>4682</v>
      </c>
      <c r="B297" s="1320">
        <v>117</v>
      </c>
      <c r="C297" s="1322">
        <v>89</v>
      </c>
      <c r="D297" s="1320" t="s">
        <v>5268</v>
      </c>
      <c r="E297" s="1320" t="s">
        <v>4067</v>
      </c>
      <c r="F297" s="1320">
        <f>+'0 MDS Allocation Assignment'!F79-'0 MDS Allocation Assignment'!F87</f>
        <v>1915.8589095106888</v>
      </c>
      <c r="G297" s="1358">
        <f>+$F297*G$1942</f>
        <v>124.12247522504288</v>
      </c>
      <c r="H297" s="1358">
        <f>+$F297*H$1942</f>
        <v>1791.7364342856458</v>
      </c>
      <c r="I297" s="1323">
        <f t="shared" si="132"/>
        <v>0.93521314403222733</v>
      </c>
      <c r="J297" s="1364">
        <f t="shared" si="133"/>
        <v>1791.7364342856458</v>
      </c>
      <c r="K297" s="1364">
        <f t="shared" ref="K297:Q298" si="137">+$J297*K$1945</f>
        <v>1039.230496350445</v>
      </c>
      <c r="L297" s="1364">
        <f t="shared" si="137"/>
        <v>85.726033693250699</v>
      </c>
      <c r="M297" s="1364">
        <f t="shared" si="137"/>
        <v>548.00346570165834</v>
      </c>
      <c r="N297" s="1367">
        <f t="shared" si="137"/>
        <v>68.410966661274983</v>
      </c>
      <c r="O297" s="1367">
        <f t="shared" si="137"/>
        <v>49.095143990924626</v>
      </c>
      <c r="P297" s="1367">
        <f t="shared" si="137"/>
        <v>1.2703278880922599</v>
      </c>
      <c r="Q297" s="1364">
        <f t="shared" si="137"/>
        <v>0</v>
      </c>
      <c r="R297" s="1358"/>
      <c r="S297" s="1320">
        <v>117</v>
      </c>
      <c r="V297" s="1321" t="s">
        <v>5228</v>
      </c>
      <c r="W297" s="1321">
        <v>117</v>
      </c>
    </row>
    <row r="298" spans="1:25">
      <c r="A298" s="1320" t="s">
        <v>4682</v>
      </c>
      <c r="B298" s="1320">
        <v>117</v>
      </c>
      <c r="C298" s="1322">
        <v>90</v>
      </c>
      <c r="D298" s="1320" t="s">
        <v>5239</v>
      </c>
      <c r="E298" s="1320" t="s">
        <v>4067</v>
      </c>
      <c r="F298" s="1320">
        <f>+'0 MDS Allocation Assignment'!F80-'0 MDS Allocation Assignment'!F88</f>
        <v>6436.1742804940477</v>
      </c>
      <c r="G298" s="1358">
        <f>+$F298*G$1942</f>
        <v>416.97949609385034</v>
      </c>
      <c r="H298" s="1358">
        <f>+$F298*H$1942</f>
        <v>6019.194784400197</v>
      </c>
      <c r="I298" s="1323">
        <f t="shared" si="132"/>
        <v>0.93521314403222733</v>
      </c>
      <c r="J298" s="1364">
        <f t="shared" si="133"/>
        <v>6019.194784400197</v>
      </c>
      <c r="K298" s="1364">
        <f t="shared" si="137"/>
        <v>3491.2114659967765</v>
      </c>
      <c r="L298" s="1364">
        <f t="shared" si="137"/>
        <v>287.98973164792335</v>
      </c>
      <c r="M298" s="1364">
        <f t="shared" si="137"/>
        <v>1840.9736719450937</v>
      </c>
      <c r="N298" s="1367">
        <f t="shared" si="137"/>
        <v>229.82115329227864</v>
      </c>
      <c r="O298" s="1367">
        <f t="shared" si="137"/>
        <v>164.93119690752366</v>
      </c>
      <c r="P298" s="1367">
        <f t="shared" si="137"/>
        <v>4.2675646106016707</v>
      </c>
      <c r="Q298" s="1364">
        <f t="shared" si="137"/>
        <v>0</v>
      </c>
      <c r="R298" s="1358"/>
      <c r="S298" s="1320">
        <v>117</v>
      </c>
      <c r="V298" s="1321" t="s">
        <v>5228</v>
      </c>
      <c r="W298" s="1321">
        <v>117</v>
      </c>
    </row>
    <row r="299" spans="1:25">
      <c r="A299" s="1320" t="s">
        <v>4682</v>
      </c>
      <c r="B299" s="1320">
        <v>105</v>
      </c>
      <c r="C299" s="1322">
        <v>91</v>
      </c>
      <c r="D299" s="1320" t="s">
        <v>5240</v>
      </c>
      <c r="E299" s="1320" t="s">
        <v>4067</v>
      </c>
      <c r="F299" s="1320">
        <f>+'0 MDS Allocation Assignment'!F81-'0 MDS Allocation Assignment'!F89</f>
        <v>28199.935644037185</v>
      </c>
      <c r="G299" s="1358">
        <f>+$F299*G$1936</f>
        <v>0</v>
      </c>
      <c r="H299" s="1358">
        <f>+$F299*H$1936</f>
        <v>28199.935644037185</v>
      </c>
      <c r="I299" s="1323">
        <f t="shared" si="132"/>
        <v>1</v>
      </c>
      <c r="J299" s="1364">
        <f t="shared" si="133"/>
        <v>28199.935644037185</v>
      </c>
      <c r="K299" s="1364">
        <f t="shared" ref="K299:Q299" si="138">+$J299*K$1936</f>
        <v>17552.091484389191</v>
      </c>
      <c r="L299" s="1364">
        <f t="shared" si="138"/>
        <v>1248.3487680575145</v>
      </c>
      <c r="M299" s="1364">
        <f t="shared" si="138"/>
        <v>8358.4744385341528</v>
      </c>
      <c r="N299" s="1367">
        <f t="shared" si="138"/>
        <v>879.14345469457567</v>
      </c>
      <c r="O299" s="1367">
        <f t="shared" si="138"/>
        <v>6.0026202414310056E-4</v>
      </c>
      <c r="P299" s="1367">
        <f t="shared" si="138"/>
        <v>161.87689809973335</v>
      </c>
      <c r="Q299" s="1364">
        <f t="shared" si="138"/>
        <v>0</v>
      </c>
      <c r="R299" s="1358"/>
      <c r="S299" s="1320">
        <v>105</v>
      </c>
      <c r="V299" s="1321" t="s">
        <v>5229</v>
      </c>
      <c r="W299" s="1321">
        <v>105</v>
      </c>
    </row>
    <row r="300" spans="1:25">
      <c r="A300" s="1320" t="s">
        <v>4682</v>
      </c>
      <c r="B300" s="1320">
        <v>106</v>
      </c>
      <c r="C300" s="1322">
        <v>92</v>
      </c>
      <c r="D300" s="1320" t="s">
        <v>5241</v>
      </c>
      <c r="E300" s="1320" t="s">
        <v>4067</v>
      </c>
      <c r="F300" s="1320">
        <f>+'0 MDS Allocation Assignment'!F82-'0 MDS Allocation Assignment'!F90</f>
        <v>4599.2170565179349</v>
      </c>
      <c r="G300" s="1358">
        <f>+$F300*G$1939</f>
        <v>0</v>
      </c>
      <c r="H300" s="1358">
        <f>+$F300*H$1939</f>
        <v>4599.2170565179349</v>
      </c>
      <c r="I300" s="1323">
        <f t="shared" si="132"/>
        <v>1</v>
      </c>
      <c r="J300" s="1364">
        <f t="shared" si="133"/>
        <v>4599.2170565179349</v>
      </c>
      <c r="K300" s="1364">
        <f t="shared" ref="K300:Q300" si="139">+$J300*K$1939</f>
        <v>3355.7417403424779</v>
      </c>
      <c r="L300" s="1364">
        <f t="shared" si="139"/>
        <v>270.20380893339512</v>
      </c>
      <c r="M300" s="1364">
        <f t="shared" si="139"/>
        <v>956.63416973566189</v>
      </c>
      <c r="N300" s="1367">
        <f t="shared" si="139"/>
        <v>0</v>
      </c>
      <c r="O300" s="1367">
        <f t="shared" si="139"/>
        <v>0</v>
      </c>
      <c r="P300" s="1367">
        <f t="shared" si="139"/>
        <v>16.63733750639971</v>
      </c>
      <c r="Q300" s="1364">
        <f t="shared" si="139"/>
        <v>0</v>
      </c>
      <c r="R300" s="1358"/>
      <c r="S300" s="1320">
        <v>106</v>
      </c>
      <c r="V300" s="1321" t="s">
        <v>5230</v>
      </c>
      <c r="W300" s="1321">
        <v>106</v>
      </c>
    </row>
    <row r="301" spans="1:25" s="1324" customFormat="1">
      <c r="A301" s="1320" t="s">
        <v>4682</v>
      </c>
      <c r="B301" s="1324">
        <v>607</v>
      </c>
      <c r="C301" s="1393">
        <v>93</v>
      </c>
      <c r="D301" s="1324" t="s">
        <v>5242</v>
      </c>
      <c r="E301" s="1324" t="s">
        <v>4071</v>
      </c>
      <c r="F301" s="1320">
        <f>+'0 MDS Allocation Assignment'!F83-'0 MDS Allocation Assignment'!F91</f>
        <v>19947.388751860555</v>
      </c>
      <c r="G301" s="1364">
        <f>+$F301*G$2049</f>
        <v>0</v>
      </c>
      <c r="H301" s="1364">
        <f>+$F301*H$2049</f>
        <v>19947.388751860555</v>
      </c>
      <c r="I301" s="1374">
        <f t="shared" si="132"/>
        <v>1</v>
      </c>
      <c r="J301" s="1364">
        <f t="shared" si="133"/>
        <v>19947.388751860555</v>
      </c>
      <c r="K301" s="1364">
        <f t="shared" ref="K301:Q301" si="140">+$J301*K$2049</f>
        <v>11196.615437560582</v>
      </c>
      <c r="L301" s="1364">
        <f t="shared" si="140"/>
        <v>2175.4644141441013</v>
      </c>
      <c r="M301" s="1364">
        <f t="shared" si="140"/>
        <v>1249.3233498413476</v>
      </c>
      <c r="N301" s="1367">
        <f t="shared" si="140"/>
        <v>93.846936935586299</v>
      </c>
      <c r="O301" s="1367">
        <f t="shared" si="140"/>
        <v>102.39094771505992</v>
      </c>
      <c r="P301" s="1367">
        <f t="shared" si="140"/>
        <v>21.030959709801746</v>
      </c>
      <c r="Q301" s="1364">
        <f t="shared" si="140"/>
        <v>5108.7167059540761</v>
      </c>
      <c r="R301" s="1364"/>
      <c r="S301" s="1324">
        <v>607</v>
      </c>
      <c r="V301" s="1321" t="s">
        <v>5359</v>
      </c>
      <c r="W301" s="1321">
        <v>607</v>
      </c>
      <c r="Y301" s="1320"/>
    </row>
    <row r="302" spans="1:25">
      <c r="A302" s="1320" t="s">
        <v>4682</v>
      </c>
      <c r="B302" s="1324">
        <v>412</v>
      </c>
      <c r="C302" s="1393">
        <v>94</v>
      </c>
      <c r="D302" s="1324" t="s">
        <v>5244</v>
      </c>
      <c r="E302" s="1324" t="s">
        <v>4071</v>
      </c>
      <c r="F302" s="1320">
        <f>+'0 MDS Allocation Assignment'!F84-'0 MDS Allocation Assignment'!F92</f>
        <v>23796.834673743058</v>
      </c>
      <c r="G302" s="1364">
        <f>+$F302*G$2018</f>
        <v>0</v>
      </c>
      <c r="H302" s="1364">
        <f>+$F302*H$2018</f>
        <v>23796.834673743058</v>
      </c>
      <c r="I302" s="1323">
        <f t="shared" si="132"/>
        <v>1</v>
      </c>
      <c r="J302" s="1364">
        <f t="shared" si="133"/>
        <v>23796.834673743058</v>
      </c>
      <c r="K302" s="1364">
        <f t="shared" ref="K302:Q302" si="141">+$J302*K$2018</f>
        <v>21224.083073576225</v>
      </c>
      <c r="L302" s="1364">
        <f t="shared" si="141"/>
        <v>2057.4837906815255</v>
      </c>
      <c r="M302" s="1364">
        <f t="shared" si="141"/>
        <v>506.74072330648437</v>
      </c>
      <c r="N302" s="1364">
        <f t="shared" si="141"/>
        <v>1.7109363853946538</v>
      </c>
      <c r="O302" s="1364">
        <f t="shared" si="141"/>
        <v>0.30355322966679343</v>
      </c>
      <c r="P302" s="1364">
        <f t="shared" si="141"/>
        <v>6.5125965637602947</v>
      </c>
      <c r="Q302" s="1364">
        <f t="shared" si="141"/>
        <v>0</v>
      </c>
      <c r="R302" s="1358"/>
      <c r="S302" s="1320">
        <v>412</v>
      </c>
      <c r="V302" s="1321" t="s">
        <v>5245</v>
      </c>
      <c r="W302" s="1321">
        <v>412</v>
      </c>
    </row>
    <row r="303" spans="1:25">
      <c r="A303" s="1320" t="s">
        <v>4682</v>
      </c>
      <c r="C303" s="1322">
        <v>95</v>
      </c>
      <c r="D303" s="1320" t="s">
        <v>5360</v>
      </c>
      <c r="F303" s="1427">
        <f>+SUM(F294:F302)</f>
        <v>158286.55931215442</v>
      </c>
      <c r="G303" s="1427">
        <f>SUM(G294:G302)</f>
        <v>541.10197131889322</v>
      </c>
      <c r="H303" s="1427">
        <f>SUM(H294:H302)</f>
        <v>157745.45734083554</v>
      </c>
      <c r="I303" s="1323">
        <f t="shared" si="132"/>
        <v>0.99658150399079815</v>
      </c>
      <c r="J303" s="1421">
        <f t="shared" ref="J303:Q303" si="142">SUM(J294:J302)</f>
        <v>157745.45734083554</v>
      </c>
      <c r="K303" s="1421">
        <f t="shared" si="142"/>
        <v>99499.921839649061</v>
      </c>
      <c r="L303" s="1421">
        <f t="shared" si="142"/>
        <v>9621.7404621335372</v>
      </c>
      <c r="M303" s="1421">
        <f t="shared" si="142"/>
        <v>36417.844895634655</v>
      </c>
      <c r="N303" s="1422">
        <f t="shared" si="142"/>
        <v>4285.6210320633381</v>
      </c>
      <c r="O303" s="1422">
        <f>SUM(O294:O302)</f>
        <v>2491.7392126886725</v>
      </c>
      <c r="P303" s="1422">
        <f>SUM(P294:P302)</f>
        <v>319.87319271221463</v>
      </c>
      <c r="Q303" s="1421">
        <f t="shared" si="142"/>
        <v>5108.7167059540761</v>
      </c>
      <c r="R303" s="1358"/>
      <c r="V303" s="1320" t="s">
        <v>5361</v>
      </c>
    </row>
    <row r="304" spans="1:25">
      <c r="A304" s="1320" t="s">
        <v>4682</v>
      </c>
      <c r="C304" s="1322">
        <v>96</v>
      </c>
      <c r="F304" s="1358"/>
      <c r="G304" s="1358"/>
      <c r="H304" s="1358"/>
      <c r="J304" s="1364"/>
      <c r="K304" s="1364"/>
      <c r="L304" s="1364"/>
      <c r="M304" s="1364"/>
      <c r="N304" s="1367"/>
      <c r="O304" s="1367"/>
      <c r="P304" s="1367"/>
      <c r="Q304" s="1364"/>
      <c r="R304" s="1358"/>
    </row>
    <row r="305" spans="1:23">
      <c r="A305" s="1320" t="s">
        <v>4682</v>
      </c>
      <c r="C305" s="1322">
        <v>97</v>
      </c>
      <c r="D305" s="1356" t="s">
        <v>5362</v>
      </c>
      <c r="F305" s="1358"/>
      <c r="G305" s="1358"/>
      <c r="H305" s="1358"/>
      <c r="J305" s="1364"/>
      <c r="K305" s="1364"/>
      <c r="L305" s="1364"/>
      <c r="M305" s="1364"/>
      <c r="N305" s="1367"/>
      <c r="O305" s="1367"/>
      <c r="P305" s="1367"/>
      <c r="Q305" s="1364"/>
      <c r="R305" s="1358"/>
    </row>
    <row r="306" spans="1:23" s="1324" customFormat="1">
      <c r="A306" s="1324" t="s">
        <v>4682</v>
      </c>
      <c r="B306" s="1324">
        <v>101</v>
      </c>
      <c r="C306" s="1393">
        <v>98</v>
      </c>
      <c r="D306" s="1324" t="s">
        <v>5265</v>
      </c>
      <c r="E306" s="1324" t="s">
        <v>4067</v>
      </c>
      <c r="F306" s="1364">
        <f>+'0 MDS Allocation Assignment'!F85</f>
        <v>0</v>
      </c>
      <c r="G306" s="1364">
        <f>$F306*G1933</f>
        <v>0</v>
      </c>
      <c r="H306" s="1364">
        <f>$F306*H1933</f>
        <v>0</v>
      </c>
      <c r="I306" s="1374">
        <f t="shared" ref="I306:I314" si="143">IF(F306=0,0,+H306/F306)</f>
        <v>0</v>
      </c>
      <c r="J306" s="1364">
        <f t="shared" ref="J306:J313" si="144">H306</f>
        <v>0</v>
      </c>
      <c r="K306" s="1324">
        <f t="shared" ref="K306:Q306" si="145">$J306*K$1951</f>
        <v>0</v>
      </c>
      <c r="L306" s="1324">
        <f t="shared" si="145"/>
        <v>0</v>
      </c>
      <c r="M306" s="1324">
        <f t="shared" si="145"/>
        <v>0</v>
      </c>
      <c r="N306" s="1324">
        <f t="shared" si="145"/>
        <v>0</v>
      </c>
      <c r="O306" s="1324">
        <f t="shared" si="145"/>
        <v>0</v>
      </c>
      <c r="P306" s="1324">
        <f t="shared" si="145"/>
        <v>0</v>
      </c>
      <c r="Q306" s="1324">
        <f t="shared" si="145"/>
        <v>0</v>
      </c>
      <c r="S306" s="1324">
        <v>122</v>
      </c>
      <c r="V306" s="1326" t="s">
        <v>5227</v>
      </c>
      <c r="W306" s="1326">
        <v>122</v>
      </c>
    </row>
    <row r="307" spans="1:23" s="1324" customFormat="1">
      <c r="A307" s="1324" t="s">
        <v>4682</v>
      </c>
      <c r="B307" s="1324">
        <v>204</v>
      </c>
      <c r="C307" s="1393">
        <v>99</v>
      </c>
      <c r="D307" s="1324" t="s">
        <v>5265</v>
      </c>
      <c r="E307" s="1324" t="s">
        <v>2067</v>
      </c>
      <c r="F307" s="1364">
        <f>+'0 MDS Allocation Assignment'!F86</f>
        <v>0</v>
      </c>
      <c r="G307" s="1364">
        <f>$F307*G1972</f>
        <v>0</v>
      </c>
      <c r="H307" s="1364">
        <f>$F307*H1972</f>
        <v>0</v>
      </c>
      <c r="I307" s="1374">
        <f t="shared" si="143"/>
        <v>0</v>
      </c>
      <c r="J307" s="1364">
        <f t="shared" si="144"/>
        <v>0</v>
      </c>
      <c r="K307" s="1364">
        <f t="shared" ref="K307:Q307" si="146">$J307*K1972</f>
        <v>0</v>
      </c>
      <c r="L307" s="1364">
        <f t="shared" si="146"/>
        <v>0</v>
      </c>
      <c r="M307" s="1364">
        <f t="shared" si="146"/>
        <v>0</v>
      </c>
      <c r="N307" s="1364">
        <f t="shared" si="146"/>
        <v>0</v>
      </c>
      <c r="O307" s="1364">
        <f t="shared" si="146"/>
        <v>0</v>
      </c>
      <c r="P307" s="1364">
        <f t="shared" si="146"/>
        <v>0</v>
      </c>
      <c r="Q307" s="1364">
        <f t="shared" si="146"/>
        <v>0</v>
      </c>
      <c r="R307" s="1364"/>
      <c r="S307" s="1324">
        <v>204</v>
      </c>
      <c r="V307" s="1326" t="s">
        <v>5254</v>
      </c>
      <c r="W307" s="1326">
        <v>204</v>
      </c>
    </row>
    <row r="308" spans="1:23" s="1324" customFormat="1">
      <c r="A308" s="1324" t="s">
        <v>4682</v>
      </c>
      <c r="B308" s="1324">
        <v>817</v>
      </c>
      <c r="C308" s="1393">
        <v>100</v>
      </c>
      <c r="D308" s="1324" t="s">
        <v>5268</v>
      </c>
      <c r="E308" s="1324" t="s">
        <v>4067</v>
      </c>
      <c r="F308" s="1364">
        <f>+'0 MDS Allocation Assignment'!F87</f>
        <v>0</v>
      </c>
      <c r="G308" s="1364">
        <f>$F308*G2055</f>
        <v>0</v>
      </c>
      <c r="H308" s="1364">
        <f>$F308*H2055</f>
        <v>0</v>
      </c>
      <c r="I308" s="1374">
        <f t="shared" si="143"/>
        <v>0</v>
      </c>
      <c r="J308" s="1364">
        <f t="shared" si="144"/>
        <v>0</v>
      </c>
      <c r="K308" s="1364">
        <f t="shared" ref="K308:Q308" si="147">$J308*K2055</f>
        <v>0</v>
      </c>
      <c r="L308" s="1364">
        <f t="shared" si="147"/>
        <v>0</v>
      </c>
      <c r="M308" s="1364">
        <f t="shared" si="147"/>
        <v>0</v>
      </c>
      <c r="N308" s="1364">
        <f t="shared" si="147"/>
        <v>0</v>
      </c>
      <c r="O308" s="1364">
        <f t="shared" si="147"/>
        <v>0</v>
      </c>
      <c r="P308" s="1364">
        <f t="shared" si="147"/>
        <v>0</v>
      </c>
      <c r="Q308" s="1364">
        <f t="shared" si="147"/>
        <v>0</v>
      </c>
      <c r="R308" s="1364"/>
      <c r="S308" s="1324">
        <v>817</v>
      </c>
      <c r="V308" s="1326" t="s">
        <v>5363</v>
      </c>
      <c r="W308" s="1326">
        <v>817</v>
      </c>
    </row>
    <row r="309" spans="1:23" s="1324" customFormat="1">
      <c r="A309" s="1324" t="s">
        <v>4682</v>
      </c>
      <c r="B309" s="1324">
        <v>817</v>
      </c>
      <c r="C309" s="1393">
        <v>101</v>
      </c>
      <c r="D309" s="1324" t="s">
        <v>5239</v>
      </c>
      <c r="E309" s="1324" t="s">
        <v>4067</v>
      </c>
      <c r="F309" s="1364">
        <f>+'0 MDS Allocation Assignment'!F88</f>
        <v>0</v>
      </c>
      <c r="G309" s="1364">
        <f>$F309*G2055</f>
        <v>0</v>
      </c>
      <c r="H309" s="1364">
        <f>$F309*H2055</f>
        <v>0</v>
      </c>
      <c r="I309" s="1374">
        <f t="shared" si="143"/>
        <v>0</v>
      </c>
      <c r="J309" s="1364">
        <f t="shared" si="144"/>
        <v>0</v>
      </c>
      <c r="K309" s="1364">
        <f t="shared" ref="K309:Q309" si="148">$J309*K2055</f>
        <v>0</v>
      </c>
      <c r="L309" s="1364">
        <f t="shared" si="148"/>
        <v>0</v>
      </c>
      <c r="M309" s="1364">
        <f t="shared" si="148"/>
        <v>0</v>
      </c>
      <c r="N309" s="1364">
        <f t="shared" si="148"/>
        <v>0</v>
      </c>
      <c r="O309" s="1364">
        <f t="shared" si="148"/>
        <v>0</v>
      </c>
      <c r="P309" s="1364">
        <f t="shared" si="148"/>
        <v>0</v>
      </c>
      <c r="Q309" s="1364">
        <f t="shared" si="148"/>
        <v>0</v>
      </c>
      <c r="R309" s="1364"/>
      <c r="S309" s="1324">
        <v>817</v>
      </c>
      <c r="V309" s="1326" t="s">
        <v>5363</v>
      </c>
      <c r="W309" s="1326">
        <v>817</v>
      </c>
    </row>
    <row r="310" spans="1:23">
      <c r="A310" s="1320" t="s">
        <v>4682</v>
      </c>
      <c r="B310" s="1320">
        <v>105</v>
      </c>
      <c r="C310" s="1322">
        <v>102</v>
      </c>
      <c r="D310" s="1320" t="s">
        <v>5240</v>
      </c>
      <c r="E310" s="1320" t="s">
        <v>4067</v>
      </c>
      <c r="F310" s="1364">
        <f>+'0 MDS Allocation Assignment'!F89</f>
        <v>0</v>
      </c>
      <c r="G310" s="1358">
        <f>$F310*G1936</f>
        <v>0</v>
      </c>
      <c r="H310" s="1358">
        <f>$F310*H1936</f>
        <v>0</v>
      </c>
      <c r="I310" s="1323">
        <f t="shared" si="143"/>
        <v>0</v>
      </c>
      <c r="J310" s="1364">
        <f t="shared" si="144"/>
        <v>0</v>
      </c>
      <c r="K310" s="1364">
        <f t="shared" ref="K310:Q310" si="149">$J310*K1936</f>
        <v>0</v>
      </c>
      <c r="L310" s="1364">
        <f t="shared" si="149"/>
        <v>0</v>
      </c>
      <c r="M310" s="1364">
        <f t="shared" si="149"/>
        <v>0</v>
      </c>
      <c r="N310" s="1364">
        <f t="shared" si="149"/>
        <v>0</v>
      </c>
      <c r="O310" s="1364">
        <f t="shared" si="149"/>
        <v>0</v>
      </c>
      <c r="P310" s="1364">
        <f t="shared" si="149"/>
        <v>0</v>
      </c>
      <c r="Q310" s="1364">
        <f t="shared" si="149"/>
        <v>0</v>
      </c>
      <c r="R310" s="1358"/>
      <c r="S310" s="1320">
        <v>105</v>
      </c>
      <c r="V310" s="1321" t="s">
        <v>5229</v>
      </c>
      <c r="W310" s="1321">
        <v>105</v>
      </c>
    </row>
    <row r="311" spans="1:23">
      <c r="A311" s="1320" t="s">
        <v>4682</v>
      </c>
      <c r="B311" s="1320">
        <v>106</v>
      </c>
      <c r="C311" s="1322">
        <v>103</v>
      </c>
      <c r="D311" s="1320" t="s">
        <v>5241</v>
      </c>
      <c r="E311" s="1320" t="s">
        <v>4067</v>
      </c>
      <c r="F311" s="1364">
        <f>+'0 MDS Allocation Assignment'!F90</f>
        <v>0</v>
      </c>
      <c r="G311" s="1358">
        <f>$F311*G1939</f>
        <v>0</v>
      </c>
      <c r="H311" s="1358">
        <f>$F311*H1939</f>
        <v>0</v>
      </c>
      <c r="I311" s="1323">
        <f t="shared" si="143"/>
        <v>0</v>
      </c>
      <c r="J311" s="1364">
        <f t="shared" si="144"/>
        <v>0</v>
      </c>
      <c r="K311" s="1364">
        <f t="shared" ref="K311:Q311" si="150">$J311*K1939</f>
        <v>0</v>
      </c>
      <c r="L311" s="1364">
        <f t="shared" si="150"/>
        <v>0</v>
      </c>
      <c r="M311" s="1364">
        <f t="shared" si="150"/>
        <v>0</v>
      </c>
      <c r="N311" s="1364">
        <f t="shared" si="150"/>
        <v>0</v>
      </c>
      <c r="O311" s="1364">
        <f t="shared" si="150"/>
        <v>0</v>
      </c>
      <c r="P311" s="1364">
        <f t="shared" si="150"/>
        <v>0</v>
      </c>
      <c r="Q311" s="1364">
        <f t="shared" si="150"/>
        <v>0</v>
      </c>
      <c r="R311" s="1358"/>
      <c r="S311" s="1320">
        <v>106</v>
      </c>
      <c r="V311" s="1321" t="s">
        <v>5230</v>
      </c>
      <c r="W311" s="1321">
        <v>106</v>
      </c>
    </row>
    <row r="312" spans="1:23">
      <c r="A312" s="1320" t="s">
        <v>4682</v>
      </c>
      <c r="B312" s="1324">
        <v>607</v>
      </c>
      <c r="C312" s="1322">
        <v>104</v>
      </c>
      <c r="D312" s="1324" t="s">
        <v>5242</v>
      </c>
      <c r="E312" s="1324" t="s">
        <v>4071</v>
      </c>
      <c r="F312" s="1364">
        <f>+'0 MDS Allocation Assignment'!F91</f>
        <v>0</v>
      </c>
      <c r="G312" s="1358">
        <f>$F312*G2049</f>
        <v>0</v>
      </c>
      <c r="H312" s="1358">
        <f>$F312*H2049</f>
        <v>0</v>
      </c>
      <c r="I312" s="1374">
        <f t="shared" si="143"/>
        <v>0</v>
      </c>
      <c r="J312" s="1364">
        <f t="shared" si="144"/>
        <v>0</v>
      </c>
      <c r="K312" s="1364">
        <f t="shared" ref="K312:Q312" si="151">+$J312*K$2049</f>
        <v>0</v>
      </c>
      <c r="L312" s="1364">
        <f t="shared" si="151"/>
        <v>0</v>
      </c>
      <c r="M312" s="1364">
        <f t="shared" si="151"/>
        <v>0</v>
      </c>
      <c r="N312" s="1367">
        <f t="shared" si="151"/>
        <v>0</v>
      </c>
      <c r="O312" s="1367">
        <f t="shared" si="151"/>
        <v>0</v>
      </c>
      <c r="P312" s="1367">
        <f t="shared" si="151"/>
        <v>0</v>
      </c>
      <c r="Q312" s="1364">
        <f t="shared" si="151"/>
        <v>0</v>
      </c>
      <c r="R312" s="1358"/>
      <c r="S312" s="1320">
        <v>607</v>
      </c>
      <c r="V312" s="1321" t="s">
        <v>5359</v>
      </c>
      <c r="W312" s="1321">
        <v>607</v>
      </c>
    </row>
    <row r="313" spans="1:23">
      <c r="A313" s="1320" t="s">
        <v>4682</v>
      </c>
      <c r="B313" s="1324">
        <v>412</v>
      </c>
      <c r="C313" s="1393">
        <v>105</v>
      </c>
      <c r="D313" s="1324" t="s">
        <v>5244</v>
      </c>
      <c r="E313" s="1324" t="s">
        <v>4071</v>
      </c>
      <c r="F313" s="1364">
        <f>+'0 MDS Allocation Assignment'!F92</f>
        <v>0</v>
      </c>
      <c r="G313" s="1364">
        <f>$F313*G2018</f>
        <v>0</v>
      </c>
      <c r="H313" s="1364">
        <f>$F313*H2018</f>
        <v>0</v>
      </c>
      <c r="I313" s="1323">
        <f t="shared" si="143"/>
        <v>0</v>
      </c>
      <c r="J313" s="1364">
        <f t="shared" si="144"/>
        <v>0</v>
      </c>
      <c r="K313" s="1364">
        <f t="shared" ref="K313:Q313" si="152">+$J313*K$2018</f>
        <v>0</v>
      </c>
      <c r="L313" s="1364">
        <f t="shared" si="152"/>
        <v>0</v>
      </c>
      <c r="M313" s="1364">
        <f t="shared" si="152"/>
        <v>0</v>
      </c>
      <c r="N313" s="1364">
        <f t="shared" si="152"/>
        <v>0</v>
      </c>
      <c r="O313" s="1364">
        <f t="shared" si="152"/>
        <v>0</v>
      </c>
      <c r="P313" s="1364">
        <f t="shared" si="152"/>
        <v>0</v>
      </c>
      <c r="Q313" s="1364">
        <f t="shared" si="152"/>
        <v>0</v>
      </c>
      <c r="R313" s="1358"/>
      <c r="S313" s="1320">
        <v>412</v>
      </c>
      <c r="V313" s="1321" t="s">
        <v>5245</v>
      </c>
      <c r="W313" s="1321">
        <v>412</v>
      </c>
    </row>
    <row r="314" spans="1:23">
      <c r="A314" s="1320" t="s">
        <v>4682</v>
      </c>
      <c r="C314" s="1322">
        <v>106</v>
      </c>
      <c r="D314" s="1320" t="s">
        <v>5364</v>
      </c>
      <c r="F314" s="1427">
        <f>SUM(F306:F313)</f>
        <v>0</v>
      </c>
      <c r="G314" s="1427">
        <f>SUM(G306:G313)</f>
        <v>0</v>
      </c>
      <c r="H314" s="1427">
        <f>SUM(H306:H313)</f>
        <v>0</v>
      </c>
      <c r="I314" s="1323">
        <f t="shared" si="143"/>
        <v>0</v>
      </c>
      <c r="J314" s="1421">
        <f t="shared" ref="J314:Q314" si="153">SUM(J306:J313)</f>
        <v>0</v>
      </c>
      <c r="K314" s="1421">
        <f t="shared" si="153"/>
        <v>0</v>
      </c>
      <c r="L314" s="1421">
        <f t="shared" si="153"/>
        <v>0</v>
      </c>
      <c r="M314" s="1421">
        <f t="shared" si="153"/>
        <v>0</v>
      </c>
      <c r="N314" s="1421">
        <f t="shared" si="153"/>
        <v>0</v>
      </c>
      <c r="O314" s="1421">
        <f>SUM(O306:O313)</f>
        <v>0</v>
      </c>
      <c r="P314" s="1421">
        <f>SUM(P306:P313)</f>
        <v>0</v>
      </c>
      <c r="Q314" s="1421">
        <f t="shared" si="153"/>
        <v>0</v>
      </c>
      <c r="R314" s="1358"/>
      <c r="V314" s="1320" t="s">
        <v>5365</v>
      </c>
    </row>
    <row r="315" spans="1:23">
      <c r="A315" s="1320" t="s">
        <v>4682</v>
      </c>
      <c r="C315" s="1322">
        <v>107</v>
      </c>
      <c r="D315" s="1320" t="s">
        <v>5366</v>
      </c>
      <c r="F315" s="1427">
        <f>F314+F303</f>
        <v>158286.55931215442</v>
      </c>
      <c r="G315" s="1427">
        <f>G314+G303</f>
        <v>541.10197131889322</v>
      </c>
      <c r="H315" s="1427">
        <f>H314+H303</f>
        <v>157745.45734083554</v>
      </c>
      <c r="J315" s="1421">
        <f t="shared" ref="J315:Q315" si="154">J314+J303</f>
        <v>157745.45734083554</v>
      </c>
      <c r="K315" s="1421">
        <f t="shared" si="154"/>
        <v>99499.921839649061</v>
      </c>
      <c r="L315" s="1421">
        <f t="shared" si="154"/>
        <v>9621.7404621335372</v>
      </c>
      <c r="M315" s="1421">
        <f t="shared" si="154"/>
        <v>36417.844895634655</v>
      </c>
      <c r="N315" s="1421">
        <f t="shared" si="154"/>
        <v>4285.6210320633381</v>
      </c>
      <c r="O315" s="1421">
        <f>O314+O303</f>
        <v>2491.7392126886725</v>
      </c>
      <c r="P315" s="1421">
        <f>P314+P303</f>
        <v>319.87319271221463</v>
      </c>
      <c r="Q315" s="1421">
        <f t="shared" si="154"/>
        <v>5108.7167059540761</v>
      </c>
      <c r="R315" s="1358"/>
      <c r="V315" s="1321" t="s">
        <v>5367</v>
      </c>
    </row>
    <row r="316" spans="1:23">
      <c r="A316" s="1320" t="s">
        <v>4682</v>
      </c>
      <c r="C316" s="1322">
        <v>108</v>
      </c>
      <c r="F316" s="1358"/>
      <c r="G316" s="1358"/>
      <c r="H316" s="1358"/>
      <c r="J316" s="1364"/>
      <c r="K316" s="1364"/>
      <c r="L316" s="1364"/>
      <c r="M316" s="1364"/>
      <c r="N316" s="1364"/>
      <c r="O316" s="1364"/>
      <c r="P316" s="1364"/>
      <c r="Q316" s="1364"/>
      <c r="R316" s="1358"/>
      <c r="V316" s="1321"/>
    </row>
    <row r="317" spans="1:23">
      <c r="A317" s="1320" t="s">
        <v>4682</v>
      </c>
      <c r="C317" s="1322">
        <v>109</v>
      </c>
      <c r="D317" s="1356" t="s">
        <v>5368</v>
      </c>
      <c r="G317" s="1320"/>
      <c r="M317" s="1324"/>
      <c r="P317" s="1325"/>
    </row>
    <row r="318" spans="1:23" s="1324" customFormat="1">
      <c r="A318" s="1324" t="s">
        <v>4682</v>
      </c>
      <c r="C318" s="1393">
        <v>110</v>
      </c>
      <c r="D318" s="1324" t="s">
        <v>5265</v>
      </c>
      <c r="E318" s="1324" t="s">
        <v>4067</v>
      </c>
      <c r="F318" s="1324">
        <f>+F260+F294+F295+F306</f>
        <v>159622.03948402521</v>
      </c>
      <c r="G318" s="1324">
        <f>+G260+G294+G295+G306</f>
        <v>0</v>
      </c>
      <c r="H318" s="1324">
        <f>+H260+H294+H295+H306</f>
        <v>159622.03948402521</v>
      </c>
      <c r="I318" s="1374">
        <f t="shared" ref="I318:I325" si="155">IF(F318=0,0,+H318/F318)</f>
        <v>1</v>
      </c>
      <c r="J318" s="1324">
        <f>+J260+J294+J295+J306</f>
        <v>159622.03948402521</v>
      </c>
      <c r="K318" s="1324">
        <f t="shared" ref="K318:Q318" si="156">+K260+K294+K295+K306</f>
        <v>92582.86439187736</v>
      </c>
      <c r="L318" s="1324">
        <f t="shared" si="156"/>
        <v>7637.1524701670596</v>
      </c>
      <c r="M318" s="1324">
        <f t="shared" si="156"/>
        <v>48820.478930813209</v>
      </c>
      <c r="N318" s="1324">
        <f t="shared" si="156"/>
        <v>6094.5894790045186</v>
      </c>
      <c r="O318" s="1324">
        <f t="shared" si="156"/>
        <v>4373.7833660326842</v>
      </c>
      <c r="P318" s="1324">
        <f t="shared" si="156"/>
        <v>113.17084613037136</v>
      </c>
      <c r="Q318" s="1324">
        <f t="shared" si="156"/>
        <v>0</v>
      </c>
      <c r="V318" s="1324" t="s">
        <v>5369</v>
      </c>
    </row>
    <row r="319" spans="1:23">
      <c r="A319" s="1320" t="s">
        <v>4682</v>
      </c>
      <c r="C319" s="1322">
        <v>111</v>
      </c>
      <c r="D319" s="1320" t="s">
        <v>5265</v>
      </c>
      <c r="E319" s="1320" t="s">
        <v>2067</v>
      </c>
      <c r="F319" s="1364">
        <f t="shared" ref="F319:H324" si="157">+F261+F296+F307</f>
        <v>41606.418583832929</v>
      </c>
      <c r="G319" s="1364">
        <f t="shared" si="157"/>
        <v>0</v>
      </c>
      <c r="H319" s="1364">
        <f t="shared" si="157"/>
        <v>41606.418583832929</v>
      </c>
      <c r="I319" s="1323">
        <f t="shared" si="155"/>
        <v>1</v>
      </c>
      <c r="J319" s="1364">
        <f t="shared" ref="J319:Q324" si="158">+J261+J296+J307</f>
        <v>41606.418583832929</v>
      </c>
      <c r="K319" s="1364">
        <f t="shared" si="158"/>
        <v>20996.021141954727</v>
      </c>
      <c r="L319" s="1364">
        <f t="shared" si="158"/>
        <v>1940.2781394493284</v>
      </c>
      <c r="M319" s="1364">
        <f t="shared" si="158"/>
        <v>14454.318510025485</v>
      </c>
      <c r="N319" s="1364">
        <f t="shared" si="158"/>
        <v>2300.8950992486625</v>
      </c>
      <c r="O319" s="1364">
        <f t="shared" si="158"/>
        <v>1695.0967183316852</v>
      </c>
      <c r="P319" s="1364">
        <f t="shared" si="158"/>
        <v>219.80897482304056</v>
      </c>
      <c r="Q319" s="1364">
        <f t="shared" si="158"/>
        <v>0</v>
      </c>
      <c r="R319" s="1358"/>
      <c r="V319" s="1320" t="s">
        <v>5370</v>
      </c>
    </row>
    <row r="320" spans="1:23">
      <c r="A320" s="1320" t="s">
        <v>4682</v>
      </c>
      <c r="C320" s="1322">
        <v>112</v>
      </c>
      <c r="D320" s="1320" t="s">
        <v>5268</v>
      </c>
      <c r="E320" s="1320" t="s">
        <v>4067</v>
      </c>
      <c r="F320" s="1358">
        <f t="shared" si="157"/>
        <v>4045.8701124403733</v>
      </c>
      <c r="G320" s="1358">
        <f t="shared" si="157"/>
        <v>262.11920423899039</v>
      </c>
      <c r="H320" s="1358">
        <f t="shared" si="157"/>
        <v>3783.7509082013821</v>
      </c>
      <c r="I320" s="1323">
        <f t="shared" si="155"/>
        <v>0.93521314403222722</v>
      </c>
      <c r="J320" s="1364">
        <f t="shared" si="158"/>
        <v>3783.7509082013821</v>
      </c>
      <c r="K320" s="1364">
        <f t="shared" si="158"/>
        <v>2194.6248673367572</v>
      </c>
      <c r="L320" s="1364">
        <f t="shared" si="158"/>
        <v>181.03441535063851</v>
      </c>
      <c r="M320" s="1364">
        <f t="shared" si="158"/>
        <v>1157.2620678849175</v>
      </c>
      <c r="N320" s="1364">
        <f t="shared" si="158"/>
        <v>144.46882492442904</v>
      </c>
      <c r="O320" s="1364">
        <f t="shared" si="158"/>
        <v>103.67808127873536</v>
      </c>
      <c r="P320" s="1364">
        <f t="shared" si="158"/>
        <v>2.6826514259051697</v>
      </c>
      <c r="Q320" s="1364">
        <f t="shared" si="158"/>
        <v>0</v>
      </c>
      <c r="R320" s="1358"/>
      <c r="V320" s="1320" t="s">
        <v>5371</v>
      </c>
    </row>
    <row r="321" spans="1:30">
      <c r="A321" s="1320" t="s">
        <v>4682</v>
      </c>
      <c r="C321" s="1322">
        <v>113</v>
      </c>
      <c r="D321" s="1320" t="s">
        <v>5239</v>
      </c>
      <c r="E321" s="1320" t="s">
        <v>4067</v>
      </c>
      <c r="F321" s="1358">
        <f t="shared" si="157"/>
        <v>12410.707503730187</v>
      </c>
      <c r="G321" s="1358">
        <f t="shared" si="157"/>
        <v>804.05071950232241</v>
      </c>
      <c r="H321" s="1358">
        <f t="shared" si="157"/>
        <v>11606.656784227866</v>
      </c>
      <c r="I321" s="1323">
        <f t="shared" si="155"/>
        <v>0.93521314403222744</v>
      </c>
      <c r="J321" s="1364">
        <f t="shared" si="158"/>
        <v>11606.656784227866</v>
      </c>
      <c r="K321" s="1364">
        <f t="shared" si="158"/>
        <v>6732.0122870925625</v>
      </c>
      <c r="L321" s="1364">
        <f t="shared" si="158"/>
        <v>555.32311087228186</v>
      </c>
      <c r="M321" s="1364">
        <f t="shared" si="158"/>
        <v>3549.901660342372</v>
      </c>
      <c r="N321" s="1364">
        <f t="shared" si="158"/>
        <v>443.15815380025214</v>
      </c>
      <c r="O321" s="1364">
        <f t="shared" si="158"/>
        <v>318.03253825225534</v>
      </c>
      <c r="P321" s="1364">
        <f t="shared" si="158"/>
        <v>8.229033868141622</v>
      </c>
      <c r="Q321" s="1364">
        <f t="shared" si="158"/>
        <v>0</v>
      </c>
      <c r="R321" s="1358"/>
      <c r="V321" s="1320" t="s">
        <v>5372</v>
      </c>
    </row>
    <row r="322" spans="1:30">
      <c r="A322" s="1320" t="s">
        <v>4682</v>
      </c>
      <c r="C322" s="1322">
        <v>114</v>
      </c>
      <c r="D322" s="1320" t="s">
        <v>5240</v>
      </c>
      <c r="E322" s="1320" t="s">
        <v>4067</v>
      </c>
      <c r="F322" s="1358">
        <f t="shared" si="157"/>
        <v>58782.428641817736</v>
      </c>
      <c r="G322" s="1358">
        <f t="shared" si="157"/>
        <v>0</v>
      </c>
      <c r="H322" s="1358">
        <f t="shared" si="157"/>
        <v>58782.428641817736</v>
      </c>
      <c r="I322" s="1323">
        <f t="shared" si="155"/>
        <v>1</v>
      </c>
      <c r="J322" s="1364">
        <f t="shared" si="158"/>
        <v>58782.428641817736</v>
      </c>
      <c r="K322" s="1364">
        <f t="shared" si="158"/>
        <v>36587.124815440024</v>
      </c>
      <c r="L322" s="1364">
        <f t="shared" si="158"/>
        <v>2602.1680795558191</v>
      </c>
      <c r="M322" s="1364">
        <f t="shared" si="158"/>
        <v>17423.140018458958</v>
      </c>
      <c r="N322" s="1364">
        <f t="shared" si="158"/>
        <v>1832.564018720811</v>
      </c>
      <c r="O322" s="1364">
        <f t="shared" si="158"/>
        <v>1.2512390115346165E-3</v>
      </c>
      <c r="P322" s="1364">
        <f t="shared" si="158"/>
        <v>337.43045840313516</v>
      </c>
      <c r="Q322" s="1364">
        <f t="shared" si="158"/>
        <v>0</v>
      </c>
      <c r="R322" s="1358"/>
      <c r="V322" s="1320" t="s">
        <v>5373</v>
      </c>
    </row>
    <row r="323" spans="1:30">
      <c r="A323" s="1320" t="s">
        <v>4682</v>
      </c>
      <c r="C323" s="1322">
        <v>115</v>
      </c>
      <c r="D323" s="1320" t="s">
        <v>5241</v>
      </c>
      <c r="E323" s="1320" t="s">
        <v>4067</v>
      </c>
      <c r="F323" s="1358">
        <f t="shared" si="157"/>
        <v>9777.0558428558634</v>
      </c>
      <c r="G323" s="1358">
        <f t="shared" si="157"/>
        <v>0</v>
      </c>
      <c r="H323" s="1358">
        <f t="shared" si="157"/>
        <v>9777.0558428558634</v>
      </c>
      <c r="I323" s="1323">
        <f t="shared" si="155"/>
        <v>1</v>
      </c>
      <c r="J323" s="1364">
        <f t="shared" si="158"/>
        <v>9777.0558428558634</v>
      </c>
      <c r="K323" s="1364">
        <f t="shared" si="158"/>
        <v>7133.665140468629</v>
      </c>
      <c r="L323" s="1364">
        <f t="shared" si="158"/>
        <v>574.40162019538707</v>
      </c>
      <c r="M323" s="1364">
        <f t="shared" si="158"/>
        <v>2033.6212846129124</v>
      </c>
      <c r="N323" s="1364">
        <f t="shared" si="158"/>
        <v>0</v>
      </c>
      <c r="O323" s="1364">
        <f t="shared" si="158"/>
        <v>0</v>
      </c>
      <c r="P323" s="1364">
        <f t="shared" si="158"/>
        <v>35.36779757893472</v>
      </c>
      <c r="Q323" s="1364">
        <f t="shared" si="158"/>
        <v>0</v>
      </c>
      <c r="R323" s="1358"/>
      <c r="V323" s="1320" t="s">
        <v>5374</v>
      </c>
    </row>
    <row r="324" spans="1:30">
      <c r="A324" s="1320" t="s">
        <v>4682</v>
      </c>
      <c r="C324" s="1322">
        <v>116</v>
      </c>
      <c r="D324" s="1320" t="s">
        <v>5242</v>
      </c>
      <c r="E324" s="1320" t="s">
        <v>4071</v>
      </c>
      <c r="F324" s="1358">
        <f t="shared" si="157"/>
        <v>38382.168295255775</v>
      </c>
      <c r="G324" s="1358">
        <f t="shared" si="157"/>
        <v>0</v>
      </c>
      <c r="H324" s="1358">
        <f t="shared" si="157"/>
        <v>38382.168295255775</v>
      </c>
      <c r="I324" s="1323">
        <f t="shared" si="155"/>
        <v>1</v>
      </c>
      <c r="J324" s="1364">
        <f t="shared" si="158"/>
        <v>38382.168295255775</v>
      </c>
      <c r="K324" s="1364">
        <f t="shared" si="158"/>
        <v>21544.192245294515</v>
      </c>
      <c r="L324" s="1364">
        <f t="shared" si="158"/>
        <v>4185.9635014247515</v>
      </c>
      <c r="M324" s="1364">
        <f t="shared" si="158"/>
        <v>2403.9105902686488</v>
      </c>
      <c r="N324" s="1364">
        <f t="shared" si="158"/>
        <v>180.57746666816001</v>
      </c>
      <c r="O324" s="1364">
        <f t="shared" si="158"/>
        <v>197.01759643821063</v>
      </c>
      <c r="P324" s="1364">
        <f t="shared" si="158"/>
        <v>40.467143094960882</v>
      </c>
      <c r="Q324" s="1364">
        <f t="shared" si="158"/>
        <v>9830.0397520665319</v>
      </c>
      <c r="R324" s="1358"/>
      <c r="V324" s="1320" t="s">
        <v>5375</v>
      </c>
    </row>
    <row r="325" spans="1:30">
      <c r="A325" s="1320" t="s">
        <v>4682</v>
      </c>
      <c r="C325" s="1322">
        <v>117</v>
      </c>
      <c r="D325" s="1320" t="s">
        <v>5244</v>
      </c>
      <c r="E325" s="1320" t="s">
        <v>4071</v>
      </c>
      <c r="F325" s="1350">
        <f>+F267+F302+F291+F313</f>
        <v>68841.128986264681</v>
      </c>
      <c r="G325" s="1350">
        <f>+G267+G302+G291+G313</f>
        <v>0</v>
      </c>
      <c r="H325" s="1350">
        <f>+H267+H302+H291+H313</f>
        <v>68841.128986264681</v>
      </c>
      <c r="I325" s="1323">
        <f t="shared" si="155"/>
        <v>1</v>
      </c>
      <c r="J325" s="1366">
        <f t="shared" ref="J325:Q325" si="159">+J267+J302+J291+J313</f>
        <v>68841.128986264681</v>
      </c>
      <c r="K325" s="1366">
        <f t="shared" si="159"/>
        <v>59809.640671587651</v>
      </c>
      <c r="L325" s="1366">
        <f t="shared" si="159"/>
        <v>5825.1651118337631</v>
      </c>
      <c r="M325" s="1366">
        <f t="shared" si="159"/>
        <v>2575.0388485428939</v>
      </c>
      <c r="N325" s="1366">
        <f t="shared" si="159"/>
        <v>179.5122865880362</v>
      </c>
      <c r="O325" s="1366">
        <f>+O267+O302+O291+O313</f>
        <v>94.498564225009261</v>
      </c>
      <c r="P325" s="1366">
        <f>+P267+P302+P291+P313</f>
        <v>54.365409322181975</v>
      </c>
      <c r="Q325" s="1366">
        <f t="shared" si="159"/>
        <v>302.90809416513594</v>
      </c>
      <c r="R325" s="1358"/>
      <c r="V325" s="1320" t="s">
        <v>5376</v>
      </c>
      <c r="AD325" s="1392"/>
    </row>
    <row r="326" spans="1:30">
      <c r="A326" s="1320" t="s">
        <v>4682</v>
      </c>
      <c r="C326" s="1322">
        <v>118</v>
      </c>
      <c r="F326" s="1358"/>
      <c r="G326" s="1358"/>
      <c r="H326" s="1358"/>
      <c r="J326" s="1364"/>
      <c r="K326" s="1364"/>
      <c r="L326" s="1364"/>
      <c r="M326" s="1364"/>
      <c r="N326" s="1367"/>
      <c r="O326" s="1367"/>
      <c r="P326" s="1367"/>
      <c r="Q326" s="1364"/>
      <c r="R326" s="1358"/>
    </row>
    <row r="327" spans="1:30" ht="14.4" thickBot="1">
      <c r="A327" s="1320" t="s">
        <v>4682</v>
      </c>
      <c r="C327" s="1322">
        <v>119</v>
      </c>
      <c r="D327" s="1320" t="s">
        <v>5377</v>
      </c>
      <c r="F327" s="1423">
        <f>SUM(F318:F325)</f>
        <v>393467.81745022279</v>
      </c>
      <c r="G327" s="1423">
        <f>SUM(G318:G325)</f>
        <v>1066.1699237413127</v>
      </c>
      <c r="H327" s="1423">
        <f>SUM(H318:H325)</f>
        <v>392401.64752648154</v>
      </c>
      <c r="I327" s="1323">
        <f>IF(F327=0,0,+H327/F327)</f>
        <v>0.99729032496062753</v>
      </c>
      <c r="J327" s="1380">
        <f t="shared" ref="J327:Q327" si="160">SUM(J318:J325)</f>
        <v>392401.64752648154</v>
      </c>
      <c r="K327" s="1380">
        <f t="shared" si="160"/>
        <v>247580.14556105225</v>
      </c>
      <c r="L327" s="1380">
        <f t="shared" si="160"/>
        <v>23501.486448849028</v>
      </c>
      <c r="M327" s="1380">
        <f t="shared" si="160"/>
        <v>92417.671910949386</v>
      </c>
      <c r="N327" s="1424">
        <f t="shared" si="160"/>
        <v>11175.765328954869</v>
      </c>
      <c r="O327" s="1424">
        <f>SUM(O318:O325)</f>
        <v>6782.1081157975914</v>
      </c>
      <c r="P327" s="1424">
        <f>SUM(P318:P325)</f>
        <v>811.52231464667159</v>
      </c>
      <c r="Q327" s="1380">
        <f t="shared" si="160"/>
        <v>10132.947846231667</v>
      </c>
      <c r="R327" s="1358"/>
      <c r="V327" s="1320" t="s">
        <v>5378</v>
      </c>
    </row>
    <row r="328" spans="1:30" ht="14.4" thickTop="1">
      <c r="A328" s="1320" t="s">
        <v>4682</v>
      </c>
      <c r="C328" s="1322">
        <v>120</v>
      </c>
      <c r="G328" s="1320"/>
      <c r="M328" s="1324"/>
      <c r="P328" s="1325"/>
    </row>
    <row r="329" spans="1:30">
      <c r="A329" s="1320" t="s">
        <v>4682</v>
      </c>
      <c r="C329" s="1322">
        <v>121</v>
      </c>
      <c r="D329" s="1356" t="s">
        <v>5379</v>
      </c>
      <c r="G329" s="1320"/>
      <c r="M329" s="1324"/>
      <c r="P329" s="1325"/>
    </row>
    <row r="330" spans="1:30" s="1324" customFormat="1">
      <c r="A330" s="1324" t="s">
        <v>4682</v>
      </c>
      <c r="C330" s="1393">
        <v>122</v>
      </c>
      <c r="D330" s="1324" t="s">
        <v>5265</v>
      </c>
      <c r="E330" s="1324" t="s">
        <v>4067</v>
      </c>
      <c r="F330" s="1324">
        <f t="shared" ref="F330:H331" si="161">+F318+F185</f>
        <v>159622.03948402521</v>
      </c>
      <c r="G330" s="1324">
        <f t="shared" si="161"/>
        <v>0</v>
      </c>
      <c r="H330" s="1324">
        <f t="shared" si="161"/>
        <v>159622.03948402521</v>
      </c>
      <c r="I330" s="1374">
        <f t="shared" ref="I330:I338" si="162">IF(F330=0,0,+H330/F330)</f>
        <v>1</v>
      </c>
      <c r="J330" s="1324">
        <f t="shared" ref="J330:Q331" si="163">+J318+J185</f>
        <v>159622.03948402521</v>
      </c>
      <c r="K330" s="1324">
        <f t="shared" si="163"/>
        <v>92582.86439187736</v>
      </c>
      <c r="L330" s="1324">
        <f t="shared" si="163"/>
        <v>7637.1524701670596</v>
      </c>
      <c r="M330" s="1324">
        <f t="shared" si="163"/>
        <v>48820.478930813209</v>
      </c>
      <c r="N330" s="1325">
        <f t="shared" si="163"/>
        <v>6094.5894790045186</v>
      </c>
      <c r="O330" s="1325">
        <f t="shared" si="163"/>
        <v>4373.7833660326842</v>
      </c>
      <c r="P330" s="1325">
        <f t="shared" si="163"/>
        <v>113.17084613037136</v>
      </c>
      <c r="Q330" s="1324">
        <f t="shared" si="163"/>
        <v>0</v>
      </c>
      <c r="V330" s="1320" t="s">
        <v>5380</v>
      </c>
    </row>
    <row r="331" spans="1:30" s="1324" customFormat="1">
      <c r="A331" s="1324" t="s">
        <v>4682</v>
      </c>
      <c r="C331" s="1393">
        <v>123</v>
      </c>
      <c r="D331" s="1324" t="s">
        <v>5265</v>
      </c>
      <c r="E331" s="1324" t="s">
        <v>2067</v>
      </c>
      <c r="F331" s="1324">
        <f t="shared" si="161"/>
        <v>42232.87949158618</v>
      </c>
      <c r="G331" s="1324">
        <f t="shared" si="161"/>
        <v>0</v>
      </c>
      <c r="H331" s="1324">
        <f t="shared" si="161"/>
        <v>42232.87949158618</v>
      </c>
      <c r="I331" s="1374">
        <f t="shared" si="162"/>
        <v>1</v>
      </c>
      <c r="J331" s="1324">
        <f t="shared" si="163"/>
        <v>42232.87949158618</v>
      </c>
      <c r="K331" s="1324">
        <f t="shared" si="163"/>
        <v>21312.154731710671</v>
      </c>
      <c r="L331" s="1324">
        <f t="shared" si="163"/>
        <v>1969.4925839005873</v>
      </c>
      <c r="M331" s="1324">
        <f t="shared" si="163"/>
        <v>14671.954773923087</v>
      </c>
      <c r="N331" s="1325">
        <f t="shared" si="163"/>
        <v>2335.5392931394681</v>
      </c>
      <c r="O331" s="1325">
        <f t="shared" si="163"/>
        <v>1720.619507003245</v>
      </c>
      <c r="P331" s="1325">
        <f t="shared" si="163"/>
        <v>223.11860190912338</v>
      </c>
      <c r="Q331" s="1324">
        <f t="shared" si="163"/>
        <v>0</v>
      </c>
      <c r="V331" s="1320" t="s">
        <v>5381</v>
      </c>
    </row>
    <row r="332" spans="1:30" s="1324" customFormat="1">
      <c r="A332" s="1324" t="s">
        <v>4682</v>
      </c>
      <c r="C332" s="1393">
        <v>124</v>
      </c>
      <c r="D332" s="1324" t="s">
        <v>5268</v>
      </c>
      <c r="E332" s="1324" t="s">
        <v>4067</v>
      </c>
      <c r="F332" s="1324">
        <f t="shared" ref="F332:H337" si="164">+F320</f>
        <v>4045.8701124403733</v>
      </c>
      <c r="G332" s="1324">
        <f t="shared" si="164"/>
        <v>262.11920423899039</v>
      </c>
      <c r="H332" s="1324">
        <f t="shared" si="164"/>
        <v>3783.7509082013821</v>
      </c>
      <c r="I332" s="1374">
        <f t="shared" si="162"/>
        <v>0.93521314403222722</v>
      </c>
      <c r="J332" s="1324">
        <f t="shared" ref="J332:Q337" si="165">+J320</f>
        <v>3783.7509082013821</v>
      </c>
      <c r="K332" s="1324">
        <f t="shared" si="165"/>
        <v>2194.6248673367572</v>
      </c>
      <c r="L332" s="1324">
        <f t="shared" si="165"/>
        <v>181.03441535063851</v>
      </c>
      <c r="M332" s="1324">
        <f t="shared" si="165"/>
        <v>1157.2620678849175</v>
      </c>
      <c r="N332" s="1325">
        <f t="shared" si="165"/>
        <v>144.46882492442904</v>
      </c>
      <c r="O332" s="1325">
        <f t="shared" si="165"/>
        <v>103.67808127873536</v>
      </c>
      <c r="P332" s="1325">
        <f t="shared" si="165"/>
        <v>2.6826514259051697</v>
      </c>
      <c r="Q332" s="1324">
        <f t="shared" si="165"/>
        <v>0</v>
      </c>
      <c r="V332" s="1320" t="s">
        <v>5382</v>
      </c>
    </row>
    <row r="333" spans="1:30" s="1324" customFormat="1">
      <c r="A333" s="1324" t="s">
        <v>4682</v>
      </c>
      <c r="C333" s="1393">
        <v>125</v>
      </c>
      <c r="D333" s="1324" t="s">
        <v>5239</v>
      </c>
      <c r="E333" s="1324" t="s">
        <v>4067</v>
      </c>
      <c r="F333" s="1364">
        <f t="shared" si="164"/>
        <v>12410.707503730187</v>
      </c>
      <c r="G333" s="1364">
        <f t="shared" si="164"/>
        <v>804.05071950232241</v>
      </c>
      <c r="H333" s="1364">
        <f t="shared" si="164"/>
        <v>11606.656784227866</v>
      </c>
      <c r="I333" s="1374">
        <f t="shared" si="162"/>
        <v>0.93521314403222744</v>
      </c>
      <c r="J333" s="1364">
        <f t="shared" si="165"/>
        <v>11606.656784227866</v>
      </c>
      <c r="K333" s="1364">
        <f t="shared" si="165"/>
        <v>6732.0122870925625</v>
      </c>
      <c r="L333" s="1364">
        <f t="shared" si="165"/>
        <v>555.32311087228186</v>
      </c>
      <c r="M333" s="1364">
        <f t="shared" si="165"/>
        <v>3549.901660342372</v>
      </c>
      <c r="N333" s="1367">
        <f t="shared" si="165"/>
        <v>443.15815380025214</v>
      </c>
      <c r="O333" s="1367">
        <f t="shared" si="165"/>
        <v>318.03253825225534</v>
      </c>
      <c r="P333" s="1367">
        <f t="shared" si="165"/>
        <v>8.229033868141622</v>
      </c>
      <c r="Q333" s="1364">
        <f t="shared" si="165"/>
        <v>0</v>
      </c>
      <c r="R333" s="1364"/>
      <c r="V333" s="1320" t="s">
        <v>5383</v>
      </c>
    </row>
    <row r="334" spans="1:30" s="1324" customFormat="1">
      <c r="A334" s="1324" t="s">
        <v>4682</v>
      </c>
      <c r="B334" s="1326"/>
      <c r="C334" s="1393">
        <v>126</v>
      </c>
      <c r="D334" s="1324" t="s">
        <v>5240</v>
      </c>
      <c r="E334" s="1324" t="s">
        <v>4067</v>
      </c>
      <c r="F334" s="1364">
        <f t="shared" si="164"/>
        <v>58782.428641817736</v>
      </c>
      <c r="G334" s="1364">
        <f t="shared" si="164"/>
        <v>0</v>
      </c>
      <c r="H334" s="1364">
        <f t="shared" si="164"/>
        <v>58782.428641817736</v>
      </c>
      <c r="I334" s="1374">
        <f t="shared" si="162"/>
        <v>1</v>
      </c>
      <c r="J334" s="1364">
        <f t="shared" si="165"/>
        <v>58782.428641817736</v>
      </c>
      <c r="K334" s="1364">
        <f t="shared" si="165"/>
        <v>36587.124815440024</v>
      </c>
      <c r="L334" s="1364">
        <f t="shared" si="165"/>
        <v>2602.1680795558191</v>
      </c>
      <c r="M334" s="1364">
        <f t="shared" si="165"/>
        <v>17423.140018458958</v>
      </c>
      <c r="N334" s="1367">
        <f t="shared" si="165"/>
        <v>1832.564018720811</v>
      </c>
      <c r="O334" s="1367">
        <f t="shared" si="165"/>
        <v>1.2512390115346165E-3</v>
      </c>
      <c r="P334" s="1367">
        <f t="shared" si="165"/>
        <v>337.43045840313516</v>
      </c>
      <c r="Q334" s="1364">
        <f t="shared" si="165"/>
        <v>0</v>
      </c>
      <c r="R334" s="1364"/>
      <c r="S334" s="1326"/>
      <c r="T334" s="1326"/>
      <c r="U334" s="1326"/>
      <c r="V334" s="1320" t="s">
        <v>5384</v>
      </c>
    </row>
    <row r="335" spans="1:30" s="1324" customFormat="1">
      <c r="A335" s="1324" t="s">
        <v>4682</v>
      </c>
      <c r="B335" s="1326"/>
      <c r="C335" s="1393">
        <v>127</v>
      </c>
      <c r="D335" s="1324" t="s">
        <v>5241</v>
      </c>
      <c r="E335" s="1324" t="s">
        <v>4067</v>
      </c>
      <c r="F335" s="1364">
        <f t="shared" si="164"/>
        <v>9777.0558428558634</v>
      </c>
      <c r="G335" s="1364">
        <f t="shared" si="164"/>
        <v>0</v>
      </c>
      <c r="H335" s="1364">
        <f t="shared" si="164"/>
        <v>9777.0558428558634</v>
      </c>
      <c r="I335" s="1374">
        <f t="shared" si="162"/>
        <v>1</v>
      </c>
      <c r="J335" s="1364">
        <f t="shared" si="165"/>
        <v>9777.0558428558634</v>
      </c>
      <c r="K335" s="1364">
        <f t="shared" si="165"/>
        <v>7133.665140468629</v>
      </c>
      <c r="L335" s="1364">
        <f t="shared" si="165"/>
        <v>574.40162019538707</v>
      </c>
      <c r="M335" s="1364">
        <f t="shared" si="165"/>
        <v>2033.6212846129124</v>
      </c>
      <c r="N335" s="1367">
        <f t="shared" si="165"/>
        <v>0</v>
      </c>
      <c r="O335" s="1367">
        <f t="shared" si="165"/>
        <v>0</v>
      </c>
      <c r="P335" s="1367">
        <f t="shared" si="165"/>
        <v>35.36779757893472</v>
      </c>
      <c r="Q335" s="1364">
        <f t="shared" si="165"/>
        <v>0</v>
      </c>
      <c r="R335" s="1364"/>
      <c r="S335" s="1326"/>
      <c r="T335" s="1326"/>
      <c r="U335" s="1326"/>
      <c r="V335" s="1320" t="s">
        <v>5385</v>
      </c>
    </row>
    <row r="336" spans="1:30" s="1324" customFormat="1">
      <c r="A336" s="1324" t="s">
        <v>4682</v>
      </c>
      <c r="B336" s="1326"/>
      <c r="C336" s="1393">
        <v>128</v>
      </c>
      <c r="D336" s="1324" t="s">
        <v>5242</v>
      </c>
      <c r="E336" s="1324" t="s">
        <v>4071</v>
      </c>
      <c r="F336" s="1364">
        <f t="shared" si="164"/>
        <v>38382.168295255775</v>
      </c>
      <c r="G336" s="1364">
        <f t="shared" si="164"/>
        <v>0</v>
      </c>
      <c r="H336" s="1364">
        <f t="shared" si="164"/>
        <v>38382.168295255775</v>
      </c>
      <c r="I336" s="1374">
        <f t="shared" si="162"/>
        <v>1</v>
      </c>
      <c r="J336" s="1364">
        <f t="shared" si="165"/>
        <v>38382.168295255775</v>
      </c>
      <c r="K336" s="1364">
        <f t="shared" si="165"/>
        <v>21544.192245294515</v>
      </c>
      <c r="L336" s="1364">
        <f t="shared" si="165"/>
        <v>4185.9635014247515</v>
      </c>
      <c r="M336" s="1364">
        <f t="shared" si="165"/>
        <v>2403.9105902686488</v>
      </c>
      <c r="N336" s="1367">
        <f t="shared" si="165"/>
        <v>180.57746666816001</v>
      </c>
      <c r="O336" s="1367">
        <f t="shared" si="165"/>
        <v>197.01759643821063</v>
      </c>
      <c r="P336" s="1367">
        <f t="shared" si="165"/>
        <v>40.467143094960882</v>
      </c>
      <c r="Q336" s="1364">
        <f t="shared" si="165"/>
        <v>9830.0397520665319</v>
      </c>
      <c r="R336" s="1364"/>
      <c r="S336" s="1326"/>
      <c r="T336" s="1326"/>
      <c r="U336" s="1326"/>
      <c r="V336" s="1320" t="s">
        <v>5386</v>
      </c>
    </row>
    <row r="337" spans="1:22" s="1324" customFormat="1">
      <c r="A337" s="1324" t="s">
        <v>4682</v>
      </c>
      <c r="B337" s="1326"/>
      <c r="C337" s="1393">
        <v>129</v>
      </c>
      <c r="D337" s="1324" t="s">
        <v>5244</v>
      </c>
      <c r="E337" s="1324" t="s">
        <v>4071</v>
      </c>
      <c r="F337" s="1366">
        <f t="shared" si="164"/>
        <v>68841.128986264681</v>
      </c>
      <c r="G337" s="1366">
        <f t="shared" si="164"/>
        <v>0</v>
      </c>
      <c r="H337" s="1366">
        <f t="shared" si="164"/>
        <v>68841.128986264681</v>
      </c>
      <c r="I337" s="1374">
        <f t="shared" si="162"/>
        <v>1</v>
      </c>
      <c r="J337" s="1366">
        <f t="shared" si="165"/>
        <v>68841.128986264681</v>
      </c>
      <c r="K337" s="1366">
        <f t="shared" si="165"/>
        <v>59809.640671587651</v>
      </c>
      <c r="L337" s="1366">
        <f t="shared" si="165"/>
        <v>5825.1651118337631</v>
      </c>
      <c r="M337" s="1366">
        <f t="shared" si="165"/>
        <v>2575.0388485428939</v>
      </c>
      <c r="N337" s="1378">
        <f t="shared" si="165"/>
        <v>179.5122865880362</v>
      </c>
      <c r="O337" s="1378">
        <f t="shared" si="165"/>
        <v>94.498564225009261</v>
      </c>
      <c r="P337" s="1378">
        <f t="shared" si="165"/>
        <v>54.365409322181975</v>
      </c>
      <c r="Q337" s="1366">
        <f t="shared" si="165"/>
        <v>302.90809416513594</v>
      </c>
      <c r="R337" s="1364"/>
      <c r="S337" s="1326"/>
      <c r="T337" s="1326"/>
      <c r="U337" s="1326"/>
      <c r="V337" s="1320" t="s">
        <v>5387</v>
      </c>
    </row>
    <row r="338" spans="1:22" ht="14.4" thickBot="1">
      <c r="A338" s="1320" t="s">
        <v>4682</v>
      </c>
      <c r="C338" s="1322">
        <v>130</v>
      </c>
      <c r="D338" s="1320" t="s">
        <v>5388</v>
      </c>
      <c r="F338" s="1423">
        <f>SUM(F330:F337)</f>
        <v>394094.27835797612</v>
      </c>
      <c r="G338" s="1423">
        <f>SUM(G330:G337)</f>
        <v>1066.1699237413127</v>
      </c>
      <c r="H338" s="1423">
        <f>SUM(H330:H337)</f>
        <v>393028.10843423475</v>
      </c>
      <c r="I338" s="1323">
        <f t="shared" si="162"/>
        <v>0.99729463231949556</v>
      </c>
      <c r="J338" s="1380">
        <f t="shared" ref="J338:Q338" si="166">SUM(J330:J337)</f>
        <v>393028.10843423475</v>
      </c>
      <c r="K338" s="1380">
        <f t="shared" si="166"/>
        <v>247896.27915080817</v>
      </c>
      <c r="L338" s="1380">
        <f t="shared" si="166"/>
        <v>23530.700893300287</v>
      </c>
      <c r="M338" s="1380">
        <f t="shared" si="166"/>
        <v>92635.308174846985</v>
      </c>
      <c r="N338" s="1424">
        <f t="shared" si="166"/>
        <v>11210.409522845675</v>
      </c>
      <c r="O338" s="1424">
        <f>SUM(O330:O337)</f>
        <v>6807.6309044691516</v>
      </c>
      <c r="P338" s="1424">
        <f>SUM(P330:P337)</f>
        <v>814.83194173275433</v>
      </c>
      <c r="Q338" s="1380">
        <f t="shared" si="166"/>
        <v>10132.947846231667</v>
      </c>
      <c r="R338" s="1358"/>
      <c r="V338" s="1320" t="s">
        <v>5389</v>
      </c>
    </row>
    <row r="339" spans="1:22" ht="14.4" thickTop="1">
      <c r="G339" s="1320"/>
      <c r="M339" s="1324"/>
      <c r="P339" s="1325"/>
    </row>
    <row r="340" spans="1:22">
      <c r="G340" s="1320"/>
    </row>
    <row r="341" spans="1:22">
      <c r="G341" s="1320"/>
    </row>
    <row r="342" spans="1:22">
      <c r="G342" s="1320"/>
    </row>
    <row r="343" spans="1:22">
      <c r="G343" s="1320"/>
    </row>
    <row r="344" spans="1:22">
      <c r="A344" s="1358"/>
      <c r="B344" s="1432"/>
      <c r="C344" s="1340" t="str">
        <f>+C$2</f>
        <v>RATES WITH REVENUE DEFICIENCY ADDITION</v>
      </c>
      <c r="F344" s="1333"/>
      <c r="G344" s="1327" t="s">
        <v>2173</v>
      </c>
      <c r="H344" s="1358"/>
      <c r="I344" s="1334" t="s">
        <v>4889</v>
      </c>
      <c r="L344" s="1329" t="s">
        <v>2173</v>
      </c>
      <c r="M344" s="1330"/>
      <c r="N344" s="1330"/>
      <c r="O344" s="1330"/>
      <c r="S344" s="1334" t="s">
        <v>4895</v>
      </c>
      <c r="T344" s="1333" t="s">
        <v>2173</v>
      </c>
      <c r="U344" s="1334"/>
      <c r="V344" s="1332" t="s">
        <v>4772</v>
      </c>
    </row>
    <row r="345" spans="1:22" s="1324" customFormat="1">
      <c r="B345" s="1433"/>
      <c r="C345" s="1340" t="str">
        <f>+C$3</f>
        <v>PROD. CAP. ALLOC. METHOD: 12 CP &amp; 1/13th AD</v>
      </c>
      <c r="D345" s="1364"/>
      <c r="G345" s="1336" t="s">
        <v>4768</v>
      </c>
      <c r="H345" s="1320"/>
      <c r="I345" s="1335" t="s">
        <v>5346</v>
      </c>
      <c r="L345" s="1336" t="s">
        <v>5141</v>
      </c>
      <c r="M345" s="1337"/>
      <c r="N345" s="1337"/>
      <c r="O345" s="1337"/>
      <c r="R345" s="1331"/>
      <c r="S345" s="1335" t="s">
        <v>5390</v>
      </c>
      <c r="T345" s="1336" t="s">
        <v>5141</v>
      </c>
      <c r="U345" s="1364"/>
      <c r="V345" s="1334" t="s">
        <v>4895</v>
      </c>
    </row>
    <row r="346" spans="1:22">
      <c r="B346" s="1321"/>
      <c r="C346" s="1340" t="str">
        <f>+C$4</f>
        <v>PROJECTED CALENDAR YEAR 2025; FULLY ADJUSTED DATA</v>
      </c>
      <c r="G346" s="1336" t="s">
        <v>2181</v>
      </c>
      <c r="L346" s="1336" t="s">
        <v>2181</v>
      </c>
      <c r="S346" s="1358"/>
      <c r="T346" s="1339"/>
      <c r="U346" s="1364"/>
    </row>
    <row r="347" spans="1:22">
      <c r="B347" s="1321"/>
      <c r="C347" s="1340" t="str">
        <f>+C$5</f>
        <v>MINIMUM DISTRIBUTION SYSTEM (MDS) NOT EMPLOYED</v>
      </c>
      <c r="G347" s="1358"/>
      <c r="H347" s="1358"/>
      <c r="I347" s="1379"/>
      <c r="K347" s="1364"/>
      <c r="L347" s="1336"/>
      <c r="M347" s="1337"/>
      <c r="N347" s="1337"/>
      <c r="O347" s="1337"/>
      <c r="S347" s="1358"/>
      <c r="T347" s="1333"/>
      <c r="U347" s="1364"/>
    </row>
    <row r="348" spans="1:22">
      <c r="B348" s="1321"/>
      <c r="C348" s="1340" t="str">
        <f>+C$6</f>
        <v>Tampa Electric 2025 OB Budget</v>
      </c>
      <c r="F348" s="1327"/>
      <c r="G348" s="1333" t="s">
        <v>5391</v>
      </c>
      <c r="H348" s="1358"/>
      <c r="I348" s="1379"/>
      <c r="K348" s="1364"/>
      <c r="L348" s="1336" t="s">
        <v>5391</v>
      </c>
      <c r="M348" s="1337"/>
      <c r="N348" s="1337"/>
      <c r="O348" s="1337"/>
      <c r="S348" s="1358"/>
      <c r="T348" s="1333" t="s">
        <v>5391</v>
      </c>
      <c r="U348" s="1364"/>
    </row>
    <row r="349" spans="1:22">
      <c r="B349" s="1321"/>
      <c r="F349" s="1333"/>
      <c r="G349" s="1358"/>
      <c r="H349" s="1358"/>
      <c r="I349" s="1379"/>
      <c r="K349" s="1364"/>
      <c r="L349" s="1336"/>
      <c r="M349" s="1337"/>
      <c r="N349" s="1337"/>
      <c r="O349" s="1337"/>
      <c r="S349" s="1358"/>
      <c r="T349" s="1358"/>
      <c r="U349" s="1364"/>
    </row>
    <row r="350" spans="1:22">
      <c r="B350" s="1321"/>
      <c r="F350" s="1333"/>
      <c r="G350" s="1358"/>
      <c r="H350" s="1358"/>
      <c r="I350" s="1379"/>
      <c r="K350" s="1364"/>
      <c r="L350" s="1336"/>
      <c r="M350" s="1337"/>
      <c r="N350" s="1337"/>
      <c r="O350" s="1337"/>
      <c r="S350" s="1358"/>
      <c r="T350" s="1358"/>
      <c r="U350" s="1364"/>
    </row>
    <row r="351" spans="1:22">
      <c r="B351" s="1358"/>
      <c r="C351" s="1434"/>
      <c r="D351" s="1358"/>
      <c r="E351" s="1358"/>
      <c r="G351" s="1358"/>
      <c r="H351" s="1358"/>
      <c r="I351" s="1379"/>
      <c r="K351" s="1364"/>
      <c r="S351" s="1358"/>
      <c r="T351" s="1358"/>
      <c r="U351" s="1364"/>
    </row>
    <row r="352" spans="1:22">
      <c r="B352" s="1358"/>
      <c r="C352" s="1342"/>
      <c r="D352" s="1435"/>
      <c r="E352" s="1435"/>
      <c r="F352" s="1333"/>
      <c r="G352" s="1333"/>
      <c r="H352" s="1333"/>
      <c r="I352" s="1343"/>
      <c r="J352" s="1416"/>
      <c r="K352" s="1336"/>
      <c r="L352" s="1416"/>
      <c r="M352" s="1417"/>
      <c r="N352" s="1417"/>
      <c r="O352" s="1417"/>
      <c r="P352" s="3164"/>
      <c r="Q352" s="3164"/>
      <c r="R352" s="1333"/>
      <c r="S352" s="1358"/>
      <c r="T352" s="1358"/>
      <c r="U352" s="1364"/>
    </row>
    <row r="353" spans="1:25" ht="30" customHeight="1">
      <c r="A353" s="1418" t="s">
        <v>4683</v>
      </c>
      <c r="B353" s="1425" t="s">
        <v>5143</v>
      </c>
      <c r="C353" s="1349" t="s">
        <v>4297</v>
      </c>
      <c r="D353" s="1418"/>
      <c r="E353" s="1418"/>
      <c r="F353" s="1348" t="s">
        <v>5144</v>
      </c>
      <c r="G353" s="1348" t="s">
        <v>4956</v>
      </c>
      <c r="H353" s="1348" t="s">
        <v>4957</v>
      </c>
      <c r="I353" s="1426" t="s">
        <v>5145</v>
      </c>
      <c r="J353" s="1352" t="s">
        <v>4957</v>
      </c>
      <c r="K353" s="1353" t="s">
        <v>1949</v>
      </c>
      <c r="L353" s="1353" t="s">
        <v>1950</v>
      </c>
      <c r="M353" s="1354" t="s">
        <v>1934</v>
      </c>
      <c r="N353" s="1354" t="s">
        <v>1971</v>
      </c>
      <c r="O353" s="1354" t="s">
        <v>1972</v>
      </c>
      <c r="P353" s="1352" t="s">
        <v>5146</v>
      </c>
      <c r="Q353" s="1352" t="s">
        <v>5147</v>
      </c>
      <c r="R353" s="1355"/>
      <c r="S353" s="1348" t="s">
        <v>5299</v>
      </c>
      <c r="T353" s="1348"/>
      <c r="U353" s="1352"/>
      <c r="V353" s="1355" t="s">
        <v>4774</v>
      </c>
    </row>
    <row r="354" spans="1:25">
      <c r="B354" s="1358"/>
      <c r="C354" s="1434"/>
      <c r="D354" s="1358"/>
      <c r="E354" s="1358"/>
      <c r="F354" s="1358"/>
      <c r="G354" s="1358"/>
      <c r="H354" s="1358"/>
      <c r="I354" s="1379"/>
      <c r="K354" s="1364"/>
      <c r="S354" s="1358"/>
      <c r="T354" s="1358"/>
      <c r="U354" s="1364"/>
    </row>
    <row r="355" spans="1:25">
      <c r="A355" s="1320" t="s">
        <v>4739</v>
      </c>
      <c r="B355" s="1436"/>
      <c r="C355" s="1434">
        <v>1</v>
      </c>
      <c r="D355" s="1437" t="s">
        <v>5392</v>
      </c>
      <c r="E355" s="1358"/>
      <c r="F355" s="1358"/>
      <c r="G355" s="1358"/>
      <c r="H355" s="1358"/>
      <c r="I355" s="1379"/>
      <c r="K355" s="1364"/>
      <c r="S355" s="1436"/>
      <c r="T355" s="1436"/>
      <c r="U355" s="1438"/>
    </row>
    <row r="356" spans="1:25">
      <c r="A356" s="1320" t="s">
        <v>4739</v>
      </c>
      <c r="B356" s="1320">
        <v>101</v>
      </c>
      <c r="C356" s="1434">
        <v>2</v>
      </c>
      <c r="D356" s="1320" t="s">
        <v>4813</v>
      </c>
      <c r="E356" s="1358" t="s">
        <v>4067</v>
      </c>
      <c r="F356" s="1358">
        <f>+'0 MDS Allocation Assignment'!F110+'0 MDS Allocation Assignment'!F112</f>
        <v>190419.46700762311</v>
      </c>
      <c r="G356" s="1358">
        <f>+$F356*G1933</f>
        <v>0</v>
      </c>
      <c r="H356" s="1358">
        <f>+$F356*H1933</f>
        <v>190419.46700762311</v>
      </c>
      <c r="I356" s="1323">
        <f>IF(F356=0,0,+H356/F356)</f>
        <v>1</v>
      </c>
      <c r="J356" s="1364">
        <f>H356</f>
        <v>190419.46700762311</v>
      </c>
      <c r="K356" s="1324">
        <f t="shared" ref="K356:Q356" si="167">$J356*K$1951</f>
        <v>110445.77395782921</v>
      </c>
      <c r="L356" s="1324">
        <f t="shared" si="167"/>
        <v>9110.6623341365375</v>
      </c>
      <c r="M356" s="1324">
        <f t="shared" si="167"/>
        <v>58239.887218034928</v>
      </c>
      <c r="N356" s="1324">
        <f t="shared" si="167"/>
        <v>7270.4777108079252</v>
      </c>
      <c r="O356" s="1324">
        <f t="shared" si="167"/>
        <v>5217.6597922124829</v>
      </c>
      <c r="P356" s="1324">
        <f t="shared" si="167"/>
        <v>135.00599460204074</v>
      </c>
      <c r="Q356" s="1324">
        <f t="shared" si="167"/>
        <v>0</v>
      </c>
      <c r="R356" s="1324"/>
      <c r="S356" s="1324">
        <v>122</v>
      </c>
      <c r="V356" s="1321" t="s">
        <v>5227</v>
      </c>
      <c r="W356" s="1321">
        <v>122</v>
      </c>
      <c r="Y356" s="1324"/>
    </row>
    <row r="357" spans="1:25" s="1324" customFormat="1">
      <c r="A357" s="1324" t="s">
        <v>4739</v>
      </c>
      <c r="B357" s="1324">
        <v>101</v>
      </c>
      <c r="C357" s="1439">
        <v>3</v>
      </c>
      <c r="D357" s="1324" t="s">
        <v>5393</v>
      </c>
      <c r="E357" s="1364" t="s">
        <v>4067</v>
      </c>
      <c r="F357" s="1364">
        <f>+'0 MDS Allocation Assignment'!F113</f>
        <v>70700.31160999999</v>
      </c>
      <c r="G357" s="1364">
        <f>+$F357*G1934</f>
        <v>0</v>
      </c>
      <c r="H357" s="1364">
        <f>+$F357*H1933</f>
        <v>70700.31160999999</v>
      </c>
      <c r="I357" s="1374">
        <f>IF(F357=0,0,+H357/F357)</f>
        <v>1</v>
      </c>
      <c r="J357" s="1364">
        <f>H357</f>
        <v>70700.31160999999</v>
      </c>
      <c r="K357" s="1324">
        <f t="shared" ref="K357:Q357" si="168">$J357*K$1948</f>
        <v>41007.102674610178</v>
      </c>
      <c r="L357" s="1324">
        <f t="shared" si="168"/>
        <v>3382.6723502548011</v>
      </c>
      <c r="M357" s="1324">
        <f t="shared" si="168"/>
        <v>21623.724922418172</v>
      </c>
      <c r="N357" s="1324">
        <f t="shared" si="168"/>
        <v>2699.4353454791553</v>
      </c>
      <c r="O357" s="1324">
        <f t="shared" si="168"/>
        <v>1937.2503188952969</v>
      </c>
      <c r="P357" s="1324">
        <f t="shared" si="168"/>
        <v>50.125998342386609</v>
      </c>
      <c r="Q357" s="1324">
        <f t="shared" si="168"/>
        <v>0</v>
      </c>
      <c r="S357" s="1324">
        <v>121</v>
      </c>
      <c r="V357" s="1326" t="s">
        <v>5287</v>
      </c>
      <c r="W357" s="1326">
        <v>121</v>
      </c>
    </row>
    <row r="358" spans="1:25">
      <c r="A358" s="1320" t="s">
        <v>4739</v>
      </c>
      <c r="B358" s="1320">
        <v>101</v>
      </c>
      <c r="C358" s="1434">
        <v>4</v>
      </c>
      <c r="D358" s="1320" t="s">
        <v>4814</v>
      </c>
      <c r="E358" s="1358" t="s">
        <v>2067</v>
      </c>
      <c r="F358" s="1350">
        <f>+'0 MDS Allocation Assignment'!F111+'0 MDS Allocation Assignment'!F114</f>
        <v>24171.775932376906</v>
      </c>
      <c r="G358" s="1350">
        <f>+$F358*G1933</f>
        <v>0</v>
      </c>
      <c r="H358" s="1350">
        <f>+$F358*H1933</f>
        <v>24171.775932376906</v>
      </c>
      <c r="I358" s="1323">
        <f>IF(F358=0,0,+H358/F358)</f>
        <v>1</v>
      </c>
      <c r="J358" s="1366">
        <f>H358</f>
        <v>24171.775932376906</v>
      </c>
      <c r="K358" s="1366">
        <f t="shared" ref="K358:Q358" si="169">+$J358*K$1966</f>
        <v>12197.904452943767</v>
      </c>
      <c r="L358" s="1366">
        <f t="shared" si="169"/>
        <v>1127.2291639031462</v>
      </c>
      <c r="M358" s="1366">
        <f t="shared" si="169"/>
        <v>8397.4194408385283</v>
      </c>
      <c r="N358" s="1378">
        <f t="shared" si="169"/>
        <v>1336.7341548727738</v>
      </c>
      <c r="O358" s="1378">
        <f t="shared" si="169"/>
        <v>984.78791142917646</v>
      </c>
      <c r="P358" s="1378">
        <f t="shared" si="169"/>
        <v>127.70080838951519</v>
      </c>
      <c r="Q358" s="1366">
        <f t="shared" si="169"/>
        <v>0</v>
      </c>
      <c r="R358" s="1364"/>
      <c r="S358" s="1324">
        <v>201</v>
      </c>
      <c r="V358" s="1321" t="s">
        <v>5235</v>
      </c>
      <c r="W358" s="1321">
        <v>201</v>
      </c>
      <c r="Y358" s="1324"/>
    </row>
    <row r="359" spans="1:25">
      <c r="A359" s="1320" t="s">
        <v>4739</v>
      </c>
      <c r="C359" s="1434">
        <v>5</v>
      </c>
      <c r="D359" s="1358" t="s">
        <v>5394</v>
      </c>
      <c r="E359" s="1358"/>
      <c r="F359" s="1358">
        <f>+SUM(F356:F358)</f>
        <v>285291.55455</v>
      </c>
      <c r="G359" s="1358">
        <f>SUM(G356:G358)</f>
        <v>0</v>
      </c>
      <c r="H359" s="1358">
        <f>SUM(H356:H358)</f>
        <v>285291.55455</v>
      </c>
      <c r="I359" s="1323">
        <f>IF(F359=0,0,+H359/F359)</f>
        <v>1</v>
      </c>
      <c r="J359" s="1364">
        <f t="shared" ref="J359:Q359" si="170">SUM(J356:J358)</f>
        <v>285291.55455</v>
      </c>
      <c r="K359" s="1364">
        <f t="shared" si="170"/>
        <v>163650.78108538315</v>
      </c>
      <c r="L359" s="1364">
        <f t="shared" si="170"/>
        <v>13620.563848294485</v>
      </c>
      <c r="M359" s="1364">
        <f t="shared" si="170"/>
        <v>88261.031581291623</v>
      </c>
      <c r="N359" s="1367">
        <f t="shared" si="170"/>
        <v>11306.647211159856</v>
      </c>
      <c r="O359" s="1367">
        <f>SUM(O356:O358)</f>
        <v>8139.6980225369562</v>
      </c>
      <c r="P359" s="1367">
        <f>SUM(P356:P358)</f>
        <v>312.83280133394254</v>
      </c>
      <c r="Q359" s="1364">
        <f t="shared" si="170"/>
        <v>0</v>
      </c>
      <c r="R359" s="1364"/>
      <c r="S359" s="1324"/>
      <c r="V359" s="1320" t="s">
        <v>5395</v>
      </c>
      <c r="Y359" s="1324"/>
    </row>
    <row r="360" spans="1:25">
      <c r="A360" s="1320" t="s">
        <v>4739</v>
      </c>
      <c r="C360" s="1434">
        <v>6</v>
      </c>
      <c r="D360" s="1358"/>
      <c r="E360" s="1358"/>
      <c r="F360" s="1358"/>
      <c r="G360" s="1358"/>
      <c r="H360" s="1358"/>
      <c r="I360" s="1379"/>
      <c r="J360" s="1364"/>
      <c r="K360" s="1364"/>
      <c r="L360" s="1364"/>
      <c r="M360" s="1364"/>
      <c r="N360" s="1367"/>
      <c r="O360" s="1367"/>
      <c r="P360" s="1367"/>
      <c r="Q360" s="1364"/>
      <c r="R360" s="1364"/>
      <c r="S360" s="1324"/>
      <c r="Y360" s="1324"/>
    </row>
    <row r="361" spans="1:25">
      <c r="A361" s="1320" t="s">
        <v>4739</v>
      </c>
      <c r="C361" s="1434">
        <v>7</v>
      </c>
      <c r="D361" s="1358"/>
      <c r="E361" s="1358"/>
      <c r="F361" s="1358"/>
      <c r="G361" s="1358"/>
      <c r="H361" s="1358"/>
      <c r="I361" s="1379"/>
      <c r="J361" s="1364"/>
      <c r="K361" s="1364"/>
      <c r="L361" s="1364"/>
      <c r="M361" s="1364"/>
      <c r="N361" s="1367"/>
      <c r="O361" s="1367"/>
      <c r="P361" s="1367"/>
      <c r="Q361" s="1364"/>
      <c r="R361" s="1364"/>
      <c r="S361" s="1324"/>
      <c r="Y361" s="1324"/>
    </row>
    <row r="362" spans="1:25">
      <c r="A362" s="1320" t="s">
        <v>4739</v>
      </c>
      <c r="C362" s="1434">
        <v>8</v>
      </c>
      <c r="D362" s="1437" t="s">
        <v>5396</v>
      </c>
      <c r="E362" s="1358"/>
      <c r="F362" s="1358"/>
      <c r="G362" s="1358"/>
      <c r="H362" s="1358"/>
      <c r="I362" s="1379"/>
      <c r="J362" s="1364"/>
      <c r="K362" s="1364"/>
      <c r="L362" s="1364"/>
      <c r="M362" s="1364"/>
      <c r="N362" s="1367"/>
      <c r="O362" s="1367"/>
      <c r="P362" s="1367"/>
      <c r="Q362" s="1364"/>
      <c r="R362" s="1364"/>
      <c r="S362" s="1324"/>
      <c r="Y362" s="1324"/>
    </row>
    <row r="363" spans="1:25">
      <c r="A363" s="1320" t="s">
        <v>4739</v>
      </c>
      <c r="B363" s="1320">
        <v>101</v>
      </c>
      <c r="C363" s="1434">
        <v>9</v>
      </c>
      <c r="D363" s="1358" t="s">
        <v>5397</v>
      </c>
      <c r="E363" s="1358" t="s">
        <v>4067</v>
      </c>
      <c r="F363" s="1358">
        <f>+'0 MDS Allocation Assignment'!F115</f>
        <v>4399.5250740593683</v>
      </c>
      <c r="G363" s="1358">
        <f>+$F363*$G$1933</f>
        <v>0</v>
      </c>
      <c r="H363" s="1358">
        <f>+$F363*$H$1933</f>
        <v>4399.5250740593683</v>
      </c>
      <c r="I363" s="1323">
        <f>IF(F363=0,0,+H363/F363)</f>
        <v>1</v>
      </c>
      <c r="J363" s="1364">
        <f>+H363</f>
        <v>4399.5250740593683</v>
      </c>
      <c r="K363" s="1364">
        <f t="shared" ref="K363:Q363" si="171">$J363*K$1951</f>
        <v>2551.7819133056933</v>
      </c>
      <c r="L363" s="1364">
        <f t="shared" si="171"/>
        <v>210.49626915885293</v>
      </c>
      <c r="M363" s="1364">
        <f t="shared" si="171"/>
        <v>1345.5968980097855</v>
      </c>
      <c r="N363" s="1364">
        <f t="shared" si="171"/>
        <v>167.97993131557655</v>
      </c>
      <c r="O363" s="1364">
        <f t="shared" si="171"/>
        <v>120.55083151152418</v>
      </c>
      <c r="P363" s="1364">
        <f t="shared" si="171"/>
        <v>3.1192307579362342</v>
      </c>
      <c r="Q363" s="1364">
        <f t="shared" si="171"/>
        <v>0</v>
      </c>
      <c r="R363" s="1324"/>
      <c r="S363" s="1324">
        <v>122</v>
      </c>
      <c r="V363" s="1321" t="s">
        <v>5227</v>
      </c>
      <c r="W363" s="1321">
        <v>122</v>
      </c>
      <c r="Y363" s="1324"/>
    </row>
    <row r="364" spans="1:25" s="1324" customFormat="1">
      <c r="A364" s="1324" t="s">
        <v>4739</v>
      </c>
      <c r="B364" s="1324">
        <v>101</v>
      </c>
      <c r="C364" s="1439">
        <v>10</v>
      </c>
      <c r="D364" s="1364" t="s">
        <v>5398</v>
      </c>
      <c r="E364" s="1364" t="s">
        <v>4067</v>
      </c>
      <c r="F364" s="1366">
        <f>+'0 MDS Allocation Assignment'!F116</f>
        <v>0</v>
      </c>
      <c r="G364" s="1366">
        <f>+$F364*$G$1933</f>
        <v>0</v>
      </c>
      <c r="H364" s="1366">
        <f>+$F364*$H$1933</f>
        <v>0</v>
      </c>
      <c r="I364" s="1374">
        <f>IF(F364=0,0,+H364/F364)</f>
        <v>0</v>
      </c>
      <c r="J364" s="1366">
        <f>+H364</f>
        <v>0</v>
      </c>
      <c r="K364" s="1366">
        <f t="shared" ref="K364:Q364" si="172">$J364*K$1948</f>
        <v>0</v>
      </c>
      <c r="L364" s="1366">
        <f t="shared" si="172"/>
        <v>0</v>
      </c>
      <c r="M364" s="1366">
        <f t="shared" si="172"/>
        <v>0</v>
      </c>
      <c r="N364" s="1366">
        <f t="shared" si="172"/>
        <v>0</v>
      </c>
      <c r="O364" s="1366">
        <f t="shared" si="172"/>
        <v>0</v>
      </c>
      <c r="P364" s="1366">
        <f t="shared" si="172"/>
        <v>0</v>
      </c>
      <c r="Q364" s="1366">
        <f t="shared" si="172"/>
        <v>0</v>
      </c>
      <c r="S364" s="1324">
        <v>121</v>
      </c>
      <c r="V364" s="1326" t="s">
        <v>5287</v>
      </c>
      <c r="W364" s="1326">
        <v>121</v>
      </c>
    </row>
    <row r="365" spans="1:25" s="1324" customFormat="1">
      <c r="C365" s="1439">
        <v>11</v>
      </c>
      <c r="D365" s="1364" t="s">
        <v>5399</v>
      </c>
      <c r="E365" s="1364"/>
      <c r="F365" s="1421">
        <f>+SUM(F363:F364)</f>
        <v>4399.5250740593683</v>
      </c>
      <c r="G365" s="1421">
        <f>SUM(G363:G364)</f>
        <v>0</v>
      </c>
      <c r="H365" s="1421">
        <f>SUM(H363:H364)</f>
        <v>4399.5250740593683</v>
      </c>
      <c r="I365" s="1374">
        <f>IF(F365=0,0,+H365/F365)</f>
        <v>1</v>
      </c>
      <c r="J365" s="1421">
        <f t="shared" ref="J365:Q365" si="173">SUM(J363:J364)</f>
        <v>4399.5250740593683</v>
      </c>
      <c r="K365" s="1421">
        <f t="shared" si="173"/>
        <v>2551.7819133056933</v>
      </c>
      <c r="L365" s="1421">
        <f t="shared" si="173"/>
        <v>210.49626915885293</v>
      </c>
      <c r="M365" s="1421">
        <f t="shared" si="173"/>
        <v>1345.5968980097855</v>
      </c>
      <c r="N365" s="1421">
        <f t="shared" si="173"/>
        <v>167.97993131557655</v>
      </c>
      <c r="O365" s="1421">
        <f t="shared" si="173"/>
        <v>120.55083151152418</v>
      </c>
      <c r="P365" s="1421">
        <f t="shared" si="173"/>
        <v>3.1192307579362342</v>
      </c>
      <c r="Q365" s="1421">
        <f t="shared" si="173"/>
        <v>0</v>
      </c>
      <c r="V365" s="1324" t="s">
        <v>5284</v>
      </c>
      <c r="W365" s="1326"/>
    </row>
    <row r="366" spans="1:25" s="1324" customFormat="1">
      <c r="A366" s="1324" t="s">
        <v>4739</v>
      </c>
      <c r="C366" s="1439">
        <v>12</v>
      </c>
      <c r="D366" s="1364"/>
      <c r="E366" s="1364"/>
      <c r="F366" s="1364"/>
      <c r="G366" s="1364"/>
      <c r="H366" s="1364"/>
      <c r="I366" s="1440"/>
      <c r="J366" s="1364"/>
      <c r="K366" s="1364"/>
      <c r="L366" s="1364"/>
      <c r="M366" s="1364"/>
      <c r="N366" s="1367"/>
      <c r="O366" s="1367"/>
      <c r="P366" s="1367"/>
      <c r="Q366" s="1364"/>
      <c r="R366" s="1364"/>
    </row>
    <row r="367" spans="1:25" s="1324" customFormat="1">
      <c r="A367" s="1324" t="s">
        <v>4739</v>
      </c>
      <c r="B367" s="1324">
        <v>117</v>
      </c>
      <c r="C367" s="1439">
        <v>13</v>
      </c>
      <c r="D367" s="1364" t="s">
        <v>5292</v>
      </c>
      <c r="E367" s="1364" t="s">
        <v>4067</v>
      </c>
      <c r="F367" s="1366">
        <f>+'0 MDS Allocation Assignment'!F117</f>
        <v>14335.379063852772</v>
      </c>
      <c r="G367" s="1366">
        <f>+$F367*$G$1942</f>
        <v>928.74413865325232</v>
      </c>
      <c r="H367" s="1366">
        <f>+$F367*$H$1942</f>
        <v>13406.634925199518</v>
      </c>
      <c r="I367" s="1374">
        <f>IF(F367=0,0,+H367/F367)</f>
        <v>0.93521314403222733</v>
      </c>
      <c r="J367" s="1366">
        <f>+H367</f>
        <v>13406.634925199518</v>
      </c>
      <c r="K367" s="1366">
        <f t="shared" ref="K367:Q367" si="174">+$J367*K1945</f>
        <v>7776.0230807937669</v>
      </c>
      <c r="L367" s="1366">
        <f t="shared" si="174"/>
        <v>641.44347088023767</v>
      </c>
      <c r="M367" s="1366">
        <f t="shared" si="174"/>
        <v>4100.4258560692751</v>
      </c>
      <c r="N367" s="1378">
        <f t="shared" si="174"/>
        <v>511.88380018257283</v>
      </c>
      <c r="O367" s="1378">
        <f t="shared" si="174"/>
        <v>367.35351220831194</v>
      </c>
      <c r="P367" s="1378">
        <f t="shared" si="174"/>
        <v>9.505205065354783</v>
      </c>
      <c r="Q367" s="1366">
        <f t="shared" si="174"/>
        <v>0</v>
      </c>
      <c r="R367" s="1364"/>
      <c r="S367" s="1324">
        <v>117</v>
      </c>
      <c r="V367" s="1326" t="s">
        <v>5228</v>
      </c>
      <c r="W367" s="1326">
        <v>117</v>
      </c>
    </row>
    <row r="368" spans="1:25" s="1324" customFormat="1">
      <c r="A368" s="1324" t="s">
        <v>4739</v>
      </c>
      <c r="C368" s="1439">
        <v>14</v>
      </c>
      <c r="D368" s="1364"/>
      <c r="E368" s="1364"/>
      <c r="F368" s="1364"/>
      <c r="G368" s="1364"/>
      <c r="H368" s="1364"/>
      <c r="I368" s="1440"/>
      <c r="J368" s="1364"/>
      <c r="K368" s="1364"/>
      <c r="N368" s="1325"/>
      <c r="O368" s="1325"/>
      <c r="P368" s="1325"/>
    </row>
    <row r="369" spans="1:23" s="1324" customFormat="1">
      <c r="A369" s="1324" t="s">
        <v>4739</v>
      </c>
      <c r="C369" s="1439">
        <v>15</v>
      </c>
      <c r="D369" s="1364" t="s">
        <v>1953</v>
      </c>
      <c r="E369" s="1364"/>
      <c r="F369" s="1364"/>
      <c r="G369" s="1364"/>
      <c r="H369" s="1364"/>
      <c r="I369" s="1440"/>
      <c r="J369" s="1364"/>
      <c r="K369" s="1364"/>
      <c r="N369" s="1325"/>
      <c r="O369" s="1325"/>
      <c r="P369" s="1325"/>
    </row>
    <row r="370" spans="1:23" s="1324" customFormat="1">
      <c r="A370" s="1324" t="s">
        <v>4739</v>
      </c>
      <c r="B370" s="1324">
        <v>117</v>
      </c>
      <c r="C370" s="1439">
        <v>16</v>
      </c>
      <c r="D370" s="1364" t="s">
        <v>5293</v>
      </c>
      <c r="E370" s="1364" t="s">
        <v>4067</v>
      </c>
      <c r="F370" s="1364">
        <f>+'0 MDS Allocation Assignment'!F118</f>
        <v>5452.3630009842718</v>
      </c>
      <c r="G370" s="1364">
        <f>+$F370*$G$1942</f>
        <v>353.2414564287804</v>
      </c>
      <c r="H370" s="1364">
        <f>+$F370*$H$1942</f>
        <v>5099.1215445554908</v>
      </c>
      <c r="I370" s="1374">
        <f>IF(F370=0,0,+H370/F370)</f>
        <v>0.93521314403222733</v>
      </c>
      <c r="J370" s="1364">
        <f>+H370</f>
        <v>5099.1215445554908</v>
      </c>
      <c r="K370" s="1364">
        <f t="shared" ref="K370:Q371" si="175">+$J370*K$1945</f>
        <v>2957.5569890179709</v>
      </c>
      <c r="L370" s="1364">
        <f t="shared" si="175"/>
        <v>243.96862003245727</v>
      </c>
      <c r="M370" s="1364">
        <f t="shared" si="175"/>
        <v>1559.5688210495573</v>
      </c>
      <c r="N370" s="1367">
        <f t="shared" si="175"/>
        <v>194.69148883242605</v>
      </c>
      <c r="O370" s="1367">
        <f t="shared" si="175"/>
        <v>139.72038613870552</v>
      </c>
      <c r="P370" s="1367">
        <f t="shared" si="175"/>
        <v>3.6152394843739843</v>
      </c>
      <c r="Q370" s="1364">
        <f t="shared" si="175"/>
        <v>0</v>
      </c>
      <c r="R370" s="1364"/>
      <c r="S370" s="1324">
        <v>117</v>
      </c>
      <c r="V370" s="1326" t="s">
        <v>5228</v>
      </c>
      <c r="W370" s="1326">
        <v>117</v>
      </c>
    </row>
    <row r="371" spans="1:23" s="1324" customFormat="1">
      <c r="A371" s="1324" t="s">
        <v>4739</v>
      </c>
      <c r="B371" s="1324">
        <v>117</v>
      </c>
      <c r="C371" s="1439">
        <v>17</v>
      </c>
      <c r="D371" s="1364" t="s">
        <v>5294</v>
      </c>
      <c r="E371" s="1364" t="s">
        <v>4067</v>
      </c>
      <c r="F371" s="1366">
        <f>+'0 MDS Allocation Assignment'!F119</f>
        <v>8138.7001948391526</v>
      </c>
      <c r="G371" s="1366">
        <f>+$F371*$G$1942</f>
        <v>527.28079728792704</v>
      </c>
      <c r="H371" s="1366">
        <f>+$F371*$H$1942</f>
        <v>7611.4193975512253</v>
      </c>
      <c r="I371" s="1374">
        <f>IF(F371=0,0,+H371/F371)</f>
        <v>0.93521314403222733</v>
      </c>
      <c r="J371" s="1366">
        <f>+H371</f>
        <v>7611.4193975512253</v>
      </c>
      <c r="K371" s="1366">
        <f t="shared" si="175"/>
        <v>4414.7225044303123</v>
      </c>
      <c r="L371" s="1366">
        <f t="shared" si="175"/>
        <v>364.17007727371725</v>
      </c>
      <c r="M371" s="1366">
        <f t="shared" si="175"/>
        <v>2327.9563494671502</v>
      </c>
      <c r="N371" s="1378">
        <f t="shared" si="175"/>
        <v>290.61448362993201</v>
      </c>
      <c r="O371" s="1378">
        <f t="shared" si="175"/>
        <v>208.55954265789072</v>
      </c>
      <c r="P371" s="1378">
        <f t="shared" si="175"/>
        <v>5.3964400922229832</v>
      </c>
      <c r="Q371" s="1366">
        <f t="shared" si="175"/>
        <v>0</v>
      </c>
      <c r="R371" s="1364"/>
      <c r="S371" s="1324">
        <v>117</v>
      </c>
      <c r="V371" s="1326" t="s">
        <v>5228</v>
      </c>
      <c r="W371" s="1326">
        <v>117</v>
      </c>
    </row>
    <row r="372" spans="1:23" s="1324" customFormat="1">
      <c r="A372" s="1324" t="s">
        <v>4739</v>
      </c>
      <c r="C372" s="1439">
        <v>18</v>
      </c>
      <c r="D372" s="1364" t="s">
        <v>1953</v>
      </c>
      <c r="E372" s="1364"/>
      <c r="F372" s="1366">
        <f>SUM(F370:F371)</f>
        <v>13591.063195823424</v>
      </c>
      <c r="G372" s="1366">
        <f>SUM(G370:G371)</f>
        <v>880.52225371670738</v>
      </c>
      <c r="H372" s="1366">
        <f>SUM(H370:H371)</f>
        <v>12710.540942106716</v>
      </c>
      <c r="I372" s="1374">
        <f>IF(F372=0,0,+H372/F372)</f>
        <v>0.93521314403222733</v>
      </c>
      <c r="J372" s="1366">
        <f t="shared" ref="J372:Q372" si="176">SUM(J370:J371)</f>
        <v>12710.540942106716</v>
      </c>
      <c r="K372" s="1366">
        <f t="shared" si="176"/>
        <v>7372.2794934482827</v>
      </c>
      <c r="L372" s="1366">
        <f t="shared" si="176"/>
        <v>608.13869730617455</v>
      </c>
      <c r="M372" s="1366">
        <f t="shared" si="176"/>
        <v>3887.5251705167075</v>
      </c>
      <c r="N372" s="1378">
        <f t="shared" si="176"/>
        <v>485.30597246235806</v>
      </c>
      <c r="O372" s="1378">
        <f>SUM(O370:O371)</f>
        <v>348.27992879659621</v>
      </c>
      <c r="P372" s="1378">
        <f>SUM(P370:P371)</f>
        <v>9.0116795765969684</v>
      </c>
      <c r="Q372" s="1366">
        <f t="shared" si="176"/>
        <v>0</v>
      </c>
      <c r="R372" s="1364"/>
      <c r="V372" s="1324" t="s">
        <v>5400</v>
      </c>
    </row>
    <row r="373" spans="1:23" s="1324" customFormat="1">
      <c r="A373" s="1324" t="s">
        <v>4739</v>
      </c>
      <c r="C373" s="1439">
        <v>19</v>
      </c>
      <c r="D373" s="1364"/>
      <c r="E373" s="1364"/>
      <c r="F373" s="1364"/>
      <c r="G373" s="1364"/>
      <c r="H373" s="1364"/>
      <c r="I373" s="1440"/>
      <c r="J373" s="1364"/>
      <c r="K373" s="1364"/>
      <c r="L373" s="1364"/>
      <c r="M373" s="1364"/>
      <c r="N373" s="1367"/>
      <c r="O373" s="1367"/>
      <c r="P373" s="1367"/>
      <c r="Q373" s="1364"/>
      <c r="R373" s="1364"/>
    </row>
    <row r="374" spans="1:23" s="1324" customFormat="1">
      <c r="A374" s="1324" t="s">
        <v>4739</v>
      </c>
      <c r="C374" s="1439">
        <v>20</v>
      </c>
      <c r="D374" s="1364" t="s">
        <v>5401</v>
      </c>
      <c r="E374" s="1364"/>
      <c r="F374" s="1366">
        <f>F365+F367+F372</f>
        <v>32325.967333735563</v>
      </c>
      <c r="G374" s="1366">
        <f>G365+G367+G372</f>
        <v>1809.2663923699597</v>
      </c>
      <c r="H374" s="1366">
        <f>H365+H367+H372</f>
        <v>30516.700941365601</v>
      </c>
      <c r="I374" s="1374">
        <f>IF(F374=0,0,+H374/F374)</f>
        <v>0.94403055680620573</v>
      </c>
      <c r="J374" s="1366">
        <f>J365+J367+J372</f>
        <v>30516.700941365601</v>
      </c>
      <c r="K374" s="1366">
        <f t="shared" ref="K374:Q374" si="177">K365+K367+K372</f>
        <v>17700.084487547741</v>
      </c>
      <c r="L374" s="1366">
        <f t="shared" si="177"/>
        <v>1460.0784373452652</v>
      </c>
      <c r="M374" s="1366">
        <f t="shared" si="177"/>
        <v>9333.5479245957686</v>
      </c>
      <c r="N374" s="1366">
        <f t="shared" si="177"/>
        <v>1165.1697039605074</v>
      </c>
      <c r="O374" s="1366">
        <f t="shared" si="177"/>
        <v>836.18427251643232</v>
      </c>
      <c r="P374" s="1366">
        <f t="shared" si="177"/>
        <v>21.636115399887984</v>
      </c>
      <c r="Q374" s="1366">
        <f t="shared" si="177"/>
        <v>0</v>
      </c>
      <c r="R374" s="1364"/>
      <c r="V374" s="1324" t="s">
        <v>5402</v>
      </c>
    </row>
    <row r="375" spans="1:23" s="1324" customFormat="1">
      <c r="C375" s="1439"/>
      <c r="D375" s="1364"/>
      <c r="E375" s="1364"/>
      <c r="F375" s="1364"/>
      <c r="G375" s="1364"/>
      <c r="H375" s="1364"/>
      <c r="I375" s="1440"/>
      <c r="J375" s="1364"/>
      <c r="K375" s="1364"/>
      <c r="M375" s="1325"/>
      <c r="N375" s="1325"/>
      <c r="O375" s="1325"/>
    </row>
    <row r="376" spans="1:23">
      <c r="C376" s="1434"/>
      <c r="D376" s="1358"/>
      <c r="E376" s="1358"/>
      <c r="F376" s="1358"/>
      <c r="G376" s="1358"/>
      <c r="H376" s="1358"/>
      <c r="I376" s="1379"/>
      <c r="J376" s="1364"/>
      <c r="K376" s="1364"/>
    </row>
    <row r="377" spans="1:23">
      <c r="C377" s="1434"/>
      <c r="D377" s="1358"/>
      <c r="E377" s="1358"/>
      <c r="F377" s="1358"/>
      <c r="G377" s="1358"/>
      <c r="H377" s="1358"/>
      <c r="I377" s="1379"/>
      <c r="J377" s="1364"/>
      <c r="K377" s="1364"/>
    </row>
    <row r="378" spans="1:23">
      <c r="C378" s="1434"/>
      <c r="D378" s="1358"/>
      <c r="E378" s="1358"/>
      <c r="F378" s="1358"/>
      <c r="G378" s="1358"/>
      <c r="H378" s="1358"/>
      <c r="I378" s="1379"/>
      <c r="J378" s="1364"/>
      <c r="K378" s="1364"/>
    </row>
    <row r="379" spans="1:23">
      <c r="C379" s="1434"/>
      <c r="D379" s="1358"/>
      <c r="E379" s="1358"/>
      <c r="F379" s="1358"/>
      <c r="G379" s="1358"/>
      <c r="H379" s="1358"/>
      <c r="I379" s="1379"/>
      <c r="J379" s="1364"/>
      <c r="K379" s="1364"/>
    </row>
    <row r="380" spans="1:23">
      <c r="B380" s="1432"/>
      <c r="C380" s="1340" t="str">
        <f>+C$2</f>
        <v>RATES WITH REVENUE DEFICIENCY ADDITION</v>
      </c>
      <c r="F380" s="1333"/>
      <c r="G380" s="1327" t="s">
        <v>2173</v>
      </c>
      <c r="H380" s="1358"/>
      <c r="I380" s="1334" t="s">
        <v>4895</v>
      </c>
      <c r="L380" s="1329" t="s">
        <v>2173</v>
      </c>
      <c r="M380" s="1330"/>
      <c r="N380" s="1330"/>
      <c r="O380" s="1330"/>
      <c r="S380" s="1334" t="s">
        <v>5403</v>
      </c>
      <c r="T380" s="1333" t="s">
        <v>2173</v>
      </c>
      <c r="U380" s="1334"/>
      <c r="V380" s="1332" t="s">
        <v>4772</v>
      </c>
    </row>
    <row r="381" spans="1:23" s="1324" customFormat="1">
      <c r="B381" s="1433"/>
      <c r="C381" s="1340" t="str">
        <f>+C$3</f>
        <v>PROD. CAP. ALLOC. METHOD: 12 CP &amp; 1/13th AD</v>
      </c>
      <c r="D381" s="1364"/>
      <c r="G381" s="1336" t="s">
        <v>4768</v>
      </c>
      <c r="H381" s="1320"/>
      <c r="I381" s="1335" t="s">
        <v>5390</v>
      </c>
      <c r="L381" s="1336" t="s">
        <v>5141</v>
      </c>
      <c r="M381" s="1337"/>
      <c r="N381" s="1337"/>
      <c r="O381" s="1337"/>
      <c r="R381" s="1331"/>
      <c r="S381" s="1335" t="s">
        <v>5404</v>
      </c>
      <c r="T381" s="1336" t="s">
        <v>5141</v>
      </c>
      <c r="V381" s="1334" t="s">
        <v>5403</v>
      </c>
    </row>
    <row r="382" spans="1:23">
      <c r="B382" s="1321"/>
      <c r="C382" s="1340" t="str">
        <f>+C$4</f>
        <v>PROJECTED CALENDAR YEAR 2025; FULLY ADJUSTED DATA</v>
      </c>
      <c r="G382" s="1336" t="s">
        <v>2181</v>
      </c>
      <c r="L382" s="1336" t="s">
        <v>2181</v>
      </c>
      <c r="T382" s="1339"/>
    </row>
    <row r="383" spans="1:23">
      <c r="B383" s="1321"/>
      <c r="C383" s="1340" t="str">
        <f>+C$5</f>
        <v>MINIMUM DISTRIBUTION SYSTEM (MDS) NOT EMPLOYED</v>
      </c>
      <c r="G383" s="1358"/>
      <c r="H383" s="1358"/>
      <c r="I383" s="1379"/>
      <c r="K383" s="1364"/>
      <c r="L383" s="1336"/>
      <c r="M383" s="1337"/>
      <c r="N383" s="1337"/>
      <c r="O383" s="1337"/>
      <c r="T383" s="1333"/>
    </row>
    <row r="384" spans="1:23">
      <c r="B384" s="1321"/>
      <c r="C384" s="1340" t="str">
        <f>+C$6</f>
        <v>Tampa Electric 2025 OB Budget</v>
      </c>
      <c r="F384" s="1327"/>
      <c r="G384" s="1333" t="s">
        <v>5391</v>
      </c>
      <c r="H384" s="1358"/>
      <c r="I384" s="1379"/>
      <c r="K384" s="1364"/>
      <c r="L384" s="1336" t="s">
        <v>5391</v>
      </c>
      <c r="M384" s="1337"/>
      <c r="N384" s="1337"/>
      <c r="O384" s="1337"/>
      <c r="T384" s="1333" t="s">
        <v>5391</v>
      </c>
    </row>
    <row r="385" spans="1:25" ht="10.5" customHeight="1">
      <c r="B385" s="1321"/>
      <c r="F385" s="1333"/>
      <c r="G385" s="1358"/>
      <c r="H385" s="1358"/>
      <c r="I385" s="1379"/>
      <c r="K385" s="1364"/>
      <c r="L385" s="1336"/>
      <c r="M385" s="1337"/>
      <c r="N385" s="1337"/>
      <c r="O385" s="1337"/>
    </row>
    <row r="386" spans="1:25" ht="10.5" customHeight="1">
      <c r="B386" s="1321"/>
      <c r="F386" s="1333"/>
      <c r="G386" s="1358"/>
      <c r="H386" s="1358"/>
      <c r="I386" s="1379"/>
      <c r="K386" s="1364"/>
      <c r="L386" s="1336"/>
      <c r="M386" s="1337"/>
      <c r="N386" s="1337"/>
      <c r="O386" s="1337"/>
    </row>
    <row r="387" spans="1:25" ht="10.5" customHeight="1">
      <c r="C387" s="1434"/>
      <c r="D387" s="1358"/>
      <c r="E387" s="1358"/>
      <c r="G387" s="1358"/>
      <c r="H387" s="1358"/>
      <c r="I387" s="1379"/>
      <c r="K387" s="1364"/>
    </row>
    <row r="388" spans="1:25" ht="10.5" customHeight="1">
      <c r="C388" s="1434"/>
      <c r="D388" s="1358"/>
      <c r="E388" s="1358"/>
      <c r="F388" s="1358"/>
      <c r="G388" s="1358"/>
      <c r="H388" s="1358"/>
      <c r="I388" s="1379"/>
      <c r="K388" s="1364"/>
    </row>
    <row r="389" spans="1:25" ht="30" customHeight="1">
      <c r="A389" s="1418" t="s">
        <v>4683</v>
      </c>
      <c r="B389" s="1425" t="s">
        <v>5143</v>
      </c>
      <c r="C389" s="1349" t="s">
        <v>4297</v>
      </c>
      <c r="D389" s="1418"/>
      <c r="E389" s="1418"/>
      <c r="F389" s="1348" t="s">
        <v>5144</v>
      </c>
      <c r="G389" s="1348" t="s">
        <v>4956</v>
      </c>
      <c r="H389" s="1348" t="s">
        <v>4957</v>
      </c>
      <c r="I389" s="1426" t="s">
        <v>5145</v>
      </c>
      <c r="J389" s="1352" t="s">
        <v>4957</v>
      </c>
      <c r="K389" s="1353" t="s">
        <v>1949</v>
      </c>
      <c r="L389" s="1353" t="s">
        <v>1950</v>
      </c>
      <c r="M389" s="1354" t="s">
        <v>1934</v>
      </c>
      <c r="N389" s="1354" t="s">
        <v>1971</v>
      </c>
      <c r="O389" s="1354" t="s">
        <v>1972</v>
      </c>
      <c r="P389" s="1352" t="s">
        <v>5146</v>
      </c>
      <c r="Q389" s="1352" t="s">
        <v>5147</v>
      </c>
      <c r="R389" s="1355"/>
      <c r="S389" s="1348" t="s">
        <v>5299</v>
      </c>
      <c r="T389" s="1348"/>
      <c r="U389" s="1352"/>
      <c r="V389" s="1355" t="s">
        <v>4774</v>
      </c>
    </row>
    <row r="390" spans="1:25">
      <c r="C390" s="1434"/>
      <c r="D390" s="1358"/>
      <c r="E390" s="1358"/>
      <c r="F390" s="1358"/>
      <c r="G390" s="1358"/>
      <c r="H390" s="1358"/>
      <c r="I390" s="1379"/>
      <c r="K390" s="1364"/>
    </row>
    <row r="391" spans="1:25">
      <c r="A391" s="1320" t="s">
        <v>4739</v>
      </c>
      <c r="C391" s="1434">
        <v>21</v>
      </c>
      <c r="D391" s="1437" t="s">
        <v>4132</v>
      </c>
      <c r="E391" s="1358"/>
      <c r="F391" s="1358"/>
      <c r="G391" s="1358"/>
      <c r="H391" s="1358"/>
      <c r="I391" s="1379"/>
      <c r="K391" s="1364"/>
    </row>
    <row r="392" spans="1:25">
      <c r="A392" s="1320" t="s">
        <v>4739</v>
      </c>
      <c r="B392" s="1320">
        <v>105</v>
      </c>
      <c r="C392" s="1434">
        <v>22</v>
      </c>
      <c r="D392" s="1358" t="s">
        <v>5293</v>
      </c>
      <c r="E392" s="1358" t="s">
        <v>4067</v>
      </c>
      <c r="F392" s="1358">
        <f>+'0 MDS Allocation Assignment'!F120</f>
        <v>9806.7207300000009</v>
      </c>
      <c r="G392" s="1358">
        <f>+$F392*G$1936</f>
        <v>0</v>
      </c>
      <c r="H392" s="1358">
        <f>+$F392*H$1936</f>
        <v>9806.7207300000009</v>
      </c>
      <c r="I392" s="1323">
        <f>IF(F392=0,0,+H392/F392)</f>
        <v>1</v>
      </c>
      <c r="J392" s="1364">
        <f>+H392</f>
        <v>9806.7207300000009</v>
      </c>
      <c r="K392" s="1364">
        <f t="shared" ref="K392:Q392" si="178">+$J392*K$1936</f>
        <v>6103.8600083192796</v>
      </c>
      <c r="L392" s="1364">
        <f t="shared" si="178"/>
        <v>434.12183263503931</v>
      </c>
      <c r="M392" s="1364">
        <f t="shared" si="178"/>
        <v>2906.7167238333827</v>
      </c>
      <c r="N392" s="1367">
        <f t="shared" si="178"/>
        <v>305.72815663925502</v>
      </c>
      <c r="O392" s="1367">
        <f t="shared" si="178"/>
        <v>2.087452294183024E-4</v>
      </c>
      <c r="P392" s="1367">
        <f t="shared" si="178"/>
        <v>56.293799827817068</v>
      </c>
      <c r="Q392" s="1364">
        <f t="shared" si="178"/>
        <v>0</v>
      </c>
      <c r="R392" s="1358"/>
      <c r="S392" s="1320">
        <v>105</v>
      </c>
      <c r="V392" s="1321" t="s">
        <v>5229</v>
      </c>
      <c r="W392" s="1321">
        <v>105</v>
      </c>
      <c r="Y392" s="1324"/>
    </row>
    <row r="393" spans="1:25">
      <c r="A393" s="1320" t="s">
        <v>4739</v>
      </c>
      <c r="C393" s="1434">
        <v>23</v>
      </c>
      <c r="D393" s="1358"/>
      <c r="E393" s="1358"/>
      <c r="F393" s="1358"/>
      <c r="G393" s="1358"/>
      <c r="H393" s="1358"/>
      <c r="I393" s="1379"/>
      <c r="K393" s="1364"/>
      <c r="L393" s="1364"/>
      <c r="M393" s="1364"/>
      <c r="N393" s="1367"/>
      <c r="O393" s="1367"/>
      <c r="P393" s="1367"/>
      <c r="Q393" s="1364"/>
      <c r="R393" s="1358"/>
      <c r="Y393" s="1324"/>
    </row>
    <row r="394" spans="1:25">
      <c r="A394" s="1320" t="s">
        <v>4739</v>
      </c>
      <c r="B394" s="1320">
        <v>310</v>
      </c>
      <c r="C394" s="1434">
        <v>24</v>
      </c>
      <c r="D394" s="1358" t="s">
        <v>5405</v>
      </c>
      <c r="E394" s="1358" t="s">
        <v>4071</v>
      </c>
      <c r="F394" s="1358">
        <f>+'0 MDS Allocation Assignment'!F121</f>
        <v>2044.6598045826174</v>
      </c>
      <c r="G394" s="1358">
        <f>+$F394*G$1994</f>
        <v>0</v>
      </c>
      <c r="H394" s="1358">
        <f>+$F394*H$1994</f>
        <v>2044.6598045826174</v>
      </c>
      <c r="I394" s="1323">
        <f t="shared" ref="I394:I399" si="179">IF(F394=0,0,+H394/F394)</f>
        <v>1</v>
      </c>
      <c r="J394" s="1364">
        <f>+H394</f>
        <v>2044.6598045826174</v>
      </c>
      <c r="K394" s="1364">
        <f t="shared" ref="K394:Q394" si="180">+$J394*K$1994</f>
        <v>0</v>
      </c>
      <c r="L394" s="1364">
        <f t="shared" si="180"/>
        <v>0</v>
      </c>
      <c r="M394" s="1364">
        <f t="shared" si="180"/>
        <v>0</v>
      </c>
      <c r="N394" s="1367">
        <f t="shared" si="180"/>
        <v>0</v>
      </c>
      <c r="O394" s="1367">
        <f t="shared" si="180"/>
        <v>0</v>
      </c>
      <c r="P394" s="1367">
        <f t="shared" si="180"/>
        <v>0</v>
      </c>
      <c r="Q394" s="1364">
        <f t="shared" si="180"/>
        <v>2044.6598045826174</v>
      </c>
      <c r="R394" s="1358"/>
      <c r="S394" s="1320">
        <v>310</v>
      </c>
      <c r="V394" s="1321" t="s">
        <v>5302</v>
      </c>
      <c r="W394" s="1321">
        <v>310</v>
      </c>
      <c r="Y394" s="1324"/>
    </row>
    <row r="395" spans="1:25">
      <c r="A395" s="1320" t="s">
        <v>4739</v>
      </c>
      <c r="B395" s="1320">
        <v>105</v>
      </c>
      <c r="C395" s="1434">
        <v>25</v>
      </c>
      <c r="D395" s="1358" t="s">
        <v>5406</v>
      </c>
      <c r="E395" s="1358" t="s">
        <v>4067</v>
      </c>
      <c r="F395" s="1358">
        <f>+'0 MDS Allocation Assignment'!F122</f>
        <v>19187.392134374531</v>
      </c>
      <c r="G395" s="1358">
        <f>+$F395*G1936</f>
        <v>0</v>
      </c>
      <c r="H395" s="1358">
        <f>+$F395*H$1936</f>
        <v>19187.392134374531</v>
      </c>
      <c r="I395" s="1323">
        <f t="shared" si="179"/>
        <v>1</v>
      </c>
      <c r="J395" s="1364">
        <f>+H395</f>
        <v>19187.392134374531</v>
      </c>
      <c r="K395" s="1364">
        <f t="shared" ref="K395:Q395" si="181">+$J395*K$1936</f>
        <v>11942.540094434666</v>
      </c>
      <c r="L395" s="1364">
        <f t="shared" si="181"/>
        <v>849.3834041159455</v>
      </c>
      <c r="M395" s="1364">
        <f t="shared" si="181"/>
        <v>5687.1522233850292</v>
      </c>
      <c r="N395" s="1364">
        <f t="shared" si="181"/>
        <v>598.17406750573048</v>
      </c>
      <c r="O395" s="1364">
        <f t="shared" si="181"/>
        <v>4.0842160017632543E-4</v>
      </c>
      <c r="P395" s="1364">
        <f t="shared" si="181"/>
        <v>110.14193651156532</v>
      </c>
      <c r="Q395" s="1364">
        <f t="shared" si="181"/>
        <v>0</v>
      </c>
      <c r="R395" s="1358"/>
      <c r="S395" s="1320">
        <v>105</v>
      </c>
      <c r="V395" s="1321" t="s">
        <v>5229</v>
      </c>
      <c r="W395" s="1321">
        <v>105</v>
      </c>
      <c r="Y395" s="1324"/>
    </row>
    <row r="396" spans="1:25">
      <c r="A396" s="1320" t="s">
        <v>4739</v>
      </c>
      <c r="B396" s="1324">
        <v>418</v>
      </c>
      <c r="C396" s="1439">
        <v>26</v>
      </c>
      <c r="D396" s="1364" t="s">
        <v>5407</v>
      </c>
      <c r="E396" s="1364" t="s">
        <v>4071</v>
      </c>
      <c r="F396" s="1358">
        <f>+'0 MDS Allocation Assignment'!F123</f>
        <v>0</v>
      </c>
      <c r="G396" s="1364">
        <f>+$F396*G2021</f>
        <v>0</v>
      </c>
      <c r="H396" s="1364">
        <f>+$F396*H$1936</f>
        <v>0</v>
      </c>
      <c r="I396" s="1374">
        <f t="shared" si="179"/>
        <v>0</v>
      </c>
      <c r="J396" s="1364">
        <f>+H396</f>
        <v>0</v>
      </c>
      <c r="K396" s="1364">
        <f t="shared" ref="K396:Q396" si="182">+$J396*K$2021</f>
        <v>0</v>
      </c>
      <c r="L396" s="1364">
        <f t="shared" si="182"/>
        <v>0</v>
      </c>
      <c r="M396" s="1364">
        <f t="shared" si="182"/>
        <v>0</v>
      </c>
      <c r="N396" s="1364">
        <f t="shared" si="182"/>
        <v>0</v>
      </c>
      <c r="O396" s="1364">
        <f t="shared" si="182"/>
        <v>0</v>
      </c>
      <c r="P396" s="1364">
        <f t="shared" si="182"/>
        <v>0</v>
      </c>
      <c r="Q396" s="1364">
        <f t="shared" si="182"/>
        <v>0</v>
      </c>
      <c r="R396" s="1364"/>
      <c r="S396" s="1324">
        <v>418</v>
      </c>
      <c r="V396" s="1321" t="s">
        <v>5305</v>
      </c>
      <c r="W396" s="1321">
        <v>418</v>
      </c>
      <c r="Y396" s="1324"/>
    </row>
    <row r="397" spans="1:25">
      <c r="A397" s="1320" t="s">
        <v>4739</v>
      </c>
      <c r="B397" s="1324">
        <v>106</v>
      </c>
      <c r="C397" s="1439">
        <v>27</v>
      </c>
      <c r="D397" s="1364" t="s">
        <v>5408</v>
      </c>
      <c r="E397" s="1364" t="s">
        <v>4067</v>
      </c>
      <c r="F397" s="1358">
        <f>+'0 MDS Allocation Assignment'!F124</f>
        <v>5762.4819510428561</v>
      </c>
      <c r="G397" s="1364">
        <f>+$F397*G1939</f>
        <v>0</v>
      </c>
      <c r="H397" s="1364">
        <f>+$F397*H$1939</f>
        <v>5762.4819510428561</v>
      </c>
      <c r="I397" s="1374">
        <f t="shared" si="179"/>
        <v>1</v>
      </c>
      <c r="J397" s="1364">
        <f>+H397</f>
        <v>5762.4819510428561</v>
      </c>
      <c r="K397" s="1364">
        <f t="shared" ref="K397:Q397" si="183">+$J397*K$1939</f>
        <v>4204.4984990825833</v>
      </c>
      <c r="L397" s="1364">
        <f t="shared" si="183"/>
        <v>338.54557263721745</v>
      </c>
      <c r="M397" s="1364">
        <f t="shared" si="183"/>
        <v>1198.5925145759909</v>
      </c>
      <c r="N397" s="1364">
        <f t="shared" si="183"/>
        <v>0</v>
      </c>
      <c r="O397" s="1364">
        <f t="shared" si="183"/>
        <v>0</v>
      </c>
      <c r="P397" s="1364">
        <f t="shared" si="183"/>
        <v>20.845364747064494</v>
      </c>
      <c r="Q397" s="1364">
        <f t="shared" si="183"/>
        <v>0</v>
      </c>
      <c r="R397" s="1364"/>
      <c r="S397" s="1324">
        <v>106</v>
      </c>
      <c r="V397" s="1321" t="s">
        <v>5230</v>
      </c>
      <c r="W397" s="1321">
        <v>106</v>
      </c>
      <c r="Y397" s="1324"/>
    </row>
    <row r="398" spans="1:25">
      <c r="A398" s="1320" t="s">
        <v>4739</v>
      </c>
      <c r="B398" s="1324">
        <v>420</v>
      </c>
      <c r="C398" s="1439">
        <v>28</v>
      </c>
      <c r="D398" s="1364" t="s">
        <v>5409</v>
      </c>
      <c r="E398" s="1364" t="s">
        <v>4071</v>
      </c>
      <c r="F398" s="1358">
        <f>+'0 MDS Allocation Assignment'!F125</f>
        <v>0</v>
      </c>
      <c r="G398" s="1364">
        <f>+$F398*$G$2024</f>
        <v>0</v>
      </c>
      <c r="H398" s="1364">
        <f>+$F398*$H$2024</f>
        <v>0</v>
      </c>
      <c r="I398" s="1374">
        <f t="shared" si="179"/>
        <v>0</v>
      </c>
      <c r="J398" s="1364">
        <f>+H398</f>
        <v>0</v>
      </c>
      <c r="K398" s="1364">
        <f t="shared" ref="K398:Q398" si="184">+$J398*K$2024</f>
        <v>0</v>
      </c>
      <c r="L398" s="1364">
        <f t="shared" si="184"/>
        <v>0</v>
      </c>
      <c r="M398" s="1364">
        <f t="shared" si="184"/>
        <v>0</v>
      </c>
      <c r="N398" s="1364">
        <f t="shared" si="184"/>
        <v>0</v>
      </c>
      <c r="O398" s="1364">
        <f t="shared" si="184"/>
        <v>0</v>
      </c>
      <c r="P398" s="1364">
        <f t="shared" si="184"/>
        <v>0</v>
      </c>
      <c r="Q398" s="1364">
        <f t="shared" si="184"/>
        <v>0</v>
      </c>
      <c r="R398" s="1364"/>
      <c r="S398" s="1324">
        <v>420</v>
      </c>
      <c r="V398" s="1321" t="s">
        <v>5225</v>
      </c>
      <c r="W398" s="1321">
        <v>420</v>
      </c>
      <c r="Y398" s="1324"/>
    </row>
    <row r="399" spans="1:25">
      <c r="A399" s="1320" t="s">
        <v>4739</v>
      </c>
      <c r="B399" s="1324"/>
      <c r="C399" s="1439">
        <v>29</v>
      </c>
      <c r="D399" s="1364" t="s">
        <v>5410</v>
      </c>
      <c r="E399" s="1364"/>
      <c r="F399" s="1421">
        <f>+SUM(F394:F398)</f>
        <v>26994.533890000006</v>
      </c>
      <c r="G399" s="1421">
        <f>SUM(G394:G398)</f>
        <v>0</v>
      </c>
      <c r="H399" s="1421">
        <f>SUM(H394:H398)</f>
        <v>26994.533890000006</v>
      </c>
      <c r="I399" s="1374">
        <f t="shared" si="179"/>
        <v>1</v>
      </c>
      <c r="J399" s="1421">
        <f>SUM(J394:J398)</f>
        <v>26994.533890000006</v>
      </c>
      <c r="K399" s="1421">
        <f t="shared" ref="K399:Q399" si="185">SUM(K394:K398)</f>
        <v>16147.038593517249</v>
      </c>
      <c r="L399" s="1421">
        <f t="shared" si="185"/>
        <v>1187.9289767531629</v>
      </c>
      <c r="M399" s="1421">
        <f>SUM(M394:M398)</f>
        <v>6885.7447379610203</v>
      </c>
      <c r="N399" s="1421">
        <f t="shared" si="185"/>
        <v>598.17406750573048</v>
      </c>
      <c r="O399" s="1421">
        <f>SUM(O394:O398)</f>
        <v>4.0842160017632543E-4</v>
      </c>
      <c r="P399" s="1421">
        <f>SUM(P394:P398)</f>
        <v>130.98730125862983</v>
      </c>
      <c r="Q399" s="1421">
        <f t="shared" si="185"/>
        <v>2044.6598045826174</v>
      </c>
      <c r="R399" s="1364"/>
      <c r="S399" s="1324"/>
      <c r="V399" s="1320" t="s">
        <v>5411</v>
      </c>
      <c r="Y399" s="1324"/>
    </row>
    <row r="400" spans="1:25">
      <c r="A400" s="1320" t="s">
        <v>4739</v>
      </c>
      <c r="B400" s="1324"/>
      <c r="C400" s="1439">
        <v>30</v>
      </c>
      <c r="D400" s="1364"/>
      <c r="E400" s="1364"/>
      <c r="F400" s="1364"/>
      <c r="G400" s="1364"/>
      <c r="H400" s="1364"/>
      <c r="I400" s="1440"/>
      <c r="K400" s="1364"/>
      <c r="L400" s="1364"/>
      <c r="M400" s="1364"/>
      <c r="N400" s="1367"/>
      <c r="O400" s="1367"/>
      <c r="P400" s="1367"/>
      <c r="Q400" s="1364"/>
      <c r="R400" s="1364"/>
      <c r="S400" s="1324"/>
      <c r="Y400" s="1324"/>
    </row>
    <row r="401" spans="1:25">
      <c r="A401" s="1320" t="s">
        <v>4739</v>
      </c>
      <c r="B401" s="1324">
        <v>310</v>
      </c>
      <c r="C401" s="1439">
        <v>31</v>
      </c>
      <c r="D401" s="1364" t="s">
        <v>5301</v>
      </c>
      <c r="E401" s="1364" t="s">
        <v>4071</v>
      </c>
      <c r="F401" s="1364">
        <f>+'0 MDS Allocation Assignment'!F126</f>
        <v>107.01148424700513</v>
      </c>
      <c r="G401" s="1364">
        <f>+$F401*G$1994</f>
        <v>0</v>
      </c>
      <c r="H401" s="1364">
        <f>+$F401*H$1994</f>
        <v>107.01148424700513</v>
      </c>
      <c r="I401" s="1374">
        <f t="shared" ref="I401:I406" si="186">IF(F401=0,0,+H401/F401)</f>
        <v>1</v>
      </c>
      <c r="J401" s="1364">
        <f>+H401</f>
        <v>107.01148424700513</v>
      </c>
      <c r="K401" s="1364">
        <f t="shared" ref="K401:Q401" si="187">+$J401*K$1994</f>
        <v>0</v>
      </c>
      <c r="L401" s="1364">
        <f t="shared" si="187"/>
        <v>0</v>
      </c>
      <c r="M401" s="1364">
        <f t="shared" si="187"/>
        <v>0</v>
      </c>
      <c r="N401" s="1367">
        <f t="shared" si="187"/>
        <v>0</v>
      </c>
      <c r="O401" s="1367">
        <f t="shared" si="187"/>
        <v>0</v>
      </c>
      <c r="P401" s="1367">
        <f t="shared" si="187"/>
        <v>0</v>
      </c>
      <c r="Q401" s="1364">
        <f t="shared" si="187"/>
        <v>107.01148424700513</v>
      </c>
      <c r="R401" s="1364"/>
      <c r="S401" s="1324">
        <v>310</v>
      </c>
      <c r="V401" s="1321" t="s">
        <v>5302</v>
      </c>
      <c r="W401" s="1321">
        <v>310</v>
      </c>
      <c r="Y401" s="1324"/>
    </row>
    <row r="402" spans="1:25">
      <c r="A402" s="1320" t="s">
        <v>4739</v>
      </c>
      <c r="B402" s="1324">
        <v>105</v>
      </c>
      <c r="C402" s="1439">
        <v>32</v>
      </c>
      <c r="D402" s="1364" t="s">
        <v>5303</v>
      </c>
      <c r="E402" s="1364" t="s">
        <v>4067</v>
      </c>
      <c r="F402" s="1364">
        <f>+'0 MDS Allocation Assignment'!F127</f>
        <v>5930.0781825408103</v>
      </c>
      <c r="G402" s="1364">
        <f>+$F402*G$1936</f>
        <v>0</v>
      </c>
      <c r="H402" s="1364">
        <f>+$F402*H$1936</f>
        <v>5930.0781825408103</v>
      </c>
      <c r="I402" s="1374">
        <f t="shared" si="186"/>
        <v>1</v>
      </c>
      <c r="J402" s="1364">
        <f>+H402</f>
        <v>5930.0781825408103</v>
      </c>
      <c r="K402" s="1364">
        <f t="shared" ref="K402:Q402" si="188">+$J402*K$1936</f>
        <v>3690.9756136817741</v>
      </c>
      <c r="L402" s="1364">
        <f t="shared" si="188"/>
        <v>262.51144283107158</v>
      </c>
      <c r="M402" s="1364">
        <f t="shared" si="188"/>
        <v>1757.678015047426</v>
      </c>
      <c r="N402" s="1367">
        <f t="shared" si="188"/>
        <v>184.87238715065007</v>
      </c>
      <c r="O402" s="1367">
        <f t="shared" si="188"/>
        <v>1.2622726442042273E-4</v>
      </c>
      <c r="P402" s="1367">
        <f t="shared" si="188"/>
        <v>34.040597602625688</v>
      </c>
      <c r="Q402" s="1364">
        <f t="shared" si="188"/>
        <v>0</v>
      </c>
      <c r="R402" s="1364"/>
      <c r="S402" s="1324">
        <v>105</v>
      </c>
      <c r="V402" s="1321" t="s">
        <v>5229</v>
      </c>
      <c r="W402" s="1321">
        <v>105</v>
      </c>
    </row>
    <row r="403" spans="1:25">
      <c r="A403" s="1320" t="s">
        <v>4739</v>
      </c>
      <c r="B403" s="1324">
        <v>418</v>
      </c>
      <c r="C403" s="1439">
        <v>33</v>
      </c>
      <c r="D403" s="1364" t="s">
        <v>5304</v>
      </c>
      <c r="E403" s="1364" t="s">
        <v>4071</v>
      </c>
      <c r="F403" s="1364">
        <f>+'0 MDS Allocation Assignment'!F128</f>
        <v>0</v>
      </c>
      <c r="G403" s="1364">
        <f>+$F403*G$2021</f>
        <v>0</v>
      </c>
      <c r="H403" s="1364">
        <f>+$F403*H$1936</f>
        <v>0</v>
      </c>
      <c r="I403" s="1374">
        <f t="shared" si="186"/>
        <v>0</v>
      </c>
      <c r="J403" s="1364">
        <f>+H403</f>
        <v>0</v>
      </c>
      <c r="K403" s="1364">
        <f t="shared" ref="K403:Q403" si="189">+$J403*K$2021</f>
        <v>0</v>
      </c>
      <c r="L403" s="1364">
        <f t="shared" si="189"/>
        <v>0</v>
      </c>
      <c r="M403" s="1364">
        <f t="shared" si="189"/>
        <v>0</v>
      </c>
      <c r="N403" s="1367">
        <f t="shared" si="189"/>
        <v>0</v>
      </c>
      <c r="O403" s="1367">
        <f t="shared" si="189"/>
        <v>0</v>
      </c>
      <c r="P403" s="1367">
        <f t="shared" si="189"/>
        <v>0</v>
      </c>
      <c r="Q403" s="1364">
        <f t="shared" si="189"/>
        <v>0</v>
      </c>
      <c r="R403" s="1364"/>
      <c r="S403" s="1324">
        <v>418</v>
      </c>
      <c r="V403" s="1321" t="s">
        <v>5305</v>
      </c>
      <c r="W403" s="1321">
        <v>418</v>
      </c>
    </row>
    <row r="404" spans="1:25">
      <c r="A404" s="1320" t="s">
        <v>4739</v>
      </c>
      <c r="B404" s="1324">
        <v>106</v>
      </c>
      <c r="C404" s="1439">
        <v>34</v>
      </c>
      <c r="D404" s="1364" t="s">
        <v>5306</v>
      </c>
      <c r="E404" s="1364" t="s">
        <v>4067</v>
      </c>
      <c r="F404" s="1364">
        <f>+'0 MDS Allocation Assignment'!F129</f>
        <v>902.13325321218497</v>
      </c>
      <c r="G404" s="1364">
        <f>+$F404*G1939</f>
        <v>0</v>
      </c>
      <c r="H404" s="1364">
        <f>+$F404*H$1939</f>
        <v>902.13325321218497</v>
      </c>
      <c r="I404" s="1374">
        <f t="shared" si="186"/>
        <v>1</v>
      </c>
      <c r="J404" s="1364">
        <f>+H404</f>
        <v>902.13325321218497</v>
      </c>
      <c r="K404" s="1364">
        <f t="shared" ref="K404:Q404" si="190">+$J404*K$1939</f>
        <v>658.22642766224783</v>
      </c>
      <c r="L404" s="1364">
        <f t="shared" si="190"/>
        <v>53.000290742519965</v>
      </c>
      <c r="M404" s="1364">
        <f t="shared" si="190"/>
        <v>187.64313253155217</v>
      </c>
      <c r="N404" s="1364">
        <f t="shared" si="190"/>
        <v>0</v>
      </c>
      <c r="O404" s="1364">
        <f t="shared" si="190"/>
        <v>0</v>
      </c>
      <c r="P404" s="1364">
        <f t="shared" si="190"/>
        <v>3.2634022758649386</v>
      </c>
      <c r="Q404" s="1364">
        <f t="shared" si="190"/>
        <v>0</v>
      </c>
      <c r="R404" s="1364"/>
      <c r="S404" s="1324">
        <v>106</v>
      </c>
      <c r="V404" s="1321" t="s">
        <v>5230</v>
      </c>
      <c r="W404" s="1321">
        <v>106</v>
      </c>
    </row>
    <row r="405" spans="1:25">
      <c r="A405" s="1320" t="s">
        <v>4739</v>
      </c>
      <c r="B405" s="1324">
        <v>420</v>
      </c>
      <c r="C405" s="1439">
        <v>35</v>
      </c>
      <c r="D405" s="1364" t="s">
        <v>5307</v>
      </c>
      <c r="E405" s="1364" t="s">
        <v>4071</v>
      </c>
      <c r="F405" s="1364">
        <f>+'0 MDS Allocation Assignment'!F130</f>
        <v>0</v>
      </c>
      <c r="G405" s="1364">
        <f>+$F405*$G$2024</f>
        <v>0</v>
      </c>
      <c r="H405" s="1364">
        <f>+$F405*$H$2024</f>
        <v>0</v>
      </c>
      <c r="I405" s="1374">
        <f t="shared" si="186"/>
        <v>0</v>
      </c>
      <c r="J405" s="1364">
        <f>+H405</f>
        <v>0</v>
      </c>
      <c r="K405" s="1364">
        <f t="shared" ref="K405:Q405" si="191">+$J405*K$2024</f>
        <v>0</v>
      </c>
      <c r="L405" s="1364">
        <f t="shared" si="191"/>
        <v>0</v>
      </c>
      <c r="M405" s="1364">
        <f t="shared" si="191"/>
        <v>0</v>
      </c>
      <c r="N405" s="1364">
        <f t="shared" si="191"/>
        <v>0</v>
      </c>
      <c r="O405" s="1364">
        <f t="shared" si="191"/>
        <v>0</v>
      </c>
      <c r="P405" s="1364">
        <f t="shared" si="191"/>
        <v>0</v>
      </c>
      <c r="Q405" s="1364">
        <f t="shared" si="191"/>
        <v>0</v>
      </c>
      <c r="R405" s="1364"/>
      <c r="S405" s="1324">
        <v>420</v>
      </c>
      <c r="V405" s="1321" t="s">
        <v>5225</v>
      </c>
      <c r="W405" s="1321">
        <v>420</v>
      </c>
    </row>
    <row r="406" spans="1:25">
      <c r="A406" s="1320" t="s">
        <v>4739</v>
      </c>
      <c r="B406" s="1324"/>
      <c r="C406" s="1439">
        <v>36</v>
      </c>
      <c r="D406" s="1364" t="s">
        <v>5308</v>
      </c>
      <c r="E406" s="1364"/>
      <c r="F406" s="1421">
        <f>+SUM(F401:F405)</f>
        <v>6939.2229200000002</v>
      </c>
      <c r="G406" s="1421">
        <f>SUM(G401:G405)</f>
        <v>0</v>
      </c>
      <c r="H406" s="1421">
        <f>SUM(H401:H405)</f>
        <v>6939.2229200000002</v>
      </c>
      <c r="I406" s="1374">
        <f t="shared" si="186"/>
        <v>1</v>
      </c>
      <c r="J406" s="1421">
        <f>SUM(J401:J405)</f>
        <v>6939.2229200000002</v>
      </c>
      <c r="K406" s="1421">
        <f t="shared" ref="K406:Q406" si="192">SUM(K401:K405)</f>
        <v>4349.2020413440223</v>
      </c>
      <c r="L406" s="1421">
        <f t="shared" si="192"/>
        <v>315.51173357359153</v>
      </c>
      <c r="M406" s="1421">
        <f>SUM(M401:M405)</f>
        <v>1945.3211475789781</v>
      </c>
      <c r="N406" s="1421">
        <f t="shared" si="192"/>
        <v>184.87238715065007</v>
      </c>
      <c r="O406" s="1421">
        <f>SUM(O401:O405)</f>
        <v>1.2622726442042273E-4</v>
      </c>
      <c r="P406" s="1421">
        <f>SUM(P401:P405)</f>
        <v>37.303999878490629</v>
      </c>
      <c r="Q406" s="1421">
        <f t="shared" si="192"/>
        <v>107.01148424700513</v>
      </c>
      <c r="R406" s="1364"/>
      <c r="S406" s="1324"/>
      <c r="V406" s="1320" t="s">
        <v>5412</v>
      </c>
      <c r="Y406" s="1324"/>
    </row>
    <row r="407" spans="1:25">
      <c r="A407" s="1320" t="s">
        <v>4739</v>
      </c>
      <c r="B407" s="1324"/>
      <c r="C407" s="1439">
        <v>37</v>
      </c>
      <c r="D407" s="1364"/>
      <c r="E407" s="1364"/>
      <c r="F407" s="1364"/>
      <c r="G407" s="1364"/>
      <c r="H407" s="1364"/>
      <c r="I407" s="1440"/>
      <c r="K407" s="1364"/>
      <c r="L407" s="1364"/>
      <c r="M407" s="1364"/>
      <c r="N407" s="1367"/>
      <c r="O407" s="1367"/>
      <c r="P407" s="1367"/>
      <c r="Q407" s="1364"/>
      <c r="R407" s="1364"/>
      <c r="S407" s="1324"/>
      <c r="Y407" s="1324"/>
    </row>
    <row r="408" spans="1:25">
      <c r="A408" s="1320" t="s">
        <v>4739</v>
      </c>
      <c r="B408" s="1324">
        <v>310</v>
      </c>
      <c r="C408" s="1439">
        <v>38</v>
      </c>
      <c r="D408" s="1364" t="s">
        <v>5310</v>
      </c>
      <c r="E408" s="1364" t="s">
        <v>4071</v>
      </c>
      <c r="F408" s="1364">
        <f>+'0 MDS Allocation Assignment'!F131</f>
        <v>10.151967899116032</v>
      </c>
      <c r="G408" s="1364">
        <f>+$F408*G$1994</f>
        <v>0</v>
      </c>
      <c r="H408" s="1364">
        <f>+$F408*H$1994</f>
        <v>10.151967899116032</v>
      </c>
      <c r="I408" s="1374">
        <f t="shared" ref="I408:I413" si="193">IF(F408=0,0,+H408/F408)</f>
        <v>1</v>
      </c>
      <c r="J408" s="1364">
        <f>+H408</f>
        <v>10.151967899116032</v>
      </c>
      <c r="K408" s="1364">
        <f t="shared" ref="K408:Q408" si="194">+$J408*K$1994</f>
        <v>0</v>
      </c>
      <c r="L408" s="1364">
        <f t="shared" si="194"/>
        <v>0</v>
      </c>
      <c r="M408" s="1364">
        <f t="shared" si="194"/>
        <v>0</v>
      </c>
      <c r="N408" s="1367">
        <f t="shared" si="194"/>
        <v>0</v>
      </c>
      <c r="O408" s="1367">
        <f t="shared" si="194"/>
        <v>0</v>
      </c>
      <c r="P408" s="1367">
        <f t="shared" si="194"/>
        <v>0</v>
      </c>
      <c r="Q408" s="1364">
        <f t="shared" si="194"/>
        <v>10.151967899116032</v>
      </c>
      <c r="R408" s="1364"/>
      <c r="S408" s="1324">
        <v>310</v>
      </c>
      <c r="V408" s="1321" t="s">
        <v>5302</v>
      </c>
      <c r="W408" s="1321">
        <v>310</v>
      </c>
      <c r="Y408" s="1324"/>
    </row>
    <row r="409" spans="1:25">
      <c r="A409" s="1320" t="s">
        <v>4739</v>
      </c>
      <c r="B409" s="1324">
        <v>105</v>
      </c>
      <c r="C409" s="1439">
        <v>39</v>
      </c>
      <c r="D409" s="1364" t="s">
        <v>5311</v>
      </c>
      <c r="E409" s="1364" t="s">
        <v>4067</v>
      </c>
      <c r="F409" s="1364">
        <f>+'0 MDS Allocation Assignment'!F132</f>
        <v>19824.48663502411</v>
      </c>
      <c r="G409" s="1364">
        <f>+$F409*G$1936</f>
        <v>0</v>
      </c>
      <c r="H409" s="1364">
        <f>+$F409*H$1936</f>
        <v>19824.48663502411</v>
      </c>
      <c r="I409" s="1374">
        <f t="shared" si="193"/>
        <v>1</v>
      </c>
      <c r="J409" s="1364">
        <f>+H409</f>
        <v>19824.48663502411</v>
      </c>
      <c r="K409" s="1364">
        <f t="shared" ref="K409:Q409" si="195">+$J409*K$1936</f>
        <v>12339.077912845154</v>
      </c>
      <c r="L409" s="1364">
        <f t="shared" si="195"/>
        <v>877.58616830169592</v>
      </c>
      <c r="M409" s="1364">
        <f t="shared" si="195"/>
        <v>5875.9873386784984</v>
      </c>
      <c r="N409" s="1367">
        <f t="shared" si="195"/>
        <v>618.03572489878263</v>
      </c>
      <c r="O409" s="1367">
        <f t="shared" si="195"/>
        <v>4.2198275291644582E-4</v>
      </c>
      <c r="P409" s="1367">
        <f t="shared" si="195"/>
        <v>113.79906831723166</v>
      </c>
      <c r="Q409" s="1364">
        <f t="shared" si="195"/>
        <v>0</v>
      </c>
      <c r="R409" s="1364"/>
      <c r="S409" s="1324">
        <v>105</v>
      </c>
      <c r="V409" s="1321" t="s">
        <v>5229</v>
      </c>
      <c r="W409" s="1321">
        <v>105</v>
      </c>
      <c r="Y409" s="1324"/>
    </row>
    <row r="410" spans="1:25">
      <c r="A410" s="1320" t="s">
        <v>4739</v>
      </c>
      <c r="B410" s="1324">
        <v>418</v>
      </c>
      <c r="C410" s="1439">
        <v>40</v>
      </c>
      <c r="D410" s="1364" t="s">
        <v>5312</v>
      </c>
      <c r="E410" s="1364" t="s">
        <v>4071</v>
      </c>
      <c r="F410" s="1364">
        <f>+'0 MDS Allocation Assignment'!F133</f>
        <v>0</v>
      </c>
      <c r="G410" s="1364">
        <f>+$F410*G$2021</f>
        <v>0</v>
      </c>
      <c r="H410" s="1364">
        <f>+$F410*H$1936</f>
        <v>0</v>
      </c>
      <c r="I410" s="1374">
        <f t="shared" si="193"/>
        <v>0</v>
      </c>
      <c r="J410" s="1364">
        <f>+H410</f>
        <v>0</v>
      </c>
      <c r="K410" s="1364">
        <f t="shared" ref="K410:Q410" si="196">+$J410*K$2021</f>
        <v>0</v>
      </c>
      <c r="L410" s="1364">
        <f t="shared" si="196"/>
        <v>0</v>
      </c>
      <c r="M410" s="1364">
        <f t="shared" si="196"/>
        <v>0</v>
      </c>
      <c r="N410" s="1367">
        <f t="shared" si="196"/>
        <v>0</v>
      </c>
      <c r="O410" s="1367">
        <f t="shared" si="196"/>
        <v>0</v>
      </c>
      <c r="P410" s="1367">
        <f t="shared" si="196"/>
        <v>0</v>
      </c>
      <c r="Q410" s="1364">
        <f t="shared" si="196"/>
        <v>0</v>
      </c>
      <c r="R410" s="1364"/>
      <c r="S410" s="1324">
        <v>418</v>
      </c>
      <c r="V410" s="1321" t="s">
        <v>5305</v>
      </c>
      <c r="W410" s="1321">
        <v>418</v>
      </c>
      <c r="Y410" s="1324"/>
    </row>
    <row r="411" spans="1:25">
      <c r="A411" s="1320" t="s">
        <v>4739</v>
      </c>
      <c r="B411" s="1324">
        <v>106</v>
      </c>
      <c r="C411" s="1439">
        <v>41</v>
      </c>
      <c r="D411" s="1364" t="s">
        <v>5313</v>
      </c>
      <c r="E411" s="1364" t="s">
        <v>4067</v>
      </c>
      <c r="F411" s="1364">
        <f>+'0 MDS Allocation Assignment'!F134</f>
        <v>1511.5438770767803</v>
      </c>
      <c r="G411" s="1364">
        <f>+$F411*G1939</f>
        <v>0</v>
      </c>
      <c r="H411" s="1364">
        <f>+$F411*H$1939</f>
        <v>1511.5438770767803</v>
      </c>
      <c r="I411" s="1374">
        <f t="shared" si="193"/>
        <v>1</v>
      </c>
      <c r="J411" s="1364">
        <f>+H411</f>
        <v>1511.5438770767803</v>
      </c>
      <c r="K411" s="1364">
        <f t="shared" ref="K411:Q411" si="197">+$J411*K$1939</f>
        <v>1102.8726886192942</v>
      </c>
      <c r="L411" s="1364">
        <f t="shared" si="197"/>
        <v>88.803139303304803</v>
      </c>
      <c r="M411" s="1364">
        <f t="shared" si="197"/>
        <v>314.40014769842821</v>
      </c>
      <c r="N411" s="1364">
        <f t="shared" si="197"/>
        <v>0</v>
      </c>
      <c r="O411" s="1364">
        <f t="shared" si="197"/>
        <v>0</v>
      </c>
      <c r="P411" s="1364">
        <f t="shared" si="197"/>
        <v>5.4679014557529797</v>
      </c>
      <c r="Q411" s="1364">
        <f t="shared" si="197"/>
        <v>0</v>
      </c>
      <c r="R411" s="1364"/>
      <c r="S411" s="1324">
        <v>106</v>
      </c>
      <c r="V411" s="1321" t="s">
        <v>5230</v>
      </c>
      <c r="W411" s="1321">
        <v>106</v>
      </c>
      <c r="Y411" s="1324"/>
    </row>
    <row r="412" spans="1:25">
      <c r="A412" s="1320" t="s">
        <v>4739</v>
      </c>
      <c r="B412" s="1324">
        <v>420</v>
      </c>
      <c r="C412" s="1439">
        <v>42</v>
      </c>
      <c r="D412" s="1364" t="s">
        <v>5314</v>
      </c>
      <c r="E412" s="1364" t="s">
        <v>4071</v>
      </c>
      <c r="F412" s="1364">
        <f>+'0 MDS Allocation Assignment'!F135</f>
        <v>0</v>
      </c>
      <c r="G412" s="1364">
        <f>+$F412*$G$2024</f>
        <v>0</v>
      </c>
      <c r="H412" s="1364">
        <f>+$F412*$H$2024</f>
        <v>0</v>
      </c>
      <c r="I412" s="1374">
        <f t="shared" si="193"/>
        <v>0</v>
      </c>
      <c r="J412" s="1364">
        <f>+H412</f>
        <v>0</v>
      </c>
      <c r="K412" s="1364">
        <f t="shared" ref="K412:Q412" si="198">+$J412*K$2024</f>
        <v>0</v>
      </c>
      <c r="L412" s="1364">
        <f t="shared" si="198"/>
        <v>0</v>
      </c>
      <c r="M412" s="1364">
        <f t="shared" si="198"/>
        <v>0</v>
      </c>
      <c r="N412" s="1364">
        <f t="shared" si="198"/>
        <v>0</v>
      </c>
      <c r="O412" s="1364">
        <f t="shared" si="198"/>
        <v>0</v>
      </c>
      <c r="P412" s="1364">
        <f t="shared" si="198"/>
        <v>0</v>
      </c>
      <c r="Q412" s="1364">
        <f t="shared" si="198"/>
        <v>0</v>
      </c>
      <c r="R412" s="1364"/>
      <c r="S412" s="1324">
        <v>420</v>
      </c>
      <c r="V412" s="1321" t="s">
        <v>5225</v>
      </c>
      <c r="W412" s="1321">
        <v>420</v>
      </c>
      <c r="Y412" s="1324"/>
    </row>
    <row r="413" spans="1:25">
      <c r="A413" s="1320" t="s">
        <v>4739</v>
      </c>
      <c r="B413" s="1324"/>
      <c r="C413" s="1439">
        <v>43</v>
      </c>
      <c r="D413" s="1364" t="s">
        <v>5413</v>
      </c>
      <c r="E413" s="1364"/>
      <c r="F413" s="1421">
        <f>+SUM(F408:F412)</f>
        <v>21346.182480000007</v>
      </c>
      <c r="G413" s="1421">
        <f>SUM(G408:G412)</f>
        <v>0</v>
      </c>
      <c r="H413" s="1421">
        <f>SUM(H408:H412)</f>
        <v>21346.182480000007</v>
      </c>
      <c r="I413" s="1374">
        <f t="shared" si="193"/>
        <v>1</v>
      </c>
      <c r="J413" s="1421">
        <f>SUM(J408:J412)</f>
        <v>21346.182480000007</v>
      </c>
      <c r="K413" s="1421">
        <f t="shared" ref="K413:Q413" si="199">SUM(K408:K412)</f>
        <v>13441.950601464448</v>
      </c>
      <c r="L413" s="1421">
        <f t="shared" si="199"/>
        <v>966.38930760500068</v>
      </c>
      <c r="M413" s="1421">
        <f>SUM(M408:M412)</f>
        <v>6190.387486376927</v>
      </c>
      <c r="N413" s="1421">
        <f t="shared" si="199"/>
        <v>618.03572489878263</v>
      </c>
      <c r="O413" s="1421">
        <f>SUM(O408:O412)</f>
        <v>4.2198275291644582E-4</v>
      </c>
      <c r="P413" s="1421">
        <f>SUM(P408:P412)</f>
        <v>119.26696977298464</v>
      </c>
      <c r="Q413" s="1421">
        <f t="shared" si="199"/>
        <v>10.151967899116032</v>
      </c>
      <c r="R413" s="1364"/>
      <c r="S413" s="1324"/>
      <c r="V413" s="1320" t="s">
        <v>5414</v>
      </c>
      <c r="Y413" s="1324"/>
    </row>
    <row r="414" spans="1:25">
      <c r="A414" s="1320" t="s">
        <v>4739</v>
      </c>
      <c r="B414" s="1324"/>
      <c r="C414" s="1439">
        <v>44</v>
      </c>
      <c r="D414" s="1364"/>
      <c r="E414" s="1364"/>
      <c r="F414" s="1364"/>
      <c r="G414" s="1364"/>
      <c r="H414" s="1364"/>
      <c r="I414" s="1440"/>
      <c r="K414" s="1364"/>
      <c r="L414" s="1364"/>
      <c r="M414" s="1364"/>
      <c r="N414" s="1367"/>
      <c r="O414" s="1367"/>
      <c r="P414" s="1367"/>
      <c r="Q414" s="1364"/>
      <c r="R414" s="1364"/>
      <c r="S414" s="1324"/>
      <c r="Y414" s="1324"/>
    </row>
    <row r="415" spans="1:25" s="1324" customFormat="1">
      <c r="A415" s="1324" t="s">
        <v>4739</v>
      </c>
      <c r="B415" s="1324">
        <v>310</v>
      </c>
      <c r="C415" s="1439">
        <v>45</v>
      </c>
      <c r="D415" s="1324" t="s">
        <v>5317</v>
      </c>
      <c r="E415" s="1364" t="s">
        <v>4071</v>
      </c>
      <c r="F415" s="1364">
        <f>+'0 MDS Allocation Assignment'!F136</f>
        <v>0</v>
      </c>
      <c r="G415" s="1364">
        <f>+$F415*G$1994</f>
        <v>0</v>
      </c>
      <c r="H415" s="1364">
        <f>+$F415*H$1994</f>
        <v>0</v>
      </c>
      <c r="I415" s="1374">
        <f t="shared" ref="I415:I420" si="200">IF(F415=0,0,+H415/F415)</f>
        <v>0</v>
      </c>
      <c r="J415" s="1364">
        <f>+H415</f>
        <v>0</v>
      </c>
      <c r="K415" s="1364">
        <f t="shared" ref="K415:Q415" si="201">+$J415*K$1994</f>
        <v>0</v>
      </c>
      <c r="L415" s="1364">
        <f t="shared" si="201"/>
        <v>0</v>
      </c>
      <c r="M415" s="1364">
        <f t="shared" si="201"/>
        <v>0</v>
      </c>
      <c r="N415" s="1367">
        <f t="shared" si="201"/>
        <v>0</v>
      </c>
      <c r="O415" s="1367">
        <f t="shared" si="201"/>
        <v>0</v>
      </c>
      <c r="P415" s="1367">
        <f t="shared" si="201"/>
        <v>0</v>
      </c>
      <c r="Q415" s="1364">
        <f t="shared" si="201"/>
        <v>0</v>
      </c>
      <c r="R415" s="1364"/>
      <c r="S415" s="1324">
        <v>310</v>
      </c>
      <c r="V415" s="1326" t="s">
        <v>5302</v>
      </c>
      <c r="W415" s="1326">
        <v>310</v>
      </c>
    </row>
    <row r="416" spans="1:25" s="1324" customFormat="1">
      <c r="A416" s="1324" t="s">
        <v>4739</v>
      </c>
      <c r="B416" s="1324">
        <v>105</v>
      </c>
      <c r="C416" s="1439">
        <v>46</v>
      </c>
      <c r="D416" s="1324" t="s">
        <v>5318</v>
      </c>
      <c r="E416" s="1364" t="s">
        <v>4067</v>
      </c>
      <c r="F416" s="1364">
        <f>+'0 MDS Allocation Assignment'!F137</f>
        <v>6446.2285393647117</v>
      </c>
      <c r="G416" s="1364">
        <f>+$F416*G$1936</f>
        <v>0</v>
      </c>
      <c r="H416" s="1364">
        <f>+$F416*H$1936</f>
        <v>6446.2285393647117</v>
      </c>
      <c r="I416" s="1374">
        <f t="shared" si="200"/>
        <v>1</v>
      </c>
      <c r="J416" s="1364">
        <f>+H416</f>
        <v>6446.2285393647117</v>
      </c>
      <c r="K416" s="1364">
        <f t="shared" ref="K416:Q416" si="202">+$J416*K$1936</f>
        <v>4012.2358604082183</v>
      </c>
      <c r="L416" s="1364">
        <f t="shared" si="202"/>
        <v>285.36027731803279</v>
      </c>
      <c r="M416" s="1364">
        <f t="shared" si="202"/>
        <v>1910.6652281535344</v>
      </c>
      <c r="N416" s="1367">
        <f t="shared" si="202"/>
        <v>200.96356599473907</v>
      </c>
      <c r="O416" s="1367">
        <f t="shared" si="202"/>
        <v>1.3721400786055574E-4</v>
      </c>
      <c r="P416" s="1367">
        <f t="shared" si="202"/>
        <v>37.003470276180551</v>
      </c>
      <c r="Q416" s="1364">
        <f t="shared" si="202"/>
        <v>0</v>
      </c>
      <c r="R416" s="1364"/>
      <c r="S416" s="1324">
        <v>105</v>
      </c>
      <c r="V416" s="1326" t="s">
        <v>5229</v>
      </c>
      <c r="W416" s="1326">
        <v>105</v>
      </c>
    </row>
    <row r="417" spans="1:25" s="1324" customFormat="1">
      <c r="A417" s="1324" t="s">
        <v>4739</v>
      </c>
      <c r="B417" s="1324">
        <v>418</v>
      </c>
      <c r="C417" s="1439">
        <v>47</v>
      </c>
      <c r="D417" s="1324" t="s">
        <v>5319</v>
      </c>
      <c r="E417" s="1364" t="s">
        <v>4071</v>
      </c>
      <c r="F417" s="1364">
        <f>+'0 MDS Allocation Assignment'!F138</f>
        <v>0</v>
      </c>
      <c r="G417" s="1364">
        <f>+$F417*G$2021</f>
        <v>0</v>
      </c>
      <c r="H417" s="1364">
        <f>+$F417*H$1936</f>
        <v>0</v>
      </c>
      <c r="I417" s="1374">
        <f t="shared" si="200"/>
        <v>0</v>
      </c>
      <c r="J417" s="1364">
        <f>+H417</f>
        <v>0</v>
      </c>
      <c r="K417" s="1364">
        <f t="shared" ref="K417:Q417" si="203">+$J417*K$2021</f>
        <v>0</v>
      </c>
      <c r="L417" s="1364">
        <f t="shared" si="203"/>
        <v>0</v>
      </c>
      <c r="M417" s="1364">
        <f t="shared" si="203"/>
        <v>0</v>
      </c>
      <c r="N417" s="1367">
        <f t="shared" si="203"/>
        <v>0</v>
      </c>
      <c r="O417" s="1367">
        <f t="shared" si="203"/>
        <v>0</v>
      </c>
      <c r="P417" s="1367">
        <f t="shared" si="203"/>
        <v>0</v>
      </c>
      <c r="Q417" s="1364">
        <f t="shared" si="203"/>
        <v>0</v>
      </c>
      <c r="R417" s="1364"/>
      <c r="S417" s="1324">
        <v>418</v>
      </c>
      <c r="V417" s="1326" t="s">
        <v>5305</v>
      </c>
      <c r="W417" s="1326">
        <v>418</v>
      </c>
    </row>
    <row r="418" spans="1:25" s="1324" customFormat="1">
      <c r="A418" s="1324" t="s">
        <v>4739</v>
      </c>
      <c r="B418" s="1324">
        <v>106</v>
      </c>
      <c r="C418" s="1439">
        <v>48</v>
      </c>
      <c r="D418" s="1324" t="s">
        <v>5320</v>
      </c>
      <c r="E418" s="1364" t="s">
        <v>4067</v>
      </c>
      <c r="F418" s="1364">
        <f>+'0 MDS Allocation Assignment'!F139</f>
        <v>32748.664230635288</v>
      </c>
      <c r="G418" s="1364">
        <f>+$F418*G$1939</f>
        <v>0</v>
      </c>
      <c r="H418" s="1364">
        <f>+$F418*H$1939</f>
        <v>32748.664230635288</v>
      </c>
      <c r="I418" s="1374">
        <f t="shared" si="200"/>
        <v>1</v>
      </c>
      <c r="J418" s="1364">
        <f>+H418</f>
        <v>32748.664230635288</v>
      </c>
      <c r="K418" s="1364">
        <f t="shared" ref="K418:Q418" si="204">+$J418*K$1939</f>
        <v>23894.514685594288</v>
      </c>
      <c r="L418" s="1364">
        <f t="shared" si="204"/>
        <v>1923.98264832013</v>
      </c>
      <c r="M418" s="1364">
        <f t="shared" si="204"/>
        <v>6811.7009550196226</v>
      </c>
      <c r="N418" s="1367">
        <f t="shared" si="204"/>
        <v>0</v>
      </c>
      <c r="O418" s="1367">
        <f t="shared" si="204"/>
        <v>0</v>
      </c>
      <c r="P418" s="1367">
        <f t="shared" si="204"/>
        <v>118.465941701248</v>
      </c>
      <c r="Q418" s="1364">
        <f t="shared" si="204"/>
        <v>0</v>
      </c>
      <c r="R418" s="1364"/>
      <c r="S418" s="1324">
        <v>106</v>
      </c>
      <c r="V418" s="1326" t="s">
        <v>5230</v>
      </c>
      <c r="W418" s="1326">
        <v>106</v>
      </c>
    </row>
    <row r="419" spans="1:25" s="1324" customFormat="1">
      <c r="A419" s="1324" t="s">
        <v>4739</v>
      </c>
      <c r="B419" s="1324">
        <v>420</v>
      </c>
      <c r="C419" s="1439">
        <v>49</v>
      </c>
      <c r="D419" s="1324" t="s">
        <v>5321</v>
      </c>
      <c r="E419" s="1364" t="s">
        <v>4071</v>
      </c>
      <c r="F419" s="1364">
        <f>+'0 MDS Allocation Assignment'!F140</f>
        <v>0</v>
      </c>
      <c r="G419" s="1364">
        <f>+$F419*$G$2024</f>
        <v>0</v>
      </c>
      <c r="H419" s="1364">
        <f>+$F419*$H$2024</f>
        <v>0</v>
      </c>
      <c r="I419" s="1374">
        <f t="shared" si="200"/>
        <v>0</v>
      </c>
      <c r="J419" s="1364">
        <f>+H419</f>
        <v>0</v>
      </c>
      <c r="K419" s="1364">
        <f t="shared" ref="K419:Q419" si="205">+$J419*K$2024</f>
        <v>0</v>
      </c>
      <c r="L419" s="1364">
        <f t="shared" si="205"/>
        <v>0</v>
      </c>
      <c r="M419" s="1364">
        <f t="shared" si="205"/>
        <v>0</v>
      </c>
      <c r="N419" s="1367">
        <f t="shared" si="205"/>
        <v>0</v>
      </c>
      <c r="O419" s="1367">
        <f t="shared" si="205"/>
        <v>0</v>
      </c>
      <c r="P419" s="1367">
        <f t="shared" si="205"/>
        <v>0</v>
      </c>
      <c r="Q419" s="1364">
        <f t="shared" si="205"/>
        <v>0</v>
      </c>
      <c r="R419" s="1364"/>
      <c r="S419" s="1324">
        <v>420</v>
      </c>
      <c r="V419" s="1326" t="s">
        <v>5225</v>
      </c>
      <c r="W419" s="1326">
        <v>420</v>
      </c>
    </row>
    <row r="420" spans="1:25" s="1324" customFormat="1">
      <c r="A420" s="1324" t="s">
        <v>4739</v>
      </c>
      <c r="C420" s="1439">
        <v>50</v>
      </c>
      <c r="D420" s="1324" t="s">
        <v>5322</v>
      </c>
      <c r="E420" s="1364"/>
      <c r="F420" s="1421">
        <f>+SUM(F415:F419)</f>
        <v>39194.892769999999</v>
      </c>
      <c r="G420" s="1421">
        <f>SUM(G415:G419)</f>
        <v>0</v>
      </c>
      <c r="H420" s="1421">
        <f>SUM(H415:H419)</f>
        <v>39194.892769999999</v>
      </c>
      <c r="I420" s="1374">
        <f t="shared" si="200"/>
        <v>1</v>
      </c>
      <c r="J420" s="1421">
        <f>SUM(J415:J419)</f>
        <v>39194.892769999999</v>
      </c>
      <c r="K420" s="1421">
        <f t="shared" ref="K420:Q420" si="206">SUM(K415:K419)</f>
        <v>27906.750546002506</v>
      </c>
      <c r="L420" s="1421">
        <f t="shared" si="206"/>
        <v>2209.3429256381628</v>
      </c>
      <c r="M420" s="1421">
        <f>SUM(M415:M419)</f>
        <v>8722.366183173157</v>
      </c>
      <c r="N420" s="1421">
        <f t="shared" si="206"/>
        <v>200.96356599473907</v>
      </c>
      <c r="O420" s="1421">
        <f t="shared" si="206"/>
        <v>1.3721400786055574E-4</v>
      </c>
      <c r="P420" s="1421">
        <f t="shared" si="206"/>
        <v>155.46941197742854</v>
      </c>
      <c r="Q420" s="1421">
        <f t="shared" si="206"/>
        <v>0</v>
      </c>
      <c r="R420" s="1364"/>
      <c r="V420" s="1324" t="s">
        <v>5415</v>
      </c>
    </row>
    <row r="421" spans="1:25">
      <c r="A421" s="1320" t="s">
        <v>4739</v>
      </c>
      <c r="C421" s="1434">
        <v>51</v>
      </c>
      <c r="D421" s="1358"/>
      <c r="E421" s="1358"/>
      <c r="F421" s="1358"/>
      <c r="G421" s="1358"/>
      <c r="H421" s="1358"/>
      <c r="I421" s="1379"/>
      <c r="K421" s="1364"/>
      <c r="L421" s="1364"/>
      <c r="M421" s="1364"/>
      <c r="N421" s="1367"/>
      <c r="O421" s="1367"/>
      <c r="P421" s="1367"/>
      <c r="Q421" s="1364"/>
      <c r="R421" s="1358"/>
    </row>
    <row r="422" spans="1:25">
      <c r="A422" s="1320" t="s">
        <v>4739</v>
      </c>
      <c r="B422" s="1320">
        <v>420</v>
      </c>
      <c r="C422" s="1434">
        <v>52</v>
      </c>
      <c r="D422" s="1358" t="s">
        <v>5324</v>
      </c>
      <c r="E422" s="1358" t="s">
        <v>4071</v>
      </c>
      <c r="F422" s="1358">
        <f>+'0 MDS Allocation Assignment'!F141</f>
        <v>5782.6588400000001</v>
      </c>
      <c r="G422" s="1358">
        <f>+$F422*G2024</f>
        <v>0</v>
      </c>
      <c r="H422" s="1358">
        <f>+$F422*H$2024</f>
        <v>5782.6588400000001</v>
      </c>
      <c r="I422" s="1323">
        <f>IF(F422=0,0,+H422/F422)</f>
        <v>1</v>
      </c>
      <c r="J422" s="1364">
        <f>+H422</f>
        <v>5782.6588400000001</v>
      </c>
      <c r="K422" s="1364">
        <f t="shared" ref="K422:Q422" si="207">+$J422*K$2024</f>
        <v>5158.9369040879346</v>
      </c>
      <c r="L422" s="1364">
        <f t="shared" si="207"/>
        <v>499.98504485567105</v>
      </c>
      <c r="M422" s="1364">
        <f t="shared" si="207"/>
        <v>122.27461305724557</v>
      </c>
      <c r="N422" s="1364">
        <f t="shared" si="207"/>
        <v>0</v>
      </c>
      <c r="O422" s="1364">
        <f t="shared" si="207"/>
        <v>0</v>
      </c>
      <c r="P422" s="1364">
        <f t="shared" si="207"/>
        <v>1.4622779991485837</v>
      </c>
      <c r="Q422" s="1364">
        <f t="shared" si="207"/>
        <v>0</v>
      </c>
      <c r="R422" s="1358"/>
      <c r="S422" s="1320">
        <v>420</v>
      </c>
      <c r="V422" s="1321" t="s">
        <v>5225</v>
      </c>
      <c r="W422" s="1321">
        <v>420</v>
      </c>
    </row>
    <row r="423" spans="1:25">
      <c r="A423" s="1320" t="s">
        <v>4739</v>
      </c>
      <c r="B423" s="1320">
        <v>308</v>
      </c>
      <c r="C423" s="1434">
        <v>53</v>
      </c>
      <c r="D423" s="1358" t="s">
        <v>5325</v>
      </c>
      <c r="E423" s="1358" t="s">
        <v>4071</v>
      </c>
      <c r="F423" s="1358">
        <f>+'0 MDS Allocation Assignment'!F142</f>
        <v>15403.828909999998</v>
      </c>
      <c r="G423" s="1358">
        <f>+$F423*G1988</f>
        <v>0</v>
      </c>
      <c r="H423" s="1358">
        <f>+$F423*H1988</f>
        <v>15403.828909999998</v>
      </c>
      <c r="I423" s="1323">
        <f>IF(F423=0,0,+H423/F423)</f>
        <v>1</v>
      </c>
      <c r="J423" s="1364">
        <f>+H423</f>
        <v>15403.828909999998</v>
      </c>
      <c r="K423" s="1364">
        <f t="shared" ref="K423:Q423" si="208">+$J423*K1988</f>
        <v>10515.767688520251</v>
      </c>
      <c r="L423" s="1364">
        <f t="shared" si="208"/>
        <v>2742.3776571996746</v>
      </c>
      <c r="M423" s="1364">
        <f t="shared" si="208"/>
        <v>1804.3329031760866</v>
      </c>
      <c r="N423" s="1364">
        <f t="shared" si="208"/>
        <v>148.32180895275098</v>
      </c>
      <c r="O423" s="1364">
        <f t="shared" si="208"/>
        <v>161.82531983870714</v>
      </c>
      <c r="P423" s="1364">
        <f t="shared" si="208"/>
        <v>31.203532312528452</v>
      </c>
      <c r="Q423" s="1364">
        <f t="shared" si="208"/>
        <v>0</v>
      </c>
      <c r="R423" s="1364"/>
      <c r="S423" s="1320">
        <v>308</v>
      </c>
      <c r="V423" s="1321" t="s">
        <v>5326</v>
      </c>
      <c r="W423" s="1321">
        <v>308</v>
      </c>
      <c r="Y423" s="1324"/>
    </row>
    <row r="424" spans="1:25">
      <c r="A424" s="1320" t="s">
        <v>4739</v>
      </c>
      <c r="B424" s="1320">
        <v>412</v>
      </c>
      <c r="C424" s="1434">
        <v>54</v>
      </c>
      <c r="D424" s="1358" t="s">
        <v>5416</v>
      </c>
      <c r="E424" s="1358" t="s">
        <v>4071</v>
      </c>
      <c r="F424" s="1358">
        <f>+'0 MDS Allocation Assignment'!F143</f>
        <v>0</v>
      </c>
      <c r="G424" s="1358">
        <f>+$F424*G1991</f>
        <v>0</v>
      </c>
      <c r="H424" s="1358">
        <f>+$F424*H1991</f>
        <v>0</v>
      </c>
      <c r="I424" s="1323">
        <f>IF(F424=0,0,+H424/F424)</f>
        <v>0</v>
      </c>
      <c r="J424" s="1364">
        <f>+H424</f>
        <v>0</v>
      </c>
      <c r="K424" s="1364">
        <f>+$J424*K2018</f>
        <v>0</v>
      </c>
      <c r="L424" s="1364">
        <f>+$J424*L2018</f>
        <v>0</v>
      </c>
      <c r="M424" s="1364">
        <f>+$J424*M1991</f>
        <v>0</v>
      </c>
      <c r="N424" s="1367">
        <f>+$J424*N2018</f>
        <v>0</v>
      </c>
      <c r="O424" s="1367">
        <f>+$J424*O2018</f>
        <v>0</v>
      </c>
      <c r="P424" s="1367">
        <f>+$J424*P2018</f>
        <v>0</v>
      </c>
      <c r="Q424" s="1364">
        <f>+$J424*Q2018</f>
        <v>0</v>
      </c>
      <c r="R424" s="1358"/>
      <c r="S424" s="1320">
        <v>309</v>
      </c>
      <c r="V424" s="1321" t="s">
        <v>5328</v>
      </c>
      <c r="W424" s="1321">
        <v>309</v>
      </c>
      <c r="Y424" s="1324"/>
    </row>
    <row r="425" spans="1:25">
      <c r="A425" s="1320" t="s">
        <v>4739</v>
      </c>
      <c r="B425" s="1320">
        <v>310</v>
      </c>
      <c r="C425" s="1434">
        <v>55</v>
      </c>
      <c r="D425" s="1358" t="s">
        <v>5329</v>
      </c>
      <c r="E425" s="1358" t="s">
        <v>4071</v>
      </c>
      <c r="F425" s="1350">
        <f>+'0 MDS Allocation Assignment'!F144</f>
        <v>15231.66345</v>
      </c>
      <c r="G425" s="1350">
        <f>+$F425*G1994</f>
        <v>0</v>
      </c>
      <c r="H425" s="1350">
        <f>+$F425*H1994</f>
        <v>15231.66345</v>
      </c>
      <c r="I425" s="1323">
        <f>IF(F425=0,0,+H425/F425)</f>
        <v>1</v>
      </c>
      <c r="J425" s="1366">
        <f>+H425</f>
        <v>15231.66345</v>
      </c>
      <c r="K425" s="1366">
        <f t="shared" ref="K425:Q425" si="209">+$J425*K1994</f>
        <v>0</v>
      </c>
      <c r="L425" s="1366">
        <f t="shared" si="209"/>
        <v>0</v>
      </c>
      <c r="M425" s="1366">
        <f t="shared" si="209"/>
        <v>0</v>
      </c>
      <c r="N425" s="1378">
        <f t="shared" si="209"/>
        <v>0</v>
      </c>
      <c r="O425" s="1378">
        <f t="shared" si="209"/>
        <v>0</v>
      </c>
      <c r="P425" s="1378">
        <f t="shared" si="209"/>
        <v>0</v>
      </c>
      <c r="Q425" s="1366">
        <f t="shared" si="209"/>
        <v>15231.66345</v>
      </c>
      <c r="R425" s="1358"/>
      <c r="S425" s="1320">
        <v>310</v>
      </c>
      <c r="V425" s="1321" t="s">
        <v>5302</v>
      </c>
      <c r="W425" s="1321">
        <v>310</v>
      </c>
      <c r="Y425" s="1324"/>
    </row>
    <row r="426" spans="1:25">
      <c r="A426" s="1320" t="s">
        <v>4739</v>
      </c>
      <c r="C426" s="1434">
        <v>56</v>
      </c>
      <c r="D426" s="1358"/>
      <c r="E426" s="1358"/>
      <c r="F426" s="1358"/>
      <c r="G426" s="1358"/>
      <c r="H426" s="1358"/>
      <c r="I426" s="1379"/>
      <c r="K426" s="1364"/>
      <c r="L426" s="1364"/>
      <c r="M426" s="1364"/>
      <c r="N426" s="1367"/>
      <c r="O426" s="1367"/>
      <c r="P426" s="1367"/>
      <c r="Q426" s="1364"/>
      <c r="R426" s="1358"/>
      <c r="Y426" s="1324"/>
    </row>
    <row r="427" spans="1:25">
      <c r="A427" s="1320" t="s">
        <v>4739</v>
      </c>
      <c r="C427" s="1434">
        <v>57</v>
      </c>
      <c r="D427" s="1358" t="s">
        <v>5417</v>
      </c>
      <c r="E427" s="1358"/>
      <c r="F427" s="1358"/>
      <c r="G427" s="1358"/>
      <c r="H427" s="1358"/>
      <c r="I427" s="1379"/>
      <c r="K427" s="1364"/>
      <c r="L427" s="1364"/>
      <c r="M427" s="1364"/>
      <c r="N427" s="1367"/>
      <c r="O427" s="1367"/>
      <c r="P427" s="1367"/>
      <c r="Q427" s="1364"/>
      <c r="R427" s="1358"/>
      <c r="Y427" s="1324"/>
    </row>
    <row r="428" spans="1:25">
      <c r="A428" s="1320" t="s">
        <v>4739</v>
      </c>
      <c r="C428" s="1434">
        <v>58</v>
      </c>
      <c r="D428" s="1358" t="s">
        <v>5418</v>
      </c>
      <c r="E428" s="1358" t="s">
        <v>4067</v>
      </c>
      <c r="F428" s="1358">
        <f t="shared" ref="F428:H429" si="210">SUMIF($E$392:$E$425,$E428,F$392:F$425)</f>
        <v>102119.72953327128</v>
      </c>
      <c r="G428" s="1358">
        <f t="shared" si="210"/>
        <v>0</v>
      </c>
      <c r="H428" s="1358">
        <f t="shared" si="210"/>
        <v>102119.72953327128</v>
      </c>
      <c r="I428" s="1323">
        <f>IF(F428=0,0,+H428/F428)</f>
        <v>1</v>
      </c>
      <c r="J428" s="1364">
        <f t="shared" ref="J428:Q429" si="211">SUMIF($E$392:$E$425,$E428,J$392:J$425)</f>
        <v>102119.72953327128</v>
      </c>
      <c r="K428" s="1364">
        <f t="shared" si="211"/>
        <v>67948.8017906475</v>
      </c>
      <c r="L428" s="1364">
        <f t="shared" si="211"/>
        <v>5113.2947762049571</v>
      </c>
      <c r="M428" s="1364">
        <f t="shared" si="211"/>
        <v>26650.536278923464</v>
      </c>
      <c r="N428" s="1364">
        <f t="shared" si="211"/>
        <v>1907.7739021891573</v>
      </c>
      <c r="O428" s="1364">
        <f t="shared" si="211"/>
        <v>1.3025908547920522E-3</v>
      </c>
      <c r="P428" s="1364">
        <f t="shared" si="211"/>
        <v>499.32148271535073</v>
      </c>
      <c r="Q428" s="1364">
        <f t="shared" si="211"/>
        <v>0</v>
      </c>
      <c r="R428" s="1358"/>
      <c r="V428" s="1326" t="s">
        <v>5419</v>
      </c>
      <c r="X428" s="1326"/>
      <c r="Y428" s="1324"/>
    </row>
    <row r="429" spans="1:25">
      <c r="A429" s="1320" t="s">
        <v>4739</v>
      </c>
      <c r="C429" s="1434">
        <v>59</v>
      </c>
      <c r="D429" s="1358" t="s">
        <v>5418</v>
      </c>
      <c r="E429" s="1358" t="s">
        <v>4071</v>
      </c>
      <c r="F429" s="1350">
        <f t="shared" si="210"/>
        <v>38579.974456728742</v>
      </c>
      <c r="G429" s="1350">
        <f t="shared" si="210"/>
        <v>0</v>
      </c>
      <c r="H429" s="1350">
        <f t="shared" si="210"/>
        <v>38579.974456728742</v>
      </c>
      <c r="I429" s="1323">
        <f>IF(F429=0,0,+H429/F429)</f>
        <v>1</v>
      </c>
      <c r="J429" s="1366">
        <f t="shared" si="211"/>
        <v>38579.974456728742</v>
      </c>
      <c r="K429" s="1366">
        <f t="shared" si="211"/>
        <v>15674.704592608185</v>
      </c>
      <c r="L429" s="1366">
        <f t="shared" si="211"/>
        <v>3242.3627020553458</v>
      </c>
      <c r="M429" s="1366">
        <f t="shared" si="211"/>
        <v>1926.6075162333323</v>
      </c>
      <c r="N429" s="1366">
        <f t="shared" si="211"/>
        <v>148.32180895275098</v>
      </c>
      <c r="O429" s="1366">
        <f t="shared" si="211"/>
        <v>161.82531983870714</v>
      </c>
      <c r="P429" s="1366">
        <f t="shared" si="211"/>
        <v>32.665810311677035</v>
      </c>
      <c r="Q429" s="1366">
        <f t="shared" si="211"/>
        <v>17393.486706728738</v>
      </c>
      <c r="R429" s="1358"/>
      <c r="V429" s="1326" t="s">
        <v>5420</v>
      </c>
      <c r="X429" s="1326"/>
      <c r="Y429" s="1324"/>
    </row>
    <row r="430" spans="1:25">
      <c r="A430" s="1320" t="s">
        <v>4739</v>
      </c>
      <c r="C430" s="1434">
        <v>60</v>
      </c>
      <c r="D430" s="1358"/>
      <c r="E430" s="1358"/>
      <c r="F430" s="1358"/>
      <c r="G430" s="1358"/>
      <c r="H430" s="1358"/>
      <c r="I430" s="1379"/>
      <c r="J430" s="1364"/>
      <c r="K430" s="1364"/>
      <c r="L430" s="1364"/>
      <c r="M430" s="1364"/>
      <c r="N430" s="1367"/>
      <c r="O430" s="1367"/>
      <c r="P430" s="1367"/>
      <c r="Q430" s="1364"/>
      <c r="R430" s="1358"/>
      <c r="Y430" s="1324"/>
    </row>
    <row r="431" spans="1:25">
      <c r="A431" s="1320" t="s">
        <v>4739</v>
      </c>
      <c r="C431" s="1434">
        <v>61</v>
      </c>
      <c r="D431" s="1358" t="s">
        <v>5421</v>
      </c>
      <c r="E431" s="1358"/>
      <c r="F431" s="1350">
        <f>+F428+F429</f>
        <v>140699.70399000001</v>
      </c>
      <c r="G431" s="1350">
        <f>+G428+G429</f>
        <v>0</v>
      </c>
      <c r="H431" s="1350">
        <f>+H428+H429</f>
        <v>140699.70399000001</v>
      </c>
      <c r="I431" s="1323">
        <f>IF(F431=0,0,+H431/F431)</f>
        <v>1</v>
      </c>
      <c r="J431" s="1366">
        <f t="shared" ref="J431:Q431" si="212">+J428+J429</f>
        <v>140699.70399000001</v>
      </c>
      <c r="K431" s="1366">
        <f t="shared" si="212"/>
        <v>83623.506383255677</v>
      </c>
      <c r="L431" s="1366">
        <f t="shared" si="212"/>
        <v>8355.657478260302</v>
      </c>
      <c r="M431" s="1366">
        <f t="shared" si="212"/>
        <v>28577.143795156797</v>
      </c>
      <c r="N431" s="1378">
        <f t="shared" si="212"/>
        <v>2056.0957111419084</v>
      </c>
      <c r="O431" s="1378">
        <f>+O428+O429</f>
        <v>161.82662242956195</v>
      </c>
      <c r="P431" s="1378">
        <f>+P428+P429</f>
        <v>531.98729302702782</v>
      </c>
      <c r="Q431" s="1366">
        <f t="shared" si="212"/>
        <v>17393.486706728738</v>
      </c>
      <c r="R431" s="1358"/>
      <c r="V431" s="1320" t="s">
        <v>5422</v>
      </c>
    </row>
    <row r="432" spans="1:25">
      <c r="A432" s="1320" t="s">
        <v>4739</v>
      </c>
      <c r="C432" s="1434">
        <v>62</v>
      </c>
      <c r="D432" s="1358"/>
      <c r="E432" s="1358"/>
      <c r="F432" s="1358"/>
      <c r="G432" s="1358"/>
      <c r="H432" s="1358"/>
      <c r="I432" s="1379"/>
      <c r="J432" s="1364"/>
      <c r="K432" s="1364"/>
      <c r="M432" s="1324"/>
      <c r="P432" s="1325"/>
    </row>
    <row r="433" spans="1:27">
      <c r="A433" s="1320" t="s">
        <v>4739</v>
      </c>
      <c r="C433" s="1434">
        <v>63</v>
      </c>
      <c r="D433" s="1437" t="s">
        <v>5423</v>
      </c>
      <c r="E433" s="1358"/>
      <c r="F433" s="1358"/>
      <c r="G433" s="1358"/>
      <c r="H433" s="1358"/>
      <c r="I433" s="1379"/>
      <c r="K433" s="1364"/>
      <c r="M433" s="1324"/>
      <c r="P433" s="1325"/>
      <c r="Y433" s="1324"/>
    </row>
    <row r="434" spans="1:27" s="1324" customFormat="1">
      <c r="A434" s="1324" t="s">
        <v>4739</v>
      </c>
      <c r="C434" s="1439">
        <v>64</v>
      </c>
      <c r="D434" s="1364" t="s">
        <v>5265</v>
      </c>
      <c r="E434" s="1364" t="s">
        <v>4067</v>
      </c>
      <c r="F434" s="1364">
        <f>+F356+F357+F363+F364</f>
        <v>265519.30369168246</v>
      </c>
      <c r="G434" s="1364">
        <f>+G356+G357+G363+G364</f>
        <v>0</v>
      </c>
      <c r="H434" s="1364">
        <f>+H356+H357+H363+H364</f>
        <v>265519.30369168246</v>
      </c>
      <c r="I434" s="1374">
        <f t="shared" ref="I434:I441" si="213">IF(F434=0,0,+H434/F434)</f>
        <v>1</v>
      </c>
      <c r="J434" s="1364">
        <f>+J356+J357+J363+J364</f>
        <v>265519.30369168246</v>
      </c>
      <c r="K434" s="1364">
        <f t="shared" ref="K434:Q434" si="214">+K356+K357+K363+K364</f>
        <v>154004.65854574507</v>
      </c>
      <c r="L434" s="1364">
        <f t="shared" si="214"/>
        <v>12703.830953550192</v>
      </c>
      <c r="M434" s="1364">
        <f t="shared" si="214"/>
        <v>81209.209038462883</v>
      </c>
      <c r="N434" s="1364">
        <f t="shared" si="214"/>
        <v>10137.892987602658</v>
      </c>
      <c r="O434" s="1364">
        <f t="shared" si="214"/>
        <v>7275.4609426193038</v>
      </c>
      <c r="P434" s="1364">
        <f t="shared" si="214"/>
        <v>188.25122370236357</v>
      </c>
      <c r="Q434" s="1364">
        <f t="shared" si="214"/>
        <v>0</v>
      </c>
      <c r="R434" s="1364"/>
      <c r="V434" s="1324" t="s">
        <v>5424</v>
      </c>
    </row>
    <row r="435" spans="1:27" s="1324" customFormat="1">
      <c r="A435" s="1324" t="s">
        <v>4739</v>
      </c>
      <c r="C435" s="1439">
        <v>65</v>
      </c>
      <c r="D435" s="1364" t="s">
        <v>5265</v>
      </c>
      <c r="E435" s="1364" t="s">
        <v>2067</v>
      </c>
      <c r="F435" s="1364">
        <f>+F358</f>
        <v>24171.775932376906</v>
      </c>
      <c r="G435" s="1364">
        <f>+G358</f>
        <v>0</v>
      </c>
      <c r="H435" s="1364">
        <f>+H358</f>
        <v>24171.775932376906</v>
      </c>
      <c r="I435" s="1374">
        <f t="shared" si="213"/>
        <v>1</v>
      </c>
      <c r="J435" s="1364">
        <f t="shared" ref="J435:Q435" si="215">+J358</f>
        <v>24171.775932376906</v>
      </c>
      <c r="K435" s="1364">
        <f t="shared" si="215"/>
        <v>12197.904452943767</v>
      </c>
      <c r="L435" s="1364">
        <f t="shared" si="215"/>
        <v>1127.2291639031462</v>
      </c>
      <c r="M435" s="1364">
        <f t="shared" si="215"/>
        <v>8397.4194408385283</v>
      </c>
      <c r="N435" s="1367">
        <f t="shared" si="215"/>
        <v>1336.7341548727738</v>
      </c>
      <c r="O435" s="1367">
        <f>+O358</f>
        <v>984.78791142917646</v>
      </c>
      <c r="P435" s="1367">
        <f>+P358</f>
        <v>127.70080838951519</v>
      </c>
      <c r="Q435" s="1364">
        <f t="shared" si="215"/>
        <v>0</v>
      </c>
      <c r="R435" s="1364"/>
      <c r="V435" s="1324" t="s">
        <v>5425</v>
      </c>
    </row>
    <row r="436" spans="1:27" s="1324" customFormat="1">
      <c r="A436" s="1324" t="s">
        <v>4739</v>
      </c>
      <c r="C436" s="1439">
        <v>66</v>
      </c>
      <c r="D436" s="1364" t="s">
        <v>5268</v>
      </c>
      <c r="E436" s="1364" t="s">
        <v>4067</v>
      </c>
      <c r="F436" s="1364">
        <f>F367</f>
        <v>14335.379063852772</v>
      </c>
      <c r="G436" s="1364">
        <f>G367</f>
        <v>928.74413865325232</v>
      </c>
      <c r="H436" s="1364">
        <f>H367</f>
        <v>13406.634925199518</v>
      </c>
      <c r="I436" s="1374">
        <f>IF(F436=0,0,+H436/F436)</f>
        <v>0.93521314403222733</v>
      </c>
      <c r="J436" s="1364">
        <f t="shared" ref="J436:Q436" si="216">J367</f>
        <v>13406.634925199518</v>
      </c>
      <c r="K436" s="1364">
        <f t="shared" si="216"/>
        <v>7776.0230807937669</v>
      </c>
      <c r="L436" s="1364">
        <f t="shared" si="216"/>
        <v>641.44347088023767</v>
      </c>
      <c r="M436" s="1364">
        <f t="shared" si="216"/>
        <v>4100.4258560692751</v>
      </c>
      <c r="N436" s="1364">
        <f t="shared" si="216"/>
        <v>511.88380018257283</v>
      </c>
      <c r="O436" s="1364">
        <f>O367</f>
        <v>367.35351220831194</v>
      </c>
      <c r="P436" s="1364">
        <f>P367</f>
        <v>9.505205065354783</v>
      </c>
      <c r="Q436" s="1364">
        <f t="shared" si="216"/>
        <v>0</v>
      </c>
      <c r="R436" s="1364"/>
      <c r="V436" s="1324" t="s">
        <v>5426</v>
      </c>
    </row>
    <row r="437" spans="1:27" s="1324" customFormat="1">
      <c r="A437" s="1324" t="s">
        <v>4739</v>
      </c>
      <c r="C437" s="1439">
        <v>67</v>
      </c>
      <c r="D437" s="1364" t="s">
        <v>5239</v>
      </c>
      <c r="E437" s="1364" t="s">
        <v>4067</v>
      </c>
      <c r="F437" s="1364">
        <f>+F372</f>
        <v>13591.063195823424</v>
      </c>
      <c r="G437" s="1364">
        <f>+G372</f>
        <v>880.52225371670738</v>
      </c>
      <c r="H437" s="1364">
        <f>+H372</f>
        <v>12710.540942106716</v>
      </c>
      <c r="I437" s="1374">
        <f>IF(F437=0,0,+H437/F437)</f>
        <v>0.93521314403222733</v>
      </c>
      <c r="J437" s="1364">
        <f t="shared" ref="J437:Q437" si="217">+J372</f>
        <v>12710.540942106716</v>
      </c>
      <c r="K437" s="1364">
        <f t="shared" si="217"/>
        <v>7372.2794934482827</v>
      </c>
      <c r="L437" s="1364">
        <f t="shared" si="217"/>
        <v>608.13869730617455</v>
      </c>
      <c r="M437" s="1364">
        <f t="shared" si="217"/>
        <v>3887.5251705167075</v>
      </c>
      <c r="N437" s="1364">
        <f t="shared" si="217"/>
        <v>485.30597246235806</v>
      </c>
      <c r="O437" s="1364">
        <f>+O372</f>
        <v>348.27992879659621</v>
      </c>
      <c r="P437" s="1364">
        <f>+P372</f>
        <v>9.0116795765969684</v>
      </c>
      <c r="Q437" s="1364">
        <f t="shared" si="217"/>
        <v>0</v>
      </c>
      <c r="R437" s="1364"/>
      <c r="V437" s="1324" t="s">
        <v>5427</v>
      </c>
    </row>
    <row r="438" spans="1:27" s="1324" customFormat="1">
      <c r="A438" s="1324" t="s">
        <v>4739</v>
      </c>
      <c r="C438" s="1439">
        <v>68</v>
      </c>
      <c r="D438" s="1364" t="s">
        <v>5240</v>
      </c>
      <c r="E438" s="1364" t="s">
        <v>4067</v>
      </c>
      <c r="F438" s="1364">
        <f>+F392+F395+F402+F409+F416</f>
        <v>61194.906221304169</v>
      </c>
      <c r="G438" s="1364">
        <f t="shared" ref="G438:Q438" si="218">+G392+G395+G402+G409+G416</f>
        <v>0</v>
      </c>
      <c r="H438" s="1364">
        <f t="shared" si="218"/>
        <v>61194.906221304169</v>
      </c>
      <c r="I438" s="1374">
        <f>IF(F438=0,0,+H438/F438)</f>
        <v>1</v>
      </c>
      <c r="J438" s="1364">
        <f t="shared" si="218"/>
        <v>61194.906221304169</v>
      </c>
      <c r="K438" s="1364">
        <f t="shared" si="218"/>
        <v>38088.689489689095</v>
      </c>
      <c r="L438" s="1364">
        <f t="shared" si="218"/>
        <v>2708.9631252017853</v>
      </c>
      <c r="M438" s="1364">
        <f t="shared" si="218"/>
        <v>18138.19952909787</v>
      </c>
      <c r="N438" s="1364">
        <f t="shared" si="218"/>
        <v>1907.7739021891573</v>
      </c>
      <c r="O438" s="1364">
        <f t="shared" si="218"/>
        <v>1.3025908547920522E-3</v>
      </c>
      <c r="P438" s="1364">
        <f t="shared" si="218"/>
        <v>351.27887253542031</v>
      </c>
      <c r="Q438" s="1364">
        <f t="shared" si="218"/>
        <v>0</v>
      </c>
      <c r="R438" s="1364"/>
      <c r="V438" s="1324" t="s">
        <v>5428</v>
      </c>
    </row>
    <row r="439" spans="1:27">
      <c r="A439" s="1320" t="s">
        <v>4739</v>
      </c>
      <c r="C439" s="1434">
        <v>69</v>
      </c>
      <c r="D439" s="1364" t="s">
        <v>5241</v>
      </c>
      <c r="E439" s="1364" t="s">
        <v>4067</v>
      </c>
      <c r="F439" s="1364">
        <f>+F397+F404+F411+F418</f>
        <v>40924.823311967106</v>
      </c>
      <c r="G439" s="1364">
        <f>+G397+G404+G411+G418</f>
        <v>0</v>
      </c>
      <c r="H439" s="1364">
        <f>+H397+H404+H411+H418</f>
        <v>40924.823311967106</v>
      </c>
      <c r="I439" s="1374">
        <f t="shared" si="213"/>
        <v>1</v>
      </c>
      <c r="J439" s="1364">
        <f t="shared" ref="J439:Q439" si="219">+J397+J404+J411+J418</f>
        <v>40924.823311967106</v>
      </c>
      <c r="K439" s="1364">
        <f t="shared" si="219"/>
        <v>29860.112300958412</v>
      </c>
      <c r="L439" s="1364">
        <f t="shared" si="219"/>
        <v>2404.3316510031723</v>
      </c>
      <c r="M439" s="1364">
        <f t="shared" si="219"/>
        <v>8512.3367498255939</v>
      </c>
      <c r="N439" s="1364">
        <f t="shared" si="219"/>
        <v>0</v>
      </c>
      <c r="O439" s="1364">
        <f>+O397+O404+O411+O418</f>
        <v>0</v>
      </c>
      <c r="P439" s="1364">
        <f>+P397+P404+P411+P418</f>
        <v>148.04261017993042</v>
      </c>
      <c r="Q439" s="1364">
        <f t="shared" si="219"/>
        <v>0</v>
      </c>
      <c r="R439" s="1358"/>
      <c r="V439" s="1324" t="s">
        <v>5429</v>
      </c>
      <c r="Y439" s="1324"/>
      <c r="Z439" s="1324"/>
      <c r="AA439" s="1324"/>
    </row>
    <row r="440" spans="1:27">
      <c r="A440" s="1320" t="s">
        <v>4739</v>
      </c>
      <c r="C440" s="1434">
        <v>70</v>
      </c>
      <c r="D440" s="1364" t="s">
        <v>5242</v>
      </c>
      <c r="E440" s="1364" t="s">
        <v>4071</v>
      </c>
      <c r="F440" s="1364">
        <f>F429</f>
        <v>38579.974456728742</v>
      </c>
      <c r="G440" s="1364">
        <f>G429</f>
        <v>0</v>
      </c>
      <c r="H440" s="1364">
        <f>H429</f>
        <v>38579.974456728742</v>
      </c>
      <c r="I440" s="1374">
        <f>IF(F440=0,0,+H440/F440)</f>
        <v>1</v>
      </c>
      <c r="J440" s="1364">
        <f t="shared" ref="J440:Q440" si="220">J429</f>
        <v>38579.974456728742</v>
      </c>
      <c r="K440" s="1364">
        <f t="shared" si="220"/>
        <v>15674.704592608185</v>
      </c>
      <c r="L440" s="1364">
        <f t="shared" si="220"/>
        <v>3242.3627020553458</v>
      </c>
      <c r="M440" s="1364">
        <f t="shared" si="220"/>
        <v>1926.6075162333323</v>
      </c>
      <c r="N440" s="1364">
        <f t="shared" si="220"/>
        <v>148.32180895275098</v>
      </c>
      <c r="O440" s="1364">
        <f>O429</f>
        <v>161.82531983870714</v>
      </c>
      <c r="P440" s="1364">
        <f>P429</f>
        <v>32.665810311677035</v>
      </c>
      <c r="Q440" s="1364">
        <f t="shared" si="220"/>
        <v>17393.486706728738</v>
      </c>
      <c r="R440" s="1358"/>
      <c r="V440" s="1326" t="s">
        <v>5430</v>
      </c>
      <c r="Z440" s="1324"/>
      <c r="AA440" s="1324"/>
    </row>
    <row r="441" spans="1:27">
      <c r="A441" s="1320" t="s">
        <v>4739</v>
      </c>
      <c r="C441" s="1434">
        <v>71</v>
      </c>
      <c r="D441" s="1358" t="s">
        <v>5244</v>
      </c>
      <c r="E441" s="1358" t="s">
        <v>4071</v>
      </c>
      <c r="F441" s="1350">
        <v>0</v>
      </c>
      <c r="G441" s="1350">
        <v>0</v>
      </c>
      <c r="H441" s="1350">
        <v>0</v>
      </c>
      <c r="I441" s="1323">
        <f t="shared" si="213"/>
        <v>0</v>
      </c>
      <c r="J441" s="1366">
        <v>0</v>
      </c>
      <c r="K441" s="1366">
        <v>0</v>
      </c>
      <c r="L441" s="1366">
        <v>0</v>
      </c>
      <c r="M441" s="1366">
        <v>0</v>
      </c>
      <c r="N441" s="1378">
        <v>0</v>
      </c>
      <c r="O441" s="1378">
        <v>0</v>
      </c>
      <c r="P441" s="1378">
        <v>0</v>
      </c>
      <c r="Q441" s="1366">
        <v>0</v>
      </c>
      <c r="R441" s="1358"/>
      <c r="V441" s="1320" t="s">
        <v>5343</v>
      </c>
      <c r="Z441" s="1324"/>
      <c r="AA441" s="1324"/>
    </row>
    <row r="442" spans="1:27">
      <c r="A442" s="1320" t="s">
        <v>4739</v>
      </c>
      <c r="C442" s="1434">
        <v>72</v>
      </c>
      <c r="D442" s="1358"/>
      <c r="E442" s="1358"/>
      <c r="F442" s="1358"/>
      <c r="G442" s="1358"/>
      <c r="H442" s="1358"/>
      <c r="I442" s="1379"/>
      <c r="J442" s="1364"/>
      <c r="K442" s="1364"/>
      <c r="L442" s="1364"/>
      <c r="M442" s="1364"/>
      <c r="N442" s="1367"/>
      <c r="O442" s="1367"/>
      <c r="P442" s="1367"/>
      <c r="Q442" s="1364"/>
      <c r="R442" s="1358"/>
      <c r="Z442" s="1324"/>
      <c r="AA442" s="1324"/>
    </row>
    <row r="443" spans="1:27">
      <c r="A443" s="1320" t="s">
        <v>4739</v>
      </c>
      <c r="C443" s="1434">
        <v>73</v>
      </c>
      <c r="D443" s="1358" t="s">
        <v>5431</v>
      </c>
      <c r="E443" s="1358"/>
      <c r="F443" s="1350">
        <f>SUM(F434:F441)</f>
        <v>458317.22587373556</v>
      </c>
      <c r="G443" s="1350">
        <f>SUM(G434:G441)</f>
        <v>1809.2663923699597</v>
      </c>
      <c r="H443" s="1350">
        <f>SUM(H434:H441)</f>
        <v>456507.95948136557</v>
      </c>
      <c r="I443" s="1323">
        <f>IF(F443=0,0,+H443/F443)</f>
        <v>0.99605237095568289</v>
      </c>
      <c r="J443" s="1366">
        <f t="shared" ref="J443:Q443" si="221">SUM(J434:J441)</f>
        <v>456507.95948136557</v>
      </c>
      <c r="K443" s="1366">
        <f t="shared" si="221"/>
        <v>264974.3719561866</v>
      </c>
      <c r="L443" s="1366">
        <f t="shared" si="221"/>
        <v>23436.299763900057</v>
      </c>
      <c r="M443" s="1366">
        <f t="shared" si="221"/>
        <v>126171.72330104417</v>
      </c>
      <c r="N443" s="1378">
        <f t="shared" si="221"/>
        <v>14527.912626262272</v>
      </c>
      <c r="O443" s="1378">
        <f>SUM(O434:O441)</f>
        <v>9137.7089174829507</v>
      </c>
      <c r="P443" s="1378">
        <f>SUM(P434:P441)</f>
        <v>866.45620976085843</v>
      </c>
      <c r="Q443" s="1366">
        <f t="shared" si="221"/>
        <v>17393.486706728738</v>
      </c>
      <c r="R443" s="1358"/>
      <c r="V443" s="1320" t="s">
        <v>5432</v>
      </c>
    </row>
    <row r="444" spans="1:27">
      <c r="C444" s="1434"/>
      <c r="D444" s="1358"/>
      <c r="E444" s="1358"/>
      <c r="F444" s="1358"/>
      <c r="G444" s="1358"/>
      <c r="H444" s="1358"/>
      <c r="I444" s="1379"/>
      <c r="K444" s="1364"/>
    </row>
    <row r="445" spans="1:27">
      <c r="C445" s="1434"/>
      <c r="D445" s="1358"/>
      <c r="E445" s="1358"/>
      <c r="F445" s="1358"/>
      <c r="G445" s="1358"/>
      <c r="H445" s="1358"/>
      <c r="I445" s="1379"/>
      <c r="K445" s="1364"/>
    </row>
    <row r="446" spans="1:27">
      <c r="C446" s="1434"/>
      <c r="D446" s="1358"/>
      <c r="E446" s="1358"/>
      <c r="F446" s="1358"/>
      <c r="G446" s="1358"/>
      <c r="H446" s="1358"/>
      <c r="I446" s="1379"/>
      <c r="K446" s="1364"/>
    </row>
    <row r="447" spans="1:27">
      <c r="C447" s="1434"/>
      <c r="D447" s="1358"/>
      <c r="E447" s="1358"/>
      <c r="F447" s="1358"/>
      <c r="G447" s="1358"/>
      <c r="H447" s="1358"/>
      <c r="I447" s="1379"/>
      <c r="K447" s="1364"/>
    </row>
    <row r="448" spans="1:27">
      <c r="C448" s="1434"/>
      <c r="D448" s="1358"/>
      <c r="E448" s="1358"/>
      <c r="F448" s="1358"/>
      <c r="G448" s="1358"/>
      <c r="H448" s="1358"/>
      <c r="I448" s="1379"/>
      <c r="K448" s="1364"/>
    </row>
    <row r="449" spans="1:25">
      <c r="B449" s="1432"/>
      <c r="C449" s="1340" t="str">
        <f>+C$2</f>
        <v>RATES WITH REVENUE DEFICIENCY ADDITION</v>
      </c>
      <c r="F449" s="1333"/>
      <c r="G449" s="1327" t="s">
        <v>2173</v>
      </c>
      <c r="H449" s="1358"/>
      <c r="I449" s="1334" t="s">
        <v>5403</v>
      </c>
      <c r="L449" s="1329" t="s">
        <v>2173</v>
      </c>
      <c r="M449" s="1330"/>
      <c r="N449" s="1330"/>
      <c r="O449" s="1330"/>
      <c r="S449" s="1334" t="s">
        <v>5433</v>
      </c>
      <c r="T449" s="1333" t="s">
        <v>2173</v>
      </c>
      <c r="U449" s="1334"/>
      <c r="V449" s="1332" t="s">
        <v>4772</v>
      </c>
    </row>
    <row r="450" spans="1:25">
      <c r="B450" s="1432"/>
      <c r="C450" s="1340" t="str">
        <f>+C$3</f>
        <v>PROD. CAP. ALLOC. METHOD: 12 CP &amp; 1/13th AD</v>
      </c>
      <c r="D450" s="1358"/>
      <c r="G450" s="1336" t="s">
        <v>4768</v>
      </c>
      <c r="I450" s="1335" t="s">
        <v>5404</v>
      </c>
      <c r="L450" s="1336" t="s">
        <v>5141</v>
      </c>
      <c r="M450" s="1337"/>
      <c r="N450" s="1337"/>
      <c r="O450" s="1337"/>
      <c r="R450" s="1331"/>
      <c r="S450" s="1335" t="s">
        <v>5434</v>
      </c>
      <c r="T450" s="1333" t="s">
        <v>5141</v>
      </c>
      <c r="V450" s="1332" t="s">
        <v>5433</v>
      </c>
    </row>
    <row r="451" spans="1:25">
      <c r="B451" s="1321"/>
      <c r="C451" s="1340" t="str">
        <f>+C$4</f>
        <v>PROJECTED CALENDAR YEAR 2025; FULLY ADJUSTED DATA</v>
      </c>
      <c r="G451" s="1336" t="s">
        <v>2181</v>
      </c>
      <c r="L451" s="1336" t="s">
        <v>2181</v>
      </c>
      <c r="T451" s="1339"/>
    </row>
    <row r="452" spans="1:25">
      <c r="B452" s="1321"/>
      <c r="C452" s="1340" t="str">
        <f>+C$5</f>
        <v>MINIMUM DISTRIBUTION SYSTEM (MDS) NOT EMPLOYED</v>
      </c>
      <c r="G452" s="1358"/>
      <c r="H452" s="1358"/>
      <c r="I452" s="1379"/>
      <c r="K452" s="1364"/>
      <c r="L452" s="1336"/>
      <c r="M452" s="1337"/>
      <c r="N452" s="1337"/>
      <c r="O452" s="1337"/>
      <c r="T452" s="1333"/>
    </row>
    <row r="453" spans="1:25">
      <c r="B453" s="1321"/>
      <c r="C453" s="1340" t="str">
        <f>+C$6</f>
        <v>Tampa Electric 2025 OB Budget</v>
      </c>
      <c r="F453" s="1327"/>
      <c r="G453" s="1333" t="s">
        <v>5391</v>
      </c>
      <c r="H453" s="1358"/>
      <c r="I453" s="1379"/>
      <c r="K453" s="1364"/>
      <c r="L453" s="1336" t="s">
        <v>5391</v>
      </c>
      <c r="M453" s="1337"/>
      <c r="N453" s="1337"/>
      <c r="O453" s="1337"/>
      <c r="T453" s="1333" t="s">
        <v>5391</v>
      </c>
    </row>
    <row r="454" spans="1:25">
      <c r="B454" s="1321"/>
      <c r="F454" s="1333"/>
      <c r="G454" s="1358"/>
      <c r="H454" s="1358"/>
      <c r="I454" s="1379"/>
      <c r="K454" s="1364"/>
      <c r="L454" s="1336"/>
      <c r="M454" s="1337"/>
      <c r="N454" s="1337"/>
      <c r="O454" s="1337"/>
    </row>
    <row r="455" spans="1:25">
      <c r="B455" s="1321"/>
      <c r="F455" s="1333"/>
      <c r="G455" s="1358"/>
      <c r="H455" s="1358"/>
      <c r="I455" s="1379"/>
      <c r="K455" s="1364"/>
      <c r="L455" s="1336"/>
      <c r="M455" s="1337"/>
      <c r="N455" s="1337"/>
      <c r="O455" s="1337"/>
    </row>
    <row r="456" spans="1:25">
      <c r="C456" s="1434"/>
      <c r="D456" s="1358"/>
      <c r="E456" s="1358"/>
      <c r="F456" s="1358"/>
      <c r="G456" s="1358"/>
      <c r="H456" s="1358"/>
      <c r="I456" s="1379"/>
      <c r="K456" s="1364"/>
    </row>
    <row r="457" spans="1:25">
      <c r="C457" s="1342"/>
      <c r="D457" s="1435"/>
      <c r="E457" s="1435"/>
      <c r="F457" s="1333"/>
      <c r="G457" s="1333"/>
      <c r="H457" s="1333"/>
      <c r="I457" s="1343"/>
      <c r="J457" s="1416"/>
      <c r="K457" s="1336"/>
      <c r="L457" s="1416"/>
      <c r="M457" s="1417"/>
      <c r="N457" s="1417"/>
      <c r="O457" s="1417"/>
      <c r="P457" s="3164"/>
      <c r="Q457" s="3164"/>
      <c r="R457" s="1333"/>
    </row>
    <row r="458" spans="1:25" ht="30" customHeight="1">
      <c r="A458" s="1418" t="s">
        <v>4683</v>
      </c>
      <c r="B458" s="1425" t="s">
        <v>5143</v>
      </c>
      <c r="C458" s="1349" t="s">
        <v>4297</v>
      </c>
      <c r="D458" s="1418"/>
      <c r="E458" s="1418"/>
      <c r="F458" s="1348" t="s">
        <v>5144</v>
      </c>
      <c r="G458" s="1348" t="s">
        <v>4956</v>
      </c>
      <c r="H458" s="1348" t="s">
        <v>4957</v>
      </c>
      <c r="I458" s="1426" t="s">
        <v>5145</v>
      </c>
      <c r="J458" s="1352" t="s">
        <v>4957</v>
      </c>
      <c r="K458" s="1353" t="s">
        <v>1949</v>
      </c>
      <c r="L458" s="1353" t="s">
        <v>1950</v>
      </c>
      <c r="M458" s="1354" t="s">
        <v>1934</v>
      </c>
      <c r="N458" s="1354" t="s">
        <v>1971</v>
      </c>
      <c r="O458" s="1354" t="s">
        <v>1972</v>
      </c>
      <c r="P458" s="1352" t="s">
        <v>5146</v>
      </c>
      <c r="Q458" s="1352" t="s">
        <v>5147</v>
      </c>
      <c r="R458" s="1355"/>
      <c r="S458" s="1348" t="s">
        <v>5299</v>
      </c>
      <c r="T458" s="1348"/>
      <c r="U458" s="1352"/>
      <c r="V458" s="1355" t="s">
        <v>4774</v>
      </c>
      <c r="W458" s="1350"/>
    </row>
    <row r="459" spans="1:25">
      <c r="C459" s="1434"/>
      <c r="D459" s="1358"/>
      <c r="E459" s="1358"/>
      <c r="F459" s="1358"/>
      <c r="G459" s="1358"/>
      <c r="H459" s="1358"/>
      <c r="I459" s="1379"/>
      <c r="K459" s="1364"/>
    </row>
    <row r="460" spans="1:25">
      <c r="A460" s="1320" t="s">
        <v>4739</v>
      </c>
      <c r="C460" s="1434">
        <v>74</v>
      </c>
      <c r="D460" s="1437" t="s">
        <v>5435</v>
      </c>
      <c r="E460" s="1358"/>
      <c r="F460" s="1358"/>
      <c r="G460" s="1358"/>
      <c r="H460" s="1358"/>
      <c r="I460" s="1379"/>
      <c r="K460" s="1364"/>
    </row>
    <row r="461" spans="1:25">
      <c r="A461" s="1320" t="s">
        <v>4739</v>
      </c>
      <c r="B461" s="1320">
        <v>101</v>
      </c>
      <c r="C461" s="1434">
        <v>75</v>
      </c>
      <c r="D461" s="1358" t="s">
        <v>5265</v>
      </c>
      <c r="E461" s="1358" t="s">
        <v>4067</v>
      </c>
      <c r="F461" s="1358">
        <f>+'0 MDS Allocation Assignment'!F145</f>
        <v>2270.0840464485473</v>
      </c>
      <c r="G461" s="1358">
        <f>+$F461*G$1933</f>
        <v>0</v>
      </c>
      <c r="H461" s="1358">
        <f>+$F461*H$1933</f>
        <v>2270.0840464485473</v>
      </c>
      <c r="I461" s="1323">
        <f t="shared" ref="I461:I468" si="222">IF(F461=0,0,+H461/F461)</f>
        <v>1</v>
      </c>
      <c r="J461" s="1364">
        <f t="shared" ref="J461:J468" si="223">+H461</f>
        <v>2270.0840464485473</v>
      </c>
      <c r="K461" s="1324">
        <f t="shared" ref="K461:Q461" si="224">$J461*K$1951</f>
        <v>1316.6783491169699</v>
      </c>
      <c r="L461" s="1324">
        <f t="shared" si="224"/>
        <v>108.61268305343523</v>
      </c>
      <c r="M461" s="1324">
        <f t="shared" si="224"/>
        <v>694.30631709168154</v>
      </c>
      <c r="N461" s="1324">
        <f t="shared" si="224"/>
        <v>86.6749378134962</v>
      </c>
      <c r="O461" s="1324">
        <f t="shared" si="224"/>
        <v>62.202286563607615</v>
      </c>
      <c r="P461" s="1324">
        <f t="shared" si="224"/>
        <v>1.6094728093569457</v>
      </c>
      <c r="Q461" s="1324">
        <f t="shared" si="224"/>
        <v>0</v>
      </c>
      <c r="R461" s="1324"/>
      <c r="S461" s="1324">
        <v>122</v>
      </c>
      <c r="V461" s="1321" t="s">
        <v>5227</v>
      </c>
      <c r="W461" s="1321">
        <v>122</v>
      </c>
      <c r="Y461" s="1324"/>
    </row>
    <row r="462" spans="1:25" s="1324" customFormat="1">
      <c r="A462" s="1320" t="s">
        <v>4739</v>
      </c>
      <c r="B462" s="1324">
        <v>201</v>
      </c>
      <c r="C462" s="1439">
        <v>76</v>
      </c>
      <c r="D462" s="1364" t="s">
        <v>5265</v>
      </c>
      <c r="E462" s="1364" t="s">
        <v>2067</v>
      </c>
      <c r="F462" s="1358">
        <f>+'0 MDS Allocation Assignment'!F146</f>
        <v>564.04119465374163</v>
      </c>
      <c r="G462" s="1364">
        <f>+$F462*G$1966</f>
        <v>0</v>
      </c>
      <c r="H462" s="1364">
        <f>+$F462*H$1966</f>
        <v>564.04119465374163</v>
      </c>
      <c r="I462" s="1374">
        <f t="shared" si="222"/>
        <v>1</v>
      </c>
      <c r="J462" s="1364">
        <f t="shared" si="223"/>
        <v>564.04119465374163</v>
      </c>
      <c r="K462" s="1364">
        <f t="shared" ref="K462:Q462" si="225">+$J462*K$1966</f>
        <v>284.63446869433426</v>
      </c>
      <c r="L462" s="1364">
        <f t="shared" si="225"/>
        <v>26.303556926689904</v>
      </c>
      <c r="M462" s="1364">
        <f t="shared" si="225"/>
        <v>195.95128246554785</v>
      </c>
      <c r="N462" s="1367">
        <f t="shared" si="225"/>
        <v>31.192293514478145</v>
      </c>
      <c r="O462" s="1367">
        <f t="shared" si="225"/>
        <v>22.979732709629463</v>
      </c>
      <c r="P462" s="1367">
        <f t="shared" si="225"/>
        <v>2.9798603430620108</v>
      </c>
      <c r="Q462" s="1364">
        <f t="shared" si="225"/>
        <v>0</v>
      </c>
      <c r="R462" s="1364"/>
      <c r="S462" s="1324">
        <v>201</v>
      </c>
      <c r="V462" s="1321" t="s">
        <v>5235</v>
      </c>
      <c r="W462" s="1321">
        <v>201</v>
      </c>
    </row>
    <row r="463" spans="1:25">
      <c r="A463" s="1320" t="s">
        <v>4739</v>
      </c>
      <c r="B463" s="1320">
        <v>117</v>
      </c>
      <c r="C463" s="1434">
        <v>77</v>
      </c>
      <c r="D463" s="1358" t="s">
        <v>5268</v>
      </c>
      <c r="E463" s="1358" t="s">
        <v>4067</v>
      </c>
      <c r="F463" s="1358">
        <f>+'0 MDS Allocation Assignment'!F147</f>
        <v>427.86315231558297</v>
      </c>
      <c r="G463" s="1358">
        <f>+$F463*G$1942</f>
        <v>27.719908422986823</v>
      </c>
      <c r="H463" s="1358">
        <f>+$F463*H$1942</f>
        <v>400.1432438925961</v>
      </c>
      <c r="I463" s="1323">
        <f t="shared" si="222"/>
        <v>0.93521314403222733</v>
      </c>
      <c r="J463" s="1364">
        <f t="shared" si="223"/>
        <v>400.1432438925961</v>
      </c>
      <c r="K463" s="1364">
        <f t="shared" ref="K463:Q464" si="226">+$J463*K$1945</f>
        <v>232.08829937511041</v>
      </c>
      <c r="L463" s="1364">
        <f t="shared" si="226"/>
        <v>19.14494372702735</v>
      </c>
      <c r="M463" s="1364">
        <f t="shared" si="226"/>
        <v>122.3840070638917</v>
      </c>
      <c r="N463" s="1367">
        <f t="shared" si="226"/>
        <v>15.278020580401233</v>
      </c>
      <c r="O463" s="1367">
        <f t="shared" si="226"/>
        <v>10.964274543948228</v>
      </c>
      <c r="P463" s="1367">
        <f t="shared" si="226"/>
        <v>0.2836986022172</v>
      </c>
      <c r="Q463" s="1364">
        <f t="shared" si="226"/>
        <v>0</v>
      </c>
      <c r="R463" s="1364"/>
      <c r="S463" s="1324">
        <v>117</v>
      </c>
      <c r="V463" s="1321" t="s">
        <v>5228</v>
      </c>
      <c r="W463" s="1321">
        <v>117</v>
      </c>
      <c r="Y463" s="1324"/>
    </row>
    <row r="464" spans="1:25">
      <c r="A464" s="1320" t="s">
        <v>4739</v>
      </c>
      <c r="B464" s="1320">
        <v>117</v>
      </c>
      <c r="C464" s="1434">
        <v>78</v>
      </c>
      <c r="D464" s="1358" t="s">
        <v>5239</v>
      </c>
      <c r="E464" s="1358" t="s">
        <v>4067</v>
      </c>
      <c r="F464" s="1358">
        <f>+'0 MDS Allocation Assignment'!F148</f>
        <v>344.4303917378038</v>
      </c>
      <c r="G464" s="1358">
        <f>+$F464*G$1942</f>
        <v>22.314562180440589</v>
      </c>
      <c r="H464" s="1358">
        <f>+$F464*H$1942</f>
        <v>322.11582955736321</v>
      </c>
      <c r="I464" s="1323">
        <f t="shared" si="222"/>
        <v>0.93521314403222744</v>
      </c>
      <c r="J464" s="1364">
        <f t="shared" si="223"/>
        <v>322.11582955736321</v>
      </c>
      <c r="K464" s="1364">
        <f t="shared" si="226"/>
        <v>186.83138157353912</v>
      </c>
      <c r="L464" s="1364">
        <f t="shared" si="226"/>
        <v>15.411704494792692</v>
      </c>
      <c r="M464" s="1364">
        <f t="shared" si="226"/>
        <v>98.519284185442928</v>
      </c>
      <c r="N464" s="1367">
        <f t="shared" si="226"/>
        <v>12.29882635372285</v>
      </c>
      <c r="O464" s="1367">
        <f t="shared" si="226"/>
        <v>8.8262552076639285</v>
      </c>
      <c r="P464" s="1367">
        <f t="shared" si="226"/>
        <v>0.22837774220170623</v>
      </c>
      <c r="Q464" s="1364">
        <f t="shared" si="226"/>
        <v>0</v>
      </c>
      <c r="R464" s="1364"/>
      <c r="S464" s="1324">
        <v>117</v>
      </c>
      <c r="V464" s="1321" t="s">
        <v>5228</v>
      </c>
      <c r="W464" s="1321">
        <v>117</v>
      </c>
      <c r="Y464" s="1324"/>
    </row>
    <row r="465" spans="1:25">
      <c r="A465" s="1320" t="s">
        <v>4739</v>
      </c>
      <c r="B465" s="1320">
        <v>105</v>
      </c>
      <c r="C465" s="1434">
        <v>79</v>
      </c>
      <c r="D465" s="1358" t="s">
        <v>5240</v>
      </c>
      <c r="E465" s="1358" t="s">
        <v>4067</v>
      </c>
      <c r="F465" s="1358">
        <f>+'0 MDS Allocation Assignment'!F149</f>
        <v>2079.1077256150043</v>
      </c>
      <c r="G465" s="1358">
        <f>+$F465*$G$1936</f>
        <v>0</v>
      </c>
      <c r="H465" s="1358">
        <f>+$F465*$H$1936</f>
        <v>2079.1077256150043</v>
      </c>
      <c r="I465" s="1323">
        <f t="shared" si="222"/>
        <v>1</v>
      </c>
      <c r="J465" s="1364">
        <f t="shared" si="223"/>
        <v>2079.1077256150043</v>
      </c>
      <c r="K465" s="1364">
        <f t="shared" ref="K465:Q465" si="227">+$J465*K$1936</f>
        <v>1294.0699392557369</v>
      </c>
      <c r="L465" s="1364">
        <f t="shared" si="227"/>
        <v>92.03749968412265</v>
      </c>
      <c r="M465" s="1364">
        <f t="shared" si="227"/>
        <v>616.24852619784156</v>
      </c>
      <c r="N465" s="1367">
        <f t="shared" si="227"/>
        <v>64.81695460769069</v>
      </c>
      <c r="O465" s="1367">
        <f t="shared" si="227"/>
        <v>4.425575389754868E-5</v>
      </c>
      <c r="P465" s="1367">
        <f t="shared" si="227"/>
        <v>11.934761613858974</v>
      </c>
      <c r="Q465" s="1364">
        <f t="shared" si="227"/>
        <v>0</v>
      </c>
      <c r="R465" s="1364"/>
      <c r="S465" s="1324">
        <v>105</v>
      </c>
      <c r="V465" s="1321" t="s">
        <v>5229</v>
      </c>
      <c r="W465" s="1321">
        <v>105</v>
      </c>
      <c r="Y465" s="1324"/>
    </row>
    <row r="466" spans="1:25">
      <c r="A466" s="1320" t="s">
        <v>4739</v>
      </c>
      <c r="B466" s="1320">
        <v>106</v>
      </c>
      <c r="C466" s="1434">
        <v>80</v>
      </c>
      <c r="D466" s="1358" t="s">
        <v>5241</v>
      </c>
      <c r="E466" s="1358" t="s">
        <v>4067</v>
      </c>
      <c r="F466" s="1358">
        <f>+'0 MDS Allocation Assignment'!F150</f>
        <v>675.63423235467326</v>
      </c>
      <c r="G466" s="1358">
        <f>+$F466*$G$1939</f>
        <v>0</v>
      </c>
      <c r="H466" s="1358">
        <f>+$F466*$H$1939</f>
        <v>675.63423235467326</v>
      </c>
      <c r="I466" s="1323">
        <f t="shared" si="222"/>
        <v>1</v>
      </c>
      <c r="J466" s="1364">
        <f t="shared" si="223"/>
        <v>675.63423235467326</v>
      </c>
      <c r="K466" s="1364">
        <f t="shared" ref="K466:Q466" si="228">+$J466*K$1939</f>
        <v>492.9652083942658</v>
      </c>
      <c r="L466" s="1364">
        <f t="shared" si="228"/>
        <v>39.693482778618524</v>
      </c>
      <c r="M466" s="1364">
        <f t="shared" si="228"/>
        <v>140.53148285263663</v>
      </c>
      <c r="N466" s="1367">
        <f t="shared" si="228"/>
        <v>0</v>
      </c>
      <c r="O466" s="1367">
        <f t="shared" si="228"/>
        <v>0</v>
      </c>
      <c r="P466" s="1367">
        <f t="shared" si="228"/>
        <v>2.4440583291522997</v>
      </c>
      <c r="Q466" s="1364">
        <f t="shared" si="228"/>
        <v>0</v>
      </c>
      <c r="R466" s="1364"/>
      <c r="S466" s="1324">
        <v>106</v>
      </c>
      <c r="V466" s="1321" t="s">
        <v>5230</v>
      </c>
      <c r="W466" s="1321">
        <v>106</v>
      </c>
      <c r="Y466" s="1324"/>
    </row>
    <row r="467" spans="1:25">
      <c r="A467" s="1320" t="s">
        <v>4739</v>
      </c>
      <c r="B467" s="1320">
        <v>907</v>
      </c>
      <c r="C467" s="1434">
        <v>81</v>
      </c>
      <c r="D467" s="1358" t="s">
        <v>5242</v>
      </c>
      <c r="E467" s="1358" t="s">
        <v>4071</v>
      </c>
      <c r="F467" s="1358">
        <f>+'0 MDS Allocation Assignment'!F151</f>
        <v>801.25621121177198</v>
      </c>
      <c r="G467" s="1358">
        <f>+$F467*G2052</f>
        <v>0</v>
      </c>
      <c r="H467" s="1358">
        <f>+$F467*H2052</f>
        <v>801.25621121177198</v>
      </c>
      <c r="I467" s="1323">
        <f t="shared" si="222"/>
        <v>1</v>
      </c>
      <c r="J467" s="1364">
        <f t="shared" si="223"/>
        <v>801.25621121177198</v>
      </c>
      <c r="K467" s="1364">
        <f t="shared" ref="K467:Q467" si="229">+$J467*K2052</f>
        <v>295.38848775618135</v>
      </c>
      <c r="L467" s="1364">
        <f t="shared" si="229"/>
        <v>44.806549654571754</v>
      </c>
      <c r="M467" s="1364">
        <f t="shared" si="229"/>
        <v>21.601203672832348</v>
      </c>
      <c r="N467" s="1367">
        <f t="shared" si="229"/>
        <v>1.3925246486756766</v>
      </c>
      <c r="O467" s="1367">
        <f t="shared" si="229"/>
        <v>1.5193028472772352</v>
      </c>
      <c r="P467" s="1367">
        <f t="shared" si="229"/>
        <v>0.3486981341179371</v>
      </c>
      <c r="Q467" s="1364">
        <f t="shared" si="229"/>
        <v>436.19944449811578</v>
      </c>
      <c r="R467" s="1364"/>
      <c r="S467" s="1324">
        <v>907</v>
      </c>
      <c r="V467" s="1321" t="s">
        <v>5243</v>
      </c>
      <c r="W467" s="1321">
        <v>907</v>
      </c>
      <c r="Y467" s="1324"/>
    </row>
    <row r="468" spans="1:25">
      <c r="A468" s="1320" t="s">
        <v>4739</v>
      </c>
      <c r="B468" s="1324">
        <v>412</v>
      </c>
      <c r="C468" s="1439">
        <v>82</v>
      </c>
      <c r="D468" s="1364" t="s">
        <v>5244</v>
      </c>
      <c r="E468" s="1364" t="s">
        <v>4071</v>
      </c>
      <c r="F468" s="1358">
        <f>+'0 MDS Allocation Assignment'!F152</f>
        <v>1085.3202556628742</v>
      </c>
      <c r="G468" s="1366">
        <f>+$F468*G2018</f>
        <v>0</v>
      </c>
      <c r="H468" s="1366">
        <f>+$F468*H2018</f>
        <v>1085.3202556628742</v>
      </c>
      <c r="I468" s="1323">
        <f t="shared" si="222"/>
        <v>1</v>
      </c>
      <c r="J468" s="1366">
        <f t="shared" si="223"/>
        <v>1085.3202556628742</v>
      </c>
      <c r="K468" s="1366">
        <f t="shared" ref="K468:Q468" si="230">+$J468*K2018</f>
        <v>967.98282559151016</v>
      </c>
      <c r="L468" s="1366">
        <f t="shared" si="230"/>
        <v>93.837220972441827</v>
      </c>
      <c r="M468" s="1366">
        <f t="shared" si="230"/>
        <v>23.111307823666802</v>
      </c>
      <c r="N468" s="1378">
        <f t="shared" si="230"/>
        <v>7.8031971086823596E-2</v>
      </c>
      <c r="O468" s="1378">
        <f t="shared" si="230"/>
        <v>1.3844381967017089E-2</v>
      </c>
      <c r="P468" s="1378">
        <f t="shared" si="230"/>
        <v>0.29702492220145754</v>
      </c>
      <c r="Q468" s="1366">
        <f t="shared" si="230"/>
        <v>0</v>
      </c>
      <c r="R468" s="1364"/>
      <c r="S468" s="1324">
        <v>412</v>
      </c>
      <c r="V468" s="1321" t="s">
        <v>5245</v>
      </c>
      <c r="W468" s="1321">
        <v>412</v>
      </c>
      <c r="Y468" s="1324"/>
    </row>
    <row r="469" spans="1:25" ht="11.25" customHeight="1">
      <c r="A469" s="1320" t="s">
        <v>4739</v>
      </c>
      <c r="C469" s="1434">
        <v>83</v>
      </c>
      <c r="D469" s="1358"/>
      <c r="E469" s="1358"/>
      <c r="F469" s="1376"/>
      <c r="G469" s="1358"/>
      <c r="H469" s="1358"/>
      <c r="I469" s="1379"/>
      <c r="J469" s="1364"/>
      <c r="K469" s="1364"/>
      <c r="L469" s="1364"/>
      <c r="M469" s="1364"/>
      <c r="N469" s="1367"/>
      <c r="O469" s="1367"/>
      <c r="P469" s="1367"/>
      <c r="Q469" s="1364"/>
      <c r="R469" s="1364"/>
      <c r="S469" s="1324"/>
      <c r="V469" s="1358"/>
    </row>
    <row r="470" spans="1:25">
      <c r="A470" s="1320" t="s">
        <v>4739</v>
      </c>
      <c r="C470" s="1434">
        <v>84</v>
      </c>
      <c r="D470" s="1358" t="s">
        <v>5436</v>
      </c>
      <c r="E470" s="1358"/>
      <c r="F470" s="1350">
        <f>+SUM(F461:F468)</f>
        <v>8247.7372099999993</v>
      </c>
      <c r="G470" s="1350">
        <f>SUM(G461:G468)</f>
        <v>50.034470603427408</v>
      </c>
      <c r="H470" s="1350">
        <f>SUM(H461:H468)</f>
        <v>8197.7027393965727</v>
      </c>
      <c r="I470" s="1323">
        <f>IF(F470=0,0,+H470/F470)</f>
        <v>0.99393355179372567</v>
      </c>
      <c r="J470" s="1366">
        <f t="shared" ref="J470:Q470" si="231">SUM(J461:J468)</f>
        <v>8197.7027393965727</v>
      </c>
      <c r="K470" s="1366">
        <f t="shared" si="231"/>
        <v>5070.6389597576481</v>
      </c>
      <c r="L470" s="1366">
        <f t="shared" si="231"/>
        <v>439.84764129170003</v>
      </c>
      <c r="M470" s="1366">
        <f t="shared" si="231"/>
        <v>1912.6534113535411</v>
      </c>
      <c r="N470" s="1378">
        <f t="shared" si="231"/>
        <v>211.73158948955162</v>
      </c>
      <c r="O470" s="1378">
        <f>SUM(O461:O468)</f>
        <v>106.50574050984737</v>
      </c>
      <c r="P470" s="1378">
        <f>SUM(P461:P468)</f>
        <v>20.125952496168534</v>
      </c>
      <c r="Q470" s="1366">
        <f t="shared" si="231"/>
        <v>436.19944449811578</v>
      </c>
      <c r="R470" s="1364"/>
      <c r="S470" s="1324"/>
      <c r="V470" s="1320" t="s">
        <v>5437</v>
      </c>
    </row>
    <row r="471" spans="1:25">
      <c r="A471" s="1320" t="s">
        <v>4739</v>
      </c>
      <c r="C471" s="1434">
        <v>85</v>
      </c>
      <c r="D471" s="1358"/>
      <c r="E471" s="1358"/>
      <c r="F471" s="1358"/>
      <c r="G471" s="1358"/>
      <c r="H471" s="1358"/>
      <c r="I471" s="1379"/>
      <c r="J471" s="1364"/>
      <c r="K471" s="1364"/>
      <c r="L471" s="1364"/>
      <c r="M471" s="1364"/>
      <c r="N471" s="1367"/>
      <c r="O471" s="1367"/>
      <c r="P471" s="1367"/>
      <c r="Q471" s="1364"/>
      <c r="R471" s="1364"/>
      <c r="S471" s="1324"/>
      <c r="Y471" s="1324"/>
    </row>
    <row r="472" spans="1:25">
      <c r="A472" s="1320" t="s">
        <v>4739</v>
      </c>
      <c r="C472" s="1434">
        <v>86</v>
      </c>
      <c r="D472" s="1437" t="s">
        <v>5438</v>
      </c>
      <c r="E472" s="1358"/>
      <c r="F472" s="1358"/>
      <c r="G472" s="1358"/>
      <c r="H472" s="1358"/>
      <c r="I472" s="1379"/>
      <c r="J472" s="1364"/>
      <c r="K472" s="1364"/>
      <c r="L472" s="1364"/>
      <c r="M472" s="1364"/>
      <c r="N472" s="1367"/>
      <c r="O472" s="1367"/>
      <c r="P472" s="1367"/>
      <c r="Q472" s="1364"/>
      <c r="R472" s="1364"/>
      <c r="S472" s="1324"/>
      <c r="Y472" s="1324"/>
    </row>
    <row r="473" spans="1:25">
      <c r="A473" s="1320" t="s">
        <v>4739</v>
      </c>
      <c r="B473" s="1320">
        <v>101</v>
      </c>
      <c r="C473" s="1434">
        <v>87</v>
      </c>
      <c r="D473" s="1358" t="s">
        <v>5265</v>
      </c>
      <c r="E473" s="1358" t="s">
        <v>4067</v>
      </c>
      <c r="F473" s="1358">
        <f>+'0 MDS Allocation Assignment'!F153</f>
        <v>428.13576</v>
      </c>
      <c r="G473" s="1358">
        <f>+$F473*G$1933</f>
        <v>0</v>
      </c>
      <c r="H473" s="1358">
        <f>+$F473*H$1933</f>
        <v>428.13576</v>
      </c>
      <c r="I473" s="1323">
        <f t="shared" ref="I473:I480" si="232">IF(F473=0,0,+H473/F473)</f>
        <v>1</v>
      </c>
      <c r="J473" s="1364">
        <f t="shared" ref="J473:J480" si="233">+H473</f>
        <v>428.13576</v>
      </c>
      <c r="K473" s="1324">
        <f t="shared" ref="K473:Q473" si="234">$J473*K$1951</f>
        <v>248.32432374327783</v>
      </c>
      <c r="L473" s="1324">
        <f t="shared" si="234"/>
        <v>20.484251971846799</v>
      </c>
      <c r="M473" s="1324">
        <f t="shared" si="234"/>
        <v>130.94553182112131</v>
      </c>
      <c r="N473" s="1324">
        <f t="shared" si="234"/>
        <v>16.346813428246797</v>
      </c>
      <c r="O473" s="1324">
        <f t="shared" si="234"/>
        <v>11.731293946279687</v>
      </c>
      <c r="P473" s="1324">
        <f t="shared" si="234"/>
        <v>0.30354508922759804</v>
      </c>
      <c r="Q473" s="1324">
        <f t="shared" si="234"/>
        <v>0</v>
      </c>
      <c r="R473" s="1324"/>
      <c r="S473" s="1324">
        <v>122</v>
      </c>
      <c r="V473" s="1321" t="s">
        <v>5227</v>
      </c>
      <c r="W473" s="1321">
        <v>122</v>
      </c>
      <c r="Y473" s="1324"/>
    </row>
    <row r="474" spans="1:25" s="1324" customFormat="1">
      <c r="A474" s="1320" t="s">
        <v>4739</v>
      </c>
      <c r="B474" s="1324">
        <v>201</v>
      </c>
      <c r="C474" s="1439">
        <v>88</v>
      </c>
      <c r="D474" s="1364" t="s">
        <v>5265</v>
      </c>
      <c r="E474" s="1364" t="s">
        <v>2067</v>
      </c>
      <c r="F474" s="1358">
        <f>+'0 MDS Allocation Assignment'!F154</f>
        <v>0</v>
      </c>
      <c r="G474" s="1364">
        <f>+$F474*G$1966</f>
        <v>0</v>
      </c>
      <c r="H474" s="1364">
        <f>+$F474*H$1966</f>
        <v>0</v>
      </c>
      <c r="I474" s="1374">
        <f t="shared" si="232"/>
        <v>0</v>
      </c>
      <c r="J474" s="1364">
        <f t="shared" si="233"/>
        <v>0</v>
      </c>
      <c r="K474" s="1364">
        <f t="shared" ref="K474:Q474" si="235">+$J474*K$1966</f>
        <v>0</v>
      </c>
      <c r="L474" s="1364">
        <f t="shared" si="235"/>
        <v>0</v>
      </c>
      <c r="M474" s="1364">
        <f t="shared" si="235"/>
        <v>0</v>
      </c>
      <c r="N474" s="1367">
        <f t="shared" si="235"/>
        <v>0</v>
      </c>
      <c r="O474" s="1367">
        <f t="shared" si="235"/>
        <v>0</v>
      </c>
      <c r="P474" s="1367">
        <f t="shared" si="235"/>
        <v>0</v>
      </c>
      <c r="Q474" s="1364">
        <f t="shared" si="235"/>
        <v>0</v>
      </c>
      <c r="R474" s="1364"/>
      <c r="S474" s="1324">
        <v>201</v>
      </c>
      <c r="V474" s="1321" t="s">
        <v>5235</v>
      </c>
      <c r="W474" s="1321">
        <v>201</v>
      </c>
    </row>
    <row r="475" spans="1:25">
      <c r="A475" s="1320" t="s">
        <v>4739</v>
      </c>
      <c r="B475" s="1320">
        <v>117</v>
      </c>
      <c r="C475" s="1434">
        <v>89</v>
      </c>
      <c r="D475" s="1358" t="s">
        <v>5268</v>
      </c>
      <c r="E475" s="1358" t="s">
        <v>4067</v>
      </c>
      <c r="F475" s="1358">
        <f>+'0 MDS Allocation Assignment'!F155</f>
        <v>0</v>
      </c>
      <c r="G475" s="1358">
        <f>+$F475*G$1942</f>
        <v>0</v>
      </c>
      <c r="H475" s="1358">
        <f>+$F475*H$1942</f>
        <v>0</v>
      </c>
      <c r="I475" s="1323">
        <f t="shared" si="232"/>
        <v>0</v>
      </c>
      <c r="J475" s="1364">
        <f t="shared" si="233"/>
        <v>0</v>
      </c>
      <c r="K475" s="1364">
        <f t="shared" ref="K475:Q476" si="236">+$J475*K$1945</f>
        <v>0</v>
      </c>
      <c r="L475" s="1364">
        <f t="shared" si="236"/>
        <v>0</v>
      </c>
      <c r="M475" s="1364">
        <f t="shared" si="236"/>
        <v>0</v>
      </c>
      <c r="N475" s="1367">
        <f t="shared" si="236"/>
        <v>0</v>
      </c>
      <c r="O475" s="1367">
        <f t="shared" si="236"/>
        <v>0</v>
      </c>
      <c r="P475" s="1367">
        <f t="shared" si="236"/>
        <v>0</v>
      </c>
      <c r="Q475" s="1364">
        <f t="shared" si="236"/>
        <v>0</v>
      </c>
      <c r="R475" s="1364"/>
      <c r="S475" s="1324">
        <v>117</v>
      </c>
      <c r="V475" s="1321" t="s">
        <v>5228</v>
      </c>
      <c r="W475" s="1321">
        <v>117</v>
      </c>
      <c r="Y475" s="1324"/>
    </row>
    <row r="476" spans="1:25">
      <c r="A476" s="1320" t="s">
        <v>4739</v>
      </c>
      <c r="B476" s="1320">
        <v>117</v>
      </c>
      <c r="C476" s="1434">
        <v>90</v>
      </c>
      <c r="D476" s="1358" t="s">
        <v>5239</v>
      </c>
      <c r="E476" s="1358" t="s">
        <v>4067</v>
      </c>
      <c r="F476" s="1358">
        <f>+'0 MDS Allocation Assignment'!F156</f>
        <v>0</v>
      </c>
      <c r="G476" s="1358">
        <f>+$F476*G$1942</f>
        <v>0</v>
      </c>
      <c r="H476" s="1358">
        <f>+$F476*H$1942</f>
        <v>0</v>
      </c>
      <c r="I476" s="1323">
        <f t="shared" si="232"/>
        <v>0</v>
      </c>
      <c r="J476" s="1364">
        <f t="shared" si="233"/>
        <v>0</v>
      </c>
      <c r="K476" s="1364">
        <f t="shared" si="236"/>
        <v>0</v>
      </c>
      <c r="L476" s="1364">
        <f t="shared" si="236"/>
        <v>0</v>
      </c>
      <c r="M476" s="1364">
        <f t="shared" si="236"/>
        <v>0</v>
      </c>
      <c r="N476" s="1367">
        <f t="shared" si="236"/>
        <v>0</v>
      </c>
      <c r="O476" s="1367">
        <f t="shared" si="236"/>
        <v>0</v>
      </c>
      <c r="P476" s="1367">
        <f t="shared" si="236"/>
        <v>0</v>
      </c>
      <c r="Q476" s="1364">
        <f t="shared" si="236"/>
        <v>0</v>
      </c>
      <c r="R476" s="1364"/>
      <c r="S476" s="1324">
        <v>117</v>
      </c>
      <c r="V476" s="1321" t="s">
        <v>5228</v>
      </c>
      <c r="W476" s="1321">
        <v>117</v>
      </c>
      <c r="Y476" s="1324"/>
    </row>
    <row r="477" spans="1:25">
      <c r="A477" s="1320" t="s">
        <v>4739</v>
      </c>
      <c r="B477" s="1320">
        <v>105</v>
      </c>
      <c r="C477" s="1434">
        <v>91</v>
      </c>
      <c r="D477" s="1358" t="s">
        <v>5240</v>
      </c>
      <c r="E477" s="1358" t="s">
        <v>4067</v>
      </c>
      <c r="F477" s="1358">
        <f>+'0 MDS Allocation Assignment'!F157</f>
        <v>0</v>
      </c>
      <c r="G477" s="1358">
        <f>+$F477*$G$1936</f>
        <v>0</v>
      </c>
      <c r="H477" s="1358">
        <f>+$F477*$H$1936</f>
        <v>0</v>
      </c>
      <c r="I477" s="1323">
        <f t="shared" si="232"/>
        <v>0</v>
      </c>
      <c r="J477" s="1364">
        <f t="shared" si="233"/>
        <v>0</v>
      </c>
      <c r="K477" s="1364">
        <f t="shared" ref="K477:Q477" si="237">+$J477*K$1936</f>
        <v>0</v>
      </c>
      <c r="L477" s="1364">
        <f t="shared" si="237"/>
        <v>0</v>
      </c>
      <c r="M477" s="1364">
        <f t="shared" si="237"/>
        <v>0</v>
      </c>
      <c r="N477" s="1367">
        <f t="shared" si="237"/>
        <v>0</v>
      </c>
      <c r="O477" s="1367">
        <f t="shared" si="237"/>
        <v>0</v>
      </c>
      <c r="P477" s="1367">
        <f t="shared" si="237"/>
        <v>0</v>
      </c>
      <c r="Q477" s="1364">
        <f t="shared" si="237"/>
        <v>0</v>
      </c>
      <c r="R477" s="1364"/>
      <c r="S477" s="1324">
        <v>105</v>
      </c>
      <c r="V477" s="1321" t="s">
        <v>5229</v>
      </c>
      <c r="W477" s="1321">
        <v>105</v>
      </c>
      <c r="Y477" s="1324"/>
    </row>
    <row r="478" spans="1:25">
      <c r="A478" s="1320" t="s">
        <v>4739</v>
      </c>
      <c r="B478" s="1320">
        <v>106</v>
      </c>
      <c r="C478" s="1434">
        <v>92</v>
      </c>
      <c r="D478" s="1358" t="s">
        <v>5241</v>
      </c>
      <c r="E478" s="1358" t="s">
        <v>4067</v>
      </c>
      <c r="F478" s="1358">
        <f>+'0 MDS Allocation Assignment'!F158</f>
        <v>0</v>
      </c>
      <c r="G478" s="1358">
        <f>+$F478*$G$1939</f>
        <v>0</v>
      </c>
      <c r="H478" s="1358">
        <f>+$F478*$H$1939</f>
        <v>0</v>
      </c>
      <c r="I478" s="1323">
        <f t="shared" si="232"/>
        <v>0</v>
      </c>
      <c r="J478" s="1364">
        <f t="shared" si="233"/>
        <v>0</v>
      </c>
      <c r="K478" s="1364">
        <f t="shared" ref="K478:Q478" si="238">+$J478*K$1939</f>
        <v>0</v>
      </c>
      <c r="L478" s="1364">
        <f t="shared" si="238"/>
        <v>0</v>
      </c>
      <c r="M478" s="1364">
        <f t="shared" si="238"/>
        <v>0</v>
      </c>
      <c r="N478" s="1367">
        <f t="shared" si="238"/>
        <v>0</v>
      </c>
      <c r="O478" s="1367">
        <f t="shared" si="238"/>
        <v>0</v>
      </c>
      <c r="P478" s="1367">
        <f t="shared" si="238"/>
        <v>0</v>
      </c>
      <c r="Q478" s="1364">
        <f t="shared" si="238"/>
        <v>0</v>
      </c>
      <c r="R478" s="1364"/>
      <c r="S478" s="1324">
        <v>106</v>
      </c>
      <c r="V478" s="1321" t="s">
        <v>5230</v>
      </c>
      <c r="W478" s="1321">
        <v>106</v>
      </c>
      <c r="Y478" s="1324"/>
    </row>
    <row r="479" spans="1:25">
      <c r="A479" s="1320" t="s">
        <v>4739</v>
      </c>
      <c r="B479" s="1320">
        <v>907</v>
      </c>
      <c r="C479" s="1434">
        <v>93</v>
      </c>
      <c r="D479" s="1358" t="s">
        <v>5242</v>
      </c>
      <c r="E479" s="1358" t="s">
        <v>4071</v>
      </c>
      <c r="F479" s="1358">
        <f>+'0 MDS Allocation Assignment'!F159</f>
        <v>0</v>
      </c>
      <c r="G479" s="1358">
        <f>+$F479*G2052</f>
        <v>0</v>
      </c>
      <c r="H479" s="1358">
        <f>+$F479*H2052</f>
        <v>0</v>
      </c>
      <c r="I479" s="1323">
        <f t="shared" si="232"/>
        <v>0</v>
      </c>
      <c r="J479" s="1364">
        <f t="shared" si="233"/>
        <v>0</v>
      </c>
      <c r="K479" s="1364">
        <f t="shared" ref="K479:Q479" si="239">+$J479*K2052</f>
        <v>0</v>
      </c>
      <c r="L479" s="1364">
        <f t="shared" si="239"/>
        <v>0</v>
      </c>
      <c r="M479" s="1364">
        <f t="shared" si="239"/>
        <v>0</v>
      </c>
      <c r="N479" s="1367">
        <f t="shared" si="239"/>
        <v>0</v>
      </c>
      <c r="O479" s="1367">
        <f t="shared" si="239"/>
        <v>0</v>
      </c>
      <c r="P479" s="1367">
        <f t="shared" si="239"/>
        <v>0</v>
      </c>
      <c r="Q479" s="1364">
        <f t="shared" si="239"/>
        <v>0</v>
      </c>
      <c r="R479" s="1364"/>
      <c r="S479" s="1324">
        <v>907</v>
      </c>
      <c r="V479" s="1321" t="s">
        <v>5243</v>
      </c>
      <c r="W479" s="1321">
        <v>907</v>
      </c>
    </row>
    <row r="480" spans="1:25">
      <c r="A480" s="1320" t="s">
        <v>4739</v>
      </c>
      <c r="B480" s="1324">
        <v>412</v>
      </c>
      <c r="C480" s="1439">
        <v>94</v>
      </c>
      <c r="D480" s="1364" t="s">
        <v>5244</v>
      </c>
      <c r="E480" s="1364" t="s">
        <v>4071</v>
      </c>
      <c r="F480" s="1350">
        <f>+'0 MDS Allocation Assignment'!F160</f>
        <v>0</v>
      </c>
      <c r="G480" s="1366">
        <f>+$F480*G2018</f>
        <v>0</v>
      </c>
      <c r="H480" s="1366">
        <f>+$F480*H2018</f>
        <v>0</v>
      </c>
      <c r="I480" s="1323">
        <f t="shared" si="232"/>
        <v>0</v>
      </c>
      <c r="J480" s="1366">
        <f t="shared" si="233"/>
        <v>0</v>
      </c>
      <c r="K480" s="1366">
        <f t="shared" ref="K480:Q480" si="240">+$J480*K2018</f>
        <v>0</v>
      </c>
      <c r="L480" s="1366">
        <f t="shared" si="240"/>
        <v>0</v>
      </c>
      <c r="M480" s="1366">
        <f t="shared" si="240"/>
        <v>0</v>
      </c>
      <c r="N480" s="1378">
        <f t="shared" si="240"/>
        <v>0</v>
      </c>
      <c r="O480" s="1378">
        <f t="shared" si="240"/>
        <v>0</v>
      </c>
      <c r="P480" s="1378">
        <f t="shared" si="240"/>
        <v>0</v>
      </c>
      <c r="Q480" s="1366">
        <f t="shared" si="240"/>
        <v>0</v>
      </c>
      <c r="R480" s="1364"/>
      <c r="S480" s="1324">
        <v>412</v>
      </c>
      <c r="V480" s="1321" t="s">
        <v>5245</v>
      </c>
      <c r="W480" s="1321">
        <v>412</v>
      </c>
    </row>
    <row r="481" spans="1:25" ht="14.25" customHeight="1">
      <c r="A481" s="1320" t="s">
        <v>4739</v>
      </c>
      <c r="C481" s="1434">
        <v>95</v>
      </c>
      <c r="D481" s="1358"/>
      <c r="E481" s="1358"/>
      <c r="F481" s="1358"/>
      <c r="G481" s="1358"/>
      <c r="H481" s="1358"/>
      <c r="I481" s="1379"/>
      <c r="J481" s="1364"/>
      <c r="K481" s="1364"/>
      <c r="L481" s="1364"/>
      <c r="M481" s="1364"/>
      <c r="N481" s="1367"/>
      <c r="O481" s="1367"/>
      <c r="P481" s="1367"/>
      <c r="Q481" s="1364"/>
      <c r="R481" s="1364"/>
      <c r="S481" s="1324"/>
      <c r="Y481" s="1324"/>
    </row>
    <row r="482" spans="1:25">
      <c r="A482" s="1320" t="s">
        <v>4739</v>
      </c>
      <c r="C482" s="1434">
        <v>96</v>
      </c>
      <c r="D482" s="1358" t="s">
        <v>5439</v>
      </c>
      <c r="E482" s="1358"/>
      <c r="F482" s="1350">
        <f>+SUM(F473:F480)</f>
        <v>428.13576</v>
      </c>
      <c r="G482" s="1350">
        <f>SUM(G473:G480)</f>
        <v>0</v>
      </c>
      <c r="H482" s="1350">
        <f>SUM(H473:H480)</f>
        <v>428.13576</v>
      </c>
      <c r="I482" s="1323">
        <f>IF(F482=0,0,+H482/F482)</f>
        <v>1</v>
      </c>
      <c r="J482" s="1366">
        <f>SUM(J473:J480)</f>
        <v>428.13576</v>
      </c>
      <c r="K482" s="1366">
        <f>SUM(K473:K480)</f>
        <v>248.32432374327783</v>
      </c>
      <c r="L482" s="1366">
        <f t="shared" ref="L482:Q482" si="241">SUM(L473:L480)</f>
        <v>20.484251971846799</v>
      </c>
      <c r="M482" s="1366">
        <f t="shared" si="241"/>
        <v>130.94553182112131</v>
      </c>
      <c r="N482" s="1378">
        <f t="shared" si="241"/>
        <v>16.346813428246797</v>
      </c>
      <c r="O482" s="1378">
        <f>SUM(O473:O480)</f>
        <v>11.731293946279687</v>
      </c>
      <c r="P482" s="1378">
        <f>SUM(P473:P480)</f>
        <v>0.30354508922759804</v>
      </c>
      <c r="Q482" s="1366">
        <f t="shared" si="241"/>
        <v>0</v>
      </c>
      <c r="R482" s="1364"/>
      <c r="S482" s="1324"/>
      <c r="V482" s="1320" t="s">
        <v>5440</v>
      </c>
      <c r="Y482" s="1324"/>
    </row>
    <row r="483" spans="1:25">
      <c r="A483" s="1320" t="s">
        <v>4739</v>
      </c>
      <c r="C483" s="1434">
        <v>97</v>
      </c>
      <c r="D483" s="1358"/>
      <c r="E483" s="1358"/>
      <c r="F483" s="1358"/>
      <c r="G483" s="1358"/>
      <c r="H483" s="1358"/>
      <c r="I483" s="1379"/>
      <c r="J483" s="1364"/>
      <c r="K483" s="1364"/>
      <c r="L483" s="1364"/>
      <c r="M483" s="1364"/>
      <c r="N483" s="1367"/>
      <c r="O483" s="1367"/>
      <c r="P483" s="1367"/>
      <c r="Q483" s="1364"/>
      <c r="R483" s="1364"/>
      <c r="S483" s="1324"/>
      <c r="Y483" s="1324"/>
    </row>
    <row r="484" spans="1:25">
      <c r="A484" s="1320" t="s">
        <v>4739</v>
      </c>
      <c r="C484" s="1434">
        <v>98</v>
      </c>
      <c r="D484" s="1437" t="s">
        <v>5441</v>
      </c>
      <c r="E484" s="1358"/>
      <c r="F484" s="1358"/>
      <c r="G484" s="1358"/>
      <c r="H484" s="1358"/>
      <c r="I484" s="1379"/>
      <c r="J484" s="1364"/>
      <c r="K484" s="1364"/>
      <c r="L484" s="1364"/>
      <c r="M484" s="1364"/>
      <c r="N484" s="1367"/>
      <c r="O484" s="1367"/>
      <c r="P484" s="1367"/>
      <c r="Q484" s="1364"/>
      <c r="R484" s="1364"/>
      <c r="S484" s="1324"/>
      <c r="Y484" s="1324"/>
    </row>
    <row r="485" spans="1:25">
      <c r="A485" s="1320" t="s">
        <v>4739</v>
      </c>
      <c r="B485" s="1320">
        <v>101</v>
      </c>
      <c r="C485" s="1434">
        <v>99</v>
      </c>
      <c r="D485" s="1358" t="s">
        <v>5265</v>
      </c>
      <c r="E485" s="1358" t="s">
        <v>4067</v>
      </c>
      <c r="F485" s="1358">
        <f>+'0 MDS Allocation Assignment'!F161</f>
        <v>22181.809150527879</v>
      </c>
      <c r="G485" s="1358">
        <f>+$F485*G$1933</f>
        <v>0</v>
      </c>
      <c r="H485" s="1358">
        <f>+$F485*H$1933</f>
        <v>22181.809150527879</v>
      </c>
      <c r="I485" s="1323">
        <f t="shared" ref="I485:I493" si="242">IF(F485=0,0,+H485/F485)</f>
        <v>1</v>
      </c>
      <c r="J485" s="1364">
        <f t="shared" ref="J485:J493" si="243">+H485</f>
        <v>22181.809150527879</v>
      </c>
      <c r="K485" s="1324">
        <f t="shared" ref="K485:Q485" si="244">$J485*K$1951</f>
        <v>12865.738560841748</v>
      </c>
      <c r="L485" s="1324">
        <f t="shared" si="244"/>
        <v>1061.2936602885732</v>
      </c>
      <c r="M485" s="1324">
        <f t="shared" si="244"/>
        <v>6784.3171894132083</v>
      </c>
      <c r="N485" s="1324">
        <f t="shared" si="244"/>
        <v>846.93204717273977</v>
      </c>
      <c r="O485" s="1324">
        <f t="shared" si="244"/>
        <v>607.80095408316049</v>
      </c>
      <c r="P485" s="1324">
        <f t="shared" si="244"/>
        <v>15.726738728450375</v>
      </c>
      <c r="Q485" s="1324">
        <f t="shared" si="244"/>
        <v>0</v>
      </c>
      <c r="R485" s="1324"/>
      <c r="S485" s="1324">
        <v>122</v>
      </c>
      <c r="V485" s="1321" t="s">
        <v>5227</v>
      </c>
      <c r="W485" s="1321">
        <v>122</v>
      </c>
      <c r="Y485" s="1324"/>
    </row>
    <row r="486" spans="1:25" s="1324" customFormat="1">
      <c r="A486" s="1324" t="s">
        <v>4739</v>
      </c>
      <c r="B486" s="1324">
        <v>101</v>
      </c>
      <c r="C486" s="1439">
        <v>100</v>
      </c>
      <c r="D486" s="1364" t="s">
        <v>5358</v>
      </c>
      <c r="E486" s="1364" t="s">
        <v>4067</v>
      </c>
      <c r="F486" s="1358">
        <f>+'0 MDS Allocation Assignment'!F162</f>
        <v>152.46288000000001</v>
      </c>
      <c r="G486" s="1364">
        <f>+$F486*G$1933</f>
        <v>0</v>
      </c>
      <c r="H486" s="1364">
        <f>+$F486*H$1933</f>
        <v>152.46288000000001</v>
      </c>
      <c r="I486" s="1374">
        <f>IF(F486=0,0,+H486/F486)</f>
        <v>1</v>
      </c>
      <c r="J486" s="1364">
        <f>+H486</f>
        <v>152.46288000000001</v>
      </c>
      <c r="K486" s="1324">
        <f t="shared" ref="K486:Q486" si="245">$J486*K$1948</f>
        <v>88.430458534817376</v>
      </c>
      <c r="L486" s="1324">
        <f t="shared" si="245"/>
        <v>7.2946208704300766</v>
      </c>
      <c r="M486" s="1324">
        <f t="shared" si="245"/>
        <v>46.630846497334865</v>
      </c>
      <c r="N486" s="1324">
        <f t="shared" si="245"/>
        <v>5.8212429022354497</v>
      </c>
      <c r="O486" s="1324">
        <f t="shared" si="245"/>
        <v>4.1776161402083449</v>
      </c>
      <c r="P486" s="1324">
        <f t="shared" si="245"/>
        <v>0.10809505497390962</v>
      </c>
      <c r="Q486" s="1324">
        <f t="shared" si="245"/>
        <v>0</v>
      </c>
      <c r="S486" s="1324">
        <v>121</v>
      </c>
      <c r="V486" s="1326" t="s">
        <v>5287</v>
      </c>
      <c r="W486" s="1326">
        <v>121</v>
      </c>
    </row>
    <row r="487" spans="1:25" s="1324" customFormat="1">
      <c r="A487" s="1324" t="s">
        <v>4739</v>
      </c>
      <c r="B487" s="1324">
        <v>201</v>
      </c>
      <c r="C487" s="1439">
        <v>101</v>
      </c>
      <c r="D487" s="1364" t="s">
        <v>5265</v>
      </c>
      <c r="E487" s="1364" t="s">
        <v>2067</v>
      </c>
      <c r="F487" s="1358">
        <f>+'0 MDS Allocation Assignment'!F163</f>
        <v>5896.3829723099661</v>
      </c>
      <c r="G487" s="1364">
        <f>+$F487*G$1966</f>
        <v>0</v>
      </c>
      <c r="H487" s="1364">
        <f>+$F487*H$1966</f>
        <v>5896.3829723099661</v>
      </c>
      <c r="I487" s="1374">
        <f t="shared" si="242"/>
        <v>1</v>
      </c>
      <c r="J487" s="1364">
        <f t="shared" si="243"/>
        <v>5896.3829723099661</v>
      </c>
      <c r="K487" s="1364">
        <f t="shared" ref="K487:Q487" si="246">+$J487*K$1966</f>
        <v>2975.5164169738773</v>
      </c>
      <c r="L487" s="1364">
        <f t="shared" si="246"/>
        <v>274.97254924603823</v>
      </c>
      <c r="M487" s="1364">
        <f t="shared" si="246"/>
        <v>2048.4386890242045</v>
      </c>
      <c r="N487" s="1367">
        <f t="shared" si="246"/>
        <v>326.07850293447262</v>
      </c>
      <c r="O487" s="1367">
        <f t="shared" si="246"/>
        <v>240.22590183412711</v>
      </c>
      <c r="P487" s="1367">
        <f t="shared" si="246"/>
        <v>31.150912297246016</v>
      </c>
      <c r="Q487" s="1364">
        <f t="shared" si="246"/>
        <v>0</v>
      </c>
      <c r="R487" s="1364"/>
      <c r="S487" s="1324">
        <v>201</v>
      </c>
      <c r="V487" s="1326" t="s">
        <v>5235</v>
      </c>
      <c r="W487" s="1326">
        <v>201</v>
      </c>
    </row>
    <row r="488" spans="1:25" s="1324" customFormat="1">
      <c r="A488" s="1324" t="s">
        <v>4739</v>
      </c>
      <c r="B488" s="1324">
        <v>117</v>
      </c>
      <c r="C488" s="1439">
        <v>102</v>
      </c>
      <c r="D488" s="1364" t="s">
        <v>5268</v>
      </c>
      <c r="E488" s="1364" t="s">
        <v>4067</v>
      </c>
      <c r="F488" s="1358">
        <f>+'0 MDS Allocation Assignment'!F164</f>
        <v>946.39130178123651</v>
      </c>
      <c r="G488" s="1364">
        <f>+$F488*G$1942</f>
        <v>61.313716957653781</v>
      </c>
      <c r="H488" s="1364">
        <f>+$F488*H$1942</f>
        <v>885.0775848235827</v>
      </c>
      <c r="I488" s="1374">
        <f t="shared" si="242"/>
        <v>0.93521314403222733</v>
      </c>
      <c r="J488" s="1364">
        <f t="shared" si="243"/>
        <v>885.0775848235827</v>
      </c>
      <c r="K488" s="1364">
        <f t="shared" ref="K488:Q489" si="247">+$J488*K$1945</f>
        <v>513.35654071888268</v>
      </c>
      <c r="L488" s="1364">
        <f t="shared" si="247"/>
        <v>42.346736610274924</v>
      </c>
      <c r="M488" s="1364">
        <f t="shared" si="247"/>
        <v>270.70141267264768</v>
      </c>
      <c r="N488" s="1367">
        <f t="shared" si="247"/>
        <v>33.793482115659728</v>
      </c>
      <c r="O488" s="1367">
        <f t="shared" si="247"/>
        <v>24.251899240625779</v>
      </c>
      <c r="P488" s="1367">
        <f t="shared" si="247"/>
        <v>0.62751346549193032</v>
      </c>
      <c r="Q488" s="1364">
        <f t="shared" si="247"/>
        <v>0</v>
      </c>
      <c r="R488" s="1364"/>
      <c r="S488" s="1324">
        <v>117</v>
      </c>
      <c r="V488" s="1326" t="s">
        <v>5228</v>
      </c>
      <c r="W488" s="1326">
        <v>117</v>
      </c>
    </row>
    <row r="489" spans="1:25" s="1324" customFormat="1">
      <c r="A489" s="1324" t="s">
        <v>4739</v>
      </c>
      <c r="B489" s="1324">
        <v>117</v>
      </c>
      <c r="C489" s="1439">
        <v>103</v>
      </c>
      <c r="D489" s="1364" t="s">
        <v>5239</v>
      </c>
      <c r="E489" s="1364" t="s">
        <v>4067</v>
      </c>
      <c r="F489" s="1358">
        <f>+'0 MDS Allocation Assignment'!F165</f>
        <v>2660.8104217250198</v>
      </c>
      <c r="G489" s="1364">
        <f>+$F489*G$1942</f>
        <v>172.38554154984712</v>
      </c>
      <c r="H489" s="1364">
        <f>+$F489*H$1942</f>
        <v>2488.4248801751723</v>
      </c>
      <c r="I489" s="1374">
        <f t="shared" si="242"/>
        <v>0.93521314403222733</v>
      </c>
      <c r="J489" s="1364">
        <f t="shared" si="243"/>
        <v>2488.4248801751723</v>
      </c>
      <c r="K489" s="1364">
        <f t="shared" si="247"/>
        <v>1443.3188798698966</v>
      </c>
      <c r="L489" s="1364">
        <f t="shared" si="247"/>
        <v>119.0592494738606</v>
      </c>
      <c r="M489" s="1364">
        <f t="shared" si="247"/>
        <v>761.08596799166685</v>
      </c>
      <c r="N489" s="1367">
        <f t="shared" si="247"/>
        <v>95.011491790433325</v>
      </c>
      <c r="O489" s="1367">
        <f t="shared" si="247"/>
        <v>68.185016202736136</v>
      </c>
      <c r="P489" s="1367">
        <f t="shared" si="247"/>
        <v>1.764274846578916</v>
      </c>
      <c r="Q489" s="1364">
        <f t="shared" si="247"/>
        <v>0</v>
      </c>
      <c r="R489" s="1364"/>
      <c r="S489" s="1324">
        <v>117</v>
      </c>
      <c r="V489" s="1326" t="s">
        <v>5228</v>
      </c>
      <c r="W489" s="1326">
        <v>117</v>
      </c>
    </row>
    <row r="490" spans="1:25" s="1324" customFormat="1">
      <c r="A490" s="1324" t="s">
        <v>4739</v>
      </c>
      <c r="B490" s="1324">
        <v>105</v>
      </c>
      <c r="C490" s="1439">
        <v>104</v>
      </c>
      <c r="D490" s="1364" t="s">
        <v>5240</v>
      </c>
      <c r="E490" s="1364" t="s">
        <v>4067</v>
      </c>
      <c r="F490" s="1358">
        <f>+'0 MDS Allocation Assignment'!F166</f>
        <v>13067.149153677907</v>
      </c>
      <c r="G490" s="1364">
        <f>+$F490*G$1936</f>
        <v>0</v>
      </c>
      <c r="H490" s="1364">
        <f>+$F490*H$1936</f>
        <v>13067.149153677907</v>
      </c>
      <c r="I490" s="1374">
        <f t="shared" si="242"/>
        <v>1</v>
      </c>
      <c r="J490" s="1364">
        <f t="shared" si="243"/>
        <v>13067.149153677907</v>
      </c>
      <c r="K490" s="1364">
        <f t="shared" ref="K490:Q490" si="248">+$J490*K$1936</f>
        <v>8133.2028654473252</v>
      </c>
      <c r="L490" s="1364">
        <f t="shared" si="248"/>
        <v>578.453786346382</v>
      </c>
      <c r="M490" s="1364">
        <f t="shared" si="248"/>
        <v>3873.1092710356811</v>
      </c>
      <c r="N490" s="1367">
        <f t="shared" si="248"/>
        <v>407.37322222941975</v>
      </c>
      <c r="O490" s="1367">
        <f t="shared" si="248"/>
        <v>2.7814650004086229E-4</v>
      </c>
      <c r="P490" s="1367">
        <f t="shared" si="248"/>
        <v>75.009730472601447</v>
      </c>
      <c r="Q490" s="1364">
        <f t="shared" si="248"/>
        <v>0</v>
      </c>
      <c r="R490" s="1364"/>
      <c r="S490" s="1324">
        <v>105</v>
      </c>
      <c r="V490" s="1326" t="s">
        <v>5229</v>
      </c>
      <c r="W490" s="1326">
        <v>105</v>
      </c>
    </row>
    <row r="491" spans="1:25" s="1324" customFormat="1">
      <c r="A491" s="1324" t="s">
        <v>4739</v>
      </c>
      <c r="B491" s="1324">
        <v>106</v>
      </c>
      <c r="C491" s="1439">
        <v>105</v>
      </c>
      <c r="D491" s="1364" t="s">
        <v>5241</v>
      </c>
      <c r="E491" s="1364" t="s">
        <v>4067</v>
      </c>
      <c r="F491" s="1358">
        <f>+'0 MDS Allocation Assignment'!F167</f>
        <v>2254.1795375205065</v>
      </c>
      <c r="G491" s="1364">
        <f>+$F491*$G$1939</f>
        <v>0</v>
      </c>
      <c r="H491" s="1364">
        <f>+$F491*$H$1939</f>
        <v>2254.1795375205065</v>
      </c>
      <c r="I491" s="1374">
        <f t="shared" si="242"/>
        <v>1</v>
      </c>
      <c r="J491" s="1364">
        <f t="shared" si="243"/>
        <v>2254.1795375205065</v>
      </c>
      <c r="K491" s="1364">
        <f t="shared" ref="K491:Q491" si="249">+$J491*K$1939</f>
        <v>1644.7243675014774</v>
      </c>
      <c r="L491" s="1364">
        <f t="shared" si="249"/>
        <v>132.43295316853346</v>
      </c>
      <c r="M491" s="1364">
        <f t="shared" si="249"/>
        <v>468.8678842097695</v>
      </c>
      <c r="N491" s="1367">
        <f t="shared" si="249"/>
        <v>0</v>
      </c>
      <c r="O491" s="1367">
        <f t="shared" si="249"/>
        <v>0</v>
      </c>
      <c r="P491" s="1367">
        <f t="shared" si="249"/>
        <v>8.1543326407261567</v>
      </c>
      <c r="Q491" s="1364">
        <f t="shared" si="249"/>
        <v>0</v>
      </c>
      <c r="R491" s="1364"/>
      <c r="S491" s="1324">
        <v>106</v>
      </c>
      <c r="V491" s="1326" t="s">
        <v>5230</v>
      </c>
      <c r="W491" s="1326">
        <v>106</v>
      </c>
    </row>
    <row r="492" spans="1:25" s="1324" customFormat="1">
      <c r="A492" s="1324" t="s">
        <v>4739</v>
      </c>
      <c r="B492" s="1324">
        <v>907</v>
      </c>
      <c r="C492" s="1439">
        <v>106</v>
      </c>
      <c r="D492" s="1364" t="s">
        <v>5242</v>
      </c>
      <c r="E492" s="1364" t="s">
        <v>4071</v>
      </c>
      <c r="F492" s="1358">
        <f>+'0 MDS Allocation Assignment'!F168</f>
        <v>8376.1851528362458</v>
      </c>
      <c r="G492" s="1364">
        <f>+$F492*G$2052</f>
        <v>0</v>
      </c>
      <c r="H492" s="1364">
        <f>+$F492*H$2052</f>
        <v>8376.1851528362458</v>
      </c>
      <c r="I492" s="1374">
        <f t="shared" si="242"/>
        <v>1</v>
      </c>
      <c r="J492" s="1364">
        <f t="shared" si="243"/>
        <v>8376.1851528362458</v>
      </c>
      <c r="K492" s="1364">
        <f t="shared" ref="K492:Q492" si="250">+$J492*K$2052</f>
        <v>3087.9369555465933</v>
      </c>
      <c r="L492" s="1364">
        <f t="shared" si="250"/>
        <v>468.39943418204598</v>
      </c>
      <c r="M492" s="1364">
        <f t="shared" si="250"/>
        <v>225.81501267133243</v>
      </c>
      <c r="N492" s="1367">
        <f t="shared" si="250"/>
        <v>14.557196716835067</v>
      </c>
      <c r="O492" s="1367">
        <f t="shared" si="250"/>
        <v>15.882512701872759</v>
      </c>
      <c r="P492" s="1367">
        <f t="shared" si="250"/>
        <v>3.6452261997484969</v>
      </c>
      <c r="Q492" s="1364">
        <f t="shared" si="250"/>
        <v>4559.9488148178189</v>
      </c>
      <c r="R492" s="1364"/>
      <c r="S492" s="1324">
        <v>907</v>
      </c>
      <c r="V492" s="1326" t="s">
        <v>5243</v>
      </c>
      <c r="W492" s="1326">
        <v>907</v>
      </c>
    </row>
    <row r="493" spans="1:25" s="1324" customFormat="1">
      <c r="A493" s="1324" t="s">
        <v>4739</v>
      </c>
      <c r="B493" s="1324">
        <v>412</v>
      </c>
      <c r="C493" s="1439">
        <v>107</v>
      </c>
      <c r="D493" s="1364" t="s">
        <v>5244</v>
      </c>
      <c r="E493" s="1364" t="s">
        <v>4071</v>
      </c>
      <c r="F493" s="1358">
        <f>+'0 MDS Allocation Assignment'!F169</f>
        <v>11345.738459621245</v>
      </c>
      <c r="G493" s="1366">
        <f>+$F493*G$2018</f>
        <v>0</v>
      </c>
      <c r="H493" s="1366">
        <f>+$F493*H$2018</f>
        <v>11345.738459621245</v>
      </c>
      <c r="I493" s="1374">
        <f t="shared" si="242"/>
        <v>1</v>
      </c>
      <c r="J493" s="1366">
        <f t="shared" si="243"/>
        <v>11345.738459621245</v>
      </c>
      <c r="K493" s="1366">
        <f t="shared" ref="K493:Q493" si="251">+$J493*K$2018</f>
        <v>10119.114533487391</v>
      </c>
      <c r="L493" s="1366">
        <f t="shared" si="251"/>
        <v>980.95705979499985</v>
      </c>
      <c r="M493" s="1366">
        <f t="shared" si="251"/>
        <v>241.6013638914078</v>
      </c>
      <c r="N493" s="1378">
        <f t="shared" si="251"/>
        <v>0.81573188265900354</v>
      </c>
      <c r="O493" s="1378">
        <f t="shared" si="251"/>
        <v>0.14472662434272646</v>
      </c>
      <c r="P493" s="1378">
        <f t="shared" si="251"/>
        <v>3.1050439404439492</v>
      </c>
      <c r="Q493" s="1366">
        <f t="shared" si="251"/>
        <v>0</v>
      </c>
      <c r="R493" s="1364"/>
      <c r="S493" s="1324">
        <v>412</v>
      </c>
      <c r="V493" s="1326" t="s">
        <v>5245</v>
      </c>
      <c r="W493" s="1326">
        <v>412</v>
      </c>
    </row>
    <row r="494" spans="1:25" s="1324" customFormat="1" ht="12" customHeight="1">
      <c r="A494" s="1324" t="s">
        <v>4739</v>
      </c>
      <c r="C494" s="1439">
        <v>108</v>
      </c>
      <c r="D494" s="1364"/>
      <c r="E494" s="1364"/>
      <c r="F494" s="1375"/>
      <c r="G494" s="1364"/>
      <c r="H494" s="1364"/>
      <c r="I494" s="1440"/>
      <c r="J494" s="1364"/>
      <c r="K494" s="1364"/>
      <c r="L494" s="1364"/>
      <c r="M494" s="1364"/>
      <c r="N494" s="1367"/>
      <c r="O494" s="1367"/>
      <c r="P494" s="1367"/>
      <c r="Q494" s="1364"/>
      <c r="R494" s="1364"/>
    </row>
    <row r="495" spans="1:25" s="1324" customFormat="1">
      <c r="A495" s="1324" t="s">
        <v>4739</v>
      </c>
      <c r="C495" s="1439">
        <v>109</v>
      </c>
      <c r="D495" s="1364" t="s">
        <v>5442</v>
      </c>
      <c r="E495" s="1364"/>
      <c r="F495" s="1366">
        <f>+SUM(F485:F493)</f>
        <v>66881.109030000007</v>
      </c>
      <c r="G495" s="1366">
        <f>SUM(G485:G493)</f>
        <v>233.6992585075009</v>
      </c>
      <c r="H495" s="1366">
        <f>SUM(H485:H493)</f>
        <v>66647.409771492501</v>
      </c>
      <c r="I495" s="1374">
        <f>IF(F495=0,0,+H495/F495)</f>
        <v>0.99650575084808057</v>
      </c>
      <c r="J495" s="1366">
        <f t="shared" ref="J495:Q495" si="252">SUM(J485:J493)</f>
        <v>66647.409771492501</v>
      </c>
      <c r="K495" s="1366">
        <f t="shared" si="252"/>
        <v>40871.339578922009</v>
      </c>
      <c r="L495" s="1366">
        <f t="shared" si="252"/>
        <v>3665.2100499811377</v>
      </c>
      <c r="M495" s="1366">
        <f t="shared" si="252"/>
        <v>14720.567637407252</v>
      </c>
      <c r="N495" s="1378">
        <f t="shared" si="252"/>
        <v>1730.382917744455</v>
      </c>
      <c r="O495" s="1378">
        <f>SUM(O485:O493)</f>
        <v>960.66890497357338</v>
      </c>
      <c r="P495" s="1378">
        <f>SUM(P485:P493)</f>
        <v>139.29186764626118</v>
      </c>
      <c r="Q495" s="1366">
        <f t="shared" si="252"/>
        <v>4559.9488148178189</v>
      </c>
      <c r="R495" s="1364"/>
      <c r="V495" s="1324" t="s">
        <v>5443</v>
      </c>
    </row>
    <row r="496" spans="1:25" s="1324" customFormat="1">
      <c r="A496" s="1324" t="s">
        <v>4739</v>
      </c>
      <c r="C496" s="1439">
        <v>110</v>
      </c>
      <c r="D496" s="1364"/>
      <c r="E496" s="1364"/>
      <c r="F496" s="1364"/>
      <c r="G496" s="1364"/>
      <c r="H496" s="1364"/>
      <c r="I496" s="1440"/>
      <c r="J496" s="1364"/>
      <c r="K496" s="1364"/>
      <c r="N496" s="1325"/>
      <c r="O496" s="1325"/>
      <c r="P496" s="1325"/>
    </row>
    <row r="497" spans="1:27" s="1324" customFormat="1">
      <c r="A497" s="1324" t="s">
        <v>4739</v>
      </c>
      <c r="C497" s="1439">
        <v>111</v>
      </c>
      <c r="D497" s="1362" t="s">
        <v>5444</v>
      </c>
      <c r="E497" s="1364"/>
      <c r="F497" s="1364"/>
      <c r="G497" s="1364"/>
      <c r="H497" s="1364"/>
      <c r="I497" s="1440"/>
      <c r="J497" s="1364"/>
      <c r="K497" s="1364"/>
      <c r="N497" s="1325"/>
      <c r="O497" s="1325"/>
      <c r="P497" s="1325"/>
    </row>
    <row r="498" spans="1:27" s="1324" customFormat="1">
      <c r="A498" s="1324" t="s">
        <v>4739</v>
      </c>
      <c r="C498" s="1439">
        <v>112</v>
      </c>
      <c r="D498" s="1364" t="s">
        <v>5265</v>
      </c>
      <c r="E498" s="1364" t="s">
        <v>4067</v>
      </c>
      <c r="F498" s="1364">
        <f>+F434+F461+F473+F485+F486</f>
        <v>290551.79552865884</v>
      </c>
      <c r="G498" s="1364">
        <f>+G434+G461+G473+G485+G486</f>
        <v>0</v>
      </c>
      <c r="H498" s="1364">
        <f>+H434+H461+H473+H485+H486</f>
        <v>290551.79552865884</v>
      </c>
      <c r="I498" s="1374">
        <f t="shared" ref="I498:I505" si="253">IF(F498=0,0,+H498/F498)</f>
        <v>1</v>
      </c>
      <c r="J498" s="1364">
        <f>+J434+J461+J473+J485+J486</f>
        <v>290551.79552865884</v>
      </c>
      <c r="K498" s="1364">
        <f t="shared" ref="K498:Q498" si="254">+K434+K461+K473+K485+K486</f>
        <v>168523.83023798189</v>
      </c>
      <c r="L498" s="1364">
        <f t="shared" si="254"/>
        <v>13901.516169734479</v>
      </c>
      <c r="M498" s="1364">
        <f t="shared" si="254"/>
        <v>88865.408923286246</v>
      </c>
      <c r="N498" s="1364">
        <f t="shared" si="254"/>
        <v>11093.668028919376</v>
      </c>
      <c r="O498" s="1364">
        <f t="shared" si="254"/>
        <v>7961.3730933525603</v>
      </c>
      <c r="P498" s="1364">
        <f t="shared" si="254"/>
        <v>205.99907538437245</v>
      </c>
      <c r="Q498" s="1364">
        <f t="shared" si="254"/>
        <v>0</v>
      </c>
      <c r="R498" s="1364"/>
      <c r="V498" s="1324" t="s">
        <v>5445</v>
      </c>
    </row>
    <row r="499" spans="1:27">
      <c r="A499" s="1320" t="s">
        <v>4739</v>
      </c>
      <c r="C499" s="1434">
        <v>113</v>
      </c>
      <c r="D499" s="1358" t="s">
        <v>5265</v>
      </c>
      <c r="E499" s="1358" t="s">
        <v>2067</v>
      </c>
      <c r="F499" s="1358">
        <f t="shared" ref="F499:H505" si="255">+F435+F462+F474+F487</f>
        <v>30632.200099340615</v>
      </c>
      <c r="G499" s="1358">
        <f t="shared" si="255"/>
        <v>0</v>
      </c>
      <c r="H499" s="1358">
        <f t="shared" si="255"/>
        <v>30632.200099340615</v>
      </c>
      <c r="I499" s="1323">
        <f t="shared" si="253"/>
        <v>1</v>
      </c>
      <c r="J499" s="1364">
        <f t="shared" ref="J499:Q505" si="256">+J435+J462+J474+J487</f>
        <v>30632.200099340615</v>
      </c>
      <c r="K499" s="1364">
        <f t="shared" si="256"/>
        <v>15458.055338611979</v>
      </c>
      <c r="L499" s="1364">
        <f t="shared" si="256"/>
        <v>1428.5052700758743</v>
      </c>
      <c r="M499" s="1364">
        <f t="shared" si="256"/>
        <v>10641.809412328281</v>
      </c>
      <c r="N499" s="1367">
        <f t="shared" si="256"/>
        <v>1694.0049513217248</v>
      </c>
      <c r="O499" s="1367">
        <f t="shared" si="256"/>
        <v>1247.9935459729331</v>
      </c>
      <c r="P499" s="1367">
        <f t="shared" si="256"/>
        <v>161.83158102982321</v>
      </c>
      <c r="Q499" s="1364">
        <f t="shared" si="256"/>
        <v>0</v>
      </c>
      <c r="R499" s="1358"/>
      <c r="V499" s="1320" t="s">
        <v>5446</v>
      </c>
      <c r="Y499" s="1324"/>
    </row>
    <row r="500" spans="1:27">
      <c r="A500" s="1320" t="s">
        <v>4739</v>
      </c>
      <c r="C500" s="1434">
        <v>114</v>
      </c>
      <c r="D500" s="1358" t="s">
        <v>5268</v>
      </c>
      <c r="E500" s="1358" t="s">
        <v>4067</v>
      </c>
      <c r="F500" s="1358">
        <f t="shared" si="255"/>
        <v>15709.633517949591</v>
      </c>
      <c r="G500" s="1358">
        <f t="shared" si="255"/>
        <v>1017.7777640338929</v>
      </c>
      <c r="H500" s="1358">
        <f t="shared" si="255"/>
        <v>14691.855753915697</v>
      </c>
      <c r="I500" s="1323">
        <f t="shared" si="253"/>
        <v>0.93521314403222733</v>
      </c>
      <c r="J500" s="1364">
        <f t="shared" si="256"/>
        <v>14691.855753915697</v>
      </c>
      <c r="K500" s="1364">
        <f t="shared" si="256"/>
        <v>8521.4679208877606</v>
      </c>
      <c r="L500" s="1364">
        <f t="shared" si="256"/>
        <v>702.9351512175399</v>
      </c>
      <c r="M500" s="1364">
        <f t="shared" si="256"/>
        <v>4493.5112758058149</v>
      </c>
      <c r="N500" s="1367">
        <f t="shared" si="256"/>
        <v>560.95530287863369</v>
      </c>
      <c r="O500" s="1367">
        <f t="shared" si="256"/>
        <v>402.56968599288598</v>
      </c>
      <c r="P500" s="1367">
        <f t="shared" si="256"/>
        <v>10.416417133063913</v>
      </c>
      <c r="Q500" s="1364">
        <f t="shared" si="256"/>
        <v>0</v>
      </c>
      <c r="R500" s="1358"/>
      <c r="V500" s="1320" t="s">
        <v>5447</v>
      </c>
      <c r="Z500" s="1324"/>
      <c r="AA500" s="1324"/>
    </row>
    <row r="501" spans="1:27">
      <c r="A501" s="1320" t="s">
        <v>4739</v>
      </c>
      <c r="C501" s="1434">
        <v>115</v>
      </c>
      <c r="D501" s="1358" t="s">
        <v>5239</v>
      </c>
      <c r="E501" s="1358" t="s">
        <v>4067</v>
      </c>
      <c r="F501" s="1358">
        <f t="shared" si="255"/>
        <v>16596.304009286247</v>
      </c>
      <c r="G501" s="1358">
        <f t="shared" si="255"/>
        <v>1075.2223574469951</v>
      </c>
      <c r="H501" s="1358">
        <f t="shared" si="255"/>
        <v>15521.081651839251</v>
      </c>
      <c r="I501" s="1323">
        <f t="shared" si="253"/>
        <v>0.93521314403222733</v>
      </c>
      <c r="J501" s="1364">
        <f t="shared" si="256"/>
        <v>15521.081651839251</v>
      </c>
      <c r="K501" s="1364">
        <f t="shared" si="256"/>
        <v>9002.4297548917184</v>
      </c>
      <c r="L501" s="1364">
        <f t="shared" si="256"/>
        <v>742.60965127482791</v>
      </c>
      <c r="M501" s="1364">
        <f t="shared" si="256"/>
        <v>4747.1304226938173</v>
      </c>
      <c r="N501" s="1367">
        <f t="shared" si="256"/>
        <v>592.61629060651421</v>
      </c>
      <c r="O501" s="1367">
        <f t="shared" si="256"/>
        <v>425.29120020699622</v>
      </c>
      <c r="P501" s="1367">
        <f t="shared" si="256"/>
        <v>11.004332165377591</v>
      </c>
      <c r="Q501" s="1364">
        <f t="shared" si="256"/>
        <v>0</v>
      </c>
      <c r="R501" s="1358"/>
      <c r="V501" s="1320" t="s">
        <v>5448</v>
      </c>
    </row>
    <row r="502" spans="1:27">
      <c r="A502" s="1320" t="s">
        <v>4739</v>
      </c>
      <c r="C502" s="1439">
        <v>116</v>
      </c>
      <c r="D502" s="1364" t="s">
        <v>5240</v>
      </c>
      <c r="E502" s="1364" t="s">
        <v>4067</v>
      </c>
      <c r="F502" s="1364">
        <f t="shared" si="255"/>
        <v>76341.16310059707</v>
      </c>
      <c r="G502" s="1364">
        <f t="shared" si="255"/>
        <v>0</v>
      </c>
      <c r="H502" s="1364">
        <f t="shared" si="255"/>
        <v>76341.16310059707</v>
      </c>
      <c r="I502" s="1323">
        <f t="shared" si="253"/>
        <v>1</v>
      </c>
      <c r="J502" s="1364">
        <f t="shared" si="256"/>
        <v>76341.16310059707</v>
      </c>
      <c r="K502" s="1364">
        <f t="shared" si="256"/>
        <v>47515.962294392157</v>
      </c>
      <c r="L502" s="1364">
        <f t="shared" si="256"/>
        <v>3379.4544112322901</v>
      </c>
      <c r="M502" s="1364">
        <f t="shared" si="256"/>
        <v>22627.557326331393</v>
      </c>
      <c r="N502" s="1367">
        <f t="shared" si="256"/>
        <v>2379.9640790262674</v>
      </c>
      <c r="O502" s="1367">
        <f t="shared" si="256"/>
        <v>1.6249931087304634E-3</v>
      </c>
      <c r="P502" s="1367">
        <f t="shared" si="256"/>
        <v>438.22336462188076</v>
      </c>
      <c r="Q502" s="1364">
        <f t="shared" si="256"/>
        <v>0</v>
      </c>
      <c r="R502" s="1358"/>
      <c r="V502" s="1324" t="s">
        <v>5449</v>
      </c>
      <c r="Y502" s="1324"/>
    </row>
    <row r="503" spans="1:27">
      <c r="A503" s="1320" t="s">
        <v>4739</v>
      </c>
      <c r="C503" s="1439">
        <v>117</v>
      </c>
      <c r="D503" s="1364" t="s">
        <v>5241</v>
      </c>
      <c r="E503" s="1364" t="s">
        <v>4067</v>
      </c>
      <c r="F503" s="1364">
        <f t="shared" si="255"/>
        <v>43854.63708184228</v>
      </c>
      <c r="G503" s="1364">
        <f t="shared" si="255"/>
        <v>0</v>
      </c>
      <c r="H503" s="1364">
        <f t="shared" si="255"/>
        <v>43854.63708184228</v>
      </c>
      <c r="I503" s="1323">
        <f t="shared" si="253"/>
        <v>1</v>
      </c>
      <c r="J503" s="1364">
        <f t="shared" si="256"/>
        <v>43854.63708184228</v>
      </c>
      <c r="K503" s="1364">
        <f t="shared" si="256"/>
        <v>31997.801876854155</v>
      </c>
      <c r="L503" s="1364">
        <f t="shared" si="256"/>
        <v>2576.4580869503243</v>
      </c>
      <c r="M503" s="1364">
        <f t="shared" si="256"/>
        <v>9121.7361168879997</v>
      </c>
      <c r="N503" s="1367">
        <f t="shared" si="256"/>
        <v>0</v>
      </c>
      <c r="O503" s="1367">
        <f t="shared" si="256"/>
        <v>0</v>
      </c>
      <c r="P503" s="1367">
        <f t="shared" si="256"/>
        <v>158.64100114980889</v>
      </c>
      <c r="Q503" s="1364">
        <f t="shared" si="256"/>
        <v>0</v>
      </c>
      <c r="R503" s="1358"/>
      <c r="V503" s="1324" t="s">
        <v>5450</v>
      </c>
      <c r="Y503" s="1324"/>
    </row>
    <row r="504" spans="1:27">
      <c r="A504" s="1320" t="s">
        <v>4739</v>
      </c>
      <c r="C504" s="1439">
        <v>118</v>
      </c>
      <c r="D504" s="1364" t="s">
        <v>5242</v>
      </c>
      <c r="E504" s="1364" t="s">
        <v>4071</v>
      </c>
      <c r="F504" s="1364">
        <f t="shared" si="255"/>
        <v>47757.415820776761</v>
      </c>
      <c r="G504" s="1364">
        <f t="shared" si="255"/>
        <v>0</v>
      </c>
      <c r="H504" s="1364">
        <f t="shared" si="255"/>
        <v>47757.415820776761</v>
      </c>
      <c r="I504" s="1323">
        <f t="shared" si="253"/>
        <v>1</v>
      </c>
      <c r="J504" s="1364">
        <f t="shared" si="256"/>
        <v>47757.415820776761</v>
      </c>
      <c r="K504" s="1364">
        <f t="shared" si="256"/>
        <v>19058.030035910961</v>
      </c>
      <c r="L504" s="1364">
        <f t="shared" si="256"/>
        <v>3755.5686858919635</v>
      </c>
      <c r="M504" s="1364">
        <f t="shared" si="256"/>
        <v>2174.023732577497</v>
      </c>
      <c r="N504" s="1367">
        <f t="shared" si="256"/>
        <v>164.27153031826174</v>
      </c>
      <c r="O504" s="1367">
        <f t="shared" si="256"/>
        <v>179.22713538785715</v>
      </c>
      <c r="P504" s="1367">
        <f t="shared" si="256"/>
        <v>36.659734645543473</v>
      </c>
      <c r="Q504" s="1364">
        <f t="shared" si="256"/>
        <v>22389.634966044672</v>
      </c>
      <c r="R504" s="1358"/>
      <c r="V504" s="1324" t="s">
        <v>5451</v>
      </c>
      <c r="Y504" s="1324"/>
    </row>
    <row r="505" spans="1:27">
      <c r="A505" s="1320" t="s">
        <v>4739</v>
      </c>
      <c r="C505" s="1434">
        <v>119</v>
      </c>
      <c r="D505" s="1358" t="s">
        <v>5244</v>
      </c>
      <c r="E505" s="1358" t="s">
        <v>4071</v>
      </c>
      <c r="F505" s="1350">
        <f t="shared" si="255"/>
        <v>12431.05871528412</v>
      </c>
      <c r="G505" s="1350">
        <f t="shared" si="255"/>
        <v>0</v>
      </c>
      <c r="H505" s="1350">
        <f t="shared" si="255"/>
        <v>12431.05871528412</v>
      </c>
      <c r="I505" s="1323">
        <f t="shared" si="253"/>
        <v>1</v>
      </c>
      <c r="J505" s="1366">
        <f t="shared" si="256"/>
        <v>12431.05871528412</v>
      </c>
      <c r="K505" s="1366">
        <f t="shared" si="256"/>
        <v>11087.097359078902</v>
      </c>
      <c r="L505" s="1366">
        <f t="shared" si="256"/>
        <v>1074.7942807674417</v>
      </c>
      <c r="M505" s="1366">
        <f t="shared" si="256"/>
        <v>264.71267171507458</v>
      </c>
      <c r="N505" s="1378">
        <f t="shared" si="256"/>
        <v>0.89376385374582712</v>
      </c>
      <c r="O505" s="1378">
        <f t="shared" si="256"/>
        <v>0.15857100630974355</v>
      </c>
      <c r="P505" s="1378">
        <f t="shared" si="256"/>
        <v>3.4020688626454065</v>
      </c>
      <c r="Q505" s="1366">
        <f t="shared" si="256"/>
        <v>0</v>
      </c>
      <c r="R505" s="1358"/>
      <c r="V505" s="1320" t="s">
        <v>5452</v>
      </c>
      <c r="Y505" s="1324"/>
    </row>
    <row r="506" spans="1:27">
      <c r="A506" s="1320" t="s">
        <v>4739</v>
      </c>
      <c r="C506" s="1434">
        <v>120</v>
      </c>
      <c r="D506" s="1358"/>
      <c r="E506" s="1358"/>
      <c r="F506" s="1358"/>
      <c r="G506" s="1358"/>
      <c r="H506" s="1358"/>
      <c r="I506" s="1379"/>
      <c r="J506" s="1364"/>
      <c r="K506" s="1364"/>
      <c r="L506" s="1364"/>
      <c r="M506" s="1364"/>
      <c r="N506" s="1367"/>
      <c r="O506" s="1367"/>
      <c r="P506" s="1367"/>
      <c r="Q506" s="1364"/>
      <c r="R506" s="1358"/>
      <c r="Y506" s="1324"/>
    </row>
    <row r="507" spans="1:27" ht="14.4" thickBot="1">
      <c r="A507" s="1320" t="s">
        <v>4739</v>
      </c>
      <c r="C507" s="1434">
        <v>121</v>
      </c>
      <c r="D507" s="1320" t="s">
        <v>5453</v>
      </c>
      <c r="E507" s="1358"/>
      <c r="F507" s="1423">
        <f>SUM(F498:F505)</f>
        <v>533874.20787373558</v>
      </c>
      <c r="G507" s="1423">
        <f>SUM(G498:G505)</f>
        <v>2093.0001214808881</v>
      </c>
      <c r="H507" s="1423">
        <f>SUM(H498:H505)</f>
        <v>531781.20775225468</v>
      </c>
      <c r="I507" s="1323">
        <f>IF(F507=0,0,+H507/F507)</f>
        <v>0.99607960060513745</v>
      </c>
      <c r="J507" s="1380">
        <f t="shared" ref="J507:Q507" si="257">SUM(J498:J505)</f>
        <v>531781.20775225468</v>
      </c>
      <c r="K507" s="1380">
        <f t="shared" si="257"/>
        <v>311164.67481860949</v>
      </c>
      <c r="L507" s="1380">
        <f t="shared" si="257"/>
        <v>27561.84170714474</v>
      </c>
      <c r="M507" s="1380">
        <f t="shared" si="257"/>
        <v>142935.88988162612</v>
      </c>
      <c r="N507" s="1424">
        <f t="shared" si="257"/>
        <v>16486.373946924527</v>
      </c>
      <c r="O507" s="1424">
        <f>SUM(O498:O505)</f>
        <v>10216.614856912653</v>
      </c>
      <c r="P507" s="1424">
        <f>SUM(P498:P505)</f>
        <v>1026.1775749925157</v>
      </c>
      <c r="Q507" s="1380">
        <f t="shared" si="257"/>
        <v>22389.634966044672</v>
      </c>
      <c r="R507" s="1358"/>
      <c r="V507" s="1320" t="s">
        <v>5454</v>
      </c>
      <c r="Y507" s="1324"/>
    </row>
    <row r="508" spans="1:27" ht="14.4" thickTop="1">
      <c r="G508" s="1320"/>
      <c r="Y508" s="1324"/>
    </row>
    <row r="509" spans="1:27">
      <c r="G509" s="1320"/>
      <c r="Y509" s="1324"/>
    </row>
    <row r="510" spans="1:27">
      <c r="G510" s="1320"/>
    </row>
    <row r="511" spans="1:27">
      <c r="G511" s="1320"/>
    </row>
    <row r="512" spans="1:27">
      <c r="G512" s="1320"/>
    </row>
    <row r="513" spans="1:25">
      <c r="B513" s="1432"/>
      <c r="C513" s="1340" t="str">
        <f>+C$2</f>
        <v>RATES WITH REVENUE DEFICIENCY ADDITION</v>
      </c>
      <c r="F513" s="1333"/>
      <c r="G513" s="1327" t="s">
        <v>2173</v>
      </c>
      <c r="I513" s="1334" t="s">
        <v>5433</v>
      </c>
      <c r="L513" s="1329" t="s">
        <v>2173</v>
      </c>
      <c r="M513" s="1330"/>
      <c r="N513" s="1330"/>
      <c r="O513" s="1330"/>
      <c r="S513" s="1334" t="s">
        <v>5455</v>
      </c>
      <c r="T513" s="1333" t="s">
        <v>2173</v>
      </c>
      <c r="U513" s="1334"/>
      <c r="V513" s="1332" t="s">
        <v>4772</v>
      </c>
      <c r="Y513" s="1324"/>
    </row>
    <row r="514" spans="1:25">
      <c r="B514" s="1432"/>
      <c r="C514" s="1340" t="str">
        <f>+C$3</f>
        <v>PROD. CAP. ALLOC. METHOD: 12 CP &amp; 1/13th AD</v>
      </c>
      <c r="D514" s="1358"/>
      <c r="G514" s="1336" t="s">
        <v>4768</v>
      </c>
      <c r="I514" s="1335" t="s">
        <v>5434</v>
      </c>
      <c r="L514" s="1336" t="s">
        <v>5141</v>
      </c>
      <c r="M514" s="1337"/>
      <c r="N514" s="1337"/>
      <c r="O514" s="1337"/>
      <c r="R514" s="1331"/>
      <c r="S514" s="1335" t="s">
        <v>2629</v>
      </c>
      <c r="T514" s="1333" t="s">
        <v>5141</v>
      </c>
      <c r="V514" s="1332" t="s">
        <v>5455</v>
      </c>
      <c r="Y514" s="1324"/>
    </row>
    <row r="515" spans="1:25">
      <c r="B515" s="1321"/>
      <c r="C515" s="1340" t="str">
        <f>+C$4</f>
        <v>PROJECTED CALENDAR YEAR 2025; FULLY ADJUSTED DATA</v>
      </c>
      <c r="G515" s="1336" t="s">
        <v>2181</v>
      </c>
      <c r="L515" s="1336" t="s">
        <v>2181</v>
      </c>
      <c r="T515" s="1339"/>
      <c r="Y515" s="1324"/>
    </row>
    <row r="516" spans="1:25">
      <c r="B516" s="1321"/>
      <c r="C516" s="1340" t="str">
        <f>+C$5</f>
        <v>MINIMUM DISTRIBUTION SYSTEM (MDS) NOT EMPLOYED</v>
      </c>
      <c r="G516" s="1320"/>
      <c r="L516" s="1336"/>
      <c r="M516" s="1337"/>
      <c r="N516" s="1337"/>
      <c r="O516" s="1337"/>
      <c r="T516" s="1333"/>
      <c r="Y516" s="1324"/>
    </row>
    <row r="517" spans="1:25">
      <c r="B517" s="1321"/>
      <c r="C517" s="1340" t="str">
        <f>+C$6</f>
        <v>Tampa Electric 2025 OB Budget</v>
      </c>
      <c r="F517" s="1327"/>
      <c r="G517" s="1333" t="s">
        <v>5456</v>
      </c>
      <c r="L517" s="1336" t="s">
        <v>5456</v>
      </c>
      <c r="M517" s="1337"/>
      <c r="N517" s="1337"/>
      <c r="O517" s="1337"/>
      <c r="T517" s="1333" t="s">
        <v>5456</v>
      </c>
      <c r="Y517" s="1324"/>
    </row>
    <row r="518" spans="1:25">
      <c r="B518" s="1321"/>
      <c r="F518" s="1333"/>
      <c r="G518" s="1320"/>
      <c r="L518" s="1336"/>
      <c r="M518" s="1337"/>
      <c r="N518" s="1337"/>
      <c r="O518" s="1337"/>
      <c r="Y518" s="1324"/>
    </row>
    <row r="519" spans="1:25">
      <c r="B519" s="1321"/>
      <c r="F519" s="1333"/>
      <c r="G519" s="1320"/>
      <c r="L519" s="1336"/>
      <c r="M519" s="1337"/>
      <c r="N519" s="1337"/>
      <c r="O519" s="1337"/>
      <c r="Y519" s="1324"/>
    </row>
    <row r="520" spans="1:25">
      <c r="G520" s="1320"/>
      <c r="Y520" s="1324"/>
    </row>
    <row r="521" spans="1:25">
      <c r="G521" s="1320"/>
    </row>
    <row r="522" spans="1:25" ht="30" customHeight="1">
      <c r="A522" s="1418" t="s">
        <v>4683</v>
      </c>
      <c r="B522" s="1425" t="s">
        <v>5143</v>
      </c>
      <c r="C522" s="1349" t="s">
        <v>4297</v>
      </c>
      <c r="D522" s="1418"/>
      <c r="E522" s="1418"/>
      <c r="F522" s="1348" t="s">
        <v>5144</v>
      </c>
      <c r="G522" s="1348" t="s">
        <v>4956</v>
      </c>
      <c r="H522" s="1348" t="s">
        <v>4957</v>
      </c>
      <c r="I522" s="1426" t="s">
        <v>5145</v>
      </c>
      <c r="J522" s="1352" t="s">
        <v>4957</v>
      </c>
      <c r="K522" s="1353" t="s">
        <v>1949</v>
      </c>
      <c r="L522" s="1353" t="s">
        <v>1950</v>
      </c>
      <c r="M522" s="1354" t="s">
        <v>1934</v>
      </c>
      <c r="N522" s="1354" t="s">
        <v>1971</v>
      </c>
      <c r="O522" s="1354" t="s">
        <v>1972</v>
      </c>
      <c r="P522" s="1352" t="s">
        <v>5146</v>
      </c>
      <c r="Q522" s="1352" t="s">
        <v>5147</v>
      </c>
      <c r="R522" s="1355"/>
      <c r="S522" s="1348" t="s">
        <v>5299</v>
      </c>
      <c r="T522" s="1348"/>
      <c r="U522" s="1352"/>
      <c r="V522" s="1355" t="s">
        <v>4774</v>
      </c>
    </row>
    <row r="523" spans="1:25">
      <c r="G523" s="1320"/>
      <c r="Y523" s="1324"/>
    </row>
    <row r="524" spans="1:25">
      <c r="A524" s="1320" t="s">
        <v>4871</v>
      </c>
      <c r="B524" s="1321"/>
      <c r="C524" s="1322">
        <v>1</v>
      </c>
      <c r="D524" s="1356" t="s">
        <v>5457</v>
      </c>
      <c r="G524" s="1320"/>
      <c r="S524" s="1321"/>
      <c r="T524" s="1321"/>
      <c r="U524" s="1326"/>
      <c r="Y524" s="1324"/>
    </row>
    <row r="525" spans="1:25">
      <c r="A525" s="1320" t="s">
        <v>4871</v>
      </c>
      <c r="B525" s="1320">
        <v>101</v>
      </c>
      <c r="C525" s="1322">
        <v>2</v>
      </c>
      <c r="D525" s="1320" t="s">
        <v>5265</v>
      </c>
      <c r="E525" s="1320" t="s">
        <v>4067</v>
      </c>
      <c r="F525" s="1320">
        <f>+'0 MDS Allocation Assignment'!F186</f>
        <v>5463.9974238223331</v>
      </c>
      <c r="G525" s="1358">
        <f>+$F525*G$1933</f>
        <v>0</v>
      </c>
      <c r="H525" s="1358">
        <f>+$F525*H$1933</f>
        <v>5463.9974238223331</v>
      </c>
      <c r="I525" s="1323">
        <f t="shared" ref="I525:I534" si="258">IF(F525=0,0,+H525/F525)</f>
        <v>1</v>
      </c>
      <c r="J525" s="1364">
        <f t="shared" ref="J525:J533" si="259">+H525</f>
        <v>5463.9974238223331</v>
      </c>
      <c r="K525" s="1324">
        <f t="shared" ref="K525:Q525" si="260">$J525*K$1951</f>
        <v>3169.1897570193464</v>
      </c>
      <c r="L525" s="1324">
        <f t="shared" si="260"/>
        <v>261.42618874699571</v>
      </c>
      <c r="M525" s="1324">
        <f t="shared" si="260"/>
        <v>1671.1662873749488</v>
      </c>
      <c r="N525" s="1324">
        <f t="shared" si="260"/>
        <v>208.62295282142472</v>
      </c>
      <c r="O525" s="1324">
        <f t="shared" si="260"/>
        <v>149.71830407386372</v>
      </c>
      <c r="P525" s="1324">
        <f t="shared" si="260"/>
        <v>3.8739337857541165</v>
      </c>
      <c r="Q525" s="1324">
        <f t="shared" si="260"/>
        <v>0</v>
      </c>
      <c r="R525" s="1324"/>
      <c r="S525" s="1324">
        <v>122</v>
      </c>
      <c r="V525" s="1321" t="s">
        <v>5227</v>
      </c>
      <c r="W525" s="1321">
        <v>122</v>
      </c>
      <c r="Y525" s="1324"/>
    </row>
    <row r="526" spans="1:25" s="1324" customFormat="1">
      <c r="A526" s="1324" t="s">
        <v>4871</v>
      </c>
      <c r="B526" s="1324">
        <v>101</v>
      </c>
      <c r="C526" s="1393">
        <v>3</v>
      </c>
      <c r="D526" s="1324" t="s">
        <v>5458</v>
      </c>
      <c r="E526" s="1324" t="s">
        <v>4067</v>
      </c>
      <c r="F526" s="1320">
        <f>+'0 MDS Allocation Assignment'!F187</f>
        <v>0</v>
      </c>
      <c r="G526" s="1364">
        <f>+$F526*G$1933</f>
        <v>0</v>
      </c>
      <c r="H526" s="1364">
        <f>+$F526*H$1933</f>
        <v>0</v>
      </c>
      <c r="I526" s="1374">
        <f>IF(F526=0,0,+H526/F526)</f>
        <v>0</v>
      </c>
      <c r="J526" s="1364">
        <f>+H526</f>
        <v>0</v>
      </c>
      <c r="K526" s="1324">
        <f t="shared" ref="K526:Q526" si="261">$J526*K$1948</f>
        <v>0</v>
      </c>
      <c r="L526" s="1324">
        <f t="shared" si="261"/>
        <v>0</v>
      </c>
      <c r="M526" s="1324">
        <f t="shared" si="261"/>
        <v>0</v>
      </c>
      <c r="N526" s="1324">
        <f t="shared" si="261"/>
        <v>0</v>
      </c>
      <c r="O526" s="1324">
        <f t="shared" si="261"/>
        <v>0</v>
      </c>
      <c r="P526" s="1324">
        <f t="shared" si="261"/>
        <v>0</v>
      </c>
      <c r="Q526" s="1324">
        <f t="shared" si="261"/>
        <v>0</v>
      </c>
      <c r="S526" s="1324">
        <v>121</v>
      </c>
      <c r="V526" s="1326" t="s">
        <v>5287</v>
      </c>
      <c r="W526" s="1326">
        <v>121</v>
      </c>
    </row>
    <row r="527" spans="1:25">
      <c r="A527" s="1320" t="s">
        <v>4871</v>
      </c>
      <c r="B527" s="1320">
        <v>201</v>
      </c>
      <c r="C527" s="1322">
        <v>4</v>
      </c>
      <c r="D527" s="1320" t="s">
        <v>5265</v>
      </c>
      <c r="E527" s="1320" t="s">
        <v>2067</v>
      </c>
      <c r="F527" s="1320">
        <f>+'0 MDS Allocation Assignment'!F188</f>
        <v>1442.5283853681995</v>
      </c>
      <c r="G527" s="1358">
        <f>+$F527*G$1966</f>
        <v>0</v>
      </c>
      <c r="H527" s="1358">
        <f>+$F527*H$1966</f>
        <v>1442.5283853681995</v>
      </c>
      <c r="I527" s="1323">
        <f t="shared" si="258"/>
        <v>1</v>
      </c>
      <c r="J527" s="1364">
        <f t="shared" si="259"/>
        <v>1442.5283853681995</v>
      </c>
      <c r="K527" s="1364">
        <f t="shared" ref="K527:Q527" si="262">+$J527*K$1966</f>
        <v>727.94913640630773</v>
      </c>
      <c r="L527" s="1364">
        <f t="shared" si="262"/>
        <v>67.271021802213681</v>
      </c>
      <c r="M527" s="1364">
        <f t="shared" si="262"/>
        <v>501.14298350030913</v>
      </c>
      <c r="N527" s="1367">
        <f t="shared" si="262"/>
        <v>79.77390521448261</v>
      </c>
      <c r="O527" s="1367">
        <f t="shared" si="262"/>
        <v>58.770382440176775</v>
      </c>
      <c r="P527" s="1367">
        <f t="shared" si="262"/>
        <v>7.6209560047095337</v>
      </c>
      <c r="Q527" s="1364">
        <f t="shared" si="262"/>
        <v>0</v>
      </c>
      <c r="R527" s="1364"/>
      <c r="S527" s="1324">
        <v>201</v>
      </c>
      <c r="V527" s="1321" t="s">
        <v>5235</v>
      </c>
      <c r="W527" s="1321">
        <v>201</v>
      </c>
      <c r="Y527" s="1324"/>
    </row>
    <row r="528" spans="1:25">
      <c r="A528" s="1320" t="s">
        <v>4871</v>
      </c>
      <c r="B528" s="1320">
        <v>117</v>
      </c>
      <c r="C528" s="1322">
        <v>5</v>
      </c>
      <c r="D528" s="1320" t="s">
        <v>5268</v>
      </c>
      <c r="E528" s="1320" t="s">
        <v>4067</v>
      </c>
      <c r="F528" s="1320">
        <f>+'0 MDS Allocation Assignment'!F189</f>
        <v>231.53114763679716</v>
      </c>
      <c r="G528" s="1358">
        <f>+$F528*G$1942</f>
        <v>15.000175113998271</v>
      </c>
      <c r="H528" s="1358">
        <f>+$F528*H$1942</f>
        <v>216.53097252279886</v>
      </c>
      <c r="I528" s="1323">
        <f t="shared" si="258"/>
        <v>0.93521314403222733</v>
      </c>
      <c r="J528" s="1364">
        <f t="shared" si="259"/>
        <v>216.53097252279886</v>
      </c>
      <c r="K528" s="1364">
        <f t="shared" ref="K528:Q529" si="263">+$J528*K$1945</f>
        <v>125.59078765389349</v>
      </c>
      <c r="L528" s="1364">
        <f t="shared" si="263"/>
        <v>10.359973203046735</v>
      </c>
      <c r="M528" s="1364">
        <f t="shared" si="263"/>
        <v>66.226103964645461</v>
      </c>
      <c r="N528" s="1367">
        <f t="shared" si="263"/>
        <v>8.2674509815929103</v>
      </c>
      <c r="O528" s="1367">
        <f t="shared" si="263"/>
        <v>5.9331378606140337</v>
      </c>
      <c r="P528" s="1367">
        <f t="shared" si="263"/>
        <v>0.15351885900624501</v>
      </c>
      <c r="Q528" s="1364">
        <f t="shared" si="263"/>
        <v>0</v>
      </c>
      <c r="R528" s="1364"/>
      <c r="S528" s="1324">
        <v>117</v>
      </c>
      <c r="V528" s="1321" t="s">
        <v>5228</v>
      </c>
      <c r="W528" s="1321">
        <v>117</v>
      </c>
      <c r="Y528" s="1324"/>
    </row>
    <row r="529" spans="1:25">
      <c r="A529" s="1320" t="s">
        <v>4871</v>
      </c>
      <c r="B529" s="1320">
        <v>117</v>
      </c>
      <c r="C529" s="1322">
        <v>6</v>
      </c>
      <c r="D529" s="1320" t="s">
        <v>5239</v>
      </c>
      <c r="E529" s="1320" t="s">
        <v>4067</v>
      </c>
      <c r="F529" s="1320">
        <f>+'0 MDS Allocation Assignment'!F190</f>
        <v>650.95747332676751</v>
      </c>
      <c r="G529" s="1358">
        <f>+$F529*G$1942</f>
        <v>42.17348806556646</v>
      </c>
      <c r="H529" s="1358">
        <f>+$F529*H$1942</f>
        <v>608.783985261201</v>
      </c>
      <c r="I529" s="1323">
        <f t="shared" si="258"/>
        <v>0.93521314403222733</v>
      </c>
      <c r="J529" s="1364">
        <f t="shared" si="259"/>
        <v>608.783985261201</v>
      </c>
      <c r="K529" s="1364">
        <f t="shared" si="263"/>
        <v>353.102650069981</v>
      </c>
      <c r="L529" s="1364">
        <f t="shared" si="263"/>
        <v>29.127407041438236</v>
      </c>
      <c r="M529" s="1364">
        <f t="shared" si="263"/>
        <v>186.19687996678817</v>
      </c>
      <c r="N529" s="1367">
        <f t="shared" si="263"/>
        <v>23.244211661201579</v>
      </c>
      <c r="O529" s="1367">
        <f t="shared" si="263"/>
        <v>16.681213176135412</v>
      </c>
      <c r="P529" s="1367">
        <f t="shared" si="263"/>
        <v>0.43162334565662996</v>
      </c>
      <c r="Q529" s="1364">
        <f t="shared" si="263"/>
        <v>0</v>
      </c>
      <c r="R529" s="1364"/>
      <c r="S529" s="1324">
        <v>117</v>
      </c>
      <c r="V529" s="1321" t="s">
        <v>5228</v>
      </c>
      <c r="W529" s="1321">
        <v>117</v>
      </c>
      <c r="Y529" s="1324"/>
    </row>
    <row r="530" spans="1:25">
      <c r="A530" s="1320" t="s">
        <v>4871</v>
      </c>
      <c r="B530" s="1320">
        <v>105</v>
      </c>
      <c r="C530" s="1322">
        <v>7</v>
      </c>
      <c r="D530" s="1320" t="s">
        <v>5240</v>
      </c>
      <c r="E530" s="1320" t="s">
        <v>4067</v>
      </c>
      <c r="F530" s="1320">
        <f>+'0 MDS Allocation Assignment'!F191</f>
        <v>3196.8299309154031</v>
      </c>
      <c r="G530" s="1358">
        <f>+$F530*G$1936</f>
        <v>0</v>
      </c>
      <c r="H530" s="1358">
        <f>+$F530*H$1936</f>
        <v>3196.8299309154031</v>
      </c>
      <c r="I530" s="1323">
        <f t="shared" si="258"/>
        <v>1</v>
      </c>
      <c r="J530" s="1364">
        <f t="shared" si="259"/>
        <v>3196.8299309154031</v>
      </c>
      <c r="K530" s="1364">
        <f t="shared" ref="K530:Q530" si="264">+$J530*K$1936</f>
        <v>1989.758136888702</v>
      </c>
      <c r="L530" s="1364">
        <f t="shared" si="264"/>
        <v>141.51658912709149</v>
      </c>
      <c r="M530" s="1364">
        <f t="shared" si="264"/>
        <v>947.54192347057074</v>
      </c>
      <c r="N530" s="1367">
        <f t="shared" si="264"/>
        <v>99.662358985924044</v>
      </c>
      <c r="O530" s="1367">
        <f t="shared" si="264"/>
        <v>6.8047517178582032E-5</v>
      </c>
      <c r="P530" s="1367">
        <f t="shared" si="264"/>
        <v>18.350854395598351</v>
      </c>
      <c r="Q530" s="1364">
        <f t="shared" si="264"/>
        <v>0</v>
      </c>
      <c r="R530" s="1364"/>
      <c r="S530" s="1324">
        <v>105</v>
      </c>
      <c r="V530" s="1321" t="s">
        <v>5229</v>
      </c>
      <c r="W530" s="1321">
        <v>105</v>
      </c>
      <c r="Y530" s="1324"/>
    </row>
    <row r="531" spans="1:25">
      <c r="A531" s="1320" t="s">
        <v>4871</v>
      </c>
      <c r="B531" s="1320">
        <v>106</v>
      </c>
      <c r="C531" s="1322">
        <v>8</v>
      </c>
      <c r="D531" s="1320" t="s">
        <v>5241</v>
      </c>
      <c r="E531" s="1320" t="s">
        <v>4067</v>
      </c>
      <c r="F531" s="1320">
        <f>+'0 MDS Allocation Assignment'!F192</f>
        <v>551.47672460555907</v>
      </c>
      <c r="G531" s="1358">
        <f>+$F531*G$1939</f>
        <v>0</v>
      </c>
      <c r="H531" s="1358">
        <f>+$F531*H$1939</f>
        <v>551.47672460555907</v>
      </c>
      <c r="I531" s="1323">
        <f t="shared" si="258"/>
        <v>1</v>
      </c>
      <c r="J531" s="1364">
        <f t="shared" si="259"/>
        <v>551.47672460555907</v>
      </c>
      <c r="K531" s="1364">
        <f t="shared" ref="K531:Q531" si="265">+$J531*K$1939</f>
        <v>402.37576110124422</v>
      </c>
      <c r="L531" s="1364">
        <f t="shared" si="265"/>
        <v>32.399234412161299</v>
      </c>
      <c r="M531" s="1364">
        <f t="shared" si="265"/>
        <v>114.70680163353668</v>
      </c>
      <c r="N531" s="1367">
        <f t="shared" si="265"/>
        <v>0</v>
      </c>
      <c r="O531" s="1367">
        <f t="shared" si="265"/>
        <v>0</v>
      </c>
      <c r="P531" s="1367">
        <f t="shared" si="265"/>
        <v>1.9949274586168366</v>
      </c>
      <c r="Q531" s="1364">
        <f t="shared" si="265"/>
        <v>0</v>
      </c>
      <c r="R531" s="1364"/>
      <c r="S531" s="1324">
        <v>106</v>
      </c>
      <c r="V531" s="1321" t="s">
        <v>5230</v>
      </c>
      <c r="W531" s="1321">
        <v>106</v>
      </c>
      <c r="Y531" s="1324"/>
    </row>
    <row r="532" spans="1:25">
      <c r="A532" s="1320" t="s">
        <v>4871</v>
      </c>
      <c r="B532" s="1320">
        <v>907</v>
      </c>
      <c r="C532" s="1322">
        <v>9</v>
      </c>
      <c r="D532" s="1320" t="s">
        <v>5242</v>
      </c>
      <c r="E532" s="1320" t="s">
        <v>4071</v>
      </c>
      <c r="F532" s="1320">
        <f>+'0 MDS Allocation Assignment'!F193</f>
        <v>2049.2028589066304</v>
      </c>
      <c r="G532" s="1358">
        <f>+$F532*G$2052</f>
        <v>0</v>
      </c>
      <c r="H532" s="1358">
        <f>+$F532*H$2052</f>
        <v>2049.2028589066304</v>
      </c>
      <c r="I532" s="1323">
        <f t="shared" si="258"/>
        <v>1</v>
      </c>
      <c r="J532" s="1364">
        <f t="shared" si="259"/>
        <v>2049.2028589066304</v>
      </c>
      <c r="K532" s="1364">
        <f t="shared" ref="K532:Q532" si="266">+$J532*K$2052</f>
        <v>755.45240726762904</v>
      </c>
      <c r="L532" s="1364">
        <f t="shared" si="266"/>
        <v>114.59219705895411</v>
      </c>
      <c r="M532" s="1364">
        <f t="shared" si="266"/>
        <v>55.244811463300032</v>
      </c>
      <c r="N532" s="1367">
        <f t="shared" si="266"/>
        <v>3.5613645813098733</v>
      </c>
      <c r="O532" s="1367">
        <f t="shared" si="266"/>
        <v>3.8855982576122994</v>
      </c>
      <c r="P532" s="1367">
        <f t="shared" si="266"/>
        <v>0.89179116908090705</v>
      </c>
      <c r="Q532" s="1364">
        <f t="shared" si="266"/>
        <v>1115.5746891087442</v>
      </c>
      <c r="R532" s="1364"/>
      <c r="S532" s="1324">
        <v>907</v>
      </c>
      <c r="V532" s="1321" t="s">
        <v>5243</v>
      </c>
      <c r="W532" s="1321">
        <v>907</v>
      </c>
    </row>
    <row r="533" spans="1:25">
      <c r="A533" s="1320" t="s">
        <v>4871</v>
      </c>
      <c r="B533" s="1324">
        <v>412</v>
      </c>
      <c r="C533" s="1393">
        <v>10</v>
      </c>
      <c r="D533" s="1324" t="s">
        <v>5244</v>
      </c>
      <c r="E533" s="1324" t="s">
        <v>4071</v>
      </c>
      <c r="F533" s="1320">
        <f>+'0 MDS Allocation Assignment'!F194</f>
        <v>2775.6931423597071</v>
      </c>
      <c r="G533" s="1364">
        <f>+$F533*G$2018</f>
        <v>0</v>
      </c>
      <c r="H533" s="1364">
        <f>+$F533*H$2018</f>
        <v>2775.6931423597071</v>
      </c>
      <c r="I533" s="1323">
        <f t="shared" si="258"/>
        <v>1</v>
      </c>
      <c r="J533" s="1364">
        <f t="shared" si="259"/>
        <v>2775.6931423597071</v>
      </c>
      <c r="K533" s="1364">
        <f t="shared" ref="K533:Q533" si="267">+$J533*K$2018</f>
        <v>2475.6041149119742</v>
      </c>
      <c r="L533" s="1364">
        <f t="shared" si="267"/>
        <v>239.9875330735606</v>
      </c>
      <c r="M533" s="1364">
        <f t="shared" si="267"/>
        <v>59.106884168429865</v>
      </c>
      <c r="N533" s="1367">
        <f t="shared" si="267"/>
        <v>0.19956580179941466</v>
      </c>
      <c r="O533" s="1367">
        <f t="shared" si="267"/>
        <v>3.5406835803121955E-2</v>
      </c>
      <c r="P533" s="1367">
        <f t="shared" si="267"/>
        <v>0.7596375681397074</v>
      </c>
      <c r="Q533" s="1364">
        <f t="shared" si="267"/>
        <v>0</v>
      </c>
      <c r="R533" s="1364"/>
      <c r="S533" s="1324">
        <v>412</v>
      </c>
      <c r="V533" s="1321" t="s">
        <v>5245</v>
      </c>
      <c r="W533" s="1321">
        <v>412</v>
      </c>
    </row>
    <row r="534" spans="1:25">
      <c r="A534" s="1320" t="s">
        <v>4871</v>
      </c>
      <c r="B534" s="1321"/>
      <c r="C534" s="1322">
        <v>11</v>
      </c>
      <c r="D534" s="1320" t="s">
        <v>5459</v>
      </c>
      <c r="F534" s="1427">
        <f>+SUM(F525:F533)</f>
        <v>16362.217086941397</v>
      </c>
      <c r="G534" s="1427">
        <f>SUM(G525:G533)</f>
        <v>57.173663179564727</v>
      </c>
      <c r="H534" s="1427">
        <f>SUM(H525:H533)</f>
        <v>16305.043423761832</v>
      </c>
      <c r="I534" s="1323">
        <f t="shared" si="258"/>
        <v>0.99650575084808068</v>
      </c>
      <c r="J534" s="1421">
        <f t="shared" ref="J534:Q534" si="268">SUM(J525:J533)</f>
        <v>16305.043423761832</v>
      </c>
      <c r="K534" s="1421">
        <f t="shared" si="268"/>
        <v>9999.0227513190785</v>
      </c>
      <c r="L534" s="1421">
        <f t="shared" si="268"/>
        <v>896.68014446546181</v>
      </c>
      <c r="M534" s="1421">
        <f t="shared" si="268"/>
        <v>3601.3326755425282</v>
      </c>
      <c r="N534" s="1422">
        <f t="shared" si="268"/>
        <v>423.33181004773513</v>
      </c>
      <c r="O534" s="1422">
        <f>SUM(O525:O533)</f>
        <v>235.02411069172251</v>
      </c>
      <c r="P534" s="1422">
        <f>SUM(P525:P533)</f>
        <v>34.077242586562335</v>
      </c>
      <c r="Q534" s="1421">
        <f t="shared" si="268"/>
        <v>1115.5746891087442</v>
      </c>
      <c r="R534" s="1364"/>
      <c r="S534" s="1326"/>
      <c r="T534" s="1321"/>
      <c r="U534" s="1326"/>
      <c r="V534" s="1320" t="s">
        <v>5460</v>
      </c>
      <c r="Y534" s="1324"/>
    </row>
    <row r="535" spans="1:25">
      <c r="A535" s="1320" t="s">
        <v>4871</v>
      </c>
      <c r="B535" s="1321"/>
      <c r="C535" s="1322">
        <v>12</v>
      </c>
      <c r="G535" s="1320"/>
      <c r="M535" s="1324"/>
      <c r="P535" s="1325"/>
      <c r="R535" s="1324"/>
      <c r="S535" s="1326"/>
      <c r="T535" s="1321"/>
      <c r="U535" s="1326"/>
      <c r="Y535" s="1324"/>
    </row>
    <row r="536" spans="1:25">
      <c r="A536" s="1320" t="s">
        <v>4871</v>
      </c>
      <c r="C536" s="1322">
        <v>13</v>
      </c>
      <c r="D536" s="1356" t="s">
        <v>5461</v>
      </c>
      <c r="G536" s="1320"/>
      <c r="M536" s="1324"/>
      <c r="P536" s="1325"/>
      <c r="R536" s="1324"/>
      <c r="S536" s="1324"/>
      <c r="Y536" s="1324"/>
    </row>
    <row r="537" spans="1:25">
      <c r="A537" s="1320" t="s">
        <v>4871</v>
      </c>
      <c r="B537" s="1320">
        <v>101</v>
      </c>
      <c r="C537" s="1322">
        <v>14</v>
      </c>
      <c r="D537" s="1320" t="s">
        <v>5265</v>
      </c>
      <c r="E537" s="1320" t="s">
        <v>4067</v>
      </c>
      <c r="F537" s="1358">
        <f>+'0 MDS Allocation Assignment'!F195</f>
        <v>45178.813847395977</v>
      </c>
      <c r="G537" s="1358">
        <f>+$F537*G$1933</f>
        <v>0</v>
      </c>
      <c r="H537" s="1358">
        <f>+$F537*H$1933</f>
        <v>45178.813847395977</v>
      </c>
      <c r="I537" s="1323">
        <f t="shared" ref="I537:I545" si="269">IF(F537=0,0,+H537/F537)</f>
        <v>1</v>
      </c>
      <c r="J537" s="1364">
        <f t="shared" ref="J537:J544" si="270">+H537</f>
        <v>45178.813847395977</v>
      </c>
      <c r="K537" s="1324">
        <f t="shared" ref="K537:Q537" si="271">$J537*K$1951</f>
        <v>26204.301168811598</v>
      </c>
      <c r="L537" s="1324">
        <f t="shared" si="271"/>
        <v>2161.5905352994118</v>
      </c>
      <c r="M537" s="1324">
        <f t="shared" si="271"/>
        <v>13817.962335813074</v>
      </c>
      <c r="N537" s="1324">
        <f t="shared" si="271"/>
        <v>1724.9893839114839</v>
      </c>
      <c r="O537" s="1324">
        <f t="shared" si="271"/>
        <v>1237.9389784867615</v>
      </c>
      <c r="P537" s="1324">
        <f t="shared" si="271"/>
        <v>32.031445073648726</v>
      </c>
      <c r="Q537" s="1324">
        <f t="shared" si="271"/>
        <v>0</v>
      </c>
      <c r="R537" s="1324"/>
      <c r="S537" s="1324">
        <v>122</v>
      </c>
      <c r="V537" s="1321" t="s">
        <v>5227</v>
      </c>
      <c r="W537" s="1321">
        <v>122</v>
      </c>
      <c r="Y537" s="1324"/>
    </row>
    <row r="538" spans="1:25">
      <c r="A538" s="1320" t="s">
        <v>4871</v>
      </c>
      <c r="B538" s="1320">
        <v>201</v>
      </c>
      <c r="C538" s="1322">
        <v>15</v>
      </c>
      <c r="D538" s="1320" t="s">
        <v>5265</v>
      </c>
      <c r="E538" s="1320" t="s">
        <v>2067</v>
      </c>
      <c r="F538" s="1358">
        <f>+'0 MDS Allocation Assignment'!F196</f>
        <v>4255.2539766352529</v>
      </c>
      <c r="G538" s="1358">
        <f>+$F538*G$1966</f>
        <v>0</v>
      </c>
      <c r="H538" s="1358">
        <f>+$F538*H$1966</f>
        <v>4255.2539766352529</v>
      </c>
      <c r="I538" s="1323">
        <f t="shared" si="269"/>
        <v>1</v>
      </c>
      <c r="J538" s="1364">
        <f t="shared" si="270"/>
        <v>4255.2539766352529</v>
      </c>
      <c r="K538" s="1364">
        <f t="shared" ref="K538:Q538" si="272">+$J538*K$1966</f>
        <v>2147.3466234014431</v>
      </c>
      <c r="L538" s="1364">
        <f t="shared" si="272"/>
        <v>198.4399655075911</v>
      </c>
      <c r="M538" s="1364">
        <f t="shared" si="272"/>
        <v>1478.300666408194</v>
      </c>
      <c r="N538" s="1367">
        <f t="shared" si="272"/>
        <v>235.32169684758441</v>
      </c>
      <c r="O538" s="1367">
        <f t="shared" si="272"/>
        <v>173.36428601583754</v>
      </c>
      <c r="P538" s="1367">
        <f t="shared" si="272"/>
        <v>22.480738454602513</v>
      </c>
      <c r="Q538" s="1364">
        <f t="shared" si="272"/>
        <v>0</v>
      </c>
      <c r="R538" s="1358"/>
      <c r="S538" s="1320">
        <v>201</v>
      </c>
      <c r="V538" s="1321" t="s">
        <v>5235</v>
      </c>
      <c r="W538" s="1321">
        <v>201</v>
      </c>
      <c r="Y538" s="1324"/>
    </row>
    <row r="539" spans="1:25">
      <c r="A539" s="1320" t="s">
        <v>4871</v>
      </c>
      <c r="B539" s="1320">
        <v>117</v>
      </c>
      <c r="C539" s="1322">
        <v>16</v>
      </c>
      <c r="D539" s="1320" t="s">
        <v>5268</v>
      </c>
      <c r="E539" s="1320" t="s">
        <v>4067</v>
      </c>
      <c r="F539" s="1358">
        <f>+'0 MDS Allocation Assignment'!F197</f>
        <v>3566.862819868461</v>
      </c>
      <c r="G539" s="1358">
        <f>+$F539*G$1942</f>
        <v>231.08582776762123</v>
      </c>
      <c r="H539" s="1358">
        <f>+$F539*H$1942</f>
        <v>3335.7769921008394</v>
      </c>
      <c r="I539" s="1323">
        <f t="shared" si="269"/>
        <v>0.93521314403222733</v>
      </c>
      <c r="J539" s="1364">
        <f t="shared" si="270"/>
        <v>3335.7769921008394</v>
      </c>
      <c r="K539" s="1364">
        <f t="shared" ref="K539:Q540" si="273">+$J539*K$1945</f>
        <v>1934.7941543631543</v>
      </c>
      <c r="L539" s="1364">
        <f t="shared" si="273"/>
        <v>159.60100232711886</v>
      </c>
      <c r="M539" s="1364">
        <f t="shared" si="273"/>
        <v>1020.2490263072273</v>
      </c>
      <c r="N539" s="1367">
        <f t="shared" si="273"/>
        <v>127.36456335278022</v>
      </c>
      <c r="O539" s="1367">
        <f t="shared" si="273"/>
        <v>91.403204519920592</v>
      </c>
      <c r="P539" s="1367">
        <f t="shared" si="273"/>
        <v>2.3650412306381923</v>
      </c>
      <c r="Q539" s="1364">
        <f t="shared" si="273"/>
        <v>0</v>
      </c>
      <c r="R539" s="1358"/>
      <c r="S539" s="1320">
        <v>117</v>
      </c>
      <c r="V539" s="1321" t="s">
        <v>5228</v>
      </c>
      <c r="W539" s="1321">
        <v>117</v>
      </c>
      <c r="Y539" s="1324"/>
    </row>
    <row r="540" spans="1:25">
      <c r="A540" s="1320" t="s">
        <v>4871</v>
      </c>
      <c r="B540" s="1320">
        <v>117</v>
      </c>
      <c r="C540" s="1322">
        <v>17</v>
      </c>
      <c r="D540" s="1320" t="s">
        <v>5239</v>
      </c>
      <c r="E540" s="1320" t="s">
        <v>4067</v>
      </c>
      <c r="F540" s="1358">
        <f>+'0 MDS Allocation Assignment'!F198</f>
        <v>3719.0599808262937</v>
      </c>
      <c r="G540" s="1358">
        <f>+$F540*G$1942</f>
        <v>240.94620331330023</v>
      </c>
      <c r="H540" s="1358">
        <f>+$F540*H$1942</f>
        <v>3478.1137775129932</v>
      </c>
      <c r="I540" s="1323">
        <f t="shared" si="269"/>
        <v>0.93521314403222733</v>
      </c>
      <c r="J540" s="1364">
        <f t="shared" si="270"/>
        <v>3478.1137775129932</v>
      </c>
      <c r="K540" s="1364">
        <f t="shared" si="273"/>
        <v>2017.3513459914948</v>
      </c>
      <c r="L540" s="1364">
        <f t="shared" si="273"/>
        <v>166.41113791879485</v>
      </c>
      <c r="M540" s="1364">
        <f t="shared" si="273"/>
        <v>1063.7828018169005</v>
      </c>
      <c r="N540" s="1367">
        <f t="shared" si="273"/>
        <v>132.79917800657341</v>
      </c>
      <c r="O540" s="1367">
        <f t="shared" si="273"/>
        <v>95.303356819832445</v>
      </c>
      <c r="P540" s="1367">
        <f t="shared" si="273"/>
        <v>2.4659569593974573</v>
      </c>
      <c r="Q540" s="1364">
        <f t="shared" si="273"/>
        <v>0</v>
      </c>
      <c r="R540" s="1358"/>
      <c r="S540" s="1320">
        <v>117</v>
      </c>
      <c r="V540" s="1321" t="s">
        <v>5228</v>
      </c>
      <c r="W540" s="1321">
        <v>117</v>
      </c>
      <c r="Y540" s="1324"/>
    </row>
    <row r="541" spans="1:25">
      <c r="A541" s="1320" t="s">
        <v>4871</v>
      </c>
      <c r="B541" s="1320">
        <v>105</v>
      </c>
      <c r="C541" s="1322">
        <v>18</v>
      </c>
      <c r="D541" s="1320" t="s">
        <v>5240</v>
      </c>
      <c r="E541" s="1320" t="s">
        <v>4067</v>
      </c>
      <c r="F541" s="1358">
        <f>+'0 MDS Allocation Assignment'!F199</f>
        <v>13501.612618835021</v>
      </c>
      <c r="G541" s="1358">
        <f>+$F541*G$1936</f>
        <v>0</v>
      </c>
      <c r="H541" s="1358">
        <f>+$F541*H$1936</f>
        <v>13501.612618835021</v>
      </c>
      <c r="I541" s="1323">
        <f t="shared" si="269"/>
        <v>1</v>
      </c>
      <c r="J541" s="1364">
        <f t="shared" si="270"/>
        <v>13501.612618835021</v>
      </c>
      <c r="K541" s="1364">
        <f t="shared" ref="K541:Q541" si="274">+$J541*K$1936</f>
        <v>8403.6198828235629</v>
      </c>
      <c r="L541" s="1364">
        <f t="shared" si="274"/>
        <v>597.68652284411803</v>
      </c>
      <c r="M541" s="1364">
        <f t="shared" si="274"/>
        <v>4001.8844503067221</v>
      </c>
      <c r="N541" s="1367">
        <f t="shared" si="274"/>
        <v>420.91778192339075</v>
      </c>
      <c r="O541" s="1367">
        <f t="shared" si="274"/>
        <v>2.8739446153635526E-4</v>
      </c>
      <c r="P541" s="1367">
        <f t="shared" si="274"/>
        <v>77.503693542767749</v>
      </c>
      <c r="Q541" s="1364">
        <f t="shared" si="274"/>
        <v>0</v>
      </c>
      <c r="R541" s="1358"/>
      <c r="S541" s="1320">
        <v>105</v>
      </c>
      <c r="V541" s="1321" t="s">
        <v>5229</v>
      </c>
      <c r="W541" s="1321">
        <v>105</v>
      </c>
      <c r="Y541" s="1324"/>
    </row>
    <row r="542" spans="1:25">
      <c r="A542" s="1320" t="s">
        <v>4871</v>
      </c>
      <c r="B542" s="1320">
        <v>106</v>
      </c>
      <c r="C542" s="1322">
        <v>19</v>
      </c>
      <c r="D542" s="1320" t="s">
        <v>5241</v>
      </c>
      <c r="E542" s="1320" t="s">
        <v>4067</v>
      </c>
      <c r="F542" s="1358">
        <f>+'0 MDS Allocation Assignment'!F200</f>
        <v>6720.3736451106997</v>
      </c>
      <c r="G542" s="1358">
        <f>+$F542*G$1939</f>
        <v>0</v>
      </c>
      <c r="H542" s="1358">
        <f>+$F542*H$1939</f>
        <v>6720.3736451106997</v>
      </c>
      <c r="I542" s="1323">
        <f t="shared" si="269"/>
        <v>1</v>
      </c>
      <c r="J542" s="1364">
        <f t="shared" si="270"/>
        <v>6720.3736451106997</v>
      </c>
      <c r="K542" s="1364">
        <f t="shared" ref="K542:Q542" si="275">+$J542*K$1939</f>
        <v>4903.4081397909686</v>
      </c>
      <c r="L542" s="1364">
        <f t="shared" si="275"/>
        <v>394.82166943851757</v>
      </c>
      <c r="M542" s="1364">
        <f t="shared" si="275"/>
        <v>1397.833366701602</v>
      </c>
      <c r="N542" s="1367">
        <f t="shared" si="275"/>
        <v>0</v>
      </c>
      <c r="O542" s="1367">
        <f t="shared" si="275"/>
        <v>0</v>
      </c>
      <c r="P542" s="1367">
        <f t="shared" si="275"/>
        <v>24.31046917961098</v>
      </c>
      <c r="Q542" s="1364">
        <f t="shared" si="275"/>
        <v>0</v>
      </c>
      <c r="R542" s="1358"/>
      <c r="S542" s="1320">
        <v>106</v>
      </c>
      <c r="V542" s="1321" t="s">
        <v>5230</v>
      </c>
      <c r="W542" s="1321">
        <v>106</v>
      </c>
    </row>
    <row r="543" spans="1:25">
      <c r="A543" s="1320" t="s">
        <v>4871</v>
      </c>
      <c r="B543" s="1320">
        <v>907</v>
      </c>
      <c r="C543" s="1322">
        <v>20</v>
      </c>
      <c r="D543" s="1320" t="s">
        <v>5242</v>
      </c>
      <c r="E543" s="1320" t="s">
        <v>4071</v>
      </c>
      <c r="F543" s="1358">
        <f>+'0 MDS Allocation Assignment'!F201</f>
        <v>6321.6488650093097</v>
      </c>
      <c r="G543" s="1358">
        <f>+$F543*G$2052</f>
        <v>0</v>
      </c>
      <c r="H543" s="1358">
        <f>+$F543*H$2052</f>
        <v>6321.6488650093097</v>
      </c>
      <c r="I543" s="1323">
        <f t="shared" si="269"/>
        <v>1</v>
      </c>
      <c r="J543" s="1364">
        <f t="shared" si="270"/>
        <v>6321.6488650093097</v>
      </c>
      <c r="K543" s="1364">
        <f t="shared" ref="K543:Q543" si="276">+$J543*K$2052</f>
        <v>2330.5183438598538</v>
      </c>
      <c r="L543" s="1364">
        <f t="shared" si="276"/>
        <v>353.5089897655015</v>
      </c>
      <c r="M543" s="1364">
        <f t="shared" si="276"/>
        <v>170.42641638269185</v>
      </c>
      <c r="N543" s="1367">
        <f t="shared" si="276"/>
        <v>10.986563026431794</v>
      </c>
      <c r="O543" s="1367">
        <f t="shared" si="276"/>
        <v>11.986801457139753</v>
      </c>
      <c r="P543" s="1367">
        <f t="shared" si="276"/>
        <v>2.7511139794396078</v>
      </c>
      <c r="Q543" s="1364">
        <f t="shared" si="276"/>
        <v>3441.4706365382522</v>
      </c>
      <c r="R543" s="1358"/>
      <c r="S543" s="1320">
        <v>907</v>
      </c>
      <c r="V543" s="1321" t="s">
        <v>5243</v>
      </c>
      <c r="W543" s="1321">
        <v>907</v>
      </c>
    </row>
    <row r="544" spans="1:25">
      <c r="A544" s="1320" t="s">
        <v>4871</v>
      </c>
      <c r="B544" s="1324">
        <v>412</v>
      </c>
      <c r="C544" s="1393">
        <v>21</v>
      </c>
      <c r="D544" s="1324" t="s">
        <v>5244</v>
      </c>
      <c r="E544" s="1324" t="s">
        <v>4071</v>
      </c>
      <c r="F544" s="1358">
        <f>+'0 MDS Allocation Assignment'!F202</f>
        <v>1532.8072463189651</v>
      </c>
      <c r="G544" s="1364">
        <f>+$F544*G$2018</f>
        <v>0</v>
      </c>
      <c r="H544" s="1364">
        <f>+$F544*H$2018</f>
        <v>1532.8072463189651</v>
      </c>
      <c r="I544" s="1323">
        <f t="shared" si="269"/>
        <v>1</v>
      </c>
      <c r="J544" s="1364">
        <f t="shared" si="270"/>
        <v>1532.8072463189651</v>
      </c>
      <c r="K544" s="1364">
        <f t="shared" ref="K544:Q544" si="277">+$J544*K$2018</f>
        <v>1367.0905722410614</v>
      </c>
      <c r="L544" s="1364">
        <f t="shared" si="277"/>
        <v>132.52712416497192</v>
      </c>
      <c r="M544" s="1364">
        <f t="shared" si="277"/>
        <v>32.640301255953482</v>
      </c>
      <c r="N544" s="1367">
        <f t="shared" si="277"/>
        <v>0.11020523214448161</v>
      </c>
      <c r="O544" s="1367">
        <f t="shared" si="277"/>
        <v>1.9552541186924156E-2</v>
      </c>
      <c r="P544" s="1367">
        <f t="shared" si="277"/>
        <v>0.41949088364673642</v>
      </c>
      <c r="Q544" s="1364">
        <f t="shared" si="277"/>
        <v>0</v>
      </c>
      <c r="R544" s="1358"/>
      <c r="S544" s="1320">
        <v>412</v>
      </c>
      <c r="V544" s="1321" t="s">
        <v>5245</v>
      </c>
      <c r="W544" s="1321">
        <v>412</v>
      </c>
      <c r="Y544" s="1324"/>
    </row>
    <row r="545" spans="1:25">
      <c r="A545" s="1320" t="s">
        <v>4871</v>
      </c>
      <c r="B545" s="1321"/>
      <c r="C545" s="1322">
        <v>22</v>
      </c>
      <c r="D545" s="1320" t="s">
        <v>5462</v>
      </c>
      <c r="F545" s="1427">
        <f>+SUM(F537:F544)</f>
        <v>84796.432999999961</v>
      </c>
      <c r="G545" s="1427">
        <f>SUM(G537:G544)</f>
        <v>472.03203108092146</v>
      </c>
      <c r="H545" s="1427">
        <f>SUM(H537:H544)</f>
        <v>84324.400968919042</v>
      </c>
      <c r="I545" s="1323">
        <f t="shared" si="269"/>
        <v>0.99443335038537628</v>
      </c>
      <c r="J545" s="1421">
        <f t="shared" ref="J545:Q545" si="278">SUM(J537:J544)</f>
        <v>84324.400968919042</v>
      </c>
      <c r="K545" s="1421">
        <f t="shared" si="278"/>
        <v>49308.430231283135</v>
      </c>
      <c r="L545" s="1421">
        <f t="shared" si="278"/>
        <v>4164.5869472660252</v>
      </c>
      <c r="M545" s="1421">
        <f t="shared" si="278"/>
        <v>22983.079364992365</v>
      </c>
      <c r="N545" s="1422">
        <f t="shared" si="278"/>
        <v>2652.4893723003888</v>
      </c>
      <c r="O545" s="1422">
        <f>SUM(O537:O544)</f>
        <v>1610.0164672351402</v>
      </c>
      <c r="P545" s="1422">
        <f>SUM(P537:P544)</f>
        <v>164.32794930375195</v>
      </c>
      <c r="Q545" s="1421">
        <f t="shared" si="278"/>
        <v>3441.4706365382522</v>
      </c>
      <c r="R545" s="1358"/>
      <c r="S545" s="1321"/>
      <c r="T545" s="1321"/>
      <c r="U545" s="1326"/>
      <c r="V545" s="1320" t="s">
        <v>5463</v>
      </c>
      <c r="Y545" s="1324"/>
    </row>
    <row r="546" spans="1:25">
      <c r="A546" s="1320" t="s">
        <v>4871</v>
      </c>
      <c r="B546" s="1321"/>
      <c r="C546" s="1322">
        <v>23</v>
      </c>
      <c r="G546" s="1320"/>
      <c r="M546" s="1324"/>
      <c r="P546" s="1325"/>
      <c r="S546" s="1321"/>
      <c r="T546" s="1321"/>
      <c r="U546" s="1326"/>
      <c r="Y546" s="1324"/>
    </row>
    <row r="547" spans="1:25">
      <c r="A547" s="1320" t="s">
        <v>4871</v>
      </c>
      <c r="B547" s="1321"/>
      <c r="C547" s="1322">
        <v>24</v>
      </c>
      <c r="G547" s="1320"/>
      <c r="M547" s="1324"/>
      <c r="P547" s="1325"/>
      <c r="S547" s="1321"/>
      <c r="T547" s="1321"/>
      <c r="U547" s="1326"/>
      <c r="Y547" s="1324"/>
    </row>
    <row r="548" spans="1:25">
      <c r="A548" s="1320" t="s">
        <v>4871</v>
      </c>
      <c r="B548" s="1321"/>
      <c r="C548" s="1322">
        <v>25</v>
      </c>
      <c r="D548" s="1356" t="s">
        <v>5464</v>
      </c>
      <c r="G548" s="1320"/>
      <c r="M548" s="1324"/>
      <c r="P548" s="1325"/>
      <c r="S548" s="1321"/>
      <c r="T548" s="1321"/>
      <c r="U548" s="1326"/>
      <c r="Y548" s="1324"/>
    </row>
    <row r="549" spans="1:25">
      <c r="A549" s="1320" t="s">
        <v>4871</v>
      </c>
      <c r="B549" s="1320">
        <v>101</v>
      </c>
      <c r="C549" s="1322">
        <v>26</v>
      </c>
      <c r="D549" s="1320" t="s">
        <v>5265</v>
      </c>
      <c r="E549" s="1320" t="s">
        <v>4067</v>
      </c>
      <c r="F549" s="1358">
        <f>+'0 MDS Allocation Assignment'!F203</f>
        <v>-75.539735384829342</v>
      </c>
      <c r="G549" s="1358">
        <f>+$F549*G$1933</f>
        <v>0</v>
      </c>
      <c r="H549" s="1358">
        <f>+$F549*H$1933</f>
        <v>-75.539735384829342</v>
      </c>
      <c r="I549" s="1323">
        <f t="shared" ref="I549:I557" si="279">IF(F549=0,0,+H549/F549)</f>
        <v>1</v>
      </c>
      <c r="J549" s="1364">
        <f t="shared" ref="J549:J556" si="280">+H549</f>
        <v>-75.539735384829342</v>
      </c>
      <c r="K549" s="1324">
        <f t="shared" ref="K549:Q549" si="281">$J549*K$1951</f>
        <v>-43.814031570695946</v>
      </c>
      <c r="L549" s="1324">
        <f t="shared" si="281"/>
        <v>-3.61421567193891</v>
      </c>
      <c r="M549" s="1324">
        <f t="shared" si="281"/>
        <v>-23.103865053442984</v>
      </c>
      <c r="N549" s="1324">
        <f t="shared" si="281"/>
        <v>-2.8842112155147657</v>
      </c>
      <c r="O549" s="1324">
        <f t="shared" si="281"/>
        <v>-2.0698547592091301</v>
      </c>
      <c r="P549" s="1324">
        <f t="shared" si="281"/>
        <v>-5.3557114027609293E-2</v>
      </c>
      <c r="Q549" s="1324">
        <f t="shared" si="281"/>
        <v>0</v>
      </c>
      <c r="R549" s="1324"/>
      <c r="S549" s="1324">
        <v>122</v>
      </c>
      <c r="V549" s="1321" t="s">
        <v>5227</v>
      </c>
      <c r="W549" s="1321">
        <v>122</v>
      </c>
      <c r="Y549" s="1324"/>
    </row>
    <row r="550" spans="1:25">
      <c r="A550" s="1320" t="s">
        <v>4871</v>
      </c>
      <c r="B550" s="1320">
        <v>201</v>
      </c>
      <c r="C550" s="1322">
        <v>27</v>
      </c>
      <c r="D550" s="1320" t="s">
        <v>5265</v>
      </c>
      <c r="E550" s="1320" t="s">
        <v>2067</v>
      </c>
      <c r="F550" s="1358">
        <f>+'0 MDS Allocation Assignment'!F204</f>
        <v>-5.6810294570698723</v>
      </c>
      <c r="G550" s="1358">
        <f>+$F550*G$1966</f>
        <v>0</v>
      </c>
      <c r="H550" s="1358">
        <f>+$F550*H$1966</f>
        <v>-5.6810294570698723</v>
      </c>
      <c r="I550" s="1323">
        <f t="shared" si="279"/>
        <v>1</v>
      </c>
      <c r="J550" s="1364">
        <f t="shared" si="280"/>
        <v>-5.6810294570698723</v>
      </c>
      <c r="K550" s="1364">
        <f t="shared" ref="K550:Q550" si="282">+$J550*K$1966</f>
        <v>-2.8668416712765334</v>
      </c>
      <c r="L550" s="1364">
        <f t="shared" si="282"/>
        <v>-0.26492973056333902</v>
      </c>
      <c r="M550" s="1364">
        <f t="shared" si="282"/>
        <v>-1.9736235905974564</v>
      </c>
      <c r="N550" s="1367">
        <f t="shared" si="282"/>
        <v>-0.31416914219909692</v>
      </c>
      <c r="O550" s="1367">
        <f t="shared" si="282"/>
        <v>-0.23145213448308377</v>
      </c>
      <c r="P550" s="1367">
        <f t="shared" si="282"/>
        <v>-3.0013187950362272E-2</v>
      </c>
      <c r="Q550" s="1364">
        <f t="shared" si="282"/>
        <v>0</v>
      </c>
      <c r="R550" s="1358"/>
      <c r="S550" s="1320">
        <v>201</v>
      </c>
      <c r="V550" s="1321" t="s">
        <v>5235</v>
      </c>
      <c r="W550" s="1321">
        <v>201</v>
      </c>
      <c r="Y550" s="1324"/>
    </row>
    <row r="551" spans="1:25">
      <c r="A551" s="1320" t="s">
        <v>4871</v>
      </c>
      <c r="B551" s="1320">
        <v>117</v>
      </c>
      <c r="C551" s="1322">
        <v>28</v>
      </c>
      <c r="D551" s="1320" t="s">
        <v>5268</v>
      </c>
      <c r="E551" s="1320" t="s">
        <v>4067</v>
      </c>
      <c r="F551" s="1358">
        <f>+'0 MDS Allocation Assignment'!F205</f>
        <v>-5.9588556469141762</v>
      </c>
      <c r="G551" s="1358">
        <f>+$F551*G$1942</f>
        <v>-0.38605552252937719</v>
      </c>
      <c r="H551" s="1358">
        <f>+$F551*H$1942</f>
        <v>-5.5728001243847984</v>
      </c>
      <c r="I551" s="1323">
        <f t="shared" si="279"/>
        <v>0.93521314403222733</v>
      </c>
      <c r="J551" s="1364">
        <f t="shared" si="280"/>
        <v>-5.5728001243847984</v>
      </c>
      <c r="K551" s="1364">
        <f t="shared" ref="K551:Q552" si="283">+$J551*K$1945</f>
        <v>-3.2322967421462523</v>
      </c>
      <c r="L551" s="1364">
        <f t="shared" si="283"/>
        <v>-0.26663187848788289</v>
      </c>
      <c r="M551" s="1364">
        <f t="shared" si="283"/>
        <v>-1.7044436466142849</v>
      </c>
      <c r="N551" s="1367">
        <f t="shared" si="283"/>
        <v>-0.2127771898946933</v>
      </c>
      <c r="O551" s="1367">
        <f t="shared" si="283"/>
        <v>-0.15269959314545944</v>
      </c>
      <c r="P551" s="1367">
        <f t="shared" si="283"/>
        <v>-3.9510740962258161E-3</v>
      </c>
      <c r="Q551" s="1364">
        <f t="shared" si="283"/>
        <v>0</v>
      </c>
      <c r="R551" s="1358"/>
      <c r="S551" s="1320">
        <v>117</v>
      </c>
      <c r="V551" s="1321" t="s">
        <v>5228</v>
      </c>
      <c r="W551" s="1321">
        <v>117</v>
      </c>
      <c r="Y551" s="1324"/>
    </row>
    <row r="552" spans="1:25">
      <c r="A552" s="1320" t="s">
        <v>4871</v>
      </c>
      <c r="B552" s="1320">
        <v>117</v>
      </c>
      <c r="C552" s="1322">
        <v>29</v>
      </c>
      <c r="D552" s="1320" t="s">
        <v>5239</v>
      </c>
      <c r="E552" s="1320" t="s">
        <v>4067</v>
      </c>
      <c r="F552" s="1358">
        <f>+'0 MDS Allocation Assignment'!F206</f>
        <v>-6.4685036733525862</v>
      </c>
      <c r="G552" s="1358">
        <f>+$F552*G$1942</f>
        <v>-0.41907401581250198</v>
      </c>
      <c r="H552" s="1358">
        <f>+$F552*H$1942</f>
        <v>-6.0494296575400837</v>
      </c>
      <c r="I552" s="1323">
        <f t="shared" si="279"/>
        <v>0.93521314403222733</v>
      </c>
      <c r="J552" s="1364">
        <f t="shared" si="280"/>
        <v>-6.0494296575400837</v>
      </c>
      <c r="K552" s="1364">
        <f t="shared" si="283"/>
        <v>-3.5087480866843967</v>
      </c>
      <c r="L552" s="1364">
        <f t="shared" si="283"/>
        <v>-0.28943632597056124</v>
      </c>
      <c r="M552" s="1364">
        <f t="shared" si="283"/>
        <v>-1.8502210226986178</v>
      </c>
      <c r="N552" s="1367">
        <f t="shared" si="283"/>
        <v>-0.23097556242232758</v>
      </c>
      <c r="O552" s="1367">
        <f t="shared" si="283"/>
        <v>-0.16575965885200708</v>
      </c>
      <c r="P552" s="1367">
        <f t="shared" si="283"/>
        <v>-4.2890009121734716E-3</v>
      </c>
      <c r="Q552" s="1364">
        <f t="shared" si="283"/>
        <v>0</v>
      </c>
      <c r="R552" s="1358"/>
      <c r="S552" s="1320">
        <v>117</v>
      </c>
      <c r="V552" s="1321" t="s">
        <v>5228</v>
      </c>
      <c r="W552" s="1321">
        <v>117</v>
      </c>
    </row>
    <row r="553" spans="1:25">
      <c r="A553" s="1320" t="s">
        <v>4871</v>
      </c>
      <c r="B553" s="1320">
        <v>105</v>
      </c>
      <c r="C553" s="1322">
        <v>30</v>
      </c>
      <c r="D553" s="1320" t="s">
        <v>5240</v>
      </c>
      <c r="E553" s="1320" t="s">
        <v>4067</v>
      </c>
      <c r="F553" s="1358">
        <f>+'0 MDS Allocation Assignment'!F207</f>
        <v>-21.077596575740262</v>
      </c>
      <c r="G553" s="1358">
        <f>+$F553*G$1936</f>
        <v>0</v>
      </c>
      <c r="H553" s="1358">
        <f>+$F553*H$1936</f>
        <v>-21.077596575740262</v>
      </c>
      <c r="I553" s="1323">
        <f t="shared" si="279"/>
        <v>1</v>
      </c>
      <c r="J553" s="1364">
        <f t="shared" si="280"/>
        <v>-21.077596575740262</v>
      </c>
      <c r="K553" s="1364">
        <f t="shared" ref="K553:Q553" si="284">+$J553*K$1936</f>
        <v>-13.119033604839725</v>
      </c>
      <c r="L553" s="1364">
        <f t="shared" si="284"/>
        <v>-0.93305857329154218</v>
      </c>
      <c r="M553" s="1364">
        <f t="shared" si="284"/>
        <v>-6.2474097256073753</v>
      </c>
      <c r="N553" s="1367">
        <f t="shared" si="284"/>
        <v>-0.65710189215176562</v>
      </c>
      <c r="O553" s="1367">
        <f t="shared" si="284"/>
        <v>-4.4865637086305866E-7</v>
      </c>
      <c r="P553" s="1367">
        <f t="shared" si="284"/>
        <v>-0.12099233119348804</v>
      </c>
      <c r="Q553" s="1364">
        <f t="shared" si="284"/>
        <v>0</v>
      </c>
      <c r="R553" s="1358"/>
      <c r="S553" s="1320">
        <v>105</v>
      </c>
      <c r="V553" s="1321" t="s">
        <v>5229</v>
      </c>
      <c r="W553" s="1321">
        <v>105</v>
      </c>
    </row>
    <row r="554" spans="1:25">
      <c r="A554" s="1320" t="s">
        <v>4871</v>
      </c>
      <c r="B554" s="1320">
        <v>106</v>
      </c>
      <c r="C554" s="1322">
        <v>31</v>
      </c>
      <c r="D554" s="1320" t="s">
        <v>5241</v>
      </c>
      <c r="E554" s="1320" t="s">
        <v>4067</v>
      </c>
      <c r="F554" s="1358">
        <f>+'0 MDS Allocation Assignment'!F208</f>
        <v>-9.2657640199731031</v>
      </c>
      <c r="G554" s="1358">
        <f>+$F554*G$1939</f>
        <v>0</v>
      </c>
      <c r="H554" s="1358">
        <f>+$F554*H$1939</f>
        <v>-9.2657640199731031</v>
      </c>
      <c r="I554" s="1323">
        <f t="shared" si="279"/>
        <v>1</v>
      </c>
      <c r="J554" s="1364">
        <f t="shared" si="280"/>
        <v>-9.2657640199731031</v>
      </c>
      <c r="K554" s="1364">
        <f t="shared" ref="K554:Q554" si="285">+$J554*K$1939</f>
        <v>-6.7606096202661368</v>
      </c>
      <c r="L554" s="1364">
        <f t="shared" si="285"/>
        <v>-0.54436324707193706</v>
      </c>
      <c r="M554" s="1364">
        <f t="shared" si="285"/>
        <v>-1.9272729165177578</v>
      </c>
      <c r="N554" s="1367">
        <f t="shared" si="285"/>
        <v>0</v>
      </c>
      <c r="O554" s="1367">
        <f t="shared" si="285"/>
        <v>0</v>
      </c>
      <c r="P554" s="1367">
        <f t="shared" si="285"/>
        <v>-3.3518236117270825E-2</v>
      </c>
      <c r="Q554" s="1364">
        <f t="shared" si="285"/>
        <v>0</v>
      </c>
      <c r="R554" s="1358"/>
      <c r="S554" s="1320">
        <v>106</v>
      </c>
      <c r="V554" s="1321" t="s">
        <v>5230</v>
      </c>
      <c r="W554" s="1321">
        <v>106</v>
      </c>
      <c r="Y554" s="1324"/>
    </row>
    <row r="555" spans="1:25">
      <c r="A555" s="1320" t="s">
        <v>4871</v>
      </c>
      <c r="B555" s="1320">
        <v>907</v>
      </c>
      <c r="C555" s="1322">
        <v>32</v>
      </c>
      <c r="D555" s="1320" t="s">
        <v>5242</v>
      </c>
      <c r="E555" s="1320" t="s">
        <v>4071</v>
      </c>
      <c r="F555" s="1358">
        <f>+'0 MDS Allocation Assignment'!F209</f>
        <v>-9.0379992832693219</v>
      </c>
      <c r="G555" s="1358">
        <f>+$F555*G$2052</f>
        <v>0</v>
      </c>
      <c r="H555" s="1358">
        <f>+$F555*H$2052</f>
        <v>-9.0379992832693219</v>
      </c>
      <c r="I555" s="1323">
        <f t="shared" si="279"/>
        <v>1</v>
      </c>
      <c r="J555" s="1364">
        <f t="shared" si="280"/>
        <v>-9.0379992832693219</v>
      </c>
      <c r="K555" s="1364">
        <f t="shared" ref="K555:Q555" si="286">+$J555*K$2052</f>
        <v>-3.3319191829899824</v>
      </c>
      <c r="L555" s="1364">
        <f t="shared" si="286"/>
        <v>-0.50540833006629815</v>
      </c>
      <c r="M555" s="1364">
        <f t="shared" si="286"/>
        <v>-0.2436569733638092</v>
      </c>
      <c r="N555" s="1367">
        <f t="shared" si="286"/>
        <v>-1.5707381235312817E-2</v>
      </c>
      <c r="O555" s="1367">
        <f t="shared" si="286"/>
        <v>-1.7137412294120073E-2</v>
      </c>
      <c r="P555" s="1367">
        <f t="shared" si="286"/>
        <v>-3.933240631569114E-3</v>
      </c>
      <c r="Q555" s="1364">
        <f t="shared" si="286"/>
        <v>-4.9202367626882317</v>
      </c>
      <c r="R555" s="1358"/>
      <c r="S555" s="1320">
        <v>907</v>
      </c>
      <c r="V555" s="1321" t="s">
        <v>5243</v>
      </c>
      <c r="W555" s="1321">
        <v>907</v>
      </c>
      <c r="Y555" s="1324"/>
    </row>
    <row r="556" spans="1:25">
      <c r="A556" s="1320" t="s">
        <v>4871</v>
      </c>
      <c r="B556" s="1324">
        <v>412</v>
      </c>
      <c r="C556" s="1322">
        <v>33</v>
      </c>
      <c r="D556" s="1324" t="s">
        <v>5244</v>
      </c>
      <c r="E556" s="1324" t="s">
        <v>4071</v>
      </c>
      <c r="F556" s="1358">
        <f>+'0 MDS Allocation Assignment'!F210</f>
        <v>-2.7612136328512036</v>
      </c>
      <c r="G556" s="1366">
        <f>+$F556*G$2018</f>
        <v>0</v>
      </c>
      <c r="H556" s="1364">
        <f>+$F556*H$2018</f>
        <v>-2.7612136328512036</v>
      </c>
      <c r="I556" s="1323">
        <f t="shared" si="279"/>
        <v>1</v>
      </c>
      <c r="J556" s="1364">
        <f t="shared" si="280"/>
        <v>-2.7612136328512036</v>
      </c>
      <c r="K556" s="1364">
        <f t="shared" ref="K556:Q556" si="287">+$J556*K$2018</f>
        <v>-2.462690031300165</v>
      </c>
      <c r="L556" s="1364">
        <f t="shared" si="287"/>
        <v>-0.23873562892247466</v>
      </c>
      <c r="M556" s="1364">
        <f t="shared" si="287"/>
        <v>-5.8798550845025381E-2</v>
      </c>
      <c r="N556" s="1367">
        <f t="shared" si="287"/>
        <v>-1.9852475915654161E-4</v>
      </c>
      <c r="O556" s="1367">
        <f t="shared" si="287"/>
        <v>-3.5222134689063833E-5</v>
      </c>
      <c r="P556" s="1367">
        <f t="shared" si="287"/>
        <v>-7.5567488969264217E-4</v>
      </c>
      <c r="Q556" s="1364">
        <f t="shared" si="287"/>
        <v>0</v>
      </c>
      <c r="R556" s="1358"/>
      <c r="S556" s="1320">
        <v>412</v>
      </c>
      <c r="V556" s="1321" t="s">
        <v>5245</v>
      </c>
      <c r="W556" s="1321">
        <v>412</v>
      </c>
      <c r="Y556" s="1324"/>
    </row>
    <row r="557" spans="1:25">
      <c r="A557" s="1320" t="s">
        <v>4871</v>
      </c>
      <c r="B557" s="1321"/>
      <c r="C557" s="1322">
        <v>34</v>
      </c>
      <c r="D557" s="1320" t="s">
        <v>5465</v>
      </c>
      <c r="F557" s="1427">
        <f>+SUM(F549:F556)</f>
        <v>-135.79069767399986</v>
      </c>
      <c r="G557" s="1427">
        <f>SUM(G549:G556)</f>
        <v>-0.80512953834187917</v>
      </c>
      <c r="H557" s="1427">
        <f>SUM(H549:H556)</f>
        <v>-134.98556813565799</v>
      </c>
      <c r="I557" s="1323">
        <f t="shared" si="279"/>
        <v>0.99407080490686639</v>
      </c>
      <c r="J557" s="1421">
        <f t="shared" ref="J557:Q557" si="288">SUM(J549:J556)</f>
        <v>-134.98556813565799</v>
      </c>
      <c r="K557" s="1421">
        <f t="shared" si="288"/>
        <v>-79.096170510199144</v>
      </c>
      <c r="L557" s="1421">
        <f t="shared" si="288"/>
        <v>-6.6567793863129445</v>
      </c>
      <c r="M557" s="1421">
        <f t="shared" si="288"/>
        <v>-37.109291479687315</v>
      </c>
      <c r="N557" s="1422">
        <f t="shared" si="288"/>
        <v>-4.3151409081771179</v>
      </c>
      <c r="O557" s="1422">
        <f>SUM(O549:O556)</f>
        <v>-2.6369392287748603</v>
      </c>
      <c r="P557" s="1422">
        <f>SUM(P549:P556)</f>
        <v>-0.25100985981839152</v>
      </c>
      <c r="Q557" s="1421">
        <f t="shared" si="288"/>
        <v>-4.9202367626882317</v>
      </c>
      <c r="R557" s="1358"/>
      <c r="S557" s="1321"/>
      <c r="T557" s="1321"/>
      <c r="U557" s="1326"/>
      <c r="V557" s="1320" t="s">
        <v>5466</v>
      </c>
      <c r="Y557" s="1324"/>
    </row>
    <row r="558" spans="1:25">
      <c r="A558" s="1320" t="s">
        <v>4871</v>
      </c>
      <c r="B558" s="1321"/>
      <c r="C558" s="1322">
        <v>35</v>
      </c>
      <c r="F558" s="1358"/>
      <c r="G558" s="1358"/>
      <c r="H558" s="1358"/>
      <c r="J558" s="1364"/>
      <c r="K558" s="1364"/>
      <c r="L558" s="1364"/>
      <c r="M558" s="1364"/>
      <c r="N558" s="1367"/>
      <c r="O558" s="1367"/>
      <c r="P558" s="1367"/>
      <c r="Q558" s="1364"/>
      <c r="R558" s="1358"/>
      <c r="S558" s="1321"/>
      <c r="T558" s="1321"/>
      <c r="U558" s="1326"/>
      <c r="Y558" s="1324"/>
    </row>
    <row r="559" spans="1:25">
      <c r="A559" s="1320" t="s">
        <v>4871</v>
      </c>
      <c r="B559" s="1321"/>
      <c r="C559" s="1322">
        <v>36</v>
      </c>
      <c r="D559" s="1356" t="s">
        <v>5467</v>
      </c>
      <c r="G559" s="1320"/>
      <c r="M559" s="1324"/>
      <c r="P559" s="1325"/>
      <c r="R559" s="1358"/>
      <c r="S559" s="1321"/>
      <c r="T559" s="1321"/>
      <c r="U559" s="1326"/>
      <c r="Y559" s="1324"/>
    </row>
    <row r="560" spans="1:25" s="1324" customFormat="1">
      <c r="A560" s="1324" t="s">
        <v>4871</v>
      </c>
      <c r="B560" s="1326"/>
      <c r="C560" s="1393">
        <v>37</v>
      </c>
      <c r="D560" s="1324" t="s">
        <v>5265</v>
      </c>
      <c r="E560" s="1324" t="s">
        <v>4067</v>
      </c>
      <c r="F560" s="1324">
        <f>+F525+F526+F537+F549</f>
        <v>50567.271535833475</v>
      </c>
      <c r="G560" s="1324">
        <f>+G525+G526+G537+G549</f>
        <v>0</v>
      </c>
      <c r="H560" s="1324">
        <f>+H525+H526+H537+H549</f>
        <v>50567.271535833475</v>
      </c>
      <c r="I560" s="1374">
        <f t="shared" ref="I560:I568" si="289">IF(F560=0,0,+H560/F560)</f>
        <v>1</v>
      </c>
      <c r="J560" s="1324">
        <f>+J525+J526+J537+J549</f>
        <v>50567.271535833475</v>
      </c>
      <c r="K560" s="1324">
        <f t="shared" ref="K560:Q560" si="290">+K525+K526+K537+K549</f>
        <v>29329.67689426025</v>
      </c>
      <c r="L560" s="1324">
        <f t="shared" si="290"/>
        <v>2419.4025083744687</v>
      </c>
      <c r="M560" s="1324">
        <f t="shared" si="290"/>
        <v>15466.024758134579</v>
      </c>
      <c r="N560" s="1324">
        <f t="shared" si="290"/>
        <v>1930.7281255173937</v>
      </c>
      <c r="O560" s="1324">
        <f t="shared" si="290"/>
        <v>1385.587427801416</v>
      </c>
      <c r="P560" s="1324">
        <f t="shared" si="290"/>
        <v>35.851821745375233</v>
      </c>
      <c r="Q560" s="1324">
        <f t="shared" si="290"/>
        <v>0</v>
      </c>
      <c r="R560" s="1364"/>
      <c r="S560" s="1326"/>
      <c r="T560" s="1326"/>
      <c r="U560" s="1326"/>
      <c r="V560" s="1324" t="s">
        <v>5468</v>
      </c>
    </row>
    <row r="561" spans="1:25">
      <c r="A561" s="1320" t="s">
        <v>4871</v>
      </c>
      <c r="B561" s="1321"/>
      <c r="C561" s="1322">
        <v>38</v>
      </c>
      <c r="D561" s="1320" t="s">
        <v>5265</v>
      </c>
      <c r="E561" s="1320" t="s">
        <v>2067</v>
      </c>
      <c r="F561" s="1320">
        <f t="shared" ref="F561:H567" si="291">+F527+F538+F550</f>
        <v>5692.1013325463828</v>
      </c>
      <c r="G561" s="1320">
        <f t="shared" si="291"/>
        <v>0</v>
      </c>
      <c r="H561" s="1320">
        <f t="shared" si="291"/>
        <v>5692.1013325463828</v>
      </c>
      <c r="I561" s="1323">
        <f t="shared" si="289"/>
        <v>1</v>
      </c>
      <c r="J561" s="1324">
        <f t="shared" ref="J561:Q567" si="292">+J527+J538+J550</f>
        <v>5692.1013325463828</v>
      </c>
      <c r="K561" s="1320">
        <f t="shared" si="292"/>
        <v>2872.4289181364743</v>
      </c>
      <c r="L561" s="1320">
        <f t="shared" si="292"/>
        <v>265.44605757924143</v>
      </c>
      <c r="M561" s="1320">
        <f t="shared" si="292"/>
        <v>1977.4700263179056</v>
      </c>
      <c r="N561" s="1320">
        <f t="shared" si="292"/>
        <v>314.78143291986794</v>
      </c>
      <c r="O561" s="1324">
        <f t="shared" si="292"/>
        <v>231.90321632153123</v>
      </c>
      <c r="P561" s="1324">
        <f t="shared" si="292"/>
        <v>30.071681271361683</v>
      </c>
      <c r="Q561" s="1320">
        <f t="shared" si="292"/>
        <v>0</v>
      </c>
      <c r="R561" s="1358"/>
      <c r="S561" s="1321"/>
      <c r="T561" s="1321"/>
      <c r="U561" s="1326"/>
      <c r="V561" s="1320" t="s">
        <v>5469</v>
      </c>
      <c r="Y561" s="1324"/>
    </row>
    <row r="562" spans="1:25">
      <c r="A562" s="1320" t="s">
        <v>4871</v>
      </c>
      <c r="B562" s="1321"/>
      <c r="C562" s="1322">
        <v>39</v>
      </c>
      <c r="D562" s="1320" t="s">
        <v>5268</v>
      </c>
      <c r="E562" s="1320" t="s">
        <v>4067</v>
      </c>
      <c r="F562" s="1320">
        <f t="shared" si="291"/>
        <v>3792.4351118583436</v>
      </c>
      <c r="G562" s="1320">
        <f t="shared" si="291"/>
        <v>245.69994735909012</v>
      </c>
      <c r="H562" s="1320">
        <f t="shared" si="291"/>
        <v>3546.7351644992536</v>
      </c>
      <c r="I562" s="1323">
        <f t="shared" si="289"/>
        <v>0.93521314403222744</v>
      </c>
      <c r="J562" s="1324">
        <f t="shared" si="292"/>
        <v>3546.7351644992536</v>
      </c>
      <c r="K562" s="1320">
        <f t="shared" si="292"/>
        <v>2057.1526452749013</v>
      </c>
      <c r="L562" s="1320">
        <f t="shared" si="292"/>
        <v>169.69434365167771</v>
      </c>
      <c r="M562" s="1320">
        <f t="shared" si="292"/>
        <v>1084.7706866252586</v>
      </c>
      <c r="N562" s="1320">
        <f t="shared" si="292"/>
        <v>135.41923714447844</v>
      </c>
      <c r="O562" s="1324">
        <f t="shared" si="292"/>
        <v>97.183642787389175</v>
      </c>
      <c r="P562" s="1324">
        <f t="shared" si="292"/>
        <v>2.5146090155482113</v>
      </c>
      <c r="Q562" s="1320">
        <f t="shared" si="292"/>
        <v>0</v>
      </c>
      <c r="R562" s="1358"/>
      <c r="S562" s="1321"/>
      <c r="T562" s="1321"/>
      <c r="U562" s="1326"/>
      <c r="V562" s="1320" t="s">
        <v>5470</v>
      </c>
      <c r="Y562" s="1324"/>
    </row>
    <row r="563" spans="1:25">
      <c r="A563" s="1320" t="s">
        <v>4871</v>
      </c>
      <c r="B563" s="1321"/>
      <c r="C563" s="1322">
        <v>40</v>
      </c>
      <c r="D563" s="1320" t="s">
        <v>5239</v>
      </c>
      <c r="E563" s="1320" t="s">
        <v>4067</v>
      </c>
      <c r="F563" s="1320">
        <f t="shared" si="291"/>
        <v>4363.5489504797088</v>
      </c>
      <c r="G563" s="1320">
        <f t="shared" si="291"/>
        <v>282.70061736305422</v>
      </c>
      <c r="H563" s="1320">
        <f t="shared" si="291"/>
        <v>4080.848333116654</v>
      </c>
      <c r="I563" s="1323">
        <f t="shared" si="289"/>
        <v>0.93521314403222722</v>
      </c>
      <c r="J563" s="1324">
        <f t="shared" si="292"/>
        <v>4080.848333116654</v>
      </c>
      <c r="K563" s="1320">
        <f t="shared" si="292"/>
        <v>2366.9452479747911</v>
      </c>
      <c r="L563" s="1320">
        <f t="shared" si="292"/>
        <v>195.24910863426251</v>
      </c>
      <c r="M563" s="1320">
        <f t="shared" si="292"/>
        <v>1248.12946076099</v>
      </c>
      <c r="N563" s="1320">
        <f t="shared" si="292"/>
        <v>155.81241410535267</v>
      </c>
      <c r="O563" s="1324">
        <f t="shared" si="292"/>
        <v>111.81881033711585</v>
      </c>
      <c r="P563" s="1324">
        <f t="shared" si="292"/>
        <v>2.8932913041419139</v>
      </c>
      <c r="Q563" s="1320">
        <f t="shared" si="292"/>
        <v>0</v>
      </c>
      <c r="R563" s="1358"/>
      <c r="S563" s="1321"/>
      <c r="T563" s="1321"/>
      <c r="U563" s="1326"/>
      <c r="V563" s="1320" t="s">
        <v>5471</v>
      </c>
      <c r="Y563" s="1324"/>
    </row>
    <row r="564" spans="1:25">
      <c r="A564" s="1320" t="s">
        <v>4871</v>
      </c>
      <c r="B564" s="1321"/>
      <c r="C564" s="1322">
        <v>41</v>
      </c>
      <c r="D564" s="1320" t="s">
        <v>5240</v>
      </c>
      <c r="E564" s="1320" t="s">
        <v>4067</v>
      </c>
      <c r="F564" s="1320">
        <f t="shared" si="291"/>
        <v>16677.364953174681</v>
      </c>
      <c r="G564" s="1320">
        <f t="shared" si="291"/>
        <v>0</v>
      </c>
      <c r="H564" s="1320">
        <f t="shared" si="291"/>
        <v>16677.364953174681</v>
      </c>
      <c r="I564" s="1323">
        <f t="shared" si="289"/>
        <v>1</v>
      </c>
      <c r="J564" s="1324">
        <f t="shared" si="292"/>
        <v>16677.364953174681</v>
      </c>
      <c r="K564" s="1320">
        <f t="shared" si="292"/>
        <v>10380.258986107425</v>
      </c>
      <c r="L564" s="1320">
        <f t="shared" si="292"/>
        <v>738.27005339791799</v>
      </c>
      <c r="M564" s="1320">
        <f t="shared" si="292"/>
        <v>4943.1789640516854</v>
      </c>
      <c r="N564" s="1320">
        <f t="shared" si="292"/>
        <v>519.92303901716298</v>
      </c>
      <c r="O564" s="1324">
        <f t="shared" si="292"/>
        <v>3.5499332234407424E-4</v>
      </c>
      <c r="P564" s="1324">
        <f t="shared" si="292"/>
        <v>95.733555607172605</v>
      </c>
      <c r="Q564" s="1320">
        <f t="shared" si="292"/>
        <v>0</v>
      </c>
      <c r="R564" s="1358"/>
      <c r="S564" s="1321"/>
      <c r="T564" s="1321"/>
      <c r="U564" s="1326"/>
      <c r="V564" s="1320" t="s">
        <v>5472</v>
      </c>
      <c r="Y564" s="1324"/>
    </row>
    <row r="565" spans="1:25">
      <c r="A565" s="1320" t="s">
        <v>4871</v>
      </c>
      <c r="B565" s="1321"/>
      <c r="C565" s="1322">
        <v>42</v>
      </c>
      <c r="D565" s="1320" t="s">
        <v>5241</v>
      </c>
      <c r="E565" s="1320" t="s">
        <v>4067</v>
      </c>
      <c r="F565" s="1320">
        <f t="shared" si="291"/>
        <v>7262.5846056962855</v>
      </c>
      <c r="G565" s="1320">
        <f t="shared" si="291"/>
        <v>0</v>
      </c>
      <c r="H565" s="1320">
        <f t="shared" si="291"/>
        <v>7262.5846056962855</v>
      </c>
      <c r="I565" s="1323">
        <f t="shared" si="289"/>
        <v>1</v>
      </c>
      <c r="J565" s="1324">
        <f t="shared" si="292"/>
        <v>7262.5846056962855</v>
      </c>
      <c r="K565" s="1320">
        <f t="shared" si="292"/>
        <v>5299.0232912719466</v>
      </c>
      <c r="L565" s="1320">
        <f t="shared" si="292"/>
        <v>426.67654060360695</v>
      </c>
      <c r="M565" s="1320">
        <f t="shared" si="292"/>
        <v>1510.6128954186211</v>
      </c>
      <c r="N565" s="1320">
        <f t="shared" si="292"/>
        <v>0</v>
      </c>
      <c r="O565" s="1324">
        <f t="shared" si="292"/>
        <v>0</v>
      </c>
      <c r="P565" s="1324">
        <f t="shared" si="292"/>
        <v>26.271878402110545</v>
      </c>
      <c r="Q565" s="1320">
        <f t="shared" si="292"/>
        <v>0</v>
      </c>
      <c r="R565" s="1358"/>
      <c r="S565" s="1321"/>
      <c r="T565" s="1321"/>
      <c r="U565" s="1326"/>
      <c r="V565" s="1320" t="s">
        <v>5473</v>
      </c>
      <c r="Y565" s="1324"/>
    </row>
    <row r="566" spans="1:25">
      <c r="A566" s="1320" t="s">
        <v>4871</v>
      </c>
      <c r="B566" s="1321"/>
      <c r="C566" s="1322">
        <v>43</v>
      </c>
      <c r="D566" s="1320" t="s">
        <v>5242</v>
      </c>
      <c r="E566" s="1320" t="s">
        <v>4071</v>
      </c>
      <c r="F566" s="1320">
        <f t="shared" si="291"/>
        <v>8361.8137246326714</v>
      </c>
      <c r="G566" s="1320">
        <f t="shared" si="291"/>
        <v>0</v>
      </c>
      <c r="H566" s="1320">
        <f t="shared" si="291"/>
        <v>8361.8137246326714</v>
      </c>
      <c r="I566" s="1323">
        <f t="shared" si="289"/>
        <v>1</v>
      </c>
      <c r="J566" s="1324">
        <f t="shared" si="292"/>
        <v>8361.8137246326714</v>
      </c>
      <c r="K566" s="1320">
        <f t="shared" si="292"/>
        <v>3082.6388319444927</v>
      </c>
      <c r="L566" s="1320">
        <f t="shared" si="292"/>
        <v>467.59577849438932</v>
      </c>
      <c r="M566" s="1320">
        <f t="shared" si="292"/>
        <v>225.42757087262808</v>
      </c>
      <c r="N566" s="1320">
        <f t="shared" si="292"/>
        <v>14.532220226506354</v>
      </c>
      <c r="O566" s="1324">
        <f t="shared" si="292"/>
        <v>15.855262302457932</v>
      </c>
      <c r="P566" s="1324">
        <f t="shared" si="292"/>
        <v>3.6389719078889455</v>
      </c>
      <c r="Q566" s="1320">
        <f t="shared" si="292"/>
        <v>4552.1250888843078</v>
      </c>
      <c r="R566" s="1358"/>
      <c r="S566" s="1321"/>
      <c r="T566" s="1321"/>
      <c r="U566" s="1326"/>
      <c r="V566" s="1320" t="s">
        <v>5474</v>
      </c>
      <c r="Y566" s="1324"/>
    </row>
    <row r="567" spans="1:25">
      <c r="A567" s="1320" t="s">
        <v>4871</v>
      </c>
      <c r="B567" s="1321"/>
      <c r="C567" s="1322">
        <v>44</v>
      </c>
      <c r="D567" s="1320" t="s">
        <v>5244</v>
      </c>
      <c r="E567" s="1320" t="s">
        <v>4071</v>
      </c>
      <c r="F567" s="1320">
        <f t="shared" si="291"/>
        <v>4305.739175045821</v>
      </c>
      <c r="G567" s="1320">
        <f t="shared" si="291"/>
        <v>0</v>
      </c>
      <c r="H567" s="1320">
        <f t="shared" si="291"/>
        <v>4305.739175045821</v>
      </c>
      <c r="I567" s="1323">
        <f t="shared" si="289"/>
        <v>1</v>
      </c>
      <c r="J567" s="1324">
        <f t="shared" si="292"/>
        <v>4305.739175045821</v>
      </c>
      <c r="K567" s="1320">
        <f t="shared" si="292"/>
        <v>3840.2319971217353</v>
      </c>
      <c r="L567" s="1320">
        <f t="shared" si="292"/>
        <v>372.27592160961007</v>
      </c>
      <c r="M567" s="1320">
        <f t="shared" si="292"/>
        <v>91.68838687353832</v>
      </c>
      <c r="N567" s="1320">
        <f t="shared" si="292"/>
        <v>0.30957250918473972</v>
      </c>
      <c r="O567" s="1324">
        <f t="shared" si="292"/>
        <v>5.4924154855357045E-2</v>
      </c>
      <c r="P567" s="1324">
        <f t="shared" si="292"/>
        <v>1.1783727768967511</v>
      </c>
      <c r="Q567" s="1320">
        <f t="shared" si="292"/>
        <v>0</v>
      </c>
      <c r="R567" s="1358"/>
      <c r="S567" s="1321"/>
      <c r="T567" s="1321"/>
      <c r="U567" s="1326"/>
      <c r="V567" s="1320" t="s">
        <v>5475</v>
      </c>
      <c r="Y567" s="1324"/>
    </row>
    <row r="568" spans="1:25">
      <c r="A568" s="1320" t="s">
        <v>4871</v>
      </c>
      <c r="B568" s="1321"/>
      <c r="C568" s="1322">
        <v>45</v>
      </c>
      <c r="D568" s="1320" t="s">
        <v>5476</v>
      </c>
      <c r="F568" s="1427">
        <f>SUM(F560:F567)</f>
        <v>101022.85938926737</v>
      </c>
      <c r="G568" s="1427">
        <f>SUM(G560:G567)</f>
        <v>528.40056472214428</v>
      </c>
      <c r="H568" s="1427">
        <f>SUM(H560:H567)</f>
        <v>100494.45882454522</v>
      </c>
      <c r="I568" s="1323">
        <f t="shared" si="289"/>
        <v>0.99476949506362633</v>
      </c>
      <c r="J568" s="1421">
        <f t="shared" ref="J568:Q568" si="293">SUM(J560:J567)</f>
        <v>100494.45882454522</v>
      </c>
      <c r="K568" s="1421">
        <f t="shared" si="293"/>
        <v>59228.356812092017</v>
      </c>
      <c r="L568" s="1421">
        <f t="shared" si="293"/>
        <v>5054.610312345174</v>
      </c>
      <c r="M568" s="1421">
        <f t="shared" si="293"/>
        <v>26547.302749055205</v>
      </c>
      <c r="N568" s="1422">
        <f t="shared" si="293"/>
        <v>3071.5060414399468</v>
      </c>
      <c r="O568" s="1422">
        <f>SUM(O560:O567)</f>
        <v>1842.4036386980879</v>
      </c>
      <c r="P568" s="1422">
        <f>SUM(P560:P567)</f>
        <v>198.15418203049592</v>
      </c>
      <c r="Q568" s="1421">
        <f t="shared" si="293"/>
        <v>4552.1250888843078</v>
      </c>
      <c r="R568" s="1358"/>
      <c r="S568" s="1321"/>
      <c r="T568" s="1321"/>
      <c r="U568" s="1326"/>
      <c r="V568" s="1320" t="s">
        <v>5477</v>
      </c>
      <c r="Y568" s="1324"/>
    </row>
    <row r="569" spans="1:25">
      <c r="B569" s="1321"/>
      <c r="G569" s="1320"/>
      <c r="S569" s="1321"/>
      <c r="T569" s="1321"/>
      <c r="U569" s="1326"/>
      <c r="Y569" s="1324"/>
    </row>
    <row r="570" spans="1:25">
      <c r="B570" s="1321"/>
      <c r="G570" s="1320"/>
      <c r="S570" s="1321"/>
      <c r="T570" s="1321"/>
      <c r="U570" s="1326"/>
      <c r="Y570" s="1324"/>
    </row>
    <row r="571" spans="1:25">
      <c r="B571" s="1321"/>
      <c r="G571" s="1320"/>
      <c r="S571" s="1321"/>
      <c r="T571" s="1321"/>
      <c r="U571" s="1326"/>
      <c r="Y571" s="1324"/>
    </row>
    <row r="572" spans="1:25">
      <c r="B572" s="1321"/>
      <c r="G572" s="1320"/>
      <c r="S572" s="1321"/>
      <c r="T572" s="1321"/>
      <c r="U572" s="1326"/>
      <c r="Y572" s="1324"/>
    </row>
    <row r="573" spans="1:25">
      <c r="B573" s="1321"/>
      <c r="G573" s="1320"/>
      <c r="S573" s="1321"/>
      <c r="T573" s="1321"/>
      <c r="U573" s="1326"/>
    </row>
    <row r="574" spans="1:25">
      <c r="B574" s="1432"/>
      <c r="C574" s="1340" t="str">
        <f>+C$2</f>
        <v>RATES WITH REVENUE DEFICIENCY ADDITION</v>
      </c>
      <c r="F574" s="1333"/>
      <c r="G574" s="1327" t="s">
        <v>2173</v>
      </c>
      <c r="I574" s="1334" t="s">
        <v>5455</v>
      </c>
      <c r="L574" s="1329" t="s">
        <v>2173</v>
      </c>
      <c r="M574" s="1330"/>
      <c r="N574" s="1330"/>
      <c r="O574" s="1330"/>
      <c r="S574" s="1334" t="s">
        <v>5478</v>
      </c>
      <c r="T574" s="1333" t="s">
        <v>2173</v>
      </c>
      <c r="U574" s="1334"/>
      <c r="V574" s="1332" t="s">
        <v>4772</v>
      </c>
      <c r="Y574" s="1324"/>
    </row>
    <row r="575" spans="1:25">
      <c r="B575" s="1432"/>
      <c r="C575" s="1340" t="str">
        <f>+C$3</f>
        <v>PROD. CAP. ALLOC. METHOD: 12 CP &amp; 1/13th AD</v>
      </c>
      <c r="G575" s="1336" t="s">
        <v>4768</v>
      </c>
      <c r="I575" s="1335" t="s">
        <v>2629</v>
      </c>
      <c r="L575" s="1336" t="s">
        <v>5141</v>
      </c>
      <c r="M575" s="1337"/>
      <c r="N575" s="1337"/>
      <c r="O575" s="1337"/>
      <c r="R575" s="1331"/>
      <c r="S575" s="1335" t="s">
        <v>2630</v>
      </c>
      <c r="T575" s="1333" t="s">
        <v>5141</v>
      </c>
      <c r="U575" s="1326"/>
      <c r="V575" s="1332" t="s">
        <v>5478</v>
      </c>
      <c r="Y575" s="1324"/>
    </row>
    <row r="576" spans="1:25">
      <c r="B576" s="1321"/>
      <c r="C576" s="1340" t="str">
        <f>+C$4</f>
        <v>PROJECTED CALENDAR YEAR 2025; FULLY ADJUSTED DATA</v>
      </c>
      <c r="G576" s="1336" t="s">
        <v>2181</v>
      </c>
      <c r="L576" s="1336" t="s">
        <v>2181</v>
      </c>
      <c r="S576" s="1321"/>
      <c r="T576" s="1339"/>
      <c r="U576" s="1326"/>
      <c r="Y576" s="1324"/>
    </row>
    <row r="577" spans="1:25">
      <c r="B577" s="1321"/>
      <c r="C577" s="1340" t="str">
        <f>+C$5</f>
        <v>MINIMUM DISTRIBUTION SYSTEM (MDS) NOT EMPLOYED</v>
      </c>
      <c r="D577" s="1358"/>
      <c r="G577" s="1320"/>
      <c r="L577" s="1336"/>
      <c r="M577" s="1337"/>
      <c r="N577" s="1337"/>
      <c r="O577" s="1337"/>
      <c r="S577" s="1321"/>
      <c r="T577" s="1333"/>
      <c r="U577" s="1326"/>
      <c r="Y577" s="1324"/>
    </row>
    <row r="578" spans="1:25">
      <c r="B578" s="1321"/>
      <c r="C578" s="1340" t="str">
        <f>+C$6</f>
        <v>Tampa Electric 2025 OB Budget</v>
      </c>
      <c r="F578" s="1327"/>
      <c r="G578" s="1333" t="s">
        <v>5456</v>
      </c>
      <c r="L578" s="1336" t="s">
        <v>5456</v>
      </c>
      <c r="M578" s="1337"/>
      <c r="N578" s="1337"/>
      <c r="O578" s="1337"/>
      <c r="S578" s="1321"/>
      <c r="T578" s="1333" t="s">
        <v>5456</v>
      </c>
      <c r="U578" s="1326"/>
      <c r="Y578" s="1324"/>
    </row>
    <row r="579" spans="1:25">
      <c r="B579" s="1321"/>
      <c r="F579" s="1333"/>
      <c r="G579" s="1320"/>
      <c r="L579" s="1336"/>
      <c r="M579" s="1337"/>
      <c r="N579" s="1337"/>
      <c r="O579" s="1337"/>
      <c r="S579" s="1321"/>
      <c r="T579" s="1321"/>
      <c r="U579" s="1326"/>
      <c r="Y579" s="1324"/>
    </row>
    <row r="580" spans="1:25">
      <c r="B580" s="1321"/>
      <c r="F580" s="1333"/>
      <c r="G580" s="1320"/>
      <c r="L580" s="1336"/>
      <c r="M580" s="1337"/>
      <c r="N580" s="1337"/>
      <c r="O580" s="1337"/>
      <c r="S580" s="1321"/>
      <c r="T580" s="1321"/>
      <c r="U580" s="1326"/>
    </row>
    <row r="581" spans="1:25">
      <c r="B581" s="1321"/>
      <c r="G581" s="1320"/>
      <c r="S581" s="1321"/>
      <c r="T581" s="1321"/>
      <c r="U581" s="1326"/>
    </row>
    <row r="582" spans="1:25">
      <c r="B582" s="1321"/>
      <c r="F582" s="1336"/>
      <c r="G582" s="1320"/>
      <c r="S582" s="1321"/>
      <c r="T582" s="1321"/>
      <c r="U582" s="1326"/>
    </row>
    <row r="583" spans="1:25" ht="30" customHeight="1">
      <c r="A583" s="1418" t="s">
        <v>4683</v>
      </c>
      <c r="B583" s="1425" t="s">
        <v>5143</v>
      </c>
      <c r="C583" s="1349" t="s">
        <v>4297</v>
      </c>
      <c r="D583" s="1418"/>
      <c r="E583" s="1418"/>
      <c r="F583" s="1348" t="s">
        <v>5144</v>
      </c>
      <c r="G583" s="1348" t="s">
        <v>4956</v>
      </c>
      <c r="H583" s="1348" t="s">
        <v>4957</v>
      </c>
      <c r="I583" s="1426" t="s">
        <v>5145</v>
      </c>
      <c r="J583" s="1352" t="s">
        <v>4957</v>
      </c>
      <c r="K583" s="1353" t="s">
        <v>1949</v>
      </c>
      <c r="L583" s="1353" t="s">
        <v>1950</v>
      </c>
      <c r="M583" s="1354" t="s">
        <v>1934</v>
      </c>
      <c r="N583" s="1354" t="s">
        <v>1971</v>
      </c>
      <c r="O583" s="1354" t="s">
        <v>1972</v>
      </c>
      <c r="P583" s="1352" t="s">
        <v>5146</v>
      </c>
      <c r="Q583" s="1352" t="s">
        <v>5147</v>
      </c>
      <c r="R583" s="1355"/>
      <c r="S583" s="1348" t="s">
        <v>5299</v>
      </c>
      <c r="T583" s="1348"/>
      <c r="U583" s="1352"/>
      <c r="V583" s="1355" t="s">
        <v>4774</v>
      </c>
    </row>
    <row r="584" spans="1:25">
      <c r="B584" s="1321"/>
      <c r="G584" s="1320"/>
      <c r="S584" s="1321"/>
      <c r="T584" s="1321"/>
      <c r="U584" s="1326"/>
    </row>
    <row r="585" spans="1:25">
      <c r="A585" s="1320" t="s">
        <v>4871</v>
      </c>
      <c r="B585" s="1321"/>
      <c r="C585" s="1322">
        <v>46</v>
      </c>
      <c r="D585" s="1356" t="s">
        <v>5479</v>
      </c>
      <c r="G585" s="1320"/>
      <c r="T585" s="1321"/>
      <c r="U585" s="1326"/>
    </row>
    <row r="586" spans="1:25">
      <c r="A586" s="1320" t="s">
        <v>4871</v>
      </c>
      <c r="B586" s="1324">
        <v>507</v>
      </c>
      <c r="C586" s="1322">
        <v>47</v>
      </c>
      <c r="D586" s="1320" t="s">
        <v>5265</v>
      </c>
      <c r="E586" s="1320" t="s">
        <v>4067</v>
      </c>
      <c r="F586" s="1358">
        <f>+'0 MDS Allocation Assignment'!F211</f>
        <v>629.49179060332824</v>
      </c>
      <c r="G586" s="1358">
        <f t="shared" ref="G586:H593" si="294">+$F586*G$2043</f>
        <v>0</v>
      </c>
      <c r="H586" s="1358">
        <f t="shared" si="294"/>
        <v>629.49179060332824</v>
      </c>
      <c r="I586" s="1323">
        <f t="shared" ref="I586:I594" si="295">IF(F586=0,0,+H586/F586)</f>
        <v>1</v>
      </c>
      <c r="J586" s="1364">
        <f t="shared" ref="J586:J593" si="296">+H586</f>
        <v>629.49179060332824</v>
      </c>
      <c r="K586" s="1324">
        <f t="shared" ref="K586:Q586" si="297">$J586*K$1951</f>
        <v>365.11344720075834</v>
      </c>
      <c r="L586" s="1324">
        <f t="shared" si="297"/>
        <v>30.118176657160337</v>
      </c>
      <c r="M586" s="1324">
        <f t="shared" si="297"/>
        <v>192.53037236969587</v>
      </c>
      <c r="N586" s="1324">
        <f t="shared" si="297"/>
        <v>24.034864211309063</v>
      </c>
      <c r="O586" s="1324">
        <f t="shared" si="297"/>
        <v>17.248625137824469</v>
      </c>
      <c r="P586" s="1324">
        <f t="shared" si="297"/>
        <v>0.446305026580185</v>
      </c>
      <c r="Q586" s="1324">
        <f t="shared" si="297"/>
        <v>0</v>
      </c>
      <c r="R586" s="1324"/>
      <c r="S586" s="1324">
        <v>122</v>
      </c>
      <c r="T586" s="1321"/>
      <c r="U586" s="1326"/>
      <c r="V586" s="1321" t="s">
        <v>5227</v>
      </c>
      <c r="W586" s="1321">
        <v>122</v>
      </c>
      <c r="Y586" s="1324"/>
    </row>
    <row r="587" spans="1:25">
      <c r="A587" s="1320" t="s">
        <v>4871</v>
      </c>
      <c r="B587" s="1324">
        <v>507</v>
      </c>
      <c r="C587" s="1322">
        <v>48</v>
      </c>
      <c r="D587" s="1324" t="s">
        <v>5265</v>
      </c>
      <c r="E587" s="1324" t="s">
        <v>2067</v>
      </c>
      <c r="F587" s="1358">
        <f>+'0 MDS Allocation Assignment'!F212</f>
        <v>47.341460586045002</v>
      </c>
      <c r="G587" s="1364">
        <f t="shared" si="294"/>
        <v>0</v>
      </c>
      <c r="H587" s="1364">
        <f t="shared" si="294"/>
        <v>47.341460586045002</v>
      </c>
      <c r="I587" s="1374">
        <f t="shared" si="295"/>
        <v>1</v>
      </c>
      <c r="J587" s="1364">
        <f t="shared" si="296"/>
        <v>47.341460586045002</v>
      </c>
      <c r="K587" s="1364">
        <f t="shared" ref="K587:Q587" si="298">+$J587*K$1972</f>
        <v>23.890119389940729</v>
      </c>
      <c r="L587" s="1364">
        <f t="shared" si="298"/>
        <v>2.207726696774559</v>
      </c>
      <c r="M587" s="1364">
        <f t="shared" si="298"/>
        <v>16.446706381654472</v>
      </c>
      <c r="N587" s="1367">
        <f t="shared" si="298"/>
        <v>2.6180512132815696</v>
      </c>
      <c r="O587" s="1367">
        <f t="shared" si="298"/>
        <v>1.9287493904033337</v>
      </c>
      <c r="P587" s="1367">
        <f t="shared" si="298"/>
        <v>0.25010751399033992</v>
      </c>
      <c r="Q587" s="1364">
        <f t="shared" si="298"/>
        <v>0</v>
      </c>
      <c r="R587" s="1364"/>
      <c r="S587" s="1324">
        <v>204</v>
      </c>
      <c r="T587" s="1321"/>
      <c r="U587" s="1326"/>
      <c r="V587" s="1321" t="s">
        <v>5254</v>
      </c>
      <c r="W587" s="1321">
        <v>204</v>
      </c>
      <c r="Y587" s="1324"/>
    </row>
    <row r="588" spans="1:25">
      <c r="A588" s="1320" t="s">
        <v>4871</v>
      </c>
      <c r="B588" s="1324">
        <v>507</v>
      </c>
      <c r="C588" s="1322">
        <v>49</v>
      </c>
      <c r="D588" s="1320" t="s">
        <v>5268</v>
      </c>
      <c r="E588" s="1320" t="s">
        <v>4067</v>
      </c>
      <c r="F588" s="1358">
        <f>+'0 MDS Allocation Assignment'!F213</f>
        <v>49.656656751753495</v>
      </c>
      <c r="G588" s="1358">
        <f t="shared" si="294"/>
        <v>0</v>
      </c>
      <c r="H588" s="1358">
        <f t="shared" si="294"/>
        <v>49.656656751753495</v>
      </c>
      <c r="I588" s="1323">
        <f t="shared" si="295"/>
        <v>1</v>
      </c>
      <c r="J588" s="1364">
        <f t="shared" si="296"/>
        <v>49.656656751753495</v>
      </c>
      <c r="K588" s="1364">
        <f t="shared" ref="K588:Q589" si="299">+$J588*K$1945</f>
        <v>28.801508444964416</v>
      </c>
      <c r="L588" s="1364">
        <f t="shared" si="299"/>
        <v>2.3758339387077272</v>
      </c>
      <c r="M588" s="1364">
        <f t="shared" si="299"/>
        <v>15.187512780565759</v>
      </c>
      <c r="N588" s="1367">
        <f t="shared" si="299"/>
        <v>1.8959595979354913</v>
      </c>
      <c r="O588" s="1367">
        <f t="shared" si="299"/>
        <v>1.3606357869857311</v>
      </c>
      <c r="P588" s="1367">
        <f t="shared" si="299"/>
        <v>3.5206202594371516E-2</v>
      </c>
      <c r="Q588" s="1364">
        <f t="shared" si="299"/>
        <v>0</v>
      </c>
      <c r="R588" s="1358"/>
      <c r="S588" s="1320">
        <v>117</v>
      </c>
      <c r="T588" s="1321"/>
      <c r="U588" s="1326"/>
      <c r="V588" s="1321" t="s">
        <v>5228</v>
      </c>
      <c r="W588" s="1321">
        <v>117</v>
      </c>
      <c r="Y588" s="1324"/>
    </row>
    <row r="589" spans="1:25">
      <c r="A589" s="1320" t="s">
        <v>4871</v>
      </c>
      <c r="B589" s="1324">
        <v>507</v>
      </c>
      <c r="C589" s="1322">
        <v>50</v>
      </c>
      <c r="D589" s="1320" t="s">
        <v>5239</v>
      </c>
      <c r="E589" s="1320" t="s">
        <v>4067</v>
      </c>
      <c r="F589" s="1358">
        <f>+'0 MDS Allocation Assignment'!F214</f>
        <v>53.903683129404769</v>
      </c>
      <c r="G589" s="1358">
        <f t="shared" si="294"/>
        <v>0</v>
      </c>
      <c r="H589" s="1358">
        <f t="shared" si="294"/>
        <v>53.903683129404769</v>
      </c>
      <c r="I589" s="1323">
        <f t="shared" si="295"/>
        <v>1</v>
      </c>
      <c r="J589" s="1364">
        <f t="shared" si="296"/>
        <v>53.903683129404769</v>
      </c>
      <c r="K589" s="1364">
        <f t="shared" si="299"/>
        <v>31.264839125751546</v>
      </c>
      <c r="L589" s="1364">
        <f t="shared" si="299"/>
        <v>2.5790338733520293</v>
      </c>
      <c r="M589" s="1364">
        <f t="shared" si="299"/>
        <v>16.48646787761226</v>
      </c>
      <c r="N589" s="1367">
        <f t="shared" si="299"/>
        <v>2.0581169188290045</v>
      </c>
      <c r="O589" s="1367">
        <f t="shared" si="299"/>
        <v>1.4770080209561673</v>
      </c>
      <c r="P589" s="1367">
        <f t="shared" si="299"/>
        <v>3.8217312903765246E-2</v>
      </c>
      <c r="Q589" s="1364">
        <f t="shared" si="299"/>
        <v>0</v>
      </c>
      <c r="R589" s="1358"/>
      <c r="S589" s="1320">
        <v>117</v>
      </c>
      <c r="T589" s="1321"/>
      <c r="U589" s="1326"/>
      <c r="V589" s="1321" t="s">
        <v>5228</v>
      </c>
      <c r="W589" s="1321">
        <v>117</v>
      </c>
    </row>
    <row r="590" spans="1:25">
      <c r="A590" s="1320" t="s">
        <v>4871</v>
      </c>
      <c r="B590" s="1324">
        <v>507</v>
      </c>
      <c r="C590" s="1322">
        <v>51</v>
      </c>
      <c r="D590" s="1320" t="s">
        <v>5240</v>
      </c>
      <c r="E590" s="1320" t="s">
        <v>4067</v>
      </c>
      <c r="F590" s="1358">
        <f>+'0 MDS Allocation Assignment'!F215</f>
        <v>175.64496277997245</v>
      </c>
      <c r="G590" s="1358">
        <f t="shared" si="294"/>
        <v>0</v>
      </c>
      <c r="H590" s="1358">
        <f t="shared" si="294"/>
        <v>175.64496277997245</v>
      </c>
      <c r="I590" s="1323">
        <f t="shared" si="295"/>
        <v>1</v>
      </c>
      <c r="J590" s="1364">
        <f t="shared" si="296"/>
        <v>175.64496277997245</v>
      </c>
      <c r="K590" s="1364">
        <f t="shared" ref="K590:Q590" si="300">+$J590*K$1936</f>
        <v>109.32423727492055</v>
      </c>
      <c r="L590" s="1364">
        <f t="shared" si="300"/>
        <v>7.7754139466715397</v>
      </c>
      <c r="M590" s="1364">
        <f t="shared" si="300"/>
        <v>52.061251138497333</v>
      </c>
      <c r="N590" s="1367">
        <f t="shared" si="300"/>
        <v>5.4757968715696803</v>
      </c>
      <c r="O590" s="1367">
        <f t="shared" si="300"/>
        <v>3.7387674291072149E-6</v>
      </c>
      <c r="P590" s="1367">
        <f t="shared" si="300"/>
        <v>1.008259809545953</v>
      </c>
      <c r="Q590" s="1364">
        <f t="shared" si="300"/>
        <v>0</v>
      </c>
      <c r="R590" s="1358"/>
      <c r="S590" s="1320">
        <v>105</v>
      </c>
      <c r="T590" s="1321"/>
      <c r="U590" s="1326"/>
      <c r="V590" s="1321" t="s">
        <v>5229</v>
      </c>
      <c r="W590" s="1321">
        <v>105</v>
      </c>
    </row>
    <row r="591" spans="1:25">
      <c r="A591" s="1320" t="s">
        <v>4871</v>
      </c>
      <c r="B591" s="1324">
        <v>507</v>
      </c>
      <c r="C591" s="1322">
        <v>52</v>
      </c>
      <c r="D591" s="1320" t="s">
        <v>5241</v>
      </c>
      <c r="E591" s="1320" t="s">
        <v>4067</v>
      </c>
      <c r="F591" s="1358">
        <f>+'0 MDS Allocation Assignment'!F216</f>
        <v>77.213963677878439</v>
      </c>
      <c r="G591" s="1358">
        <f t="shared" si="294"/>
        <v>0</v>
      </c>
      <c r="H591" s="1358">
        <f t="shared" si="294"/>
        <v>77.213963677878439</v>
      </c>
      <c r="I591" s="1323">
        <f t="shared" si="295"/>
        <v>1</v>
      </c>
      <c r="J591" s="1364">
        <f t="shared" si="296"/>
        <v>77.213963677878439</v>
      </c>
      <c r="K591" s="1364">
        <f t="shared" ref="K591:Q591" si="301">+$J591*K$1939</f>
        <v>56.337876135664892</v>
      </c>
      <c r="L591" s="1364">
        <f t="shared" si="301"/>
        <v>4.5363171235939301</v>
      </c>
      <c r="M591" s="1364">
        <f t="shared" si="301"/>
        <v>16.060454448503531</v>
      </c>
      <c r="N591" s="1367">
        <f t="shared" si="301"/>
        <v>0</v>
      </c>
      <c r="O591" s="1367">
        <f t="shared" si="301"/>
        <v>0</v>
      </c>
      <c r="P591" s="1367">
        <f t="shared" si="301"/>
        <v>0.279315970116085</v>
      </c>
      <c r="Q591" s="1364">
        <f t="shared" si="301"/>
        <v>0</v>
      </c>
      <c r="R591" s="1358"/>
      <c r="S591" s="1320">
        <v>106</v>
      </c>
      <c r="T591" s="1321"/>
      <c r="U591" s="1326"/>
      <c r="V591" s="1321" t="s">
        <v>5230</v>
      </c>
      <c r="W591" s="1321">
        <v>106</v>
      </c>
      <c r="Y591" s="1324"/>
    </row>
    <row r="592" spans="1:25">
      <c r="A592" s="1320" t="s">
        <v>4871</v>
      </c>
      <c r="B592" s="1324">
        <v>507</v>
      </c>
      <c r="C592" s="1322">
        <v>53</v>
      </c>
      <c r="D592" s="1320" t="s">
        <v>5242</v>
      </c>
      <c r="E592" s="1320" t="s">
        <v>4071</v>
      </c>
      <c r="F592" s="1358">
        <f>+'0 MDS Allocation Assignment'!F217</f>
        <v>75.315942309210087</v>
      </c>
      <c r="G592" s="1358">
        <f t="shared" si="294"/>
        <v>0</v>
      </c>
      <c r="H592" s="1358">
        <f t="shared" si="294"/>
        <v>75.315942309210087</v>
      </c>
      <c r="I592" s="1323">
        <f t="shared" si="295"/>
        <v>1</v>
      </c>
      <c r="J592" s="1364">
        <f t="shared" si="296"/>
        <v>75.315942309210087</v>
      </c>
      <c r="K592" s="1364">
        <f t="shared" ref="K592:Q592" si="302">+$J592*K$2052</f>
        <v>27.7657283542347</v>
      </c>
      <c r="L592" s="1364">
        <f t="shared" si="302"/>
        <v>4.2116959115422867</v>
      </c>
      <c r="M592" s="1364">
        <f t="shared" si="302"/>
        <v>2.030455410975335</v>
      </c>
      <c r="N592" s="1367">
        <f t="shared" si="302"/>
        <v>0.13089359512757737</v>
      </c>
      <c r="O592" s="1367">
        <f t="shared" si="302"/>
        <v>0.14281040695172548</v>
      </c>
      <c r="P592" s="1367">
        <f t="shared" si="302"/>
        <v>3.2776692629736835E-2</v>
      </c>
      <c r="Q592" s="1364">
        <f t="shared" si="302"/>
        <v>41.001581937748732</v>
      </c>
      <c r="R592" s="1358"/>
      <c r="S592" s="1320">
        <v>907</v>
      </c>
      <c r="T592" s="1321"/>
      <c r="U592" s="1326"/>
      <c r="V592" s="1321" t="s">
        <v>5243</v>
      </c>
      <c r="W592" s="1321">
        <v>907</v>
      </c>
      <c r="Y592" s="1324"/>
    </row>
    <row r="593" spans="1:25">
      <c r="A593" s="1320" t="s">
        <v>4871</v>
      </c>
      <c r="B593" s="1324">
        <v>507</v>
      </c>
      <c r="C593" s="1322">
        <v>54</v>
      </c>
      <c r="D593" s="1320" t="s">
        <v>5244</v>
      </c>
      <c r="E593" s="1320" t="s">
        <v>4071</v>
      </c>
      <c r="F593" s="1358">
        <f>+'0 MDS Allocation Assignment'!F218</f>
        <v>23.009894132233089</v>
      </c>
      <c r="G593" s="1358">
        <f t="shared" si="294"/>
        <v>0</v>
      </c>
      <c r="H593" s="1358">
        <f t="shared" si="294"/>
        <v>23.009894132233089</v>
      </c>
      <c r="I593" s="1323">
        <f t="shared" si="295"/>
        <v>1</v>
      </c>
      <c r="J593" s="1364">
        <f t="shared" si="296"/>
        <v>23.009894132233089</v>
      </c>
      <c r="K593" s="1364">
        <f t="shared" ref="K593:Q593" si="303">+$J593*K$2018</f>
        <v>20.522221180767371</v>
      </c>
      <c r="L593" s="1364">
        <f t="shared" si="303"/>
        <v>1.9894445984702438</v>
      </c>
      <c r="M593" s="1364">
        <f t="shared" si="303"/>
        <v>0.48998325011010341</v>
      </c>
      <c r="N593" s="1367">
        <f t="shared" si="303"/>
        <v>1.6543572132454614E-3</v>
      </c>
      <c r="O593" s="1367">
        <f t="shared" si="303"/>
        <v>2.9351498944677542E-4</v>
      </c>
      <c r="P593" s="1367">
        <f t="shared" si="303"/>
        <v>6.2972306826762723E-3</v>
      </c>
      <c r="Q593" s="1364">
        <f t="shared" si="303"/>
        <v>0</v>
      </c>
      <c r="R593" s="1358"/>
      <c r="S593" s="1320">
        <v>412</v>
      </c>
      <c r="T593" s="1321"/>
      <c r="U593" s="1326"/>
      <c r="V593" s="1321" t="s">
        <v>5245</v>
      </c>
      <c r="W593" s="1321">
        <v>412</v>
      </c>
      <c r="Y593" s="1324"/>
    </row>
    <row r="594" spans="1:25">
      <c r="A594" s="1320" t="s">
        <v>4871</v>
      </c>
      <c r="B594" s="1321"/>
      <c r="C594" s="1322">
        <v>55</v>
      </c>
      <c r="D594" s="1320" t="s">
        <v>5480</v>
      </c>
      <c r="F594" s="1427">
        <f>+SUM(F586:F593)</f>
        <v>1131.5783539698255</v>
      </c>
      <c r="G594" s="1427">
        <f>SUM(G586:G593)</f>
        <v>0</v>
      </c>
      <c r="H594" s="1427">
        <f>SUM(H586:H593)</f>
        <v>1131.5783539698255</v>
      </c>
      <c r="I594" s="1323">
        <f t="shared" si="295"/>
        <v>1</v>
      </c>
      <c r="J594" s="1421">
        <f t="shared" ref="J594:Q594" si="304">SUM(J586:J593)</f>
        <v>1131.5783539698255</v>
      </c>
      <c r="K594" s="1421">
        <f t="shared" si="304"/>
        <v>663.01997710700266</v>
      </c>
      <c r="L594" s="1421">
        <f t="shared" si="304"/>
        <v>55.79364274627266</v>
      </c>
      <c r="M594" s="1421">
        <f t="shared" si="304"/>
        <v>311.2932036576147</v>
      </c>
      <c r="N594" s="1422">
        <f t="shared" si="304"/>
        <v>36.215336765265626</v>
      </c>
      <c r="O594" s="1422">
        <f>SUM(O586:O593)</f>
        <v>22.158125996878301</v>
      </c>
      <c r="P594" s="1422">
        <f>SUM(P586:P593)</f>
        <v>2.0964857590431127</v>
      </c>
      <c r="Q594" s="1421">
        <f t="shared" si="304"/>
        <v>41.001581937748732</v>
      </c>
      <c r="R594" s="1358"/>
      <c r="S594" s="1321"/>
      <c r="T594" s="1321"/>
      <c r="U594" s="1326"/>
      <c r="V594" s="1320" t="s">
        <v>5481</v>
      </c>
      <c r="Y594" s="1324"/>
    </row>
    <row r="595" spans="1:25">
      <c r="A595" s="1320" t="s">
        <v>4871</v>
      </c>
      <c r="B595" s="1321"/>
      <c r="C595" s="1322">
        <v>56</v>
      </c>
      <c r="G595" s="1320"/>
      <c r="M595" s="1324"/>
      <c r="P595" s="1325"/>
      <c r="S595" s="1321"/>
      <c r="T595" s="1321"/>
      <c r="U595" s="1326"/>
      <c r="Y595" s="1324"/>
    </row>
    <row r="596" spans="1:25">
      <c r="A596" s="1320" t="s">
        <v>4871</v>
      </c>
      <c r="B596" s="1321"/>
      <c r="C596" s="1322">
        <v>57</v>
      </c>
      <c r="G596" s="1320"/>
      <c r="M596" s="1324"/>
      <c r="P596" s="1325"/>
      <c r="S596" s="1321"/>
      <c r="T596" s="1321"/>
      <c r="U596" s="1326"/>
      <c r="Y596" s="1324"/>
    </row>
    <row r="597" spans="1:25">
      <c r="A597" s="1320" t="s">
        <v>4871</v>
      </c>
      <c r="C597" s="1322">
        <v>58</v>
      </c>
      <c r="D597" s="1356" t="s">
        <v>5482</v>
      </c>
      <c r="G597" s="1320"/>
      <c r="M597" s="1324"/>
      <c r="P597" s="1325"/>
      <c r="S597" s="1321"/>
      <c r="Y597" s="1324"/>
    </row>
    <row r="598" spans="1:25">
      <c r="A598" s="1320" t="s">
        <v>4871</v>
      </c>
      <c r="C598" s="1322">
        <v>59</v>
      </c>
      <c r="D598" s="1320" t="s">
        <v>5265</v>
      </c>
      <c r="E598" s="1320" t="s">
        <v>4067</v>
      </c>
      <c r="F598" s="1320">
        <f t="shared" ref="F598:H605" si="305">+F560+F586</f>
        <v>51196.763326436805</v>
      </c>
      <c r="G598" s="1320">
        <f t="shared" si="305"/>
        <v>0</v>
      </c>
      <c r="H598" s="1320">
        <f t="shared" si="305"/>
        <v>51196.763326436805</v>
      </c>
      <c r="I598" s="1323">
        <f t="shared" ref="I598:I605" si="306">IF(F598=0,0,+H598/F598)</f>
        <v>1</v>
      </c>
      <c r="J598" s="1324">
        <f t="shared" ref="J598:Q605" si="307">+J560+J586</f>
        <v>51196.763326436805</v>
      </c>
      <c r="K598" s="1324">
        <f t="shared" si="307"/>
        <v>29694.790341461008</v>
      </c>
      <c r="L598" s="1324">
        <f t="shared" si="307"/>
        <v>2449.520685031629</v>
      </c>
      <c r="M598" s="1324">
        <f t="shared" si="307"/>
        <v>15658.555130504275</v>
      </c>
      <c r="N598" s="1325">
        <f t="shared" si="307"/>
        <v>1954.7629897287027</v>
      </c>
      <c r="O598" s="1325">
        <f t="shared" si="307"/>
        <v>1402.8360529392405</v>
      </c>
      <c r="P598" s="1325">
        <f t="shared" si="307"/>
        <v>36.298126771955417</v>
      </c>
      <c r="Q598" s="1324">
        <f t="shared" si="307"/>
        <v>0</v>
      </c>
      <c r="S598" s="1321"/>
      <c r="V598" s="1324" t="s">
        <v>5483</v>
      </c>
      <c r="Y598" s="1324"/>
    </row>
    <row r="599" spans="1:25" s="1324" customFormat="1">
      <c r="A599" s="1320" t="s">
        <v>4871</v>
      </c>
      <c r="C599" s="1393">
        <v>60</v>
      </c>
      <c r="D599" s="1320" t="s">
        <v>5265</v>
      </c>
      <c r="E599" s="1320" t="s">
        <v>2067</v>
      </c>
      <c r="F599" s="1358">
        <f t="shared" si="305"/>
        <v>5739.4427931324281</v>
      </c>
      <c r="G599" s="1358">
        <f t="shared" si="305"/>
        <v>0</v>
      </c>
      <c r="H599" s="1358">
        <f t="shared" si="305"/>
        <v>5739.4427931324281</v>
      </c>
      <c r="I599" s="1323">
        <f t="shared" si="306"/>
        <v>1</v>
      </c>
      <c r="J599" s="1364">
        <f t="shared" si="307"/>
        <v>5739.4427931324281</v>
      </c>
      <c r="K599" s="1364">
        <f t="shared" si="307"/>
        <v>2896.3190375264148</v>
      </c>
      <c r="L599" s="1364">
        <f t="shared" si="307"/>
        <v>267.65378427601598</v>
      </c>
      <c r="M599" s="1364">
        <f t="shared" si="307"/>
        <v>1993.91673269956</v>
      </c>
      <c r="N599" s="1367">
        <f t="shared" si="307"/>
        <v>317.39948413314949</v>
      </c>
      <c r="O599" s="1367">
        <f t="shared" si="307"/>
        <v>233.83196571193457</v>
      </c>
      <c r="P599" s="1367">
        <f t="shared" si="307"/>
        <v>30.321788785352023</v>
      </c>
      <c r="Q599" s="1364">
        <f t="shared" si="307"/>
        <v>0</v>
      </c>
      <c r="R599" s="1358"/>
      <c r="S599" s="1321"/>
      <c r="V599" s="1324" t="s">
        <v>5484</v>
      </c>
      <c r="Y599" s="1320"/>
    </row>
    <row r="600" spans="1:25">
      <c r="A600" s="1320" t="s">
        <v>4871</v>
      </c>
      <c r="C600" s="1322">
        <v>61</v>
      </c>
      <c r="D600" s="1320" t="s">
        <v>5268</v>
      </c>
      <c r="E600" s="1320" t="s">
        <v>4067</v>
      </c>
      <c r="F600" s="1358">
        <f t="shared" si="305"/>
        <v>3842.091768610097</v>
      </c>
      <c r="G600" s="1358">
        <f t="shared" si="305"/>
        <v>245.69994735909012</v>
      </c>
      <c r="H600" s="1358">
        <f t="shared" si="305"/>
        <v>3596.3918212510071</v>
      </c>
      <c r="I600" s="1323">
        <f t="shared" si="306"/>
        <v>0.93605047402395247</v>
      </c>
      <c r="J600" s="1364">
        <f t="shared" si="307"/>
        <v>3596.3918212510071</v>
      </c>
      <c r="K600" s="1364">
        <f t="shared" si="307"/>
        <v>2085.9541537198656</v>
      </c>
      <c r="L600" s="1364">
        <f t="shared" si="307"/>
        <v>172.07017759038544</v>
      </c>
      <c r="M600" s="1364">
        <f t="shared" si="307"/>
        <v>1099.9581994058244</v>
      </c>
      <c r="N600" s="1367">
        <f t="shared" si="307"/>
        <v>137.31519674241395</v>
      </c>
      <c r="O600" s="1367">
        <f t="shared" si="307"/>
        <v>98.5442785743749</v>
      </c>
      <c r="P600" s="1367">
        <f t="shared" si="307"/>
        <v>2.5498152181425828</v>
      </c>
      <c r="Q600" s="1364">
        <f t="shared" si="307"/>
        <v>0</v>
      </c>
      <c r="R600" s="1358"/>
      <c r="S600" s="1321"/>
      <c r="V600" s="1324" t="s">
        <v>5485</v>
      </c>
    </row>
    <row r="601" spans="1:25">
      <c r="A601" s="1320" t="s">
        <v>4871</v>
      </c>
      <c r="C601" s="1322">
        <v>62</v>
      </c>
      <c r="D601" s="1320" t="s">
        <v>5239</v>
      </c>
      <c r="E601" s="1320" t="s">
        <v>4067</v>
      </c>
      <c r="F601" s="1358">
        <f t="shared" si="305"/>
        <v>4417.4526336091139</v>
      </c>
      <c r="G601" s="1358">
        <f t="shared" si="305"/>
        <v>282.70061736305422</v>
      </c>
      <c r="H601" s="1358">
        <f t="shared" si="305"/>
        <v>4134.7520162460587</v>
      </c>
      <c r="I601" s="1323">
        <f t="shared" si="306"/>
        <v>0.93600370149705825</v>
      </c>
      <c r="J601" s="1364">
        <f t="shared" si="307"/>
        <v>4134.7520162460587</v>
      </c>
      <c r="K601" s="1364">
        <f t="shared" si="307"/>
        <v>2398.2100871005428</v>
      </c>
      <c r="L601" s="1364">
        <f t="shared" si="307"/>
        <v>197.82814250761453</v>
      </c>
      <c r="M601" s="1364">
        <f t="shared" si="307"/>
        <v>1264.6159286386023</v>
      </c>
      <c r="N601" s="1367">
        <f t="shared" si="307"/>
        <v>157.87053102418167</v>
      </c>
      <c r="O601" s="1367">
        <f t="shared" si="307"/>
        <v>113.29581835807201</v>
      </c>
      <c r="P601" s="1367">
        <f t="shared" si="307"/>
        <v>2.931508617045679</v>
      </c>
      <c r="Q601" s="1364">
        <f t="shared" si="307"/>
        <v>0</v>
      </c>
      <c r="R601" s="1358"/>
      <c r="S601" s="1321"/>
      <c r="V601" s="1324" t="s">
        <v>5486</v>
      </c>
      <c r="Y601" s="1324"/>
    </row>
    <row r="602" spans="1:25">
      <c r="A602" s="1320" t="s">
        <v>4871</v>
      </c>
      <c r="C602" s="1322">
        <v>63</v>
      </c>
      <c r="D602" s="1320" t="s">
        <v>5240</v>
      </c>
      <c r="E602" s="1320" t="s">
        <v>4067</v>
      </c>
      <c r="F602" s="1358">
        <f t="shared" si="305"/>
        <v>16853.009915954655</v>
      </c>
      <c r="G602" s="1358">
        <f t="shared" si="305"/>
        <v>0</v>
      </c>
      <c r="H602" s="1358">
        <f t="shared" si="305"/>
        <v>16853.009915954655</v>
      </c>
      <c r="I602" s="1323">
        <f t="shared" si="306"/>
        <v>1</v>
      </c>
      <c r="J602" s="1364">
        <f t="shared" si="307"/>
        <v>16853.009915954655</v>
      </c>
      <c r="K602" s="1364">
        <f t="shared" si="307"/>
        <v>10489.583223382346</v>
      </c>
      <c r="L602" s="1364">
        <f t="shared" si="307"/>
        <v>746.0454673445895</v>
      </c>
      <c r="M602" s="1364">
        <f t="shared" si="307"/>
        <v>4995.2402151901824</v>
      </c>
      <c r="N602" s="1367">
        <f t="shared" si="307"/>
        <v>525.39883588873261</v>
      </c>
      <c r="O602" s="1367">
        <f t="shared" si="307"/>
        <v>3.5873208977318146E-4</v>
      </c>
      <c r="P602" s="1367">
        <f t="shared" si="307"/>
        <v>96.741815416718552</v>
      </c>
      <c r="Q602" s="1364">
        <f t="shared" si="307"/>
        <v>0</v>
      </c>
      <c r="R602" s="1358"/>
      <c r="S602" s="1321"/>
      <c r="V602" s="1324" t="s">
        <v>5487</v>
      </c>
      <c r="Y602" s="1324"/>
    </row>
    <row r="603" spans="1:25">
      <c r="A603" s="1320" t="s">
        <v>4871</v>
      </c>
      <c r="C603" s="1322">
        <v>64</v>
      </c>
      <c r="D603" s="1320" t="s">
        <v>5241</v>
      </c>
      <c r="E603" s="1320" t="s">
        <v>4067</v>
      </c>
      <c r="F603" s="1358">
        <f t="shared" si="305"/>
        <v>7339.7985693741639</v>
      </c>
      <c r="G603" s="1358">
        <f t="shared" si="305"/>
        <v>0</v>
      </c>
      <c r="H603" s="1358">
        <f t="shared" si="305"/>
        <v>7339.7985693741639</v>
      </c>
      <c r="I603" s="1323">
        <f t="shared" si="306"/>
        <v>1</v>
      </c>
      <c r="J603" s="1364">
        <f t="shared" si="307"/>
        <v>7339.7985693741639</v>
      </c>
      <c r="K603" s="1364">
        <f t="shared" si="307"/>
        <v>5355.3611674076119</v>
      </c>
      <c r="L603" s="1364">
        <f t="shared" si="307"/>
        <v>431.21285772720086</v>
      </c>
      <c r="M603" s="1364">
        <f t="shared" si="307"/>
        <v>1526.6733498671247</v>
      </c>
      <c r="N603" s="1367">
        <f t="shared" si="307"/>
        <v>0</v>
      </c>
      <c r="O603" s="1367">
        <f t="shared" si="307"/>
        <v>0</v>
      </c>
      <c r="P603" s="1367">
        <f t="shared" si="307"/>
        <v>26.551194372226629</v>
      </c>
      <c r="Q603" s="1364">
        <f t="shared" si="307"/>
        <v>0</v>
      </c>
      <c r="R603" s="1358"/>
      <c r="S603" s="1321"/>
      <c r="V603" s="1324" t="s">
        <v>5488</v>
      </c>
      <c r="Y603" s="1324"/>
    </row>
    <row r="604" spans="1:25">
      <c r="A604" s="1320" t="s">
        <v>4871</v>
      </c>
      <c r="C604" s="1322">
        <v>65</v>
      </c>
      <c r="D604" s="1320" t="s">
        <v>5242</v>
      </c>
      <c r="E604" s="1320" t="s">
        <v>4071</v>
      </c>
      <c r="F604" s="1358">
        <f t="shared" si="305"/>
        <v>8437.1296669418807</v>
      </c>
      <c r="G604" s="1358">
        <f t="shared" si="305"/>
        <v>0</v>
      </c>
      <c r="H604" s="1358">
        <f t="shared" si="305"/>
        <v>8437.1296669418807</v>
      </c>
      <c r="I604" s="1323">
        <f t="shared" si="306"/>
        <v>1</v>
      </c>
      <c r="J604" s="1364">
        <f t="shared" si="307"/>
        <v>8437.1296669418807</v>
      </c>
      <c r="K604" s="1364">
        <f t="shared" si="307"/>
        <v>3110.4045602987276</v>
      </c>
      <c r="L604" s="1364">
        <f t="shared" si="307"/>
        <v>471.8074744059316</v>
      </c>
      <c r="M604" s="1364">
        <f t="shared" si="307"/>
        <v>227.4580262836034</v>
      </c>
      <c r="N604" s="1367">
        <f t="shared" si="307"/>
        <v>14.663113821633932</v>
      </c>
      <c r="O604" s="1367">
        <f t="shared" si="307"/>
        <v>15.998072709409657</v>
      </c>
      <c r="P604" s="1367">
        <f t="shared" si="307"/>
        <v>3.6717486005186823</v>
      </c>
      <c r="Q604" s="1364">
        <f t="shared" si="307"/>
        <v>4593.1266708220564</v>
      </c>
      <c r="R604" s="1358"/>
      <c r="S604" s="1321"/>
      <c r="V604" s="1324" t="s">
        <v>5489</v>
      </c>
      <c r="Y604" s="1324"/>
    </row>
    <row r="605" spans="1:25">
      <c r="A605" s="1320" t="s">
        <v>4871</v>
      </c>
      <c r="C605" s="1322">
        <v>66</v>
      </c>
      <c r="D605" s="1320" t="s">
        <v>5244</v>
      </c>
      <c r="E605" s="1320" t="s">
        <v>4071</v>
      </c>
      <c r="F605" s="1350">
        <f t="shared" si="305"/>
        <v>4328.749069178054</v>
      </c>
      <c r="G605" s="1350">
        <f t="shared" si="305"/>
        <v>0</v>
      </c>
      <c r="H605" s="1350">
        <f t="shared" si="305"/>
        <v>4328.749069178054</v>
      </c>
      <c r="I605" s="1323">
        <f t="shared" si="306"/>
        <v>1</v>
      </c>
      <c r="J605" s="1366">
        <f t="shared" si="307"/>
        <v>4328.749069178054</v>
      </c>
      <c r="K605" s="1366">
        <f t="shared" si="307"/>
        <v>3860.7542183025025</v>
      </c>
      <c r="L605" s="1366">
        <f t="shared" si="307"/>
        <v>374.26536620808031</v>
      </c>
      <c r="M605" s="1366">
        <f t="shared" si="307"/>
        <v>92.178370123648421</v>
      </c>
      <c r="N605" s="1378">
        <f t="shared" si="307"/>
        <v>0.31122686639798519</v>
      </c>
      <c r="O605" s="1378">
        <f t="shared" si="307"/>
        <v>5.5217669844803821E-2</v>
      </c>
      <c r="P605" s="1378">
        <f t="shared" si="307"/>
        <v>1.1846700075794274</v>
      </c>
      <c r="Q605" s="1366">
        <f t="shared" si="307"/>
        <v>0</v>
      </c>
      <c r="R605" s="1358"/>
      <c r="S605" s="1321"/>
      <c r="V605" s="1324" t="s">
        <v>5490</v>
      </c>
      <c r="Y605" s="1324"/>
    </row>
    <row r="606" spans="1:25">
      <c r="A606" s="1320" t="s">
        <v>4871</v>
      </c>
      <c r="B606" s="1321"/>
      <c r="C606" s="1322">
        <v>67</v>
      </c>
      <c r="F606" s="1358"/>
      <c r="G606" s="1358"/>
      <c r="H606" s="1358"/>
      <c r="J606" s="1364"/>
      <c r="K606" s="1364"/>
      <c r="L606" s="1364"/>
      <c r="M606" s="1364"/>
      <c r="N606" s="1367"/>
      <c r="O606" s="1367"/>
      <c r="P606" s="1367"/>
      <c r="Q606" s="1364"/>
      <c r="R606" s="1358"/>
      <c r="S606" s="1321"/>
      <c r="T606" s="1321"/>
      <c r="U606" s="1326"/>
      <c r="Y606" s="1324"/>
    </row>
    <row r="607" spans="1:25" ht="14.4" thickBot="1">
      <c r="A607" s="1320" t="s">
        <v>4871</v>
      </c>
      <c r="B607" s="1321"/>
      <c r="C607" s="1322">
        <v>68</v>
      </c>
      <c r="D607" s="1320" t="s">
        <v>5491</v>
      </c>
      <c r="F607" s="1423">
        <f>SUM(F598:F605)</f>
        <v>102154.4377432372</v>
      </c>
      <c r="G607" s="1423">
        <f>SUM(G598:G605)</f>
        <v>528.40056472214428</v>
      </c>
      <c r="H607" s="1423">
        <f>SUM(H598:H605)</f>
        <v>101626.03717851505</v>
      </c>
      <c r="I607" s="1323">
        <f>IF(F607=0,0,+H607/F607)</f>
        <v>0.99482743406556384</v>
      </c>
      <c r="J607" s="1380">
        <f t="shared" ref="J607:Q607" si="308">SUM(J598:J605)</f>
        <v>101626.03717851505</v>
      </c>
      <c r="K607" s="1380">
        <f t="shared" si="308"/>
        <v>59891.376789199014</v>
      </c>
      <c r="L607" s="1380">
        <f t="shared" si="308"/>
        <v>5110.4039550914458</v>
      </c>
      <c r="M607" s="1380">
        <f t="shared" si="308"/>
        <v>26858.595952712822</v>
      </c>
      <c r="N607" s="1424">
        <f t="shared" si="308"/>
        <v>3107.7213782052122</v>
      </c>
      <c r="O607" s="1424">
        <f>SUM(O598:O605)</f>
        <v>1864.5617646949661</v>
      </c>
      <c r="P607" s="1424">
        <f>SUM(P598:P605)</f>
        <v>200.25066778953899</v>
      </c>
      <c r="Q607" s="1380">
        <f t="shared" si="308"/>
        <v>4593.1266708220564</v>
      </c>
      <c r="R607" s="1358"/>
      <c r="T607" s="1321"/>
      <c r="U607" s="1326"/>
      <c r="V607" s="1320" t="s">
        <v>5492</v>
      </c>
      <c r="Y607" s="1324"/>
    </row>
    <row r="608" spans="1:25" ht="14.4" thickTop="1">
      <c r="B608" s="1321"/>
      <c r="G608" s="1320"/>
      <c r="I608" s="1320"/>
      <c r="K608" s="1320"/>
      <c r="L608" s="1320"/>
      <c r="M608" s="1320"/>
      <c r="N608" s="1324"/>
      <c r="O608" s="1324"/>
      <c r="P608" s="1320"/>
      <c r="Q608" s="1320"/>
      <c r="T608" s="1321"/>
      <c r="U608" s="1326"/>
      <c r="Y608" s="1324"/>
    </row>
    <row r="609" spans="1:25">
      <c r="B609" s="1321"/>
      <c r="G609" s="1320"/>
      <c r="I609" s="1320"/>
      <c r="K609" s="1320"/>
      <c r="L609" s="1320"/>
      <c r="M609" s="1320"/>
      <c r="N609" s="1324"/>
      <c r="O609" s="1324"/>
      <c r="P609" s="1320"/>
      <c r="Q609" s="1320"/>
      <c r="T609" s="1321"/>
      <c r="U609" s="1326"/>
    </row>
    <row r="610" spans="1:25">
      <c r="B610" s="1321"/>
      <c r="G610" s="1320"/>
      <c r="I610" s="1320"/>
      <c r="K610" s="1320"/>
      <c r="L610" s="1320"/>
      <c r="M610" s="1320"/>
      <c r="N610" s="1324"/>
      <c r="O610" s="1324"/>
      <c r="P610" s="1320"/>
      <c r="Q610" s="1320"/>
      <c r="T610" s="1321"/>
      <c r="U610" s="1326"/>
      <c r="V610" s="1324"/>
    </row>
    <row r="611" spans="1:25">
      <c r="B611" s="1321"/>
      <c r="G611" s="1320"/>
      <c r="I611" s="1320"/>
      <c r="K611" s="1320"/>
      <c r="L611" s="1320"/>
      <c r="M611" s="1320"/>
      <c r="N611" s="1324"/>
      <c r="O611" s="1324"/>
      <c r="P611" s="1320"/>
      <c r="Q611" s="1320"/>
      <c r="T611" s="1321"/>
      <c r="U611" s="1326"/>
      <c r="V611" s="1324"/>
      <c r="Y611" s="1324"/>
    </row>
    <row r="612" spans="1:25">
      <c r="B612" s="1321"/>
      <c r="G612" s="1320"/>
      <c r="I612" s="1320"/>
      <c r="K612" s="1320"/>
      <c r="L612" s="1320"/>
      <c r="M612" s="1320"/>
      <c r="N612" s="1324"/>
      <c r="O612" s="1324"/>
      <c r="P612" s="1320"/>
      <c r="Q612" s="1320"/>
      <c r="T612" s="1321"/>
      <c r="U612" s="1326"/>
      <c r="V612" s="1324"/>
      <c r="Y612" s="1324"/>
    </row>
    <row r="613" spans="1:25">
      <c r="B613" s="1432"/>
      <c r="C613" s="1340" t="str">
        <f>+C$2</f>
        <v>RATES WITH REVENUE DEFICIENCY ADDITION</v>
      </c>
      <c r="F613" s="1333"/>
      <c r="G613" s="1327" t="s">
        <v>2173</v>
      </c>
      <c r="I613" s="1334" t="s">
        <v>5478</v>
      </c>
      <c r="L613" s="1329" t="s">
        <v>2173</v>
      </c>
      <c r="M613" s="1330"/>
      <c r="N613" s="1330"/>
      <c r="O613" s="1330"/>
      <c r="S613" s="1334" t="s">
        <v>5493</v>
      </c>
      <c r="T613" s="1333" t="s">
        <v>2173</v>
      </c>
      <c r="U613" s="1431"/>
      <c r="V613" s="1332" t="s">
        <v>4772</v>
      </c>
    </row>
    <row r="614" spans="1:25">
      <c r="B614" s="1432"/>
      <c r="C614" s="1340" t="str">
        <f>+C$3</f>
        <v>PROD. CAP. ALLOC. METHOD: 12 CP &amp; 1/13th AD</v>
      </c>
      <c r="D614" s="1358"/>
      <c r="G614" s="1336" t="s">
        <v>4768</v>
      </c>
      <c r="I614" s="1335" t="s">
        <v>2630</v>
      </c>
      <c r="L614" s="1336" t="s">
        <v>5141</v>
      </c>
      <c r="M614" s="1337"/>
      <c r="N614" s="1337"/>
      <c r="O614" s="1337"/>
      <c r="R614" s="1331"/>
      <c r="S614" s="1335" t="s">
        <v>4061</v>
      </c>
      <c r="T614" s="1333" t="s">
        <v>5141</v>
      </c>
      <c r="V614" s="1332" t="s">
        <v>5493</v>
      </c>
      <c r="Y614" s="1324"/>
    </row>
    <row r="615" spans="1:25">
      <c r="C615" s="1340" t="str">
        <f>+C$4</f>
        <v>PROJECTED CALENDAR YEAR 2025; FULLY ADJUSTED DATA</v>
      </c>
      <c r="G615" s="1336" t="s">
        <v>2181</v>
      </c>
      <c r="L615" s="1336" t="s">
        <v>2181</v>
      </c>
      <c r="T615" s="1339"/>
      <c r="Y615" s="1324"/>
    </row>
    <row r="616" spans="1:25">
      <c r="C616" s="1340" t="str">
        <f>+C$5</f>
        <v>MINIMUM DISTRIBUTION SYSTEM (MDS) NOT EMPLOYED</v>
      </c>
      <c r="G616" s="1320"/>
      <c r="L616" s="1336"/>
      <c r="M616" s="1337"/>
      <c r="N616" s="1337"/>
      <c r="O616" s="1337"/>
      <c r="T616" s="1333"/>
      <c r="Y616" s="1324"/>
    </row>
    <row r="617" spans="1:25">
      <c r="C617" s="1340" t="str">
        <f>+C$6</f>
        <v>Tampa Electric 2025 OB Budget</v>
      </c>
      <c r="F617" s="1327"/>
      <c r="G617" s="1333" t="s">
        <v>5494</v>
      </c>
      <c r="L617" s="1336" t="s">
        <v>5494</v>
      </c>
      <c r="M617" s="1337"/>
      <c r="N617" s="1337"/>
      <c r="O617" s="1337"/>
      <c r="T617" s="1333" t="s">
        <v>5494</v>
      </c>
      <c r="Y617" s="1324"/>
    </row>
    <row r="618" spans="1:25">
      <c r="F618" s="1333"/>
      <c r="G618" s="1320"/>
      <c r="L618" s="1336"/>
      <c r="M618" s="1337"/>
      <c r="N618" s="1337"/>
      <c r="O618" s="1337"/>
      <c r="Y618" s="1324"/>
    </row>
    <row r="619" spans="1:25">
      <c r="C619" s="1331" t="s">
        <v>5495</v>
      </c>
      <c r="F619" s="1333"/>
      <c r="G619" s="1320"/>
      <c r="L619" s="1336"/>
      <c r="M619" s="1337"/>
      <c r="N619" s="1337"/>
      <c r="O619" s="1337"/>
      <c r="Y619" s="1324"/>
    </row>
    <row r="620" spans="1:25">
      <c r="C620" s="1331"/>
      <c r="G620" s="1320"/>
      <c r="Y620" s="1324"/>
    </row>
    <row r="621" spans="1:25">
      <c r="C621" s="1342"/>
      <c r="D621" s="1331"/>
      <c r="E621" s="1331"/>
      <c r="F621" s="1333"/>
      <c r="G621" s="1333"/>
      <c r="H621" s="1333"/>
      <c r="I621" s="1343"/>
      <c r="J621" s="1416"/>
      <c r="K621" s="1336"/>
      <c r="L621" s="1416"/>
      <c r="M621" s="1417"/>
      <c r="N621" s="1417"/>
      <c r="O621" s="1417"/>
      <c r="P621" s="3164"/>
      <c r="Q621" s="3164"/>
      <c r="R621" s="1333"/>
      <c r="Y621" s="1324"/>
    </row>
    <row r="622" spans="1:25" ht="30" customHeight="1">
      <c r="A622" s="1418" t="s">
        <v>4683</v>
      </c>
      <c r="B622" s="1425" t="s">
        <v>5143</v>
      </c>
      <c r="C622" s="1349" t="s">
        <v>4297</v>
      </c>
      <c r="D622" s="1418"/>
      <c r="E622" s="1418"/>
      <c r="F622" s="1348" t="s">
        <v>5144</v>
      </c>
      <c r="G622" s="1348" t="s">
        <v>4956</v>
      </c>
      <c r="H622" s="1348" t="s">
        <v>4957</v>
      </c>
      <c r="I622" s="1426" t="s">
        <v>5145</v>
      </c>
      <c r="J622" s="1352" t="s">
        <v>4957</v>
      </c>
      <c r="K622" s="1353" t="s">
        <v>1949</v>
      </c>
      <c r="L622" s="1353" t="s">
        <v>1950</v>
      </c>
      <c r="M622" s="1354" t="s">
        <v>1934</v>
      </c>
      <c r="N622" s="1354" t="s">
        <v>1971</v>
      </c>
      <c r="O622" s="1354" t="s">
        <v>1972</v>
      </c>
      <c r="P622" s="1352" t="s">
        <v>5146</v>
      </c>
      <c r="Q622" s="1352" t="s">
        <v>5147</v>
      </c>
      <c r="R622" s="1355"/>
      <c r="S622" s="1348" t="s">
        <v>5299</v>
      </c>
      <c r="T622" s="1348"/>
      <c r="U622" s="1352"/>
      <c r="V622" s="1355" t="s">
        <v>4774</v>
      </c>
    </row>
    <row r="623" spans="1:25">
      <c r="G623" s="1320"/>
    </row>
    <row r="624" spans="1:25">
      <c r="A624" s="1320" t="s">
        <v>4877</v>
      </c>
      <c r="B624" s="1321"/>
      <c r="C624" s="1322">
        <v>1</v>
      </c>
      <c r="D624" s="1356" t="s">
        <v>5153</v>
      </c>
      <c r="G624" s="1320"/>
      <c r="Y624" s="1324"/>
    </row>
    <row r="625" spans="1:25">
      <c r="A625" s="1320" t="s">
        <v>4877</v>
      </c>
      <c r="C625" s="1322">
        <v>2</v>
      </c>
      <c r="D625" s="1320" t="s">
        <v>5496</v>
      </c>
      <c r="E625" s="1320" t="s">
        <v>4777</v>
      </c>
      <c r="F625" s="1320">
        <f t="shared" ref="F625:H633" si="309">+F150</f>
        <v>1488654.5251124175</v>
      </c>
      <c r="G625" s="1320">
        <f t="shared" si="309"/>
        <v>7929.0305824175994</v>
      </c>
      <c r="H625" s="1320">
        <f t="shared" si="309"/>
        <v>1480725.49453</v>
      </c>
      <c r="I625" s="1323">
        <f>IF(F625=0,0,+H625/F625)</f>
        <v>0.99467369329239186</v>
      </c>
      <c r="J625" s="1324">
        <f t="shared" ref="J625:Q633" si="310">+J150</f>
        <v>1480725.49453</v>
      </c>
      <c r="K625" s="1324">
        <f t="shared" si="310"/>
        <v>920603.76834000018</v>
      </c>
      <c r="L625" s="1324">
        <f t="shared" si="310"/>
        <v>95214.926359999983</v>
      </c>
      <c r="M625" s="1324">
        <f t="shared" si="310"/>
        <v>310482.25785000005</v>
      </c>
      <c r="N625" s="1325">
        <f t="shared" si="310"/>
        <v>44352.932979999998</v>
      </c>
      <c r="O625" s="1325">
        <f t="shared" si="310"/>
        <v>23795.302800000001</v>
      </c>
      <c r="P625" s="1325">
        <f t="shared" si="310"/>
        <v>8901.6767400000099</v>
      </c>
      <c r="Q625" s="1324">
        <f t="shared" si="310"/>
        <v>77374.629459999996</v>
      </c>
      <c r="V625" s="1320" t="s">
        <v>5497</v>
      </c>
      <c r="Y625" s="1324"/>
    </row>
    <row r="626" spans="1:25">
      <c r="A626" s="1320" t="s">
        <v>4877</v>
      </c>
      <c r="C626" s="1322">
        <v>3</v>
      </c>
      <c r="D626" s="1320" t="s">
        <v>5265</v>
      </c>
      <c r="E626" s="1320" t="s">
        <v>4067</v>
      </c>
      <c r="F626" s="1358">
        <f t="shared" si="309"/>
        <v>1850.9373105288489</v>
      </c>
      <c r="G626" s="1358">
        <f t="shared" si="309"/>
        <v>0</v>
      </c>
      <c r="H626" s="1358">
        <f t="shared" si="309"/>
        <v>1850.9373105288489</v>
      </c>
      <c r="I626" s="1323">
        <f t="shared" ref="I626:I634" si="311">IF(F626=0,0,+H626/F626)</f>
        <v>1</v>
      </c>
      <c r="J626" s="1364">
        <f t="shared" si="310"/>
        <v>1850.9373105288489</v>
      </c>
      <c r="K626" s="1364">
        <f t="shared" si="310"/>
        <v>1073.5677765582529</v>
      </c>
      <c r="L626" s="1364">
        <f t="shared" si="310"/>
        <v>88.558512965526134</v>
      </c>
      <c r="M626" s="1364">
        <f t="shared" si="310"/>
        <v>566.11008268675346</v>
      </c>
      <c r="N626" s="1367">
        <f t="shared" si="310"/>
        <v>70.671337714457678</v>
      </c>
      <c r="O626" s="1367">
        <f t="shared" si="310"/>
        <v>50.717299732099669</v>
      </c>
      <c r="P626" s="1367">
        <f t="shared" si="310"/>
        <v>1.3123008717589244</v>
      </c>
      <c r="Q626" s="1364">
        <f t="shared" si="310"/>
        <v>0</v>
      </c>
      <c r="R626" s="1358"/>
      <c r="V626" s="1320" t="s">
        <v>5498</v>
      </c>
      <c r="Y626" s="1324"/>
    </row>
    <row r="627" spans="1:25">
      <c r="A627" s="1320" t="s">
        <v>4877</v>
      </c>
      <c r="C627" s="1322">
        <v>4</v>
      </c>
      <c r="D627" s="1320" t="s">
        <v>5265</v>
      </c>
      <c r="E627" s="1320" t="s">
        <v>2067</v>
      </c>
      <c r="F627" s="1358">
        <f t="shared" si="309"/>
        <v>676.2302663227432</v>
      </c>
      <c r="G627" s="1358">
        <f t="shared" si="309"/>
        <v>-1.84900420208578E-3</v>
      </c>
      <c r="H627" s="1358">
        <f t="shared" si="309"/>
        <v>676.23211532694529</v>
      </c>
      <c r="I627" s="1323">
        <f t="shared" si="311"/>
        <v>1.0000027342819364</v>
      </c>
      <c r="J627" s="1364">
        <f t="shared" si="310"/>
        <v>676.23211532694529</v>
      </c>
      <c r="K627" s="1364">
        <f t="shared" si="310"/>
        <v>376.62469892117406</v>
      </c>
      <c r="L627" s="1364">
        <f t="shared" si="310"/>
        <v>34.804531065803914</v>
      </c>
      <c r="M627" s="1364">
        <f t="shared" si="310"/>
        <v>259.280237914748</v>
      </c>
      <c r="N627" s="1367">
        <f t="shared" si="310"/>
        <v>41.273244970787559</v>
      </c>
      <c r="O627" s="1367">
        <f t="shared" si="310"/>
        <v>30.406489251825199</v>
      </c>
      <c r="P627" s="1367">
        <f t="shared" si="310"/>
        <v>3.9429132026103617</v>
      </c>
      <c r="Q627" s="1364">
        <f t="shared" si="310"/>
        <v>0</v>
      </c>
      <c r="R627" s="1358"/>
      <c r="V627" s="1320" t="s">
        <v>5499</v>
      </c>
    </row>
    <row r="628" spans="1:25">
      <c r="A628" s="1320" t="s">
        <v>4877</v>
      </c>
      <c r="C628" s="1322">
        <v>5</v>
      </c>
      <c r="D628" s="1324" t="s">
        <v>5268</v>
      </c>
      <c r="E628" s="1324" t="s">
        <v>4067</v>
      </c>
      <c r="F628" s="1364">
        <f t="shared" si="309"/>
        <v>996.42736350591531</v>
      </c>
      <c r="G628" s="1364">
        <f t="shared" si="309"/>
        <v>64.555396081805128</v>
      </c>
      <c r="H628" s="1364">
        <f t="shared" si="309"/>
        <v>931.87196742411015</v>
      </c>
      <c r="I628" s="1374">
        <f t="shared" si="311"/>
        <v>0.93521314403222733</v>
      </c>
      <c r="J628" s="1364">
        <f t="shared" si="310"/>
        <v>931.87196742411015</v>
      </c>
      <c r="K628" s="1364">
        <f t="shared" si="310"/>
        <v>540.49789283172697</v>
      </c>
      <c r="L628" s="1364">
        <f t="shared" si="310"/>
        <v>44.585624396841048</v>
      </c>
      <c r="M628" s="1364">
        <f t="shared" si="310"/>
        <v>285.01349750262563</v>
      </c>
      <c r="N628" s="1367">
        <f t="shared" si="310"/>
        <v>35.580156141349192</v>
      </c>
      <c r="O628" s="1367">
        <f t="shared" si="310"/>
        <v>25.534106214697424</v>
      </c>
      <c r="P628" s="1367">
        <f t="shared" si="310"/>
        <v>0.66069033686989576</v>
      </c>
      <c r="Q628" s="1364">
        <f t="shared" si="310"/>
        <v>0</v>
      </c>
      <c r="R628" s="1364"/>
      <c r="S628" s="1324"/>
      <c r="T628" s="1324"/>
      <c r="V628" s="1320" t="s">
        <v>5500</v>
      </c>
    </row>
    <row r="629" spans="1:25">
      <c r="A629" s="1320" t="s">
        <v>4877</v>
      </c>
      <c r="C629" s="1322">
        <v>6</v>
      </c>
      <c r="D629" s="1320" t="s">
        <v>5239</v>
      </c>
      <c r="E629" s="1320" t="s">
        <v>4067</v>
      </c>
      <c r="F629" s="1358">
        <f t="shared" si="309"/>
        <v>273.36871416988186</v>
      </c>
      <c r="G629" s="1358">
        <f t="shared" si="309"/>
        <v>17.710699511019335</v>
      </c>
      <c r="H629" s="1358">
        <f t="shared" si="309"/>
        <v>255.65801465886253</v>
      </c>
      <c r="I629" s="1323">
        <f t="shared" si="311"/>
        <v>0.93521314403222744</v>
      </c>
      <c r="J629" s="1364">
        <f t="shared" si="310"/>
        <v>255.65801465886253</v>
      </c>
      <c r="K629" s="1364">
        <f t="shared" si="310"/>
        <v>148.28498231428051</v>
      </c>
      <c r="L629" s="1364">
        <f t="shared" si="310"/>
        <v>12.232015356283817</v>
      </c>
      <c r="M629" s="1364">
        <f t="shared" si="310"/>
        <v>78.19312895946085</v>
      </c>
      <c r="N629" s="1367">
        <f t="shared" si="310"/>
        <v>9.7613753802401604</v>
      </c>
      <c r="O629" s="1367">
        <f t="shared" si="310"/>
        <v>7.0052530059282994</v>
      </c>
      <c r="P629" s="1367">
        <f t="shared" si="310"/>
        <v>0.18125964266889311</v>
      </c>
      <c r="Q629" s="1364">
        <f t="shared" si="310"/>
        <v>0</v>
      </c>
      <c r="R629" s="1358"/>
      <c r="V629" s="1320" t="s">
        <v>5501</v>
      </c>
      <c r="Y629" s="1324"/>
    </row>
    <row r="630" spans="1:25" s="1324" customFormat="1">
      <c r="A630" s="1324" t="s">
        <v>4877</v>
      </c>
      <c r="C630" s="1393">
        <v>7</v>
      </c>
      <c r="D630" s="1320" t="s">
        <v>5240</v>
      </c>
      <c r="E630" s="1320" t="s">
        <v>4067</v>
      </c>
      <c r="F630" s="1358">
        <f t="shared" si="309"/>
        <v>14191.054128695432</v>
      </c>
      <c r="G630" s="1358">
        <f t="shared" si="309"/>
        <v>0</v>
      </c>
      <c r="H630" s="1358">
        <f t="shared" si="309"/>
        <v>14191.054128695432</v>
      </c>
      <c r="I630" s="1323">
        <f t="shared" si="311"/>
        <v>1</v>
      </c>
      <c r="J630" s="1364">
        <f t="shared" si="310"/>
        <v>14191.054128695432</v>
      </c>
      <c r="K630" s="1364">
        <f t="shared" si="310"/>
        <v>8832.7393179512146</v>
      </c>
      <c r="L630" s="1364">
        <f t="shared" si="310"/>
        <v>628.20657332742269</v>
      </c>
      <c r="M630" s="1364">
        <f t="shared" si="310"/>
        <v>4206.2352442154006</v>
      </c>
      <c r="N630" s="1367">
        <f t="shared" si="310"/>
        <v>442.41137674713241</v>
      </c>
      <c r="O630" s="1367">
        <f t="shared" si="310"/>
        <v>3.0206986936213846E-4</v>
      </c>
      <c r="P630" s="1367">
        <f t="shared" si="310"/>
        <v>81.461314384395408</v>
      </c>
      <c r="Q630" s="1364">
        <f t="shared" si="310"/>
        <v>0</v>
      </c>
      <c r="R630" s="1358"/>
      <c r="S630" s="1320"/>
      <c r="T630" s="1320"/>
      <c r="V630" s="1320" t="s">
        <v>5502</v>
      </c>
    </row>
    <row r="631" spans="1:25">
      <c r="A631" s="1320" t="s">
        <v>4877</v>
      </c>
      <c r="C631" s="1322">
        <v>8</v>
      </c>
      <c r="D631" s="1320" t="s">
        <v>5241</v>
      </c>
      <c r="E631" s="1320" t="s">
        <v>4067</v>
      </c>
      <c r="F631" s="1358">
        <f t="shared" si="309"/>
        <v>348.6906696192342</v>
      </c>
      <c r="G631" s="1358">
        <f t="shared" si="309"/>
        <v>0</v>
      </c>
      <c r="H631" s="1358">
        <f t="shared" si="309"/>
        <v>348.6906696192342</v>
      </c>
      <c r="I631" s="1323">
        <f t="shared" si="311"/>
        <v>1</v>
      </c>
      <c r="J631" s="1364">
        <f t="shared" si="310"/>
        <v>348.6906696192342</v>
      </c>
      <c r="K631" s="1364">
        <f t="shared" si="310"/>
        <v>254.41631045679048</v>
      </c>
      <c r="L631" s="1364">
        <f t="shared" si="310"/>
        <v>20.485562197402622</v>
      </c>
      <c r="M631" s="1364">
        <f t="shared" si="310"/>
        <v>72.527433501543271</v>
      </c>
      <c r="N631" s="1367">
        <f t="shared" si="310"/>
        <v>0</v>
      </c>
      <c r="O631" s="1367">
        <f t="shared" si="310"/>
        <v>0</v>
      </c>
      <c r="P631" s="1367">
        <f t="shared" si="310"/>
        <v>1.2613634634978208</v>
      </c>
      <c r="Q631" s="1364">
        <f t="shared" si="310"/>
        <v>0</v>
      </c>
      <c r="R631" s="1358"/>
      <c r="V631" s="1320" t="s">
        <v>5503</v>
      </c>
      <c r="Y631" s="1324"/>
    </row>
    <row r="632" spans="1:25">
      <c r="A632" s="1320" t="s">
        <v>4877</v>
      </c>
      <c r="C632" s="1322">
        <v>9</v>
      </c>
      <c r="D632" s="1320" t="s">
        <v>5242</v>
      </c>
      <c r="E632" s="1320" t="s">
        <v>4071</v>
      </c>
      <c r="F632" s="1358">
        <f t="shared" si="309"/>
        <v>216.09497127969638</v>
      </c>
      <c r="G632" s="1358">
        <f t="shared" si="309"/>
        <v>0</v>
      </c>
      <c r="H632" s="1358">
        <f t="shared" si="309"/>
        <v>216.09497127969638</v>
      </c>
      <c r="I632" s="1323">
        <f t="shared" si="311"/>
        <v>1</v>
      </c>
      <c r="J632" s="1364">
        <f t="shared" si="310"/>
        <v>216.09497127969638</v>
      </c>
      <c r="K632" s="1364">
        <f t="shared" si="310"/>
        <v>79.664863603976698</v>
      </c>
      <c r="L632" s="1364">
        <f t="shared" si="310"/>
        <v>12.08411232919341</v>
      </c>
      <c r="M632" s="1364">
        <f t="shared" si="310"/>
        <v>5.8257414070189961</v>
      </c>
      <c r="N632" s="1367">
        <f t="shared" si="310"/>
        <v>0.37555724342747981</v>
      </c>
      <c r="O632" s="1367">
        <f t="shared" si="310"/>
        <v>0.40974871776783239</v>
      </c>
      <c r="P632" s="1367">
        <f t="shared" si="310"/>
        <v>9.4042220482187092E-2</v>
      </c>
      <c r="Q632" s="1364">
        <f t="shared" si="310"/>
        <v>117.64090575782981</v>
      </c>
      <c r="R632" s="1358"/>
      <c r="V632" s="1320" t="s">
        <v>5504</v>
      </c>
      <c r="Y632" s="1324"/>
    </row>
    <row r="633" spans="1:25">
      <c r="A633" s="1320" t="s">
        <v>4877</v>
      </c>
      <c r="C633" s="1322">
        <v>10</v>
      </c>
      <c r="D633" s="1320" t="s">
        <v>5244</v>
      </c>
      <c r="E633" s="1320" t="s">
        <v>4071</v>
      </c>
      <c r="F633" s="1350">
        <f t="shared" si="309"/>
        <v>21497.360570708937</v>
      </c>
      <c r="G633" s="1350">
        <f t="shared" si="309"/>
        <v>0</v>
      </c>
      <c r="H633" s="1350">
        <f t="shared" si="309"/>
        <v>21497.360570708937</v>
      </c>
      <c r="I633" s="1323">
        <f t="shared" si="311"/>
        <v>1</v>
      </c>
      <c r="J633" s="1366">
        <f t="shared" si="310"/>
        <v>21497.360570708937</v>
      </c>
      <c r="K633" s="1366">
        <f t="shared" si="310"/>
        <v>19178.625848860214</v>
      </c>
      <c r="L633" s="1366">
        <f t="shared" si="310"/>
        <v>1858.7224925146834</v>
      </c>
      <c r="M633" s="1366">
        <f t="shared" si="310"/>
        <v>454.57060285066461</v>
      </c>
      <c r="N633" s="1378">
        <f t="shared" si="310"/>
        <v>3.7671811553707597E-3</v>
      </c>
      <c r="O633" s="1378">
        <f t="shared" si="310"/>
        <v>6.6837085014642521E-4</v>
      </c>
      <c r="P633" s="1378">
        <f t="shared" si="310"/>
        <v>5.4371909313666578</v>
      </c>
      <c r="Q633" s="1366">
        <f t="shared" si="310"/>
        <v>0</v>
      </c>
      <c r="R633" s="1358"/>
      <c r="V633" s="1320" t="s">
        <v>5505</v>
      </c>
      <c r="Y633" s="1324"/>
    </row>
    <row r="634" spans="1:25">
      <c r="A634" s="1320" t="s">
        <v>4877</v>
      </c>
      <c r="C634" s="1322">
        <v>11</v>
      </c>
      <c r="D634" s="1320" t="s">
        <v>5153</v>
      </c>
      <c r="F634" s="1427">
        <f>SUM(F625:F633)</f>
        <v>1528704.6891072483</v>
      </c>
      <c r="G634" s="1427">
        <f>SUM(G625:G633)</f>
        <v>8011.2948290062213</v>
      </c>
      <c r="H634" s="1427">
        <f>SUM(H625:H633)</f>
        <v>1520693.3942782423</v>
      </c>
      <c r="I634" s="1323">
        <f t="shared" si="311"/>
        <v>0.99475942287212804</v>
      </c>
      <c r="J634" s="1421">
        <f t="shared" ref="J634:Q634" si="312">SUM(J625:J633)</f>
        <v>1520693.3942782423</v>
      </c>
      <c r="K634" s="1421">
        <f t="shared" si="312"/>
        <v>951088.19003149797</v>
      </c>
      <c r="L634" s="1421">
        <f t="shared" si="312"/>
        <v>97914.605784153144</v>
      </c>
      <c r="M634" s="1421">
        <f t="shared" si="312"/>
        <v>316410.01381903823</v>
      </c>
      <c r="N634" s="1422">
        <f t="shared" si="312"/>
        <v>44953.009795378559</v>
      </c>
      <c r="O634" s="1422">
        <f>SUM(O625:O633)</f>
        <v>23909.376667363038</v>
      </c>
      <c r="P634" s="1422">
        <f>SUM(P625:P633)</f>
        <v>8996.0278150536615</v>
      </c>
      <c r="Q634" s="1421">
        <f t="shared" si="312"/>
        <v>77492.270365757824</v>
      </c>
      <c r="R634" s="1358"/>
      <c r="V634" s="1320" t="s">
        <v>5460</v>
      </c>
      <c r="Y634" s="1324"/>
    </row>
    <row r="635" spans="1:25">
      <c r="A635" s="1320" t="s">
        <v>4877</v>
      </c>
      <c r="C635" s="1322">
        <v>12</v>
      </c>
      <c r="G635" s="1320"/>
      <c r="M635" s="1324"/>
      <c r="P635" s="1325"/>
      <c r="Y635" s="1324"/>
    </row>
    <row r="636" spans="1:25">
      <c r="A636" s="1320" t="s">
        <v>4877</v>
      </c>
      <c r="C636" s="1322">
        <v>13</v>
      </c>
      <c r="D636" s="1356" t="s">
        <v>5506</v>
      </c>
      <c r="G636" s="1320"/>
      <c r="M636" s="1324"/>
      <c r="P636" s="1325"/>
      <c r="Y636" s="1324"/>
    </row>
    <row r="637" spans="1:25">
      <c r="A637" s="1320" t="s">
        <v>4877</v>
      </c>
      <c r="C637" s="1322">
        <v>14</v>
      </c>
      <c r="D637" s="1320" t="s">
        <v>5265</v>
      </c>
      <c r="E637" s="1320" t="s">
        <v>4067</v>
      </c>
      <c r="F637" s="1320">
        <f t="shared" ref="F637:H644" si="313">+F318</f>
        <v>159622.03948402521</v>
      </c>
      <c r="G637" s="1320">
        <f t="shared" si="313"/>
        <v>0</v>
      </c>
      <c r="H637" s="1320">
        <f t="shared" si="313"/>
        <v>159622.03948402521</v>
      </c>
      <c r="I637" s="1323">
        <f t="shared" ref="I637:I645" si="314">IF(F637=0,0,+H637/F637)</f>
        <v>1</v>
      </c>
      <c r="J637" s="1324">
        <f t="shared" ref="J637:Q644" si="315">+J318</f>
        <v>159622.03948402521</v>
      </c>
      <c r="K637" s="1324">
        <f t="shared" si="315"/>
        <v>92582.86439187736</v>
      </c>
      <c r="L637" s="1324">
        <f t="shared" si="315"/>
        <v>7637.1524701670596</v>
      </c>
      <c r="M637" s="1324">
        <f t="shared" si="315"/>
        <v>48820.478930813209</v>
      </c>
      <c r="N637" s="1325">
        <f t="shared" si="315"/>
        <v>6094.5894790045186</v>
      </c>
      <c r="O637" s="1325">
        <f t="shared" si="315"/>
        <v>4373.7833660326842</v>
      </c>
      <c r="P637" s="1325">
        <f t="shared" si="315"/>
        <v>113.17084613037136</v>
      </c>
      <c r="Q637" s="1324">
        <f t="shared" si="315"/>
        <v>0</v>
      </c>
      <c r="V637" s="1320" t="s">
        <v>5507</v>
      </c>
    </row>
    <row r="638" spans="1:25">
      <c r="A638" s="1320" t="s">
        <v>4877</v>
      </c>
      <c r="C638" s="1322">
        <v>15</v>
      </c>
      <c r="D638" s="1320" t="s">
        <v>5265</v>
      </c>
      <c r="E638" s="1320" t="s">
        <v>2067</v>
      </c>
      <c r="F638" s="1320">
        <f t="shared" si="313"/>
        <v>41606.418583832929</v>
      </c>
      <c r="G638" s="1320">
        <f t="shared" si="313"/>
        <v>0</v>
      </c>
      <c r="H638" s="1320">
        <f t="shared" si="313"/>
        <v>41606.418583832929</v>
      </c>
      <c r="I638" s="1323">
        <f t="shared" si="314"/>
        <v>1</v>
      </c>
      <c r="J638" s="1324">
        <f t="shared" si="315"/>
        <v>41606.418583832929</v>
      </c>
      <c r="K638" s="1324">
        <f t="shared" si="315"/>
        <v>20996.021141954727</v>
      </c>
      <c r="L638" s="1324">
        <f t="shared" si="315"/>
        <v>1940.2781394493284</v>
      </c>
      <c r="M638" s="1324">
        <f t="shared" si="315"/>
        <v>14454.318510025485</v>
      </c>
      <c r="N638" s="1325">
        <f t="shared" si="315"/>
        <v>2300.8950992486625</v>
      </c>
      <c r="O638" s="1325">
        <f t="shared" si="315"/>
        <v>1695.0967183316852</v>
      </c>
      <c r="P638" s="1325">
        <f t="shared" si="315"/>
        <v>219.80897482304056</v>
      </c>
      <c r="Q638" s="1324">
        <f t="shared" si="315"/>
        <v>0</v>
      </c>
      <c r="V638" s="1320" t="s">
        <v>5508</v>
      </c>
    </row>
    <row r="639" spans="1:25">
      <c r="A639" s="1320" t="s">
        <v>4877</v>
      </c>
      <c r="C639" s="1322">
        <v>16</v>
      </c>
      <c r="D639" s="1320" t="s">
        <v>5268</v>
      </c>
      <c r="E639" s="1320" t="s">
        <v>4067</v>
      </c>
      <c r="F639" s="1320">
        <f t="shared" si="313"/>
        <v>4045.8701124403733</v>
      </c>
      <c r="G639" s="1320">
        <f t="shared" si="313"/>
        <v>262.11920423899039</v>
      </c>
      <c r="H639" s="1320">
        <f t="shared" si="313"/>
        <v>3783.7509082013821</v>
      </c>
      <c r="I639" s="1323">
        <f t="shared" si="314"/>
        <v>0.93521314403222722</v>
      </c>
      <c r="J639" s="1324">
        <f t="shared" si="315"/>
        <v>3783.7509082013821</v>
      </c>
      <c r="K639" s="1324">
        <f t="shared" si="315"/>
        <v>2194.6248673367572</v>
      </c>
      <c r="L639" s="1324">
        <f t="shared" si="315"/>
        <v>181.03441535063851</v>
      </c>
      <c r="M639" s="1324">
        <f t="shared" si="315"/>
        <v>1157.2620678849175</v>
      </c>
      <c r="N639" s="1325">
        <f t="shared" si="315"/>
        <v>144.46882492442904</v>
      </c>
      <c r="O639" s="1325">
        <f t="shared" si="315"/>
        <v>103.67808127873536</v>
      </c>
      <c r="P639" s="1325">
        <f t="shared" si="315"/>
        <v>2.6826514259051697</v>
      </c>
      <c r="Q639" s="1324">
        <f t="shared" si="315"/>
        <v>0</v>
      </c>
      <c r="V639" s="1320" t="s">
        <v>5509</v>
      </c>
      <c r="Y639" s="1324"/>
    </row>
    <row r="640" spans="1:25">
      <c r="A640" s="1320" t="s">
        <v>4877</v>
      </c>
      <c r="C640" s="1322">
        <v>17</v>
      </c>
      <c r="D640" s="1320" t="s">
        <v>5239</v>
      </c>
      <c r="E640" s="1320" t="s">
        <v>4067</v>
      </c>
      <c r="F640" s="1320">
        <f t="shared" si="313"/>
        <v>12410.707503730187</v>
      </c>
      <c r="G640" s="1320">
        <f t="shared" si="313"/>
        <v>804.05071950232241</v>
      </c>
      <c r="H640" s="1320">
        <f t="shared" si="313"/>
        <v>11606.656784227866</v>
      </c>
      <c r="I640" s="1323">
        <f t="shared" si="314"/>
        <v>0.93521314403222744</v>
      </c>
      <c r="J640" s="1324">
        <f t="shared" si="315"/>
        <v>11606.656784227866</v>
      </c>
      <c r="K640" s="1324">
        <f t="shared" si="315"/>
        <v>6732.0122870925625</v>
      </c>
      <c r="L640" s="1324">
        <f t="shared" si="315"/>
        <v>555.32311087228186</v>
      </c>
      <c r="M640" s="1324">
        <f t="shared" si="315"/>
        <v>3549.901660342372</v>
      </c>
      <c r="N640" s="1325">
        <f t="shared" si="315"/>
        <v>443.15815380025214</v>
      </c>
      <c r="O640" s="1325">
        <f t="shared" si="315"/>
        <v>318.03253825225534</v>
      </c>
      <c r="P640" s="1325">
        <f t="shared" si="315"/>
        <v>8.229033868141622</v>
      </c>
      <c r="Q640" s="1324">
        <f t="shared" si="315"/>
        <v>0</v>
      </c>
      <c r="V640" s="1320" t="s">
        <v>5510</v>
      </c>
      <c r="Y640" s="1324"/>
    </row>
    <row r="641" spans="1:25">
      <c r="A641" s="1320" t="s">
        <v>4877</v>
      </c>
      <c r="C641" s="1322">
        <v>18</v>
      </c>
      <c r="D641" s="1320" t="s">
        <v>5240</v>
      </c>
      <c r="E641" s="1320" t="s">
        <v>4067</v>
      </c>
      <c r="F641" s="1320">
        <f t="shared" si="313"/>
        <v>58782.428641817736</v>
      </c>
      <c r="G641" s="1320">
        <f t="shared" si="313"/>
        <v>0</v>
      </c>
      <c r="H641" s="1320">
        <f t="shared" si="313"/>
        <v>58782.428641817736</v>
      </c>
      <c r="I641" s="1323">
        <f t="shared" si="314"/>
        <v>1</v>
      </c>
      <c r="J641" s="1324">
        <f t="shared" si="315"/>
        <v>58782.428641817736</v>
      </c>
      <c r="K641" s="1324">
        <f t="shared" si="315"/>
        <v>36587.124815440024</v>
      </c>
      <c r="L641" s="1324">
        <f t="shared" si="315"/>
        <v>2602.1680795558191</v>
      </c>
      <c r="M641" s="1324">
        <f t="shared" si="315"/>
        <v>17423.140018458958</v>
      </c>
      <c r="N641" s="1325">
        <f t="shared" si="315"/>
        <v>1832.564018720811</v>
      </c>
      <c r="O641" s="1325">
        <f t="shared" si="315"/>
        <v>1.2512390115346165E-3</v>
      </c>
      <c r="P641" s="1325">
        <f t="shared" si="315"/>
        <v>337.43045840313516</v>
      </c>
      <c r="Q641" s="1324">
        <f t="shared" si="315"/>
        <v>0</v>
      </c>
      <c r="V641" s="1320" t="s">
        <v>5511</v>
      </c>
      <c r="Y641" s="1324"/>
    </row>
    <row r="642" spans="1:25">
      <c r="A642" s="1320" t="s">
        <v>4877</v>
      </c>
      <c r="C642" s="1322">
        <v>19</v>
      </c>
      <c r="D642" s="1320" t="s">
        <v>5241</v>
      </c>
      <c r="E642" s="1320" t="s">
        <v>4067</v>
      </c>
      <c r="F642" s="1320">
        <f t="shared" si="313"/>
        <v>9777.0558428558634</v>
      </c>
      <c r="G642" s="1320">
        <f t="shared" si="313"/>
        <v>0</v>
      </c>
      <c r="H642" s="1320">
        <f t="shared" si="313"/>
        <v>9777.0558428558634</v>
      </c>
      <c r="I642" s="1323">
        <f t="shared" si="314"/>
        <v>1</v>
      </c>
      <c r="J642" s="1324">
        <f t="shared" si="315"/>
        <v>9777.0558428558634</v>
      </c>
      <c r="K642" s="1324">
        <f t="shared" si="315"/>
        <v>7133.665140468629</v>
      </c>
      <c r="L642" s="1324">
        <f t="shared" si="315"/>
        <v>574.40162019538707</v>
      </c>
      <c r="M642" s="1324">
        <f t="shared" si="315"/>
        <v>2033.6212846129124</v>
      </c>
      <c r="N642" s="1325">
        <f t="shared" si="315"/>
        <v>0</v>
      </c>
      <c r="O642" s="1325">
        <f t="shared" si="315"/>
        <v>0</v>
      </c>
      <c r="P642" s="1325">
        <f t="shared" si="315"/>
        <v>35.36779757893472</v>
      </c>
      <c r="Q642" s="1324">
        <f t="shared" si="315"/>
        <v>0</v>
      </c>
      <c r="V642" s="1320" t="s">
        <v>5512</v>
      </c>
      <c r="Y642" s="1324"/>
    </row>
    <row r="643" spans="1:25">
      <c r="A643" s="1320" t="s">
        <v>4877</v>
      </c>
      <c r="C643" s="1322">
        <v>20</v>
      </c>
      <c r="D643" s="1320" t="s">
        <v>5242</v>
      </c>
      <c r="E643" s="1320" t="s">
        <v>4071</v>
      </c>
      <c r="F643" s="1320">
        <f t="shared" si="313"/>
        <v>38382.168295255775</v>
      </c>
      <c r="G643" s="1320">
        <f t="shared" si="313"/>
        <v>0</v>
      </c>
      <c r="H643" s="1320">
        <f t="shared" si="313"/>
        <v>38382.168295255775</v>
      </c>
      <c r="I643" s="1323">
        <f t="shared" si="314"/>
        <v>1</v>
      </c>
      <c r="J643" s="1324">
        <f t="shared" si="315"/>
        <v>38382.168295255775</v>
      </c>
      <c r="K643" s="1324">
        <f t="shared" si="315"/>
        <v>21544.192245294515</v>
      </c>
      <c r="L643" s="1324">
        <f t="shared" si="315"/>
        <v>4185.9635014247515</v>
      </c>
      <c r="M643" s="1324">
        <f t="shared" si="315"/>
        <v>2403.9105902686488</v>
      </c>
      <c r="N643" s="1325">
        <f t="shared" si="315"/>
        <v>180.57746666816001</v>
      </c>
      <c r="O643" s="1325">
        <f t="shared" si="315"/>
        <v>197.01759643821063</v>
      </c>
      <c r="P643" s="1325">
        <f t="shared" si="315"/>
        <v>40.467143094960882</v>
      </c>
      <c r="Q643" s="1324">
        <f t="shared" si="315"/>
        <v>9830.0397520665319</v>
      </c>
      <c r="V643" s="1320" t="s">
        <v>5513</v>
      </c>
      <c r="Y643" s="1324"/>
    </row>
    <row r="644" spans="1:25">
      <c r="A644" s="1320" t="s">
        <v>4877</v>
      </c>
      <c r="C644" s="1322">
        <v>21</v>
      </c>
      <c r="D644" s="1320" t="s">
        <v>5244</v>
      </c>
      <c r="E644" s="1320" t="s">
        <v>4071</v>
      </c>
      <c r="F644" s="1320">
        <f t="shared" si="313"/>
        <v>68841.128986264681</v>
      </c>
      <c r="G644" s="1320">
        <f t="shared" si="313"/>
        <v>0</v>
      </c>
      <c r="H644" s="1320">
        <f t="shared" si="313"/>
        <v>68841.128986264681</v>
      </c>
      <c r="I644" s="1323">
        <f t="shared" si="314"/>
        <v>1</v>
      </c>
      <c r="J644" s="1324">
        <f t="shared" si="315"/>
        <v>68841.128986264681</v>
      </c>
      <c r="K644" s="1324">
        <f t="shared" si="315"/>
        <v>59809.640671587651</v>
      </c>
      <c r="L644" s="1324">
        <f t="shared" si="315"/>
        <v>5825.1651118337631</v>
      </c>
      <c r="M644" s="1324">
        <f t="shared" si="315"/>
        <v>2575.0388485428939</v>
      </c>
      <c r="N644" s="1325">
        <f t="shared" si="315"/>
        <v>179.5122865880362</v>
      </c>
      <c r="O644" s="1325">
        <f t="shared" si="315"/>
        <v>94.498564225009261</v>
      </c>
      <c r="P644" s="1325">
        <f t="shared" si="315"/>
        <v>54.365409322181975</v>
      </c>
      <c r="Q644" s="1324">
        <f t="shared" si="315"/>
        <v>302.90809416513594</v>
      </c>
      <c r="V644" s="1320" t="s">
        <v>5514</v>
      </c>
      <c r="Y644" s="1324"/>
    </row>
    <row r="645" spans="1:25">
      <c r="A645" s="1320" t="s">
        <v>4877</v>
      </c>
      <c r="C645" s="1322">
        <v>22</v>
      </c>
      <c r="D645" s="1320" t="s">
        <v>5515</v>
      </c>
      <c r="F645" s="1427">
        <f>SUM(F637:F644)</f>
        <v>393467.81745022279</v>
      </c>
      <c r="G645" s="1427">
        <f>SUM(G637:G644)</f>
        <v>1066.1699237413127</v>
      </c>
      <c r="H645" s="1427">
        <f>SUM(H637:H644)</f>
        <v>392401.64752648154</v>
      </c>
      <c r="I645" s="1323">
        <f t="shared" si="314"/>
        <v>0.99729032496062753</v>
      </c>
      <c r="J645" s="1421">
        <f t="shared" ref="J645:Q645" si="316">SUM(J637:J644)</f>
        <v>392401.64752648154</v>
      </c>
      <c r="K645" s="1421">
        <f t="shared" si="316"/>
        <v>247580.14556105225</v>
      </c>
      <c r="L645" s="1421">
        <f t="shared" si="316"/>
        <v>23501.486448849028</v>
      </c>
      <c r="M645" s="1421">
        <f t="shared" si="316"/>
        <v>92417.671910949386</v>
      </c>
      <c r="N645" s="1422">
        <f t="shared" si="316"/>
        <v>11175.765328954869</v>
      </c>
      <c r="O645" s="1422">
        <f>SUM(O637:O644)</f>
        <v>6782.1081157975914</v>
      </c>
      <c r="P645" s="1422">
        <f>SUM(P637:P644)</f>
        <v>811.52231464667159</v>
      </c>
      <c r="Q645" s="1421">
        <f t="shared" si="316"/>
        <v>10132.947846231667</v>
      </c>
      <c r="R645" s="1358"/>
      <c r="V645" s="1320" t="s">
        <v>5463</v>
      </c>
      <c r="Y645" s="1324"/>
    </row>
    <row r="646" spans="1:25">
      <c r="A646" s="1320" t="s">
        <v>4877</v>
      </c>
      <c r="C646" s="1322">
        <v>23</v>
      </c>
      <c r="G646" s="1320"/>
      <c r="M646" s="1324"/>
      <c r="P646" s="1325"/>
      <c r="Y646" s="1324"/>
    </row>
    <row r="647" spans="1:25">
      <c r="A647" s="1320" t="s">
        <v>4877</v>
      </c>
      <c r="C647" s="1322">
        <v>24</v>
      </c>
      <c r="D647" s="1356" t="s">
        <v>5516</v>
      </c>
      <c r="G647" s="1320"/>
      <c r="M647" s="1324"/>
      <c r="P647" s="1325"/>
    </row>
    <row r="648" spans="1:25">
      <c r="A648" s="1320" t="s">
        <v>4877</v>
      </c>
      <c r="C648" s="1322">
        <v>25</v>
      </c>
      <c r="D648" s="1320" t="s">
        <v>4813</v>
      </c>
      <c r="E648" s="1320" t="s">
        <v>4067</v>
      </c>
      <c r="F648" s="1320">
        <f t="shared" ref="F648:H649" si="317">+F185</f>
        <v>0</v>
      </c>
      <c r="G648" s="1320">
        <f t="shared" si="317"/>
        <v>0</v>
      </c>
      <c r="H648" s="1320">
        <f t="shared" si="317"/>
        <v>0</v>
      </c>
      <c r="I648" s="1323">
        <f>IF(F648=0,0,+H648/F648)</f>
        <v>0</v>
      </c>
      <c r="J648" s="1324">
        <f t="shared" ref="J648:Q649" si="318">+J185</f>
        <v>0</v>
      </c>
      <c r="K648" s="1324">
        <f t="shared" si="318"/>
        <v>0</v>
      </c>
      <c r="L648" s="1324">
        <f t="shared" si="318"/>
        <v>0</v>
      </c>
      <c r="M648" s="1324">
        <f t="shared" si="318"/>
        <v>0</v>
      </c>
      <c r="N648" s="1325">
        <f t="shared" si="318"/>
        <v>0</v>
      </c>
      <c r="O648" s="1325">
        <f>+O185</f>
        <v>0</v>
      </c>
      <c r="P648" s="1325">
        <f>+P185</f>
        <v>0</v>
      </c>
      <c r="Q648" s="1324">
        <f t="shared" si="318"/>
        <v>0</v>
      </c>
      <c r="V648" s="1320" t="s">
        <v>5517</v>
      </c>
    </row>
    <row r="649" spans="1:25">
      <c r="A649" s="1320" t="s">
        <v>4877</v>
      </c>
      <c r="C649" s="1322">
        <v>26</v>
      </c>
      <c r="D649" s="1320" t="s">
        <v>4814</v>
      </c>
      <c r="E649" s="1320" t="s">
        <v>2067</v>
      </c>
      <c r="F649" s="1350">
        <f t="shared" si="317"/>
        <v>626.46090775325297</v>
      </c>
      <c r="G649" s="1350">
        <f t="shared" si="317"/>
        <v>0</v>
      </c>
      <c r="H649" s="1350">
        <f t="shared" si="317"/>
        <v>626.46090775325297</v>
      </c>
      <c r="I649" s="1323">
        <f>IF(F649=0,0,+H649/F649)</f>
        <v>1</v>
      </c>
      <c r="J649" s="1366">
        <f t="shared" si="318"/>
        <v>626.46090775325297</v>
      </c>
      <c r="K649" s="1366">
        <f t="shared" si="318"/>
        <v>316.13358975594224</v>
      </c>
      <c r="L649" s="1366">
        <f t="shared" si="318"/>
        <v>29.214444451259041</v>
      </c>
      <c r="M649" s="1366">
        <f t="shared" si="318"/>
        <v>217.63626389760336</v>
      </c>
      <c r="N649" s="1378">
        <f t="shared" si="318"/>
        <v>34.64419389080566</v>
      </c>
      <c r="O649" s="1378">
        <f>+O186</f>
        <v>25.522788671559834</v>
      </c>
      <c r="P649" s="1378">
        <f>+P186</f>
        <v>3.3096270860828403</v>
      </c>
      <c r="Q649" s="1366">
        <f t="shared" si="318"/>
        <v>0</v>
      </c>
      <c r="R649" s="1358"/>
      <c r="V649" s="1320" t="s">
        <v>5518</v>
      </c>
      <c r="Y649" s="1324"/>
    </row>
    <row r="650" spans="1:25">
      <c r="A650" s="1320" t="s">
        <v>4877</v>
      </c>
      <c r="C650" s="1322">
        <v>27</v>
      </c>
      <c r="D650" s="1320" t="s">
        <v>5519</v>
      </c>
      <c r="F650" s="1427">
        <f>SUM(F648:F649)</f>
        <v>626.46090775325297</v>
      </c>
      <c r="G650" s="1427">
        <f>SUM(G648:G649)</f>
        <v>0</v>
      </c>
      <c r="H650" s="1427">
        <f>SUM(H648:H649)</f>
        <v>626.46090775325297</v>
      </c>
      <c r="I650" s="1323">
        <f>IF(F650=0,0,+H650/F650)</f>
        <v>1</v>
      </c>
      <c r="J650" s="1421">
        <f t="shared" ref="J650:Q650" si="319">SUM(J648:J649)</f>
        <v>626.46090775325297</v>
      </c>
      <c r="K650" s="1421">
        <f t="shared" si="319"/>
        <v>316.13358975594224</v>
      </c>
      <c r="L650" s="1421">
        <f t="shared" si="319"/>
        <v>29.214444451259041</v>
      </c>
      <c r="M650" s="1421">
        <f t="shared" si="319"/>
        <v>217.63626389760336</v>
      </c>
      <c r="N650" s="1422">
        <f t="shared" si="319"/>
        <v>34.64419389080566</v>
      </c>
      <c r="O650" s="1422">
        <f>SUM(O648:O649)</f>
        <v>25.522788671559834</v>
      </c>
      <c r="P650" s="1422">
        <f>SUM(P648:P649)</f>
        <v>3.3096270860828403</v>
      </c>
      <c r="Q650" s="1421">
        <f t="shared" si="319"/>
        <v>0</v>
      </c>
      <c r="R650" s="1358"/>
      <c r="V650" s="1320" t="s">
        <v>5520</v>
      </c>
      <c r="Y650" s="1324"/>
    </row>
    <row r="651" spans="1:25">
      <c r="A651" s="1320" t="s">
        <v>4877</v>
      </c>
      <c r="C651" s="1322">
        <v>28</v>
      </c>
      <c r="G651" s="1320"/>
      <c r="M651" s="1324"/>
      <c r="P651" s="1325"/>
      <c r="Y651" s="1324"/>
    </row>
    <row r="652" spans="1:25">
      <c r="A652" s="1320" t="s">
        <v>4877</v>
      </c>
      <c r="C652" s="1322">
        <v>29</v>
      </c>
      <c r="D652" s="1356" t="s">
        <v>5521</v>
      </c>
      <c r="G652" s="1320"/>
      <c r="M652" s="1324"/>
      <c r="P652" s="1325"/>
    </row>
    <row r="653" spans="1:25">
      <c r="A653" s="1320" t="s">
        <v>4877</v>
      </c>
      <c r="C653" s="1322">
        <v>30</v>
      </c>
      <c r="D653" s="1320" t="s">
        <v>5265</v>
      </c>
      <c r="E653" s="1320" t="s">
        <v>4067</v>
      </c>
      <c r="F653" s="1320">
        <f t="shared" ref="F653:H660" si="320">+F498</f>
        <v>290551.79552865884</v>
      </c>
      <c r="G653" s="1320">
        <f t="shared" si="320"/>
        <v>0</v>
      </c>
      <c r="H653" s="1320">
        <f t="shared" si="320"/>
        <v>290551.79552865884</v>
      </c>
      <c r="I653" s="1323">
        <f t="shared" ref="I653:I661" si="321">IF(F653=0,0,+H653/F653)</f>
        <v>1</v>
      </c>
      <c r="J653" s="1324">
        <f t="shared" ref="J653:Q660" si="322">+J498</f>
        <v>290551.79552865884</v>
      </c>
      <c r="K653" s="1324">
        <f t="shared" si="322"/>
        <v>168523.83023798189</v>
      </c>
      <c r="L653" s="1324">
        <f t="shared" si="322"/>
        <v>13901.516169734479</v>
      </c>
      <c r="M653" s="1324">
        <f t="shared" si="322"/>
        <v>88865.408923286246</v>
      </c>
      <c r="N653" s="1325">
        <f t="shared" si="322"/>
        <v>11093.668028919376</v>
      </c>
      <c r="O653" s="1325">
        <f t="shared" si="322"/>
        <v>7961.3730933525603</v>
      </c>
      <c r="P653" s="1325">
        <f t="shared" si="322"/>
        <v>205.99907538437245</v>
      </c>
      <c r="Q653" s="1324">
        <f t="shared" si="322"/>
        <v>0</v>
      </c>
      <c r="V653" s="1320" t="s">
        <v>5522</v>
      </c>
    </row>
    <row r="654" spans="1:25">
      <c r="A654" s="1320" t="s">
        <v>4877</v>
      </c>
      <c r="C654" s="1322">
        <v>31</v>
      </c>
      <c r="D654" s="1320" t="s">
        <v>5265</v>
      </c>
      <c r="E654" s="1320" t="s">
        <v>2067</v>
      </c>
      <c r="F654" s="1320">
        <f t="shared" si="320"/>
        <v>30632.200099340615</v>
      </c>
      <c r="G654" s="1320">
        <f t="shared" si="320"/>
        <v>0</v>
      </c>
      <c r="H654" s="1320">
        <f t="shared" si="320"/>
        <v>30632.200099340615</v>
      </c>
      <c r="I654" s="1323">
        <f t="shared" si="321"/>
        <v>1</v>
      </c>
      <c r="J654" s="1324">
        <f t="shared" si="322"/>
        <v>30632.200099340615</v>
      </c>
      <c r="K654" s="1324">
        <f t="shared" si="322"/>
        <v>15458.055338611979</v>
      </c>
      <c r="L654" s="1324">
        <f t="shared" si="322"/>
        <v>1428.5052700758743</v>
      </c>
      <c r="M654" s="1324">
        <f t="shared" si="322"/>
        <v>10641.809412328281</v>
      </c>
      <c r="N654" s="1325">
        <f t="shared" si="322"/>
        <v>1694.0049513217248</v>
      </c>
      <c r="O654" s="1325">
        <f t="shared" si="322"/>
        <v>1247.9935459729331</v>
      </c>
      <c r="P654" s="1325">
        <f t="shared" si="322"/>
        <v>161.83158102982321</v>
      </c>
      <c r="Q654" s="1324">
        <f t="shared" si="322"/>
        <v>0</v>
      </c>
      <c r="V654" s="1320" t="s">
        <v>5523</v>
      </c>
      <c r="Y654" s="1324"/>
    </row>
    <row r="655" spans="1:25">
      <c r="A655" s="1320" t="s">
        <v>4877</v>
      </c>
      <c r="C655" s="1322">
        <v>32</v>
      </c>
      <c r="D655" s="1320" t="s">
        <v>5268</v>
      </c>
      <c r="E655" s="1320" t="s">
        <v>4067</v>
      </c>
      <c r="F655" s="1320">
        <f t="shared" si="320"/>
        <v>15709.633517949591</v>
      </c>
      <c r="G655" s="1320">
        <f t="shared" si="320"/>
        <v>1017.7777640338929</v>
      </c>
      <c r="H655" s="1320">
        <f t="shared" si="320"/>
        <v>14691.855753915697</v>
      </c>
      <c r="I655" s="1323">
        <f t="shared" si="321"/>
        <v>0.93521314403222733</v>
      </c>
      <c r="J655" s="1324">
        <f t="shared" si="322"/>
        <v>14691.855753915697</v>
      </c>
      <c r="K655" s="1324">
        <f t="shared" si="322"/>
        <v>8521.4679208877606</v>
      </c>
      <c r="L655" s="1324">
        <f t="shared" si="322"/>
        <v>702.9351512175399</v>
      </c>
      <c r="M655" s="1324">
        <f t="shared" si="322"/>
        <v>4493.5112758058149</v>
      </c>
      <c r="N655" s="1325">
        <f t="shared" si="322"/>
        <v>560.95530287863369</v>
      </c>
      <c r="O655" s="1325">
        <f t="shared" si="322"/>
        <v>402.56968599288598</v>
      </c>
      <c r="P655" s="1325">
        <f t="shared" si="322"/>
        <v>10.416417133063913</v>
      </c>
      <c r="Q655" s="1324">
        <f t="shared" si="322"/>
        <v>0</v>
      </c>
      <c r="V655" s="1320" t="s">
        <v>5524</v>
      </c>
      <c r="Y655" s="1324"/>
    </row>
    <row r="656" spans="1:25">
      <c r="A656" s="1320" t="s">
        <v>4877</v>
      </c>
      <c r="C656" s="1322">
        <v>33</v>
      </c>
      <c r="D656" s="1320" t="s">
        <v>5239</v>
      </c>
      <c r="E656" s="1320" t="s">
        <v>4067</v>
      </c>
      <c r="F656" s="1320">
        <f t="shared" si="320"/>
        <v>16596.304009286247</v>
      </c>
      <c r="G656" s="1320">
        <f t="shared" si="320"/>
        <v>1075.2223574469951</v>
      </c>
      <c r="H656" s="1320">
        <f t="shared" si="320"/>
        <v>15521.081651839251</v>
      </c>
      <c r="I656" s="1323">
        <f t="shared" si="321"/>
        <v>0.93521314403222733</v>
      </c>
      <c r="J656" s="1324">
        <f t="shared" si="322"/>
        <v>15521.081651839251</v>
      </c>
      <c r="K656" s="1324">
        <f t="shared" si="322"/>
        <v>9002.4297548917184</v>
      </c>
      <c r="L656" s="1324">
        <f t="shared" si="322"/>
        <v>742.60965127482791</v>
      </c>
      <c r="M656" s="1324">
        <f t="shared" si="322"/>
        <v>4747.1304226938173</v>
      </c>
      <c r="N656" s="1325">
        <f t="shared" si="322"/>
        <v>592.61629060651421</v>
      </c>
      <c r="O656" s="1325">
        <f t="shared" si="322"/>
        <v>425.29120020699622</v>
      </c>
      <c r="P656" s="1325">
        <f t="shared" si="322"/>
        <v>11.004332165377591</v>
      </c>
      <c r="Q656" s="1324">
        <f t="shared" si="322"/>
        <v>0</v>
      </c>
      <c r="V656" s="1320" t="s">
        <v>5525</v>
      </c>
      <c r="Y656" s="1324"/>
    </row>
    <row r="657" spans="1:25">
      <c r="A657" s="1320" t="s">
        <v>4877</v>
      </c>
      <c r="C657" s="1322">
        <v>34</v>
      </c>
      <c r="D657" s="1320" t="s">
        <v>5240</v>
      </c>
      <c r="E657" s="1320" t="s">
        <v>4067</v>
      </c>
      <c r="F657" s="1320">
        <f t="shared" si="320"/>
        <v>76341.16310059707</v>
      </c>
      <c r="G657" s="1320">
        <f t="shared" si="320"/>
        <v>0</v>
      </c>
      <c r="H657" s="1320">
        <f t="shared" si="320"/>
        <v>76341.16310059707</v>
      </c>
      <c r="I657" s="1323">
        <f t="shared" si="321"/>
        <v>1</v>
      </c>
      <c r="J657" s="1324">
        <f t="shared" si="322"/>
        <v>76341.16310059707</v>
      </c>
      <c r="K657" s="1324">
        <f t="shared" si="322"/>
        <v>47515.962294392157</v>
      </c>
      <c r="L657" s="1324">
        <f t="shared" si="322"/>
        <v>3379.4544112322901</v>
      </c>
      <c r="M657" s="1324">
        <f t="shared" si="322"/>
        <v>22627.557326331393</v>
      </c>
      <c r="N657" s="1325">
        <f t="shared" si="322"/>
        <v>2379.9640790262674</v>
      </c>
      <c r="O657" s="1325">
        <f t="shared" si="322"/>
        <v>1.6249931087304634E-3</v>
      </c>
      <c r="P657" s="1325">
        <f t="shared" si="322"/>
        <v>438.22336462188076</v>
      </c>
      <c r="Q657" s="1324">
        <f t="shared" si="322"/>
        <v>0</v>
      </c>
      <c r="V657" s="1320" t="s">
        <v>5526</v>
      </c>
      <c r="Y657" s="1324"/>
    </row>
    <row r="658" spans="1:25">
      <c r="A658" s="1320" t="s">
        <v>4877</v>
      </c>
      <c r="C658" s="1322">
        <v>35</v>
      </c>
      <c r="D658" s="1320" t="s">
        <v>5241</v>
      </c>
      <c r="E658" s="1320" t="s">
        <v>4067</v>
      </c>
      <c r="F658" s="1320">
        <f t="shared" si="320"/>
        <v>43854.63708184228</v>
      </c>
      <c r="G658" s="1320">
        <f t="shared" si="320"/>
        <v>0</v>
      </c>
      <c r="H658" s="1320">
        <f t="shared" si="320"/>
        <v>43854.63708184228</v>
      </c>
      <c r="I658" s="1323">
        <f t="shared" si="321"/>
        <v>1</v>
      </c>
      <c r="J658" s="1324">
        <f t="shared" si="322"/>
        <v>43854.63708184228</v>
      </c>
      <c r="K658" s="1324">
        <f t="shared" si="322"/>
        <v>31997.801876854155</v>
      </c>
      <c r="L658" s="1324">
        <f t="shared" si="322"/>
        <v>2576.4580869503243</v>
      </c>
      <c r="M658" s="1324">
        <f t="shared" si="322"/>
        <v>9121.7361168879997</v>
      </c>
      <c r="N658" s="1325">
        <f t="shared" si="322"/>
        <v>0</v>
      </c>
      <c r="O658" s="1325">
        <f t="shared" si="322"/>
        <v>0</v>
      </c>
      <c r="P658" s="1325">
        <f t="shared" si="322"/>
        <v>158.64100114980889</v>
      </c>
      <c r="Q658" s="1324">
        <f t="shared" si="322"/>
        <v>0</v>
      </c>
      <c r="V658" s="1320" t="s">
        <v>5527</v>
      </c>
      <c r="Y658" s="1324"/>
    </row>
    <row r="659" spans="1:25">
      <c r="A659" s="1320" t="s">
        <v>4877</v>
      </c>
      <c r="C659" s="1322">
        <v>36</v>
      </c>
      <c r="D659" s="1320" t="s">
        <v>5242</v>
      </c>
      <c r="E659" s="1320" t="s">
        <v>4071</v>
      </c>
      <c r="F659" s="1320">
        <f t="shared" si="320"/>
        <v>47757.415820776761</v>
      </c>
      <c r="G659" s="1320">
        <f t="shared" si="320"/>
        <v>0</v>
      </c>
      <c r="H659" s="1320">
        <f t="shared" si="320"/>
        <v>47757.415820776761</v>
      </c>
      <c r="I659" s="1323">
        <f t="shared" si="321"/>
        <v>1</v>
      </c>
      <c r="J659" s="1324">
        <f t="shared" si="322"/>
        <v>47757.415820776761</v>
      </c>
      <c r="K659" s="1324">
        <f t="shared" si="322"/>
        <v>19058.030035910961</v>
      </c>
      <c r="L659" s="1324">
        <f t="shared" si="322"/>
        <v>3755.5686858919635</v>
      </c>
      <c r="M659" s="1324">
        <f t="shared" si="322"/>
        <v>2174.023732577497</v>
      </c>
      <c r="N659" s="1325">
        <f t="shared" si="322"/>
        <v>164.27153031826174</v>
      </c>
      <c r="O659" s="1325">
        <f t="shared" si="322"/>
        <v>179.22713538785715</v>
      </c>
      <c r="P659" s="1325">
        <f t="shared" si="322"/>
        <v>36.659734645543473</v>
      </c>
      <c r="Q659" s="1324">
        <f t="shared" si="322"/>
        <v>22389.634966044672</v>
      </c>
      <c r="V659" s="1320" t="s">
        <v>5528</v>
      </c>
      <c r="Y659" s="1324"/>
    </row>
    <row r="660" spans="1:25">
      <c r="A660" s="1320" t="s">
        <v>4877</v>
      </c>
      <c r="C660" s="1322">
        <v>37</v>
      </c>
      <c r="D660" s="1320" t="s">
        <v>5244</v>
      </c>
      <c r="E660" s="1320" t="s">
        <v>4071</v>
      </c>
      <c r="F660" s="1320">
        <f t="shared" si="320"/>
        <v>12431.05871528412</v>
      </c>
      <c r="G660" s="1320">
        <f t="shared" si="320"/>
        <v>0</v>
      </c>
      <c r="H660" s="1320">
        <f t="shared" si="320"/>
        <v>12431.05871528412</v>
      </c>
      <c r="I660" s="1323">
        <f t="shared" si="321"/>
        <v>1</v>
      </c>
      <c r="J660" s="1324">
        <f t="shared" si="322"/>
        <v>12431.05871528412</v>
      </c>
      <c r="K660" s="1324">
        <f t="shared" si="322"/>
        <v>11087.097359078902</v>
      </c>
      <c r="L660" s="1324">
        <f t="shared" si="322"/>
        <v>1074.7942807674417</v>
      </c>
      <c r="M660" s="1324">
        <f t="shared" si="322"/>
        <v>264.71267171507458</v>
      </c>
      <c r="N660" s="1325">
        <f t="shared" si="322"/>
        <v>0.89376385374582712</v>
      </c>
      <c r="O660" s="1325">
        <f t="shared" si="322"/>
        <v>0.15857100630974355</v>
      </c>
      <c r="P660" s="1325">
        <f t="shared" si="322"/>
        <v>3.4020688626454065</v>
      </c>
      <c r="Q660" s="1324">
        <f t="shared" si="322"/>
        <v>0</v>
      </c>
      <c r="V660" s="1320" t="s">
        <v>5529</v>
      </c>
      <c r="Y660" s="1324"/>
    </row>
    <row r="661" spans="1:25">
      <c r="A661" s="1320" t="s">
        <v>4877</v>
      </c>
      <c r="C661" s="1322">
        <v>38</v>
      </c>
      <c r="D661" s="1320" t="s">
        <v>5453</v>
      </c>
      <c r="F661" s="1427">
        <f>SUM(F653:F660)</f>
        <v>533874.20787373558</v>
      </c>
      <c r="G661" s="1427">
        <f>SUM(G653:G660)</f>
        <v>2093.0001214808881</v>
      </c>
      <c r="H661" s="1427">
        <f>SUM(H653:H660)</f>
        <v>531781.20775225468</v>
      </c>
      <c r="I661" s="1323">
        <f t="shared" si="321"/>
        <v>0.99607960060513745</v>
      </c>
      <c r="J661" s="1421">
        <f t="shared" ref="J661:Q661" si="323">SUM(J653:J660)</f>
        <v>531781.20775225468</v>
      </c>
      <c r="K661" s="1421">
        <f t="shared" si="323"/>
        <v>311164.67481860949</v>
      </c>
      <c r="L661" s="1421">
        <f t="shared" si="323"/>
        <v>27561.84170714474</v>
      </c>
      <c r="M661" s="1421">
        <f t="shared" si="323"/>
        <v>142935.88988162612</v>
      </c>
      <c r="N661" s="1422">
        <f t="shared" si="323"/>
        <v>16486.373946924527</v>
      </c>
      <c r="O661" s="1422">
        <f>SUM(O653:O660)</f>
        <v>10216.614856912653</v>
      </c>
      <c r="P661" s="1422">
        <f>SUM(P653:P660)</f>
        <v>1026.1775749925157</v>
      </c>
      <c r="Q661" s="1421">
        <f t="shared" si="323"/>
        <v>22389.634966044672</v>
      </c>
      <c r="R661" s="1358"/>
      <c r="V661" s="1320" t="s">
        <v>5530</v>
      </c>
      <c r="Y661" s="1324"/>
    </row>
    <row r="664" spans="1:25">
      <c r="G664" s="1320"/>
      <c r="Y664" s="1324"/>
    </row>
    <row r="665" spans="1:25">
      <c r="G665" s="1320"/>
      <c r="Y665" s="1324"/>
    </row>
    <row r="666" spans="1:25">
      <c r="G666" s="1320"/>
      <c r="Y666" s="1324"/>
    </row>
    <row r="667" spans="1:25">
      <c r="G667" s="1320"/>
      <c r="Y667" s="1324"/>
    </row>
    <row r="668" spans="1:25">
      <c r="G668" s="1320"/>
      <c r="Y668" s="1324"/>
    </row>
    <row r="669" spans="1:25">
      <c r="B669" s="1432"/>
      <c r="C669" s="1340" t="str">
        <f>+C$2</f>
        <v>RATES WITH REVENUE DEFICIENCY ADDITION</v>
      </c>
      <c r="F669" s="1333"/>
      <c r="G669" s="1327" t="s">
        <v>2173</v>
      </c>
      <c r="I669" s="1334" t="s">
        <v>5493</v>
      </c>
      <c r="L669" s="1329" t="s">
        <v>2173</v>
      </c>
      <c r="M669" s="1330"/>
      <c r="N669" s="1330"/>
      <c r="O669" s="1330"/>
      <c r="S669" s="1334" t="s">
        <v>5531</v>
      </c>
      <c r="T669" s="1333" t="s">
        <v>2173</v>
      </c>
      <c r="U669" s="1334"/>
      <c r="V669" s="1332" t="s">
        <v>4772</v>
      </c>
      <c r="Y669" s="1324"/>
    </row>
    <row r="670" spans="1:25">
      <c r="B670" s="1432"/>
      <c r="C670" s="1340" t="str">
        <f>+C$3</f>
        <v>PROD. CAP. ALLOC. METHOD: 12 CP &amp; 1/13th AD</v>
      </c>
      <c r="G670" s="1336" t="s">
        <v>4768</v>
      </c>
      <c r="I670" s="1335" t="s">
        <v>4061</v>
      </c>
      <c r="L670" s="1336" t="s">
        <v>5141</v>
      </c>
      <c r="M670" s="1337"/>
      <c r="N670" s="1337"/>
      <c r="O670" s="1337"/>
      <c r="R670" s="1331"/>
      <c r="S670" s="1335" t="s">
        <v>4062</v>
      </c>
      <c r="T670" s="1333" t="s">
        <v>5141</v>
      </c>
      <c r="V670" s="1332" t="s">
        <v>5531</v>
      </c>
      <c r="Y670" s="1324"/>
    </row>
    <row r="671" spans="1:25">
      <c r="C671" s="1340" t="str">
        <f>+C$4</f>
        <v>PROJECTED CALENDAR YEAR 2025; FULLY ADJUSTED DATA</v>
      </c>
      <c r="G671" s="1336" t="s">
        <v>2181</v>
      </c>
      <c r="L671" s="1336" t="s">
        <v>2181</v>
      </c>
      <c r="T671" s="1339"/>
    </row>
    <row r="672" spans="1:25" ht="15.75" customHeight="1">
      <c r="C672" s="1340" t="str">
        <f>+C$5</f>
        <v>MINIMUM DISTRIBUTION SYSTEM (MDS) NOT EMPLOYED</v>
      </c>
      <c r="D672" s="1358"/>
      <c r="G672" s="1320"/>
      <c r="L672" s="1336"/>
      <c r="M672" s="1337"/>
      <c r="N672" s="1337"/>
      <c r="O672" s="1337"/>
      <c r="T672" s="1333"/>
    </row>
    <row r="673" spans="1:25">
      <c r="C673" s="1340" t="str">
        <f>+C$6</f>
        <v>Tampa Electric 2025 OB Budget</v>
      </c>
      <c r="F673" s="1327"/>
      <c r="G673" s="1333" t="s">
        <v>5494</v>
      </c>
      <c r="L673" s="1336" t="s">
        <v>5494</v>
      </c>
      <c r="M673" s="1337"/>
      <c r="N673" s="1337"/>
      <c r="O673" s="1337"/>
      <c r="T673" s="1333" t="s">
        <v>5494</v>
      </c>
      <c r="Y673" s="1324"/>
    </row>
    <row r="674" spans="1:25">
      <c r="C674" s="1331"/>
      <c r="F674" s="1333"/>
      <c r="G674" s="1320"/>
      <c r="L674" s="1336"/>
      <c r="M674" s="1337"/>
      <c r="N674" s="1337"/>
      <c r="O674" s="1337"/>
      <c r="Y674" s="1324"/>
    </row>
    <row r="675" spans="1:25" ht="9.75" customHeight="1">
      <c r="F675" s="1333"/>
      <c r="G675" s="1320"/>
      <c r="L675" s="1336"/>
      <c r="M675" s="1337"/>
      <c r="N675" s="1337"/>
      <c r="O675" s="1337"/>
      <c r="Y675" s="1324"/>
    </row>
    <row r="676" spans="1:25" ht="30" customHeight="1">
      <c r="A676" s="1418" t="s">
        <v>4683</v>
      </c>
      <c r="B676" s="1425" t="s">
        <v>5143</v>
      </c>
      <c r="C676" s="1349" t="s">
        <v>4297</v>
      </c>
      <c r="D676" s="1418"/>
      <c r="E676" s="1418"/>
      <c r="F676" s="1348" t="s">
        <v>5144</v>
      </c>
      <c r="G676" s="1348" t="s">
        <v>4956</v>
      </c>
      <c r="H676" s="1348" t="s">
        <v>4957</v>
      </c>
      <c r="I676" s="1426" t="s">
        <v>5145</v>
      </c>
      <c r="J676" s="1352" t="s">
        <v>4957</v>
      </c>
      <c r="K676" s="1353" t="s">
        <v>1949</v>
      </c>
      <c r="L676" s="1353" t="s">
        <v>1950</v>
      </c>
      <c r="M676" s="1354" t="s">
        <v>1934</v>
      </c>
      <c r="N676" s="1354" t="s">
        <v>1971</v>
      </c>
      <c r="O676" s="1354" t="s">
        <v>1972</v>
      </c>
      <c r="P676" s="1352" t="s">
        <v>5146</v>
      </c>
      <c r="Q676" s="1352" t="s">
        <v>5147</v>
      </c>
      <c r="R676" s="1355"/>
      <c r="S676" s="1348" t="s">
        <v>5299</v>
      </c>
      <c r="T676" s="1348"/>
      <c r="U676" s="1352"/>
      <c r="V676" s="1355" t="s">
        <v>4774</v>
      </c>
    </row>
    <row r="677" spans="1:25" ht="9" customHeight="1">
      <c r="B677" s="1441"/>
      <c r="C677" s="1397"/>
      <c r="D677" s="1435"/>
      <c r="E677" s="1435"/>
      <c r="F677" s="1396"/>
      <c r="G677" s="1396"/>
      <c r="H677" s="1396"/>
      <c r="I677" s="1442"/>
      <c r="J677" s="1399"/>
      <c r="K677" s="1360"/>
      <c r="L677" s="1360"/>
      <c r="M677" s="1361"/>
      <c r="N677" s="1361"/>
      <c r="O677" s="1361"/>
      <c r="P677" s="1399"/>
      <c r="Q677" s="1399"/>
      <c r="R677" s="1346"/>
      <c r="S677" s="1396"/>
      <c r="T677" s="1396"/>
      <c r="U677" s="1399"/>
    </row>
    <row r="678" spans="1:25">
      <c r="A678" s="1320" t="s">
        <v>4877</v>
      </c>
      <c r="B678" s="1324"/>
      <c r="C678" s="1393">
        <v>39</v>
      </c>
      <c r="D678" s="1362" t="s">
        <v>5532</v>
      </c>
      <c r="E678" s="1324"/>
      <c r="F678" s="1324"/>
      <c r="H678" s="1324"/>
      <c r="I678" s="1374"/>
      <c r="S678" s="1324"/>
      <c r="T678" s="1324"/>
      <c r="Y678" s="1324"/>
    </row>
    <row r="679" spans="1:25">
      <c r="A679" s="1320" t="s">
        <v>4877</v>
      </c>
      <c r="B679" s="1324"/>
      <c r="C679" s="1322">
        <v>40</v>
      </c>
      <c r="D679" s="1324" t="s">
        <v>5265</v>
      </c>
      <c r="E679" s="1324" t="s">
        <v>4067</v>
      </c>
      <c r="F679" s="1589">
        <v>0</v>
      </c>
      <c r="G679" s="1324">
        <v>0</v>
      </c>
      <c r="H679" s="1324">
        <v>0</v>
      </c>
      <c r="I679" s="1323">
        <f t="shared" ref="I679:I687" si="324">IF(F679=0,0,+H679/F679)</f>
        <v>0</v>
      </c>
      <c r="J679" s="1324">
        <v>0</v>
      </c>
      <c r="K679" s="1324">
        <v>0</v>
      </c>
      <c r="L679" s="1324">
        <v>0</v>
      </c>
      <c r="M679" s="1324">
        <v>0</v>
      </c>
      <c r="N679" s="1325">
        <v>0</v>
      </c>
      <c r="O679" s="1325">
        <v>0</v>
      </c>
      <c r="P679" s="1325">
        <v>0</v>
      </c>
      <c r="Q679" s="1324">
        <v>0</v>
      </c>
      <c r="R679" s="1324"/>
      <c r="S679" s="1324"/>
      <c r="T679" s="1324"/>
      <c r="V679" s="1320" t="s">
        <v>5343</v>
      </c>
      <c r="Y679" s="1324"/>
    </row>
    <row r="680" spans="1:25">
      <c r="A680" s="1320" t="s">
        <v>4877</v>
      </c>
      <c r="B680" s="1324"/>
      <c r="C680" s="1322">
        <v>41</v>
      </c>
      <c r="D680" s="1324" t="s">
        <v>5265</v>
      </c>
      <c r="E680" s="1324" t="s">
        <v>2067</v>
      </c>
      <c r="F680" s="1589">
        <v>0</v>
      </c>
      <c r="G680" s="1324">
        <v>0</v>
      </c>
      <c r="H680" s="1324">
        <v>0</v>
      </c>
      <c r="I680" s="1323">
        <f t="shared" si="324"/>
        <v>0</v>
      </c>
      <c r="J680" s="1324">
        <v>0</v>
      </c>
      <c r="K680" s="1324">
        <v>0</v>
      </c>
      <c r="L680" s="1324">
        <v>0</v>
      </c>
      <c r="M680" s="1324">
        <v>0</v>
      </c>
      <c r="N680" s="1325">
        <v>0</v>
      </c>
      <c r="O680" s="1325">
        <v>0</v>
      </c>
      <c r="P680" s="1325">
        <v>0</v>
      </c>
      <c r="Q680" s="1324">
        <v>0</v>
      </c>
      <c r="R680" s="1324"/>
      <c r="S680" s="1324"/>
      <c r="T680" s="1324"/>
      <c r="V680" s="1320" t="s">
        <v>5343</v>
      </c>
      <c r="Y680" s="1324"/>
    </row>
    <row r="681" spans="1:25">
      <c r="A681" s="1320" t="s">
        <v>4877</v>
      </c>
      <c r="B681" s="1324"/>
      <c r="C681" s="1322">
        <v>42</v>
      </c>
      <c r="D681" s="1324" t="s">
        <v>5268</v>
      </c>
      <c r="E681" s="1324" t="s">
        <v>4067</v>
      </c>
      <c r="F681" s="1589">
        <v>0</v>
      </c>
      <c r="G681" s="1324">
        <v>0</v>
      </c>
      <c r="H681" s="1324">
        <v>0</v>
      </c>
      <c r="I681" s="1323">
        <f t="shared" si="324"/>
        <v>0</v>
      </c>
      <c r="J681" s="1324">
        <v>0</v>
      </c>
      <c r="K681" s="1324">
        <v>0</v>
      </c>
      <c r="L681" s="1324">
        <v>0</v>
      </c>
      <c r="M681" s="1324">
        <v>0</v>
      </c>
      <c r="N681" s="1325">
        <v>0</v>
      </c>
      <c r="O681" s="1325">
        <v>0</v>
      </c>
      <c r="P681" s="1325">
        <v>0</v>
      </c>
      <c r="Q681" s="1324">
        <v>0</v>
      </c>
      <c r="R681" s="1324"/>
      <c r="S681" s="1324"/>
      <c r="T681" s="1324"/>
      <c r="V681" s="1320" t="s">
        <v>5343</v>
      </c>
      <c r="Y681" s="1324"/>
    </row>
    <row r="682" spans="1:25">
      <c r="A682" s="1320" t="s">
        <v>4877</v>
      </c>
      <c r="B682" s="1324"/>
      <c r="C682" s="1322">
        <v>43</v>
      </c>
      <c r="D682" s="1324" t="s">
        <v>5239</v>
      </c>
      <c r="E682" s="1324" t="s">
        <v>4067</v>
      </c>
      <c r="F682" s="1589">
        <v>0</v>
      </c>
      <c r="G682" s="1324">
        <v>0</v>
      </c>
      <c r="H682" s="1324">
        <v>0</v>
      </c>
      <c r="I682" s="1323">
        <f t="shared" si="324"/>
        <v>0</v>
      </c>
      <c r="J682" s="1324">
        <v>0</v>
      </c>
      <c r="K682" s="1324">
        <v>0</v>
      </c>
      <c r="L682" s="1324">
        <v>0</v>
      </c>
      <c r="M682" s="1324">
        <v>0</v>
      </c>
      <c r="N682" s="1325">
        <v>0</v>
      </c>
      <c r="O682" s="1325">
        <v>0</v>
      </c>
      <c r="P682" s="1325">
        <v>0</v>
      </c>
      <c r="Q682" s="1324">
        <v>0</v>
      </c>
      <c r="R682" s="1324"/>
      <c r="S682" s="1324"/>
      <c r="T682" s="1324"/>
      <c r="V682" s="1320" t="s">
        <v>5343</v>
      </c>
      <c r="Y682" s="1324"/>
    </row>
    <row r="683" spans="1:25">
      <c r="A683" s="1320" t="s">
        <v>4877</v>
      </c>
      <c r="B683" s="1324"/>
      <c r="C683" s="1322">
        <v>44</v>
      </c>
      <c r="D683" s="1324" t="s">
        <v>5240</v>
      </c>
      <c r="E683" s="1324" t="s">
        <v>4067</v>
      </c>
      <c r="F683" s="1589">
        <v>0</v>
      </c>
      <c r="G683" s="1324">
        <v>0</v>
      </c>
      <c r="H683" s="1324">
        <v>0</v>
      </c>
      <c r="I683" s="1323">
        <f t="shared" si="324"/>
        <v>0</v>
      </c>
      <c r="J683" s="1324">
        <v>0</v>
      </c>
      <c r="K683" s="1324">
        <v>0</v>
      </c>
      <c r="L683" s="1324">
        <v>0</v>
      </c>
      <c r="M683" s="1324">
        <v>0</v>
      </c>
      <c r="N683" s="1325">
        <v>0</v>
      </c>
      <c r="O683" s="1325">
        <v>0</v>
      </c>
      <c r="P683" s="1325">
        <v>0</v>
      </c>
      <c r="Q683" s="1324">
        <v>0</v>
      </c>
      <c r="R683" s="1324"/>
      <c r="S683" s="1324"/>
      <c r="T683" s="1324"/>
      <c r="V683" s="1320" t="s">
        <v>5343</v>
      </c>
      <c r="Y683" s="1324"/>
    </row>
    <row r="684" spans="1:25">
      <c r="A684" s="1320" t="s">
        <v>4877</v>
      </c>
      <c r="B684" s="1324"/>
      <c r="C684" s="1322">
        <v>45</v>
      </c>
      <c r="D684" s="1324" t="s">
        <v>5241</v>
      </c>
      <c r="E684" s="1324" t="s">
        <v>4067</v>
      </c>
      <c r="F684" s="1589">
        <v>0</v>
      </c>
      <c r="G684" s="1324">
        <v>0</v>
      </c>
      <c r="H684" s="1324">
        <v>0</v>
      </c>
      <c r="I684" s="1323">
        <f t="shared" si="324"/>
        <v>0</v>
      </c>
      <c r="J684" s="1324">
        <v>0</v>
      </c>
      <c r="K684" s="1324">
        <v>0</v>
      </c>
      <c r="L684" s="1324">
        <v>0</v>
      </c>
      <c r="M684" s="1324">
        <v>0</v>
      </c>
      <c r="N684" s="1325">
        <v>0</v>
      </c>
      <c r="O684" s="1325">
        <v>0</v>
      </c>
      <c r="P684" s="1325">
        <v>0</v>
      </c>
      <c r="Q684" s="1324">
        <v>0</v>
      </c>
      <c r="R684" s="1324"/>
      <c r="S684" s="1324"/>
      <c r="T684" s="1324"/>
      <c r="V684" s="1320" t="s">
        <v>5343</v>
      </c>
      <c r="Y684" s="1324"/>
    </row>
    <row r="685" spans="1:25">
      <c r="A685" s="1320" t="s">
        <v>4877</v>
      </c>
      <c r="B685" s="1324"/>
      <c r="C685" s="1322">
        <v>46</v>
      </c>
      <c r="D685" s="1324" t="s">
        <v>5242</v>
      </c>
      <c r="E685" s="1324" t="s">
        <v>4071</v>
      </c>
      <c r="F685" s="1589">
        <v>0</v>
      </c>
      <c r="G685" s="1324">
        <v>0</v>
      </c>
      <c r="H685" s="1324">
        <v>0</v>
      </c>
      <c r="I685" s="1323">
        <f t="shared" si="324"/>
        <v>0</v>
      </c>
      <c r="J685" s="1324">
        <v>0</v>
      </c>
      <c r="K685" s="1324">
        <v>0</v>
      </c>
      <c r="L685" s="1324">
        <v>0</v>
      </c>
      <c r="M685" s="1324">
        <v>0</v>
      </c>
      <c r="N685" s="1325">
        <v>0</v>
      </c>
      <c r="O685" s="1325">
        <v>0</v>
      </c>
      <c r="P685" s="1325">
        <v>0</v>
      </c>
      <c r="Q685" s="1324">
        <v>0</v>
      </c>
      <c r="R685" s="1324"/>
      <c r="S685" s="1324"/>
      <c r="T685" s="1324"/>
      <c r="V685" s="1320" t="s">
        <v>5343</v>
      </c>
      <c r="Y685" s="1324"/>
    </row>
    <row r="686" spans="1:25">
      <c r="A686" s="1320" t="s">
        <v>4877</v>
      </c>
      <c r="B686" s="1324"/>
      <c r="C686" s="1322">
        <v>47</v>
      </c>
      <c r="D686" s="1324" t="s">
        <v>5244</v>
      </c>
      <c r="E686" s="1324" t="s">
        <v>4071</v>
      </c>
      <c r="F686" s="1589">
        <v>0</v>
      </c>
      <c r="G686" s="1366">
        <v>0</v>
      </c>
      <c r="H686" s="1366">
        <v>0</v>
      </c>
      <c r="I686" s="1323">
        <f t="shared" si="324"/>
        <v>0</v>
      </c>
      <c r="J686" s="1366">
        <v>0</v>
      </c>
      <c r="K686" s="1366">
        <v>0</v>
      </c>
      <c r="L686" s="1366">
        <v>0</v>
      </c>
      <c r="M686" s="1366">
        <v>0</v>
      </c>
      <c r="N686" s="1378">
        <v>0</v>
      </c>
      <c r="O686" s="1378">
        <v>0</v>
      </c>
      <c r="P686" s="1378">
        <v>0</v>
      </c>
      <c r="Q686" s="1366">
        <v>0</v>
      </c>
      <c r="R686" s="1364"/>
      <c r="S686" s="1324"/>
      <c r="T686" s="1324"/>
      <c r="V686" s="1320" t="s">
        <v>5343</v>
      </c>
    </row>
    <row r="687" spans="1:25">
      <c r="A687" s="1320" t="s">
        <v>4877</v>
      </c>
      <c r="B687" s="1324"/>
      <c r="C687" s="1322">
        <v>48</v>
      </c>
      <c r="D687" s="1324" t="s">
        <v>5533</v>
      </c>
      <c r="E687" s="1324"/>
      <c r="F687" s="1421">
        <f>SUM(F679:F686)</f>
        <v>0</v>
      </c>
      <c r="G687" s="1421">
        <f>SUM(G679:G686)</f>
        <v>0</v>
      </c>
      <c r="H687" s="1421">
        <f>SUM(H679:H686)</f>
        <v>0</v>
      </c>
      <c r="I687" s="1323">
        <f t="shared" si="324"/>
        <v>0</v>
      </c>
      <c r="J687" s="1421">
        <f t="shared" ref="J687:Q687" si="325">SUM(J679:J686)</f>
        <v>0</v>
      </c>
      <c r="K687" s="1421">
        <f t="shared" si="325"/>
        <v>0</v>
      </c>
      <c r="L687" s="1421">
        <f t="shared" si="325"/>
        <v>0</v>
      </c>
      <c r="M687" s="1421">
        <f>SUM(M679:M686)</f>
        <v>0</v>
      </c>
      <c r="N687" s="1422">
        <f t="shared" si="325"/>
        <v>0</v>
      </c>
      <c r="O687" s="1422">
        <f>SUM(O679:O686)</f>
        <v>0</v>
      </c>
      <c r="P687" s="1422">
        <f>SUM(P679:P686)</f>
        <v>0</v>
      </c>
      <c r="Q687" s="1421">
        <f t="shared" si="325"/>
        <v>0</v>
      </c>
      <c r="R687" s="1364"/>
      <c r="S687" s="1324"/>
      <c r="T687" s="1324"/>
      <c r="V687" s="1324" t="s">
        <v>5534</v>
      </c>
    </row>
    <row r="688" spans="1:25" ht="14.25" customHeight="1">
      <c r="A688" s="1320" t="s">
        <v>4877</v>
      </c>
      <c r="C688" s="1322">
        <v>49</v>
      </c>
      <c r="G688" s="1320"/>
      <c r="M688" s="1324"/>
      <c r="P688" s="1325"/>
      <c r="Y688" s="1324"/>
    </row>
    <row r="689" spans="1:25">
      <c r="A689" s="1320" t="s">
        <v>4877</v>
      </c>
      <c r="C689" s="1322">
        <v>50</v>
      </c>
      <c r="D689" s="1356" t="s">
        <v>5535</v>
      </c>
      <c r="G689" s="1320"/>
      <c r="M689" s="1324"/>
      <c r="P689" s="1325"/>
      <c r="Y689" s="1324"/>
    </row>
    <row r="690" spans="1:25">
      <c r="A690" s="1320" t="s">
        <v>4877</v>
      </c>
      <c r="C690" s="1322">
        <v>51</v>
      </c>
      <c r="D690" s="1320" t="s">
        <v>5265</v>
      </c>
      <c r="E690" s="1320" t="s">
        <v>4067</v>
      </c>
      <c r="F690" s="1320">
        <f t="shared" ref="F690:H697" si="326">+F598</f>
        <v>51196.763326436805</v>
      </c>
      <c r="G690" s="1320">
        <f t="shared" si="326"/>
        <v>0</v>
      </c>
      <c r="H690" s="1320">
        <f t="shared" si="326"/>
        <v>51196.763326436805</v>
      </c>
      <c r="I690" s="1323">
        <f t="shared" ref="I690:I698" si="327">IF(F690=0,0,+H690/F690)</f>
        <v>1</v>
      </c>
      <c r="J690" s="1324">
        <f t="shared" ref="J690:Q697" si="328">+J598</f>
        <v>51196.763326436805</v>
      </c>
      <c r="K690" s="1324">
        <f t="shared" si="328"/>
        <v>29694.790341461008</v>
      </c>
      <c r="L690" s="1324">
        <f t="shared" si="328"/>
        <v>2449.520685031629</v>
      </c>
      <c r="M690" s="1324">
        <f t="shared" si="328"/>
        <v>15658.555130504275</v>
      </c>
      <c r="N690" s="1325">
        <f t="shared" si="328"/>
        <v>1954.7629897287027</v>
      </c>
      <c r="O690" s="1325">
        <f t="shared" si="328"/>
        <v>1402.8360529392405</v>
      </c>
      <c r="P690" s="1325">
        <f t="shared" si="328"/>
        <v>36.298126771955417</v>
      </c>
      <c r="Q690" s="1324">
        <f t="shared" si="328"/>
        <v>0</v>
      </c>
      <c r="V690" s="1324" t="s">
        <v>5536</v>
      </c>
      <c r="Y690" s="1324"/>
    </row>
    <row r="691" spans="1:25">
      <c r="A691" s="1320" t="s">
        <v>4877</v>
      </c>
      <c r="C691" s="1322">
        <v>52</v>
      </c>
      <c r="D691" s="1320" t="s">
        <v>5265</v>
      </c>
      <c r="E691" s="1320" t="s">
        <v>2067</v>
      </c>
      <c r="F691" s="1320">
        <f t="shared" si="326"/>
        <v>5739.4427931324281</v>
      </c>
      <c r="G691" s="1320">
        <f t="shared" si="326"/>
        <v>0</v>
      </c>
      <c r="H691" s="1320">
        <f t="shared" si="326"/>
        <v>5739.4427931324281</v>
      </c>
      <c r="I691" s="1323">
        <f t="shared" si="327"/>
        <v>1</v>
      </c>
      <c r="J691" s="1324">
        <f t="shared" si="328"/>
        <v>5739.4427931324281</v>
      </c>
      <c r="K691" s="1324">
        <f t="shared" si="328"/>
        <v>2896.3190375264148</v>
      </c>
      <c r="L691" s="1324">
        <f t="shared" si="328"/>
        <v>267.65378427601598</v>
      </c>
      <c r="M691" s="1324">
        <f t="shared" si="328"/>
        <v>1993.91673269956</v>
      </c>
      <c r="N691" s="1325">
        <f t="shared" si="328"/>
        <v>317.39948413314949</v>
      </c>
      <c r="O691" s="1325">
        <f t="shared" si="328"/>
        <v>233.83196571193457</v>
      </c>
      <c r="P691" s="1325">
        <f t="shared" si="328"/>
        <v>30.321788785352023</v>
      </c>
      <c r="Q691" s="1324">
        <f t="shared" si="328"/>
        <v>0</v>
      </c>
      <c r="V691" s="1324" t="s">
        <v>5537</v>
      </c>
      <c r="Y691" s="1324"/>
    </row>
    <row r="692" spans="1:25">
      <c r="A692" s="1320" t="s">
        <v>4877</v>
      </c>
      <c r="C692" s="1322">
        <v>53</v>
      </c>
      <c r="D692" s="1320" t="s">
        <v>5268</v>
      </c>
      <c r="E692" s="1320" t="s">
        <v>4067</v>
      </c>
      <c r="F692" s="1320">
        <f t="shared" si="326"/>
        <v>3842.091768610097</v>
      </c>
      <c r="G692" s="1320">
        <f t="shared" si="326"/>
        <v>245.69994735909012</v>
      </c>
      <c r="H692" s="1320">
        <f t="shared" si="326"/>
        <v>3596.3918212510071</v>
      </c>
      <c r="I692" s="1323">
        <f t="shared" si="327"/>
        <v>0.93605047402395247</v>
      </c>
      <c r="J692" s="1324">
        <f t="shared" si="328"/>
        <v>3596.3918212510071</v>
      </c>
      <c r="K692" s="1324">
        <f t="shared" si="328"/>
        <v>2085.9541537198656</v>
      </c>
      <c r="L692" s="1324">
        <f t="shared" si="328"/>
        <v>172.07017759038544</v>
      </c>
      <c r="M692" s="1324">
        <f t="shared" si="328"/>
        <v>1099.9581994058244</v>
      </c>
      <c r="N692" s="1325">
        <f t="shared" si="328"/>
        <v>137.31519674241395</v>
      </c>
      <c r="O692" s="1325">
        <f t="shared" si="328"/>
        <v>98.5442785743749</v>
      </c>
      <c r="P692" s="1325">
        <f t="shared" si="328"/>
        <v>2.5498152181425828</v>
      </c>
      <c r="Q692" s="1324">
        <f t="shared" si="328"/>
        <v>0</v>
      </c>
      <c r="V692" s="1324" t="s">
        <v>5538</v>
      </c>
      <c r="Y692" s="1324"/>
    </row>
    <row r="693" spans="1:25">
      <c r="A693" s="1320" t="s">
        <v>4877</v>
      </c>
      <c r="C693" s="1322">
        <v>54</v>
      </c>
      <c r="D693" s="1320" t="s">
        <v>5239</v>
      </c>
      <c r="E693" s="1320" t="s">
        <v>4067</v>
      </c>
      <c r="F693" s="1320">
        <f t="shared" si="326"/>
        <v>4417.4526336091139</v>
      </c>
      <c r="G693" s="1320">
        <f t="shared" si="326"/>
        <v>282.70061736305422</v>
      </c>
      <c r="H693" s="1320">
        <f t="shared" si="326"/>
        <v>4134.7520162460587</v>
      </c>
      <c r="I693" s="1323">
        <f t="shared" si="327"/>
        <v>0.93600370149705825</v>
      </c>
      <c r="J693" s="1324">
        <f t="shared" si="328"/>
        <v>4134.7520162460587</v>
      </c>
      <c r="K693" s="1324">
        <f t="shared" si="328"/>
        <v>2398.2100871005428</v>
      </c>
      <c r="L693" s="1324">
        <f t="shared" si="328"/>
        <v>197.82814250761453</v>
      </c>
      <c r="M693" s="1324">
        <f t="shared" si="328"/>
        <v>1264.6159286386023</v>
      </c>
      <c r="N693" s="1325">
        <f t="shared" si="328"/>
        <v>157.87053102418167</v>
      </c>
      <c r="O693" s="1325">
        <f t="shared" si="328"/>
        <v>113.29581835807201</v>
      </c>
      <c r="P693" s="1325">
        <f t="shared" si="328"/>
        <v>2.931508617045679</v>
      </c>
      <c r="Q693" s="1324">
        <f t="shared" si="328"/>
        <v>0</v>
      </c>
      <c r="V693" s="1324" t="s">
        <v>5539</v>
      </c>
      <c r="Y693" s="1324"/>
    </row>
    <row r="694" spans="1:25">
      <c r="A694" s="1320" t="s">
        <v>4877</v>
      </c>
      <c r="C694" s="1322">
        <v>55</v>
      </c>
      <c r="D694" s="1320" t="s">
        <v>5240</v>
      </c>
      <c r="E694" s="1320" t="s">
        <v>4067</v>
      </c>
      <c r="F694" s="1320">
        <f t="shared" si="326"/>
        <v>16853.009915954655</v>
      </c>
      <c r="G694" s="1320">
        <f t="shared" si="326"/>
        <v>0</v>
      </c>
      <c r="H694" s="1320">
        <f t="shared" si="326"/>
        <v>16853.009915954655</v>
      </c>
      <c r="I694" s="1323">
        <f t="shared" si="327"/>
        <v>1</v>
      </c>
      <c r="J694" s="1324">
        <f t="shared" si="328"/>
        <v>16853.009915954655</v>
      </c>
      <c r="K694" s="1324">
        <f t="shared" si="328"/>
        <v>10489.583223382346</v>
      </c>
      <c r="L694" s="1324">
        <f t="shared" si="328"/>
        <v>746.0454673445895</v>
      </c>
      <c r="M694" s="1324">
        <f t="shared" si="328"/>
        <v>4995.2402151901824</v>
      </c>
      <c r="N694" s="1325">
        <f t="shared" si="328"/>
        <v>525.39883588873261</v>
      </c>
      <c r="O694" s="1325">
        <f t="shared" si="328"/>
        <v>3.5873208977318146E-4</v>
      </c>
      <c r="P694" s="1325">
        <f t="shared" si="328"/>
        <v>96.741815416718552</v>
      </c>
      <c r="Q694" s="1324">
        <f t="shared" si="328"/>
        <v>0</v>
      </c>
      <c r="V694" s="1324" t="s">
        <v>5540</v>
      </c>
      <c r="Y694" s="1324"/>
    </row>
    <row r="695" spans="1:25">
      <c r="A695" s="1320" t="s">
        <v>4877</v>
      </c>
      <c r="C695" s="1322">
        <v>56</v>
      </c>
      <c r="D695" s="1320" t="s">
        <v>5241</v>
      </c>
      <c r="E695" s="1320" t="s">
        <v>4067</v>
      </c>
      <c r="F695" s="1320">
        <f t="shared" si="326"/>
        <v>7339.7985693741639</v>
      </c>
      <c r="G695" s="1320">
        <f t="shared" si="326"/>
        <v>0</v>
      </c>
      <c r="H695" s="1320">
        <f t="shared" si="326"/>
        <v>7339.7985693741639</v>
      </c>
      <c r="I695" s="1323">
        <f t="shared" si="327"/>
        <v>1</v>
      </c>
      <c r="J695" s="1324">
        <f t="shared" si="328"/>
        <v>7339.7985693741639</v>
      </c>
      <c r="K695" s="1324">
        <f t="shared" si="328"/>
        <v>5355.3611674076119</v>
      </c>
      <c r="L695" s="1324">
        <f t="shared" si="328"/>
        <v>431.21285772720086</v>
      </c>
      <c r="M695" s="1324">
        <f t="shared" si="328"/>
        <v>1526.6733498671247</v>
      </c>
      <c r="N695" s="1325">
        <f t="shared" si="328"/>
        <v>0</v>
      </c>
      <c r="O695" s="1325">
        <f t="shared" si="328"/>
        <v>0</v>
      </c>
      <c r="P695" s="1325">
        <f t="shared" si="328"/>
        <v>26.551194372226629</v>
      </c>
      <c r="Q695" s="1324">
        <f t="shared" si="328"/>
        <v>0</v>
      </c>
      <c r="V695" s="1324" t="s">
        <v>5541</v>
      </c>
      <c r="Y695" s="1324"/>
    </row>
    <row r="696" spans="1:25">
      <c r="A696" s="1320" t="s">
        <v>4877</v>
      </c>
      <c r="C696" s="1322">
        <v>57</v>
      </c>
      <c r="D696" s="1320" t="s">
        <v>5242</v>
      </c>
      <c r="E696" s="1320" t="s">
        <v>4071</v>
      </c>
      <c r="F696" s="1320">
        <f t="shared" si="326"/>
        <v>8437.1296669418807</v>
      </c>
      <c r="G696" s="1320">
        <f t="shared" si="326"/>
        <v>0</v>
      </c>
      <c r="H696" s="1320">
        <f t="shared" si="326"/>
        <v>8437.1296669418807</v>
      </c>
      <c r="I696" s="1323">
        <f t="shared" si="327"/>
        <v>1</v>
      </c>
      <c r="J696" s="1324">
        <f t="shared" si="328"/>
        <v>8437.1296669418807</v>
      </c>
      <c r="K696" s="1324">
        <f t="shared" si="328"/>
        <v>3110.4045602987276</v>
      </c>
      <c r="L696" s="1324">
        <f t="shared" si="328"/>
        <v>471.8074744059316</v>
      </c>
      <c r="M696" s="1324">
        <f t="shared" si="328"/>
        <v>227.4580262836034</v>
      </c>
      <c r="N696" s="1325">
        <f t="shared" si="328"/>
        <v>14.663113821633932</v>
      </c>
      <c r="O696" s="1325">
        <f t="shared" si="328"/>
        <v>15.998072709409657</v>
      </c>
      <c r="P696" s="1325">
        <f t="shared" si="328"/>
        <v>3.6717486005186823</v>
      </c>
      <c r="Q696" s="1324">
        <f t="shared" si="328"/>
        <v>4593.1266708220564</v>
      </c>
      <c r="V696" s="1324" t="s">
        <v>5542</v>
      </c>
    </row>
    <row r="697" spans="1:25">
      <c r="A697" s="1320" t="s">
        <v>4877</v>
      </c>
      <c r="C697" s="1322">
        <v>58</v>
      </c>
      <c r="D697" s="1320" t="s">
        <v>5244</v>
      </c>
      <c r="E697" s="1320" t="s">
        <v>4071</v>
      </c>
      <c r="F697" s="1320">
        <f t="shared" si="326"/>
        <v>4328.749069178054</v>
      </c>
      <c r="G697" s="1320">
        <f t="shared" si="326"/>
        <v>0</v>
      </c>
      <c r="H697" s="1320">
        <f t="shared" si="326"/>
        <v>4328.749069178054</v>
      </c>
      <c r="I697" s="1323">
        <f t="shared" si="327"/>
        <v>1</v>
      </c>
      <c r="J697" s="1324">
        <f t="shared" si="328"/>
        <v>4328.749069178054</v>
      </c>
      <c r="K697" s="1324">
        <f t="shared" si="328"/>
        <v>3860.7542183025025</v>
      </c>
      <c r="L697" s="1324">
        <f t="shared" si="328"/>
        <v>374.26536620808031</v>
      </c>
      <c r="M697" s="1324">
        <f t="shared" si="328"/>
        <v>92.178370123648421</v>
      </c>
      <c r="N697" s="1325">
        <f t="shared" si="328"/>
        <v>0.31122686639798519</v>
      </c>
      <c r="O697" s="1325">
        <f t="shared" si="328"/>
        <v>5.5217669844803821E-2</v>
      </c>
      <c r="P697" s="1325">
        <f t="shared" si="328"/>
        <v>1.1846700075794274</v>
      </c>
      <c r="Q697" s="1324">
        <f t="shared" si="328"/>
        <v>0</v>
      </c>
      <c r="V697" s="1324" t="s">
        <v>5543</v>
      </c>
    </row>
    <row r="698" spans="1:25">
      <c r="A698" s="1320" t="s">
        <v>4877</v>
      </c>
      <c r="C698" s="1322">
        <v>59</v>
      </c>
      <c r="D698" s="1320" t="s">
        <v>5491</v>
      </c>
      <c r="F698" s="1427">
        <f>SUM(F690:F697)</f>
        <v>102154.4377432372</v>
      </c>
      <c r="G698" s="1427">
        <f>SUM(G690:G697)</f>
        <v>528.40056472214428</v>
      </c>
      <c r="H698" s="1427">
        <f>SUM(H690:H697)</f>
        <v>101626.03717851505</v>
      </c>
      <c r="I698" s="1323">
        <f t="shared" si="327"/>
        <v>0.99482743406556384</v>
      </c>
      <c r="J698" s="1421">
        <f t="shared" ref="J698:Q698" si="329">SUM(J690:J697)</f>
        <v>101626.03717851505</v>
      </c>
      <c r="K698" s="1421">
        <f t="shared" si="329"/>
        <v>59891.376789199014</v>
      </c>
      <c r="L698" s="1421">
        <f t="shared" si="329"/>
        <v>5110.4039550914458</v>
      </c>
      <c r="M698" s="1421">
        <f t="shared" si="329"/>
        <v>26858.595952712822</v>
      </c>
      <c r="N698" s="1422">
        <f t="shared" si="329"/>
        <v>3107.7213782052122</v>
      </c>
      <c r="O698" s="1422">
        <f>SUM(O690:O697)</f>
        <v>1864.5617646949661</v>
      </c>
      <c r="P698" s="1422">
        <f>SUM(P690:P697)</f>
        <v>200.25066778953899</v>
      </c>
      <c r="Q698" s="1421">
        <f t="shared" si="329"/>
        <v>4593.1266708220564</v>
      </c>
      <c r="R698" s="1358"/>
      <c r="V698" s="1324" t="s">
        <v>5544</v>
      </c>
    </row>
    <row r="699" spans="1:25" ht="14.25" customHeight="1">
      <c r="A699" s="1320" t="s">
        <v>4877</v>
      </c>
      <c r="C699" s="1322">
        <v>60</v>
      </c>
      <c r="G699" s="1320"/>
      <c r="M699" s="1324"/>
      <c r="P699" s="1325"/>
      <c r="V699" s="1324"/>
    </row>
    <row r="700" spans="1:25">
      <c r="A700" s="1320" t="s">
        <v>4877</v>
      </c>
      <c r="C700" s="1322">
        <v>61</v>
      </c>
      <c r="D700" s="1356" t="s">
        <v>5545</v>
      </c>
      <c r="G700" s="1320"/>
      <c r="M700" s="1324"/>
      <c r="P700" s="1325"/>
      <c r="Y700" s="1324"/>
    </row>
    <row r="701" spans="1:25">
      <c r="A701" s="1320" t="s">
        <v>4877</v>
      </c>
      <c r="B701" s="1320">
        <v>101</v>
      </c>
      <c r="C701" s="1322">
        <v>62</v>
      </c>
      <c r="D701" s="1320" t="s">
        <v>5265</v>
      </c>
      <c r="E701" s="1320" t="s">
        <v>4067</v>
      </c>
      <c r="F701" s="1324">
        <f>+'0 MDS Allocation Assignment'!F235</f>
        <v>0</v>
      </c>
      <c r="G701" s="1358">
        <f>+$F701*G$1933</f>
        <v>0</v>
      </c>
      <c r="H701" s="1358">
        <f>+$F701*H$1933</f>
        <v>0</v>
      </c>
      <c r="I701" s="1323">
        <f t="shared" ref="I701:I709" si="330">IF(F701=0,0,+H701/F701)</f>
        <v>0</v>
      </c>
      <c r="J701" s="1364">
        <f t="shared" ref="J701:J708" si="331">+H701</f>
        <v>0</v>
      </c>
      <c r="K701" s="1324">
        <f t="shared" ref="K701:Q701" si="332">$J701*K$1951</f>
        <v>0</v>
      </c>
      <c r="L701" s="1324">
        <f t="shared" si="332"/>
        <v>0</v>
      </c>
      <c r="M701" s="1324">
        <f t="shared" si="332"/>
        <v>0</v>
      </c>
      <c r="N701" s="1324">
        <f t="shared" si="332"/>
        <v>0</v>
      </c>
      <c r="O701" s="1324">
        <f t="shared" si="332"/>
        <v>0</v>
      </c>
      <c r="P701" s="1324">
        <f t="shared" si="332"/>
        <v>0</v>
      </c>
      <c r="Q701" s="1324">
        <f t="shared" si="332"/>
        <v>0</v>
      </c>
      <c r="R701" s="1324"/>
      <c r="S701" s="1324">
        <v>122</v>
      </c>
      <c r="V701" s="1321" t="s">
        <v>5227</v>
      </c>
      <c r="W701" s="1321">
        <v>122</v>
      </c>
      <c r="Y701" s="1324"/>
    </row>
    <row r="702" spans="1:25" s="1324" customFormat="1">
      <c r="A702" s="1320" t="s">
        <v>4877</v>
      </c>
      <c r="B702" s="1324">
        <v>101</v>
      </c>
      <c r="C702" s="1393">
        <v>63</v>
      </c>
      <c r="D702" s="1324" t="s">
        <v>5265</v>
      </c>
      <c r="E702" s="1324" t="s">
        <v>2067</v>
      </c>
      <c r="F702" s="1324">
        <f>+'0 MDS Allocation Assignment'!F236</f>
        <v>0</v>
      </c>
      <c r="G702" s="1364">
        <f>+$F702*G$1933</f>
        <v>0</v>
      </c>
      <c r="H702" s="1364">
        <f>+$F702*H$1933</f>
        <v>0</v>
      </c>
      <c r="I702" s="1374">
        <f t="shared" si="330"/>
        <v>0</v>
      </c>
      <c r="J702" s="1364">
        <f t="shared" si="331"/>
        <v>0</v>
      </c>
      <c r="K702" s="1364">
        <f t="shared" ref="K702:Q702" si="333">+$J702*K$1966</f>
        <v>0</v>
      </c>
      <c r="L702" s="1364">
        <f t="shared" si="333"/>
        <v>0</v>
      </c>
      <c r="M702" s="1364">
        <f t="shared" si="333"/>
        <v>0</v>
      </c>
      <c r="N702" s="1367">
        <f t="shared" si="333"/>
        <v>0</v>
      </c>
      <c r="O702" s="1367">
        <f t="shared" si="333"/>
        <v>0</v>
      </c>
      <c r="P702" s="1367">
        <f t="shared" si="333"/>
        <v>0</v>
      </c>
      <c r="Q702" s="1364">
        <f t="shared" si="333"/>
        <v>0</v>
      </c>
      <c r="R702" s="1364"/>
      <c r="S702" s="1324">
        <v>201</v>
      </c>
      <c r="V702" s="1321" t="s">
        <v>5235</v>
      </c>
      <c r="W702" s="1321">
        <v>201</v>
      </c>
      <c r="Y702" s="1320"/>
    </row>
    <row r="703" spans="1:25">
      <c r="A703" s="1320" t="s">
        <v>4877</v>
      </c>
      <c r="B703" s="1320">
        <v>117</v>
      </c>
      <c r="C703" s="1322">
        <v>64</v>
      </c>
      <c r="D703" s="1320" t="s">
        <v>5268</v>
      </c>
      <c r="E703" s="1320" t="s">
        <v>4067</v>
      </c>
      <c r="F703" s="1324">
        <f>+'0 MDS Allocation Assignment'!F237</f>
        <v>0</v>
      </c>
      <c r="G703" s="1358">
        <f>+$F703*G$1942</f>
        <v>0</v>
      </c>
      <c r="H703" s="1358">
        <f>+$F703*H$1942</f>
        <v>0</v>
      </c>
      <c r="I703" s="1323">
        <f t="shared" si="330"/>
        <v>0</v>
      </c>
      <c r="J703" s="1364">
        <f t="shared" si="331"/>
        <v>0</v>
      </c>
      <c r="K703" s="1364">
        <f t="shared" ref="K703:Q704" si="334">+$J703*K$1945</f>
        <v>0</v>
      </c>
      <c r="L703" s="1364">
        <f t="shared" si="334"/>
        <v>0</v>
      </c>
      <c r="M703" s="1364">
        <f t="shared" si="334"/>
        <v>0</v>
      </c>
      <c r="N703" s="1367">
        <f t="shared" si="334"/>
        <v>0</v>
      </c>
      <c r="O703" s="1367">
        <f t="shared" si="334"/>
        <v>0</v>
      </c>
      <c r="P703" s="1367">
        <f t="shared" si="334"/>
        <v>0</v>
      </c>
      <c r="Q703" s="1364">
        <f t="shared" si="334"/>
        <v>0</v>
      </c>
      <c r="R703" s="1358"/>
      <c r="S703" s="1320">
        <v>117</v>
      </c>
      <c r="V703" s="1321" t="s">
        <v>5228</v>
      </c>
      <c r="W703" s="1321">
        <v>117</v>
      </c>
    </row>
    <row r="704" spans="1:25">
      <c r="A704" s="1320" t="s">
        <v>4877</v>
      </c>
      <c r="B704" s="1320">
        <v>117</v>
      </c>
      <c r="C704" s="1322">
        <v>65</v>
      </c>
      <c r="D704" s="1320" t="s">
        <v>5239</v>
      </c>
      <c r="E704" s="1320" t="s">
        <v>4067</v>
      </c>
      <c r="F704" s="1324">
        <f>+'0 MDS Allocation Assignment'!F238</f>
        <v>0</v>
      </c>
      <c r="G704" s="1358">
        <f>+$F704*G$1942</f>
        <v>0</v>
      </c>
      <c r="H704" s="1358">
        <f>+$F704*H$1942</f>
        <v>0</v>
      </c>
      <c r="I704" s="1323">
        <f t="shared" si="330"/>
        <v>0</v>
      </c>
      <c r="J704" s="1364">
        <f t="shared" si="331"/>
        <v>0</v>
      </c>
      <c r="K704" s="1364">
        <f t="shared" si="334"/>
        <v>0</v>
      </c>
      <c r="L704" s="1364">
        <f t="shared" si="334"/>
        <v>0</v>
      </c>
      <c r="M704" s="1364">
        <f t="shared" si="334"/>
        <v>0</v>
      </c>
      <c r="N704" s="1367">
        <f t="shared" si="334"/>
        <v>0</v>
      </c>
      <c r="O704" s="1367">
        <f t="shared" si="334"/>
        <v>0</v>
      </c>
      <c r="P704" s="1367">
        <f t="shared" si="334"/>
        <v>0</v>
      </c>
      <c r="Q704" s="1364">
        <f t="shared" si="334"/>
        <v>0</v>
      </c>
      <c r="R704" s="1358"/>
      <c r="S704" s="1320">
        <v>117</v>
      </c>
      <c r="V704" s="1321" t="s">
        <v>5228</v>
      </c>
      <c r="W704" s="1321">
        <v>117</v>
      </c>
      <c r="Y704" s="1324"/>
    </row>
    <row r="705" spans="1:25">
      <c r="A705" s="1320" t="s">
        <v>4877</v>
      </c>
      <c r="B705" s="1320">
        <v>105</v>
      </c>
      <c r="C705" s="1322">
        <v>66</v>
      </c>
      <c r="D705" s="1320" t="s">
        <v>5240</v>
      </c>
      <c r="E705" s="1320" t="s">
        <v>4067</v>
      </c>
      <c r="F705" s="1324">
        <f>+'0 MDS Allocation Assignment'!F239</f>
        <v>0</v>
      </c>
      <c r="G705" s="1358">
        <f>+$F705*G$1936</f>
        <v>0</v>
      </c>
      <c r="H705" s="1358">
        <f>+$F705*H$1936</f>
        <v>0</v>
      </c>
      <c r="I705" s="1323">
        <f t="shared" si="330"/>
        <v>0</v>
      </c>
      <c r="J705" s="1364">
        <f t="shared" si="331"/>
        <v>0</v>
      </c>
      <c r="K705" s="1364">
        <f t="shared" ref="K705:Q705" si="335">+$J705*K$1936</f>
        <v>0</v>
      </c>
      <c r="L705" s="1364">
        <f t="shared" si="335"/>
        <v>0</v>
      </c>
      <c r="M705" s="1364">
        <f t="shared" si="335"/>
        <v>0</v>
      </c>
      <c r="N705" s="1367">
        <f t="shared" si="335"/>
        <v>0</v>
      </c>
      <c r="O705" s="1367">
        <f t="shared" si="335"/>
        <v>0</v>
      </c>
      <c r="P705" s="1367">
        <f t="shared" si="335"/>
        <v>0</v>
      </c>
      <c r="Q705" s="1364">
        <f t="shared" si="335"/>
        <v>0</v>
      </c>
      <c r="R705" s="1358"/>
      <c r="S705" s="1320">
        <v>105</v>
      </c>
      <c r="V705" s="1321" t="s">
        <v>5229</v>
      </c>
      <c r="W705" s="1321">
        <v>105</v>
      </c>
      <c r="Y705" s="1324"/>
    </row>
    <row r="706" spans="1:25">
      <c r="A706" s="1320" t="s">
        <v>4877</v>
      </c>
      <c r="B706" s="1320">
        <v>106</v>
      </c>
      <c r="C706" s="1322">
        <v>67</v>
      </c>
      <c r="D706" s="1320" t="s">
        <v>5241</v>
      </c>
      <c r="E706" s="1320" t="s">
        <v>4067</v>
      </c>
      <c r="F706" s="1324">
        <f>+'0 MDS Allocation Assignment'!F240</f>
        <v>0</v>
      </c>
      <c r="G706" s="1358">
        <f>+$F706*G$1939</f>
        <v>0</v>
      </c>
      <c r="H706" s="1358">
        <f>+$F706*H$1939</f>
        <v>0</v>
      </c>
      <c r="I706" s="1323">
        <f t="shared" si="330"/>
        <v>0</v>
      </c>
      <c r="J706" s="1364">
        <f t="shared" si="331"/>
        <v>0</v>
      </c>
      <c r="K706" s="1364">
        <f t="shared" ref="K706:Q706" si="336">+$J706*K$1939</f>
        <v>0</v>
      </c>
      <c r="L706" s="1364">
        <f t="shared" si="336"/>
        <v>0</v>
      </c>
      <c r="M706" s="1364">
        <f t="shared" si="336"/>
        <v>0</v>
      </c>
      <c r="N706" s="1367">
        <f t="shared" si="336"/>
        <v>0</v>
      </c>
      <c r="O706" s="1367">
        <f t="shared" si="336"/>
        <v>0</v>
      </c>
      <c r="P706" s="1367">
        <f t="shared" si="336"/>
        <v>0</v>
      </c>
      <c r="Q706" s="1364">
        <f t="shared" si="336"/>
        <v>0</v>
      </c>
      <c r="R706" s="1358"/>
      <c r="S706" s="1320">
        <v>106</v>
      </c>
      <c r="V706" s="1321" t="s">
        <v>5230</v>
      </c>
      <c r="W706" s="1321">
        <v>106</v>
      </c>
      <c r="Y706" s="1324"/>
    </row>
    <row r="707" spans="1:25">
      <c r="A707" s="1320" t="s">
        <v>4877</v>
      </c>
      <c r="B707" s="1320">
        <v>907</v>
      </c>
      <c r="C707" s="1322">
        <v>68</v>
      </c>
      <c r="D707" s="1320" t="s">
        <v>5242</v>
      </c>
      <c r="E707" s="1320" t="s">
        <v>4071</v>
      </c>
      <c r="F707" s="1324">
        <f>+'0 MDS Allocation Assignment'!F241</f>
        <v>0</v>
      </c>
      <c r="G707" s="1358">
        <f>+$F707*G$2052</f>
        <v>0</v>
      </c>
      <c r="H707" s="1358">
        <f>+$F707*H$2052</f>
        <v>0</v>
      </c>
      <c r="I707" s="1323">
        <f t="shared" si="330"/>
        <v>0</v>
      </c>
      <c r="J707" s="1364">
        <f t="shared" si="331"/>
        <v>0</v>
      </c>
      <c r="K707" s="1364">
        <f t="shared" ref="K707:Q707" si="337">+$J707*K$2052</f>
        <v>0</v>
      </c>
      <c r="L707" s="1364">
        <f t="shared" si="337"/>
        <v>0</v>
      </c>
      <c r="M707" s="1364">
        <f t="shared" si="337"/>
        <v>0</v>
      </c>
      <c r="N707" s="1367">
        <f t="shared" si="337"/>
        <v>0</v>
      </c>
      <c r="O707" s="1367">
        <f t="shared" si="337"/>
        <v>0</v>
      </c>
      <c r="P707" s="1367">
        <f t="shared" si="337"/>
        <v>0</v>
      </c>
      <c r="Q707" s="1364">
        <f t="shared" si="337"/>
        <v>0</v>
      </c>
      <c r="R707" s="1358"/>
      <c r="S707" s="1320">
        <v>907</v>
      </c>
      <c r="V707" s="1321" t="s">
        <v>5243</v>
      </c>
      <c r="W707" s="1321">
        <v>907</v>
      </c>
    </row>
    <row r="708" spans="1:25">
      <c r="A708" s="1320" t="s">
        <v>4877</v>
      </c>
      <c r="B708" s="1324">
        <v>412</v>
      </c>
      <c r="C708" s="1393">
        <v>69</v>
      </c>
      <c r="D708" s="1324" t="s">
        <v>5244</v>
      </c>
      <c r="E708" s="1324" t="s">
        <v>4071</v>
      </c>
      <c r="F708" s="1324">
        <f>+'0 MDS Allocation Assignment'!F242</f>
        <v>0</v>
      </c>
      <c r="G708" s="1364">
        <f>+$F708*G$2018</f>
        <v>0</v>
      </c>
      <c r="H708" s="1364">
        <f>+$F708*H$2018</f>
        <v>0</v>
      </c>
      <c r="I708" s="1323">
        <f t="shared" si="330"/>
        <v>0</v>
      </c>
      <c r="J708" s="1364">
        <f t="shared" si="331"/>
        <v>0</v>
      </c>
      <c r="K708" s="1364">
        <f t="shared" ref="K708:Q708" si="338">+$J708*K$2018</f>
        <v>0</v>
      </c>
      <c r="L708" s="1364">
        <f t="shared" si="338"/>
        <v>0</v>
      </c>
      <c r="M708" s="1364">
        <f t="shared" si="338"/>
        <v>0</v>
      </c>
      <c r="N708" s="1367">
        <f t="shared" si="338"/>
        <v>0</v>
      </c>
      <c r="O708" s="1367">
        <f t="shared" si="338"/>
        <v>0</v>
      </c>
      <c r="P708" s="1367">
        <f t="shared" si="338"/>
        <v>0</v>
      </c>
      <c r="Q708" s="1364">
        <f t="shared" si="338"/>
        <v>0</v>
      </c>
      <c r="R708" s="1358"/>
      <c r="S708" s="1320">
        <v>412</v>
      </c>
      <c r="V708" s="1321" t="s">
        <v>5245</v>
      </c>
      <c r="W708" s="1321">
        <v>412</v>
      </c>
    </row>
    <row r="709" spans="1:25">
      <c r="A709" s="1320" t="s">
        <v>4877</v>
      </c>
      <c r="C709" s="1322">
        <v>70</v>
      </c>
      <c r="D709" s="1320" t="s">
        <v>5546</v>
      </c>
      <c r="F709" s="1427">
        <f>SUM(F701:F708)</f>
        <v>0</v>
      </c>
      <c r="G709" s="1427">
        <f>SUM(G701:G708)</f>
        <v>0</v>
      </c>
      <c r="H709" s="1427">
        <f>SUM(H701:H708)</f>
        <v>0</v>
      </c>
      <c r="I709" s="1323">
        <f t="shared" si="330"/>
        <v>0</v>
      </c>
      <c r="J709" s="1421">
        <f t="shared" ref="J709:Q709" si="339">SUM(J701:J708)</f>
        <v>0</v>
      </c>
      <c r="K709" s="1421">
        <f t="shared" si="339"/>
        <v>0</v>
      </c>
      <c r="L709" s="1421">
        <f t="shared" si="339"/>
        <v>0</v>
      </c>
      <c r="M709" s="1421">
        <f t="shared" si="339"/>
        <v>0</v>
      </c>
      <c r="N709" s="1422">
        <f t="shared" si="339"/>
        <v>0</v>
      </c>
      <c r="O709" s="1422">
        <f>SUM(O701:O708)</f>
        <v>0</v>
      </c>
      <c r="P709" s="1422">
        <f>SUM(P701:P708)</f>
        <v>0</v>
      </c>
      <c r="Q709" s="1421">
        <f t="shared" si="339"/>
        <v>0</v>
      </c>
      <c r="R709" s="1358"/>
      <c r="V709" s="1320" t="s">
        <v>5547</v>
      </c>
      <c r="Y709" s="1324"/>
    </row>
    <row r="710" spans="1:25" ht="14.25" customHeight="1">
      <c r="A710" s="1320" t="s">
        <v>4877</v>
      </c>
      <c r="C710" s="1322">
        <v>71</v>
      </c>
      <c r="G710" s="1320"/>
      <c r="M710" s="1324"/>
      <c r="P710" s="1325"/>
      <c r="Y710" s="1324"/>
    </row>
    <row r="711" spans="1:25">
      <c r="A711" s="1320" t="s">
        <v>4877</v>
      </c>
      <c r="C711" s="1322">
        <v>72</v>
      </c>
      <c r="D711" s="1356" t="s">
        <v>5548</v>
      </c>
      <c r="G711" s="1320"/>
      <c r="M711" s="1324"/>
      <c r="P711" s="1325"/>
      <c r="Y711" s="1324"/>
    </row>
    <row r="712" spans="1:25">
      <c r="A712" s="1320" t="s">
        <v>4877</v>
      </c>
      <c r="C712" s="1322">
        <v>73</v>
      </c>
      <c r="D712" s="1320" t="s">
        <v>5354</v>
      </c>
      <c r="E712" s="1320" t="s">
        <v>4777</v>
      </c>
      <c r="F712" s="1320">
        <f>+F625</f>
        <v>1488654.5251124175</v>
      </c>
      <c r="G712" s="1320">
        <f>+G625</f>
        <v>7929.0305824175994</v>
      </c>
      <c r="H712" s="1320">
        <f>+H625</f>
        <v>1480725.49453</v>
      </c>
      <c r="I712" s="1323">
        <f>IF(F712=0,0,+H712/F712)</f>
        <v>0.99467369329239186</v>
      </c>
      <c r="J712" s="1324">
        <f t="shared" ref="J712:Q712" si="340">+J625</f>
        <v>1480725.49453</v>
      </c>
      <c r="K712" s="1324">
        <f t="shared" si="340"/>
        <v>920603.76834000018</v>
      </c>
      <c r="L712" s="1324">
        <f t="shared" si="340"/>
        <v>95214.926359999983</v>
      </c>
      <c r="M712" s="1324">
        <f t="shared" si="340"/>
        <v>310482.25785000005</v>
      </c>
      <c r="N712" s="1325">
        <f t="shared" si="340"/>
        <v>44352.932979999998</v>
      </c>
      <c r="O712" s="1325">
        <f>+O625</f>
        <v>23795.302800000001</v>
      </c>
      <c r="P712" s="1325">
        <f>+P625</f>
        <v>8901.6767400000099</v>
      </c>
      <c r="Q712" s="1324">
        <f t="shared" si="340"/>
        <v>77374.629459999996</v>
      </c>
      <c r="V712" s="1320" t="s">
        <v>5425</v>
      </c>
      <c r="Y712" s="1324"/>
    </row>
    <row r="713" spans="1:25">
      <c r="A713" s="1320" t="s">
        <v>4877</v>
      </c>
      <c r="C713" s="1322">
        <v>74</v>
      </c>
      <c r="D713" s="1320" t="s">
        <v>5265</v>
      </c>
      <c r="E713" s="1320" t="s">
        <v>4067</v>
      </c>
      <c r="F713" s="1320">
        <f t="shared" ref="F713:H714" si="341">+F626-F637-F648-F653-F679-F690-F701</f>
        <v>-499519.66102859197</v>
      </c>
      <c r="G713" s="1320">
        <f t="shared" si="341"/>
        <v>0</v>
      </c>
      <c r="H713" s="1320">
        <f t="shared" si="341"/>
        <v>-499519.66102859197</v>
      </c>
      <c r="I713" s="1323">
        <f t="shared" ref="I713:I721" si="342">IF(F713=0,0,+H713/F713)</f>
        <v>1</v>
      </c>
      <c r="J713" s="1324">
        <f t="shared" ref="J713:Q714" si="343">+J626-J637-J648-J653-J679-J690-J701</f>
        <v>-499519.66102859197</v>
      </c>
      <c r="K713" s="1324">
        <f t="shared" si="343"/>
        <v>-289727.91719476203</v>
      </c>
      <c r="L713" s="1324">
        <f t="shared" si="343"/>
        <v>-23899.63081196764</v>
      </c>
      <c r="M713" s="1324">
        <f t="shared" si="343"/>
        <v>-152778.33290191696</v>
      </c>
      <c r="N713" s="1325">
        <f t="shared" si="343"/>
        <v>-19072.349159938141</v>
      </c>
      <c r="O713" s="1325">
        <f>+O626-O637-O648-O653-O679-O690-O701</f>
        <v>-13687.275212592387</v>
      </c>
      <c r="P713" s="1325">
        <f>+P626-P637-P648-P653-P679-P690-P701</f>
        <v>-354.15574741494032</v>
      </c>
      <c r="Q713" s="1324">
        <f t="shared" si="343"/>
        <v>0</v>
      </c>
      <c r="V713" s="1320" t="s">
        <v>5549</v>
      </c>
      <c r="Y713" s="1324"/>
    </row>
    <row r="714" spans="1:25">
      <c r="A714" s="1320" t="s">
        <v>4877</v>
      </c>
      <c r="C714" s="1322">
        <v>75</v>
      </c>
      <c r="D714" s="1320" t="s">
        <v>5265</v>
      </c>
      <c r="E714" s="1320" t="s">
        <v>2067</v>
      </c>
      <c r="F714" s="1320">
        <f t="shared" si="341"/>
        <v>-77928.292117736477</v>
      </c>
      <c r="G714" s="1320">
        <f t="shared" si="341"/>
        <v>-1.84900420208578E-3</v>
      </c>
      <c r="H714" s="1320">
        <f t="shared" si="341"/>
        <v>-77928.290268732278</v>
      </c>
      <c r="I714" s="1323">
        <f t="shared" si="342"/>
        <v>0.99999997627300496</v>
      </c>
      <c r="J714" s="1324">
        <f t="shared" si="343"/>
        <v>-77928.290268732278</v>
      </c>
      <c r="K714" s="1324">
        <f t="shared" si="343"/>
        <v>-39289.904408927898</v>
      </c>
      <c r="L714" s="1324">
        <f t="shared" si="343"/>
        <v>-3630.8471071866734</v>
      </c>
      <c r="M714" s="1324">
        <f t="shared" si="343"/>
        <v>-27048.400681036179</v>
      </c>
      <c r="N714" s="1325">
        <f t="shared" si="343"/>
        <v>-4305.6704836235549</v>
      </c>
      <c r="O714" s="1325">
        <f>+O627-O638-O649-O654-O680-O691-O702</f>
        <v>-3172.0385294362877</v>
      </c>
      <c r="P714" s="1325">
        <f>+P627-P638-P649-P654-P680-P691-P702</f>
        <v>-411.32905852168824</v>
      </c>
      <c r="Q714" s="1324">
        <f t="shared" si="343"/>
        <v>0</v>
      </c>
      <c r="V714" s="1320" t="s">
        <v>5550</v>
      </c>
      <c r="Y714" s="1324"/>
    </row>
    <row r="715" spans="1:25" s="1324" customFormat="1">
      <c r="A715" s="1324" t="s">
        <v>4877</v>
      </c>
      <c r="C715" s="1393">
        <v>76</v>
      </c>
      <c r="D715" s="1324" t="s">
        <v>5268</v>
      </c>
      <c r="E715" s="1324" t="s">
        <v>4067</v>
      </c>
      <c r="F715" s="1324">
        <f t="shared" ref="F715:H720" si="344">+F628-F639-F655-F681-F692-F703</f>
        <v>-22601.168035494145</v>
      </c>
      <c r="G715" s="1324">
        <f t="shared" si="344"/>
        <v>-1461.0415195501685</v>
      </c>
      <c r="H715" s="1324">
        <f t="shared" si="344"/>
        <v>-21140.126515943975</v>
      </c>
      <c r="I715" s="1374">
        <f t="shared" si="342"/>
        <v>0.93535548617418052</v>
      </c>
      <c r="J715" s="1324">
        <f t="shared" ref="J715:Q720" si="345">+J628-J639-J655-J681-J692-J703</f>
        <v>-21140.126515943975</v>
      </c>
      <c r="K715" s="1324">
        <f t="shared" si="345"/>
        <v>-12261.549049112657</v>
      </c>
      <c r="L715" s="1324">
        <f t="shared" si="345"/>
        <v>-1011.4541197617228</v>
      </c>
      <c r="M715" s="1324">
        <f t="shared" si="345"/>
        <v>-6465.7180455939315</v>
      </c>
      <c r="N715" s="1325">
        <f t="shared" si="345"/>
        <v>-807.15916840412751</v>
      </c>
      <c r="O715" s="1325">
        <f t="shared" si="345"/>
        <v>-579.25793963129877</v>
      </c>
      <c r="P715" s="1325">
        <f t="shared" si="345"/>
        <v>-14.988193440241769</v>
      </c>
      <c r="Q715" s="1324">
        <f t="shared" si="345"/>
        <v>0</v>
      </c>
      <c r="V715" s="1320" t="s">
        <v>5551</v>
      </c>
    </row>
    <row r="716" spans="1:25">
      <c r="A716" s="1320" t="s">
        <v>4877</v>
      </c>
      <c r="C716" s="1322">
        <v>77</v>
      </c>
      <c r="D716" s="1320" t="s">
        <v>5239</v>
      </c>
      <c r="E716" s="1320" t="s">
        <v>4067</v>
      </c>
      <c r="F716" s="1320">
        <f t="shared" si="344"/>
        <v>-33151.095432455666</v>
      </c>
      <c r="G716" s="1320">
        <f t="shared" si="344"/>
        <v>-2144.2629948013523</v>
      </c>
      <c r="H716" s="1320">
        <f t="shared" si="344"/>
        <v>-31006.83243765431</v>
      </c>
      <c r="I716" s="1323">
        <f t="shared" si="342"/>
        <v>0.93531848746385393</v>
      </c>
      <c r="J716" s="1324">
        <f t="shared" si="345"/>
        <v>-31006.83243765431</v>
      </c>
      <c r="K716" s="1324">
        <f t="shared" si="345"/>
        <v>-17984.367146770543</v>
      </c>
      <c r="L716" s="1324">
        <f t="shared" si="345"/>
        <v>-1483.5288892984406</v>
      </c>
      <c r="M716" s="1324">
        <f t="shared" si="345"/>
        <v>-9483.4548827153303</v>
      </c>
      <c r="N716" s="1325">
        <f t="shared" si="345"/>
        <v>-1183.8836000507079</v>
      </c>
      <c r="O716" s="1325">
        <f t="shared" si="345"/>
        <v>-849.6143038113953</v>
      </c>
      <c r="P716" s="1325">
        <f t="shared" si="345"/>
        <v>-21.983615007895999</v>
      </c>
      <c r="Q716" s="1324">
        <f t="shared" si="345"/>
        <v>0</v>
      </c>
      <c r="V716" s="1320" t="s">
        <v>5552</v>
      </c>
      <c r="Y716" s="1324"/>
    </row>
    <row r="717" spans="1:25">
      <c r="A717" s="1320" t="s">
        <v>4877</v>
      </c>
      <c r="C717" s="1322">
        <v>78</v>
      </c>
      <c r="D717" s="1320" t="s">
        <v>5240</v>
      </c>
      <c r="E717" s="1320" t="s">
        <v>4067</v>
      </c>
      <c r="F717" s="1320">
        <f t="shared" si="344"/>
        <v>-137785.54752967405</v>
      </c>
      <c r="G717" s="1320">
        <f t="shared" si="344"/>
        <v>0</v>
      </c>
      <c r="H717" s="1320">
        <f t="shared" si="344"/>
        <v>-137785.54752967405</v>
      </c>
      <c r="I717" s="1323">
        <f t="shared" si="342"/>
        <v>1</v>
      </c>
      <c r="J717" s="1324">
        <f t="shared" si="345"/>
        <v>-137785.54752967405</v>
      </c>
      <c r="K717" s="1324">
        <f t="shared" si="345"/>
        <v>-85759.931015263312</v>
      </c>
      <c r="L717" s="1324">
        <f t="shared" si="345"/>
        <v>-6099.4613848052759</v>
      </c>
      <c r="M717" s="1324">
        <f t="shared" si="345"/>
        <v>-40839.702315765135</v>
      </c>
      <c r="N717" s="1325">
        <f t="shared" si="345"/>
        <v>-4295.5155568886785</v>
      </c>
      <c r="O717" s="1325">
        <f t="shared" si="345"/>
        <v>-2.9328943406761229E-3</v>
      </c>
      <c r="P717" s="1325">
        <f t="shared" si="345"/>
        <v>-790.93432405733904</v>
      </c>
      <c r="Q717" s="1324">
        <f t="shared" si="345"/>
        <v>0</v>
      </c>
      <c r="V717" s="1320" t="s">
        <v>5553</v>
      </c>
    </row>
    <row r="718" spans="1:25">
      <c r="A718" s="1320" t="s">
        <v>4877</v>
      </c>
      <c r="C718" s="1322">
        <v>79</v>
      </c>
      <c r="D718" s="1320" t="s">
        <v>5241</v>
      </c>
      <c r="E718" s="1320" t="s">
        <v>4067</v>
      </c>
      <c r="F718" s="1320">
        <f t="shared" si="344"/>
        <v>-60622.800824453072</v>
      </c>
      <c r="G718" s="1320">
        <f t="shared" si="344"/>
        <v>0</v>
      </c>
      <c r="H718" s="1320">
        <f t="shared" si="344"/>
        <v>-60622.800824453072</v>
      </c>
      <c r="I718" s="1323">
        <f t="shared" si="342"/>
        <v>1</v>
      </c>
      <c r="J718" s="1324">
        <f t="shared" si="345"/>
        <v>-60622.800824453072</v>
      </c>
      <c r="K718" s="1324">
        <f t="shared" si="345"/>
        <v>-44232.411874273603</v>
      </c>
      <c r="L718" s="1324">
        <f t="shared" si="345"/>
        <v>-3561.5870026755097</v>
      </c>
      <c r="M718" s="1324">
        <f t="shared" si="345"/>
        <v>-12609.503317866493</v>
      </c>
      <c r="N718" s="1325">
        <f t="shared" si="345"/>
        <v>0</v>
      </c>
      <c r="O718" s="1325">
        <f t="shared" si="345"/>
        <v>0</v>
      </c>
      <c r="P718" s="1325">
        <f t="shared" si="345"/>
        <v>-219.2986296374724</v>
      </c>
      <c r="Q718" s="1324">
        <f t="shared" si="345"/>
        <v>0</v>
      </c>
      <c r="V718" s="1320" t="s">
        <v>5554</v>
      </c>
    </row>
    <row r="719" spans="1:25">
      <c r="A719" s="1320" t="s">
        <v>4877</v>
      </c>
      <c r="C719" s="1322">
        <v>80</v>
      </c>
      <c r="D719" s="1320" t="s">
        <v>5242</v>
      </c>
      <c r="E719" s="1320" t="s">
        <v>4071</v>
      </c>
      <c r="F719" s="1320">
        <f t="shared" si="344"/>
        <v>-94360.618811694731</v>
      </c>
      <c r="G719" s="1320">
        <f t="shared" si="344"/>
        <v>0</v>
      </c>
      <c r="H719" s="1320">
        <f t="shared" si="344"/>
        <v>-94360.618811694731</v>
      </c>
      <c r="I719" s="1323">
        <f t="shared" si="342"/>
        <v>1</v>
      </c>
      <c r="J719" s="1324">
        <f t="shared" si="345"/>
        <v>-94360.618811694731</v>
      </c>
      <c r="K719" s="1324">
        <f t="shared" si="345"/>
        <v>-43632.961977900224</v>
      </c>
      <c r="L719" s="1324">
        <f t="shared" si="345"/>
        <v>-8401.2555493934542</v>
      </c>
      <c r="M719" s="1324">
        <f t="shared" si="345"/>
        <v>-4799.5666077227297</v>
      </c>
      <c r="N719" s="1325">
        <f t="shared" si="345"/>
        <v>-359.13655356462823</v>
      </c>
      <c r="O719" s="1325">
        <f t="shared" si="345"/>
        <v>-391.83305581770963</v>
      </c>
      <c r="P719" s="1325">
        <f t="shared" si="345"/>
        <v>-80.704584120540844</v>
      </c>
      <c r="Q719" s="1324">
        <f t="shared" si="345"/>
        <v>-36695.16048317543</v>
      </c>
      <c r="V719" s="1320" t="s">
        <v>5555</v>
      </c>
      <c r="Y719" s="1324"/>
    </row>
    <row r="720" spans="1:25">
      <c r="A720" s="1320" t="s">
        <v>4877</v>
      </c>
      <c r="C720" s="1322">
        <v>81</v>
      </c>
      <c r="D720" s="1320" t="s">
        <v>5244</v>
      </c>
      <c r="E720" s="1320" t="s">
        <v>4071</v>
      </c>
      <c r="F720" s="1320">
        <f t="shared" si="344"/>
        <v>-64103.576200017917</v>
      </c>
      <c r="G720" s="1320">
        <f t="shared" si="344"/>
        <v>0</v>
      </c>
      <c r="H720" s="1320">
        <f t="shared" si="344"/>
        <v>-64103.576200017917</v>
      </c>
      <c r="I720" s="1323">
        <f t="shared" si="342"/>
        <v>1</v>
      </c>
      <c r="J720" s="1324">
        <f t="shared" si="345"/>
        <v>-64103.576200017917</v>
      </c>
      <c r="K720" s="1324">
        <f t="shared" si="345"/>
        <v>-55578.866400108833</v>
      </c>
      <c r="L720" s="1324">
        <f t="shared" si="345"/>
        <v>-5415.5022662946021</v>
      </c>
      <c r="M720" s="1324">
        <f t="shared" si="345"/>
        <v>-2477.3592875309523</v>
      </c>
      <c r="N720" s="1325">
        <f t="shared" si="345"/>
        <v>-180.71351012702465</v>
      </c>
      <c r="O720" s="1325">
        <f t="shared" si="345"/>
        <v>-94.711684530313661</v>
      </c>
      <c r="P720" s="1325">
        <f t="shared" si="345"/>
        <v>-53.514957261040152</v>
      </c>
      <c r="Q720" s="1324">
        <f t="shared" si="345"/>
        <v>-302.90809416513594</v>
      </c>
      <c r="V720" s="1320" t="s">
        <v>5556</v>
      </c>
      <c r="Y720" s="1324"/>
    </row>
    <row r="721" spans="1:25">
      <c r="A721" s="1320" t="s">
        <v>4877</v>
      </c>
      <c r="C721" s="1322">
        <v>82</v>
      </c>
      <c r="D721" s="1320" t="s">
        <v>5557</v>
      </c>
      <c r="F721" s="1427">
        <f>SUM(F712:F720)</f>
        <v>498581.76513229939</v>
      </c>
      <c r="G721" s="1427">
        <f>SUM(G712:G720)</f>
        <v>4323.7242190618763</v>
      </c>
      <c r="H721" s="1427">
        <f>SUM(H712:H720)</f>
        <v>494258.04091323772</v>
      </c>
      <c r="I721" s="1323">
        <f t="shared" si="342"/>
        <v>0.99132795356461867</v>
      </c>
      <c r="J721" s="1421">
        <f t="shared" ref="J721:Q721" si="346">SUM(J712:J720)</f>
        <v>494258.04091323772</v>
      </c>
      <c r="K721" s="1421">
        <f t="shared" si="346"/>
        <v>332135.85927288095</v>
      </c>
      <c r="L721" s="1421">
        <f t="shared" si="346"/>
        <v>41711.659228616678</v>
      </c>
      <c r="M721" s="1421">
        <f t="shared" si="346"/>
        <v>53980.219809852329</v>
      </c>
      <c r="N721" s="1422">
        <f t="shared" si="346"/>
        <v>14148.504947403137</v>
      </c>
      <c r="O721" s="1422">
        <f>SUM(O712:O720)</f>
        <v>5020.5691412862689</v>
      </c>
      <c r="P721" s="1422">
        <f>SUM(P712:P720)</f>
        <v>6954.7676305388522</v>
      </c>
      <c r="Q721" s="1421">
        <f t="shared" si="346"/>
        <v>40376.560882659433</v>
      </c>
      <c r="R721" s="1358"/>
      <c r="V721" s="1320" t="s">
        <v>5558</v>
      </c>
      <c r="Y721" s="1324"/>
    </row>
    <row r="722" spans="1:25" ht="11.25" customHeight="1">
      <c r="G722" s="1320"/>
      <c r="Y722" s="1324"/>
    </row>
    <row r="723" spans="1:25">
      <c r="G723" s="1320"/>
      <c r="Y723" s="1324"/>
    </row>
    <row r="724" spans="1:25" ht="11.25" customHeight="1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Y724" s="1324"/>
    </row>
    <row r="725" spans="1:25" ht="14.4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Y725" s="1324"/>
    </row>
    <row r="726" spans="1:25" ht="14.4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V726" s="1321"/>
      <c r="W726" s="1321"/>
      <c r="Y726" s="1324"/>
    </row>
    <row r="727" spans="1:25">
      <c r="B727" s="1432"/>
      <c r="C727" s="1340" t="str">
        <f>+C$2</f>
        <v>RATES WITH REVENUE DEFICIENCY ADDITION</v>
      </c>
      <c r="F727" s="1333"/>
      <c r="G727" s="1327" t="s">
        <v>2173</v>
      </c>
      <c r="I727" s="1334" t="s">
        <v>5531</v>
      </c>
      <c r="L727" s="1329" t="s">
        <v>2173</v>
      </c>
      <c r="M727" s="1330"/>
      <c r="N727" s="1330"/>
      <c r="O727" s="1330"/>
      <c r="S727" s="1334" t="s">
        <v>5559</v>
      </c>
      <c r="T727" s="1333" t="s">
        <v>2173</v>
      </c>
      <c r="U727" s="1334"/>
      <c r="V727" s="1332" t="s">
        <v>4772</v>
      </c>
      <c r="Y727" s="1324"/>
    </row>
    <row r="728" spans="1:25">
      <c r="B728" s="1432"/>
      <c r="C728" s="1340" t="str">
        <f>+C$3</f>
        <v>PROD. CAP. ALLOC. METHOD: 12 CP &amp; 1/13th AD</v>
      </c>
      <c r="G728" s="1336" t="s">
        <v>4768</v>
      </c>
      <c r="I728" s="1335" t="s">
        <v>4062</v>
      </c>
      <c r="L728" s="1336" t="s">
        <v>5141</v>
      </c>
      <c r="M728" s="1337"/>
      <c r="N728" s="1337"/>
      <c r="O728" s="1337"/>
      <c r="R728" s="1331"/>
      <c r="S728" s="1335" t="s">
        <v>4063</v>
      </c>
      <c r="T728" s="1333" t="s">
        <v>5141</v>
      </c>
      <c r="V728" s="1332" t="s">
        <v>5559</v>
      </c>
    </row>
    <row r="729" spans="1:25">
      <c r="C729" s="1340" t="str">
        <f>+C$4</f>
        <v>PROJECTED CALENDAR YEAR 2025; FULLY ADJUSTED DATA</v>
      </c>
      <c r="G729" s="1336" t="s">
        <v>2181</v>
      </c>
      <c r="L729" s="1336" t="s">
        <v>2181</v>
      </c>
      <c r="T729" s="1339"/>
    </row>
    <row r="730" spans="1:25">
      <c r="C730" s="1340" t="str">
        <f>+C$5</f>
        <v>MINIMUM DISTRIBUTION SYSTEM (MDS) NOT EMPLOYED</v>
      </c>
      <c r="D730" s="1358"/>
      <c r="G730" s="1320"/>
      <c r="L730" s="1336"/>
      <c r="M730" s="1337"/>
      <c r="N730" s="1337"/>
      <c r="O730" s="1337"/>
      <c r="T730" s="1333"/>
      <c r="Y730" s="1324"/>
    </row>
    <row r="731" spans="1:25">
      <c r="C731" s="1340" t="str">
        <f>+C$6</f>
        <v>Tampa Electric 2025 OB Budget</v>
      </c>
      <c r="F731" s="1327"/>
      <c r="G731" s="1333" t="s">
        <v>5494</v>
      </c>
      <c r="L731" s="1336" t="s">
        <v>5494</v>
      </c>
      <c r="M731" s="1337"/>
      <c r="N731" s="1337"/>
      <c r="O731" s="1337"/>
      <c r="T731" s="1333" t="s">
        <v>5494</v>
      </c>
      <c r="Y731" s="1324"/>
    </row>
    <row r="732" spans="1:25">
      <c r="F732" s="1333"/>
      <c r="G732" s="1320"/>
      <c r="L732" s="1336"/>
      <c r="M732" s="1337"/>
      <c r="N732" s="1337"/>
      <c r="O732" s="1337"/>
      <c r="Y732" s="1324"/>
    </row>
    <row r="733" spans="1:25">
      <c r="F733" s="1333"/>
      <c r="G733" s="1320"/>
      <c r="L733" s="1336"/>
      <c r="M733" s="1337"/>
      <c r="N733" s="1337"/>
      <c r="O733" s="1337"/>
      <c r="Y733" s="1324"/>
    </row>
    <row r="734" spans="1:25">
      <c r="G734" s="1320"/>
      <c r="Y734" s="1324"/>
    </row>
    <row r="735" spans="1:25">
      <c r="C735" s="1342"/>
      <c r="D735" s="1331"/>
      <c r="E735" s="1331"/>
      <c r="F735" s="1333"/>
      <c r="G735" s="1333"/>
      <c r="H735" s="1333"/>
      <c r="I735" s="1343"/>
      <c r="J735" s="1416"/>
      <c r="K735" s="1336"/>
      <c r="L735" s="1416"/>
      <c r="M735" s="1417"/>
      <c r="N735" s="1417"/>
      <c r="O735" s="1417"/>
      <c r="P735" s="3164"/>
      <c r="Q735" s="3164"/>
      <c r="R735" s="1333"/>
      <c r="Y735" s="1324"/>
    </row>
    <row r="736" spans="1:25" ht="30" customHeight="1">
      <c r="A736" s="1418" t="s">
        <v>4683</v>
      </c>
      <c r="B736" s="1425" t="s">
        <v>5143</v>
      </c>
      <c r="C736" s="1349" t="s">
        <v>4297</v>
      </c>
      <c r="D736" s="1418"/>
      <c r="E736" s="1418"/>
      <c r="F736" s="1348" t="s">
        <v>5144</v>
      </c>
      <c r="G736" s="1348" t="s">
        <v>4956</v>
      </c>
      <c r="H736" s="1348" t="s">
        <v>4957</v>
      </c>
      <c r="I736" s="1426" t="s">
        <v>5145</v>
      </c>
      <c r="J736" s="1352" t="s">
        <v>4957</v>
      </c>
      <c r="K736" s="1353" t="s">
        <v>1949</v>
      </c>
      <c r="L736" s="1353" t="s">
        <v>1950</v>
      </c>
      <c r="M736" s="1354" t="s">
        <v>1934</v>
      </c>
      <c r="N736" s="1354" t="s">
        <v>1971</v>
      </c>
      <c r="O736" s="1354" t="s">
        <v>1972</v>
      </c>
      <c r="P736" s="1352" t="s">
        <v>5146</v>
      </c>
      <c r="Q736" s="1352" t="s">
        <v>5147</v>
      </c>
      <c r="R736" s="1355"/>
      <c r="S736" s="1348" t="s">
        <v>5299</v>
      </c>
      <c r="T736" s="1348"/>
      <c r="U736" s="1352"/>
      <c r="V736" s="1355" t="s">
        <v>4774</v>
      </c>
      <c r="Y736" s="1324"/>
    </row>
    <row r="737" spans="1:25">
      <c r="G737" s="1320"/>
      <c r="Y737" s="1324"/>
    </row>
    <row r="738" spans="1:25">
      <c r="A738" s="1320" t="s">
        <v>4877</v>
      </c>
      <c r="C738" s="1322">
        <v>83</v>
      </c>
      <c r="D738" s="1356" t="s">
        <v>5560</v>
      </c>
      <c r="G738" s="1320"/>
    </row>
    <row r="739" spans="1:25">
      <c r="A739" s="1320" t="s">
        <v>4877</v>
      </c>
      <c r="B739" s="1320">
        <v>101</v>
      </c>
      <c r="C739" s="1322">
        <v>84</v>
      </c>
      <c r="D739" s="1320" t="s">
        <v>5265</v>
      </c>
      <c r="E739" s="1320" t="s">
        <v>4067</v>
      </c>
      <c r="F739" s="1320">
        <f>+'0 MDS Allocation Assignment'!F243</f>
        <v>101438.76376111731</v>
      </c>
      <c r="G739" s="1358">
        <f>+$F739*G$1933</f>
        <v>0</v>
      </c>
      <c r="H739" s="1358">
        <f>+$F739*H$1933</f>
        <v>101438.76376111731</v>
      </c>
      <c r="I739" s="1323">
        <f t="shared" ref="I739:I747" si="347">IF(F739=0,0,+H739/F739)</f>
        <v>1</v>
      </c>
      <c r="J739" s="1364">
        <f t="shared" ref="J739:J746" si="348">+H739</f>
        <v>101438.76376111731</v>
      </c>
      <c r="K739" s="1324">
        <f t="shared" ref="K739:Q739" si="349">$J739*K$1951</f>
        <v>58835.805755477129</v>
      </c>
      <c r="L739" s="1324">
        <f t="shared" si="349"/>
        <v>4853.3605242303729</v>
      </c>
      <c r="M739" s="1324">
        <f t="shared" si="349"/>
        <v>31025.095563090999</v>
      </c>
      <c r="N739" s="1324">
        <f t="shared" si="349"/>
        <v>3873.0718162738544</v>
      </c>
      <c r="O739" s="1324">
        <f t="shared" si="349"/>
        <v>2779.5107683340693</v>
      </c>
      <c r="P739" s="1324">
        <f t="shared" si="349"/>
        <v>71.919333710890186</v>
      </c>
      <c r="Q739" s="1324">
        <f t="shared" si="349"/>
        <v>0</v>
      </c>
      <c r="R739" s="1324"/>
      <c r="S739" s="1324">
        <v>122</v>
      </c>
      <c r="V739" s="1321" t="s">
        <v>5227</v>
      </c>
      <c r="W739" s="1321">
        <v>122</v>
      </c>
    </row>
    <row r="740" spans="1:25">
      <c r="A740" s="1320" t="s">
        <v>4877</v>
      </c>
      <c r="B740" s="1324">
        <v>101</v>
      </c>
      <c r="C740" s="1322">
        <v>85</v>
      </c>
      <c r="D740" s="1324" t="s">
        <v>5265</v>
      </c>
      <c r="E740" s="1324" t="s">
        <v>2067</v>
      </c>
      <c r="F740" s="1320">
        <f>+'0 MDS Allocation Assignment'!F244</f>
        <v>7628.7877112605429</v>
      </c>
      <c r="G740" s="1364">
        <f>+$F740*G$1933</f>
        <v>0</v>
      </c>
      <c r="H740" s="1364">
        <f>+$F740*H$1933</f>
        <v>7628.7877112605429</v>
      </c>
      <c r="I740" s="1374">
        <f t="shared" si="347"/>
        <v>1</v>
      </c>
      <c r="J740" s="1364">
        <f t="shared" si="348"/>
        <v>7628.7877112605429</v>
      </c>
      <c r="K740" s="1364">
        <f t="shared" ref="K740:Q740" si="350">+$J740*K$1966</f>
        <v>3849.7470708846326</v>
      </c>
      <c r="L740" s="1364">
        <f t="shared" si="350"/>
        <v>355.76169568245729</v>
      </c>
      <c r="M740" s="1364">
        <f t="shared" si="350"/>
        <v>2650.2864504366544</v>
      </c>
      <c r="N740" s="1367">
        <f t="shared" si="350"/>
        <v>421.88298958441027</v>
      </c>
      <c r="O740" s="1367">
        <f t="shared" si="350"/>
        <v>310.80620381086248</v>
      </c>
      <c r="P740" s="1367">
        <f t="shared" si="350"/>
        <v>40.303300861525635</v>
      </c>
      <c r="Q740" s="1364">
        <f t="shared" si="350"/>
        <v>0</v>
      </c>
      <c r="R740" s="1364"/>
      <c r="S740" s="1324">
        <v>201</v>
      </c>
      <c r="V740" s="1321" t="s">
        <v>5235</v>
      </c>
      <c r="W740" s="1321">
        <v>201</v>
      </c>
      <c r="Y740" s="1324"/>
    </row>
    <row r="741" spans="1:25" s="1324" customFormat="1">
      <c r="A741" s="1320" t="s">
        <v>4877</v>
      </c>
      <c r="B741" s="1320">
        <v>117</v>
      </c>
      <c r="C741" s="1393">
        <v>86</v>
      </c>
      <c r="D741" s="1320" t="s">
        <v>5268</v>
      </c>
      <c r="E741" s="1320" t="s">
        <v>4067</v>
      </c>
      <c r="F741" s="1320">
        <f>+'0 MDS Allocation Assignment'!F245</f>
        <v>8001.8674565720094</v>
      </c>
      <c r="G741" s="1358">
        <f>+$F741*G$1942</f>
        <v>518.41583438213763</v>
      </c>
      <c r="H741" s="1358">
        <f>+$F741*H$1942</f>
        <v>7483.4516221898712</v>
      </c>
      <c r="I741" s="1323">
        <f t="shared" si="347"/>
        <v>0.93521314403222733</v>
      </c>
      <c r="J741" s="1364">
        <f t="shared" si="348"/>
        <v>7483.4516221898712</v>
      </c>
      <c r="K741" s="1364">
        <f t="shared" ref="K741:Q742" si="351">+$J741*K$1945</f>
        <v>4340.4995260051046</v>
      </c>
      <c r="L741" s="1364">
        <f t="shared" si="351"/>
        <v>358.04743020779904</v>
      </c>
      <c r="M741" s="1364">
        <f t="shared" si="351"/>
        <v>2288.8173427169118</v>
      </c>
      <c r="N741" s="1367">
        <f t="shared" si="351"/>
        <v>285.72849758508528</v>
      </c>
      <c r="O741" s="1367">
        <f t="shared" si="351"/>
        <v>205.05311378959078</v>
      </c>
      <c r="P741" s="1367">
        <f t="shared" si="351"/>
        <v>5.3057118853796226</v>
      </c>
      <c r="Q741" s="1364">
        <f t="shared" si="351"/>
        <v>0</v>
      </c>
      <c r="R741" s="1364"/>
      <c r="S741" s="1324">
        <v>117</v>
      </c>
      <c r="V741" s="1321" t="s">
        <v>5228</v>
      </c>
      <c r="W741" s="1321">
        <v>117</v>
      </c>
    </row>
    <row r="742" spans="1:25">
      <c r="A742" s="1320" t="s">
        <v>4877</v>
      </c>
      <c r="B742" s="1320">
        <v>117</v>
      </c>
      <c r="C742" s="1322">
        <v>87</v>
      </c>
      <c r="D742" s="1320" t="s">
        <v>5239</v>
      </c>
      <c r="E742" s="1320" t="s">
        <v>4067</v>
      </c>
      <c r="F742" s="1320">
        <f>+'0 MDS Allocation Assignment'!F246</f>
        <v>8686.2498613002645</v>
      </c>
      <c r="G742" s="1358">
        <f>+$F742*G$1942</f>
        <v>562.75481866414498</v>
      </c>
      <c r="H742" s="1358">
        <f>+$F742*H$1942</f>
        <v>8123.4950426361193</v>
      </c>
      <c r="I742" s="1323">
        <f t="shared" si="347"/>
        <v>0.93521314403222733</v>
      </c>
      <c r="J742" s="1364">
        <f t="shared" si="348"/>
        <v>8123.4950426361193</v>
      </c>
      <c r="K742" s="1364">
        <f t="shared" si="351"/>
        <v>4711.7330561093149</v>
      </c>
      <c r="L742" s="1364">
        <f t="shared" si="351"/>
        <v>388.67045197394077</v>
      </c>
      <c r="M742" s="1364">
        <f t="shared" si="351"/>
        <v>2484.5749362403858</v>
      </c>
      <c r="N742" s="1367">
        <f t="shared" si="351"/>
        <v>310.16623756740245</v>
      </c>
      <c r="O742" s="1367">
        <f t="shared" si="351"/>
        <v>222.59086280555061</v>
      </c>
      <c r="P742" s="1367">
        <f t="shared" si="351"/>
        <v>5.7594979395249091</v>
      </c>
      <c r="Q742" s="1364">
        <f t="shared" si="351"/>
        <v>0</v>
      </c>
      <c r="R742" s="1364"/>
      <c r="S742" s="1324">
        <v>117</v>
      </c>
      <c r="V742" s="1321" t="s">
        <v>5228</v>
      </c>
      <c r="W742" s="1321">
        <v>117</v>
      </c>
      <c r="Y742" s="1324"/>
    </row>
    <row r="743" spans="1:25">
      <c r="A743" s="1320" t="s">
        <v>4877</v>
      </c>
      <c r="B743" s="1320">
        <v>105</v>
      </c>
      <c r="C743" s="1322">
        <v>88</v>
      </c>
      <c r="D743" s="1320" t="s">
        <v>5240</v>
      </c>
      <c r="E743" s="1320" t="s">
        <v>4067</v>
      </c>
      <c r="F743" s="1320">
        <f>+'0 MDS Allocation Assignment'!F247</f>
        <v>28304.114765644834</v>
      </c>
      <c r="G743" s="1358">
        <f>+$F743*G$1936</f>
        <v>0</v>
      </c>
      <c r="H743" s="1358">
        <f>+$F743*H$1936</f>
        <v>28304.114765644834</v>
      </c>
      <c r="I743" s="1323">
        <f t="shared" si="347"/>
        <v>1</v>
      </c>
      <c r="J743" s="1364">
        <f t="shared" si="348"/>
        <v>28304.114765644834</v>
      </c>
      <c r="K743" s="1364">
        <f t="shared" ref="K743:Q743" si="352">+$J743*K$1936</f>
        <v>17616.934237801906</v>
      </c>
      <c r="L743" s="1364">
        <f t="shared" si="352"/>
        <v>1252.9605473097031</v>
      </c>
      <c r="M743" s="1364">
        <f t="shared" si="352"/>
        <v>8389.3531801021545</v>
      </c>
      <c r="N743" s="1367">
        <f t="shared" si="352"/>
        <v>882.39127745677274</v>
      </c>
      <c r="O743" s="1367">
        <f t="shared" si="352"/>
        <v>6.0247957425381795E-4</v>
      </c>
      <c r="P743" s="1367">
        <f t="shared" si="352"/>
        <v>162.4749204947301</v>
      </c>
      <c r="Q743" s="1364">
        <f t="shared" si="352"/>
        <v>0</v>
      </c>
      <c r="R743" s="1364"/>
      <c r="S743" s="1324">
        <v>105</v>
      </c>
      <c r="V743" s="1321" t="s">
        <v>5229</v>
      </c>
      <c r="W743" s="1321">
        <v>105</v>
      </c>
      <c r="Y743" s="1324"/>
    </row>
    <row r="744" spans="1:25">
      <c r="A744" s="1320" t="s">
        <v>4877</v>
      </c>
      <c r="B744" s="1320">
        <v>106</v>
      </c>
      <c r="C744" s="1322">
        <v>89</v>
      </c>
      <c r="D744" s="1324" t="s">
        <v>5241</v>
      </c>
      <c r="E744" s="1324" t="s">
        <v>4067</v>
      </c>
      <c r="F744" s="1320">
        <f>+'0 MDS Allocation Assignment'!F248</f>
        <v>12442.559438420725</v>
      </c>
      <c r="G744" s="1364">
        <f>+$F744*G$1939</f>
        <v>0</v>
      </c>
      <c r="H744" s="1364">
        <f>+$F744*H$1939</f>
        <v>12442.559438420725</v>
      </c>
      <c r="I744" s="1323">
        <f t="shared" si="347"/>
        <v>1</v>
      </c>
      <c r="J744" s="1364">
        <f t="shared" si="348"/>
        <v>12442.559438420725</v>
      </c>
      <c r="K744" s="1364">
        <f t="shared" ref="K744:Q744" si="353">+$J744*K$1939</f>
        <v>9078.5052218893616</v>
      </c>
      <c r="L744" s="1364">
        <f t="shared" si="353"/>
        <v>730.99984450110628</v>
      </c>
      <c r="M744" s="1364">
        <f t="shared" si="353"/>
        <v>2588.0443065611635</v>
      </c>
      <c r="N744" s="1367">
        <f t="shared" si="353"/>
        <v>0</v>
      </c>
      <c r="O744" s="1367">
        <f t="shared" si="353"/>
        <v>0</v>
      </c>
      <c r="P744" s="1367">
        <f t="shared" si="353"/>
        <v>45.010065469093739</v>
      </c>
      <c r="Q744" s="1364">
        <f t="shared" si="353"/>
        <v>0</v>
      </c>
      <c r="R744" s="1364"/>
      <c r="S744" s="1324">
        <v>106</v>
      </c>
      <c r="V744" s="1321" t="s">
        <v>5230</v>
      </c>
      <c r="W744" s="1321">
        <v>106</v>
      </c>
      <c r="Y744" s="1324"/>
    </row>
    <row r="745" spans="1:25">
      <c r="A745" s="1320" t="s">
        <v>4877</v>
      </c>
      <c r="B745" s="1320">
        <v>907</v>
      </c>
      <c r="C745" s="1322">
        <v>90</v>
      </c>
      <c r="D745" s="1320" t="s">
        <v>5242</v>
      </c>
      <c r="E745" s="1320" t="s">
        <v>4071</v>
      </c>
      <c r="F745" s="1320">
        <f>+'0 MDS Allocation Assignment'!F249</f>
        <v>12136.704867949884</v>
      </c>
      <c r="G745" s="1358">
        <f>+$F745*G$2052</f>
        <v>0</v>
      </c>
      <c r="H745" s="1358">
        <f>+$F745*H$2052</f>
        <v>12136.704867949884</v>
      </c>
      <c r="I745" s="1323">
        <f t="shared" si="347"/>
        <v>1</v>
      </c>
      <c r="J745" s="1364">
        <f t="shared" si="348"/>
        <v>12136.704867949884</v>
      </c>
      <c r="K745" s="1364">
        <f t="shared" ref="K745:Q745" si="354">+$J745*K$2052</f>
        <v>4474.2778241494025</v>
      </c>
      <c r="L745" s="1364">
        <f t="shared" si="354"/>
        <v>678.68911554053693</v>
      </c>
      <c r="M745" s="1364">
        <f t="shared" si="354"/>
        <v>327.19550887868303</v>
      </c>
      <c r="N745" s="1367">
        <f t="shared" si="354"/>
        <v>21.092704737680272</v>
      </c>
      <c r="O745" s="1367">
        <f t="shared" si="354"/>
        <v>23.013026300979558</v>
      </c>
      <c r="P745" s="1367">
        <f t="shared" si="354"/>
        <v>5.2817641630433227</v>
      </c>
      <c r="Q745" s="1364">
        <f t="shared" si="354"/>
        <v>6607.1549241795601</v>
      </c>
      <c r="R745" s="1364"/>
      <c r="S745" s="1324">
        <v>907</v>
      </c>
      <c r="V745" s="1321" t="s">
        <v>5243</v>
      </c>
      <c r="W745" s="1321">
        <v>907</v>
      </c>
      <c r="Y745" s="1324"/>
    </row>
    <row r="746" spans="1:25">
      <c r="A746" s="1320" t="s">
        <v>4877</v>
      </c>
      <c r="B746" s="1324">
        <v>412</v>
      </c>
      <c r="C746" s="1322">
        <v>91</v>
      </c>
      <c r="D746" s="1324" t="s">
        <v>5244</v>
      </c>
      <c r="E746" s="1324" t="s">
        <v>4071</v>
      </c>
      <c r="F746" s="1320">
        <f>+'0 MDS Allocation Assignment'!F250</f>
        <v>3707.9041377343915</v>
      </c>
      <c r="G746" s="1364">
        <f>+$F746*G$2018</f>
        <v>0</v>
      </c>
      <c r="H746" s="1364">
        <f>+$F746*H$2018</f>
        <v>3707.9041377343915</v>
      </c>
      <c r="I746" s="1323">
        <f t="shared" si="347"/>
        <v>1</v>
      </c>
      <c r="J746" s="1364">
        <f t="shared" si="348"/>
        <v>3707.9041377343915</v>
      </c>
      <c r="K746" s="1364">
        <f t="shared" ref="K746:Q746" si="355">+$J746*K$2018</f>
        <v>3307.0308100666962</v>
      </c>
      <c r="L746" s="1364">
        <f t="shared" si="355"/>
        <v>320.58686650485919</v>
      </c>
      <c r="M746" s="1364">
        <f t="shared" si="355"/>
        <v>78.957813106960074</v>
      </c>
      <c r="N746" s="1367">
        <f t="shared" si="355"/>
        <v>0.26658957755440421</v>
      </c>
      <c r="O746" s="1367">
        <f t="shared" si="355"/>
        <v>4.7298150856426559E-2</v>
      </c>
      <c r="P746" s="1367">
        <f t="shared" si="355"/>
        <v>1.0147603274651515</v>
      </c>
      <c r="Q746" s="1364">
        <f t="shared" si="355"/>
        <v>0</v>
      </c>
      <c r="R746" s="1364"/>
      <c r="S746" s="1324">
        <v>412</v>
      </c>
      <c r="V746" s="1321" t="s">
        <v>5245</v>
      </c>
      <c r="W746" s="1321">
        <v>412</v>
      </c>
      <c r="Y746" s="1324"/>
    </row>
    <row r="747" spans="1:25">
      <c r="A747" s="1320" t="s">
        <v>4877</v>
      </c>
      <c r="C747" s="1393">
        <v>92</v>
      </c>
      <c r="D747" s="1320" t="s">
        <v>5561</v>
      </c>
      <c r="F747" s="1427">
        <f>+SUM(F739:F746)</f>
        <v>182346.95199999996</v>
      </c>
      <c r="G747" s="1427">
        <f>SUM(G739:G746)</f>
        <v>1081.1706530462825</v>
      </c>
      <c r="H747" s="1427">
        <f>SUM(H739:H746)</f>
        <v>181265.78134695368</v>
      </c>
      <c r="I747" s="1323">
        <f t="shared" si="347"/>
        <v>0.99407080490686628</v>
      </c>
      <c r="J747" s="1421">
        <f t="shared" ref="J747:Q747" si="356">SUM(J739:J746)</f>
        <v>181265.78134695368</v>
      </c>
      <c r="K747" s="1421">
        <f t="shared" si="356"/>
        <v>106214.53350238357</v>
      </c>
      <c r="L747" s="1421">
        <f t="shared" si="356"/>
        <v>8939.0764759507747</v>
      </c>
      <c r="M747" s="1421">
        <f t="shared" si="356"/>
        <v>49832.325101133909</v>
      </c>
      <c r="N747" s="1422">
        <f t="shared" si="356"/>
        <v>5794.6001127827594</v>
      </c>
      <c r="O747" s="1422">
        <f>SUM(O739:O746)</f>
        <v>3541.0218756714835</v>
      </c>
      <c r="P747" s="1422">
        <f>SUM(P739:P746)</f>
        <v>337.06935485165258</v>
      </c>
      <c r="Q747" s="1421">
        <f t="shared" si="356"/>
        <v>6607.1549241795601</v>
      </c>
      <c r="R747" s="1364"/>
      <c r="S747" s="1326"/>
      <c r="V747" s="1320" t="s">
        <v>5562</v>
      </c>
      <c r="Y747" s="1324"/>
    </row>
    <row r="748" spans="1:25">
      <c r="A748" s="1320" t="s">
        <v>4877</v>
      </c>
      <c r="B748" s="1321"/>
      <c r="C748" s="1322">
        <v>93</v>
      </c>
      <c r="G748" s="1320"/>
      <c r="M748" s="1324"/>
      <c r="P748" s="1325"/>
      <c r="R748" s="1324"/>
      <c r="S748" s="1324"/>
      <c r="T748" s="1321"/>
      <c r="U748" s="1326"/>
    </row>
    <row r="749" spans="1:25">
      <c r="A749" s="1320" t="s">
        <v>4877</v>
      </c>
      <c r="C749" s="1322">
        <v>94</v>
      </c>
      <c r="D749" s="1356" t="s">
        <v>5563</v>
      </c>
      <c r="G749" s="1320"/>
      <c r="M749" s="1324"/>
      <c r="P749" s="1325"/>
    </row>
    <row r="750" spans="1:25">
      <c r="A750" s="1320" t="s">
        <v>4877</v>
      </c>
      <c r="B750" s="1320">
        <v>101</v>
      </c>
      <c r="C750" s="1322">
        <v>95</v>
      </c>
      <c r="D750" s="1320" t="s">
        <v>5265</v>
      </c>
      <c r="E750" s="1320" t="s">
        <v>4067</v>
      </c>
      <c r="F750" s="1320">
        <f>+'0 MDS Allocation Assignment'!F251</f>
        <v>4071.9547618950883</v>
      </c>
      <c r="G750" s="1358">
        <f>+$F750*G$1933</f>
        <v>0</v>
      </c>
      <c r="H750" s="1358">
        <f>+$F750*H$1933</f>
        <v>4071.9547618950883</v>
      </c>
      <c r="I750" s="1323">
        <f t="shared" ref="I750:I758" si="357">IF(F750=0,0,+H750/F750)</f>
        <v>1</v>
      </c>
      <c r="J750" s="1364">
        <f t="shared" ref="J750:J757" si="358">+H750</f>
        <v>4071.9547618950883</v>
      </c>
      <c r="K750" s="1324">
        <f t="shared" ref="K750:Q750" si="359">$J750*K$1951</f>
        <v>2361.7868606930142</v>
      </c>
      <c r="L750" s="1324">
        <f t="shared" si="359"/>
        <v>194.82359371387344</v>
      </c>
      <c r="M750" s="1324">
        <f t="shared" si="359"/>
        <v>1245.409357648377</v>
      </c>
      <c r="N750" s="1324">
        <f t="shared" si="359"/>
        <v>155.47284529785625</v>
      </c>
      <c r="O750" s="1324">
        <f t="shared" si="359"/>
        <v>111.57511871408403</v>
      </c>
      <c r="P750" s="1324">
        <f t="shared" si="359"/>
        <v>2.8869858278836302</v>
      </c>
      <c r="Q750" s="1324">
        <f t="shared" si="359"/>
        <v>0</v>
      </c>
      <c r="R750" s="1324"/>
      <c r="S750" s="1324">
        <v>122</v>
      </c>
      <c r="V750" s="1326" t="s">
        <v>5227</v>
      </c>
      <c r="W750" s="1321">
        <v>122</v>
      </c>
    </row>
    <row r="751" spans="1:25">
      <c r="A751" s="1320" t="s">
        <v>4877</v>
      </c>
      <c r="B751" s="1324">
        <v>101</v>
      </c>
      <c r="C751" s="1322">
        <v>96</v>
      </c>
      <c r="D751" s="1324" t="s">
        <v>5265</v>
      </c>
      <c r="E751" s="1324" t="s">
        <v>2067</v>
      </c>
      <c r="F751" s="1320">
        <f>+'0 MDS Allocation Assignment'!F252</f>
        <v>306.23478931100033</v>
      </c>
      <c r="G751" s="1364">
        <f>+$F751*G$1933</f>
        <v>0</v>
      </c>
      <c r="H751" s="1364">
        <f>+$F751*H$1933</f>
        <v>306.23478931100033</v>
      </c>
      <c r="I751" s="1374">
        <f t="shared" si="357"/>
        <v>1</v>
      </c>
      <c r="J751" s="1364">
        <f t="shared" si="358"/>
        <v>306.23478931100033</v>
      </c>
      <c r="K751" s="1364">
        <f t="shared" ref="K751:Q751" si="360">+$J751*K$1966</f>
        <v>154.5365433898273</v>
      </c>
      <c r="L751" s="1364">
        <f t="shared" si="360"/>
        <v>14.280985661906657</v>
      </c>
      <c r="M751" s="1364">
        <f t="shared" si="360"/>
        <v>106.38779626352472</v>
      </c>
      <c r="N751" s="1367">
        <f t="shared" si="360"/>
        <v>16.935226581095836</v>
      </c>
      <c r="O751" s="1367">
        <f t="shared" si="360"/>
        <v>12.476382348414344</v>
      </c>
      <c r="P751" s="1367">
        <f t="shared" si="360"/>
        <v>1.6178550662314581</v>
      </c>
      <c r="Q751" s="1364">
        <f t="shared" si="360"/>
        <v>0</v>
      </c>
      <c r="R751" s="1364"/>
      <c r="S751" s="1324">
        <v>201</v>
      </c>
      <c r="V751" s="1326" t="s">
        <v>5235</v>
      </c>
      <c r="W751" s="1321">
        <v>201</v>
      </c>
    </row>
    <row r="752" spans="1:25">
      <c r="A752" s="1320" t="s">
        <v>4877</v>
      </c>
      <c r="B752" s="1320">
        <v>117</v>
      </c>
      <c r="C752" s="1322">
        <v>97</v>
      </c>
      <c r="D752" s="1320" t="s">
        <v>5268</v>
      </c>
      <c r="E752" s="1320" t="s">
        <v>4067</v>
      </c>
      <c r="F752" s="1320">
        <f>+'0 MDS Allocation Assignment'!F253</f>
        <v>321.21095610523673</v>
      </c>
      <c r="G752" s="1358">
        <f>+$F752*G$1942</f>
        <v>20.8102479484605</v>
      </c>
      <c r="H752" s="1358">
        <f>+$F752*H$1942</f>
        <v>300.4007081567762</v>
      </c>
      <c r="I752" s="1323">
        <f t="shared" si="357"/>
        <v>0.93521314403222733</v>
      </c>
      <c r="J752" s="1364">
        <f t="shared" si="358"/>
        <v>300.4007081567762</v>
      </c>
      <c r="K752" s="1364">
        <f t="shared" ref="K752:Q753" si="361">+$J752*K$1945</f>
        <v>174.23632799332907</v>
      </c>
      <c r="L752" s="1364">
        <f t="shared" si="361"/>
        <v>14.372739615127262</v>
      </c>
      <c r="M752" s="1364">
        <f t="shared" si="361"/>
        <v>91.877703672850203</v>
      </c>
      <c r="N752" s="1367">
        <f t="shared" si="361"/>
        <v>11.469713088091581</v>
      </c>
      <c r="O752" s="1367">
        <f t="shared" si="361"/>
        <v>8.2312419057397097</v>
      </c>
      <c r="P752" s="1367">
        <f t="shared" si="361"/>
        <v>0.21298188163839027</v>
      </c>
      <c r="Q752" s="1364">
        <f t="shared" si="361"/>
        <v>0</v>
      </c>
      <c r="R752" s="1358"/>
      <c r="S752" s="1320">
        <v>117</v>
      </c>
      <c r="V752" s="1326" t="s">
        <v>5228</v>
      </c>
      <c r="W752" s="1321">
        <v>117</v>
      </c>
    </row>
    <row r="753" spans="1:23">
      <c r="A753" s="1320" t="s">
        <v>4877</v>
      </c>
      <c r="B753" s="1320">
        <v>117</v>
      </c>
      <c r="C753" s="1322">
        <v>98</v>
      </c>
      <c r="D753" s="1320" t="s">
        <v>5239</v>
      </c>
      <c r="E753" s="1320" t="s">
        <v>4067</v>
      </c>
      <c r="F753" s="1320">
        <f>+'0 MDS Allocation Assignment'!F254</f>
        <v>348.68343396836536</v>
      </c>
      <c r="G753" s="1358">
        <f>+$F753*G$1942</f>
        <v>22.590103414856834</v>
      </c>
      <c r="H753" s="1358">
        <f>+$F753*H$1942</f>
        <v>326.09333055350851</v>
      </c>
      <c r="I753" s="1323">
        <f t="shared" si="357"/>
        <v>0.93521314403222733</v>
      </c>
      <c r="J753" s="1364">
        <f t="shared" si="358"/>
        <v>326.09333055350851</v>
      </c>
      <c r="K753" s="1364">
        <f t="shared" si="361"/>
        <v>189.13838401840846</v>
      </c>
      <c r="L753" s="1364">
        <f t="shared" si="361"/>
        <v>15.602008926787141</v>
      </c>
      <c r="M753" s="1364">
        <f t="shared" si="361"/>
        <v>99.73580481258999</v>
      </c>
      <c r="N753" s="1367">
        <f t="shared" si="361"/>
        <v>12.450692824056123</v>
      </c>
      <c r="O753" s="1367">
        <f t="shared" si="361"/>
        <v>8.9352422106589628</v>
      </c>
      <c r="P753" s="1367">
        <f t="shared" si="361"/>
        <v>0.23119776100783862</v>
      </c>
      <c r="Q753" s="1364">
        <f t="shared" si="361"/>
        <v>0</v>
      </c>
      <c r="R753" s="1358"/>
      <c r="S753" s="1320">
        <v>117</v>
      </c>
      <c r="V753" s="1326" t="s">
        <v>5228</v>
      </c>
      <c r="W753" s="1321">
        <v>117</v>
      </c>
    </row>
    <row r="754" spans="1:23">
      <c r="A754" s="1320" t="s">
        <v>4877</v>
      </c>
      <c r="B754" s="1320">
        <v>105</v>
      </c>
      <c r="C754" s="1322">
        <v>99</v>
      </c>
      <c r="D754" s="1320" t="s">
        <v>5240</v>
      </c>
      <c r="E754" s="1320" t="s">
        <v>4067</v>
      </c>
      <c r="F754" s="1320">
        <f>+'0 MDS Allocation Assignment'!F255</f>
        <v>1136.1837489720122</v>
      </c>
      <c r="G754" s="1358">
        <f>+$F754*G$1936</f>
        <v>0</v>
      </c>
      <c r="H754" s="1358">
        <f>+$F754*H$1936</f>
        <v>1136.1837489720122</v>
      </c>
      <c r="I754" s="1323">
        <f t="shared" si="357"/>
        <v>1</v>
      </c>
      <c r="J754" s="1364">
        <f t="shared" si="358"/>
        <v>1136.1837489720122</v>
      </c>
      <c r="K754" s="1364">
        <f t="shared" ref="K754:Q754" si="362">+$J754*K$1936</f>
        <v>707.17895802183568</v>
      </c>
      <c r="L754" s="1364">
        <f t="shared" si="362"/>
        <v>50.29634114133475</v>
      </c>
      <c r="M754" s="1364">
        <f t="shared" si="362"/>
        <v>336.76540766391923</v>
      </c>
      <c r="N754" s="1367">
        <f t="shared" si="362"/>
        <v>35.420949850653223</v>
      </c>
      <c r="O754" s="1367">
        <f t="shared" si="362"/>
        <v>2.418473451731602E-5</v>
      </c>
      <c r="P754" s="1367">
        <f t="shared" si="362"/>
        <v>6.5220681095350415</v>
      </c>
      <c r="Q754" s="1364">
        <f t="shared" si="362"/>
        <v>0</v>
      </c>
      <c r="R754" s="1358"/>
      <c r="S754" s="1320">
        <v>105</v>
      </c>
      <c r="V754" s="1326" t="s">
        <v>5229</v>
      </c>
      <c r="W754" s="1321">
        <v>105</v>
      </c>
    </row>
    <row r="755" spans="1:23">
      <c r="A755" s="1320" t="s">
        <v>4877</v>
      </c>
      <c r="B755" s="1320">
        <v>106</v>
      </c>
      <c r="C755" s="1322">
        <v>100</v>
      </c>
      <c r="D755" s="1320" t="s">
        <v>5241</v>
      </c>
      <c r="E755" s="1320" t="s">
        <v>4067</v>
      </c>
      <c r="F755" s="1320">
        <f>+'0 MDS Allocation Assignment'!F256</f>
        <v>499.46920956917899</v>
      </c>
      <c r="G755" s="1358">
        <f>+$F755*G$1939</f>
        <v>0</v>
      </c>
      <c r="H755" s="1358">
        <f>+$F755*H$1939</f>
        <v>499.46920956917899</v>
      </c>
      <c r="I755" s="1323">
        <f t="shared" si="357"/>
        <v>1</v>
      </c>
      <c r="J755" s="1364">
        <f t="shared" si="358"/>
        <v>499.46920956917899</v>
      </c>
      <c r="K755" s="1364">
        <f t="shared" ref="K755:Q755" si="363">+$J755*K$1939</f>
        <v>364.42934829349525</v>
      </c>
      <c r="L755" s="1364">
        <f t="shared" si="363"/>
        <v>29.343795087749424</v>
      </c>
      <c r="M755" s="1364">
        <f t="shared" si="363"/>
        <v>103.88927218114121</v>
      </c>
      <c r="N755" s="1367">
        <f t="shared" si="363"/>
        <v>0</v>
      </c>
      <c r="O755" s="1367">
        <f t="shared" si="363"/>
        <v>0</v>
      </c>
      <c r="P755" s="1367">
        <f t="shared" si="363"/>
        <v>1.8067940067930808</v>
      </c>
      <c r="Q755" s="1364">
        <f t="shared" si="363"/>
        <v>0</v>
      </c>
      <c r="R755" s="1358"/>
      <c r="S755" s="1320">
        <v>106</v>
      </c>
      <c r="V755" s="1326" t="s">
        <v>5230</v>
      </c>
      <c r="W755" s="1321">
        <v>106</v>
      </c>
    </row>
    <row r="756" spans="1:23">
      <c r="A756" s="1320" t="s">
        <v>4877</v>
      </c>
      <c r="B756" s="1320">
        <v>907</v>
      </c>
      <c r="C756" s="1322">
        <v>101</v>
      </c>
      <c r="D756" s="1320" t="s">
        <v>5242</v>
      </c>
      <c r="E756" s="1320" t="s">
        <v>4071</v>
      </c>
      <c r="F756" s="1320">
        <f>+'0 MDS Allocation Assignment'!F257</f>
        <v>487.19159568175985</v>
      </c>
      <c r="G756" s="1358">
        <f>+$F756*G$2052</f>
        <v>0</v>
      </c>
      <c r="H756" s="1358">
        <f>+$F756*H$2052</f>
        <v>487.19159568175985</v>
      </c>
      <c r="I756" s="1323">
        <f t="shared" si="357"/>
        <v>1</v>
      </c>
      <c r="J756" s="1364">
        <f t="shared" si="358"/>
        <v>487.19159568175985</v>
      </c>
      <c r="K756" s="1364">
        <f t="shared" ref="K756:Q756" si="364">+$J756*K$2052</f>
        <v>179.60645631478337</v>
      </c>
      <c r="L756" s="1364">
        <f t="shared" si="364"/>
        <v>27.243937853775108</v>
      </c>
      <c r="M756" s="1364">
        <f t="shared" si="364"/>
        <v>13.134281817420334</v>
      </c>
      <c r="N756" s="1367">
        <f t="shared" si="364"/>
        <v>0.84670333424120803</v>
      </c>
      <c r="O756" s="1367">
        <f t="shared" si="364"/>
        <v>0.92378888067452958</v>
      </c>
      <c r="P756" s="1367">
        <f t="shared" si="364"/>
        <v>0.21202057219032283</v>
      </c>
      <c r="Q756" s="1364">
        <f t="shared" si="364"/>
        <v>265.22440690867501</v>
      </c>
      <c r="R756" s="1358"/>
      <c r="S756" s="1320">
        <v>907</v>
      </c>
      <c r="T756" s="1324"/>
      <c r="V756" s="1326" t="s">
        <v>5243</v>
      </c>
      <c r="W756" s="1321">
        <v>907</v>
      </c>
    </row>
    <row r="757" spans="1:23">
      <c r="A757" s="1320" t="s">
        <v>4877</v>
      </c>
      <c r="B757" s="1320">
        <v>412</v>
      </c>
      <c r="C757" s="1322">
        <v>102</v>
      </c>
      <c r="D757" s="1324" t="s">
        <v>5244</v>
      </c>
      <c r="E757" s="1324" t="s">
        <v>4071</v>
      </c>
      <c r="F757" s="1320">
        <f>+'0 MDS Allocation Assignment'!F258</f>
        <v>148.84268449735839</v>
      </c>
      <c r="G757" s="1364">
        <f>+$F757*G$2018</f>
        <v>0</v>
      </c>
      <c r="H757" s="1364">
        <f>+$F757*H$2018</f>
        <v>148.84268449735839</v>
      </c>
      <c r="I757" s="1323">
        <f t="shared" si="357"/>
        <v>1</v>
      </c>
      <c r="J757" s="1364">
        <f t="shared" si="358"/>
        <v>148.84268449735839</v>
      </c>
      <c r="K757" s="1364">
        <f t="shared" ref="K757:Q757" si="365">+$J757*K$2018</f>
        <v>132.7508277456607</v>
      </c>
      <c r="L757" s="1364">
        <f t="shared" si="365"/>
        <v>12.868997701309402</v>
      </c>
      <c r="M757" s="1364">
        <f t="shared" si="365"/>
        <v>3.1695244613474687</v>
      </c>
      <c r="N757" s="1367">
        <f t="shared" si="365"/>
        <v>1.0701438577767416E-2</v>
      </c>
      <c r="O757" s="1367">
        <f t="shared" si="365"/>
        <v>1.8986423283135739E-3</v>
      </c>
      <c r="P757" s="1367">
        <f t="shared" si="365"/>
        <v>4.0734508134727579E-2</v>
      </c>
      <c r="Q757" s="1364">
        <f t="shared" si="365"/>
        <v>0</v>
      </c>
      <c r="R757" s="1358"/>
      <c r="S757" s="1320">
        <v>412</v>
      </c>
      <c r="V757" s="1326" t="s">
        <v>5245</v>
      </c>
      <c r="W757" s="1321">
        <v>412</v>
      </c>
    </row>
    <row r="758" spans="1:23">
      <c r="A758" s="1320" t="s">
        <v>4877</v>
      </c>
      <c r="C758" s="1322">
        <v>103</v>
      </c>
      <c r="D758" s="1320" t="s">
        <v>5564</v>
      </c>
      <c r="F758" s="1427">
        <f>+SUM(F750:F757)</f>
        <v>7319.7711799999997</v>
      </c>
      <c r="G758" s="1427">
        <f>SUM(G750:G757)</f>
        <v>43.400351363317334</v>
      </c>
      <c r="H758" s="1427">
        <f>SUM(H750:H757)</f>
        <v>7276.3708286366818</v>
      </c>
      <c r="I758" s="1323">
        <f t="shared" si="357"/>
        <v>0.99407080490686628</v>
      </c>
      <c r="J758" s="1421">
        <f t="shared" ref="J758:Q758" si="366">SUM(J750:J757)</f>
        <v>7276.3708286366818</v>
      </c>
      <c r="K758" s="1421">
        <f t="shared" si="366"/>
        <v>4263.6637064703546</v>
      </c>
      <c r="L758" s="1421">
        <f t="shared" si="366"/>
        <v>358.83239970186321</v>
      </c>
      <c r="M758" s="1421">
        <f t="shared" si="366"/>
        <v>2000.36914852117</v>
      </c>
      <c r="N758" s="1422">
        <f t="shared" si="366"/>
        <v>232.60683241457198</v>
      </c>
      <c r="O758" s="1422">
        <f>SUM(O750:O757)</f>
        <v>142.14369688663442</v>
      </c>
      <c r="P758" s="1422">
        <f>SUM(P750:P757)</f>
        <v>13.530637733414489</v>
      </c>
      <c r="Q758" s="1421">
        <f t="shared" si="366"/>
        <v>265.22440690867501</v>
      </c>
      <c r="R758" s="1358"/>
      <c r="V758" s="1320" t="s">
        <v>5565</v>
      </c>
    </row>
    <row r="759" spans="1:23">
      <c r="A759" s="1320" t="s">
        <v>4877</v>
      </c>
      <c r="C759" s="1322">
        <v>104</v>
      </c>
      <c r="G759" s="1320"/>
      <c r="I759" s="1320"/>
      <c r="K759" s="1320"/>
      <c r="L759" s="1320"/>
      <c r="M759" s="1320"/>
      <c r="N759" s="1320"/>
      <c r="O759" s="1324"/>
      <c r="Q759" s="1320"/>
      <c r="V759" s="1324"/>
    </row>
    <row r="760" spans="1:23">
      <c r="A760" s="1320" t="s">
        <v>4877</v>
      </c>
      <c r="C760" s="1322">
        <v>105</v>
      </c>
      <c r="D760" s="1356" t="s">
        <v>5566</v>
      </c>
      <c r="G760" s="1320"/>
      <c r="M760" s="1324"/>
      <c r="P760" s="1325"/>
      <c r="V760" s="1324"/>
    </row>
    <row r="761" spans="1:23">
      <c r="A761" s="1320" t="s">
        <v>4877</v>
      </c>
      <c r="C761" s="1322">
        <v>106</v>
      </c>
      <c r="D761" s="1320" t="s">
        <v>5354</v>
      </c>
      <c r="E761" s="1320" t="s">
        <v>4777</v>
      </c>
      <c r="F761" s="1324">
        <f>F712</f>
        <v>1488654.5251124175</v>
      </c>
      <c r="G761" s="1324">
        <f>G712</f>
        <v>7929.0305824175994</v>
      </c>
      <c r="H761" s="1324">
        <f>H712</f>
        <v>1480725.49453</v>
      </c>
      <c r="I761" s="1374">
        <f>IF(F761=0,0,+H761/F761)</f>
        <v>0.99467369329239186</v>
      </c>
      <c r="J761" s="1324">
        <f t="shared" ref="J761:Q761" si="367">J712</f>
        <v>1480725.49453</v>
      </c>
      <c r="K761" s="1324">
        <f t="shared" si="367"/>
        <v>920603.76834000018</v>
      </c>
      <c r="L761" s="1324">
        <f t="shared" si="367"/>
        <v>95214.926359999983</v>
      </c>
      <c r="M761" s="1324">
        <f t="shared" si="367"/>
        <v>310482.25785000005</v>
      </c>
      <c r="N761" s="1324">
        <f t="shared" si="367"/>
        <v>44352.932979999998</v>
      </c>
      <c r="O761" s="1324">
        <f t="shared" si="367"/>
        <v>23795.302800000001</v>
      </c>
      <c r="P761" s="1324">
        <f t="shared" si="367"/>
        <v>8901.6767400000099</v>
      </c>
      <c r="Q761" s="1324">
        <f t="shared" si="367"/>
        <v>77374.629459999996</v>
      </c>
      <c r="R761" s="1358"/>
      <c r="V761" s="1324" t="s">
        <v>5567</v>
      </c>
    </row>
    <row r="762" spans="1:23" ht="17.399999999999999">
      <c r="A762" s="1320" t="s">
        <v>4877</v>
      </c>
      <c r="C762" s="1322">
        <v>107</v>
      </c>
      <c r="D762" s="1320" t="s">
        <v>5265</v>
      </c>
      <c r="E762" s="1320" t="s">
        <v>4067</v>
      </c>
      <c r="F762" s="1324">
        <f t="shared" ref="F762:H769" si="368">F713-F739+F750</f>
        <v>-596886.47002781415</v>
      </c>
      <c r="G762" s="1324">
        <f t="shared" si="368"/>
        <v>0</v>
      </c>
      <c r="H762" s="1324">
        <f t="shared" si="368"/>
        <v>-596886.47002781415</v>
      </c>
      <c r="I762" s="1374">
        <f t="shared" ref="I762:I770" si="369">IF(F762=0,0,+H762/F762)</f>
        <v>1</v>
      </c>
      <c r="J762" s="1324">
        <f t="shared" ref="J762:Q769" si="370">J713-J739+J750</f>
        <v>-596886.47002781415</v>
      </c>
      <c r="K762" s="1324">
        <f t="shared" si="370"/>
        <v>-346201.93608954613</v>
      </c>
      <c r="L762" s="1324">
        <f t="shared" si="370"/>
        <v>-28558.16774248414</v>
      </c>
      <c r="M762" s="1324">
        <f t="shared" si="370"/>
        <v>-182558.01910735958</v>
      </c>
      <c r="N762" s="1324">
        <f t="shared" si="370"/>
        <v>-22789.948130914141</v>
      </c>
      <c r="O762" s="1324">
        <f t="shared" si="370"/>
        <v>-16355.210862212372</v>
      </c>
      <c r="P762" s="1324">
        <f t="shared" si="370"/>
        <v>-423.18809529794686</v>
      </c>
      <c r="Q762" s="1324">
        <f t="shared" si="370"/>
        <v>0</v>
      </c>
      <c r="T762" s="1443"/>
      <c r="V762" s="1324" t="s">
        <v>5568</v>
      </c>
    </row>
    <row r="763" spans="1:23">
      <c r="A763" s="1320" t="s">
        <v>4877</v>
      </c>
      <c r="C763" s="1322">
        <v>108</v>
      </c>
      <c r="D763" s="1320" t="s">
        <v>5265</v>
      </c>
      <c r="E763" s="1320" t="s">
        <v>2067</v>
      </c>
      <c r="F763" s="1324">
        <f t="shared" si="368"/>
        <v>-85250.845039686028</v>
      </c>
      <c r="G763" s="1324">
        <f t="shared" si="368"/>
        <v>-1.84900420208578E-3</v>
      </c>
      <c r="H763" s="1324">
        <f t="shared" si="368"/>
        <v>-85250.84319068183</v>
      </c>
      <c r="I763" s="1374">
        <f t="shared" si="369"/>
        <v>0.99999997831101617</v>
      </c>
      <c r="J763" s="1324">
        <f t="shared" si="370"/>
        <v>-85250.84319068183</v>
      </c>
      <c r="K763" s="1324">
        <f t="shared" si="370"/>
        <v>-42985.114936422702</v>
      </c>
      <c r="L763" s="1324">
        <f t="shared" si="370"/>
        <v>-3972.3278172072241</v>
      </c>
      <c r="M763" s="1324">
        <f t="shared" si="370"/>
        <v>-29592.299335209311</v>
      </c>
      <c r="N763" s="1324">
        <f t="shared" si="370"/>
        <v>-4710.6182466268692</v>
      </c>
      <c r="O763" s="1324">
        <f t="shared" si="370"/>
        <v>-3470.3683508987356</v>
      </c>
      <c r="P763" s="1324">
        <f t="shared" si="370"/>
        <v>-450.01450431698242</v>
      </c>
      <c r="Q763" s="1324">
        <f t="shared" si="370"/>
        <v>0</v>
      </c>
      <c r="V763" s="1324" t="s">
        <v>5569</v>
      </c>
    </row>
    <row r="764" spans="1:23">
      <c r="A764" s="1320" t="s">
        <v>4877</v>
      </c>
      <c r="C764" s="1322">
        <v>109</v>
      </c>
      <c r="D764" s="1324" t="s">
        <v>5268</v>
      </c>
      <c r="E764" s="1324" t="s">
        <v>4067</v>
      </c>
      <c r="F764" s="1324">
        <f t="shared" si="368"/>
        <v>-30281.824535960917</v>
      </c>
      <c r="G764" s="1324">
        <f t="shared" si="368"/>
        <v>-1958.6471059838454</v>
      </c>
      <c r="H764" s="1324">
        <f t="shared" si="368"/>
        <v>-28323.17742997707</v>
      </c>
      <c r="I764" s="1374">
        <f t="shared" si="369"/>
        <v>0.93531938263304204</v>
      </c>
      <c r="J764" s="1324">
        <f t="shared" si="370"/>
        <v>-28323.17742997707</v>
      </c>
      <c r="K764" s="1324">
        <f t="shared" si="370"/>
        <v>-16427.812247124431</v>
      </c>
      <c r="L764" s="1324">
        <f t="shared" si="370"/>
        <v>-1355.1288103543945</v>
      </c>
      <c r="M764" s="1324">
        <f t="shared" si="370"/>
        <v>-8662.657684637994</v>
      </c>
      <c r="N764" s="1324">
        <f t="shared" si="370"/>
        <v>-1081.4179529011212</v>
      </c>
      <c r="O764" s="1324">
        <f t="shared" si="370"/>
        <v>-776.0798115151498</v>
      </c>
      <c r="P764" s="1324">
        <f t="shared" si="370"/>
        <v>-20.080923443983</v>
      </c>
      <c r="Q764" s="1324">
        <f t="shared" si="370"/>
        <v>0</v>
      </c>
      <c r="V764" s="1324" t="s">
        <v>5570</v>
      </c>
    </row>
    <row r="765" spans="1:23">
      <c r="A765" s="1320" t="s">
        <v>4877</v>
      </c>
      <c r="C765" s="1322">
        <v>110</v>
      </c>
      <c r="D765" s="1320" t="s">
        <v>5239</v>
      </c>
      <c r="E765" s="1320" t="s">
        <v>4067</v>
      </c>
      <c r="F765" s="1324">
        <f t="shared" si="368"/>
        <v>-41488.661859787571</v>
      </c>
      <c r="G765" s="1324">
        <f t="shared" si="368"/>
        <v>-2684.4277100506401</v>
      </c>
      <c r="H765" s="1324">
        <f t="shared" si="368"/>
        <v>-38804.23414973692</v>
      </c>
      <c r="I765" s="1374">
        <f t="shared" si="369"/>
        <v>0.935297317635291</v>
      </c>
      <c r="J765" s="1324">
        <f t="shared" si="370"/>
        <v>-38804.23414973692</v>
      </c>
      <c r="K765" s="1324">
        <f t="shared" si="370"/>
        <v>-22506.961818861448</v>
      </c>
      <c r="L765" s="1324">
        <f t="shared" si="370"/>
        <v>-1856.5973323455942</v>
      </c>
      <c r="M765" s="1324">
        <f t="shared" si="370"/>
        <v>-11868.294014143126</v>
      </c>
      <c r="N765" s="1324">
        <f t="shared" si="370"/>
        <v>-1481.5991447940542</v>
      </c>
      <c r="O765" s="1324">
        <f t="shared" si="370"/>
        <v>-1063.2699244062869</v>
      </c>
      <c r="P765" s="1324">
        <f t="shared" si="370"/>
        <v>-27.51191518641307</v>
      </c>
      <c r="Q765" s="1324">
        <f t="shared" si="370"/>
        <v>0</v>
      </c>
      <c r="R765" s="1324"/>
      <c r="S765" s="1324"/>
      <c r="T765" s="1324"/>
      <c r="V765" s="1324" t="s">
        <v>5571</v>
      </c>
    </row>
    <row r="766" spans="1:23">
      <c r="A766" s="1320" t="s">
        <v>4877</v>
      </c>
      <c r="C766" s="1322">
        <v>111</v>
      </c>
      <c r="D766" s="1320" t="s">
        <v>5240</v>
      </c>
      <c r="E766" s="1320" t="s">
        <v>4067</v>
      </c>
      <c r="F766" s="1324">
        <f t="shared" si="368"/>
        <v>-164953.47854634686</v>
      </c>
      <c r="G766" s="1324">
        <f t="shared" si="368"/>
        <v>0</v>
      </c>
      <c r="H766" s="1324">
        <f t="shared" si="368"/>
        <v>-164953.47854634686</v>
      </c>
      <c r="I766" s="1374">
        <f t="shared" si="369"/>
        <v>1</v>
      </c>
      <c r="J766" s="1324">
        <f t="shared" si="370"/>
        <v>-164953.47854634686</v>
      </c>
      <c r="K766" s="1324">
        <f t="shared" si="370"/>
        <v>-102669.68629504339</v>
      </c>
      <c r="L766" s="1324">
        <f t="shared" si="370"/>
        <v>-7302.1255909736446</v>
      </c>
      <c r="M766" s="1324">
        <f t="shared" si="370"/>
        <v>-48892.290088203365</v>
      </c>
      <c r="N766" s="1324">
        <f t="shared" si="370"/>
        <v>-5142.4858844947976</v>
      </c>
      <c r="O766" s="1324">
        <f t="shared" si="370"/>
        <v>-3.511189180412625E-3</v>
      </c>
      <c r="P766" s="1324">
        <f t="shared" si="370"/>
        <v>-946.88717644253416</v>
      </c>
      <c r="Q766" s="1324">
        <f t="shared" si="370"/>
        <v>0</v>
      </c>
      <c r="V766" s="1324" t="s">
        <v>5572</v>
      </c>
    </row>
    <row r="767" spans="1:23">
      <c r="A767" s="1320" t="s">
        <v>4877</v>
      </c>
      <c r="C767" s="1322">
        <v>112</v>
      </c>
      <c r="D767" s="1324" t="s">
        <v>5241</v>
      </c>
      <c r="E767" s="1324" t="s">
        <v>4067</v>
      </c>
      <c r="F767" s="1324">
        <f t="shared" si="368"/>
        <v>-72565.891053304615</v>
      </c>
      <c r="G767" s="1324">
        <f t="shared" si="368"/>
        <v>0</v>
      </c>
      <c r="H767" s="1324">
        <f t="shared" si="368"/>
        <v>-72565.891053304615</v>
      </c>
      <c r="I767" s="1374">
        <f t="shared" si="369"/>
        <v>1</v>
      </c>
      <c r="J767" s="1324">
        <f t="shared" si="370"/>
        <v>-72565.891053304615</v>
      </c>
      <c r="K767" s="1324">
        <f t="shared" si="370"/>
        <v>-52946.487747869469</v>
      </c>
      <c r="L767" s="1324">
        <f t="shared" si="370"/>
        <v>-4263.2430520888665</v>
      </c>
      <c r="M767" s="1324">
        <f t="shared" si="370"/>
        <v>-15093.658352246515</v>
      </c>
      <c r="N767" s="1324">
        <f t="shared" si="370"/>
        <v>0</v>
      </c>
      <c r="O767" s="1324">
        <f t="shared" si="370"/>
        <v>0</v>
      </c>
      <c r="P767" s="1324">
        <f t="shared" si="370"/>
        <v>-262.50190109977302</v>
      </c>
      <c r="Q767" s="1324">
        <f t="shared" si="370"/>
        <v>0</v>
      </c>
      <c r="V767" s="1324" t="s">
        <v>5573</v>
      </c>
    </row>
    <row r="768" spans="1:23">
      <c r="A768" s="1320" t="s">
        <v>4877</v>
      </c>
      <c r="C768" s="1322">
        <v>113</v>
      </c>
      <c r="D768" s="1320" t="s">
        <v>5242</v>
      </c>
      <c r="E768" s="1320" t="s">
        <v>4071</v>
      </c>
      <c r="F768" s="1324">
        <f t="shared" si="368"/>
        <v>-106010.13208396286</v>
      </c>
      <c r="G768" s="1324">
        <f t="shared" si="368"/>
        <v>0</v>
      </c>
      <c r="H768" s="1324">
        <f t="shared" si="368"/>
        <v>-106010.13208396286</v>
      </c>
      <c r="I768" s="1374">
        <f t="shared" si="369"/>
        <v>1</v>
      </c>
      <c r="J768" s="1324">
        <f t="shared" si="370"/>
        <v>-106010.13208396286</v>
      </c>
      <c r="K768" s="1324">
        <f t="shared" si="370"/>
        <v>-47927.633345734845</v>
      </c>
      <c r="L768" s="1324">
        <f t="shared" si="370"/>
        <v>-9052.7007270802169</v>
      </c>
      <c r="M768" s="1324">
        <f t="shared" si="370"/>
        <v>-5113.6278347839916</v>
      </c>
      <c r="N768" s="1324">
        <f t="shared" si="370"/>
        <v>-379.38255496806727</v>
      </c>
      <c r="O768" s="1324">
        <f t="shared" si="370"/>
        <v>-413.92229323801467</v>
      </c>
      <c r="P768" s="1324">
        <f t="shared" si="370"/>
        <v>-85.774327711393838</v>
      </c>
      <c r="Q768" s="1324">
        <f t="shared" si="370"/>
        <v>-43037.091000446315</v>
      </c>
      <c r="V768" s="1324" t="s">
        <v>5574</v>
      </c>
    </row>
    <row r="769" spans="1:22">
      <c r="A769" s="1320" t="s">
        <v>4877</v>
      </c>
      <c r="C769" s="1322">
        <v>114</v>
      </c>
      <c r="D769" s="1320" t="s">
        <v>5244</v>
      </c>
      <c r="E769" s="1320" t="s">
        <v>4071</v>
      </c>
      <c r="F769" s="1324">
        <f t="shared" si="368"/>
        <v>-67662.637653254948</v>
      </c>
      <c r="G769" s="1324">
        <f t="shared" si="368"/>
        <v>0</v>
      </c>
      <c r="H769" s="1324">
        <f t="shared" si="368"/>
        <v>-67662.637653254948</v>
      </c>
      <c r="I769" s="1374">
        <f t="shared" si="369"/>
        <v>1</v>
      </c>
      <c r="J769" s="1324">
        <f t="shared" si="370"/>
        <v>-67662.637653254948</v>
      </c>
      <c r="K769" s="1324">
        <f t="shared" si="370"/>
        <v>-58753.14638242987</v>
      </c>
      <c r="L769" s="1324">
        <f t="shared" si="370"/>
        <v>-5723.2201350981522</v>
      </c>
      <c r="M769" s="1324">
        <f t="shared" si="370"/>
        <v>-2553.1475761765651</v>
      </c>
      <c r="N769" s="1324">
        <f t="shared" si="370"/>
        <v>-180.96939826600129</v>
      </c>
      <c r="O769" s="1324">
        <f t="shared" si="370"/>
        <v>-94.757084038841768</v>
      </c>
      <c r="P769" s="1324">
        <f t="shared" si="370"/>
        <v>-54.488983080370581</v>
      </c>
      <c r="Q769" s="1324">
        <f t="shared" si="370"/>
        <v>-302.90809416513594</v>
      </c>
      <c r="V769" s="1324" t="s">
        <v>5575</v>
      </c>
    </row>
    <row r="770" spans="1:22">
      <c r="A770" s="1320" t="s">
        <v>4877</v>
      </c>
      <c r="C770" s="1322">
        <v>115</v>
      </c>
      <c r="D770" s="1320" t="s">
        <v>5576</v>
      </c>
      <c r="F770" s="1427">
        <f>SUM(F761:F769)</f>
        <v>323554.58431229956</v>
      </c>
      <c r="G770" s="1427">
        <f>SUM(G761:G769)</f>
        <v>3285.9539173789112</v>
      </c>
      <c r="H770" s="1427">
        <f>SUM(H761:H769)</f>
        <v>320268.63039492065</v>
      </c>
      <c r="I770" s="1323">
        <f t="shared" si="369"/>
        <v>0.98984420534679474</v>
      </c>
      <c r="J770" s="1421">
        <f t="shared" ref="J770:Q770" si="371">SUM(J761:J769)</f>
        <v>320268.63039492065</v>
      </c>
      <c r="K770" s="1421">
        <f t="shared" si="371"/>
        <v>230184.98947696789</v>
      </c>
      <c r="L770" s="1421">
        <f t="shared" si="371"/>
        <v>33131.415152367772</v>
      </c>
      <c r="M770" s="1421">
        <f t="shared" si="371"/>
        <v>6148.2638572396136</v>
      </c>
      <c r="N770" s="1422">
        <f t="shared" si="371"/>
        <v>8586.5116670349453</v>
      </c>
      <c r="O770" s="1422">
        <f>SUM(O761:O769)</f>
        <v>1621.69096250142</v>
      </c>
      <c r="P770" s="1422">
        <f>SUM(P761:P769)</f>
        <v>6631.2289134206139</v>
      </c>
      <c r="Q770" s="1421">
        <f t="shared" si="371"/>
        <v>34034.630365388548</v>
      </c>
      <c r="V770" s="1324" t="s">
        <v>5577</v>
      </c>
    </row>
    <row r="771" spans="1:22">
      <c r="A771" s="1320" t="s">
        <v>4877</v>
      </c>
      <c r="C771" s="1322">
        <v>116</v>
      </c>
      <c r="F771" s="1364"/>
      <c r="G771" s="1364"/>
      <c r="H771" s="1364"/>
      <c r="I771" s="1374"/>
      <c r="J771" s="1364"/>
      <c r="K771" s="1364"/>
      <c r="L771" s="1364"/>
      <c r="M771" s="1364"/>
      <c r="N771" s="1367"/>
      <c r="O771" s="1367"/>
      <c r="P771" s="1367"/>
      <c r="Q771" s="1364"/>
      <c r="R771" s="1324"/>
      <c r="S771" s="1324"/>
    </row>
    <row r="772" spans="1:22">
      <c r="A772" s="1320" t="s">
        <v>4877</v>
      </c>
      <c r="C772" s="1322">
        <v>117</v>
      </c>
      <c r="D772" s="1356" t="s">
        <v>5578</v>
      </c>
      <c r="E772" s="1444"/>
      <c r="G772" s="1320"/>
      <c r="M772" s="1324"/>
      <c r="P772" s="1325"/>
    </row>
    <row r="773" spans="1:22">
      <c r="A773" s="1320" t="s">
        <v>4877</v>
      </c>
      <c r="C773" s="1322">
        <v>118</v>
      </c>
      <c r="D773" s="1320" t="s">
        <v>5354</v>
      </c>
      <c r="E773" s="1320" t="s">
        <v>4777</v>
      </c>
      <c r="F773" s="1320">
        <f>+F761*'Tax &amp; Debt Inputs'!$C$4</f>
        <v>81875.998881182968</v>
      </c>
      <c r="G773" s="1320">
        <f>+G761*'Tax &amp; Debt Inputs'!$C$4</f>
        <v>436.09668203296798</v>
      </c>
      <c r="H773" s="1324">
        <f>+H761*'Tax &amp; Debt Inputs'!$C$4</f>
        <v>81439.902199150005</v>
      </c>
      <c r="I773" s="1323">
        <f>IF(F773=0,0,+H773/F773)</f>
        <v>0.99467369329239186</v>
      </c>
      <c r="J773" s="1324">
        <f>+J761*'Tax &amp; Debt Inputs'!$C$4</f>
        <v>81439.902199150005</v>
      </c>
      <c r="K773" s="1324">
        <f>+K761*'Tax &amp; Debt Inputs'!$C$4</f>
        <v>50633.207258700008</v>
      </c>
      <c r="L773" s="1324">
        <f>+L761*'Tax &amp; Debt Inputs'!$C$4</f>
        <v>5236.8209497999987</v>
      </c>
      <c r="M773" s="1324">
        <f>+M761*'Tax &amp; Debt Inputs'!$C$4</f>
        <v>17076.524181750003</v>
      </c>
      <c r="N773" s="1324">
        <f>+N761*'Tax &amp; Debt Inputs'!$C$4</f>
        <v>2439.4113139000001</v>
      </c>
      <c r="O773" s="1324">
        <f>+O761*'Tax &amp; Debt Inputs'!$C$4</f>
        <v>1308.7416540000002</v>
      </c>
      <c r="P773" s="1324">
        <f>+P761*'Tax &amp; Debt Inputs'!$C$4</f>
        <v>489.59222070000055</v>
      </c>
      <c r="Q773" s="1324">
        <f>+Q761*'Tax &amp; Debt Inputs'!$C$4</f>
        <v>4255.6046202999996</v>
      </c>
      <c r="V773" s="1320" t="s">
        <v>5579</v>
      </c>
    </row>
    <row r="774" spans="1:22">
      <c r="A774" s="1320" t="s">
        <v>4877</v>
      </c>
      <c r="C774" s="1322">
        <v>119</v>
      </c>
      <c r="D774" s="1320" t="s">
        <v>5265</v>
      </c>
      <c r="E774" s="1320" t="s">
        <v>4067</v>
      </c>
      <c r="F774" s="1320">
        <f>+F762*'Tax &amp; Debt Inputs'!$C$4</f>
        <v>-32828.755851529779</v>
      </c>
      <c r="G774" s="1320">
        <f>+G762*'Tax &amp; Debt Inputs'!$C$4</f>
        <v>0</v>
      </c>
      <c r="H774" s="1320">
        <f>+H762*'Tax &amp; Debt Inputs'!$C$4</f>
        <v>-32828.755851529779</v>
      </c>
      <c r="I774" s="1323">
        <f t="shared" ref="I774:I782" si="372">IF(F774=0,0,+H774/F774)</f>
        <v>1</v>
      </c>
      <c r="J774" s="1324">
        <f>+J762*'Tax &amp; Debt Inputs'!$C$4</f>
        <v>-32828.755851529779</v>
      </c>
      <c r="K774" s="1324">
        <f>+K762*'Tax &amp; Debt Inputs'!$C$4</f>
        <v>-19041.106484925036</v>
      </c>
      <c r="L774" s="1324">
        <f>+L762*'Tax &amp; Debt Inputs'!$C$4</f>
        <v>-1570.6992258366276</v>
      </c>
      <c r="M774" s="1324">
        <f>+M762*'Tax &amp; Debt Inputs'!$C$4</f>
        <v>-10040.691050904778</v>
      </c>
      <c r="N774" s="1324">
        <f>+N762*'Tax &amp; Debt Inputs'!$C$4</f>
        <v>-1253.4471472002779</v>
      </c>
      <c r="O774" s="1324">
        <f>+O762*'Tax &amp; Debt Inputs'!$C$4</f>
        <v>-899.53659742168054</v>
      </c>
      <c r="P774" s="1324">
        <f>+P762*'Tax &amp; Debt Inputs'!$C$4</f>
        <v>-23.275345241387079</v>
      </c>
      <c r="Q774" s="1324">
        <f>+Q762*'Tax &amp; Debt Inputs'!$C$4</f>
        <v>0</v>
      </c>
      <c r="V774" s="1320" t="s">
        <v>5580</v>
      </c>
    </row>
    <row r="775" spans="1:22">
      <c r="A775" s="1320" t="s">
        <v>4877</v>
      </c>
      <c r="C775" s="1322">
        <v>120</v>
      </c>
      <c r="D775" s="1320" t="s">
        <v>5265</v>
      </c>
      <c r="E775" s="1320" t="s">
        <v>2067</v>
      </c>
      <c r="F775" s="1320">
        <f>+F763*'Tax &amp; Debt Inputs'!$C$4</f>
        <v>-4688.7964771827319</v>
      </c>
      <c r="G775" s="1320">
        <f>+G763*'Tax &amp; Debt Inputs'!$C$4</f>
        <v>-1.0169523111471789E-4</v>
      </c>
      <c r="H775" s="1320">
        <f>+H763*'Tax &amp; Debt Inputs'!$C$4</f>
        <v>-4688.7963754875009</v>
      </c>
      <c r="I775" s="1323">
        <f t="shared" si="372"/>
        <v>0.99999997831101617</v>
      </c>
      <c r="J775" s="1324">
        <f>+J763*'Tax &amp; Debt Inputs'!$C$4</f>
        <v>-4688.7963754875009</v>
      </c>
      <c r="K775" s="1324">
        <f>+K763*'Tax &amp; Debt Inputs'!$C$4</f>
        <v>-2364.1813215032485</v>
      </c>
      <c r="L775" s="1324">
        <f>+L763*'Tax &amp; Debt Inputs'!$C$4</f>
        <v>-218.47802994639733</v>
      </c>
      <c r="M775" s="1324">
        <f>+M763*'Tax &amp; Debt Inputs'!$C$4</f>
        <v>-1627.5764634365121</v>
      </c>
      <c r="N775" s="1324">
        <f>+N763*'Tax &amp; Debt Inputs'!$C$4</f>
        <v>-259.08400356447783</v>
      </c>
      <c r="O775" s="1324">
        <f>+O763*'Tax &amp; Debt Inputs'!$C$4</f>
        <v>-190.87025929943044</v>
      </c>
      <c r="P775" s="1324">
        <f>+P763*'Tax &amp; Debt Inputs'!$C$4</f>
        <v>-24.750797737434034</v>
      </c>
      <c r="Q775" s="1324">
        <f>+Q763*'Tax &amp; Debt Inputs'!$C$4</f>
        <v>0</v>
      </c>
      <c r="V775" s="1320" t="s">
        <v>5581</v>
      </c>
    </row>
    <row r="776" spans="1:22">
      <c r="A776" s="1320" t="s">
        <v>4877</v>
      </c>
      <c r="C776" s="1322">
        <v>121</v>
      </c>
      <c r="D776" s="1324" t="s">
        <v>5268</v>
      </c>
      <c r="E776" s="1324" t="s">
        <v>4067</v>
      </c>
      <c r="F776" s="1320">
        <f>+F764*'Tax &amp; Debt Inputs'!$C$4</f>
        <v>-1665.5003494778505</v>
      </c>
      <c r="G776" s="1320">
        <f>+G764*'Tax &amp; Debt Inputs'!$C$4</f>
        <v>-107.7255908291115</v>
      </c>
      <c r="H776" s="1320">
        <f>+H764*'Tax &amp; Debt Inputs'!$C$4</f>
        <v>-1557.7747586487387</v>
      </c>
      <c r="I776" s="1374">
        <f t="shared" si="372"/>
        <v>0.93531938263304193</v>
      </c>
      <c r="J776" s="1324">
        <f>+J764*'Tax &amp; Debt Inputs'!$C$4</f>
        <v>-1557.7747586487387</v>
      </c>
      <c r="K776" s="1324">
        <f>+K764*'Tax &amp; Debt Inputs'!$C$4</f>
        <v>-903.52967359184379</v>
      </c>
      <c r="L776" s="1324">
        <f>+L764*'Tax &amp; Debt Inputs'!$C$4</f>
        <v>-74.532084569491701</v>
      </c>
      <c r="M776" s="1324">
        <f>+M764*'Tax &amp; Debt Inputs'!$C$4</f>
        <v>-476.4461726550897</v>
      </c>
      <c r="N776" s="1324">
        <f>+N764*'Tax &amp; Debt Inputs'!$C$4</f>
        <v>-59.477987409561671</v>
      </c>
      <c r="O776" s="1324">
        <f>+O764*'Tax &amp; Debt Inputs'!$C$4</f>
        <v>-42.68438963333324</v>
      </c>
      <c r="P776" s="1324">
        <f>+P764*'Tax &amp; Debt Inputs'!$C$4</f>
        <v>-1.1044507894190649</v>
      </c>
      <c r="Q776" s="1324">
        <f>+Q764*'Tax &amp; Debt Inputs'!$C$4</f>
        <v>0</v>
      </c>
      <c r="V776" s="1320" t="s">
        <v>5582</v>
      </c>
    </row>
    <row r="777" spans="1:22">
      <c r="A777" s="1320" t="s">
        <v>4877</v>
      </c>
      <c r="C777" s="1322">
        <v>122</v>
      </c>
      <c r="D777" s="1320" t="s">
        <v>5239</v>
      </c>
      <c r="E777" s="1320" t="s">
        <v>4067</v>
      </c>
      <c r="F777" s="1320">
        <f>+F765*'Tax &amp; Debt Inputs'!$C$4</f>
        <v>-2281.8764022883165</v>
      </c>
      <c r="G777" s="1320">
        <f>+G765*'Tax &amp; Debt Inputs'!$C$4</f>
        <v>-147.64352405278521</v>
      </c>
      <c r="H777" s="1320">
        <f>+H765*'Tax &amp; Debt Inputs'!$C$4</f>
        <v>-2134.2328782355307</v>
      </c>
      <c r="I777" s="1323">
        <f t="shared" si="372"/>
        <v>0.935297317635291</v>
      </c>
      <c r="J777" s="1324">
        <f>+J765*'Tax &amp; Debt Inputs'!$C$4</f>
        <v>-2134.2328782355307</v>
      </c>
      <c r="K777" s="1324">
        <f>+K765*'Tax &amp; Debt Inputs'!$C$4</f>
        <v>-1237.8829000373796</v>
      </c>
      <c r="L777" s="1324">
        <f>+L765*'Tax &amp; Debt Inputs'!$C$4</f>
        <v>-102.11285327900768</v>
      </c>
      <c r="M777" s="1324">
        <f>+M765*'Tax &amp; Debt Inputs'!$C$4</f>
        <v>-652.75617077787194</v>
      </c>
      <c r="N777" s="1324">
        <f>+N765*'Tax &amp; Debt Inputs'!$C$4</f>
        <v>-81.487952963672981</v>
      </c>
      <c r="O777" s="1324">
        <f>+O765*'Tax &amp; Debt Inputs'!$C$4</f>
        <v>-58.479845842345782</v>
      </c>
      <c r="P777" s="1324">
        <f>+P765*'Tax &amp; Debt Inputs'!$C$4</f>
        <v>-1.5131553352527189</v>
      </c>
      <c r="Q777" s="1324">
        <f>+Q765*'Tax &amp; Debt Inputs'!$C$4</f>
        <v>0</v>
      </c>
      <c r="V777" s="1320" t="s">
        <v>5583</v>
      </c>
    </row>
    <row r="778" spans="1:22">
      <c r="A778" s="1320" t="s">
        <v>4877</v>
      </c>
      <c r="C778" s="1322">
        <v>123</v>
      </c>
      <c r="D778" s="1320" t="s">
        <v>5240</v>
      </c>
      <c r="E778" s="1320" t="s">
        <v>4067</v>
      </c>
      <c r="F778" s="1320">
        <f>+F766*'Tax &amp; Debt Inputs'!$C$4</f>
        <v>-9072.4413200490781</v>
      </c>
      <c r="G778" s="1320">
        <f>+G766*'Tax &amp; Debt Inputs'!$C$4</f>
        <v>0</v>
      </c>
      <c r="H778" s="1320">
        <f>+H766*'Tax &amp; Debt Inputs'!$C$4</f>
        <v>-9072.4413200490781</v>
      </c>
      <c r="I778" s="1323">
        <f t="shared" si="372"/>
        <v>1</v>
      </c>
      <c r="J778" s="1324">
        <f>+J766*'Tax &amp; Debt Inputs'!$C$4</f>
        <v>-9072.4413200490781</v>
      </c>
      <c r="K778" s="1324">
        <f>+K766*'Tax &amp; Debt Inputs'!$C$4</f>
        <v>-5646.8327462273865</v>
      </c>
      <c r="L778" s="1324">
        <f>+L766*'Tax &amp; Debt Inputs'!$C$4</f>
        <v>-401.61690750355046</v>
      </c>
      <c r="M778" s="1324">
        <f>+M766*'Tax &amp; Debt Inputs'!$C$4</f>
        <v>-2689.0759548511851</v>
      </c>
      <c r="N778" s="1324">
        <f>+N766*'Tax &amp; Debt Inputs'!$C$4</f>
        <v>-282.83672364721389</v>
      </c>
      <c r="O778" s="1324">
        <f>+O766*'Tax &amp; Debt Inputs'!$C$4</f>
        <v>-1.9311540492269438E-4</v>
      </c>
      <c r="P778" s="1324">
        <f>+P766*'Tax &amp; Debt Inputs'!$C$4</f>
        <v>-52.07879470433938</v>
      </c>
      <c r="Q778" s="1324">
        <f>+Q766*'Tax &amp; Debt Inputs'!$C$4</f>
        <v>0</v>
      </c>
      <c r="V778" s="1320" t="s">
        <v>5584</v>
      </c>
    </row>
    <row r="779" spans="1:22">
      <c r="A779" s="1320" t="s">
        <v>4877</v>
      </c>
      <c r="C779" s="1322">
        <v>124</v>
      </c>
      <c r="D779" s="1324" t="s">
        <v>5241</v>
      </c>
      <c r="E779" s="1324" t="s">
        <v>4067</v>
      </c>
      <c r="F779" s="1320">
        <f>+F767*'Tax &amp; Debt Inputs'!$C$4</f>
        <v>-3991.124007931754</v>
      </c>
      <c r="G779" s="1320">
        <f>+G767*'Tax &amp; Debt Inputs'!$C$4</f>
        <v>0</v>
      </c>
      <c r="H779" s="1320">
        <f>+H767*'Tax &amp; Debt Inputs'!$C$4</f>
        <v>-3991.124007931754</v>
      </c>
      <c r="I779" s="1323">
        <f t="shared" si="372"/>
        <v>1</v>
      </c>
      <c r="J779" s="1324">
        <f>+J767*'Tax &amp; Debt Inputs'!$C$4</f>
        <v>-3991.124007931754</v>
      </c>
      <c r="K779" s="1324">
        <f>+K767*'Tax &amp; Debt Inputs'!$C$4</f>
        <v>-2912.0568261328208</v>
      </c>
      <c r="L779" s="1324">
        <f>+L767*'Tax &amp; Debt Inputs'!$C$4</f>
        <v>-234.47836786488767</v>
      </c>
      <c r="M779" s="1324">
        <f>+M767*'Tax &amp; Debt Inputs'!$C$4</f>
        <v>-830.15120937355834</v>
      </c>
      <c r="N779" s="1324">
        <f>+N767*'Tax &amp; Debt Inputs'!$C$4</f>
        <v>0</v>
      </c>
      <c r="O779" s="1324">
        <f>+O767*'Tax &amp; Debt Inputs'!$C$4</f>
        <v>0</v>
      </c>
      <c r="P779" s="1324">
        <f>+P767*'Tax &amp; Debt Inputs'!$C$4</f>
        <v>-14.437604560487516</v>
      </c>
      <c r="Q779" s="1324">
        <f>+Q767*'Tax &amp; Debt Inputs'!$C$4</f>
        <v>0</v>
      </c>
      <c r="V779" s="1320" t="s">
        <v>5585</v>
      </c>
    </row>
    <row r="780" spans="1:22">
      <c r="A780" s="1320" t="s">
        <v>4877</v>
      </c>
      <c r="C780" s="1322">
        <v>125</v>
      </c>
      <c r="D780" s="1320" t="s">
        <v>5242</v>
      </c>
      <c r="E780" s="1320" t="s">
        <v>4071</v>
      </c>
      <c r="F780" s="1320">
        <f>+F768*'Tax &amp; Debt Inputs'!$C$4</f>
        <v>-5830.5572646179571</v>
      </c>
      <c r="G780" s="1320">
        <f>+G768*'Tax &amp; Debt Inputs'!$C$4</f>
        <v>0</v>
      </c>
      <c r="H780" s="1320">
        <f>+H768*'Tax &amp; Debt Inputs'!$C$4</f>
        <v>-5830.5572646179571</v>
      </c>
      <c r="I780" s="1323">
        <f t="shared" si="372"/>
        <v>1</v>
      </c>
      <c r="J780" s="1324">
        <f>+J768*'Tax &amp; Debt Inputs'!$C$4</f>
        <v>-5830.5572646179571</v>
      </c>
      <c r="K780" s="1324">
        <f>+K768*'Tax &amp; Debt Inputs'!$C$4</f>
        <v>-2636.0198340154166</v>
      </c>
      <c r="L780" s="1324">
        <f>+L768*'Tax &amp; Debt Inputs'!$C$4</f>
        <v>-497.89853998941192</v>
      </c>
      <c r="M780" s="1324">
        <f>+M768*'Tax &amp; Debt Inputs'!$C$4</f>
        <v>-281.24953091311954</v>
      </c>
      <c r="N780" s="1324">
        <f>+N768*'Tax &amp; Debt Inputs'!$C$4</f>
        <v>-20.866040523243701</v>
      </c>
      <c r="O780" s="1324">
        <f>+O768*'Tax &amp; Debt Inputs'!$C$4</f>
        <v>-22.765726128090808</v>
      </c>
      <c r="P780" s="1324">
        <f>+P768*'Tax &amp; Debt Inputs'!$C$4</f>
        <v>-4.7175880241266608</v>
      </c>
      <c r="Q780" s="1324">
        <f>+Q768*'Tax &amp; Debt Inputs'!$C$4</f>
        <v>-2367.0400050245476</v>
      </c>
      <c r="V780" s="1320" t="s">
        <v>5586</v>
      </c>
    </row>
    <row r="781" spans="1:22">
      <c r="A781" s="1320" t="s">
        <v>4877</v>
      </c>
      <c r="C781" s="1322">
        <v>126</v>
      </c>
      <c r="D781" s="1320" t="s">
        <v>5244</v>
      </c>
      <c r="E781" s="1320" t="s">
        <v>4071</v>
      </c>
      <c r="F781" s="1320">
        <f>+F769*'Tax &amp; Debt Inputs'!$C$4</f>
        <v>-3721.4450709290222</v>
      </c>
      <c r="G781" s="1320">
        <f>+G769*'Tax &amp; Debt Inputs'!$C$4</f>
        <v>0</v>
      </c>
      <c r="H781" s="1320">
        <f>+H769*'Tax &amp; Debt Inputs'!$C$4</f>
        <v>-3721.4450709290222</v>
      </c>
      <c r="I781" s="1323">
        <f t="shared" si="372"/>
        <v>1</v>
      </c>
      <c r="J781" s="1324">
        <f>+J769*'Tax &amp; Debt Inputs'!$C$4</f>
        <v>-3721.4450709290222</v>
      </c>
      <c r="K781" s="1324">
        <f>+K769*'Tax &amp; Debt Inputs'!$C$4</f>
        <v>-3231.4230510336429</v>
      </c>
      <c r="L781" s="1324">
        <f>+L769*'Tax &amp; Debt Inputs'!$C$4</f>
        <v>-314.77710743039836</v>
      </c>
      <c r="M781" s="1324">
        <f>+M769*'Tax &amp; Debt Inputs'!$C$4</f>
        <v>-140.42311668971107</v>
      </c>
      <c r="N781" s="1324">
        <f>+N769*'Tax &amp; Debt Inputs'!$C$4</f>
        <v>-9.9533169046300713</v>
      </c>
      <c r="O781" s="1324">
        <f>+O769*'Tax &amp; Debt Inputs'!$C$4</f>
        <v>-5.2116396221362971</v>
      </c>
      <c r="P781" s="1324">
        <f>+P769*'Tax &amp; Debt Inputs'!$C$4</f>
        <v>-2.9968940694203821</v>
      </c>
      <c r="Q781" s="1324">
        <f>+Q769*'Tax &amp; Debt Inputs'!$C$4</f>
        <v>-16.659945179082477</v>
      </c>
      <c r="V781" s="1320" t="s">
        <v>5587</v>
      </c>
    </row>
    <row r="782" spans="1:22">
      <c r="A782" s="1320" t="s">
        <v>4877</v>
      </c>
      <c r="C782" s="1322">
        <v>127</v>
      </c>
      <c r="D782" s="1320" t="s">
        <v>5588</v>
      </c>
      <c r="F782" s="1427">
        <f>SUM(F773:F781)</f>
        <v>17795.502137176478</v>
      </c>
      <c r="G782" s="1427">
        <f>SUM(G773:G781)</f>
        <v>180.72746545584016</v>
      </c>
      <c r="H782" s="1427">
        <f>SUM(H773:H781)</f>
        <v>17614.774671720643</v>
      </c>
      <c r="I782" s="1323">
        <f t="shared" si="372"/>
        <v>0.98984420534679496</v>
      </c>
      <c r="J782" s="1421">
        <f t="shared" ref="J782:Q782" si="373">SUM(J773:J781)</f>
        <v>17614.774671720643</v>
      </c>
      <c r="K782" s="1421">
        <f t="shared" si="373"/>
        <v>12660.174421233227</v>
      </c>
      <c r="L782" s="1421">
        <f t="shared" si="373"/>
        <v>1822.227833380226</v>
      </c>
      <c r="M782" s="1421">
        <f t="shared" si="373"/>
        <v>338.15451214817676</v>
      </c>
      <c r="N782" s="1422">
        <f t="shared" si="373"/>
        <v>472.25814168692199</v>
      </c>
      <c r="O782" s="1422">
        <f>SUM(O773:O781)</f>
        <v>89.193002937578115</v>
      </c>
      <c r="P782" s="1422">
        <f>SUM(P773:P781)</f>
        <v>364.71759023813382</v>
      </c>
      <c r="Q782" s="1421">
        <f t="shared" si="373"/>
        <v>1871.9046700963695</v>
      </c>
      <c r="V782" s="1320" t="s">
        <v>5589</v>
      </c>
    </row>
    <row r="783" spans="1:22">
      <c r="G783" s="1320"/>
      <c r="R783" s="1324"/>
      <c r="S783" s="1324"/>
    </row>
    <row r="784" spans="1:22">
      <c r="F784" s="1868"/>
      <c r="G784" s="1320"/>
      <c r="R784" s="1324"/>
      <c r="S784" s="1324"/>
    </row>
    <row r="785" spans="1:25">
      <c r="G785" s="1320"/>
      <c r="R785" s="1324"/>
      <c r="S785" s="1324"/>
    </row>
    <row r="786" spans="1:25">
      <c r="G786" s="1320"/>
    </row>
    <row r="787" spans="1:25">
      <c r="G787" s="1320"/>
    </row>
    <row r="788" spans="1:25">
      <c r="B788" s="1432"/>
      <c r="C788" s="1340" t="str">
        <f>+C$2</f>
        <v>RATES WITH REVENUE DEFICIENCY ADDITION</v>
      </c>
      <c r="F788" s="1333"/>
      <c r="G788" s="1327" t="s">
        <v>2173</v>
      </c>
      <c r="I788" s="1334" t="s">
        <v>5559</v>
      </c>
      <c r="L788" s="1329" t="s">
        <v>2173</v>
      </c>
      <c r="M788" s="1330"/>
      <c r="N788" s="1330"/>
      <c r="O788" s="1330"/>
      <c r="S788" s="1334" t="s">
        <v>5590</v>
      </c>
      <c r="T788" s="1333" t="s">
        <v>2173</v>
      </c>
      <c r="U788" s="1334"/>
      <c r="V788" s="1332" t="s">
        <v>4772</v>
      </c>
    </row>
    <row r="789" spans="1:25">
      <c r="B789" s="1432"/>
      <c r="C789" s="1340" t="str">
        <f>+C$3</f>
        <v>PROD. CAP. ALLOC. METHOD: 12 CP &amp; 1/13th AD</v>
      </c>
      <c r="G789" s="1336" t="s">
        <v>4768</v>
      </c>
      <c r="I789" s="1335" t="s">
        <v>4063</v>
      </c>
      <c r="L789" s="1336" t="s">
        <v>5141</v>
      </c>
      <c r="M789" s="1337"/>
      <c r="N789" s="1337"/>
      <c r="O789" s="1337"/>
      <c r="R789" s="1331"/>
      <c r="S789" s="1335" t="s">
        <v>4064</v>
      </c>
      <c r="T789" s="1333" t="s">
        <v>5141</v>
      </c>
      <c r="V789" s="1332" t="s">
        <v>5590</v>
      </c>
      <c r="Y789" s="1324"/>
    </row>
    <row r="790" spans="1:25">
      <c r="C790" s="1340" t="str">
        <f>+C$4</f>
        <v>PROJECTED CALENDAR YEAR 2025; FULLY ADJUSTED DATA</v>
      </c>
      <c r="G790" s="1336" t="s">
        <v>2181</v>
      </c>
      <c r="L790" s="1336" t="s">
        <v>2181</v>
      </c>
      <c r="T790" s="1339"/>
      <c r="Y790" s="1324"/>
    </row>
    <row r="791" spans="1:25">
      <c r="C791" s="1340" t="str">
        <f>+C$5</f>
        <v>MINIMUM DISTRIBUTION SYSTEM (MDS) NOT EMPLOYED</v>
      </c>
      <c r="D791" s="1358"/>
      <c r="G791" s="1320"/>
      <c r="L791" s="1336"/>
      <c r="M791" s="1337"/>
      <c r="N791" s="1337"/>
      <c r="O791" s="1337"/>
      <c r="T791" s="1333"/>
      <c r="Y791" s="1324"/>
    </row>
    <row r="792" spans="1:25">
      <c r="C792" s="1340" t="str">
        <f>+C$6</f>
        <v>Tampa Electric 2025 OB Budget</v>
      </c>
      <c r="F792" s="1327"/>
      <c r="G792" s="1333" t="s">
        <v>5494</v>
      </c>
      <c r="L792" s="1336" t="s">
        <v>5494</v>
      </c>
      <c r="M792" s="1337"/>
      <c r="N792" s="1337"/>
      <c r="O792" s="1337"/>
      <c r="T792" s="1333" t="s">
        <v>5494</v>
      </c>
    </row>
    <row r="793" spans="1:25">
      <c r="C793" s="1331"/>
      <c r="F793" s="1333"/>
      <c r="G793" s="1320"/>
      <c r="L793" s="1336"/>
      <c r="M793" s="1337"/>
      <c r="N793" s="1337"/>
      <c r="O793" s="1337"/>
    </row>
    <row r="794" spans="1:25">
      <c r="C794" s="1331"/>
      <c r="F794" s="1333"/>
      <c r="G794" s="1320"/>
      <c r="L794" s="1336"/>
      <c r="M794" s="1337"/>
      <c r="N794" s="1337"/>
      <c r="O794" s="1337"/>
      <c r="Y794" s="1324"/>
    </row>
    <row r="795" spans="1:25">
      <c r="G795" s="1320"/>
      <c r="Y795" s="1324"/>
    </row>
    <row r="796" spans="1:25">
      <c r="C796" s="1342"/>
      <c r="D796" s="1331"/>
      <c r="E796" s="1331"/>
      <c r="F796" s="1333"/>
      <c r="G796" s="1333"/>
      <c r="H796" s="1333"/>
      <c r="I796" s="1343"/>
      <c r="J796" s="1416"/>
      <c r="K796" s="1336"/>
      <c r="L796" s="1416"/>
      <c r="M796" s="1417"/>
      <c r="N796" s="1417"/>
      <c r="O796" s="1417"/>
      <c r="P796" s="3164"/>
      <c r="Q796" s="3164"/>
      <c r="R796" s="1333"/>
      <c r="Y796" s="1324"/>
    </row>
    <row r="797" spans="1:25" ht="30" customHeight="1">
      <c r="A797" s="1418" t="s">
        <v>4683</v>
      </c>
      <c r="B797" s="1425" t="s">
        <v>5143</v>
      </c>
      <c r="C797" s="1349" t="s">
        <v>4297</v>
      </c>
      <c r="D797" s="1418"/>
      <c r="E797" s="1418"/>
      <c r="F797" s="1348" t="s">
        <v>5144</v>
      </c>
      <c r="G797" s="1348" t="s">
        <v>4956</v>
      </c>
      <c r="H797" s="1348" t="s">
        <v>4957</v>
      </c>
      <c r="I797" s="1426" t="s">
        <v>5145</v>
      </c>
      <c r="J797" s="1352" t="s">
        <v>4957</v>
      </c>
      <c r="K797" s="1353" t="s">
        <v>1949</v>
      </c>
      <c r="L797" s="1353" t="s">
        <v>1950</v>
      </c>
      <c r="M797" s="1354" t="s">
        <v>1934</v>
      </c>
      <c r="N797" s="1354" t="s">
        <v>1971</v>
      </c>
      <c r="O797" s="1354" t="s">
        <v>1972</v>
      </c>
      <c r="P797" s="1352" t="s">
        <v>5146</v>
      </c>
      <c r="Q797" s="1352" t="s">
        <v>5147</v>
      </c>
      <c r="R797" s="1355"/>
      <c r="S797" s="1348" t="s">
        <v>5299</v>
      </c>
      <c r="T797" s="1348"/>
      <c r="U797" s="1352"/>
      <c r="V797" s="1355" t="s">
        <v>4774</v>
      </c>
      <c r="W797" s="1350"/>
      <c r="Y797" s="1324"/>
    </row>
    <row r="798" spans="1:25">
      <c r="G798" s="1320"/>
      <c r="Y798" s="1324"/>
    </row>
    <row r="799" spans="1:25">
      <c r="A799" s="1320" t="s">
        <v>4877</v>
      </c>
      <c r="C799" s="1322">
        <v>128</v>
      </c>
      <c r="D799" s="1356" t="s">
        <v>5591</v>
      </c>
      <c r="G799" s="1320"/>
      <c r="Y799" s="1324"/>
    </row>
    <row r="800" spans="1:25" ht="17.399999999999999">
      <c r="A800" s="1320" t="s">
        <v>4877</v>
      </c>
      <c r="C800" s="1322">
        <v>129</v>
      </c>
      <c r="D800" s="1320" t="s">
        <v>5354</v>
      </c>
      <c r="E800" s="1320" t="s">
        <v>4777</v>
      </c>
      <c r="F800" s="1324">
        <f>F761-F773</f>
        <v>1406778.5262312347</v>
      </c>
      <c r="G800" s="1324">
        <f>G761-G773</f>
        <v>7492.9339003846317</v>
      </c>
      <c r="H800" s="1324">
        <f>H761-H773</f>
        <v>1399285.59233085</v>
      </c>
      <c r="I800" s="1374">
        <f>IF(F800=0,0,+H800/F800)</f>
        <v>0.99467369329239175</v>
      </c>
      <c r="J800" s="1324">
        <f t="shared" ref="J800:Q808" si="374">J761-J773</f>
        <v>1399285.59233085</v>
      </c>
      <c r="K800" s="1324">
        <f t="shared" si="374"/>
        <v>869970.56108130014</v>
      </c>
      <c r="L800" s="1324">
        <f t="shared" si="374"/>
        <v>89978.105410199991</v>
      </c>
      <c r="M800" s="1324">
        <f t="shared" si="374"/>
        <v>293405.73366825003</v>
      </c>
      <c r="N800" s="1324">
        <f t="shared" si="374"/>
        <v>41913.521666100001</v>
      </c>
      <c r="O800" s="1324">
        <f t="shared" si="374"/>
        <v>22486.561146</v>
      </c>
      <c r="P800" s="1324">
        <f t="shared" si="374"/>
        <v>8412.0845193000096</v>
      </c>
      <c r="Q800" s="1324">
        <f t="shared" si="374"/>
        <v>73119.024839699996</v>
      </c>
      <c r="T800" s="1443"/>
      <c r="V800" s="1324" t="s">
        <v>5592</v>
      </c>
      <c r="Y800" s="1324"/>
    </row>
    <row r="801" spans="1:25">
      <c r="A801" s="1320" t="s">
        <v>4877</v>
      </c>
      <c r="C801" s="1322">
        <v>130</v>
      </c>
      <c r="D801" s="1320" t="s">
        <v>5265</v>
      </c>
      <c r="E801" s="1320" t="s">
        <v>4067</v>
      </c>
      <c r="F801" s="1324">
        <f t="shared" ref="F801:H808" si="375">F762-F774</f>
        <v>-564057.71417628438</v>
      </c>
      <c r="G801" s="1324">
        <f t="shared" si="375"/>
        <v>0</v>
      </c>
      <c r="H801" s="1324">
        <f t="shared" si="375"/>
        <v>-564057.71417628438</v>
      </c>
      <c r="I801" s="1374">
        <f t="shared" ref="I801:I809" si="376">IF(F801=0,0,+H801/F801)</f>
        <v>1</v>
      </c>
      <c r="J801" s="1324">
        <f t="shared" si="374"/>
        <v>-564057.71417628438</v>
      </c>
      <c r="K801" s="1324">
        <f t="shared" si="374"/>
        <v>-327160.8296046211</v>
      </c>
      <c r="L801" s="1324">
        <f t="shared" si="374"/>
        <v>-26987.468516647514</v>
      </c>
      <c r="M801" s="1324">
        <f t="shared" si="374"/>
        <v>-172517.3280564548</v>
      </c>
      <c r="N801" s="1324">
        <f t="shared" si="374"/>
        <v>-21536.500983713864</v>
      </c>
      <c r="O801" s="1324">
        <f t="shared" si="374"/>
        <v>-15455.674264790692</v>
      </c>
      <c r="P801" s="1324">
        <f t="shared" si="374"/>
        <v>-399.91275005655979</v>
      </c>
      <c r="Q801" s="1324">
        <f t="shared" si="374"/>
        <v>0</v>
      </c>
      <c r="V801" s="1324" t="s">
        <v>5593</v>
      </c>
      <c r="Y801" s="1324"/>
    </row>
    <row r="802" spans="1:25">
      <c r="A802" s="1320" t="s">
        <v>4877</v>
      </c>
      <c r="C802" s="1322">
        <v>131</v>
      </c>
      <c r="D802" s="1320" t="s">
        <v>5265</v>
      </c>
      <c r="E802" s="1320" t="s">
        <v>2067</v>
      </c>
      <c r="F802" s="1324">
        <f t="shared" si="375"/>
        <v>-80562.048562503303</v>
      </c>
      <c r="G802" s="1324">
        <f t="shared" si="375"/>
        <v>-1.7473089709710622E-3</v>
      </c>
      <c r="H802" s="1324">
        <f t="shared" si="375"/>
        <v>-80562.046815194335</v>
      </c>
      <c r="I802" s="1374">
        <f t="shared" si="376"/>
        <v>0.99999997831101617</v>
      </c>
      <c r="J802" s="1324">
        <f t="shared" si="374"/>
        <v>-80562.046815194335</v>
      </c>
      <c r="K802" s="1324">
        <f t="shared" si="374"/>
        <v>-40620.933614919457</v>
      </c>
      <c r="L802" s="1324">
        <f t="shared" si="374"/>
        <v>-3753.8497872608268</v>
      </c>
      <c r="M802" s="1324">
        <f t="shared" si="374"/>
        <v>-27964.722871772799</v>
      </c>
      <c r="N802" s="1324">
        <f t="shared" si="374"/>
        <v>-4451.5342430623914</v>
      </c>
      <c r="O802" s="1324">
        <f t="shared" si="374"/>
        <v>-3279.4980915993051</v>
      </c>
      <c r="P802" s="1324">
        <f t="shared" si="374"/>
        <v>-425.2637065795484</v>
      </c>
      <c r="Q802" s="1324">
        <f t="shared" si="374"/>
        <v>0</v>
      </c>
      <c r="V802" s="1324" t="s">
        <v>5594</v>
      </c>
    </row>
    <row r="803" spans="1:25">
      <c r="A803" s="1320" t="s">
        <v>4877</v>
      </c>
      <c r="C803" s="1322">
        <v>132</v>
      </c>
      <c r="D803" s="1324" t="s">
        <v>5268</v>
      </c>
      <c r="E803" s="1324" t="s">
        <v>4067</v>
      </c>
      <c r="F803" s="1324">
        <f t="shared" si="375"/>
        <v>-28616.324186483067</v>
      </c>
      <c r="G803" s="1324">
        <f t="shared" si="375"/>
        <v>-1850.9215151547339</v>
      </c>
      <c r="H803" s="1324">
        <f t="shared" si="375"/>
        <v>-26765.402671328331</v>
      </c>
      <c r="I803" s="1374">
        <f t="shared" si="376"/>
        <v>0.93531938263304204</v>
      </c>
      <c r="J803" s="1324">
        <f t="shared" si="374"/>
        <v>-26765.402671328331</v>
      </c>
      <c r="K803" s="1324">
        <f t="shared" si="374"/>
        <v>-15524.282573532588</v>
      </c>
      <c r="L803" s="1324">
        <f t="shared" si="374"/>
        <v>-1280.5967257849029</v>
      </c>
      <c r="M803" s="1324">
        <f t="shared" si="374"/>
        <v>-8186.2115119829041</v>
      </c>
      <c r="N803" s="1324">
        <f t="shared" si="374"/>
        <v>-1021.9399654915595</v>
      </c>
      <c r="O803" s="1324">
        <f t="shared" si="374"/>
        <v>-733.39542188181656</v>
      </c>
      <c r="P803" s="1324">
        <f t="shared" si="374"/>
        <v>-18.976472654563935</v>
      </c>
      <c r="Q803" s="1324">
        <f t="shared" si="374"/>
        <v>0</v>
      </c>
      <c r="V803" s="1324" t="s">
        <v>5595</v>
      </c>
    </row>
    <row r="804" spans="1:25">
      <c r="A804" s="1320" t="s">
        <v>4877</v>
      </c>
      <c r="C804" s="1322">
        <v>133</v>
      </c>
      <c r="D804" s="1320" t="s">
        <v>5239</v>
      </c>
      <c r="E804" s="1320" t="s">
        <v>4067</v>
      </c>
      <c r="F804" s="1324">
        <f t="shared" si="375"/>
        <v>-39206.785457499253</v>
      </c>
      <c r="G804" s="1324">
        <f t="shared" si="375"/>
        <v>-2536.7841859978548</v>
      </c>
      <c r="H804" s="1324">
        <f t="shared" si="375"/>
        <v>-36670.001271501387</v>
      </c>
      <c r="I804" s="1374">
        <f t="shared" si="376"/>
        <v>0.935297317635291</v>
      </c>
      <c r="J804" s="1324">
        <f t="shared" si="374"/>
        <v>-36670.001271501387</v>
      </c>
      <c r="K804" s="1324">
        <f t="shared" si="374"/>
        <v>-21269.078918824067</v>
      </c>
      <c r="L804" s="1324">
        <f t="shared" si="374"/>
        <v>-1754.4844790665866</v>
      </c>
      <c r="M804" s="1324">
        <f t="shared" si="374"/>
        <v>-11215.537843365255</v>
      </c>
      <c r="N804" s="1324">
        <f t="shared" si="374"/>
        <v>-1400.1111918303811</v>
      </c>
      <c r="O804" s="1324">
        <f t="shared" si="374"/>
        <v>-1004.7900785639412</v>
      </c>
      <c r="P804" s="1324">
        <f t="shared" si="374"/>
        <v>-25.998759851160351</v>
      </c>
      <c r="Q804" s="1324">
        <f t="shared" si="374"/>
        <v>0</v>
      </c>
      <c r="V804" s="1324" t="s">
        <v>5596</v>
      </c>
    </row>
    <row r="805" spans="1:25">
      <c r="A805" s="1320" t="s">
        <v>4877</v>
      </c>
      <c r="C805" s="1322">
        <v>134</v>
      </c>
      <c r="D805" s="1320" t="s">
        <v>5240</v>
      </c>
      <c r="E805" s="1320" t="s">
        <v>4067</v>
      </c>
      <c r="F805" s="1324">
        <f t="shared" si="375"/>
        <v>-155881.03722629778</v>
      </c>
      <c r="G805" s="1324">
        <f t="shared" si="375"/>
        <v>0</v>
      </c>
      <c r="H805" s="1324">
        <f t="shared" si="375"/>
        <v>-155881.03722629778</v>
      </c>
      <c r="I805" s="1374">
        <f t="shared" si="376"/>
        <v>1</v>
      </c>
      <c r="J805" s="1324">
        <f t="shared" si="374"/>
        <v>-155881.03722629778</v>
      </c>
      <c r="K805" s="1324">
        <f t="shared" si="374"/>
        <v>-97022.853548815998</v>
      </c>
      <c r="L805" s="1324">
        <f t="shared" si="374"/>
        <v>-6900.5086834700942</v>
      </c>
      <c r="M805" s="1324">
        <f t="shared" si="374"/>
        <v>-46203.214133352179</v>
      </c>
      <c r="N805" s="1324">
        <f t="shared" si="374"/>
        <v>-4859.6491608475835</v>
      </c>
      <c r="O805" s="1324">
        <f t="shared" si="374"/>
        <v>-3.3180737754899305E-3</v>
      </c>
      <c r="P805" s="1324">
        <f t="shared" si="374"/>
        <v>-894.80838173819473</v>
      </c>
      <c r="Q805" s="1324">
        <f t="shared" si="374"/>
        <v>0</v>
      </c>
      <c r="V805" s="1324" t="s">
        <v>5597</v>
      </c>
    </row>
    <row r="806" spans="1:25">
      <c r="A806" s="1320" t="s">
        <v>4877</v>
      </c>
      <c r="C806" s="1322">
        <v>135</v>
      </c>
      <c r="D806" s="1320" t="s">
        <v>5241</v>
      </c>
      <c r="E806" s="1320" t="s">
        <v>4067</v>
      </c>
      <c r="F806" s="1324">
        <f t="shared" si="375"/>
        <v>-68574.767045372864</v>
      </c>
      <c r="G806" s="1324">
        <f t="shared" si="375"/>
        <v>0</v>
      </c>
      <c r="H806" s="1324">
        <f t="shared" si="375"/>
        <v>-68574.767045372864</v>
      </c>
      <c r="I806" s="1374">
        <f t="shared" si="376"/>
        <v>1</v>
      </c>
      <c r="J806" s="1324">
        <f t="shared" si="374"/>
        <v>-68574.767045372864</v>
      </c>
      <c r="K806" s="1324">
        <f t="shared" si="374"/>
        <v>-50034.430921736646</v>
      </c>
      <c r="L806" s="1324">
        <f t="shared" si="374"/>
        <v>-4028.7646842239787</v>
      </c>
      <c r="M806" s="1324">
        <f t="shared" si="374"/>
        <v>-14263.507142872957</v>
      </c>
      <c r="N806" s="1324">
        <f t="shared" si="374"/>
        <v>0</v>
      </c>
      <c r="O806" s="1324">
        <f t="shared" si="374"/>
        <v>0</v>
      </c>
      <c r="P806" s="1324">
        <f t="shared" si="374"/>
        <v>-248.06429653928549</v>
      </c>
      <c r="Q806" s="1324">
        <f t="shared" si="374"/>
        <v>0</v>
      </c>
      <c r="V806" s="1324" t="s">
        <v>5598</v>
      </c>
      <c r="Y806" s="1324"/>
    </row>
    <row r="807" spans="1:25">
      <c r="A807" s="1320" t="s">
        <v>4877</v>
      </c>
      <c r="C807" s="1322">
        <v>136</v>
      </c>
      <c r="D807" s="1320" t="s">
        <v>5242</v>
      </c>
      <c r="E807" s="1320" t="s">
        <v>4071</v>
      </c>
      <c r="F807" s="1324">
        <f t="shared" si="375"/>
        <v>-100179.57481934491</v>
      </c>
      <c r="G807" s="1324">
        <f t="shared" si="375"/>
        <v>0</v>
      </c>
      <c r="H807" s="1324">
        <f t="shared" si="375"/>
        <v>-100179.57481934491</v>
      </c>
      <c r="I807" s="1374">
        <f t="shared" si="376"/>
        <v>1</v>
      </c>
      <c r="J807" s="1324">
        <f t="shared" si="374"/>
        <v>-100179.57481934491</v>
      </c>
      <c r="K807" s="1324">
        <f t="shared" si="374"/>
        <v>-45291.613511719428</v>
      </c>
      <c r="L807" s="1324">
        <f t="shared" si="374"/>
        <v>-8554.8021870908051</v>
      </c>
      <c r="M807" s="1324">
        <f t="shared" si="374"/>
        <v>-4832.3783038708716</v>
      </c>
      <c r="N807" s="1324">
        <f t="shared" si="374"/>
        <v>-358.51651444482354</v>
      </c>
      <c r="O807" s="1324">
        <f t="shared" si="374"/>
        <v>-391.15656710992386</v>
      </c>
      <c r="P807" s="1324">
        <f t="shared" si="374"/>
        <v>-81.056739687267182</v>
      </c>
      <c r="Q807" s="1324">
        <f t="shared" si="374"/>
        <v>-40670.05099542177</v>
      </c>
      <c r="V807" s="1324" t="s">
        <v>5599</v>
      </c>
      <c r="Y807" s="1324"/>
    </row>
    <row r="808" spans="1:25" s="1324" customFormat="1">
      <c r="A808" s="1324" t="s">
        <v>4877</v>
      </c>
      <c r="C808" s="1393">
        <v>137</v>
      </c>
      <c r="D808" s="1320" t="s">
        <v>5244</v>
      </c>
      <c r="E808" s="1320" t="s">
        <v>4071</v>
      </c>
      <c r="F808" s="1324">
        <f t="shared" si="375"/>
        <v>-63941.192582325923</v>
      </c>
      <c r="G808" s="1324">
        <f t="shared" si="375"/>
        <v>0</v>
      </c>
      <c r="H808" s="1324">
        <f t="shared" si="375"/>
        <v>-63941.192582325923</v>
      </c>
      <c r="I808" s="1374">
        <f t="shared" si="376"/>
        <v>1</v>
      </c>
      <c r="J808" s="1324">
        <f t="shared" si="374"/>
        <v>-63941.192582325923</v>
      </c>
      <c r="K808" s="1324">
        <f t="shared" si="374"/>
        <v>-55521.723331396228</v>
      </c>
      <c r="L808" s="1324">
        <f t="shared" si="374"/>
        <v>-5408.443027667754</v>
      </c>
      <c r="M808" s="1324">
        <f t="shared" si="374"/>
        <v>-2412.7244594868539</v>
      </c>
      <c r="N808" s="1324">
        <f t="shared" si="374"/>
        <v>-171.01608136137122</v>
      </c>
      <c r="O808" s="1324">
        <f t="shared" si="374"/>
        <v>-89.545444416705465</v>
      </c>
      <c r="P808" s="1324">
        <f t="shared" si="374"/>
        <v>-51.492089010950195</v>
      </c>
      <c r="Q808" s="1324">
        <f t="shared" si="374"/>
        <v>-286.24814898605348</v>
      </c>
      <c r="R808" s="1320"/>
      <c r="S808" s="1320"/>
      <c r="T808" s="1320"/>
      <c r="V808" s="1324" t="s">
        <v>5600</v>
      </c>
      <c r="Y808" s="1320"/>
    </row>
    <row r="809" spans="1:25">
      <c r="A809" s="1320" t="s">
        <v>4877</v>
      </c>
      <c r="C809" s="1322">
        <v>138</v>
      </c>
      <c r="D809" s="1320" t="s">
        <v>5601</v>
      </c>
      <c r="F809" s="1427">
        <f>SUM(F800:F808)</f>
        <v>305759.08217512327</v>
      </c>
      <c r="G809" s="1427">
        <f>SUM(G800:G808)</f>
        <v>3105.2264519230716</v>
      </c>
      <c r="H809" s="1427">
        <f>SUM(H800:H808)</f>
        <v>302653.85572320013</v>
      </c>
      <c r="I809" s="1323">
        <f t="shared" si="376"/>
        <v>0.98984420534679451</v>
      </c>
      <c r="J809" s="1421">
        <f t="shared" ref="J809:Q809" si="377">SUM(J800:J808)</f>
        <v>302653.85572320013</v>
      </c>
      <c r="K809" s="1421">
        <f t="shared" si="377"/>
        <v>217524.81505573454</v>
      </c>
      <c r="L809" s="1421">
        <f t="shared" si="377"/>
        <v>31309.187318987533</v>
      </c>
      <c r="M809" s="1421">
        <f t="shared" si="377"/>
        <v>5810.109345091405</v>
      </c>
      <c r="N809" s="1422">
        <f t="shared" si="377"/>
        <v>8114.2535253480273</v>
      </c>
      <c r="O809" s="1422">
        <f>SUM(O800:O808)</f>
        <v>1532.4979595638399</v>
      </c>
      <c r="P809" s="1422">
        <f>SUM(P800:P808)</f>
        <v>6266.511323182478</v>
      </c>
      <c r="Q809" s="1421">
        <f t="shared" si="377"/>
        <v>32162.725695292171</v>
      </c>
      <c r="V809" s="1324" t="s">
        <v>5602</v>
      </c>
    </row>
    <row r="810" spans="1:25">
      <c r="A810" s="1320" t="s">
        <v>4877</v>
      </c>
      <c r="C810" s="1322">
        <v>139</v>
      </c>
      <c r="G810" s="1320"/>
      <c r="I810" s="1320"/>
      <c r="K810" s="1320"/>
      <c r="L810" s="1320"/>
      <c r="M810" s="1320"/>
      <c r="N810" s="1320"/>
      <c r="O810" s="1324"/>
      <c r="Q810" s="1320"/>
      <c r="U810" s="1320"/>
      <c r="Y810" s="1324"/>
    </row>
    <row r="811" spans="1:25">
      <c r="A811" s="1320" t="s">
        <v>4877</v>
      </c>
      <c r="C811" s="1322">
        <v>140</v>
      </c>
      <c r="D811" s="1356" t="s">
        <v>5603</v>
      </c>
      <c r="E811" s="1444"/>
      <c r="G811" s="1320"/>
      <c r="M811" s="1324"/>
      <c r="P811" s="1325"/>
      <c r="Y811" s="1324"/>
    </row>
    <row r="812" spans="1:25">
      <c r="A812" s="1320" t="s">
        <v>4877</v>
      </c>
      <c r="C812" s="1322">
        <v>141</v>
      </c>
      <c r="D812" s="1320" t="s">
        <v>5354</v>
      </c>
      <c r="E812" s="1324" t="s">
        <v>4777</v>
      </c>
      <c r="F812" s="1324">
        <f>G812+H812</f>
        <v>295423.49050855928</v>
      </c>
      <c r="G812" s="1324">
        <f>+G800*'Tax &amp; Debt Inputs'!$C$3</f>
        <v>1573.5161190807726</v>
      </c>
      <c r="H812" s="1324">
        <f>+H800*'Tax &amp; Debt Inputs'!$C$3</f>
        <v>293849.97438947851</v>
      </c>
      <c r="I812" s="1374">
        <f>IF(F812=0,0,+H812/F812)</f>
        <v>0.99467369329239175</v>
      </c>
      <c r="J812" s="1324">
        <f>+J800*'Tax &amp; Debt Inputs'!$C$3</f>
        <v>293849.97438947851</v>
      </c>
      <c r="K812" s="1324">
        <f>+K800*'Tax &amp; Debt Inputs'!$C$3</f>
        <v>182693.81782707301</v>
      </c>
      <c r="L812" s="1324">
        <f>+L800*'Tax &amp; Debt Inputs'!$C$3</f>
        <v>18895.402136141998</v>
      </c>
      <c r="M812" s="1324">
        <f>+M800*'Tax &amp; Debt Inputs'!$C$3</f>
        <v>61615.204070332504</v>
      </c>
      <c r="N812" s="1324">
        <f>+N800*'Tax &amp; Debt Inputs'!$C$3</f>
        <v>8801.8395498810005</v>
      </c>
      <c r="O812" s="1324">
        <f>+O800*'Tax &amp; Debt Inputs'!$C$3</f>
        <v>4722.1778406599997</v>
      </c>
      <c r="P812" s="1324">
        <f>+P800*'Tax &amp; Debt Inputs'!$C$3</f>
        <v>1766.537749053002</v>
      </c>
      <c r="Q812" s="1324">
        <f>+Q800*'Tax &amp; Debt Inputs'!$C$3</f>
        <v>15354.995216336998</v>
      </c>
      <c r="V812" s="1324" t="s">
        <v>5604</v>
      </c>
    </row>
    <row r="813" spans="1:25">
      <c r="A813" s="1320" t="s">
        <v>4877</v>
      </c>
      <c r="C813" s="1322">
        <v>142</v>
      </c>
      <c r="D813" s="1320" t="s">
        <v>5265</v>
      </c>
      <c r="E813" s="1324" t="s">
        <v>4067</v>
      </c>
      <c r="F813" s="1324">
        <f t="shared" ref="F813:F820" si="378">G813+H813</f>
        <v>-118452.11997701971</v>
      </c>
      <c r="G813" s="1324">
        <f>+G801*'Tax &amp; Debt Inputs'!$C$3</f>
        <v>0</v>
      </c>
      <c r="H813" s="1324">
        <f>+H801*'Tax &amp; Debt Inputs'!$C$3</f>
        <v>-118452.11997701971</v>
      </c>
      <c r="I813" s="1374">
        <f t="shared" ref="I813:I821" si="379">IF(F813=0,0,+H813/F813)</f>
        <v>1</v>
      </c>
      <c r="J813" s="1324">
        <f>+J801*'Tax &amp; Debt Inputs'!$C$3</f>
        <v>-118452.11997701971</v>
      </c>
      <c r="K813" s="1324">
        <f>+K801*'Tax &amp; Debt Inputs'!$C$3</f>
        <v>-68703.774216970429</v>
      </c>
      <c r="L813" s="1324">
        <f>+L801*'Tax &amp; Debt Inputs'!$C$3</f>
        <v>-5667.3683884959773</v>
      </c>
      <c r="M813" s="1324">
        <f>+M801*'Tax &amp; Debt Inputs'!$C$3</f>
        <v>-36228.638891855509</v>
      </c>
      <c r="N813" s="1324">
        <f>+N801*'Tax &amp; Debt Inputs'!$C$3</f>
        <v>-4522.6652065799117</v>
      </c>
      <c r="O813" s="1324">
        <f>+O801*'Tax &amp; Debt Inputs'!$C$3</f>
        <v>-3245.6915956060452</v>
      </c>
      <c r="P813" s="1324">
        <f>+P801*'Tax &amp; Debt Inputs'!$C$3</f>
        <v>-83.98167751187755</v>
      </c>
      <c r="Q813" s="1324">
        <f>+Q801*'Tax &amp; Debt Inputs'!$C$3</f>
        <v>0</v>
      </c>
      <c r="V813" s="1324" t="s">
        <v>5605</v>
      </c>
    </row>
    <row r="814" spans="1:25">
      <c r="A814" s="1320" t="s">
        <v>4877</v>
      </c>
      <c r="C814" s="1322">
        <v>143</v>
      </c>
      <c r="D814" s="1320" t="s">
        <v>5265</v>
      </c>
      <c r="E814" s="1324" t="s">
        <v>2067</v>
      </c>
      <c r="F814" s="1324">
        <f t="shared" si="378"/>
        <v>-16918.030198125693</v>
      </c>
      <c r="G814" s="1324">
        <f>+G802*'Tax &amp; Debt Inputs'!$C$3</f>
        <v>-3.6693488390392306E-4</v>
      </c>
      <c r="H814" s="1324">
        <f>+H802*'Tax &amp; Debt Inputs'!$C$3</f>
        <v>-16918.029831190808</v>
      </c>
      <c r="I814" s="1374">
        <f t="shared" si="379"/>
        <v>0.99999997831101606</v>
      </c>
      <c r="J814" s="1324">
        <f>+J802*'Tax &amp; Debt Inputs'!$C$3</f>
        <v>-16918.029831190808</v>
      </c>
      <c r="K814" s="1324">
        <f>+K802*'Tax &amp; Debt Inputs'!$C$3</f>
        <v>-8530.3960591330851</v>
      </c>
      <c r="L814" s="1324">
        <f>+L802*'Tax &amp; Debt Inputs'!$C$3</f>
        <v>-788.3084553247736</v>
      </c>
      <c r="M814" s="1324">
        <f>+M802*'Tax &amp; Debt Inputs'!$C$3</f>
        <v>-5872.5918030722878</v>
      </c>
      <c r="N814" s="1324">
        <f>+N802*'Tax &amp; Debt Inputs'!$C$3</f>
        <v>-934.82219104310218</v>
      </c>
      <c r="O814" s="1324">
        <f>+O802*'Tax &amp; Debt Inputs'!$C$3</f>
        <v>-688.69459923585407</v>
      </c>
      <c r="P814" s="1324">
        <f>+P802*'Tax &amp; Debt Inputs'!$C$3</f>
        <v>-89.305378381705154</v>
      </c>
      <c r="Q814" s="1324">
        <f>+Q802*'Tax &amp; Debt Inputs'!$C$3</f>
        <v>0</v>
      </c>
      <c r="V814" s="1324" t="s">
        <v>5606</v>
      </c>
      <c r="Y814" s="1324"/>
    </row>
    <row r="815" spans="1:25">
      <c r="A815" s="1320" t="s">
        <v>4877</v>
      </c>
      <c r="C815" s="1322">
        <v>144</v>
      </c>
      <c r="D815" s="1324" t="s">
        <v>5268</v>
      </c>
      <c r="E815" s="1324" t="s">
        <v>4067</v>
      </c>
      <c r="F815" s="1324">
        <f t="shared" si="378"/>
        <v>-6009.4280791614428</v>
      </c>
      <c r="G815" s="1324">
        <f>+G803*'Tax &amp; Debt Inputs'!$C$3</f>
        <v>-388.69351818249413</v>
      </c>
      <c r="H815" s="1324">
        <f>+H803*'Tax &amp; Debt Inputs'!$C$3</f>
        <v>-5620.734560978949</v>
      </c>
      <c r="I815" s="1374">
        <f t="shared" si="379"/>
        <v>0.93531938263304215</v>
      </c>
      <c r="J815" s="1324">
        <f>+J803*'Tax &amp; Debt Inputs'!$C$3</f>
        <v>-5620.734560978949</v>
      </c>
      <c r="K815" s="1324">
        <f>+K803*'Tax &amp; Debt Inputs'!$C$3</f>
        <v>-3260.0993404418432</v>
      </c>
      <c r="L815" s="1324">
        <f>+L803*'Tax &amp; Debt Inputs'!$C$3</f>
        <v>-268.92531241482959</v>
      </c>
      <c r="M815" s="1324">
        <f>+M803*'Tax &amp; Debt Inputs'!$C$3</f>
        <v>-1719.1044175164097</v>
      </c>
      <c r="N815" s="1324">
        <f>+N803*'Tax &amp; Debt Inputs'!$C$3</f>
        <v>-214.60739275322749</v>
      </c>
      <c r="O815" s="1324">
        <f>+O803*'Tax &amp; Debt Inputs'!$C$3</f>
        <v>-154.01303859518148</v>
      </c>
      <c r="P815" s="1324">
        <f>+P803*'Tax &amp; Debt Inputs'!$C$3</f>
        <v>-3.9850592574584263</v>
      </c>
      <c r="Q815" s="1324">
        <f>+Q803*'Tax &amp; Debt Inputs'!$C$3</f>
        <v>0</v>
      </c>
      <c r="V815" s="1324" t="s">
        <v>5607</v>
      </c>
      <c r="Y815" s="1324"/>
    </row>
    <row r="816" spans="1:25">
      <c r="A816" s="1320" t="s">
        <v>4877</v>
      </c>
      <c r="C816" s="1322">
        <v>145</v>
      </c>
      <c r="D816" s="1320" t="s">
        <v>5239</v>
      </c>
      <c r="E816" s="1324" t="s">
        <v>4067</v>
      </c>
      <c r="F816" s="1324">
        <f t="shared" si="378"/>
        <v>-8233.4249460748397</v>
      </c>
      <c r="G816" s="1324">
        <f>+G804*'Tax &amp; Debt Inputs'!$C$3</f>
        <v>-532.72467905954954</v>
      </c>
      <c r="H816" s="1324">
        <f>+H804*'Tax &amp; Debt Inputs'!$C$3</f>
        <v>-7700.7002670152906</v>
      </c>
      <c r="I816" s="1374">
        <f t="shared" si="379"/>
        <v>0.93529731763529134</v>
      </c>
      <c r="J816" s="1324">
        <f>+J804*'Tax &amp; Debt Inputs'!$C$3</f>
        <v>-7700.7002670152906</v>
      </c>
      <c r="K816" s="1324">
        <f>+K804*'Tax &amp; Debt Inputs'!$C$3</f>
        <v>-4466.5065729530543</v>
      </c>
      <c r="L816" s="1324">
        <f>+L804*'Tax &amp; Debt Inputs'!$C$3</f>
        <v>-368.44174060398319</v>
      </c>
      <c r="M816" s="1324">
        <f>+M804*'Tax &amp; Debt Inputs'!$C$3</f>
        <v>-2355.2629471067035</v>
      </c>
      <c r="N816" s="1324">
        <f>+N804*'Tax &amp; Debt Inputs'!$C$3</f>
        <v>-294.02335028438</v>
      </c>
      <c r="O816" s="1324">
        <f>+O804*'Tax &amp; Debt Inputs'!$C$3</f>
        <v>-211.00591649842764</v>
      </c>
      <c r="P816" s="1324">
        <f>+P804*'Tax &amp; Debt Inputs'!$C$3</f>
        <v>-5.4597395687436734</v>
      </c>
      <c r="Q816" s="1324">
        <f>+Q804*'Tax &amp; Debt Inputs'!$C$3</f>
        <v>0</v>
      </c>
      <c r="V816" s="1324" t="s">
        <v>5608</v>
      </c>
      <c r="Y816" s="1324"/>
    </row>
    <row r="817" spans="1:25" s="1324" customFormat="1">
      <c r="A817" s="1320" t="s">
        <v>4877</v>
      </c>
      <c r="C817" s="1322">
        <v>146</v>
      </c>
      <c r="D817" s="1320" t="s">
        <v>5240</v>
      </c>
      <c r="E817" s="1324" t="s">
        <v>4067</v>
      </c>
      <c r="F817" s="1324">
        <f t="shared" si="378"/>
        <v>-32735.01781752253</v>
      </c>
      <c r="G817" s="1324">
        <f>+G805*'Tax &amp; Debt Inputs'!$C$3</f>
        <v>0</v>
      </c>
      <c r="H817" s="1324">
        <f>+H805*'Tax &amp; Debt Inputs'!$C$3</f>
        <v>-32735.01781752253</v>
      </c>
      <c r="I817" s="1374">
        <f t="shared" si="379"/>
        <v>1</v>
      </c>
      <c r="J817" s="1324">
        <f>+J805*'Tax &amp; Debt Inputs'!$C$3</f>
        <v>-32735.01781752253</v>
      </c>
      <c r="K817" s="1324">
        <f>+K805*'Tax &amp; Debt Inputs'!$C$3</f>
        <v>-20374.799245251357</v>
      </c>
      <c r="L817" s="1324">
        <f>+L805*'Tax &amp; Debt Inputs'!$C$3</f>
        <v>-1449.1068235287198</v>
      </c>
      <c r="M817" s="1324">
        <f>+M805*'Tax &amp; Debt Inputs'!$C$3</f>
        <v>-9702.6749680039575</v>
      </c>
      <c r="N817" s="1324">
        <f>+N805*'Tax &amp; Debt Inputs'!$C$3</f>
        <v>-1020.5263237779925</v>
      </c>
      <c r="O817" s="1324">
        <f>+O805*'Tax &amp; Debt Inputs'!$C$3</f>
        <v>-6.967954928528854E-4</v>
      </c>
      <c r="P817" s="1324">
        <f>+P805*'Tax &amp; Debt Inputs'!$C$3</f>
        <v>-187.90976016502088</v>
      </c>
      <c r="Q817" s="1324">
        <f>+Q805*'Tax &amp; Debt Inputs'!$C$3</f>
        <v>0</v>
      </c>
      <c r="R817" s="1320"/>
      <c r="S817" s="1320"/>
      <c r="T817" s="1320"/>
      <c r="V817" s="1324" t="s">
        <v>5609</v>
      </c>
    </row>
    <row r="818" spans="1:25">
      <c r="A818" s="1320" t="s">
        <v>4877</v>
      </c>
      <c r="C818" s="1322">
        <v>147</v>
      </c>
      <c r="D818" s="1324" t="s">
        <v>5241</v>
      </c>
      <c r="E818" s="1324" t="s">
        <v>4067</v>
      </c>
      <c r="F818" s="1324">
        <f t="shared" si="378"/>
        <v>-14400.7010795283</v>
      </c>
      <c r="G818" s="1324">
        <f>+G806*'Tax &amp; Debt Inputs'!$C$3</f>
        <v>0</v>
      </c>
      <c r="H818" s="1324">
        <f>+H806*'Tax &amp; Debt Inputs'!$C$3</f>
        <v>-14400.7010795283</v>
      </c>
      <c r="I818" s="1374">
        <f t="shared" si="379"/>
        <v>1</v>
      </c>
      <c r="J818" s="1324">
        <f>+J806*'Tax &amp; Debt Inputs'!$C$3</f>
        <v>-14400.7010795283</v>
      </c>
      <c r="K818" s="1324">
        <f>+K806*'Tax &amp; Debt Inputs'!$C$3</f>
        <v>-10507.230493564695</v>
      </c>
      <c r="L818" s="1324">
        <f>+L806*'Tax &amp; Debt Inputs'!$C$3</f>
        <v>-846.04058368703545</v>
      </c>
      <c r="M818" s="1324">
        <f>+M806*'Tax &amp; Debt Inputs'!$C$3</f>
        <v>-2995.3365000033209</v>
      </c>
      <c r="N818" s="1324">
        <f>+N806*'Tax &amp; Debt Inputs'!$C$3</f>
        <v>0</v>
      </c>
      <c r="O818" s="1324">
        <f>+O806*'Tax &amp; Debt Inputs'!$C$3</f>
        <v>0</v>
      </c>
      <c r="P818" s="1324">
        <f>+P806*'Tax &amp; Debt Inputs'!$C$3</f>
        <v>-52.093502273249953</v>
      </c>
      <c r="Q818" s="1324">
        <f>+Q806*'Tax &amp; Debt Inputs'!$C$3</f>
        <v>0</v>
      </c>
      <c r="R818" s="1324"/>
      <c r="S818" s="1324"/>
      <c r="T818" s="1324"/>
      <c r="V818" s="1324" t="s">
        <v>5610</v>
      </c>
      <c r="Y818" s="1324"/>
    </row>
    <row r="819" spans="1:25">
      <c r="A819" s="1320" t="s">
        <v>4877</v>
      </c>
      <c r="C819" s="1322">
        <v>148</v>
      </c>
      <c r="D819" s="1320" t="s">
        <v>5242</v>
      </c>
      <c r="E819" s="1324" t="s">
        <v>4071</v>
      </c>
      <c r="F819" s="1324">
        <f t="shared" si="378"/>
        <v>-21037.710712062431</v>
      </c>
      <c r="G819" s="1324">
        <f>+G807*'Tax &amp; Debt Inputs'!$C$3</f>
        <v>0</v>
      </c>
      <c r="H819" s="1324">
        <f>+H807*'Tax &amp; Debt Inputs'!$C$3</f>
        <v>-21037.710712062431</v>
      </c>
      <c r="I819" s="1374">
        <f t="shared" si="379"/>
        <v>1</v>
      </c>
      <c r="J819" s="1324">
        <f>+J807*'Tax &amp; Debt Inputs'!$C$3</f>
        <v>-21037.710712062431</v>
      </c>
      <c r="K819" s="1324">
        <f>+K807*'Tax &amp; Debt Inputs'!$C$3</f>
        <v>-9511.23883746108</v>
      </c>
      <c r="L819" s="1324">
        <f>+L807*'Tax &amp; Debt Inputs'!$C$3</f>
        <v>-1796.5084592890689</v>
      </c>
      <c r="M819" s="1324">
        <f>+M807*'Tax &amp; Debt Inputs'!$C$3</f>
        <v>-1014.7994438128831</v>
      </c>
      <c r="N819" s="1324">
        <f>+N807*'Tax &amp; Debt Inputs'!$C$3</f>
        <v>-75.28846803341294</v>
      </c>
      <c r="O819" s="1324">
        <f>+O807*'Tax &amp; Debt Inputs'!$C$3</f>
        <v>-82.142879093084005</v>
      </c>
      <c r="P819" s="1324">
        <f>+P807*'Tax &amp; Debt Inputs'!$C$3</f>
        <v>-17.021915334326106</v>
      </c>
      <c r="Q819" s="1324">
        <f>+Q807*'Tax &amp; Debt Inputs'!$C$3</f>
        <v>-8540.7107090385707</v>
      </c>
      <c r="V819" s="1324" t="s">
        <v>5611</v>
      </c>
      <c r="Y819" s="1324"/>
    </row>
    <row r="820" spans="1:25">
      <c r="A820" s="1320" t="s">
        <v>4877</v>
      </c>
      <c r="C820" s="1322">
        <v>149</v>
      </c>
      <c r="D820" s="1320" t="s">
        <v>5244</v>
      </c>
      <c r="E820" s="1324" t="s">
        <v>4071</v>
      </c>
      <c r="F820" s="1324">
        <f t="shared" si="378"/>
        <v>-13427.650442288443</v>
      </c>
      <c r="G820" s="1324">
        <f>+G808*'Tax &amp; Debt Inputs'!$C$3</f>
        <v>0</v>
      </c>
      <c r="H820" s="1324">
        <f>+H808*'Tax &amp; Debt Inputs'!$C$3</f>
        <v>-13427.650442288443</v>
      </c>
      <c r="I820" s="1374">
        <f t="shared" si="379"/>
        <v>1</v>
      </c>
      <c r="J820" s="1324">
        <f>+J808*'Tax &amp; Debt Inputs'!$C$3</f>
        <v>-13427.650442288443</v>
      </c>
      <c r="K820" s="1324">
        <f>+K808*'Tax &amp; Debt Inputs'!$C$3</f>
        <v>-11659.561899593207</v>
      </c>
      <c r="L820" s="1324">
        <f>+L808*'Tax &amp; Debt Inputs'!$C$3</f>
        <v>-1135.7730358102283</v>
      </c>
      <c r="M820" s="1324">
        <f>+M808*'Tax &amp; Debt Inputs'!$C$3</f>
        <v>-506.6721364922393</v>
      </c>
      <c r="N820" s="1324">
        <f>+N808*'Tax &amp; Debt Inputs'!$C$3</f>
        <v>-35.913377085887952</v>
      </c>
      <c r="O820" s="1324">
        <f>+O808*'Tax &amp; Debt Inputs'!$C$3</f>
        <v>-18.804543327508146</v>
      </c>
      <c r="P820" s="1324">
        <f>+P808*'Tax &amp; Debt Inputs'!$C$3</f>
        <v>-10.81333869229954</v>
      </c>
      <c r="Q820" s="1324">
        <f>+Q808*'Tax &amp; Debt Inputs'!$C$3</f>
        <v>-60.11211128707123</v>
      </c>
      <c r="V820" s="1324" t="s">
        <v>5612</v>
      </c>
      <c r="Y820" s="1324"/>
    </row>
    <row r="821" spans="1:25">
      <c r="A821" s="1320" t="s">
        <v>4877</v>
      </c>
      <c r="C821" s="1322">
        <v>150</v>
      </c>
      <c r="D821" s="1320" t="s">
        <v>5613</v>
      </c>
      <c r="F821" s="1427">
        <f>SUM(F812:F820)</f>
        <v>64209.40725677587</v>
      </c>
      <c r="G821" s="1427">
        <f>SUM(G812:G820)</f>
        <v>652.09755490384487</v>
      </c>
      <c r="H821" s="1427">
        <f>SUM(H812:H820)</f>
        <v>63557.309701872044</v>
      </c>
      <c r="I821" s="1323">
        <f t="shared" si="379"/>
        <v>0.98984420534679496</v>
      </c>
      <c r="J821" s="1421">
        <f t="shared" ref="J821:Q821" si="380">SUM(J812:J820)</f>
        <v>63557.309701872044</v>
      </c>
      <c r="K821" s="1421">
        <f t="shared" si="380"/>
        <v>45680.211161704268</v>
      </c>
      <c r="L821" s="1421">
        <f t="shared" si="380"/>
        <v>6574.9293369873822</v>
      </c>
      <c r="M821" s="1421">
        <f t="shared" si="380"/>
        <v>1220.1229624691912</v>
      </c>
      <c r="N821" s="1422">
        <f t="shared" si="380"/>
        <v>1703.993240323086</v>
      </c>
      <c r="O821" s="1422">
        <f>SUM(O812:O820)</f>
        <v>321.82457150840634</v>
      </c>
      <c r="P821" s="1422">
        <f>SUM(P812:P820)</f>
        <v>1315.9673778683205</v>
      </c>
      <c r="Q821" s="1421">
        <f t="shared" si="380"/>
        <v>6754.1723960113559</v>
      </c>
      <c r="V821" s="1324" t="s">
        <v>5614</v>
      </c>
      <c r="Y821" s="1324"/>
    </row>
    <row r="822" spans="1:25">
      <c r="A822" s="1320" t="s">
        <v>4877</v>
      </c>
      <c r="C822" s="1322">
        <v>151</v>
      </c>
      <c r="G822" s="1320"/>
      <c r="I822" s="1320"/>
      <c r="K822" s="1320"/>
      <c r="L822" s="1320"/>
      <c r="M822" s="1320"/>
      <c r="N822" s="1320"/>
      <c r="O822" s="1324"/>
      <c r="Q822" s="1320"/>
      <c r="U822" s="1320"/>
    </row>
    <row r="823" spans="1:25">
      <c r="A823" s="1320" t="s">
        <v>4877</v>
      </c>
      <c r="C823" s="1322">
        <v>152</v>
      </c>
      <c r="D823" s="1356" t="s">
        <v>5615</v>
      </c>
      <c r="G823" s="1320"/>
      <c r="M823" s="1324"/>
      <c r="P823" s="1325"/>
      <c r="Y823" s="1324"/>
    </row>
    <row r="824" spans="1:25">
      <c r="A824" s="1320" t="s">
        <v>4877</v>
      </c>
      <c r="B824" s="1321">
        <v>101</v>
      </c>
      <c r="C824" s="1322">
        <v>153</v>
      </c>
      <c r="D824" s="1320" t="s">
        <v>5265</v>
      </c>
      <c r="E824" s="1320" t="s">
        <v>4067</v>
      </c>
      <c r="F824" s="1320">
        <f>+'0 MDS Allocation Assignment'!F259</f>
        <v>-68897.406480517937</v>
      </c>
      <c r="G824" s="1358">
        <f>+$F824*G$1933</f>
        <v>0</v>
      </c>
      <c r="H824" s="1358">
        <f>+$F824*H$1933</f>
        <v>-68897.406480517937</v>
      </c>
      <c r="I824" s="1323">
        <f t="shared" ref="I824:I832" si="381">IF(F824=0,0,+H824/F824)</f>
        <v>1</v>
      </c>
      <c r="J824" s="1364">
        <f t="shared" ref="J824:J831" si="382">+H824</f>
        <v>-68897.406480517937</v>
      </c>
      <c r="K824" s="1324">
        <f t="shared" ref="K824:Q824" si="383">$J824*K$1951</f>
        <v>-39961.394189404651</v>
      </c>
      <c r="L824" s="1324">
        <f t="shared" si="383"/>
        <v>-3296.4119478215976</v>
      </c>
      <c r="M824" s="1324">
        <f t="shared" si="383"/>
        <v>-21072.305505822242</v>
      </c>
      <c r="N824" s="1324">
        <f t="shared" si="383"/>
        <v>-2630.5979426411577</v>
      </c>
      <c r="O824" s="1324">
        <f t="shared" si="383"/>
        <v>-1887.8491428963348</v>
      </c>
      <c r="P824" s="1324">
        <f t="shared" si="383"/>
        <v>-48.847751931954733</v>
      </c>
      <c r="Q824" s="1324">
        <f t="shared" si="383"/>
        <v>0</v>
      </c>
      <c r="R824" s="1324"/>
      <c r="S824" s="1324">
        <v>122</v>
      </c>
      <c r="V824" s="1326" t="s">
        <v>5227</v>
      </c>
      <c r="W824" s="1321">
        <v>122</v>
      </c>
      <c r="Y824" s="1324"/>
    </row>
    <row r="825" spans="1:25">
      <c r="A825" s="1320" t="s">
        <v>4877</v>
      </c>
      <c r="B825" s="1326">
        <v>101</v>
      </c>
      <c r="C825" s="1322">
        <v>154</v>
      </c>
      <c r="D825" s="1324" t="s">
        <v>5265</v>
      </c>
      <c r="E825" s="1324" t="s">
        <v>2067</v>
      </c>
      <c r="F825" s="1320">
        <f>+'0 MDS Allocation Assignment'!F260</f>
        <v>-4761.2269711501331</v>
      </c>
      <c r="G825" s="1364">
        <f>+$F825*G$1933</f>
        <v>0</v>
      </c>
      <c r="H825" s="1364">
        <f>+$F825*H$1933</f>
        <v>-4761.2269711501331</v>
      </c>
      <c r="I825" s="1374">
        <f t="shared" si="381"/>
        <v>1</v>
      </c>
      <c r="J825" s="1364">
        <f t="shared" si="382"/>
        <v>-4761.2269711501331</v>
      </c>
      <c r="K825" s="1364">
        <f t="shared" ref="K825:Q825" si="384">+$J825*K$1966</f>
        <v>-2402.6778932315392</v>
      </c>
      <c r="L825" s="1364">
        <f t="shared" si="384"/>
        <v>-222.03556382689484</v>
      </c>
      <c r="M825" s="1364">
        <f t="shared" si="384"/>
        <v>-1654.07870905451</v>
      </c>
      <c r="N825" s="1367">
        <f t="shared" si="384"/>
        <v>-263.30273494356294</v>
      </c>
      <c r="O825" s="1367">
        <f t="shared" si="384"/>
        <v>-193.97824875907392</v>
      </c>
      <c r="P825" s="1367">
        <f t="shared" si="384"/>
        <v>-25.153821334552088</v>
      </c>
      <c r="Q825" s="1364">
        <f t="shared" si="384"/>
        <v>0</v>
      </c>
      <c r="R825" s="1364"/>
      <c r="S825" s="1324">
        <v>201</v>
      </c>
      <c r="T825" s="1324"/>
      <c r="V825" s="1326" t="s">
        <v>5235</v>
      </c>
      <c r="W825" s="1321">
        <v>201</v>
      </c>
      <c r="Y825" s="1324"/>
    </row>
    <row r="826" spans="1:25">
      <c r="A826" s="1320" t="s">
        <v>4877</v>
      </c>
      <c r="B826" s="1321">
        <v>117</v>
      </c>
      <c r="C826" s="1322">
        <v>155</v>
      </c>
      <c r="D826" s="1320" t="s">
        <v>5268</v>
      </c>
      <c r="E826" s="1320" t="s">
        <v>4067</v>
      </c>
      <c r="F826" s="1320">
        <f>+'0 MDS Allocation Assignment'!F261</f>
        <v>-1553.8940078238429</v>
      </c>
      <c r="G826" s="1358">
        <f>+$F826*G$1942</f>
        <v>-100.67190727406822</v>
      </c>
      <c r="H826" s="1358">
        <f>+$F826*H$1942</f>
        <v>-1453.2221005497745</v>
      </c>
      <c r="I826" s="1323">
        <f t="shared" si="381"/>
        <v>0.93521314403222733</v>
      </c>
      <c r="J826" s="1364">
        <f t="shared" si="382"/>
        <v>-1453.2221005497745</v>
      </c>
      <c r="K826" s="1364">
        <f t="shared" ref="K826:Q827" si="385">+$J826*K$1945</f>
        <v>-842.88776851484783</v>
      </c>
      <c r="L826" s="1364">
        <f t="shared" si="385"/>
        <v>-69.529739068556353</v>
      </c>
      <c r="M826" s="1364">
        <f t="shared" si="385"/>
        <v>-444.46869098413367</v>
      </c>
      <c r="N826" s="1367">
        <f t="shared" si="385"/>
        <v>-55.486022815501492</v>
      </c>
      <c r="O826" s="1367">
        <f t="shared" si="385"/>
        <v>-39.819555439095808</v>
      </c>
      <c r="P826" s="1367">
        <f t="shared" si="385"/>
        <v>-1.0303237276393327</v>
      </c>
      <c r="Q826" s="1364">
        <f t="shared" si="385"/>
        <v>0</v>
      </c>
      <c r="R826" s="1358"/>
      <c r="S826" s="1320">
        <v>117</v>
      </c>
      <c r="V826" s="1326" t="s">
        <v>5228</v>
      </c>
      <c r="W826" s="1321">
        <v>117</v>
      </c>
      <c r="Y826" s="1324"/>
    </row>
    <row r="827" spans="1:25">
      <c r="A827" s="1320" t="s">
        <v>4877</v>
      </c>
      <c r="B827" s="1321">
        <v>117</v>
      </c>
      <c r="C827" s="1322">
        <v>156</v>
      </c>
      <c r="D827" s="1320" t="s">
        <v>5239</v>
      </c>
      <c r="E827" s="1320" t="s">
        <v>4067</v>
      </c>
      <c r="F827" s="1320">
        <f>+'0 MDS Allocation Assignment'!F262</f>
        <v>-1161.7653124633177</v>
      </c>
      <c r="G827" s="1358">
        <f>+$F827*G$1942</f>
        <v>-75.267121966915298</v>
      </c>
      <c r="H827" s="1358">
        <f>+$F827*H$1942</f>
        <v>-1086.4981904964025</v>
      </c>
      <c r="I827" s="1323">
        <f t="shared" si="381"/>
        <v>0.93521314403222744</v>
      </c>
      <c r="J827" s="1364">
        <f t="shared" si="382"/>
        <v>-1086.4981904964025</v>
      </c>
      <c r="K827" s="1364">
        <f t="shared" si="385"/>
        <v>-630.18311855873526</v>
      </c>
      <c r="L827" s="1364">
        <f t="shared" si="385"/>
        <v>-51.983750904348454</v>
      </c>
      <c r="M827" s="1364">
        <f t="shared" si="385"/>
        <v>-332.30600353784365</v>
      </c>
      <c r="N827" s="1367">
        <f t="shared" si="385"/>
        <v>-41.483998463880795</v>
      </c>
      <c r="O827" s="1367">
        <f t="shared" si="385"/>
        <v>-29.770999845502928</v>
      </c>
      <c r="P827" s="1367">
        <f t="shared" si="385"/>
        <v>-0.7703191860914731</v>
      </c>
      <c r="Q827" s="1364">
        <f t="shared" si="385"/>
        <v>0</v>
      </c>
      <c r="R827" s="1358"/>
      <c r="S827" s="1320">
        <v>117</v>
      </c>
      <c r="V827" s="1326" t="s">
        <v>5228</v>
      </c>
      <c r="W827" s="1321">
        <v>117</v>
      </c>
      <c r="Y827" s="1324"/>
    </row>
    <row r="828" spans="1:25">
      <c r="A828" s="1320" t="s">
        <v>4877</v>
      </c>
      <c r="B828" s="1321">
        <v>105</v>
      </c>
      <c r="C828" s="1322">
        <v>157</v>
      </c>
      <c r="D828" s="1320" t="s">
        <v>5240</v>
      </c>
      <c r="E828" s="1320" t="s">
        <v>4067</v>
      </c>
      <c r="F828" s="1320">
        <f>+'0 MDS Allocation Assignment'!F263</f>
        <v>-4054.7767288160089</v>
      </c>
      <c r="G828" s="1358">
        <f>+$F828*G$1936</f>
        <v>0</v>
      </c>
      <c r="H828" s="1358">
        <f>+$F828*H$1936</f>
        <v>-4054.7767288160089</v>
      </c>
      <c r="I828" s="1323">
        <f t="shared" si="381"/>
        <v>1</v>
      </c>
      <c r="J828" s="1364">
        <f t="shared" si="382"/>
        <v>-4054.7767288160089</v>
      </c>
      <c r="K828" s="1364">
        <f t="shared" ref="K828:Q828" si="386">+$J828*K$1936</f>
        <v>-2523.7579614122142</v>
      </c>
      <c r="L828" s="1364">
        <f t="shared" si="386"/>
        <v>-179.49599595047462</v>
      </c>
      <c r="M828" s="1364">
        <f t="shared" si="386"/>
        <v>-1201.8377655034853</v>
      </c>
      <c r="N828" s="1367">
        <f t="shared" si="386"/>
        <v>-126.40916867270339</v>
      </c>
      <c r="O828" s="1367">
        <f t="shared" si="386"/>
        <v>-8.6309717774199469E-5</v>
      </c>
      <c r="P828" s="1367">
        <f t="shared" si="386"/>
        <v>-23.275750967414293</v>
      </c>
      <c r="Q828" s="1364">
        <f t="shared" si="386"/>
        <v>0</v>
      </c>
      <c r="R828" s="1358"/>
      <c r="S828" s="1320">
        <v>105</v>
      </c>
      <c r="V828" s="1326" t="s">
        <v>5229</v>
      </c>
      <c r="W828" s="1321">
        <v>105</v>
      </c>
      <c r="Y828" s="1324"/>
    </row>
    <row r="829" spans="1:25">
      <c r="A829" s="1320" t="s">
        <v>4877</v>
      </c>
      <c r="B829" s="1321">
        <v>106</v>
      </c>
      <c r="C829" s="1322">
        <v>158</v>
      </c>
      <c r="D829" s="1320" t="s">
        <v>5241</v>
      </c>
      <c r="E829" s="1320" t="s">
        <v>4067</v>
      </c>
      <c r="F829" s="1320">
        <f>+'0 MDS Allocation Assignment'!F264</f>
        <v>-1277.9307771508202</v>
      </c>
      <c r="G829" s="1358">
        <f>+$F829*G$1939</f>
        <v>0</v>
      </c>
      <c r="H829" s="1358">
        <f>+$F829*H$1939</f>
        <v>-1277.9307771508202</v>
      </c>
      <c r="I829" s="1323">
        <f t="shared" si="381"/>
        <v>1</v>
      </c>
      <c r="J829" s="1364">
        <f t="shared" si="382"/>
        <v>-1277.9307771508202</v>
      </c>
      <c r="K829" s="1364">
        <f t="shared" ref="K829:Q829" si="387">+$J829*K$1939</f>
        <v>-932.42080063950243</v>
      </c>
      <c r="L829" s="1364">
        <f t="shared" si="387"/>
        <v>-75.07837949287682</v>
      </c>
      <c r="M829" s="1364">
        <f t="shared" si="387"/>
        <v>-265.80877417968338</v>
      </c>
      <c r="N829" s="1367">
        <f t="shared" si="387"/>
        <v>0</v>
      </c>
      <c r="O829" s="1367">
        <f t="shared" si="387"/>
        <v>0</v>
      </c>
      <c r="P829" s="1367">
        <f t="shared" si="387"/>
        <v>-4.6228228387574388</v>
      </c>
      <c r="Q829" s="1364">
        <f t="shared" si="387"/>
        <v>0</v>
      </c>
      <c r="R829" s="1358"/>
      <c r="S829" s="1320">
        <v>106</v>
      </c>
      <c r="V829" s="1326" t="s">
        <v>5230</v>
      </c>
      <c r="W829" s="1321">
        <v>106</v>
      </c>
      <c r="Y829" s="1324"/>
    </row>
    <row r="830" spans="1:25">
      <c r="A830" s="1320" t="s">
        <v>4877</v>
      </c>
      <c r="B830" s="1321">
        <v>907</v>
      </c>
      <c r="C830" s="1322">
        <v>159</v>
      </c>
      <c r="D830" s="1320" t="s">
        <v>5242</v>
      </c>
      <c r="E830" s="1320" t="s">
        <v>4071</v>
      </c>
      <c r="F830" s="1320">
        <f>+'0 MDS Allocation Assignment'!F265</f>
        <v>-7206.1482686802538</v>
      </c>
      <c r="G830" s="1358">
        <f>+$F830*G$2052</f>
        <v>0</v>
      </c>
      <c r="H830" s="1358">
        <f>+$F830*H$2052</f>
        <v>-7206.1482686802538</v>
      </c>
      <c r="I830" s="1323">
        <f t="shared" si="381"/>
        <v>1</v>
      </c>
      <c r="J830" s="1364">
        <f t="shared" si="382"/>
        <v>-7206.1482686802538</v>
      </c>
      <c r="K830" s="1364">
        <f t="shared" ref="K830:Q830" si="388">+$J830*K$2052</f>
        <v>-2656.5949940195746</v>
      </c>
      <c r="L830" s="1364">
        <f t="shared" si="388"/>
        <v>-402.97053015104825</v>
      </c>
      <c r="M830" s="1364">
        <f t="shared" si="388"/>
        <v>-194.2717875634028</v>
      </c>
      <c r="N830" s="1367">
        <f t="shared" si="388"/>
        <v>-12.523758250775824</v>
      </c>
      <c r="O830" s="1367">
        <f t="shared" si="388"/>
        <v>-13.663945975470494</v>
      </c>
      <c r="P830" s="1367">
        <f t="shared" si="388"/>
        <v>-3.1360386606748962</v>
      </c>
      <c r="Q830" s="1364">
        <f t="shared" si="388"/>
        <v>-3922.9872140593075</v>
      </c>
      <c r="R830" s="1358"/>
      <c r="S830" s="1320">
        <v>907</v>
      </c>
      <c r="V830" s="1326" t="s">
        <v>5243</v>
      </c>
      <c r="W830" s="1321">
        <v>907</v>
      </c>
      <c r="Y830" s="1324"/>
    </row>
    <row r="831" spans="1:25">
      <c r="A831" s="1320" t="s">
        <v>4877</v>
      </c>
      <c r="B831" s="1320">
        <v>412</v>
      </c>
      <c r="C831" s="1322">
        <v>160</v>
      </c>
      <c r="D831" s="1324" t="s">
        <v>5244</v>
      </c>
      <c r="E831" s="1324" t="s">
        <v>4071</v>
      </c>
      <c r="F831" s="1320">
        <f>+'0 MDS Allocation Assignment'!F266</f>
        <v>-852.62029339770424</v>
      </c>
      <c r="G831" s="1364">
        <f>+$F831*G$2018</f>
        <v>0</v>
      </c>
      <c r="H831" s="1364">
        <f>+$F831*H$2018</f>
        <v>-852.62029339770424</v>
      </c>
      <c r="I831" s="1323">
        <f t="shared" si="381"/>
        <v>1</v>
      </c>
      <c r="J831" s="1364">
        <f t="shared" si="382"/>
        <v>-852.62029339770424</v>
      </c>
      <c r="K831" s="1364">
        <f t="shared" ref="K831:Q831" si="389">+$J831*K$2018</f>
        <v>-760.44079750054573</v>
      </c>
      <c r="L831" s="1364">
        <f t="shared" si="389"/>
        <v>-73.717889682509309</v>
      </c>
      <c r="M831" s="1364">
        <f t="shared" si="389"/>
        <v>-18.156087988410615</v>
      </c>
      <c r="N831" s="1367">
        <f t="shared" si="389"/>
        <v>-6.1301391672464081E-2</v>
      </c>
      <c r="O831" s="1367">
        <f t="shared" si="389"/>
        <v>-1.0876053361243629E-2</v>
      </c>
      <c r="P831" s="1367">
        <f t="shared" si="389"/>
        <v>-0.23334078120486329</v>
      </c>
      <c r="Q831" s="1364">
        <f t="shared" si="389"/>
        <v>0</v>
      </c>
      <c r="R831" s="1358"/>
      <c r="S831" s="1320">
        <v>412</v>
      </c>
      <c r="V831" s="1326" t="s">
        <v>5245</v>
      </c>
      <c r="W831" s="1321">
        <v>412</v>
      </c>
      <c r="Y831" s="1324"/>
    </row>
    <row r="832" spans="1:25">
      <c r="A832" s="1320" t="s">
        <v>4877</v>
      </c>
      <c r="C832" s="1322">
        <v>161</v>
      </c>
      <c r="D832" s="1320" t="s">
        <v>5616</v>
      </c>
      <c r="F832" s="1427">
        <f>+SUM(F824:F831)</f>
        <v>-89765.768840000004</v>
      </c>
      <c r="G832" s="1427">
        <f>SUM(G824:G831)</f>
        <v>-175.93902924098353</v>
      </c>
      <c r="H832" s="1427">
        <f>SUM(H824:H831)</f>
        <v>-89589.829810759024</v>
      </c>
      <c r="I832" s="1323">
        <f t="shared" si="381"/>
        <v>0.99804002091761079</v>
      </c>
      <c r="J832" s="1421">
        <f t="shared" ref="J832:Q832" si="390">SUM(J824:J831)</f>
        <v>-89589.829810759024</v>
      </c>
      <c r="K832" s="1421">
        <f t="shared" si="390"/>
        <v>-50710.357523281615</v>
      </c>
      <c r="L832" s="1421">
        <f t="shared" si="390"/>
        <v>-4371.2237968983063</v>
      </c>
      <c r="M832" s="1421">
        <f t="shared" si="390"/>
        <v>-25183.233324633711</v>
      </c>
      <c r="N832" s="1422">
        <f t="shared" si="390"/>
        <v>-3129.8649271792542</v>
      </c>
      <c r="O832" s="1422">
        <f>SUM(O824:O831)</f>
        <v>-2165.0928552785572</v>
      </c>
      <c r="P832" s="1422">
        <f>SUM(P824:P831)</f>
        <v>-107.07016942828912</v>
      </c>
      <c r="Q832" s="1421">
        <f t="shared" si="390"/>
        <v>-3922.9872140593075</v>
      </c>
      <c r="R832" s="1358"/>
      <c r="V832" s="1324" t="s">
        <v>5617</v>
      </c>
      <c r="Y832" s="1324"/>
    </row>
    <row r="833" spans="1:25">
      <c r="A833" s="1320" t="s">
        <v>4877</v>
      </c>
      <c r="C833" s="1322">
        <v>162</v>
      </c>
      <c r="M833" s="1324"/>
      <c r="P833" s="1325"/>
      <c r="Y833" s="1324"/>
    </row>
    <row r="834" spans="1:25">
      <c r="A834" s="1320" t="s">
        <v>4877</v>
      </c>
      <c r="C834" s="1322">
        <v>163</v>
      </c>
      <c r="D834" s="1356" t="s">
        <v>5618</v>
      </c>
      <c r="G834" s="1320"/>
      <c r="M834" s="1324"/>
      <c r="P834" s="1325"/>
      <c r="Y834" s="1324"/>
    </row>
    <row r="835" spans="1:25">
      <c r="A835" s="1320" t="s">
        <v>4877</v>
      </c>
      <c r="C835" s="1322">
        <v>164</v>
      </c>
      <c r="D835" s="1320" t="s">
        <v>5354</v>
      </c>
      <c r="E835" s="1320" t="s">
        <v>4777</v>
      </c>
      <c r="F835" s="1320">
        <f>+F773+F812</f>
        <v>377299.48938974226</v>
      </c>
      <c r="G835" s="1320">
        <f>+G773+G812</f>
        <v>2009.6128011137405</v>
      </c>
      <c r="H835" s="1320">
        <f>+H773+H812</f>
        <v>375289.87658862851</v>
      </c>
      <c r="I835" s="1323">
        <f>IF(F835=0,0,+H835/F835)</f>
        <v>0.99467369329239175</v>
      </c>
      <c r="J835" s="1320">
        <f t="shared" ref="J835:Q835" si="391">+J773+J812</f>
        <v>375289.87658862851</v>
      </c>
      <c r="K835" s="1320">
        <f t="shared" si="391"/>
        <v>233327.02508577303</v>
      </c>
      <c r="L835" s="1320">
        <f t="shared" si="391"/>
        <v>24132.223085941998</v>
      </c>
      <c r="M835" s="1320">
        <f t="shared" si="391"/>
        <v>78691.72825208251</v>
      </c>
      <c r="N835" s="1320">
        <f t="shared" si="391"/>
        <v>11241.250863781001</v>
      </c>
      <c r="O835" s="1320">
        <f t="shared" si="391"/>
        <v>6030.9194946600001</v>
      </c>
      <c r="P835" s="1320">
        <f t="shared" si="391"/>
        <v>2256.1299697530026</v>
      </c>
      <c r="Q835" s="1320">
        <f t="shared" si="391"/>
        <v>19610.599836636997</v>
      </c>
      <c r="V835" s="1320" t="s">
        <v>5619</v>
      </c>
      <c r="Y835" s="1324"/>
    </row>
    <row r="836" spans="1:25">
      <c r="A836" s="1320" t="s">
        <v>4877</v>
      </c>
      <c r="C836" s="1322">
        <v>165</v>
      </c>
      <c r="D836" s="1320" t="s">
        <v>5265</v>
      </c>
      <c r="E836" s="1320" t="s">
        <v>4067</v>
      </c>
      <c r="F836" s="1320">
        <f t="shared" ref="F836:H843" si="392">+F774+F813+F824</f>
        <v>-220178.28230906744</v>
      </c>
      <c r="G836" s="1320">
        <f t="shared" si="392"/>
        <v>0</v>
      </c>
      <c r="H836" s="1320">
        <f t="shared" si="392"/>
        <v>-220178.28230906744</v>
      </c>
      <c r="I836" s="1323">
        <f t="shared" ref="I836:I843" si="393">IF(F836=0,0,+H836/F836)</f>
        <v>1</v>
      </c>
      <c r="J836" s="1320">
        <f t="shared" ref="J836:Q843" si="394">+J774+J813+J824</f>
        <v>-220178.28230906744</v>
      </c>
      <c r="K836" s="1320">
        <f t="shared" si="394"/>
        <v>-127706.27489130013</v>
      </c>
      <c r="L836" s="1320">
        <f t="shared" si="394"/>
        <v>-10534.479562154203</v>
      </c>
      <c r="M836" s="1320">
        <f t="shared" si="394"/>
        <v>-67341.635448582529</v>
      </c>
      <c r="N836" s="1320">
        <f t="shared" si="394"/>
        <v>-8406.7102964213482</v>
      </c>
      <c r="O836" s="1320">
        <f t="shared" si="394"/>
        <v>-6033.0773359240611</v>
      </c>
      <c r="P836" s="1320">
        <f t="shared" si="394"/>
        <v>-156.10477468521935</v>
      </c>
      <c r="Q836" s="1320">
        <f t="shared" si="394"/>
        <v>0</v>
      </c>
      <c r="V836" s="1320" t="s">
        <v>5620</v>
      </c>
      <c r="Y836" s="1324"/>
    </row>
    <row r="837" spans="1:25">
      <c r="A837" s="1320" t="s">
        <v>4877</v>
      </c>
      <c r="C837" s="1322">
        <v>166</v>
      </c>
      <c r="D837" s="1320" t="s">
        <v>5265</v>
      </c>
      <c r="E837" s="1320" t="s">
        <v>2067</v>
      </c>
      <c r="F837" s="1320">
        <f t="shared" si="392"/>
        <v>-26368.053646458557</v>
      </c>
      <c r="G837" s="1320">
        <f t="shared" si="392"/>
        <v>-4.6863011501864092E-4</v>
      </c>
      <c r="H837" s="1320">
        <f t="shared" si="392"/>
        <v>-26368.053177828442</v>
      </c>
      <c r="I837" s="1323">
        <f t="shared" si="393"/>
        <v>0.99999998222735276</v>
      </c>
      <c r="J837" s="1320">
        <f t="shared" si="394"/>
        <v>-26368.053177828442</v>
      </c>
      <c r="K837" s="1320">
        <f t="shared" si="394"/>
        <v>-13297.255273867873</v>
      </c>
      <c r="L837" s="1320">
        <f t="shared" si="394"/>
        <v>-1228.8220490980657</v>
      </c>
      <c r="M837" s="1320">
        <f t="shared" si="394"/>
        <v>-9154.2469755633101</v>
      </c>
      <c r="N837" s="1320">
        <f t="shared" si="394"/>
        <v>-1457.2089295511428</v>
      </c>
      <c r="O837" s="1320">
        <f t="shared" si="394"/>
        <v>-1073.5431072943584</v>
      </c>
      <c r="P837" s="1320">
        <f t="shared" si="394"/>
        <v>-139.20999745369127</v>
      </c>
      <c r="Q837" s="1320">
        <f t="shared" si="394"/>
        <v>0</v>
      </c>
      <c r="V837" s="1320" t="s">
        <v>5621</v>
      </c>
      <c r="Y837" s="1324"/>
    </row>
    <row r="838" spans="1:25">
      <c r="A838" s="1320" t="s">
        <v>4877</v>
      </c>
      <c r="C838" s="1322">
        <v>167</v>
      </c>
      <c r="D838" s="1324" t="s">
        <v>5268</v>
      </c>
      <c r="E838" s="1324" t="s">
        <v>4067</v>
      </c>
      <c r="F838" s="1324">
        <f t="shared" si="392"/>
        <v>-9228.8224364631351</v>
      </c>
      <c r="G838" s="1324">
        <f t="shared" si="392"/>
        <v>-597.09101628567385</v>
      </c>
      <c r="H838" s="1324">
        <f t="shared" si="392"/>
        <v>-8631.7314201774625</v>
      </c>
      <c r="I838" s="1374">
        <f t="shared" si="393"/>
        <v>0.93530149481188818</v>
      </c>
      <c r="J838" s="1324">
        <f t="shared" si="394"/>
        <v>-8631.7314201774625</v>
      </c>
      <c r="K838" s="1324">
        <f t="shared" si="394"/>
        <v>-5006.516782548535</v>
      </c>
      <c r="L838" s="1324">
        <f t="shared" si="394"/>
        <v>-412.98713605287764</v>
      </c>
      <c r="M838" s="1324">
        <f t="shared" si="394"/>
        <v>-2640.0192811556335</v>
      </c>
      <c r="N838" s="1324">
        <f t="shared" si="394"/>
        <v>-329.57140297829062</v>
      </c>
      <c r="O838" s="1324">
        <f t="shared" si="394"/>
        <v>-236.51698366761053</v>
      </c>
      <c r="P838" s="1324">
        <f t="shared" si="394"/>
        <v>-6.1198337745168239</v>
      </c>
      <c r="Q838" s="1324">
        <f t="shared" si="394"/>
        <v>0</v>
      </c>
      <c r="R838" s="1324"/>
      <c r="S838" s="1324"/>
      <c r="T838" s="1324"/>
      <c r="V838" s="1320" t="s">
        <v>5622</v>
      </c>
      <c r="Y838" s="1324"/>
    </row>
    <row r="839" spans="1:25">
      <c r="A839" s="1320" t="s">
        <v>4877</v>
      </c>
      <c r="C839" s="1322">
        <v>168</v>
      </c>
      <c r="D839" s="1320" t="s">
        <v>5239</v>
      </c>
      <c r="E839" s="1320" t="s">
        <v>4067</v>
      </c>
      <c r="F839" s="1320">
        <f t="shared" si="392"/>
        <v>-11677.066660826475</v>
      </c>
      <c r="G839" s="1320">
        <f t="shared" si="392"/>
        <v>-755.63532507925004</v>
      </c>
      <c r="H839" s="1320">
        <f t="shared" si="392"/>
        <v>-10921.431335747224</v>
      </c>
      <c r="I839" s="1323">
        <f t="shared" si="393"/>
        <v>0.93528894310296173</v>
      </c>
      <c r="J839" s="1320">
        <f t="shared" si="394"/>
        <v>-10921.431335747224</v>
      </c>
      <c r="K839" s="1320">
        <f t="shared" si="394"/>
        <v>-6334.5725915491694</v>
      </c>
      <c r="L839" s="1320">
        <f t="shared" si="394"/>
        <v>-522.53834478733927</v>
      </c>
      <c r="M839" s="1320">
        <f t="shared" si="394"/>
        <v>-3340.3251214224188</v>
      </c>
      <c r="N839" s="1320">
        <f t="shared" si="394"/>
        <v>-416.99530171193373</v>
      </c>
      <c r="O839" s="1320">
        <f t="shared" si="394"/>
        <v>-299.25676218627632</v>
      </c>
      <c r="P839" s="1320">
        <f t="shared" si="394"/>
        <v>-7.7432140900878661</v>
      </c>
      <c r="Q839" s="1320">
        <f t="shared" si="394"/>
        <v>0</v>
      </c>
      <c r="V839" s="1320" t="s">
        <v>5623</v>
      </c>
      <c r="Y839" s="1324"/>
    </row>
    <row r="840" spans="1:25">
      <c r="A840" s="1320" t="s">
        <v>4877</v>
      </c>
      <c r="C840" s="1322">
        <v>169</v>
      </c>
      <c r="D840" s="1320" t="s">
        <v>5240</v>
      </c>
      <c r="E840" s="1320" t="s">
        <v>4067</v>
      </c>
      <c r="F840" s="1320">
        <f t="shared" si="392"/>
        <v>-45862.235866387622</v>
      </c>
      <c r="G840" s="1320">
        <f t="shared" si="392"/>
        <v>0</v>
      </c>
      <c r="H840" s="1320">
        <f t="shared" si="392"/>
        <v>-45862.235866387622</v>
      </c>
      <c r="I840" s="1323">
        <f t="shared" si="393"/>
        <v>1</v>
      </c>
      <c r="J840" s="1320">
        <f t="shared" si="394"/>
        <v>-45862.235866387622</v>
      </c>
      <c r="K840" s="1320">
        <f t="shared" si="394"/>
        <v>-28545.389952890961</v>
      </c>
      <c r="L840" s="1320">
        <f t="shared" si="394"/>
        <v>-2030.219726982745</v>
      </c>
      <c r="M840" s="1320">
        <f t="shared" si="394"/>
        <v>-13593.588688358628</v>
      </c>
      <c r="N840" s="1320">
        <f t="shared" si="394"/>
        <v>-1429.7722160979097</v>
      </c>
      <c r="O840" s="1320">
        <f t="shared" si="394"/>
        <v>-9.7622061554977931E-4</v>
      </c>
      <c r="P840" s="1320">
        <f t="shared" si="394"/>
        <v>-263.26430583677455</v>
      </c>
      <c r="Q840" s="1320">
        <f t="shared" si="394"/>
        <v>0</v>
      </c>
      <c r="V840" s="1320" t="s">
        <v>5624</v>
      </c>
      <c r="Y840" s="1324"/>
    </row>
    <row r="841" spans="1:25">
      <c r="A841" s="1320" t="s">
        <v>4877</v>
      </c>
      <c r="C841" s="1322">
        <v>170</v>
      </c>
      <c r="D841" s="1324" t="s">
        <v>5241</v>
      </c>
      <c r="E841" s="1324" t="s">
        <v>4067</v>
      </c>
      <c r="F841" s="1324">
        <f t="shared" si="392"/>
        <v>-19669.755864610877</v>
      </c>
      <c r="G841" s="1324">
        <f t="shared" si="392"/>
        <v>0</v>
      </c>
      <c r="H841" s="1324">
        <f t="shared" si="392"/>
        <v>-19669.755864610877</v>
      </c>
      <c r="I841" s="1323">
        <f t="shared" si="393"/>
        <v>1</v>
      </c>
      <c r="J841" s="1324">
        <f t="shared" si="394"/>
        <v>-19669.755864610877</v>
      </c>
      <c r="K841" s="1324">
        <f t="shared" si="394"/>
        <v>-14351.708120337018</v>
      </c>
      <c r="L841" s="1324">
        <f t="shared" si="394"/>
        <v>-1155.5973310448001</v>
      </c>
      <c r="M841" s="1324">
        <f t="shared" si="394"/>
        <v>-4091.2964835565626</v>
      </c>
      <c r="N841" s="1324">
        <f t="shared" si="394"/>
        <v>0</v>
      </c>
      <c r="O841" s="1324">
        <f t="shared" si="394"/>
        <v>0</v>
      </c>
      <c r="P841" s="1324">
        <f t="shared" si="394"/>
        <v>-71.153929672494911</v>
      </c>
      <c r="Q841" s="1324">
        <f t="shared" si="394"/>
        <v>0</v>
      </c>
      <c r="V841" s="1320" t="s">
        <v>5625</v>
      </c>
      <c r="Y841" s="1324"/>
    </row>
    <row r="842" spans="1:25">
      <c r="A842" s="1320" t="s">
        <v>4877</v>
      </c>
      <c r="C842" s="1322">
        <v>171</v>
      </c>
      <c r="D842" s="1320" t="s">
        <v>5242</v>
      </c>
      <c r="E842" s="1320" t="s">
        <v>4071</v>
      </c>
      <c r="F842" s="1320">
        <f t="shared" si="392"/>
        <v>-34074.41624536064</v>
      </c>
      <c r="G842" s="1320">
        <f t="shared" si="392"/>
        <v>0</v>
      </c>
      <c r="H842" s="1320">
        <f t="shared" si="392"/>
        <v>-34074.41624536064</v>
      </c>
      <c r="I842" s="1323">
        <f t="shared" si="393"/>
        <v>1</v>
      </c>
      <c r="J842" s="1320">
        <f t="shared" si="394"/>
        <v>-34074.41624536064</v>
      </c>
      <c r="K842" s="1320">
        <f t="shared" si="394"/>
        <v>-14803.853665496072</v>
      </c>
      <c r="L842" s="1320">
        <f t="shared" si="394"/>
        <v>-2697.3775294295292</v>
      </c>
      <c r="M842" s="1320">
        <f t="shared" si="394"/>
        <v>-1490.3207622894054</v>
      </c>
      <c r="N842" s="1320">
        <f t="shared" si="394"/>
        <v>-108.67826680743246</v>
      </c>
      <c r="O842" s="1320">
        <f t="shared" si="394"/>
        <v>-118.57255119664531</v>
      </c>
      <c r="P842" s="1320">
        <f t="shared" si="394"/>
        <v>-24.875542019127661</v>
      </c>
      <c r="Q842" s="1320">
        <f t="shared" si="394"/>
        <v>-14830.737928122426</v>
      </c>
      <c r="V842" s="1320" t="s">
        <v>5626</v>
      </c>
      <c r="Y842" s="1324"/>
    </row>
    <row r="843" spans="1:25">
      <c r="A843" s="1320" t="s">
        <v>4877</v>
      </c>
      <c r="C843" s="1322">
        <v>172</v>
      </c>
      <c r="D843" s="1320" t="s">
        <v>5244</v>
      </c>
      <c r="E843" s="1320" t="s">
        <v>4071</v>
      </c>
      <c r="F843" s="1350">
        <f t="shared" si="392"/>
        <v>-18001.715806615168</v>
      </c>
      <c r="G843" s="1350">
        <f t="shared" si="392"/>
        <v>0</v>
      </c>
      <c r="H843" s="1350">
        <f t="shared" si="392"/>
        <v>-18001.715806615168</v>
      </c>
      <c r="I843" s="1323">
        <f t="shared" si="393"/>
        <v>1</v>
      </c>
      <c r="J843" s="1350">
        <f t="shared" si="394"/>
        <v>-18001.715806615168</v>
      </c>
      <c r="K843" s="1350">
        <f t="shared" si="394"/>
        <v>-15651.425748127396</v>
      </c>
      <c r="L843" s="1350">
        <f t="shared" si="394"/>
        <v>-1524.2680329231362</v>
      </c>
      <c r="M843" s="1350">
        <f t="shared" si="394"/>
        <v>-665.251341170361</v>
      </c>
      <c r="N843" s="1350">
        <f t="shared" si="394"/>
        <v>-45.927995382190488</v>
      </c>
      <c r="O843" s="1350">
        <f t="shared" si="394"/>
        <v>-24.027059003005686</v>
      </c>
      <c r="P843" s="1350">
        <f t="shared" si="394"/>
        <v>-14.043573542924785</v>
      </c>
      <c r="Q843" s="1350">
        <f t="shared" si="394"/>
        <v>-76.772056466153714</v>
      </c>
      <c r="V843" s="1320" t="s">
        <v>5627</v>
      </c>
      <c r="Y843" s="1324"/>
    </row>
    <row r="844" spans="1:25">
      <c r="A844" s="1320" t="s">
        <v>4877</v>
      </c>
      <c r="C844" s="1322">
        <v>173</v>
      </c>
      <c r="F844" s="1358"/>
      <c r="G844" s="1358"/>
      <c r="H844" s="1358"/>
      <c r="J844" s="1364"/>
      <c r="K844" s="1364"/>
      <c r="L844" s="1364"/>
      <c r="M844" s="1364"/>
      <c r="N844" s="1367"/>
      <c r="O844" s="1367"/>
      <c r="P844" s="1367"/>
      <c r="Q844" s="1364"/>
      <c r="R844" s="1358"/>
      <c r="Y844" s="1324"/>
    </row>
    <row r="845" spans="1:25">
      <c r="A845" s="1320" t="s">
        <v>4877</v>
      </c>
      <c r="C845" s="1322">
        <v>174</v>
      </c>
      <c r="D845" s="1320" t="s">
        <v>5628</v>
      </c>
      <c r="F845" s="1350">
        <f>SUM(F835:F843)</f>
        <v>-7760.8594460476525</v>
      </c>
      <c r="G845" s="1350">
        <f>SUM(G835:G843)</f>
        <v>656.88599111870178</v>
      </c>
      <c r="H845" s="1350">
        <f>SUM(H835:H843)</f>
        <v>-8417.7454371663553</v>
      </c>
      <c r="I845" s="1323">
        <f>IF(F845=0,0,+H845/F845)</f>
        <v>1.0846408823256337</v>
      </c>
      <c r="J845" s="1366">
        <f t="shared" ref="J845:Q845" si="395">SUM(J835:J843)</f>
        <v>-8417.7454371663553</v>
      </c>
      <c r="K845" s="1366">
        <f t="shared" si="395"/>
        <v>7630.0280596558732</v>
      </c>
      <c r="L845" s="1366">
        <f t="shared" si="395"/>
        <v>4025.9333734693009</v>
      </c>
      <c r="M845" s="1366">
        <f t="shared" si="395"/>
        <v>-23624.955850016337</v>
      </c>
      <c r="N845" s="1378">
        <f t="shared" si="395"/>
        <v>-953.61354516924746</v>
      </c>
      <c r="O845" s="1378">
        <f t="shared" si="395"/>
        <v>-1754.0752808325726</v>
      </c>
      <c r="P845" s="1378">
        <f t="shared" si="395"/>
        <v>1573.614798678165</v>
      </c>
      <c r="Q845" s="1366">
        <f t="shared" si="395"/>
        <v>4703.089852048417</v>
      </c>
      <c r="V845" s="1320" t="s">
        <v>5629</v>
      </c>
      <c r="Y845" s="1324"/>
    </row>
    <row r="846" spans="1:25">
      <c r="A846" s="1320" t="s">
        <v>4877</v>
      </c>
      <c r="F846" s="1358"/>
      <c r="G846" s="1358"/>
      <c r="H846" s="1358"/>
      <c r="J846" s="1364"/>
      <c r="K846" s="1364"/>
      <c r="L846" s="1364"/>
      <c r="M846" s="1367"/>
      <c r="N846" s="1367"/>
      <c r="O846" s="1367"/>
      <c r="P846" s="1364"/>
      <c r="Q846" s="1364"/>
      <c r="Y846" s="1324"/>
    </row>
    <row r="847" spans="1:25">
      <c r="F847" s="1358"/>
      <c r="G847" s="1358"/>
      <c r="H847" s="1358"/>
      <c r="J847" s="1364"/>
      <c r="K847" s="1364"/>
      <c r="L847" s="1364"/>
      <c r="M847" s="1367"/>
      <c r="N847" s="1367"/>
      <c r="O847" s="1367"/>
      <c r="P847" s="1364"/>
      <c r="Q847" s="1364"/>
    </row>
    <row r="848" spans="1:25">
      <c r="C848" s="1320"/>
      <c r="G848" s="1320"/>
      <c r="I848" s="1320"/>
      <c r="J848" s="1320"/>
      <c r="K848" s="1320"/>
      <c r="L848" s="1320"/>
      <c r="M848" s="1320"/>
      <c r="N848" s="1320"/>
      <c r="O848" s="1320"/>
      <c r="P848" s="1320"/>
      <c r="Q848" s="1320"/>
      <c r="U848" s="1320"/>
    </row>
    <row r="849" spans="1:25">
      <c r="G849" s="1320"/>
      <c r="I849" s="1320"/>
      <c r="K849" s="1320"/>
      <c r="L849" s="1320"/>
      <c r="M849" s="1320"/>
      <c r="N849" s="1324"/>
      <c r="O849" s="1324"/>
      <c r="P849" s="1320"/>
      <c r="Q849" s="1320"/>
      <c r="U849" s="1320"/>
    </row>
    <row r="850" spans="1:25">
      <c r="G850" s="1320"/>
      <c r="I850" s="1320"/>
      <c r="K850" s="1320"/>
      <c r="L850" s="1320"/>
      <c r="M850" s="1320"/>
      <c r="N850" s="1324"/>
      <c r="O850" s="1324"/>
      <c r="P850" s="1320"/>
      <c r="Q850" s="1320"/>
      <c r="U850" s="1320"/>
    </row>
    <row r="851" spans="1:25">
      <c r="F851" s="1358"/>
      <c r="G851" s="1358"/>
      <c r="H851" s="1358"/>
      <c r="J851" s="1364"/>
      <c r="K851" s="1364"/>
      <c r="L851" s="1364"/>
      <c r="M851" s="1367"/>
      <c r="N851" s="1367"/>
      <c r="O851" s="1367"/>
      <c r="P851" s="1364"/>
      <c r="Q851" s="1364"/>
    </row>
    <row r="852" spans="1:25" s="1324" customFormat="1">
      <c r="C852" s="1393"/>
    </row>
    <row r="853" spans="1:25">
      <c r="B853" s="1432"/>
      <c r="C853" s="1340" t="str">
        <f>+C$2</f>
        <v>RATES WITH REVENUE DEFICIENCY ADDITION</v>
      </c>
      <c r="F853" s="1333"/>
      <c r="G853" s="1327" t="s">
        <v>2173</v>
      </c>
      <c r="I853" s="1334" t="s">
        <v>5590</v>
      </c>
      <c r="L853" s="1329" t="s">
        <v>2173</v>
      </c>
      <c r="M853" s="1330"/>
      <c r="N853" s="1330"/>
      <c r="O853" s="1330"/>
      <c r="S853" s="1334" t="s">
        <v>5630</v>
      </c>
      <c r="T853" s="1333" t="s">
        <v>2173</v>
      </c>
      <c r="U853" s="1334"/>
      <c r="V853" s="1332" t="s">
        <v>4772</v>
      </c>
      <c r="Y853" s="1324"/>
    </row>
    <row r="854" spans="1:25">
      <c r="B854" s="1432"/>
      <c r="C854" s="1340" t="str">
        <f>+C$3</f>
        <v>PROD. CAP. ALLOC. METHOD: 12 CP &amp; 1/13th AD</v>
      </c>
      <c r="G854" s="1336" t="s">
        <v>4768</v>
      </c>
      <c r="I854" s="1335" t="s">
        <v>4064</v>
      </c>
      <c r="L854" s="1336" t="s">
        <v>5141</v>
      </c>
      <c r="M854" s="1337"/>
      <c r="N854" s="1337"/>
      <c r="O854" s="1337"/>
      <c r="R854" s="1331"/>
      <c r="S854" s="1335" t="s">
        <v>4065</v>
      </c>
      <c r="T854" s="1333" t="s">
        <v>5141</v>
      </c>
      <c r="V854" s="1332" t="s">
        <v>5630</v>
      </c>
      <c r="Y854" s="1324"/>
    </row>
    <row r="855" spans="1:25">
      <c r="C855" s="1340" t="str">
        <f>+C$4</f>
        <v>PROJECTED CALENDAR YEAR 2025; FULLY ADJUSTED DATA</v>
      </c>
      <c r="F855" s="1333"/>
      <c r="G855" s="1336" t="s">
        <v>2181</v>
      </c>
      <c r="L855" s="1336" t="s">
        <v>2181</v>
      </c>
      <c r="T855" s="1339"/>
      <c r="Y855" s="1324"/>
    </row>
    <row r="856" spans="1:25">
      <c r="C856" s="1340" t="str">
        <f>+C$5</f>
        <v>MINIMUM DISTRIBUTION SYSTEM (MDS) NOT EMPLOYED</v>
      </c>
      <c r="D856" s="1358"/>
      <c r="G856" s="1320"/>
      <c r="L856" s="1336"/>
      <c r="M856" s="1337"/>
      <c r="N856" s="1337"/>
      <c r="O856" s="1337"/>
      <c r="T856" s="1333"/>
    </row>
    <row r="857" spans="1:25">
      <c r="C857" s="1340" t="str">
        <f>+C$6</f>
        <v>Tampa Electric 2025 OB Budget</v>
      </c>
      <c r="F857" s="1327"/>
      <c r="G857" s="1333" t="s">
        <v>5631</v>
      </c>
      <c r="L857" s="1336" t="s">
        <v>5631</v>
      </c>
      <c r="M857" s="1337"/>
      <c r="N857" s="1337"/>
      <c r="O857" s="1337"/>
      <c r="T857" s="1333" t="s">
        <v>5631</v>
      </c>
    </row>
    <row r="858" spans="1:25">
      <c r="F858" s="1333"/>
      <c r="G858" s="1320"/>
      <c r="L858" s="1336"/>
      <c r="M858" s="1337"/>
      <c r="N858" s="1337"/>
      <c r="O858" s="1337"/>
      <c r="Y858" s="1324"/>
    </row>
    <row r="859" spans="1:25">
      <c r="F859" s="1333"/>
      <c r="G859" s="1320"/>
      <c r="L859" s="1336"/>
      <c r="M859" s="1337"/>
      <c r="N859" s="1337"/>
      <c r="O859" s="1337"/>
      <c r="Y859" s="1324"/>
    </row>
    <row r="860" spans="1:25">
      <c r="G860" s="1320"/>
      <c r="Y860" s="1324"/>
    </row>
    <row r="861" spans="1:25">
      <c r="C861" s="1342"/>
      <c r="D861" s="1331"/>
      <c r="E861" s="1331"/>
      <c r="F861" s="1333"/>
      <c r="G861" s="1333"/>
      <c r="H861" s="1333"/>
      <c r="I861" s="1343"/>
      <c r="J861" s="1416"/>
      <c r="K861" s="1336"/>
      <c r="L861" s="1416"/>
      <c r="M861" s="1417"/>
      <c r="N861" s="1417"/>
      <c r="O861" s="1417"/>
      <c r="P861" s="3164"/>
      <c r="Q861" s="3164"/>
      <c r="R861" s="1333"/>
      <c r="Y861" s="1324"/>
    </row>
    <row r="862" spans="1:25" ht="30" customHeight="1">
      <c r="A862" s="1418" t="s">
        <v>4683</v>
      </c>
      <c r="B862" s="1425" t="s">
        <v>5143</v>
      </c>
      <c r="C862" s="1349" t="s">
        <v>4297</v>
      </c>
      <c r="D862" s="1418"/>
      <c r="E862" s="1418"/>
      <c r="F862" s="1348" t="s">
        <v>5144</v>
      </c>
      <c r="G862" s="1348" t="s">
        <v>4956</v>
      </c>
      <c r="H862" s="1348" t="s">
        <v>4957</v>
      </c>
      <c r="I862" s="1426" t="s">
        <v>5145</v>
      </c>
      <c r="J862" s="1352" t="s">
        <v>4957</v>
      </c>
      <c r="K862" s="1353" t="s">
        <v>1949</v>
      </c>
      <c r="L862" s="1353" t="s">
        <v>1950</v>
      </c>
      <c r="M862" s="1354" t="s">
        <v>1934</v>
      </c>
      <c r="N862" s="1354" t="s">
        <v>1971</v>
      </c>
      <c r="O862" s="1354" t="s">
        <v>1972</v>
      </c>
      <c r="P862" s="1352" t="s">
        <v>5146</v>
      </c>
      <c r="Q862" s="1352" t="s">
        <v>5147</v>
      </c>
      <c r="R862" s="1355"/>
      <c r="S862" s="1348" t="s">
        <v>5299</v>
      </c>
      <c r="T862" s="1348"/>
      <c r="U862" s="1352"/>
      <c r="V862" s="1355" t="s">
        <v>4774</v>
      </c>
      <c r="Y862" s="1324"/>
    </row>
    <row r="863" spans="1:25">
      <c r="G863" s="1320"/>
      <c r="Y863" s="1324"/>
    </row>
    <row r="864" spans="1:25">
      <c r="A864" s="1320" t="s">
        <v>4883</v>
      </c>
      <c r="B864" s="1321"/>
      <c r="C864" s="1322">
        <v>1</v>
      </c>
      <c r="D864" s="1356" t="s">
        <v>5632</v>
      </c>
      <c r="G864" s="1320"/>
      <c r="K864" s="1382"/>
      <c r="S864" s="1321"/>
      <c r="T864" s="1321"/>
      <c r="U864" s="1326"/>
      <c r="Y864" s="1324"/>
    </row>
    <row r="865" spans="1:25" s="1324" customFormat="1">
      <c r="A865" s="1324" t="s">
        <v>4883</v>
      </c>
      <c r="B865" s="1324">
        <v>101</v>
      </c>
      <c r="C865" s="1393">
        <v>2</v>
      </c>
      <c r="D865" s="1324" t="s">
        <v>4813</v>
      </c>
      <c r="E865" s="1324" t="s">
        <v>4067</v>
      </c>
      <c r="F865" s="1324">
        <f>+'0 MDS Allocation Assignment'!F282+'0 MDS Allocation Assignment'!F284</f>
        <v>4493529.4146559993</v>
      </c>
      <c r="G865" s="1364">
        <f t="shared" ref="G865:H867" si="396">+$F865*G$1933</f>
        <v>0</v>
      </c>
      <c r="H865" s="1364">
        <f t="shared" si="396"/>
        <v>4493529.4146559993</v>
      </c>
      <c r="I865" s="1374">
        <f>IF(F865=0,0,+H865/F865)</f>
        <v>1</v>
      </c>
      <c r="J865" s="1364">
        <f>+H865</f>
        <v>4493529.4146559993</v>
      </c>
      <c r="K865" s="1324">
        <f t="shared" ref="K865:Q865" si="397">+$J865*K$1951</f>
        <v>2606305.6566799702</v>
      </c>
      <c r="L865" s="1324">
        <f t="shared" si="397"/>
        <v>214993.9280304891</v>
      </c>
      <c r="M865" s="1324">
        <f t="shared" si="397"/>
        <v>1374348.1716079537</v>
      </c>
      <c r="N865" s="1324">
        <f t="shared" si="397"/>
        <v>171569.14660835773</v>
      </c>
      <c r="O865" s="1324">
        <f t="shared" si="397"/>
        <v>123126.63258865278</v>
      </c>
      <c r="P865" s="1324">
        <f t="shared" si="397"/>
        <v>3185.8791405758575</v>
      </c>
      <c r="Q865" s="1324">
        <f t="shared" si="397"/>
        <v>0</v>
      </c>
      <c r="S865" s="1324">
        <v>122</v>
      </c>
      <c r="V865" s="1326" t="s">
        <v>5227</v>
      </c>
      <c r="W865" s="1326">
        <v>122</v>
      </c>
    </row>
    <row r="866" spans="1:25" s="1324" customFormat="1">
      <c r="A866" s="1324" t="s">
        <v>4883</v>
      </c>
      <c r="B866" s="1324">
        <v>101</v>
      </c>
      <c r="C866" s="1393">
        <v>3</v>
      </c>
      <c r="D866" s="1324" t="s">
        <v>5393</v>
      </c>
      <c r="E866" s="1324" t="s">
        <v>4067</v>
      </c>
      <c r="F866" s="1324">
        <f>+'0 MDS Allocation Assignment'!F285</f>
        <v>2068978.4465800002</v>
      </c>
      <c r="G866" s="1364">
        <f t="shared" si="396"/>
        <v>0</v>
      </c>
      <c r="H866" s="1364">
        <f t="shared" si="396"/>
        <v>2068978.4465800002</v>
      </c>
      <c r="I866" s="1374">
        <f>IF(F866=0,0,+H866/F866)</f>
        <v>1</v>
      </c>
      <c r="J866" s="1364">
        <f>+H866</f>
        <v>2068978.4465800002</v>
      </c>
      <c r="K866" s="1324">
        <f t="shared" ref="K866:Q866" si="398">$J866*K$1948</f>
        <v>1200034.4787513101</v>
      </c>
      <c r="L866" s="1324">
        <f t="shared" si="398"/>
        <v>98990.740283093619</v>
      </c>
      <c r="M866" s="1324">
        <f t="shared" si="398"/>
        <v>632798.07090595644</v>
      </c>
      <c r="N866" s="1324">
        <f t="shared" si="398"/>
        <v>78996.448821063546</v>
      </c>
      <c r="O866" s="1324">
        <f t="shared" si="398"/>
        <v>56691.817393032303</v>
      </c>
      <c r="P866" s="1324">
        <f t="shared" si="398"/>
        <v>1466.8904255442324</v>
      </c>
      <c r="Q866" s="1324">
        <f t="shared" si="398"/>
        <v>0</v>
      </c>
      <c r="S866" s="1324">
        <v>121</v>
      </c>
      <c r="V866" s="1326" t="s">
        <v>5287</v>
      </c>
      <c r="W866" s="1326">
        <v>121</v>
      </c>
    </row>
    <row r="867" spans="1:25">
      <c r="A867" s="1320" t="s">
        <v>4883</v>
      </c>
      <c r="B867" s="1320">
        <v>101</v>
      </c>
      <c r="C867" s="1322">
        <v>4</v>
      </c>
      <c r="D867" s="1320" t="s">
        <v>4814</v>
      </c>
      <c r="E867" s="1320" t="s">
        <v>2067</v>
      </c>
      <c r="F867" s="1366">
        <f>+'0 MDS Allocation Assignment'!F283+'0 MDS Allocation Assignment'!F286</f>
        <v>570339.73520400003</v>
      </c>
      <c r="G867" s="1364">
        <f t="shared" si="396"/>
        <v>0</v>
      </c>
      <c r="H867" s="1364">
        <f t="shared" si="396"/>
        <v>570339.73520400003</v>
      </c>
      <c r="I867" s="1374">
        <f>IF(F867=0,0,+H867/F867)</f>
        <v>1</v>
      </c>
      <c r="J867" s="1366">
        <f>+H867</f>
        <v>570339.73520400003</v>
      </c>
      <c r="K867" s="1366">
        <f t="shared" ref="K867:Q867" si="399">+$J867*K$1966</f>
        <v>287812.92757298599</v>
      </c>
      <c r="L867" s="1366">
        <f t="shared" si="399"/>
        <v>26597.283735102348</v>
      </c>
      <c r="M867" s="1366">
        <f t="shared" si="399"/>
        <v>198139.43310096741</v>
      </c>
      <c r="N867" s="1366">
        <f t="shared" si="399"/>
        <v>31540.611912883622</v>
      </c>
      <c r="O867" s="1366">
        <f t="shared" si="399"/>
        <v>23236.343006319854</v>
      </c>
      <c r="P867" s="1366">
        <f t="shared" si="399"/>
        <v>3013.1358757407984</v>
      </c>
      <c r="Q867" s="1366">
        <f t="shared" si="399"/>
        <v>0</v>
      </c>
      <c r="R867" s="1366"/>
      <c r="S867" s="1366">
        <v>201</v>
      </c>
      <c r="V867" s="1321" t="s">
        <v>5235</v>
      </c>
      <c r="W867" s="1321">
        <v>201</v>
      </c>
    </row>
    <row r="868" spans="1:25" s="1324" customFormat="1">
      <c r="A868" s="1324" t="s">
        <v>4883</v>
      </c>
      <c r="C868" s="1393">
        <v>5</v>
      </c>
      <c r="D868" s="1324" t="s">
        <v>5633</v>
      </c>
      <c r="F868" s="1421">
        <f>+SUM(F865:F867)</f>
        <v>7132847.5964399995</v>
      </c>
      <c r="G868" s="1421">
        <f>+SUM(G865:G867)</f>
        <v>0</v>
      </c>
      <c r="H868" s="1421">
        <f>+SUM(H865:H867)</f>
        <v>7132847.5964399995</v>
      </c>
      <c r="I868" s="1374">
        <f>IF(F868=0,0,+H868/F868)</f>
        <v>1</v>
      </c>
      <c r="J868" s="1421">
        <f>+SUM(J865:J867)</f>
        <v>7132847.5964399995</v>
      </c>
      <c r="K868" s="1421">
        <f>+SUM(K865:K867)</f>
        <v>4094153.0630042665</v>
      </c>
      <c r="L868" s="1421">
        <f t="shared" ref="L868:Q868" si="400">+SUM(L865:L867)</f>
        <v>340581.95204868505</v>
      </c>
      <c r="M868" s="1421">
        <f t="shared" si="400"/>
        <v>2205285.6756148776</v>
      </c>
      <c r="N868" s="1421">
        <f t="shared" si="400"/>
        <v>282106.20734230493</v>
      </c>
      <c r="O868" s="1421">
        <f t="shared" si="400"/>
        <v>203054.79298800495</v>
      </c>
      <c r="P868" s="1421">
        <f t="shared" si="400"/>
        <v>7665.9054418608885</v>
      </c>
      <c r="Q868" s="1421">
        <f t="shared" si="400"/>
        <v>0</v>
      </c>
      <c r="R868" s="1364"/>
      <c r="S868" s="1364"/>
      <c r="V868" s="1324" t="s">
        <v>5634</v>
      </c>
    </row>
    <row r="869" spans="1:25" s="1324" customFormat="1">
      <c r="A869" s="1324" t="s">
        <v>4883</v>
      </c>
      <c r="B869" s="1326"/>
      <c r="C869" s="1393">
        <v>6</v>
      </c>
      <c r="I869" s="1374"/>
      <c r="M869" s="1325"/>
      <c r="N869" s="1325"/>
      <c r="O869" s="1325"/>
      <c r="S869" s="1326"/>
      <c r="T869" s="1326"/>
      <c r="U869" s="1326"/>
    </row>
    <row r="870" spans="1:25" s="1324" customFormat="1">
      <c r="A870" s="1324" t="s">
        <v>4883</v>
      </c>
      <c r="B870" s="1326"/>
      <c r="C870" s="1393">
        <v>7</v>
      </c>
      <c r="I870" s="1374"/>
      <c r="M870" s="1325"/>
      <c r="N870" s="1325"/>
      <c r="O870" s="1325"/>
      <c r="S870" s="1326"/>
      <c r="T870" s="1326"/>
      <c r="U870" s="1326"/>
    </row>
    <row r="871" spans="1:25" s="1324" customFormat="1">
      <c r="A871" s="1324" t="s">
        <v>4883</v>
      </c>
      <c r="B871" s="1326"/>
      <c r="C871" s="1393">
        <v>8</v>
      </c>
      <c r="D871" s="1362" t="s">
        <v>2531</v>
      </c>
      <c r="I871" s="1374"/>
      <c r="M871" s="1325"/>
      <c r="N871" s="1325"/>
      <c r="O871" s="1325"/>
      <c r="S871" s="1326"/>
      <c r="T871" s="1326"/>
      <c r="U871" s="1326"/>
    </row>
    <row r="872" spans="1:25" s="1324" customFormat="1">
      <c r="A872" s="1324" t="s">
        <v>4883</v>
      </c>
      <c r="B872" s="1324">
        <v>101</v>
      </c>
      <c r="C872" s="1393">
        <v>9</v>
      </c>
      <c r="D872" s="1324" t="s">
        <v>5397</v>
      </c>
      <c r="E872" s="1324" t="s">
        <v>4067</v>
      </c>
      <c r="F872" s="1364">
        <f>+'0 MDS Allocation Assignment'!F287</f>
        <v>191967.04717290375</v>
      </c>
      <c r="G872" s="1364">
        <f>+$F872*G$1933</f>
        <v>0</v>
      </c>
      <c r="H872" s="1364">
        <f>+$F872*H$1933</f>
        <v>191967.04717290375</v>
      </c>
      <c r="I872" s="1374">
        <f>IF(F872=0,0,+H872/F872)</f>
        <v>1</v>
      </c>
      <c r="J872" s="1364">
        <f>+H872</f>
        <v>191967.04717290375</v>
      </c>
      <c r="K872" s="1364">
        <f t="shared" ref="K872:Q872" si="401">+$J872*K$1951</f>
        <v>111343.3906343288</v>
      </c>
      <c r="L872" s="1364">
        <f t="shared" si="401"/>
        <v>9184.7066560876883</v>
      </c>
      <c r="M872" s="1364">
        <f t="shared" si="401"/>
        <v>58713.215369316873</v>
      </c>
      <c r="N872" s="1364">
        <f t="shared" si="401"/>
        <v>7329.5664545912005</v>
      </c>
      <c r="O872" s="1364">
        <f t="shared" si="401"/>
        <v>5260.0648410790836</v>
      </c>
      <c r="P872" s="1364">
        <f t="shared" si="401"/>
        <v>136.1032175001163</v>
      </c>
      <c r="Q872" s="1364">
        <f t="shared" si="401"/>
        <v>0</v>
      </c>
      <c r="S872" s="1324">
        <v>122</v>
      </c>
      <c r="V872" s="1326" t="s">
        <v>5227</v>
      </c>
      <c r="W872" s="1326">
        <v>122</v>
      </c>
    </row>
    <row r="873" spans="1:25" s="1324" customFormat="1">
      <c r="A873" s="1324" t="s">
        <v>4883</v>
      </c>
      <c r="B873" s="1324">
        <v>101</v>
      </c>
      <c r="C873" s="1393">
        <v>10</v>
      </c>
      <c r="D873" s="1364" t="s">
        <v>5398</v>
      </c>
      <c r="E873" s="1324" t="s">
        <v>4067</v>
      </c>
      <c r="F873" s="1366">
        <f>+'0 MDS Allocation Assignment'!F288</f>
        <v>0</v>
      </c>
      <c r="G873" s="1366">
        <f>+$F873*G$1933</f>
        <v>0</v>
      </c>
      <c r="H873" s="1366">
        <f>+$F873*H$1933</f>
        <v>0</v>
      </c>
      <c r="I873" s="1374">
        <f>IF(F873=0,0,+H873/F873)</f>
        <v>0</v>
      </c>
      <c r="J873" s="1366">
        <f>+H873</f>
        <v>0</v>
      </c>
      <c r="K873" s="1366">
        <f t="shared" ref="K873:Q873" si="402">$J873*K$1948</f>
        <v>0</v>
      </c>
      <c r="L873" s="1366">
        <f t="shared" si="402"/>
        <v>0</v>
      </c>
      <c r="M873" s="1366">
        <f t="shared" si="402"/>
        <v>0</v>
      </c>
      <c r="N873" s="1366">
        <f t="shared" si="402"/>
        <v>0</v>
      </c>
      <c r="O873" s="1366">
        <f t="shared" si="402"/>
        <v>0</v>
      </c>
      <c r="P873" s="1366">
        <f t="shared" si="402"/>
        <v>0</v>
      </c>
      <c r="Q873" s="1366">
        <f t="shared" si="402"/>
        <v>0</v>
      </c>
      <c r="S873" s="1324">
        <v>121</v>
      </c>
      <c r="V873" s="1326" t="s">
        <v>5287</v>
      </c>
      <c r="W873" s="1326">
        <v>121</v>
      </c>
    </row>
    <row r="874" spans="1:25" s="1324" customFormat="1">
      <c r="C874" s="1439">
        <v>11</v>
      </c>
      <c r="D874" s="1364" t="s">
        <v>5399</v>
      </c>
      <c r="E874" s="1364"/>
      <c r="F874" s="1421">
        <f>+SUM(F872:F873)</f>
        <v>191967.04717290375</v>
      </c>
      <c r="G874" s="1421">
        <f>+SUM(G872:G873)</f>
        <v>0</v>
      </c>
      <c r="H874" s="1421">
        <f>+SUM(H872:H873)</f>
        <v>191967.04717290375</v>
      </c>
      <c r="I874" s="1374">
        <f>IF(F874=0,0,+H874/F874)</f>
        <v>1</v>
      </c>
      <c r="J874" s="1421">
        <f>+SUM(J872:J873)</f>
        <v>191967.04717290375</v>
      </c>
      <c r="K874" s="1421">
        <f>+SUM(K872:K873)</f>
        <v>111343.3906343288</v>
      </c>
      <c r="L874" s="1421">
        <f t="shared" ref="L874:Q874" si="403">+SUM(L872:L873)</f>
        <v>9184.7066560876883</v>
      </c>
      <c r="M874" s="1421">
        <f t="shared" si="403"/>
        <v>58713.215369316873</v>
      </c>
      <c r="N874" s="1421">
        <f t="shared" si="403"/>
        <v>7329.5664545912005</v>
      </c>
      <c r="O874" s="1421">
        <f t="shared" si="403"/>
        <v>5260.0648410790836</v>
      </c>
      <c r="P874" s="1421">
        <f t="shared" si="403"/>
        <v>136.1032175001163</v>
      </c>
      <c r="Q874" s="1421">
        <f t="shared" si="403"/>
        <v>0</v>
      </c>
      <c r="V874" s="1324" t="s">
        <v>5284</v>
      </c>
      <c r="W874" s="1326"/>
    </row>
    <row r="875" spans="1:25">
      <c r="A875" s="1320" t="s">
        <v>4883</v>
      </c>
      <c r="B875" s="1321"/>
      <c r="C875" s="1322">
        <v>12</v>
      </c>
      <c r="G875" s="1320"/>
      <c r="I875" s="1374"/>
      <c r="M875" s="1324"/>
      <c r="N875" s="1324"/>
      <c r="O875" s="1324"/>
      <c r="R875" s="1364"/>
      <c r="S875" s="1326"/>
      <c r="T875" s="1321"/>
      <c r="U875" s="1326"/>
      <c r="Y875" s="1324"/>
    </row>
    <row r="876" spans="1:25">
      <c r="A876" s="1320" t="s">
        <v>4883</v>
      </c>
      <c r="B876" s="1320">
        <v>117</v>
      </c>
      <c r="C876" s="1322">
        <v>13</v>
      </c>
      <c r="D876" s="1320" t="s">
        <v>5635</v>
      </c>
      <c r="E876" s="1320" t="s">
        <v>4067</v>
      </c>
      <c r="F876" s="1350">
        <f>+'0 MDS Allocation Assignment'!F289</f>
        <v>534187.1509608163</v>
      </c>
      <c r="G876" s="1350">
        <f>+$F876*G$1942</f>
        <v>34608.306009133208</v>
      </c>
      <c r="H876" s="1350">
        <f>+$F876*H$1942</f>
        <v>499578.84495168307</v>
      </c>
      <c r="I876" s="1374">
        <f>IF(F876=0,0,+H876/F876)</f>
        <v>0.93521314403222733</v>
      </c>
      <c r="J876" s="1366">
        <f>+H876</f>
        <v>499578.84495168307</v>
      </c>
      <c r="K876" s="1366">
        <f t="shared" ref="K876:Q876" si="404">+$J876*K$1945</f>
        <v>289762.24464192049</v>
      </c>
      <c r="L876" s="1366">
        <f t="shared" si="404"/>
        <v>23902.462480112525</v>
      </c>
      <c r="M876" s="1366">
        <f t="shared" si="404"/>
        <v>152796.43433377217</v>
      </c>
      <c r="N876" s="1366">
        <f t="shared" si="404"/>
        <v>19074.608883696605</v>
      </c>
      <c r="O876" s="1366">
        <f t="shared" si="404"/>
        <v>13688.896903802377</v>
      </c>
      <c r="P876" s="1366">
        <f t="shared" si="404"/>
        <v>354.19770837894737</v>
      </c>
      <c r="Q876" s="1366">
        <f t="shared" si="404"/>
        <v>0</v>
      </c>
      <c r="R876" s="1358"/>
      <c r="S876" s="1320">
        <v>117</v>
      </c>
      <c r="V876" s="1321" t="s">
        <v>5228</v>
      </c>
      <c r="W876" s="1321">
        <v>117</v>
      </c>
      <c r="Y876" s="1324"/>
    </row>
    <row r="877" spans="1:25">
      <c r="A877" s="1320" t="s">
        <v>4883</v>
      </c>
      <c r="B877" s="1321"/>
      <c r="C877" s="1322">
        <v>14</v>
      </c>
      <c r="G877" s="1320"/>
      <c r="M877" s="1324"/>
      <c r="N877" s="1324"/>
      <c r="O877" s="1324"/>
      <c r="S877" s="1321"/>
      <c r="T877" s="1321"/>
      <c r="U877" s="1326"/>
      <c r="Y877" s="1324"/>
    </row>
    <row r="878" spans="1:25">
      <c r="A878" s="1320" t="s">
        <v>4883</v>
      </c>
      <c r="B878" s="1321"/>
      <c r="C878" s="1322">
        <v>15</v>
      </c>
      <c r="D878" s="1320" t="s">
        <v>1953</v>
      </c>
      <c r="G878" s="1320"/>
      <c r="M878" s="1324"/>
      <c r="N878" s="1324"/>
      <c r="O878" s="1324"/>
      <c r="S878" s="1321"/>
      <c r="T878" s="1321"/>
      <c r="U878" s="1326"/>
      <c r="Y878" s="1324"/>
    </row>
    <row r="879" spans="1:25">
      <c r="A879" s="1320" t="s">
        <v>4883</v>
      </c>
      <c r="B879" s="1320">
        <v>117</v>
      </c>
      <c r="C879" s="1322">
        <v>16</v>
      </c>
      <c r="D879" s="1320" t="s">
        <v>5293</v>
      </c>
      <c r="E879" s="1320" t="s">
        <v>4067</v>
      </c>
      <c r="F879" s="1320">
        <f>+'0 MDS Allocation Assignment'!F290</f>
        <v>240918.39991450205</v>
      </c>
      <c r="G879" s="1358">
        <f>+$F879*G$1942</f>
        <v>15608.345675247083</v>
      </c>
      <c r="H879" s="1358">
        <f>+$F879*H$1942</f>
        <v>225310.05423925494</v>
      </c>
      <c r="I879" s="1374">
        <f>IF(F879=0,0,+H879/F879)</f>
        <v>0.93521314403222733</v>
      </c>
      <c r="J879" s="1364">
        <f>+H879</f>
        <v>225310.05423925494</v>
      </c>
      <c r="K879" s="1364">
        <f t="shared" ref="K879:Q880" si="405">+$J879*K$1945</f>
        <v>130682.76952974971</v>
      </c>
      <c r="L879" s="1364">
        <f t="shared" si="405"/>
        <v>10780.010347249123</v>
      </c>
      <c r="M879" s="1364">
        <f t="shared" si="405"/>
        <v>68911.190406064008</v>
      </c>
      <c r="N879" s="1364">
        <f t="shared" si="405"/>
        <v>8602.6484219801368</v>
      </c>
      <c r="O879" s="1364">
        <f t="shared" si="405"/>
        <v>6173.6923711603049</v>
      </c>
      <c r="P879" s="1364">
        <f t="shared" si="405"/>
        <v>159.74316305166752</v>
      </c>
      <c r="Q879" s="1364">
        <f t="shared" si="405"/>
        <v>0</v>
      </c>
      <c r="R879" s="1358"/>
      <c r="S879" s="1320">
        <v>117</v>
      </c>
      <c r="V879" s="1321" t="s">
        <v>5228</v>
      </c>
      <c r="W879" s="1321">
        <v>117</v>
      </c>
    </row>
    <row r="880" spans="1:25">
      <c r="A880" s="1320" t="s">
        <v>4883</v>
      </c>
      <c r="B880" s="1320">
        <v>117</v>
      </c>
      <c r="C880" s="1322">
        <v>17</v>
      </c>
      <c r="D880" s="1320" t="s">
        <v>5294</v>
      </c>
      <c r="E880" s="1320" t="s">
        <v>4067</v>
      </c>
      <c r="F880" s="1320">
        <f>+'0 MDS Allocation Assignment'!F291</f>
        <v>284079.64594177791</v>
      </c>
      <c r="G880" s="1358">
        <f>+$F880*G$1942</f>
        <v>18404.627105005802</v>
      </c>
      <c r="H880" s="1358">
        <f>+$F880*H$1942</f>
        <v>265675.01883677207</v>
      </c>
      <c r="I880" s="1374">
        <f>IF(F880=0,0,+H880/F880)</f>
        <v>0.93521314403222722</v>
      </c>
      <c r="J880" s="1364">
        <f>+H880</f>
        <v>265675.01883677207</v>
      </c>
      <c r="K880" s="1364">
        <f t="shared" si="405"/>
        <v>154094.97536044181</v>
      </c>
      <c r="L880" s="1364">
        <f t="shared" si="405"/>
        <v>12711.281179777143</v>
      </c>
      <c r="M880" s="1364">
        <f t="shared" si="405"/>
        <v>81256.834591830251</v>
      </c>
      <c r="N880" s="1364">
        <f t="shared" si="405"/>
        <v>10143.838406468702</v>
      </c>
      <c r="O880" s="1364">
        <f t="shared" si="405"/>
        <v>7279.7276736649274</v>
      </c>
      <c r="P880" s="1364">
        <f t="shared" si="405"/>
        <v>188.36162458924656</v>
      </c>
      <c r="Q880" s="1364">
        <f t="shared" si="405"/>
        <v>0</v>
      </c>
      <c r="R880" s="1358"/>
      <c r="S880" s="1320">
        <v>117</v>
      </c>
      <c r="V880" s="1321" t="s">
        <v>5228</v>
      </c>
      <c r="W880" s="1321">
        <v>117</v>
      </c>
    </row>
    <row r="881" spans="1:25">
      <c r="A881" s="1320" t="s">
        <v>4883</v>
      </c>
      <c r="B881" s="1321"/>
      <c r="C881" s="1322">
        <v>18</v>
      </c>
      <c r="D881" s="1320" t="s">
        <v>1953</v>
      </c>
      <c r="F881" s="1427">
        <f>+SUM(F879:F880)</f>
        <v>524998.04585628002</v>
      </c>
      <c r="G881" s="1427">
        <f>+SUM(G879:G880)</f>
        <v>34012.972780252887</v>
      </c>
      <c r="H881" s="1427">
        <f>+SUM(H879:H880)</f>
        <v>490985.07307602698</v>
      </c>
      <c r="I881" s="1374">
        <f>IF(F881=0,0,+H881/F881)</f>
        <v>0.93521314403222711</v>
      </c>
      <c r="J881" s="1421">
        <f>+SUM(J879:J880)</f>
        <v>490985.07307602698</v>
      </c>
      <c r="K881" s="1421">
        <f>+SUM(K879:K880)</f>
        <v>284777.74489019153</v>
      </c>
      <c r="L881" s="1421">
        <f t="shared" ref="L881:Q881" si="406">+SUM(L879:L880)</f>
        <v>23491.291527026267</v>
      </c>
      <c r="M881" s="1421">
        <f t="shared" si="406"/>
        <v>150168.02499789424</v>
      </c>
      <c r="N881" s="1421">
        <f t="shared" si="406"/>
        <v>18746.48682844884</v>
      </c>
      <c r="O881" s="1421">
        <f t="shared" si="406"/>
        <v>13453.420044825232</v>
      </c>
      <c r="P881" s="1421">
        <f t="shared" si="406"/>
        <v>348.10478764091408</v>
      </c>
      <c r="Q881" s="1421">
        <f t="shared" si="406"/>
        <v>0</v>
      </c>
      <c r="R881" s="1358"/>
      <c r="S881" s="1321"/>
      <c r="T881" s="1321"/>
      <c r="U881" s="1326"/>
      <c r="V881" s="1320" t="s">
        <v>5400</v>
      </c>
      <c r="Y881" s="1324"/>
    </row>
    <row r="882" spans="1:25">
      <c r="A882" s="1320" t="s">
        <v>4883</v>
      </c>
      <c r="B882" s="1321"/>
      <c r="C882" s="1322">
        <v>19</v>
      </c>
      <c r="G882" s="1320"/>
      <c r="M882" s="1324"/>
      <c r="N882" s="1324"/>
      <c r="O882" s="1324"/>
      <c r="S882" s="1321"/>
      <c r="T882" s="1321"/>
      <c r="U882" s="1326"/>
      <c r="Y882" s="1324"/>
    </row>
    <row r="883" spans="1:25" s="1324" customFormat="1">
      <c r="A883" s="1324" t="s">
        <v>4883</v>
      </c>
      <c r="B883" s="1326"/>
      <c r="C883" s="1393">
        <v>20</v>
      </c>
      <c r="D883" s="1324" t="s">
        <v>2456</v>
      </c>
      <c r="F883" s="1366">
        <f>+F874+F876+F881</f>
        <v>1251152.2439900001</v>
      </c>
      <c r="G883" s="1366">
        <f>+G874+G876+G881</f>
        <v>68621.278789386095</v>
      </c>
      <c r="H883" s="1366">
        <f>+H874+H876+H881</f>
        <v>1182530.9652006137</v>
      </c>
      <c r="I883" s="1374">
        <f>IF(F883=0,0,+H883/F883)</f>
        <v>0.94515353417698478</v>
      </c>
      <c r="J883" s="1366">
        <f>+J874+J876+J881</f>
        <v>1182530.9652006137</v>
      </c>
      <c r="K883" s="1366">
        <f>K874+K876+K881</f>
        <v>685883.38016644074</v>
      </c>
      <c r="L883" s="1366">
        <f t="shared" ref="L883:Q883" si="407">L874+L876+L881</f>
        <v>56578.460663226484</v>
      </c>
      <c r="M883" s="1366">
        <f t="shared" si="407"/>
        <v>361677.67470098328</v>
      </c>
      <c r="N883" s="1366">
        <f t="shared" si="407"/>
        <v>45150.662166736642</v>
      </c>
      <c r="O883" s="1366">
        <f t="shared" si="407"/>
        <v>32402.381789706691</v>
      </c>
      <c r="P883" s="1366">
        <f t="shared" si="407"/>
        <v>838.40571351997778</v>
      </c>
      <c r="Q883" s="1366">
        <f t="shared" si="407"/>
        <v>0</v>
      </c>
      <c r="R883" s="1364"/>
      <c r="S883" s="1326"/>
      <c r="T883" s="1326"/>
      <c r="U883" s="1326"/>
      <c r="V883" s="1324" t="s">
        <v>5402</v>
      </c>
    </row>
    <row r="884" spans="1:25">
      <c r="B884" s="1321"/>
      <c r="G884" s="1320"/>
      <c r="S884" s="1321"/>
      <c r="T884" s="1321"/>
      <c r="U884" s="1326"/>
      <c r="V884" s="1324"/>
      <c r="Y884" s="1324"/>
    </row>
    <row r="885" spans="1:25">
      <c r="B885" s="1321"/>
      <c r="G885" s="1320"/>
      <c r="S885" s="1321"/>
      <c r="T885" s="1321"/>
      <c r="U885" s="1326"/>
    </row>
    <row r="886" spans="1:25">
      <c r="F886" s="1392"/>
      <c r="G886" s="1392"/>
    </row>
    <row r="889" spans="1:25">
      <c r="B889" s="1432"/>
      <c r="C889" s="1340" t="str">
        <f>+C$2</f>
        <v>RATES WITH REVENUE DEFICIENCY ADDITION</v>
      </c>
      <c r="F889" s="1333"/>
      <c r="G889" s="1327" t="s">
        <v>2173</v>
      </c>
      <c r="I889" s="1334" t="s">
        <v>5630</v>
      </c>
      <c r="L889" s="1329" t="s">
        <v>2173</v>
      </c>
      <c r="M889" s="1330"/>
      <c r="N889" s="1330"/>
      <c r="O889" s="1330"/>
      <c r="S889" s="1334" t="s">
        <v>5636</v>
      </c>
      <c r="T889" s="1333" t="s">
        <v>2173</v>
      </c>
      <c r="U889" s="1334"/>
      <c r="V889" s="1332" t="s">
        <v>4772</v>
      </c>
    </row>
    <row r="890" spans="1:25">
      <c r="B890" s="1432"/>
      <c r="C890" s="1340" t="str">
        <f>+C$3</f>
        <v>PROD. CAP. ALLOC. METHOD: 12 CP &amp; 1/13th AD</v>
      </c>
      <c r="G890" s="1336" t="s">
        <v>4768</v>
      </c>
      <c r="I890" s="1335" t="s">
        <v>4065</v>
      </c>
      <c r="L890" s="1336" t="s">
        <v>5141</v>
      </c>
      <c r="M890" s="1337"/>
      <c r="N890" s="1337"/>
      <c r="O890" s="1337"/>
      <c r="R890" s="1331"/>
      <c r="S890" s="1335" t="s">
        <v>4178</v>
      </c>
      <c r="T890" s="1333" t="s">
        <v>5141</v>
      </c>
      <c r="U890" s="1326"/>
      <c r="V890" s="1332" t="s">
        <v>5636</v>
      </c>
    </row>
    <row r="891" spans="1:25">
      <c r="B891" s="1321"/>
      <c r="C891" s="1340" t="str">
        <f>+C$4</f>
        <v>PROJECTED CALENDAR YEAR 2025; FULLY ADJUSTED DATA</v>
      </c>
      <c r="G891" s="1336" t="s">
        <v>2181</v>
      </c>
      <c r="L891" s="1336" t="s">
        <v>2181</v>
      </c>
      <c r="S891" s="1321"/>
      <c r="T891" s="1339"/>
      <c r="U891" s="1326"/>
    </row>
    <row r="892" spans="1:25">
      <c r="B892" s="1321"/>
      <c r="C892" s="1340" t="str">
        <f>+C$5</f>
        <v>MINIMUM DISTRIBUTION SYSTEM (MDS) NOT EMPLOYED</v>
      </c>
      <c r="D892" s="1358"/>
      <c r="G892" s="1320"/>
      <c r="L892" s="1336"/>
      <c r="M892" s="1337"/>
      <c r="N892" s="1337"/>
      <c r="O892" s="1337"/>
      <c r="S892" s="1321"/>
      <c r="T892" s="1333"/>
      <c r="U892" s="1326"/>
    </row>
    <row r="893" spans="1:25">
      <c r="B893" s="1321"/>
      <c r="C893" s="1340" t="str">
        <f>+C$6</f>
        <v>Tampa Electric 2025 OB Budget</v>
      </c>
      <c r="F893" s="1327"/>
      <c r="G893" s="1333" t="s">
        <v>5631</v>
      </c>
      <c r="L893" s="1336" t="s">
        <v>5631</v>
      </c>
      <c r="M893" s="1337"/>
      <c r="N893" s="1337"/>
      <c r="O893" s="1337"/>
      <c r="S893" s="1321"/>
      <c r="T893" s="1333" t="s">
        <v>5631</v>
      </c>
      <c r="U893" s="1326"/>
    </row>
    <row r="894" spans="1:25" ht="10.5" customHeight="1">
      <c r="B894" s="1321"/>
      <c r="F894" s="1333"/>
      <c r="G894" s="1320"/>
      <c r="L894" s="1336"/>
      <c r="M894" s="1337"/>
      <c r="N894" s="1337"/>
      <c r="O894" s="1337"/>
      <c r="S894" s="1321"/>
      <c r="T894" s="1321"/>
      <c r="U894" s="1326"/>
    </row>
    <row r="895" spans="1:25" ht="10.5" customHeight="1">
      <c r="B895" s="1321"/>
      <c r="F895" s="1333"/>
      <c r="G895" s="1320"/>
      <c r="L895" s="1336"/>
      <c r="M895" s="1337"/>
      <c r="N895" s="1337"/>
      <c r="O895" s="1337"/>
      <c r="S895" s="1321"/>
      <c r="T895" s="1321"/>
      <c r="U895" s="1326"/>
    </row>
    <row r="896" spans="1:25" ht="10.5" customHeight="1">
      <c r="B896" s="1321"/>
      <c r="G896" s="1320"/>
      <c r="S896" s="1321"/>
      <c r="T896" s="1321"/>
      <c r="U896" s="1326"/>
    </row>
    <row r="897" spans="1:32" ht="10.5" customHeight="1">
      <c r="B897" s="1321"/>
      <c r="C897" s="1342"/>
      <c r="D897" s="1331"/>
      <c r="E897" s="1331"/>
      <c r="F897" s="1333"/>
      <c r="G897" s="1333"/>
      <c r="H897" s="1333"/>
      <c r="I897" s="1343"/>
      <c r="J897" s="1416"/>
      <c r="K897" s="1336"/>
      <c r="L897" s="1416"/>
      <c r="M897" s="1417"/>
      <c r="N897" s="1417"/>
      <c r="O897" s="1417"/>
      <c r="P897" s="3164"/>
      <c r="Q897" s="3164"/>
      <c r="R897" s="1333"/>
      <c r="S897" s="1321"/>
      <c r="T897" s="1321"/>
      <c r="U897" s="1326"/>
    </row>
    <row r="898" spans="1:32" ht="30" customHeight="1">
      <c r="A898" s="1418" t="s">
        <v>4683</v>
      </c>
      <c r="B898" s="1425" t="s">
        <v>5143</v>
      </c>
      <c r="C898" s="1349" t="s">
        <v>4297</v>
      </c>
      <c r="D898" s="1418"/>
      <c r="E898" s="1418"/>
      <c r="F898" s="1348" t="s">
        <v>5144</v>
      </c>
      <c r="G898" s="1348" t="s">
        <v>4956</v>
      </c>
      <c r="H898" s="1348" t="s">
        <v>4957</v>
      </c>
      <c r="I898" s="1426" t="s">
        <v>5145</v>
      </c>
      <c r="J898" s="1352" t="s">
        <v>4957</v>
      </c>
      <c r="K898" s="1353" t="s">
        <v>1949</v>
      </c>
      <c r="L898" s="1353" t="s">
        <v>1950</v>
      </c>
      <c r="M898" s="1354" t="s">
        <v>1934</v>
      </c>
      <c r="N898" s="1354" t="s">
        <v>1971</v>
      </c>
      <c r="O898" s="1354" t="s">
        <v>1972</v>
      </c>
      <c r="P898" s="1352" t="s">
        <v>5146</v>
      </c>
      <c r="Q898" s="1352" t="s">
        <v>5147</v>
      </c>
      <c r="R898" s="1355"/>
      <c r="S898" s="1348" t="s">
        <v>5299</v>
      </c>
      <c r="T898" s="1348"/>
      <c r="U898" s="1352"/>
      <c r="V898" s="1355" t="s">
        <v>4774</v>
      </c>
      <c r="AF898" s="1392"/>
    </row>
    <row r="899" spans="1:32">
      <c r="B899" s="1441"/>
      <c r="C899" s="1397"/>
      <c r="D899" s="1435"/>
      <c r="E899" s="1435"/>
      <c r="F899" s="1396"/>
      <c r="G899" s="1396"/>
      <c r="H899" s="1396"/>
      <c r="I899" s="1442"/>
      <c r="J899" s="1399"/>
      <c r="K899" s="1360"/>
      <c r="L899" s="1360"/>
      <c r="M899" s="1361"/>
      <c r="N899" s="1361"/>
      <c r="O899" s="1361"/>
      <c r="P899" s="1399"/>
      <c r="Q899" s="1399"/>
      <c r="R899" s="1346"/>
      <c r="S899" s="1396"/>
      <c r="T899" s="1396"/>
      <c r="U899" s="1399"/>
    </row>
    <row r="900" spans="1:32">
      <c r="A900" s="1320" t="s">
        <v>4883</v>
      </c>
      <c r="B900" s="1321"/>
      <c r="C900" s="1322">
        <v>21</v>
      </c>
      <c r="D900" s="1356" t="s">
        <v>2543</v>
      </c>
      <c r="G900" s="1320"/>
      <c r="S900" s="1321"/>
      <c r="T900" s="1321"/>
      <c r="U900" s="1326"/>
    </row>
    <row r="901" spans="1:32">
      <c r="A901" s="1320" t="s">
        <v>4883</v>
      </c>
      <c r="B901" s="1320">
        <v>105</v>
      </c>
      <c r="C901" s="1322">
        <v>22</v>
      </c>
      <c r="D901" s="1320" t="s">
        <v>5293</v>
      </c>
      <c r="E901" s="1320" t="s">
        <v>4067</v>
      </c>
      <c r="F901" s="1320">
        <f>+'0 MDS Allocation Assignment'!F292</f>
        <v>368438.48759000003</v>
      </c>
      <c r="G901" s="1358">
        <f>+$F901*G$1936</f>
        <v>0</v>
      </c>
      <c r="H901" s="1358">
        <f>+$F901*H$1936</f>
        <v>368438.48759000003</v>
      </c>
      <c r="I901" s="1374">
        <f>IF(F901=0,0,+H901/F901)</f>
        <v>1</v>
      </c>
      <c r="J901" s="1364">
        <f>+H901</f>
        <v>368438.48759000003</v>
      </c>
      <c r="K901" s="1364">
        <f>+$J901*K$1936</f>
        <v>229322.01414144278</v>
      </c>
      <c r="L901" s="1364">
        <f t="shared" ref="L901:Q901" si="408">+$J901*L$1936</f>
        <v>16309.956798968924</v>
      </c>
      <c r="M901" s="1364">
        <f t="shared" si="408"/>
        <v>109205.34428043525</v>
      </c>
      <c r="N901" s="1364">
        <f t="shared" si="408"/>
        <v>11486.206525822598</v>
      </c>
      <c r="O901" s="1364">
        <f t="shared" si="408"/>
        <v>7.8425580513606513E-3</v>
      </c>
      <c r="P901" s="1364">
        <f t="shared" si="408"/>
        <v>2114.9580007725094</v>
      </c>
      <c r="Q901" s="1364">
        <f t="shared" si="408"/>
        <v>0</v>
      </c>
      <c r="R901" s="1364"/>
      <c r="S901" s="1364">
        <v>105</v>
      </c>
      <c r="V901" s="1321" t="s">
        <v>5229</v>
      </c>
      <c r="W901" s="1321">
        <v>105</v>
      </c>
      <c r="Y901" s="1324"/>
    </row>
    <row r="902" spans="1:32">
      <c r="A902" s="1320" t="s">
        <v>4883</v>
      </c>
      <c r="B902" s="1321"/>
      <c r="C902" s="1322">
        <v>23</v>
      </c>
      <c r="G902" s="1320"/>
      <c r="M902" s="1324"/>
      <c r="N902" s="1324"/>
      <c r="O902" s="1324"/>
      <c r="R902" s="1324"/>
      <c r="S902" s="1324"/>
      <c r="T902" s="1321"/>
      <c r="U902" s="1326"/>
      <c r="Y902" s="1324"/>
    </row>
    <row r="903" spans="1:32">
      <c r="A903" s="1320" t="s">
        <v>4883</v>
      </c>
      <c r="B903" s="1324">
        <v>310</v>
      </c>
      <c r="C903" s="1322">
        <v>24</v>
      </c>
      <c r="D903" s="1320" t="s">
        <v>5405</v>
      </c>
      <c r="E903" s="1320" t="s">
        <v>4071</v>
      </c>
      <c r="F903" s="1320">
        <f>+'0 MDS Allocation Assignment'!F293</f>
        <v>32074.434089827188</v>
      </c>
      <c r="G903" s="1364">
        <f>+$F903*G$1993</f>
        <v>0</v>
      </c>
      <c r="H903" s="1364">
        <f>+$F903*H$1993</f>
        <v>32074.434089827188</v>
      </c>
      <c r="I903" s="1374">
        <f t="shared" ref="I903:I908" si="409">IF(F903=0,0,+H903/F903)</f>
        <v>1</v>
      </c>
      <c r="J903" s="1364">
        <f>+H903</f>
        <v>32074.434089827188</v>
      </c>
      <c r="K903" s="1364">
        <f>+$J903*K$1993</f>
        <v>0</v>
      </c>
      <c r="L903" s="1364">
        <f t="shared" ref="L903:Q903" si="410">+$J903*L$1993</f>
        <v>0</v>
      </c>
      <c r="M903" s="1364">
        <f t="shared" si="410"/>
        <v>0</v>
      </c>
      <c r="N903" s="1364">
        <f t="shared" si="410"/>
        <v>0</v>
      </c>
      <c r="O903" s="1364">
        <f t="shared" si="410"/>
        <v>0</v>
      </c>
      <c r="P903" s="1364">
        <f t="shared" si="410"/>
        <v>0</v>
      </c>
      <c r="Q903" s="1364">
        <f t="shared" si="410"/>
        <v>32074.434089827188</v>
      </c>
      <c r="R903" s="1364"/>
      <c r="S903" s="1364">
        <v>310</v>
      </c>
      <c r="V903" s="1321" t="s">
        <v>5302</v>
      </c>
      <c r="W903" s="1321">
        <v>310</v>
      </c>
      <c r="Y903" s="1324"/>
    </row>
    <row r="904" spans="1:32">
      <c r="A904" s="1320" t="s">
        <v>4883</v>
      </c>
      <c r="B904" s="1320">
        <v>105</v>
      </c>
      <c r="C904" s="1322">
        <v>25</v>
      </c>
      <c r="D904" s="1320" t="s">
        <v>5406</v>
      </c>
      <c r="E904" s="1320" t="s">
        <v>4067</v>
      </c>
      <c r="F904" s="1320">
        <f>+'0 MDS Allocation Assignment'!F294</f>
        <v>300991.26661087415</v>
      </c>
      <c r="G904" s="1358">
        <f>+$F904*G$1936</f>
        <v>0</v>
      </c>
      <c r="H904" s="1358">
        <f>+$F904*H$1936</f>
        <v>300991.26661087415</v>
      </c>
      <c r="I904" s="1374">
        <f t="shared" si="409"/>
        <v>1</v>
      </c>
      <c r="J904" s="1364">
        <f>+H904</f>
        <v>300991.26661087415</v>
      </c>
      <c r="K904" s="1364">
        <f>+$J904*K$1936</f>
        <v>187341.78383394025</v>
      </c>
      <c r="L904" s="1364">
        <f t="shared" ref="L904:Q904" si="411">+$J904*L$1936</f>
        <v>13324.217530588779</v>
      </c>
      <c r="M904" s="1364">
        <f t="shared" si="411"/>
        <v>89213.955660958265</v>
      </c>
      <c r="N904" s="1364">
        <f t="shared" si="411"/>
        <v>9383.5143917121732</v>
      </c>
      <c r="O904" s="1364">
        <f t="shared" si="411"/>
        <v>6.4068808250433724E-3</v>
      </c>
      <c r="P904" s="1364">
        <f t="shared" si="411"/>
        <v>1727.7887867939387</v>
      </c>
      <c r="Q904" s="1364">
        <f t="shared" si="411"/>
        <v>0</v>
      </c>
      <c r="R904" s="1364"/>
      <c r="S904" s="1364">
        <v>105</v>
      </c>
      <c r="V904" s="1321" t="s">
        <v>5229</v>
      </c>
      <c r="W904" s="1321">
        <v>105</v>
      </c>
      <c r="Y904" s="1324"/>
    </row>
    <row r="905" spans="1:32">
      <c r="A905" s="1320" t="s">
        <v>4883</v>
      </c>
      <c r="B905" s="1324">
        <v>418</v>
      </c>
      <c r="C905" s="1393">
        <v>26</v>
      </c>
      <c r="D905" s="1324" t="s">
        <v>5407</v>
      </c>
      <c r="E905" s="1324" t="s">
        <v>4071</v>
      </c>
      <c r="F905" s="1320">
        <f>+'0 MDS Allocation Assignment'!F295</f>
        <v>0</v>
      </c>
      <c r="G905" s="1364">
        <f>+$F905*G$2021</f>
        <v>0</v>
      </c>
      <c r="H905" s="1364">
        <f>+$F905*H$1936</f>
        <v>0</v>
      </c>
      <c r="I905" s="1374">
        <f t="shared" si="409"/>
        <v>0</v>
      </c>
      <c r="J905" s="1364">
        <f>+H905</f>
        <v>0</v>
      </c>
      <c r="K905" s="1364">
        <f>+$J905*K$2021</f>
        <v>0</v>
      </c>
      <c r="L905" s="1364">
        <f t="shared" ref="L905:Q905" si="412">+$J905*L$2021</f>
        <v>0</v>
      </c>
      <c r="M905" s="1364">
        <f t="shared" si="412"/>
        <v>0</v>
      </c>
      <c r="N905" s="1364">
        <f t="shared" si="412"/>
        <v>0</v>
      </c>
      <c r="O905" s="1364">
        <f t="shared" si="412"/>
        <v>0</v>
      </c>
      <c r="P905" s="1364">
        <f t="shared" si="412"/>
        <v>0</v>
      </c>
      <c r="Q905" s="1364">
        <f t="shared" si="412"/>
        <v>0</v>
      </c>
      <c r="R905" s="1364"/>
      <c r="S905" s="1364">
        <v>418</v>
      </c>
      <c r="V905" s="1321" t="s">
        <v>5305</v>
      </c>
      <c r="W905" s="1321">
        <v>418</v>
      </c>
      <c r="Y905" s="1324"/>
    </row>
    <row r="906" spans="1:32">
      <c r="A906" s="1320" t="s">
        <v>4883</v>
      </c>
      <c r="B906" s="1324">
        <v>106</v>
      </c>
      <c r="C906" s="1393">
        <v>27</v>
      </c>
      <c r="D906" s="1324" t="s">
        <v>5408</v>
      </c>
      <c r="E906" s="1324" t="s">
        <v>4067</v>
      </c>
      <c r="F906" s="1320">
        <f>+'0 MDS Allocation Assignment'!F296</f>
        <v>90395.647783701817</v>
      </c>
      <c r="G906" s="1364">
        <f>+$F906*G$1939</f>
        <v>0</v>
      </c>
      <c r="H906" s="1364">
        <f>+$F906*H$1939</f>
        <v>90395.647783701817</v>
      </c>
      <c r="I906" s="1374">
        <f t="shared" si="409"/>
        <v>1</v>
      </c>
      <c r="J906" s="1364">
        <f>+H906</f>
        <v>90395.647783701817</v>
      </c>
      <c r="K906" s="1364">
        <f>+$J906*K$1939</f>
        <v>65955.671299133493</v>
      </c>
      <c r="L906" s="1364">
        <f t="shared" ref="L906:Q906" si="413">+$J906*L$1939</f>
        <v>5310.7405112665401</v>
      </c>
      <c r="M906" s="1364">
        <f t="shared" si="413"/>
        <v>18802.236207296883</v>
      </c>
      <c r="N906" s="1364">
        <f t="shared" si="413"/>
        <v>0</v>
      </c>
      <c r="O906" s="1364">
        <f t="shared" si="413"/>
        <v>0</v>
      </c>
      <c r="P906" s="1364">
        <f t="shared" si="413"/>
        <v>326.99976600489356</v>
      </c>
      <c r="Q906" s="1364">
        <f t="shared" si="413"/>
        <v>0</v>
      </c>
      <c r="R906" s="1364"/>
      <c r="S906" s="1364">
        <v>106</v>
      </c>
      <c r="V906" s="1321" t="s">
        <v>5230</v>
      </c>
      <c r="W906" s="1321">
        <v>106</v>
      </c>
      <c r="Y906" s="1324"/>
    </row>
    <row r="907" spans="1:32">
      <c r="A907" s="1320" t="s">
        <v>4883</v>
      </c>
      <c r="B907" s="1324">
        <v>420</v>
      </c>
      <c r="C907" s="1393">
        <v>28</v>
      </c>
      <c r="D907" s="1324" t="s">
        <v>5409</v>
      </c>
      <c r="E907" s="1324" t="s">
        <v>4071</v>
      </c>
      <c r="F907" s="1320">
        <f>+'0 MDS Allocation Assignment'!F297</f>
        <v>0</v>
      </c>
      <c r="G907" s="1364">
        <f>+$F907*G$2024</f>
        <v>0</v>
      </c>
      <c r="H907" s="1364">
        <f>+$F907*H$2024</f>
        <v>0</v>
      </c>
      <c r="I907" s="1374">
        <f t="shared" si="409"/>
        <v>0</v>
      </c>
      <c r="J907" s="1364">
        <f>+H907</f>
        <v>0</v>
      </c>
      <c r="K907" s="1364">
        <f>+$J907*K$2024</f>
        <v>0</v>
      </c>
      <c r="L907" s="1364">
        <f t="shared" ref="L907:Q907" si="414">+$J907*L$2024</f>
        <v>0</v>
      </c>
      <c r="M907" s="1364">
        <f t="shared" si="414"/>
        <v>0</v>
      </c>
      <c r="N907" s="1364">
        <f t="shared" si="414"/>
        <v>0</v>
      </c>
      <c r="O907" s="1364">
        <f t="shared" si="414"/>
        <v>0</v>
      </c>
      <c r="P907" s="1364">
        <f t="shared" si="414"/>
        <v>0</v>
      </c>
      <c r="Q907" s="1364">
        <f t="shared" si="414"/>
        <v>0</v>
      </c>
      <c r="R907" s="1364"/>
      <c r="S907" s="1364">
        <v>420</v>
      </c>
      <c r="V907" s="1321" t="s">
        <v>5225</v>
      </c>
      <c r="W907" s="1321">
        <v>420</v>
      </c>
      <c r="Y907" s="1324"/>
    </row>
    <row r="908" spans="1:32">
      <c r="A908" s="1320" t="s">
        <v>4883</v>
      </c>
      <c r="B908" s="1326"/>
      <c r="C908" s="1393">
        <v>29</v>
      </c>
      <c r="D908" s="1324" t="s">
        <v>5637</v>
      </c>
      <c r="E908" s="1324"/>
      <c r="F908" s="1421">
        <f>+SUM(F903:F907)</f>
        <v>423461.34848440316</v>
      </c>
      <c r="G908" s="1421">
        <f>+SUM(G903:G907)</f>
        <v>0</v>
      </c>
      <c r="H908" s="1421">
        <f>+SUM(H903:H907)</f>
        <v>423461.34848440316</v>
      </c>
      <c r="I908" s="1374">
        <f t="shared" si="409"/>
        <v>1</v>
      </c>
      <c r="J908" s="1421">
        <f>+SUM(J903:J907)</f>
        <v>423461.34848440316</v>
      </c>
      <c r="K908" s="1421">
        <f>+SUM(K903:K907)</f>
        <v>253297.45513307373</v>
      </c>
      <c r="L908" s="1421">
        <f t="shared" ref="L908:Q908" si="415">+SUM(L903:L907)</f>
        <v>18634.95804185532</v>
      </c>
      <c r="M908" s="1421">
        <f t="shared" si="415"/>
        <v>108016.19186825515</v>
      </c>
      <c r="N908" s="1421">
        <f t="shared" si="415"/>
        <v>9383.5143917121732</v>
      </c>
      <c r="O908" s="1421">
        <f t="shared" si="415"/>
        <v>6.4068808250433724E-3</v>
      </c>
      <c r="P908" s="1421">
        <f t="shared" si="415"/>
        <v>2054.7885527988324</v>
      </c>
      <c r="Q908" s="1421">
        <f t="shared" si="415"/>
        <v>32074.434089827188</v>
      </c>
      <c r="R908" s="1364"/>
      <c r="S908" s="1364"/>
      <c r="T908" s="1321"/>
      <c r="U908" s="1326"/>
      <c r="V908" s="1320" t="s">
        <v>5411</v>
      </c>
      <c r="Y908" s="1324"/>
    </row>
    <row r="909" spans="1:32">
      <c r="A909" s="1320" t="s">
        <v>4883</v>
      </c>
      <c r="B909" s="1326"/>
      <c r="C909" s="1393">
        <v>30</v>
      </c>
      <c r="D909" s="1324"/>
      <c r="E909" s="1324"/>
      <c r="F909" s="1324"/>
      <c r="H909" s="1324"/>
      <c r="I909" s="1374"/>
      <c r="R909" s="1324"/>
      <c r="S909" s="1326"/>
      <c r="T909" s="1321"/>
      <c r="U909" s="1326"/>
    </row>
    <row r="910" spans="1:32">
      <c r="A910" s="1320" t="s">
        <v>4883</v>
      </c>
      <c r="B910" s="1324">
        <v>310</v>
      </c>
      <c r="C910" s="1393">
        <v>31</v>
      </c>
      <c r="D910" s="1324" t="s">
        <v>5301</v>
      </c>
      <c r="E910" s="1324" t="s">
        <v>4071</v>
      </c>
      <c r="F910" s="1324">
        <f>+'0 MDS Allocation Assignment'!F298</f>
        <v>4542.9060069542402</v>
      </c>
      <c r="G910" s="1364">
        <f>+$F910*G$1993</f>
        <v>0</v>
      </c>
      <c r="H910" s="1364">
        <f>+$F910*H$1993</f>
        <v>4542.9060069542402</v>
      </c>
      <c r="I910" s="1374">
        <f t="shared" ref="I910:I915" si="416">IF(F910=0,0,+H910/F910)</f>
        <v>1</v>
      </c>
      <c r="J910" s="1364">
        <f>+H910</f>
        <v>4542.9060069542402</v>
      </c>
      <c r="K910" s="1364">
        <f t="shared" ref="K910:Q910" si="417">+$J910*K$1993</f>
        <v>0</v>
      </c>
      <c r="L910" s="1364">
        <f t="shared" si="417"/>
        <v>0</v>
      </c>
      <c r="M910" s="1364">
        <f t="shared" si="417"/>
        <v>0</v>
      </c>
      <c r="N910" s="1367">
        <f t="shared" si="417"/>
        <v>0</v>
      </c>
      <c r="O910" s="1367">
        <f t="shared" si="417"/>
        <v>0</v>
      </c>
      <c r="P910" s="1367">
        <f t="shared" si="417"/>
        <v>0</v>
      </c>
      <c r="Q910" s="1364">
        <f t="shared" si="417"/>
        <v>4542.9060069542402</v>
      </c>
      <c r="R910" s="1364"/>
      <c r="S910" s="1364">
        <v>310</v>
      </c>
      <c r="T910" s="1324"/>
      <c r="V910" s="1321" t="s">
        <v>5302</v>
      </c>
      <c r="W910" s="1321">
        <v>310</v>
      </c>
    </row>
    <row r="911" spans="1:32">
      <c r="A911" s="1320" t="s">
        <v>4883</v>
      </c>
      <c r="B911" s="1324">
        <v>105</v>
      </c>
      <c r="C911" s="1393">
        <v>32</v>
      </c>
      <c r="D911" s="1324" t="s">
        <v>5303</v>
      </c>
      <c r="E911" s="1324" t="s">
        <v>4067</v>
      </c>
      <c r="F911" s="1324">
        <f>+'0 MDS Allocation Assignment'!F299</f>
        <v>251746.69790571451</v>
      </c>
      <c r="G911" s="1364">
        <f>+$F911*G$1936</f>
        <v>0</v>
      </c>
      <c r="H911" s="1364">
        <f>+$F911*H$1936</f>
        <v>251746.69790571451</v>
      </c>
      <c r="I911" s="1374">
        <f t="shared" si="416"/>
        <v>1</v>
      </c>
      <c r="J911" s="1364">
        <f>+H911</f>
        <v>251746.69790571451</v>
      </c>
      <c r="K911" s="1364">
        <f t="shared" ref="K911:Q911" si="418">+$J911*K$1936</f>
        <v>156691.17576402376</v>
      </c>
      <c r="L911" s="1364">
        <f t="shared" si="418"/>
        <v>11144.269411111127</v>
      </c>
      <c r="M911" s="1364">
        <f t="shared" si="418"/>
        <v>74617.84189834584</v>
      </c>
      <c r="N911" s="1367">
        <f t="shared" si="418"/>
        <v>7848.2966946621209</v>
      </c>
      <c r="O911" s="1367">
        <f t="shared" si="418"/>
        <v>5.358664089298323E-3</v>
      </c>
      <c r="P911" s="1367">
        <f t="shared" si="418"/>
        <v>1445.108778907608</v>
      </c>
      <c r="Q911" s="1364">
        <f t="shared" si="418"/>
        <v>0</v>
      </c>
      <c r="R911" s="1364"/>
      <c r="S911" s="1364">
        <v>105</v>
      </c>
      <c r="V911" s="1321" t="s">
        <v>5229</v>
      </c>
      <c r="W911" s="1321">
        <v>105</v>
      </c>
      <c r="Y911" s="1324"/>
    </row>
    <row r="912" spans="1:32">
      <c r="A912" s="1324" t="s">
        <v>4883</v>
      </c>
      <c r="B912" s="1324">
        <v>418</v>
      </c>
      <c r="C912" s="1393">
        <v>33</v>
      </c>
      <c r="D912" s="1324" t="s">
        <v>5304</v>
      </c>
      <c r="E912" s="1324" t="s">
        <v>4071</v>
      </c>
      <c r="F912" s="1324">
        <f>+'0 MDS Allocation Assignment'!F300</f>
        <v>0</v>
      </c>
      <c r="G912" s="1364">
        <f>+$F912*G$2021</f>
        <v>0</v>
      </c>
      <c r="H912" s="1364">
        <f>+$F912*H$1936</f>
        <v>0</v>
      </c>
      <c r="I912" s="1374">
        <f t="shared" si="416"/>
        <v>0</v>
      </c>
      <c r="J912" s="1364">
        <f>+H912</f>
        <v>0</v>
      </c>
      <c r="K912" s="1364">
        <f t="shared" ref="K912:Q912" si="419">+$J912*K$2021</f>
        <v>0</v>
      </c>
      <c r="L912" s="1364">
        <f t="shared" si="419"/>
        <v>0</v>
      </c>
      <c r="M912" s="1364">
        <f t="shared" si="419"/>
        <v>0</v>
      </c>
      <c r="N912" s="1367">
        <f t="shared" si="419"/>
        <v>0</v>
      </c>
      <c r="O912" s="1367">
        <f t="shared" si="419"/>
        <v>0</v>
      </c>
      <c r="P912" s="1367">
        <f t="shared" si="419"/>
        <v>0</v>
      </c>
      <c r="Q912" s="1364">
        <f t="shared" si="419"/>
        <v>0</v>
      </c>
      <c r="R912" s="1364"/>
      <c r="S912" s="1364">
        <v>418</v>
      </c>
      <c r="V912" s="1321" t="s">
        <v>5305</v>
      </c>
      <c r="W912" s="1321">
        <v>418</v>
      </c>
      <c r="Y912" s="1324"/>
    </row>
    <row r="913" spans="1:25">
      <c r="A913" s="1320" t="s">
        <v>4883</v>
      </c>
      <c r="B913" s="1324">
        <v>106</v>
      </c>
      <c r="C913" s="1393">
        <v>34</v>
      </c>
      <c r="D913" s="1324" t="s">
        <v>5306</v>
      </c>
      <c r="E913" s="1324" t="s">
        <v>4067</v>
      </c>
      <c r="F913" s="1324">
        <f>+'0 MDS Allocation Assignment'!F301</f>
        <v>38297.820125838523</v>
      </c>
      <c r="G913" s="1364">
        <f>+$F913*G$1936</f>
        <v>0</v>
      </c>
      <c r="H913" s="1364">
        <f>+$F913*H$1936</f>
        <v>38297.820125838523</v>
      </c>
      <c r="I913" s="1374">
        <f t="shared" si="416"/>
        <v>1</v>
      </c>
      <c r="J913" s="1364">
        <f>+H913</f>
        <v>38297.820125838523</v>
      </c>
      <c r="K913" s="1364">
        <f t="shared" ref="K913:Q913" si="420">+$J913*K$1939</f>
        <v>27943.363398835791</v>
      </c>
      <c r="L913" s="1364">
        <f t="shared" si="420"/>
        <v>2249.9953241350686</v>
      </c>
      <c r="M913" s="1364">
        <f t="shared" si="420"/>
        <v>7965.921788110847</v>
      </c>
      <c r="N913" s="1367">
        <f t="shared" si="420"/>
        <v>0</v>
      </c>
      <c r="O913" s="1367">
        <f t="shared" si="420"/>
        <v>0</v>
      </c>
      <c r="P913" s="1367">
        <f t="shared" si="420"/>
        <v>138.53961475681405</v>
      </c>
      <c r="Q913" s="1364">
        <f t="shared" si="420"/>
        <v>0</v>
      </c>
      <c r="R913" s="1364"/>
      <c r="S913" s="1364">
        <v>106</v>
      </c>
      <c r="V913" s="1321" t="s">
        <v>5230</v>
      </c>
      <c r="W913" s="1321">
        <v>106</v>
      </c>
      <c r="Y913" s="1324"/>
    </row>
    <row r="914" spans="1:25">
      <c r="A914" s="1320" t="s">
        <v>4883</v>
      </c>
      <c r="B914" s="1324">
        <v>420</v>
      </c>
      <c r="C914" s="1393">
        <v>35</v>
      </c>
      <c r="D914" s="1324" t="s">
        <v>5307</v>
      </c>
      <c r="E914" s="1324" t="s">
        <v>4071</v>
      </c>
      <c r="F914" s="1324">
        <f>+'0 MDS Allocation Assignment'!F302</f>
        <v>0</v>
      </c>
      <c r="G914" s="1364">
        <f>+$F914*G$2024</f>
        <v>0</v>
      </c>
      <c r="H914" s="1364">
        <f>+$F914*H$2024</f>
        <v>0</v>
      </c>
      <c r="I914" s="1374">
        <f t="shared" si="416"/>
        <v>0</v>
      </c>
      <c r="J914" s="1364">
        <f>+H914</f>
        <v>0</v>
      </c>
      <c r="K914" s="1364">
        <f t="shared" ref="K914:Q914" si="421">+$J914*K$2024</f>
        <v>0</v>
      </c>
      <c r="L914" s="1364">
        <f t="shared" si="421"/>
        <v>0</v>
      </c>
      <c r="M914" s="1364">
        <f t="shared" si="421"/>
        <v>0</v>
      </c>
      <c r="N914" s="1367">
        <f t="shared" si="421"/>
        <v>0</v>
      </c>
      <c r="O914" s="1367">
        <f t="shared" si="421"/>
        <v>0</v>
      </c>
      <c r="P914" s="1367">
        <f t="shared" si="421"/>
        <v>0</v>
      </c>
      <c r="Q914" s="1364">
        <f t="shared" si="421"/>
        <v>0</v>
      </c>
      <c r="R914" s="1364"/>
      <c r="S914" s="1364">
        <v>420</v>
      </c>
      <c r="V914" s="1321" t="s">
        <v>5225</v>
      </c>
      <c r="W914" s="1321">
        <v>420</v>
      </c>
      <c r="Y914" s="1324"/>
    </row>
    <row r="915" spans="1:25">
      <c r="A915" s="1320" t="s">
        <v>4883</v>
      </c>
      <c r="B915" s="1326"/>
      <c r="C915" s="1393">
        <v>36</v>
      </c>
      <c r="D915" s="1324" t="s">
        <v>5308</v>
      </c>
      <c r="E915" s="1324"/>
      <c r="F915" s="1421">
        <f>+SUM(F910:F914)</f>
        <v>294587.42403850728</v>
      </c>
      <c r="G915" s="1421">
        <f>+SUM(G910:G914)</f>
        <v>0</v>
      </c>
      <c r="H915" s="1421">
        <f>SUM(H910:H914)</f>
        <v>294587.42403850728</v>
      </c>
      <c r="I915" s="1374">
        <f t="shared" si="416"/>
        <v>1</v>
      </c>
      <c r="J915" s="1421">
        <f>SUM(J910:J914)</f>
        <v>294587.42403850728</v>
      </c>
      <c r="K915" s="1421">
        <f t="shared" ref="K915:Q915" si="422">SUM(K910:K914)</f>
        <v>184634.53916285955</v>
      </c>
      <c r="L915" s="1421">
        <f t="shared" si="422"/>
        <v>13394.264735246195</v>
      </c>
      <c r="M915" s="1421">
        <f>SUM(M910:M914)</f>
        <v>82583.763686456688</v>
      </c>
      <c r="N915" s="1421">
        <f t="shared" si="422"/>
        <v>7848.2966946621209</v>
      </c>
      <c r="O915" s="1421">
        <f>SUM(O910:O914)</f>
        <v>5.358664089298323E-3</v>
      </c>
      <c r="P915" s="1421">
        <f>SUM(P910:P914)</f>
        <v>1583.648393664422</v>
      </c>
      <c r="Q915" s="1421">
        <f t="shared" si="422"/>
        <v>4542.9060069542402</v>
      </c>
      <c r="R915" s="1364"/>
      <c r="S915" s="1364"/>
      <c r="T915" s="1321"/>
      <c r="U915" s="1326"/>
      <c r="V915" s="1320" t="s">
        <v>5412</v>
      </c>
      <c r="Y915" s="1324"/>
    </row>
    <row r="916" spans="1:25">
      <c r="A916" s="1320" t="s">
        <v>4883</v>
      </c>
      <c r="B916" s="1326"/>
      <c r="C916" s="1393">
        <v>37</v>
      </c>
      <c r="D916" s="1324"/>
      <c r="E916" s="1324"/>
      <c r="F916" s="1324"/>
      <c r="H916" s="1324"/>
      <c r="I916" s="1374"/>
      <c r="R916" s="1324"/>
      <c r="S916" s="1326"/>
      <c r="T916" s="1321"/>
      <c r="U916" s="1326"/>
      <c r="Y916" s="1324"/>
    </row>
    <row r="917" spans="1:25">
      <c r="A917" s="1320" t="s">
        <v>4883</v>
      </c>
      <c r="B917" s="1324">
        <v>310</v>
      </c>
      <c r="C917" s="1393">
        <v>38</v>
      </c>
      <c r="D917" s="1324" t="s">
        <v>5310</v>
      </c>
      <c r="E917" s="1324" t="s">
        <v>4071</v>
      </c>
      <c r="F917" s="1324">
        <f>+'0 MDS Allocation Assignment'!F303</f>
        <v>385.73180000000002</v>
      </c>
      <c r="G917" s="1364">
        <f>+$F917*G$1993</f>
        <v>0</v>
      </c>
      <c r="H917" s="1364">
        <f>+$F917*H$1993</f>
        <v>385.73180000000002</v>
      </c>
      <c r="I917" s="1374">
        <f t="shared" ref="I917:I922" si="423">IF(F917=0,0,+H917/F917)</f>
        <v>1</v>
      </c>
      <c r="J917" s="1364">
        <f>+H917</f>
        <v>385.73180000000002</v>
      </c>
      <c r="K917" s="1364">
        <f t="shared" ref="K917:Q917" si="424">+$J917*K$1993</f>
        <v>0</v>
      </c>
      <c r="L917" s="1364">
        <f t="shared" si="424"/>
        <v>0</v>
      </c>
      <c r="M917" s="1364">
        <f t="shared" si="424"/>
        <v>0</v>
      </c>
      <c r="N917" s="1367">
        <f t="shared" si="424"/>
        <v>0</v>
      </c>
      <c r="O917" s="1367">
        <f t="shared" si="424"/>
        <v>0</v>
      </c>
      <c r="P917" s="1367">
        <f t="shared" si="424"/>
        <v>0</v>
      </c>
      <c r="Q917" s="1364">
        <f t="shared" si="424"/>
        <v>385.73180000000002</v>
      </c>
      <c r="R917" s="1364"/>
      <c r="S917" s="1364">
        <v>310</v>
      </c>
      <c r="T917" s="1324"/>
      <c r="V917" s="1321" t="s">
        <v>5302</v>
      </c>
      <c r="W917" s="1321">
        <v>310</v>
      </c>
      <c r="Y917" s="1324"/>
    </row>
    <row r="918" spans="1:25">
      <c r="A918" s="1320" t="s">
        <v>4883</v>
      </c>
      <c r="B918" s="1324">
        <v>105</v>
      </c>
      <c r="C918" s="1393">
        <v>39</v>
      </c>
      <c r="D918" s="1324" t="s">
        <v>5311</v>
      </c>
      <c r="E918" s="1324" t="s">
        <v>4067</v>
      </c>
      <c r="F918" s="1324">
        <f>+'0 MDS Allocation Assignment'!F304</f>
        <v>753246.56163162598</v>
      </c>
      <c r="G918" s="1364">
        <f>+$F918*G$1936</f>
        <v>0</v>
      </c>
      <c r="H918" s="1364">
        <f>+$F918*H$1936</f>
        <v>753246.56163162598</v>
      </c>
      <c r="I918" s="1374">
        <f t="shared" si="423"/>
        <v>1</v>
      </c>
      <c r="J918" s="1364">
        <f>+H918</f>
        <v>753246.56163162598</v>
      </c>
      <c r="K918" s="1364">
        <f t="shared" ref="K918:Q918" si="425">+$J918*K$1936</f>
        <v>468832.72100145597</v>
      </c>
      <c r="L918" s="1364">
        <f t="shared" si="425"/>
        <v>33344.558977928958</v>
      </c>
      <c r="M918" s="1364">
        <f t="shared" si="425"/>
        <v>223262.64182957314</v>
      </c>
      <c r="N918" s="1367">
        <f t="shared" si="425"/>
        <v>23482.740981703679</v>
      </c>
      <c r="O918" s="1367">
        <f t="shared" si="425"/>
        <v>1.6033558071592114E-2</v>
      </c>
      <c r="P918" s="1367">
        <f t="shared" si="425"/>
        <v>4323.8828074063267</v>
      </c>
      <c r="Q918" s="1364">
        <f t="shared" si="425"/>
        <v>0</v>
      </c>
      <c r="R918" s="1364"/>
      <c r="S918" s="1364">
        <v>105</v>
      </c>
      <c r="V918" s="1321" t="s">
        <v>5229</v>
      </c>
      <c r="W918" s="1321">
        <v>105</v>
      </c>
      <c r="Y918" s="1324"/>
    </row>
    <row r="919" spans="1:25">
      <c r="A919" s="1320" t="s">
        <v>4883</v>
      </c>
      <c r="B919" s="1324">
        <v>418</v>
      </c>
      <c r="C919" s="1393">
        <v>40</v>
      </c>
      <c r="D919" s="1324" t="s">
        <v>5312</v>
      </c>
      <c r="E919" s="1324" t="s">
        <v>4071</v>
      </c>
      <c r="F919" s="1324">
        <f>+'0 MDS Allocation Assignment'!F305</f>
        <v>0</v>
      </c>
      <c r="G919" s="1364">
        <f>+$F919*G$2021</f>
        <v>0</v>
      </c>
      <c r="H919" s="1364">
        <f>+$F919*H$1936</f>
        <v>0</v>
      </c>
      <c r="I919" s="1374">
        <f t="shared" si="423"/>
        <v>0</v>
      </c>
      <c r="J919" s="1364">
        <f>+H919</f>
        <v>0</v>
      </c>
      <c r="K919" s="1364">
        <f t="shared" ref="K919:Q919" si="426">+$J919*K$2021</f>
        <v>0</v>
      </c>
      <c r="L919" s="1364">
        <f t="shared" si="426"/>
        <v>0</v>
      </c>
      <c r="M919" s="1364">
        <f t="shared" si="426"/>
        <v>0</v>
      </c>
      <c r="N919" s="1367">
        <f t="shared" si="426"/>
        <v>0</v>
      </c>
      <c r="O919" s="1367">
        <f t="shared" si="426"/>
        <v>0</v>
      </c>
      <c r="P919" s="1367">
        <f t="shared" si="426"/>
        <v>0</v>
      </c>
      <c r="Q919" s="1364">
        <f t="shared" si="426"/>
        <v>0</v>
      </c>
      <c r="R919" s="1364"/>
      <c r="S919" s="1364">
        <v>418</v>
      </c>
      <c r="V919" s="1321" t="s">
        <v>5305</v>
      </c>
      <c r="W919" s="1321">
        <v>418</v>
      </c>
      <c r="Y919" s="1324"/>
    </row>
    <row r="920" spans="1:25">
      <c r="A920" s="1320" t="s">
        <v>4883</v>
      </c>
      <c r="B920" s="1324">
        <v>106</v>
      </c>
      <c r="C920" s="1393">
        <v>41</v>
      </c>
      <c r="D920" s="1324" t="s">
        <v>5313</v>
      </c>
      <c r="E920" s="1324" t="s">
        <v>4067</v>
      </c>
      <c r="F920" s="1324">
        <f>+'0 MDS Allocation Assignment'!F306</f>
        <v>57432.267938374134</v>
      </c>
      <c r="G920" s="1364">
        <f>+$F920*G$1939</f>
        <v>0</v>
      </c>
      <c r="H920" s="1364">
        <f>+$F920*H$1939</f>
        <v>57432.267938374134</v>
      </c>
      <c r="I920" s="1374">
        <f t="shared" si="423"/>
        <v>1</v>
      </c>
      <c r="J920" s="1364">
        <f>+H920</f>
        <v>57432.267938374134</v>
      </c>
      <c r="K920" s="1364">
        <f t="shared" ref="K920:Q920" si="427">+$J920*K$1939</f>
        <v>41904.492959340627</v>
      </c>
      <c r="L920" s="1364">
        <f t="shared" si="427"/>
        <v>3374.1433295998836</v>
      </c>
      <c r="M920" s="1364">
        <f t="shared" si="427"/>
        <v>11945.874543450864</v>
      </c>
      <c r="N920" s="1367">
        <f t="shared" si="427"/>
        <v>0</v>
      </c>
      <c r="O920" s="1367">
        <f t="shared" si="427"/>
        <v>0</v>
      </c>
      <c r="P920" s="1367">
        <f t="shared" si="427"/>
        <v>207.75710598275901</v>
      </c>
      <c r="Q920" s="1364">
        <f t="shared" si="427"/>
        <v>0</v>
      </c>
      <c r="R920" s="1364"/>
      <c r="S920" s="1364">
        <v>106</v>
      </c>
      <c r="V920" s="1321" t="s">
        <v>5230</v>
      </c>
      <c r="W920" s="1321">
        <v>106</v>
      </c>
      <c r="Y920" s="1324"/>
    </row>
    <row r="921" spans="1:25">
      <c r="A921" s="1320" t="s">
        <v>4883</v>
      </c>
      <c r="B921" s="1324">
        <v>420</v>
      </c>
      <c r="C921" s="1393">
        <v>42</v>
      </c>
      <c r="D921" s="1324" t="s">
        <v>5314</v>
      </c>
      <c r="E921" s="1324" t="s">
        <v>4071</v>
      </c>
      <c r="F921" s="1324">
        <f>+'0 MDS Allocation Assignment'!F307</f>
        <v>0</v>
      </c>
      <c r="G921" s="1364">
        <f>+$F921*G$2024</f>
        <v>0</v>
      </c>
      <c r="H921" s="1364">
        <f>+$F921*H$2024</f>
        <v>0</v>
      </c>
      <c r="I921" s="1374">
        <f t="shared" si="423"/>
        <v>0</v>
      </c>
      <c r="J921" s="1364">
        <f>+H921</f>
        <v>0</v>
      </c>
      <c r="K921" s="1364">
        <f t="shared" ref="K921:Q921" si="428">+$J921*K$2024</f>
        <v>0</v>
      </c>
      <c r="L921" s="1364">
        <f t="shared" si="428"/>
        <v>0</v>
      </c>
      <c r="M921" s="1364">
        <f t="shared" si="428"/>
        <v>0</v>
      </c>
      <c r="N921" s="1367">
        <f t="shared" si="428"/>
        <v>0</v>
      </c>
      <c r="O921" s="1367">
        <f t="shared" si="428"/>
        <v>0</v>
      </c>
      <c r="P921" s="1367">
        <f t="shared" si="428"/>
        <v>0</v>
      </c>
      <c r="Q921" s="1364">
        <f t="shared" si="428"/>
        <v>0</v>
      </c>
      <c r="R921" s="1364"/>
      <c r="S921" s="1364">
        <v>420</v>
      </c>
      <c r="V921" s="1321" t="s">
        <v>5225</v>
      </c>
      <c r="W921" s="1321">
        <v>420</v>
      </c>
      <c r="Y921" s="1324"/>
    </row>
    <row r="922" spans="1:25">
      <c r="A922" s="1320" t="s">
        <v>4883</v>
      </c>
      <c r="B922" s="1326"/>
      <c r="C922" s="1393">
        <v>43</v>
      </c>
      <c r="D922" s="1324" t="s">
        <v>5638</v>
      </c>
      <c r="E922" s="1324"/>
      <c r="F922" s="1421">
        <f>+SUM(F917:F921)</f>
        <v>811064.56137000001</v>
      </c>
      <c r="G922" s="1421">
        <f>SUM(G917:G921)</f>
        <v>0</v>
      </c>
      <c r="H922" s="1421">
        <f>SUM(H917:H921)</f>
        <v>811064.56137000001</v>
      </c>
      <c r="I922" s="1374">
        <f t="shared" si="423"/>
        <v>1</v>
      </c>
      <c r="J922" s="1421">
        <f>SUM(J917:J921)</f>
        <v>811064.56137000001</v>
      </c>
      <c r="K922" s="1421">
        <f t="shared" ref="K922:Q922" si="429">SUM(K917:K921)</f>
        <v>510737.21396079659</v>
      </c>
      <c r="L922" s="1421">
        <f t="shared" si="429"/>
        <v>36718.702307528845</v>
      </c>
      <c r="M922" s="1421">
        <f>SUM(M917:M921)</f>
        <v>235208.516373024</v>
      </c>
      <c r="N922" s="1421">
        <f t="shared" si="429"/>
        <v>23482.740981703679</v>
      </c>
      <c r="O922" s="1421">
        <f>SUM(O917:O921)</f>
        <v>1.6033558071592114E-2</v>
      </c>
      <c r="P922" s="1421">
        <f>SUM(P917:P921)</f>
        <v>4531.6399133890855</v>
      </c>
      <c r="Q922" s="1421">
        <f t="shared" si="429"/>
        <v>385.73180000000002</v>
      </c>
      <c r="R922" s="1364"/>
      <c r="S922" s="1364"/>
      <c r="T922" s="1321"/>
      <c r="U922" s="1326"/>
      <c r="V922" s="1320" t="s">
        <v>5414</v>
      </c>
      <c r="Y922" s="1324"/>
    </row>
    <row r="923" spans="1:25">
      <c r="A923" s="1320" t="s">
        <v>4883</v>
      </c>
      <c r="B923" s="1326"/>
      <c r="C923" s="1393">
        <v>44</v>
      </c>
      <c r="D923" s="1324"/>
      <c r="E923" s="1324"/>
      <c r="F923" s="1324"/>
      <c r="H923" s="1324"/>
      <c r="I923" s="1374"/>
      <c r="R923" s="1324"/>
      <c r="S923" s="1326"/>
      <c r="T923" s="1321"/>
      <c r="U923" s="1326"/>
    </row>
    <row r="924" spans="1:25" s="1324" customFormat="1">
      <c r="A924" s="1324" t="s">
        <v>4883</v>
      </c>
      <c r="B924" s="1324">
        <v>310</v>
      </c>
      <c r="C924" s="1393">
        <v>45</v>
      </c>
      <c r="D924" s="1324" t="s">
        <v>5317</v>
      </c>
      <c r="E924" s="1324" t="s">
        <v>4071</v>
      </c>
      <c r="F924" s="1324">
        <f>+'0 MDS Allocation Assignment'!F308</f>
        <v>0</v>
      </c>
      <c r="G924" s="1364">
        <f>+$F924*G$1993</f>
        <v>0</v>
      </c>
      <c r="H924" s="1364">
        <f>+$F924*H$1993</f>
        <v>0</v>
      </c>
      <c r="I924" s="1374">
        <f t="shared" ref="I924:I929" si="430">IF(F924=0,0,+H924/F924)</f>
        <v>0</v>
      </c>
      <c r="J924" s="1364">
        <f>+H924</f>
        <v>0</v>
      </c>
      <c r="K924" s="1364">
        <f t="shared" ref="K924:Q924" si="431">+$J924*K$1993</f>
        <v>0</v>
      </c>
      <c r="L924" s="1364">
        <f t="shared" si="431"/>
        <v>0</v>
      </c>
      <c r="M924" s="1364">
        <f t="shared" si="431"/>
        <v>0</v>
      </c>
      <c r="N924" s="1367">
        <f t="shared" si="431"/>
        <v>0</v>
      </c>
      <c r="O924" s="1367">
        <f t="shared" si="431"/>
        <v>0</v>
      </c>
      <c r="P924" s="1367">
        <f t="shared" si="431"/>
        <v>0</v>
      </c>
      <c r="Q924" s="1364">
        <f t="shared" si="431"/>
        <v>0</v>
      </c>
      <c r="R924" s="1364"/>
      <c r="S924" s="1364">
        <v>310</v>
      </c>
      <c r="V924" s="1326" t="s">
        <v>5302</v>
      </c>
      <c r="W924" s="1326">
        <v>310</v>
      </c>
    </row>
    <row r="925" spans="1:25" s="1324" customFormat="1">
      <c r="A925" s="1324" t="s">
        <v>4883</v>
      </c>
      <c r="B925" s="1324">
        <v>105</v>
      </c>
      <c r="C925" s="1393">
        <v>46</v>
      </c>
      <c r="D925" s="1324" t="s">
        <v>5318</v>
      </c>
      <c r="E925" s="1324" t="s">
        <v>4067</v>
      </c>
      <c r="F925" s="1324">
        <f>+'0 MDS Allocation Assignment'!F309</f>
        <v>164150.18467445605</v>
      </c>
      <c r="G925" s="1364">
        <f>+$F925*G$1936</f>
        <v>0</v>
      </c>
      <c r="H925" s="1364">
        <f>+$F925*H$1936</f>
        <v>164150.18467445605</v>
      </c>
      <c r="I925" s="1374">
        <f t="shared" si="430"/>
        <v>1</v>
      </c>
      <c r="J925" s="1364">
        <f>+H925</f>
        <v>164150.18467445605</v>
      </c>
      <c r="K925" s="1364">
        <f t="shared" ref="K925:Q925" si="432">+$J925*K$1936</f>
        <v>102169.70332677521</v>
      </c>
      <c r="L925" s="1364">
        <f t="shared" si="432"/>
        <v>7266.5655482834372</v>
      </c>
      <c r="M925" s="1364">
        <f t="shared" si="432"/>
        <v>48654.19339962989</v>
      </c>
      <c r="N925" s="1367">
        <f t="shared" si="432"/>
        <v>5117.4429000503142</v>
      </c>
      <c r="O925" s="1367">
        <f t="shared" si="432"/>
        <v>3.4940903184999773E-3</v>
      </c>
      <c r="P925" s="1367">
        <f t="shared" si="432"/>
        <v>942.27600562691191</v>
      </c>
      <c r="Q925" s="1364">
        <f t="shared" si="432"/>
        <v>0</v>
      </c>
      <c r="R925" s="1364"/>
      <c r="S925" s="1364">
        <v>105</v>
      </c>
      <c r="V925" s="1326" t="s">
        <v>5229</v>
      </c>
      <c r="W925" s="1326">
        <v>105</v>
      </c>
    </row>
    <row r="926" spans="1:25" s="1324" customFormat="1">
      <c r="A926" s="1324" t="s">
        <v>4883</v>
      </c>
      <c r="B926" s="1324">
        <v>418</v>
      </c>
      <c r="C926" s="1393">
        <v>47</v>
      </c>
      <c r="D926" s="1324" t="s">
        <v>5319</v>
      </c>
      <c r="E926" s="1324" t="s">
        <v>4071</v>
      </c>
      <c r="F926" s="1324">
        <f>+'0 MDS Allocation Assignment'!F310</f>
        <v>0</v>
      </c>
      <c r="G926" s="1364">
        <f>+$F926*G$2021</f>
        <v>0</v>
      </c>
      <c r="H926" s="1364">
        <f>+$F926*H$1936</f>
        <v>0</v>
      </c>
      <c r="I926" s="1374">
        <f t="shared" si="430"/>
        <v>0</v>
      </c>
      <c r="J926" s="1364">
        <f>+H926</f>
        <v>0</v>
      </c>
      <c r="K926" s="1364">
        <f t="shared" ref="K926:Q926" si="433">+$J926*K$2021</f>
        <v>0</v>
      </c>
      <c r="L926" s="1364">
        <f t="shared" si="433"/>
        <v>0</v>
      </c>
      <c r="M926" s="1364">
        <f t="shared" si="433"/>
        <v>0</v>
      </c>
      <c r="N926" s="1367">
        <f t="shared" si="433"/>
        <v>0</v>
      </c>
      <c r="O926" s="1367">
        <f t="shared" si="433"/>
        <v>0</v>
      </c>
      <c r="P926" s="1367">
        <f t="shared" si="433"/>
        <v>0</v>
      </c>
      <c r="Q926" s="1364">
        <f t="shared" si="433"/>
        <v>0</v>
      </c>
      <c r="R926" s="1364"/>
      <c r="S926" s="1364">
        <v>418</v>
      </c>
      <c r="V926" s="1326" t="s">
        <v>5305</v>
      </c>
      <c r="W926" s="1326">
        <v>418</v>
      </c>
    </row>
    <row r="927" spans="1:25" s="1324" customFormat="1">
      <c r="A927" s="1324" t="s">
        <v>4883</v>
      </c>
      <c r="B927" s="1324">
        <v>106</v>
      </c>
      <c r="C927" s="1393">
        <v>48</v>
      </c>
      <c r="D927" s="1324" t="s">
        <v>5320</v>
      </c>
      <c r="E927" s="1324" t="s">
        <v>4067</v>
      </c>
      <c r="F927" s="1324">
        <f>+'0 MDS Allocation Assignment'!F311</f>
        <v>833929.36636874522</v>
      </c>
      <c r="G927" s="1364">
        <f>+$F927*G$1939</f>
        <v>0</v>
      </c>
      <c r="H927" s="1364">
        <f>+$F927*H$1939</f>
        <v>833929.36636874522</v>
      </c>
      <c r="I927" s="1374">
        <f t="shared" si="430"/>
        <v>1</v>
      </c>
      <c r="J927" s="1364">
        <f>+H927</f>
        <v>833929.36636874522</v>
      </c>
      <c r="K927" s="1364">
        <f t="shared" ref="K927:Q927" si="434">+$J927*K$1939</f>
        <v>608462.60327179672</v>
      </c>
      <c r="L927" s="1364">
        <f t="shared" si="434"/>
        <v>48993.31525458501</v>
      </c>
      <c r="M927" s="1364">
        <f t="shared" si="434"/>
        <v>173456.76823053419</v>
      </c>
      <c r="N927" s="1367">
        <f t="shared" si="434"/>
        <v>0</v>
      </c>
      <c r="O927" s="1367">
        <f t="shared" si="434"/>
        <v>0</v>
      </c>
      <c r="P927" s="1367">
        <f t="shared" si="434"/>
        <v>3016.6796118292241</v>
      </c>
      <c r="Q927" s="1364">
        <f t="shared" si="434"/>
        <v>0</v>
      </c>
      <c r="R927" s="1364"/>
      <c r="S927" s="1364">
        <v>106</v>
      </c>
      <c r="V927" s="1326" t="s">
        <v>5230</v>
      </c>
      <c r="W927" s="1326">
        <v>106</v>
      </c>
    </row>
    <row r="928" spans="1:25" s="1324" customFormat="1">
      <c r="A928" s="1324" t="s">
        <v>4883</v>
      </c>
      <c r="B928" s="1324">
        <v>420</v>
      </c>
      <c r="C928" s="1393">
        <v>49</v>
      </c>
      <c r="D928" s="1324" t="s">
        <v>5321</v>
      </c>
      <c r="E928" s="1324" t="s">
        <v>4071</v>
      </c>
      <c r="F928" s="1324">
        <f>+'0 MDS Allocation Assignment'!F312</f>
        <v>0</v>
      </c>
      <c r="G928" s="1364">
        <f>+$F928*G$2024</f>
        <v>0</v>
      </c>
      <c r="H928" s="1364">
        <f>+$F928*H$2024</f>
        <v>0</v>
      </c>
      <c r="I928" s="1374">
        <f t="shared" si="430"/>
        <v>0</v>
      </c>
      <c r="J928" s="1364">
        <f>+H928</f>
        <v>0</v>
      </c>
      <c r="K928" s="1364">
        <f t="shared" ref="K928:Q928" si="435">+$J928*K$2024</f>
        <v>0</v>
      </c>
      <c r="L928" s="1364">
        <f t="shared" si="435"/>
        <v>0</v>
      </c>
      <c r="M928" s="1364">
        <f t="shared" si="435"/>
        <v>0</v>
      </c>
      <c r="N928" s="1367">
        <f t="shared" si="435"/>
        <v>0</v>
      </c>
      <c r="O928" s="1367">
        <f t="shared" si="435"/>
        <v>0</v>
      </c>
      <c r="P928" s="1367">
        <f t="shared" si="435"/>
        <v>0</v>
      </c>
      <c r="Q928" s="1364">
        <f t="shared" si="435"/>
        <v>0</v>
      </c>
      <c r="R928" s="1364"/>
      <c r="S928" s="1364">
        <v>420</v>
      </c>
      <c r="V928" s="1326" t="s">
        <v>5225</v>
      </c>
      <c r="W928" s="1326">
        <v>420</v>
      </c>
    </row>
    <row r="929" spans="1:23" s="1324" customFormat="1">
      <c r="A929" s="1324" t="s">
        <v>4883</v>
      </c>
      <c r="B929" s="1326"/>
      <c r="C929" s="1393">
        <v>50</v>
      </c>
      <c r="D929" s="1324" t="s">
        <v>5322</v>
      </c>
      <c r="F929" s="1421">
        <f>+SUM(F924:F928)</f>
        <v>998079.55104320124</v>
      </c>
      <c r="G929" s="1421">
        <f>SUM(G924:G928)</f>
        <v>0</v>
      </c>
      <c r="H929" s="1421">
        <f>SUM(H924:H928)</f>
        <v>998079.55104320124</v>
      </c>
      <c r="I929" s="1374">
        <f t="shared" si="430"/>
        <v>1</v>
      </c>
      <c r="J929" s="1421">
        <f>SUM(J924:J928)</f>
        <v>998079.55104320124</v>
      </c>
      <c r="K929" s="1421">
        <f t="shared" ref="K929:Q929" si="436">SUM(K924:K928)</f>
        <v>710632.30659857194</v>
      </c>
      <c r="L929" s="1421">
        <f t="shared" si="436"/>
        <v>56259.880802868443</v>
      </c>
      <c r="M929" s="1421">
        <f>SUM(M924:M928)</f>
        <v>222110.96163016406</v>
      </c>
      <c r="N929" s="1421">
        <f t="shared" si="436"/>
        <v>5117.4429000503142</v>
      </c>
      <c r="O929" s="1421">
        <f t="shared" si="436"/>
        <v>3.4940903184999773E-3</v>
      </c>
      <c r="P929" s="1421">
        <f t="shared" si="436"/>
        <v>3958.9556174561358</v>
      </c>
      <c r="Q929" s="1421">
        <f t="shared" si="436"/>
        <v>0</v>
      </c>
      <c r="R929" s="1364"/>
      <c r="S929" s="1364"/>
      <c r="T929" s="1326"/>
      <c r="U929" s="1326"/>
      <c r="V929" s="1324" t="s">
        <v>5415</v>
      </c>
    </row>
    <row r="930" spans="1:23" s="1324" customFormat="1">
      <c r="A930" s="1324" t="s">
        <v>4883</v>
      </c>
      <c r="B930" s="1326"/>
      <c r="C930" s="1393">
        <v>51</v>
      </c>
      <c r="I930" s="1374"/>
      <c r="M930" s="1325"/>
      <c r="N930" s="1325"/>
      <c r="O930" s="1325"/>
      <c r="S930" s="1326"/>
      <c r="T930" s="1326"/>
      <c r="U930" s="1326"/>
    </row>
    <row r="931" spans="1:23" s="1324" customFormat="1">
      <c r="A931" s="1324" t="s">
        <v>4883</v>
      </c>
      <c r="B931" s="1324">
        <v>420</v>
      </c>
      <c r="C931" s="1393">
        <v>52</v>
      </c>
      <c r="D931" s="1324" t="s">
        <v>5324</v>
      </c>
      <c r="E931" s="1324" t="s">
        <v>4071</v>
      </c>
      <c r="F931" s="1324">
        <f>+'0 MDS Allocation Assignment'!F313</f>
        <v>228413.06716999999</v>
      </c>
      <c r="G931" s="1364">
        <f>+$F931*G$2024</f>
        <v>0</v>
      </c>
      <c r="H931" s="1364">
        <f>+$F931*H$2024</f>
        <v>228413.06716999999</v>
      </c>
      <c r="I931" s="1374">
        <f>IF(F931=0,0,+H931/F931)</f>
        <v>1</v>
      </c>
      <c r="J931" s="1364">
        <f>+H931</f>
        <v>228413.06716999999</v>
      </c>
      <c r="K931" s="1364">
        <f t="shared" ref="K931:Q931" si="437">+$J931*K$2024</f>
        <v>203776.26178604533</v>
      </c>
      <c r="L931" s="1364">
        <f t="shared" si="437"/>
        <v>19749.240063177211</v>
      </c>
      <c r="M931" s="1364">
        <f t="shared" si="437"/>
        <v>4829.805834685968</v>
      </c>
      <c r="N931" s="1364">
        <f t="shared" si="437"/>
        <v>0</v>
      </c>
      <c r="O931" s="1364">
        <f t="shared" si="437"/>
        <v>0</v>
      </c>
      <c r="P931" s="1364">
        <f t="shared" si="437"/>
        <v>57.75948609147737</v>
      </c>
      <c r="Q931" s="1364">
        <f t="shared" si="437"/>
        <v>0</v>
      </c>
      <c r="R931" s="1364"/>
      <c r="S931" s="1364">
        <v>420</v>
      </c>
      <c r="V931" s="1326" t="s">
        <v>5225</v>
      </c>
      <c r="W931" s="1326">
        <v>420</v>
      </c>
    </row>
    <row r="932" spans="1:23" s="1324" customFormat="1">
      <c r="A932" s="1324" t="s">
        <v>4883</v>
      </c>
      <c r="B932" s="1324">
        <v>308</v>
      </c>
      <c r="C932" s="1393">
        <v>53</v>
      </c>
      <c r="D932" s="1324" t="s">
        <v>5325</v>
      </c>
      <c r="E932" s="1324" t="s">
        <v>4071</v>
      </c>
      <c r="F932" s="1324">
        <f>+'0 MDS Allocation Assignment'!F314</f>
        <v>149851.91621000002</v>
      </c>
      <c r="G932" s="1364">
        <f>+$F932*G$1988</f>
        <v>0</v>
      </c>
      <c r="H932" s="1364">
        <f>+$F932*H$1988</f>
        <v>149851.91621000002</v>
      </c>
      <c r="I932" s="1374">
        <f>IF(F932=0,0,+H932/F932)</f>
        <v>1</v>
      </c>
      <c r="J932" s="1364">
        <f>+H932</f>
        <v>149851.91621000002</v>
      </c>
      <c r="K932" s="1364">
        <f t="shared" ref="K932:Q932" si="438">+$J932*K$1988</f>
        <v>102299.75597307271</v>
      </c>
      <c r="L932" s="1364">
        <f t="shared" si="438"/>
        <v>26678.46736703737</v>
      </c>
      <c r="M932" s="1364">
        <f t="shared" si="438"/>
        <v>17552.956774673046</v>
      </c>
      <c r="N932" s="1364">
        <f t="shared" si="438"/>
        <v>1442.907956013079</v>
      </c>
      <c r="O932" s="1364">
        <f t="shared" si="438"/>
        <v>1574.273150579053</v>
      </c>
      <c r="P932" s="1364">
        <f t="shared" si="438"/>
        <v>303.55498862477577</v>
      </c>
      <c r="Q932" s="1364">
        <f t="shared" si="438"/>
        <v>0</v>
      </c>
      <c r="R932" s="1364"/>
      <c r="S932" s="1364">
        <v>308</v>
      </c>
      <c r="V932" s="1326" t="s">
        <v>5326</v>
      </c>
      <c r="W932" s="1326">
        <v>308</v>
      </c>
    </row>
    <row r="933" spans="1:23" s="1324" customFormat="1">
      <c r="A933" s="1324" t="s">
        <v>4883</v>
      </c>
      <c r="B933" s="1324">
        <v>412</v>
      </c>
      <c r="C933" s="1393">
        <v>54</v>
      </c>
      <c r="D933" s="1358" t="s">
        <v>5416</v>
      </c>
      <c r="E933" s="1324" t="s">
        <v>4071</v>
      </c>
      <c r="F933" s="1324">
        <f>+'0 MDS Allocation Assignment'!F315</f>
        <v>0</v>
      </c>
      <c r="G933" s="1364">
        <f>+$F933*G$1991</f>
        <v>0</v>
      </c>
      <c r="H933" s="1364">
        <f>+$F933*H$1991</f>
        <v>0</v>
      </c>
      <c r="I933" s="1374">
        <f>IF(F933=0,0,+H933/F933)</f>
        <v>0</v>
      </c>
      <c r="J933" s="1364">
        <f>+H933</f>
        <v>0</v>
      </c>
      <c r="K933" s="1445">
        <f t="shared" ref="K933:Q933" si="439">+$J933*K$2018</f>
        <v>0</v>
      </c>
      <c r="L933" s="1364">
        <f t="shared" si="439"/>
        <v>0</v>
      </c>
      <c r="M933" s="1364">
        <f t="shared" si="439"/>
        <v>0</v>
      </c>
      <c r="N933" s="1367">
        <f t="shared" si="439"/>
        <v>0</v>
      </c>
      <c r="O933" s="1367">
        <f t="shared" si="439"/>
        <v>0</v>
      </c>
      <c r="P933" s="1367">
        <f t="shared" si="439"/>
        <v>0</v>
      </c>
      <c r="Q933" s="1364">
        <f t="shared" si="439"/>
        <v>0</v>
      </c>
      <c r="R933" s="1364"/>
      <c r="S933" s="1364">
        <v>309</v>
      </c>
      <c r="V933" s="1326" t="s">
        <v>5328</v>
      </c>
      <c r="W933" s="1326">
        <v>309</v>
      </c>
    </row>
    <row r="934" spans="1:23" s="1324" customFormat="1">
      <c r="A934" s="1324" t="s">
        <v>4883</v>
      </c>
      <c r="B934" s="1324">
        <v>310</v>
      </c>
      <c r="C934" s="1393">
        <v>55</v>
      </c>
      <c r="D934" s="1324" t="s">
        <v>5329</v>
      </c>
      <c r="E934" s="1324" t="s">
        <v>4071</v>
      </c>
      <c r="F934" s="1366">
        <f>+'0 MDS Allocation Assignment'!F316</f>
        <v>414978.62154999998</v>
      </c>
      <c r="G934" s="1366">
        <f>+$F934*G$1994</f>
        <v>0</v>
      </c>
      <c r="H934" s="1366">
        <f>+$F934*H$1994</f>
        <v>414978.62154999998</v>
      </c>
      <c r="I934" s="1374">
        <f>IF(F934=0,0,+H934/F934)</f>
        <v>1</v>
      </c>
      <c r="J934" s="1366">
        <f>+H934</f>
        <v>414978.62154999998</v>
      </c>
      <c r="K934" s="1366">
        <f t="shared" ref="K934:Q934" si="440">+$J934*K$1994</f>
        <v>0</v>
      </c>
      <c r="L934" s="1366">
        <f t="shared" si="440"/>
        <v>0</v>
      </c>
      <c r="M934" s="1366">
        <f t="shared" si="440"/>
        <v>0</v>
      </c>
      <c r="N934" s="1378">
        <f t="shared" si="440"/>
        <v>0</v>
      </c>
      <c r="O934" s="1378">
        <f t="shared" si="440"/>
        <v>0</v>
      </c>
      <c r="P934" s="1378">
        <f t="shared" si="440"/>
        <v>0</v>
      </c>
      <c r="Q934" s="1366">
        <f t="shared" si="440"/>
        <v>414978.62154999998</v>
      </c>
      <c r="R934" s="1364"/>
      <c r="S934" s="1364">
        <v>310</v>
      </c>
      <c r="V934" s="1326" t="s">
        <v>5302</v>
      </c>
      <c r="W934" s="1326">
        <v>310</v>
      </c>
    </row>
    <row r="935" spans="1:23" s="1324" customFormat="1">
      <c r="A935" s="1324" t="s">
        <v>4883</v>
      </c>
      <c r="B935" s="1326"/>
      <c r="C935" s="1393">
        <v>56</v>
      </c>
      <c r="I935" s="1374"/>
      <c r="M935" s="1325"/>
      <c r="N935" s="1325"/>
      <c r="O935" s="1325"/>
      <c r="R935" s="1364"/>
      <c r="S935" s="1364"/>
      <c r="T935" s="1326"/>
      <c r="U935" s="1326"/>
    </row>
    <row r="936" spans="1:23" s="1324" customFormat="1">
      <c r="A936" s="1324" t="s">
        <v>4883</v>
      </c>
      <c r="B936" s="1326"/>
      <c r="C936" s="1393">
        <v>57</v>
      </c>
      <c r="D936" s="1324" t="s">
        <v>5639</v>
      </c>
      <c r="E936" s="1324" t="s">
        <v>4067</v>
      </c>
      <c r="F936" s="1364">
        <f t="shared" ref="F936:H937" si="441">SUMIF($E$901:$E$934,$E936,F$901:F$934)</f>
        <v>2858628.3006293303</v>
      </c>
      <c r="G936" s="1364">
        <f t="shared" si="441"/>
        <v>0</v>
      </c>
      <c r="H936" s="1364">
        <f t="shared" si="441"/>
        <v>2858628.3006293303</v>
      </c>
      <c r="I936" s="1374">
        <f>IF(F936=0,0,+H936/F936)</f>
        <v>1</v>
      </c>
      <c r="J936" s="1364">
        <f t="shared" ref="J936:Q937" si="442">SUMIF($E$900:$E$934,$E936,J$900:J$934)</f>
        <v>2858628.3006293303</v>
      </c>
      <c r="K936" s="1364">
        <f t="shared" si="442"/>
        <v>1888623.5289967447</v>
      </c>
      <c r="L936" s="1364">
        <f t="shared" si="442"/>
        <v>141317.76268646773</v>
      </c>
      <c r="M936" s="1364">
        <f t="shared" si="442"/>
        <v>757124.77783833514</v>
      </c>
      <c r="N936" s="1364">
        <f t="shared" si="442"/>
        <v>57318.201493950881</v>
      </c>
      <c r="O936" s="1364">
        <f t="shared" si="442"/>
        <v>3.9135751355794439E-2</v>
      </c>
      <c r="P936" s="1364">
        <f t="shared" si="442"/>
        <v>14243.990478080987</v>
      </c>
      <c r="Q936" s="1364">
        <f t="shared" si="442"/>
        <v>0</v>
      </c>
      <c r="R936" s="1364"/>
      <c r="S936" s="1364"/>
      <c r="T936" s="1326"/>
      <c r="U936" s="1326"/>
      <c r="V936" s="1326" t="s">
        <v>5419</v>
      </c>
    </row>
    <row r="937" spans="1:23" s="1324" customFormat="1">
      <c r="A937" s="1324" t="s">
        <v>4883</v>
      </c>
      <c r="B937" s="1326"/>
      <c r="C937" s="1393">
        <v>58</v>
      </c>
      <c r="D937" s="1324" t="s">
        <v>5639</v>
      </c>
      <c r="E937" s="1324" t="s">
        <v>4071</v>
      </c>
      <c r="F937" s="1366">
        <f t="shared" si="441"/>
        <v>830246.67682678136</v>
      </c>
      <c r="G937" s="1366">
        <f t="shared" si="441"/>
        <v>0</v>
      </c>
      <c r="H937" s="1366">
        <f t="shared" si="441"/>
        <v>830246.67682678136</v>
      </c>
      <c r="I937" s="1374">
        <f>IF(F937=0,0,+H937/F937)</f>
        <v>1</v>
      </c>
      <c r="J937" s="1366">
        <f t="shared" si="442"/>
        <v>830246.67682678136</v>
      </c>
      <c r="K937" s="1366">
        <f t="shared" si="442"/>
        <v>306076.01775911805</v>
      </c>
      <c r="L937" s="1366">
        <f t="shared" si="442"/>
        <v>46427.707430214577</v>
      </c>
      <c r="M937" s="1366">
        <f t="shared" si="442"/>
        <v>22382.762609359015</v>
      </c>
      <c r="N937" s="1366">
        <f t="shared" si="442"/>
        <v>1442.907956013079</v>
      </c>
      <c r="O937" s="1366">
        <f t="shared" si="442"/>
        <v>1574.273150579053</v>
      </c>
      <c r="P937" s="1366">
        <f t="shared" si="442"/>
        <v>361.31447471625313</v>
      </c>
      <c r="Q937" s="1366">
        <f t="shared" si="442"/>
        <v>451981.69344678143</v>
      </c>
      <c r="R937" s="1364"/>
      <c r="S937" s="1364"/>
      <c r="T937" s="1326"/>
      <c r="U937" s="1326"/>
      <c r="V937" s="1326" t="s">
        <v>5420</v>
      </c>
    </row>
    <row r="938" spans="1:23" s="1324" customFormat="1">
      <c r="A938" s="1324" t="s">
        <v>4883</v>
      </c>
      <c r="B938" s="1326"/>
      <c r="C938" s="1393">
        <v>59</v>
      </c>
      <c r="F938" s="1364"/>
      <c r="G938" s="1364"/>
      <c r="H938" s="1364"/>
      <c r="I938" s="1374"/>
      <c r="J938" s="1364"/>
      <c r="K938" s="1364"/>
      <c r="L938" s="1364"/>
      <c r="M938" s="1364"/>
      <c r="N938" s="1367"/>
      <c r="O938" s="1367"/>
      <c r="P938" s="1367"/>
      <c r="Q938" s="1364"/>
      <c r="R938" s="1364"/>
      <c r="S938" s="1364"/>
      <c r="T938" s="1326"/>
      <c r="U938" s="1326"/>
    </row>
    <row r="939" spans="1:23" s="1324" customFormat="1">
      <c r="A939" s="1324" t="s">
        <v>4883</v>
      </c>
      <c r="B939" s="1326"/>
      <c r="C939" s="1393">
        <v>60</v>
      </c>
      <c r="D939" s="1324" t="s">
        <v>2458</v>
      </c>
      <c r="F939" s="1366">
        <f>+SUM(F936:F937)</f>
        <v>3688874.9774561115</v>
      </c>
      <c r="G939" s="1366">
        <f>+G936+G937</f>
        <v>0</v>
      </c>
      <c r="H939" s="1366">
        <f>+H936+H937</f>
        <v>3688874.9774561115</v>
      </c>
      <c r="I939" s="1374">
        <f>IF(F939=0,0,+H939/F939)</f>
        <v>1</v>
      </c>
      <c r="J939" s="1366">
        <f t="shared" ref="J939:Q939" si="443">+J936+J937</f>
        <v>3688874.9774561115</v>
      </c>
      <c r="K939" s="1366">
        <f t="shared" si="443"/>
        <v>2194699.5467558629</v>
      </c>
      <c r="L939" s="1366">
        <f t="shared" si="443"/>
        <v>187745.47011668229</v>
      </c>
      <c r="M939" s="1366">
        <f>+M936+M937</f>
        <v>779507.54044769413</v>
      </c>
      <c r="N939" s="1378">
        <f>+N936+N937</f>
        <v>58761.109449963958</v>
      </c>
      <c r="O939" s="1378">
        <f>+O936+O937</f>
        <v>1574.3122863304088</v>
      </c>
      <c r="P939" s="1378">
        <f>+P936+P937</f>
        <v>14605.30495279724</v>
      </c>
      <c r="Q939" s="1366">
        <f t="shared" si="443"/>
        <v>451981.69344678143</v>
      </c>
      <c r="R939" s="1364"/>
      <c r="S939" s="1364"/>
      <c r="T939" s="1326"/>
      <c r="U939" s="1326"/>
      <c r="V939" s="1324" t="s">
        <v>5640</v>
      </c>
    </row>
    <row r="940" spans="1:23" s="1324" customFormat="1">
      <c r="A940" s="1324" t="s">
        <v>4883</v>
      </c>
      <c r="B940" s="1326"/>
      <c r="C940" s="1393">
        <v>61</v>
      </c>
      <c r="F940" s="1411"/>
      <c r="I940" s="1374"/>
      <c r="M940" s="1325"/>
      <c r="N940" s="1325"/>
      <c r="O940" s="1325"/>
      <c r="R940" s="1364"/>
      <c r="S940" s="1364"/>
      <c r="T940" s="1326"/>
      <c r="U940" s="1326"/>
    </row>
    <row r="941" spans="1:23" s="1324" customFormat="1">
      <c r="A941" s="1324" t="s">
        <v>4883</v>
      </c>
      <c r="B941" s="1326"/>
      <c r="C941" s="1393">
        <v>62</v>
      </c>
      <c r="I941" s="1374"/>
      <c r="M941" s="1325"/>
      <c r="N941" s="1325"/>
      <c r="O941" s="1325"/>
      <c r="S941" s="1326"/>
      <c r="T941" s="1326"/>
      <c r="U941" s="1326"/>
    </row>
    <row r="942" spans="1:23" s="1324" customFormat="1">
      <c r="A942" s="1324" t="s">
        <v>4883</v>
      </c>
      <c r="B942" s="1326"/>
      <c r="C942" s="1393">
        <v>63</v>
      </c>
      <c r="D942" s="1362" t="s">
        <v>5641</v>
      </c>
      <c r="I942" s="1374"/>
      <c r="M942" s="1325"/>
      <c r="N942" s="1325"/>
      <c r="O942" s="1325"/>
      <c r="S942" s="1326"/>
      <c r="T942" s="1326"/>
      <c r="U942" s="1326"/>
    </row>
    <row r="943" spans="1:23" s="1324" customFormat="1">
      <c r="A943" s="1324" t="s">
        <v>4883</v>
      </c>
      <c r="B943" s="1326"/>
      <c r="C943" s="1393">
        <v>64</v>
      </c>
      <c r="D943" s="1324" t="s">
        <v>5265</v>
      </c>
      <c r="E943" s="1324" t="s">
        <v>4067</v>
      </c>
      <c r="F943" s="1324">
        <f>+F865+F866+F872+F873</f>
        <v>6754474.9084089035</v>
      </c>
      <c r="G943" s="1324">
        <f>+G865+G866+G872+G873</f>
        <v>0</v>
      </c>
      <c r="H943" s="1324">
        <f>+H865+H866+H872+H873</f>
        <v>6754474.9084089035</v>
      </c>
      <c r="I943" s="1374">
        <f t="shared" ref="I943:I950" si="444">IF(F943=0,0,+H943/F943)</f>
        <v>1</v>
      </c>
      <c r="J943" s="1324">
        <f>+J865+J866+J872+J873</f>
        <v>6754474.9084089035</v>
      </c>
      <c r="K943" s="1324">
        <f t="shared" ref="K943:Q943" si="445">+K865+K866+K872+K873</f>
        <v>3917683.526065609</v>
      </c>
      <c r="L943" s="1324">
        <f t="shared" si="445"/>
        <v>323169.37496967043</v>
      </c>
      <c r="M943" s="1324">
        <f t="shared" si="445"/>
        <v>2065859.4578832272</v>
      </c>
      <c r="N943" s="1324">
        <f t="shared" si="445"/>
        <v>257895.16188401249</v>
      </c>
      <c r="O943" s="1324">
        <f t="shared" si="445"/>
        <v>185078.51482276418</v>
      </c>
      <c r="P943" s="1324">
        <f t="shared" si="445"/>
        <v>4788.8727836202061</v>
      </c>
      <c r="Q943" s="1324">
        <f t="shared" si="445"/>
        <v>0</v>
      </c>
      <c r="T943" s="1326"/>
      <c r="U943" s="1326"/>
      <c r="V943" s="1324" t="s">
        <v>5424</v>
      </c>
    </row>
    <row r="944" spans="1:23" s="1324" customFormat="1">
      <c r="A944" s="1324" t="s">
        <v>4883</v>
      </c>
      <c r="B944" s="1326"/>
      <c r="C944" s="1393">
        <v>65</v>
      </c>
      <c r="D944" s="1324" t="s">
        <v>5265</v>
      </c>
      <c r="E944" s="1324" t="s">
        <v>2067</v>
      </c>
      <c r="F944" s="1324">
        <f>+F867</f>
        <v>570339.73520400003</v>
      </c>
      <c r="G944" s="1324">
        <f>+G867</f>
        <v>0</v>
      </c>
      <c r="H944" s="1324">
        <f>+H867</f>
        <v>570339.73520400003</v>
      </c>
      <c r="I944" s="1374">
        <f t="shared" si="444"/>
        <v>1</v>
      </c>
      <c r="J944" s="1324">
        <f t="shared" ref="J944:Q944" si="446">+J867</f>
        <v>570339.73520400003</v>
      </c>
      <c r="K944" s="1324">
        <f t="shared" si="446"/>
        <v>287812.92757298599</v>
      </c>
      <c r="L944" s="1324">
        <f t="shared" si="446"/>
        <v>26597.283735102348</v>
      </c>
      <c r="M944" s="1324">
        <f t="shared" si="446"/>
        <v>198139.43310096741</v>
      </c>
      <c r="N944" s="1325">
        <f t="shared" si="446"/>
        <v>31540.611912883622</v>
      </c>
      <c r="O944" s="1325">
        <f>+O867</f>
        <v>23236.343006319854</v>
      </c>
      <c r="P944" s="1325">
        <f>+P867</f>
        <v>3013.1358757407984</v>
      </c>
      <c r="Q944" s="1324">
        <f t="shared" si="446"/>
        <v>0</v>
      </c>
      <c r="T944" s="1326"/>
      <c r="U944" s="1326"/>
      <c r="V944" s="1324" t="s">
        <v>5642</v>
      </c>
    </row>
    <row r="945" spans="1:22" s="1324" customFormat="1">
      <c r="A945" s="1324" t="s">
        <v>4883</v>
      </c>
      <c r="B945" s="1326"/>
      <c r="C945" s="1393">
        <v>66</v>
      </c>
      <c r="D945" s="1324" t="s">
        <v>5268</v>
      </c>
      <c r="E945" s="1324" t="s">
        <v>4067</v>
      </c>
      <c r="F945" s="1324">
        <f>+F876</f>
        <v>534187.1509608163</v>
      </c>
      <c r="G945" s="1324">
        <f>+G876</f>
        <v>34608.306009133208</v>
      </c>
      <c r="H945" s="1324">
        <f>+H876</f>
        <v>499578.84495168307</v>
      </c>
      <c r="I945" s="1374">
        <f>IF(F945=0,0,+H945/F945)</f>
        <v>0.93521314403222733</v>
      </c>
      <c r="J945" s="1324">
        <f t="shared" ref="J945:Q945" si="447">+J876</f>
        <v>499578.84495168307</v>
      </c>
      <c r="K945" s="1324">
        <f t="shared" si="447"/>
        <v>289762.24464192049</v>
      </c>
      <c r="L945" s="1324">
        <f t="shared" si="447"/>
        <v>23902.462480112525</v>
      </c>
      <c r="M945" s="1324">
        <f t="shared" si="447"/>
        <v>152796.43433377217</v>
      </c>
      <c r="N945" s="1325">
        <f t="shared" si="447"/>
        <v>19074.608883696605</v>
      </c>
      <c r="O945" s="1325">
        <f>+O876</f>
        <v>13688.896903802377</v>
      </c>
      <c r="P945" s="1325">
        <f>+P876</f>
        <v>354.19770837894737</v>
      </c>
      <c r="Q945" s="1324">
        <f t="shared" si="447"/>
        <v>0</v>
      </c>
      <c r="T945" s="1326"/>
      <c r="U945" s="1326"/>
      <c r="V945" s="1324" t="s">
        <v>5643</v>
      </c>
    </row>
    <row r="946" spans="1:22" s="1324" customFormat="1">
      <c r="A946" s="1324" t="s">
        <v>4883</v>
      </c>
      <c r="B946" s="1326"/>
      <c r="C946" s="1393">
        <v>67</v>
      </c>
      <c r="D946" s="1324" t="s">
        <v>5239</v>
      </c>
      <c r="E946" s="1324" t="s">
        <v>4067</v>
      </c>
      <c r="F946" s="1324">
        <f>+F881</f>
        <v>524998.04585628002</v>
      </c>
      <c r="G946" s="1324">
        <f>+G881</f>
        <v>34012.972780252887</v>
      </c>
      <c r="H946" s="1324">
        <f>+H881</f>
        <v>490985.07307602698</v>
      </c>
      <c r="I946" s="1374">
        <f>IF(F946=0,0,+H946/F946)</f>
        <v>0.93521314403222711</v>
      </c>
      <c r="J946" s="1324">
        <f t="shared" ref="J946:Q946" si="448">+J881</f>
        <v>490985.07307602698</v>
      </c>
      <c r="K946" s="1324">
        <f t="shared" si="448"/>
        <v>284777.74489019153</v>
      </c>
      <c r="L946" s="1324">
        <f t="shared" si="448"/>
        <v>23491.291527026267</v>
      </c>
      <c r="M946" s="1324">
        <f t="shared" si="448"/>
        <v>150168.02499789424</v>
      </c>
      <c r="N946" s="1325">
        <f t="shared" si="448"/>
        <v>18746.48682844884</v>
      </c>
      <c r="O946" s="1325">
        <f>+O881</f>
        <v>13453.420044825232</v>
      </c>
      <c r="P946" s="1325">
        <f>+P881</f>
        <v>348.10478764091408</v>
      </c>
      <c r="Q946" s="1324">
        <f t="shared" si="448"/>
        <v>0</v>
      </c>
      <c r="T946" s="1326"/>
      <c r="U946" s="1326"/>
      <c r="V946" s="1324" t="s">
        <v>5644</v>
      </c>
    </row>
    <row r="947" spans="1:22" s="1324" customFormat="1">
      <c r="A947" s="1324" t="s">
        <v>4883</v>
      </c>
      <c r="B947" s="1326"/>
      <c r="C947" s="1393">
        <v>68</v>
      </c>
      <c r="D947" s="1324" t="s">
        <v>5240</v>
      </c>
      <c r="E947" s="1324" t="s">
        <v>4067</v>
      </c>
      <c r="F947" s="1324">
        <f>+F901+F904+F911+F918+F925</f>
        <v>1838573.1984126705</v>
      </c>
      <c r="G947" s="1324">
        <f>+G901+G904+G911+G918+G925</f>
        <v>0</v>
      </c>
      <c r="H947" s="1324">
        <f>+H901+H904+H911+H918+H925</f>
        <v>1838573.1984126705</v>
      </c>
      <c r="I947" s="1374">
        <f t="shared" si="444"/>
        <v>1</v>
      </c>
      <c r="J947" s="1324">
        <f t="shared" ref="J947:Q947" si="449">+J901+J904+J911+J918+J925</f>
        <v>1838573.1984126705</v>
      </c>
      <c r="K947" s="1324">
        <f t="shared" si="449"/>
        <v>1144357.398067638</v>
      </c>
      <c r="L947" s="1324">
        <f t="shared" si="449"/>
        <v>81389.568266881237</v>
      </c>
      <c r="M947" s="1324">
        <f t="shared" si="449"/>
        <v>544953.97706894239</v>
      </c>
      <c r="N947" s="1324">
        <f t="shared" si="449"/>
        <v>57318.201493950881</v>
      </c>
      <c r="O947" s="1324">
        <f t="shared" si="449"/>
        <v>3.9135751355794439E-2</v>
      </c>
      <c r="P947" s="1324">
        <f t="shared" si="449"/>
        <v>10554.014379507296</v>
      </c>
      <c r="Q947" s="1324">
        <f t="shared" si="449"/>
        <v>0</v>
      </c>
      <c r="T947" s="1326"/>
      <c r="U947" s="1326"/>
      <c r="V947" s="1324" t="s">
        <v>5428</v>
      </c>
    </row>
    <row r="948" spans="1:22">
      <c r="A948" s="1320" t="s">
        <v>4883</v>
      </c>
      <c r="B948" s="1321"/>
      <c r="C948" s="1322">
        <v>69</v>
      </c>
      <c r="D948" s="1324" t="s">
        <v>5241</v>
      </c>
      <c r="E948" s="1324" t="s">
        <v>4067</v>
      </c>
      <c r="F948" s="1324">
        <f>+F906+F913+F920+F927</f>
        <v>1020055.1022166597</v>
      </c>
      <c r="G948" s="1324">
        <f>+G906+G913+G920+G927</f>
        <v>0</v>
      </c>
      <c r="H948" s="1324">
        <f>+H906+H913+H920+H927</f>
        <v>1020055.1022166597</v>
      </c>
      <c r="I948" s="1374">
        <f t="shared" si="444"/>
        <v>1</v>
      </c>
      <c r="J948" s="1324">
        <f t="shared" ref="J948:Q948" si="450">+J906+J913+J920+J927</f>
        <v>1020055.1022166597</v>
      </c>
      <c r="K948" s="1324">
        <f t="shared" si="450"/>
        <v>744266.13092910661</v>
      </c>
      <c r="L948" s="1324">
        <f t="shared" si="450"/>
        <v>59928.1944195865</v>
      </c>
      <c r="M948" s="1324">
        <f>+M906+M913+M920+M927</f>
        <v>212170.80076939278</v>
      </c>
      <c r="N948" s="1324">
        <f t="shared" si="450"/>
        <v>0</v>
      </c>
      <c r="O948" s="1324">
        <f>+O906+O913+O920+O927</f>
        <v>0</v>
      </c>
      <c r="P948" s="1324">
        <f>+P906+P913+P920+P927</f>
        <v>3689.9760985736907</v>
      </c>
      <c r="Q948" s="1324">
        <f t="shared" si="450"/>
        <v>0</v>
      </c>
      <c r="R948" s="1324"/>
      <c r="S948" s="1324"/>
      <c r="T948" s="1321"/>
      <c r="U948" s="1326"/>
      <c r="V948" s="1324" t="s">
        <v>5429</v>
      </c>
    </row>
    <row r="949" spans="1:22">
      <c r="A949" s="1320" t="s">
        <v>4883</v>
      </c>
      <c r="B949" s="1321"/>
      <c r="C949" s="1322">
        <v>70</v>
      </c>
      <c r="D949" s="1324" t="s">
        <v>5242</v>
      </c>
      <c r="E949" s="1324" t="s">
        <v>4071</v>
      </c>
      <c r="F949" s="1324">
        <f>F937</f>
        <v>830246.67682678136</v>
      </c>
      <c r="G949" s="1324">
        <f>G937</f>
        <v>0</v>
      </c>
      <c r="H949" s="1324">
        <f>H937</f>
        <v>830246.67682678136</v>
      </c>
      <c r="I949" s="1374">
        <f t="shared" si="444"/>
        <v>1</v>
      </c>
      <c r="J949" s="1324">
        <f>J937</f>
        <v>830246.67682678136</v>
      </c>
      <c r="K949" s="1324">
        <f t="shared" ref="K949:Q949" si="451">K937</f>
        <v>306076.01775911805</v>
      </c>
      <c r="L949" s="1324">
        <f t="shared" si="451"/>
        <v>46427.707430214577</v>
      </c>
      <c r="M949" s="1324">
        <f>M937</f>
        <v>22382.762609359015</v>
      </c>
      <c r="N949" s="1324">
        <f t="shared" si="451"/>
        <v>1442.907956013079</v>
      </c>
      <c r="O949" s="1324">
        <f>O937</f>
        <v>1574.273150579053</v>
      </c>
      <c r="P949" s="1324">
        <f>P937</f>
        <v>361.31447471625313</v>
      </c>
      <c r="Q949" s="1324">
        <f t="shared" si="451"/>
        <v>451981.69344678143</v>
      </c>
      <c r="R949" s="1324"/>
      <c r="S949" s="1324"/>
      <c r="T949" s="1321"/>
      <c r="U949" s="1326"/>
      <c r="V949" s="1326" t="s">
        <v>5645</v>
      </c>
    </row>
    <row r="950" spans="1:22">
      <c r="A950" s="1320" t="s">
        <v>4883</v>
      </c>
      <c r="C950" s="1322">
        <v>71</v>
      </c>
      <c r="D950" s="1320" t="s">
        <v>5244</v>
      </c>
      <c r="E950" s="1320" t="s">
        <v>4071</v>
      </c>
      <c r="F950" s="1554">
        <v>0</v>
      </c>
      <c r="G950" s="1350">
        <v>0</v>
      </c>
      <c r="H950" s="1350">
        <v>0</v>
      </c>
      <c r="I950" s="1323">
        <f t="shared" si="444"/>
        <v>0</v>
      </c>
      <c r="J950" s="1366">
        <v>0</v>
      </c>
      <c r="K950" s="1366">
        <v>0</v>
      </c>
      <c r="L950" s="1366">
        <v>0</v>
      </c>
      <c r="M950" s="1366">
        <v>0</v>
      </c>
      <c r="N950" s="1378">
        <v>0</v>
      </c>
      <c r="O950" s="1378">
        <v>0</v>
      </c>
      <c r="P950" s="1378">
        <v>0</v>
      </c>
      <c r="Q950" s="1366">
        <v>0</v>
      </c>
      <c r="R950" s="1364"/>
      <c r="S950" s="1364"/>
      <c r="V950" s="1320" t="s">
        <v>5343</v>
      </c>
    </row>
    <row r="951" spans="1:22">
      <c r="A951" s="1320" t="s">
        <v>4883</v>
      </c>
      <c r="B951" s="1321"/>
      <c r="C951" s="1322">
        <v>72</v>
      </c>
      <c r="D951" s="1320" t="s">
        <v>5646</v>
      </c>
      <c r="F951" s="1350">
        <f>+SUM(F943:F950)</f>
        <v>12072874.81788611</v>
      </c>
      <c r="G951" s="1350">
        <f>SUM(G943:G950)</f>
        <v>68621.278789386095</v>
      </c>
      <c r="H951" s="1350">
        <f>SUM(H943:H950)</f>
        <v>12004253.539096722</v>
      </c>
      <c r="I951" s="1323">
        <f>IF(F951=0,0,+H951/F951)</f>
        <v>0.99431607799927446</v>
      </c>
      <c r="J951" s="1366">
        <f t="shared" ref="J951:Q951" si="452">SUM(J943:J950)</f>
        <v>12004253.539096722</v>
      </c>
      <c r="K951" s="1366">
        <f t="shared" si="452"/>
        <v>6974735.9899265701</v>
      </c>
      <c r="L951" s="1366">
        <f t="shared" si="452"/>
        <v>584905.88282859384</v>
      </c>
      <c r="M951" s="1366">
        <f t="shared" si="452"/>
        <v>3346470.8907635552</v>
      </c>
      <c r="N951" s="1378">
        <f t="shared" si="452"/>
        <v>386017.97895900556</v>
      </c>
      <c r="O951" s="1378">
        <f>SUM(O943:O950)</f>
        <v>237031.48706404204</v>
      </c>
      <c r="P951" s="1378">
        <f>SUM(P943:P950)</f>
        <v>23109.616108178107</v>
      </c>
      <c r="Q951" s="1366">
        <f t="shared" si="452"/>
        <v>451981.69344678143</v>
      </c>
      <c r="R951" s="1364"/>
      <c r="S951" s="1364"/>
      <c r="T951" s="1321"/>
      <c r="U951" s="1326"/>
      <c r="V951" s="1320" t="s">
        <v>5432</v>
      </c>
    </row>
    <row r="952" spans="1:22">
      <c r="B952" s="1321"/>
      <c r="G952" s="1320"/>
      <c r="S952" s="1321"/>
      <c r="T952" s="1321"/>
      <c r="U952" s="1326"/>
    </row>
    <row r="953" spans="1:22">
      <c r="B953" s="1321"/>
      <c r="G953" s="1320"/>
      <c r="S953" s="1321"/>
      <c r="T953" s="1321"/>
      <c r="U953" s="1326"/>
    </row>
    <row r="954" spans="1:22">
      <c r="B954" s="1321"/>
      <c r="G954" s="1320"/>
      <c r="S954" s="1321"/>
      <c r="T954" s="1321"/>
      <c r="U954" s="1326"/>
    </row>
    <row r="955" spans="1:22">
      <c r="B955" s="1321"/>
      <c r="G955" s="1320"/>
      <c r="S955" s="1321"/>
      <c r="T955" s="1321"/>
      <c r="U955" s="1326"/>
    </row>
    <row r="956" spans="1:22">
      <c r="B956" s="1321"/>
      <c r="G956" s="1320"/>
      <c r="S956" s="1321"/>
      <c r="T956" s="1321"/>
      <c r="U956" s="1326"/>
    </row>
    <row r="957" spans="1:22">
      <c r="B957" s="1432"/>
      <c r="C957" s="1340" t="str">
        <f>+C$2</f>
        <v>RATES WITH REVENUE DEFICIENCY ADDITION</v>
      </c>
      <c r="F957" s="1333"/>
      <c r="G957" s="1327" t="s">
        <v>2173</v>
      </c>
      <c r="I957" s="1334" t="s">
        <v>5636</v>
      </c>
      <c r="L957" s="1329" t="s">
        <v>2173</v>
      </c>
      <c r="M957" s="1330"/>
      <c r="N957" s="1330"/>
      <c r="O957" s="1330"/>
      <c r="S957" s="1334" t="s">
        <v>5647</v>
      </c>
      <c r="T957" s="1333" t="s">
        <v>2173</v>
      </c>
      <c r="U957" s="1334"/>
      <c r="V957" s="1332" t="s">
        <v>4772</v>
      </c>
    </row>
    <row r="958" spans="1:22">
      <c r="B958" s="1432"/>
      <c r="C958" s="1340" t="str">
        <f>+C$3</f>
        <v>PROD. CAP. ALLOC. METHOD: 12 CP &amp; 1/13th AD</v>
      </c>
      <c r="G958" s="1336" t="s">
        <v>4768</v>
      </c>
      <c r="I958" s="1335" t="s">
        <v>4178</v>
      </c>
      <c r="L958" s="1336" t="s">
        <v>5141</v>
      </c>
      <c r="M958" s="1337"/>
      <c r="N958" s="1337"/>
      <c r="O958" s="1337"/>
      <c r="R958" s="1331"/>
      <c r="S958" s="1335" t="s">
        <v>4306</v>
      </c>
      <c r="T958" s="1333" t="s">
        <v>5141</v>
      </c>
      <c r="U958" s="1326"/>
      <c r="V958" s="1332" t="s">
        <v>5647</v>
      </c>
    </row>
    <row r="959" spans="1:22">
      <c r="B959" s="1321"/>
      <c r="C959" s="1340" t="str">
        <f>+C$4</f>
        <v>PROJECTED CALENDAR YEAR 2025; FULLY ADJUSTED DATA</v>
      </c>
      <c r="G959" s="1336" t="s">
        <v>2181</v>
      </c>
      <c r="L959" s="1336" t="s">
        <v>2181</v>
      </c>
      <c r="S959" s="1321"/>
      <c r="T959" s="1339"/>
      <c r="U959" s="1326"/>
    </row>
    <row r="960" spans="1:22">
      <c r="B960" s="1321"/>
      <c r="C960" s="1340" t="str">
        <f>+C$5</f>
        <v>MINIMUM DISTRIBUTION SYSTEM (MDS) NOT EMPLOYED</v>
      </c>
      <c r="D960" s="1358"/>
      <c r="G960" s="1320"/>
      <c r="L960" s="1336"/>
      <c r="M960" s="1337"/>
      <c r="N960" s="1337"/>
      <c r="O960" s="1337"/>
      <c r="S960" s="1321"/>
      <c r="T960" s="1333"/>
      <c r="U960" s="1326"/>
    </row>
    <row r="961" spans="1:25">
      <c r="B961" s="1321"/>
      <c r="C961" s="1340" t="str">
        <f>+C$6</f>
        <v>Tampa Electric 2025 OB Budget</v>
      </c>
      <c r="F961" s="1327"/>
      <c r="G961" s="1333" t="s">
        <v>5631</v>
      </c>
      <c r="L961" s="1336" t="s">
        <v>5631</v>
      </c>
      <c r="M961" s="1337"/>
      <c r="N961" s="1337"/>
      <c r="O961" s="1337"/>
      <c r="S961" s="1321"/>
      <c r="T961" s="1333" t="s">
        <v>5631</v>
      </c>
      <c r="U961" s="1326"/>
    </row>
    <row r="962" spans="1:25">
      <c r="B962" s="1321"/>
      <c r="F962" s="1333"/>
      <c r="G962" s="1320"/>
      <c r="L962" s="1336"/>
      <c r="M962" s="1337"/>
      <c r="N962" s="1337"/>
      <c r="O962" s="1337"/>
      <c r="S962" s="1321"/>
      <c r="T962" s="1321"/>
      <c r="U962" s="1326"/>
    </row>
    <row r="963" spans="1:25">
      <c r="B963" s="1321"/>
      <c r="F963" s="1333"/>
      <c r="G963" s="1320"/>
      <c r="L963" s="1336"/>
      <c r="M963" s="1337"/>
      <c r="N963" s="1337"/>
      <c r="O963" s="1337"/>
      <c r="S963" s="1321"/>
      <c r="T963" s="1321"/>
      <c r="U963" s="1326"/>
    </row>
    <row r="964" spans="1:25">
      <c r="B964" s="1321"/>
      <c r="G964" s="1320"/>
      <c r="S964" s="1321"/>
      <c r="T964" s="1321"/>
      <c r="U964" s="1326"/>
    </row>
    <row r="965" spans="1:25">
      <c r="B965" s="1321"/>
      <c r="C965" s="1342"/>
      <c r="D965" s="1331"/>
      <c r="E965" s="1331"/>
      <c r="F965" s="1333"/>
      <c r="G965" s="1333"/>
      <c r="H965" s="1333"/>
      <c r="I965" s="1343"/>
      <c r="J965" s="1416"/>
      <c r="K965" s="1336"/>
      <c r="L965" s="1416"/>
      <c r="M965" s="1417"/>
      <c r="N965" s="1417"/>
      <c r="O965" s="1417"/>
      <c r="P965" s="3164"/>
      <c r="Q965" s="3164"/>
      <c r="R965" s="1333"/>
      <c r="S965" s="1321"/>
      <c r="T965" s="1321"/>
      <c r="U965" s="1326"/>
    </row>
    <row r="966" spans="1:25" ht="30" customHeight="1">
      <c r="A966" s="1418" t="s">
        <v>4683</v>
      </c>
      <c r="B966" s="1425" t="s">
        <v>5143</v>
      </c>
      <c r="C966" s="1349" t="s">
        <v>4297</v>
      </c>
      <c r="D966" s="1418"/>
      <c r="E966" s="1418"/>
      <c r="F966" s="1348" t="s">
        <v>5144</v>
      </c>
      <c r="G966" s="1348" t="s">
        <v>4956</v>
      </c>
      <c r="H966" s="1348" t="s">
        <v>4957</v>
      </c>
      <c r="I966" s="1426" t="s">
        <v>5145</v>
      </c>
      <c r="J966" s="1352" t="s">
        <v>4957</v>
      </c>
      <c r="K966" s="1353" t="s">
        <v>1949</v>
      </c>
      <c r="L966" s="1353" t="s">
        <v>1950</v>
      </c>
      <c r="M966" s="1354" t="s">
        <v>1934</v>
      </c>
      <c r="N966" s="1354" t="s">
        <v>1971</v>
      </c>
      <c r="O966" s="1354" t="s">
        <v>1972</v>
      </c>
      <c r="P966" s="1352" t="s">
        <v>5146</v>
      </c>
      <c r="Q966" s="1352" t="s">
        <v>5147</v>
      </c>
      <c r="R966" s="1355"/>
      <c r="S966" s="1348" t="s">
        <v>5299</v>
      </c>
      <c r="T966" s="1348"/>
      <c r="U966" s="1352"/>
      <c r="V966" s="1355" t="s">
        <v>4774</v>
      </c>
      <c r="W966" s="1350"/>
    </row>
    <row r="967" spans="1:25">
      <c r="B967" s="1321"/>
      <c r="G967" s="1320"/>
      <c r="S967" s="1321"/>
      <c r="T967" s="1321"/>
      <c r="U967" s="1326"/>
    </row>
    <row r="968" spans="1:25">
      <c r="A968" s="1320" t="s">
        <v>4883</v>
      </c>
      <c r="B968" s="1321"/>
      <c r="C968" s="1322">
        <v>73</v>
      </c>
      <c r="D968" s="1356" t="s">
        <v>5648</v>
      </c>
      <c r="G968" s="1320"/>
      <c r="S968" s="1321"/>
      <c r="T968" s="1321"/>
      <c r="U968" s="1326"/>
    </row>
    <row r="969" spans="1:25" s="1324" customFormat="1">
      <c r="A969" s="1324" t="s">
        <v>4883</v>
      </c>
      <c r="B969" s="1324">
        <v>101</v>
      </c>
      <c r="C969" s="1393">
        <v>74</v>
      </c>
      <c r="D969" s="1324" t="s">
        <v>5265</v>
      </c>
      <c r="E969" s="1324" t="s">
        <v>4067</v>
      </c>
      <c r="F969" s="1324">
        <f>+'0 MDS Allocation Assignment'!F317</f>
        <v>30059.679439906377</v>
      </c>
      <c r="G969" s="1364">
        <f>+$F969*G$1933</f>
        <v>0</v>
      </c>
      <c r="H969" s="1364">
        <f>+$F969*H$1933</f>
        <v>30059.679439906377</v>
      </c>
      <c r="I969" s="1374">
        <f t="shared" ref="I969:I977" si="453">IF(F969=0,0,+H969/F969)</f>
        <v>1</v>
      </c>
      <c r="J969" s="1364">
        <f t="shared" ref="J969:J976" si="454">+H969</f>
        <v>30059.679439906377</v>
      </c>
      <c r="K969" s="1324">
        <f t="shared" ref="K969:Q969" si="455">$J969*K$1951</f>
        <v>17435.006057084473</v>
      </c>
      <c r="L969" s="1324">
        <f t="shared" si="455"/>
        <v>1438.2121405602393</v>
      </c>
      <c r="M969" s="1324">
        <f t="shared" si="455"/>
        <v>9193.7676746062189</v>
      </c>
      <c r="N969" s="1324">
        <f t="shared" si="455"/>
        <v>1147.7199931093251</v>
      </c>
      <c r="O969" s="1324">
        <f t="shared" si="455"/>
        <v>823.66148401264502</v>
      </c>
      <c r="P969" s="1324">
        <f t="shared" si="455"/>
        <v>21.312090533477921</v>
      </c>
      <c r="Q969" s="1324">
        <f t="shared" si="455"/>
        <v>0</v>
      </c>
      <c r="S969" s="1324">
        <v>122</v>
      </c>
      <c r="V969" s="1326" t="s">
        <v>5227</v>
      </c>
      <c r="W969" s="1326">
        <v>122</v>
      </c>
    </row>
    <row r="970" spans="1:25" s="1324" customFormat="1">
      <c r="A970" s="1320" t="s">
        <v>4883</v>
      </c>
      <c r="B970" s="1324">
        <v>201</v>
      </c>
      <c r="C970" s="1393">
        <v>75</v>
      </c>
      <c r="D970" s="1324" t="s">
        <v>5265</v>
      </c>
      <c r="E970" s="1324" t="s">
        <v>2067</v>
      </c>
      <c r="F970" s="1324">
        <f>+'0 MDS Allocation Assignment'!F318</f>
        <v>7468.8413095182732</v>
      </c>
      <c r="G970" s="1364">
        <f>+$F970*G$1966</f>
        <v>0</v>
      </c>
      <c r="H970" s="1364">
        <f>+$F970*H$1966</f>
        <v>7468.8413095182732</v>
      </c>
      <c r="I970" s="1374">
        <f t="shared" si="453"/>
        <v>1</v>
      </c>
      <c r="J970" s="1364">
        <f t="shared" si="454"/>
        <v>7468.8413095182732</v>
      </c>
      <c r="K970" s="1364">
        <f t="shared" ref="K970:Q970" si="456">+$J970*K$1966</f>
        <v>3769.0326487626289</v>
      </c>
      <c r="L970" s="1364">
        <f t="shared" si="456"/>
        <v>348.30273821033552</v>
      </c>
      <c r="M970" s="1364">
        <f t="shared" si="456"/>
        <v>2594.7201144239311</v>
      </c>
      <c r="N970" s="1367">
        <f t="shared" si="456"/>
        <v>413.0377223290775</v>
      </c>
      <c r="O970" s="1367">
        <f t="shared" si="456"/>
        <v>304.28979048016464</v>
      </c>
      <c r="P970" s="1367">
        <f t="shared" si="456"/>
        <v>39.458295312135142</v>
      </c>
      <c r="Q970" s="1364">
        <f t="shared" si="456"/>
        <v>0</v>
      </c>
      <c r="R970" s="1364"/>
      <c r="S970" s="1364">
        <v>201</v>
      </c>
      <c r="V970" s="1321" t="s">
        <v>5235</v>
      </c>
      <c r="W970" s="1321">
        <v>201</v>
      </c>
    </row>
    <row r="971" spans="1:25">
      <c r="A971" s="1320" t="s">
        <v>4883</v>
      </c>
      <c r="B971" s="1320">
        <v>117</v>
      </c>
      <c r="C971" s="1322">
        <v>76</v>
      </c>
      <c r="D971" s="1320" t="s">
        <v>5268</v>
      </c>
      <c r="E971" s="1320" t="s">
        <v>4067</v>
      </c>
      <c r="F971" s="1324">
        <f>+'0 MDS Allocation Assignment'!F319</f>
        <v>5665.6180738662224</v>
      </c>
      <c r="G971" s="1364">
        <f>+$F971*G$1942</f>
        <v>367.05758211998017</v>
      </c>
      <c r="H971" s="1364">
        <f>+$F971*H$1942</f>
        <v>5298.5604917462415</v>
      </c>
      <c r="I971" s="1323">
        <f t="shared" si="453"/>
        <v>0.93521314403222722</v>
      </c>
      <c r="J971" s="1364">
        <f t="shared" si="454"/>
        <v>5298.5604917462415</v>
      </c>
      <c r="K971" s="1364">
        <f t="shared" ref="K971:Q972" si="457">+$J971*K$1945</f>
        <v>3073.2341790971518</v>
      </c>
      <c r="L971" s="1364">
        <f t="shared" si="457"/>
        <v>253.51082142963836</v>
      </c>
      <c r="M971" s="1364">
        <f t="shared" si="457"/>
        <v>1620.5673206977469</v>
      </c>
      <c r="N971" s="1367">
        <f t="shared" si="457"/>
        <v>202.30634272842664</v>
      </c>
      <c r="O971" s="1367">
        <f t="shared" si="457"/>
        <v>145.18518756952093</v>
      </c>
      <c r="P971" s="1367">
        <f t="shared" si="457"/>
        <v>3.7566402237573859</v>
      </c>
      <c r="Q971" s="1364">
        <f t="shared" si="457"/>
        <v>0</v>
      </c>
      <c r="R971" s="1364"/>
      <c r="S971" s="1364">
        <v>117</v>
      </c>
      <c r="V971" s="1321" t="s">
        <v>5228</v>
      </c>
      <c r="W971" s="1321">
        <v>117</v>
      </c>
      <c r="Y971" s="1324"/>
    </row>
    <row r="972" spans="1:25">
      <c r="A972" s="1320" t="s">
        <v>4883</v>
      </c>
      <c r="B972" s="1320">
        <v>117</v>
      </c>
      <c r="C972" s="1322">
        <v>77</v>
      </c>
      <c r="D972" s="1320" t="s">
        <v>5239</v>
      </c>
      <c r="E972" s="1320" t="s">
        <v>4067</v>
      </c>
      <c r="F972" s="1324">
        <f>+'0 MDS Allocation Assignment'!F320</f>
        <v>4560.829886980322</v>
      </c>
      <c r="G972" s="1364">
        <f>+$F972*G$1942</f>
        <v>295.48182898130671</v>
      </c>
      <c r="H972" s="1364">
        <f>+$F972*H$1942</f>
        <v>4265.3480579990146</v>
      </c>
      <c r="I972" s="1323">
        <f t="shared" si="453"/>
        <v>0.93521314403222722</v>
      </c>
      <c r="J972" s="1364">
        <f t="shared" si="454"/>
        <v>4265.3480579990146</v>
      </c>
      <c r="K972" s="1364">
        <f t="shared" si="457"/>
        <v>2473.9574943057987</v>
      </c>
      <c r="L972" s="1364">
        <f t="shared" si="457"/>
        <v>204.07653957165184</v>
      </c>
      <c r="M972" s="1364">
        <f t="shared" si="457"/>
        <v>1304.5587919515715</v>
      </c>
      <c r="N972" s="1367">
        <f t="shared" si="457"/>
        <v>162.85686790247254</v>
      </c>
      <c r="O972" s="1367">
        <f t="shared" si="457"/>
        <v>116.87426402218692</v>
      </c>
      <c r="P972" s="1367">
        <f t="shared" si="457"/>
        <v>3.0241002453335661</v>
      </c>
      <c r="Q972" s="1364">
        <f t="shared" si="457"/>
        <v>0</v>
      </c>
      <c r="R972" s="1364"/>
      <c r="S972" s="1364">
        <v>117</v>
      </c>
      <c r="V972" s="1321" t="s">
        <v>5228</v>
      </c>
      <c r="W972" s="1321">
        <v>117</v>
      </c>
      <c r="Y972" s="1324"/>
    </row>
    <row r="973" spans="1:25">
      <c r="A973" s="1320" t="s">
        <v>4883</v>
      </c>
      <c r="B973" s="1320">
        <v>105</v>
      </c>
      <c r="C973" s="1322">
        <v>78</v>
      </c>
      <c r="D973" s="1320" t="s">
        <v>5240</v>
      </c>
      <c r="E973" s="1320" t="s">
        <v>4067</v>
      </c>
      <c r="F973" s="1324">
        <f>+'0 MDS Allocation Assignment'!F321</f>
        <v>27530.836072256585</v>
      </c>
      <c r="G973" s="1364">
        <f>+$F973*G$1936</f>
        <v>0</v>
      </c>
      <c r="H973" s="1364">
        <f>+$F973*H$1936</f>
        <v>27530.836072256585</v>
      </c>
      <c r="I973" s="1323">
        <f t="shared" si="453"/>
        <v>1</v>
      </c>
      <c r="J973" s="1364">
        <f t="shared" si="454"/>
        <v>27530.836072256585</v>
      </c>
      <c r="K973" s="1364">
        <f t="shared" ref="K973:Q973" si="458">+$J973*K$1936</f>
        <v>17135.633197239091</v>
      </c>
      <c r="L973" s="1364">
        <f t="shared" si="458"/>
        <v>1218.7292101732844</v>
      </c>
      <c r="M973" s="1364">
        <f t="shared" si="458"/>
        <v>8160.1530048203558</v>
      </c>
      <c r="N973" s="1367">
        <f t="shared" si="458"/>
        <v>858.28402733647681</v>
      </c>
      <c r="O973" s="1367">
        <f t="shared" si="458"/>
        <v>5.8601961350854899E-4</v>
      </c>
      <c r="P973" s="1367">
        <f t="shared" si="458"/>
        <v>158.036046667769</v>
      </c>
      <c r="Q973" s="1364">
        <f t="shared" si="458"/>
        <v>0</v>
      </c>
      <c r="R973" s="1364"/>
      <c r="S973" s="1364">
        <v>105</v>
      </c>
      <c r="V973" s="1321" t="s">
        <v>5229</v>
      </c>
      <c r="W973" s="1321">
        <v>105</v>
      </c>
      <c r="Y973" s="1324"/>
    </row>
    <row r="974" spans="1:25">
      <c r="A974" s="1320" t="s">
        <v>4883</v>
      </c>
      <c r="B974" s="1320">
        <v>106</v>
      </c>
      <c r="C974" s="1322">
        <v>79</v>
      </c>
      <c r="D974" s="1320" t="s">
        <v>5241</v>
      </c>
      <c r="E974" s="1320" t="s">
        <v>4067</v>
      </c>
      <c r="F974" s="1324">
        <f>+'0 MDS Allocation Assignment'!F322</f>
        <v>8946.5182908015413</v>
      </c>
      <c r="G974" s="1364">
        <f>+$F974*G$1939</f>
        <v>0</v>
      </c>
      <c r="H974" s="1364">
        <f>+$F974*H$1939</f>
        <v>8946.5182908015413</v>
      </c>
      <c r="I974" s="1323">
        <f t="shared" si="453"/>
        <v>1</v>
      </c>
      <c r="J974" s="1364">
        <f t="shared" si="454"/>
        <v>8946.5182908015413</v>
      </c>
      <c r="K974" s="1364">
        <f t="shared" ref="K974:Q974" si="459">+$J974*K$1939</f>
        <v>6527.6773177367659</v>
      </c>
      <c r="L974" s="1364">
        <f t="shared" si="459"/>
        <v>525.6075738893403</v>
      </c>
      <c r="M974" s="1364">
        <f t="shared" si="459"/>
        <v>1860.8700115635584</v>
      </c>
      <c r="N974" s="1367">
        <f t="shared" si="459"/>
        <v>0</v>
      </c>
      <c r="O974" s="1367">
        <f t="shared" si="459"/>
        <v>0</v>
      </c>
      <c r="P974" s="1367">
        <f t="shared" si="459"/>
        <v>32.363387611876476</v>
      </c>
      <c r="Q974" s="1364">
        <f t="shared" si="459"/>
        <v>0</v>
      </c>
      <c r="R974" s="1364"/>
      <c r="S974" s="1364">
        <v>106</v>
      </c>
      <c r="V974" s="1321" t="s">
        <v>5230</v>
      </c>
      <c r="W974" s="1321">
        <v>106</v>
      </c>
      <c r="Y974" s="1324"/>
    </row>
    <row r="975" spans="1:25">
      <c r="A975" s="1320" t="s">
        <v>4883</v>
      </c>
      <c r="B975" s="1320">
        <v>907</v>
      </c>
      <c r="C975" s="1322">
        <v>80</v>
      </c>
      <c r="D975" s="1320" t="s">
        <v>5242</v>
      </c>
      <c r="E975" s="1320" t="s">
        <v>4071</v>
      </c>
      <c r="F975" s="1324">
        <f>+'0 MDS Allocation Assignment'!F323</f>
        <v>10609.961730685945</v>
      </c>
      <c r="G975" s="1364">
        <f>+$F975*G$2052</f>
        <v>0</v>
      </c>
      <c r="H975" s="1364">
        <f>+$F975*H$2052</f>
        <v>10609.961730685945</v>
      </c>
      <c r="I975" s="1323">
        <f t="shared" si="453"/>
        <v>1</v>
      </c>
      <c r="J975" s="1364">
        <f t="shared" si="454"/>
        <v>10609.961730685945</v>
      </c>
      <c r="K975" s="1364">
        <f t="shared" ref="K975:Q975" si="460">+$J975*K$2052</f>
        <v>3911.4337048801312</v>
      </c>
      <c r="L975" s="1364">
        <f t="shared" si="460"/>
        <v>593.31306324618151</v>
      </c>
      <c r="M975" s="1364">
        <f t="shared" si="460"/>
        <v>286.03577869167935</v>
      </c>
      <c r="N975" s="1367">
        <f t="shared" si="460"/>
        <v>18.439336912148921</v>
      </c>
      <c r="O975" s="1367">
        <f t="shared" si="460"/>
        <v>20.118090619921833</v>
      </c>
      <c r="P975" s="1367">
        <f t="shared" si="460"/>
        <v>4.6173418773974211</v>
      </c>
      <c r="Q975" s="1364">
        <f t="shared" si="460"/>
        <v>5776.0044144584863</v>
      </c>
      <c r="R975" s="1364"/>
      <c r="S975" s="1364">
        <v>907</v>
      </c>
      <c r="V975" s="1321" t="s">
        <v>5243</v>
      </c>
      <c r="W975" s="1321">
        <v>907</v>
      </c>
      <c r="Y975" s="1324"/>
    </row>
    <row r="976" spans="1:25">
      <c r="A976" s="1320" t="s">
        <v>4883</v>
      </c>
      <c r="B976" s="1324">
        <v>412</v>
      </c>
      <c r="C976" s="1393">
        <v>81</v>
      </c>
      <c r="D976" s="1324" t="s">
        <v>5244</v>
      </c>
      <c r="E976" s="1324" t="s">
        <v>4071</v>
      </c>
      <c r="F976" s="1324">
        <f>+'0 MDS Allocation Assignment'!F324</f>
        <v>14371.441015984727</v>
      </c>
      <c r="G976" s="1364">
        <f>+$F976*G$2018</f>
        <v>0</v>
      </c>
      <c r="H976" s="1364">
        <f>+$F976*H$2018</f>
        <v>14371.441015984727</v>
      </c>
      <c r="I976" s="1323">
        <f t="shared" si="453"/>
        <v>1</v>
      </c>
      <c r="J976" s="1364">
        <f t="shared" si="454"/>
        <v>14371.441015984727</v>
      </c>
      <c r="K976" s="1364">
        <f t="shared" ref="K976:Q976" si="461">+$J976*K$2018</f>
        <v>12817.698748263108</v>
      </c>
      <c r="L976" s="1364">
        <f t="shared" si="461"/>
        <v>1242.5605062403552</v>
      </c>
      <c r="M976" s="1364">
        <f t="shared" si="461"/>
        <v>306.03206330764834</v>
      </c>
      <c r="N976" s="1367">
        <f t="shared" si="461"/>
        <v>1.033272772699134</v>
      </c>
      <c r="O976" s="1367">
        <f t="shared" si="461"/>
        <v>0.18332258870468507</v>
      </c>
      <c r="P976" s="1367">
        <f t="shared" si="461"/>
        <v>3.9331028122096061</v>
      </c>
      <c r="Q976" s="1364">
        <f t="shared" si="461"/>
        <v>0</v>
      </c>
      <c r="R976" s="1364"/>
      <c r="S976" s="1364">
        <v>412</v>
      </c>
      <c r="V976" s="1321" t="s">
        <v>5245</v>
      </c>
      <c r="W976" s="1321">
        <v>412</v>
      </c>
      <c r="Y976" s="1324"/>
    </row>
    <row r="977" spans="1:25">
      <c r="A977" s="1320" t="s">
        <v>4883</v>
      </c>
      <c r="B977" s="1321"/>
      <c r="C977" s="1322">
        <v>82</v>
      </c>
      <c r="D977" s="1320" t="s">
        <v>5649</v>
      </c>
      <c r="F977" s="1427">
        <f>+SUM(F969:F976)</f>
        <v>109213.72581999999</v>
      </c>
      <c r="G977" s="1427">
        <f>SUM(G969:G976)</f>
        <v>662.53941110128687</v>
      </c>
      <c r="H977" s="1427">
        <f>SUM(H969:H976)</f>
        <v>108551.18640889871</v>
      </c>
      <c r="I977" s="1323">
        <f t="shared" si="453"/>
        <v>0.99393355179372556</v>
      </c>
      <c r="J977" s="1421">
        <f t="shared" ref="J977:Q977" si="462">SUM(J969:J976)</f>
        <v>108551.18640889871</v>
      </c>
      <c r="K977" s="1421">
        <f t="shared" si="462"/>
        <v>67143.673347369157</v>
      </c>
      <c r="L977" s="1421">
        <f t="shared" si="462"/>
        <v>5824.3125933210267</v>
      </c>
      <c r="M977" s="1421">
        <f t="shared" si="462"/>
        <v>25326.704760062708</v>
      </c>
      <c r="N977" s="1422">
        <f t="shared" si="462"/>
        <v>2803.6775630906268</v>
      </c>
      <c r="O977" s="1422">
        <f>SUM(O969:O976)</f>
        <v>1410.3127253127575</v>
      </c>
      <c r="P977" s="1422">
        <f>SUM(P969:P976)</f>
        <v>266.50100528395649</v>
      </c>
      <c r="Q977" s="1421">
        <f t="shared" si="462"/>
        <v>5776.0044144584863</v>
      </c>
      <c r="R977" s="1364"/>
      <c r="S977" s="1364"/>
      <c r="T977" s="1321"/>
      <c r="U977" s="1326"/>
      <c r="V977" s="1320" t="s">
        <v>5650</v>
      </c>
      <c r="Y977" s="1324"/>
    </row>
    <row r="978" spans="1:25">
      <c r="A978" s="1320" t="s">
        <v>4883</v>
      </c>
      <c r="B978" s="1321"/>
      <c r="C978" s="1322">
        <v>83</v>
      </c>
      <c r="G978" s="1320"/>
      <c r="R978" s="1324"/>
      <c r="S978" s="1326"/>
      <c r="T978" s="1321"/>
      <c r="U978" s="1326"/>
    </row>
    <row r="979" spans="1:25">
      <c r="A979" s="1320" t="s">
        <v>4883</v>
      </c>
      <c r="B979" s="1321"/>
      <c r="C979" s="1322">
        <v>84</v>
      </c>
      <c r="D979" s="1356" t="s">
        <v>5651</v>
      </c>
      <c r="G979" s="1320"/>
      <c r="R979" s="1324"/>
      <c r="S979" s="1326"/>
      <c r="T979" s="1321"/>
      <c r="U979" s="1326"/>
    </row>
    <row r="980" spans="1:25" s="1324" customFormat="1">
      <c r="A980" s="1324" t="s">
        <v>4883</v>
      </c>
      <c r="B980" s="1324">
        <v>101</v>
      </c>
      <c r="C980" s="1393">
        <v>85</v>
      </c>
      <c r="D980" s="1324" t="s">
        <v>5265</v>
      </c>
      <c r="E980" s="1324" t="s">
        <v>4067</v>
      </c>
      <c r="F980" s="1364">
        <f>+'0 MDS Allocation Assignment'!F325</f>
        <v>7482.8857100000005</v>
      </c>
      <c r="G980" s="1364">
        <f>+$F980*G$1933</f>
        <v>0</v>
      </c>
      <c r="H980" s="1364">
        <f>+$F980*H$1933</f>
        <v>7482.8857100000005</v>
      </c>
      <c r="I980" s="1374">
        <f>IF(F980=0,0,+H980/F980)</f>
        <v>1</v>
      </c>
      <c r="J980" s="1364">
        <f>+H980</f>
        <v>7482.8857100000005</v>
      </c>
      <c r="K980" s="1324">
        <f t="shared" ref="K980:Q980" si="463">$J980*K$1951</f>
        <v>4340.1712895554147</v>
      </c>
      <c r="L980" s="1324">
        <f t="shared" si="463"/>
        <v>358.02035401147464</v>
      </c>
      <c r="M980" s="1324">
        <f t="shared" si="463"/>
        <v>2288.6442581965562</v>
      </c>
      <c r="N980" s="1324">
        <f t="shared" si="463"/>
        <v>285.70689027766349</v>
      </c>
      <c r="O980" s="1324">
        <f t="shared" si="463"/>
        <v>205.03760730107146</v>
      </c>
      <c r="P980" s="1324">
        <f t="shared" si="463"/>
        <v>5.305310657820006</v>
      </c>
      <c r="Q980" s="1324">
        <f t="shared" si="463"/>
        <v>0</v>
      </c>
      <c r="S980" s="1324">
        <v>122</v>
      </c>
      <c r="V980" s="1326" t="s">
        <v>5227</v>
      </c>
      <c r="W980" s="1326">
        <v>122</v>
      </c>
    </row>
    <row r="981" spans="1:25" s="1324" customFormat="1">
      <c r="A981" s="1320" t="s">
        <v>4883</v>
      </c>
      <c r="B981" s="1324">
        <v>201</v>
      </c>
      <c r="C981" s="1393">
        <v>86</v>
      </c>
      <c r="D981" s="1324" t="s">
        <v>5265</v>
      </c>
      <c r="E981" s="1324" t="s">
        <v>2067</v>
      </c>
      <c r="F981" s="1571"/>
      <c r="G981" s="1364">
        <f>+$F981*G$1966</f>
        <v>0</v>
      </c>
      <c r="H981" s="1364">
        <f>+$F981*H$1966</f>
        <v>0</v>
      </c>
      <c r="I981" s="1374">
        <f>IF(F981=0,0,+H981/F981)</f>
        <v>0</v>
      </c>
      <c r="J981" s="1364">
        <f>+H981</f>
        <v>0</v>
      </c>
      <c r="K981" s="1364">
        <f t="shared" ref="K981:Q981" si="464">+$J981*K$1966</f>
        <v>0</v>
      </c>
      <c r="L981" s="1364">
        <f t="shared" si="464"/>
        <v>0</v>
      </c>
      <c r="M981" s="1364">
        <f t="shared" si="464"/>
        <v>0</v>
      </c>
      <c r="N981" s="1367">
        <f t="shared" si="464"/>
        <v>0</v>
      </c>
      <c r="O981" s="1367">
        <f t="shared" si="464"/>
        <v>0</v>
      </c>
      <c r="P981" s="1367">
        <f t="shared" si="464"/>
        <v>0</v>
      </c>
      <c r="Q981" s="1364">
        <f t="shared" si="464"/>
        <v>0</v>
      </c>
      <c r="R981" s="1364"/>
      <c r="S981" s="1364">
        <v>201</v>
      </c>
      <c r="V981" s="1321" t="s">
        <v>5235</v>
      </c>
      <c r="W981" s="1321">
        <v>201</v>
      </c>
      <c r="Y981" s="1320"/>
    </row>
    <row r="982" spans="1:25">
      <c r="A982" s="1320" t="s">
        <v>4883</v>
      </c>
      <c r="B982" s="1320">
        <v>117</v>
      </c>
      <c r="C982" s="1322">
        <v>87</v>
      </c>
      <c r="D982" s="1320" t="s">
        <v>5268</v>
      </c>
      <c r="E982" s="1320" t="s">
        <v>4067</v>
      </c>
      <c r="F982" s="1358">
        <f>+'0 MDS Allocation Assignment'!F326</f>
        <v>2737.0403635800212</v>
      </c>
      <c r="G982" s="1364">
        <f>+$F982*G$1942</f>
        <v>177.32423981323879</v>
      </c>
      <c r="H982" s="1364">
        <f>+$F982*H$1942</f>
        <v>2559.7161237667824</v>
      </c>
      <c r="I982" s="1323">
        <f t="shared" ref="I982:I988" si="465">IF(F982=0,0,+H982/F982)</f>
        <v>0.93521314403222744</v>
      </c>
      <c r="J982" s="1364">
        <f t="shared" ref="J982:J987" si="466">+H982</f>
        <v>2559.7161237667824</v>
      </c>
      <c r="K982" s="1364">
        <f t="shared" ref="K982:Q983" si="467">+$J982*K$1945</f>
        <v>1484.6687307996667</v>
      </c>
      <c r="L982" s="1364">
        <f t="shared" si="467"/>
        <v>122.47019509801694</v>
      </c>
      <c r="M982" s="1364">
        <f t="shared" si="467"/>
        <v>782.89042974999438</v>
      </c>
      <c r="N982" s="1367">
        <f t="shared" si="467"/>
        <v>97.733489733468375</v>
      </c>
      <c r="O982" s="1367">
        <f t="shared" si="467"/>
        <v>70.138458574307734</v>
      </c>
      <c r="P982" s="1367">
        <f t="shared" si="467"/>
        <v>1.8148198113283256</v>
      </c>
      <c r="Q982" s="1364">
        <f t="shared" si="467"/>
        <v>0</v>
      </c>
      <c r="R982" s="1364"/>
      <c r="S982" s="1364">
        <v>117</v>
      </c>
      <c r="V982" s="1321" t="s">
        <v>5228</v>
      </c>
      <c r="W982" s="1321">
        <v>117</v>
      </c>
    </row>
    <row r="983" spans="1:25">
      <c r="A983" s="1320" t="s">
        <v>4883</v>
      </c>
      <c r="B983" s="1320">
        <v>117</v>
      </c>
      <c r="C983" s="1322">
        <v>88</v>
      </c>
      <c r="D983" s="1320" t="s">
        <v>5239</v>
      </c>
      <c r="E983" s="1320" t="s">
        <v>4067</v>
      </c>
      <c r="F983" s="1358">
        <f>+'0 MDS Allocation Assignment'!F327</f>
        <v>7695.2794371510454</v>
      </c>
      <c r="G983" s="1364">
        <f>+$F983*G$1942</f>
        <v>498.55296052646702</v>
      </c>
      <c r="H983" s="1364">
        <f>+$F983*H$1942</f>
        <v>7196.726476624578</v>
      </c>
      <c r="I983" s="1323">
        <f t="shared" si="465"/>
        <v>0.93521314403222733</v>
      </c>
      <c r="J983" s="1364">
        <f t="shared" si="466"/>
        <v>7196.726476624578</v>
      </c>
      <c r="K983" s="1364">
        <f t="shared" si="467"/>
        <v>4174.1952026458639</v>
      </c>
      <c r="L983" s="1364">
        <f t="shared" si="467"/>
        <v>344.32900096838227</v>
      </c>
      <c r="M983" s="1364">
        <f t="shared" si="467"/>
        <v>2201.122316558537</v>
      </c>
      <c r="N983" s="1367">
        <f t="shared" si="467"/>
        <v>274.78093632614548</v>
      </c>
      <c r="O983" s="1367">
        <f t="shared" si="467"/>
        <v>197.19659424911538</v>
      </c>
      <c r="P983" s="1367">
        <f t="shared" si="467"/>
        <v>5.1024258765341735</v>
      </c>
      <c r="Q983" s="1364">
        <f t="shared" si="467"/>
        <v>0</v>
      </c>
      <c r="R983" s="1364"/>
      <c r="S983" s="1364">
        <v>117</v>
      </c>
      <c r="V983" s="1321" t="s">
        <v>5228</v>
      </c>
      <c r="W983" s="1321">
        <v>117</v>
      </c>
      <c r="Y983" s="1324"/>
    </row>
    <row r="984" spans="1:25">
      <c r="A984" s="1320" t="s">
        <v>4883</v>
      </c>
      <c r="B984" s="1320">
        <v>105</v>
      </c>
      <c r="C984" s="1322">
        <v>89</v>
      </c>
      <c r="D984" s="1320" t="s">
        <v>5240</v>
      </c>
      <c r="E984" s="1320" t="s">
        <v>4067</v>
      </c>
      <c r="F984" s="1358">
        <f>+'0 MDS Allocation Assignment'!F328</f>
        <v>37791.254635605575</v>
      </c>
      <c r="G984" s="1364">
        <f>+$F984*G$1936</f>
        <v>0</v>
      </c>
      <c r="H984" s="1364">
        <f>+$F984*H$1936</f>
        <v>37791.254635605575</v>
      </c>
      <c r="I984" s="1323">
        <f t="shared" si="465"/>
        <v>1</v>
      </c>
      <c r="J984" s="1364">
        <f t="shared" si="466"/>
        <v>37791.254635605575</v>
      </c>
      <c r="K984" s="1364">
        <f t="shared" ref="K984:Q984" si="468">+$J984*K$1936</f>
        <v>23521.882001679416</v>
      </c>
      <c r="L984" s="1364">
        <f t="shared" si="468"/>
        <v>1672.9352422363227</v>
      </c>
      <c r="M984" s="1364">
        <f t="shared" si="468"/>
        <v>11201.34598387412</v>
      </c>
      <c r="N984" s="1367">
        <f t="shared" si="468"/>
        <v>1178.1563822332273</v>
      </c>
      <c r="O984" s="1367">
        <f t="shared" si="468"/>
        <v>8.0442222595187218E-4</v>
      </c>
      <c r="P984" s="1367">
        <f t="shared" si="468"/>
        <v>216.93422116027199</v>
      </c>
      <c r="Q984" s="1364">
        <f t="shared" si="468"/>
        <v>0</v>
      </c>
      <c r="R984" s="1364"/>
      <c r="S984" s="1364">
        <v>105</v>
      </c>
      <c r="V984" s="1321" t="s">
        <v>5229</v>
      </c>
      <c r="W984" s="1321">
        <v>105</v>
      </c>
      <c r="Y984" s="1324"/>
    </row>
    <row r="985" spans="1:25">
      <c r="A985" s="1320" t="s">
        <v>4883</v>
      </c>
      <c r="B985" s="1320">
        <v>106</v>
      </c>
      <c r="C985" s="1322">
        <v>90</v>
      </c>
      <c r="D985" s="1320" t="s">
        <v>5241</v>
      </c>
      <c r="E985" s="1320" t="s">
        <v>4067</v>
      </c>
      <c r="F985" s="1358">
        <f>+'0 MDS Allocation Assignment'!F329</f>
        <v>6519.2699566631791</v>
      </c>
      <c r="G985" s="1364">
        <f>+$F985*G$1939</f>
        <v>0</v>
      </c>
      <c r="H985" s="1364">
        <f>+$F985*H$1939</f>
        <v>6519.2699566631791</v>
      </c>
      <c r="I985" s="1323">
        <f t="shared" si="465"/>
        <v>1</v>
      </c>
      <c r="J985" s="1364">
        <f t="shared" si="466"/>
        <v>6519.2699566631791</v>
      </c>
      <c r="K985" s="1364">
        <f t="shared" ref="K985:Q985" si="469">+$J985*K$1939</f>
        <v>4756.6761997309131</v>
      </c>
      <c r="L985" s="1364">
        <f t="shared" si="469"/>
        <v>383.00683618726526</v>
      </c>
      <c r="M985" s="1364">
        <f t="shared" si="469"/>
        <v>1356.0039297203377</v>
      </c>
      <c r="N985" s="1367">
        <f t="shared" si="469"/>
        <v>0</v>
      </c>
      <c r="O985" s="1367">
        <f t="shared" si="469"/>
        <v>0</v>
      </c>
      <c r="P985" s="1367">
        <f t="shared" si="469"/>
        <v>23.582991024662498</v>
      </c>
      <c r="Q985" s="1364">
        <f t="shared" si="469"/>
        <v>0</v>
      </c>
      <c r="R985" s="1364"/>
      <c r="S985" s="1364">
        <v>106</v>
      </c>
      <c r="V985" s="1321" t="s">
        <v>5230</v>
      </c>
      <c r="W985" s="1321">
        <v>106</v>
      </c>
      <c r="Y985" s="1324"/>
    </row>
    <row r="986" spans="1:25">
      <c r="A986" s="1320" t="s">
        <v>4883</v>
      </c>
      <c r="B986" s="1320">
        <v>907</v>
      </c>
      <c r="C986" s="1322">
        <v>91</v>
      </c>
      <c r="D986" s="1320" t="s">
        <v>5242</v>
      </c>
      <c r="E986" s="1320" t="s">
        <v>4071</v>
      </c>
      <c r="F986" s="1358">
        <f>+'0 MDS Allocation Assignment'!F330</f>
        <v>24224.60647406918</v>
      </c>
      <c r="G986" s="1364">
        <f>+$F986*G$2052</f>
        <v>0</v>
      </c>
      <c r="H986" s="1364">
        <f>+$F986*H$2052</f>
        <v>24224.60647406918</v>
      </c>
      <c r="I986" s="1323">
        <f t="shared" si="465"/>
        <v>1</v>
      </c>
      <c r="J986" s="1364">
        <f t="shared" si="466"/>
        <v>24224.60647406918</v>
      </c>
      <c r="K986" s="1364">
        <f t="shared" ref="K986:Q986" si="470">+$J986*K$2052</f>
        <v>8930.5639978030104</v>
      </c>
      <c r="L986" s="1364">
        <f t="shared" si="470"/>
        <v>1354.6491342654494</v>
      </c>
      <c r="M986" s="1364">
        <f t="shared" si="470"/>
        <v>653.07532224830186</v>
      </c>
      <c r="N986" s="1367">
        <f t="shared" si="470"/>
        <v>42.100592978360055</v>
      </c>
      <c r="O986" s="1367">
        <f t="shared" si="470"/>
        <v>45.933514243294169</v>
      </c>
      <c r="P986" s="1367">
        <f t="shared" si="470"/>
        <v>10.542289668462439</v>
      </c>
      <c r="Q986" s="1364">
        <f t="shared" si="470"/>
        <v>13187.741622862304</v>
      </c>
      <c r="R986" s="1364"/>
      <c r="S986" s="1364">
        <v>907</v>
      </c>
      <c r="V986" s="1321" t="s">
        <v>5243</v>
      </c>
      <c r="W986" s="1321">
        <v>907</v>
      </c>
      <c r="Y986" s="1324"/>
    </row>
    <row r="987" spans="1:25">
      <c r="A987" s="1320" t="s">
        <v>4883</v>
      </c>
      <c r="B987" s="1324">
        <v>412</v>
      </c>
      <c r="C987" s="1393">
        <v>92</v>
      </c>
      <c r="D987" s="1324" t="s">
        <v>5244</v>
      </c>
      <c r="E987" s="1324" t="s">
        <v>4071</v>
      </c>
      <c r="F987" s="1358">
        <f>+'0 MDS Allocation Assignment'!F331</f>
        <v>32812.795362930978</v>
      </c>
      <c r="G987" s="1364">
        <f>+$F987*G$2018</f>
        <v>0</v>
      </c>
      <c r="H987" s="1364">
        <f>+$F987*H$2018</f>
        <v>32812.795362930978</v>
      </c>
      <c r="I987" s="1323">
        <f t="shared" si="465"/>
        <v>1</v>
      </c>
      <c r="J987" s="1364">
        <f t="shared" si="466"/>
        <v>32812.795362930978</v>
      </c>
      <c r="K987" s="1364">
        <f t="shared" ref="K987:Q987" si="471">+$J987*K$2018</f>
        <v>29265.299532778663</v>
      </c>
      <c r="L987" s="1364">
        <f t="shared" si="471"/>
        <v>2837.0073378150396</v>
      </c>
      <c r="M987" s="1364">
        <f t="shared" si="471"/>
        <v>698.7307296909463</v>
      </c>
      <c r="N987" s="1367">
        <f t="shared" si="471"/>
        <v>2.3591627316254788</v>
      </c>
      <c r="O987" s="1367">
        <f t="shared" si="471"/>
        <v>0.41856112980452048</v>
      </c>
      <c r="P987" s="1367">
        <f t="shared" si="471"/>
        <v>8.9800387848969834</v>
      </c>
      <c r="Q987" s="1364">
        <f t="shared" si="471"/>
        <v>0</v>
      </c>
      <c r="R987" s="1364"/>
      <c r="S987" s="1364">
        <v>412</v>
      </c>
      <c r="V987" s="1321" t="s">
        <v>5245</v>
      </c>
      <c r="W987" s="1321">
        <v>412</v>
      </c>
      <c r="Y987" s="1324"/>
    </row>
    <row r="988" spans="1:25">
      <c r="A988" s="1320" t="s">
        <v>4883</v>
      </c>
      <c r="B988" s="1321"/>
      <c r="C988" s="1322">
        <v>93</v>
      </c>
      <c r="D988" s="1320" t="s">
        <v>5652</v>
      </c>
      <c r="F988" s="1427">
        <f>+SUM(F980:F987)</f>
        <v>119263.13193999998</v>
      </c>
      <c r="G988" s="1427">
        <f>SUM(G980:G987)</f>
        <v>675.87720033970584</v>
      </c>
      <c r="H988" s="1427">
        <f>SUM(H980:H987)</f>
        <v>118587.25473966027</v>
      </c>
      <c r="I988" s="1323">
        <f t="shared" si="465"/>
        <v>0.99433289073206854</v>
      </c>
      <c r="J988" s="1421">
        <f t="shared" ref="J988:Q988" si="472">SUM(J980:J987)</f>
        <v>118587.25473966027</v>
      </c>
      <c r="K988" s="1421">
        <f t="shared" si="472"/>
        <v>76473.456954992958</v>
      </c>
      <c r="L988" s="1421">
        <f t="shared" si="472"/>
        <v>7072.4181005819501</v>
      </c>
      <c r="M988" s="1421">
        <f t="shared" si="472"/>
        <v>19181.812970038794</v>
      </c>
      <c r="N988" s="1422">
        <f t="shared" si="472"/>
        <v>1880.8374542804902</v>
      </c>
      <c r="O988" s="1422">
        <f>SUM(O980:O987)</f>
        <v>518.7255399198192</v>
      </c>
      <c r="P988" s="1422">
        <f>SUM(P980:P987)</f>
        <v>272.26209698397639</v>
      </c>
      <c r="Q988" s="1421">
        <f t="shared" si="472"/>
        <v>13187.741622862304</v>
      </c>
      <c r="R988" s="1364"/>
      <c r="S988" s="1364"/>
      <c r="T988" s="1321"/>
      <c r="U988" s="1326"/>
      <c r="V988" s="1320" t="s">
        <v>5653</v>
      </c>
      <c r="Y988" s="1324"/>
    </row>
    <row r="989" spans="1:25">
      <c r="A989" s="1320" t="s">
        <v>4883</v>
      </c>
      <c r="B989" s="1321"/>
      <c r="C989" s="1322">
        <v>94</v>
      </c>
      <c r="G989" s="1320"/>
      <c r="S989" s="1321"/>
      <c r="T989" s="1321"/>
      <c r="U989" s="1326"/>
      <c r="Y989" s="1324"/>
    </row>
    <row r="990" spans="1:25">
      <c r="A990" s="1320" t="s">
        <v>4883</v>
      </c>
      <c r="B990" s="1321"/>
      <c r="C990" s="1322">
        <v>95</v>
      </c>
      <c r="D990" s="1356" t="s">
        <v>5654</v>
      </c>
      <c r="G990" s="1320"/>
      <c r="S990" s="1321"/>
      <c r="T990" s="1321"/>
      <c r="U990" s="1326"/>
      <c r="Y990" s="1324"/>
    </row>
    <row r="991" spans="1:25" s="1324" customFormat="1">
      <c r="A991" s="1324" t="s">
        <v>4883</v>
      </c>
      <c r="B991" s="1324">
        <v>101</v>
      </c>
      <c r="C991" s="1393">
        <v>96</v>
      </c>
      <c r="D991" s="1324" t="s">
        <v>5265</v>
      </c>
      <c r="E991" s="1324" t="s">
        <v>4067</v>
      </c>
      <c r="F991" s="1364">
        <f>+'0 MDS Allocation Assignment'!F332</f>
        <v>402515.95441074861</v>
      </c>
      <c r="G991" s="1364">
        <f>+$F991*G$1933</f>
        <v>0</v>
      </c>
      <c r="H991" s="1364">
        <f>+$F991*H$1933</f>
        <v>402515.95441074861</v>
      </c>
      <c r="I991" s="1374">
        <f t="shared" ref="I991:I1000" si="473">IF(F991=0,0,+H991/F991)</f>
        <v>1</v>
      </c>
      <c r="J991" s="1364">
        <f t="shared" ref="J991:J999" si="474">+H991</f>
        <v>402515.95441074861</v>
      </c>
      <c r="K991" s="1324">
        <f t="shared" ref="K991:Q991" si="475">$J991*K$1951</f>
        <v>233464.50241607756</v>
      </c>
      <c r="L991" s="1324">
        <f t="shared" si="475"/>
        <v>19258.466596759343</v>
      </c>
      <c r="M991" s="1324">
        <f t="shared" si="475"/>
        <v>123109.70173760233</v>
      </c>
      <c r="N991" s="1324">
        <f t="shared" si="475"/>
        <v>15368.613938357312</v>
      </c>
      <c r="O991" s="1324">
        <f t="shared" si="475"/>
        <v>11029.288885515673</v>
      </c>
      <c r="P991" s="1324">
        <f t="shared" si="475"/>
        <v>285.38083643642022</v>
      </c>
      <c r="Q991" s="1324">
        <f t="shared" si="475"/>
        <v>0</v>
      </c>
      <c r="S991" s="1324">
        <v>122</v>
      </c>
      <c r="V991" s="1326" t="s">
        <v>5227</v>
      </c>
      <c r="W991" s="1326">
        <v>122</v>
      </c>
    </row>
    <row r="992" spans="1:25" s="1324" customFormat="1">
      <c r="A992" s="1324" t="s">
        <v>4883</v>
      </c>
      <c r="B992" s="1324">
        <v>101</v>
      </c>
      <c r="C992" s="1393">
        <v>97</v>
      </c>
      <c r="D992" s="1324" t="s">
        <v>5458</v>
      </c>
      <c r="E992" s="1324" t="s">
        <v>4067</v>
      </c>
      <c r="F992" s="1364">
        <f>+'0 MDS Allocation Assignment'!F333</f>
        <v>4620.0860300000004</v>
      </c>
      <c r="G992" s="1364">
        <f>+$F992*G$1933</f>
        <v>0</v>
      </c>
      <c r="H992" s="1364">
        <f>+$F992*H$1933</f>
        <v>4620.0860300000004</v>
      </c>
      <c r="I992" s="1374">
        <f>IF(F992=0,0,+H992/F992)</f>
        <v>1</v>
      </c>
      <c r="J992" s="1364">
        <f>+H992</f>
        <v>4620.0860300000004</v>
      </c>
      <c r="K992" s="1324">
        <f t="shared" ref="K992:Q992" si="476">$J992*K$1948</f>
        <v>2679.7101438934119</v>
      </c>
      <c r="L992" s="1324">
        <f t="shared" si="476"/>
        <v>221.04905782719334</v>
      </c>
      <c r="M992" s="1324">
        <f t="shared" si="476"/>
        <v>1413.055574375948</v>
      </c>
      <c r="N992" s="1324">
        <f t="shared" si="476"/>
        <v>176.40125261870077</v>
      </c>
      <c r="O992" s="1324">
        <f t="shared" si="476"/>
        <v>126.59439443934875</v>
      </c>
      <c r="P992" s="1324">
        <f t="shared" si="476"/>
        <v>3.2756068453976588</v>
      </c>
      <c r="Q992" s="1324">
        <f t="shared" si="476"/>
        <v>0</v>
      </c>
      <c r="S992" s="1324">
        <v>121</v>
      </c>
      <c r="V992" s="1326" t="s">
        <v>5287</v>
      </c>
      <c r="W992" s="1326">
        <v>121</v>
      </c>
    </row>
    <row r="993" spans="1:25" s="1324" customFormat="1">
      <c r="A993" s="1320" t="s">
        <v>4883</v>
      </c>
      <c r="B993" s="1324">
        <v>201</v>
      </c>
      <c r="C993" s="1393">
        <v>98</v>
      </c>
      <c r="D993" s="1324" t="s">
        <v>5265</v>
      </c>
      <c r="E993" s="1324" t="s">
        <v>2067</v>
      </c>
      <c r="F993" s="1364">
        <f>+'0 MDS Allocation Assignment'!F334</f>
        <v>102739.773617499</v>
      </c>
      <c r="G993" s="1364">
        <f>+$F993*G$1966</f>
        <v>0</v>
      </c>
      <c r="H993" s="1364">
        <f>+$F993*H$1966</f>
        <v>102739.773617499</v>
      </c>
      <c r="I993" s="1374">
        <f t="shared" si="473"/>
        <v>1</v>
      </c>
      <c r="J993" s="1364">
        <f t="shared" si="474"/>
        <v>102739.773617499</v>
      </c>
      <c r="K993" s="1364">
        <f t="shared" ref="K993:Q993" si="477">+$J993*K$1966</f>
        <v>51846.001949104299</v>
      </c>
      <c r="L993" s="1364">
        <f t="shared" si="477"/>
        <v>4791.1775054694435</v>
      </c>
      <c r="M993" s="1364">
        <f t="shared" si="477"/>
        <v>35692.411461059652</v>
      </c>
      <c r="N993" s="1367">
        <f t="shared" si="477"/>
        <v>5681.6580148111143</v>
      </c>
      <c r="O993" s="1367">
        <f t="shared" si="477"/>
        <v>4185.7448689139046</v>
      </c>
      <c r="P993" s="1367">
        <f t="shared" si="477"/>
        <v>542.77981814058091</v>
      </c>
      <c r="Q993" s="1364">
        <f t="shared" si="477"/>
        <v>0</v>
      </c>
      <c r="R993" s="1364"/>
      <c r="S993" s="1364">
        <v>201</v>
      </c>
      <c r="V993" s="1321" t="s">
        <v>5235</v>
      </c>
      <c r="W993" s="1321">
        <v>201</v>
      </c>
      <c r="Y993" s="1320"/>
    </row>
    <row r="994" spans="1:25">
      <c r="A994" s="1320" t="s">
        <v>4883</v>
      </c>
      <c r="B994" s="1320">
        <v>117</v>
      </c>
      <c r="C994" s="1322">
        <v>99</v>
      </c>
      <c r="D994" s="1320" t="s">
        <v>5268</v>
      </c>
      <c r="E994" s="1320" t="s">
        <v>4067</v>
      </c>
      <c r="F994" s="1364">
        <f>+'0 MDS Allocation Assignment'!F335</f>
        <v>16490.11411829697</v>
      </c>
      <c r="G994" s="1364">
        <f>+$F994*G$1942</f>
        <v>1068.3426482742393</v>
      </c>
      <c r="H994" s="1364">
        <f>+$F994*H$1942</f>
        <v>15421.77147002273</v>
      </c>
      <c r="I994" s="1323">
        <f t="shared" si="473"/>
        <v>0.93521314403222733</v>
      </c>
      <c r="J994" s="1364">
        <f t="shared" si="474"/>
        <v>15421.77147002273</v>
      </c>
      <c r="K994" s="1364">
        <f t="shared" ref="K994:Q995" si="478">+$J994*K$1945</f>
        <v>8944.8285544210794</v>
      </c>
      <c r="L994" s="1364">
        <f t="shared" si="478"/>
        <v>737.85813323368234</v>
      </c>
      <c r="M994" s="1364">
        <f t="shared" si="478"/>
        <v>4716.756354960683</v>
      </c>
      <c r="N994" s="1367">
        <f t="shared" si="478"/>
        <v>588.82449098276891</v>
      </c>
      <c r="O994" s="1367">
        <f t="shared" si="478"/>
        <v>422.5700144439848</v>
      </c>
      <c r="P994" s="1367">
        <f t="shared" si="478"/>
        <v>10.933921980531771</v>
      </c>
      <c r="Q994" s="1364">
        <f t="shared" si="478"/>
        <v>0</v>
      </c>
      <c r="R994" s="1364"/>
      <c r="S994" s="1364">
        <v>117</v>
      </c>
      <c r="V994" s="1321" t="s">
        <v>5228</v>
      </c>
      <c r="W994" s="1321">
        <v>117</v>
      </c>
    </row>
    <row r="995" spans="1:25">
      <c r="A995" s="1320" t="s">
        <v>4883</v>
      </c>
      <c r="B995" s="1320">
        <v>117</v>
      </c>
      <c r="C995" s="1322">
        <v>100</v>
      </c>
      <c r="D995" s="1320" t="s">
        <v>5239</v>
      </c>
      <c r="E995" s="1320" t="s">
        <v>4067</v>
      </c>
      <c r="F995" s="1364">
        <f>+'0 MDS Allocation Assignment'!F336</f>
        <v>46362.50081632923</v>
      </c>
      <c r="G995" s="1364">
        <f>+$F995*G$1942</f>
        <v>3003.6806626932616</v>
      </c>
      <c r="H995" s="1364">
        <f>+$F995*H$1942</f>
        <v>43358.820153635963</v>
      </c>
      <c r="I995" s="1323">
        <f t="shared" si="473"/>
        <v>0.93521314403222733</v>
      </c>
      <c r="J995" s="1364">
        <f t="shared" si="474"/>
        <v>43358.820153635963</v>
      </c>
      <c r="K995" s="1364">
        <f t="shared" si="478"/>
        <v>25148.681093487863</v>
      </c>
      <c r="L995" s="1364">
        <f t="shared" si="478"/>
        <v>2074.5125266552559</v>
      </c>
      <c r="M995" s="1364">
        <f t="shared" si="478"/>
        <v>13261.316373465776</v>
      </c>
      <c r="N995" s="1367">
        <f t="shared" si="478"/>
        <v>1655.4995161357094</v>
      </c>
      <c r="O995" s="1367">
        <f t="shared" si="478"/>
        <v>1188.069560893907</v>
      </c>
      <c r="P995" s="1367">
        <f t="shared" si="478"/>
        <v>30.74108299745577</v>
      </c>
      <c r="Q995" s="1364">
        <f t="shared" si="478"/>
        <v>0</v>
      </c>
      <c r="R995" s="1364"/>
      <c r="S995" s="1364">
        <v>117</v>
      </c>
      <c r="V995" s="1321" t="s">
        <v>5228</v>
      </c>
      <c r="W995" s="1321">
        <v>117</v>
      </c>
    </row>
    <row r="996" spans="1:25">
      <c r="A996" s="1320" t="s">
        <v>4883</v>
      </c>
      <c r="B996" s="1320">
        <v>105</v>
      </c>
      <c r="C996" s="1322">
        <v>101</v>
      </c>
      <c r="D996" s="1320" t="s">
        <v>5240</v>
      </c>
      <c r="E996" s="1320" t="s">
        <v>4067</v>
      </c>
      <c r="F996" s="1364">
        <f>+'0 MDS Allocation Assignment'!F337</f>
        <v>234844.84117370314</v>
      </c>
      <c r="G996" s="1364">
        <f>+$F996*G$1936</f>
        <v>0</v>
      </c>
      <c r="H996" s="1364">
        <f>+$F996*H$1936</f>
        <v>234844.84117370314</v>
      </c>
      <c r="I996" s="1323">
        <f t="shared" si="473"/>
        <v>1</v>
      </c>
      <c r="J996" s="1364">
        <f t="shared" si="474"/>
        <v>234844.84117370314</v>
      </c>
      <c r="K996" s="1364">
        <f t="shared" ref="K996:Q996" si="479">+$J996*K$1936</f>
        <v>146171.18950018875</v>
      </c>
      <c r="L996" s="1364">
        <f t="shared" si="479"/>
        <v>10396.061603276912</v>
      </c>
      <c r="M996" s="1364">
        <f t="shared" si="479"/>
        <v>69608.123463468655</v>
      </c>
      <c r="N996" s="1367">
        <f t="shared" si="479"/>
        <v>7321.3750411627025</v>
      </c>
      <c r="O996" s="1367">
        <f t="shared" si="479"/>
        <v>4.9988922493267984E-3</v>
      </c>
      <c r="P996" s="1367">
        <f t="shared" si="479"/>
        <v>1348.086566713921</v>
      </c>
      <c r="Q996" s="1364">
        <f t="shared" si="479"/>
        <v>0</v>
      </c>
      <c r="R996" s="1364"/>
      <c r="S996" s="1364">
        <v>105</v>
      </c>
      <c r="V996" s="1321" t="s">
        <v>5229</v>
      </c>
      <c r="W996" s="1321">
        <v>105</v>
      </c>
    </row>
    <row r="997" spans="1:25">
      <c r="A997" s="1320" t="s">
        <v>4883</v>
      </c>
      <c r="B997" s="1320">
        <v>106</v>
      </c>
      <c r="C997" s="1322">
        <v>102</v>
      </c>
      <c r="D997" s="1320" t="s">
        <v>5241</v>
      </c>
      <c r="E997" s="1320" t="s">
        <v>4067</v>
      </c>
      <c r="F997" s="1364">
        <f>+'0 MDS Allocation Assignment'!F338</f>
        <v>39277.281761657046</v>
      </c>
      <c r="G997" s="1364">
        <f>+$F997*G$1939</f>
        <v>0</v>
      </c>
      <c r="H997" s="1364">
        <f>+$F997*H$1939</f>
        <v>39277.281761657046</v>
      </c>
      <c r="I997" s="1323">
        <f t="shared" si="473"/>
        <v>1</v>
      </c>
      <c r="J997" s="1364">
        <f t="shared" si="474"/>
        <v>39277.281761657046</v>
      </c>
      <c r="K997" s="1364">
        <f t="shared" ref="K997:Q997" si="480">+$J997*K$1939</f>
        <v>28658.011186489632</v>
      </c>
      <c r="L997" s="1364">
        <f t="shared" si="480"/>
        <v>2307.5386541084249</v>
      </c>
      <c r="M997" s="1364">
        <f t="shared" si="480"/>
        <v>8169.6491741539357</v>
      </c>
      <c r="N997" s="1367">
        <f t="shared" si="480"/>
        <v>0</v>
      </c>
      <c r="O997" s="1367">
        <f t="shared" si="480"/>
        <v>0</v>
      </c>
      <c r="P997" s="1367">
        <f t="shared" si="480"/>
        <v>142.08274690505419</v>
      </c>
      <c r="Q997" s="1364">
        <f t="shared" si="480"/>
        <v>0</v>
      </c>
      <c r="R997" s="1364"/>
      <c r="S997" s="1364">
        <v>106</v>
      </c>
      <c r="V997" s="1321" t="s">
        <v>5230</v>
      </c>
      <c r="W997" s="1321">
        <v>106</v>
      </c>
      <c r="Y997" s="1324"/>
    </row>
    <row r="998" spans="1:25">
      <c r="A998" s="1320" t="s">
        <v>4883</v>
      </c>
      <c r="B998" s="1320">
        <v>907</v>
      </c>
      <c r="C998" s="1322">
        <v>103</v>
      </c>
      <c r="D998" s="1320" t="s">
        <v>5242</v>
      </c>
      <c r="E998" s="1320" t="s">
        <v>4071</v>
      </c>
      <c r="F998" s="1364">
        <f>+'0 MDS Allocation Assignment'!F339</f>
        <v>145948.35010242159</v>
      </c>
      <c r="G998" s="1364">
        <f>+$F998*G$2052</f>
        <v>0</v>
      </c>
      <c r="H998" s="1364">
        <f>+$F998*H$2052</f>
        <v>145948.35010242159</v>
      </c>
      <c r="I998" s="1323">
        <f t="shared" si="473"/>
        <v>1</v>
      </c>
      <c r="J998" s="1364">
        <f t="shared" si="474"/>
        <v>145948.35010242159</v>
      </c>
      <c r="K998" s="1364">
        <f t="shared" ref="K998:Q998" si="481">+$J998*K$2052</f>
        <v>53804.840229649926</v>
      </c>
      <c r="L998" s="1364">
        <f t="shared" si="481"/>
        <v>8161.4868057960066</v>
      </c>
      <c r="M998" s="1364">
        <f t="shared" si="481"/>
        <v>3934.6466113608731</v>
      </c>
      <c r="N998" s="1367">
        <f t="shared" si="481"/>
        <v>253.64755006866815</v>
      </c>
      <c r="O998" s="1367">
        <f t="shared" si="481"/>
        <v>276.74012477317081</v>
      </c>
      <c r="P998" s="1367">
        <f t="shared" si="481"/>
        <v>63.515161125977357</v>
      </c>
      <c r="Q998" s="1364">
        <f t="shared" si="481"/>
        <v>79453.473619646989</v>
      </c>
      <c r="R998" s="1364"/>
      <c r="S998" s="1364">
        <v>907</v>
      </c>
      <c r="V998" s="1321" t="s">
        <v>5243</v>
      </c>
      <c r="W998" s="1321">
        <v>907</v>
      </c>
      <c r="Y998" s="1324"/>
    </row>
    <row r="999" spans="1:25">
      <c r="A999" s="1320" t="s">
        <v>4883</v>
      </c>
      <c r="B999" s="1324">
        <v>412</v>
      </c>
      <c r="C999" s="1393">
        <v>104</v>
      </c>
      <c r="D999" s="1324" t="s">
        <v>5244</v>
      </c>
      <c r="E999" s="1324" t="s">
        <v>4071</v>
      </c>
      <c r="F999" s="1364">
        <f>+'0 MDS Allocation Assignment'!F340</f>
        <v>197959.63711934417</v>
      </c>
      <c r="G999" s="1364">
        <f>+$F999*G$2018</f>
        <v>0</v>
      </c>
      <c r="H999" s="1364">
        <f>+$F999*H$2018</f>
        <v>197959.63711934417</v>
      </c>
      <c r="I999" s="1323">
        <f t="shared" si="473"/>
        <v>1</v>
      </c>
      <c r="J999" s="1364">
        <f t="shared" si="474"/>
        <v>197959.63711934417</v>
      </c>
      <c r="K999" s="1364">
        <f t="shared" ref="K999:Q999" si="482">+$J999*K$2018</f>
        <v>176557.59016016641</v>
      </c>
      <c r="L999" s="1364">
        <f t="shared" si="482"/>
        <v>17115.668960445932</v>
      </c>
      <c r="M999" s="1364">
        <f t="shared" si="482"/>
        <v>4215.4434013877608</v>
      </c>
      <c r="N999" s="1367">
        <f t="shared" si="482"/>
        <v>14.232831829550788</v>
      </c>
      <c r="O999" s="1367">
        <f t="shared" si="482"/>
        <v>2.5251798407267532</v>
      </c>
      <c r="P999" s="1367">
        <f t="shared" si="482"/>
        <v>54.176585673773971</v>
      </c>
      <c r="Q999" s="1364">
        <f t="shared" si="482"/>
        <v>0</v>
      </c>
      <c r="R999" s="1364"/>
      <c r="S999" s="1364">
        <v>412</v>
      </c>
      <c r="V999" s="1321" t="s">
        <v>5245</v>
      </c>
      <c r="W999" s="1321">
        <v>412</v>
      </c>
      <c r="Y999" s="1324"/>
    </row>
    <row r="1000" spans="1:25">
      <c r="A1000" s="1320" t="s">
        <v>4883</v>
      </c>
      <c r="B1000" s="1321"/>
      <c r="C1000" s="1322">
        <v>105</v>
      </c>
      <c r="D1000" s="1320" t="s">
        <v>5655</v>
      </c>
      <c r="F1000" s="1427">
        <f>+SUM(F991:F999)</f>
        <v>1190758.5391499999</v>
      </c>
      <c r="G1000" s="1427">
        <f>SUM(G991:G999)</f>
        <v>4072.0233109675009</v>
      </c>
      <c r="H1000" s="1427">
        <f>SUM(H991:H999)</f>
        <v>1186686.5158390321</v>
      </c>
      <c r="I1000" s="1323">
        <f t="shared" si="473"/>
        <v>0.99658031147618353</v>
      </c>
      <c r="J1000" s="1421">
        <f t="shared" ref="J1000:Q1000" si="483">SUM(J991:J999)</f>
        <v>1186686.5158390321</v>
      </c>
      <c r="K1000" s="1421">
        <f t="shared" si="483"/>
        <v>727275.35523347894</v>
      </c>
      <c r="L1000" s="1421">
        <f t="shared" si="483"/>
        <v>65063.819843572193</v>
      </c>
      <c r="M1000" s="1421">
        <f t="shared" si="483"/>
        <v>264121.10415183561</v>
      </c>
      <c r="N1000" s="1422">
        <f t="shared" si="483"/>
        <v>31060.252635966528</v>
      </c>
      <c r="O1000" s="1422">
        <f>SUM(O991:O999)</f>
        <v>17231.53802771297</v>
      </c>
      <c r="P1000" s="1422">
        <f>SUM(P991:P999)</f>
        <v>2480.9723268191128</v>
      </c>
      <c r="Q1000" s="1421">
        <f t="shared" si="483"/>
        <v>79453.473619646989</v>
      </c>
      <c r="R1000" s="1364"/>
      <c r="S1000" s="1364"/>
      <c r="T1000" s="1321"/>
      <c r="U1000" s="1326"/>
      <c r="V1000" s="1320" t="s">
        <v>5656</v>
      </c>
      <c r="Y1000" s="1324"/>
    </row>
    <row r="1001" spans="1:25">
      <c r="A1001" s="1320" t="s">
        <v>4883</v>
      </c>
      <c r="B1001" s="1321"/>
      <c r="C1001" s="1322">
        <v>106</v>
      </c>
      <c r="F1001" s="1358"/>
      <c r="G1001" s="1358"/>
      <c r="H1001" s="1358"/>
      <c r="J1001" s="1364"/>
      <c r="K1001" s="1364"/>
      <c r="L1001" s="1364"/>
      <c r="M1001" s="1367"/>
      <c r="N1001" s="1367"/>
      <c r="O1001" s="1367"/>
      <c r="P1001" s="1364"/>
      <c r="Q1001" s="1364"/>
      <c r="R1001" s="1358"/>
      <c r="S1001" s="1321"/>
      <c r="T1001" s="1321"/>
      <c r="U1001" s="1326"/>
      <c r="Y1001" s="1324"/>
    </row>
    <row r="1002" spans="1:25">
      <c r="A1002" s="1320" t="s">
        <v>4883</v>
      </c>
      <c r="B1002" s="1321"/>
      <c r="C1002" s="1322">
        <v>107</v>
      </c>
      <c r="D1002" s="1356" t="s">
        <v>5657</v>
      </c>
      <c r="F1002" s="1358"/>
      <c r="G1002" s="1358"/>
      <c r="H1002" s="1358"/>
      <c r="J1002" s="1364"/>
      <c r="K1002" s="1364"/>
      <c r="L1002" s="1364"/>
      <c r="M1002" s="1367"/>
      <c r="N1002" s="1367"/>
      <c r="O1002" s="1367"/>
      <c r="P1002" s="1364"/>
      <c r="Q1002" s="1364"/>
      <c r="R1002" s="1364"/>
      <c r="S1002" s="1364"/>
      <c r="T1002" s="1321"/>
      <c r="U1002" s="1326"/>
      <c r="Y1002" s="1324"/>
    </row>
    <row r="1003" spans="1:25">
      <c r="A1003" s="1320" t="s">
        <v>4883</v>
      </c>
      <c r="B1003" s="1324">
        <v>101</v>
      </c>
      <c r="C1003" s="1322">
        <v>108</v>
      </c>
      <c r="D1003" s="1324" t="s">
        <v>5265</v>
      </c>
      <c r="E1003" s="1324" t="s">
        <v>4067</v>
      </c>
      <c r="F1003" s="1421">
        <f>+'0 MDS Allocation Assignment'!F341</f>
        <v>-5.1984228193759919E-6</v>
      </c>
      <c r="G1003" s="1421">
        <f>+$F1003*G$1933</f>
        <v>0</v>
      </c>
      <c r="H1003" s="1421">
        <f>+$F1003*H$1933</f>
        <v>-5.1984228193759919E-6</v>
      </c>
      <c r="I1003" s="1440">
        <f>IF(F1003=0,0,+H1003/F1003)</f>
        <v>1</v>
      </c>
      <c r="J1003" s="1421">
        <f>+H1003</f>
        <v>-5.1984228193759919E-6</v>
      </c>
      <c r="K1003" s="1421">
        <f t="shared" ref="K1003:Q1003" si="484">$J1003*K$1951</f>
        <v>-3.0151530233147705E-6</v>
      </c>
      <c r="L1003" s="1421">
        <f t="shared" si="484"/>
        <v>-2.4871971191636988E-7</v>
      </c>
      <c r="M1003" s="1421">
        <f t="shared" si="484"/>
        <v>-1.589940164573597E-6</v>
      </c>
      <c r="N1003" s="1421">
        <f t="shared" si="484"/>
        <v>-1.9848294837478663E-7</v>
      </c>
      <c r="O1003" s="1421">
        <f t="shared" si="484"/>
        <v>-1.4244132784224273E-7</v>
      </c>
      <c r="P1003" s="1421">
        <f t="shared" si="484"/>
        <v>-3.6856433542254614E-9</v>
      </c>
      <c r="Q1003" s="1421">
        <f t="shared" si="484"/>
        <v>0</v>
      </c>
      <c r="R1003" s="1364"/>
      <c r="S1003" s="1364">
        <v>122</v>
      </c>
      <c r="T1003" s="1324"/>
      <c r="V1003" s="1326" t="s">
        <v>5227</v>
      </c>
      <c r="W1003" s="1326">
        <v>122</v>
      </c>
      <c r="Y1003" s="1324"/>
    </row>
    <row r="1004" spans="1:25">
      <c r="A1004" s="1320" t="s">
        <v>4883</v>
      </c>
      <c r="B1004" s="1321"/>
      <c r="C1004" s="1322">
        <v>109</v>
      </c>
      <c r="F1004" s="1358"/>
      <c r="G1004" s="1358"/>
      <c r="H1004" s="1358"/>
      <c r="J1004" s="1364"/>
      <c r="K1004" s="1364"/>
      <c r="L1004" s="1364"/>
      <c r="M1004" s="1367"/>
      <c r="N1004" s="1367"/>
      <c r="O1004" s="1367"/>
      <c r="P1004" s="1364"/>
      <c r="Q1004" s="1364"/>
      <c r="R1004" s="1358"/>
      <c r="S1004" s="1321"/>
      <c r="T1004" s="1321"/>
      <c r="U1004" s="1326"/>
      <c r="Y1004" s="1324"/>
    </row>
    <row r="1005" spans="1:25">
      <c r="A1005" s="1320" t="s">
        <v>4883</v>
      </c>
      <c r="B1005" s="1321"/>
      <c r="C1005" s="1322">
        <v>110</v>
      </c>
      <c r="D1005" s="1356" t="s">
        <v>5658</v>
      </c>
      <c r="G1005" s="1320"/>
      <c r="S1005" s="1321"/>
      <c r="T1005" s="1321"/>
      <c r="U1005" s="1326"/>
      <c r="Y1005" s="1324"/>
    </row>
    <row r="1006" spans="1:25" s="1324" customFormat="1">
      <c r="A1006" s="1324" t="s">
        <v>4883</v>
      </c>
      <c r="B1006" s="1326"/>
      <c r="C1006" s="1322">
        <v>111</v>
      </c>
      <c r="D1006" s="1324" t="s">
        <v>5265</v>
      </c>
      <c r="E1006" s="1324" t="s">
        <v>4067</v>
      </c>
      <c r="F1006" s="1324">
        <f>+F943+F969+F980+F991+F992+F1003</f>
        <v>7199153.5139943594</v>
      </c>
      <c r="G1006" s="1324">
        <f>+G943+G969+G980+G991+G992+G1003</f>
        <v>0</v>
      </c>
      <c r="H1006" s="1324">
        <f>+H943+H969+H980+H991+H992+H1003</f>
        <v>7199153.5139943594</v>
      </c>
      <c r="I1006" s="1374">
        <f t="shared" ref="I1006:I1013" si="485">IF(F1006=0,0,+H1006/F1006)</f>
        <v>1</v>
      </c>
      <c r="J1006" s="1324">
        <f t="shared" ref="J1006:Q1006" si="486">+J943+J969+J980+J991+J992+J1003</f>
        <v>7199153.5139943594</v>
      </c>
      <c r="K1006" s="1324">
        <f t="shared" si="486"/>
        <v>4175602.9159692046</v>
      </c>
      <c r="L1006" s="1324">
        <f t="shared" si="486"/>
        <v>344445.12311858003</v>
      </c>
      <c r="M1006" s="1324">
        <f t="shared" si="486"/>
        <v>2201864.6271264185</v>
      </c>
      <c r="N1006" s="1324">
        <f t="shared" si="486"/>
        <v>274873.60395817697</v>
      </c>
      <c r="O1006" s="1324">
        <f t="shared" si="486"/>
        <v>197263.09719389048</v>
      </c>
      <c r="P1006" s="1324">
        <f t="shared" si="486"/>
        <v>5104.1466280896366</v>
      </c>
      <c r="Q1006" s="1324">
        <f t="shared" si="486"/>
        <v>0</v>
      </c>
      <c r="T1006" s="1326"/>
      <c r="U1006" s="1326"/>
      <c r="V1006" s="1324" t="s">
        <v>5659</v>
      </c>
    </row>
    <row r="1007" spans="1:25">
      <c r="A1007" s="1320" t="s">
        <v>4883</v>
      </c>
      <c r="B1007" s="1321"/>
      <c r="C1007" s="1322">
        <v>112</v>
      </c>
      <c r="D1007" s="1320" t="s">
        <v>5265</v>
      </c>
      <c r="E1007" s="1320" t="s">
        <v>2067</v>
      </c>
      <c r="F1007" s="1358">
        <f t="shared" ref="F1007:H1013" si="487">+F944+F970+F981+F993</f>
        <v>680548.35013101739</v>
      </c>
      <c r="G1007" s="1358">
        <f t="shared" si="487"/>
        <v>0</v>
      </c>
      <c r="H1007" s="1358">
        <f t="shared" si="487"/>
        <v>680548.35013101739</v>
      </c>
      <c r="I1007" s="1323">
        <f t="shared" si="485"/>
        <v>1</v>
      </c>
      <c r="J1007" s="1364">
        <f t="shared" ref="J1007:Q1013" si="488">+J944+J970+J981+J993</f>
        <v>680548.35013101739</v>
      </c>
      <c r="K1007" s="1364">
        <f t="shared" si="488"/>
        <v>343427.96217085293</v>
      </c>
      <c r="L1007" s="1364">
        <f t="shared" si="488"/>
        <v>31736.763978782128</v>
      </c>
      <c r="M1007" s="1364">
        <f t="shared" si="488"/>
        <v>236426.56467645097</v>
      </c>
      <c r="N1007" s="1367">
        <f t="shared" si="488"/>
        <v>37635.307650023817</v>
      </c>
      <c r="O1007" s="1367">
        <f t="shared" si="488"/>
        <v>27726.377665713924</v>
      </c>
      <c r="P1007" s="1367">
        <f t="shared" si="488"/>
        <v>3595.3739891935147</v>
      </c>
      <c r="Q1007" s="1364">
        <f t="shared" si="488"/>
        <v>0</v>
      </c>
      <c r="R1007" s="1364"/>
      <c r="S1007" s="1364"/>
      <c r="T1007" s="1321"/>
      <c r="U1007" s="1326"/>
      <c r="V1007" s="1320" t="s">
        <v>5660</v>
      </c>
      <c r="Y1007" s="1324"/>
    </row>
    <row r="1008" spans="1:25">
      <c r="A1008" s="1320" t="s">
        <v>4883</v>
      </c>
      <c r="B1008" s="1321"/>
      <c r="C1008" s="1322">
        <v>113</v>
      </c>
      <c r="D1008" s="1320" t="s">
        <v>5268</v>
      </c>
      <c r="E1008" s="1320" t="s">
        <v>4067</v>
      </c>
      <c r="F1008" s="1358">
        <f t="shared" si="487"/>
        <v>559079.92351655953</v>
      </c>
      <c r="G1008" s="1358">
        <f t="shared" si="487"/>
        <v>36221.030479340661</v>
      </c>
      <c r="H1008" s="1358">
        <f t="shared" si="487"/>
        <v>522858.89303721883</v>
      </c>
      <c r="I1008" s="1323">
        <f t="shared" si="485"/>
        <v>0.93521314403222733</v>
      </c>
      <c r="J1008" s="1364">
        <f t="shared" si="488"/>
        <v>522858.89303721883</v>
      </c>
      <c r="K1008" s="1364">
        <f t="shared" si="488"/>
        <v>303264.97610623844</v>
      </c>
      <c r="L1008" s="1364">
        <f t="shared" si="488"/>
        <v>25016.301629873862</v>
      </c>
      <c r="M1008" s="1364">
        <f t="shared" si="488"/>
        <v>159916.64843918057</v>
      </c>
      <c r="N1008" s="1367">
        <f t="shared" si="488"/>
        <v>19963.473207141269</v>
      </c>
      <c r="O1008" s="1367">
        <f t="shared" si="488"/>
        <v>14326.79056439019</v>
      </c>
      <c r="P1008" s="1367">
        <f t="shared" si="488"/>
        <v>370.70309039456481</v>
      </c>
      <c r="Q1008" s="1364">
        <f t="shared" si="488"/>
        <v>0</v>
      </c>
      <c r="R1008" s="1364"/>
      <c r="S1008" s="1364"/>
      <c r="T1008" s="1321"/>
      <c r="U1008" s="1326"/>
      <c r="V1008" s="1320" t="s">
        <v>5661</v>
      </c>
    </row>
    <row r="1009" spans="1:25">
      <c r="A1009" s="1320" t="s">
        <v>4883</v>
      </c>
      <c r="B1009" s="1321"/>
      <c r="C1009" s="1322">
        <v>114</v>
      </c>
      <c r="D1009" s="1320" t="s">
        <v>5239</v>
      </c>
      <c r="E1009" s="1320" t="s">
        <v>4067</v>
      </c>
      <c r="F1009" s="1358">
        <f t="shared" si="487"/>
        <v>583616.65599674068</v>
      </c>
      <c r="G1009" s="1358">
        <f t="shared" si="487"/>
        <v>37810.688232453918</v>
      </c>
      <c r="H1009" s="1358">
        <f t="shared" si="487"/>
        <v>545805.96776428656</v>
      </c>
      <c r="I1009" s="1323">
        <f t="shared" si="485"/>
        <v>0.93521314403222711</v>
      </c>
      <c r="J1009" s="1364">
        <f t="shared" si="488"/>
        <v>545805.96776428656</v>
      </c>
      <c r="K1009" s="1364">
        <f t="shared" si="488"/>
        <v>316574.57868063106</v>
      </c>
      <c r="L1009" s="1364">
        <f t="shared" si="488"/>
        <v>26114.209594221556</v>
      </c>
      <c r="M1009" s="1364">
        <f t="shared" si="488"/>
        <v>166935.02247987012</v>
      </c>
      <c r="N1009" s="1367">
        <f t="shared" si="488"/>
        <v>20839.624148813167</v>
      </c>
      <c r="O1009" s="1367">
        <f t="shared" si="488"/>
        <v>14955.560463990441</v>
      </c>
      <c r="P1009" s="1367">
        <f t="shared" si="488"/>
        <v>386.97239676023759</v>
      </c>
      <c r="Q1009" s="1364">
        <f t="shared" si="488"/>
        <v>0</v>
      </c>
      <c r="R1009" s="1364"/>
      <c r="S1009" s="1364"/>
      <c r="T1009" s="1321"/>
      <c r="U1009" s="1326"/>
      <c r="V1009" s="1320" t="s">
        <v>5662</v>
      </c>
    </row>
    <row r="1010" spans="1:25">
      <c r="A1010" s="1320" t="s">
        <v>4883</v>
      </c>
      <c r="B1010" s="1321"/>
      <c r="C1010" s="1322">
        <v>115</v>
      </c>
      <c r="D1010" s="1320" t="s">
        <v>5240</v>
      </c>
      <c r="E1010" s="1320" t="s">
        <v>4067</v>
      </c>
      <c r="F1010" s="1358">
        <f t="shared" si="487"/>
        <v>2138740.1302942359</v>
      </c>
      <c r="G1010" s="1358">
        <f t="shared" si="487"/>
        <v>0</v>
      </c>
      <c r="H1010" s="1358">
        <f t="shared" si="487"/>
        <v>2138740.1302942359</v>
      </c>
      <c r="I1010" s="1323">
        <f t="shared" si="485"/>
        <v>1</v>
      </c>
      <c r="J1010" s="1364">
        <f t="shared" si="488"/>
        <v>2138740.1302942359</v>
      </c>
      <c r="K1010" s="1364">
        <f t="shared" si="488"/>
        <v>1331186.1027667453</v>
      </c>
      <c r="L1010" s="1364">
        <f t="shared" si="488"/>
        <v>94677.294322567774</v>
      </c>
      <c r="M1010" s="1364">
        <f t="shared" si="488"/>
        <v>633923.59952110553</v>
      </c>
      <c r="N1010" s="1367">
        <f t="shared" si="488"/>
        <v>66676.016944683288</v>
      </c>
      <c r="O1010" s="1367">
        <f t="shared" si="488"/>
        <v>4.5525085444581663E-2</v>
      </c>
      <c r="P1010" s="1367">
        <f t="shared" si="488"/>
        <v>12277.071214049258</v>
      </c>
      <c r="Q1010" s="1364">
        <f t="shared" si="488"/>
        <v>0</v>
      </c>
      <c r="R1010" s="1364"/>
      <c r="S1010" s="1364"/>
      <c r="T1010" s="1321"/>
      <c r="U1010" s="1326"/>
      <c r="V1010" s="1320" t="s">
        <v>5663</v>
      </c>
    </row>
    <row r="1011" spans="1:25">
      <c r="A1011" s="1320" t="s">
        <v>4883</v>
      </c>
      <c r="B1011" s="1321"/>
      <c r="C1011" s="1322">
        <v>116</v>
      </c>
      <c r="D1011" s="1320" t="s">
        <v>5241</v>
      </c>
      <c r="E1011" s="1320" t="s">
        <v>4067</v>
      </c>
      <c r="F1011" s="1358">
        <f t="shared" si="487"/>
        <v>1074798.1722257815</v>
      </c>
      <c r="G1011" s="1358">
        <f t="shared" si="487"/>
        <v>0</v>
      </c>
      <c r="H1011" s="1358">
        <f t="shared" si="487"/>
        <v>1074798.1722257815</v>
      </c>
      <c r="I1011" s="1323">
        <f t="shared" si="485"/>
        <v>1</v>
      </c>
      <c r="J1011" s="1364">
        <f t="shared" si="488"/>
        <v>1074798.1722257815</v>
      </c>
      <c r="K1011" s="1364">
        <f t="shared" si="488"/>
        <v>784208.49563306395</v>
      </c>
      <c r="L1011" s="1364">
        <f t="shared" si="488"/>
        <v>63144.347483771526</v>
      </c>
      <c r="M1011" s="1364">
        <f t="shared" si="488"/>
        <v>223557.32388483064</v>
      </c>
      <c r="N1011" s="1367">
        <f t="shared" si="488"/>
        <v>0</v>
      </c>
      <c r="O1011" s="1367">
        <f t="shared" si="488"/>
        <v>0</v>
      </c>
      <c r="P1011" s="1367">
        <f t="shared" si="488"/>
        <v>3888.0052241152839</v>
      </c>
      <c r="Q1011" s="1364">
        <f t="shared" si="488"/>
        <v>0</v>
      </c>
      <c r="R1011" s="1364"/>
      <c r="S1011" s="1364"/>
      <c r="T1011" s="1321"/>
      <c r="U1011" s="1326"/>
      <c r="V1011" s="1320" t="s">
        <v>5664</v>
      </c>
    </row>
    <row r="1012" spans="1:25">
      <c r="A1012" s="1320" t="s">
        <v>4883</v>
      </c>
      <c r="B1012" s="1321"/>
      <c r="C1012" s="1322">
        <v>117</v>
      </c>
      <c r="D1012" s="1320" t="s">
        <v>5242</v>
      </c>
      <c r="E1012" s="1320" t="s">
        <v>4071</v>
      </c>
      <c r="F1012" s="1358">
        <f t="shared" si="487"/>
        <v>1011029.595133958</v>
      </c>
      <c r="G1012" s="1358">
        <f t="shared" si="487"/>
        <v>0</v>
      </c>
      <c r="H1012" s="1358">
        <f t="shared" si="487"/>
        <v>1011029.595133958</v>
      </c>
      <c r="I1012" s="1323">
        <f t="shared" si="485"/>
        <v>1</v>
      </c>
      <c r="J1012" s="1364">
        <f t="shared" si="488"/>
        <v>1011029.595133958</v>
      </c>
      <c r="K1012" s="1364">
        <f t="shared" si="488"/>
        <v>372722.85569145111</v>
      </c>
      <c r="L1012" s="1364">
        <f t="shared" si="488"/>
        <v>56537.156433522214</v>
      </c>
      <c r="M1012" s="1364">
        <f t="shared" si="488"/>
        <v>27256.520321659871</v>
      </c>
      <c r="N1012" s="1367">
        <f t="shared" si="488"/>
        <v>1757.0954359722562</v>
      </c>
      <c r="O1012" s="1367">
        <f t="shared" si="488"/>
        <v>1917.0648802154396</v>
      </c>
      <c r="P1012" s="1367">
        <f t="shared" si="488"/>
        <v>439.9892673880903</v>
      </c>
      <c r="Q1012" s="1364">
        <f t="shared" si="488"/>
        <v>550398.91310374916</v>
      </c>
      <c r="R1012" s="1364"/>
      <c r="S1012" s="1364"/>
      <c r="T1012" s="1321"/>
      <c r="U1012" s="1326"/>
      <c r="V1012" s="1320" t="s">
        <v>5665</v>
      </c>
    </row>
    <row r="1013" spans="1:25">
      <c r="A1013" s="1320" t="s">
        <v>4883</v>
      </c>
      <c r="B1013" s="1321"/>
      <c r="C1013" s="1322">
        <v>118</v>
      </c>
      <c r="D1013" s="1320" t="s">
        <v>5244</v>
      </c>
      <c r="E1013" s="1320" t="s">
        <v>4071</v>
      </c>
      <c r="F1013" s="1350">
        <f t="shared" si="487"/>
        <v>245143.87349825987</v>
      </c>
      <c r="G1013" s="1350">
        <f t="shared" si="487"/>
        <v>0</v>
      </c>
      <c r="H1013" s="1350">
        <f t="shared" si="487"/>
        <v>245143.87349825987</v>
      </c>
      <c r="I1013" s="1323">
        <f t="shared" si="485"/>
        <v>1</v>
      </c>
      <c r="J1013" s="1366">
        <f t="shared" si="488"/>
        <v>245143.87349825987</v>
      </c>
      <c r="K1013" s="1366">
        <f t="shared" si="488"/>
        <v>218640.58844120818</v>
      </c>
      <c r="L1013" s="1366">
        <f t="shared" si="488"/>
        <v>21195.236804501328</v>
      </c>
      <c r="M1013" s="1366">
        <f t="shared" si="488"/>
        <v>5220.2061943863555</v>
      </c>
      <c r="N1013" s="1378">
        <f t="shared" si="488"/>
        <v>17.625267333875399</v>
      </c>
      <c r="O1013" s="1378">
        <f t="shared" si="488"/>
        <v>3.1270635592359586</v>
      </c>
      <c r="P1013" s="1378">
        <f t="shared" si="488"/>
        <v>67.089727270880559</v>
      </c>
      <c r="Q1013" s="1366">
        <f t="shared" si="488"/>
        <v>0</v>
      </c>
      <c r="R1013" s="1364"/>
      <c r="S1013" s="1364"/>
      <c r="T1013" s="1321"/>
      <c r="U1013" s="1326"/>
      <c r="V1013" s="1320" t="s">
        <v>5666</v>
      </c>
      <c r="Y1013" s="1324"/>
    </row>
    <row r="1014" spans="1:25">
      <c r="A1014" s="1320" t="s">
        <v>4883</v>
      </c>
      <c r="B1014" s="1321"/>
      <c r="C1014" s="1322">
        <v>119</v>
      </c>
      <c r="F1014" s="1358"/>
      <c r="G1014" s="1358"/>
      <c r="H1014" s="1358"/>
      <c r="J1014" s="1364"/>
      <c r="K1014" s="1364"/>
      <c r="L1014" s="1364"/>
      <c r="M1014" s="1364"/>
      <c r="N1014" s="1367"/>
      <c r="O1014" s="1367"/>
      <c r="P1014" s="1367"/>
      <c r="Q1014" s="1364"/>
      <c r="R1014" s="1364"/>
      <c r="S1014" s="1364"/>
      <c r="T1014" s="1321"/>
      <c r="U1014" s="1326"/>
      <c r="Y1014" s="1324"/>
    </row>
    <row r="1015" spans="1:25" ht="14.4" thickBot="1">
      <c r="A1015" s="1320" t="s">
        <v>4883</v>
      </c>
      <c r="C1015" s="1322">
        <v>120</v>
      </c>
      <c r="D1015" s="1320" t="s">
        <v>5667</v>
      </c>
      <c r="F1015" s="1423">
        <f>+SUM(F1006:F1013)</f>
        <v>13492110.21479091</v>
      </c>
      <c r="G1015" s="1423">
        <f>SUM(G1006:G1013)</f>
        <v>74031.718711794587</v>
      </c>
      <c r="H1015" s="1423">
        <f>SUM(H1006:H1013)</f>
        <v>13418078.496079115</v>
      </c>
      <c r="I1015" s="1323">
        <f>IF(F1015=0,0,+H1015/F1015)</f>
        <v>0.99451296220285568</v>
      </c>
      <c r="J1015" s="1380">
        <f t="shared" ref="J1015:Q1015" si="489">SUM(J1006:J1013)</f>
        <v>13418078.496079115</v>
      </c>
      <c r="K1015" s="1380">
        <f t="shared" si="489"/>
        <v>7845628.475459395</v>
      </c>
      <c r="L1015" s="1380">
        <f t="shared" si="489"/>
        <v>662866.43336582044</v>
      </c>
      <c r="M1015" s="1380">
        <f t="shared" si="489"/>
        <v>3655100.5126439026</v>
      </c>
      <c r="N1015" s="1424">
        <f t="shared" si="489"/>
        <v>421762.74661214469</v>
      </c>
      <c r="O1015" s="1424">
        <f>SUM(O1006:O1013)</f>
        <v>256192.06335684514</v>
      </c>
      <c r="P1015" s="1424">
        <f>SUM(P1006:P1013)</f>
        <v>26129.351537261464</v>
      </c>
      <c r="Q1015" s="1380">
        <f t="shared" si="489"/>
        <v>550398.91310374916</v>
      </c>
      <c r="R1015" s="1364"/>
      <c r="S1015" s="1364"/>
      <c r="V1015" s="1320" t="s">
        <v>5668</v>
      </c>
      <c r="Y1015" s="1324"/>
    </row>
    <row r="1016" spans="1:25" ht="14.4" thickTop="1">
      <c r="G1016" s="1320"/>
      <c r="Y1016" s="1324"/>
    </row>
    <row r="1017" spans="1:25">
      <c r="G1017" s="1320"/>
      <c r="Y1017" s="1324"/>
    </row>
    <row r="1018" spans="1:25">
      <c r="G1018" s="1320"/>
      <c r="Y1018" s="1324"/>
    </row>
    <row r="1019" spans="1:25">
      <c r="G1019" s="1320"/>
      <c r="Y1019" s="1324"/>
    </row>
    <row r="1020" spans="1:25">
      <c r="G1020" s="1320"/>
      <c r="Y1020" s="1324"/>
    </row>
    <row r="1021" spans="1:25">
      <c r="B1021" s="1432"/>
      <c r="C1021" s="1340" t="str">
        <f>+C$2</f>
        <v>RATES WITH REVENUE DEFICIENCY ADDITION</v>
      </c>
      <c r="F1021" s="1333"/>
      <c r="G1021" s="1327" t="s">
        <v>2173</v>
      </c>
      <c r="I1021" s="1334" t="s">
        <v>5647</v>
      </c>
      <c r="L1021" s="1329" t="s">
        <v>2173</v>
      </c>
      <c r="M1021" s="1330"/>
      <c r="N1021" s="1330"/>
      <c r="O1021" s="1330"/>
      <c r="S1021" s="1334" t="s">
        <v>5669</v>
      </c>
      <c r="T1021" s="1333" t="s">
        <v>2173</v>
      </c>
      <c r="U1021" s="1334"/>
      <c r="V1021" s="1332" t="s">
        <v>4772</v>
      </c>
    </row>
    <row r="1022" spans="1:25">
      <c r="B1022" s="1432"/>
      <c r="C1022" s="1340" t="str">
        <f>+C$3</f>
        <v>PROD. CAP. ALLOC. METHOD: 12 CP &amp; 1/13th AD</v>
      </c>
      <c r="G1022" s="1336" t="s">
        <v>4768</v>
      </c>
      <c r="I1022" s="1335" t="s">
        <v>4306</v>
      </c>
      <c r="L1022" s="1336" t="s">
        <v>5141</v>
      </c>
      <c r="M1022" s="1337"/>
      <c r="N1022" s="1337"/>
      <c r="O1022" s="1337"/>
      <c r="R1022" s="1331"/>
      <c r="S1022" s="1335" t="s">
        <v>4307</v>
      </c>
      <c r="T1022" s="1333" t="s">
        <v>5141</v>
      </c>
      <c r="V1022" s="1332" t="s">
        <v>5669</v>
      </c>
    </row>
    <row r="1023" spans="1:25">
      <c r="C1023" s="1340" t="str">
        <f>+C$4</f>
        <v>PROJECTED CALENDAR YEAR 2025; FULLY ADJUSTED DATA</v>
      </c>
      <c r="G1023" s="1336" t="s">
        <v>2181</v>
      </c>
      <c r="L1023" s="1336" t="s">
        <v>2181</v>
      </c>
      <c r="T1023" s="1339"/>
    </row>
    <row r="1024" spans="1:25">
      <c r="C1024" s="1340" t="str">
        <f>+C$5</f>
        <v>MINIMUM DISTRIBUTION SYSTEM (MDS) NOT EMPLOYED</v>
      </c>
      <c r="D1024" s="1358"/>
      <c r="G1024" s="1320"/>
      <c r="L1024" s="1336"/>
      <c r="M1024" s="1337"/>
      <c r="N1024" s="1337"/>
      <c r="O1024" s="1337"/>
      <c r="T1024" s="1333"/>
    </row>
    <row r="1025" spans="1:25">
      <c r="C1025" s="1340" t="str">
        <f>+C$6</f>
        <v>Tampa Electric 2025 OB Budget</v>
      </c>
      <c r="F1025" s="1327"/>
      <c r="G1025" s="1333" t="s">
        <v>5670</v>
      </c>
      <c r="L1025" s="1336" t="s">
        <v>5670</v>
      </c>
      <c r="M1025" s="1337"/>
      <c r="N1025" s="1337"/>
      <c r="O1025" s="1337"/>
      <c r="T1025" s="1333" t="s">
        <v>5670</v>
      </c>
    </row>
    <row r="1026" spans="1:25">
      <c r="F1026" s="1333"/>
      <c r="G1026" s="1320"/>
      <c r="L1026" s="1336"/>
      <c r="M1026" s="1337"/>
      <c r="N1026" s="1337"/>
      <c r="O1026" s="1337"/>
    </row>
    <row r="1027" spans="1:25">
      <c r="F1027" s="1333"/>
      <c r="G1027" s="1320"/>
      <c r="L1027" s="1336"/>
      <c r="M1027" s="1337"/>
      <c r="N1027" s="1337"/>
      <c r="O1027" s="1337"/>
    </row>
    <row r="1028" spans="1:25">
      <c r="G1028" s="1320"/>
    </row>
    <row r="1029" spans="1:25">
      <c r="C1029" s="1342"/>
      <c r="D1029" s="1331"/>
      <c r="E1029" s="1331"/>
      <c r="F1029" s="1333"/>
      <c r="G1029" s="1333"/>
      <c r="H1029" s="1333"/>
      <c r="I1029" s="1343"/>
      <c r="J1029" s="1416"/>
      <c r="K1029" s="1336"/>
      <c r="L1029" s="1416"/>
      <c r="M1029" s="1417"/>
      <c r="N1029" s="1417"/>
      <c r="O1029" s="1417"/>
      <c r="P1029" s="3164"/>
      <c r="Q1029" s="3164"/>
      <c r="R1029" s="1333"/>
    </row>
    <row r="1030" spans="1:25" ht="30" customHeight="1">
      <c r="A1030" s="1418" t="s">
        <v>4683</v>
      </c>
      <c r="B1030" s="1425" t="s">
        <v>5143</v>
      </c>
      <c r="C1030" s="1349" t="s">
        <v>4297</v>
      </c>
      <c r="D1030" s="1418"/>
      <c r="E1030" s="1418"/>
      <c r="F1030" s="1348" t="s">
        <v>5144</v>
      </c>
      <c r="G1030" s="1348" t="s">
        <v>4956</v>
      </c>
      <c r="H1030" s="1348" t="s">
        <v>4957</v>
      </c>
      <c r="I1030" s="1426" t="s">
        <v>5145</v>
      </c>
      <c r="J1030" s="1352" t="s">
        <v>4957</v>
      </c>
      <c r="K1030" s="1353" t="s">
        <v>1949</v>
      </c>
      <c r="L1030" s="1353" t="s">
        <v>1950</v>
      </c>
      <c r="M1030" s="1354" t="s">
        <v>1934</v>
      </c>
      <c r="N1030" s="1354" t="s">
        <v>1971</v>
      </c>
      <c r="O1030" s="1354" t="s">
        <v>1972</v>
      </c>
      <c r="P1030" s="1352" t="s">
        <v>5146</v>
      </c>
      <c r="Q1030" s="1352" t="s">
        <v>5147</v>
      </c>
      <c r="R1030" s="1355"/>
      <c r="S1030" s="1348" t="s">
        <v>5299</v>
      </c>
      <c r="T1030" s="1348"/>
      <c r="U1030" s="1352"/>
      <c r="V1030" s="1355" t="s">
        <v>4774</v>
      </c>
    </row>
    <row r="1031" spans="1:25">
      <c r="G1031" s="1320"/>
    </row>
    <row r="1032" spans="1:25">
      <c r="A1032" s="1320" t="s">
        <v>4890</v>
      </c>
      <c r="B1032" s="1321"/>
      <c r="C1032" s="1322">
        <v>1</v>
      </c>
      <c r="D1032" s="1356" t="s">
        <v>5671</v>
      </c>
      <c r="G1032" s="1320"/>
      <c r="S1032" s="1321"/>
      <c r="T1032" s="1321"/>
      <c r="U1032" s="1326"/>
    </row>
    <row r="1033" spans="1:25" s="1324" customFormat="1">
      <c r="A1033" s="1324" t="s">
        <v>4890</v>
      </c>
      <c r="B1033" s="1324">
        <v>101</v>
      </c>
      <c r="C1033" s="1393">
        <v>2</v>
      </c>
      <c r="D1033" s="1324" t="s">
        <v>5265</v>
      </c>
      <c r="E1033" s="1324" t="s">
        <v>4067</v>
      </c>
      <c r="F1033" s="1364">
        <f>+'0 MDS Allocation Assignment'!F357</f>
        <v>26353.446</v>
      </c>
      <c r="G1033" s="1364">
        <f t="shared" ref="G1033:H1035" si="490">+$F1033*G$1933</f>
        <v>0</v>
      </c>
      <c r="H1033" s="1364">
        <f t="shared" si="490"/>
        <v>26353.446</v>
      </c>
      <c r="I1033" s="1374"/>
      <c r="J1033" s="1364">
        <f>+H1033</f>
        <v>26353.446</v>
      </c>
      <c r="K1033" s="1324">
        <f t="shared" ref="K1033:Q1033" si="491">$J1033*K$1951</f>
        <v>15285.342332196195</v>
      </c>
      <c r="L1033" s="1324">
        <f t="shared" si="491"/>
        <v>1260.8865659585599</v>
      </c>
      <c r="M1033" s="1324">
        <f t="shared" si="491"/>
        <v>8060.2143623536649</v>
      </c>
      <c r="N1033" s="1324">
        <f t="shared" si="491"/>
        <v>1006.2108919688858</v>
      </c>
      <c r="O1033" s="1324">
        <f t="shared" si="491"/>
        <v>722.10744910308028</v>
      </c>
      <c r="P1033" s="1324">
        <f t="shared" si="491"/>
        <v>18.684398419615043</v>
      </c>
      <c r="Q1033" s="1324">
        <f t="shared" si="491"/>
        <v>0</v>
      </c>
      <c r="S1033" s="1324">
        <v>122</v>
      </c>
      <c r="V1033" s="1326" t="s">
        <v>5227</v>
      </c>
      <c r="W1033" s="1326">
        <v>122</v>
      </c>
    </row>
    <row r="1034" spans="1:25" s="1324" customFormat="1">
      <c r="A1034" s="1324" t="s">
        <v>4890</v>
      </c>
      <c r="B1034" s="1324">
        <v>101</v>
      </c>
      <c r="C1034" s="1393">
        <v>3</v>
      </c>
      <c r="D1034" s="1324" t="s">
        <v>5358</v>
      </c>
      <c r="E1034" s="1324" t="s">
        <v>4067</v>
      </c>
      <c r="F1034" s="1364">
        <f>+'0 MDS Allocation Assignment'!F358</f>
        <v>0</v>
      </c>
      <c r="G1034" s="1364">
        <f t="shared" si="490"/>
        <v>0</v>
      </c>
      <c r="H1034" s="1364">
        <f t="shared" si="490"/>
        <v>0</v>
      </c>
      <c r="I1034" s="1374"/>
      <c r="J1034" s="1364">
        <f>+H1034</f>
        <v>0</v>
      </c>
      <c r="K1034" s="1324">
        <f t="shared" ref="K1034:Q1034" si="492">$J1034*K$1948</f>
        <v>0</v>
      </c>
      <c r="L1034" s="1324">
        <f t="shared" si="492"/>
        <v>0</v>
      </c>
      <c r="M1034" s="1324">
        <f t="shared" si="492"/>
        <v>0</v>
      </c>
      <c r="N1034" s="1324">
        <f t="shared" si="492"/>
        <v>0</v>
      </c>
      <c r="O1034" s="1324">
        <f t="shared" si="492"/>
        <v>0</v>
      </c>
      <c r="P1034" s="1324">
        <f t="shared" si="492"/>
        <v>0</v>
      </c>
      <c r="Q1034" s="1324">
        <f t="shared" si="492"/>
        <v>0</v>
      </c>
      <c r="S1034" s="1324">
        <v>121</v>
      </c>
      <c r="V1034" s="1326" t="s">
        <v>5287</v>
      </c>
      <c r="W1034" s="1326">
        <v>121</v>
      </c>
    </row>
    <row r="1035" spans="1:25">
      <c r="A1035" s="1320" t="s">
        <v>4890</v>
      </c>
      <c r="B1035" s="1320">
        <v>101</v>
      </c>
      <c r="C1035" s="1393">
        <v>4</v>
      </c>
      <c r="D1035" s="1320" t="s">
        <v>5265</v>
      </c>
      <c r="E1035" s="1320" t="s">
        <v>2067</v>
      </c>
      <c r="F1035" s="1571">
        <v>0</v>
      </c>
      <c r="G1035" s="1364">
        <f t="shared" si="490"/>
        <v>0</v>
      </c>
      <c r="H1035" s="1364">
        <f t="shared" si="490"/>
        <v>0</v>
      </c>
      <c r="J1035" s="1364">
        <f t="shared" ref="J1035:J1041" si="493">+H1035</f>
        <v>0</v>
      </c>
      <c r="K1035" s="1364">
        <f t="shared" ref="K1035:Q1035" si="494">+$J1035*K$1966</f>
        <v>0</v>
      </c>
      <c r="L1035" s="1364">
        <f t="shared" si="494"/>
        <v>0</v>
      </c>
      <c r="M1035" s="1364">
        <f t="shared" si="494"/>
        <v>0</v>
      </c>
      <c r="N1035" s="1364">
        <f t="shared" si="494"/>
        <v>0</v>
      </c>
      <c r="O1035" s="1364">
        <f t="shared" si="494"/>
        <v>0</v>
      </c>
      <c r="P1035" s="1364">
        <f t="shared" si="494"/>
        <v>0</v>
      </c>
      <c r="Q1035" s="1364">
        <f t="shared" si="494"/>
        <v>0</v>
      </c>
      <c r="R1035" s="1364"/>
      <c r="S1035" s="1324">
        <v>201</v>
      </c>
      <c r="V1035" s="1321" t="s">
        <v>5235</v>
      </c>
      <c r="W1035" s="1321">
        <v>201</v>
      </c>
      <c r="Y1035" s="1324"/>
    </row>
    <row r="1036" spans="1:25">
      <c r="A1036" s="1320" t="s">
        <v>4890</v>
      </c>
      <c r="B1036" s="1320">
        <v>117</v>
      </c>
      <c r="C1036" s="1393">
        <v>5</v>
      </c>
      <c r="D1036" s="1320" t="s">
        <v>5268</v>
      </c>
      <c r="E1036" s="1320" t="s">
        <v>4067</v>
      </c>
      <c r="F1036" s="1358">
        <f>+'0 MDS Allocation Assignment'!F359</f>
        <v>11373.125945033229</v>
      </c>
      <c r="G1036" s="1364">
        <f>+$F1036*G$1942</f>
        <v>736.82907250420544</v>
      </c>
      <c r="H1036" s="1364">
        <f>+$F1036*H$1942</f>
        <v>10636.296872529023</v>
      </c>
      <c r="J1036" s="1364">
        <f>+H1036</f>
        <v>10636.296872529023</v>
      </c>
      <c r="K1036" s="1364">
        <f t="shared" ref="K1036:Q1037" si="495">+$J1036*K$1945</f>
        <v>6169.1908846939359</v>
      </c>
      <c r="L1036" s="1364">
        <f t="shared" si="495"/>
        <v>508.8960221034809</v>
      </c>
      <c r="M1036" s="1364">
        <f t="shared" si="495"/>
        <v>3253.1166062387365</v>
      </c>
      <c r="N1036" s="1364">
        <f t="shared" si="495"/>
        <v>406.10847489748772</v>
      </c>
      <c r="O1036" s="1364">
        <f t="shared" si="495"/>
        <v>291.44382873211356</v>
      </c>
      <c r="P1036" s="1364">
        <f t="shared" si="495"/>
        <v>7.5410558632688005</v>
      </c>
      <c r="Q1036" s="1364">
        <f t="shared" si="495"/>
        <v>0</v>
      </c>
      <c r="R1036" s="1364"/>
      <c r="S1036" s="1320">
        <v>117</v>
      </c>
      <c r="V1036" s="1321" t="s">
        <v>5228</v>
      </c>
      <c r="W1036" s="1321">
        <v>117</v>
      </c>
    </row>
    <row r="1037" spans="1:25">
      <c r="A1037" s="1320" t="s">
        <v>4890</v>
      </c>
      <c r="B1037" s="1320">
        <v>117</v>
      </c>
      <c r="C1037" s="1393">
        <v>6</v>
      </c>
      <c r="D1037" s="1320" t="s">
        <v>5239</v>
      </c>
      <c r="E1037" s="1320" t="s">
        <v>4067</v>
      </c>
      <c r="F1037" s="1358">
        <f>+'0 MDS Allocation Assignment'!F360</f>
        <v>11177.485054966772</v>
      </c>
      <c r="G1037" s="1364">
        <f>+$F1037*G$1942</f>
        <v>724.1541143380631</v>
      </c>
      <c r="H1037" s="1364">
        <f>+$F1037*H$1942</f>
        <v>10453.330940628708</v>
      </c>
      <c r="J1037" s="1364">
        <f>+H1037</f>
        <v>10453.330940628708</v>
      </c>
      <c r="K1037" s="1364">
        <f t="shared" si="495"/>
        <v>6063.0682582933659</v>
      </c>
      <c r="L1037" s="1364">
        <f t="shared" si="495"/>
        <v>500.14197583715219</v>
      </c>
      <c r="M1037" s="1364">
        <f t="shared" si="495"/>
        <v>3197.1563863826941</v>
      </c>
      <c r="N1037" s="1364">
        <f t="shared" si="495"/>
        <v>399.12258343049194</v>
      </c>
      <c r="O1037" s="1364">
        <f t="shared" si="495"/>
        <v>286.43040231504068</v>
      </c>
      <c r="P1037" s="1364">
        <f t="shared" si="495"/>
        <v>7.4113343699642193</v>
      </c>
      <c r="Q1037" s="1364">
        <f t="shared" si="495"/>
        <v>0</v>
      </c>
      <c r="R1037" s="1364"/>
      <c r="S1037" s="1320">
        <v>117</v>
      </c>
      <c r="V1037" s="1321" t="s">
        <v>5228</v>
      </c>
      <c r="W1037" s="1321">
        <v>117</v>
      </c>
    </row>
    <row r="1038" spans="1:25">
      <c r="A1038" s="1320" t="s">
        <v>4890</v>
      </c>
      <c r="B1038" s="1320">
        <v>105</v>
      </c>
      <c r="C1038" s="1393">
        <v>7</v>
      </c>
      <c r="D1038" s="1320" t="s">
        <v>5240</v>
      </c>
      <c r="E1038" s="1320" t="s">
        <v>4067</v>
      </c>
      <c r="F1038" s="1358">
        <f>+'0 MDS Allocation Assignment'!F361</f>
        <v>20590.486000000001</v>
      </c>
      <c r="G1038" s="1364">
        <f>+$F1038*G$1936</f>
        <v>0</v>
      </c>
      <c r="H1038" s="1364">
        <f>+$F1038*H$1936</f>
        <v>20590.486000000001</v>
      </c>
      <c r="J1038" s="1364">
        <f>+H1038</f>
        <v>20590.486000000001</v>
      </c>
      <c r="K1038" s="1364">
        <f t="shared" ref="K1038:Q1038" si="496">+$J1038*K$1936</f>
        <v>12815.848182846948</v>
      </c>
      <c r="L1038" s="1364">
        <f t="shared" si="496"/>
        <v>911.49526567237319</v>
      </c>
      <c r="M1038" s="1364">
        <f t="shared" si="496"/>
        <v>6103.0299175305599</v>
      </c>
      <c r="N1038" s="1364">
        <f t="shared" si="496"/>
        <v>641.91603925549816</v>
      </c>
      <c r="O1038" s="1364">
        <f t="shared" si="496"/>
        <v>4.382877663433109E-4</v>
      </c>
      <c r="P1038" s="1364">
        <f t="shared" si="496"/>
        <v>118.19615640685933</v>
      </c>
      <c r="Q1038" s="1364">
        <f t="shared" si="496"/>
        <v>0</v>
      </c>
      <c r="R1038" s="1364"/>
      <c r="S1038" s="1320">
        <v>105</v>
      </c>
      <c r="V1038" s="1321" t="s">
        <v>5229</v>
      </c>
      <c r="W1038" s="1321">
        <v>105</v>
      </c>
    </row>
    <row r="1039" spans="1:25">
      <c r="A1039" s="1320" t="s">
        <v>4890</v>
      </c>
      <c r="B1039" s="1320">
        <v>106</v>
      </c>
      <c r="C1039" s="1393">
        <v>8</v>
      </c>
      <c r="D1039" s="1320" t="s">
        <v>5241</v>
      </c>
      <c r="E1039" s="1320" t="s">
        <v>4067</v>
      </c>
      <c r="F1039" s="1358">
        <f>+'0 MDS Allocation Assignment'!F362</f>
        <v>0</v>
      </c>
      <c r="G1039" s="1364">
        <f>+$F1039*G$1939</f>
        <v>0</v>
      </c>
      <c r="H1039" s="1364">
        <f>+$F1039*H$1939</f>
        <v>0</v>
      </c>
      <c r="J1039" s="1364">
        <f t="shared" si="493"/>
        <v>0</v>
      </c>
      <c r="K1039" s="1364">
        <f t="shared" ref="K1039:Q1039" si="497">+$J1039*K$1939</f>
        <v>0</v>
      </c>
      <c r="L1039" s="1364">
        <f t="shared" si="497"/>
        <v>0</v>
      </c>
      <c r="M1039" s="1364">
        <f t="shared" si="497"/>
        <v>0</v>
      </c>
      <c r="N1039" s="1364">
        <f t="shared" si="497"/>
        <v>0</v>
      </c>
      <c r="O1039" s="1364">
        <f t="shared" si="497"/>
        <v>0</v>
      </c>
      <c r="P1039" s="1364">
        <f t="shared" si="497"/>
        <v>0</v>
      </c>
      <c r="Q1039" s="1364">
        <f t="shared" si="497"/>
        <v>0</v>
      </c>
      <c r="R1039" s="1364"/>
      <c r="S1039" s="1320">
        <v>106</v>
      </c>
      <c r="V1039" s="1321" t="s">
        <v>5230</v>
      </c>
      <c r="W1039" s="1321">
        <v>106</v>
      </c>
    </row>
    <row r="1040" spans="1:25">
      <c r="A1040" s="1320" t="s">
        <v>4890</v>
      </c>
      <c r="B1040" s="1320">
        <v>907</v>
      </c>
      <c r="C1040" s="1393">
        <v>9</v>
      </c>
      <c r="D1040" s="1320" t="s">
        <v>5242</v>
      </c>
      <c r="E1040" s="1320" t="s">
        <v>4071</v>
      </c>
      <c r="F1040" s="1358">
        <f>+'0 MDS Allocation Assignment'!F363</f>
        <v>0</v>
      </c>
      <c r="G1040" s="1358">
        <f>+$F1040*G$2052</f>
        <v>0</v>
      </c>
      <c r="H1040" s="1358">
        <f>+$F1040*H$2052</f>
        <v>0</v>
      </c>
      <c r="J1040" s="1364">
        <f t="shared" si="493"/>
        <v>0</v>
      </c>
      <c r="K1040" s="1364">
        <f t="shared" ref="K1040:Q1040" si="498">+$J1040*K$2052</f>
        <v>0</v>
      </c>
      <c r="L1040" s="1364">
        <f t="shared" si="498"/>
        <v>0</v>
      </c>
      <c r="M1040" s="1364">
        <f t="shared" si="498"/>
        <v>0</v>
      </c>
      <c r="N1040" s="1364">
        <f t="shared" si="498"/>
        <v>0</v>
      </c>
      <c r="O1040" s="1364">
        <f t="shared" si="498"/>
        <v>0</v>
      </c>
      <c r="P1040" s="1364">
        <f t="shared" si="498"/>
        <v>0</v>
      </c>
      <c r="Q1040" s="1364">
        <f t="shared" si="498"/>
        <v>0</v>
      </c>
      <c r="R1040" s="1358"/>
      <c r="S1040" s="1320">
        <v>907</v>
      </c>
      <c r="V1040" s="1321" t="s">
        <v>5243</v>
      </c>
      <c r="W1040" s="1321">
        <v>907</v>
      </c>
    </row>
    <row r="1041" spans="1:25">
      <c r="A1041" s="1320" t="s">
        <v>4890</v>
      </c>
      <c r="B1041" s="1324">
        <v>412</v>
      </c>
      <c r="C1041" s="1393">
        <v>10</v>
      </c>
      <c r="D1041" s="1324" t="s">
        <v>5244</v>
      </c>
      <c r="E1041" s="1324" t="s">
        <v>4071</v>
      </c>
      <c r="F1041" s="1350">
        <f>+'0 MDS Allocation Assignment'!F364</f>
        <v>0</v>
      </c>
      <c r="G1041" s="1366">
        <f>+$F1041*G$2018</f>
        <v>0</v>
      </c>
      <c r="H1041" s="1366">
        <f>+$F1041*H$2018</f>
        <v>0</v>
      </c>
      <c r="I1041" s="1374"/>
      <c r="J1041" s="1366">
        <f t="shared" si="493"/>
        <v>0</v>
      </c>
      <c r="K1041" s="1366">
        <f t="shared" ref="K1041:Q1041" si="499">+$J1041*K$2018</f>
        <v>0</v>
      </c>
      <c r="L1041" s="1366">
        <f t="shared" si="499"/>
        <v>0</v>
      </c>
      <c r="M1041" s="1366">
        <f t="shared" si="499"/>
        <v>0</v>
      </c>
      <c r="N1041" s="1366">
        <f t="shared" si="499"/>
        <v>0</v>
      </c>
      <c r="O1041" s="1366">
        <f t="shared" si="499"/>
        <v>0</v>
      </c>
      <c r="P1041" s="1366">
        <f t="shared" si="499"/>
        <v>0</v>
      </c>
      <c r="Q1041" s="1366">
        <f t="shared" si="499"/>
        <v>0</v>
      </c>
      <c r="R1041" s="1358"/>
      <c r="S1041" s="1320">
        <v>412</v>
      </c>
      <c r="V1041" s="1321" t="s">
        <v>5245</v>
      </c>
      <c r="W1041" s="1321">
        <v>412</v>
      </c>
      <c r="Y1041" s="1324"/>
    </row>
    <row r="1042" spans="1:25">
      <c r="A1042" s="1320" t="s">
        <v>4890</v>
      </c>
      <c r="B1042" s="1321"/>
      <c r="C1042" s="1393">
        <v>11</v>
      </c>
      <c r="F1042" s="1358"/>
      <c r="G1042" s="1358"/>
      <c r="H1042" s="1358"/>
      <c r="J1042" s="1364"/>
      <c r="K1042" s="1364"/>
      <c r="L1042" s="1364"/>
      <c r="M1042" s="1364"/>
      <c r="N1042" s="1367"/>
      <c r="O1042" s="1367"/>
      <c r="P1042" s="1367"/>
      <c r="Q1042" s="1364"/>
      <c r="R1042" s="1358"/>
      <c r="S1042" s="1321"/>
      <c r="T1042" s="1321"/>
      <c r="U1042" s="1326"/>
      <c r="Y1042" s="1324"/>
    </row>
    <row r="1043" spans="1:25" ht="14.4" thickBot="1">
      <c r="A1043" s="1320" t="s">
        <v>4890</v>
      </c>
      <c r="C1043" s="1393">
        <v>12</v>
      </c>
      <c r="D1043" s="1320" t="s">
        <v>5672</v>
      </c>
      <c r="F1043" s="1423">
        <f>+SUM(F1033:F1041)</f>
        <v>69494.543000000005</v>
      </c>
      <c r="G1043" s="1423">
        <f>SUM(G1033:G1041)</f>
        <v>1460.9831868422684</v>
      </c>
      <c r="H1043" s="1423">
        <f>SUM(H1033:H1041)</f>
        <v>68033.559813157728</v>
      </c>
      <c r="J1043" s="1380">
        <f t="shared" ref="J1043:Q1043" si="500">SUM(J1033:J1041)</f>
        <v>68033.559813157728</v>
      </c>
      <c r="K1043" s="1380">
        <f t="shared" si="500"/>
        <v>40333.44965803044</v>
      </c>
      <c r="L1043" s="1380">
        <f t="shared" si="500"/>
        <v>3181.419829571566</v>
      </c>
      <c r="M1043" s="1380">
        <f t="shared" si="500"/>
        <v>20613.517272505655</v>
      </c>
      <c r="N1043" s="1424">
        <f t="shared" si="500"/>
        <v>2453.3579895523635</v>
      </c>
      <c r="O1043" s="1424">
        <f t="shared" si="500"/>
        <v>1299.982118438001</v>
      </c>
      <c r="P1043" s="1424">
        <f t="shared" si="500"/>
        <v>151.83294505970741</v>
      </c>
      <c r="Q1043" s="1424">
        <f t="shared" si="500"/>
        <v>0</v>
      </c>
      <c r="R1043" s="1358"/>
      <c r="V1043" s="1320" t="s">
        <v>5460</v>
      </c>
      <c r="Y1043" s="1324"/>
    </row>
    <row r="1044" spans="1:25" ht="14.4" thickTop="1">
      <c r="G1044" s="1320"/>
      <c r="Y1044" s="1324"/>
    </row>
    <row r="1045" spans="1:25">
      <c r="G1045" s="1320"/>
      <c r="Y1045" s="1324"/>
    </row>
    <row r="1046" spans="1:25">
      <c r="G1046" s="1320"/>
      <c r="Y1046" s="1324"/>
    </row>
    <row r="1047" spans="1:25">
      <c r="G1047" s="1320"/>
      <c r="Y1047" s="1324"/>
    </row>
    <row r="1048" spans="1:25">
      <c r="G1048" s="1320"/>
      <c r="Y1048" s="1324"/>
    </row>
    <row r="1049" spans="1:25">
      <c r="A1049" s="1358"/>
      <c r="B1049" s="1432"/>
      <c r="C1049" s="1340" t="str">
        <f>+C$2</f>
        <v>RATES WITH REVENUE DEFICIENCY ADDITION</v>
      </c>
      <c r="D1049" s="1358"/>
      <c r="F1049" s="1333"/>
      <c r="G1049" s="1327" t="s">
        <v>2173</v>
      </c>
      <c r="H1049" s="1358"/>
      <c r="I1049" s="1334" t="s">
        <v>5669</v>
      </c>
      <c r="L1049" s="1329" t="s">
        <v>2173</v>
      </c>
      <c r="M1049" s="1330"/>
      <c r="N1049" s="1330"/>
      <c r="O1049" s="1330"/>
      <c r="S1049" s="1334" t="s">
        <v>5673</v>
      </c>
      <c r="T1049" s="1333" t="s">
        <v>2173</v>
      </c>
      <c r="U1049" s="1334"/>
      <c r="V1049" s="1332" t="s">
        <v>4772</v>
      </c>
    </row>
    <row r="1050" spans="1:25">
      <c r="B1050" s="1432"/>
      <c r="C1050" s="1340" t="str">
        <f>+C$3</f>
        <v>PROD. CAP. ALLOC. METHOD: 12 CP &amp; 1/13th AD</v>
      </c>
      <c r="D1050" s="1358"/>
      <c r="G1050" s="1336" t="s">
        <v>4768</v>
      </c>
      <c r="I1050" s="1335" t="s">
        <v>4307</v>
      </c>
      <c r="L1050" s="1336" t="s">
        <v>5141</v>
      </c>
      <c r="M1050" s="1337"/>
      <c r="N1050" s="1337"/>
      <c r="O1050" s="1337"/>
      <c r="R1050" s="1331"/>
      <c r="S1050" s="1335" t="s">
        <v>4308</v>
      </c>
      <c r="T1050" s="1333" t="s">
        <v>5141</v>
      </c>
      <c r="U1050" s="1364"/>
      <c r="V1050" s="1332" t="s">
        <v>5673</v>
      </c>
    </row>
    <row r="1051" spans="1:25">
      <c r="B1051" s="1358"/>
      <c r="C1051" s="1340" t="str">
        <f>+C$4</f>
        <v>PROJECTED CALENDAR YEAR 2025; FULLY ADJUSTED DATA</v>
      </c>
      <c r="D1051" s="1358"/>
      <c r="G1051" s="1336" t="s">
        <v>2181</v>
      </c>
      <c r="L1051" s="1336" t="s">
        <v>2181</v>
      </c>
      <c r="S1051" s="1358"/>
      <c r="T1051" s="1339"/>
      <c r="U1051" s="1364"/>
    </row>
    <row r="1052" spans="1:25">
      <c r="B1052" s="1358"/>
      <c r="C1052" s="1340" t="str">
        <f>+C$5</f>
        <v>MINIMUM DISTRIBUTION SYSTEM (MDS) NOT EMPLOYED</v>
      </c>
      <c r="D1052" s="1358"/>
      <c r="G1052" s="1358"/>
      <c r="H1052" s="1358"/>
      <c r="I1052" s="1379"/>
      <c r="K1052" s="1364"/>
      <c r="L1052" s="1336"/>
      <c r="M1052" s="1337"/>
      <c r="N1052" s="1337"/>
      <c r="O1052" s="1337"/>
      <c r="S1052" s="1358"/>
      <c r="T1052" s="1333"/>
      <c r="U1052" s="1364"/>
    </row>
    <row r="1053" spans="1:25">
      <c r="B1053" s="1358"/>
      <c r="C1053" s="1340" t="str">
        <f>+C$6</f>
        <v>Tampa Electric 2025 OB Budget</v>
      </c>
      <c r="D1053" s="1358"/>
      <c r="F1053" s="1327"/>
      <c r="G1053" s="1333" t="s">
        <v>5674</v>
      </c>
      <c r="H1053" s="1358"/>
      <c r="I1053" s="1379"/>
      <c r="K1053" s="1364"/>
      <c r="L1053" s="1336" t="s">
        <v>5674</v>
      </c>
      <c r="M1053" s="1337"/>
      <c r="N1053" s="1337"/>
      <c r="O1053" s="1337"/>
      <c r="S1053" s="1358"/>
      <c r="T1053" s="1333" t="s">
        <v>5674</v>
      </c>
      <c r="U1053" s="1364"/>
    </row>
    <row r="1054" spans="1:25">
      <c r="B1054" s="1358"/>
      <c r="C1054" s="1434"/>
      <c r="D1054" s="1358"/>
      <c r="F1054" s="1333"/>
      <c r="G1054" s="1358"/>
      <c r="H1054" s="1358"/>
      <c r="I1054" s="1379"/>
      <c r="K1054" s="1364"/>
      <c r="L1054" s="1336"/>
      <c r="M1054" s="1337"/>
      <c r="N1054" s="1337"/>
      <c r="O1054" s="1337"/>
      <c r="S1054" s="1358"/>
      <c r="T1054" s="1358"/>
      <c r="U1054" s="1364"/>
    </row>
    <row r="1055" spans="1:25">
      <c r="B1055" s="1358"/>
      <c r="C1055" s="1434"/>
      <c r="D1055" s="1358"/>
      <c r="E1055" s="1358"/>
      <c r="F1055" s="1333"/>
      <c r="G1055" s="1358"/>
      <c r="H1055" s="1358"/>
      <c r="I1055" s="1379"/>
      <c r="K1055" s="1364"/>
      <c r="L1055" s="1336"/>
      <c r="M1055" s="1337"/>
      <c r="N1055" s="1337"/>
      <c r="O1055" s="1337"/>
      <c r="S1055" s="1358"/>
      <c r="T1055" s="1358"/>
      <c r="U1055" s="1364"/>
    </row>
    <row r="1056" spans="1:25">
      <c r="B1056" s="1358"/>
      <c r="C1056" s="1434"/>
      <c r="D1056" s="1358"/>
      <c r="E1056" s="1358"/>
      <c r="G1056" s="1358"/>
      <c r="H1056" s="1358"/>
      <c r="I1056" s="1379"/>
      <c r="K1056" s="1364"/>
      <c r="S1056" s="1358"/>
      <c r="T1056" s="1358"/>
      <c r="U1056" s="1364"/>
    </row>
    <row r="1057" spans="1:25">
      <c r="B1057" s="1358"/>
      <c r="C1057" s="1434"/>
      <c r="D1057" s="1358"/>
      <c r="E1057" s="1358"/>
      <c r="F1057" s="1358"/>
      <c r="G1057" s="1358"/>
      <c r="H1057" s="1358"/>
      <c r="I1057" s="1379"/>
      <c r="K1057" s="1364"/>
      <c r="S1057" s="1358"/>
      <c r="T1057" s="1358"/>
      <c r="U1057" s="1364"/>
    </row>
    <row r="1058" spans="1:25" ht="30" customHeight="1">
      <c r="A1058" s="1418" t="s">
        <v>4683</v>
      </c>
      <c r="B1058" s="1425" t="s">
        <v>5143</v>
      </c>
      <c r="C1058" s="1349" t="s">
        <v>4297</v>
      </c>
      <c r="D1058" s="1418"/>
      <c r="E1058" s="1418"/>
      <c r="F1058" s="1348" t="s">
        <v>5144</v>
      </c>
      <c r="G1058" s="1348" t="s">
        <v>4956</v>
      </c>
      <c r="H1058" s="1348" t="s">
        <v>4957</v>
      </c>
      <c r="I1058" s="1426" t="s">
        <v>5145</v>
      </c>
      <c r="J1058" s="1352" t="s">
        <v>4957</v>
      </c>
      <c r="K1058" s="1353" t="s">
        <v>1949</v>
      </c>
      <c r="L1058" s="1353" t="s">
        <v>1950</v>
      </c>
      <c r="M1058" s="1354" t="s">
        <v>1934</v>
      </c>
      <c r="N1058" s="1354" t="s">
        <v>1971</v>
      </c>
      <c r="O1058" s="1354" t="s">
        <v>1972</v>
      </c>
      <c r="P1058" s="1352" t="s">
        <v>5146</v>
      </c>
      <c r="Q1058" s="1352" t="s">
        <v>5147</v>
      </c>
      <c r="R1058" s="1355"/>
      <c r="S1058" s="1348" t="s">
        <v>5299</v>
      </c>
      <c r="T1058" s="1348"/>
      <c r="U1058" s="1352"/>
      <c r="V1058" s="1355" t="s">
        <v>4774</v>
      </c>
      <c r="W1058" s="1350"/>
    </row>
    <row r="1059" spans="1:25">
      <c r="B1059" s="1358"/>
      <c r="C1059" s="1434"/>
      <c r="D1059" s="1358"/>
      <c r="E1059" s="1358"/>
      <c r="F1059" s="1358"/>
      <c r="G1059" s="1358"/>
      <c r="H1059" s="1358"/>
      <c r="I1059" s="1379"/>
      <c r="K1059" s="1364"/>
      <c r="S1059" s="1358"/>
      <c r="T1059" s="1358"/>
      <c r="U1059" s="1364"/>
    </row>
    <row r="1060" spans="1:25">
      <c r="A1060" s="1320" t="s">
        <v>4894</v>
      </c>
      <c r="B1060" s="1436"/>
      <c r="C1060" s="1434">
        <v>1</v>
      </c>
      <c r="D1060" s="1437" t="s">
        <v>5675</v>
      </c>
      <c r="E1060" s="1358"/>
      <c r="F1060" s="1358"/>
      <c r="G1060" s="1358"/>
      <c r="H1060" s="1358"/>
      <c r="I1060" s="1379"/>
      <c r="K1060" s="1364"/>
      <c r="S1060" s="1436"/>
      <c r="T1060" s="1436"/>
      <c r="U1060" s="1438"/>
    </row>
    <row r="1061" spans="1:25" s="1324" customFormat="1">
      <c r="A1061" s="1324" t="s">
        <v>4894</v>
      </c>
      <c r="B1061" s="1324">
        <v>101</v>
      </c>
      <c r="C1061" s="1439">
        <v>2</v>
      </c>
      <c r="D1061" s="1364" t="s">
        <v>4813</v>
      </c>
      <c r="E1061" s="1364" t="s">
        <v>4067</v>
      </c>
      <c r="F1061" s="1364">
        <f>+'0 MDS Allocation Assignment'!F365+'0 MDS Allocation Assignment'!F367</f>
        <v>1542784.9571961607</v>
      </c>
      <c r="G1061" s="1364">
        <f t="shared" ref="G1061:H1063" si="501">+$F1061*G$1933</f>
        <v>0</v>
      </c>
      <c r="H1061" s="1364">
        <f t="shared" si="501"/>
        <v>1542784.9571961607</v>
      </c>
      <c r="I1061" s="1374">
        <f>IF(F1061=0,0,+H1061/F1061)</f>
        <v>1</v>
      </c>
      <c r="J1061" s="1364">
        <f>H1061</f>
        <v>1542784.9571961607</v>
      </c>
      <c r="K1061" s="1324">
        <f t="shared" ref="K1061:Q1061" si="502">$J1061*K$1951</f>
        <v>894835.39328048297</v>
      </c>
      <c r="L1061" s="1324">
        <f t="shared" si="502"/>
        <v>73814.894139141834</v>
      </c>
      <c r="M1061" s="1324">
        <f t="shared" si="502"/>
        <v>471861.53454146674</v>
      </c>
      <c r="N1061" s="1324">
        <f t="shared" si="502"/>
        <v>58905.656129241244</v>
      </c>
      <c r="O1061" s="1324">
        <f t="shared" si="502"/>
        <v>42273.655974840047</v>
      </c>
      <c r="P1061" s="1324">
        <f t="shared" si="502"/>
        <v>1093.8231309879477</v>
      </c>
      <c r="Q1061" s="1324">
        <f t="shared" si="502"/>
        <v>0</v>
      </c>
      <c r="S1061" s="1324">
        <v>122</v>
      </c>
      <c r="V1061" s="1326" t="s">
        <v>5227</v>
      </c>
      <c r="W1061" s="1326">
        <v>122</v>
      </c>
    </row>
    <row r="1062" spans="1:25" s="1324" customFormat="1">
      <c r="A1062" s="1324" t="s">
        <v>4894</v>
      </c>
      <c r="B1062" s="1324">
        <v>101</v>
      </c>
      <c r="C1062" s="1439">
        <v>3</v>
      </c>
      <c r="D1062" s="1364" t="s">
        <v>5393</v>
      </c>
      <c r="E1062" s="1364" t="s">
        <v>4067</v>
      </c>
      <c r="F1062" s="1364">
        <f>+'0 MDS Allocation Assignment'!F368</f>
        <v>222985.51598999996</v>
      </c>
      <c r="G1062" s="1364">
        <f t="shared" si="501"/>
        <v>0</v>
      </c>
      <c r="H1062" s="1364">
        <f t="shared" si="501"/>
        <v>222985.51598999996</v>
      </c>
      <c r="I1062" s="1374">
        <f>IF(F1062=0,0,+H1062/F1062)</f>
        <v>1</v>
      </c>
      <c r="J1062" s="1364">
        <f>H1062</f>
        <v>222985.51598999996</v>
      </c>
      <c r="K1062" s="1324">
        <f t="shared" ref="K1062:Q1062" si="503">$J1062*K$1948</f>
        <v>129334.50703291547</v>
      </c>
      <c r="L1062" s="1324">
        <f t="shared" si="503"/>
        <v>10668.792290584259</v>
      </c>
      <c r="M1062" s="1324">
        <f t="shared" si="503"/>
        <v>68200.229244381946</v>
      </c>
      <c r="N1062" s="1324">
        <f t="shared" si="503"/>
        <v>8513.8943476477452</v>
      </c>
      <c r="O1062" s="1324">
        <f t="shared" si="503"/>
        <v>6109.9979918555237</v>
      </c>
      <c r="P1062" s="1324">
        <f t="shared" si="503"/>
        <v>158.09508261502501</v>
      </c>
      <c r="Q1062" s="1324">
        <f t="shared" si="503"/>
        <v>0</v>
      </c>
      <c r="S1062" s="1324">
        <v>121</v>
      </c>
      <c r="V1062" s="1326" t="s">
        <v>5287</v>
      </c>
      <c r="W1062" s="1326">
        <v>121</v>
      </c>
    </row>
    <row r="1063" spans="1:25">
      <c r="A1063" s="1320" t="s">
        <v>4894</v>
      </c>
      <c r="B1063" s="1320">
        <v>101</v>
      </c>
      <c r="C1063" s="1434">
        <v>4</v>
      </c>
      <c r="D1063" s="1358" t="s">
        <v>4814</v>
      </c>
      <c r="E1063" s="1358" t="s">
        <v>2067</v>
      </c>
      <c r="F1063" s="1366">
        <f>+'0 MDS Allocation Assignment'!F366+'0 MDS Allocation Assignment'!F369</f>
        <v>293748.25699691643</v>
      </c>
      <c r="G1063" s="1364">
        <f t="shared" si="501"/>
        <v>0</v>
      </c>
      <c r="H1063" s="1364">
        <f t="shared" si="501"/>
        <v>293748.25699691643</v>
      </c>
      <c r="I1063" s="1374">
        <f>IF(F1063=0,0,+H1063/F1063)</f>
        <v>1</v>
      </c>
      <c r="J1063" s="1366">
        <f>H1063</f>
        <v>293748.25699691643</v>
      </c>
      <c r="K1063" s="1364">
        <f t="shared" ref="K1063:Q1063" si="504">+$J1063*K$1966</f>
        <v>148235.41232929239</v>
      </c>
      <c r="L1063" s="1364">
        <f t="shared" si="504"/>
        <v>13698.68738891955</v>
      </c>
      <c r="M1063" s="1364">
        <f t="shared" si="504"/>
        <v>102049.90030187555</v>
      </c>
      <c r="N1063" s="1367">
        <f t="shared" si="504"/>
        <v>16244.703291998096</v>
      </c>
      <c r="O1063" s="1367">
        <f t="shared" si="504"/>
        <v>11967.665648698916</v>
      </c>
      <c r="P1063" s="1367">
        <f t="shared" si="504"/>
        <v>1551.8880361319234</v>
      </c>
      <c r="Q1063" s="1364">
        <f t="shared" si="504"/>
        <v>0</v>
      </c>
      <c r="R1063" s="1364"/>
      <c r="S1063" s="1324">
        <v>201</v>
      </c>
      <c r="V1063" s="1321" t="s">
        <v>5235</v>
      </c>
      <c r="W1063" s="1321">
        <v>201</v>
      </c>
      <c r="Y1063" s="1324"/>
    </row>
    <row r="1064" spans="1:25">
      <c r="A1064" s="1320" t="s">
        <v>4894</v>
      </c>
      <c r="C1064" s="1434">
        <v>5</v>
      </c>
      <c r="D1064" s="1358" t="s">
        <v>5676</v>
      </c>
      <c r="F1064" s="1729">
        <f>+SUM(F1061:F1063)</f>
        <v>2059518.730183077</v>
      </c>
      <c r="G1064" s="1421">
        <f>SUM(G1061:G1063)</f>
        <v>0</v>
      </c>
      <c r="H1064" s="1421">
        <f>SUM(H1061:H1063)</f>
        <v>2059518.730183077</v>
      </c>
      <c r="I1064" s="1374">
        <f>IF(F1064=0,0,+H1064/F1064)</f>
        <v>1</v>
      </c>
      <c r="J1064" s="1421">
        <f>SUM(J1061:J1063)</f>
        <v>2059518.730183077</v>
      </c>
      <c r="K1064" s="1421">
        <f t="shared" ref="K1064:Q1064" si="505">SUM(K1061:K1063)</f>
        <v>1172405.3126426907</v>
      </c>
      <c r="L1064" s="1421">
        <f t="shared" si="505"/>
        <v>98182.373818645647</v>
      </c>
      <c r="M1064" s="1421">
        <f t="shared" si="505"/>
        <v>642111.66408772417</v>
      </c>
      <c r="N1064" s="1421">
        <f t="shared" si="505"/>
        <v>83664.253768887094</v>
      </c>
      <c r="O1064" s="1421">
        <f t="shared" si="505"/>
        <v>60351.319615394488</v>
      </c>
      <c r="P1064" s="1421">
        <f t="shared" si="505"/>
        <v>2803.806249734896</v>
      </c>
      <c r="Q1064" s="1421">
        <f t="shared" si="505"/>
        <v>0</v>
      </c>
      <c r="R1064" s="1364"/>
      <c r="S1064" s="1324"/>
      <c r="V1064" s="1320" t="s">
        <v>5395</v>
      </c>
    </row>
    <row r="1065" spans="1:25">
      <c r="A1065" s="1320" t="s">
        <v>4894</v>
      </c>
      <c r="B1065" s="1321"/>
      <c r="C1065" s="1434">
        <v>6</v>
      </c>
      <c r="D1065" s="1358"/>
      <c r="E1065" s="1358"/>
      <c r="F1065" s="1358"/>
      <c r="G1065" s="1446"/>
      <c r="H1065" s="1358"/>
      <c r="I1065" s="1379"/>
      <c r="J1065" s="1364"/>
      <c r="K1065" s="1364"/>
      <c r="L1065" s="1364"/>
      <c r="M1065" s="1367"/>
      <c r="N1065" s="1367"/>
      <c r="O1065" s="1367"/>
      <c r="P1065" s="1364"/>
      <c r="Q1065" s="1364"/>
      <c r="R1065" s="1364"/>
      <c r="S1065" s="1326"/>
      <c r="T1065" s="1321"/>
      <c r="U1065" s="1326"/>
    </row>
    <row r="1066" spans="1:25">
      <c r="A1066" s="1320" t="s">
        <v>4894</v>
      </c>
      <c r="B1066" s="1321"/>
      <c r="C1066" s="1434">
        <v>7</v>
      </c>
      <c r="D1066" s="1358"/>
      <c r="E1066" s="1358"/>
      <c r="F1066" s="1358"/>
      <c r="G1066" s="1358"/>
      <c r="H1066" s="1358"/>
      <c r="I1066" s="1379"/>
      <c r="J1066" s="1364"/>
      <c r="K1066" s="1364"/>
      <c r="L1066" s="1364"/>
      <c r="M1066" s="1367"/>
      <c r="N1066" s="1367"/>
      <c r="O1066" s="1367"/>
      <c r="P1066" s="1364"/>
      <c r="Q1066" s="1364"/>
      <c r="R1066" s="1364"/>
      <c r="S1066" s="1326"/>
      <c r="T1066" s="1321"/>
      <c r="U1066" s="1326"/>
    </row>
    <row r="1067" spans="1:25">
      <c r="A1067" s="1320" t="s">
        <v>4894</v>
      </c>
      <c r="B1067" s="1321"/>
      <c r="C1067" s="1434">
        <v>8</v>
      </c>
      <c r="D1067" s="1437" t="s">
        <v>5677</v>
      </c>
      <c r="E1067" s="1358"/>
      <c r="F1067" s="1358"/>
      <c r="G1067" s="1358"/>
      <c r="H1067" s="1358"/>
      <c r="I1067" s="1379"/>
      <c r="J1067" s="1364"/>
      <c r="K1067" s="1364"/>
      <c r="L1067" s="1364"/>
      <c r="M1067" s="1367"/>
      <c r="N1067" s="1367"/>
      <c r="O1067" s="1367"/>
      <c r="P1067" s="1364"/>
      <c r="Q1067" s="1364"/>
      <c r="R1067" s="1364"/>
      <c r="S1067" s="1326"/>
      <c r="T1067" s="1321"/>
      <c r="U1067" s="1326"/>
    </row>
    <row r="1068" spans="1:25" s="1324" customFormat="1">
      <c r="A1068" s="1324" t="s">
        <v>4894</v>
      </c>
      <c r="B1068" s="1324">
        <v>101</v>
      </c>
      <c r="C1068" s="1439">
        <v>9</v>
      </c>
      <c r="D1068" s="1364" t="s">
        <v>5397</v>
      </c>
      <c r="E1068" s="1364" t="s">
        <v>4067</v>
      </c>
      <c r="F1068" s="1364">
        <f>+'0 MDS Allocation Assignment'!F370</f>
        <v>46015.61165400179</v>
      </c>
      <c r="G1068" s="1364">
        <f>+$F1068*G$1933</f>
        <v>0</v>
      </c>
      <c r="H1068" s="1364">
        <f>+$F1068*H$1933</f>
        <v>46015.61165400179</v>
      </c>
      <c r="I1068" s="1374">
        <f>IF(F1068=0,0,+H1068/F1068)</f>
        <v>1</v>
      </c>
      <c r="J1068" s="1364">
        <f>+H1068</f>
        <v>46015.61165400179</v>
      </c>
      <c r="K1068" s="1364">
        <f t="shared" ref="K1068:Q1068" si="506">$J1068*K$1951</f>
        <v>26689.654808589894</v>
      </c>
      <c r="L1068" s="1364">
        <f t="shared" si="506"/>
        <v>2201.6273150348916</v>
      </c>
      <c r="M1068" s="1364">
        <f t="shared" si="506"/>
        <v>14073.897354678926</v>
      </c>
      <c r="N1068" s="1364">
        <f t="shared" si="506"/>
        <v>1756.9394775494254</v>
      </c>
      <c r="O1068" s="1364">
        <f t="shared" si="506"/>
        <v>1260.8679696154045</v>
      </c>
      <c r="P1068" s="1364">
        <f t="shared" si="506"/>
        <v>32.624728533249531</v>
      </c>
      <c r="Q1068" s="1364">
        <f t="shared" si="506"/>
        <v>0</v>
      </c>
      <c r="S1068" s="1324">
        <v>122</v>
      </c>
      <c r="V1068" s="1326" t="s">
        <v>5227</v>
      </c>
      <c r="W1068" s="1326">
        <v>122</v>
      </c>
    </row>
    <row r="1069" spans="1:25" s="1324" customFormat="1">
      <c r="A1069" s="1324" t="s">
        <v>4894</v>
      </c>
      <c r="B1069" s="1324">
        <v>101</v>
      </c>
      <c r="C1069" s="1439">
        <v>10</v>
      </c>
      <c r="D1069" s="1364" t="s">
        <v>5398</v>
      </c>
      <c r="E1069" s="1364" t="s">
        <v>4067</v>
      </c>
      <c r="F1069" s="1366">
        <f>+'0 MDS Allocation Assignment'!F371</f>
        <v>0</v>
      </c>
      <c r="G1069" s="1366">
        <f>+$F1069*G$1933</f>
        <v>0</v>
      </c>
      <c r="H1069" s="1366">
        <f>+$F1069*H$1933</f>
        <v>0</v>
      </c>
      <c r="I1069" s="1374">
        <f>IF(F1069=0,0,+H1069/F1069)</f>
        <v>0</v>
      </c>
      <c r="J1069" s="1366">
        <f>+H1069</f>
        <v>0</v>
      </c>
      <c r="K1069" s="1366">
        <f t="shared" ref="K1069:Q1069" si="507">$J1069*K$1948</f>
        <v>0</v>
      </c>
      <c r="L1069" s="1366">
        <f t="shared" si="507"/>
        <v>0</v>
      </c>
      <c r="M1069" s="1366">
        <f t="shared" si="507"/>
        <v>0</v>
      </c>
      <c r="N1069" s="1366">
        <f t="shared" si="507"/>
        <v>0</v>
      </c>
      <c r="O1069" s="1366">
        <f t="shared" si="507"/>
        <v>0</v>
      </c>
      <c r="P1069" s="1366">
        <f t="shared" si="507"/>
        <v>0</v>
      </c>
      <c r="Q1069" s="1366">
        <f t="shared" si="507"/>
        <v>0</v>
      </c>
      <c r="S1069" s="1324">
        <v>121</v>
      </c>
      <c r="V1069" s="1326" t="s">
        <v>5287</v>
      </c>
      <c r="W1069" s="1326">
        <v>121</v>
      </c>
    </row>
    <row r="1070" spans="1:25" s="1324" customFormat="1">
      <c r="A1070" s="1324" t="s">
        <v>4894</v>
      </c>
      <c r="C1070" s="1439">
        <v>11</v>
      </c>
      <c r="D1070" s="1364" t="s">
        <v>5399</v>
      </c>
      <c r="E1070" s="1364"/>
      <c r="F1070" s="1421">
        <f>+SUM(F1068:F1069)</f>
        <v>46015.61165400179</v>
      </c>
      <c r="G1070" s="1421">
        <f>SUM(G1068:G1069)</f>
        <v>0</v>
      </c>
      <c r="H1070" s="1421">
        <f>SUM(H1068:H1069)</f>
        <v>46015.61165400179</v>
      </c>
      <c r="I1070" s="1374">
        <f>IF(F1070=0,0,+H1070/F1070)</f>
        <v>1</v>
      </c>
      <c r="J1070" s="1421">
        <f>SUM(J1068:J1069)</f>
        <v>46015.61165400179</v>
      </c>
      <c r="K1070" s="1421">
        <f t="shared" ref="K1070:Q1070" si="508">SUM(K1068:K1069)</f>
        <v>26689.654808589894</v>
      </c>
      <c r="L1070" s="1421">
        <f t="shared" si="508"/>
        <v>2201.6273150348916</v>
      </c>
      <c r="M1070" s="1421">
        <f t="shared" si="508"/>
        <v>14073.897354678926</v>
      </c>
      <c r="N1070" s="1421">
        <f t="shared" si="508"/>
        <v>1756.9394775494254</v>
      </c>
      <c r="O1070" s="1421">
        <f t="shared" si="508"/>
        <v>1260.8679696154045</v>
      </c>
      <c r="P1070" s="1421">
        <f t="shared" si="508"/>
        <v>32.624728533249531</v>
      </c>
      <c r="Q1070" s="1421">
        <f t="shared" si="508"/>
        <v>0</v>
      </c>
      <c r="V1070" s="1324" t="s">
        <v>5284</v>
      </c>
      <c r="W1070" s="1326"/>
    </row>
    <row r="1071" spans="1:25" s="1324" customFormat="1">
      <c r="A1071" s="1324" t="s">
        <v>4894</v>
      </c>
      <c r="B1071" s="1326"/>
      <c r="C1071" s="1439">
        <v>12</v>
      </c>
      <c r="D1071" s="1364"/>
      <c r="E1071" s="1364"/>
      <c r="F1071" s="1364"/>
      <c r="I1071" s="1440"/>
      <c r="M1071" s="1325"/>
      <c r="N1071" s="1325"/>
      <c r="O1071" s="1325"/>
      <c r="S1071" s="1326"/>
      <c r="T1071" s="1326"/>
      <c r="U1071" s="1326"/>
    </row>
    <row r="1072" spans="1:25" s="1324" customFormat="1">
      <c r="A1072" s="1324" t="s">
        <v>4894</v>
      </c>
      <c r="B1072" s="1324">
        <v>117</v>
      </c>
      <c r="C1072" s="1439">
        <v>13</v>
      </c>
      <c r="D1072" s="1364" t="s">
        <v>5678</v>
      </c>
      <c r="E1072" s="1364" t="s">
        <v>4067</v>
      </c>
      <c r="F1072" s="1366">
        <f>+'0 MDS Allocation Assignment'!F372</f>
        <v>142075.10412521986</v>
      </c>
      <c r="G1072" s="1366">
        <f>+$F1072*G$1942</f>
        <v>9204.5993075669139</v>
      </c>
      <c r="H1072" s="1366">
        <f>+$F1072*H$1942</f>
        <v>132870.50481765295</v>
      </c>
      <c r="I1072" s="1374">
        <f>IF(F1072=0,0,+H1072/F1072)</f>
        <v>0.93521314403222744</v>
      </c>
      <c r="J1072" s="1366">
        <f>+H1072</f>
        <v>132870.50481765295</v>
      </c>
      <c r="K1072" s="1366">
        <f t="shared" ref="K1072:Q1072" si="509">+$J1072*K$1945</f>
        <v>77066.625442059798</v>
      </c>
      <c r="L1072" s="1366">
        <f t="shared" si="509"/>
        <v>6357.2192622061921</v>
      </c>
      <c r="M1072" s="1366">
        <f t="shared" si="509"/>
        <v>40638.508954936224</v>
      </c>
      <c r="N1072" s="1378">
        <f t="shared" si="509"/>
        <v>5073.1790130568397</v>
      </c>
      <c r="O1072" s="1378">
        <f t="shared" si="509"/>
        <v>3640.7679396050867</v>
      </c>
      <c r="P1072" s="1378">
        <f t="shared" si="509"/>
        <v>94.204205788814406</v>
      </c>
      <c r="Q1072" s="1366">
        <f t="shared" si="509"/>
        <v>0</v>
      </c>
      <c r="R1072" s="1364"/>
      <c r="S1072" s="1324">
        <v>117</v>
      </c>
      <c r="V1072" s="1326" t="s">
        <v>5228</v>
      </c>
      <c r="W1072" s="1326">
        <v>117</v>
      </c>
    </row>
    <row r="1073" spans="1:23" s="1324" customFormat="1">
      <c r="A1073" s="1324" t="s">
        <v>4894</v>
      </c>
      <c r="B1073" s="1326"/>
      <c r="C1073" s="1439">
        <v>14</v>
      </c>
      <c r="D1073" s="1364"/>
      <c r="E1073" s="1364"/>
      <c r="F1073" s="1364"/>
      <c r="I1073" s="1440"/>
      <c r="M1073" s="1325"/>
      <c r="N1073" s="1325"/>
      <c r="O1073" s="1325"/>
      <c r="S1073" s="1326"/>
      <c r="T1073" s="1326"/>
      <c r="U1073" s="1326"/>
    </row>
    <row r="1074" spans="1:23" s="1324" customFormat="1">
      <c r="A1074" s="1324" t="s">
        <v>4894</v>
      </c>
      <c r="B1074" s="1326"/>
      <c r="C1074" s="1439">
        <v>15</v>
      </c>
      <c r="D1074" s="1364" t="s">
        <v>1953</v>
      </c>
      <c r="E1074" s="1364"/>
      <c r="F1074" s="1364"/>
      <c r="I1074" s="1440"/>
      <c r="M1074" s="1325"/>
      <c r="N1074" s="1325"/>
      <c r="O1074" s="1325"/>
      <c r="S1074" s="1326"/>
      <c r="T1074" s="1326"/>
      <c r="U1074" s="1326"/>
    </row>
    <row r="1075" spans="1:23" s="1324" customFormat="1">
      <c r="A1075" s="1324" t="s">
        <v>4894</v>
      </c>
      <c r="B1075" s="1324">
        <v>117</v>
      </c>
      <c r="C1075" s="1439">
        <v>16</v>
      </c>
      <c r="D1075" s="1364" t="s">
        <v>5293</v>
      </c>
      <c r="E1075" s="1364" t="s">
        <v>4067</v>
      </c>
      <c r="F1075" s="1364">
        <f>+'0 MDS Allocation Assignment'!F373</f>
        <v>46668.032578042963</v>
      </c>
      <c r="G1075" s="1364">
        <f>+$F1075*G$1942</f>
        <v>3023.4751049329889</v>
      </c>
      <c r="H1075" s="1364">
        <f>+$F1075*H$1942</f>
        <v>43644.55747310997</v>
      </c>
      <c r="I1075" s="1374">
        <f>IF(F1075=0,0,+H1075/F1075)</f>
        <v>0.93521314403222733</v>
      </c>
      <c r="J1075" s="1364">
        <f>+H1075</f>
        <v>43644.55747310997</v>
      </c>
      <c r="K1075" s="1364">
        <f t="shared" ref="K1075:Q1076" si="510">+$J1075*K$1945</f>
        <v>25314.412464832782</v>
      </c>
      <c r="L1075" s="1364">
        <f t="shared" si="510"/>
        <v>2088.1836931326034</v>
      </c>
      <c r="M1075" s="1364">
        <f t="shared" si="510"/>
        <v>13348.709272530468</v>
      </c>
      <c r="N1075" s="1367">
        <f t="shared" si="510"/>
        <v>1666.4093608329356</v>
      </c>
      <c r="O1075" s="1367">
        <f t="shared" si="510"/>
        <v>1195.8990131362791</v>
      </c>
      <c r="P1075" s="1367">
        <f t="shared" si="510"/>
        <v>30.943668644904118</v>
      </c>
      <c r="Q1075" s="1364">
        <f t="shared" si="510"/>
        <v>0</v>
      </c>
      <c r="R1075" s="1364"/>
      <c r="S1075" s="1324">
        <v>117</v>
      </c>
      <c r="V1075" s="1326" t="s">
        <v>5228</v>
      </c>
      <c r="W1075" s="1326">
        <v>117</v>
      </c>
    </row>
    <row r="1076" spans="1:23" s="1324" customFormat="1">
      <c r="A1076" s="1324" t="s">
        <v>4894</v>
      </c>
      <c r="B1076" s="1324">
        <v>117</v>
      </c>
      <c r="C1076" s="1439">
        <v>17</v>
      </c>
      <c r="D1076" s="1364" t="s">
        <v>5294</v>
      </c>
      <c r="E1076" s="1364" t="s">
        <v>4067</v>
      </c>
      <c r="F1076" s="1366">
        <f>+'0 MDS Allocation Assignment'!F374</f>
        <v>77381.677112735357</v>
      </c>
      <c r="G1076" s="1366">
        <f>+$F1076*G$1942</f>
        <v>5013.3155696474714</v>
      </c>
      <c r="H1076" s="1366">
        <f>+$F1076*H$1942</f>
        <v>72368.361543087885</v>
      </c>
      <c r="I1076" s="1374">
        <f>IF(F1076=0,0,+H1076/F1076)</f>
        <v>0.93521314403222744</v>
      </c>
      <c r="J1076" s="1366">
        <f>+H1076</f>
        <v>72368.361543087885</v>
      </c>
      <c r="K1076" s="1366">
        <f t="shared" si="510"/>
        <v>41974.593387378656</v>
      </c>
      <c r="L1076" s="1366">
        <f t="shared" si="510"/>
        <v>3462.4805754098188</v>
      </c>
      <c r="M1076" s="1366">
        <f t="shared" si="510"/>
        <v>22133.898811168739</v>
      </c>
      <c r="N1076" s="1378">
        <f t="shared" si="510"/>
        <v>2763.1237910441496</v>
      </c>
      <c r="O1076" s="1378">
        <f t="shared" si="510"/>
        <v>1982.9563446711541</v>
      </c>
      <c r="P1076" s="1378">
        <f t="shared" si="510"/>
        <v>51.308633415371993</v>
      </c>
      <c r="Q1076" s="1366">
        <f t="shared" si="510"/>
        <v>0</v>
      </c>
      <c r="R1076" s="1364"/>
      <c r="S1076" s="1324">
        <v>117</v>
      </c>
      <c r="V1076" s="1326" t="s">
        <v>5228</v>
      </c>
      <c r="W1076" s="1326">
        <v>117</v>
      </c>
    </row>
    <row r="1077" spans="1:23" s="1324" customFormat="1">
      <c r="A1077" s="1324" t="s">
        <v>4894</v>
      </c>
      <c r="C1077" s="1439">
        <v>18</v>
      </c>
      <c r="D1077" s="1364" t="s">
        <v>1953</v>
      </c>
      <c r="E1077" s="1364"/>
      <c r="F1077" s="1366">
        <f>+SUM(F1075:F1076)</f>
        <v>124049.70969077831</v>
      </c>
      <c r="G1077" s="1366">
        <f>SUM(G1075:G1076)</f>
        <v>8036.7906745804603</v>
      </c>
      <c r="H1077" s="1366">
        <f>SUM(H1075:H1076)</f>
        <v>116012.91901619785</v>
      </c>
      <c r="I1077" s="1374">
        <f>IF(F1077=0,0,+H1077/F1077)</f>
        <v>0.93521314403222733</v>
      </c>
      <c r="J1077" s="1366">
        <f t="shared" ref="J1077:Q1077" si="511">SUM(J1075:J1076)</f>
        <v>116012.91901619785</v>
      </c>
      <c r="K1077" s="1366">
        <f t="shared" si="511"/>
        <v>67289.005852211441</v>
      </c>
      <c r="L1077" s="1366">
        <f t="shared" si="511"/>
        <v>5550.6642685424222</v>
      </c>
      <c r="M1077" s="1366">
        <f t="shared" si="511"/>
        <v>35482.608083699204</v>
      </c>
      <c r="N1077" s="1378">
        <f t="shared" si="511"/>
        <v>4429.5331518770854</v>
      </c>
      <c r="O1077" s="1378">
        <f>SUM(O1075:O1076)</f>
        <v>3178.8553578074334</v>
      </c>
      <c r="P1077" s="1378">
        <f>SUM(P1075:P1076)</f>
        <v>82.252302060276108</v>
      </c>
      <c r="Q1077" s="1366">
        <f t="shared" si="511"/>
        <v>0</v>
      </c>
      <c r="R1077" s="1364"/>
      <c r="V1077" s="1324" t="s">
        <v>5400</v>
      </c>
    </row>
    <row r="1078" spans="1:23" s="1324" customFormat="1">
      <c r="A1078" s="1324" t="s">
        <v>4894</v>
      </c>
      <c r="B1078" s="1438"/>
      <c r="C1078" s="1439">
        <v>19</v>
      </c>
      <c r="D1078" s="1364"/>
      <c r="E1078" s="1364"/>
      <c r="F1078" s="1364"/>
      <c r="G1078" s="1364"/>
      <c r="H1078" s="1364"/>
      <c r="I1078" s="1440"/>
      <c r="J1078" s="1364"/>
      <c r="K1078" s="1364"/>
      <c r="L1078" s="1364"/>
      <c r="M1078" s="1364"/>
      <c r="N1078" s="1367"/>
      <c r="O1078" s="1367"/>
      <c r="P1078" s="1367"/>
      <c r="Q1078" s="1364"/>
      <c r="R1078" s="1364"/>
      <c r="S1078" s="1438"/>
      <c r="T1078" s="1438"/>
      <c r="U1078" s="1438"/>
    </row>
    <row r="1079" spans="1:23" s="1324" customFormat="1">
      <c r="A1079" s="1324" t="s">
        <v>4894</v>
      </c>
      <c r="B1079" s="1438"/>
      <c r="C1079" s="1439">
        <v>20</v>
      </c>
      <c r="D1079" s="1364" t="s">
        <v>5679</v>
      </c>
      <c r="E1079" s="1364"/>
      <c r="F1079" s="1730">
        <f>F1070+F1072+F1077</f>
        <v>312140.42546999996</v>
      </c>
      <c r="G1079" s="1366">
        <f t="shared" ref="G1079:Q1079" si="512">G1070+G1072+G1077</f>
        <v>17241.389982147375</v>
      </c>
      <c r="H1079" s="1366">
        <f t="shared" si="512"/>
        <v>294899.03548785258</v>
      </c>
      <c r="I1079" s="1374">
        <f>IF(F1079=0,0,+H1079/F1079)</f>
        <v>0.94476399538385181</v>
      </c>
      <c r="J1079" s="1366">
        <f t="shared" si="512"/>
        <v>294899.03548785258</v>
      </c>
      <c r="K1079" s="1366">
        <f t="shared" si="512"/>
        <v>171045.28610286114</v>
      </c>
      <c r="L1079" s="1366">
        <f t="shared" si="512"/>
        <v>14109.510845783505</v>
      </c>
      <c r="M1079" s="1366">
        <f t="shared" si="512"/>
        <v>90195.014393314355</v>
      </c>
      <c r="N1079" s="1366">
        <f t="shared" si="512"/>
        <v>11259.65164248335</v>
      </c>
      <c r="O1079" s="1366">
        <f t="shared" si="512"/>
        <v>8080.4912670279246</v>
      </c>
      <c r="P1079" s="1366">
        <f t="shared" si="512"/>
        <v>209.08123638234002</v>
      </c>
      <c r="Q1079" s="1366">
        <f t="shared" si="512"/>
        <v>0</v>
      </c>
      <c r="R1079" s="1364"/>
      <c r="S1079" s="1438"/>
      <c r="T1079" s="1438"/>
      <c r="U1079" s="1438"/>
      <c r="V1079" s="1324" t="s">
        <v>5402</v>
      </c>
    </row>
    <row r="1080" spans="1:23">
      <c r="B1080" s="1436"/>
      <c r="C1080" s="1434"/>
      <c r="D1080" s="1358"/>
      <c r="E1080" s="1358"/>
      <c r="F1080" s="1358"/>
      <c r="G1080" s="1446"/>
      <c r="H1080" s="1358"/>
      <c r="J1080" s="1364"/>
      <c r="K1080" s="1364"/>
      <c r="L1080" s="1364"/>
      <c r="M1080" s="1367"/>
      <c r="N1080" s="1367"/>
      <c r="O1080" s="1367"/>
      <c r="P1080" s="1364"/>
      <c r="Q1080" s="1364"/>
      <c r="R1080" s="1358"/>
      <c r="S1080" s="1436"/>
      <c r="T1080" s="1436"/>
      <c r="U1080" s="1438"/>
    </row>
    <row r="1081" spans="1:23">
      <c r="B1081" s="1436"/>
      <c r="C1081" s="1434"/>
      <c r="D1081" s="1358"/>
      <c r="E1081" s="1358"/>
      <c r="F1081" s="1358"/>
      <c r="G1081" s="1358"/>
      <c r="H1081" s="1358"/>
      <c r="I1081" s="1379"/>
      <c r="J1081" s="1364"/>
      <c r="K1081" s="1364"/>
      <c r="S1081" s="1436"/>
      <c r="T1081" s="1436"/>
      <c r="U1081" s="1438"/>
    </row>
    <row r="1082" spans="1:23">
      <c r="B1082" s="1436"/>
      <c r="C1082" s="1434"/>
      <c r="D1082" s="1358"/>
      <c r="E1082" s="1358"/>
      <c r="F1082" s="1358"/>
      <c r="G1082" s="1358"/>
      <c r="H1082" s="1358"/>
      <c r="I1082" s="1379"/>
      <c r="J1082" s="1364"/>
      <c r="K1082" s="1364"/>
      <c r="S1082" s="1436"/>
      <c r="T1082" s="1436"/>
      <c r="U1082" s="1438"/>
    </row>
    <row r="1083" spans="1:23">
      <c r="B1083" s="1436"/>
      <c r="C1083" s="1434"/>
      <c r="D1083" s="1358"/>
      <c r="E1083" s="1358"/>
      <c r="F1083" s="1358"/>
      <c r="G1083" s="1358"/>
      <c r="H1083" s="1358"/>
      <c r="I1083" s="1379"/>
      <c r="J1083" s="1364"/>
      <c r="K1083" s="1364"/>
      <c r="S1083" s="1436"/>
      <c r="T1083" s="1436"/>
      <c r="U1083" s="1438"/>
    </row>
    <row r="1084" spans="1:23">
      <c r="B1084" s="1436"/>
      <c r="C1084" s="1434"/>
      <c r="D1084" s="1358"/>
      <c r="E1084" s="1358"/>
      <c r="F1084" s="1358"/>
      <c r="G1084" s="1358"/>
      <c r="H1084" s="1358"/>
      <c r="I1084" s="1379"/>
      <c r="J1084" s="1364"/>
      <c r="K1084" s="1364"/>
      <c r="S1084" s="1436"/>
      <c r="T1084" s="1436"/>
      <c r="U1084" s="1438"/>
    </row>
    <row r="1085" spans="1:23">
      <c r="B1085" s="1432"/>
      <c r="C1085" s="1340" t="str">
        <f>+C$2</f>
        <v>RATES WITH REVENUE DEFICIENCY ADDITION</v>
      </c>
      <c r="D1085" s="1358"/>
      <c r="F1085" s="1333"/>
      <c r="G1085" s="1327" t="s">
        <v>2173</v>
      </c>
      <c r="H1085" s="1358"/>
      <c r="I1085" s="1334" t="s">
        <v>5673</v>
      </c>
      <c r="L1085" s="1329" t="s">
        <v>2173</v>
      </c>
      <c r="M1085" s="1330"/>
      <c r="N1085" s="1330"/>
      <c r="O1085" s="1330"/>
      <c r="S1085" s="1334" t="s">
        <v>5680</v>
      </c>
      <c r="T1085" s="1333" t="s">
        <v>2173</v>
      </c>
      <c r="U1085" s="1334"/>
      <c r="V1085" s="1332" t="s">
        <v>4772</v>
      </c>
    </row>
    <row r="1086" spans="1:23">
      <c r="B1086" s="1432"/>
      <c r="C1086" s="1340" t="str">
        <f>+C$3</f>
        <v>PROD. CAP. ALLOC. METHOD: 12 CP &amp; 1/13th AD</v>
      </c>
      <c r="D1086" s="1358"/>
      <c r="G1086" s="1336" t="s">
        <v>4768</v>
      </c>
      <c r="I1086" s="1335" t="s">
        <v>4308</v>
      </c>
      <c r="L1086" s="1336" t="s">
        <v>5141</v>
      </c>
      <c r="M1086" s="1337"/>
      <c r="N1086" s="1337"/>
      <c r="O1086" s="1337"/>
      <c r="R1086" s="1331"/>
      <c r="S1086" s="1335" t="s">
        <v>4309</v>
      </c>
      <c r="T1086" s="1333" t="s">
        <v>5141</v>
      </c>
      <c r="U1086" s="1438"/>
      <c r="V1086" s="1332" t="s">
        <v>5680</v>
      </c>
    </row>
    <row r="1087" spans="1:23">
      <c r="B1087" s="1436"/>
      <c r="C1087" s="1340" t="str">
        <f>+C$4</f>
        <v>PROJECTED CALENDAR YEAR 2025; FULLY ADJUSTED DATA</v>
      </c>
      <c r="D1087" s="1358"/>
      <c r="G1087" s="1336" t="s">
        <v>2181</v>
      </c>
      <c r="L1087" s="1336" t="s">
        <v>2181</v>
      </c>
      <c r="S1087" s="1436"/>
      <c r="T1087" s="1339"/>
      <c r="U1087" s="1438"/>
    </row>
    <row r="1088" spans="1:23">
      <c r="B1088" s="1436"/>
      <c r="C1088" s="1340" t="str">
        <f>+C$5</f>
        <v>MINIMUM DISTRIBUTION SYSTEM (MDS) NOT EMPLOYED</v>
      </c>
      <c r="D1088" s="1358"/>
      <c r="G1088" s="1358"/>
      <c r="H1088" s="1358"/>
      <c r="I1088" s="1379"/>
      <c r="K1088" s="1364"/>
      <c r="L1088" s="1336"/>
      <c r="M1088" s="1337"/>
      <c r="N1088" s="1337"/>
      <c r="O1088" s="1337"/>
      <c r="S1088" s="1436"/>
      <c r="T1088" s="1333"/>
      <c r="U1088" s="1438"/>
    </row>
    <row r="1089" spans="1:25">
      <c r="B1089" s="1436"/>
      <c r="C1089" s="1340" t="str">
        <f>+C$6</f>
        <v>Tampa Electric 2025 OB Budget</v>
      </c>
      <c r="D1089" s="1358"/>
      <c r="F1089" s="1327"/>
      <c r="G1089" s="1333" t="s">
        <v>5674</v>
      </c>
      <c r="H1089" s="1358"/>
      <c r="I1089" s="1379"/>
      <c r="K1089" s="1364"/>
      <c r="L1089" s="1336" t="s">
        <v>5674</v>
      </c>
      <c r="M1089" s="1337"/>
      <c r="N1089" s="1337"/>
      <c r="O1089" s="1337"/>
      <c r="S1089" s="1436"/>
      <c r="T1089" s="1333" t="s">
        <v>5674</v>
      </c>
      <c r="U1089" s="1438"/>
    </row>
    <row r="1090" spans="1:25" ht="10.5" customHeight="1">
      <c r="B1090" s="1436"/>
      <c r="C1090" s="1434"/>
      <c r="D1090" s="1358"/>
      <c r="F1090" s="1333"/>
      <c r="G1090" s="1358"/>
      <c r="H1090" s="1358"/>
      <c r="I1090" s="1379"/>
      <c r="K1090" s="1364"/>
      <c r="L1090" s="1336"/>
      <c r="M1090" s="1337"/>
      <c r="N1090" s="1337"/>
      <c r="O1090" s="1337"/>
      <c r="S1090" s="1436"/>
      <c r="T1090" s="1436"/>
      <c r="U1090" s="1438"/>
    </row>
    <row r="1091" spans="1:25" ht="10.5" customHeight="1">
      <c r="B1091" s="1436"/>
      <c r="C1091" s="1434"/>
      <c r="D1091" s="1358"/>
      <c r="E1091" s="1358"/>
      <c r="F1091" s="1333"/>
      <c r="G1091" s="1358"/>
      <c r="H1091" s="1358"/>
      <c r="I1091" s="1379"/>
      <c r="K1091" s="1364"/>
      <c r="L1091" s="1336"/>
      <c r="M1091" s="1337"/>
      <c r="N1091" s="1337"/>
      <c r="O1091" s="1337"/>
      <c r="S1091" s="1436"/>
      <c r="T1091" s="1436"/>
      <c r="U1091" s="1438"/>
    </row>
    <row r="1092" spans="1:25" ht="10.5" customHeight="1">
      <c r="B1092" s="1436"/>
      <c r="C1092" s="1434"/>
      <c r="D1092" s="1358"/>
      <c r="E1092" s="1358"/>
      <c r="F1092" s="1358"/>
      <c r="G1092" s="1358"/>
      <c r="H1092" s="1358"/>
      <c r="I1092" s="1379"/>
      <c r="K1092" s="1364"/>
      <c r="S1092" s="1436"/>
      <c r="T1092" s="1436"/>
      <c r="U1092" s="1438"/>
    </row>
    <row r="1093" spans="1:25" ht="10.5" customHeight="1">
      <c r="B1093" s="1436"/>
      <c r="C1093" s="1342"/>
      <c r="D1093" s="1331"/>
      <c r="E1093" s="1331"/>
      <c r="F1093" s="1333"/>
      <c r="G1093" s="1333"/>
      <c r="H1093" s="1333"/>
      <c r="I1093" s="1343"/>
      <c r="J1093" s="1416"/>
      <c r="K1093" s="1336"/>
      <c r="L1093" s="1416"/>
      <c r="M1093" s="1417"/>
      <c r="N1093" s="1417"/>
      <c r="O1093" s="1417"/>
      <c r="P1093" s="3164"/>
      <c r="Q1093" s="3164"/>
      <c r="R1093" s="1333"/>
      <c r="S1093" s="1436"/>
      <c r="T1093" s="1436"/>
      <c r="U1093" s="1438"/>
    </row>
    <row r="1094" spans="1:25" ht="30" customHeight="1">
      <c r="A1094" s="1418" t="s">
        <v>4683</v>
      </c>
      <c r="B1094" s="1425" t="s">
        <v>5143</v>
      </c>
      <c r="C1094" s="1349" t="s">
        <v>4297</v>
      </c>
      <c r="D1094" s="1418"/>
      <c r="E1094" s="1418"/>
      <c r="F1094" s="1348" t="s">
        <v>5144</v>
      </c>
      <c r="G1094" s="1348" t="s">
        <v>4956</v>
      </c>
      <c r="H1094" s="1348" t="s">
        <v>4957</v>
      </c>
      <c r="I1094" s="1426" t="s">
        <v>5145</v>
      </c>
      <c r="J1094" s="1352" t="s">
        <v>4957</v>
      </c>
      <c r="K1094" s="1353" t="s">
        <v>1949</v>
      </c>
      <c r="L1094" s="1353" t="s">
        <v>1950</v>
      </c>
      <c r="M1094" s="1354" t="s">
        <v>1934</v>
      </c>
      <c r="N1094" s="1354" t="s">
        <v>1971</v>
      </c>
      <c r="O1094" s="1354" t="s">
        <v>1972</v>
      </c>
      <c r="P1094" s="1352" t="s">
        <v>5146</v>
      </c>
      <c r="Q1094" s="1352" t="s">
        <v>5147</v>
      </c>
      <c r="R1094" s="1355"/>
      <c r="S1094" s="1348" t="s">
        <v>5299</v>
      </c>
      <c r="T1094" s="1348"/>
      <c r="U1094" s="1352"/>
      <c r="V1094" s="1355" t="s">
        <v>4774</v>
      </c>
      <c r="W1094" s="1350"/>
    </row>
    <row r="1095" spans="1:25">
      <c r="B1095" s="1441"/>
      <c r="C1095" s="1397"/>
      <c r="D1095" s="1435"/>
      <c r="E1095" s="1435"/>
      <c r="F1095" s="1396"/>
      <c r="G1095" s="1396"/>
      <c r="H1095" s="1396"/>
      <c r="I1095" s="1442"/>
      <c r="J1095" s="1399"/>
      <c r="K1095" s="1360"/>
      <c r="L1095" s="1360"/>
      <c r="M1095" s="1361"/>
      <c r="N1095" s="1361"/>
      <c r="O1095" s="1361"/>
      <c r="P1095" s="1399"/>
      <c r="Q1095" s="1399"/>
      <c r="R1095" s="1346"/>
      <c r="S1095" s="1396"/>
      <c r="T1095" s="1396"/>
      <c r="U1095" s="1399"/>
    </row>
    <row r="1096" spans="1:25">
      <c r="A1096" s="1320" t="s">
        <v>4894</v>
      </c>
      <c r="B1096" s="1436"/>
      <c r="C1096" s="1434">
        <v>21</v>
      </c>
      <c r="D1096" s="1437" t="s">
        <v>5681</v>
      </c>
      <c r="E1096" s="1358"/>
      <c r="F1096" s="1358"/>
      <c r="G1096" s="1358"/>
      <c r="H1096" s="1358"/>
      <c r="I1096" s="1379"/>
      <c r="K1096" s="1364"/>
      <c r="S1096" s="1436"/>
      <c r="T1096" s="1436"/>
      <c r="U1096" s="1438"/>
    </row>
    <row r="1097" spans="1:25">
      <c r="A1097" s="1320" t="s">
        <v>4894</v>
      </c>
      <c r="B1097" s="1320">
        <v>105</v>
      </c>
      <c r="C1097" s="1434">
        <v>22</v>
      </c>
      <c r="D1097" s="1358" t="s">
        <v>5293</v>
      </c>
      <c r="E1097" s="1358" t="s">
        <v>4067</v>
      </c>
      <c r="F1097" s="1358">
        <f>+'0 MDS Allocation Assignment'!F375</f>
        <v>92545.866450000001</v>
      </c>
      <c r="G1097" s="1358">
        <f>+$F1097*G$1936</f>
        <v>0</v>
      </c>
      <c r="H1097" s="1358">
        <f>+$F1097*H$1936</f>
        <v>92545.866450000001</v>
      </c>
      <c r="I1097" s="1323">
        <f>IF(F1097=0,0,+H1097/F1097)</f>
        <v>1</v>
      </c>
      <c r="J1097" s="1364">
        <f>+H1097</f>
        <v>92545.866450000001</v>
      </c>
      <c r="K1097" s="1364">
        <f t="shared" ref="K1097:Q1097" si="513">+$J1097*K$1936</f>
        <v>57602.029130018054</v>
      </c>
      <c r="L1097" s="1364">
        <f t="shared" si="513"/>
        <v>4096.800781036578</v>
      </c>
      <c r="M1097" s="1364">
        <f t="shared" si="513"/>
        <v>27430.639164521795</v>
      </c>
      <c r="N1097" s="1367">
        <f t="shared" si="513"/>
        <v>2885.1517172082431</v>
      </c>
      <c r="O1097" s="1367">
        <f t="shared" si="513"/>
        <v>1.9699253864467721E-3</v>
      </c>
      <c r="P1097" s="1367">
        <f t="shared" si="513"/>
        <v>531.24368728997047</v>
      </c>
      <c r="Q1097" s="1364">
        <f t="shared" si="513"/>
        <v>0</v>
      </c>
      <c r="R1097" s="1358"/>
      <c r="S1097" s="1320">
        <v>105</v>
      </c>
      <c r="V1097" s="1321" t="s">
        <v>5229</v>
      </c>
      <c r="W1097" s="1321">
        <v>105</v>
      </c>
      <c r="Y1097" s="1324"/>
    </row>
    <row r="1098" spans="1:25">
      <c r="A1098" s="1320" t="s">
        <v>4894</v>
      </c>
      <c r="B1098" s="1321"/>
      <c r="C1098" s="1434">
        <v>23</v>
      </c>
      <c r="D1098" s="1358"/>
      <c r="E1098" s="1358"/>
      <c r="F1098" s="1358"/>
      <c r="G1098" s="1320"/>
      <c r="I1098" s="1379"/>
      <c r="M1098" s="1324"/>
      <c r="P1098" s="1325"/>
      <c r="S1098" s="1321"/>
      <c r="T1098" s="1321"/>
      <c r="U1098" s="1326"/>
      <c r="Y1098" s="1324"/>
    </row>
    <row r="1099" spans="1:25">
      <c r="A1099" s="1320" t="s">
        <v>4894</v>
      </c>
      <c r="B1099" s="1320">
        <v>310</v>
      </c>
      <c r="C1099" s="1434">
        <v>24</v>
      </c>
      <c r="D1099" s="1358" t="s">
        <v>5405</v>
      </c>
      <c r="E1099" s="1358" t="s">
        <v>4071</v>
      </c>
      <c r="F1099" s="1358">
        <f>+'0 MDS Allocation Assignment'!F376</f>
        <v>14631.668475942406</v>
      </c>
      <c r="G1099" s="1358">
        <f>+$F1099*G$1994</f>
        <v>0</v>
      </c>
      <c r="H1099" s="1358">
        <f>+$F1099*H$1994</f>
        <v>14631.668475942406</v>
      </c>
      <c r="I1099" s="1323">
        <f t="shared" ref="I1099:I1104" si="514">IF(F1099=0,0,+H1099/F1099)</f>
        <v>1</v>
      </c>
      <c r="J1099" s="1364">
        <f>+H1099</f>
        <v>14631.668475942406</v>
      </c>
      <c r="K1099" s="1364">
        <f t="shared" ref="K1099:Q1099" si="515">+$J1099*K$1994</f>
        <v>0</v>
      </c>
      <c r="L1099" s="1364">
        <f t="shared" si="515"/>
        <v>0</v>
      </c>
      <c r="M1099" s="1364">
        <f t="shared" si="515"/>
        <v>0</v>
      </c>
      <c r="N1099" s="1367">
        <f t="shared" si="515"/>
        <v>0</v>
      </c>
      <c r="O1099" s="1367">
        <f t="shared" si="515"/>
        <v>0</v>
      </c>
      <c r="P1099" s="1367">
        <f t="shared" si="515"/>
        <v>0</v>
      </c>
      <c r="Q1099" s="1364">
        <f t="shared" si="515"/>
        <v>14631.668475942406</v>
      </c>
      <c r="R1099" s="1358"/>
      <c r="S1099" s="1320">
        <v>310</v>
      </c>
      <c r="V1099" s="1321" t="s">
        <v>5302</v>
      </c>
      <c r="W1099" s="1321">
        <v>310</v>
      </c>
    </row>
    <row r="1100" spans="1:25">
      <c r="A1100" s="1320" t="s">
        <v>4894</v>
      </c>
      <c r="B1100" s="1320">
        <v>105</v>
      </c>
      <c r="C1100" s="1434">
        <v>25</v>
      </c>
      <c r="D1100" s="1358" t="s">
        <v>5406</v>
      </c>
      <c r="E1100" s="1358" t="s">
        <v>4067</v>
      </c>
      <c r="F1100" s="1358">
        <f>+'0 MDS Allocation Assignment'!F377</f>
        <v>137305.75619418611</v>
      </c>
      <c r="G1100" s="1358">
        <f>+$F1100*G$1936</f>
        <v>0</v>
      </c>
      <c r="H1100" s="1358">
        <f>+$F1100*H$1936</f>
        <v>137305.75619418611</v>
      </c>
      <c r="I1100" s="1323">
        <f t="shared" si="514"/>
        <v>1</v>
      </c>
      <c r="J1100" s="1364">
        <f>+H1100</f>
        <v>137305.75619418611</v>
      </c>
      <c r="K1100" s="1364">
        <f t="shared" ref="K1100:Q1100" si="516">+$J1100*K$1936</f>
        <v>85461.301205599812</v>
      </c>
      <c r="L1100" s="1364">
        <f t="shared" si="516"/>
        <v>6078.2220837607119</v>
      </c>
      <c r="M1100" s="1364">
        <f t="shared" si="516"/>
        <v>40697.491934006546</v>
      </c>
      <c r="N1100" s="1367">
        <f t="shared" si="516"/>
        <v>4280.5578840224089</v>
      </c>
      <c r="O1100" s="1367">
        <f t="shared" si="516"/>
        <v>2.9226815330356481E-3</v>
      </c>
      <c r="P1100" s="1367">
        <f t="shared" si="516"/>
        <v>788.18016411512167</v>
      </c>
      <c r="Q1100" s="1364">
        <f t="shared" si="516"/>
        <v>0</v>
      </c>
      <c r="R1100" s="1358"/>
      <c r="S1100" s="1320">
        <v>105</v>
      </c>
      <c r="V1100" s="1321" t="s">
        <v>5229</v>
      </c>
      <c r="W1100" s="1321">
        <v>105</v>
      </c>
    </row>
    <row r="1101" spans="1:25">
      <c r="A1101" s="1320" t="s">
        <v>4894</v>
      </c>
      <c r="B1101" s="1320">
        <v>418</v>
      </c>
      <c r="C1101" s="1434">
        <v>26</v>
      </c>
      <c r="D1101" s="1364" t="s">
        <v>5407</v>
      </c>
      <c r="E1101" s="1364" t="s">
        <v>4071</v>
      </c>
      <c r="F1101" s="1358">
        <f>+'0 MDS Allocation Assignment'!F378</f>
        <v>0</v>
      </c>
      <c r="G1101" s="1364">
        <f>+$F1101*G$2021</f>
        <v>0</v>
      </c>
      <c r="H1101" s="1364">
        <f>+$F1101*H$1936</f>
        <v>0</v>
      </c>
      <c r="I1101" s="1374">
        <f t="shared" si="514"/>
        <v>0</v>
      </c>
      <c r="J1101" s="1364">
        <f>+H1101</f>
        <v>0</v>
      </c>
      <c r="K1101" s="1364">
        <f t="shared" ref="K1101:Q1101" si="517">+$J1101*K$2021</f>
        <v>0</v>
      </c>
      <c r="L1101" s="1364">
        <f t="shared" si="517"/>
        <v>0</v>
      </c>
      <c r="M1101" s="1364">
        <f t="shared" si="517"/>
        <v>0</v>
      </c>
      <c r="N1101" s="1367">
        <f t="shared" si="517"/>
        <v>0</v>
      </c>
      <c r="O1101" s="1367">
        <f t="shared" si="517"/>
        <v>0</v>
      </c>
      <c r="P1101" s="1367">
        <f t="shared" si="517"/>
        <v>0</v>
      </c>
      <c r="Q1101" s="1364">
        <f t="shared" si="517"/>
        <v>0</v>
      </c>
      <c r="R1101" s="1364"/>
      <c r="S1101" s="1324">
        <v>418</v>
      </c>
      <c r="V1101" s="1321" t="s">
        <v>5305</v>
      </c>
      <c r="W1101" s="1321">
        <v>418</v>
      </c>
    </row>
    <row r="1102" spans="1:25">
      <c r="A1102" s="1320" t="s">
        <v>4894</v>
      </c>
      <c r="B1102" s="1320">
        <v>106</v>
      </c>
      <c r="C1102" s="1434">
        <v>27</v>
      </c>
      <c r="D1102" s="1364" t="s">
        <v>5408</v>
      </c>
      <c r="E1102" s="1364" t="s">
        <v>4067</v>
      </c>
      <c r="F1102" s="1358">
        <f>+'0 MDS Allocation Assignment'!F379</f>
        <v>41236.554519871468</v>
      </c>
      <c r="G1102" s="1364">
        <f>+$F1102*G$1936</f>
        <v>0</v>
      </c>
      <c r="H1102" s="1364">
        <f>+$F1102*H$1936</f>
        <v>41236.554519871468</v>
      </c>
      <c r="I1102" s="1374">
        <f t="shared" si="514"/>
        <v>1</v>
      </c>
      <c r="J1102" s="1364">
        <f>+H1102</f>
        <v>41236.554519871468</v>
      </c>
      <c r="K1102" s="1364">
        <f t="shared" ref="K1102:Q1102" si="518">+$J1102*K$1939</f>
        <v>30087.561758828535</v>
      </c>
      <c r="L1102" s="1364">
        <f t="shared" si="518"/>
        <v>2422.6458463768818</v>
      </c>
      <c r="M1102" s="1364">
        <f t="shared" si="518"/>
        <v>8577.1766392219124</v>
      </c>
      <c r="N1102" s="1367">
        <f t="shared" si="518"/>
        <v>0</v>
      </c>
      <c r="O1102" s="1367">
        <f t="shared" si="518"/>
        <v>0</v>
      </c>
      <c r="P1102" s="1367">
        <f t="shared" si="518"/>
        <v>149.17027544413716</v>
      </c>
      <c r="Q1102" s="1364">
        <f t="shared" si="518"/>
        <v>0</v>
      </c>
      <c r="R1102" s="1364"/>
      <c r="S1102" s="1324">
        <v>106</v>
      </c>
      <c r="V1102" s="1321" t="s">
        <v>5230</v>
      </c>
      <c r="W1102" s="1321">
        <v>106</v>
      </c>
    </row>
    <row r="1103" spans="1:25">
      <c r="A1103" s="1320" t="s">
        <v>4894</v>
      </c>
      <c r="B1103" s="1320">
        <v>420</v>
      </c>
      <c r="C1103" s="1434">
        <v>28</v>
      </c>
      <c r="D1103" s="1364" t="s">
        <v>5409</v>
      </c>
      <c r="E1103" s="1364" t="s">
        <v>4071</v>
      </c>
      <c r="F1103" s="1358">
        <f>+'0 MDS Allocation Assignment'!F380</f>
        <v>0</v>
      </c>
      <c r="G1103" s="1364">
        <f>+$F1103*$G$2024</f>
        <v>0</v>
      </c>
      <c r="H1103" s="1364">
        <f>+$F1103*$H$2024</f>
        <v>0</v>
      </c>
      <c r="I1103" s="1374">
        <f t="shared" si="514"/>
        <v>0</v>
      </c>
      <c r="J1103" s="1364">
        <f>+H1103</f>
        <v>0</v>
      </c>
      <c r="K1103" s="1364">
        <f t="shared" ref="K1103:Q1103" si="519">+$J1103*K$2024</f>
        <v>0</v>
      </c>
      <c r="L1103" s="1364">
        <f t="shared" si="519"/>
        <v>0</v>
      </c>
      <c r="M1103" s="1364">
        <f t="shared" si="519"/>
        <v>0</v>
      </c>
      <c r="N1103" s="1367">
        <f t="shared" si="519"/>
        <v>0</v>
      </c>
      <c r="O1103" s="1367">
        <f t="shared" si="519"/>
        <v>0</v>
      </c>
      <c r="P1103" s="1367">
        <f t="shared" si="519"/>
        <v>0</v>
      </c>
      <c r="Q1103" s="1364">
        <f t="shared" si="519"/>
        <v>0</v>
      </c>
      <c r="R1103" s="1364"/>
      <c r="S1103" s="1324">
        <v>420</v>
      </c>
      <c r="V1103" s="1321" t="s">
        <v>5225</v>
      </c>
      <c r="W1103" s="1321">
        <v>420</v>
      </c>
    </row>
    <row r="1104" spans="1:25">
      <c r="A1104" s="1320" t="s">
        <v>4894</v>
      </c>
      <c r="B1104" s="1321"/>
      <c r="C1104" s="1434">
        <v>29</v>
      </c>
      <c r="D1104" s="1364" t="s">
        <v>5637</v>
      </c>
      <c r="E1104" s="1364"/>
      <c r="F1104" s="1421">
        <f>+SUM(F1099:F1103)</f>
        <v>193173.97918999998</v>
      </c>
      <c r="G1104" s="1421">
        <f>SUM(G1099:G1103)</f>
        <v>0</v>
      </c>
      <c r="H1104" s="1421">
        <f>SUM(H1099:H1103)</f>
        <v>193173.97918999998</v>
      </c>
      <c r="I1104" s="1374">
        <f t="shared" si="514"/>
        <v>1</v>
      </c>
      <c r="J1104" s="1421">
        <f>SUM(J1099:J1103)</f>
        <v>193173.97918999998</v>
      </c>
      <c r="K1104" s="1421">
        <f t="shared" ref="K1104:Q1104" si="520">SUM(K1099:K1103)</f>
        <v>115548.86296442835</v>
      </c>
      <c r="L1104" s="1421">
        <f t="shared" si="520"/>
        <v>8500.8679301375942</v>
      </c>
      <c r="M1104" s="1421">
        <f>SUM(M1099:M1103)</f>
        <v>49274.66857322846</v>
      </c>
      <c r="N1104" s="1421">
        <f t="shared" si="520"/>
        <v>4280.5578840224089</v>
      </c>
      <c r="O1104" s="1421">
        <f>SUM(O1099:O1103)</f>
        <v>2.9226815330356481E-3</v>
      </c>
      <c r="P1104" s="1421">
        <f>SUM(P1099:P1103)</f>
        <v>937.3504395592588</v>
      </c>
      <c r="Q1104" s="1421">
        <f t="shared" si="520"/>
        <v>14631.668475942406</v>
      </c>
      <c r="R1104" s="1364"/>
      <c r="S1104" s="1326"/>
      <c r="T1104" s="1321"/>
      <c r="U1104" s="1326"/>
      <c r="V1104" s="1320" t="s">
        <v>5411</v>
      </c>
    </row>
    <row r="1105" spans="1:25">
      <c r="A1105" s="1320" t="s">
        <v>4894</v>
      </c>
      <c r="B1105" s="1321"/>
      <c r="C1105" s="1434">
        <v>30</v>
      </c>
      <c r="D1105" s="1364"/>
      <c r="E1105" s="1364"/>
      <c r="F1105" s="1364"/>
      <c r="H1105" s="1324"/>
      <c r="I1105" s="1440"/>
      <c r="R1105" s="1324"/>
      <c r="S1105" s="1326"/>
      <c r="T1105" s="1321"/>
      <c r="U1105" s="1326"/>
    </row>
    <row r="1106" spans="1:25">
      <c r="A1106" s="1320" t="s">
        <v>4894</v>
      </c>
      <c r="B1106" s="1320">
        <v>310</v>
      </c>
      <c r="C1106" s="1434">
        <v>31</v>
      </c>
      <c r="D1106" s="1364" t="s">
        <v>5301</v>
      </c>
      <c r="E1106" s="1364" t="s">
        <v>4071</v>
      </c>
      <c r="F1106" s="1364">
        <f>+'0 MDS Allocation Assignment'!F381</f>
        <v>2332.0188410518558</v>
      </c>
      <c r="G1106" s="1364">
        <f>+$F1106*G$1994</f>
        <v>0</v>
      </c>
      <c r="H1106" s="1364">
        <f>+$F1106*H$1994</f>
        <v>2332.0188410518558</v>
      </c>
      <c r="I1106" s="1374">
        <f t="shared" ref="I1106:I1111" si="521">IF(F1106=0,0,+H1106/F1106)</f>
        <v>1</v>
      </c>
      <c r="J1106" s="1364">
        <f>+H1106</f>
        <v>2332.0188410518558</v>
      </c>
      <c r="K1106" s="1364">
        <f t="shared" ref="K1106:Q1106" si="522">+$J1106*K$1994</f>
        <v>0</v>
      </c>
      <c r="L1106" s="1364">
        <f t="shared" si="522"/>
        <v>0</v>
      </c>
      <c r="M1106" s="1364">
        <f t="shared" si="522"/>
        <v>0</v>
      </c>
      <c r="N1106" s="1367">
        <f t="shared" si="522"/>
        <v>0</v>
      </c>
      <c r="O1106" s="1367">
        <f t="shared" si="522"/>
        <v>0</v>
      </c>
      <c r="P1106" s="1367">
        <f t="shared" si="522"/>
        <v>0</v>
      </c>
      <c r="Q1106" s="1364">
        <f t="shared" si="522"/>
        <v>2332.0188410518558</v>
      </c>
      <c r="R1106" s="1364"/>
      <c r="S1106" s="1324">
        <v>310</v>
      </c>
      <c r="V1106" s="1321" t="s">
        <v>5302</v>
      </c>
      <c r="W1106" s="1321">
        <v>310</v>
      </c>
      <c r="Y1106" s="1324"/>
    </row>
    <row r="1107" spans="1:25">
      <c r="A1107" s="1320" t="s">
        <v>4894</v>
      </c>
      <c r="B1107" s="1320">
        <v>105</v>
      </c>
      <c r="C1107" s="1434">
        <v>32</v>
      </c>
      <c r="D1107" s="1364" t="s">
        <v>5303</v>
      </c>
      <c r="E1107" s="1364" t="s">
        <v>4067</v>
      </c>
      <c r="F1107" s="1364">
        <f>+'0 MDS Allocation Assignment'!F382</f>
        <v>129229.6256603201</v>
      </c>
      <c r="G1107" s="1364">
        <f>+$F1107*G$1936</f>
        <v>0</v>
      </c>
      <c r="H1107" s="1364">
        <f>+$F1107*H$1936</f>
        <v>129229.6256603201</v>
      </c>
      <c r="I1107" s="1374">
        <f t="shared" si="521"/>
        <v>1</v>
      </c>
      <c r="J1107" s="1364">
        <f>+H1107</f>
        <v>129229.6256603201</v>
      </c>
      <c r="K1107" s="1364">
        <f t="shared" ref="K1107:Q1107" si="523">+$J1107*K$1936</f>
        <v>80434.588245697785</v>
      </c>
      <c r="L1107" s="1364">
        <f t="shared" si="523"/>
        <v>5720.7096507578699</v>
      </c>
      <c r="M1107" s="1364">
        <f t="shared" si="523"/>
        <v>38303.722973620366</v>
      </c>
      <c r="N1107" s="1367">
        <f t="shared" si="523"/>
        <v>4028.7815187239084</v>
      </c>
      <c r="O1107" s="1367">
        <f t="shared" si="523"/>
        <v>2.7507735357020671E-3</v>
      </c>
      <c r="P1107" s="1367">
        <f t="shared" si="523"/>
        <v>741.82052074667286</v>
      </c>
      <c r="Q1107" s="1364">
        <f t="shared" si="523"/>
        <v>0</v>
      </c>
      <c r="R1107" s="1364"/>
      <c r="S1107" s="1324">
        <v>105</v>
      </c>
      <c r="V1107" s="1321" t="s">
        <v>5229</v>
      </c>
      <c r="W1107" s="1321">
        <v>105</v>
      </c>
      <c r="Y1107" s="1324"/>
    </row>
    <row r="1108" spans="1:25">
      <c r="A1108" s="1320" t="s">
        <v>4894</v>
      </c>
      <c r="B1108" s="1320">
        <v>418</v>
      </c>
      <c r="C1108" s="1434">
        <v>33</v>
      </c>
      <c r="D1108" s="1364" t="s">
        <v>5304</v>
      </c>
      <c r="E1108" s="1364" t="s">
        <v>4071</v>
      </c>
      <c r="F1108" s="1364">
        <f>+'0 MDS Allocation Assignment'!F383</f>
        <v>0</v>
      </c>
      <c r="G1108" s="1364">
        <f>+$F1108*G$2021</f>
        <v>0</v>
      </c>
      <c r="H1108" s="1364">
        <f>+$F1108*H$1936</f>
        <v>0</v>
      </c>
      <c r="I1108" s="1374">
        <f t="shared" si="521"/>
        <v>0</v>
      </c>
      <c r="J1108" s="1364">
        <f>+H1108</f>
        <v>0</v>
      </c>
      <c r="K1108" s="1364">
        <f t="shared" ref="K1108:Q1108" si="524">+$J1108*K$2021</f>
        <v>0</v>
      </c>
      <c r="L1108" s="1364">
        <f t="shared" si="524"/>
        <v>0</v>
      </c>
      <c r="M1108" s="1364">
        <f t="shared" si="524"/>
        <v>0</v>
      </c>
      <c r="N1108" s="1367">
        <f t="shared" si="524"/>
        <v>0</v>
      </c>
      <c r="O1108" s="1367">
        <f t="shared" si="524"/>
        <v>0</v>
      </c>
      <c r="P1108" s="1367">
        <f t="shared" si="524"/>
        <v>0</v>
      </c>
      <c r="Q1108" s="1364">
        <f t="shared" si="524"/>
        <v>0</v>
      </c>
      <c r="R1108" s="1364"/>
      <c r="S1108" s="1324">
        <v>418</v>
      </c>
      <c r="V1108" s="1321" t="s">
        <v>5305</v>
      </c>
      <c r="W1108" s="1321">
        <v>418</v>
      </c>
      <c r="Y1108" s="1324"/>
    </row>
    <row r="1109" spans="1:25">
      <c r="A1109" s="1320" t="s">
        <v>4894</v>
      </c>
      <c r="B1109" s="1320">
        <v>106</v>
      </c>
      <c r="C1109" s="1434">
        <v>34</v>
      </c>
      <c r="D1109" s="1364" t="s">
        <v>5306</v>
      </c>
      <c r="E1109" s="1364" t="s">
        <v>4067</v>
      </c>
      <c r="F1109" s="1364">
        <f>+'0 MDS Allocation Assignment'!F384</f>
        <v>19659.49503862804</v>
      </c>
      <c r="G1109" s="1364">
        <f>+$F1109*G$1939</f>
        <v>0</v>
      </c>
      <c r="H1109" s="1364">
        <f>+$F1109*H$1939</f>
        <v>19659.49503862804</v>
      </c>
      <c r="I1109" s="1374">
        <f t="shared" si="521"/>
        <v>1</v>
      </c>
      <c r="J1109" s="1364">
        <f>+H1109</f>
        <v>19659.49503862804</v>
      </c>
      <c r="K1109" s="1364">
        <f t="shared" ref="K1109:Q1109" si="525">+$J1109*K$1939</f>
        <v>14344.221480411599</v>
      </c>
      <c r="L1109" s="1364">
        <f t="shared" si="525"/>
        <v>1154.9945079491958</v>
      </c>
      <c r="M1109" s="1364">
        <f t="shared" si="525"/>
        <v>4089.1622383960776</v>
      </c>
      <c r="N1109" s="1367">
        <f t="shared" si="525"/>
        <v>0</v>
      </c>
      <c r="O1109" s="1367">
        <f t="shared" si="525"/>
        <v>0</v>
      </c>
      <c r="P1109" s="1367">
        <f t="shared" si="525"/>
        <v>71.11681187116632</v>
      </c>
      <c r="Q1109" s="1364">
        <f t="shared" si="525"/>
        <v>0</v>
      </c>
      <c r="R1109" s="1364"/>
      <c r="S1109" s="1324">
        <v>106</v>
      </c>
      <c r="V1109" s="1321" t="s">
        <v>5230</v>
      </c>
      <c r="W1109" s="1321">
        <v>106</v>
      </c>
      <c r="Y1109" s="1324"/>
    </row>
    <row r="1110" spans="1:25">
      <c r="A1110" s="1320" t="s">
        <v>4894</v>
      </c>
      <c r="B1110" s="1320">
        <v>420</v>
      </c>
      <c r="C1110" s="1434">
        <v>35</v>
      </c>
      <c r="D1110" s="1364" t="s">
        <v>5307</v>
      </c>
      <c r="E1110" s="1364" t="s">
        <v>4071</v>
      </c>
      <c r="F1110" s="1364">
        <f>+'0 MDS Allocation Assignment'!F385</f>
        <v>0</v>
      </c>
      <c r="G1110" s="1364">
        <f>+$F1110*$G$2024</f>
        <v>0</v>
      </c>
      <c r="H1110" s="1364">
        <f>+$F1110*$H$2024</f>
        <v>0</v>
      </c>
      <c r="I1110" s="1374">
        <f t="shared" si="521"/>
        <v>0</v>
      </c>
      <c r="J1110" s="1364">
        <f>+H1110</f>
        <v>0</v>
      </c>
      <c r="K1110" s="1364">
        <f t="shared" ref="K1110:Q1110" si="526">+$J1110*K$2024</f>
        <v>0</v>
      </c>
      <c r="L1110" s="1364">
        <f t="shared" si="526"/>
        <v>0</v>
      </c>
      <c r="M1110" s="1364">
        <f t="shared" si="526"/>
        <v>0</v>
      </c>
      <c r="N1110" s="1367">
        <f t="shared" si="526"/>
        <v>0</v>
      </c>
      <c r="O1110" s="1367">
        <f t="shared" si="526"/>
        <v>0</v>
      </c>
      <c r="P1110" s="1367">
        <f t="shared" si="526"/>
        <v>0</v>
      </c>
      <c r="Q1110" s="1364">
        <f t="shared" si="526"/>
        <v>0</v>
      </c>
      <c r="R1110" s="1364"/>
      <c r="S1110" s="1324">
        <v>420</v>
      </c>
      <c r="V1110" s="1321" t="s">
        <v>5225</v>
      </c>
      <c r="W1110" s="1321">
        <v>420</v>
      </c>
      <c r="Y1110" s="1324"/>
    </row>
    <row r="1111" spans="1:25">
      <c r="A1111" s="1320" t="s">
        <v>4894</v>
      </c>
      <c r="B1111" s="1321"/>
      <c r="C1111" s="1434">
        <v>36</v>
      </c>
      <c r="D1111" s="1364" t="s">
        <v>5308</v>
      </c>
      <c r="E1111" s="1364"/>
      <c r="F1111" s="1421">
        <f>+SUM(F1106:F1110)</f>
        <v>151221.13954</v>
      </c>
      <c r="G1111" s="1421">
        <f>SUM(G1106:G1110)</f>
        <v>0</v>
      </c>
      <c r="H1111" s="1421">
        <f>SUM(H1106:H1110)</f>
        <v>151221.13954</v>
      </c>
      <c r="I1111" s="1374">
        <f t="shared" si="521"/>
        <v>1</v>
      </c>
      <c r="J1111" s="1421">
        <f>SUM(J1106:J1110)</f>
        <v>151221.13954</v>
      </c>
      <c r="K1111" s="1421">
        <f t="shared" ref="K1111:Q1111" si="527">SUM(K1106:K1110)</f>
        <v>94778.809726109379</v>
      </c>
      <c r="L1111" s="1421">
        <f t="shared" si="527"/>
        <v>6875.7041587070653</v>
      </c>
      <c r="M1111" s="1421">
        <f>SUM(M1106:M1110)</f>
        <v>42392.885212016445</v>
      </c>
      <c r="N1111" s="1421">
        <f t="shared" si="527"/>
        <v>4028.7815187239084</v>
      </c>
      <c r="O1111" s="1421">
        <f>SUM(O1106:O1110)</f>
        <v>2.7507735357020671E-3</v>
      </c>
      <c r="P1111" s="1421">
        <f>SUM(P1106:P1110)</f>
        <v>812.93733261783916</v>
      </c>
      <c r="Q1111" s="1421">
        <f t="shared" si="527"/>
        <v>2332.0188410518558</v>
      </c>
      <c r="R1111" s="1364"/>
      <c r="S1111" s="1326"/>
      <c r="T1111" s="1321"/>
      <c r="U1111" s="1326"/>
      <c r="V1111" s="1320" t="s">
        <v>5412</v>
      </c>
      <c r="Y1111" s="1324"/>
    </row>
    <row r="1112" spans="1:25">
      <c r="A1112" s="1320" t="s">
        <v>4894</v>
      </c>
      <c r="B1112" s="1441"/>
      <c r="C1112" s="1434">
        <v>37</v>
      </c>
      <c r="D1112" s="1447"/>
      <c r="E1112" s="1447"/>
      <c r="F1112" s="1399"/>
      <c r="G1112" s="1399"/>
      <c r="H1112" s="1399"/>
      <c r="I1112" s="1448"/>
      <c r="J1112" s="1399"/>
      <c r="K1112" s="1360"/>
      <c r="L1112" s="1360"/>
      <c r="M1112" s="1361"/>
      <c r="N1112" s="1361"/>
      <c r="O1112" s="1361"/>
      <c r="P1112" s="1399"/>
      <c r="Q1112" s="1399"/>
      <c r="R1112" s="1360"/>
      <c r="S1112" s="1399"/>
      <c r="T1112" s="1396"/>
      <c r="U1112" s="1399"/>
      <c r="Y1112" s="1324"/>
    </row>
    <row r="1113" spans="1:25">
      <c r="A1113" s="1320" t="s">
        <v>4894</v>
      </c>
      <c r="B1113" s="1320">
        <v>310</v>
      </c>
      <c r="C1113" s="1434">
        <v>38</v>
      </c>
      <c r="D1113" s="1364" t="s">
        <v>5310</v>
      </c>
      <c r="E1113" s="1364" t="s">
        <v>4071</v>
      </c>
      <c r="F1113" s="1364">
        <f>+'0 MDS Allocation Assignment'!F386</f>
        <v>72.255280302396912</v>
      </c>
      <c r="G1113" s="1364">
        <f>+$F1113*G$1994</f>
        <v>0</v>
      </c>
      <c r="H1113" s="1364">
        <f>+$F1113*H$1994</f>
        <v>72.255280302396912</v>
      </c>
      <c r="I1113" s="1374">
        <f t="shared" ref="I1113:I1118" si="528">IF(F1113=0,0,+H1113/F1113)</f>
        <v>1</v>
      </c>
      <c r="J1113" s="1364">
        <f>+H1113</f>
        <v>72.255280302396912</v>
      </c>
      <c r="K1113" s="1364">
        <f t="shared" ref="K1113:Q1113" si="529">+$J1113*K$1994</f>
        <v>0</v>
      </c>
      <c r="L1113" s="1364">
        <f t="shared" si="529"/>
        <v>0</v>
      </c>
      <c r="M1113" s="1364">
        <f t="shared" si="529"/>
        <v>0</v>
      </c>
      <c r="N1113" s="1367">
        <f t="shared" si="529"/>
        <v>0</v>
      </c>
      <c r="O1113" s="1367">
        <f t="shared" si="529"/>
        <v>0</v>
      </c>
      <c r="P1113" s="1367">
        <f t="shared" si="529"/>
        <v>0</v>
      </c>
      <c r="Q1113" s="1364">
        <f t="shared" si="529"/>
        <v>72.255280302396912</v>
      </c>
      <c r="R1113" s="1364"/>
      <c r="S1113" s="1324">
        <v>310</v>
      </c>
      <c r="V1113" s="1321" t="s">
        <v>5302</v>
      </c>
      <c r="W1113" s="1321">
        <v>310</v>
      </c>
      <c r="Y1113" s="1324"/>
    </row>
    <row r="1114" spans="1:25">
      <c r="A1114" s="1320" t="s">
        <v>4894</v>
      </c>
      <c r="B1114" s="1320">
        <v>105</v>
      </c>
      <c r="C1114" s="1434">
        <v>39</v>
      </c>
      <c r="D1114" s="1364" t="s">
        <v>5311</v>
      </c>
      <c r="E1114" s="1364" t="s">
        <v>4067</v>
      </c>
      <c r="F1114" s="1364">
        <f>+'0 MDS Allocation Assignment'!F387</f>
        <v>141098.14499999696</v>
      </c>
      <c r="G1114" s="1364">
        <f>+$F1114*G$1936</f>
        <v>0</v>
      </c>
      <c r="H1114" s="1364">
        <f>+$F1114*H$1936</f>
        <v>141098.14499999696</v>
      </c>
      <c r="I1114" s="1374">
        <f t="shared" si="528"/>
        <v>1</v>
      </c>
      <c r="J1114" s="1364">
        <f>+H1114</f>
        <v>141098.14499999696</v>
      </c>
      <c r="K1114" s="1364">
        <f t="shared" ref="K1114:Q1114" si="530">+$J1114*K$1936</f>
        <v>87821.744722357995</v>
      </c>
      <c r="L1114" s="1364">
        <f t="shared" si="530"/>
        <v>6246.1027468050661</v>
      </c>
      <c r="M1114" s="1364">
        <f t="shared" si="530"/>
        <v>41821.557793392851</v>
      </c>
      <c r="N1114" s="1367">
        <f t="shared" si="530"/>
        <v>4398.7870118605269</v>
      </c>
      <c r="O1114" s="1367">
        <f t="shared" si="530"/>
        <v>3.0034060782845665E-3</v>
      </c>
      <c r="P1114" s="1367">
        <f t="shared" si="530"/>
        <v>809.94972217447207</v>
      </c>
      <c r="Q1114" s="1364">
        <f t="shared" si="530"/>
        <v>0</v>
      </c>
      <c r="R1114" s="1364"/>
      <c r="S1114" s="1324">
        <v>105</v>
      </c>
      <c r="V1114" s="1321" t="s">
        <v>5229</v>
      </c>
      <c r="W1114" s="1321">
        <v>105</v>
      </c>
      <c r="Y1114" s="1324"/>
    </row>
    <row r="1115" spans="1:25">
      <c r="A1115" s="1320" t="s">
        <v>4894</v>
      </c>
      <c r="B1115" s="1320">
        <v>418</v>
      </c>
      <c r="C1115" s="1434">
        <v>40</v>
      </c>
      <c r="D1115" s="1364" t="s">
        <v>5312</v>
      </c>
      <c r="E1115" s="1364" t="s">
        <v>4071</v>
      </c>
      <c r="F1115" s="1364">
        <f>+'0 MDS Allocation Assignment'!F388</f>
        <v>0</v>
      </c>
      <c r="G1115" s="1364">
        <f>+$F1115*G$2021</f>
        <v>0</v>
      </c>
      <c r="H1115" s="1364">
        <f>+$F1115*H$1936</f>
        <v>0</v>
      </c>
      <c r="I1115" s="1374">
        <f t="shared" si="528"/>
        <v>0</v>
      </c>
      <c r="J1115" s="1364">
        <f>+H1115</f>
        <v>0</v>
      </c>
      <c r="K1115" s="1364">
        <f t="shared" ref="K1115:Q1115" si="531">+$J1115*K$2021</f>
        <v>0</v>
      </c>
      <c r="L1115" s="1364">
        <f t="shared" si="531"/>
        <v>0</v>
      </c>
      <c r="M1115" s="1364">
        <f t="shared" si="531"/>
        <v>0</v>
      </c>
      <c r="N1115" s="1367">
        <f t="shared" si="531"/>
        <v>0</v>
      </c>
      <c r="O1115" s="1367">
        <f t="shared" si="531"/>
        <v>0</v>
      </c>
      <c r="P1115" s="1367">
        <f t="shared" si="531"/>
        <v>0</v>
      </c>
      <c r="Q1115" s="1364">
        <f t="shared" si="531"/>
        <v>0</v>
      </c>
      <c r="R1115" s="1364"/>
      <c r="S1115" s="1324">
        <v>418</v>
      </c>
      <c r="V1115" s="1321" t="s">
        <v>5305</v>
      </c>
      <c r="W1115" s="1321">
        <v>418</v>
      </c>
      <c r="Y1115" s="1324"/>
    </row>
    <row r="1116" spans="1:25">
      <c r="A1116" s="1320" t="s">
        <v>4894</v>
      </c>
      <c r="B1116" s="1320">
        <v>106</v>
      </c>
      <c r="C1116" s="1434">
        <v>41</v>
      </c>
      <c r="D1116" s="1364" t="s">
        <v>5313</v>
      </c>
      <c r="E1116" s="1364" t="s">
        <v>4067</v>
      </c>
      <c r="F1116" s="1364">
        <f>+'0 MDS Allocation Assignment'!F389</f>
        <v>10758.21235970067</v>
      </c>
      <c r="G1116" s="1364">
        <f>+$F1116*G$1939</f>
        <v>0</v>
      </c>
      <c r="H1116" s="1364">
        <f>+$F1116*H$1939</f>
        <v>10758.21235970067</v>
      </c>
      <c r="I1116" s="1374">
        <f t="shared" si="528"/>
        <v>1</v>
      </c>
      <c r="J1116" s="1364">
        <f>+H1116</f>
        <v>10758.21235970067</v>
      </c>
      <c r="K1116" s="1364">
        <f t="shared" ref="K1116:Q1116" si="532">+$J1116*K$1939</f>
        <v>7849.5495696931785</v>
      </c>
      <c r="L1116" s="1364">
        <f t="shared" si="532"/>
        <v>632.04452435786322</v>
      </c>
      <c r="M1116" s="1364">
        <f t="shared" si="532"/>
        <v>2237.7012048120223</v>
      </c>
      <c r="N1116" s="1367">
        <f t="shared" si="532"/>
        <v>0</v>
      </c>
      <c r="O1116" s="1367">
        <f t="shared" si="532"/>
        <v>0</v>
      </c>
      <c r="P1116" s="1367">
        <f t="shared" si="532"/>
        <v>38.917060837605398</v>
      </c>
      <c r="Q1116" s="1364">
        <f t="shared" si="532"/>
        <v>0</v>
      </c>
      <c r="R1116" s="1364"/>
      <c r="S1116" s="1324">
        <v>106</v>
      </c>
      <c r="V1116" s="1321" t="s">
        <v>5230</v>
      </c>
      <c r="W1116" s="1321">
        <v>106</v>
      </c>
      <c r="Y1116" s="1324"/>
    </row>
    <row r="1117" spans="1:25">
      <c r="A1117" s="1320" t="s">
        <v>4894</v>
      </c>
      <c r="B1117" s="1320">
        <v>420</v>
      </c>
      <c r="C1117" s="1434">
        <v>42</v>
      </c>
      <c r="D1117" s="1364" t="s">
        <v>5314</v>
      </c>
      <c r="E1117" s="1364" t="s">
        <v>4071</v>
      </c>
      <c r="F1117" s="1364">
        <f>+'0 MDS Allocation Assignment'!F390</f>
        <v>0</v>
      </c>
      <c r="G1117" s="1364">
        <f>+$F1117*$G$2024</f>
        <v>0</v>
      </c>
      <c r="H1117" s="1364">
        <f>+$F1117*$H$2024</f>
        <v>0</v>
      </c>
      <c r="I1117" s="1374">
        <f t="shared" si="528"/>
        <v>0</v>
      </c>
      <c r="J1117" s="1364">
        <f>+H1117</f>
        <v>0</v>
      </c>
      <c r="K1117" s="1364">
        <f t="shared" ref="K1117:Q1117" si="533">+$J1117*K$2024</f>
        <v>0</v>
      </c>
      <c r="L1117" s="1364">
        <f t="shared" si="533"/>
        <v>0</v>
      </c>
      <c r="M1117" s="1364">
        <f t="shared" si="533"/>
        <v>0</v>
      </c>
      <c r="N1117" s="1367">
        <f t="shared" si="533"/>
        <v>0</v>
      </c>
      <c r="O1117" s="1367">
        <f t="shared" si="533"/>
        <v>0</v>
      </c>
      <c r="P1117" s="1367">
        <f t="shared" si="533"/>
        <v>0</v>
      </c>
      <c r="Q1117" s="1364">
        <f t="shared" si="533"/>
        <v>0</v>
      </c>
      <c r="R1117" s="1364"/>
      <c r="S1117" s="1324">
        <v>420</v>
      </c>
      <c r="V1117" s="1321" t="s">
        <v>5225</v>
      </c>
      <c r="W1117" s="1321">
        <v>420</v>
      </c>
      <c r="Y1117" s="1324"/>
    </row>
    <row r="1118" spans="1:25">
      <c r="A1118" s="1320" t="s">
        <v>4894</v>
      </c>
      <c r="B1118" s="1321"/>
      <c r="C1118" s="1434">
        <v>43</v>
      </c>
      <c r="D1118" s="1364" t="s">
        <v>5315</v>
      </c>
      <c r="E1118" s="1364"/>
      <c r="F1118" s="1421">
        <f>+SUM(F1113:F1117)</f>
        <v>151928.61264000004</v>
      </c>
      <c r="G1118" s="1421">
        <f>SUM(G1113:G1117)</f>
        <v>0</v>
      </c>
      <c r="H1118" s="1421">
        <f>SUM(H1113:H1117)</f>
        <v>151928.61264000004</v>
      </c>
      <c r="I1118" s="1374">
        <f t="shared" si="528"/>
        <v>1</v>
      </c>
      <c r="J1118" s="1421">
        <f>SUM(J1113:J1117)</f>
        <v>151928.61264000004</v>
      </c>
      <c r="K1118" s="1421">
        <f t="shared" ref="K1118:Q1118" si="534">SUM(K1113:K1117)</f>
        <v>95671.29429205117</v>
      </c>
      <c r="L1118" s="1421">
        <f t="shared" si="534"/>
        <v>6878.1472711629294</v>
      </c>
      <c r="M1118" s="1421">
        <f>SUM(M1113:M1117)</f>
        <v>44059.258998204874</v>
      </c>
      <c r="N1118" s="1421">
        <f t="shared" si="534"/>
        <v>4398.7870118605269</v>
      </c>
      <c r="O1118" s="1421">
        <f>SUM(O1113:O1117)</f>
        <v>3.0034060782845665E-3</v>
      </c>
      <c r="P1118" s="1421">
        <f>SUM(P1113:P1117)</f>
        <v>848.86678301207746</v>
      </c>
      <c r="Q1118" s="1421">
        <f t="shared" si="534"/>
        <v>72.255280302396912</v>
      </c>
      <c r="R1118" s="1364"/>
      <c r="S1118" s="1326"/>
      <c r="T1118" s="1321"/>
      <c r="U1118" s="1326"/>
      <c r="V1118" s="1320" t="s">
        <v>5414</v>
      </c>
    </row>
    <row r="1119" spans="1:25">
      <c r="A1119" s="1320" t="s">
        <v>4894</v>
      </c>
      <c r="B1119" s="1321"/>
      <c r="C1119" s="1434">
        <v>44</v>
      </c>
      <c r="D1119" s="1364"/>
      <c r="E1119" s="1364"/>
      <c r="F1119" s="1364"/>
      <c r="H1119" s="1324"/>
      <c r="I1119" s="1440"/>
      <c r="R1119" s="1324"/>
      <c r="S1119" s="1326"/>
      <c r="T1119" s="1321"/>
      <c r="U1119" s="1326"/>
    </row>
    <row r="1120" spans="1:25" s="1324" customFormat="1">
      <c r="A1120" s="1324" t="s">
        <v>4894</v>
      </c>
      <c r="B1120" s="1324">
        <v>310</v>
      </c>
      <c r="C1120" s="1439">
        <v>45</v>
      </c>
      <c r="D1120" s="1324" t="s">
        <v>5317</v>
      </c>
      <c r="E1120" s="1364" t="s">
        <v>4071</v>
      </c>
      <c r="F1120" s="1364">
        <f>+'0 MDS Allocation Assignment'!F391</f>
        <v>0</v>
      </c>
      <c r="G1120" s="1364">
        <f>+$F1120*G$1994</f>
        <v>0</v>
      </c>
      <c r="H1120" s="1364">
        <f>+$F1120*H$1994</f>
        <v>0</v>
      </c>
      <c r="I1120" s="1374">
        <f t="shared" ref="I1120:I1125" si="535">IF(F1120=0,0,+H1120/F1120)</f>
        <v>0</v>
      </c>
      <c r="J1120" s="1364">
        <f>+H1120</f>
        <v>0</v>
      </c>
      <c r="K1120" s="1364">
        <f t="shared" ref="K1120:Q1120" si="536">+$J1120*K$1994</f>
        <v>0</v>
      </c>
      <c r="L1120" s="1364">
        <f t="shared" si="536"/>
        <v>0</v>
      </c>
      <c r="M1120" s="1364">
        <f t="shared" si="536"/>
        <v>0</v>
      </c>
      <c r="N1120" s="1367">
        <f t="shared" si="536"/>
        <v>0</v>
      </c>
      <c r="O1120" s="1367">
        <f t="shared" si="536"/>
        <v>0</v>
      </c>
      <c r="P1120" s="1367">
        <f t="shared" si="536"/>
        <v>0</v>
      </c>
      <c r="Q1120" s="1364">
        <f t="shared" si="536"/>
        <v>0</v>
      </c>
      <c r="R1120" s="1364"/>
      <c r="S1120" s="1324">
        <v>310</v>
      </c>
      <c r="V1120" s="1326" t="s">
        <v>5302</v>
      </c>
      <c r="W1120" s="1326">
        <v>310</v>
      </c>
    </row>
    <row r="1121" spans="1:25" s="1324" customFormat="1">
      <c r="A1121" s="1324" t="s">
        <v>4894</v>
      </c>
      <c r="B1121" s="1324">
        <v>105</v>
      </c>
      <c r="C1121" s="1439">
        <v>46</v>
      </c>
      <c r="D1121" s="1324" t="s">
        <v>5318</v>
      </c>
      <c r="E1121" s="1364" t="s">
        <v>4067</v>
      </c>
      <c r="F1121" s="1364">
        <f>+'0 MDS Allocation Assignment'!F392</f>
        <v>61807.293146566983</v>
      </c>
      <c r="G1121" s="1364">
        <f>+$F1121*G$1936</f>
        <v>0</v>
      </c>
      <c r="H1121" s="1364">
        <f>+$F1121*H$1936</f>
        <v>61807.293146566983</v>
      </c>
      <c r="I1121" s="1374">
        <f t="shared" si="535"/>
        <v>1</v>
      </c>
      <c r="J1121" s="1364">
        <f>+H1121</f>
        <v>61807.293146566983</v>
      </c>
      <c r="K1121" s="1364">
        <f t="shared" ref="K1121:Q1121" si="537">+$J1121*K$1936</f>
        <v>38469.848917559262</v>
      </c>
      <c r="L1121" s="1364">
        <f t="shared" si="537"/>
        <v>2736.0721396823915</v>
      </c>
      <c r="M1121" s="1364">
        <f t="shared" si="537"/>
        <v>18319.711307206631</v>
      </c>
      <c r="N1121" s="1367">
        <f t="shared" si="537"/>
        <v>1926.8652917540544</v>
      </c>
      <c r="O1121" s="1367">
        <f t="shared" si="537"/>
        <v>1.3156260836648087E-3</v>
      </c>
      <c r="P1121" s="1367">
        <f t="shared" si="537"/>
        <v>354.79417473857762</v>
      </c>
      <c r="Q1121" s="1364">
        <f t="shared" si="537"/>
        <v>0</v>
      </c>
      <c r="R1121" s="1364"/>
      <c r="S1121" s="1324">
        <v>105</v>
      </c>
      <c r="V1121" s="1326" t="s">
        <v>5229</v>
      </c>
      <c r="W1121" s="1326">
        <v>105</v>
      </c>
    </row>
    <row r="1122" spans="1:25" s="1324" customFormat="1">
      <c r="A1122" s="1324" t="s">
        <v>4894</v>
      </c>
      <c r="B1122" s="1324">
        <v>418</v>
      </c>
      <c r="C1122" s="1439">
        <v>47</v>
      </c>
      <c r="D1122" s="1324" t="s">
        <v>5319</v>
      </c>
      <c r="E1122" s="1364" t="s">
        <v>4071</v>
      </c>
      <c r="F1122" s="1364">
        <f>+'0 MDS Allocation Assignment'!F393</f>
        <v>0</v>
      </c>
      <c r="G1122" s="1364">
        <f>+$F1122*G$2021</f>
        <v>0</v>
      </c>
      <c r="H1122" s="1364">
        <f>+$F1122*H$1936</f>
        <v>0</v>
      </c>
      <c r="I1122" s="1374">
        <f t="shared" si="535"/>
        <v>0</v>
      </c>
      <c r="J1122" s="1364">
        <f>+H1122</f>
        <v>0</v>
      </c>
      <c r="K1122" s="1364">
        <f t="shared" ref="K1122:Q1122" si="538">+$J1122*K$2021</f>
        <v>0</v>
      </c>
      <c r="L1122" s="1364">
        <f t="shared" si="538"/>
        <v>0</v>
      </c>
      <c r="M1122" s="1364">
        <f t="shared" si="538"/>
        <v>0</v>
      </c>
      <c r="N1122" s="1367">
        <f t="shared" si="538"/>
        <v>0</v>
      </c>
      <c r="O1122" s="1367">
        <f t="shared" si="538"/>
        <v>0</v>
      </c>
      <c r="P1122" s="1367">
        <f t="shared" si="538"/>
        <v>0</v>
      </c>
      <c r="Q1122" s="1364">
        <f t="shared" si="538"/>
        <v>0</v>
      </c>
      <c r="R1122" s="1364"/>
      <c r="S1122" s="1324">
        <v>418</v>
      </c>
      <c r="V1122" s="1326" t="s">
        <v>5305</v>
      </c>
      <c r="W1122" s="1326">
        <v>418</v>
      </c>
    </row>
    <row r="1123" spans="1:25" s="1324" customFormat="1">
      <c r="A1123" s="1324" t="s">
        <v>4894</v>
      </c>
      <c r="B1123" s="1324">
        <v>106</v>
      </c>
      <c r="C1123" s="1439">
        <v>48</v>
      </c>
      <c r="D1123" s="1324" t="s">
        <v>5320</v>
      </c>
      <c r="E1123" s="1364" t="s">
        <v>4067</v>
      </c>
      <c r="F1123" s="1364">
        <f>+'0 MDS Allocation Assignment'!F394</f>
        <v>313998.53075343295</v>
      </c>
      <c r="G1123" s="1364">
        <f>+$F1123*G$1939</f>
        <v>0</v>
      </c>
      <c r="H1123" s="1364">
        <f>+$F1123*H$1939</f>
        <v>313998.53075343295</v>
      </c>
      <c r="I1123" s="1374">
        <f t="shared" si="535"/>
        <v>1</v>
      </c>
      <c r="J1123" s="1364">
        <f>+H1123</f>
        <v>313998.53075343295</v>
      </c>
      <c r="K1123" s="1364">
        <f t="shared" ref="K1123:Q1123" si="539">+$J1123*K$1939</f>
        <v>229103.77203489945</v>
      </c>
      <c r="L1123" s="1364">
        <f t="shared" si="539"/>
        <v>18447.400495879716</v>
      </c>
      <c r="M1123" s="1364">
        <f t="shared" si="539"/>
        <v>65311.491080820364</v>
      </c>
      <c r="N1123" s="1367">
        <f t="shared" si="539"/>
        <v>0</v>
      </c>
      <c r="O1123" s="1367">
        <f t="shared" si="539"/>
        <v>0</v>
      </c>
      <c r="P1123" s="1367">
        <f t="shared" si="539"/>
        <v>1135.8671418334095</v>
      </c>
      <c r="Q1123" s="1364">
        <f t="shared" si="539"/>
        <v>0</v>
      </c>
      <c r="R1123" s="1364"/>
      <c r="S1123" s="1324">
        <v>106</v>
      </c>
      <c r="V1123" s="1326" t="s">
        <v>5230</v>
      </c>
      <c r="W1123" s="1326">
        <v>106</v>
      </c>
    </row>
    <row r="1124" spans="1:25" s="1324" customFormat="1">
      <c r="A1124" s="1324" t="s">
        <v>4894</v>
      </c>
      <c r="B1124" s="1324">
        <v>420</v>
      </c>
      <c r="C1124" s="1439">
        <v>49</v>
      </c>
      <c r="D1124" s="1324" t="s">
        <v>5321</v>
      </c>
      <c r="E1124" s="1364" t="s">
        <v>4071</v>
      </c>
      <c r="F1124" s="1364">
        <f>+'0 MDS Allocation Assignment'!F395</f>
        <v>0</v>
      </c>
      <c r="G1124" s="1364">
        <f>+$F1124*$G$2024</f>
        <v>0</v>
      </c>
      <c r="H1124" s="1364">
        <f>+$F1124*$H$2024</f>
        <v>0</v>
      </c>
      <c r="I1124" s="1374">
        <f t="shared" si="535"/>
        <v>0</v>
      </c>
      <c r="J1124" s="1364">
        <f>+H1124</f>
        <v>0</v>
      </c>
      <c r="K1124" s="1364">
        <f t="shared" ref="K1124:Q1124" si="540">+$J1124*K$2024</f>
        <v>0</v>
      </c>
      <c r="L1124" s="1364">
        <f t="shared" si="540"/>
        <v>0</v>
      </c>
      <c r="M1124" s="1364">
        <f t="shared" si="540"/>
        <v>0</v>
      </c>
      <c r="N1124" s="1367">
        <f t="shared" si="540"/>
        <v>0</v>
      </c>
      <c r="O1124" s="1367">
        <f t="shared" si="540"/>
        <v>0</v>
      </c>
      <c r="P1124" s="1367">
        <f t="shared" si="540"/>
        <v>0</v>
      </c>
      <c r="Q1124" s="1364">
        <f t="shared" si="540"/>
        <v>0</v>
      </c>
      <c r="R1124" s="1364"/>
      <c r="S1124" s="1324">
        <v>420</v>
      </c>
      <c r="V1124" s="1326" t="s">
        <v>5225</v>
      </c>
      <c r="W1124" s="1326">
        <v>420</v>
      </c>
    </row>
    <row r="1125" spans="1:25" s="1324" customFormat="1">
      <c r="A1125" s="1324" t="s">
        <v>4894</v>
      </c>
      <c r="B1125" s="1326"/>
      <c r="C1125" s="1439">
        <v>50</v>
      </c>
      <c r="D1125" s="1324" t="s">
        <v>5322</v>
      </c>
      <c r="E1125" s="1364"/>
      <c r="F1125" s="1421">
        <f>+SUM(F1120:F1124)</f>
        <v>375805.82389999996</v>
      </c>
      <c r="G1125" s="1421">
        <f>SUM(G1120:G1124)</f>
        <v>0</v>
      </c>
      <c r="H1125" s="1421">
        <f>SUM(H1120:H1124)</f>
        <v>375805.82389999996</v>
      </c>
      <c r="I1125" s="1374">
        <f t="shared" si="535"/>
        <v>1</v>
      </c>
      <c r="J1125" s="1421">
        <f>SUM(J1120:J1124)</f>
        <v>375805.82389999996</v>
      </c>
      <c r="K1125" s="1421">
        <f t="shared" ref="K1125:Q1125" si="541">SUM(K1120:K1124)</f>
        <v>267573.6209524587</v>
      </c>
      <c r="L1125" s="1421">
        <f t="shared" si="541"/>
        <v>21183.472635562106</v>
      </c>
      <c r="M1125" s="1421">
        <f>SUM(M1120:M1124)</f>
        <v>83631.202388026999</v>
      </c>
      <c r="N1125" s="1421">
        <f t="shared" si="541"/>
        <v>1926.8652917540544</v>
      </c>
      <c r="O1125" s="1421">
        <f t="shared" si="541"/>
        <v>1.3156260836648087E-3</v>
      </c>
      <c r="P1125" s="1421">
        <f t="shared" si="541"/>
        <v>1490.6613165719871</v>
      </c>
      <c r="Q1125" s="1421">
        <f t="shared" si="541"/>
        <v>0</v>
      </c>
      <c r="R1125" s="1364"/>
      <c r="S1125" s="1326"/>
      <c r="T1125" s="1326"/>
      <c r="U1125" s="1326"/>
      <c r="V1125" s="1324" t="s">
        <v>5415</v>
      </c>
    </row>
    <row r="1126" spans="1:25">
      <c r="A1126" s="1320" t="s">
        <v>4894</v>
      </c>
      <c r="B1126" s="1321"/>
      <c r="C1126" s="1434">
        <v>51</v>
      </c>
      <c r="D1126" s="1358"/>
      <c r="E1126" s="1358"/>
      <c r="F1126" s="1358"/>
      <c r="G1126" s="1320"/>
      <c r="I1126" s="1379"/>
      <c r="R1126" s="1324"/>
      <c r="S1126" s="1321"/>
      <c r="T1126" s="1321"/>
      <c r="U1126" s="1326"/>
      <c r="Y1126" s="1324"/>
    </row>
    <row r="1127" spans="1:25">
      <c r="A1127" s="1320" t="s">
        <v>4894</v>
      </c>
      <c r="B1127" s="1320">
        <v>420</v>
      </c>
      <c r="C1127" s="1434">
        <v>52</v>
      </c>
      <c r="D1127" s="1358" t="s">
        <v>5324</v>
      </c>
      <c r="E1127" s="1358" t="s">
        <v>4071</v>
      </c>
      <c r="F1127" s="1358">
        <f>+'0 MDS Allocation Assignment'!F396</f>
        <v>143574.07361000002</v>
      </c>
      <c r="G1127" s="1358">
        <f>+$F1127*G$2024</f>
        <v>0</v>
      </c>
      <c r="H1127" s="1358">
        <f>+$F1127*H$2024</f>
        <v>143574.07361000002</v>
      </c>
      <c r="I1127" s="1323">
        <f>IF(F1127=0,0,+H1127/F1127)</f>
        <v>1</v>
      </c>
      <c r="J1127" s="1364">
        <f>+H1127</f>
        <v>143574.07361000002</v>
      </c>
      <c r="K1127" s="1364">
        <f t="shared" ref="K1127:Q1127" si="542">+$J1127*K$2024</f>
        <v>128088.06594180243</v>
      </c>
      <c r="L1127" s="1364">
        <f t="shared" si="542"/>
        <v>12413.820635147011</v>
      </c>
      <c r="M1127" s="1364">
        <f t="shared" si="542"/>
        <v>3035.8810335273461</v>
      </c>
      <c r="N1127" s="1364">
        <f t="shared" si="542"/>
        <v>0</v>
      </c>
      <c r="O1127" s="1364">
        <f t="shared" si="542"/>
        <v>0</v>
      </c>
      <c r="P1127" s="1364">
        <f t="shared" si="542"/>
        <v>36.305999523230099</v>
      </c>
      <c r="Q1127" s="1364">
        <f t="shared" si="542"/>
        <v>0</v>
      </c>
      <c r="R1127" s="1358"/>
      <c r="S1127" s="1320">
        <v>420</v>
      </c>
      <c r="V1127" s="1321" t="s">
        <v>5225</v>
      </c>
      <c r="W1127" s="1321">
        <v>420</v>
      </c>
    </row>
    <row r="1128" spans="1:25">
      <c r="A1128" s="1320" t="s">
        <v>4894</v>
      </c>
      <c r="B1128" s="1320">
        <v>308</v>
      </c>
      <c r="C1128" s="1434">
        <v>53</v>
      </c>
      <c r="D1128" s="1358" t="s">
        <v>5325</v>
      </c>
      <c r="E1128" s="1358" t="s">
        <v>4071</v>
      </c>
      <c r="F1128" s="1358">
        <f>+'0 MDS Allocation Assignment'!F397</f>
        <v>25380.59634</v>
      </c>
      <c r="G1128" s="1358">
        <f>+$F1128*G$1988</f>
        <v>0</v>
      </c>
      <c r="H1128" s="1358">
        <f>+$F1128*H$1988</f>
        <v>25380.59634</v>
      </c>
      <c r="I1128" s="1323">
        <f>IF(F1128=0,0,+H1128/F1128)</f>
        <v>1</v>
      </c>
      <c r="J1128" s="1364">
        <f>+H1128</f>
        <v>25380.59634</v>
      </c>
      <c r="K1128" s="1364">
        <f t="shared" ref="K1128:Q1128" si="543">+$J1128*K$1988</f>
        <v>17326.630701168142</v>
      </c>
      <c r="L1128" s="1364">
        <f t="shared" si="543"/>
        <v>4518.5635815543374</v>
      </c>
      <c r="M1128" s="1364">
        <f t="shared" si="543"/>
        <v>2972.9650560298619</v>
      </c>
      <c r="N1128" s="1364">
        <f t="shared" si="543"/>
        <v>244.38702763080556</v>
      </c>
      <c r="O1128" s="1364">
        <f t="shared" si="543"/>
        <v>266.6365060541055</v>
      </c>
      <c r="P1128" s="1364">
        <f t="shared" si="543"/>
        <v>51.413467562749723</v>
      </c>
      <c r="Q1128" s="1364">
        <f t="shared" si="543"/>
        <v>0</v>
      </c>
      <c r="R1128" s="1364"/>
      <c r="S1128" s="1324">
        <v>308</v>
      </c>
      <c r="V1128" s="1321" t="s">
        <v>5326</v>
      </c>
      <c r="W1128" s="1321">
        <v>308</v>
      </c>
    </row>
    <row r="1129" spans="1:25">
      <c r="A1129" s="1320" t="s">
        <v>4894</v>
      </c>
      <c r="B1129" s="1320">
        <v>412</v>
      </c>
      <c r="C1129" s="1434">
        <v>54</v>
      </c>
      <c r="D1129" s="1358" t="s">
        <v>5416</v>
      </c>
      <c r="E1129" s="1358" t="s">
        <v>4071</v>
      </c>
      <c r="F1129" s="1358">
        <f>+'0 MDS Allocation Assignment'!F398</f>
        <v>0</v>
      </c>
      <c r="G1129" s="1358">
        <f>+$F1129*G$1991</f>
        <v>0</v>
      </c>
      <c r="H1129" s="1358">
        <f>+$F1129*H$1991</f>
        <v>0</v>
      </c>
      <c r="I1129" s="1323">
        <f>IF(F1129=0,0,+H1129/F1129)</f>
        <v>0</v>
      </c>
      <c r="J1129" s="1364">
        <f>+H1129</f>
        <v>0</v>
      </c>
      <c r="K1129" s="1364">
        <f>+$J1129*K$2018</f>
        <v>0</v>
      </c>
      <c r="L1129" s="1364">
        <f>+$J1129*L$2018</f>
        <v>0</v>
      </c>
      <c r="M1129" s="1364">
        <f>+$J1129*M$1991</f>
        <v>0</v>
      </c>
      <c r="N1129" s="1367">
        <f>+$J1129*N$2018</f>
        <v>0</v>
      </c>
      <c r="O1129" s="1367">
        <f>+$J1129*O$2018</f>
        <v>0</v>
      </c>
      <c r="P1129" s="1367">
        <f>+$J1129*P$2018</f>
        <v>0</v>
      </c>
      <c r="Q1129" s="1364">
        <f>+$J1129*Q$2018</f>
        <v>0</v>
      </c>
      <c r="R1129" s="1358"/>
      <c r="S1129" s="1320">
        <v>309</v>
      </c>
      <c r="V1129" s="1321" t="s">
        <v>5328</v>
      </c>
      <c r="W1129" s="1321">
        <v>309</v>
      </c>
    </row>
    <row r="1130" spans="1:25">
      <c r="A1130" s="1320" t="s">
        <v>4894</v>
      </c>
      <c r="B1130" s="1320">
        <v>310</v>
      </c>
      <c r="C1130" s="1434">
        <v>55</v>
      </c>
      <c r="D1130" s="1358" t="s">
        <v>5329</v>
      </c>
      <c r="E1130" s="1358" t="s">
        <v>4071</v>
      </c>
      <c r="F1130" s="1358">
        <f>+'0 MDS Allocation Assignment'!F399</f>
        <v>132134.3505</v>
      </c>
      <c r="G1130" s="1350">
        <f>+$F1130*G$1994</f>
        <v>0</v>
      </c>
      <c r="H1130" s="1350">
        <f>+$F1130*H$1994</f>
        <v>132134.3505</v>
      </c>
      <c r="I1130" s="1323">
        <f>IF(F1130=0,0,+H1130/F1130)</f>
        <v>1</v>
      </c>
      <c r="J1130" s="1366">
        <f>+H1130</f>
        <v>132134.3505</v>
      </c>
      <c r="K1130" s="1366">
        <f t="shared" ref="K1130:Q1130" si="544">+$J1130*K$1994</f>
        <v>0</v>
      </c>
      <c r="L1130" s="1366">
        <f t="shared" si="544"/>
        <v>0</v>
      </c>
      <c r="M1130" s="1366">
        <f t="shared" si="544"/>
        <v>0</v>
      </c>
      <c r="N1130" s="1378">
        <f t="shared" si="544"/>
        <v>0</v>
      </c>
      <c r="O1130" s="1378">
        <f t="shared" si="544"/>
        <v>0</v>
      </c>
      <c r="P1130" s="1378">
        <f t="shared" si="544"/>
        <v>0</v>
      </c>
      <c r="Q1130" s="1366">
        <f t="shared" si="544"/>
        <v>132134.3505</v>
      </c>
      <c r="R1130" s="1358"/>
      <c r="S1130" s="1320">
        <v>310</v>
      </c>
      <c r="V1130" s="1321" t="s">
        <v>5302</v>
      </c>
      <c r="W1130" s="1321">
        <v>310</v>
      </c>
    </row>
    <row r="1131" spans="1:25">
      <c r="A1131" s="1320" t="s">
        <v>4894</v>
      </c>
      <c r="B1131" s="1436"/>
      <c r="C1131" s="1434">
        <v>56</v>
      </c>
      <c r="D1131" s="1358"/>
      <c r="E1131" s="1358"/>
      <c r="F1131" s="1376"/>
      <c r="G1131" s="1358"/>
      <c r="H1131" s="1358"/>
      <c r="I1131" s="1379"/>
      <c r="J1131" s="1364"/>
      <c r="K1131" s="1364"/>
      <c r="L1131" s="1364"/>
      <c r="M1131" s="1367"/>
      <c r="N1131" s="1367"/>
      <c r="O1131" s="1367"/>
      <c r="P1131" s="1364"/>
      <c r="Q1131" s="1364"/>
      <c r="R1131" s="1358"/>
      <c r="S1131" s="1436"/>
      <c r="T1131" s="1436"/>
      <c r="U1131" s="1438"/>
    </row>
    <row r="1132" spans="1:25">
      <c r="A1132" s="1320" t="s">
        <v>4894</v>
      </c>
      <c r="B1132" s="1436"/>
      <c r="C1132" s="1434">
        <v>57</v>
      </c>
      <c r="D1132" s="1358" t="s">
        <v>5682</v>
      </c>
      <c r="E1132" s="1358" t="s">
        <v>4067</v>
      </c>
      <c r="F1132" s="1358">
        <f t="shared" ref="F1132:H1133" si="545">SUMIF($E$1097:$E$1130,$E1132,F$1097:F$1130)</f>
        <v>947639.4791227032</v>
      </c>
      <c r="G1132" s="1358">
        <f t="shared" si="545"/>
        <v>0</v>
      </c>
      <c r="H1132" s="1358">
        <f t="shared" si="545"/>
        <v>947639.4791227032</v>
      </c>
      <c r="I1132" s="1323">
        <f>IF(F1132=0,0,+H1132/F1132)</f>
        <v>1</v>
      </c>
      <c r="J1132" s="1364">
        <f t="shared" ref="J1132:Q1132" si="546">SUMIF($E$1097:$E$1130,$E1132,J$1097:J$1130)</f>
        <v>947639.4791227032</v>
      </c>
      <c r="K1132" s="1364">
        <f t="shared" si="546"/>
        <v>631174.61706506566</v>
      </c>
      <c r="L1132" s="1364">
        <f t="shared" si="546"/>
        <v>47534.992776606276</v>
      </c>
      <c r="M1132" s="1364">
        <f t="shared" si="546"/>
        <v>246788.65433599852</v>
      </c>
      <c r="N1132" s="1364">
        <f t="shared" si="546"/>
        <v>17520.143423569141</v>
      </c>
      <c r="O1132" s="1364">
        <f t="shared" si="546"/>
        <v>1.1962412617133862E-2</v>
      </c>
      <c r="P1132" s="1364">
        <f t="shared" si="546"/>
        <v>4621.059559051133</v>
      </c>
      <c r="Q1132" s="1364">
        <f t="shared" si="546"/>
        <v>0</v>
      </c>
      <c r="R1132" s="1358"/>
      <c r="S1132" s="1436"/>
      <c r="T1132" s="1436"/>
      <c r="U1132" s="1438"/>
      <c r="V1132" s="1326" t="s">
        <v>5419</v>
      </c>
      <c r="Y1132" s="1324"/>
    </row>
    <row r="1133" spans="1:25" s="1324" customFormat="1">
      <c r="A1133" s="1324" t="s">
        <v>4894</v>
      </c>
      <c r="B1133" s="1438"/>
      <c r="C1133" s="1439">
        <v>58</v>
      </c>
      <c r="D1133" s="1364" t="s">
        <v>5682</v>
      </c>
      <c r="E1133" s="1364" t="s">
        <v>4071</v>
      </c>
      <c r="F1133" s="1350">
        <f t="shared" si="545"/>
        <v>318124.96304729668</v>
      </c>
      <c r="G1133" s="1350">
        <f t="shared" si="545"/>
        <v>0</v>
      </c>
      <c r="H1133" s="1350">
        <f t="shared" si="545"/>
        <v>318124.96304729668</v>
      </c>
      <c r="I1133" s="1374">
        <f>IF(F1133=0,0,+H1133/F1133)</f>
        <v>1</v>
      </c>
      <c r="J1133" s="1366">
        <f>J1099+J1101+J1103+J1106+J1108+J1110+J1113+J1115+J1117+J1122+J1124+J1127+J1128+J1129+J1130</f>
        <v>318124.96304729668</v>
      </c>
      <c r="K1133" s="1366">
        <f t="shared" ref="K1133:Q1133" si="547">K1099+K1101+K1103+K1106+K1108+K1110+K1113+K1115+K1117+K1122+K1124+K1127+K1128+K1129+K1130</f>
        <v>145414.69664297058</v>
      </c>
      <c r="L1133" s="1366">
        <f t="shared" si="547"/>
        <v>16932.38421670135</v>
      </c>
      <c r="M1133" s="1366">
        <f t="shared" si="547"/>
        <v>6008.846089557208</v>
      </c>
      <c r="N1133" s="1366">
        <f t="shared" si="547"/>
        <v>244.38702763080556</v>
      </c>
      <c r="O1133" s="1366">
        <f t="shared" si="547"/>
        <v>266.6365060541055</v>
      </c>
      <c r="P1133" s="1366">
        <f t="shared" si="547"/>
        <v>87.719467085979829</v>
      </c>
      <c r="Q1133" s="1366">
        <f t="shared" si="547"/>
        <v>149170.29309729667</v>
      </c>
      <c r="R1133" s="1364"/>
      <c r="S1133" s="1438"/>
      <c r="T1133" s="1438"/>
      <c r="U1133" s="1438"/>
      <c r="V1133" s="1326" t="s">
        <v>5420</v>
      </c>
    </row>
    <row r="1134" spans="1:25">
      <c r="A1134" s="1320" t="s">
        <v>4894</v>
      </c>
      <c r="B1134" s="1436"/>
      <c r="C1134" s="1434">
        <v>59</v>
      </c>
      <c r="D1134" s="1358"/>
      <c r="E1134" s="1358"/>
      <c r="F1134" s="1358"/>
      <c r="G1134" s="1358"/>
      <c r="H1134" s="1358"/>
      <c r="I1134" s="1379"/>
      <c r="J1134" s="1449"/>
      <c r="K1134" s="1449"/>
      <c r="L1134" s="1449"/>
      <c r="M1134" s="1449"/>
      <c r="N1134" s="1449"/>
      <c r="O1134" s="1449"/>
      <c r="P1134" s="1449"/>
      <c r="Q1134" s="1364"/>
      <c r="R1134" s="1358"/>
      <c r="S1134" s="1436"/>
      <c r="T1134" s="1436"/>
      <c r="U1134" s="1438"/>
      <c r="Y1134" s="1324"/>
    </row>
    <row r="1135" spans="1:25">
      <c r="A1135" s="1320" t="s">
        <v>4894</v>
      </c>
      <c r="B1135" s="1436"/>
      <c r="C1135" s="1434">
        <v>60</v>
      </c>
      <c r="D1135" s="1358" t="s">
        <v>5683</v>
      </c>
      <c r="E1135" s="1358"/>
      <c r="F1135" s="1730">
        <f>+SUM(F1132:F1133)</f>
        <v>1265764.4421699999</v>
      </c>
      <c r="G1135" s="1350">
        <f>SUM(G1132:G1133)</f>
        <v>0</v>
      </c>
      <c r="H1135" s="1350">
        <f>SUM(H1132:H1133)</f>
        <v>1265764.4421699999</v>
      </c>
      <c r="I1135" s="1323">
        <f>IF(F1135=0,0,+H1135/F1135)</f>
        <v>1</v>
      </c>
      <c r="J1135" s="1366">
        <f t="shared" ref="J1135:Q1135" si="548">SUM(J1132:J1133)</f>
        <v>1265764.4421699999</v>
      </c>
      <c r="K1135" s="1366">
        <f t="shared" si="548"/>
        <v>776589.31370803621</v>
      </c>
      <c r="L1135" s="1366">
        <f t="shared" si="548"/>
        <v>64467.376993307626</v>
      </c>
      <c r="M1135" s="1366">
        <f t="shared" si="548"/>
        <v>252797.50042555574</v>
      </c>
      <c r="N1135" s="1378">
        <f t="shared" si="548"/>
        <v>17764.530451199946</v>
      </c>
      <c r="O1135" s="1378">
        <f>SUM(O1132:O1133)</f>
        <v>266.64846846672265</v>
      </c>
      <c r="P1135" s="1378">
        <f>SUM(P1132:P1133)</f>
        <v>4708.7790261371129</v>
      </c>
      <c r="Q1135" s="1366">
        <f t="shared" si="548"/>
        <v>149170.29309729667</v>
      </c>
      <c r="R1135" s="1358"/>
      <c r="S1135" s="1436"/>
      <c r="T1135" s="1436"/>
      <c r="U1135" s="1438"/>
      <c r="V1135" s="1320" t="s">
        <v>5640</v>
      </c>
      <c r="Y1135" s="1324"/>
    </row>
    <row r="1136" spans="1:25">
      <c r="A1136" s="1320" t="s">
        <v>4894</v>
      </c>
      <c r="B1136" s="1436"/>
      <c r="C1136" s="1434">
        <v>61</v>
      </c>
      <c r="D1136" s="1358"/>
      <c r="E1136" s="1358"/>
      <c r="F1136" s="1358"/>
      <c r="G1136" s="1358"/>
      <c r="H1136" s="1358"/>
      <c r="I1136" s="1379"/>
      <c r="J1136" s="1364"/>
      <c r="K1136" s="1364"/>
      <c r="L1136" s="1364"/>
      <c r="M1136" s="1367"/>
      <c r="N1136" s="1367"/>
      <c r="O1136" s="1367"/>
      <c r="P1136" s="1364"/>
      <c r="Q1136" s="1364"/>
      <c r="R1136" s="1358"/>
      <c r="S1136" s="1436"/>
      <c r="T1136" s="1436"/>
      <c r="U1136" s="1438"/>
      <c r="Y1136" s="1324"/>
    </row>
    <row r="1137" spans="1:25">
      <c r="A1137" s="1320" t="s">
        <v>4894</v>
      </c>
      <c r="B1137" s="1436"/>
      <c r="C1137" s="1434">
        <v>62</v>
      </c>
      <c r="D1137" s="1358"/>
      <c r="E1137" s="1358"/>
      <c r="F1137" s="1358"/>
      <c r="G1137" s="1358"/>
      <c r="H1137" s="1358"/>
      <c r="I1137" s="1379"/>
      <c r="J1137" s="1364"/>
      <c r="K1137" s="1364"/>
      <c r="L1137" s="1364"/>
      <c r="M1137" s="1367"/>
      <c r="N1137" s="1367"/>
      <c r="O1137" s="1367"/>
      <c r="P1137" s="1364"/>
      <c r="Q1137" s="1364"/>
      <c r="R1137" s="1358"/>
      <c r="S1137" s="1436"/>
      <c r="T1137" s="1436"/>
      <c r="U1137" s="1438"/>
      <c r="Y1137" s="1324"/>
    </row>
    <row r="1138" spans="1:25">
      <c r="A1138" s="1320" t="s">
        <v>4894</v>
      </c>
      <c r="B1138" s="1436"/>
      <c r="C1138" s="1434">
        <v>63</v>
      </c>
      <c r="D1138" s="1450" t="s">
        <v>5684</v>
      </c>
      <c r="E1138" s="1364"/>
      <c r="F1138" s="1364"/>
      <c r="G1138" s="1364"/>
      <c r="H1138" s="1364"/>
      <c r="I1138" s="1379"/>
      <c r="J1138" s="1364"/>
      <c r="K1138" s="1364"/>
      <c r="L1138" s="1364"/>
      <c r="M1138" s="1367"/>
      <c r="N1138" s="1367"/>
      <c r="O1138" s="1367"/>
      <c r="P1138" s="1364"/>
      <c r="Q1138" s="1364"/>
      <c r="R1138" s="1358"/>
      <c r="S1138" s="1436"/>
      <c r="T1138" s="1436"/>
      <c r="U1138" s="1438"/>
      <c r="Y1138" s="1324"/>
    </row>
    <row r="1139" spans="1:25" s="1324" customFormat="1">
      <c r="A1139" s="1324" t="s">
        <v>4894</v>
      </c>
      <c r="B1139" s="1438"/>
      <c r="C1139" s="1439">
        <v>64</v>
      </c>
      <c r="D1139" s="1364" t="s">
        <v>5265</v>
      </c>
      <c r="E1139" s="1364" t="s">
        <v>4067</v>
      </c>
      <c r="F1139" s="1364">
        <f>+F1061+F1062+F1068+F1069</f>
        <v>1811786.0848401624</v>
      </c>
      <c r="G1139" s="1364">
        <f>+G1061+G1062+G1068+G1069</f>
        <v>0</v>
      </c>
      <c r="H1139" s="1364">
        <f>+H1061+H1062+H1068+H1069</f>
        <v>1811786.0848401624</v>
      </c>
      <c r="I1139" s="1374">
        <f t="shared" ref="I1139:I1146" si="549">IF(F1139=0,0,+H1139/F1139)</f>
        <v>1</v>
      </c>
      <c r="J1139" s="1364">
        <f>+J1061+J1062+J1068+J1069</f>
        <v>1811786.0848401624</v>
      </c>
      <c r="K1139" s="1364">
        <f t="shared" ref="K1139:Q1139" si="550">+K1061+K1062+K1068+K1069</f>
        <v>1050859.5551219883</v>
      </c>
      <c r="L1139" s="1364">
        <f t="shared" si="550"/>
        <v>86685.313744760977</v>
      </c>
      <c r="M1139" s="1364">
        <f t="shared" si="550"/>
        <v>554135.66114052758</v>
      </c>
      <c r="N1139" s="1364">
        <f t="shared" si="550"/>
        <v>69176.489954438424</v>
      </c>
      <c r="O1139" s="1364">
        <f t="shared" si="550"/>
        <v>49644.521936310979</v>
      </c>
      <c r="P1139" s="1364">
        <f t="shared" si="550"/>
        <v>1284.5429421362221</v>
      </c>
      <c r="Q1139" s="1364">
        <f t="shared" si="550"/>
        <v>0</v>
      </c>
      <c r="R1139" s="1364"/>
      <c r="S1139" s="1438"/>
      <c r="T1139" s="1438"/>
      <c r="U1139" s="1438"/>
      <c r="V1139" s="1324" t="s">
        <v>5424</v>
      </c>
    </row>
    <row r="1140" spans="1:25" s="1324" customFormat="1">
      <c r="A1140" s="1324" t="s">
        <v>4894</v>
      </c>
      <c r="B1140" s="1438"/>
      <c r="C1140" s="1439">
        <v>65</v>
      </c>
      <c r="D1140" s="1364" t="s">
        <v>5265</v>
      </c>
      <c r="E1140" s="1364" t="s">
        <v>2067</v>
      </c>
      <c r="F1140" s="1364">
        <f>+F1063</f>
        <v>293748.25699691643</v>
      </c>
      <c r="G1140" s="1364">
        <f>+G1063</f>
        <v>0</v>
      </c>
      <c r="H1140" s="1364">
        <f>+H1063</f>
        <v>293748.25699691643</v>
      </c>
      <c r="I1140" s="1374">
        <f t="shared" si="549"/>
        <v>1</v>
      </c>
      <c r="J1140" s="1364">
        <f t="shared" ref="J1140:Q1140" si="551">+J1063</f>
        <v>293748.25699691643</v>
      </c>
      <c r="K1140" s="1364">
        <f t="shared" si="551"/>
        <v>148235.41232929239</v>
      </c>
      <c r="L1140" s="1364">
        <f t="shared" si="551"/>
        <v>13698.68738891955</v>
      </c>
      <c r="M1140" s="1364">
        <f t="shared" si="551"/>
        <v>102049.90030187555</v>
      </c>
      <c r="N1140" s="1367">
        <f t="shared" si="551"/>
        <v>16244.703291998096</v>
      </c>
      <c r="O1140" s="1367">
        <f>+O1063</f>
        <v>11967.665648698916</v>
      </c>
      <c r="P1140" s="1367">
        <f>+P1063</f>
        <v>1551.8880361319234</v>
      </c>
      <c r="Q1140" s="1364">
        <f t="shared" si="551"/>
        <v>0</v>
      </c>
      <c r="R1140" s="1364"/>
      <c r="S1140" s="1438"/>
      <c r="T1140" s="1438"/>
      <c r="U1140" s="1438"/>
      <c r="V1140" s="1324" t="s">
        <v>5425</v>
      </c>
    </row>
    <row r="1141" spans="1:25" s="1324" customFormat="1">
      <c r="A1141" s="1324" t="s">
        <v>4894</v>
      </c>
      <c r="B1141" s="1438"/>
      <c r="C1141" s="1439">
        <v>66</v>
      </c>
      <c r="D1141" s="1364" t="s">
        <v>5268</v>
      </c>
      <c r="E1141" s="1364" t="s">
        <v>4067</v>
      </c>
      <c r="F1141" s="1364">
        <f>F1072</f>
        <v>142075.10412521986</v>
      </c>
      <c r="G1141" s="1364">
        <f>G1072</f>
        <v>9204.5993075669139</v>
      </c>
      <c r="H1141" s="1364">
        <f>H1072</f>
        <v>132870.50481765295</v>
      </c>
      <c r="I1141" s="1374">
        <f>IF(F1141=0,0,+H1141/F1141)</f>
        <v>0.93521314403222744</v>
      </c>
      <c r="J1141" s="1364">
        <f t="shared" ref="J1141:Q1141" si="552">J1072</f>
        <v>132870.50481765295</v>
      </c>
      <c r="K1141" s="1364">
        <f t="shared" si="552"/>
        <v>77066.625442059798</v>
      </c>
      <c r="L1141" s="1364">
        <f t="shared" si="552"/>
        <v>6357.2192622061921</v>
      </c>
      <c r="M1141" s="1364">
        <f t="shared" si="552"/>
        <v>40638.508954936224</v>
      </c>
      <c r="N1141" s="1364">
        <f t="shared" si="552"/>
        <v>5073.1790130568397</v>
      </c>
      <c r="O1141" s="1364">
        <f>O1072</f>
        <v>3640.7679396050867</v>
      </c>
      <c r="P1141" s="1364">
        <f>P1072</f>
        <v>94.204205788814406</v>
      </c>
      <c r="Q1141" s="1364">
        <f t="shared" si="552"/>
        <v>0</v>
      </c>
      <c r="R1141" s="1364"/>
      <c r="S1141" s="1438"/>
      <c r="T1141" s="1438"/>
      <c r="U1141" s="1438"/>
      <c r="V1141" s="1324" t="s">
        <v>5426</v>
      </c>
    </row>
    <row r="1142" spans="1:25" s="1324" customFormat="1">
      <c r="A1142" s="1324" t="s">
        <v>4894</v>
      </c>
      <c r="B1142" s="1438"/>
      <c r="C1142" s="1439">
        <v>67</v>
      </c>
      <c r="D1142" s="1364" t="s">
        <v>5239</v>
      </c>
      <c r="E1142" s="1364" t="s">
        <v>4067</v>
      </c>
      <c r="F1142" s="1364">
        <f>F1077</f>
        <v>124049.70969077831</v>
      </c>
      <c r="G1142" s="1364">
        <f>G1077</f>
        <v>8036.7906745804603</v>
      </c>
      <c r="H1142" s="1364">
        <f>H1077</f>
        <v>116012.91901619785</v>
      </c>
      <c r="I1142" s="1374">
        <f>IF(F1142=0,0,+H1142/F1142)</f>
        <v>0.93521314403222733</v>
      </c>
      <c r="J1142" s="1364">
        <f t="shared" ref="J1142:Q1142" si="553">J1077</f>
        <v>116012.91901619785</v>
      </c>
      <c r="K1142" s="1364">
        <f t="shared" si="553"/>
        <v>67289.005852211441</v>
      </c>
      <c r="L1142" s="1364">
        <f t="shared" si="553"/>
        <v>5550.6642685424222</v>
      </c>
      <c r="M1142" s="1364">
        <f t="shared" si="553"/>
        <v>35482.608083699204</v>
      </c>
      <c r="N1142" s="1364">
        <f t="shared" si="553"/>
        <v>4429.5331518770854</v>
      </c>
      <c r="O1142" s="1364">
        <f>O1077</f>
        <v>3178.8553578074334</v>
      </c>
      <c r="P1142" s="1364">
        <f>P1077</f>
        <v>82.252302060276108</v>
      </c>
      <c r="Q1142" s="1364">
        <f t="shared" si="553"/>
        <v>0</v>
      </c>
      <c r="R1142" s="1364"/>
      <c r="S1142" s="1438"/>
      <c r="T1142" s="1438"/>
      <c r="U1142" s="1438"/>
      <c r="V1142" s="1324" t="s">
        <v>5427</v>
      </c>
    </row>
    <row r="1143" spans="1:25" s="1324" customFormat="1">
      <c r="A1143" s="1324" t="s">
        <v>4894</v>
      </c>
      <c r="B1143" s="1438"/>
      <c r="C1143" s="1439">
        <v>68</v>
      </c>
      <c r="D1143" s="1364" t="s">
        <v>5240</v>
      </c>
      <c r="E1143" s="1364" t="s">
        <v>4067</v>
      </c>
      <c r="F1143" s="1364">
        <f>+F1097+F1100+F1107+F1114+F1121</f>
        <v>561986.68645107013</v>
      </c>
      <c r="G1143" s="1364">
        <f t="shared" ref="G1143:Q1143" si="554">+G1097+G1100+G1107+G1114+G1121</f>
        <v>0</v>
      </c>
      <c r="H1143" s="1364">
        <f t="shared" si="554"/>
        <v>561986.68645107013</v>
      </c>
      <c r="I1143" s="1374">
        <f>IF(F1143=0,0,+H1143/F1143)</f>
        <v>1</v>
      </c>
      <c r="J1143" s="1364">
        <f t="shared" si="554"/>
        <v>561986.68645107013</v>
      </c>
      <c r="K1143" s="1364">
        <f t="shared" si="554"/>
        <v>349789.51222123293</v>
      </c>
      <c r="L1143" s="1364">
        <f t="shared" si="554"/>
        <v>24877.907402042616</v>
      </c>
      <c r="M1143" s="1364">
        <f t="shared" si="554"/>
        <v>166573.12317274819</v>
      </c>
      <c r="N1143" s="1364">
        <f t="shared" si="554"/>
        <v>17520.143423569141</v>
      </c>
      <c r="O1143" s="1364">
        <f t="shared" si="554"/>
        <v>1.1962412617133862E-2</v>
      </c>
      <c r="P1143" s="1364">
        <f t="shared" si="554"/>
        <v>3225.9882690648146</v>
      </c>
      <c r="Q1143" s="1364">
        <f t="shared" si="554"/>
        <v>0</v>
      </c>
      <c r="R1143" s="1364"/>
      <c r="S1143" s="1438"/>
      <c r="T1143" s="1438"/>
      <c r="U1143" s="1438"/>
      <c r="V1143" s="1324" t="s">
        <v>5428</v>
      </c>
    </row>
    <row r="1144" spans="1:25">
      <c r="A1144" s="1320" t="s">
        <v>4894</v>
      </c>
      <c r="B1144" s="1436"/>
      <c r="C1144" s="1439">
        <v>69</v>
      </c>
      <c r="D1144" s="1364" t="s">
        <v>5241</v>
      </c>
      <c r="E1144" s="1364" t="s">
        <v>4067</v>
      </c>
      <c r="F1144" s="1364">
        <f>+F1102+F1109+F1116+F1123</f>
        <v>385652.79267163313</v>
      </c>
      <c r="G1144" s="1364">
        <f>+G1102+G1109+G1116+G1123</f>
        <v>0</v>
      </c>
      <c r="H1144" s="1364">
        <f>+H1102+H1109+H1116+H1123</f>
        <v>385652.79267163313</v>
      </c>
      <c r="I1144" s="1374">
        <f t="shared" si="549"/>
        <v>1</v>
      </c>
      <c r="J1144" s="1364">
        <f>H1144</f>
        <v>385652.79267163313</v>
      </c>
      <c r="K1144" s="1364">
        <f t="shared" ref="K1144:Q1144" si="555">+K1102+K1109+K1116+K1123</f>
        <v>281385.10484383279</v>
      </c>
      <c r="L1144" s="1364">
        <f t="shared" si="555"/>
        <v>22657.085374563656</v>
      </c>
      <c r="M1144" s="1364">
        <f>+M1102+M1109+M1116+M1123</f>
        <v>80215.531163250373</v>
      </c>
      <c r="N1144" s="1364">
        <f t="shared" si="555"/>
        <v>0</v>
      </c>
      <c r="O1144" s="1364">
        <f>+O1102+O1109+O1116+O1123</f>
        <v>0</v>
      </c>
      <c r="P1144" s="1364">
        <f>+P1102+P1109+P1116+P1123</f>
        <v>1395.0712899863183</v>
      </c>
      <c r="Q1144" s="1364">
        <f t="shared" si="555"/>
        <v>0</v>
      </c>
      <c r="R1144" s="1358"/>
      <c r="S1144" s="1436"/>
      <c r="T1144" s="1436"/>
      <c r="U1144" s="1438"/>
      <c r="V1144" s="1324" t="s">
        <v>5429</v>
      </c>
    </row>
    <row r="1145" spans="1:25" s="1324" customFormat="1">
      <c r="A1145" s="1324" t="s">
        <v>4894</v>
      </c>
      <c r="B1145" s="1438"/>
      <c r="C1145" s="1439">
        <v>70</v>
      </c>
      <c r="D1145" s="1364" t="s">
        <v>5242</v>
      </c>
      <c r="E1145" s="1364" t="s">
        <v>4071</v>
      </c>
      <c r="F1145" s="1364">
        <f>F1133</f>
        <v>318124.96304729668</v>
      </c>
      <c r="G1145" s="1364">
        <f>G1133</f>
        <v>0</v>
      </c>
      <c r="H1145" s="1364">
        <f>H1133</f>
        <v>318124.96304729668</v>
      </c>
      <c r="I1145" s="1374">
        <f>IF(F1145=0,0,+H1145/F1145)</f>
        <v>1</v>
      </c>
      <c r="J1145" s="1364">
        <f>H1145</f>
        <v>318124.96304729668</v>
      </c>
      <c r="K1145" s="1364">
        <f t="shared" ref="K1145:Q1145" si="556">K1133</f>
        <v>145414.69664297058</v>
      </c>
      <c r="L1145" s="1364">
        <f t="shared" si="556"/>
        <v>16932.38421670135</v>
      </c>
      <c r="M1145" s="1364">
        <f t="shared" si="556"/>
        <v>6008.846089557208</v>
      </c>
      <c r="N1145" s="1364">
        <f t="shared" si="556"/>
        <v>244.38702763080556</v>
      </c>
      <c r="O1145" s="1364">
        <f>O1133</f>
        <v>266.6365060541055</v>
      </c>
      <c r="P1145" s="1364">
        <f>P1133</f>
        <v>87.719467085979829</v>
      </c>
      <c r="Q1145" s="1364">
        <f t="shared" si="556"/>
        <v>149170.29309729667</v>
      </c>
      <c r="R1145" s="1364"/>
      <c r="S1145" s="1438"/>
      <c r="T1145" s="1438"/>
      <c r="U1145" s="1438"/>
      <c r="V1145" s="1326" t="s">
        <v>5645</v>
      </c>
    </row>
    <row r="1146" spans="1:25">
      <c r="A1146" s="1320" t="s">
        <v>4894</v>
      </c>
      <c r="B1146" s="1358"/>
      <c r="C1146" s="1434">
        <v>71</v>
      </c>
      <c r="D1146" s="1364" t="s">
        <v>5244</v>
      </c>
      <c r="E1146" s="1364" t="s">
        <v>4071</v>
      </c>
      <c r="F1146" s="1554">
        <v>0</v>
      </c>
      <c r="G1146" s="1366">
        <v>0</v>
      </c>
      <c r="H1146" s="1366">
        <v>0</v>
      </c>
      <c r="I1146" s="1323">
        <f t="shared" si="549"/>
        <v>0</v>
      </c>
      <c r="J1146" s="1366">
        <v>0</v>
      </c>
      <c r="K1146" s="1366">
        <v>0</v>
      </c>
      <c r="L1146" s="1366">
        <v>0</v>
      </c>
      <c r="M1146" s="1366">
        <v>0</v>
      </c>
      <c r="N1146" s="1378">
        <v>0</v>
      </c>
      <c r="O1146" s="1378">
        <v>0</v>
      </c>
      <c r="P1146" s="1378">
        <v>0</v>
      </c>
      <c r="Q1146" s="1366">
        <v>0</v>
      </c>
      <c r="R1146" s="1358"/>
      <c r="S1146" s="1358"/>
      <c r="T1146" s="1358"/>
      <c r="U1146" s="1364"/>
      <c r="V1146" s="1320" t="s">
        <v>5343</v>
      </c>
    </row>
    <row r="1147" spans="1:25">
      <c r="A1147" s="1320" t="s">
        <v>4894</v>
      </c>
      <c r="B1147" s="1436"/>
      <c r="C1147" s="1434">
        <v>72</v>
      </c>
      <c r="D1147" s="1364"/>
      <c r="E1147" s="1364"/>
      <c r="F1147" s="1364"/>
      <c r="G1147" s="1364"/>
      <c r="H1147" s="1364"/>
      <c r="I1147" s="1379"/>
      <c r="J1147" s="1364"/>
      <c r="K1147" s="1364"/>
      <c r="L1147" s="1364"/>
      <c r="M1147" s="1367"/>
      <c r="N1147" s="1367"/>
      <c r="O1147" s="1367"/>
      <c r="P1147" s="1364"/>
      <c r="Q1147" s="1364"/>
      <c r="R1147" s="1358"/>
      <c r="S1147" s="1436"/>
      <c r="T1147" s="1436"/>
      <c r="U1147" s="1438"/>
    </row>
    <row r="1148" spans="1:25">
      <c r="A1148" s="1320" t="s">
        <v>4894</v>
      </c>
      <c r="B1148" s="1436"/>
      <c r="C1148" s="1434">
        <v>73</v>
      </c>
      <c r="D1148" s="1364" t="s">
        <v>5685</v>
      </c>
      <c r="E1148" s="1364"/>
      <c r="F1148" s="1366">
        <f>+SUM(F1139:F1146)</f>
        <v>3637423.5978230769</v>
      </c>
      <c r="G1148" s="1366">
        <f>SUM(G1139:G1146)</f>
        <v>17241.389982147375</v>
      </c>
      <c r="H1148" s="1366">
        <f>SUM(H1139:H1146)</f>
        <v>3620182.2078409293</v>
      </c>
      <c r="I1148" s="1323">
        <f>IF(F1148=0,0,+H1148/F1148)</f>
        <v>0.99525999941484233</v>
      </c>
      <c r="J1148" s="1366">
        <f t="shared" ref="J1148:Q1148" si="557">SUM(J1139:J1146)</f>
        <v>3620182.2078409293</v>
      </c>
      <c r="K1148" s="1366">
        <f t="shared" si="557"/>
        <v>2120039.9124535881</v>
      </c>
      <c r="L1148" s="1366">
        <f t="shared" si="557"/>
        <v>176759.26165773676</v>
      </c>
      <c r="M1148" s="1366">
        <f t="shared" si="557"/>
        <v>985104.17890659429</v>
      </c>
      <c r="N1148" s="1378">
        <f t="shared" si="557"/>
        <v>112688.43586257039</v>
      </c>
      <c r="O1148" s="1378">
        <f>SUM(O1139:O1146)</f>
        <v>68698.459350889141</v>
      </c>
      <c r="P1148" s="1378">
        <f>SUM(P1139:P1146)</f>
        <v>7721.6665122543491</v>
      </c>
      <c r="Q1148" s="1366">
        <f t="shared" si="557"/>
        <v>149170.29309729667</v>
      </c>
      <c r="R1148" s="1358"/>
      <c r="S1148" s="1436"/>
      <c r="T1148" s="1436"/>
      <c r="U1148" s="1438"/>
      <c r="V1148" s="1320" t="s">
        <v>5432</v>
      </c>
    </row>
    <row r="1149" spans="1:25">
      <c r="B1149" s="1436"/>
      <c r="C1149" s="1434"/>
      <c r="D1149" s="1358"/>
      <c r="E1149" s="1358"/>
      <c r="F1149" s="1358"/>
      <c r="G1149" s="1358"/>
      <c r="H1149" s="1358"/>
      <c r="I1149" s="1379"/>
      <c r="K1149" s="1364"/>
      <c r="S1149" s="1436"/>
      <c r="T1149" s="1436"/>
      <c r="U1149" s="1438"/>
      <c r="Y1149" s="1324"/>
    </row>
    <row r="1150" spans="1:25">
      <c r="B1150" s="1436"/>
      <c r="C1150" s="1434"/>
      <c r="D1150" s="1358"/>
      <c r="E1150" s="1358"/>
      <c r="F1150" s="1358"/>
      <c r="G1150" s="1358"/>
      <c r="H1150" s="1358"/>
      <c r="I1150" s="1379"/>
      <c r="K1150" s="1364"/>
      <c r="S1150" s="1436"/>
      <c r="T1150" s="1436"/>
      <c r="U1150" s="1438"/>
      <c r="Y1150" s="1324"/>
    </row>
    <row r="1151" spans="1:25">
      <c r="B1151" s="1436"/>
      <c r="C1151" s="1434"/>
      <c r="D1151" s="1358"/>
      <c r="E1151" s="1358"/>
      <c r="F1151" s="1358"/>
      <c r="G1151" s="1358"/>
      <c r="H1151" s="1358"/>
      <c r="I1151" s="1379"/>
      <c r="K1151" s="1364"/>
      <c r="S1151" s="1436"/>
      <c r="T1151" s="1436"/>
      <c r="U1151" s="1438"/>
      <c r="Y1151" s="1324"/>
    </row>
    <row r="1152" spans="1:25">
      <c r="B1152" s="1436"/>
      <c r="C1152" s="1434"/>
      <c r="D1152" s="1358"/>
      <c r="E1152" s="1358"/>
      <c r="F1152" s="1358"/>
      <c r="G1152" s="1358"/>
      <c r="H1152" s="1358"/>
      <c r="I1152" s="1379"/>
      <c r="K1152" s="1364"/>
      <c r="S1152" s="1436"/>
      <c r="T1152" s="1436"/>
      <c r="U1152" s="1438"/>
      <c r="Y1152" s="1324"/>
    </row>
    <row r="1153" spans="1:25">
      <c r="B1153" s="1436"/>
      <c r="C1153" s="1434"/>
      <c r="D1153" s="1358"/>
      <c r="E1153" s="1358"/>
      <c r="F1153" s="1358"/>
      <c r="G1153" s="1358"/>
      <c r="H1153" s="1358"/>
      <c r="I1153" s="1379"/>
      <c r="K1153" s="1364"/>
      <c r="S1153" s="1436"/>
      <c r="T1153" s="1436"/>
      <c r="U1153" s="1438"/>
      <c r="Y1153" s="1324"/>
    </row>
    <row r="1154" spans="1:25">
      <c r="B1154" s="1432"/>
      <c r="C1154" s="1340" t="str">
        <f>+C$2</f>
        <v>RATES WITH REVENUE DEFICIENCY ADDITION</v>
      </c>
      <c r="D1154" s="1358"/>
      <c r="F1154" s="1333"/>
      <c r="G1154" s="1327" t="s">
        <v>2173</v>
      </c>
      <c r="H1154" s="1358"/>
      <c r="I1154" s="1334" t="s">
        <v>5680</v>
      </c>
      <c r="L1154" s="1329" t="s">
        <v>2173</v>
      </c>
      <c r="M1154" s="1330"/>
      <c r="N1154" s="1330"/>
      <c r="O1154" s="1330"/>
      <c r="S1154" s="1334" t="s">
        <v>5686</v>
      </c>
      <c r="T1154" s="1333" t="s">
        <v>2173</v>
      </c>
      <c r="U1154" s="1334"/>
      <c r="V1154" s="1332" t="s">
        <v>4772</v>
      </c>
      <c r="Y1154" s="1324"/>
    </row>
    <row r="1155" spans="1:25">
      <c r="B1155" s="1432"/>
      <c r="C1155" s="1340" t="str">
        <f>+C$3</f>
        <v>PROD. CAP. ALLOC. METHOD: 12 CP &amp; 1/13th AD</v>
      </c>
      <c r="D1155" s="1358"/>
      <c r="G1155" s="1336" t="s">
        <v>4768</v>
      </c>
      <c r="I1155" s="1335" t="s">
        <v>4309</v>
      </c>
      <c r="L1155" s="1336" t="s">
        <v>5141</v>
      </c>
      <c r="M1155" s="1337"/>
      <c r="N1155" s="1337"/>
      <c r="O1155" s="1337"/>
      <c r="R1155" s="1331"/>
      <c r="S1155" s="1335" t="s">
        <v>4310</v>
      </c>
      <c r="T1155" s="1333" t="s">
        <v>5141</v>
      </c>
      <c r="U1155" s="1438"/>
      <c r="V1155" s="1332" t="s">
        <v>5686</v>
      </c>
      <c r="Y1155" s="1324"/>
    </row>
    <row r="1156" spans="1:25">
      <c r="B1156" s="1436"/>
      <c r="C1156" s="1340" t="str">
        <f>+C$4</f>
        <v>PROJECTED CALENDAR YEAR 2025; FULLY ADJUSTED DATA</v>
      </c>
      <c r="D1156" s="1358"/>
      <c r="G1156" s="1336" t="s">
        <v>2181</v>
      </c>
      <c r="L1156" s="1336" t="s">
        <v>2181</v>
      </c>
      <c r="S1156" s="1451"/>
      <c r="T1156" s="1339"/>
      <c r="U1156" s="1438"/>
      <c r="Y1156" s="1324"/>
    </row>
    <row r="1157" spans="1:25">
      <c r="B1157" s="1436"/>
      <c r="C1157" s="1340" t="str">
        <f>+C$5</f>
        <v>MINIMUM DISTRIBUTION SYSTEM (MDS) NOT EMPLOYED</v>
      </c>
      <c r="D1157" s="1358"/>
      <c r="G1157" s="1358"/>
      <c r="H1157" s="1358"/>
      <c r="I1157" s="1379"/>
      <c r="K1157" s="1364"/>
      <c r="L1157" s="1336"/>
      <c r="M1157" s="1337"/>
      <c r="N1157" s="1337"/>
      <c r="O1157" s="1337"/>
      <c r="S1157" s="1436"/>
      <c r="T1157" s="1333"/>
      <c r="U1157" s="1438"/>
    </row>
    <row r="1158" spans="1:25">
      <c r="B1158" s="1436"/>
      <c r="C1158" s="1340" t="str">
        <f>+C$6</f>
        <v>Tampa Electric 2025 OB Budget</v>
      </c>
      <c r="D1158" s="1358"/>
      <c r="F1158" s="1327"/>
      <c r="G1158" s="1333" t="s">
        <v>5674</v>
      </c>
      <c r="H1158" s="1358"/>
      <c r="I1158" s="1379"/>
      <c r="K1158" s="1364"/>
      <c r="L1158" s="1336" t="s">
        <v>5674</v>
      </c>
      <c r="M1158" s="1337"/>
      <c r="N1158" s="1337"/>
      <c r="O1158" s="1337"/>
      <c r="S1158" s="1436"/>
      <c r="T1158" s="1333" t="s">
        <v>5674</v>
      </c>
      <c r="U1158" s="1438"/>
    </row>
    <row r="1159" spans="1:25">
      <c r="B1159" s="1436"/>
      <c r="C1159" s="1434"/>
      <c r="D1159" s="1358"/>
      <c r="F1159" s="1333"/>
      <c r="G1159" s="1358"/>
      <c r="H1159" s="1358"/>
      <c r="I1159" s="1379"/>
      <c r="K1159" s="1364"/>
      <c r="L1159" s="1336"/>
      <c r="M1159" s="1337"/>
      <c r="N1159" s="1337"/>
      <c r="O1159" s="1337"/>
      <c r="S1159" s="1436"/>
      <c r="T1159" s="1436"/>
      <c r="U1159" s="1438"/>
    </row>
    <row r="1160" spans="1:25">
      <c r="B1160" s="1436"/>
      <c r="C1160" s="1434"/>
      <c r="D1160" s="1358"/>
      <c r="E1160" s="1358"/>
      <c r="F1160" s="1333"/>
      <c r="G1160" s="1358"/>
      <c r="H1160" s="1358"/>
      <c r="I1160" s="1379"/>
      <c r="K1160" s="1364"/>
      <c r="L1160" s="1336"/>
      <c r="M1160" s="1337"/>
      <c r="N1160" s="1337"/>
      <c r="O1160" s="1337"/>
      <c r="S1160" s="1436"/>
      <c r="T1160" s="1436"/>
      <c r="U1160" s="1438"/>
    </row>
    <row r="1161" spans="1:25">
      <c r="B1161" s="1436"/>
      <c r="C1161" s="1434"/>
      <c r="D1161" s="1358"/>
      <c r="E1161" s="1358"/>
      <c r="F1161" s="1358"/>
      <c r="G1161" s="1358"/>
      <c r="H1161" s="1358"/>
      <c r="I1161" s="1379"/>
      <c r="K1161" s="1364"/>
      <c r="S1161" s="1436"/>
      <c r="T1161" s="1436"/>
      <c r="U1161" s="1438"/>
    </row>
    <row r="1162" spans="1:25">
      <c r="B1162" s="1436"/>
      <c r="C1162" s="1342"/>
      <c r="D1162" s="1331"/>
      <c r="E1162" s="1331"/>
      <c r="F1162" s="1333"/>
      <c r="G1162" s="1333"/>
      <c r="H1162" s="1333"/>
      <c r="I1162" s="1343"/>
      <c r="J1162" s="1416"/>
      <c r="K1162" s="1336"/>
      <c r="L1162" s="1416"/>
      <c r="M1162" s="1417"/>
      <c r="N1162" s="1417"/>
      <c r="O1162" s="1417"/>
      <c r="P1162" s="3164"/>
      <c r="Q1162" s="3164"/>
      <c r="R1162" s="1333"/>
      <c r="S1162" s="1436"/>
      <c r="T1162" s="1436"/>
      <c r="U1162" s="1438"/>
    </row>
    <row r="1163" spans="1:25" ht="30" customHeight="1">
      <c r="A1163" s="1418" t="s">
        <v>4683</v>
      </c>
      <c r="B1163" s="1425" t="s">
        <v>5143</v>
      </c>
      <c r="C1163" s="1349" t="s">
        <v>4297</v>
      </c>
      <c r="D1163" s="1418"/>
      <c r="E1163" s="1418"/>
      <c r="F1163" s="1348" t="s">
        <v>5144</v>
      </c>
      <c r="G1163" s="1348" t="s">
        <v>4956</v>
      </c>
      <c r="H1163" s="1348" t="s">
        <v>4957</v>
      </c>
      <c r="I1163" s="1426" t="s">
        <v>5145</v>
      </c>
      <c r="J1163" s="1352" t="s">
        <v>4957</v>
      </c>
      <c r="K1163" s="1353" t="s">
        <v>1949</v>
      </c>
      <c r="L1163" s="1353" t="s">
        <v>1950</v>
      </c>
      <c r="M1163" s="1354" t="s">
        <v>1934</v>
      </c>
      <c r="N1163" s="1354" t="s">
        <v>1971</v>
      </c>
      <c r="O1163" s="1354" t="s">
        <v>1972</v>
      </c>
      <c r="P1163" s="1352" t="s">
        <v>5146</v>
      </c>
      <c r="Q1163" s="1352" t="s">
        <v>5147</v>
      </c>
      <c r="R1163" s="1355"/>
      <c r="S1163" s="1348" t="s">
        <v>5299</v>
      </c>
      <c r="T1163" s="1348"/>
      <c r="U1163" s="1352"/>
      <c r="V1163" s="1355" t="s">
        <v>4774</v>
      </c>
      <c r="W1163" s="1350"/>
    </row>
    <row r="1164" spans="1:25">
      <c r="B1164" s="1436"/>
      <c r="C1164" s="1434"/>
      <c r="D1164" s="1358"/>
      <c r="E1164" s="1358"/>
      <c r="F1164" s="1358"/>
      <c r="G1164" s="1358"/>
      <c r="H1164" s="1358"/>
      <c r="I1164" s="1379"/>
      <c r="K1164" s="1364"/>
      <c r="S1164" s="1436"/>
      <c r="T1164" s="1436"/>
      <c r="U1164" s="1438"/>
    </row>
    <row r="1165" spans="1:25">
      <c r="A1165" s="1320" t="s">
        <v>4894</v>
      </c>
      <c r="B1165" s="1436"/>
      <c r="C1165" s="1434">
        <v>74</v>
      </c>
      <c r="D1165" s="1356" t="s">
        <v>5648</v>
      </c>
      <c r="E1165" s="1358"/>
      <c r="F1165" s="1358"/>
      <c r="G1165" s="1358"/>
      <c r="H1165" s="1358"/>
      <c r="I1165" s="1379"/>
      <c r="K1165" s="1364"/>
      <c r="S1165" s="1436"/>
      <c r="T1165" s="1436"/>
      <c r="U1165" s="1438"/>
    </row>
    <row r="1166" spans="1:25" s="1324" customFormat="1">
      <c r="A1166" s="1324" t="s">
        <v>4894</v>
      </c>
      <c r="B1166" s="1324">
        <v>101</v>
      </c>
      <c r="C1166" s="1439">
        <v>75</v>
      </c>
      <c r="D1166" s="1324" t="s">
        <v>5265</v>
      </c>
      <c r="E1166" s="1364" t="s">
        <v>4067</v>
      </c>
      <c r="F1166" s="1364">
        <f>+'0 MDS Allocation Assignment'!F400</f>
        <v>13815.640279301399</v>
      </c>
      <c r="G1166" s="1364">
        <f>+$F1166*G$1933</f>
        <v>0</v>
      </c>
      <c r="H1166" s="1364">
        <f>+$F1166*H$1933</f>
        <v>13815.640279301399</v>
      </c>
      <c r="I1166" s="1374">
        <f t="shared" ref="I1166:I1174" si="558">IF(F1166=0,0,+H1166/F1166)</f>
        <v>1</v>
      </c>
      <c r="J1166" s="1324">
        <f t="shared" ref="J1166:J1173" si="559">+H1166</f>
        <v>13815.640279301399</v>
      </c>
      <c r="K1166" s="1324">
        <f t="shared" ref="K1166:Q1166" si="560">$J1166*K$1951</f>
        <v>8013.251519653275</v>
      </c>
      <c r="L1166" s="1324">
        <f t="shared" si="560"/>
        <v>661.01242426842771</v>
      </c>
      <c r="M1166" s="1324">
        <f t="shared" si="560"/>
        <v>4225.5203438797698</v>
      </c>
      <c r="N1166" s="1324">
        <f t="shared" si="560"/>
        <v>527.50018834565799</v>
      </c>
      <c r="O1166" s="1324">
        <f t="shared" si="560"/>
        <v>378.5606163160636</v>
      </c>
      <c r="P1166" s="1324">
        <f t="shared" si="560"/>
        <v>9.7951868382051064</v>
      </c>
      <c r="Q1166" s="1324">
        <f t="shared" si="560"/>
        <v>0</v>
      </c>
      <c r="S1166" s="1324">
        <v>122</v>
      </c>
      <c r="V1166" s="1326" t="s">
        <v>5227</v>
      </c>
      <c r="W1166" s="1326">
        <v>122</v>
      </c>
    </row>
    <row r="1167" spans="1:25" s="1324" customFormat="1">
      <c r="A1167" s="1320" t="s">
        <v>4894</v>
      </c>
      <c r="B1167" s="1324">
        <v>201</v>
      </c>
      <c r="C1167" s="1439">
        <v>76</v>
      </c>
      <c r="D1167" s="1324" t="s">
        <v>5265</v>
      </c>
      <c r="E1167" s="1364" t="s">
        <v>2067</v>
      </c>
      <c r="F1167" s="1364">
        <f>+'0 MDS Allocation Assignment'!F401</f>
        <v>3432.7320436592199</v>
      </c>
      <c r="G1167" s="1364">
        <f>+$F1167*G$1966</f>
        <v>0</v>
      </c>
      <c r="H1167" s="1364">
        <f>+$F1167*H$1966</f>
        <v>3432.7320436592199</v>
      </c>
      <c r="I1167" s="1374">
        <f t="shared" si="558"/>
        <v>1</v>
      </c>
      <c r="J1167" s="1324">
        <f t="shared" si="559"/>
        <v>3432.7320436592199</v>
      </c>
      <c r="K1167" s="1364">
        <f t="shared" ref="K1167:Q1167" si="561">+$J1167*K$1966</f>
        <v>1732.2739379289001</v>
      </c>
      <c r="L1167" s="1364">
        <f t="shared" si="561"/>
        <v>160.08239040039041</v>
      </c>
      <c r="M1167" s="1364">
        <f t="shared" si="561"/>
        <v>1192.5516304328376</v>
      </c>
      <c r="N1167" s="1367">
        <f t="shared" si="561"/>
        <v>189.8350448110528</v>
      </c>
      <c r="O1167" s="1367">
        <f t="shared" si="561"/>
        <v>139.85372978917698</v>
      </c>
      <c r="P1167" s="1367">
        <f t="shared" si="561"/>
        <v>18.135310296861956</v>
      </c>
      <c r="Q1167" s="1364">
        <f t="shared" si="561"/>
        <v>0</v>
      </c>
      <c r="R1167" s="1364"/>
      <c r="S1167" s="1324">
        <v>201</v>
      </c>
      <c r="V1167" s="1321" t="s">
        <v>5235</v>
      </c>
      <c r="W1167" s="1321">
        <v>201</v>
      </c>
    </row>
    <row r="1168" spans="1:25">
      <c r="A1168" s="1320" t="s">
        <v>4894</v>
      </c>
      <c r="B1168" s="1320">
        <v>117</v>
      </c>
      <c r="C1168" s="1434">
        <v>77</v>
      </c>
      <c r="D1168" s="1320" t="s">
        <v>5268</v>
      </c>
      <c r="E1168" s="1358" t="s">
        <v>4067</v>
      </c>
      <c r="F1168" s="1364">
        <f>+'0 MDS Allocation Assignment'!F402</f>
        <v>2603.9579505471925</v>
      </c>
      <c r="G1168" s="1364">
        <f>+$F1168*G$1942</f>
        <v>168.70224868823729</v>
      </c>
      <c r="H1168" s="1364">
        <f>+$F1168*H$1942</f>
        <v>2435.255701858955</v>
      </c>
      <c r="I1168" s="1323">
        <f t="shared" si="558"/>
        <v>0.93521314403222733</v>
      </c>
      <c r="J1168" s="1324">
        <f t="shared" si="559"/>
        <v>2435.255701858955</v>
      </c>
      <c r="K1168" s="1364">
        <f t="shared" ref="K1168:Q1169" si="562">+$J1168*K$1945</f>
        <v>1412.4800631138273</v>
      </c>
      <c r="L1168" s="1364">
        <f t="shared" si="562"/>
        <v>116.51535814890927</v>
      </c>
      <c r="M1168" s="1364">
        <f t="shared" si="562"/>
        <v>744.8241487707985</v>
      </c>
      <c r="N1168" s="1367">
        <f t="shared" si="562"/>
        <v>92.981419277760267</v>
      </c>
      <c r="O1168" s="1367">
        <f t="shared" si="562"/>
        <v>66.728134255501217</v>
      </c>
      <c r="P1168" s="1367">
        <f t="shared" si="562"/>
        <v>1.7265782921585278</v>
      </c>
      <c r="Q1168" s="1364">
        <f t="shared" si="562"/>
        <v>0</v>
      </c>
      <c r="R1168" s="1364"/>
      <c r="S1168" s="1324">
        <v>117</v>
      </c>
      <c r="V1168" s="1321" t="s">
        <v>5228</v>
      </c>
      <c r="W1168" s="1321">
        <v>117</v>
      </c>
    </row>
    <row r="1169" spans="1:25">
      <c r="A1169" s="1320" t="s">
        <v>4894</v>
      </c>
      <c r="B1169" s="1320">
        <v>117</v>
      </c>
      <c r="C1169" s="1434">
        <v>78</v>
      </c>
      <c r="D1169" s="1320" t="s">
        <v>5239</v>
      </c>
      <c r="E1169" s="1358" t="s">
        <v>4067</v>
      </c>
      <c r="F1169" s="1364">
        <f>+'0 MDS Allocation Assignment'!F403</f>
        <v>2096.1895225654221</v>
      </c>
      <c r="G1169" s="1364">
        <f>+$F1169*G$1942</f>
        <v>135.80552867960003</v>
      </c>
      <c r="H1169" s="1364">
        <f>+$F1169*H$1942</f>
        <v>1960.3839938858218</v>
      </c>
      <c r="I1169" s="1323">
        <f t="shared" si="558"/>
        <v>0.93521314403222733</v>
      </c>
      <c r="J1169" s="1324">
        <f t="shared" si="559"/>
        <v>1960.3839938858218</v>
      </c>
      <c r="K1169" s="1364">
        <f t="shared" si="562"/>
        <v>1137.0482801035887</v>
      </c>
      <c r="L1169" s="1364">
        <f t="shared" si="562"/>
        <v>93.795014208419659</v>
      </c>
      <c r="M1169" s="1364">
        <f t="shared" si="562"/>
        <v>599.58440437909871</v>
      </c>
      <c r="N1169" s="1367">
        <f t="shared" si="562"/>
        <v>74.850162938439993</v>
      </c>
      <c r="O1169" s="1367">
        <f t="shared" si="562"/>
        <v>53.716234495003022</v>
      </c>
      <c r="P1169" s="1367">
        <f t="shared" si="562"/>
        <v>1.389897761271861</v>
      </c>
      <c r="Q1169" s="1364">
        <f t="shared" si="562"/>
        <v>0</v>
      </c>
      <c r="R1169" s="1364"/>
      <c r="S1169" s="1324">
        <v>117</v>
      </c>
      <c r="V1169" s="1321" t="s">
        <v>5228</v>
      </c>
      <c r="W1169" s="1321">
        <v>117</v>
      </c>
    </row>
    <row r="1170" spans="1:25">
      <c r="A1170" s="1320" t="s">
        <v>4894</v>
      </c>
      <c r="B1170" s="1320">
        <v>105</v>
      </c>
      <c r="C1170" s="1434">
        <v>79</v>
      </c>
      <c r="D1170" s="1320" t="s">
        <v>5240</v>
      </c>
      <c r="E1170" s="1358" t="s">
        <v>4067</v>
      </c>
      <c r="F1170" s="1364">
        <f>+'0 MDS Allocation Assignment'!F404</f>
        <v>12653.366065433218</v>
      </c>
      <c r="G1170" s="1364">
        <f>+$F1170*G$1936</f>
        <v>0</v>
      </c>
      <c r="H1170" s="1364">
        <f>+$F1170*H$1936</f>
        <v>12653.366065433218</v>
      </c>
      <c r="I1170" s="1323">
        <f t="shared" si="558"/>
        <v>1</v>
      </c>
      <c r="J1170" s="1324">
        <f t="shared" si="559"/>
        <v>12653.366065433218</v>
      </c>
      <c r="K1170" s="1364">
        <f t="shared" ref="K1170:Q1170" si="563">+$J1170*K$1936</f>
        <v>7875.6576457971678</v>
      </c>
      <c r="L1170" s="1364">
        <f t="shared" si="563"/>
        <v>560.13652438615793</v>
      </c>
      <c r="M1170" s="1364">
        <f t="shared" si="563"/>
        <v>3750.4637653916898</v>
      </c>
      <c r="N1170" s="1367">
        <f t="shared" si="563"/>
        <v>394.4733809572449</v>
      </c>
      <c r="O1170" s="1367">
        <f t="shared" si="563"/>
        <v>2.693387397239178E-4</v>
      </c>
      <c r="P1170" s="1367">
        <f t="shared" si="563"/>
        <v>72.634479562220676</v>
      </c>
      <c r="Q1170" s="1364">
        <f t="shared" si="563"/>
        <v>0</v>
      </c>
      <c r="R1170" s="1364"/>
      <c r="S1170" s="1324">
        <v>105</v>
      </c>
      <c r="V1170" s="1321" t="s">
        <v>5229</v>
      </c>
      <c r="W1170" s="1321">
        <v>105</v>
      </c>
    </row>
    <row r="1171" spans="1:25">
      <c r="A1171" s="1320" t="s">
        <v>4894</v>
      </c>
      <c r="B1171" s="1320">
        <v>106</v>
      </c>
      <c r="C1171" s="1434">
        <v>80</v>
      </c>
      <c r="D1171" s="1320" t="s">
        <v>5241</v>
      </c>
      <c r="E1171" s="1358" t="s">
        <v>4067</v>
      </c>
      <c r="F1171" s="1364">
        <f>+'0 MDS Allocation Assignment'!F405</f>
        <v>4111.8827865414332</v>
      </c>
      <c r="G1171" s="1364">
        <f>+$F1171*G$1939</f>
        <v>0</v>
      </c>
      <c r="H1171" s="1364">
        <f>+$F1171*H$1939</f>
        <v>4111.8827865414332</v>
      </c>
      <c r="I1171" s="1323">
        <f t="shared" si="558"/>
        <v>1</v>
      </c>
      <c r="J1171" s="1324">
        <f t="shared" si="559"/>
        <v>4111.8827865414332</v>
      </c>
      <c r="K1171" s="1364">
        <f t="shared" ref="K1171:Q1171" si="564">+$J1171*K$1939</f>
        <v>3000.166447599584</v>
      </c>
      <c r="L1171" s="1364">
        <f t="shared" si="564"/>
        <v>241.57294103712744</v>
      </c>
      <c r="M1171" s="1364">
        <f t="shared" si="564"/>
        <v>855.26895713235285</v>
      </c>
      <c r="N1171" s="1367">
        <f t="shared" si="564"/>
        <v>0</v>
      </c>
      <c r="O1171" s="1367">
        <f t="shared" si="564"/>
        <v>0</v>
      </c>
      <c r="P1171" s="1367">
        <f t="shared" si="564"/>
        <v>14.874440772368963</v>
      </c>
      <c r="Q1171" s="1364">
        <f t="shared" si="564"/>
        <v>0</v>
      </c>
      <c r="R1171" s="1364"/>
      <c r="S1171" s="1324">
        <v>106</v>
      </c>
      <c r="V1171" s="1321" t="s">
        <v>5230</v>
      </c>
      <c r="W1171" s="1321">
        <v>106</v>
      </c>
    </row>
    <row r="1172" spans="1:25">
      <c r="A1172" s="1320" t="s">
        <v>4894</v>
      </c>
      <c r="B1172" s="1320">
        <v>907</v>
      </c>
      <c r="C1172" s="1434">
        <v>81</v>
      </c>
      <c r="D1172" s="1320" t="s">
        <v>5242</v>
      </c>
      <c r="E1172" s="1358" t="s">
        <v>4071</v>
      </c>
      <c r="F1172" s="1364">
        <f>+'0 MDS Allocation Assignment'!F406</f>
        <v>4876.4131015220055</v>
      </c>
      <c r="G1172" s="1364">
        <f>+$F1172*G$2052</f>
        <v>0</v>
      </c>
      <c r="H1172" s="1364">
        <f>+$F1172*H$2052</f>
        <v>4876.4131015220055</v>
      </c>
      <c r="I1172" s="1323">
        <f t="shared" si="558"/>
        <v>1</v>
      </c>
      <c r="J1172" s="1324">
        <f t="shared" si="559"/>
        <v>4876.4131015220055</v>
      </c>
      <c r="K1172" s="1364">
        <f t="shared" ref="K1172:Q1172" si="565">+$J1172*K$2052</f>
        <v>1797.7224657698259</v>
      </c>
      <c r="L1172" s="1364">
        <f t="shared" si="565"/>
        <v>272.69086056644835</v>
      </c>
      <c r="M1172" s="1364">
        <f t="shared" si="565"/>
        <v>131.46405746988279</v>
      </c>
      <c r="N1172" s="1367">
        <f t="shared" si="565"/>
        <v>8.4748490507484657</v>
      </c>
      <c r="O1172" s="1367">
        <f t="shared" si="565"/>
        <v>9.2464160726290636</v>
      </c>
      <c r="P1172" s="1367">
        <f t="shared" si="565"/>
        <v>2.1221628311840584</v>
      </c>
      <c r="Q1172" s="1364">
        <f t="shared" si="565"/>
        <v>2654.6922897612872</v>
      </c>
      <c r="R1172" s="1364"/>
      <c r="S1172" s="1324">
        <v>907</v>
      </c>
      <c r="V1172" s="1321" t="s">
        <v>5243</v>
      </c>
      <c r="W1172" s="1321">
        <v>907</v>
      </c>
    </row>
    <row r="1173" spans="1:25">
      <c r="A1173" s="1320" t="s">
        <v>4894</v>
      </c>
      <c r="B1173" s="1324">
        <v>412</v>
      </c>
      <c r="C1173" s="1439">
        <v>82</v>
      </c>
      <c r="D1173" s="1324" t="s">
        <v>5244</v>
      </c>
      <c r="E1173" s="1364" t="s">
        <v>4071</v>
      </c>
      <c r="F1173" s="1364">
        <f>+'0 MDS Allocation Assignment'!F407</f>
        <v>6605.2154604301122</v>
      </c>
      <c r="G1173" s="1364">
        <f>+$F1173*G$2018</f>
        <v>0</v>
      </c>
      <c r="H1173" s="1364">
        <f>+$F1173*H$2018</f>
        <v>6605.2154604301122</v>
      </c>
      <c r="I1173" s="1323">
        <f t="shared" si="558"/>
        <v>1</v>
      </c>
      <c r="J1173" s="1324">
        <f t="shared" si="559"/>
        <v>6605.2154604301122</v>
      </c>
      <c r="K1173" s="1364">
        <f t="shared" ref="K1173:Q1173" si="566">+$J1173*K$2018</f>
        <v>5891.1045764301216</v>
      </c>
      <c r="L1173" s="1364">
        <f t="shared" si="566"/>
        <v>571.08955582185183</v>
      </c>
      <c r="M1173" s="1364">
        <f t="shared" si="566"/>
        <v>140.65449064562713</v>
      </c>
      <c r="N1173" s="1367">
        <f t="shared" si="566"/>
        <v>0.47489944018019281</v>
      </c>
      <c r="O1173" s="1367">
        <f t="shared" si="566"/>
        <v>8.4256352290034212E-2</v>
      </c>
      <c r="P1173" s="1367">
        <f t="shared" si="566"/>
        <v>1.8076817400407339</v>
      </c>
      <c r="Q1173" s="1364">
        <f t="shared" si="566"/>
        <v>0</v>
      </c>
      <c r="R1173" s="1364"/>
      <c r="S1173" s="1324">
        <v>412</v>
      </c>
      <c r="V1173" s="1321" t="s">
        <v>5245</v>
      </c>
      <c r="W1173" s="1321">
        <v>412</v>
      </c>
      <c r="Y1173" s="1324"/>
    </row>
    <row r="1174" spans="1:25">
      <c r="A1174" s="1320" t="s">
        <v>4894</v>
      </c>
      <c r="B1174" s="1321"/>
      <c r="C1174" s="1434">
        <v>83</v>
      </c>
      <c r="D1174" s="1320" t="s">
        <v>5687</v>
      </c>
      <c r="E1174" s="1358"/>
      <c r="F1174" s="1729">
        <f>+SUM(F1166:F1173)</f>
        <v>50195.397210000003</v>
      </c>
      <c r="G1174" s="1427">
        <f>SUM(G1166:G1173)</f>
        <v>304.50777736783732</v>
      </c>
      <c r="H1174" s="1427">
        <f>SUM(H1166:H1173)</f>
        <v>49890.889432632161</v>
      </c>
      <c r="I1174" s="1323">
        <f t="shared" si="558"/>
        <v>0.99393355179372544</v>
      </c>
      <c r="J1174" s="1421">
        <f t="shared" ref="J1174:Q1174" si="567">SUM(J1166:J1173)</f>
        <v>49890.889432632161</v>
      </c>
      <c r="K1174" s="1421">
        <f t="shared" si="567"/>
        <v>30859.704936396294</v>
      </c>
      <c r="L1174" s="1421">
        <f t="shared" si="567"/>
        <v>2676.8950688377327</v>
      </c>
      <c r="M1174" s="1421">
        <f t="shared" si="567"/>
        <v>11640.331798102057</v>
      </c>
      <c r="N1174" s="1422">
        <f t="shared" si="567"/>
        <v>1288.5899448210846</v>
      </c>
      <c r="O1174" s="1422">
        <f>SUM(O1166:O1173)</f>
        <v>648.18965661940365</v>
      </c>
      <c r="P1174" s="1422">
        <f>SUM(P1166:P1173)</f>
        <v>122.48573809431188</v>
      </c>
      <c r="Q1174" s="1421">
        <f t="shared" si="567"/>
        <v>2654.6922897612872</v>
      </c>
      <c r="R1174" s="1364"/>
      <c r="S1174" s="1326"/>
      <c r="T1174" s="1321"/>
      <c r="U1174" s="1326"/>
      <c r="V1174" s="1320" t="s">
        <v>5437</v>
      </c>
      <c r="Y1174" s="1324"/>
    </row>
    <row r="1175" spans="1:25">
      <c r="A1175" s="1320" t="s">
        <v>4894</v>
      </c>
      <c r="B1175" s="1321"/>
      <c r="C1175" s="1434">
        <v>84</v>
      </c>
      <c r="E1175" s="1358"/>
      <c r="F1175" s="1358"/>
      <c r="G1175" s="1320"/>
      <c r="I1175" s="1379"/>
      <c r="R1175" s="1324"/>
      <c r="S1175" s="1326"/>
      <c r="T1175" s="1321"/>
      <c r="U1175" s="1326"/>
      <c r="Y1175" s="1324"/>
    </row>
    <row r="1176" spans="1:25">
      <c r="A1176" s="1320" t="s">
        <v>4894</v>
      </c>
      <c r="B1176" s="1321"/>
      <c r="C1176" s="1434">
        <v>85</v>
      </c>
      <c r="D1176" s="1356" t="s">
        <v>5651</v>
      </c>
      <c r="E1176" s="1358"/>
      <c r="F1176" s="1358"/>
      <c r="G1176" s="1320"/>
      <c r="I1176" s="1379"/>
      <c r="R1176" s="1324"/>
      <c r="S1176" s="1326"/>
      <c r="T1176" s="1321"/>
      <c r="U1176" s="1326"/>
      <c r="Y1176" s="1324"/>
    </row>
    <row r="1177" spans="1:25" s="1324" customFormat="1">
      <c r="A1177" s="1324" t="s">
        <v>4894</v>
      </c>
      <c r="B1177" s="1324">
        <v>101</v>
      </c>
      <c r="C1177" s="1439">
        <v>86</v>
      </c>
      <c r="D1177" s="1324" t="s">
        <v>5265</v>
      </c>
      <c r="E1177" s="1364" t="s">
        <v>4067</v>
      </c>
      <c r="F1177" s="1364">
        <f>+'0 MDS Allocation Assignment'!F408</f>
        <v>2680.6932400000001</v>
      </c>
      <c r="G1177" s="1364">
        <f>+$F1177*G$1933</f>
        <v>0</v>
      </c>
      <c r="H1177" s="1364">
        <f>+$F1177*H$1933</f>
        <v>2680.6932400000001</v>
      </c>
      <c r="I1177" s="1374">
        <f>IF(F1177=0,0,+H1177/F1177)</f>
        <v>1</v>
      </c>
      <c r="J1177" s="1324">
        <f>+H1177</f>
        <v>2680.6932400000001</v>
      </c>
      <c r="K1177" s="1324">
        <f t="shared" ref="K1177:Q1177" si="568">$J1177*K$1951</f>
        <v>1554.8370357714955</v>
      </c>
      <c r="L1177" s="1324">
        <f t="shared" si="568"/>
        <v>128.25837250171858</v>
      </c>
      <c r="M1177" s="1324">
        <f t="shared" si="568"/>
        <v>819.89133998310433</v>
      </c>
      <c r="N1177" s="1324">
        <f t="shared" si="568"/>
        <v>102.3525627773826</v>
      </c>
      <c r="O1177" s="1324">
        <f t="shared" si="568"/>
        <v>73.45333727377708</v>
      </c>
      <c r="P1177" s="1324">
        <f t="shared" si="568"/>
        <v>1.9005916925220609</v>
      </c>
      <c r="Q1177" s="1324">
        <f t="shared" si="568"/>
        <v>0</v>
      </c>
      <c r="S1177" s="1324">
        <v>122</v>
      </c>
      <c r="V1177" s="1326" t="s">
        <v>5227</v>
      </c>
      <c r="W1177" s="1326">
        <v>122</v>
      </c>
    </row>
    <row r="1178" spans="1:25" s="1324" customFormat="1">
      <c r="A1178" s="1320" t="s">
        <v>4894</v>
      </c>
      <c r="B1178" s="1324">
        <v>201</v>
      </c>
      <c r="C1178" s="1439">
        <v>87</v>
      </c>
      <c r="D1178" s="1324" t="s">
        <v>5265</v>
      </c>
      <c r="E1178" s="1364" t="s">
        <v>2067</v>
      </c>
      <c r="F1178" s="1571"/>
      <c r="G1178" s="1364">
        <f>+$F1178*G$1966</f>
        <v>0</v>
      </c>
      <c r="H1178" s="1364">
        <f>+$F1178*H$1966</f>
        <v>0</v>
      </c>
      <c r="I1178" s="1374">
        <f>IF(F1178=0,0,+H1178/F1178)</f>
        <v>0</v>
      </c>
      <c r="J1178" s="1324">
        <f>+H1178</f>
        <v>0</v>
      </c>
      <c r="K1178" s="1364">
        <f t="shared" ref="K1178:Q1178" si="569">+$J1178*K$1966</f>
        <v>0</v>
      </c>
      <c r="L1178" s="1364">
        <f t="shared" si="569"/>
        <v>0</v>
      </c>
      <c r="M1178" s="1364">
        <f t="shared" si="569"/>
        <v>0</v>
      </c>
      <c r="N1178" s="1367">
        <f t="shared" si="569"/>
        <v>0</v>
      </c>
      <c r="O1178" s="1367">
        <f t="shared" si="569"/>
        <v>0</v>
      </c>
      <c r="P1178" s="1367">
        <f t="shared" si="569"/>
        <v>0</v>
      </c>
      <c r="Q1178" s="1364">
        <f t="shared" si="569"/>
        <v>0</v>
      </c>
      <c r="R1178" s="1364"/>
      <c r="S1178" s="1324">
        <v>201</v>
      </c>
      <c r="V1178" s="1321" t="s">
        <v>5235</v>
      </c>
      <c r="W1178" s="1321">
        <v>201</v>
      </c>
    </row>
    <row r="1179" spans="1:25">
      <c r="A1179" s="1320" t="s">
        <v>4894</v>
      </c>
      <c r="B1179" s="1320">
        <v>117</v>
      </c>
      <c r="C1179" s="1434">
        <v>88</v>
      </c>
      <c r="D1179" s="1320" t="s">
        <v>5268</v>
      </c>
      <c r="E1179" s="1358" t="s">
        <v>4067</v>
      </c>
      <c r="F1179" s="1358">
        <f>+'0 MDS Allocation Assignment'!F409</f>
        <v>952.8592729462988</v>
      </c>
      <c r="G1179" s="1364">
        <f>+$F1179*G$1942</f>
        <v>61.732756473928383</v>
      </c>
      <c r="H1179" s="1364">
        <f>+$F1179*H$1942</f>
        <v>891.12651647237033</v>
      </c>
      <c r="I1179" s="1323">
        <f t="shared" ref="I1179:I1185" si="570">IF(F1179=0,0,+H1179/F1179)</f>
        <v>0.93521314403222733</v>
      </c>
      <c r="J1179" s="1324">
        <f t="shared" ref="J1179:J1184" si="571">+H1179</f>
        <v>891.12651647237033</v>
      </c>
      <c r="K1179" s="1364">
        <f t="shared" ref="K1179:Q1180" si="572">+$J1179*K$1945</f>
        <v>516.86499995399663</v>
      </c>
      <c r="L1179" s="1364">
        <f t="shared" si="572"/>
        <v>42.636149108904434</v>
      </c>
      <c r="M1179" s="1364">
        <f t="shared" si="572"/>
        <v>272.55148137912551</v>
      </c>
      <c r="N1179" s="1367">
        <f t="shared" si="572"/>
        <v>34.024438663421464</v>
      </c>
      <c r="O1179" s="1367">
        <f t="shared" si="572"/>
        <v>24.417645253602789</v>
      </c>
      <c r="P1179" s="1367">
        <f t="shared" si="572"/>
        <v>0.63180211331957936</v>
      </c>
      <c r="Q1179" s="1364">
        <f t="shared" si="572"/>
        <v>0</v>
      </c>
      <c r="R1179" s="1364"/>
      <c r="S1179" s="1324">
        <v>117</v>
      </c>
      <c r="V1179" s="1321" t="s">
        <v>5228</v>
      </c>
      <c r="W1179" s="1321">
        <v>117</v>
      </c>
      <c r="Y1179" s="1324"/>
    </row>
    <row r="1180" spans="1:25">
      <c r="A1180" s="1320" t="s">
        <v>4894</v>
      </c>
      <c r="B1180" s="1320">
        <v>117</v>
      </c>
      <c r="C1180" s="1434">
        <v>89</v>
      </c>
      <c r="D1180" s="1320" t="s">
        <v>5239</v>
      </c>
      <c r="E1180" s="1358" t="s">
        <v>4067</v>
      </c>
      <c r="F1180" s="1358">
        <f>+'0 MDS Allocation Assignment'!F410</f>
        <v>2678.9953364120242</v>
      </c>
      <c r="G1180" s="1364">
        <f>+$F1180*G$1942</f>
        <v>173.56368499846033</v>
      </c>
      <c r="H1180" s="1364">
        <f>+$F1180*H$1942</f>
        <v>2505.4316514135639</v>
      </c>
      <c r="I1180" s="1323">
        <f t="shared" si="570"/>
        <v>0.93521314403222744</v>
      </c>
      <c r="J1180" s="1324">
        <f t="shared" si="571"/>
        <v>2505.4316514135639</v>
      </c>
      <c r="K1180" s="1364">
        <f t="shared" si="572"/>
        <v>1453.1830289585646</v>
      </c>
      <c r="L1180" s="1364">
        <f t="shared" si="572"/>
        <v>119.87294227839244</v>
      </c>
      <c r="M1180" s="1364">
        <f t="shared" si="572"/>
        <v>766.28749730183551</v>
      </c>
      <c r="N1180" s="1367">
        <f t="shared" si="572"/>
        <v>95.660833757221766</v>
      </c>
      <c r="O1180" s="1367">
        <f t="shared" si="572"/>
        <v>68.651016595870104</v>
      </c>
      <c r="P1180" s="1367">
        <f t="shared" si="572"/>
        <v>1.7763325216795218</v>
      </c>
      <c r="Q1180" s="1364">
        <f t="shared" si="572"/>
        <v>0</v>
      </c>
      <c r="R1180" s="1364"/>
      <c r="S1180" s="1320">
        <v>117</v>
      </c>
      <c r="V1180" s="1321" t="s">
        <v>5228</v>
      </c>
      <c r="W1180" s="1321">
        <v>117</v>
      </c>
      <c r="Y1180" s="1324"/>
    </row>
    <row r="1181" spans="1:25">
      <c r="A1181" s="1320" t="s">
        <v>4894</v>
      </c>
      <c r="B1181" s="1320">
        <v>105</v>
      </c>
      <c r="C1181" s="1434">
        <v>90</v>
      </c>
      <c r="D1181" s="1320" t="s">
        <v>5240</v>
      </c>
      <c r="E1181" s="1358" t="s">
        <v>4067</v>
      </c>
      <c r="F1181" s="1358">
        <f>+'0 MDS Allocation Assignment'!F411</f>
        <v>13156.454648959279</v>
      </c>
      <c r="G1181" s="1364">
        <f>+$F1181*G$1936</f>
        <v>0</v>
      </c>
      <c r="H1181" s="1364">
        <f>+$F1181*H$1936</f>
        <v>13156.454648959279</v>
      </c>
      <c r="I1181" s="1323">
        <f t="shared" si="570"/>
        <v>1</v>
      </c>
      <c r="J1181" s="1324">
        <f t="shared" si="571"/>
        <v>13156.454648959279</v>
      </c>
      <c r="K1181" s="1364">
        <f t="shared" ref="K1181:Q1181" si="573">+$J1181*K$1936</f>
        <v>8188.7880356769174</v>
      </c>
      <c r="L1181" s="1364">
        <f t="shared" si="573"/>
        <v>582.40714306401844</v>
      </c>
      <c r="M1181" s="1364">
        <f t="shared" si="573"/>
        <v>3899.5794626330094</v>
      </c>
      <c r="N1181" s="1367">
        <f t="shared" si="573"/>
        <v>410.15735417340443</v>
      </c>
      <c r="O1181" s="1367">
        <f t="shared" si="573"/>
        <v>2.8004745109413303E-4</v>
      </c>
      <c r="P1181" s="1367">
        <f t="shared" si="573"/>
        <v>75.522373364482149</v>
      </c>
      <c r="Q1181" s="1364">
        <f t="shared" si="573"/>
        <v>0</v>
      </c>
      <c r="R1181" s="1364"/>
      <c r="S1181" s="1320">
        <v>105</v>
      </c>
      <c r="V1181" s="1321" t="s">
        <v>5229</v>
      </c>
      <c r="W1181" s="1321">
        <v>105</v>
      </c>
    </row>
    <row r="1182" spans="1:25">
      <c r="A1182" s="1320" t="s">
        <v>4894</v>
      </c>
      <c r="B1182" s="1320">
        <v>106</v>
      </c>
      <c r="C1182" s="1434">
        <v>91</v>
      </c>
      <c r="D1182" s="1320" t="s">
        <v>5241</v>
      </c>
      <c r="E1182" s="1358" t="s">
        <v>4067</v>
      </c>
      <c r="F1182" s="1358">
        <f>+'0 MDS Allocation Assignment'!F412</f>
        <v>2269.5853936627964</v>
      </c>
      <c r="G1182" s="1364">
        <f>+$F1182*G$1939</f>
        <v>0</v>
      </c>
      <c r="H1182" s="1364">
        <f>+$F1182*H$1939</f>
        <v>2269.5853936627964</v>
      </c>
      <c r="I1182" s="1323">
        <f t="shared" si="570"/>
        <v>1</v>
      </c>
      <c r="J1182" s="1324">
        <f t="shared" si="571"/>
        <v>2269.5853936627964</v>
      </c>
      <c r="K1182" s="1364">
        <f t="shared" ref="K1182:Q1182" si="574">+$J1182*K$1939</f>
        <v>1655.9649925615902</v>
      </c>
      <c r="L1182" s="1364">
        <f t="shared" si="574"/>
        <v>133.33804656994781</v>
      </c>
      <c r="M1182" s="1364">
        <f t="shared" si="574"/>
        <v>472.0722923119834</v>
      </c>
      <c r="N1182" s="1367">
        <f t="shared" si="574"/>
        <v>0</v>
      </c>
      <c r="O1182" s="1367">
        <f t="shared" si="574"/>
        <v>0</v>
      </c>
      <c r="P1182" s="1367">
        <f t="shared" si="574"/>
        <v>8.2100622192749828</v>
      </c>
      <c r="Q1182" s="1364">
        <f t="shared" si="574"/>
        <v>0</v>
      </c>
      <c r="R1182" s="1364"/>
      <c r="S1182" s="1320">
        <v>106</v>
      </c>
      <c r="V1182" s="1321" t="s">
        <v>5230</v>
      </c>
      <c r="W1182" s="1321">
        <v>106</v>
      </c>
    </row>
    <row r="1183" spans="1:25">
      <c r="A1183" s="1320" t="s">
        <v>4894</v>
      </c>
      <c r="B1183" s="1320">
        <v>907</v>
      </c>
      <c r="C1183" s="1434">
        <v>92</v>
      </c>
      <c r="D1183" s="1320" t="s">
        <v>5242</v>
      </c>
      <c r="E1183" s="1358" t="s">
        <v>4071</v>
      </c>
      <c r="F1183" s="1358">
        <f>+'0 MDS Allocation Assignment'!F413</f>
        <v>8433.4309495165417</v>
      </c>
      <c r="G1183" s="1364">
        <f>+$F1183*G$2052</f>
        <v>0</v>
      </c>
      <c r="H1183" s="1364">
        <f>+$F1183*H$2052</f>
        <v>8433.4309495165417</v>
      </c>
      <c r="I1183" s="1323">
        <f t="shared" si="570"/>
        <v>1</v>
      </c>
      <c r="J1183" s="1324">
        <f t="shared" si="571"/>
        <v>8433.4309495165417</v>
      </c>
      <c r="K1183" s="1364">
        <f t="shared" ref="K1183:Q1183" si="575">+$J1183*K$2052</f>
        <v>3109.0410032596428</v>
      </c>
      <c r="L1183" s="1364">
        <f t="shared" si="575"/>
        <v>471.60064073193604</v>
      </c>
      <c r="M1183" s="1364">
        <f t="shared" si="575"/>
        <v>227.35831192592977</v>
      </c>
      <c r="N1183" s="1367">
        <f t="shared" si="575"/>
        <v>14.656685721469215</v>
      </c>
      <c r="O1183" s="1367">
        <f t="shared" si="575"/>
        <v>15.991059382290366</v>
      </c>
      <c r="P1183" s="1367">
        <f t="shared" si="575"/>
        <v>3.6701389582509556</v>
      </c>
      <c r="Q1183" s="1364">
        <f t="shared" si="575"/>
        <v>4591.1131095370238</v>
      </c>
      <c r="R1183" s="1364"/>
      <c r="S1183" s="1320">
        <v>907</v>
      </c>
      <c r="V1183" s="1321" t="s">
        <v>5243</v>
      </c>
      <c r="W1183" s="1321">
        <v>907</v>
      </c>
      <c r="Y1183" s="1324"/>
    </row>
    <row r="1184" spans="1:25">
      <c r="A1184" s="1320" t="s">
        <v>4894</v>
      </c>
      <c r="B1184" s="1324">
        <v>412</v>
      </c>
      <c r="C1184" s="1439">
        <v>93</v>
      </c>
      <c r="D1184" s="1324" t="s">
        <v>5244</v>
      </c>
      <c r="E1184" s="1364" t="s">
        <v>4071</v>
      </c>
      <c r="F1184" s="1358">
        <f>+'0 MDS Allocation Assignment'!F414</f>
        <v>11423.27922850305</v>
      </c>
      <c r="G1184" s="1364">
        <f>+$F1184*G$2018</f>
        <v>0</v>
      </c>
      <c r="H1184" s="1364">
        <f>+$F1184*H$2018</f>
        <v>11423.27922850305</v>
      </c>
      <c r="I1184" s="1323">
        <f t="shared" si="570"/>
        <v>1</v>
      </c>
      <c r="J1184" s="1324">
        <f t="shared" si="571"/>
        <v>11423.27922850305</v>
      </c>
      <c r="K1184" s="1364">
        <f t="shared" ref="K1184:Q1184" si="576">+$J1184*K$2018</f>
        <v>10188.272122843267</v>
      </c>
      <c r="L1184" s="1364">
        <f t="shared" si="576"/>
        <v>987.66126551305388</v>
      </c>
      <c r="M1184" s="1364">
        <f t="shared" si="576"/>
        <v>243.25255262501958</v>
      </c>
      <c r="N1184" s="1367">
        <f t="shared" si="576"/>
        <v>0.82130688137838115</v>
      </c>
      <c r="O1184" s="1367">
        <f t="shared" si="576"/>
        <v>0.14571573701874505</v>
      </c>
      <c r="P1184" s="1367">
        <f t="shared" si="576"/>
        <v>3.1262649033112573</v>
      </c>
      <c r="Q1184" s="1364">
        <f t="shared" si="576"/>
        <v>0</v>
      </c>
      <c r="R1184" s="1364"/>
      <c r="S1184" s="1320">
        <v>412</v>
      </c>
      <c r="V1184" s="1321" t="s">
        <v>5245</v>
      </c>
      <c r="W1184" s="1321">
        <v>412</v>
      </c>
      <c r="Y1184" s="1324"/>
    </row>
    <row r="1185" spans="1:23">
      <c r="A1185" s="1320" t="s">
        <v>4894</v>
      </c>
      <c r="B1185" s="1321"/>
      <c r="C1185" s="1434">
        <v>94</v>
      </c>
      <c r="D1185" s="1320" t="s">
        <v>5688</v>
      </c>
      <c r="E1185" s="1358"/>
      <c r="F1185" s="1729">
        <f>+SUM(F1177:F1184)</f>
        <v>41595.298069999997</v>
      </c>
      <c r="G1185" s="1427">
        <f>SUM(G1177:G1184)</f>
        <v>235.29644147238872</v>
      </c>
      <c r="H1185" s="1427">
        <f>SUM(H1177:H1184)</f>
        <v>41360.001628527607</v>
      </c>
      <c r="I1185" s="1323">
        <f t="shared" si="570"/>
        <v>0.99434319616903777</v>
      </c>
      <c r="J1185" s="1421">
        <f t="shared" ref="J1185:Q1185" si="577">SUM(J1177:J1184)</f>
        <v>41360.001628527607</v>
      </c>
      <c r="K1185" s="1421">
        <f t="shared" si="577"/>
        <v>26666.951219025475</v>
      </c>
      <c r="L1185" s="1421">
        <f t="shared" si="577"/>
        <v>2465.7745597679714</v>
      </c>
      <c r="M1185" s="1421">
        <f t="shared" si="577"/>
        <v>6700.9929381600077</v>
      </c>
      <c r="N1185" s="1422">
        <f t="shared" si="577"/>
        <v>657.6731819742779</v>
      </c>
      <c r="O1185" s="1422">
        <f>SUM(O1177:O1184)</f>
        <v>182.65905429001018</v>
      </c>
      <c r="P1185" s="1422">
        <f>SUM(P1177:P1184)</f>
        <v>94.837565772840506</v>
      </c>
      <c r="Q1185" s="1421">
        <f t="shared" si="577"/>
        <v>4591.1131095370238</v>
      </c>
      <c r="R1185" s="1358"/>
      <c r="S1185" s="1321"/>
      <c r="T1185" s="1321"/>
      <c r="U1185" s="1326"/>
      <c r="V1185" s="1320" t="s">
        <v>5689</v>
      </c>
    </row>
    <row r="1186" spans="1:23">
      <c r="A1186" s="1320" t="s">
        <v>4894</v>
      </c>
      <c r="B1186" s="1321"/>
      <c r="C1186" s="1434">
        <v>95</v>
      </c>
      <c r="E1186" s="1358"/>
      <c r="F1186" s="1358"/>
      <c r="G1186" s="1320"/>
      <c r="I1186" s="1379"/>
      <c r="S1186" s="1321"/>
      <c r="T1186" s="1321"/>
      <c r="U1186" s="1326"/>
    </row>
    <row r="1187" spans="1:23">
      <c r="A1187" s="1320" t="s">
        <v>4894</v>
      </c>
      <c r="B1187" s="1321"/>
      <c r="C1187" s="1434">
        <v>96</v>
      </c>
      <c r="D1187" s="1356" t="s">
        <v>5654</v>
      </c>
      <c r="E1187" s="1358"/>
      <c r="F1187" s="1358"/>
      <c r="G1187" s="1320"/>
      <c r="I1187" s="1379"/>
      <c r="R1187" s="1324"/>
      <c r="S1187" s="1326"/>
      <c r="T1187" s="1321"/>
      <c r="U1187" s="1326"/>
    </row>
    <row r="1188" spans="1:23" s="1324" customFormat="1">
      <c r="A1188" s="1324" t="s">
        <v>4894</v>
      </c>
      <c r="B1188" s="1324">
        <v>101</v>
      </c>
      <c r="C1188" s="1439">
        <v>97</v>
      </c>
      <c r="D1188" s="1324" t="s">
        <v>5265</v>
      </c>
      <c r="E1188" s="1364" t="s">
        <v>4067</v>
      </c>
      <c r="F1188" s="1364">
        <f>+'0 MDS Allocation Assignment'!F415</f>
        <v>99691.257924697406</v>
      </c>
      <c r="G1188" s="1364">
        <f>+$F1188*G$1933</f>
        <v>0</v>
      </c>
      <c r="H1188" s="1364">
        <f>+$F1188*H$1933</f>
        <v>99691.257924697406</v>
      </c>
      <c r="I1188" s="1374">
        <f t="shared" ref="I1188:I1197" si="578">IF(F1188=0,0,+H1188/F1188)</f>
        <v>1</v>
      </c>
      <c r="J1188" s="1324">
        <f t="shared" ref="J1188:J1196" si="579">+H1188</f>
        <v>99691.257924697406</v>
      </c>
      <c r="K1188" s="1324">
        <f t="shared" ref="K1188:Q1188" si="580">$J1188*K$1951</f>
        <v>57822.229582661283</v>
      </c>
      <c r="L1188" s="1324">
        <f t="shared" si="580"/>
        <v>4769.7507134649786</v>
      </c>
      <c r="M1188" s="1324">
        <f t="shared" si="580"/>
        <v>30490.620047402896</v>
      </c>
      <c r="N1188" s="1324">
        <f t="shared" si="580"/>
        <v>3806.3496348033586</v>
      </c>
      <c r="O1188" s="1324">
        <f t="shared" si="580"/>
        <v>2731.6275813751445</v>
      </c>
      <c r="P1188" s="1324">
        <f t="shared" si="580"/>
        <v>70.680364989749421</v>
      </c>
      <c r="Q1188" s="1324">
        <f t="shared" si="580"/>
        <v>0</v>
      </c>
      <c r="S1188" s="1324">
        <v>122</v>
      </c>
      <c r="V1188" s="1326" t="s">
        <v>5227</v>
      </c>
      <c r="W1188" s="1326">
        <v>122</v>
      </c>
    </row>
    <row r="1189" spans="1:23" s="1324" customFormat="1">
      <c r="A1189" s="1324" t="s">
        <v>4894</v>
      </c>
      <c r="B1189" s="1324">
        <v>101</v>
      </c>
      <c r="C1189" s="1439">
        <v>98</v>
      </c>
      <c r="D1189" s="1324" t="s">
        <v>5358</v>
      </c>
      <c r="E1189" s="1364" t="s">
        <v>4067</v>
      </c>
      <c r="F1189" s="1364">
        <f>+'0 MDS Allocation Assignment'!F416</f>
        <v>439.12268</v>
      </c>
      <c r="G1189" s="1364">
        <f>+$F1189*G$1933</f>
        <v>0</v>
      </c>
      <c r="H1189" s="1364">
        <f>+$F1189*H$1933</f>
        <v>439.12268</v>
      </c>
      <c r="I1189" s="1374">
        <f>IF(F1189=0,0,+H1189/F1189)</f>
        <v>1</v>
      </c>
      <c r="J1189" s="1324">
        <f>+H1189</f>
        <v>439.12268</v>
      </c>
      <c r="K1189" s="1324">
        <f t="shared" ref="K1189:Q1189" si="581">$J1189*K$1948</f>
        <v>254.6968806140739</v>
      </c>
      <c r="L1189" s="1324">
        <f t="shared" si="581"/>
        <v>21.009923636541483</v>
      </c>
      <c r="M1189" s="1324">
        <f t="shared" si="581"/>
        <v>134.30588668257019</v>
      </c>
      <c r="N1189" s="1324">
        <f t="shared" si="581"/>
        <v>16.766309177424752</v>
      </c>
      <c r="O1189" s="1324">
        <f t="shared" si="581"/>
        <v>12.032345155093122</v>
      </c>
      <c r="P1189" s="1324">
        <f t="shared" si="581"/>
        <v>0.31133473429657443</v>
      </c>
      <c r="Q1189" s="1324">
        <f t="shared" si="581"/>
        <v>0</v>
      </c>
      <c r="S1189" s="1324">
        <v>121</v>
      </c>
      <c r="V1189" s="1326" t="s">
        <v>5287</v>
      </c>
      <c r="W1189" s="1326">
        <v>121</v>
      </c>
    </row>
    <row r="1190" spans="1:23" s="1324" customFormat="1">
      <c r="A1190" s="1324" t="s">
        <v>4894</v>
      </c>
      <c r="B1190" s="1324">
        <v>201</v>
      </c>
      <c r="C1190" s="1439">
        <v>99</v>
      </c>
      <c r="D1190" s="1324" t="s">
        <v>5265</v>
      </c>
      <c r="E1190" s="1364" t="s">
        <v>2067</v>
      </c>
      <c r="F1190" s="1364">
        <f>+'0 MDS Allocation Assignment'!F417</f>
        <v>25438.678738913521</v>
      </c>
      <c r="G1190" s="1364">
        <f>+$F1190*G$1966</f>
        <v>0</v>
      </c>
      <c r="H1190" s="1364">
        <f>+$F1190*H$1966</f>
        <v>25438.678738913521</v>
      </c>
      <c r="I1190" s="1374">
        <f t="shared" si="578"/>
        <v>1</v>
      </c>
      <c r="J1190" s="1324">
        <f t="shared" si="579"/>
        <v>25438.678738913521</v>
      </c>
      <c r="K1190" s="1364">
        <f t="shared" ref="K1190:Q1190" si="582">+$J1190*K$1966</f>
        <v>12837.22691847269</v>
      </c>
      <c r="L1190" s="1364">
        <f t="shared" si="582"/>
        <v>1186.3100438250042</v>
      </c>
      <c r="M1190" s="1364">
        <f t="shared" si="582"/>
        <v>8837.5490484861566</v>
      </c>
      <c r="N1190" s="1367">
        <f t="shared" si="582"/>
        <v>1406.79571167106</v>
      </c>
      <c r="O1190" s="1367">
        <f t="shared" si="582"/>
        <v>1036.4030915600586</v>
      </c>
      <c r="P1190" s="1367">
        <f t="shared" si="582"/>
        <v>134.39392489854956</v>
      </c>
      <c r="Q1190" s="1364">
        <f t="shared" si="582"/>
        <v>0</v>
      </c>
      <c r="R1190" s="1364"/>
      <c r="S1190" s="1324">
        <v>201</v>
      </c>
      <c r="V1190" s="1326" t="s">
        <v>5235</v>
      </c>
      <c r="W1190" s="1326">
        <v>201</v>
      </c>
    </row>
    <row r="1191" spans="1:23" s="1324" customFormat="1">
      <c r="A1191" s="1324" t="s">
        <v>4894</v>
      </c>
      <c r="B1191" s="1324">
        <v>117</v>
      </c>
      <c r="C1191" s="1439">
        <v>100</v>
      </c>
      <c r="D1191" s="1324" t="s">
        <v>5268</v>
      </c>
      <c r="E1191" s="1364" t="s">
        <v>4067</v>
      </c>
      <c r="F1191" s="1364">
        <f>+'0 MDS Allocation Assignment'!F418</f>
        <v>4083.0021388321447</v>
      </c>
      <c r="G1191" s="1364">
        <f>+$F1191*G$1942</f>
        <v>264.52487148462563</v>
      </c>
      <c r="H1191" s="1364">
        <f>+$F1191*H$1942</f>
        <v>3818.4772673475186</v>
      </c>
      <c r="I1191" s="1374">
        <f t="shared" si="578"/>
        <v>0.93521314403222722</v>
      </c>
      <c r="J1191" s="1324">
        <f t="shared" si="579"/>
        <v>3818.4772673475186</v>
      </c>
      <c r="K1191" s="1364">
        <f t="shared" ref="K1191:Q1192" si="583">+$J1191*K$1945</f>
        <v>2214.7666084775356</v>
      </c>
      <c r="L1191" s="1364">
        <f t="shared" si="583"/>
        <v>182.69590583397095</v>
      </c>
      <c r="M1191" s="1364">
        <f t="shared" si="583"/>
        <v>1167.8831418325879</v>
      </c>
      <c r="N1191" s="1367">
        <f t="shared" si="583"/>
        <v>145.79472518093689</v>
      </c>
      <c r="O1191" s="1367">
        <f t="shared" si="583"/>
        <v>104.62961386463149</v>
      </c>
      <c r="P1191" s="1367">
        <f t="shared" si="583"/>
        <v>2.7072721578560901</v>
      </c>
      <c r="Q1191" s="1364">
        <f t="shared" si="583"/>
        <v>0</v>
      </c>
      <c r="R1191" s="1364"/>
      <c r="S1191" s="1324">
        <v>117</v>
      </c>
      <c r="V1191" s="1326" t="s">
        <v>5228</v>
      </c>
      <c r="W1191" s="1326">
        <v>117</v>
      </c>
    </row>
    <row r="1192" spans="1:23" s="1324" customFormat="1">
      <c r="A1192" s="1324" t="s">
        <v>4894</v>
      </c>
      <c r="B1192" s="1324">
        <v>117</v>
      </c>
      <c r="C1192" s="1439">
        <v>101</v>
      </c>
      <c r="D1192" s="1324" t="s">
        <v>5239</v>
      </c>
      <c r="E1192" s="1364" t="s">
        <v>4067</v>
      </c>
      <c r="F1192" s="1364">
        <f>+'0 MDS Allocation Assignment'!F419</f>
        <v>11479.495450224891</v>
      </c>
      <c r="G1192" s="1364">
        <f>+$F1192*G$1942</f>
        <v>743.72041831642093</v>
      </c>
      <c r="H1192" s="1364">
        <f>+$F1192*H$1942</f>
        <v>10735.77503190847</v>
      </c>
      <c r="I1192" s="1374">
        <f t="shared" si="578"/>
        <v>0.93521314403222733</v>
      </c>
      <c r="J1192" s="1324">
        <f t="shared" si="579"/>
        <v>10735.77503190847</v>
      </c>
      <c r="K1192" s="1364">
        <f t="shared" si="583"/>
        <v>6226.8895143415211</v>
      </c>
      <c r="L1192" s="1364">
        <f t="shared" si="583"/>
        <v>513.65557706899961</v>
      </c>
      <c r="M1192" s="1364">
        <f t="shared" si="583"/>
        <v>3283.5420499917363</v>
      </c>
      <c r="N1192" s="1367">
        <f t="shared" si="583"/>
        <v>409.90668813611376</v>
      </c>
      <c r="O1192" s="1367">
        <f t="shared" si="583"/>
        <v>294.16961722713478</v>
      </c>
      <c r="P1192" s="1367">
        <f t="shared" si="583"/>
        <v>7.6115851429651089</v>
      </c>
      <c r="Q1192" s="1364">
        <f t="shared" si="583"/>
        <v>0</v>
      </c>
      <c r="R1192" s="1364"/>
      <c r="S1192" s="1324">
        <v>117</v>
      </c>
      <c r="V1192" s="1326" t="s">
        <v>5228</v>
      </c>
      <c r="W1192" s="1326">
        <v>117</v>
      </c>
    </row>
    <row r="1193" spans="1:23" s="1324" customFormat="1">
      <c r="A1193" s="1324" t="s">
        <v>4894</v>
      </c>
      <c r="B1193" s="1324">
        <v>105</v>
      </c>
      <c r="C1193" s="1439">
        <v>102</v>
      </c>
      <c r="D1193" s="1324" t="s">
        <v>5240</v>
      </c>
      <c r="E1193" s="1364" t="s">
        <v>4067</v>
      </c>
      <c r="F1193" s="1364">
        <f>+'0 MDS Allocation Assignment'!F420</f>
        <v>58292.843850673315</v>
      </c>
      <c r="G1193" s="1364">
        <f>+$F1193*G$1936</f>
        <v>0</v>
      </c>
      <c r="H1193" s="1364">
        <f>+$F1193*H$1936</f>
        <v>58292.843850673315</v>
      </c>
      <c r="I1193" s="1374">
        <f t="shared" si="578"/>
        <v>1</v>
      </c>
      <c r="J1193" s="1324">
        <f t="shared" si="579"/>
        <v>58292.843850673315</v>
      </c>
      <c r="K1193" s="1364">
        <f t="shared" ref="K1193:Q1193" si="584">+$J1193*K$1936</f>
        <v>36282.399402162366</v>
      </c>
      <c r="L1193" s="1364">
        <f t="shared" si="584"/>
        <v>2580.49524389408</v>
      </c>
      <c r="M1193" s="1364">
        <f t="shared" si="584"/>
        <v>17278.026851750685</v>
      </c>
      <c r="N1193" s="1367">
        <f t="shared" si="584"/>
        <v>1817.3010312414888</v>
      </c>
      <c r="O1193" s="1367">
        <f t="shared" si="584"/>
        <v>1.2408177410242289E-3</v>
      </c>
      <c r="P1193" s="1367">
        <f t="shared" si="584"/>
        <v>334.62008080697132</v>
      </c>
      <c r="Q1193" s="1364">
        <f t="shared" si="584"/>
        <v>0</v>
      </c>
      <c r="R1193" s="1364"/>
      <c r="S1193" s="1324">
        <v>105</v>
      </c>
      <c r="V1193" s="1326" t="s">
        <v>5229</v>
      </c>
      <c r="W1193" s="1326">
        <v>105</v>
      </c>
    </row>
    <row r="1194" spans="1:23" s="1324" customFormat="1">
      <c r="A1194" s="1324" t="s">
        <v>4894</v>
      </c>
      <c r="B1194" s="1324">
        <v>106</v>
      </c>
      <c r="C1194" s="1439">
        <v>103</v>
      </c>
      <c r="D1194" s="1324" t="s">
        <v>5241</v>
      </c>
      <c r="E1194" s="1364" t="s">
        <v>4067</v>
      </c>
      <c r="F1194" s="1364">
        <f>+'0 MDS Allocation Assignment'!F421</f>
        <v>9725.1737792655622</v>
      </c>
      <c r="G1194" s="1364">
        <f>+$F1194*G$1939</f>
        <v>0</v>
      </c>
      <c r="H1194" s="1364">
        <f>+$F1194*H$1939</f>
        <v>9725.1737792655622</v>
      </c>
      <c r="I1194" s="1374">
        <f t="shared" si="578"/>
        <v>1</v>
      </c>
      <c r="J1194" s="1324">
        <f t="shared" si="579"/>
        <v>9725.1737792655622</v>
      </c>
      <c r="K1194" s="1364">
        <f t="shared" ref="K1194:Q1194" si="585">+$J1194*K$1939</f>
        <v>7095.8102612086168</v>
      </c>
      <c r="L1194" s="1364">
        <f t="shared" si="585"/>
        <v>571.35355113816411</v>
      </c>
      <c r="M1194" s="1364">
        <f t="shared" si="585"/>
        <v>2022.8298489800707</v>
      </c>
      <c r="N1194" s="1367">
        <f t="shared" si="585"/>
        <v>0</v>
      </c>
      <c r="O1194" s="1367">
        <f t="shared" si="585"/>
        <v>0</v>
      </c>
      <c r="P1194" s="1367">
        <f t="shared" si="585"/>
        <v>35.180117938710509</v>
      </c>
      <c r="Q1194" s="1364">
        <f t="shared" si="585"/>
        <v>0</v>
      </c>
      <c r="R1194" s="1364"/>
      <c r="S1194" s="1324">
        <v>106</v>
      </c>
      <c r="V1194" s="1326" t="s">
        <v>5230</v>
      </c>
      <c r="W1194" s="1326">
        <v>106</v>
      </c>
    </row>
    <row r="1195" spans="1:23" s="1324" customFormat="1">
      <c r="A1195" s="1324" t="s">
        <v>4894</v>
      </c>
      <c r="B1195" s="1324">
        <v>907</v>
      </c>
      <c r="C1195" s="1439">
        <v>104</v>
      </c>
      <c r="D1195" s="1324" t="s">
        <v>5242</v>
      </c>
      <c r="E1195" s="1364" t="s">
        <v>4071</v>
      </c>
      <c r="F1195" s="1364">
        <f>+'0 MDS Allocation Assignment'!F422</f>
        <v>36137.252983956481</v>
      </c>
      <c r="G1195" s="1364">
        <f>+$F1195*G$2052</f>
        <v>0</v>
      </c>
      <c r="H1195" s="1364">
        <f>+$F1195*H$2052</f>
        <v>36137.252983956481</v>
      </c>
      <c r="I1195" s="1374">
        <f t="shared" si="578"/>
        <v>1</v>
      </c>
      <c r="J1195" s="1324">
        <f t="shared" si="579"/>
        <v>36137.252983956481</v>
      </c>
      <c r="K1195" s="1364">
        <f t="shared" ref="K1195:Q1195" si="586">+$J1195*K$2052</f>
        <v>13322.241202286517</v>
      </c>
      <c r="L1195" s="1364">
        <f t="shared" si="586"/>
        <v>2020.8088218832124</v>
      </c>
      <c r="M1195" s="1364">
        <f t="shared" si="586"/>
        <v>974.23040340937553</v>
      </c>
      <c r="N1195" s="1367">
        <f t="shared" si="586"/>
        <v>62.803900689248998</v>
      </c>
      <c r="O1195" s="1367">
        <f t="shared" si="586"/>
        <v>68.521692041887803</v>
      </c>
      <c r="P1195" s="1367">
        <f t="shared" si="586"/>
        <v>15.726546030259772</v>
      </c>
      <c r="Q1195" s="1364">
        <f t="shared" si="586"/>
        <v>19672.920417615984</v>
      </c>
      <c r="R1195" s="1364"/>
      <c r="S1195" s="1324">
        <v>907</v>
      </c>
      <c r="V1195" s="1326" t="s">
        <v>5243</v>
      </c>
      <c r="W1195" s="1326">
        <v>907</v>
      </c>
    </row>
    <row r="1196" spans="1:23" s="1324" customFormat="1">
      <c r="A1196" s="1324" t="s">
        <v>4894</v>
      </c>
      <c r="B1196" s="1324">
        <v>412</v>
      </c>
      <c r="C1196" s="1439">
        <v>105</v>
      </c>
      <c r="D1196" s="1324" t="s">
        <v>5244</v>
      </c>
      <c r="E1196" s="1364" t="s">
        <v>4071</v>
      </c>
      <c r="F1196" s="1364">
        <f>+'0 MDS Allocation Assignment'!F423</f>
        <v>49095.376013436653</v>
      </c>
      <c r="G1196" s="1364">
        <f>+$F1196*G$2018</f>
        <v>0</v>
      </c>
      <c r="H1196" s="1364">
        <f>+$F1196*H$2018</f>
        <v>49095.376013436653</v>
      </c>
      <c r="I1196" s="1374">
        <f t="shared" si="578"/>
        <v>1</v>
      </c>
      <c r="J1196" s="1324">
        <f t="shared" si="579"/>
        <v>49095.376013436653</v>
      </c>
      <c r="K1196" s="1364">
        <f t="shared" ref="K1196:Q1196" si="587">+$J1196*K$2018</f>
        <v>43787.518521838007</v>
      </c>
      <c r="L1196" s="1364">
        <f t="shared" si="587"/>
        <v>4244.8057369796379</v>
      </c>
      <c r="M1196" s="1364">
        <f t="shared" si="587"/>
        <v>1045.4594778314479</v>
      </c>
      <c r="N1196" s="1367">
        <f t="shared" si="587"/>
        <v>3.5298419444290019</v>
      </c>
      <c r="O1196" s="1367">
        <f t="shared" si="587"/>
        <v>0.62626228046321009</v>
      </c>
      <c r="P1196" s="1367">
        <f t="shared" si="587"/>
        <v>13.436172562665233</v>
      </c>
      <c r="Q1196" s="1364">
        <f t="shared" si="587"/>
        <v>0</v>
      </c>
      <c r="R1196" s="1364"/>
      <c r="S1196" s="1324">
        <v>412</v>
      </c>
      <c r="V1196" s="1326" t="s">
        <v>5245</v>
      </c>
      <c r="W1196" s="1326">
        <v>412</v>
      </c>
    </row>
    <row r="1197" spans="1:23" s="1324" customFormat="1">
      <c r="A1197" s="1324" t="s">
        <v>4894</v>
      </c>
      <c r="B1197" s="1326"/>
      <c r="C1197" s="1439">
        <v>106</v>
      </c>
      <c r="D1197" s="1324" t="s">
        <v>5655</v>
      </c>
      <c r="E1197" s="1364"/>
      <c r="F1197" s="1729">
        <f>+SUM(F1188:F1196)</f>
        <v>294382.20355999999</v>
      </c>
      <c r="G1197" s="1421">
        <f>SUM(G1188:G1196)</f>
        <v>1008.2452898010465</v>
      </c>
      <c r="H1197" s="1421">
        <f>SUM(H1188:H1196)</f>
        <v>293373.9582701989</v>
      </c>
      <c r="I1197" s="1374">
        <f t="shared" si="578"/>
        <v>0.99657504673309638</v>
      </c>
      <c r="J1197" s="1421">
        <f t="shared" ref="J1197:Q1197" si="588">SUM(J1188:J1196)</f>
        <v>293373.9582701989</v>
      </c>
      <c r="K1197" s="1421">
        <f t="shared" si="588"/>
        <v>179843.7788920626</v>
      </c>
      <c r="L1197" s="1421">
        <f t="shared" si="588"/>
        <v>16090.885517724586</v>
      </c>
      <c r="M1197" s="1421">
        <f t="shared" si="588"/>
        <v>65234.446756367528</v>
      </c>
      <c r="N1197" s="1422">
        <f t="shared" si="588"/>
        <v>7669.2478428440609</v>
      </c>
      <c r="O1197" s="1422">
        <f>SUM(O1188:O1196)</f>
        <v>4248.0114443221546</v>
      </c>
      <c r="P1197" s="1422">
        <f>SUM(P1188:P1196)</f>
        <v>614.66739926202365</v>
      </c>
      <c r="Q1197" s="1421">
        <f t="shared" si="588"/>
        <v>19672.920417615984</v>
      </c>
      <c r="R1197" s="1364"/>
      <c r="S1197" s="1326"/>
      <c r="T1197" s="1326"/>
      <c r="U1197" s="1326"/>
      <c r="V1197" s="1324" t="s">
        <v>5690</v>
      </c>
    </row>
    <row r="1198" spans="1:23" s="1324" customFormat="1">
      <c r="A1198" s="1324" t="s">
        <v>4894</v>
      </c>
      <c r="B1198" s="1326"/>
      <c r="C1198" s="1439">
        <v>107</v>
      </c>
      <c r="D1198" s="1364"/>
      <c r="E1198" s="1364"/>
      <c r="F1198" s="1364"/>
      <c r="G1198" s="1364"/>
      <c r="H1198" s="1364"/>
      <c r="I1198" s="1440"/>
      <c r="K1198" s="1364"/>
      <c r="M1198" s="1325"/>
      <c r="N1198" s="1325"/>
      <c r="O1198" s="1325"/>
      <c r="S1198" s="1326"/>
      <c r="T1198" s="1326"/>
      <c r="U1198" s="1326"/>
    </row>
    <row r="1199" spans="1:23" s="1324" customFormat="1">
      <c r="A1199" s="1324" t="s">
        <v>4894</v>
      </c>
      <c r="B1199" s="1326"/>
      <c r="C1199" s="1439">
        <v>108</v>
      </c>
      <c r="D1199" s="1362" t="s">
        <v>5691</v>
      </c>
      <c r="E1199" s="1364"/>
      <c r="F1199" s="1364"/>
      <c r="G1199" s="1364"/>
      <c r="H1199" s="1364"/>
      <c r="I1199" s="1440"/>
      <c r="K1199" s="1364"/>
      <c r="M1199" s="1325"/>
      <c r="N1199" s="1325"/>
      <c r="O1199" s="1325"/>
      <c r="S1199" s="1326"/>
      <c r="T1199" s="1326"/>
      <c r="U1199" s="1326"/>
    </row>
    <row r="1200" spans="1:23" s="1324" customFormat="1">
      <c r="A1200" s="1324" t="s">
        <v>4894</v>
      </c>
      <c r="B1200" s="1326"/>
      <c r="C1200" s="1439">
        <v>109</v>
      </c>
      <c r="D1200" s="1364" t="s">
        <v>5265</v>
      </c>
      <c r="E1200" s="1364" t="s">
        <v>4067</v>
      </c>
      <c r="F1200" s="1364">
        <f>+F1139+F1166+F1177+F1188+F1189</f>
        <v>1928412.7989641612</v>
      </c>
      <c r="G1200" s="1364">
        <f>+G1139+G1166+G1177+G1188+G1189</f>
        <v>0</v>
      </c>
      <c r="H1200" s="1364">
        <f>+H1139+H1166+H1177+H1188+H1189</f>
        <v>1928412.7989641612</v>
      </c>
      <c r="I1200" s="1374">
        <f t="shared" ref="I1200:I1207" si="589">IF(F1200=0,0,+H1200/F1200)</f>
        <v>1</v>
      </c>
      <c r="J1200" s="1364">
        <f>+J1139+J1166+J1177+J1188+J1189</f>
        <v>1928412.7989641612</v>
      </c>
      <c r="K1200" s="1364">
        <f t="shared" ref="K1200:Q1200" si="590">+K1139+K1166+K1177+K1188+K1189</f>
        <v>1118504.5701406884</v>
      </c>
      <c r="L1200" s="1364">
        <f t="shared" si="590"/>
        <v>92265.345178632633</v>
      </c>
      <c r="M1200" s="1364">
        <f t="shared" si="590"/>
        <v>589805.99875847599</v>
      </c>
      <c r="N1200" s="1364">
        <f t="shared" si="590"/>
        <v>73629.458649542255</v>
      </c>
      <c r="O1200" s="1364">
        <f t="shared" si="590"/>
        <v>52840.195816431056</v>
      </c>
      <c r="P1200" s="1364">
        <f t="shared" si="590"/>
        <v>1367.2304203909955</v>
      </c>
      <c r="Q1200" s="1364">
        <f t="shared" si="590"/>
        <v>0</v>
      </c>
      <c r="R1200" s="1364"/>
      <c r="T1200" s="1326"/>
      <c r="U1200" s="1326"/>
      <c r="V1200" s="1324" t="s">
        <v>5692</v>
      </c>
    </row>
    <row r="1201" spans="1:25">
      <c r="A1201" s="1320" t="s">
        <v>4894</v>
      </c>
      <c r="B1201" s="1321"/>
      <c r="C1201" s="1434">
        <v>110</v>
      </c>
      <c r="D1201" s="1358" t="s">
        <v>5265</v>
      </c>
      <c r="E1201" s="1358" t="s">
        <v>2067</v>
      </c>
      <c r="F1201" s="1358">
        <f t="shared" ref="F1201:H1207" si="591">+F1140+F1167+F1178+F1190</f>
        <v>322619.66777948913</v>
      </c>
      <c r="G1201" s="1358">
        <f t="shared" si="591"/>
        <v>0</v>
      </c>
      <c r="H1201" s="1358">
        <f t="shared" si="591"/>
        <v>322619.66777948913</v>
      </c>
      <c r="I1201" s="1323">
        <f t="shared" si="589"/>
        <v>1</v>
      </c>
      <c r="J1201" s="1364">
        <f t="shared" ref="J1201:Q1207" si="592">+J1140+J1167+J1178+J1190</f>
        <v>322619.66777948913</v>
      </c>
      <c r="K1201" s="1364">
        <f t="shared" si="592"/>
        <v>162804.91318569396</v>
      </c>
      <c r="L1201" s="1364">
        <f t="shared" si="592"/>
        <v>15045.079823144944</v>
      </c>
      <c r="M1201" s="1364">
        <f t="shared" si="592"/>
        <v>112080.00098079453</v>
      </c>
      <c r="N1201" s="1367">
        <f t="shared" si="592"/>
        <v>17841.33404848021</v>
      </c>
      <c r="O1201" s="1367">
        <f t="shared" si="592"/>
        <v>13143.92247004815</v>
      </c>
      <c r="P1201" s="1367">
        <f t="shared" si="592"/>
        <v>1704.4172713273349</v>
      </c>
      <c r="Q1201" s="1364">
        <f t="shared" si="592"/>
        <v>0</v>
      </c>
      <c r="R1201" s="1358"/>
      <c r="T1201" s="1326"/>
      <c r="U1201" s="1326"/>
      <c r="V1201" s="1320" t="s">
        <v>5693</v>
      </c>
    </row>
    <row r="1202" spans="1:25">
      <c r="A1202" s="1320" t="s">
        <v>4894</v>
      </c>
      <c r="B1202" s="1321"/>
      <c r="C1202" s="1434">
        <v>111</v>
      </c>
      <c r="D1202" s="1358" t="s">
        <v>5268</v>
      </c>
      <c r="E1202" s="1358" t="s">
        <v>4067</v>
      </c>
      <c r="F1202" s="1358">
        <f t="shared" si="591"/>
        <v>149714.92348754551</v>
      </c>
      <c r="G1202" s="1358">
        <f t="shared" si="591"/>
        <v>9699.5591842137055</v>
      </c>
      <c r="H1202" s="1358">
        <f t="shared" si="591"/>
        <v>140015.36430333179</v>
      </c>
      <c r="I1202" s="1323">
        <f t="shared" si="589"/>
        <v>0.93521314403222733</v>
      </c>
      <c r="J1202" s="1364">
        <f t="shared" si="592"/>
        <v>140015.36430333179</v>
      </c>
      <c r="K1202" s="1364">
        <f t="shared" si="592"/>
        <v>81210.737113605152</v>
      </c>
      <c r="L1202" s="1364">
        <f t="shared" si="592"/>
        <v>6699.0666752979769</v>
      </c>
      <c r="M1202" s="1364">
        <f t="shared" si="592"/>
        <v>42823.767726918733</v>
      </c>
      <c r="N1202" s="1367">
        <f t="shared" si="592"/>
        <v>5345.9795961789587</v>
      </c>
      <c r="O1202" s="1367">
        <f t="shared" si="592"/>
        <v>3836.543332978822</v>
      </c>
      <c r="P1202" s="1367">
        <f t="shared" si="592"/>
        <v>99.269858352148603</v>
      </c>
      <c r="Q1202" s="1364">
        <f t="shared" si="592"/>
        <v>0</v>
      </c>
      <c r="R1202" s="1358"/>
      <c r="T1202" s="1326"/>
      <c r="U1202" s="1326"/>
      <c r="V1202" s="1320" t="s">
        <v>5694</v>
      </c>
    </row>
    <row r="1203" spans="1:25">
      <c r="A1203" s="1320" t="s">
        <v>4894</v>
      </c>
      <c r="B1203" s="1321"/>
      <c r="C1203" s="1434">
        <v>112</v>
      </c>
      <c r="D1203" s="1358" t="s">
        <v>5239</v>
      </c>
      <c r="E1203" s="1358" t="s">
        <v>4067</v>
      </c>
      <c r="F1203" s="1358">
        <f t="shared" si="591"/>
        <v>140304.38999998066</v>
      </c>
      <c r="G1203" s="1358">
        <f t="shared" si="591"/>
        <v>9089.8803065749416</v>
      </c>
      <c r="H1203" s="1358">
        <f t="shared" si="591"/>
        <v>131214.50969340571</v>
      </c>
      <c r="I1203" s="1323">
        <f t="shared" si="589"/>
        <v>0.93521314403222733</v>
      </c>
      <c r="J1203" s="1364">
        <f t="shared" si="592"/>
        <v>131214.50969340571</v>
      </c>
      <c r="K1203" s="1364">
        <f t="shared" si="592"/>
        <v>76106.126675615116</v>
      </c>
      <c r="L1203" s="1364">
        <f t="shared" si="592"/>
        <v>6277.9878020982342</v>
      </c>
      <c r="M1203" s="1364">
        <f t="shared" si="592"/>
        <v>40132.022035371876</v>
      </c>
      <c r="N1203" s="1367">
        <f t="shared" si="592"/>
        <v>5009.9508367088611</v>
      </c>
      <c r="O1203" s="1367">
        <f t="shared" si="592"/>
        <v>3595.3922261254415</v>
      </c>
      <c r="P1203" s="1367">
        <f t="shared" si="592"/>
        <v>93.030117486192594</v>
      </c>
      <c r="Q1203" s="1364">
        <f t="shared" si="592"/>
        <v>0</v>
      </c>
      <c r="R1203" s="1358"/>
      <c r="T1203" s="1326"/>
      <c r="U1203" s="1326"/>
      <c r="V1203" s="1320" t="s">
        <v>5695</v>
      </c>
      <c r="Y1203" s="1324"/>
    </row>
    <row r="1204" spans="1:25">
      <c r="A1204" s="1320" t="s">
        <v>4894</v>
      </c>
      <c r="B1204" s="1321"/>
      <c r="C1204" s="1434">
        <v>113</v>
      </c>
      <c r="D1204" s="1358" t="s">
        <v>5240</v>
      </c>
      <c r="E1204" s="1358" t="s">
        <v>4067</v>
      </c>
      <c r="F1204" s="1358">
        <f t="shared" si="591"/>
        <v>646089.351016136</v>
      </c>
      <c r="G1204" s="1358">
        <f t="shared" si="591"/>
        <v>0</v>
      </c>
      <c r="H1204" s="1358">
        <f t="shared" si="591"/>
        <v>646089.351016136</v>
      </c>
      <c r="I1204" s="1323">
        <f t="shared" si="589"/>
        <v>1</v>
      </c>
      <c r="J1204" s="1364">
        <f t="shared" si="592"/>
        <v>646089.351016136</v>
      </c>
      <c r="K1204" s="1364">
        <f t="shared" si="592"/>
        <v>402136.35730486939</v>
      </c>
      <c r="L1204" s="1364">
        <f t="shared" si="592"/>
        <v>28600.94631338687</v>
      </c>
      <c r="M1204" s="1364">
        <f t="shared" si="592"/>
        <v>191501.19325252358</v>
      </c>
      <c r="N1204" s="1367">
        <f t="shared" si="592"/>
        <v>20142.075189941279</v>
      </c>
      <c r="O1204" s="1367">
        <f t="shared" si="592"/>
        <v>1.3752616548976141E-2</v>
      </c>
      <c r="P1204" s="1367">
        <f t="shared" si="592"/>
        <v>3708.7652027984886</v>
      </c>
      <c r="Q1204" s="1364">
        <f t="shared" si="592"/>
        <v>0</v>
      </c>
      <c r="R1204" s="1358"/>
      <c r="T1204" s="1326"/>
      <c r="U1204" s="1326"/>
      <c r="V1204" s="1320" t="s">
        <v>5696</v>
      </c>
      <c r="Y1204" s="1324"/>
    </row>
    <row r="1205" spans="1:25">
      <c r="A1205" s="1320" t="s">
        <v>4894</v>
      </c>
      <c r="B1205" s="1321"/>
      <c r="C1205" s="1434">
        <v>114</v>
      </c>
      <c r="D1205" s="1358" t="s">
        <v>5241</v>
      </c>
      <c r="E1205" s="1358" t="s">
        <v>4067</v>
      </c>
      <c r="F1205" s="1358">
        <f t="shared" si="591"/>
        <v>401759.43463110289</v>
      </c>
      <c r="G1205" s="1358">
        <f t="shared" si="591"/>
        <v>0</v>
      </c>
      <c r="H1205" s="1358">
        <f t="shared" si="591"/>
        <v>401759.43463110289</v>
      </c>
      <c r="I1205" s="1323">
        <f t="shared" si="589"/>
        <v>1</v>
      </c>
      <c r="J1205" s="1364">
        <f t="shared" si="592"/>
        <v>401759.43463110289</v>
      </c>
      <c r="K1205" s="1364">
        <f t="shared" si="592"/>
        <v>293137.04654520261</v>
      </c>
      <c r="L1205" s="1364">
        <f t="shared" si="592"/>
        <v>23603.349913308895</v>
      </c>
      <c r="M1205" s="1364">
        <f t="shared" si="592"/>
        <v>83565.702261674785</v>
      </c>
      <c r="N1205" s="1367">
        <f t="shared" si="592"/>
        <v>0</v>
      </c>
      <c r="O1205" s="1367">
        <f t="shared" si="592"/>
        <v>0</v>
      </c>
      <c r="P1205" s="1367">
        <f t="shared" si="592"/>
        <v>1453.3359109166727</v>
      </c>
      <c r="Q1205" s="1364">
        <f t="shared" si="592"/>
        <v>0</v>
      </c>
      <c r="R1205" s="1358"/>
      <c r="T1205" s="1326"/>
      <c r="U1205" s="1326"/>
      <c r="V1205" s="1320" t="s">
        <v>5697</v>
      </c>
      <c r="Y1205" s="1324"/>
    </row>
    <row r="1206" spans="1:25">
      <c r="A1206" s="1320" t="s">
        <v>4894</v>
      </c>
      <c r="B1206" s="1321"/>
      <c r="C1206" s="1434">
        <v>115</v>
      </c>
      <c r="D1206" s="1358" t="s">
        <v>5242</v>
      </c>
      <c r="E1206" s="1358" t="s">
        <v>4071</v>
      </c>
      <c r="F1206" s="1358">
        <f t="shared" si="591"/>
        <v>367572.06008229172</v>
      </c>
      <c r="G1206" s="1358">
        <f t="shared" si="591"/>
        <v>0</v>
      </c>
      <c r="H1206" s="1358">
        <f t="shared" si="591"/>
        <v>367572.06008229172</v>
      </c>
      <c r="I1206" s="1323">
        <f t="shared" si="589"/>
        <v>1</v>
      </c>
      <c r="J1206" s="1364">
        <f t="shared" si="592"/>
        <v>367572.06008229172</v>
      </c>
      <c r="K1206" s="1364">
        <f t="shared" si="592"/>
        <v>163643.70131428656</v>
      </c>
      <c r="L1206" s="1364">
        <f t="shared" si="592"/>
        <v>19697.484539882946</v>
      </c>
      <c r="M1206" s="1364">
        <f t="shared" si="592"/>
        <v>7341.8988623623964</v>
      </c>
      <c r="N1206" s="1367">
        <f t="shared" si="592"/>
        <v>330.32246309227224</v>
      </c>
      <c r="O1206" s="1367">
        <f t="shared" si="592"/>
        <v>360.39567355091276</v>
      </c>
      <c r="P1206" s="1367">
        <f t="shared" si="592"/>
        <v>109.23831490567461</v>
      </c>
      <c r="Q1206" s="1364">
        <f t="shared" si="592"/>
        <v>176089.01891421096</v>
      </c>
      <c r="R1206" s="1358"/>
      <c r="T1206" s="1326"/>
      <c r="U1206" s="1326"/>
      <c r="V1206" s="1320" t="s">
        <v>5698</v>
      </c>
      <c r="Y1206" s="1324"/>
    </row>
    <row r="1207" spans="1:25">
      <c r="A1207" s="1320" t="s">
        <v>4894</v>
      </c>
      <c r="B1207" s="1321"/>
      <c r="C1207" s="1434">
        <v>116</v>
      </c>
      <c r="D1207" s="1358" t="s">
        <v>5244</v>
      </c>
      <c r="E1207" s="1358" t="s">
        <v>4071</v>
      </c>
      <c r="F1207" s="1350">
        <f t="shared" si="591"/>
        <v>67123.870702369808</v>
      </c>
      <c r="G1207" s="1350">
        <f t="shared" si="591"/>
        <v>0</v>
      </c>
      <c r="H1207" s="1350">
        <f t="shared" si="591"/>
        <v>67123.870702369808</v>
      </c>
      <c r="I1207" s="1323">
        <f t="shared" si="589"/>
        <v>1</v>
      </c>
      <c r="J1207" s="1366">
        <f t="shared" si="592"/>
        <v>67123.870702369808</v>
      </c>
      <c r="K1207" s="1366">
        <f t="shared" si="592"/>
        <v>59866.895221111394</v>
      </c>
      <c r="L1207" s="1366">
        <f t="shared" si="592"/>
        <v>5803.5565583145435</v>
      </c>
      <c r="M1207" s="1366">
        <f t="shared" si="592"/>
        <v>1429.3665211020946</v>
      </c>
      <c r="N1207" s="1378">
        <f t="shared" si="592"/>
        <v>4.8260482659875761</v>
      </c>
      <c r="O1207" s="1378">
        <f t="shared" si="592"/>
        <v>0.85623436977198941</v>
      </c>
      <c r="P1207" s="1378">
        <f t="shared" si="592"/>
        <v>18.370119206017222</v>
      </c>
      <c r="Q1207" s="1366">
        <f t="shared" si="592"/>
        <v>0</v>
      </c>
      <c r="R1207" s="1358"/>
      <c r="T1207" s="1326"/>
      <c r="U1207" s="1326"/>
      <c r="V1207" s="1320" t="s">
        <v>5699</v>
      </c>
      <c r="Y1207" s="1324"/>
    </row>
    <row r="1208" spans="1:25">
      <c r="A1208" s="1320" t="s">
        <v>4894</v>
      </c>
      <c r="B1208" s="1436"/>
      <c r="C1208" s="1434">
        <v>117</v>
      </c>
      <c r="D1208" s="1358"/>
      <c r="E1208" s="1358"/>
      <c r="F1208" s="1358"/>
      <c r="G1208" s="1358"/>
      <c r="H1208" s="1358"/>
      <c r="J1208" s="1364"/>
      <c r="K1208" s="1364"/>
      <c r="L1208" s="1364"/>
      <c r="M1208" s="1364"/>
      <c r="N1208" s="1367"/>
      <c r="O1208" s="1367"/>
      <c r="P1208" s="1367"/>
      <c r="Q1208" s="1364"/>
      <c r="R1208" s="1358"/>
      <c r="S1208" s="1436"/>
      <c r="T1208" s="1436"/>
      <c r="U1208" s="1438"/>
      <c r="Y1208" s="1324"/>
    </row>
    <row r="1209" spans="1:25" ht="14.4" thickBot="1">
      <c r="A1209" s="1320" t="s">
        <v>4894</v>
      </c>
      <c r="B1209" s="1358"/>
      <c r="C1209" s="1434">
        <v>118</v>
      </c>
      <c r="D1209" s="1320" t="s">
        <v>5700</v>
      </c>
      <c r="E1209" s="1358"/>
      <c r="F1209" s="1423">
        <f>SUM(F1200:F1207)</f>
        <v>4023596.4966630763</v>
      </c>
      <c r="G1209" s="1423">
        <f>SUM(G1200:G1207)</f>
        <v>18789.439490788645</v>
      </c>
      <c r="H1209" s="1423">
        <f>SUM(H1200:H1207)</f>
        <v>4004807.0571722877</v>
      </c>
      <c r="I1209" s="1323">
        <f>IF(F1209=0,0,+H1209/F1209)</f>
        <v>0.99533018792854322</v>
      </c>
      <c r="J1209" s="1380">
        <f t="shared" ref="J1209:Q1209" si="593">SUM(J1200:J1207)</f>
        <v>4004807.0571722877</v>
      </c>
      <c r="K1209" s="1380">
        <f t="shared" si="593"/>
        <v>2357410.347501073</v>
      </c>
      <c r="L1209" s="1380">
        <f t="shared" si="593"/>
        <v>197992.81680406703</v>
      </c>
      <c r="M1209" s="1380">
        <f t="shared" si="593"/>
        <v>1068679.9503992239</v>
      </c>
      <c r="N1209" s="1424">
        <f t="shared" si="593"/>
        <v>122303.94683220984</v>
      </c>
      <c r="O1209" s="1424">
        <f>SUM(O1200:O1207)</f>
        <v>73777.319506120708</v>
      </c>
      <c r="P1209" s="1424">
        <f>SUM(P1200:P1207)</f>
        <v>8553.6572153835259</v>
      </c>
      <c r="Q1209" s="1380">
        <f t="shared" si="593"/>
        <v>176089.01891421096</v>
      </c>
      <c r="R1209" s="1358"/>
      <c r="S1209" s="1358"/>
      <c r="T1209" s="1358"/>
      <c r="U1209" s="1364"/>
      <c r="V1209" s="1320" t="s">
        <v>5701</v>
      </c>
      <c r="Y1209" s="1324"/>
    </row>
    <row r="1210" spans="1:25" ht="14.4" thickTop="1">
      <c r="G1210" s="1320"/>
      <c r="Y1210" s="1324"/>
    </row>
    <row r="1211" spans="1:25">
      <c r="G1211" s="1320"/>
    </row>
    <row r="1212" spans="1:25">
      <c r="G1212" s="1320"/>
    </row>
    <row r="1213" spans="1:25">
      <c r="G1213" s="1320"/>
    </row>
    <row r="1214" spans="1:25">
      <c r="G1214" s="1320"/>
      <c r="Y1214" s="1324"/>
    </row>
    <row r="1215" spans="1:25">
      <c r="B1215" s="1432"/>
      <c r="C1215" s="1340" t="str">
        <f>+C$2</f>
        <v>RATES WITH REVENUE DEFICIENCY ADDITION</v>
      </c>
      <c r="D1215" s="1358"/>
      <c r="F1215" s="1333"/>
      <c r="G1215" s="1327" t="s">
        <v>2173</v>
      </c>
      <c r="I1215" s="1334" t="s">
        <v>5686</v>
      </c>
      <c r="L1215" s="1329" t="s">
        <v>2173</v>
      </c>
      <c r="M1215" s="1330"/>
      <c r="N1215" s="1330"/>
      <c r="O1215" s="1330"/>
      <c r="S1215" s="1334" t="s">
        <v>5702</v>
      </c>
      <c r="T1215" s="1333" t="s">
        <v>2173</v>
      </c>
      <c r="U1215" s="1334"/>
      <c r="V1215" s="1332" t="s">
        <v>4772</v>
      </c>
      <c r="Y1215" s="1324"/>
    </row>
    <row r="1216" spans="1:25">
      <c r="B1216" s="1432"/>
      <c r="C1216" s="1340" t="str">
        <f>+C$3</f>
        <v>PROD. CAP. ALLOC. METHOD: 12 CP &amp; 1/13th AD</v>
      </c>
      <c r="D1216" s="1358"/>
      <c r="G1216" s="1336" t="s">
        <v>4768</v>
      </c>
      <c r="I1216" s="1335" t="s">
        <v>4310</v>
      </c>
      <c r="L1216" s="1336" t="s">
        <v>5141</v>
      </c>
      <c r="M1216" s="1337"/>
      <c r="N1216" s="1337"/>
      <c r="O1216" s="1337"/>
      <c r="R1216" s="1331"/>
      <c r="S1216" s="1335" t="s">
        <v>4311</v>
      </c>
      <c r="T1216" s="1333" t="s">
        <v>5141</v>
      </c>
      <c r="V1216" s="1332" t="s">
        <v>5702</v>
      </c>
    </row>
    <row r="1217" spans="1:25">
      <c r="C1217" s="1340" t="str">
        <f>+C$4</f>
        <v>PROJECTED CALENDAR YEAR 2025; FULLY ADJUSTED DATA</v>
      </c>
      <c r="D1217" s="1358"/>
      <c r="G1217" s="1336" t="s">
        <v>2181</v>
      </c>
      <c r="L1217" s="1336" t="s">
        <v>2181</v>
      </c>
      <c r="T1217" s="1339"/>
    </row>
    <row r="1218" spans="1:25">
      <c r="C1218" s="1340" t="str">
        <f>+C$5</f>
        <v>MINIMUM DISTRIBUTION SYSTEM (MDS) NOT EMPLOYED</v>
      </c>
      <c r="D1218" s="1358"/>
      <c r="G1218" s="1358"/>
      <c r="L1218" s="1336"/>
      <c r="M1218" s="1337"/>
      <c r="N1218" s="1337"/>
      <c r="O1218" s="1337"/>
      <c r="T1218" s="1333"/>
    </row>
    <row r="1219" spans="1:25">
      <c r="C1219" s="1340" t="str">
        <f>+C$6</f>
        <v>Tampa Electric 2025 OB Budget</v>
      </c>
      <c r="D1219" s="1358"/>
      <c r="F1219" s="1327"/>
      <c r="G1219" s="1333" t="s">
        <v>5703</v>
      </c>
      <c r="L1219" s="1336" t="s">
        <v>5703</v>
      </c>
      <c r="M1219" s="1337"/>
      <c r="N1219" s="1337"/>
      <c r="O1219" s="1337"/>
      <c r="T1219" s="1333" t="s">
        <v>5703</v>
      </c>
    </row>
    <row r="1220" spans="1:25">
      <c r="D1220" s="1358"/>
      <c r="F1220" s="1333"/>
      <c r="G1220" s="1358"/>
      <c r="L1220" s="1336"/>
      <c r="M1220" s="1337"/>
      <c r="N1220" s="1337"/>
      <c r="O1220" s="1337"/>
    </row>
    <row r="1221" spans="1:25">
      <c r="D1221" s="1358"/>
      <c r="E1221" s="1358"/>
      <c r="F1221" s="1333"/>
      <c r="G1221" s="1358"/>
      <c r="L1221" s="1336"/>
      <c r="M1221" s="1337"/>
      <c r="N1221" s="1337"/>
      <c r="O1221" s="1337"/>
      <c r="Y1221" s="1324"/>
    </row>
    <row r="1222" spans="1:25">
      <c r="G1222" s="1320"/>
      <c r="Y1222" s="1324"/>
    </row>
    <row r="1223" spans="1:25">
      <c r="C1223" s="1342"/>
      <c r="D1223" s="1331"/>
      <c r="E1223" s="1331"/>
      <c r="F1223" s="1333"/>
      <c r="G1223" s="1333"/>
      <c r="H1223" s="1333"/>
      <c r="I1223" s="1343"/>
      <c r="J1223" s="1416"/>
      <c r="K1223" s="1336"/>
      <c r="L1223" s="1416"/>
      <c r="M1223" s="1417"/>
      <c r="N1223" s="1417"/>
      <c r="O1223" s="1417"/>
      <c r="P1223" s="3164"/>
      <c r="Q1223" s="3164"/>
      <c r="R1223" s="1333"/>
      <c r="Y1223" s="1324"/>
    </row>
    <row r="1224" spans="1:25" ht="30" customHeight="1">
      <c r="A1224" s="1418" t="s">
        <v>4683</v>
      </c>
      <c r="B1224" s="1425" t="s">
        <v>5143</v>
      </c>
      <c r="C1224" s="1349" t="s">
        <v>4297</v>
      </c>
      <c r="D1224" s="1418"/>
      <c r="E1224" s="1418"/>
      <c r="F1224" s="1348" t="s">
        <v>5144</v>
      </c>
      <c r="G1224" s="1348" t="s">
        <v>4956</v>
      </c>
      <c r="H1224" s="1348" t="s">
        <v>4957</v>
      </c>
      <c r="I1224" s="1426" t="s">
        <v>5145</v>
      </c>
      <c r="J1224" s="1352" t="s">
        <v>4957</v>
      </c>
      <c r="K1224" s="1353" t="s">
        <v>1949</v>
      </c>
      <c r="L1224" s="1353" t="s">
        <v>1950</v>
      </c>
      <c r="M1224" s="1354" t="s">
        <v>1934</v>
      </c>
      <c r="N1224" s="1354" t="s">
        <v>1971</v>
      </c>
      <c r="O1224" s="1354" t="s">
        <v>1972</v>
      </c>
      <c r="P1224" s="1352" t="s">
        <v>5146</v>
      </c>
      <c r="Q1224" s="1352" t="s">
        <v>5147</v>
      </c>
      <c r="R1224" s="1355"/>
      <c r="S1224" s="1348" t="s">
        <v>5299</v>
      </c>
      <c r="T1224" s="1348"/>
      <c r="U1224" s="1352"/>
      <c r="V1224" s="1355" t="s">
        <v>4774</v>
      </c>
      <c r="W1224" s="1350"/>
      <c r="Y1224" s="1324"/>
    </row>
    <row r="1225" spans="1:25">
      <c r="G1225" s="1320"/>
      <c r="Y1225" s="1324"/>
    </row>
    <row r="1226" spans="1:25">
      <c r="A1226" s="1320" t="s">
        <v>4897</v>
      </c>
      <c r="B1226" s="1321"/>
      <c r="C1226" s="1322">
        <v>1</v>
      </c>
      <c r="D1226" s="1356" t="s">
        <v>5084</v>
      </c>
      <c r="G1226" s="1320"/>
      <c r="S1226" s="1321"/>
      <c r="T1226" s="1321"/>
      <c r="U1226" s="1326"/>
      <c r="Y1226" s="1324"/>
    </row>
    <row r="1227" spans="1:25" s="1324" customFormat="1">
      <c r="A1227" s="1324" t="s">
        <v>4897</v>
      </c>
      <c r="B1227" s="1324">
        <v>101</v>
      </c>
      <c r="C1227" s="1393">
        <v>2</v>
      </c>
      <c r="D1227" s="1324" t="s">
        <v>5265</v>
      </c>
      <c r="E1227" s="1324" t="s">
        <v>4067</v>
      </c>
      <c r="F1227" s="1324">
        <f>+'0 MDS Allocation Assignment'!F444</f>
        <v>91094.96646804089</v>
      </c>
      <c r="G1227" s="1364">
        <f>+$F1227*G$1933</f>
        <v>0</v>
      </c>
      <c r="H1227" s="1364">
        <f>+$F1227*H$1933</f>
        <v>91094.96646804089</v>
      </c>
      <c r="I1227" s="1374">
        <f t="shared" ref="I1227:I1235" si="594">IF(F1227=0,0,+H1227/F1227)</f>
        <v>1</v>
      </c>
      <c r="J1227" s="1364">
        <f t="shared" ref="J1227:J1234" si="595">+H1227</f>
        <v>91094.96646804089</v>
      </c>
      <c r="K1227" s="1324">
        <f t="shared" ref="K1227:Q1227" si="596">$J1227*K$1951</f>
        <v>52836.268441096407</v>
      </c>
      <c r="L1227" s="1324">
        <f t="shared" si="596"/>
        <v>4358.4592104576468</v>
      </c>
      <c r="M1227" s="1324">
        <f t="shared" si="596"/>
        <v>27861.440096442366</v>
      </c>
      <c r="N1227" s="1324">
        <f t="shared" si="596"/>
        <v>3478.1313784801869</v>
      </c>
      <c r="O1227" s="1324">
        <f t="shared" si="596"/>
        <v>2496.0816836768763</v>
      </c>
      <c r="P1227" s="1324">
        <f t="shared" si="596"/>
        <v>64.585657887410576</v>
      </c>
      <c r="Q1227" s="1324">
        <f t="shared" si="596"/>
        <v>0</v>
      </c>
      <c r="S1227" s="1324">
        <v>122</v>
      </c>
      <c r="V1227" s="1326" t="s">
        <v>5227</v>
      </c>
      <c r="W1227" s="1326">
        <v>122</v>
      </c>
    </row>
    <row r="1228" spans="1:25">
      <c r="A1228" s="1320" t="s">
        <v>4897</v>
      </c>
      <c r="B1228" s="1320">
        <v>101</v>
      </c>
      <c r="C1228" s="1322">
        <v>3</v>
      </c>
      <c r="D1228" s="1320" t="s">
        <v>5265</v>
      </c>
      <c r="E1228" s="1320" t="s">
        <v>2067</v>
      </c>
      <c r="F1228" s="1324">
        <f>+'0 MDS Allocation Assignment'!F445</f>
        <v>7691.9493755345575</v>
      </c>
      <c r="G1228" s="1358">
        <f>+$F1228*G$1933</f>
        <v>0</v>
      </c>
      <c r="H1228" s="1358">
        <f>+$F1228*H$1933</f>
        <v>7691.9493755345575</v>
      </c>
      <c r="I1228" s="1323">
        <f t="shared" si="594"/>
        <v>1</v>
      </c>
      <c r="J1228" s="1364">
        <f t="shared" si="595"/>
        <v>7691.9493755345575</v>
      </c>
      <c r="K1228" s="1364">
        <f t="shared" ref="K1228:Q1228" si="597">+$J1228*K$1966</f>
        <v>3881.6206058726589</v>
      </c>
      <c r="L1228" s="1364">
        <f t="shared" si="597"/>
        <v>358.70718343683296</v>
      </c>
      <c r="M1228" s="1364">
        <f t="shared" si="597"/>
        <v>2672.2291901415961</v>
      </c>
      <c r="N1228" s="1367">
        <f t="shared" si="597"/>
        <v>425.37592093334734</v>
      </c>
      <c r="O1228" s="1367">
        <f t="shared" si="597"/>
        <v>313.37948777712177</v>
      </c>
      <c r="P1228" s="1367">
        <f t="shared" si="597"/>
        <v>40.63698737300016</v>
      </c>
      <c r="Q1228" s="1364">
        <f t="shared" si="597"/>
        <v>0</v>
      </c>
      <c r="R1228" s="1364"/>
      <c r="S1228" s="1324">
        <v>201</v>
      </c>
      <c r="V1228" s="1321" t="s">
        <v>5235</v>
      </c>
      <c r="W1228" s="1321">
        <v>201</v>
      </c>
      <c r="Y1228" s="1324"/>
    </row>
    <row r="1229" spans="1:25">
      <c r="A1229" s="1320" t="s">
        <v>4897</v>
      </c>
      <c r="B1229" s="1320">
        <v>117</v>
      </c>
      <c r="C1229" s="1322">
        <v>4</v>
      </c>
      <c r="D1229" s="1320" t="s">
        <v>5268</v>
      </c>
      <c r="E1229" s="1320" t="s">
        <v>4067</v>
      </c>
      <c r="F1229" s="1324">
        <f>+'0 MDS Allocation Assignment'!F446</f>
        <v>7204.3735840743111</v>
      </c>
      <c r="G1229" s="1358">
        <f>+$F1229*G$1942</f>
        <v>466.74871372944807</v>
      </c>
      <c r="H1229" s="1358">
        <f>+$F1229*H$1942</f>
        <v>6737.6248703448628</v>
      </c>
      <c r="I1229" s="1323">
        <f t="shared" si="594"/>
        <v>0.93521314403222733</v>
      </c>
      <c r="J1229" s="1364">
        <f t="shared" si="595"/>
        <v>6737.6248703448628</v>
      </c>
      <c r="K1229" s="1364">
        <f t="shared" ref="K1229:Q1230" si="598">+$J1229*K$1945</f>
        <v>3907.910284261885</v>
      </c>
      <c r="L1229" s="1364">
        <f t="shared" si="598"/>
        <v>322.36318109920506</v>
      </c>
      <c r="M1229" s="1364">
        <f t="shared" si="598"/>
        <v>2060.7058654911739</v>
      </c>
      <c r="N1229" s="1367">
        <f t="shared" si="598"/>
        <v>257.25180420585048</v>
      </c>
      <c r="O1229" s="1367">
        <f t="shared" si="598"/>
        <v>184.61680905556719</v>
      </c>
      <c r="P1229" s="1367">
        <f t="shared" si="598"/>
        <v>4.7769262311817045</v>
      </c>
      <c r="Q1229" s="1364">
        <f t="shared" si="598"/>
        <v>0</v>
      </c>
      <c r="R1229" s="1364"/>
      <c r="S1229" s="1324">
        <v>117</v>
      </c>
      <c r="V1229" s="1321" t="s">
        <v>5228</v>
      </c>
      <c r="W1229" s="1321">
        <v>117</v>
      </c>
    </row>
    <row r="1230" spans="1:25">
      <c r="A1230" s="1320" t="s">
        <v>4897</v>
      </c>
      <c r="B1230" s="1320">
        <v>117</v>
      </c>
      <c r="C1230" s="1322">
        <v>5</v>
      </c>
      <c r="D1230" s="1320" t="s">
        <v>5239</v>
      </c>
      <c r="E1230" s="1320" t="s">
        <v>4067</v>
      </c>
      <c r="F1230" s="1324">
        <f>+'0 MDS Allocation Assignment'!F447</f>
        <v>7080.443710513463</v>
      </c>
      <c r="G1230" s="1358">
        <f>+$F1230*G$1942</f>
        <v>458.71968686095715</v>
      </c>
      <c r="H1230" s="1358">
        <f>+$F1230*H$1942</f>
        <v>6621.7240236525049</v>
      </c>
      <c r="I1230" s="1323">
        <f t="shared" si="594"/>
        <v>0.93521314403222722</v>
      </c>
      <c r="J1230" s="1364">
        <f t="shared" si="595"/>
        <v>6621.7240236525049</v>
      </c>
      <c r="K1230" s="1364">
        <f t="shared" si="598"/>
        <v>3840.6862818189375</v>
      </c>
      <c r="L1230" s="1364">
        <f t="shared" si="598"/>
        <v>316.81787895626644</v>
      </c>
      <c r="M1230" s="1364">
        <f t="shared" si="598"/>
        <v>2025.2575347825943</v>
      </c>
      <c r="N1230" s="1367">
        <f t="shared" si="598"/>
        <v>252.82655012977</v>
      </c>
      <c r="O1230" s="1367">
        <f t="shared" si="598"/>
        <v>181.44102457736628</v>
      </c>
      <c r="P1230" s="1367">
        <f t="shared" si="598"/>
        <v>4.6947533875706364</v>
      </c>
      <c r="Q1230" s="1364">
        <f t="shared" si="598"/>
        <v>0</v>
      </c>
      <c r="R1230" s="1364"/>
      <c r="S1230" s="1324">
        <v>117</v>
      </c>
      <c r="V1230" s="1321" t="s">
        <v>5228</v>
      </c>
      <c r="W1230" s="1321">
        <v>117</v>
      </c>
    </row>
    <row r="1231" spans="1:25">
      <c r="A1231" s="1320" t="s">
        <v>4897</v>
      </c>
      <c r="B1231" s="1320">
        <v>105</v>
      </c>
      <c r="C1231" s="1322">
        <v>6</v>
      </c>
      <c r="D1231" s="1320" t="s">
        <v>5240</v>
      </c>
      <c r="E1231" s="1320" t="s">
        <v>4067</v>
      </c>
      <c r="F1231" s="1324">
        <f>+'0 MDS Allocation Assignment'!F448</f>
        <v>24796.119036571257</v>
      </c>
      <c r="G1231" s="1358">
        <f>+$F1231*G$1936</f>
        <v>0</v>
      </c>
      <c r="H1231" s="1358">
        <f>+$F1231*H$1936</f>
        <v>24796.119036571257</v>
      </c>
      <c r="I1231" s="1323">
        <f t="shared" si="594"/>
        <v>1</v>
      </c>
      <c r="J1231" s="1364">
        <f t="shared" si="595"/>
        <v>24796.119036571257</v>
      </c>
      <c r="K1231" s="1364">
        <f t="shared" ref="K1231:Q1231" si="599">+$J1231*K$1936</f>
        <v>15433.501525728841</v>
      </c>
      <c r="L1231" s="1364">
        <f t="shared" si="599"/>
        <v>1097.6693366481641</v>
      </c>
      <c r="M1231" s="1364">
        <f t="shared" si="599"/>
        <v>7349.5815649442866</v>
      </c>
      <c r="N1231" s="1367">
        <f t="shared" si="599"/>
        <v>773.0282092838255</v>
      </c>
      <c r="O1231" s="1367">
        <f t="shared" si="599"/>
        <v>5.2780860182327248E-4</v>
      </c>
      <c r="P1231" s="1367">
        <f t="shared" si="599"/>
        <v>142.33787215754296</v>
      </c>
      <c r="Q1231" s="1364">
        <f t="shared" si="599"/>
        <v>0</v>
      </c>
      <c r="R1231" s="1364"/>
      <c r="S1231" s="1324">
        <v>105</v>
      </c>
      <c r="V1231" s="1321" t="s">
        <v>5229</v>
      </c>
      <c r="W1231" s="1321">
        <v>105</v>
      </c>
      <c r="Y1231" s="1324"/>
    </row>
    <row r="1232" spans="1:25">
      <c r="A1232" s="1320" t="s">
        <v>4897</v>
      </c>
      <c r="B1232" s="1320">
        <v>106</v>
      </c>
      <c r="C1232" s="1322">
        <v>7</v>
      </c>
      <c r="D1232" s="1320" t="s">
        <v>5241</v>
      </c>
      <c r="E1232" s="1320" t="s">
        <v>4067</v>
      </c>
      <c r="F1232" s="1324">
        <f>+'0 MDS Allocation Assignment'!F449</f>
        <v>13757.084983215889</v>
      </c>
      <c r="G1232" s="1358">
        <f>+$F1232*G$1939</f>
        <v>0</v>
      </c>
      <c r="H1232" s="1358">
        <f>+$F1232*H$1939</f>
        <v>13757.084983215889</v>
      </c>
      <c r="I1232" s="1323">
        <f t="shared" si="594"/>
        <v>1</v>
      </c>
      <c r="J1232" s="1364">
        <f t="shared" si="595"/>
        <v>13757.084983215889</v>
      </c>
      <c r="K1232" s="1364">
        <f t="shared" ref="K1232:Q1232" si="600">+$J1232*K$1939</f>
        <v>10037.626782191473</v>
      </c>
      <c r="L1232" s="1364">
        <f t="shared" si="600"/>
        <v>808.22816505634739</v>
      </c>
      <c r="M1232" s="1364">
        <f t="shared" si="600"/>
        <v>2861.464768715543</v>
      </c>
      <c r="N1232" s="1367">
        <f t="shared" si="600"/>
        <v>0</v>
      </c>
      <c r="O1232" s="1367">
        <f t="shared" si="600"/>
        <v>0</v>
      </c>
      <c r="P1232" s="1367">
        <f t="shared" si="600"/>
        <v>49.7652672525249</v>
      </c>
      <c r="Q1232" s="1364">
        <f t="shared" si="600"/>
        <v>0</v>
      </c>
      <c r="R1232" s="1364"/>
      <c r="S1232" s="1324">
        <v>106</v>
      </c>
      <c r="V1232" s="1321" t="s">
        <v>5230</v>
      </c>
      <c r="W1232" s="1321">
        <v>106</v>
      </c>
      <c r="Y1232" s="1324"/>
    </row>
    <row r="1233" spans="1:29">
      <c r="A1233" s="1320" t="s">
        <v>4897</v>
      </c>
      <c r="B1233" s="1320">
        <v>907</v>
      </c>
      <c r="C1233" s="1322">
        <v>8</v>
      </c>
      <c r="D1233" s="1320" t="s">
        <v>5242</v>
      </c>
      <c r="E1233" s="1320" t="s">
        <v>4071</v>
      </c>
      <c r="F1233" s="1324">
        <f>+'0 MDS Allocation Assignment'!F450</f>
        <v>11197.212842049608</v>
      </c>
      <c r="G1233" s="1358">
        <f>+$F1233*G$2052</f>
        <v>0</v>
      </c>
      <c r="H1233" s="1358">
        <f>+$F1233*H$2052</f>
        <v>11197.212842049608</v>
      </c>
      <c r="I1233" s="1323">
        <f t="shared" si="594"/>
        <v>1</v>
      </c>
      <c r="J1233" s="1364">
        <f t="shared" si="595"/>
        <v>11197.212842049608</v>
      </c>
      <c r="K1233" s="1364">
        <f t="shared" ref="K1233:Q1233" si="601">+$J1233*K$2052</f>
        <v>4127.927774182268</v>
      </c>
      <c r="L1233" s="1364">
        <f t="shared" si="601"/>
        <v>626.15236697054786</v>
      </c>
      <c r="M1233" s="1364">
        <f t="shared" si="601"/>
        <v>301.86758215998458</v>
      </c>
      <c r="N1233" s="1367">
        <f t="shared" si="601"/>
        <v>19.459936360981089</v>
      </c>
      <c r="O1233" s="1367">
        <f t="shared" si="601"/>
        <v>21.231607461447723</v>
      </c>
      <c r="P1233" s="1367">
        <f t="shared" si="601"/>
        <v>4.8729072807301543</v>
      </c>
      <c r="Q1233" s="1364">
        <f t="shared" si="601"/>
        <v>6095.7006676336496</v>
      </c>
      <c r="R1233" s="1364"/>
      <c r="S1233" s="1324">
        <v>907</v>
      </c>
      <c r="V1233" s="1321" t="s">
        <v>5243</v>
      </c>
      <c r="W1233" s="1321">
        <v>907</v>
      </c>
    </row>
    <row r="1234" spans="1:29">
      <c r="A1234" s="1320" t="s">
        <v>4897</v>
      </c>
      <c r="B1234" s="1324">
        <v>412</v>
      </c>
      <c r="C1234" s="1393">
        <v>9</v>
      </c>
      <c r="D1234" s="1324" t="s">
        <v>5244</v>
      </c>
      <c r="E1234" s="1324" t="s">
        <v>4071</v>
      </c>
      <c r="F1234" s="1324">
        <f>+'0 MDS Allocation Assignment'!F451</f>
        <v>0</v>
      </c>
      <c r="G1234" s="1364">
        <f>+$F1234*G$2018</f>
        <v>0</v>
      </c>
      <c r="H1234" s="1364">
        <f>+$F1234*H$2018</f>
        <v>0</v>
      </c>
      <c r="I1234" s="1323">
        <f t="shared" si="594"/>
        <v>0</v>
      </c>
      <c r="J1234" s="1364">
        <f t="shared" si="595"/>
        <v>0</v>
      </c>
      <c r="K1234" s="1364">
        <f t="shared" ref="K1234:Q1234" si="602">+$J1234*K$2018</f>
        <v>0</v>
      </c>
      <c r="L1234" s="1364">
        <f t="shared" si="602"/>
        <v>0</v>
      </c>
      <c r="M1234" s="1364">
        <f t="shared" si="602"/>
        <v>0</v>
      </c>
      <c r="N1234" s="1367">
        <f t="shared" si="602"/>
        <v>0</v>
      </c>
      <c r="O1234" s="1367">
        <f t="shared" si="602"/>
        <v>0</v>
      </c>
      <c r="P1234" s="1367">
        <f t="shared" si="602"/>
        <v>0</v>
      </c>
      <c r="Q1234" s="1364">
        <f t="shared" si="602"/>
        <v>0</v>
      </c>
      <c r="R1234" s="1364"/>
      <c r="S1234" s="1324">
        <v>412</v>
      </c>
      <c r="V1234" s="1321" t="s">
        <v>5245</v>
      </c>
      <c r="W1234" s="1321">
        <v>412</v>
      </c>
    </row>
    <row r="1235" spans="1:29" ht="14.4">
      <c r="A1235" s="1320" t="s">
        <v>4897</v>
      </c>
      <c r="C1235" s="1322">
        <v>10</v>
      </c>
      <c r="D1235" s="1320" t="s">
        <v>5088</v>
      </c>
      <c r="F1235" s="1427">
        <f>+SUM(F1227:F1234)</f>
        <v>162822.15</v>
      </c>
      <c r="G1235" s="1427">
        <f>SUM(G1227:G1234)</f>
        <v>925.46840059040528</v>
      </c>
      <c r="H1235" s="1427">
        <f>SUM(H1227:H1234)</f>
        <v>161896.68159940958</v>
      </c>
      <c r="I1235" s="1323">
        <f t="shared" si="594"/>
        <v>0.99431607799927457</v>
      </c>
      <c r="J1235" s="1421">
        <f t="shared" ref="J1235:Q1235" si="603">SUM(J1227:J1234)</f>
        <v>161896.68159940958</v>
      </c>
      <c r="K1235" s="1421">
        <f t="shared" si="603"/>
        <v>94065.541695152482</v>
      </c>
      <c r="L1235" s="1421">
        <f t="shared" si="603"/>
        <v>7888.3973226250091</v>
      </c>
      <c r="M1235" s="1421">
        <f t="shared" si="603"/>
        <v>45132.546602677547</v>
      </c>
      <c r="N1235" s="1422">
        <f t="shared" si="603"/>
        <v>5206.0737993939611</v>
      </c>
      <c r="O1235" s="1422">
        <f>SUM(O1227:O1234)</f>
        <v>3196.7511403569806</v>
      </c>
      <c r="P1235" s="1422">
        <f>SUM(P1227:P1234)</f>
        <v>311.67037156996111</v>
      </c>
      <c r="Q1235" s="1421">
        <f t="shared" si="603"/>
        <v>6095.7006676336496</v>
      </c>
      <c r="R1235" s="1364"/>
      <c r="S1235" s="1324"/>
      <c r="V1235" s="1320" t="s">
        <v>5704</v>
      </c>
      <c r="AA1235"/>
      <c r="AB1235"/>
      <c r="AC1235"/>
    </row>
    <row r="1236" spans="1:29" ht="14.4">
      <c r="A1236" s="1320" t="s">
        <v>4897</v>
      </c>
      <c r="C1236" s="1322">
        <v>11</v>
      </c>
      <c r="G1236" s="1320"/>
      <c r="R1236" s="1324"/>
      <c r="S1236" s="1324"/>
      <c r="AA1236"/>
      <c r="AB1236"/>
      <c r="AC1236"/>
    </row>
    <row r="1237" spans="1:29" ht="14.4">
      <c r="A1237" s="1320" t="s">
        <v>4897</v>
      </c>
      <c r="C1237" s="1322">
        <v>12</v>
      </c>
      <c r="D1237" s="1356" t="s">
        <v>5705</v>
      </c>
      <c r="G1237" s="1320"/>
      <c r="R1237" s="1324"/>
      <c r="S1237" s="1324"/>
      <c r="AA1237"/>
      <c r="AB1237"/>
      <c r="AC1237"/>
    </row>
    <row r="1238" spans="1:29" s="1324" customFormat="1" ht="14.4">
      <c r="A1238" s="1324" t="s">
        <v>4897</v>
      </c>
      <c r="B1238" s="1324">
        <v>101</v>
      </c>
      <c r="C1238" s="1393">
        <v>13</v>
      </c>
      <c r="D1238" s="1324" t="s">
        <v>5265</v>
      </c>
      <c r="E1238" s="1324" t="s">
        <v>4067</v>
      </c>
      <c r="F1238" s="1324">
        <f>+'0 MDS Allocation Assignment'!F452</f>
        <v>-276877.79085390217</v>
      </c>
      <c r="G1238" s="1364">
        <f>+$F1238*G$1933</f>
        <v>0</v>
      </c>
      <c r="H1238" s="1364">
        <f>+$F1238*H$1933</f>
        <v>-276877.79085390217</v>
      </c>
      <c r="I1238" s="1374">
        <f t="shared" ref="I1238:I1246" si="604">IF(F1238=0,0,+H1238/F1238)</f>
        <v>1</v>
      </c>
      <c r="J1238" s="1364">
        <f t="shared" ref="J1238:J1245" si="605">+H1238</f>
        <v>-276877.79085390217</v>
      </c>
      <c r="K1238" s="1324">
        <f t="shared" ref="K1238:Q1238" si="606">$J1238*K$1951</f>
        <v>-160592.72921591034</v>
      </c>
      <c r="L1238" s="1324">
        <f t="shared" si="606"/>
        <v>-13247.28033290102</v>
      </c>
      <c r="M1238" s="1324">
        <f t="shared" si="606"/>
        <v>-84683.207898404507</v>
      </c>
      <c r="N1238" s="1324">
        <f t="shared" si="606"/>
        <v>-10571.575683175533</v>
      </c>
      <c r="O1238" s="1324">
        <f t="shared" si="606"/>
        <v>-7586.6934163679189</v>
      </c>
      <c r="P1238" s="1324">
        <f t="shared" si="606"/>
        <v>-196.30430714287439</v>
      </c>
      <c r="Q1238" s="1324">
        <f t="shared" si="606"/>
        <v>0</v>
      </c>
      <c r="S1238" s="1324">
        <v>122</v>
      </c>
      <c r="V1238" s="1326" t="s">
        <v>5227</v>
      </c>
      <c r="W1238" s="1326">
        <v>122</v>
      </c>
      <c r="AA1238"/>
      <c r="AB1238"/>
      <c r="AC1238"/>
    </row>
    <row r="1239" spans="1:29" ht="14.4">
      <c r="A1239" s="1320" t="s">
        <v>4897</v>
      </c>
      <c r="B1239" s="1320">
        <v>101</v>
      </c>
      <c r="C1239" s="1322">
        <v>14</v>
      </c>
      <c r="D1239" s="1320" t="s">
        <v>5265</v>
      </c>
      <c r="E1239" s="1320" t="s">
        <v>2067</v>
      </c>
      <c r="F1239" s="1324">
        <f>+'0 MDS Allocation Assignment'!F453</f>
        <v>-26078.27032716485</v>
      </c>
      <c r="G1239" s="1358">
        <f>+$F1239*G$1933</f>
        <v>0</v>
      </c>
      <c r="H1239" s="1358">
        <f>+$F1239*H$1933</f>
        <v>-26078.27032716485</v>
      </c>
      <c r="I1239" s="1323">
        <f t="shared" si="604"/>
        <v>1</v>
      </c>
      <c r="J1239" s="1364">
        <f t="shared" si="605"/>
        <v>-26078.27032716485</v>
      </c>
      <c r="K1239" s="1364">
        <f t="shared" ref="K1239:Q1239" si="607">+$J1239*K$1966</f>
        <v>-13159.986698483157</v>
      </c>
      <c r="L1239" s="1364">
        <f t="shared" si="607"/>
        <v>-1216.1368258240186</v>
      </c>
      <c r="M1239" s="1364">
        <f t="shared" si="607"/>
        <v>-9059.746989274794</v>
      </c>
      <c r="N1239" s="1367">
        <f t="shared" si="607"/>
        <v>-1442.1660511768011</v>
      </c>
      <c r="O1239" s="1367">
        <f t="shared" si="607"/>
        <v>-1062.4608403214156</v>
      </c>
      <c r="P1239" s="1367">
        <f t="shared" si="607"/>
        <v>-137.77292208466145</v>
      </c>
      <c r="Q1239" s="1364">
        <f t="shared" si="607"/>
        <v>0</v>
      </c>
      <c r="R1239" s="1364"/>
      <c r="S1239" s="1324">
        <v>201</v>
      </c>
      <c r="V1239" s="1321" t="s">
        <v>5235</v>
      </c>
      <c r="W1239" s="1321">
        <v>201</v>
      </c>
      <c r="Y1239" s="1324"/>
      <c r="AA1239"/>
      <c r="AB1239"/>
      <c r="AC1239"/>
    </row>
    <row r="1240" spans="1:29" ht="14.4">
      <c r="A1240" s="1320" t="s">
        <v>4897</v>
      </c>
      <c r="B1240" s="1320">
        <v>117</v>
      </c>
      <c r="C1240" s="1322">
        <v>15</v>
      </c>
      <c r="D1240" s="1320" t="s">
        <v>5268</v>
      </c>
      <c r="E1240" s="1320" t="s">
        <v>4067</v>
      </c>
      <c r="F1240" s="1324">
        <f>+'0 MDS Allocation Assignment'!F454</f>
        <v>-21859.473805132271</v>
      </c>
      <c r="G1240" s="1358">
        <f>+$F1240*G$1942</f>
        <v>-1416.2065809444025</v>
      </c>
      <c r="H1240" s="1358">
        <f>+$F1240*H$1942</f>
        <v>-20443.267224187868</v>
      </c>
      <c r="I1240" s="1323">
        <f t="shared" si="604"/>
        <v>0.93521314403222733</v>
      </c>
      <c r="J1240" s="1364">
        <f t="shared" si="605"/>
        <v>-20443.267224187868</v>
      </c>
      <c r="K1240" s="1364">
        <f t="shared" ref="K1240:Q1241" si="608">+$J1240*K$1945</f>
        <v>-11857.361572762735</v>
      </c>
      <c r="L1240" s="1364">
        <f t="shared" si="608"/>
        <v>-978.1127298221046</v>
      </c>
      <c r="M1240" s="1364">
        <f t="shared" si="608"/>
        <v>-6252.5832900119776</v>
      </c>
      <c r="N1240" s="1367">
        <f t="shared" si="608"/>
        <v>-780.55212014430151</v>
      </c>
      <c r="O1240" s="1367">
        <f t="shared" si="608"/>
        <v>-560.16338609345098</v>
      </c>
      <c r="P1240" s="1367">
        <f t="shared" si="608"/>
        <v>-14.494125353298534</v>
      </c>
      <c r="Q1240" s="1364">
        <f t="shared" si="608"/>
        <v>0</v>
      </c>
      <c r="R1240" s="1364"/>
      <c r="S1240" s="1324">
        <v>117</v>
      </c>
      <c r="V1240" s="1321" t="s">
        <v>5228</v>
      </c>
      <c r="W1240" s="1321">
        <v>117</v>
      </c>
      <c r="Y1240" s="1324"/>
      <c r="AA1240"/>
      <c r="AB1240"/>
      <c r="AC1240"/>
    </row>
    <row r="1241" spans="1:29" ht="14.4">
      <c r="A1241" s="1320" t="s">
        <v>4897</v>
      </c>
      <c r="B1241" s="1320">
        <v>117</v>
      </c>
      <c r="C1241" s="1322">
        <v>16</v>
      </c>
      <c r="D1241" s="1320" t="s">
        <v>5239</v>
      </c>
      <c r="E1241" s="1320" t="s">
        <v>4067</v>
      </c>
      <c r="F1241" s="1324">
        <f>+'0 MDS Allocation Assignment'!F455</f>
        <v>-22792.212186502355</v>
      </c>
      <c r="G1241" s="1358">
        <f>+$F1241*G$1942</f>
        <v>-1476.6357681138395</v>
      </c>
      <c r="H1241" s="1358">
        <f>+$F1241*H$1942</f>
        <v>-21315.576418388515</v>
      </c>
      <c r="I1241" s="1323">
        <f t="shared" si="604"/>
        <v>0.93521314403222744</v>
      </c>
      <c r="J1241" s="1364">
        <f t="shared" si="605"/>
        <v>-21315.576418388515</v>
      </c>
      <c r="K1241" s="1364">
        <f t="shared" si="608"/>
        <v>-12363.312280418922</v>
      </c>
      <c r="L1241" s="1364">
        <f t="shared" si="608"/>
        <v>-1019.8485599040503</v>
      </c>
      <c r="M1241" s="1364">
        <f t="shared" si="608"/>
        <v>-6519.3794841609024</v>
      </c>
      <c r="N1241" s="1367">
        <f t="shared" si="608"/>
        <v>-813.858087506949</v>
      </c>
      <c r="O1241" s="1367">
        <f t="shared" si="608"/>
        <v>-584.06542027347405</v>
      </c>
      <c r="P1241" s="1367">
        <f t="shared" si="608"/>
        <v>-15.112586124217762</v>
      </c>
      <c r="Q1241" s="1364">
        <f t="shared" si="608"/>
        <v>0</v>
      </c>
      <c r="R1241" s="1364"/>
      <c r="S1241" s="1324">
        <v>117</v>
      </c>
      <c r="V1241" s="1321" t="s">
        <v>5228</v>
      </c>
      <c r="W1241" s="1321">
        <v>117</v>
      </c>
      <c r="Y1241" s="1324"/>
      <c r="AA1241"/>
      <c r="AB1241"/>
      <c r="AC1241"/>
    </row>
    <row r="1242" spans="1:29" ht="14.4">
      <c r="A1242" s="1320" t="s">
        <v>4897</v>
      </c>
      <c r="B1242" s="1320">
        <v>105</v>
      </c>
      <c r="C1242" s="1322">
        <v>17</v>
      </c>
      <c r="D1242" s="1320" t="s">
        <v>5240</v>
      </c>
      <c r="E1242" s="1320" t="s">
        <v>4067</v>
      </c>
      <c r="F1242" s="1324">
        <f>+'0 MDS Allocation Assignment'!F456</f>
        <v>-82744.462647809807</v>
      </c>
      <c r="G1242" s="1358">
        <f>+$F1242*G$1936</f>
        <v>0</v>
      </c>
      <c r="H1242" s="1358">
        <f>+$F1242*H$1936</f>
        <v>-82744.462647809807</v>
      </c>
      <c r="I1242" s="1323">
        <f t="shared" si="604"/>
        <v>1</v>
      </c>
      <c r="J1242" s="1364">
        <f t="shared" si="605"/>
        <v>-82744.462647809807</v>
      </c>
      <c r="K1242" s="1364">
        <f t="shared" ref="K1242:Q1242" si="609">+$J1242*K$1936</f>
        <v>-51501.478462702653</v>
      </c>
      <c r="L1242" s="1364">
        <f t="shared" si="609"/>
        <v>-3662.9143170337584</v>
      </c>
      <c r="M1242" s="1364">
        <f t="shared" si="609"/>
        <v>-24525.498380639154</v>
      </c>
      <c r="N1242" s="1367">
        <f t="shared" si="609"/>
        <v>-2579.5893177658158</v>
      </c>
      <c r="O1242" s="1367">
        <f t="shared" si="609"/>
        <v>-1.7612933328133235E-3</v>
      </c>
      <c r="P1242" s="1367">
        <f t="shared" si="609"/>
        <v>-474.98040837511354</v>
      </c>
      <c r="Q1242" s="1364">
        <f t="shared" si="609"/>
        <v>0</v>
      </c>
      <c r="R1242" s="1364"/>
      <c r="S1242" s="1324">
        <v>105</v>
      </c>
      <c r="V1242" s="1321" t="s">
        <v>5229</v>
      </c>
      <c r="W1242" s="1321">
        <v>105</v>
      </c>
      <c r="Y1242" s="1324"/>
      <c r="AA1242"/>
      <c r="AB1242"/>
      <c r="AC1242"/>
    </row>
    <row r="1243" spans="1:29">
      <c r="A1243" s="1320" t="s">
        <v>4897</v>
      </c>
      <c r="B1243" s="1320">
        <v>106</v>
      </c>
      <c r="C1243" s="1322">
        <v>18</v>
      </c>
      <c r="D1243" s="1320" t="s">
        <v>5241</v>
      </c>
      <c r="E1243" s="1320" t="s">
        <v>4067</v>
      </c>
      <c r="F1243" s="1324">
        <f>+'0 MDS Allocation Assignment'!F457</f>
        <v>-41185.725124527256</v>
      </c>
      <c r="G1243" s="1358">
        <f>+$F1243*G$1939</f>
        <v>0</v>
      </c>
      <c r="H1243" s="1358">
        <f>+$F1243*H$1939</f>
        <v>-41185.725124527256</v>
      </c>
      <c r="I1243" s="1323">
        <f t="shared" si="604"/>
        <v>1</v>
      </c>
      <c r="J1243" s="1364">
        <f t="shared" si="605"/>
        <v>-41185.725124527256</v>
      </c>
      <c r="K1243" s="1364">
        <f t="shared" ref="K1243:Q1243" si="610">+$J1243*K$1939</f>
        <v>-30050.474941333978</v>
      </c>
      <c r="L1243" s="1364">
        <f t="shared" si="610"/>
        <v>-2419.6596215349114</v>
      </c>
      <c r="M1243" s="1364">
        <f t="shared" si="610"/>
        <v>-8566.6041579026478</v>
      </c>
      <c r="N1243" s="1367">
        <f t="shared" si="610"/>
        <v>0</v>
      </c>
      <c r="O1243" s="1367">
        <f t="shared" si="610"/>
        <v>0</v>
      </c>
      <c r="P1243" s="1367">
        <f t="shared" si="610"/>
        <v>-148.98640375571804</v>
      </c>
      <c r="Q1243" s="1364">
        <f t="shared" si="610"/>
        <v>0</v>
      </c>
      <c r="R1243" s="1364"/>
      <c r="S1243" s="1324">
        <v>106</v>
      </c>
      <c r="V1243" s="1321" t="s">
        <v>5230</v>
      </c>
      <c r="W1243" s="1321">
        <v>106</v>
      </c>
      <c r="Y1243" s="1324"/>
    </row>
    <row r="1244" spans="1:29">
      <c r="A1244" s="1320" t="s">
        <v>4897</v>
      </c>
      <c r="B1244" s="1320">
        <v>907</v>
      </c>
      <c r="C1244" s="1322">
        <v>19</v>
      </c>
      <c r="D1244" s="1320" t="s">
        <v>5242</v>
      </c>
      <c r="E1244" s="1320" t="s">
        <v>4071</v>
      </c>
      <c r="F1244" s="1324">
        <f>+'0 MDS Allocation Assignment'!F458</f>
        <v>-38742.145338522234</v>
      </c>
      <c r="G1244" s="1358">
        <f>+$F1244*G$2052</f>
        <v>0</v>
      </c>
      <c r="H1244" s="1358">
        <f>+$F1244*H$2052</f>
        <v>-38742.145338522234</v>
      </c>
      <c r="I1244" s="1323">
        <f t="shared" si="604"/>
        <v>1</v>
      </c>
      <c r="J1244" s="1364">
        <f t="shared" si="605"/>
        <v>-38742.145338522234</v>
      </c>
      <c r="K1244" s="1364">
        <f t="shared" ref="K1244:Q1244" si="611">+$J1244*K$2052</f>
        <v>-14282.552277091339</v>
      </c>
      <c r="L1244" s="1364">
        <f t="shared" si="611"/>
        <v>-2166.4753852077574</v>
      </c>
      <c r="M1244" s="1364">
        <f t="shared" si="611"/>
        <v>-1044.4561433280478</v>
      </c>
      <c r="N1244" s="1367">
        <f t="shared" si="611"/>
        <v>-67.331012941388423</v>
      </c>
      <c r="O1244" s="1367">
        <f t="shared" si="611"/>
        <v>-73.460961548650417</v>
      </c>
      <c r="P1244" s="1367">
        <f t="shared" si="611"/>
        <v>-16.86016732505319</v>
      </c>
      <c r="Q1244" s="1364">
        <f t="shared" si="611"/>
        <v>-21091.009391080002</v>
      </c>
      <c r="R1244" s="1364"/>
      <c r="S1244" s="1324">
        <v>907</v>
      </c>
      <c r="V1244" s="1321" t="s">
        <v>5243</v>
      </c>
      <c r="W1244" s="1321">
        <v>907</v>
      </c>
      <c r="Y1244" s="1324"/>
    </row>
    <row r="1245" spans="1:29">
      <c r="A1245" s="1320" t="s">
        <v>4897</v>
      </c>
      <c r="B1245" s="1324">
        <v>412</v>
      </c>
      <c r="C1245" s="1393">
        <v>20</v>
      </c>
      <c r="D1245" s="1324" t="s">
        <v>5244</v>
      </c>
      <c r="E1245" s="1324" t="s">
        <v>4071</v>
      </c>
      <c r="F1245" s="1324">
        <f>+'0 MDS Allocation Assignment'!F459</f>
        <v>-9393.7898768032774</v>
      </c>
      <c r="G1245" s="1364">
        <f>+$F1245*G$2018</f>
        <v>0</v>
      </c>
      <c r="H1245" s="1364">
        <f>+$F1245*H$2018</f>
        <v>-9393.7898768032774</v>
      </c>
      <c r="I1245" s="1323">
        <f t="shared" si="604"/>
        <v>1</v>
      </c>
      <c r="J1245" s="1364">
        <f t="shared" si="605"/>
        <v>-9393.7898768032774</v>
      </c>
      <c r="K1245" s="1364">
        <f t="shared" ref="K1245:Q1245" si="612">+$J1245*K$2018</f>
        <v>-8378.1973297893255</v>
      </c>
      <c r="L1245" s="1364">
        <f t="shared" si="612"/>
        <v>-812.19080896992557</v>
      </c>
      <c r="M1245" s="1364">
        <f t="shared" si="612"/>
        <v>-200.03567457703727</v>
      </c>
      <c r="N1245" s="1367">
        <f t="shared" si="612"/>
        <v>-0.67539137525329795</v>
      </c>
      <c r="O1245" s="1367">
        <f t="shared" si="612"/>
        <v>-0.119827502061069</v>
      </c>
      <c r="P1245" s="1367">
        <f t="shared" si="612"/>
        <v>-2.5708445896738437</v>
      </c>
      <c r="Q1245" s="1364">
        <f t="shared" si="612"/>
        <v>0</v>
      </c>
      <c r="R1245" s="1364"/>
      <c r="S1245" s="1324">
        <v>412</v>
      </c>
      <c r="V1245" s="1321" t="s">
        <v>5245</v>
      </c>
      <c r="W1245" s="1321">
        <v>412</v>
      </c>
      <c r="Y1245" s="1324"/>
    </row>
    <row r="1246" spans="1:29">
      <c r="A1246" s="1320" t="s">
        <v>4897</v>
      </c>
      <c r="C1246" s="1322">
        <v>21</v>
      </c>
      <c r="D1246" s="1320" t="s">
        <v>5706</v>
      </c>
      <c r="F1246" s="1427">
        <f>+SUM(F1238:F1245)</f>
        <v>-519673.8701603642</v>
      </c>
      <c r="G1246" s="1427">
        <f>SUM(G1238:G1245)</f>
        <v>-2892.8423490582418</v>
      </c>
      <c r="H1246" s="1427">
        <f>SUM(H1238:H1245)</f>
        <v>-516781.02781130595</v>
      </c>
      <c r="I1246" s="1323">
        <f t="shared" si="604"/>
        <v>0.99443335038537617</v>
      </c>
      <c r="J1246" s="1421">
        <f t="shared" ref="J1246:Q1246" si="613">SUM(J1238:J1245)</f>
        <v>-516781.02781130595</v>
      </c>
      <c r="K1246" s="1421">
        <f t="shared" si="613"/>
        <v>-302186.09277849249</v>
      </c>
      <c r="L1246" s="1421">
        <f t="shared" si="613"/>
        <v>-25522.618581197548</v>
      </c>
      <c r="M1246" s="1421">
        <f t="shared" si="613"/>
        <v>-140851.51201829905</v>
      </c>
      <c r="N1246" s="1422">
        <f t="shared" si="613"/>
        <v>-16255.74766408604</v>
      </c>
      <c r="O1246" s="1422">
        <f>SUM(O1238:O1245)</f>
        <v>-9866.9656134003035</v>
      </c>
      <c r="P1246" s="1422">
        <f>SUM(P1238:P1245)</f>
        <v>-1007.0817647506108</v>
      </c>
      <c r="Q1246" s="1421">
        <f t="shared" si="613"/>
        <v>-21091.009391080002</v>
      </c>
      <c r="R1246" s="1364"/>
      <c r="S1246" s="1324"/>
      <c r="V1246" s="1320" t="s">
        <v>5707</v>
      </c>
    </row>
    <row r="1247" spans="1:29">
      <c r="A1247" s="1320" t="s">
        <v>4897</v>
      </c>
      <c r="C1247" s="1322">
        <v>22</v>
      </c>
      <c r="G1247" s="1320"/>
      <c r="R1247" s="1324"/>
      <c r="S1247" s="1324"/>
    </row>
    <row r="1248" spans="1:29">
      <c r="A1248" s="1320" t="s">
        <v>4897</v>
      </c>
      <c r="C1248" s="1322">
        <v>23</v>
      </c>
      <c r="D1248" s="1356" t="s">
        <v>5708</v>
      </c>
      <c r="G1248" s="1320"/>
      <c r="R1248" s="1324"/>
      <c r="S1248" s="1324"/>
    </row>
    <row r="1249" spans="1:25" s="1324" customFormat="1">
      <c r="A1249" s="1324" t="s">
        <v>4897</v>
      </c>
      <c r="B1249" s="1324">
        <v>101</v>
      </c>
      <c r="C1249" s="1393">
        <v>24</v>
      </c>
      <c r="D1249" s="1324" t="s">
        <v>5265</v>
      </c>
      <c r="E1249" s="1324" t="s">
        <v>4067</v>
      </c>
      <c r="F1249" s="1364">
        <f>+'0 MDS Allocation Assignment'!F460</f>
        <v>600863.57050653605</v>
      </c>
      <c r="G1249" s="1364">
        <f>+$F1249*G$1933</f>
        <v>0</v>
      </c>
      <c r="H1249" s="1364">
        <f>+$F1249*H$1933</f>
        <v>600863.57050653605</v>
      </c>
      <c r="I1249" s="1374">
        <f t="shared" ref="I1249:I1257" si="614">IF(F1249=0,0,+H1249/F1249)</f>
        <v>1</v>
      </c>
      <c r="J1249" s="1364">
        <f t="shared" ref="J1249:J1256" si="615">+H1249</f>
        <v>600863.57050653605</v>
      </c>
      <c r="K1249" s="1324">
        <f t="shared" ref="K1249:Q1249" si="616">$J1249*K$1951</f>
        <v>348508.70622908702</v>
      </c>
      <c r="L1249" s="1324">
        <f t="shared" si="616"/>
        <v>28748.453011632151</v>
      </c>
      <c r="M1249" s="1324">
        <f t="shared" si="616"/>
        <v>183774.41723605656</v>
      </c>
      <c r="N1249" s="1324">
        <f t="shared" si="616"/>
        <v>22941.799308940135</v>
      </c>
      <c r="O1249" s="1324">
        <f t="shared" si="616"/>
        <v>16464.186890680012</v>
      </c>
      <c r="P1249" s="1324">
        <f t="shared" si="616"/>
        <v>426.0078301401864</v>
      </c>
      <c r="Q1249" s="1324">
        <f t="shared" si="616"/>
        <v>0</v>
      </c>
      <c r="S1249" s="1324">
        <v>122</v>
      </c>
      <c r="V1249" s="1326" t="s">
        <v>5227</v>
      </c>
      <c r="W1249" s="1326">
        <v>122</v>
      </c>
    </row>
    <row r="1250" spans="1:25">
      <c r="A1250" s="1320" t="s">
        <v>4897</v>
      </c>
      <c r="B1250" s="1320">
        <v>101</v>
      </c>
      <c r="C1250" s="1322">
        <v>25</v>
      </c>
      <c r="D1250" s="1320" t="s">
        <v>5265</v>
      </c>
      <c r="E1250" s="1320" t="s">
        <v>2067</v>
      </c>
      <c r="F1250" s="1364">
        <f>+'0 MDS Allocation Assignment'!F461</f>
        <v>56593.497705574773</v>
      </c>
      <c r="G1250" s="1358">
        <f>+$F1250*G$1933</f>
        <v>0</v>
      </c>
      <c r="H1250" s="1358">
        <f>+$F1250*H$1933</f>
        <v>56593.497705574773</v>
      </c>
      <c r="I1250" s="1323">
        <f t="shared" si="614"/>
        <v>1</v>
      </c>
      <c r="J1250" s="1364">
        <f t="shared" si="615"/>
        <v>56593.497705574773</v>
      </c>
      <c r="K1250" s="1364">
        <f t="shared" ref="K1250:Q1250" si="617">+$J1250*K$1966</f>
        <v>28559.013603375366</v>
      </c>
      <c r="L1250" s="1364">
        <f t="shared" si="617"/>
        <v>2639.187177619041</v>
      </c>
      <c r="M1250" s="1364">
        <f t="shared" si="617"/>
        <v>19660.919379170831</v>
      </c>
      <c r="N1250" s="1367">
        <f t="shared" si="617"/>
        <v>3129.7022419203254</v>
      </c>
      <c r="O1250" s="1367">
        <f t="shared" si="617"/>
        <v>2305.6887736284943</v>
      </c>
      <c r="P1250" s="1367">
        <f t="shared" si="617"/>
        <v>298.98652986071301</v>
      </c>
      <c r="Q1250" s="1364">
        <f t="shared" si="617"/>
        <v>0</v>
      </c>
      <c r="R1250" s="1364"/>
      <c r="S1250" s="1324">
        <v>201</v>
      </c>
      <c r="V1250" s="1321" t="s">
        <v>5235</v>
      </c>
      <c r="W1250" s="1321">
        <v>201</v>
      </c>
      <c r="Y1250" s="1324"/>
    </row>
    <row r="1251" spans="1:25">
      <c r="A1251" s="1320" t="s">
        <v>4897</v>
      </c>
      <c r="B1251" s="1320">
        <v>117</v>
      </c>
      <c r="C1251" s="1322">
        <v>26</v>
      </c>
      <c r="D1251" s="1320" t="s">
        <v>5268</v>
      </c>
      <c r="E1251" s="1320" t="s">
        <v>4067</v>
      </c>
      <c r="F1251" s="1364">
        <f>+'0 MDS Allocation Assignment'!F462</f>
        <v>47438.118598961511</v>
      </c>
      <c r="G1251" s="1358">
        <f>+$F1251*G$1942</f>
        <v>3073.3665570530343</v>
      </c>
      <c r="H1251" s="1358">
        <f>+$F1251*H$1942</f>
        <v>44364.752041908476</v>
      </c>
      <c r="I1251" s="1323">
        <f t="shared" si="614"/>
        <v>0.93521314403222733</v>
      </c>
      <c r="J1251" s="1364">
        <f t="shared" si="615"/>
        <v>44364.752041908476</v>
      </c>
      <c r="K1251" s="1364">
        <f t="shared" ref="K1251:Q1252" si="618">+$J1251*K$1945</f>
        <v>25732.134706162193</v>
      </c>
      <c r="L1251" s="1364">
        <f t="shared" si="618"/>
        <v>2122.641564663877</v>
      </c>
      <c r="M1251" s="1364">
        <f t="shared" si="618"/>
        <v>13568.981134021325</v>
      </c>
      <c r="N1251" s="1367">
        <f t="shared" si="618"/>
        <v>1693.907382133903</v>
      </c>
      <c r="O1251" s="1367">
        <f t="shared" si="618"/>
        <v>1215.6329736563939</v>
      </c>
      <c r="P1251" s="1367">
        <f t="shared" si="618"/>
        <v>31.45428127078516</v>
      </c>
      <c r="Q1251" s="1364">
        <f t="shared" si="618"/>
        <v>0</v>
      </c>
      <c r="R1251" s="1364"/>
      <c r="S1251" s="1324">
        <v>117</v>
      </c>
      <c r="V1251" s="1321" t="s">
        <v>5228</v>
      </c>
      <c r="W1251" s="1321">
        <v>117</v>
      </c>
      <c r="Y1251" s="1324"/>
    </row>
    <row r="1252" spans="1:25">
      <c r="A1252" s="1320" t="s">
        <v>4897</v>
      </c>
      <c r="B1252" s="1320">
        <v>117</v>
      </c>
      <c r="C1252" s="1322">
        <v>27</v>
      </c>
      <c r="D1252" s="1320" t="s">
        <v>5239</v>
      </c>
      <c r="E1252" s="1320" t="s">
        <v>4067</v>
      </c>
      <c r="F1252" s="1364">
        <f>+'0 MDS Allocation Assignment'!F463</f>
        <v>49462.291474835991</v>
      </c>
      <c r="G1252" s="1358">
        <f>+$F1252*G$1942</f>
        <v>3204.5063536161861</v>
      </c>
      <c r="H1252" s="1358">
        <f>+$F1252*H$1942</f>
        <v>46257.7851212198</v>
      </c>
      <c r="I1252" s="1323">
        <f t="shared" si="614"/>
        <v>0.93521314403222733</v>
      </c>
      <c r="J1252" s="1364">
        <f t="shared" si="615"/>
        <v>46257.7851212198</v>
      </c>
      <c r="K1252" s="1364">
        <f t="shared" si="618"/>
        <v>26830.118577548314</v>
      </c>
      <c r="L1252" s="1364">
        <f t="shared" si="618"/>
        <v>2213.2141591784161</v>
      </c>
      <c r="M1252" s="1364">
        <f t="shared" si="618"/>
        <v>14147.966228201258</v>
      </c>
      <c r="N1252" s="1367">
        <f t="shared" si="618"/>
        <v>1766.1859943222464</v>
      </c>
      <c r="O1252" s="1367">
        <f t="shared" si="618"/>
        <v>1267.5037342381127</v>
      </c>
      <c r="P1252" s="1367">
        <f t="shared" si="618"/>
        <v>32.796427731455367</v>
      </c>
      <c r="Q1252" s="1364">
        <f t="shared" si="618"/>
        <v>0</v>
      </c>
      <c r="R1252" s="1358"/>
      <c r="S1252" s="1320">
        <v>117</v>
      </c>
      <c r="V1252" s="1321" t="s">
        <v>5228</v>
      </c>
      <c r="W1252" s="1321">
        <v>117</v>
      </c>
      <c r="Y1252" s="1324"/>
    </row>
    <row r="1253" spans="1:25">
      <c r="A1253" s="1320" t="s">
        <v>4897</v>
      </c>
      <c r="B1253" s="1320">
        <v>105</v>
      </c>
      <c r="C1253" s="1322">
        <v>28</v>
      </c>
      <c r="D1253" s="1320" t="s">
        <v>5240</v>
      </c>
      <c r="E1253" s="1320" t="s">
        <v>4067</v>
      </c>
      <c r="F1253" s="1364">
        <f>+'0 MDS Allocation Assignment'!F464</f>
        <v>179567.06860768789</v>
      </c>
      <c r="G1253" s="1358">
        <f>+$F1253*G$1936</f>
        <v>0</v>
      </c>
      <c r="H1253" s="1358">
        <f>+$F1253*H$1936</f>
        <v>179567.06860768789</v>
      </c>
      <c r="I1253" s="1323">
        <f t="shared" si="614"/>
        <v>1</v>
      </c>
      <c r="J1253" s="1364">
        <f t="shared" si="615"/>
        <v>179567.06860768789</v>
      </c>
      <c r="K1253" s="1364">
        <f t="shared" ref="K1253:Q1253" si="619">+$J1253*K$1936</f>
        <v>111765.41874315109</v>
      </c>
      <c r="L1253" s="1364">
        <f t="shared" si="619"/>
        <v>7949.0368953201851</v>
      </c>
      <c r="M1253" s="1364">
        <f t="shared" si="619"/>
        <v>53223.765185337623</v>
      </c>
      <c r="N1253" s="1367">
        <f t="shared" si="619"/>
        <v>5598.0699756852418</v>
      </c>
      <c r="O1253" s="1367">
        <f t="shared" si="619"/>
        <v>3.8222531225770768E-3</v>
      </c>
      <c r="P1253" s="1367">
        <f t="shared" si="619"/>
        <v>1030.7739859406679</v>
      </c>
      <c r="Q1253" s="1364">
        <f t="shared" si="619"/>
        <v>0</v>
      </c>
      <c r="R1253" s="1358"/>
      <c r="S1253" s="1320">
        <v>105</v>
      </c>
      <c r="V1253" s="1321" t="s">
        <v>5229</v>
      </c>
      <c r="W1253" s="1321">
        <v>105</v>
      </c>
      <c r="Y1253" s="1324"/>
    </row>
    <row r="1254" spans="1:25">
      <c r="A1254" s="1320" t="s">
        <v>4897</v>
      </c>
      <c r="B1254" s="1320">
        <v>106</v>
      </c>
      <c r="C1254" s="1322">
        <v>29</v>
      </c>
      <c r="D1254" s="1320" t="s">
        <v>5241</v>
      </c>
      <c r="E1254" s="1320" t="s">
        <v>4067</v>
      </c>
      <c r="F1254" s="1364">
        <f>+'0 MDS Allocation Assignment'!F465</f>
        <v>89378.789739341155</v>
      </c>
      <c r="G1254" s="1358">
        <f>+$F1254*G$1939</f>
        <v>0</v>
      </c>
      <c r="H1254" s="1358">
        <f>+$F1254*H$1939</f>
        <v>89378.789739341155</v>
      </c>
      <c r="I1254" s="1323">
        <f t="shared" si="614"/>
        <v>1</v>
      </c>
      <c r="J1254" s="1364">
        <f t="shared" si="615"/>
        <v>89378.789739341155</v>
      </c>
      <c r="K1254" s="1364">
        <f t="shared" ref="K1254:Q1254" si="620">+$J1254*K$1939</f>
        <v>65213.737847954406</v>
      </c>
      <c r="L1254" s="1364">
        <f t="shared" si="620"/>
        <v>5251.0001438617383</v>
      </c>
      <c r="M1254" s="1364">
        <f t="shared" si="620"/>
        <v>18590.730392491423</v>
      </c>
      <c r="N1254" s="1367">
        <f t="shared" si="620"/>
        <v>0</v>
      </c>
      <c r="O1254" s="1367">
        <f t="shared" si="620"/>
        <v>0</v>
      </c>
      <c r="P1254" s="1367">
        <f t="shared" si="620"/>
        <v>323.32135503358484</v>
      </c>
      <c r="Q1254" s="1364">
        <f t="shared" si="620"/>
        <v>0</v>
      </c>
      <c r="R1254" s="1358"/>
      <c r="S1254" s="1320">
        <v>106</v>
      </c>
      <c r="V1254" s="1321" t="s">
        <v>5230</v>
      </c>
      <c r="W1254" s="1321">
        <v>106</v>
      </c>
      <c r="Y1254" s="1324"/>
    </row>
    <row r="1255" spans="1:25">
      <c r="A1255" s="1320" t="s">
        <v>4897</v>
      </c>
      <c r="B1255" s="1320">
        <v>907</v>
      </c>
      <c r="C1255" s="1322">
        <v>30</v>
      </c>
      <c r="D1255" s="1320" t="s">
        <v>5242</v>
      </c>
      <c r="E1255" s="1320" t="s">
        <v>4071</v>
      </c>
      <c r="F1255" s="1364">
        <f>+'0 MDS Allocation Assignment'!F466</f>
        <v>84075.879489629864</v>
      </c>
      <c r="G1255" s="1358">
        <f>+$F1255*G$2052</f>
        <v>0</v>
      </c>
      <c r="H1255" s="1358">
        <f>+$F1255*H$2052</f>
        <v>84075.879489629864</v>
      </c>
      <c r="I1255" s="1323">
        <f t="shared" si="614"/>
        <v>1</v>
      </c>
      <c r="J1255" s="1364">
        <f t="shared" si="615"/>
        <v>84075.879489629864</v>
      </c>
      <c r="K1255" s="1364">
        <f t="shared" ref="K1255:Q1255" si="621">+$J1255*K$2052</f>
        <v>30995.138074067057</v>
      </c>
      <c r="L1255" s="1364">
        <f t="shared" si="621"/>
        <v>4701.5549039010621</v>
      </c>
      <c r="M1255" s="1364">
        <f t="shared" si="621"/>
        <v>2266.6160604001816</v>
      </c>
      <c r="N1255" s="1367">
        <f t="shared" si="621"/>
        <v>146.11772478035957</v>
      </c>
      <c r="O1255" s="1367">
        <f t="shared" si="621"/>
        <v>159.42057148330989</v>
      </c>
      <c r="P1255" s="1367">
        <f t="shared" si="621"/>
        <v>36.588923607869496</v>
      </c>
      <c r="Q1255" s="1364">
        <f t="shared" si="621"/>
        <v>45770.443231390032</v>
      </c>
      <c r="R1255" s="1358"/>
      <c r="S1255" s="1320">
        <v>907</v>
      </c>
      <c r="V1255" s="1321" t="s">
        <v>5243</v>
      </c>
      <c r="W1255" s="1321">
        <v>907</v>
      </c>
      <c r="Y1255" s="1324"/>
    </row>
    <row r="1256" spans="1:25">
      <c r="A1256" s="1320" t="s">
        <v>4897</v>
      </c>
      <c r="B1256" s="1324">
        <v>412</v>
      </c>
      <c r="C1256" s="1393">
        <v>31</v>
      </c>
      <c r="D1256" s="1324" t="s">
        <v>5244</v>
      </c>
      <c r="E1256" s="1324" t="s">
        <v>4071</v>
      </c>
      <c r="F1256" s="1364">
        <f>+'0 MDS Allocation Assignment'!F467</f>
        <v>20385.839212876766</v>
      </c>
      <c r="G1256" s="1364">
        <f>+$F1256*G$2018</f>
        <v>0</v>
      </c>
      <c r="H1256" s="1364">
        <f>+$F1256*H$2018</f>
        <v>20385.839212876766</v>
      </c>
      <c r="I1256" s="1323">
        <f t="shared" si="614"/>
        <v>1</v>
      </c>
      <c r="J1256" s="1364">
        <f t="shared" si="615"/>
        <v>20385.839212876766</v>
      </c>
      <c r="K1256" s="1364">
        <f t="shared" ref="K1256:Q1256" si="622">+$J1256*K$2018</f>
        <v>18181.861197534156</v>
      </c>
      <c r="L1256" s="1364">
        <f t="shared" si="622"/>
        <v>1762.5677664691018</v>
      </c>
      <c r="M1256" s="1364">
        <f t="shared" si="622"/>
        <v>434.10541988347489</v>
      </c>
      <c r="N1256" s="1367">
        <f t="shared" si="622"/>
        <v>1.465693842660537</v>
      </c>
      <c r="O1256" s="1367">
        <f t="shared" si="622"/>
        <v>0.26004245595590175</v>
      </c>
      <c r="P1256" s="1367">
        <f t="shared" si="622"/>
        <v>5.5790926914175278</v>
      </c>
      <c r="Q1256" s="1364">
        <f t="shared" si="622"/>
        <v>0</v>
      </c>
      <c r="R1256" s="1358"/>
      <c r="S1256" s="1320">
        <v>412</v>
      </c>
      <c r="V1256" s="1321" t="s">
        <v>5245</v>
      </c>
      <c r="W1256" s="1321">
        <v>412</v>
      </c>
      <c r="Y1256" s="1324"/>
    </row>
    <row r="1257" spans="1:25">
      <c r="A1257" s="1320" t="s">
        <v>4897</v>
      </c>
      <c r="B1257" s="1324"/>
      <c r="C1257" s="1393">
        <v>32</v>
      </c>
      <c r="D1257" s="1324" t="s">
        <v>5709</v>
      </c>
      <c r="E1257" s="1324"/>
      <c r="F1257" s="1421">
        <f>+SUM(F1249:F1256)</f>
        <v>1127765.0553354439</v>
      </c>
      <c r="G1257" s="1421">
        <f>SUM(G1249:G1256)</f>
        <v>6277.8729106692208</v>
      </c>
      <c r="H1257" s="1421">
        <f>SUM(H1249:H1256)</f>
        <v>1121487.1824247746</v>
      </c>
      <c r="I1257" s="1323">
        <f t="shared" si="614"/>
        <v>0.99443335038537617</v>
      </c>
      <c r="J1257" s="1421">
        <f t="shared" ref="J1257:Q1257" si="623">SUM(J1249:J1256)</f>
        <v>1121487.1824247746</v>
      </c>
      <c r="K1257" s="1421">
        <f t="shared" si="623"/>
        <v>655786.12897887954</v>
      </c>
      <c r="L1257" s="1421">
        <f t="shared" si="623"/>
        <v>55387.655622645572</v>
      </c>
      <c r="M1257" s="1421">
        <f t="shared" si="623"/>
        <v>305667.50103556272</v>
      </c>
      <c r="N1257" s="1422">
        <f t="shared" si="623"/>
        <v>35277.248321624873</v>
      </c>
      <c r="O1257" s="1422">
        <f>SUM(O1249:O1256)</f>
        <v>21412.696808395402</v>
      </c>
      <c r="P1257" s="1422">
        <f>SUM(P1249:P1256)</f>
        <v>2185.5084262766795</v>
      </c>
      <c r="Q1257" s="1421">
        <f t="shared" si="623"/>
        <v>45770.443231390032</v>
      </c>
      <c r="R1257" s="1358"/>
      <c r="V1257" s="1320" t="s">
        <v>5710</v>
      </c>
      <c r="Y1257" s="1324"/>
    </row>
    <row r="1258" spans="1:25">
      <c r="A1258" s="1320" t="s">
        <v>4897</v>
      </c>
      <c r="C1258" s="1322">
        <v>33</v>
      </c>
      <c r="G1258" s="1320"/>
    </row>
    <row r="1259" spans="1:25">
      <c r="A1259" s="1320" t="s">
        <v>4897</v>
      </c>
      <c r="C1259" s="1322">
        <v>34</v>
      </c>
      <c r="D1259" s="1356" t="s">
        <v>5711</v>
      </c>
      <c r="G1259" s="1320"/>
    </row>
    <row r="1260" spans="1:25" s="1324" customFormat="1">
      <c r="A1260" s="1324" t="s">
        <v>4897</v>
      </c>
      <c r="B1260" s="1324">
        <v>101</v>
      </c>
      <c r="C1260" s="1393">
        <v>35</v>
      </c>
      <c r="D1260" s="1324" t="s">
        <v>5265</v>
      </c>
      <c r="E1260" s="1324" t="s">
        <v>4067</v>
      </c>
      <c r="F1260" s="1364">
        <f>+'0 MDS Allocation Assignment'!F468</f>
        <v>383917.97310275974</v>
      </c>
      <c r="G1260" s="1364">
        <f>+$F1260*G$1933</f>
        <v>0</v>
      </c>
      <c r="H1260" s="1364">
        <f>+$F1260*H$1933</f>
        <v>383917.97310275974</v>
      </c>
      <c r="I1260" s="1374">
        <f t="shared" ref="I1260:I1268" si="624">IF(F1260=0,0,+H1260/F1260)</f>
        <v>1</v>
      </c>
      <c r="J1260" s="1364">
        <f t="shared" ref="J1260:J1267" si="625">+H1260</f>
        <v>383917.97310275974</v>
      </c>
      <c r="K1260" s="1324">
        <f t="shared" ref="K1260:Q1260" si="626">$J1260*K$1951</f>
        <v>222677.43073746687</v>
      </c>
      <c r="L1260" s="1324">
        <f t="shared" si="626"/>
        <v>18368.641987666793</v>
      </c>
      <c r="M1260" s="1324">
        <f t="shared" si="626"/>
        <v>117421.50004855427</v>
      </c>
      <c r="N1260" s="1324">
        <f t="shared" si="626"/>
        <v>14658.517377902479</v>
      </c>
      <c r="O1260" s="1324">
        <f t="shared" si="626"/>
        <v>10519.687946011267</v>
      </c>
      <c r="P1260" s="1324">
        <f t="shared" si="626"/>
        <v>272.19500515807363</v>
      </c>
      <c r="Q1260" s="1324">
        <f t="shared" si="626"/>
        <v>0</v>
      </c>
      <c r="S1260" s="1324">
        <v>122</v>
      </c>
      <c r="V1260" s="1326" t="s">
        <v>5227</v>
      </c>
      <c r="W1260" s="1326">
        <v>122</v>
      </c>
    </row>
    <row r="1261" spans="1:25">
      <c r="A1261" s="1320" t="s">
        <v>4897</v>
      </c>
      <c r="B1261" s="1320">
        <v>101</v>
      </c>
      <c r="C1261" s="1322">
        <v>36</v>
      </c>
      <c r="D1261" s="1320" t="s">
        <v>5265</v>
      </c>
      <c r="E1261" s="1320" t="s">
        <v>2067</v>
      </c>
      <c r="F1261" s="1364">
        <f>+'0 MDS Allocation Assignment'!F469</f>
        <v>36160.056952035855</v>
      </c>
      <c r="G1261" s="1358">
        <f>+$F1261*G$1933</f>
        <v>0</v>
      </c>
      <c r="H1261" s="1358">
        <f>+$F1261*H$1933</f>
        <v>36160.056952035855</v>
      </c>
      <c r="I1261" s="1323">
        <f t="shared" si="624"/>
        <v>1</v>
      </c>
      <c r="J1261" s="1364">
        <f t="shared" si="625"/>
        <v>36160.056952035855</v>
      </c>
      <c r="K1261" s="1364">
        <f t="shared" ref="K1261:Q1261" si="627">+$J1261*K$1966</f>
        <v>18247.600877481967</v>
      </c>
      <c r="L1261" s="1364">
        <f t="shared" si="627"/>
        <v>1686.2919331523592</v>
      </c>
      <c r="M1261" s="1364">
        <f t="shared" si="627"/>
        <v>12562.219924607543</v>
      </c>
      <c r="N1261" s="1367">
        <f t="shared" si="627"/>
        <v>1999.7034270529875</v>
      </c>
      <c r="O1261" s="1367">
        <f t="shared" si="627"/>
        <v>1473.2052399698787</v>
      </c>
      <c r="P1261" s="1367">
        <f t="shared" si="627"/>
        <v>191.03554977111745</v>
      </c>
      <c r="Q1261" s="1364">
        <f t="shared" si="627"/>
        <v>0</v>
      </c>
      <c r="R1261" s="1358"/>
      <c r="S1261" s="1324">
        <v>201</v>
      </c>
      <c r="V1261" s="1321" t="s">
        <v>5235</v>
      </c>
      <c r="W1261" s="1321">
        <v>201</v>
      </c>
      <c r="Y1261" s="1324"/>
    </row>
    <row r="1262" spans="1:25">
      <c r="A1262" s="1320" t="s">
        <v>4897</v>
      </c>
      <c r="B1262" s="1320">
        <v>117</v>
      </c>
      <c r="C1262" s="1322">
        <v>37</v>
      </c>
      <c r="D1262" s="1320" t="s">
        <v>5268</v>
      </c>
      <c r="E1262" s="1320" t="s">
        <v>4067</v>
      </c>
      <c r="F1262" s="1364">
        <f>+'0 MDS Allocation Assignment'!F470</f>
        <v>30310.285452932985</v>
      </c>
      <c r="G1262" s="1358">
        <f>+$F1262*G$1942</f>
        <v>1963.7080979812424</v>
      </c>
      <c r="H1262" s="1358">
        <f>+$F1262*H$1942</f>
        <v>28346.57735495174</v>
      </c>
      <c r="I1262" s="1323">
        <f t="shared" si="624"/>
        <v>0.93521314403222733</v>
      </c>
      <c r="J1262" s="1364">
        <f t="shared" si="625"/>
        <v>28346.57735495174</v>
      </c>
      <c r="K1262" s="1364">
        <f t="shared" ref="K1262:Q1263" si="628">+$J1262*K$1945</f>
        <v>16441.384508747655</v>
      </c>
      <c r="L1262" s="1364">
        <f t="shared" si="628"/>
        <v>1356.248385040946</v>
      </c>
      <c r="M1262" s="1364">
        <f t="shared" si="628"/>
        <v>8669.8145631486368</v>
      </c>
      <c r="N1262" s="1367">
        <f t="shared" si="628"/>
        <v>1082.3113942894227</v>
      </c>
      <c r="O1262" s="1367">
        <f t="shared" si="628"/>
        <v>776.72098990725317</v>
      </c>
      <c r="P1262" s="1367">
        <f t="shared" si="628"/>
        <v>20.097513817826933</v>
      </c>
      <c r="Q1262" s="1364">
        <f t="shared" si="628"/>
        <v>0</v>
      </c>
      <c r="R1262" s="1358"/>
      <c r="S1262" s="1320">
        <v>117</v>
      </c>
      <c r="V1262" s="1321" t="s">
        <v>5228</v>
      </c>
      <c r="W1262" s="1321">
        <v>117</v>
      </c>
    </row>
    <row r="1263" spans="1:25">
      <c r="A1263" s="1320" t="s">
        <v>4897</v>
      </c>
      <c r="B1263" s="1320">
        <v>117</v>
      </c>
      <c r="C1263" s="1322">
        <v>38</v>
      </c>
      <c r="D1263" s="1320" t="s">
        <v>5239</v>
      </c>
      <c r="E1263" s="1320" t="s">
        <v>4067</v>
      </c>
      <c r="F1263" s="1364">
        <f>+'0 MDS Allocation Assignment'!F471</f>
        <v>31603.61789287471</v>
      </c>
      <c r="G1263" s="1358">
        <f>+$F1263*G$1942</f>
        <v>2047.4990404861949</v>
      </c>
      <c r="H1263" s="1358">
        <f>+$F1263*H$1942</f>
        <v>29556.118852388514</v>
      </c>
      <c r="I1263" s="1323">
        <f t="shared" si="624"/>
        <v>0.93521314403222733</v>
      </c>
      <c r="J1263" s="1364">
        <f t="shared" si="625"/>
        <v>29556.118852388514</v>
      </c>
      <c r="K1263" s="1364">
        <f t="shared" si="628"/>
        <v>17142.93434983175</v>
      </c>
      <c r="L1263" s="1364">
        <f t="shared" si="628"/>
        <v>1414.1191707092578</v>
      </c>
      <c r="M1263" s="1364">
        <f t="shared" si="628"/>
        <v>9039.7534223590283</v>
      </c>
      <c r="N1263" s="1367">
        <f t="shared" si="628"/>
        <v>1128.4933558063051</v>
      </c>
      <c r="O1263" s="1367">
        <f t="shared" si="628"/>
        <v>809.86348388312217</v>
      </c>
      <c r="P1263" s="1367">
        <f t="shared" si="628"/>
        <v>20.955069799051039</v>
      </c>
      <c r="Q1263" s="1364">
        <f t="shared" si="628"/>
        <v>0</v>
      </c>
      <c r="R1263" s="1358"/>
      <c r="S1263" s="1320">
        <v>117</v>
      </c>
      <c r="V1263" s="1321" t="s">
        <v>5228</v>
      </c>
      <c r="W1263" s="1321">
        <v>117</v>
      </c>
    </row>
    <row r="1264" spans="1:25">
      <c r="A1264" s="1320" t="s">
        <v>4897</v>
      </c>
      <c r="B1264" s="1320">
        <v>105</v>
      </c>
      <c r="C1264" s="1322">
        <v>39</v>
      </c>
      <c r="D1264" s="1320" t="s">
        <v>5240</v>
      </c>
      <c r="E1264" s="1320" t="s">
        <v>4067</v>
      </c>
      <c r="F1264" s="1364">
        <f>+'0 MDS Allocation Assignment'!F472</f>
        <v>114733.24128762077</v>
      </c>
      <c r="G1264" s="1358">
        <f>+$F1264*G$1936</f>
        <v>0</v>
      </c>
      <c r="H1264" s="1358">
        <f>+$F1264*H$1936</f>
        <v>114733.24128762077</v>
      </c>
      <c r="I1264" s="1323">
        <f t="shared" si="624"/>
        <v>1</v>
      </c>
      <c r="J1264" s="1364">
        <f t="shared" si="625"/>
        <v>114733.24128762077</v>
      </c>
      <c r="K1264" s="1364">
        <f t="shared" ref="K1264:Q1264" si="629">+$J1264*K$1936</f>
        <v>71411.80649490717</v>
      </c>
      <c r="L1264" s="1364">
        <f t="shared" si="629"/>
        <v>5078.9867829692021</v>
      </c>
      <c r="M1264" s="1364">
        <f t="shared" si="629"/>
        <v>34006.987698765435</v>
      </c>
      <c r="N1264" s="1367">
        <f t="shared" si="629"/>
        <v>3576.8513583552576</v>
      </c>
      <c r="O1264" s="1367">
        <f t="shared" si="629"/>
        <v>2.4422044263199731E-3</v>
      </c>
      <c r="P1264" s="1367">
        <f t="shared" si="629"/>
        <v>658.6065104193051</v>
      </c>
      <c r="Q1264" s="1364">
        <f t="shared" si="629"/>
        <v>0</v>
      </c>
      <c r="R1264" s="1358"/>
      <c r="S1264" s="1320">
        <v>105</v>
      </c>
      <c r="V1264" s="1321" t="s">
        <v>5229</v>
      </c>
      <c r="W1264" s="1321">
        <v>105</v>
      </c>
    </row>
    <row r="1265" spans="1:25">
      <c r="A1265" s="1320" t="s">
        <v>4897</v>
      </c>
      <c r="B1265" s="1320">
        <v>106</v>
      </c>
      <c r="C1265" s="1322">
        <v>40</v>
      </c>
      <c r="D1265" s="1320" t="s">
        <v>5241</v>
      </c>
      <c r="E1265" s="1320" t="s">
        <v>4067</v>
      </c>
      <c r="F1265" s="1364">
        <f>+'0 MDS Allocation Assignment'!F473</f>
        <v>57108.011667570951</v>
      </c>
      <c r="G1265" s="1358">
        <f>+$F1265*G$1939</f>
        <v>0</v>
      </c>
      <c r="H1265" s="1358">
        <f>+$F1265*H$1939</f>
        <v>57108.011667570951</v>
      </c>
      <c r="I1265" s="1323">
        <f t="shared" si="624"/>
        <v>1</v>
      </c>
      <c r="J1265" s="1364">
        <f t="shared" si="625"/>
        <v>57108.011667570951</v>
      </c>
      <c r="K1265" s="1364">
        <f t="shared" ref="K1265:Q1265" si="630">+$J1265*K$1939</f>
        <v>41667.904798979725</v>
      </c>
      <c r="L1265" s="1364">
        <f t="shared" si="630"/>
        <v>3355.0932873068391</v>
      </c>
      <c r="M1265" s="1364">
        <f t="shared" si="630"/>
        <v>11878.429449081643</v>
      </c>
      <c r="N1265" s="1367">
        <f t="shared" si="630"/>
        <v>0</v>
      </c>
      <c r="O1265" s="1367">
        <f t="shared" si="630"/>
        <v>0</v>
      </c>
      <c r="P1265" s="1367">
        <f t="shared" si="630"/>
        <v>206.5841322027384</v>
      </c>
      <c r="Q1265" s="1364">
        <f t="shared" si="630"/>
        <v>0</v>
      </c>
      <c r="R1265" s="1358"/>
      <c r="S1265" s="1320">
        <v>106</v>
      </c>
      <c r="V1265" s="1321" t="s">
        <v>5230</v>
      </c>
      <c r="W1265" s="1321">
        <v>106</v>
      </c>
    </row>
    <row r="1266" spans="1:25">
      <c r="A1266" s="1320" t="s">
        <v>4897</v>
      </c>
      <c r="B1266" s="1324">
        <v>907</v>
      </c>
      <c r="C1266" s="1393">
        <v>41</v>
      </c>
      <c r="D1266" s="1324" t="s">
        <v>5242</v>
      </c>
      <c r="E1266" s="1324" t="s">
        <v>4071</v>
      </c>
      <c r="F1266" s="1364">
        <f>+'0 MDS Allocation Assignment'!F474</f>
        <v>53719.750746878526</v>
      </c>
      <c r="G1266" s="1364">
        <f>+$F1266*G$2052</f>
        <v>0</v>
      </c>
      <c r="H1266" s="1364">
        <f>+$F1266*H$2052</f>
        <v>53719.750746878526</v>
      </c>
      <c r="I1266" s="1323">
        <f t="shared" si="624"/>
        <v>1</v>
      </c>
      <c r="J1266" s="1364">
        <f t="shared" si="625"/>
        <v>53719.750746878526</v>
      </c>
      <c r="K1266" s="1364">
        <f t="shared" ref="K1266:Q1266" si="631">+$J1266*K$2052</f>
        <v>19804.147180040367</v>
      </c>
      <c r="L1266" s="1364">
        <f t="shared" si="631"/>
        <v>3004.0287308737775</v>
      </c>
      <c r="M1266" s="1364">
        <f t="shared" si="631"/>
        <v>1448.2399773003619</v>
      </c>
      <c r="N1266" s="1367">
        <f t="shared" si="631"/>
        <v>93.360994884033033</v>
      </c>
      <c r="O1266" s="1367">
        <f t="shared" si="631"/>
        <v>101.86076453787972</v>
      </c>
      <c r="P1266" s="1367">
        <f t="shared" si="631"/>
        <v>23.378261021387999</v>
      </c>
      <c r="Q1266" s="1364">
        <f t="shared" si="631"/>
        <v>29244.734838220727</v>
      </c>
      <c r="R1266" s="1358"/>
      <c r="S1266" s="1320">
        <v>907</v>
      </c>
      <c r="V1266" s="1321" t="s">
        <v>5243</v>
      </c>
      <c r="W1266" s="1321">
        <v>907</v>
      </c>
    </row>
    <row r="1267" spans="1:25">
      <c r="A1267" s="1320" t="s">
        <v>4897</v>
      </c>
      <c r="B1267" s="1324">
        <v>412</v>
      </c>
      <c r="C1267" s="1393">
        <v>42</v>
      </c>
      <c r="D1267" s="1324" t="s">
        <v>5244</v>
      </c>
      <c r="E1267" s="1324" t="s">
        <v>4071</v>
      </c>
      <c r="F1267" s="1364">
        <f>+'0 MDS Allocation Assignment'!F475</f>
        <v>13025.402861432542</v>
      </c>
      <c r="G1267" s="1364">
        <f>+$F1267*G$2018</f>
        <v>0</v>
      </c>
      <c r="H1267" s="1364">
        <f>+$F1267*H$2018</f>
        <v>13025.402861432542</v>
      </c>
      <c r="I1267" s="1323">
        <f t="shared" si="624"/>
        <v>1</v>
      </c>
      <c r="J1267" s="1364">
        <f t="shared" si="625"/>
        <v>13025.402861432542</v>
      </c>
      <c r="K1267" s="1364">
        <f t="shared" ref="K1267:Q1267" si="632">+$J1267*K$2018</f>
        <v>11617.185066334619</v>
      </c>
      <c r="L1267" s="1364">
        <f t="shared" si="632"/>
        <v>1126.1815120337958</v>
      </c>
      <c r="M1267" s="1364">
        <f t="shared" si="632"/>
        <v>277.36890884246617</v>
      </c>
      <c r="N1267" s="1367">
        <f t="shared" si="632"/>
        <v>0.93649579852055231</v>
      </c>
      <c r="O1267" s="1367">
        <f t="shared" si="632"/>
        <v>0.16615248038267866</v>
      </c>
      <c r="P1267" s="1367">
        <f t="shared" si="632"/>
        <v>3.5647259427556506</v>
      </c>
      <c r="Q1267" s="1364">
        <f t="shared" si="632"/>
        <v>0</v>
      </c>
      <c r="R1267" s="1358"/>
      <c r="S1267" s="1320">
        <v>412</v>
      </c>
      <c r="V1267" s="1321" t="s">
        <v>5245</v>
      </c>
      <c r="W1267" s="1321">
        <v>412</v>
      </c>
      <c r="Y1267" s="1324"/>
    </row>
    <row r="1268" spans="1:25">
      <c r="A1268" s="1320" t="s">
        <v>4897</v>
      </c>
      <c r="B1268" s="1324"/>
      <c r="C1268" s="1393">
        <v>43</v>
      </c>
      <c r="D1268" s="1324" t="s">
        <v>5712</v>
      </c>
      <c r="E1268" s="1324"/>
      <c r="F1268" s="1421">
        <f>+SUM(F1260:F1267)</f>
        <v>720578.3399641061</v>
      </c>
      <c r="G1268" s="1421">
        <f>SUM(G1260:G1267)</f>
        <v>4011.2071384674373</v>
      </c>
      <c r="H1268" s="1421">
        <f>SUM(H1260:H1267)</f>
        <v>716567.13282563863</v>
      </c>
      <c r="I1268" s="1323">
        <f t="shared" si="624"/>
        <v>0.99443335038537617</v>
      </c>
      <c r="J1268" s="1421">
        <f t="shared" ref="J1268:Q1268" si="633">SUM(J1260:J1267)</f>
        <v>716567.13282563863</v>
      </c>
      <c r="K1268" s="1421">
        <f t="shared" si="633"/>
        <v>419010.39401379012</v>
      </c>
      <c r="L1268" s="1421">
        <f t="shared" si="633"/>
        <v>35389.591789752965</v>
      </c>
      <c r="M1268" s="1421">
        <f t="shared" si="633"/>
        <v>195304.31399265942</v>
      </c>
      <c r="N1268" s="1422">
        <f t="shared" si="633"/>
        <v>22540.174404089008</v>
      </c>
      <c r="O1268" s="1422">
        <f>SUM(O1260:O1267)</f>
        <v>13681.507018994209</v>
      </c>
      <c r="P1268" s="1422">
        <f>SUM(P1260:P1267)</f>
        <v>1396.416768132256</v>
      </c>
      <c r="Q1268" s="1421">
        <f t="shared" si="633"/>
        <v>29244.734838220727</v>
      </c>
      <c r="R1268" s="1358"/>
      <c r="V1268" s="1320" t="s">
        <v>5713</v>
      </c>
      <c r="Y1268" s="1324"/>
    </row>
    <row r="1269" spans="1:25">
      <c r="F1269" s="1358"/>
      <c r="G1269" s="1358"/>
      <c r="H1269" s="1358"/>
      <c r="J1269" s="1364"/>
      <c r="K1269" s="1364"/>
      <c r="L1269" s="1364"/>
      <c r="M1269" s="1367"/>
      <c r="N1269" s="1367"/>
      <c r="O1269" s="1367"/>
      <c r="P1269" s="1364"/>
      <c r="Q1269" s="1364"/>
      <c r="R1269" s="1358"/>
      <c r="Y1269" s="1324"/>
    </row>
    <row r="1270" spans="1:25">
      <c r="F1270" s="1358"/>
      <c r="G1270" s="1358"/>
      <c r="H1270" s="1358"/>
      <c r="J1270" s="1364"/>
      <c r="K1270" s="1364"/>
      <c r="L1270" s="1364"/>
      <c r="M1270" s="1367"/>
      <c r="N1270" s="1367"/>
      <c r="O1270" s="1367"/>
      <c r="P1270" s="1364"/>
      <c r="Q1270" s="1364"/>
      <c r="R1270" s="1358"/>
      <c r="Y1270" s="1324"/>
    </row>
    <row r="1271" spans="1:25">
      <c r="F1271" s="1358"/>
      <c r="G1271" s="1358"/>
      <c r="H1271" s="1358"/>
      <c r="J1271" s="1364"/>
      <c r="K1271" s="1364"/>
      <c r="L1271" s="1364"/>
      <c r="M1271" s="1367"/>
      <c r="N1271" s="1367"/>
      <c r="O1271" s="1367"/>
      <c r="P1271" s="1364"/>
      <c r="Q1271" s="1364"/>
      <c r="R1271" s="1358"/>
      <c r="Y1271" s="1324"/>
    </row>
    <row r="1272" spans="1:25">
      <c r="F1272" s="1358"/>
      <c r="G1272" s="1358"/>
      <c r="H1272" s="1358"/>
      <c r="J1272" s="1364"/>
      <c r="K1272" s="1364"/>
      <c r="L1272" s="1364"/>
      <c r="M1272" s="1367"/>
      <c r="N1272" s="1367"/>
      <c r="O1272" s="1367"/>
      <c r="P1272" s="1364"/>
      <c r="Q1272" s="1364"/>
      <c r="R1272" s="1358"/>
      <c r="Y1272" s="1324"/>
    </row>
    <row r="1273" spans="1:25">
      <c r="F1273" s="1358"/>
      <c r="G1273" s="1358"/>
      <c r="H1273" s="1358"/>
      <c r="J1273" s="1364"/>
      <c r="K1273" s="1364"/>
      <c r="L1273" s="1364"/>
      <c r="M1273" s="1367"/>
      <c r="N1273" s="1367"/>
      <c r="O1273" s="1367"/>
      <c r="P1273" s="1364"/>
      <c r="Q1273" s="1364"/>
      <c r="R1273" s="1358"/>
      <c r="Y1273" s="1324"/>
    </row>
    <row r="1274" spans="1:25">
      <c r="B1274" s="1432"/>
      <c r="C1274" s="1340" t="str">
        <f>+C$2</f>
        <v>RATES WITH REVENUE DEFICIENCY ADDITION</v>
      </c>
      <c r="F1274" s="1333"/>
      <c r="G1274" s="1327" t="s">
        <v>2173</v>
      </c>
      <c r="H1274" s="1358"/>
      <c r="I1274" s="1334" t="s">
        <v>5702</v>
      </c>
      <c r="L1274" s="1329" t="s">
        <v>2173</v>
      </c>
      <c r="M1274" s="1330"/>
      <c r="N1274" s="1330"/>
      <c r="O1274" s="1330"/>
      <c r="S1274" s="1334" t="s">
        <v>5714</v>
      </c>
      <c r="T1274" s="1333" t="s">
        <v>2173</v>
      </c>
      <c r="U1274" s="1334"/>
      <c r="V1274" s="1332" t="s">
        <v>4772</v>
      </c>
      <c r="Y1274" s="1324"/>
    </row>
    <row r="1275" spans="1:25">
      <c r="B1275" s="1432"/>
      <c r="C1275" s="1340" t="str">
        <f>+C$3</f>
        <v>PROD. CAP. ALLOC. METHOD: 12 CP &amp; 1/13th AD</v>
      </c>
      <c r="G1275" s="1336" t="s">
        <v>4768</v>
      </c>
      <c r="I1275" s="1335" t="s">
        <v>4311</v>
      </c>
      <c r="L1275" s="1336" t="s">
        <v>5141</v>
      </c>
      <c r="M1275" s="1337"/>
      <c r="N1275" s="1337"/>
      <c r="O1275" s="1337"/>
      <c r="R1275" s="1331"/>
      <c r="S1275" s="1335" t="s">
        <v>4312</v>
      </c>
      <c r="T1275" s="1333" t="s">
        <v>5141</v>
      </c>
      <c r="V1275" s="1332" t="s">
        <v>5714</v>
      </c>
    </row>
    <row r="1276" spans="1:25">
      <c r="C1276" s="1340" t="str">
        <f>+C$4</f>
        <v>PROJECTED CALENDAR YEAR 2025; FULLY ADJUSTED DATA</v>
      </c>
      <c r="G1276" s="1336" t="s">
        <v>2181</v>
      </c>
      <c r="L1276" s="1336" t="s">
        <v>2181</v>
      </c>
      <c r="P1276" s="1364"/>
      <c r="Q1276" s="1364"/>
      <c r="R1276" s="1358"/>
      <c r="T1276" s="1339"/>
    </row>
    <row r="1277" spans="1:25">
      <c r="C1277" s="1340" t="str">
        <f>+C$5</f>
        <v>MINIMUM DISTRIBUTION SYSTEM (MDS) NOT EMPLOYED</v>
      </c>
      <c r="G1277" s="1358"/>
      <c r="H1277" s="1358"/>
      <c r="J1277" s="1364"/>
      <c r="K1277" s="1364"/>
      <c r="L1277" s="1336"/>
      <c r="M1277" s="1337"/>
      <c r="N1277" s="1337"/>
      <c r="O1277" s="1337"/>
      <c r="P1277" s="1364"/>
      <c r="Q1277" s="1364"/>
      <c r="R1277" s="1358"/>
      <c r="T1277" s="1333"/>
      <c r="Y1277" s="1324"/>
    </row>
    <row r="1278" spans="1:25">
      <c r="C1278" s="1340" t="str">
        <f>+C$6</f>
        <v>Tampa Electric 2025 OB Budget</v>
      </c>
      <c r="F1278" s="1327"/>
      <c r="G1278" s="1333" t="s">
        <v>5703</v>
      </c>
      <c r="H1278" s="1358"/>
      <c r="J1278" s="1364"/>
      <c r="K1278" s="1364"/>
      <c r="L1278" s="1336" t="s">
        <v>5703</v>
      </c>
      <c r="M1278" s="1337"/>
      <c r="N1278" s="1337"/>
      <c r="O1278" s="1337"/>
      <c r="P1278" s="1364"/>
      <c r="Q1278" s="1364"/>
      <c r="R1278" s="1358"/>
      <c r="T1278" s="1333" t="s">
        <v>5703</v>
      </c>
      <c r="Y1278" s="1324"/>
    </row>
    <row r="1279" spans="1:25">
      <c r="F1279" s="1333"/>
      <c r="G1279" s="1358"/>
      <c r="H1279" s="1358"/>
      <c r="J1279" s="1364"/>
      <c r="K1279" s="1364"/>
      <c r="L1279" s="1336"/>
      <c r="M1279" s="1337"/>
      <c r="N1279" s="1337"/>
      <c r="O1279" s="1337"/>
      <c r="P1279" s="1364"/>
      <c r="Q1279" s="1364"/>
      <c r="R1279" s="1358"/>
    </row>
    <row r="1280" spans="1:25">
      <c r="F1280" s="1333"/>
      <c r="G1280" s="1358"/>
      <c r="H1280" s="1358"/>
      <c r="J1280" s="1364"/>
      <c r="K1280" s="1364"/>
      <c r="L1280" s="1336"/>
      <c r="M1280" s="1337"/>
      <c r="N1280" s="1337"/>
      <c r="O1280" s="1337"/>
      <c r="P1280" s="1364"/>
      <c r="Q1280" s="1364"/>
      <c r="R1280" s="1358"/>
    </row>
    <row r="1281" spans="1:25">
      <c r="G1281" s="1358"/>
      <c r="H1281" s="1358"/>
      <c r="J1281" s="1364"/>
      <c r="K1281" s="1364"/>
      <c r="L1281" s="1364"/>
      <c r="M1281" s="1367"/>
      <c r="N1281" s="1367"/>
      <c r="O1281" s="1367"/>
      <c r="P1281" s="1364"/>
      <c r="Q1281" s="1364"/>
      <c r="R1281" s="1358"/>
    </row>
    <row r="1282" spans="1:25">
      <c r="F1282" s="1358"/>
      <c r="G1282" s="1358"/>
      <c r="H1282" s="1358"/>
      <c r="J1282" s="1364"/>
      <c r="K1282" s="1364"/>
      <c r="L1282" s="1364"/>
      <c r="M1282" s="1367"/>
      <c r="N1282" s="1367"/>
      <c r="O1282" s="1367"/>
      <c r="P1282" s="1364"/>
      <c r="Q1282" s="1364"/>
      <c r="R1282" s="1358"/>
    </row>
    <row r="1283" spans="1:25" ht="30" customHeight="1">
      <c r="A1283" s="1418" t="s">
        <v>4683</v>
      </c>
      <c r="B1283" s="1425" t="s">
        <v>5143</v>
      </c>
      <c r="C1283" s="1349" t="s">
        <v>4297</v>
      </c>
      <c r="D1283" s="1418"/>
      <c r="E1283" s="1418"/>
      <c r="F1283" s="1348" t="s">
        <v>5144</v>
      </c>
      <c r="G1283" s="1348" t="s">
        <v>4956</v>
      </c>
      <c r="H1283" s="1348" t="s">
        <v>4957</v>
      </c>
      <c r="I1283" s="1426" t="s">
        <v>5145</v>
      </c>
      <c r="J1283" s="1352" t="s">
        <v>4957</v>
      </c>
      <c r="K1283" s="1353" t="s">
        <v>1949</v>
      </c>
      <c r="L1283" s="1353" t="s">
        <v>1950</v>
      </c>
      <c r="M1283" s="1354" t="s">
        <v>1934</v>
      </c>
      <c r="N1283" s="1354" t="s">
        <v>1971</v>
      </c>
      <c r="O1283" s="1354" t="s">
        <v>1972</v>
      </c>
      <c r="P1283" s="1352" t="s">
        <v>5146</v>
      </c>
      <c r="Q1283" s="1352" t="s">
        <v>5147</v>
      </c>
      <c r="R1283" s="1355"/>
      <c r="S1283" s="1348" t="s">
        <v>5299</v>
      </c>
      <c r="T1283" s="1348"/>
      <c r="U1283" s="1352"/>
      <c r="V1283" s="1355" t="s">
        <v>4774</v>
      </c>
      <c r="W1283" s="1350"/>
    </row>
    <row r="1284" spans="1:25" ht="30" customHeight="1">
      <c r="A1284" s="1435"/>
      <c r="B1284" s="1441"/>
      <c r="C1284" s="1397"/>
      <c r="D1284" s="1435"/>
      <c r="E1284" s="1435"/>
      <c r="F1284" s="1396"/>
      <c r="G1284" s="1396"/>
      <c r="H1284" s="1396"/>
      <c r="I1284" s="1442"/>
      <c r="J1284" s="1399"/>
      <c r="K1284" s="1360"/>
      <c r="L1284" s="1360"/>
      <c r="M1284" s="1361"/>
      <c r="N1284" s="1361"/>
      <c r="O1284" s="1361"/>
      <c r="P1284" s="1399"/>
      <c r="Q1284" s="1399"/>
      <c r="R1284" s="1346"/>
      <c r="S1284" s="1396"/>
      <c r="T1284" s="1396"/>
      <c r="U1284" s="1399"/>
      <c r="V1284" s="1346"/>
    </row>
    <row r="1285" spans="1:25">
      <c r="B1285" s="1441"/>
      <c r="C1285" s="1397"/>
      <c r="D1285" s="1435"/>
      <c r="E1285" s="1435"/>
      <c r="F1285" s="1396"/>
      <c r="G1285" s="1396"/>
      <c r="H1285" s="1396"/>
      <c r="I1285" s="1442"/>
      <c r="J1285" s="1399"/>
      <c r="K1285" s="1360"/>
      <c r="L1285" s="1360"/>
      <c r="M1285" s="1361"/>
      <c r="N1285" s="1361"/>
      <c r="O1285" s="1361"/>
      <c r="P1285" s="1399"/>
      <c r="Q1285" s="1399"/>
      <c r="R1285" s="1346"/>
      <c r="S1285" s="1396"/>
      <c r="T1285" s="1396"/>
      <c r="U1285" s="1399"/>
      <c r="Y1285" s="1324"/>
    </row>
    <row r="1286" spans="1:25" hidden="1">
      <c r="B1286" s="1441"/>
      <c r="C1286" s="1452" t="s">
        <v>5715</v>
      </c>
      <c r="D1286" s="1453"/>
      <c r="E1286" s="1453"/>
      <c r="F1286" s="1453"/>
      <c r="G1286" s="1453"/>
      <c r="H1286" s="1453"/>
      <c r="I1286" s="1454"/>
      <c r="J1286" s="1455"/>
      <c r="K1286" s="1456"/>
      <c r="L1286" s="1456"/>
      <c r="M1286" s="1457"/>
      <c r="N1286" s="1457"/>
      <c r="O1286" s="1457"/>
      <c r="P1286" s="1458"/>
      <c r="Q1286" s="1459"/>
      <c r="R1286" s="1346"/>
      <c r="S1286" s="1396"/>
      <c r="T1286" s="1396"/>
      <c r="U1286" s="1399"/>
      <c r="Y1286" s="1324"/>
    </row>
    <row r="1287" spans="1:25" hidden="1">
      <c r="B1287" s="1441"/>
      <c r="C1287" s="1460" t="s">
        <v>5716</v>
      </c>
      <c r="D1287" s="1461"/>
      <c r="E1287" s="1461"/>
      <c r="F1287" s="1461"/>
      <c r="G1287" s="1461"/>
      <c r="H1287" s="1461"/>
      <c r="I1287" s="1462"/>
      <c r="J1287" s="1463"/>
      <c r="K1287" s="1360"/>
      <c r="L1287" s="1360"/>
      <c r="M1287" s="1361"/>
      <c r="N1287" s="1361"/>
      <c r="O1287" s="1361"/>
      <c r="P1287" s="1399"/>
      <c r="Q1287" s="1464"/>
      <c r="R1287" s="1346"/>
      <c r="S1287" s="1396"/>
      <c r="T1287" s="1396"/>
      <c r="U1287" s="1399"/>
      <c r="Y1287" s="1324"/>
    </row>
    <row r="1288" spans="1:25" hidden="1">
      <c r="B1288" s="1441"/>
      <c r="C1288" s="1465"/>
      <c r="D1288" s="1461"/>
      <c r="E1288" s="1461"/>
      <c r="F1288" s="1461"/>
      <c r="G1288" s="1461"/>
      <c r="H1288" s="1461"/>
      <c r="I1288" s="1462"/>
      <c r="J1288" s="1463"/>
      <c r="K1288" s="1360"/>
      <c r="L1288" s="1360"/>
      <c r="M1288" s="1361"/>
      <c r="N1288" s="1361"/>
      <c r="O1288" s="1361"/>
      <c r="P1288" s="1399"/>
      <c r="Q1288" s="1464"/>
      <c r="R1288" s="1346"/>
      <c r="S1288" s="1396"/>
      <c r="T1288" s="1396"/>
      <c r="U1288" s="1399"/>
      <c r="Y1288" s="1324"/>
    </row>
    <row r="1289" spans="1:25" hidden="1">
      <c r="B1289" s="1441"/>
      <c r="C1289" s="1465"/>
      <c r="D1289" s="1461" t="s">
        <v>5265</v>
      </c>
      <c r="E1289" s="1461" t="s">
        <v>4067</v>
      </c>
      <c r="F1289" s="1461">
        <v>55209.991156299657</v>
      </c>
      <c r="G1289" s="1461">
        <v>0</v>
      </c>
      <c r="H1289" s="1461">
        <v>55209.991156299657</v>
      </c>
      <c r="I1289" s="1462">
        <v>1</v>
      </c>
      <c r="J1289" s="1466">
        <v>55209.991156299657</v>
      </c>
      <c r="K1289" s="1364">
        <v>33551.830405463348</v>
      </c>
      <c r="L1289" s="1364">
        <v>2851.1065524039022</v>
      </c>
      <c r="M1289" s="1364">
        <v>15811.995853310655</v>
      </c>
      <c r="N1289" s="1364">
        <v>1906.2784554763512</v>
      </c>
      <c r="O1289" s="1364">
        <v>1065.148354809482</v>
      </c>
      <c r="P1289" s="1364">
        <v>23.631534835882761</v>
      </c>
      <c r="Q1289" s="1467">
        <v>0</v>
      </c>
      <c r="R1289" s="1346"/>
      <c r="S1289" s="1396"/>
      <c r="T1289" s="1396"/>
      <c r="U1289" s="1399"/>
      <c r="Y1289" s="1324"/>
    </row>
    <row r="1290" spans="1:25" hidden="1">
      <c r="B1290" s="1441"/>
      <c r="C1290" s="1465"/>
      <c r="D1290" s="1461" t="s">
        <v>5265</v>
      </c>
      <c r="E1290" s="1461" t="s">
        <v>2067</v>
      </c>
      <c r="F1290" s="1461">
        <v>6026.7354084979816</v>
      </c>
      <c r="G1290" s="1461">
        <v>0</v>
      </c>
      <c r="H1290" s="1461">
        <v>6026.7354084979816</v>
      </c>
      <c r="I1290" s="1462">
        <v>1</v>
      </c>
      <c r="J1290" s="1466">
        <v>6026.7354084979816</v>
      </c>
      <c r="K1290" s="1364">
        <v>2968.986825820346</v>
      </c>
      <c r="L1290" s="1364">
        <v>290.96569512458791</v>
      </c>
      <c r="M1290" s="1364">
        <v>2158.3089718083102</v>
      </c>
      <c r="N1290" s="1364">
        <v>344.39456003582609</v>
      </c>
      <c r="O1290" s="1364">
        <v>230.29328690112948</v>
      </c>
      <c r="P1290" s="1364">
        <v>33.786068807782897</v>
      </c>
      <c r="Q1290" s="1467">
        <v>0</v>
      </c>
      <c r="R1290" s="1346"/>
      <c r="S1290" s="1396"/>
      <c r="T1290" s="1396"/>
      <c r="U1290" s="1399"/>
      <c r="Y1290" s="1324"/>
    </row>
    <row r="1291" spans="1:25" hidden="1">
      <c r="B1291" s="1441"/>
      <c r="C1291" s="1465"/>
      <c r="D1291" s="1461" t="s">
        <v>5268</v>
      </c>
      <c r="E1291" s="1461" t="s">
        <v>4067</v>
      </c>
      <c r="F1291" s="1461">
        <v>5931.2640744676828</v>
      </c>
      <c r="G1291" s="1461">
        <v>400.30736198306295</v>
      </c>
      <c r="H1291" s="1461">
        <v>5530.9567124846144</v>
      </c>
      <c r="I1291" s="1462">
        <v>0.93250892946981201</v>
      </c>
      <c r="J1291" s="1466">
        <v>5530.9567124846144</v>
      </c>
      <c r="K1291" s="1364">
        <v>3361.2344017930227</v>
      </c>
      <c r="L1291" s="1364">
        <v>285.62487683405266</v>
      </c>
      <c r="M1291" s="1364">
        <v>1584.0514148075235</v>
      </c>
      <c r="N1291" s="1364">
        <v>190.97165926603589</v>
      </c>
      <c r="O1291" s="1364">
        <v>106.70694414978584</v>
      </c>
      <c r="P1291" s="1364">
        <v>2.3674156341886299</v>
      </c>
      <c r="Q1291" s="1467">
        <v>0</v>
      </c>
      <c r="R1291" s="1346"/>
      <c r="S1291" s="1396"/>
      <c r="T1291" s="1396"/>
      <c r="U1291" s="1399"/>
      <c r="Y1291" s="1324"/>
    </row>
    <row r="1292" spans="1:25" hidden="1">
      <c r="B1292" s="1441"/>
      <c r="C1292" s="1465"/>
      <c r="D1292" s="1461" t="s">
        <v>5239</v>
      </c>
      <c r="E1292" s="1461" t="s">
        <v>4067</v>
      </c>
      <c r="F1292" s="1461">
        <v>4469.7402527025588</v>
      </c>
      <c r="G1292" s="1461">
        <v>301.66755464676453</v>
      </c>
      <c r="H1292" s="1461">
        <v>4168.0726980557956</v>
      </c>
      <c r="I1292" s="1462">
        <v>0.93250892946981323</v>
      </c>
      <c r="J1292" s="1466">
        <v>4168.0726980557956</v>
      </c>
      <c r="K1292" s="1364">
        <v>2532.9920428153018</v>
      </c>
      <c r="L1292" s="1364">
        <v>215.24400079471388</v>
      </c>
      <c r="M1292" s="1364">
        <v>1193.7250276200321</v>
      </c>
      <c r="N1292" s="1364">
        <v>143.9142991830804</v>
      </c>
      <c r="O1292" s="1364">
        <v>80.413267310474282</v>
      </c>
      <c r="P1292" s="1364">
        <v>1.7840603321914941</v>
      </c>
      <c r="Q1292" s="1467">
        <v>0</v>
      </c>
      <c r="R1292" s="1346"/>
      <c r="S1292" s="1396"/>
      <c r="T1292" s="1396"/>
      <c r="U1292" s="1399"/>
      <c r="Y1292" s="1324"/>
    </row>
    <row r="1293" spans="1:25" hidden="1">
      <c r="B1293" s="1441"/>
      <c r="C1293" s="1465"/>
      <c r="D1293" s="1461" t="s">
        <v>5240</v>
      </c>
      <c r="E1293" s="1461" t="s">
        <v>4067</v>
      </c>
      <c r="F1293" s="1461">
        <v>9718.7259161172697</v>
      </c>
      <c r="G1293" s="1461">
        <v>0</v>
      </c>
      <c r="H1293" s="1461">
        <v>9718.7259161172697</v>
      </c>
      <c r="I1293" s="1462">
        <v>1</v>
      </c>
      <c r="J1293" s="1466">
        <v>9718.7259161172697</v>
      </c>
      <c r="K1293" s="1364">
        <v>6101.9487741139965</v>
      </c>
      <c r="L1293" s="1364">
        <v>470.84954668082946</v>
      </c>
      <c r="M1293" s="1364">
        <v>2735.6966903830253</v>
      </c>
      <c r="N1293" s="1364">
        <v>349.89328893777133</v>
      </c>
      <c r="O1293" s="1364">
        <v>0</v>
      </c>
      <c r="P1293" s="1364">
        <v>60.337616001648883</v>
      </c>
      <c r="Q1293" s="1467">
        <v>0</v>
      </c>
      <c r="R1293" s="1346"/>
      <c r="S1293" s="1396"/>
      <c r="T1293" s="1396"/>
      <c r="U1293" s="1399"/>
      <c r="Y1293" s="1324"/>
    </row>
    <row r="1294" spans="1:25" hidden="1">
      <c r="B1294" s="1441"/>
      <c r="C1294" s="1465"/>
      <c r="D1294" s="1461" t="s">
        <v>5241</v>
      </c>
      <c r="E1294" s="1461" t="s">
        <v>4067</v>
      </c>
      <c r="F1294" s="1461">
        <v>4002.1362604046553</v>
      </c>
      <c r="G1294" s="1461">
        <v>0</v>
      </c>
      <c r="H1294" s="1461">
        <v>4002.1362604046553</v>
      </c>
      <c r="I1294" s="1462">
        <v>1</v>
      </c>
      <c r="J1294" s="1466">
        <v>4002.1362604046553</v>
      </c>
      <c r="K1294" s="1364">
        <v>2885.9832564622211</v>
      </c>
      <c r="L1294" s="1364">
        <v>244.31353334424739</v>
      </c>
      <c r="M1294" s="1364">
        <v>856.15297314647432</v>
      </c>
      <c r="N1294" s="1364">
        <v>0</v>
      </c>
      <c r="O1294" s="1364">
        <v>0</v>
      </c>
      <c r="P1294" s="1364">
        <v>15.686497451712469</v>
      </c>
      <c r="Q1294" s="1467">
        <v>0</v>
      </c>
      <c r="R1294" s="1346"/>
      <c r="S1294" s="1396"/>
      <c r="T1294" s="1396"/>
      <c r="U1294" s="1399"/>
      <c r="Y1294" s="1324"/>
    </row>
    <row r="1295" spans="1:25" hidden="1">
      <c r="B1295" s="1441"/>
      <c r="C1295" s="1465"/>
      <c r="D1295" s="1461" t="s">
        <v>5242</v>
      </c>
      <c r="E1295" s="1461" t="s">
        <v>4071</v>
      </c>
      <c r="F1295" s="1461">
        <v>19788.709857075315</v>
      </c>
      <c r="G1295" s="1461">
        <v>0</v>
      </c>
      <c r="H1295" s="1461">
        <v>19788.709857075315</v>
      </c>
      <c r="I1295" s="1462">
        <v>1</v>
      </c>
      <c r="J1295" s="1466">
        <v>19788.709857075315</v>
      </c>
      <c r="K1295" s="1364">
        <v>13849.997379534572</v>
      </c>
      <c r="L1295" s="1364">
        <v>1416.9588672816817</v>
      </c>
      <c r="M1295" s="1364">
        <v>401.80288156034339</v>
      </c>
      <c r="N1295" s="1364">
        <v>9.2023262997001893</v>
      </c>
      <c r="O1295" s="1364">
        <v>21.64765215437302</v>
      </c>
      <c r="P1295" s="1364">
        <v>7.346384907795013</v>
      </c>
      <c r="Q1295" s="1467">
        <v>4081.7543653368484</v>
      </c>
      <c r="R1295" s="1346"/>
      <c r="S1295" s="1396"/>
      <c r="T1295" s="1396"/>
      <c r="U1295" s="1399"/>
      <c r="Y1295" s="1324"/>
    </row>
    <row r="1296" spans="1:25" hidden="1">
      <c r="B1296" s="1441"/>
      <c r="C1296" s="1465"/>
      <c r="D1296" s="1461" t="s">
        <v>5244</v>
      </c>
      <c r="E1296" s="1461" t="s">
        <v>4071</v>
      </c>
      <c r="F1296" s="1468">
        <v>-272.95707292487168</v>
      </c>
      <c r="G1296" s="1468">
        <v>0</v>
      </c>
      <c r="H1296" s="1468">
        <v>-272.95707292487168</v>
      </c>
      <c r="I1296" s="1462">
        <v>1</v>
      </c>
      <c r="J1296" s="1469">
        <v>-272.95707292487168</v>
      </c>
      <c r="K1296" s="1366">
        <v>-242.80347197696756</v>
      </c>
      <c r="L1296" s="1366">
        <v>-24.252110328781328</v>
      </c>
      <c r="M1296" s="1366">
        <v>-5.7992308422779217</v>
      </c>
      <c r="N1296" s="1366">
        <v>-1.9234799637529276E-2</v>
      </c>
      <c r="O1296" s="1366">
        <v>-5.3644701816474294E-3</v>
      </c>
      <c r="P1296" s="1366">
        <v>-7.766050702447691E-2</v>
      </c>
      <c r="Q1296" s="1470">
        <v>0</v>
      </c>
      <c r="R1296" s="1346"/>
      <c r="S1296" s="1396"/>
      <c r="T1296" s="1396"/>
      <c r="U1296" s="1399"/>
      <c r="Y1296" s="1324"/>
    </row>
    <row r="1297" spans="1:27" hidden="1">
      <c r="B1297" s="1441"/>
      <c r="C1297" s="1465"/>
      <c r="D1297" s="1461"/>
      <c r="E1297" s="1461"/>
      <c r="F1297" s="1461"/>
      <c r="G1297" s="1461"/>
      <c r="H1297" s="1461"/>
      <c r="I1297" s="1462"/>
      <c r="J1297" s="1466"/>
      <c r="K1297" s="1364"/>
      <c r="L1297" s="1364"/>
      <c r="M1297" s="1367"/>
      <c r="N1297" s="1367"/>
      <c r="O1297" s="1367"/>
      <c r="P1297" s="1364"/>
      <c r="Q1297" s="1467"/>
      <c r="R1297" s="1346"/>
      <c r="S1297" s="1396"/>
      <c r="T1297" s="1396"/>
      <c r="U1297" s="1399"/>
      <c r="V1297" s="1365"/>
      <c r="Y1297" s="1324"/>
      <c r="Z1297" s="1331"/>
    </row>
    <row r="1298" spans="1:27" ht="14.4" hidden="1" thickBot="1">
      <c r="B1298" s="1441"/>
      <c r="C1298" s="1471"/>
      <c r="D1298" s="1472" t="s">
        <v>5095</v>
      </c>
      <c r="E1298" s="1472"/>
      <c r="F1298" s="1472">
        <v>104874.34585264025</v>
      </c>
      <c r="G1298" s="1472">
        <v>701.97491662982748</v>
      </c>
      <c r="H1298" s="1472">
        <v>104172.37093601043</v>
      </c>
      <c r="I1298" s="1473">
        <v>0.9933065144681219</v>
      </c>
      <c r="J1298" s="1474">
        <v>104172.37093601043</v>
      </c>
      <c r="K1298" s="1475">
        <v>65010.169614025843</v>
      </c>
      <c r="L1298" s="1475">
        <v>5750.8109621352341</v>
      </c>
      <c r="M1298" s="1476">
        <v>24735.934581794088</v>
      </c>
      <c r="N1298" s="1476">
        <v>2944.6353543991268</v>
      </c>
      <c r="O1298" s="1476">
        <v>1504.2041408550631</v>
      </c>
      <c r="P1298" s="1475">
        <v>144.86191746417765</v>
      </c>
      <c r="Q1298" s="1477">
        <v>4081.7543653368484</v>
      </c>
      <c r="R1298" s="1346"/>
      <c r="S1298" s="1396"/>
      <c r="T1298" s="1396"/>
      <c r="U1298" s="1399"/>
      <c r="Y1298" s="1324"/>
      <c r="Z1298" s="1331" t="s">
        <v>5717</v>
      </c>
    </row>
    <row r="1299" spans="1:27">
      <c r="B1299" s="1441"/>
      <c r="C1299" s="1397"/>
      <c r="D1299" s="1435"/>
      <c r="E1299" s="1435"/>
      <c r="F1299" s="1396"/>
      <c r="G1299" s="1396"/>
      <c r="H1299" s="1396"/>
      <c r="I1299" s="1442"/>
      <c r="J1299" s="1399"/>
      <c r="K1299" s="1360"/>
      <c r="L1299" s="1360"/>
      <c r="M1299" s="1361"/>
      <c r="N1299" s="1361"/>
      <c r="O1299" s="1361"/>
      <c r="P1299" s="1399"/>
      <c r="Q1299" s="1399"/>
      <c r="R1299" s="1346"/>
      <c r="S1299" s="1396"/>
      <c r="T1299" s="1396"/>
      <c r="U1299" s="1399"/>
      <c r="Y1299" s="1324"/>
    </row>
    <row r="1300" spans="1:27" ht="17.399999999999999">
      <c r="A1300" s="1320" t="s">
        <v>4897</v>
      </c>
      <c r="C1300" s="1322">
        <v>44</v>
      </c>
      <c r="D1300" s="1356" t="s">
        <v>5718</v>
      </c>
      <c r="G1300" s="1320"/>
      <c r="Y1300" s="1324"/>
      <c r="AA1300" s="1478"/>
    </row>
    <row r="1301" spans="1:27" ht="17.399999999999999">
      <c r="A1301" s="1320" t="s">
        <v>4897</v>
      </c>
      <c r="B1301" s="1320">
        <v>201</v>
      </c>
      <c r="C1301" s="1322">
        <v>45</v>
      </c>
      <c r="D1301" s="1320" t="s">
        <v>5265</v>
      </c>
      <c r="E1301" s="1320" t="s">
        <v>2067</v>
      </c>
      <c r="F1301" s="1366">
        <f>+'0 MDS Allocation Assignment'!F476</f>
        <v>36634.816307692308</v>
      </c>
      <c r="G1301" s="1358">
        <f>+$F1301*G$1966</f>
        <v>0</v>
      </c>
      <c r="H1301" s="1358">
        <f>+$F1301*H$1966</f>
        <v>36634.816307692308</v>
      </c>
      <c r="I1301" s="1323">
        <f>IF(F1301=0,0,+H1301/F1301)</f>
        <v>1</v>
      </c>
      <c r="J1301" s="1364">
        <f>+H1301</f>
        <v>36634.816307692308</v>
      </c>
      <c r="K1301" s="1364">
        <f t="shared" ref="K1301:Q1301" si="634">+$J1301*K$1966</f>
        <v>18487.180678099005</v>
      </c>
      <c r="L1301" s="1364">
        <f t="shared" si="634"/>
        <v>1708.4319113247946</v>
      </c>
      <c r="M1301" s="1364">
        <f t="shared" si="634"/>
        <v>12727.15416254119</v>
      </c>
      <c r="N1301" s="1367">
        <f t="shared" si="634"/>
        <v>2025.9583057936645</v>
      </c>
      <c r="O1301" s="1367">
        <f t="shared" si="634"/>
        <v>1492.547520636238</v>
      </c>
      <c r="P1301" s="1367">
        <f t="shared" si="634"/>
        <v>193.54372929741396</v>
      </c>
      <c r="Q1301" s="1364">
        <f t="shared" si="634"/>
        <v>0</v>
      </c>
      <c r="R1301" s="1358"/>
      <c r="S1301" s="1320">
        <v>201</v>
      </c>
      <c r="V1301" s="1321" t="s">
        <v>5235</v>
      </c>
      <c r="W1301" s="1321">
        <v>201</v>
      </c>
      <c r="Y1301" s="1324"/>
      <c r="AA1301" s="1478"/>
    </row>
    <row r="1302" spans="1:27" ht="17.399999999999999">
      <c r="A1302" s="1320" t="s">
        <v>4897</v>
      </c>
      <c r="C1302" s="1322">
        <v>46</v>
      </c>
      <c r="D1302" s="1320" t="s">
        <v>5719</v>
      </c>
      <c r="F1302" s="1427">
        <f>+SUM(F1301)</f>
        <v>36634.816307692308</v>
      </c>
      <c r="G1302" s="1427">
        <f t="shared" ref="G1302:Q1302" si="635">+G1301</f>
        <v>0</v>
      </c>
      <c r="H1302" s="1427">
        <f t="shared" si="635"/>
        <v>36634.816307692308</v>
      </c>
      <c r="I1302" s="1323">
        <f>IF(F1302=0,0,+H1302/F1302)</f>
        <v>1</v>
      </c>
      <c r="J1302" s="1421">
        <f t="shared" si="635"/>
        <v>36634.816307692308</v>
      </c>
      <c r="K1302" s="1421">
        <f t="shared" si="635"/>
        <v>18487.180678099005</v>
      </c>
      <c r="L1302" s="1421">
        <f t="shared" si="635"/>
        <v>1708.4319113247946</v>
      </c>
      <c r="M1302" s="1421">
        <f t="shared" si="635"/>
        <v>12727.15416254119</v>
      </c>
      <c r="N1302" s="1422">
        <f t="shared" si="635"/>
        <v>2025.9583057936645</v>
      </c>
      <c r="O1302" s="1422">
        <f>+O1301</f>
        <v>1492.547520636238</v>
      </c>
      <c r="P1302" s="1422">
        <f>+P1301</f>
        <v>193.54372929741396</v>
      </c>
      <c r="Q1302" s="1421">
        <f t="shared" si="635"/>
        <v>0</v>
      </c>
      <c r="R1302" s="1358"/>
      <c r="V1302" s="1320" t="s">
        <v>5720</v>
      </c>
      <c r="Y1302" s="1324"/>
      <c r="Z1302" s="1331"/>
      <c r="AA1302" s="1478"/>
    </row>
    <row r="1303" spans="1:27" ht="17.399999999999999">
      <c r="A1303" s="1320" t="s">
        <v>4897</v>
      </c>
      <c r="C1303" s="1322">
        <v>47</v>
      </c>
      <c r="G1303" s="1320"/>
      <c r="Y1303" s="1324"/>
      <c r="AA1303" s="1478"/>
    </row>
    <row r="1304" spans="1:27">
      <c r="A1304" s="1320" t="s">
        <v>4897</v>
      </c>
      <c r="C1304" s="1322">
        <v>48</v>
      </c>
      <c r="D1304" s="1356" t="s">
        <v>5721</v>
      </c>
      <c r="G1304" s="1320"/>
      <c r="Y1304" s="1324"/>
    </row>
    <row r="1305" spans="1:27">
      <c r="A1305" s="1320" t="s">
        <v>4897</v>
      </c>
      <c r="C1305" s="1322">
        <v>49</v>
      </c>
      <c r="D1305" s="1320" t="s">
        <v>5265</v>
      </c>
      <c r="E1305" s="1320" t="s">
        <v>4067</v>
      </c>
      <c r="F1305" s="1320">
        <f>+F1227+F1238+F1249-F1260</f>
        <v>31162.773017915024</v>
      </c>
      <c r="G1305" s="1320">
        <f>+G1227+G1238+G1249-G1260</f>
        <v>0</v>
      </c>
      <c r="H1305" s="1320">
        <f>+H1227+H1238+H1249-H1260</f>
        <v>31162.773017915024</v>
      </c>
      <c r="I1305" s="1323">
        <f t="shared" ref="I1305:I1312" si="636">IF(F1305=0,0,+H1305/F1305)</f>
        <v>1</v>
      </c>
      <c r="J1305" s="1324">
        <f t="shared" ref="J1305:Q1305" si="637">+J1227+J1238+J1249-J1260</f>
        <v>31162.773017915024</v>
      </c>
      <c r="K1305" s="1324">
        <f t="shared" si="637"/>
        <v>18074.814716806228</v>
      </c>
      <c r="L1305" s="1324">
        <f t="shared" si="637"/>
        <v>1490.9899015219853</v>
      </c>
      <c r="M1305" s="1324">
        <f t="shared" si="637"/>
        <v>9531.1493855401495</v>
      </c>
      <c r="N1305" s="1325">
        <f t="shared" si="637"/>
        <v>1189.8376263423106</v>
      </c>
      <c r="O1305" s="1325">
        <f>+O1227+O1238+O1249-O1260</f>
        <v>853.88721197770246</v>
      </c>
      <c r="P1305" s="1325">
        <f>+P1227+P1238+P1249-P1260</f>
        <v>22.094175726648928</v>
      </c>
      <c r="Q1305" s="1324">
        <f t="shared" si="637"/>
        <v>0</v>
      </c>
      <c r="V1305" s="1320" t="s">
        <v>5722</v>
      </c>
      <c r="Y1305" s="1324"/>
    </row>
    <row r="1306" spans="1:27">
      <c r="A1306" s="1320" t="s">
        <v>4897</v>
      </c>
      <c r="C1306" s="1322">
        <v>50</v>
      </c>
      <c r="D1306" s="1320" t="s">
        <v>5265</v>
      </c>
      <c r="E1306" s="1320" t="s">
        <v>2067</v>
      </c>
      <c r="F1306" s="1320">
        <f>+F1228+F1239+F1250-F1261+F1301</f>
        <v>38681.936109600938</v>
      </c>
      <c r="G1306" s="1320">
        <f>+G1228+G1239+G1250-G1261+G1301*1</f>
        <v>0</v>
      </c>
      <c r="H1306" s="1320">
        <f>+H1228+H1239+H1250-H1261+H1301*1</f>
        <v>38681.936109600938</v>
      </c>
      <c r="I1306" s="1323">
        <f t="shared" si="636"/>
        <v>1</v>
      </c>
      <c r="J1306" s="1324">
        <f t="shared" ref="J1306:Q1306" si="638">+J1228+J1239+J1250-J1261+J1301</f>
        <v>38681.936109600938</v>
      </c>
      <c r="K1306" s="1324">
        <f t="shared" si="638"/>
        <v>19520.227311381903</v>
      </c>
      <c r="L1306" s="1324">
        <f t="shared" si="638"/>
        <v>1803.8975134042907</v>
      </c>
      <c r="M1306" s="1324">
        <f t="shared" si="638"/>
        <v>13438.33581797128</v>
      </c>
      <c r="N1306" s="1325">
        <f t="shared" si="638"/>
        <v>2139.1669904175487</v>
      </c>
      <c r="O1306" s="1325">
        <f>+O1228+O1239+O1250-O1261+O1301</f>
        <v>1575.9497017505598</v>
      </c>
      <c r="P1306" s="1325">
        <f>+P1228+P1239+P1250-P1261+P1301</f>
        <v>204.35877467534823</v>
      </c>
      <c r="Q1306" s="1324">
        <f t="shared" si="638"/>
        <v>0</v>
      </c>
      <c r="V1306" s="1320" t="s">
        <v>5723</v>
      </c>
      <c r="Y1306" s="1324"/>
    </row>
    <row r="1307" spans="1:27">
      <c r="A1307" s="1320" t="s">
        <v>4897</v>
      </c>
      <c r="C1307" s="1322">
        <v>51</v>
      </c>
      <c r="D1307" s="1320" t="s">
        <v>5268</v>
      </c>
      <c r="E1307" s="1320" t="s">
        <v>4067</v>
      </c>
      <c r="F1307" s="1358">
        <f t="shared" ref="F1307:H1312" si="639">+F1229+F1240+F1251-F1262</f>
        <v>2472.7329249705654</v>
      </c>
      <c r="G1307" s="1358">
        <f t="shared" si="639"/>
        <v>160.20059185683772</v>
      </c>
      <c r="H1307" s="1358">
        <f t="shared" si="639"/>
        <v>2312.5323331137297</v>
      </c>
      <c r="I1307" s="1323">
        <f t="shared" si="636"/>
        <v>0.93521314403222799</v>
      </c>
      <c r="J1307" s="1364">
        <f t="shared" ref="J1307:Q1312" si="640">+J1229+J1240+J1251-J1262</f>
        <v>2312.5323331137297</v>
      </c>
      <c r="K1307" s="1364">
        <f t="shared" si="640"/>
        <v>1341.2989089136863</v>
      </c>
      <c r="L1307" s="1364">
        <f t="shared" si="640"/>
        <v>110.64363090003144</v>
      </c>
      <c r="M1307" s="1364">
        <f t="shared" si="640"/>
        <v>707.28914635188448</v>
      </c>
      <c r="N1307" s="1367">
        <f t="shared" si="640"/>
        <v>88.295671906029156</v>
      </c>
      <c r="O1307" s="1367">
        <f t="shared" si="640"/>
        <v>63.365406711256924</v>
      </c>
      <c r="P1307" s="1367">
        <f t="shared" si="640"/>
        <v>1.6395683308413957</v>
      </c>
      <c r="Q1307" s="1364">
        <f t="shared" si="640"/>
        <v>0</v>
      </c>
      <c r="R1307" s="1358"/>
      <c r="V1307" s="1320" t="s">
        <v>5724</v>
      </c>
    </row>
    <row r="1308" spans="1:27">
      <c r="A1308" s="1320" t="s">
        <v>4897</v>
      </c>
      <c r="C1308" s="1322">
        <v>52</v>
      </c>
      <c r="D1308" s="1320" t="s">
        <v>5239</v>
      </c>
      <c r="E1308" s="1320" t="s">
        <v>4067</v>
      </c>
      <c r="F1308" s="1358">
        <f t="shared" si="639"/>
        <v>2146.9051059723861</v>
      </c>
      <c r="G1308" s="1358">
        <f t="shared" si="639"/>
        <v>139.09123187710861</v>
      </c>
      <c r="H1308" s="1358">
        <f t="shared" si="639"/>
        <v>2007.8138740952782</v>
      </c>
      <c r="I1308" s="1323">
        <f t="shared" si="636"/>
        <v>0.93521314403222766</v>
      </c>
      <c r="J1308" s="1364">
        <f t="shared" si="640"/>
        <v>2007.8138740952782</v>
      </c>
      <c r="K1308" s="1364">
        <f t="shared" si="640"/>
        <v>1164.5582291165774</v>
      </c>
      <c r="L1308" s="1364">
        <f t="shared" si="640"/>
        <v>96.064307521374531</v>
      </c>
      <c r="M1308" s="1364">
        <f t="shared" si="640"/>
        <v>614.09085646392123</v>
      </c>
      <c r="N1308" s="1367">
        <f t="shared" si="640"/>
        <v>76.661101138762433</v>
      </c>
      <c r="O1308" s="1367">
        <f t="shared" si="640"/>
        <v>55.015854658882745</v>
      </c>
      <c r="P1308" s="1367">
        <f t="shared" si="640"/>
        <v>1.4235251957572039</v>
      </c>
      <c r="Q1308" s="1364">
        <f t="shared" si="640"/>
        <v>0</v>
      </c>
      <c r="R1308" s="1358"/>
      <c r="V1308" s="1320" t="s">
        <v>5725</v>
      </c>
    </row>
    <row r="1309" spans="1:27">
      <c r="A1309" s="1320" t="s">
        <v>4897</v>
      </c>
      <c r="C1309" s="1322">
        <v>53</v>
      </c>
      <c r="D1309" s="1320" t="s">
        <v>5240</v>
      </c>
      <c r="E1309" s="1320" t="s">
        <v>4067</v>
      </c>
      <c r="F1309" s="1358">
        <f t="shared" si="639"/>
        <v>6885.4837088285713</v>
      </c>
      <c r="G1309" s="1358">
        <f t="shared" si="639"/>
        <v>0</v>
      </c>
      <c r="H1309" s="1358">
        <f t="shared" si="639"/>
        <v>6885.4837088285713</v>
      </c>
      <c r="I1309" s="1323">
        <f t="shared" si="636"/>
        <v>1</v>
      </c>
      <c r="J1309" s="1364">
        <f t="shared" si="640"/>
        <v>6885.4837088285713</v>
      </c>
      <c r="K1309" s="1364">
        <f t="shared" si="640"/>
        <v>4285.6353112701181</v>
      </c>
      <c r="L1309" s="1364">
        <f t="shared" si="640"/>
        <v>304.80513196538868</v>
      </c>
      <c r="M1309" s="1364">
        <f t="shared" si="640"/>
        <v>2040.8606708773223</v>
      </c>
      <c r="N1309" s="1367">
        <f t="shared" si="640"/>
        <v>214.657508847994</v>
      </c>
      <c r="O1309" s="1367">
        <f t="shared" si="640"/>
        <v>1.4656396526705265E-4</v>
      </c>
      <c r="P1309" s="1367">
        <f t="shared" si="640"/>
        <v>39.52493930379228</v>
      </c>
      <c r="Q1309" s="1364">
        <f t="shared" si="640"/>
        <v>0</v>
      </c>
      <c r="R1309" s="1358"/>
      <c r="V1309" s="1320" t="s">
        <v>5726</v>
      </c>
    </row>
    <row r="1310" spans="1:27">
      <c r="A1310" s="1320" t="s">
        <v>4897</v>
      </c>
      <c r="C1310" s="1322">
        <v>54</v>
      </c>
      <c r="D1310" s="1320" t="s">
        <v>5241</v>
      </c>
      <c r="E1310" s="1320" t="s">
        <v>4067</v>
      </c>
      <c r="F1310" s="1358">
        <f t="shared" si="639"/>
        <v>4842.1379304588409</v>
      </c>
      <c r="G1310" s="1358">
        <f t="shared" si="639"/>
        <v>0</v>
      </c>
      <c r="H1310" s="1358">
        <f t="shared" si="639"/>
        <v>4842.1379304588409</v>
      </c>
      <c r="I1310" s="1323">
        <f t="shared" si="636"/>
        <v>1</v>
      </c>
      <c r="J1310" s="1364">
        <f t="shared" si="640"/>
        <v>4842.1379304588409</v>
      </c>
      <c r="K1310" s="1364">
        <f t="shared" si="640"/>
        <v>3532.9848898321798</v>
      </c>
      <c r="L1310" s="1364">
        <f t="shared" si="640"/>
        <v>284.47540007633506</v>
      </c>
      <c r="M1310" s="1364">
        <f t="shared" si="640"/>
        <v>1007.1615542226755</v>
      </c>
      <c r="N1310" s="1367">
        <f t="shared" si="640"/>
        <v>0</v>
      </c>
      <c r="O1310" s="1367">
        <f t="shared" si="640"/>
        <v>0</v>
      </c>
      <c r="P1310" s="1367">
        <f t="shared" si="640"/>
        <v>17.516086327653284</v>
      </c>
      <c r="Q1310" s="1364">
        <f t="shared" si="640"/>
        <v>0</v>
      </c>
      <c r="R1310" s="1358"/>
      <c r="V1310" s="1320" t="s">
        <v>5727</v>
      </c>
    </row>
    <row r="1311" spans="1:27">
      <c r="A1311" s="1320" t="s">
        <v>4897</v>
      </c>
      <c r="C1311" s="1322">
        <v>55</v>
      </c>
      <c r="D1311" s="1320" t="s">
        <v>5242</v>
      </c>
      <c r="E1311" s="1320" t="s">
        <v>4071</v>
      </c>
      <c r="F1311" s="1358">
        <f t="shared" si="639"/>
        <v>2811.1962462787124</v>
      </c>
      <c r="G1311" s="1358">
        <f t="shared" si="639"/>
        <v>0</v>
      </c>
      <c r="H1311" s="1358">
        <f t="shared" si="639"/>
        <v>2811.1962462787124</v>
      </c>
      <c r="I1311" s="1323">
        <f t="shared" si="636"/>
        <v>1</v>
      </c>
      <c r="J1311" s="1364">
        <f t="shared" si="640"/>
        <v>2811.1962462787124</v>
      </c>
      <c r="K1311" s="1364">
        <f t="shared" si="640"/>
        <v>1036.3663911176191</v>
      </c>
      <c r="L1311" s="1364">
        <f t="shared" si="640"/>
        <v>157.20315479007513</v>
      </c>
      <c r="M1311" s="1364">
        <f t="shared" si="640"/>
        <v>75.787521931756373</v>
      </c>
      <c r="N1311" s="1367">
        <f t="shared" si="640"/>
        <v>4.8856533159191997</v>
      </c>
      <c r="O1311" s="1367">
        <f t="shared" si="640"/>
        <v>5.3304528582274742</v>
      </c>
      <c r="P1311" s="1367">
        <f t="shared" si="640"/>
        <v>1.2234025421584604</v>
      </c>
      <c r="Q1311" s="1364">
        <f t="shared" si="640"/>
        <v>1530.3996697229522</v>
      </c>
      <c r="R1311" s="1358"/>
      <c r="V1311" s="1320" t="s">
        <v>5728</v>
      </c>
      <c r="Y1311" s="1324"/>
    </row>
    <row r="1312" spans="1:27">
      <c r="A1312" s="1320" t="s">
        <v>4897</v>
      </c>
      <c r="C1312" s="1322">
        <v>56</v>
      </c>
      <c r="D1312" s="1320" t="s">
        <v>5244</v>
      </c>
      <c r="E1312" s="1320" t="s">
        <v>4071</v>
      </c>
      <c r="F1312" s="1350">
        <f t="shared" si="639"/>
        <v>-2033.3535253590526</v>
      </c>
      <c r="G1312" s="1350">
        <f t="shared" si="639"/>
        <v>0</v>
      </c>
      <c r="H1312" s="1350">
        <f t="shared" si="639"/>
        <v>-2033.3535253590526</v>
      </c>
      <c r="I1312" s="1323">
        <f t="shared" si="636"/>
        <v>1</v>
      </c>
      <c r="J1312" s="1366">
        <f t="shared" si="640"/>
        <v>-2033.3535253590526</v>
      </c>
      <c r="K1312" s="1366">
        <f t="shared" si="640"/>
        <v>-1813.5211985897895</v>
      </c>
      <c r="L1312" s="1366">
        <f t="shared" si="640"/>
        <v>-175.80455453461957</v>
      </c>
      <c r="M1312" s="1366">
        <f t="shared" si="640"/>
        <v>-43.299163536028544</v>
      </c>
      <c r="N1312" s="1378">
        <f t="shared" si="640"/>
        <v>-0.14619333111331323</v>
      </c>
      <c r="O1312" s="1378">
        <f t="shared" si="640"/>
        <v>-2.5937526487845919E-2</v>
      </c>
      <c r="P1312" s="1378">
        <f t="shared" si="640"/>
        <v>-0.5564778410119664</v>
      </c>
      <c r="Q1312" s="1366">
        <f t="shared" si="640"/>
        <v>0</v>
      </c>
      <c r="R1312" s="1358"/>
      <c r="V1312" s="1320" t="s">
        <v>5729</v>
      </c>
      <c r="Y1312" s="1324"/>
    </row>
    <row r="1313" spans="1:27">
      <c r="A1313" s="1320" t="s">
        <v>4897</v>
      </c>
      <c r="C1313" s="1322">
        <v>57</v>
      </c>
      <c r="F1313" s="1358"/>
      <c r="G1313" s="1358"/>
      <c r="H1313" s="1358"/>
      <c r="J1313" s="1364"/>
      <c r="K1313" s="1364"/>
      <c r="L1313" s="1364"/>
      <c r="M1313" s="1364"/>
      <c r="N1313" s="1367"/>
      <c r="O1313" s="1367"/>
      <c r="P1313" s="1367"/>
      <c r="Q1313" s="1364"/>
      <c r="R1313" s="1358"/>
      <c r="Y1313" s="1324"/>
    </row>
    <row r="1314" spans="1:27" ht="14.4" thickBot="1">
      <c r="A1314" s="1320" t="s">
        <v>4897</v>
      </c>
      <c r="C1314" s="1322">
        <v>58</v>
      </c>
      <c r="D1314" s="1320" t="s">
        <v>5095</v>
      </c>
      <c r="F1314" s="1423">
        <f>+SUM(F1305:F1312)</f>
        <v>86969.811518665971</v>
      </c>
      <c r="G1314" s="1423">
        <f>SUM(G1305:G1312)</f>
        <v>299.29182373394633</v>
      </c>
      <c r="H1314" s="1423">
        <f>SUM(H1305:H1312)</f>
        <v>86670.519694932053</v>
      </c>
      <c r="I1314" s="1323">
        <f>IF(F1314=0,0,+H1314/F1314)</f>
        <v>0.99655866997400955</v>
      </c>
      <c r="J1314" s="1380">
        <f t="shared" ref="J1314:Q1314" si="641">SUM(J1305:J1312)</f>
        <v>86670.519694932053</v>
      </c>
      <c r="K1314" s="1380">
        <f t="shared" si="641"/>
        <v>47142.364559848524</v>
      </c>
      <c r="L1314" s="1380">
        <f t="shared" si="641"/>
        <v>4072.2744856448617</v>
      </c>
      <c r="M1314" s="1380">
        <f t="shared" si="641"/>
        <v>27371.375789822963</v>
      </c>
      <c r="N1314" s="1424">
        <f t="shared" si="641"/>
        <v>3713.3583586374507</v>
      </c>
      <c r="O1314" s="1424">
        <f>SUM(O1305:O1312)</f>
        <v>2553.5228369941074</v>
      </c>
      <c r="P1314" s="1424">
        <f>SUM(P1305:P1312)</f>
        <v>287.22399426118784</v>
      </c>
      <c r="Q1314" s="1380">
        <f t="shared" si="641"/>
        <v>1530.3996697229522</v>
      </c>
      <c r="R1314" s="1358"/>
      <c r="V1314" s="1320" t="s">
        <v>5730</v>
      </c>
      <c r="Y1314" s="1324"/>
      <c r="AA1314" s="1479"/>
    </row>
    <row r="1315" spans="1:27" ht="14.4" thickTop="1">
      <c r="G1315" s="1320"/>
      <c r="M1315" s="1324"/>
      <c r="N1315" s="1324"/>
      <c r="O1315" s="1324"/>
      <c r="Y1315" s="1324"/>
      <c r="AA1315" s="1479"/>
    </row>
    <row r="1316" spans="1:27">
      <c r="C1316" s="1320"/>
      <c r="G1316" s="1320"/>
      <c r="I1316" s="1386"/>
      <c r="Y1316" s="1324"/>
    </row>
    <row r="1317" spans="1:27">
      <c r="C1317" s="1320"/>
      <c r="G1317" s="1320"/>
      <c r="I1317" s="1386"/>
      <c r="Y1317" s="1324"/>
    </row>
    <row r="1318" spans="1:27">
      <c r="G1318" s="1320"/>
      <c r="Y1318" s="1324"/>
    </row>
    <row r="1319" spans="1:27">
      <c r="G1319" s="1320"/>
      <c r="Y1319" s="1324"/>
    </row>
    <row r="1320" spans="1:27">
      <c r="B1320" s="1432"/>
      <c r="C1320" s="1340" t="str">
        <f>+C$2</f>
        <v>RATES WITH REVENUE DEFICIENCY ADDITION</v>
      </c>
      <c r="F1320" s="1333"/>
      <c r="G1320" s="1327" t="s">
        <v>2173</v>
      </c>
      <c r="I1320" s="1334" t="s">
        <v>5714</v>
      </c>
      <c r="L1320" s="1329" t="s">
        <v>2173</v>
      </c>
      <c r="M1320" s="1330"/>
      <c r="N1320" s="1330"/>
      <c r="O1320" s="1330"/>
      <c r="S1320" s="1334" t="s">
        <v>5731</v>
      </c>
      <c r="T1320" s="1333" t="s">
        <v>2173</v>
      </c>
      <c r="U1320" s="1334"/>
      <c r="V1320" s="1332" t="s">
        <v>4772</v>
      </c>
    </row>
    <row r="1321" spans="1:27">
      <c r="B1321" s="1432"/>
      <c r="C1321" s="1340" t="str">
        <f>+C$3</f>
        <v>PROD. CAP. ALLOC. METHOD: 12 CP &amp; 1/13th AD</v>
      </c>
      <c r="G1321" s="1336" t="s">
        <v>4768</v>
      </c>
      <c r="I1321" s="1335" t="s">
        <v>4312</v>
      </c>
      <c r="L1321" s="1336" t="s">
        <v>5141</v>
      </c>
      <c r="M1321" s="1337"/>
      <c r="N1321" s="1337"/>
      <c r="O1321" s="1337"/>
      <c r="R1321" s="1331"/>
      <c r="S1321" s="1335" t="s">
        <v>4313</v>
      </c>
      <c r="T1321" s="1333" t="s">
        <v>5141</v>
      </c>
      <c r="V1321" s="1332" t="s">
        <v>5731</v>
      </c>
    </row>
    <row r="1322" spans="1:27">
      <c r="C1322" s="1340" t="str">
        <f>+C$4</f>
        <v>PROJECTED CALENDAR YEAR 2025; FULLY ADJUSTED DATA</v>
      </c>
      <c r="G1322" s="1336" t="s">
        <v>2181</v>
      </c>
      <c r="L1322" s="1336" t="s">
        <v>2181</v>
      </c>
      <c r="T1322" s="1339"/>
      <c r="Y1322" s="1324"/>
    </row>
    <row r="1323" spans="1:27">
      <c r="C1323" s="1340" t="str">
        <f>+C$5</f>
        <v>MINIMUM DISTRIBUTION SYSTEM (MDS) NOT EMPLOYED</v>
      </c>
      <c r="D1323" s="1358"/>
      <c r="G1323" s="1320"/>
      <c r="L1323" s="1336"/>
      <c r="M1323" s="1337"/>
      <c r="N1323" s="1337"/>
      <c r="O1323" s="1337"/>
      <c r="T1323" s="1333"/>
      <c r="Y1323" s="1324"/>
    </row>
    <row r="1324" spans="1:27">
      <c r="C1324" s="1340" t="str">
        <f>+C$6</f>
        <v>Tampa Electric 2025 OB Budget</v>
      </c>
      <c r="F1324" s="1327"/>
      <c r="G1324" s="1333" t="s">
        <v>5732</v>
      </c>
      <c r="L1324" s="1336" t="s">
        <v>5732</v>
      </c>
      <c r="M1324" s="1337"/>
      <c r="N1324" s="1337"/>
      <c r="O1324" s="1337"/>
      <c r="T1324" s="1333" t="s">
        <v>5732</v>
      </c>
    </row>
    <row r="1325" spans="1:27">
      <c r="F1325" s="1333"/>
      <c r="G1325" s="1320"/>
      <c r="L1325" s="1336"/>
      <c r="M1325" s="1337"/>
      <c r="N1325" s="1337"/>
      <c r="O1325" s="1337"/>
    </row>
    <row r="1326" spans="1:27">
      <c r="F1326" s="1333"/>
      <c r="G1326" s="1320"/>
      <c r="L1326" s="1336"/>
      <c r="M1326" s="1337"/>
      <c r="N1326" s="1337"/>
      <c r="O1326" s="1337"/>
    </row>
    <row r="1327" spans="1:27">
      <c r="G1327" s="1320"/>
    </row>
    <row r="1328" spans="1:27">
      <c r="C1328" s="1342"/>
      <c r="D1328" s="1331"/>
      <c r="E1328" s="1331"/>
      <c r="F1328" s="1333"/>
      <c r="G1328" s="1333"/>
      <c r="H1328" s="1333"/>
      <c r="I1328" s="1343"/>
      <c r="J1328" s="1416"/>
      <c r="K1328" s="1336"/>
      <c r="L1328" s="1416"/>
      <c r="M1328" s="1417"/>
      <c r="N1328" s="1417"/>
      <c r="O1328" s="1417"/>
      <c r="P1328" s="3164"/>
      <c r="Q1328" s="3164"/>
      <c r="R1328" s="1333"/>
    </row>
    <row r="1329" spans="1:25" ht="30" customHeight="1">
      <c r="A1329" s="1418" t="s">
        <v>4683</v>
      </c>
      <c r="B1329" s="1425" t="s">
        <v>5143</v>
      </c>
      <c r="C1329" s="1349" t="s">
        <v>4297</v>
      </c>
      <c r="D1329" s="1418"/>
      <c r="E1329" s="1418"/>
      <c r="F1329" s="1348" t="s">
        <v>5144</v>
      </c>
      <c r="G1329" s="1348" t="s">
        <v>4956</v>
      </c>
      <c r="H1329" s="1348" t="s">
        <v>4957</v>
      </c>
      <c r="I1329" s="1426" t="s">
        <v>5145</v>
      </c>
      <c r="J1329" s="1352" t="s">
        <v>4957</v>
      </c>
      <c r="K1329" s="1353" t="s">
        <v>1949</v>
      </c>
      <c r="L1329" s="1353" t="s">
        <v>1950</v>
      </c>
      <c r="M1329" s="1354" t="s">
        <v>1934</v>
      </c>
      <c r="N1329" s="1354" t="s">
        <v>1971</v>
      </c>
      <c r="O1329" s="1354" t="s">
        <v>1972</v>
      </c>
      <c r="P1329" s="1352" t="s">
        <v>5146</v>
      </c>
      <c r="Q1329" s="1352" t="s">
        <v>5147</v>
      </c>
      <c r="R1329" s="1355"/>
      <c r="S1329" s="1348" t="s">
        <v>5299</v>
      </c>
      <c r="T1329" s="1348"/>
      <c r="U1329" s="1352"/>
      <c r="V1329" s="1355" t="s">
        <v>4774</v>
      </c>
      <c r="W1329" s="1350"/>
      <c r="Y1329" s="1324"/>
    </row>
    <row r="1330" spans="1:25">
      <c r="G1330" s="1320"/>
      <c r="Y1330" s="1324"/>
    </row>
    <row r="1331" spans="1:25">
      <c r="A1331" s="1320" t="s">
        <v>2342</v>
      </c>
      <c r="B1331" s="1321"/>
      <c r="C1331" s="1322">
        <v>1</v>
      </c>
      <c r="D1331" s="1356" t="s">
        <v>5733</v>
      </c>
      <c r="G1331" s="1320"/>
      <c r="S1331" s="1321"/>
      <c r="T1331" s="1321"/>
      <c r="U1331" s="1326"/>
      <c r="Y1331" s="1324"/>
    </row>
    <row r="1332" spans="1:25" s="1324" customFormat="1">
      <c r="A1332" s="1324" t="s">
        <v>2342</v>
      </c>
      <c r="B1332" s="1324">
        <v>101</v>
      </c>
      <c r="C1332" s="1393">
        <v>2</v>
      </c>
      <c r="D1332" s="1324" t="s">
        <v>4813</v>
      </c>
      <c r="E1332" s="1324" t="s">
        <v>4067</v>
      </c>
      <c r="F1332" s="1324">
        <f>+'0 MDS Allocation Assignment'!F477+'0 MDS Allocation Assignment'!F479</f>
        <v>106807.76069412462</v>
      </c>
      <c r="G1332" s="1364">
        <f t="shared" ref="G1332:H1334" si="642">+$F1332*G$1933</f>
        <v>0</v>
      </c>
      <c r="H1332" s="1364">
        <f t="shared" si="642"/>
        <v>106807.76069412462</v>
      </c>
      <c r="I1332" s="1374">
        <f>IF(F1332=0,0,+H1332/F1332)</f>
        <v>1</v>
      </c>
      <c r="J1332" s="1364">
        <f>+H1332</f>
        <v>106807.76069412462</v>
      </c>
      <c r="K1332" s="1324">
        <f t="shared" ref="K1332:Q1332" si="643">$J1332*K$1951</f>
        <v>61949.893989005606</v>
      </c>
      <c r="L1332" s="1324">
        <f t="shared" si="643"/>
        <v>5110.2413930739249</v>
      </c>
      <c r="M1332" s="1324">
        <f t="shared" si="643"/>
        <v>32667.205903835747</v>
      </c>
      <c r="N1332" s="1324">
        <f t="shared" si="643"/>
        <v>4078.0675194141381</v>
      </c>
      <c r="O1332" s="1324">
        <f t="shared" si="643"/>
        <v>2926.6259759443442</v>
      </c>
      <c r="P1332" s="1324">
        <f t="shared" si="643"/>
        <v>75.725912850862997</v>
      </c>
      <c r="Q1332" s="1324">
        <f t="shared" si="643"/>
        <v>0</v>
      </c>
      <c r="S1332" s="1324">
        <v>122</v>
      </c>
      <c r="V1332" s="1326" t="s">
        <v>5227</v>
      </c>
      <c r="W1332" s="1326">
        <v>122</v>
      </c>
    </row>
    <row r="1333" spans="1:25" s="1324" customFormat="1">
      <c r="A1333" s="1324" t="s">
        <v>2342</v>
      </c>
      <c r="B1333" s="1324">
        <v>101</v>
      </c>
      <c r="C1333" s="1393">
        <v>3</v>
      </c>
      <c r="D1333" s="1324" t="s">
        <v>5286</v>
      </c>
      <c r="E1333" s="1324" t="s">
        <v>4067</v>
      </c>
      <c r="F1333" s="1324">
        <f>+'0 MDS Allocation Assignment'!F480</f>
        <v>0</v>
      </c>
      <c r="G1333" s="1364">
        <f t="shared" si="642"/>
        <v>0</v>
      </c>
      <c r="H1333" s="1364">
        <f t="shared" si="642"/>
        <v>0</v>
      </c>
      <c r="I1333" s="1374">
        <f>IF(F1333=0,0,+H1333/F1333)</f>
        <v>0</v>
      </c>
      <c r="J1333" s="1364">
        <f>+H1333</f>
        <v>0</v>
      </c>
      <c r="K1333" s="1324">
        <f t="shared" ref="K1333:Q1333" si="644">$J1333*K$1948</f>
        <v>0</v>
      </c>
      <c r="L1333" s="1324">
        <f t="shared" si="644"/>
        <v>0</v>
      </c>
      <c r="M1333" s="1324">
        <f t="shared" si="644"/>
        <v>0</v>
      </c>
      <c r="N1333" s="1324">
        <f t="shared" si="644"/>
        <v>0</v>
      </c>
      <c r="O1333" s="1324">
        <f t="shared" si="644"/>
        <v>0</v>
      </c>
      <c r="P1333" s="1324">
        <f t="shared" si="644"/>
        <v>0</v>
      </c>
      <c r="Q1333" s="1324">
        <f t="shared" si="644"/>
        <v>0</v>
      </c>
      <c r="S1333" s="1324">
        <v>121</v>
      </c>
      <c r="V1333" s="1326" t="s">
        <v>5287</v>
      </c>
      <c r="W1333" s="1326">
        <v>121</v>
      </c>
    </row>
    <row r="1334" spans="1:25" s="1324" customFormat="1">
      <c r="A1334" s="1320" t="s">
        <v>2342</v>
      </c>
      <c r="B1334" s="1324">
        <v>101</v>
      </c>
      <c r="C1334" s="1393">
        <v>4</v>
      </c>
      <c r="D1334" s="1324" t="s">
        <v>4814</v>
      </c>
      <c r="E1334" s="1324" t="s">
        <v>2067</v>
      </c>
      <c r="F1334" s="1366">
        <f>+'0 MDS Allocation Assignment'!F478+'0 MDS Allocation Assignment'!F481</f>
        <v>3054.4984588409338</v>
      </c>
      <c r="G1334" s="1364">
        <f t="shared" si="642"/>
        <v>0</v>
      </c>
      <c r="H1334" s="1364">
        <f t="shared" si="642"/>
        <v>3054.4984588409338</v>
      </c>
      <c r="I1334" s="1374">
        <f>IF(F1334=0,0,+H1334/F1334)</f>
        <v>1</v>
      </c>
      <c r="J1334" s="1366">
        <f>+H1334</f>
        <v>3054.4984588409338</v>
      </c>
      <c r="K1334" s="1364">
        <f t="shared" ref="K1334:Q1334" si="645">+$J1334*K$1966</f>
        <v>1541.4043410314671</v>
      </c>
      <c r="L1334" s="1364">
        <f t="shared" si="645"/>
        <v>142.44380526839257</v>
      </c>
      <c r="M1334" s="1364">
        <f t="shared" si="645"/>
        <v>1061.1510222517572</v>
      </c>
      <c r="N1334" s="1367">
        <f t="shared" si="645"/>
        <v>168.91818074773224</v>
      </c>
      <c r="O1334" s="1367">
        <f t="shared" si="645"/>
        <v>124.44402786791056</v>
      </c>
      <c r="P1334" s="1367">
        <f t="shared" si="645"/>
        <v>16.137081673674079</v>
      </c>
      <c r="Q1334" s="1364">
        <f t="shared" si="645"/>
        <v>0</v>
      </c>
      <c r="R1334" s="1364"/>
      <c r="S1334" s="1324">
        <v>201</v>
      </c>
      <c r="V1334" s="1321" t="s">
        <v>5235</v>
      </c>
      <c r="W1334" s="1321">
        <v>201</v>
      </c>
    </row>
    <row r="1335" spans="1:25">
      <c r="A1335" s="1320" t="s">
        <v>2342</v>
      </c>
      <c r="C1335" s="1322">
        <v>5</v>
      </c>
      <c r="D1335" s="1320" t="s">
        <v>5734</v>
      </c>
      <c r="F1335" s="1427">
        <f>+SUM(F1332:F1334)</f>
        <v>109862.25915296555</v>
      </c>
      <c r="G1335" s="1427">
        <f>SUM(G1332:G1334)</f>
        <v>0</v>
      </c>
      <c r="H1335" s="1427">
        <f>SUM(H1332:H1334)</f>
        <v>109862.25915296555</v>
      </c>
      <c r="I1335" s="1323">
        <f>IF(F1335=0,0,+H1335/F1335)</f>
        <v>1</v>
      </c>
      <c r="J1335" s="1421">
        <f t="shared" ref="J1335:Q1335" si="646">SUM(J1332:J1334)</f>
        <v>109862.25915296555</v>
      </c>
      <c r="K1335" s="1421">
        <f t="shared" si="646"/>
        <v>63491.298330037076</v>
      </c>
      <c r="L1335" s="1421">
        <f t="shared" si="646"/>
        <v>5252.6851983423176</v>
      </c>
      <c r="M1335" s="1421">
        <f t="shared" si="646"/>
        <v>33728.356926087508</v>
      </c>
      <c r="N1335" s="1422">
        <f t="shared" si="646"/>
        <v>4246.9857001618702</v>
      </c>
      <c r="O1335" s="1422">
        <f>SUM(O1332:O1334)</f>
        <v>3051.070003812255</v>
      </c>
      <c r="P1335" s="1422">
        <f>SUM(P1332:P1334)</f>
        <v>91.862994524537072</v>
      </c>
      <c r="Q1335" s="1421">
        <f t="shared" si="646"/>
        <v>0</v>
      </c>
      <c r="R1335" s="1364"/>
      <c r="S1335" s="1324"/>
      <c r="V1335" s="1320" t="s">
        <v>5395</v>
      </c>
      <c r="Y1335" s="1324"/>
    </row>
    <row r="1336" spans="1:25">
      <c r="A1336" s="1320" t="s">
        <v>2342</v>
      </c>
      <c r="B1336" s="1321"/>
      <c r="C1336" s="1322">
        <v>6</v>
      </c>
      <c r="G1336" s="1320"/>
      <c r="R1336" s="1324"/>
      <c r="S1336" s="1326"/>
      <c r="T1336" s="1321"/>
      <c r="U1336" s="1326"/>
      <c r="Y1336" s="1324"/>
    </row>
    <row r="1337" spans="1:25">
      <c r="A1337" s="1320" t="s">
        <v>2342</v>
      </c>
      <c r="C1337" s="1322">
        <v>7</v>
      </c>
      <c r="G1337" s="1320"/>
      <c r="R1337" s="1324"/>
      <c r="S1337" s="1324"/>
      <c r="Y1337" s="1324"/>
    </row>
    <row r="1338" spans="1:25">
      <c r="A1338" s="1320" t="s">
        <v>2342</v>
      </c>
      <c r="C1338" s="1322">
        <v>8</v>
      </c>
      <c r="D1338" s="1356" t="s">
        <v>5735</v>
      </c>
      <c r="G1338" s="1320"/>
      <c r="R1338" s="1324"/>
      <c r="S1338" s="1324"/>
    </row>
    <row r="1339" spans="1:25" s="1324" customFormat="1">
      <c r="A1339" s="1324" t="s">
        <v>2342</v>
      </c>
      <c r="B1339" s="1324">
        <v>101</v>
      </c>
      <c r="C1339" s="1393">
        <v>9</v>
      </c>
      <c r="D1339" s="1324" t="s">
        <v>5397</v>
      </c>
      <c r="E1339" s="1324" t="s">
        <v>4067</v>
      </c>
      <c r="F1339" s="1324">
        <f>+'0 MDS Allocation Assignment'!F482</f>
        <v>0</v>
      </c>
      <c r="G1339" s="1364">
        <f>+$F1339*G$1933</f>
        <v>0</v>
      </c>
      <c r="H1339" s="1364">
        <f>+$F1339*H$1933</f>
        <v>0</v>
      </c>
      <c r="I1339" s="1374">
        <f>IF(F1339=0,0,+H1339/F1339)</f>
        <v>0</v>
      </c>
      <c r="J1339" s="1364">
        <f>+H1339</f>
        <v>0</v>
      </c>
      <c r="K1339" s="1324">
        <f t="shared" ref="K1339:Q1339" si="647">$J1339*K$1951</f>
        <v>0</v>
      </c>
      <c r="L1339" s="1324">
        <f t="shared" si="647"/>
        <v>0</v>
      </c>
      <c r="M1339" s="1324">
        <f t="shared" si="647"/>
        <v>0</v>
      </c>
      <c r="N1339" s="1324">
        <f t="shared" si="647"/>
        <v>0</v>
      </c>
      <c r="O1339" s="1324">
        <f t="shared" si="647"/>
        <v>0</v>
      </c>
      <c r="P1339" s="1324">
        <f t="shared" si="647"/>
        <v>0</v>
      </c>
      <c r="Q1339" s="1324">
        <f t="shared" si="647"/>
        <v>0</v>
      </c>
      <c r="S1339" s="1324">
        <v>122</v>
      </c>
      <c r="V1339" s="1326" t="s">
        <v>5227</v>
      </c>
      <c r="W1339" s="1326">
        <v>122</v>
      </c>
    </row>
    <row r="1340" spans="1:25">
      <c r="A1340" s="1320" t="s">
        <v>2342</v>
      </c>
      <c r="B1340" s="1320">
        <v>117</v>
      </c>
      <c r="C1340" s="1322">
        <v>10</v>
      </c>
      <c r="D1340" s="1324" t="s">
        <v>5736</v>
      </c>
      <c r="E1340" s="1320" t="s">
        <v>4067</v>
      </c>
      <c r="F1340" s="1324">
        <f>+'0 MDS Allocation Assignment'!F483</f>
        <v>7283.8333454800486</v>
      </c>
      <c r="G1340" s="1358">
        <f>+$F1340*G$1942</f>
        <v>471.89666184687519</v>
      </c>
      <c r="H1340" s="1358">
        <f>+$F1340*H$1942</f>
        <v>6811.9366836331728</v>
      </c>
      <c r="I1340" s="1323">
        <f>IF(F1340=0,0,+H1340/F1340)</f>
        <v>0.93521314403222733</v>
      </c>
      <c r="J1340" s="1364">
        <f>+H1340</f>
        <v>6811.9366836331728</v>
      </c>
      <c r="K1340" s="1364">
        <f t="shared" ref="K1340:Q1341" si="648">+$J1340*K$1945</f>
        <v>3951.0121050043435</v>
      </c>
      <c r="L1340" s="1364">
        <f t="shared" si="648"/>
        <v>325.91864656156815</v>
      </c>
      <c r="M1340" s="1364">
        <f t="shared" si="648"/>
        <v>2083.4341699701777</v>
      </c>
      <c r="N1340" s="1367">
        <f t="shared" si="648"/>
        <v>260.08913166324089</v>
      </c>
      <c r="O1340" s="1367">
        <f t="shared" si="648"/>
        <v>186.65301767632388</v>
      </c>
      <c r="P1340" s="1367">
        <f t="shared" si="648"/>
        <v>4.8296127575192029</v>
      </c>
      <c r="Q1340" s="1364">
        <f t="shared" si="648"/>
        <v>0</v>
      </c>
      <c r="R1340" s="1364"/>
      <c r="S1340" s="1324">
        <v>117</v>
      </c>
      <c r="V1340" s="1321" t="s">
        <v>5228</v>
      </c>
      <c r="W1340" s="1321">
        <v>117</v>
      </c>
      <c r="Y1340" s="1324"/>
    </row>
    <row r="1341" spans="1:25">
      <c r="A1341" s="1320" t="s">
        <v>2342</v>
      </c>
      <c r="B1341" s="1320">
        <v>117</v>
      </c>
      <c r="C1341" s="1322">
        <v>11</v>
      </c>
      <c r="D1341" s="1320" t="s">
        <v>5737</v>
      </c>
      <c r="E1341" s="1320" t="s">
        <v>4067</v>
      </c>
      <c r="F1341" s="1324">
        <f>+'0 MDS Allocation Assignment'!F484</f>
        <v>7158.5366024656287</v>
      </c>
      <c r="G1341" s="1358">
        <f>+$F1341*G$1942</f>
        <v>463.7790798039689</v>
      </c>
      <c r="H1341" s="1358">
        <f>+$F1341*H$1942</f>
        <v>6694.7575226616591</v>
      </c>
      <c r="I1341" s="1323">
        <f>IF(F1341=0,0,+H1341/F1341)</f>
        <v>0.93521314403222733</v>
      </c>
      <c r="J1341" s="1364">
        <f>+H1341</f>
        <v>6694.7575226616591</v>
      </c>
      <c r="K1341" s="1364">
        <f t="shared" si="648"/>
        <v>3883.0466636101096</v>
      </c>
      <c r="L1341" s="1364">
        <f t="shared" si="648"/>
        <v>320.31218318371322</v>
      </c>
      <c r="M1341" s="1364">
        <f t="shared" si="648"/>
        <v>2047.594866213426</v>
      </c>
      <c r="N1341" s="1367">
        <f t="shared" si="648"/>
        <v>255.61506978604606</v>
      </c>
      <c r="O1341" s="1367">
        <f t="shared" si="648"/>
        <v>183.44220626983159</v>
      </c>
      <c r="P1341" s="1367">
        <f t="shared" si="648"/>
        <v>4.7465335985330128</v>
      </c>
      <c r="Q1341" s="1364">
        <f t="shared" si="648"/>
        <v>0</v>
      </c>
      <c r="R1341" s="1358"/>
      <c r="S1341" s="1320">
        <v>117</v>
      </c>
      <c r="V1341" s="1321" t="s">
        <v>5228</v>
      </c>
      <c r="W1341" s="1321">
        <v>117</v>
      </c>
      <c r="Y1341" s="1324"/>
    </row>
    <row r="1342" spans="1:25">
      <c r="A1342" s="1320" t="s">
        <v>2342</v>
      </c>
      <c r="C1342" s="1322">
        <v>12</v>
      </c>
      <c r="D1342" s="1320" t="s">
        <v>5738</v>
      </c>
      <c r="F1342" s="1427">
        <f>+SUM(F1339:F1341)</f>
        <v>14442.369947945677</v>
      </c>
      <c r="G1342" s="1427">
        <f>SUM(G1339:G1341)</f>
        <v>935.67574165084409</v>
      </c>
      <c r="H1342" s="1427">
        <f>SUM(H1339:H1341)</f>
        <v>13506.694206294833</v>
      </c>
      <c r="I1342" s="1323">
        <f>IF(F1342=0,0,+H1342/F1342)</f>
        <v>0.93521314403222733</v>
      </c>
      <c r="J1342" s="1421">
        <f t="shared" ref="J1342:Q1342" si="649">SUM(J1339:J1341)</f>
        <v>13506.694206294833</v>
      </c>
      <c r="K1342" s="1421">
        <f t="shared" si="649"/>
        <v>7834.0587686144536</v>
      </c>
      <c r="L1342" s="1421">
        <f t="shared" si="649"/>
        <v>646.23082974528143</v>
      </c>
      <c r="M1342" s="1421">
        <f t="shared" si="649"/>
        <v>4131.0290361836032</v>
      </c>
      <c r="N1342" s="1422">
        <f t="shared" si="649"/>
        <v>515.70420144928698</v>
      </c>
      <c r="O1342" s="1422">
        <f>SUM(O1339:O1341)</f>
        <v>370.09522394615544</v>
      </c>
      <c r="P1342" s="1422">
        <f>SUM(P1339:P1341)</f>
        <v>9.5761463560522166</v>
      </c>
      <c r="Q1342" s="1421">
        <f t="shared" si="649"/>
        <v>0</v>
      </c>
      <c r="R1342" s="1358"/>
      <c r="V1342" s="1320" t="s">
        <v>5739</v>
      </c>
    </row>
    <row r="1343" spans="1:25">
      <c r="A1343" s="1320" t="s">
        <v>2342</v>
      </c>
      <c r="C1343" s="1322">
        <v>13</v>
      </c>
      <c r="F1343" s="1358"/>
      <c r="G1343" s="1358"/>
      <c r="H1343" s="1358"/>
      <c r="J1343" s="1364"/>
      <c r="K1343" s="1364"/>
      <c r="L1343" s="1364"/>
      <c r="M1343" s="1367"/>
      <c r="N1343" s="1367"/>
      <c r="O1343" s="1367"/>
      <c r="P1343" s="1364"/>
      <c r="Q1343" s="1364"/>
      <c r="R1343" s="1358"/>
    </row>
    <row r="1344" spans="1:25">
      <c r="A1344" s="1320" t="s">
        <v>2342</v>
      </c>
      <c r="C1344" s="1322">
        <v>14</v>
      </c>
      <c r="G1344" s="1320"/>
    </row>
    <row r="1345" spans="1:25">
      <c r="A1345" s="1320" t="s">
        <v>2342</v>
      </c>
      <c r="C1345" s="1322">
        <v>15</v>
      </c>
      <c r="D1345" s="1356" t="s">
        <v>5740</v>
      </c>
      <c r="G1345" s="1320"/>
    </row>
    <row r="1346" spans="1:25">
      <c r="A1346" s="1320" t="s">
        <v>2342</v>
      </c>
      <c r="B1346" s="1320">
        <v>105</v>
      </c>
      <c r="C1346" s="1322">
        <v>16</v>
      </c>
      <c r="D1346" s="1320" t="s">
        <v>5240</v>
      </c>
      <c r="E1346" s="1320" t="s">
        <v>4067</v>
      </c>
      <c r="F1346" s="1320">
        <f>+'0 MDS Allocation Assignment'!F485</f>
        <v>-18323.405026623215</v>
      </c>
      <c r="G1346" s="1358">
        <f>+$F1346*G$1936</f>
        <v>0</v>
      </c>
      <c r="H1346" s="1358">
        <f>+$F1346*H$1936</f>
        <v>-18323.405026623215</v>
      </c>
      <c r="I1346" s="1323">
        <f>IF(F1346=0,0,+H1346/F1346)</f>
        <v>1</v>
      </c>
      <c r="J1346" s="1364">
        <f>+H1346</f>
        <v>-18323.405026623215</v>
      </c>
      <c r="K1346" s="1364">
        <f t="shared" ref="K1346:Q1346" si="650">+$J1346*K$1936</f>
        <v>-11404.780684342166</v>
      </c>
      <c r="L1346" s="1364">
        <f t="shared" si="650"/>
        <v>-811.13660613763204</v>
      </c>
      <c r="M1346" s="1364">
        <f t="shared" si="650"/>
        <v>-5431.066030617797</v>
      </c>
      <c r="N1346" s="1367">
        <f t="shared" si="650"/>
        <v>-571.23894891865393</v>
      </c>
      <c r="O1346" s="1367">
        <f t="shared" si="650"/>
        <v>-3.9003082593205835E-4</v>
      </c>
      <c r="P1346" s="1367">
        <f t="shared" si="650"/>
        <v>-105.18236657614541</v>
      </c>
      <c r="Q1346" s="1364">
        <f t="shared" si="650"/>
        <v>0</v>
      </c>
      <c r="R1346" s="1358"/>
      <c r="S1346" s="1320">
        <v>105</v>
      </c>
      <c r="V1346" s="1321" t="s">
        <v>5229</v>
      </c>
      <c r="W1346" s="1321">
        <v>105</v>
      </c>
    </row>
    <row r="1347" spans="1:25">
      <c r="A1347" s="1320" t="s">
        <v>2342</v>
      </c>
      <c r="B1347" s="1320">
        <v>106</v>
      </c>
      <c r="C1347" s="1322">
        <v>17</v>
      </c>
      <c r="D1347" s="1320" t="s">
        <v>5241</v>
      </c>
      <c r="E1347" s="1320" t="s">
        <v>4067</v>
      </c>
      <c r="F1347" s="1320">
        <f>+'0 MDS Allocation Assignment'!F486</f>
        <v>-10165.971528099151</v>
      </c>
      <c r="G1347" s="1358">
        <f>+$F1347*G$1939</f>
        <v>0</v>
      </c>
      <c r="H1347" s="1358">
        <f>+$F1347*H$1939</f>
        <v>-10165.971528099151</v>
      </c>
      <c r="I1347" s="1323">
        <f>IF(F1347=0,0,+H1347/F1347)</f>
        <v>1</v>
      </c>
      <c r="J1347" s="1364">
        <f>+H1347</f>
        <v>-10165.971528099151</v>
      </c>
      <c r="K1347" s="1364">
        <f t="shared" ref="K1347:Q1347" si="651">+$J1347*K$1939</f>
        <v>-7417.4309602607673</v>
      </c>
      <c r="L1347" s="1364">
        <f t="shared" si="651"/>
        <v>-597.25040037151518</v>
      </c>
      <c r="M1347" s="1364">
        <f t="shared" si="651"/>
        <v>-2114.5154953183246</v>
      </c>
      <c r="N1347" s="1367">
        <f t="shared" si="651"/>
        <v>0</v>
      </c>
      <c r="O1347" s="1367">
        <f t="shared" si="651"/>
        <v>0</v>
      </c>
      <c r="P1347" s="1367">
        <f t="shared" si="651"/>
        <v>-36.774672148543338</v>
      </c>
      <c r="Q1347" s="1364">
        <f t="shared" si="651"/>
        <v>0</v>
      </c>
      <c r="R1347" s="1358"/>
      <c r="S1347" s="1320">
        <v>106</v>
      </c>
      <c r="V1347" s="1321" t="s">
        <v>5230</v>
      </c>
      <c r="W1347" s="1321">
        <v>106</v>
      </c>
      <c r="Y1347" s="1324"/>
    </row>
    <row r="1348" spans="1:25">
      <c r="A1348" s="1320" t="s">
        <v>2342</v>
      </c>
      <c r="B1348" s="1320">
        <v>907</v>
      </c>
      <c r="C1348" s="1322">
        <v>18</v>
      </c>
      <c r="D1348" s="1320" t="s">
        <v>5242</v>
      </c>
      <c r="E1348" s="1320" t="s">
        <v>4071</v>
      </c>
      <c r="F1348" s="1320">
        <f>+'0 MDS Allocation Assignment'!F487</f>
        <v>-8274.3217102474555</v>
      </c>
      <c r="G1348" s="1480">
        <f>+$F1348*G$2052</f>
        <v>0</v>
      </c>
      <c r="H1348" s="1358">
        <f>+$F1348*H$2052</f>
        <v>-8274.3217102474555</v>
      </c>
      <c r="I1348" s="1323">
        <f>IF(F1348=0,0,+H1348/F1348)</f>
        <v>1</v>
      </c>
      <c r="J1348" s="1364">
        <f>+H1348</f>
        <v>-8274.3217102474555</v>
      </c>
      <c r="K1348" s="1364">
        <f t="shared" ref="K1348:Q1348" si="652">+$J1348*K$2052</f>
        <v>-3050.3843127802602</v>
      </c>
      <c r="L1348" s="1364">
        <f t="shared" si="652"/>
        <v>-462.70319203817832</v>
      </c>
      <c r="M1348" s="1364">
        <f t="shared" si="652"/>
        <v>-223.06885864545771</v>
      </c>
      <c r="N1348" s="1367">
        <f t="shared" si="652"/>
        <v>-14.380165509314905</v>
      </c>
      <c r="O1348" s="1367">
        <f t="shared" si="652"/>
        <v>-15.689364223030321</v>
      </c>
      <c r="P1348" s="1367">
        <f t="shared" si="652"/>
        <v>-3.600896318908231</v>
      </c>
      <c r="Q1348" s="1364">
        <f t="shared" si="652"/>
        <v>-4504.494920732307</v>
      </c>
      <c r="R1348" s="1358"/>
      <c r="S1348" s="1320">
        <v>907</v>
      </c>
      <c r="V1348" s="1321" t="s">
        <v>5243</v>
      </c>
      <c r="W1348" s="1321">
        <v>907</v>
      </c>
      <c r="Y1348" s="1324"/>
    </row>
    <row r="1349" spans="1:25">
      <c r="A1349" s="1320" t="s">
        <v>2342</v>
      </c>
      <c r="C1349" s="1322">
        <v>19</v>
      </c>
      <c r="D1349" s="1320" t="s">
        <v>5741</v>
      </c>
      <c r="F1349" s="1427">
        <f>+SUM(F1346:F1348)</f>
        <v>-36763.698264969818</v>
      </c>
      <c r="G1349" s="1427">
        <f>SUM(G1346:G1348)</f>
        <v>0</v>
      </c>
      <c r="H1349" s="1427">
        <f>SUM(H1346:H1348)</f>
        <v>-36763.698264969818</v>
      </c>
      <c r="I1349" s="1323">
        <f>IF(F1349=0,0,+H1349/F1349)</f>
        <v>1</v>
      </c>
      <c r="J1349" s="1421">
        <f t="shared" ref="J1349:Q1349" si="653">SUM(J1346:J1348)</f>
        <v>-36763.698264969818</v>
      </c>
      <c r="K1349" s="1421">
        <f t="shared" si="653"/>
        <v>-21872.595957383193</v>
      </c>
      <c r="L1349" s="1421">
        <f t="shared" si="653"/>
        <v>-1871.0901985473256</v>
      </c>
      <c r="M1349" s="1421">
        <f t="shared" si="653"/>
        <v>-7768.6503845815796</v>
      </c>
      <c r="N1349" s="1422">
        <f t="shared" si="653"/>
        <v>-585.61911442796884</v>
      </c>
      <c r="O1349" s="1422">
        <f>SUM(O1346:O1348)</f>
        <v>-15.689754253856252</v>
      </c>
      <c r="P1349" s="1422">
        <f>SUM(P1346:P1348)</f>
        <v>-145.55793504359698</v>
      </c>
      <c r="Q1349" s="1421">
        <f t="shared" si="653"/>
        <v>-4504.494920732307</v>
      </c>
      <c r="R1349" s="1358"/>
      <c r="V1349" s="1320" t="s">
        <v>5742</v>
      </c>
      <c r="Y1349" s="1324"/>
    </row>
    <row r="1350" spans="1:25">
      <c r="A1350" s="1320" t="s">
        <v>2342</v>
      </c>
      <c r="C1350" s="1322">
        <v>20</v>
      </c>
      <c r="G1350" s="1320"/>
      <c r="Y1350" s="1324"/>
    </row>
    <row r="1351" spans="1:25">
      <c r="A1351" s="1320" t="s">
        <v>2342</v>
      </c>
      <c r="C1351" s="1322">
        <v>21</v>
      </c>
      <c r="G1351" s="1320"/>
      <c r="Y1351" s="1324"/>
    </row>
    <row r="1352" spans="1:25">
      <c r="A1352" s="1320" t="s">
        <v>2342</v>
      </c>
      <c r="C1352" s="1322">
        <v>22</v>
      </c>
      <c r="D1352" s="1356" t="s">
        <v>5743</v>
      </c>
      <c r="E1352" s="1392"/>
      <c r="G1352" s="1320"/>
      <c r="Y1352" s="1324"/>
    </row>
    <row r="1353" spans="1:25" s="1324" customFormat="1">
      <c r="A1353" s="1324" t="s">
        <v>2342</v>
      </c>
      <c r="C1353" s="1393">
        <v>23</v>
      </c>
      <c r="D1353" s="1324" t="s">
        <v>5265</v>
      </c>
      <c r="E1353" s="1324" t="s">
        <v>4067</v>
      </c>
      <c r="F1353" s="1324">
        <f>+F1332+F1333+F1339</f>
        <v>106807.76069412462</v>
      </c>
      <c r="G1353" s="1324">
        <f>+G1332+G1333+G1339</f>
        <v>0</v>
      </c>
      <c r="H1353" s="1324">
        <f>+H1332+H1333+H1339</f>
        <v>106807.76069412462</v>
      </c>
      <c r="I1353" s="1374">
        <f t="shared" ref="I1353:I1359" si="654">IF(F1353=0,0,+H1353/F1353)</f>
        <v>1</v>
      </c>
      <c r="J1353" s="1324">
        <f>+J1332+J1333+J1339</f>
        <v>106807.76069412462</v>
      </c>
      <c r="K1353" s="1324">
        <f t="shared" ref="K1353:Q1353" si="655">+K1332+K1333+K1339</f>
        <v>61949.893989005606</v>
      </c>
      <c r="L1353" s="1324">
        <f t="shared" si="655"/>
        <v>5110.2413930739249</v>
      </c>
      <c r="M1353" s="1324">
        <f t="shared" si="655"/>
        <v>32667.205903835747</v>
      </c>
      <c r="N1353" s="1324">
        <f t="shared" si="655"/>
        <v>4078.0675194141381</v>
      </c>
      <c r="O1353" s="1324">
        <f t="shared" si="655"/>
        <v>2926.6259759443442</v>
      </c>
      <c r="P1353" s="1324">
        <f t="shared" si="655"/>
        <v>75.725912850862997</v>
      </c>
      <c r="Q1353" s="1324">
        <f t="shared" si="655"/>
        <v>0</v>
      </c>
      <c r="V1353" s="1324" t="s">
        <v>5744</v>
      </c>
    </row>
    <row r="1354" spans="1:25">
      <c r="A1354" s="1320" t="s">
        <v>2342</v>
      </c>
      <c r="C1354" s="1322">
        <v>24</v>
      </c>
      <c r="D1354" s="1320" t="s">
        <v>5265</v>
      </c>
      <c r="E1354" s="1320" t="s">
        <v>2067</v>
      </c>
      <c r="F1354" s="1320">
        <f>+F1334</f>
        <v>3054.4984588409338</v>
      </c>
      <c r="G1354" s="1320">
        <f>+G1334</f>
        <v>0</v>
      </c>
      <c r="H1354" s="1320">
        <f>+H1334</f>
        <v>3054.4984588409338</v>
      </c>
      <c r="I1354" s="1323">
        <f t="shared" si="654"/>
        <v>1</v>
      </c>
      <c r="J1354" s="1324">
        <f t="shared" ref="J1354:Q1354" si="656">+J1334</f>
        <v>3054.4984588409338</v>
      </c>
      <c r="K1354" s="1324">
        <f t="shared" si="656"/>
        <v>1541.4043410314671</v>
      </c>
      <c r="L1354" s="1324">
        <f t="shared" si="656"/>
        <v>142.44380526839257</v>
      </c>
      <c r="M1354" s="1324">
        <f t="shared" si="656"/>
        <v>1061.1510222517572</v>
      </c>
      <c r="N1354" s="1325">
        <f t="shared" si="656"/>
        <v>168.91818074773224</v>
      </c>
      <c r="O1354" s="1325">
        <f>+O1334</f>
        <v>124.44402786791056</v>
      </c>
      <c r="P1354" s="1325">
        <f>+P1334</f>
        <v>16.137081673674079</v>
      </c>
      <c r="Q1354" s="1324">
        <f t="shared" si="656"/>
        <v>0</v>
      </c>
      <c r="V1354" s="1320" t="s">
        <v>5425</v>
      </c>
      <c r="Y1354" s="1324"/>
    </row>
    <row r="1355" spans="1:25" s="1324" customFormat="1">
      <c r="A1355" s="1320" t="s">
        <v>2342</v>
      </c>
      <c r="C1355" s="1393">
        <v>25</v>
      </c>
      <c r="D1355" s="1324" t="s">
        <v>5268</v>
      </c>
      <c r="E1355" s="1324" t="s">
        <v>4067</v>
      </c>
      <c r="F1355" s="1324">
        <f t="shared" ref="F1355:H1356" si="657">+F1340</f>
        <v>7283.8333454800486</v>
      </c>
      <c r="G1355" s="1324">
        <f t="shared" si="657"/>
        <v>471.89666184687519</v>
      </c>
      <c r="H1355" s="1324">
        <f t="shared" si="657"/>
        <v>6811.9366836331728</v>
      </c>
      <c r="I1355" s="1374">
        <f>IF(F1355=0,0,+H1355/F1355)</f>
        <v>0.93521314403222733</v>
      </c>
      <c r="J1355" s="1324">
        <f t="shared" ref="J1355:Q1356" si="658">+J1340</f>
        <v>6811.9366836331728</v>
      </c>
      <c r="K1355" s="1324">
        <f t="shared" si="658"/>
        <v>3951.0121050043435</v>
      </c>
      <c r="L1355" s="1324">
        <f t="shared" si="658"/>
        <v>325.91864656156815</v>
      </c>
      <c r="M1355" s="1324">
        <f t="shared" si="658"/>
        <v>2083.4341699701777</v>
      </c>
      <c r="N1355" s="1324">
        <f t="shared" si="658"/>
        <v>260.08913166324089</v>
      </c>
      <c r="O1355" s="1324">
        <f>+O1340</f>
        <v>186.65301767632388</v>
      </c>
      <c r="P1355" s="1324">
        <f>+P1340</f>
        <v>4.8296127575192029</v>
      </c>
      <c r="Q1355" s="1324">
        <f t="shared" si="658"/>
        <v>0</v>
      </c>
      <c r="V1355" s="1320" t="s">
        <v>5745</v>
      </c>
      <c r="Y1355" s="1320"/>
    </row>
    <row r="1356" spans="1:25">
      <c r="A1356" s="1320" t="s">
        <v>2342</v>
      </c>
      <c r="C1356" s="1322">
        <v>26</v>
      </c>
      <c r="D1356" s="1320" t="s">
        <v>5239</v>
      </c>
      <c r="E1356" s="1320" t="s">
        <v>4067</v>
      </c>
      <c r="F1356" s="1320">
        <f t="shared" si="657"/>
        <v>7158.5366024656287</v>
      </c>
      <c r="G1356" s="1320">
        <f t="shared" si="657"/>
        <v>463.7790798039689</v>
      </c>
      <c r="H1356" s="1320">
        <f t="shared" si="657"/>
        <v>6694.7575226616591</v>
      </c>
      <c r="I1356" s="1323">
        <f>IF(F1356=0,0,+H1356/F1356)</f>
        <v>0.93521314403222733</v>
      </c>
      <c r="J1356" s="1324">
        <f t="shared" si="658"/>
        <v>6694.7575226616591</v>
      </c>
      <c r="K1356" s="1324">
        <f t="shared" si="658"/>
        <v>3883.0466636101096</v>
      </c>
      <c r="L1356" s="1324">
        <f t="shared" si="658"/>
        <v>320.31218318371322</v>
      </c>
      <c r="M1356" s="1324">
        <f t="shared" si="658"/>
        <v>2047.594866213426</v>
      </c>
      <c r="N1356" s="1325">
        <f t="shared" si="658"/>
        <v>255.61506978604606</v>
      </c>
      <c r="O1356" s="1325">
        <f>+O1341</f>
        <v>183.44220626983159</v>
      </c>
      <c r="P1356" s="1325">
        <f>+P1341</f>
        <v>4.7465335985330128</v>
      </c>
      <c r="Q1356" s="1324">
        <f t="shared" si="658"/>
        <v>0</v>
      </c>
      <c r="V1356" s="1320" t="s">
        <v>5746</v>
      </c>
    </row>
    <row r="1357" spans="1:25">
      <c r="A1357" s="1320" t="s">
        <v>2342</v>
      </c>
      <c r="C1357" s="1322">
        <v>27</v>
      </c>
      <c r="D1357" s="1320" t="s">
        <v>5240</v>
      </c>
      <c r="E1357" s="1320" t="s">
        <v>4067</v>
      </c>
      <c r="F1357" s="1320">
        <f>+F1346</f>
        <v>-18323.405026623215</v>
      </c>
      <c r="G1357" s="1320">
        <f t="shared" ref="G1357:H1359" si="659">+G1346</f>
        <v>0</v>
      </c>
      <c r="H1357" s="1320">
        <f t="shared" si="659"/>
        <v>-18323.405026623215</v>
      </c>
      <c r="I1357" s="1323">
        <f t="shared" si="654"/>
        <v>1</v>
      </c>
      <c r="J1357" s="1324">
        <f t="shared" ref="J1357:Q1359" si="660">+J1346</f>
        <v>-18323.405026623215</v>
      </c>
      <c r="K1357" s="1324">
        <f t="shared" si="660"/>
        <v>-11404.780684342166</v>
      </c>
      <c r="L1357" s="1324">
        <f t="shared" si="660"/>
        <v>-811.13660613763204</v>
      </c>
      <c r="M1357" s="1324">
        <f t="shared" si="660"/>
        <v>-5431.066030617797</v>
      </c>
      <c r="N1357" s="1325">
        <f t="shared" si="660"/>
        <v>-571.23894891865393</v>
      </c>
      <c r="O1357" s="1325">
        <f t="shared" si="660"/>
        <v>-3.9003082593205835E-4</v>
      </c>
      <c r="P1357" s="1325">
        <f t="shared" si="660"/>
        <v>-105.18236657614541</v>
      </c>
      <c r="Q1357" s="1324">
        <f t="shared" si="660"/>
        <v>0</v>
      </c>
      <c r="V1357" s="1320" t="s">
        <v>5747</v>
      </c>
    </row>
    <row r="1358" spans="1:25">
      <c r="A1358" s="1320" t="s">
        <v>2342</v>
      </c>
      <c r="C1358" s="1322">
        <v>28</v>
      </c>
      <c r="D1358" s="1320" t="s">
        <v>5241</v>
      </c>
      <c r="E1358" s="1320" t="s">
        <v>4067</v>
      </c>
      <c r="F1358" s="1320">
        <f>+F1347</f>
        <v>-10165.971528099151</v>
      </c>
      <c r="G1358" s="1320">
        <f t="shared" si="659"/>
        <v>0</v>
      </c>
      <c r="H1358" s="1320">
        <f t="shared" si="659"/>
        <v>-10165.971528099151</v>
      </c>
      <c r="I1358" s="1323">
        <f t="shared" si="654"/>
        <v>1</v>
      </c>
      <c r="J1358" s="1324">
        <f t="shared" si="660"/>
        <v>-10165.971528099151</v>
      </c>
      <c r="K1358" s="1324">
        <f t="shared" si="660"/>
        <v>-7417.4309602607673</v>
      </c>
      <c r="L1358" s="1324">
        <f t="shared" si="660"/>
        <v>-597.25040037151518</v>
      </c>
      <c r="M1358" s="1324">
        <f t="shared" si="660"/>
        <v>-2114.5154953183246</v>
      </c>
      <c r="N1358" s="1325">
        <f t="shared" si="660"/>
        <v>0</v>
      </c>
      <c r="O1358" s="1325">
        <f t="shared" si="660"/>
        <v>0</v>
      </c>
      <c r="P1358" s="1325">
        <f t="shared" si="660"/>
        <v>-36.774672148543338</v>
      </c>
      <c r="Q1358" s="1324">
        <f t="shared" si="660"/>
        <v>0</v>
      </c>
      <c r="V1358" s="1320" t="s">
        <v>5337</v>
      </c>
    </row>
    <row r="1359" spans="1:25">
      <c r="A1359" s="1320" t="s">
        <v>2342</v>
      </c>
      <c r="C1359" s="1322">
        <v>29</v>
      </c>
      <c r="D1359" s="1320" t="s">
        <v>5242</v>
      </c>
      <c r="E1359" s="1320" t="s">
        <v>4071</v>
      </c>
      <c r="F1359" s="1320">
        <f>+F1348</f>
        <v>-8274.3217102474555</v>
      </c>
      <c r="G1359" s="1481">
        <f t="shared" si="659"/>
        <v>0</v>
      </c>
      <c r="H1359" s="1320">
        <f t="shared" si="659"/>
        <v>-8274.3217102474555</v>
      </c>
      <c r="I1359" s="1323">
        <f t="shared" si="654"/>
        <v>1</v>
      </c>
      <c r="J1359" s="1324">
        <f t="shared" si="660"/>
        <v>-8274.3217102474555</v>
      </c>
      <c r="K1359" s="1324">
        <f t="shared" si="660"/>
        <v>-3050.3843127802602</v>
      </c>
      <c r="L1359" s="1324">
        <f t="shared" si="660"/>
        <v>-462.70319203817832</v>
      </c>
      <c r="M1359" s="1324">
        <f t="shared" si="660"/>
        <v>-223.06885864545771</v>
      </c>
      <c r="N1359" s="1325">
        <f t="shared" si="660"/>
        <v>-14.380165509314905</v>
      </c>
      <c r="O1359" s="1325">
        <f t="shared" si="660"/>
        <v>-15.689364223030321</v>
      </c>
      <c r="P1359" s="1325">
        <f t="shared" si="660"/>
        <v>-3.600896318908231</v>
      </c>
      <c r="Q1359" s="1324">
        <f t="shared" si="660"/>
        <v>-4504.494920732307</v>
      </c>
      <c r="V1359" s="1320" t="s">
        <v>5427</v>
      </c>
      <c r="Y1359" s="1324"/>
    </row>
    <row r="1360" spans="1:25">
      <c r="A1360" s="1320" t="s">
        <v>2342</v>
      </c>
      <c r="B1360" s="1321"/>
      <c r="C1360" s="1322">
        <v>30</v>
      </c>
      <c r="D1360" s="1320" t="s">
        <v>5244</v>
      </c>
      <c r="E1360" s="1320" t="s">
        <v>4071</v>
      </c>
      <c r="F1360" s="1554">
        <v>0</v>
      </c>
      <c r="G1360" s="1350">
        <v>0</v>
      </c>
      <c r="H1360" s="1350">
        <v>0</v>
      </c>
      <c r="I1360" s="1323">
        <f>IF(F1360=0,0,+H1360/F1360)</f>
        <v>0</v>
      </c>
      <c r="J1360" s="1366">
        <v>0</v>
      </c>
      <c r="K1360" s="1366">
        <v>0</v>
      </c>
      <c r="L1360" s="1366">
        <v>0</v>
      </c>
      <c r="M1360" s="1366">
        <v>0</v>
      </c>
      <c r="N1360" s="1378">
        <v>0</v>
      </c>
      <c r="O1360" s="1378">
        <v>0</v>
      </c>
      <c r="P1360" s="1378">
        <v>0</v>
      </c>
      <c r="Q1360" s="1366">
        <v>0</v>
      </c>
      <c r="R1360" s="1358"/>
      <c r="S1360" s="1321"/>
      <c r="T1360" s="1321"/>
      <c r="U1360" s="1326"/>
      <c r="V1360" s="1320" t="s">
        <v>5343</v>
      </c>
      <c r="Y1360" s="1324"/>
    </row>
    <row r="1361" spans="1:25">
      <c r="A1361" s="1320" t="s">
        <v>2342</v>
      </c>
      <c r="C1361" s="1322">
        <v>31</v>
      </c>
      <c r="D1361" s="1320" t="s">
        <v>5748</v>
      </c>
      <c r="F1361" s="1350">
        <f>+SUM(F1353:F1360)</f>
        <v>87540.930835941399</v>
      </c>
      <c r="G1361" s="1350">
        <f>SUM(G1353:G1360)</f>
        <v>935.67574165084409</v>
      </c>
      <c r="H1361" s="1350">
        <f>SUM(H1353:H1360)</f>
        <v>86605.255094290565</v>
      </c>
      <c r="I1361" s="1323">
        <f>IF(F1361=0,0,+H1361/F1361)</f>
        <v>0.98931156280021326</v>
      </c>
      <c r="J1361" s="1366">
        <f t="shared" ref="J1361:Q1361" si="661">SUM(J1353:J1360)</f>
        <v>86605.255094290565</v>
      </c>
      <c r="K1361" s="1366">
        <f t="shared" si="661"/>
        <v>49452.761141268333</v>
      </c>
      <c r="L1361" s="1366">
        <f t="shared" si="661"/>
        <v>4027.8258295402743</v>
      </c>
      <c r="M1361" s="1366">
        <f t="shared" si="661"/>
        <v>30090.735577689535</v>
      </c>
      <c r="N1361" s="1378">
        <f t="shared" si="661"/>
        <v>4177.0707871831883</v>
      </c>
      <c r="O1361" s="1378">
        <f>SUM(O1353:O1360)</f>
        <v>3405.4754735045544</v>
      </c>
      <c r="P1361" s="1378">
        <f>SUM(P1353:P1360)</f>
        <v>-44.118794163007692</v>
      </c>
      <c r="Q1361" s="1366">
        <f t="shared" si="661"/>
        <v>-4504.494920732307</v>
      </c>
      <c r="R1361" s="1358"/>
      <c r="V1361" s="1320" t="s">
        <v>5749</v>
      </c>
      <c r="Y1361" s="1324"/>
    </row>
    <row r="1362" spans="1:25">
      <c r="F1362" s="1358"/>
      <c r="G1362" s="1358"/>
      <c r="H1362" s="1358"/>
      <c r="J1362" s="1364"/>
      <c r="K1362" s="1364"/>
      <c r="L1362" s="1364"/>
      <c r="M1362" s="1367"/>
      <c r="N1362" s="1367"/>
      <c r="O1362" s="1367"/>
      <c r="P1362" s="1364"/>
      <c r="Q1362" s="1364"/>
      <c r="R1362" s="1358"/>
      <c r="Y1362" s="1324"/>
    </row>
    <row r="1363" spans="1:25">
      <c r="F1363" s="1358"/>
      <c r="G1363" s="1358"/>
      <c r="H1363" s="1358"/>
      <c r="J1363" s="1364"/>
      <c r="K1363" s="1364"/>
      <c r="L1363" s="1364"/>
      <c r="M1363" s="1367"/>
      <c r="N1363" s="1367"/>
      <c r="O1363" s="1367"/>
      <c r="P1363" s="1364"/>
      <c r="Q1363" s="1364"/>
      <c r="R1363" s="1358"/>
      <c r="Y1363" s="1324"/>
    </row>
    <row r="1364" spans="1:25">
      <c r="F1364" s="1358"/>
      <c r="G1364" s="1358"/>
      <c r="H1364" s="1358"/>
      <c r="J1364" s="1364"/>
      <c r="K1364" s="1364"/>
      <c r="L1364" s="1364"/>
      <c r="M1364" s="1367"/>
      <c r="N1364" s="1367"/>
      <c r="O1364" s="1367"/>
      <c r="P1364" s="1364"/>
      <c r="Q1364" s="1364"/>
      <c r="R1364" s="1358"/>
      <c r="Y1364" s="1324"/>
    </row>
    <row r="1365" spans="1:25">
      <c r="F1365" s="1358"/>
      <c r="G1365" s="1358"/>
      <c r="H1365" s="1358"/>
      <c r="J1365" s="1364"/>
      <c r="K1365" s="1364"/>
      <c r="L1365" s="1364"/>
      <c r="M1365" s="1367"/>
      <c r="N1365" s="1367"/>
      <c r="O1365" s="1367"/>
      <c r="P1365" s="1364"/>
      <c r="Q1365" s="1364"/>
      <c r="R1365" s="1358"/>
      <c r="Y1365" s="1324"/>
    </row>
    <row r="1366" spans="1:25">
      <c r="F1366" s="1358"/>
      <c r="G1366" s="1358"/>
      <c r="H1366" s="1358"/>
      <c r="J1366" s="1364"/>
      <c r="K1366" s="1364"/>
      <c r="L1366" s="1364"/>
      <c r="M1366" s="1367"/>
      <c r="N1366" s="1367"/>
      <c r="O1366" s="1367"/>
      <c r="P1366" s="1364"/>
      <c r="Q1366" s="1364"/>
      <c r="R1366" s="1358"/>
      <c r="Y1366" s="1324"/>
    </row>
    <row r="1367" spans="1:25">
      <c r="B1367" s="1432"/>
      <c r="C1367" s="1340" t="str">
        <f>+C$2</f>
        <v>RATES WITH REVENUE DEFICIENCY ADDITION</v>
      </c>
      <c r="F1367" s="1333"/>
      <c r="G1367" s="1327" t="s">
        <v>2173</v>
      </c>
      <c r="H1367" s="1358"/>
      <c r="I1367" s="1334" t="s">
        <v>5731</v>
      </c>
      <c r="L1367" s="1329" t="s">
        <v>2173</v>
      </c>
      <c r="M1367" s="1330"/>
      <c r="N1367" s="1330"/>
      <c r="O1367" s="1330"/>
      <c r="S1367" s="1334" t="s">
        <v>5750</v>
      </c>
      <c r="T1367" s="1333" t="s">
        <v>2173</v>
      </c>
      <c r="U1367" s="1431"/>
      <c r="V1367" s="1332" t="s">
        <v>4772</v>
      </c>
      <c r="Y1367" s="1324"/>
    </row>
    <row r="1368" spans="1:25">
      <c r="B1368" s="1432"/>
      <c r="C1368" s="1340" t="str">
        <f>+C$3</f>
        <v>PROD. CAP. ALLOC. METHOD: 12 CP &amp; 1/13th AD</v>
      </c>
      <c r="G1368" s="1336" t="s">
        <v>4768</v>
      </c>
      <c r="I1368" s="1335" t="s">
        <v>4313</v>
      </c>
      <c r="L1368" s="1336" t="s">
        <v>5141</v>
      </c>
      <c r="M1368" s="1337"/>
      <c r="N1368" s="1337"/>
      <c r="O1368" s="1337"/>
      <c r="R1368" s="1331"/>
      <c r="S1368" s="1335" t="s">
        <v>4958</v>
      </c>
      <c r="T1368" s="1333" t="s">
        <v>5141</v>
      </c>
      <c r="V1368" s="1332" t="s">
        <v>5750</v>
      </c>
      <c r="Y1368" s="1324"/>
    </row>
    <row r="1369" spans="1:25">
      <c r="C1369" s="1340" t="str">
        <f>+C$4</f>
        <v>PROJECTED CALENDAR YEAR 2025; FULLY ADJUSTED DATA</v>
      </c>
      <c r="G1369" s="1336" t="s">
        <v>2181</v>
      </c>
      <c r="L1369" s="1336" t="s">
        <v>2181</v>
      </c>
      <c r="P1369" s="1364"/>
      <c r="Q1369" s="1364"/>
      <c r="R1369" s="1358"/>
      <c r="T1369" s="1339"/>
      <c r="Y1369" s="1324"/>
    </row>
    <row r="1370" spans="1:25">
      <c r="C1370" s="1340" t="str">
        <f>+C$5</f>
        <v>MINIMUM DISTRIBUTION SYSTEM (MDS) NOT EMPLOYED</v>
      </c>
      <c r="G1370" s="1358"/>
      <c r="H1370" s="1358"/>
      <c r="J1370" s="1364"/>
      <c r="K1370" s="1364"/>
      <c r="P1370" s="1364"/>
      <c r="Q1370" s="1364"/>
      <c r="R1370" s="1358"/>
      <c r="T1370" s="1333"/>
    </row>
    <row r="1371" spans="1:25">
      <c r="C1371" s="1340" t="str">
        <f>+C$6</f>
        <v>Tampa Electric 2025 OB Budget</v>
      </c>
      <c r="F1371" s="1327"/>
      <c r="G1371" s="1333" t="s">
        <v>5732</v>
      </c>
      <c r="H1371" s="1358"/>
      <c r="J1371" s="1364"/>
      <c r="K1371" s="1364"/>
      <c r="L1371" s="1336" t="s">
        <v>5732</v>
      </c>
      <c r="M1371" s="1337"/>
      <c r="N1371" s="1337"/>
      <c r="O1371" s="1337"/>
      <c r="P1371" s="1364"/>
      <c r="Q1371" s="1364"/>
      <c r="R1371" s="1358"/>
      <c r="T1371" s="1333" t="s">
        <v>5732</v>
      </c>
    </row>
    <row r="1372" spans="1:25">
      <c r="F1372" s="1333"/>
      <c r="G1372" s="1358"/>
      <c r="H1372" s="1358"/>
      <c r="J1372" s="1364"/>
      <c r="K1372" s="1364"/>
      <c r="P1372" s="1364"/>
      <c r="Q1372" s="1364"/>
      <c r="R1372" s="1358"/>
      <c r="Y1372" s="1324"/>
    </row>
    <row r="1373" spans="1:25">
      <c r="F1373" s="1333"/>
      <c r="G1373" s="1358"/>
      <c r="H1373" s="1358"/>
      <c r="J1373" s="1364"/>
      <c r="K1373" s="1364"/>
      <c r="L1373" s="1336"/>
      <c r="M1373" s="1337"/>
      <c r="N1373" s="1337"/>
      <c r="O1373" s="1337"/>
      <c r="P1373" s="1364"/>
      <c r="Q1373" s="1364"/>
      <c r="R1373" s="1358"/>
      <c r="Y1373" s="1324"/>
    </row>
    <row r="1374" spans="1:25">
      <c r="F1374" s="1358"/>
      <c r="G1374" s="1358"/>
      <c r="H1374" s="1358"/>
      <c r="J1374" s="1364"/>
      <c r="K1374" s="1364"/>
      <c r="L1374" s="1336"/>
      <c r="M1374" s="1337"/>
      <c r="N1374" s="1337"/>
      <c r="O1374" s="1337"/>
      <c r="P1374" s="1364"/>
      <c r="Q1374" s="1364"/>
      <c r="R1374" s="1358"/>
    </row>
    <row r="1375" spans="1:25">
      <c r="F1375" s="1358"/>
      <c r="G1375" s="1358"/>
      <c r="H1375" s="1358"/>
      <c r="J1375" s="1364"/>
      <c r="K1375" s="1364"/>
      <c r="L1375" s="1364"/>
      <c r="M1375" s="1367"/>
      <c r="N1375" s="1367"/>
      <c r="O1375" s="1367"/>
      <c r="P1375" s="1364"/>
      <c r="Q1375" s="1364"/>
      <c r="R1375" s="1358"/>
    </row>
    <row r="1376" spans="1:25" ht="30" customHeight="1">
      <c r="A1376" s="1418" t="s">
        <v>4683</v>
      </c>
      <c r="B1376" s="1425" t="s">
        <v>5143</v>
      </c>
      <c r="C1376" s="1349" t="s">
        <v>4297</v>
      </c>
      <c r="D1376" s="1418"/>
      <c r="E1376" s="1418"/>
      <c r="F1376" s="1348" t="s">
        <v>5144</v>
      </c>
      <c r="G1376" s="1348" t="s">
        <v>4956</v>
      </c>
      <c r="H1376" s="1348" t="s">
        <v>4957</v>
      </c>
      <c r="I1376" s="1426" t="s">
        <v>5145</v>
      </c>
      <c r="J1376" s="1352" t="s">
        <v>4957</v>
      </c>
      <c r="K1376" s="1353" t="s">
        <v>1949</v>
      </c>
      <c r="L1376" s="1353" t="s">
        <v>1950</v>
      </c>
      <c r="M1376" s="1354" t="s">
        <v>1934</v>
      </c>
      <c r="N1376" s="1354" t="s">
        <v>1971</v>
      </c>
      <c r="O1376" s="1354" t="s">
        <v>1972</v>
      </c>
      <c r="P1376" s="1352" t="s">
        <v>5146</v>
      </c>
      <c r="Q1376" s="1352" t="s">
        <v>5147</v>
      </c>
      <c r="R1376" s="1355"/>
      <c r="S1376" s="1348" t="s">
        <v>5299</v>
      </c>
      <c r="T1376" s="1348"/>
      <c r="U1376" s="1352"/>
      <c r="V1376" s="1355" t="s">
        <v>4774</v>
      </c>
      <c r="W1376" s="1350"/>
    </row>
    <row r="1377" spans="1:25">
      <c r="G1377" s="1320"/>
    </row>
    <row r="1378" spans="1:25">
      <c r="A1378" s="1320" t="s">
        <v>2342</v>
      </c>
      <c r="C1378" s="1322">
        <v>32</v>
      </c>
      <c r="D1378" s="1356" t="s">
        <v>5751</v>
      </c>
      <c r="G1378" s="1320"/>
    </row>
    <row r="1379" spans="1:25" s="1324" customFormat="1">
      <c r="A1379" s="1324" t="s">
        <v>2342</v>
      </c>
      <c r="B1379" s="1324">
        <v>101</v>
      </c>
      <c r="C1379" s="1393">
        <v>33</v>
      </c>
      <c r="D1379" s="1324" t="s">
        <v>5265</v>
      </c>
      <c r="E1379" s="1324" t="s">
        <v>4067</v>
      </c>
      <c r="F1379" s="1364">
        <f>+'0 MDS Allocation Assignment'!F488</f>
        <v>48111.724254037937</v>
      </c>
      <c r="G1379" s="1364">
        <f>+$F1379*G$1933</f>
        <v>0</v>
      </c>
      <c r="H1379" s="1364">
        <f>+$F1379*H$1933</f>
        <v>48111.724254037937</v>
      </c>
      <c r="I1379" s="1374">
        <f t="shared" ref="I1379:I1387" si="662">IF(F1379=0,0,+H1379/F1379)</f>
        <v>1</v>
      </c>
      <c r="J1379" s="1364">
        <f t="shared" ref="J1379:J1386" si="663">+H1379</f>
        <v>48111.724254037937</v>
      </c>
      <c r="K1379" s="1324">
        <f t="shared" ref="K1379:Q1379" si="664">$J1379*K$1951</f>
        <v>27905.427450178489</v>
      </c>
      <c r="L1379" s="1324">
        <f t="shared" si="664"/>
        <v>2301.9162950082145</v>
      </c>
      <c r="M1379" s="1324">
        <f t="shared" si="664"/>
        <v>14714.99441970495</v>
      </c>
      <c r="N1379" s="1324">
        <f t="shared" si="664"/>
        <v>1836.9719457492045</v>
      </c>
      <c r="O1379" s="1324">
        <f t="shared" si="664"/>
        <v>1318.3032865240521</v>
      </c>
      <c r="P1379" s="1324">
        <f t="shared" si="664"/>
        <v>34.1108568730291</v>
      </c>
      <c r="Q1379" s="1324">
        <f t="shared" si="664"/>
        <v>0</v>
      </c>
      <c r="S1379" s="1324">
        <v>122</v>
      </c>
      <c r="V1379" s="1326" t="s">
        <v>5227</v>
      </c>
      <c r="W1379" s="1326">
        <v>122</v>
      </c>
    </row>
    <row r="1380" spans="1:25">
      <c r="A1380" s="1320" t="s">
        <v>2342</v>
      </c>
      <c r="B1380" s="1320">
        <v>201</v>
      </c>
      <c r="C1380" s="1322">
        <v>34</v>
      </c>
      <c r="D1380" s="1320" t="s">
        <v>5265</v>
      </c>
      <c r="E1380" s="1320" t="s">
        <v>2067</v>
      </c>
      <c r="F1380" s="1364">
        <f>+'0 MDS Allocation Assignment'!F489</f>
        <v>12701.786352034356</v>
      </c>
      <c r="G1380" s="1364">
        <f>+$F1380*G$1966</f>
        <v>0</v>
      </c>
      <c r="H1380" s="1364">
        <f>+$F1380*H$1966</f>
        <v>12701.786352034356</v>
      </c>
      <c r="I1380" s="1323">
        <f t="shared" si="662"/>
        <v>1</v>
      </c>
      <c r="J1380" s="1324">
        <f t="shared" si="663"/>
        <v>12701.786352034356</v>
      </c>
      <c r="K1380" s="1364">
        <f t="shared" ref="K1380:Q1380" si="665">+$J1380*K$1966</f>
        <v>6409.7556065912468</v>
      </c>
      <c r="L1380" s="1364">
        <f t="shared" si="665"/>
        <v>592.33645263532571</v>
      </c>
      <c r="M1380" s="1364">
        <f t="shared" si="665"/>
        <v>4412.6765010709032</v>
      </c>
      <c r="N1380" s="1367">
        <f t="shared" si="665"/>
        <v>702.42714859518287</v>
      </c>
      <c r="O1380" s="1367">
        <f t="shared" si="665"/>
        <v>517.48641423921697</v>
      </c>
      <c r="P1380" s="1367">
        <f t="shared" si="665"/>
        <v>67.104228902480898</v>
      </c>
      <c r="Q1380" s="1364">
        <f t="shared" si="665"/>
        <v>0</v>
      </c>
      <c r="R1380" s="1358"/>
      <c r="S1380" s="1320">
        <v>201</v>
      </c>
      <c r="V1380" s="1321" t="s">
        <v>5235</v>
      </c>
      <c r="W1380" s="1321">
        <v>201</v>
      </c>
      <c r="Y1380" s="1324"/>
    </row>
    <row r="1381" spans="1:25">
      <c r="A1381" s="1320" t="s">
        <v>2342</v>
      </c>
      <c r="B1381" s="1320">
        <v>117</v>
      </c>
      <c r="C1381" s="1322">
        <v>35</v>
      </c>
      <c r="D1381" s="1320" t="s">
        <v>5268</v>
      </c>
      <c r="E1381" s="1320" t="s">
        <v>4067</v>
      </c>
      <c r="F1381" s="1364">
        <f>+'0 MDS Allocation Assignment'!F490</f>
        <v>2038.6837451197048</v>
      </c>
      <c r="G1381" s="1358">
        <f>+$F1381*G$1942</f>
        <v>132.07991015890954</v>
      </c>
      <c r="H1381" s="1358">
        <f>+$F1381*H$1942</f>
        <v>1906.603834960795</v>
      </c>
      <c r="I1381" s="1323">
        <f t="shared" si="662"/>
        <v>0.93521314403222733</v>
      </c>
      <c r="J1381" s="1364">
        <f t="shared" si="663"/>
        <v>1906.603834960795</v>
      </c>
      <c r="K1381" s="1364">
        <f t="shared" ref="K1381:Q1382" si="666">+$J1381*K$1945</f>
        <v>1105.8550866271473</v>
      </c>
      <c r="L1381" s="1364">
        <f t="shared" si="666"/>
        <v>91.221890378477923</v>
      </c>
      <c r="M1381" s="1364">
        <f t="shared" si="666"/>
        <v>583.13571643987575</v>
      </c>
      <c r="N1381" s="1367">
        <f t="shared" si="666"/>
        <v>72.796762343990991</v>
      </c>
      <c r="O1381" s="1367">
        <f t="shared" si="666"/>
        <v>52.242611145187233</v>
      </c>
      <c r="P1381" s="1367">
        <f t="shared" si="666"/>
        <v>1.351768026115957</v>
      </c>
      <c r="Q1381" s="1364">
        <f t="shared" si="666"/>
        <v>0</v>
      </c>
      <c r="R1381" s="1358"/>
      <c r="S1381" s="1320">
        <v>117</v>
      </c>
      <c r="V1381" s="1321" t="s">
        <v>5228</v>
      </c>
      <c r="W1381" s="1321">
        <v>117</v>
      </c>
      <c r="Y1381" s="1324"/>
    </row>
    <row r="1382" spans="1:25">
      <c r="A1382" s="1320" t="s">
        <v>2342</v>
      </c>
      <c r="B1382" s="1320">
        <v>117</v>
      </c>
      <c r="C1382" s="1322">
        <v>36</v>
      </c>
      <c r="D1382" s="1320" t="s">
        <v>5239</v>
      </c>
      <c r="E1382" s="1320" t="s">
        <v>4067</v>
      </c>
      <c r="F1382" s="1364">
        <f>+'0 MDS Allocation Assignment'!F491</f>
        <v>5731.826724745003</v>
      </c>
      <c r="G1382" s="1358">
        <f>+$F1382*G$1942</f>
        <v>371.34703244828427</v>
      </c>
      <c r="H1382" s="1358">
        <f>+$F1382*H$1942</f>
        <v>5360.479692296718</v>
      </c>
      <c r="I1382" s="1323">
        <f t="shared" si="662"/>
        <v>0.93521314403222722</v>
      </c>
      <c r="J1382" s="1364">
        <f t="shared" si="663"/>
        <v>5360.479692296718</v>
      </c>
      <c r="K1382" s="1364">
        <f t="shared" si="666"/>
        <v>3109.1481228504636</v>
      </c>
      <c r="L1382" s="1364">
        <f t="shared" si="666"/>
        <v>256.4733595413141</v>
      </c>
      <c r="M1382" s="1364">
        <f t="shared" si="666"/>
        <v>1639.5053385031756</v>
      </c>
      <c r="N1382" s="1367">
        <f t="shared" si="666"/>
        <v>204.67050315040314</v>
      </c>
      <c r="O1382" s="1367">
        <f t="shared" si="666"/>
        <v>146.88182777209659</v>
      </c>
      <c r="P1382" s="1367">
        <f t="shared" si="666"/>
        <v>3.8005404792651154</v>
      </c>
      <c r="Q1382" s="1364">
        <f t="shared" si="666"/>
        <v>0</v>
      </c>
      <c r="R1382" s="1358"/>
      <c r="S1382" s="1320">
        <v>117</v>
      </c>
      <c r="V1382" s="1321" t="s">
        <v>5228</v>
      </c>
      <c r="W1382" s="1321">
        <v>117</v>
      </c>
      <c r="Y1382" s="1324"/>
    </row>
    <row r="1383" spans="1:25">
      <c r="A1383" s="1320" t="s">
        <v>2342</v>
      </c>
      <c r="B1383" s="1320">
        <v>105</v>
      </c>
      <c r="C1383" s="1322">
        <v>37</v>
      </c>
      <c r="D1383" s="1320" t="s">
        <v>5240</v>
      </c>
      <c r="E1383" s="1320" t="s">
        <v>4067</v>
      </c>
      <c r="F1383" s="1364">
        <f>+'0 MDS Allocation Assignment'!F492</f>
        <v>28148.805387917426</v>
      </c>
      <c r="G1383" s="1358">
        <f>+$F1383*G$1936</f>
        <v>0</v>
      </c>
      <c r="H1383" s="1358">
        <f>+$F1383*H$1936</f>
        <v>28148.805387917426</v>
      </c>
      <c r="I1383" s="1323">
        <f t="shared" si="662"/>
        <v>1</v>
      </c>
      <c r="J1383" s="1364">
        <f t="shared" si="663"/>
        <v>28148.805387917426</v>
      </c>
      <c r="K1383" s="1364">
        <f t="shared" ref="K1383:Q1383" si="667">+$J1383*K$1936</f>
        <v>17520.267194278655</v>
      </c>
      <c r="L1383" s="1364">
        <f t="shared" si="667"/>
        <v>1246.0853447276438</v>
      </c>
      <c r="M1383" s="1364">
        <f t="shared" si="667"/>
        <v>8343.3194061182166</v>
      </c>
      <c r="N1383" s="1367">
        <f t="shared" si="667"/>
        <v>877.54944999286465</v>
      </c>
      <c r="O1383" s="1367">
        <f t="shared" si="667"/>
        <v>5.9917366878581128E-4</v>
      </c>
      <c r="P1383" s="1367">
        <f t="shared" si="667"/>
        <v>161.58339362638321</v>
      </c>
      <c r="Q1383" s="1364">
        <f t="shared" si="667"/>
        <v>0</v>
      </c>
      <c r="R1383" s="1358"/>
      <c r="S1383" s="1320">
        <v>105</v>
      </c>
      <c r="V1383" s="1321" t="s">
        <v>5229</v>
      </c>
      <c r="W1383" s="1321">
        <v>105</v>
      </c>
      <c r="Y1383" s="1324"/>
    </row>
    <row r="1384" spans="1:25">
      <c r="A1384" s="1320" t="s">
        <v>2342</v>
      </c>
      <c r="B1384" s="1320">
        <v>106</v>
      </c>
      <c r="C1384" s="1322">
        <v>38</v>
      </c>
      <c r="D1384" s="1320" t="s">
        <v>5241</v>
      </c>
      <c r="E1384" s="1320" t="s">
        <v>4067</v>
      </c>
      <c r="F1384" s="1364">
        <f>+'0 MDS Allocation Assignment'!F493</f>
        <v>4855.8763939134333</v>
      </c>
      <c r="G1384" s="1358">
        <f>+$F1384*G$1939</f>
        <v>0</v>
      </c>
      <c r="H1384" s="1358">
        <f>+$F1384*H$1939</f>
        <v>4855.8763939134333</v>
      </c>
      <c r="I1384" s="1323">
        <f t="shared" si="662"/>
        <v>1</v>
      </c>
      <c r="J1384" s="1364">
        <f t="shared" si="663"/>
        <v>4855.8763939134333</v>
      </c>
      <c r="K1384" s="1364">
        <f t="shared" ref="K1384:Q1384" si="668">+$J1384*K$1939</f>
        <v>3543.0089297277063</v>
      </c>
      <c r="L1384" s="1364">
        <f t="shared" si="668"/>
        <v>285.28253422736731</v>
      </c>
      <c r="M1384" s="1364">
        <f t="shared" si="668"/>
        <v>1010.0191457254964</v>
      </c>
      <c r="N1384" s="1367">
        <f t="shared" si="668"/>
        <v>0</v>
      </c>
      <c r="O1384" s="1367">
        <f t="shared" si="668"/>
        <v>0</v>
      </c>
      <c r="P1384" s="1367">
        <f t="shared" si="668"/>
        <v>17.565784232862917</v>
      </c>
      <c r="Q1384" s="1364">
        <f t="shared" si="668"/>
        <v>0</v>
      </c>
      <c r="R1384" s="1358"/>
      <c r="S1384" s="1320">
        <v>106</v>
      </c>
      <c r="V1384" s="1321" t="s">
        <v>5230</v>
      </c>
      <c r="W1384" s="1321">
        <v>106</v>
      </c>
      <c r="Y1384" s="1324"/>
    </row>
    <row r="1385" spans="1:25">
      <c r="A1385" s="1320" t="s">
        <v>2342</v>
      </c>
      <c r="B1385" s="1320">
        <v>907</v>
      </c>
      <c r="C1385" s="1322">
        <v>39</v>
      </c>
      <c r="D1385" s="1320" t="s">
        <v>5242</v>
      </c>
      <c r="E1385" s="1320" t="s">
        <v>4071</v>
      </c>
      <c r="F1385" s="1364">
        <f>+'0 MDS Allocation Assignment'!F494</f>
        <v>18043.691319922516</v>
      </c>
      <c r="G1385" s="1358">
        <f>+$F1385*G$2052</f>
        <v>0</v>
      </c>
      <c r="H1385" s="1358">
        <f>+$F1385*H$2052</f>
        <v>18043.691319922516</v>
      </c>
      <c r="I1385" s="1323">
        <f t="shared" si="662"/>
        <v>1</v>
      </c>
      <c r="J1385" s="1364">
        <f t="shared" si="663"/>
        <v>18043.691319922516</v>
      </c>
      <c r="K1385" s="1364">
        <f t="shared" ref="K1385:Q1385" si="669">+$J1385*K$2052</f>
        <v>6651.9280823678455</v>
      </c>
      <c r="L1385" s="1364">
        <f t="shared" si="669"/>
        <v>1009.0100267119096</v>
      </c>
      <c r="M1385" s="1364">
        <f t="shared" si="669"/>
        <v>486.44297012300905</v>
      </c>
      <c r="N1385" s="1367">
        <f t="shared" si="669"/>
        <v>31.358614840673706</v>
      </c>
      <c r="O1385" s="1367">
        <f t="shared" si="669"/>
        <v>34.213565166990435</v>
      </c>
      <c r="P1385" s="1367">
        <f t="shared" si="669"/>
        <v>7.852421494919402</v>
      </c>
      <c r="Q1385" s="1364">
        <f t="shared" si="669"/>
        <v>9822.885639217171</v>
      </c>
      <c r="R1385" s="1358"/>
      <c r="S1385" s="1320">
        <v>907</v>
      </c>
      <c r="V1385" s="1321" t="s">
        <v>5243</v>
      </c>
      <c r="W1385" s="1321">
        <v>907</v>
      </c>
      <c r="Y1385" s="1324"/>
    </row>
    <row r="1386" spans="1:25">
      <c r="A1386" s="1320" t="s">
        <v>2342</v>
      </c>
      <c r="B1386" s="1324">
        <v>412</v>
      </c>
      <c r="C1386" s="1393">
        <v>40</v>
      </c>
      <c r="D1386" s="1324" t="s">
        <v>5244</v>
      </c>
      <c r="E1386" s="1324" t="s">
        <v>4071</v>
      </c>
      <c r="F1386" s="1364">
        <f>+'0 MDS Allocation Assignment'!F495</f>
        <v>24440.601398676023</v>
      </c>
      <c r="G1386" s="1364">
        <f>+$F1386*G$2018</f>
        <v>0</v>
      </c>
      <c r="H1386" s="1364">
        <f>+$F1386*H$2018</f>
        <v>24440.601398676023</v>
      </c>
      <c r="I1386" s="1323">
        <f t="shared" si="662"/>
        <v>1</v>
      </c>
      <c r="J1386" s="1366">
        <f t="shared" si="663"/>
        <v>24440.601398676023</v>
      </c>
      <c r="K1386" s="1364">
        <f t="shared" ref="K1386:Q1386" si="670">+$J1386*K$2018</f>
        <v>21798.250127191015</v>
      </c>
      <c r="L1386" s="1364">
        <f t="shared" si="670"/>
        <v>2113.1441177665888</v>
      </c>
      <c r="M1386" s="1364">
        <f t="shared" si="670"/>
        <v>520.44938751774282</v>
      </c>
      <c r="N1386" s="1367">
        <f t="shared" si="670"/>
        <v>1.7572216972226791</v>
      </c>
      <c r="O1386" s="1367">
        <f t="shared" si="670"/>
        <v>0.31176513982983017</v>
      </c>
      <c r="P1386" s="1367">
        <f t="shared" si="670"/>
        <v>6.6887793636218102</v>
      </c>
      <c r="Q1386" s="1364">
        <f t="shared" si="670"/>
        <v>0</v>
      </c>
      <c r="R1386" s="1358"/>
      <c r="S1386" s="1320">
        <v>412</v>
      </c>
      <c r="V1386" s="1321" t="s">
        <v>5245</v>
      </c>
      <c r="W1386" s="1321">
        <v>412</v>
      </c>
      <c r="Y1386" s="1324"/>
    </row>
    <row r="1387" spans="1:25">
      <c r="A1387" s="1320" t="s">
        <v>2342</v>
      </c>
      <c r="C1387" s="1322">
        <v>41</v>
      </c>
      <c r="D1387" s="1320" t="s">
        <v>5752</v>
      </c>
      <c r="F1387" s="1427">
        <f>+SUM(F1379:F1386)</f>
        <v>144072.9955763664</v>
      </c>
      <c r="G1387" s="1427">
        <f>SUM(G1379:G1386)</f>
        <v>503.42694260719384</v>
      </c>
      <c r="H1387" s="1427">
        <f>SUM(H1379:H1386)</f>
        <v>143569.56863375919</v>
      </c>
      <c r="I1387" s="1323">
        <f t="shared" si="662"/>
        <v>0.99650575084808057</v>
      </c>
      <c r="J1387" s="1421">
        <f t="shared" ref="J1387:Q1387" si="671">SUM(J1379:J1386)</f>
        <v>143569.56863375919</v>
      </c>
      <c r="K1387" s="1421">
        <f t="shared" si="671"/>
        <v>88043.64059981257</v>
      </c>
      <c r="L1387" s="1421">
        <f t="shared" si="671"/>
        <v>7895.4700209968414</v>
      </c>
      <c r="M1387" s="1421">
        <f t="shared" si="671"/>
        <v>31710.542885203366</v>
      </c>
      <c r="N1387" s="1422">
        <f t="shared" si="671"/>
        <v>3727.5316463695422</v>
      </c>
      <c r="O1387" s="1422">
        <f>SUM(O1379:O1386)</f>
        <v>2069.4400691610422</v>
      </c>
      <c r="P1387" s="1422">
        <f>SUM(P1379:P1386)</f>
        <v>300.05777299867839</v>
      </c>
      <c r="Q1387" s="1421">
        <f t="shared" si="671"/>
        <v>9822.885639217171</v>
      </c>
      <c r="R1387" s="1358"/>
      <c r="V1387" s="1320" t="s">
        <v>5753</v>
      </c>
    </row>
    <row r="1388" spans="1:25">
      <c r="A1388" s="1320" t="s">
        <v>2342</v>
      </c>
      <c r="C1388" s="1322">
        <v>42</v>
      </c>
      <c r="G1388" s="1320"/>
    </row>
    <row r="1389" spans="1:25">
      <c r="A1389" s="1320" t="s">
        <v>2342</v>
      </c>
      <c r="C1389" s="1322">
        <v>43</v>
      </c>
      <c r="D1389" s="1356" t="s">
        <v>5754</v>
      </c>
      <c r="G1389" s="1320"/>
      <c r="Y1389" s="1324"/>
    </row>
    <row r="1390" spans="1:25">
      <c r="A1390" s="1320" t="s">
        <v>2342</v>
      </c>
      <c r="C1390" s="1322">
        <v>44</v>
      </c>
      <c r="D1390" s="1320" t="s">
        <v>5265</v>
      </c>
      <c r="E1390" s="1320" t="s">
        <v>4067</v>
      </c>
      <c r="F1390" s="1320">
        <f>+F1353+F1379</f>
        <v>154919.48494816257</v>
      </c>
      <c r="G1390" s="1320">
        <f t="shared" ref="G1390:H1397" si="672">+G1353+G1379</f>
        <v>0</v>
      </c>
      <c r="H1390" s="1320">
        <f t="shared" si="672"/>
        <v>154919.48494816257</v>
      </c>
      <c r="I1390" s="1323">
        <f t="shared" ref="I1390:I1397" si="673">IF(F1390=0,0,+H1390/F1390)</f>
        <v>1</v>
      </c>
      <c r="J1390" s="1324">
        <f t="shared" ref="J1390:Q1397" si="674">+J1353+J1379</f>
        <v>154919.48494816257</v>
      </c>
      <c r="K1390" s="1324">
        <f t="shared" si="674"/>
        <v>89855.321439184103</v>
      </c>
      <c r="L1390" s="1324">
        <f t="shared" si="674"/>
        <v>7412.1576880821394</v>
      </c>
      <c r="M1390" s="1324">
        <f t="shared" si="674"/>
        <v>47382.200323540696</v>
      </c>
      <c r="N1390" s="1325">
        <f t="shared" si="674"/>
        <v>5915.0394651633424</v>
      </c>
      <c r="O1390" s="1325">
        <f t="shared" si="674"/>
        <v>4244.9292624683967</v>
      </c>
      <c r="P1390" s="1325">
        <f t="shared" si="674"/>
        <v>109.8367697238921</v>
      </c>
      <c r="Q1390" s="1324">
        <f t="shared" si="674"/>
        <v>0</v>
      </c>
      <c r="V1390" s="1320" t="s">
        <v>5755</v>
      </c>
      <c r="Y1390" s="1324"/>
    </row>
    <row r="1391" spans="1:25">
      <c r="A1391" s="1320" t="s">
        <v>2342</v>
      </c>
      <c r="C1391" s="1322">
        <v>45</v>
      </c>
      <c r="D1391" s="1320" t="s">
        <v>5265</v>
      </c>
      <c r="E1391" s="1320" t="s">
        <v>2067</v>
      </c>
      <c r="F1391" s="1320">
        <f t="shared" ref="F1391:F1397" si="675">+F1354+F1380</f>
        <v>15756.28481087529</v>
      </c>
      <c r="G1391" s="1358">
        <f t="shared" si="672"/>
        <v>0</v>
      </c>
      <c r="H1391" s="1358">
        <f t="shared" si="672"/>
        <v>15756.28481087529</v>
      </c>
      <c r="I1391" s="1323">
        <f t="shared" si="673"/>
        <v>1</v>
      </c>
      <c r="J1391" s="1364">
        <f t="shared" si="674"/>
        <v>15756.28481087529</v>
      </c>
      <c r="K1391" s="1364">
        <f t="shared" si="674"/>
        <v>7951.1599476227138</v>
      </c>
      <c r="L1391" s="1364">
        <f t="shared" si="674"/>
        <v>734.78025790371828</v>
      </c>
      <c r="M1391" s="1364">
        <f t="shared" si="674"/>
        <v>5473.8275233226605</v>
      </c>
      <c r="N1391" s="1367">
        <f t="shared" si="674"/>
        <v>871.34532934291508</v>
      </c>
      <c r="O1391" s="1367">
        <f t="shared" si="674"/>
        <v>641.93044210712753</v>
      </c>
      <c r="P1391" s="1367">
        <f t="shared" si="674"/>
        <v>83.241310576154973</v>
      </c>
      <c r="Q1391" s="1364">
        <f t="shared" si="674"/>
        <v>0</v>
      </c>
      <c r="R1391" s="1358"/>
      <c r="V1391" s="1320" t="s">
        <v>5756</v>
      </c>
    </row>
    <row r="1392" spans="1:25">
      <c r="A1392" s="1320" t="s">
        <v>2342</v>
      </c>
      <c r="C1392" s="1322">
        <v>46</v>
      </c>
      <c r="D1392" s="1320" t="s">
        <v>5268</v>
      </c>
      <c r="E1392" s="1320" t="s">
        <v>4067</v>
      </c>
      <c r="F1392" s="1320">
        <f t="shared" si="675"/>
        <v>9322.5170905997529</v>
      </c>
      <c r="G1392" s="1358">
        <f t="shared" si="672"/>
        <v>603.97657200578476</v>
      </c>
      <c r="H1392" s="1358">
        <f t="shared" si="672"/>
        <v>8718.5405185939671</v>
      </c>
      <c r="I1392" s="1323">
        <f t="shared" si="673"/>
        <v>0.93521314403222733</v>
      </c>
      <c r="J1392" s="1364">
        <f t="shared" si="674"/>
        <v>8718.5405185939671</v>
      </c>
      <c r="K1392" s="1364">
        <f t="shared" si="674"/>
        <v>5056.8671916314906</v>
      </c>
      <c r="L1392" s="1364">
        <f t="shared" si="674"/>
        <v>417.1405369400461</v>
      </c>
      <c r="M1392" s="1364">
        <f t="shared" si="674"/>
        <v>2666.5698864100532</v>
      </c>
      <c r="N1392" s="1367">
        <f t="shared" si="674"/>
        <v>332.88589400723185</v>
      </c>
      <c r="O1392" s="1367">
        <f t="shared" si="674"/>
        <v>238.89562882151111</v>
      </c>
      <c r="P1392" s="1367">
        <f t="shared" si="674"/>
        <v>6.1813807836351602</v>
      </c>
      <c r="Q1392" s="1364">
        <f t="shared" si="674"/>
        <v>0</v>
      </c>
      <c r="R1392" s="1358"/>
      <c r="V1392" s="1320" t="s">
        <v>5757</v>
      </c>
    </row>
    <row r="1393" spans="1:25">
      <c r="A1393" s="1320" t="s">
        <v>2342</v>
      </c>
      <c r="C1393" s="1322">
        <v>47</v>
      </c>
      <c r="D1393" s="1320" t="s">
        <v>5239</v>
      </c>
      <c r="E1393" s="1320" t="s">
        <v>4067</v>
      </c>
      <c r="F1393" s="1320">
        <f t="shared" si="675"/>
        <v>12890.363327210631</v>
      </c>
      <c r="G1393" s="1358">
        <f t="shared" si="672"/>
        <v>835.12611225225317</v>
      </c>
      <c r="H1393" s="1358">
        <f t="shared" si="672"/>
        <v>12055.237214958377</v>
      </c>
      <c r="I1393" s="1323">
        <f t="shared" si="673"/>
        <v>0.93521314403222733</v>
      </c>
      <c r="J1393" s="1364">
        <f t="shared" si="674"/>
        <v>12055.237214958377</v>
      </c>
      <c r="K1393" s="1364">
        <f t="shared" si="674"/>
        <v>6992.1947864605736</v>
      </c>
      <c r="L1393" s="1364">
        <f t="shared" si="674"/>
        <v>576.78554272502731</v>
      </c>
      <c r="M1393" s="1364">
        <f t="shared" si="674"/>
        <v>3687.1002047166016</v>
      </c>
      <c r="N1393" s="1367">
        <f t="shared" si="674"/>
        <v>460.28557293644917</v>
      </c>
      <c r="O1393" s="1367">
        <f t="shared" si="674"/>
        <v>330.32403404192814</v>
      </c>
      <c r="P1393" s="1367">
        <f t="shared" si="674"/>
        <v>8.5470740777981291</v>
      </c>
      <c r="Q1393" s="1364">
        <f t="shared" si="674"/>
        <v>0</v>
      </c>
      <c r="R1393" s="1358"/>
      <c r="V1393" s="1320" t="s">
        <v>5758</v>
      </c>
    </row>
    <row r="1394" spans="1:25">
      <c r="A1394" s="1320" t="s">
        <v>2342</v>
      </c>
      <c r="C1394" s="1322">
        <v>48</v>
      </c>
      <c r="D1394" s="1320" t="s">
        <v>5240</v>
      </c>
      <c r="E1394" s="1320" t="s">
        <v>4067</v>
      </c>
      <c r="F1394" s="1320">
        <f t="shared" si="675"/>
        <v>9825.4003612942106</v>
      </c>
      <c r="G1394" s="1358">
        <f t="shared" si="672"/>
        <v>0</v>
      </c>
      <c r="H1394" s="1358">
        <f t="shared" si="672"/>
        <v>9825.4003612942106</v>
      </c>
      <c r="I1394" s="1323">
        <f t="shared" si="673"/>
        <v>1</v>
      </c>
      <c r="J1394" s="1364">
        <f t="shared" si="674"/>
        <v>9825.4003612942106</v>
      </c>
      <c r="K1394" s="1364">
        <f t="shared" si="674"/>
        <v>6115.4865099364888</v>
      </c>
      <c r="L1394" s="1364">
        <f t="shared" si="674"/>
        <v>434.94873859001177</v>
      </c>
      <c r="M1394" s="1364">
        <f t="shared" si="674"/>
        <v>2912.2533755004197</v>
      </c>
      <c r="N1394" s="1367">
        <f t="shared" si="674"/>
        <v>306.31050107421072</v>
      </c>
      <c r="O1394" s="1367">
        <f t="shared" si="674"/>
        <v>2.0914284285375293E-4</v>
      </c>
      <c r="P1394" s="1367">
        <f t="shared" si="674"/>
        <v>56.401027050237801</v>
      </c>
      <c r="Q1394" s="1364">
        <f t="shared" si="674"/>
        <v>0</v>
      </c>
      <c r="R1394" s="1358"/>
      <c r="V1394" s="1320" t="s">
        <v>5759</v>
      </c>
    </row>
    <row r="1395" spans="1:25">
      <c r="A1395" s="1320" t="s">
        <v>2342</v>
      </c>
      <c r="C1395" s="1322">
        <v>49</v>
      </c>
      <c r="D1395" s="1320" t="s">
        <v>5241</v>
      </c>
      <c r="E1395" s="1320" t="s">
        <v>4067</v>
      </c>
      <c r="F1395" s="1320">
        <f t="shared" si="675"/>
        <v>-5310.0951341857181</v>
      </c>
      <c r="G1395" s="1358">
        <f t="shared" si="672"/>
        <v>0</v>
      </c>
      <c r="H1395" s="1358">
        <f t="shared" si="672"/>
        <v>-5310.0951341857181</v>
      </c>
      <c r="I1395" s="1323">
        <f t="shared" si="673"/>
        <v>1</v>
      </c>
      <c r="J1395" s="1364">
        <f t="shared" si="674"/>
        <v>-5310.0951341857181</v>
      </c>
      <c r="K1395" s="1364">
        <f t="shared" si="674"/>
        <v>-3874.4220305330609</v>
      </c>
      <c r="L1395" s="1364">
        <f t="shared" si="674"/>
        <v>-311.96786614414788</v>
      </c>
      <c r="M1395" s="1364">
        <f t="shared" si="674"/>
        <v>-1104.4963495928282</v>
      </c>
      <c r="N1395" s="1367">
        <f t="shared" si="674"/>
        <v>0</v>
      </c>
      <c r="O1395" s="1367">
        <f t="shared" si="674"/>
        <v>0</v>
      </c>
      <c r="P1395" s="1367">
        <f t="shared" si="674"/>
        <v>-19.208887915680421</v>
      </c>
      <c r="Q1395" s="1364">
        <f t="shared" si="674"/>
        <v>0</v>
      </c>
      <c r="R1395" s="1358"/>
      <c r="V1395" s="1320" t="s">
        <v>5760</v>
      </c>
    </row>
    <row r="1396" spans="1:25">
      <c r="A1396" s="1320" t="s">
        <v>2342</v>
      </c>
      <c r="C1396" s="1322">
        <v>50</v>
      </c>
      <c r="D1396" s="1320" t="s">
        <v>5242</v>
      </c>
      <c r="E1396" s="1320" t="s">
        <v>4071</v>
      </c>
      <c r="F1396" s="1320">
        <f t="shared" si="675"/>
        <v>9769.3696096750609</v>
      </c>
      <c r="G1396" s="1358">
        <f t="shared" si="672"/>
        <v>0</v>
      </c>
      <c r="H1396" s="1358">
        <f t="shared" si="672"/>
        <v>9769.3696096750609</v>
      </c>
      <c r="I1396" s="1323">
        <f t="shared" si="673"/>
        <v>1</v>
      </c>
      <c r="J1396" s="1364">
        <f t="shared" si="674"/>
        <v>9769.3696096750609</v>
      </c>
      <c r="K1396" s="1364">
        <f t="shared" si="674"/>
        <v>3601.5437695875853</v>
      </c>
      <c r="L1396" s="1364">
        <f t="shared" si="674"/>
        <v>546.30683467373137</v>
      </c>
      <c r="M1396" s="1364">
        <f t="shared" si="674"/>
        <v>263.37411147755131</v>
      </c>
      <c r="N1396" s="1367">
        <f t="shared" si="674"/>
        <v>16.978449331358803</v>
      </c>
      <c r="O1396" s="1367">
        <f t="shared" si="674"/>
        <v>18.524200943960114</v>
      </c>
      <c r="P1396" s="1367">
        <f t="shared" si="674"/>
        <v>4.251525176011171</v>
      </c>
      <c r="Q1396" s="1364">
        <f t="shared" si="674"/>
        <v>5318.390718484864</v>
      </c>
      <c r="R1396" s="1358"/>
      <c r="V1396" s="1320" t="s">
        <v>5761</v>
      </c>
      <c r="Y1396" s="1324"/>
    </row>
    <row r="1397" spans="1:25">
      <c r="A1397" s="1320" t="s">
        <v>2342</v>
      </c>
      <c r="C1397" s="1322">
        <v>51</v>
      </c>
      <c r="D1397" s="1320" t="s">
        <v>5244</v>
      </c>
      <c r="E1397" s="1320" t="s">
        <v>4071</v>
      </c>
      <c r="F1397" s="1350">
        <f t="shared" si="675"/>
        <v>24440.601398676023</v>
      </c>
      <c r="G1397" s="1350">
        <f t="shared" si="672"/>
        <v>0</v>
      </c>
      <c r="H1397" s="1350">
        <f t="shared" si="672"/>
        <v>24440.601398676023</v>
      </c>
      <c r="I1397" s="1323">
        <f t="shared" si="673"/>
        <v>1</v>
      </c>
      <c r="J1397" s="1366">
        <f t="shared" si="674"/>
        <v>24440.601398676023</v>
      </c>
      <c r="K1397" s="1366">
        <f t="shared" si="674"/>
        <v>21798.250127191015</v>
      </c>
      <c r="L1397" s="1366">
        <f t="shared" si="674"/>
        <v>2113.1441177665888</v>
      </c>
      <c r="M1397" s="1366">
        <f t="shared" si="674"/>
        <v>520.44938751774282</v>
      </c>
      <c r="N1397" s="1378">
        <f t="shared" si="674"/>
        <v>1.7572216972226791</v>
      </c>
      <c r="O1397" s="1378">
        <f t="shared" si="674"/>
        <v>0.31176513982983017</v>
      </c>
      <c r="P1397" s="1378">
        <f t="shared" si="674"/>
        <v>6.6887793636218102</v>
      </c>
      <c r="Q1397" s="1366">
        <f t="shared" si="674"/>
        <v>0</v>
      </c>
      <c r="R1397" s="1358"/>
      <c r="V1397" s="1320" t="s">
        <v>5762</v>
      </c>
      <c r="Y1397" s="1324"/>
    </row>
    <row r="1398" spans="1:25">
      <c r="A1398" s="1320" t="s">
        <v>2342</v>
      </c>
      <c r="C1398" s="1322">
        <v>52</v>
      </c>
      <c r="F1398" s="1358"/>
      <c r="G1398" s="1358"/>
      <c r="H1398" s="1358"/>
      <c r="J1398" s="1364"/>
      <c r="K1398" s="1364"/>
      <c r="L1398" s="1364"/>
      <c r="M1398" s="1364"/>
      <c r="N1398" s="1367"/>
      <c r="O1398" s="1367"/>
      <c r="P1398" s="1367"/>
      <c r="Q1398" s="1364"/>
      <c r="R1398" s="1358"/>
      <c r="Y1398" s="1324"/>
    </row>
    <row r="1399" spans="1:25" ht="14.4" thickBot="1">
      <c r="A1399" s="1320" t="s">
        <v>2342</v>
      </c>
      <c r="C1399" s="1322">
        <v>53</v>
      </c>
      <c r="D1399" s="1320" t="s">
        <v>5763</v>
      </c>
      <c r="F1399" s="1423">
        <f>SUM(F1390:F1397)</f>
        <v>231613.9264123078</v>
      </c>
      <c r="G1399" s="1423">
        <f>SUM(G1390:G1397)</f>
        <v>1439.1026842580379</v>
      </c>
      <c r="H1399" s="1423">
        <f>SUM(H1390:H1397)</f>
        <v>230174.82372804979</v>
      </c>
      <c r="I1399" s="1323">
        <f>IF(F1399=0,0,+H1399/F1399)</f>
        <v>0.99378663145800572</v>
      </c>
      <c r="J1399" s="1380">
        <f t="shared" ref="J1399:Q1399" si="676">SUM(J1390:J1397)</f>
        <v>230174.82372804979</v>
      </c>
      <c r="K1399" s="1380">
        <f t="shared" si="676"/>
        <v>137496.40174108092</v>
      </c>
      <c r="L1399" s="1380">
        <f t="shared" si="676"/>
        <v>11923.295850537113</v>
      </c>
      <c r="M1399" s="1380">
        <f t="shared" si="676"/>
        <v>61801.2784628929</v>
      </c>
      <c r="N1399" s="1424">
        <f t="shared" si="676"/>
        <v>7904.6024335527309</v>
      </c>
      <c r="O1399" s="1424">
        <f>SUM(O1390:O1397)</f>
        <v>5474.9155426655961</v>
      </c>
      <c r="P1399" s="1424">
        <f>SUM(P1390:P1397)</f>
        <v>255.93897883567072</v>
      </c>
      <c r="Q1399" s="1380">
        <f t="shared" si="676"/>
        <v>5318.390718484864</v>
      </c>
      <c r="R1399" s="1358"/>
      <c r="V1399" s="1320" t="s">
        <v>5764</v>
      </c>
      <c r="Y1399" s="1324"/>
    </row>
    <row r="1400" spans="1:25" ht="14.4" thickTop="1">
      <c r="F1400" s="1358"/>
      <c r="G1400" s="1358"/>
      <c r="H1400" s="1358"/>
      <c r="J1400" s="1364"/>
      <c r="K1400" s="1364"/>
      <c r="L1400" s="1364"/>
      <c r="M1400" s="1367"/>
      <c r="N1400" s="1367"/>
      <c r="O1400" s="1367"/>
      <c r="P1400" s="1364"/>
      <c r="Q1400" s="1364"/>
      <c r="R1400" s="1358"/>
      <c r="Y1400" s="1324"/>
    </row>
    <row r="1401" spans="1:25">
      <c r="F1401" s="1358"/>
      <c r="G1401" s="1358"/>
      <c r="H1401" s="1358"/>
      <c r="J1401" s="1364"/>
      <c r="K1401" s="1364"/>
      <c r="L1401" s="1364"/>
      <c r="M1401" s="1367"/>
      <c r="N1401" s="1367"/>
      <c r="O1401" s="1367"/>
      <c r="P1401" s="1364"/>
      <c r="Q1401" s="1364"/>
      <c r="R1401" s="1358"/>
      <c r="Y1401" s="1324"/>
    </row>
    <row r="1402" spans="1:25">
      <c r="F1402" s="1358"/>
      <c r="G1402" s="1358"/>
      <c r="H1402" s="1358"/>
      <c r="J1402" s="1364"/>
      <c r="K1402" s="1364"/>
      <c r="L1402" s="1364"/>
      <c r="M1402" s="1367"/>
      <c r="N1402" s="1367"/>
      <c r="O1402" s="1367"/>
      <c r="P1402" s="1364"/>
      <c r="Q1402" s="1364"/>
      <c r="R1402" s="1358"/>
      <c r="Y1402" s="1324"/>
    </row>
    <row r="1403" spans="1:25">
      <c r="F1403" s="1358"/>
      <c r="G1403" s="1358"/>
      <c r="H1403" s="1358"/>
      <c r="J1403" s="1364"/>
      <c r="K1403" s="1364"/>
      <c r="L1403" s="1364"/>
      <c r="M1403" s="1367"/>
      <c r="N1403" s="1367"/>
      <c r="O1403" s="1367"/>
      <c r="P1403" s="1364"/>
      <c r="Q1403" s="1364"/>
      <c r="R1403" s="1358"/>
      <c r="Y1403" s="1324"/>
    </row>
    <row r="1404" spans="1:25">
      <c r="F1404" s="1358"/>
      <c r="G1404" s="1358"/>
      <c r="H1404" s="1358"/>
      <c r="J1404" s="1364"/>
      <c r="K1404" s="1364"/>
      <c r="L1404" s="1364"/>
      <c r="M1404" s="1367"/>
      <c r="N1404" s="1367"/>
      <c r="O1404" s="1367"/>
      <c r="P1404" s="1364"/>
      <c r="Q1404" s="1364"/>
      <c r="R1404" s="1358"/>
    </row>
    <row r="1405" spans="1:25">
      <c r="B1405" s="1432"/>
      <c r="C1405" s="1340" t="str">
        <f>+C$2</f>
        <v>RATES WITH REVENUE DEFICIENCY ADDITION</v>
      </c>
      <c r="F1405" s="1333"/>
      <c r="G1405" s="1327" t="s">
        <v>2173</v>
      </c>
      <c r="I1405" s="1334" t="s">
        <v>5750</v>
      </c>
      <c r="L1405" s="1329" t="s">
        <v>2173</v>
      </c>
      <c r="M1405" s="1330"/>
      <c r="N1405" s="1330"/>
      <c r="O1405" s="1330"/>
      <c r="S1405" s="1334" t="s">
        <v>5765</v>
      </c>
      <c r="T1405" s="1333" t="s">
        <v>2173</v>
      </c>
      <c r="U1405" s="1431"/>
      <c r="V1405" s="1332" t="s">
        <v>4772</v>
      </c>
    </row>
    <row r="1406" spans="1:25">
      <c r="B1406" s="1432"/>
      <c r="C1406" s="1340" t="str">
        <f>+C$3</f>
        <v>PROD. CAP. ALLOC. METHOD: 12 CP &amp; 1/13th AD</v>
      </c>
      <c r="G1406" s="1336" t="s">
        <v>4768</v>
      </c>
      <c r="I1406" s="1335" t="s">
        <v>4958</v>
      </c>
      <c r="L1406" s="1336" t="s">
        <v>5141</v>
      </c>
      <c r="M1406" s="1337"/>
      <c r="N1406" s="1337"/>
      <c r="O1406" s="1337"/>
      <c r="R1406" s="1331"/>
      <c r="S1406" s="1335" t="s">
        <v>4959</v>
      </c>
      <c r="T1406" s="1333" t="s">
        <v>5141</v>
      </c>
      <c r="U1406" s="1326"/>
      <c r="V1406" s="1332" t="s">
        <v>5765</v>
      </c>
    </row>
    <row r="1407" spans="1:25">
      <c r="B1407" s="1321"/>
      <c r="C1407" s="1340" t="str">
        <f>+C$4</f>
        <v>PROJECTED CALENDAR YEAR 2025; FULLY ADJUSTED DATA</v>
      </c>
      <c r="G1407" s="1336" t="s">
        <v>2181</v>
      </c>
      <c r="L1407" s="1336" t="s">
        <v>2181</v>
      </c>
      <c r="S1407" s="1321"/>
      <c r="T1407" s="1339"/>
      <c r="U1407" s="1326"/>
    </row>
    <row r="1408" spans="1:25">
      <c r="B1408" s="1321"/>
      <c r="C1408" s="1340" t="str">
        <f>+C$5</f>
        <v>MINIMUM DISTRIBUTION SYSTEM (MDS) NOT EMPLOYED</v>
      </c>
      <c r="D1408" s="1358"/>
      <c r="G1408" s="1320"/>
      <c r="L1408" s="1336"/>
      <c r="M1408" s="1337"/>
      <c r="N1408" s="1337"/>
      <c r="O1408" s="1337"/>
      <c r="S1408" s="1321"/>
      <c r="T1408" s="1333"/>
      <c r="U1408" s="1326"/>
      <c r="Y1408" s="1324"/>
    </row>
    <row r="1409" spans="1:25">
      <c r="B1409" s="1321"/>
      <c r="C1409" s="1340" t="str">
        <f>+C$6</f>
        <v>Tampa Electric 2025 OB Budget</v>
      </c>
      <c r="F1409" s="1327"/>
      <c r="G1409" s="1333" t="s">
        <v>5766</v>
      </c>
      <c r="L1409" s="1336" t="s">
        <v>5766</v>
      </c>
      <c r="M1409" s="1337"/>
      <c r="N1409" s="1337"/>
      <c r="O1409" s="1337"/>
      <c r="S1409" s="1321"/>
      <c r="T1409" s="1333" t="s">
        <v>5766</v>
      </c>
      <c r="U1409" s="1326"/>
      <c r="Y1409" s="1324"/>
    </row>
    <row r="1410" spans="1:25">
      <c r="B1410" s="1321"/>
      <c r="F1410" s="1333"/>
      <c r="G1410" s="1320"/>
      <c r="L1410" s="1336"/>
      <c r="M1410" s="1337"/>
      <c r="N1410" s="1337"/>
      <c r="O1410" s="1337"/>
      <c r="S1410" s="1321"/>
      <c r="T1410" s="1321"/>
      <c r="U1410" s="1326"/>
      <c r="Y1410" s="1324"/>
    </row>
    <row r="1411" spans="1:25">
      <c r="B1411" s="1321"/>
      <c r="F1411" s="1333"/>
      <c r="G1411" s="1320"/>
      <c r="L1411" s="1336"/>
      <c r="M1411" s="1337"/>
      <c r="N1411" s="1337"/>
      <c r="O1411" s="1337"/>
      <c r="S1411" s="1321"/>
      <c r="T1411" s="1321"/>
      <c r="U1411" s="1326"/>
      <c r="Y1411" s="1324"/>
    </row>
    <row r="1412" spans="1:25">
      <c r="B1412" s="1321"/>
      <c r="G1412" s="1320"/>
      <c r="S1412" s="1321"/>
      <c r="T1412" s="1321"/>
      <c r="U1412" s="1326"/>
      <c r="Y1412" s="1324"/>
    </row>
    <row r="1413" spans="1:25">
      <c r="B1413" s="1321"/>
      <c r="C1413" s="1342"/>
      <c r="D1413" s="1331"/>
      <c r="E1413" s="1331"/>
      <c r="F1413" s="1333"/>
      <c r="G1413" s="1333"/>
      <c r="H1413" s="1333"/>
      <c r="I1413" s="1343"/>
      <c r="J1413" s="1416"/>
      <c r="K1413" s="1336"/>
      <c r="L1413" s="1416"/>
      <c r="M1413" s="1417"/>
      <c r="N1413" s="1417"/>
      <c r="O1413" s="1417"/>
      <c r="P1413" s="3164"/>
      <c r="Q1413" s="3164"/>
      <c r="R1413" s="1333"/>
      <c r="S1413" s="1321"/>
      <c r="T1413" s="1321"/>
      <c r="U1413" s="1326"/>
      <c r="Y1413" s="1324"/>
    </row>
    <row r="1414" spans="1:25" ht="30" customHeight="1">
      <c r="A1414" s="1418" t="s">
        <v>4683</v>
      </c>
      <c r="B1414" s="1425" t="s">
        <v>5143</v>
      </c>
      <c r="C1414" s="1349" t="s">
        <v>4297</v>
      </c>
      <c r="D1414" s="1418"/>
      <c r="E1414" s="1418"/>
      <c r="F1414" s="1348" t="s">
        <v>5144</v>
      </c>
      <c r="G1414" s="1348" t="s">
        <v>4956</v>
      </c>
      <c r="H1414" s="1348" t="s">
        <v>4957</v>
      </c>
      <c r="I1414" s="1426" t="s">
        <v>5145</v>
      </c>
      <c r="J1414" s="1352" t="s">
        <v>4957</v>
      </c>
      <c r="K1414" s="1353" t="s">
        <v>1949</v>
      </c>
      <c r="L1414" s="1353" t="s">
        <v>1950</v>
      </c>
      <c r="M1414" s="1354" t="s">
        <v>1934</v>
      </c>
      <c r="N1414" s="1354" t="s">
        <v>1971</v>
      </c>
      <c r="O1414" s="1354" t="s">
        <v>1972</v>
      </c>
      <c r="P1414" s="1352" t="s">
        <v>5146</v>
      </c>
      <c r="Q1414" s="1352" t="s">
        <v>5147</v>
      </c>
      <c r="R1414" s="1355"/>
      <c r="S1414" s="1348" t="s">
        <v>5299</v>
      </c>
      <c r="T1414" s="1348"/>
      <c r="U1414" s="1352"/>
      <c r="V1414" s="1355" t="s">
        <v>4774</v>
      </c>
      <c r="Y1414" s="1324"/>
    </row>
    <row r="1415" spans="1:25">
      <c r="B1415" s="1321"/>
      <c r="G1415" s="1320"/>
      <c r="S1415" s="1321"/>
      <c r="T1415" s="1321"/>
      <c r="U1415" s="1326"/>
      <c r="Y1415" s="1324"/>
    </row>
    <row r="1416" spans="1:25">
      <c r="A1416" s="1320" t="s">
        <v>5767</v>
      </c>
      <c r="B1416" s="1321"/>
      <c r="C1416" s="1322">
        <v>1</v>
      </c>
      <c r="D1416" s="1356" t="s">
        <v>5768</v>
      </c>
      <c r="G1416" s="1320"/>
      <c r="S1416" s="1321"/>
      <c r="T1416" s="1321"/>
      <c r="U1416" s="1326"/>
    </row>
    <row r="1417" spans="1:25">
      <c r="A1417" s="1320" t="s">
        <v>5767</v>
      </c>
      <c r="B1417" s="1321"/>
      <c r="C1417" s="1322">
        <v>2</v>
      </c>
      <c r="D1417" s="1320" t="s">
        <v>5265</v>
      </c>
      <c r="E1417" s="1320" t="s">
        <v>4067</v>
      </c>
      <c r="F1417" s="1320">
        <f>+F1006</f>
        <v>7199153.5139943594</v>
      </c>
      <c r="G1417" s="1320">
        <f t="shared" ref="G1417:H1424" si="677">+G1006</f>
        <v>0</v>
      </c>
      <c r="H1417" s="1320">
        <f t="shared" si="677"/>
        <v>7199153.5139943594</v>
      </c>
      <c r="I1417" s="1323">
        <f t="shared" ref="I1417:I1425" si="678">IF(F1417=0,0,+H1417/F1417)</f>
        <v>1</v>
      </c>
      <c r="J1417" s="1324">
        <f t="shared" ref="J1417:Q1424" si="679">+J1006</f>
        <v>7199153.5139943594</v>
      </c>
      <c r="K1417" s="1324">
        <f t="shared" si="679"/>
        <v>4175602.9159692046</v>
      </c>
      <c r="L1417" s="1324">
        <f t="shared" si="679"/>
        <v>344445.12311858003</v>
      </c>
      <c r="M1417" s="1324">
        <f t="shared" si="679"/>
        <v>2201864.6271264185</v>
      </c>
      <c r="N1417" s="1325">
        <f t="shared" si="679"/>
        <v>274873.60395817697</v>
      </c>
      <c r="O1417" s="1325">
        <f t="shared" si="679"/>
        <v>197263.09719389048</v>
      </c>
      <c r="P1417" s="1325">
        <f t="shared" si="679"/>
        <v>5104.1466280896366</v>
      </c>
      <c r="Q1417" s="1324">
        <f t="shared" si="679"/>
        <v>0</v>
      </c>
      <c r="S1417" s="1321"/>
      <c r="T1417" s="1321"/>
      <c r="U1417" s="1326"/>
      <c r="V1417" s="1320" t="s">
        <v>5769</v>
      </c>
    </row>
    <row r="1418" spans="1:25">
      <c r="A1418" s="1320" t="s">
        <v>5767</v>
      </c>
      <c r="B1418" s="1321"/>
      <c r="C1418" s="1322">
        <v>3</v>
      </c>
      <c r="D1418" s="1320" t="s">
        <v>5265</v>
      </c>
      <c r="E1418" s="1320" t="s">
        <v>2067</v>
      </c>
      <c r="F1418" s="1320">
        <f t="shared" ref="F1418:F1424" si="680">+F1007</f>
        <v>680548.35013101739</v>
      </c>
      <c r="G1418" s="1320">
        <f t="shared" si="677"/>
        <v>0</v>
      </c>
      <c r="H1418" s="1320">
        <f t="shared" si="677"/>
        <v>680548.35013101739</v>
      </c>
      <c r="I1418" s="1323">
        <f t="shared" si="678"/>
        <v>1</v>
      </c>
      <c r="J1418" s="1324">
        <f t="shared" si="679"/>
        <v>680548.35013101739</v>
      </c>
      <c r="K1418" s="1324">
        <f t="shared" si="679"/>
        <v>343427.96217085293</v>
      </c>
      <c r="L1418" s="1324">
        <f t="shared" si="679"/>
        <v>31736.763978782128</v>
      </c>
      <c r="M1418" s="1324">
        <f t="shared" si="679"/>
        <v>236426.56467645097</v>
      </c>
      <c r="N1418" s="1325">
        <f t="shared" si="679"/>
        <v>37635.307650023817</v>
      </c>
      <c r="O1418" s="1325">
        <f t="shared" si="679"/>
        <v>27726.377665713924</v>
      </c>
      <c r="P1418" s="1325">
        <f t="shared" si="679"/>
        <v>3595.3739891935147</v>
      </c>
      <c r="Q1418" s="1324">
        <f t="shared" si="679"/>
        <v>0</v>
      </c>
      <c r="S1418" s="1321"/>
      <c r="T1418" s="1321"/>
      <c r="U1418" s="1326"/>
      <c r="V1418" s="1320" t="s">
        <v>5770</v>
      </c>
      <c r="Y1418" s="1324"/>
    </row>
    <row r="1419" spans="1:25">
      <c r="A1419" s="1320" t="s">
        <v>5767</v>
      </c>
      <c r="B1419" s="1321"/>
      <c r="C1419" s="1322">
        <v>4</v>
      </c>
      <c r="D1419" s="1320" t="s">
        <v>5268</v>
      </c>
      <c r="E1419" s="1320" t="s">
        <v>4067</v>
      </c>
      <c r="F1419" s="1320">
        <f t="shared" si="680"/>
        <v>559079.92351655953</v>
      </c>
      <c r="G1419" s="1320">
        <f t="shared" si="677"/>
        <v>36221.030479340661</v>
      </c>
      <c r="H1419" s="1320">
        <f t="shared" si="677"/>
        <v>522858.89303721883</v>
      </c>
      <c r="I1419" s="1323">
        <f t="shared" si="678"/>
        <v>0.93521314403222733</v>
      </c>
      <c r="J1419" s="1324">
        <f t="shared" si="679"/>
        <v>522858.89303721883</v>
      </c>
      <c r="K1419" s="1324">
        <f t="shared" si="679"/>
        <v>303264.97610623844</v>
      </c>
      <c r="L1419" s="1324">
        <f t="shared" si="679"/>
        <v>25016.301629873862</v>
      </c>
      <c r="M1419" s="1324">
        <f t="shared" si="679"/>
        <v>159916.64843918057</v>
      </c>
      <c r="N1419" s="1325">
        <f t="shared" si="679"/>
        <v>19963.473207141269</v>
      </c>
      <c r="O1419" s="1325">
        <f t="shared" si="679"/>
        <v>14326.79056439019</v>
      </c>
      <c r="P1419" s="1325">
        <f t="shared" si="679"/>
        <v>370.70309039456481</v>
      </c>
      <c r="Q1419" s="1324">
        <f t="shared" si="679"/>
        <v>0</v>
      </c>
      <c r="S1419" s="1321"/>
      <c r="T1419" s="1321"/>
      <c r="U1419" s="1326"/>
      <c r="V1419" s="1320" t="s">
        <v>5771</v>
      </c>
      <c r="Y1419" s="1324"/>
    </row>
    <row r="1420" spans="1:25">
      <c r="A1420" s="1320" t="s">
        <v>5767</v>
      </c>
      <c r="B1420" s="1321"/>
      <c r="C1420" s="1322">
        <v>5</v>
      </c>
      <c r="D1420" s="1320" t="s">
        <v>5239</v>
      </c>
      <c r="E1420" s="1320" t="s">
        <v>4067</v>
      </c>
      <c r="F1420" s="1320">
        <f t="shared" si="680"/>
        <v>583616.65599674068</v>
      </c>
      <c r="G1420" s="1320">
        <f t="shared" si="677"/>
        <v>37810.688232453918</v>
      </c>
      <c r="H1420" s="1320">
        <f t="shared" si="677"/>
        <v>545805.96776428656</v>
      </c>
      <c r="I1420" s="1323">
        <f t="shared" si="678"/>
        <v>0.93521314403222711</v>
      </c>
      <c r="J1420" s="1324">
        <f t="shared" si="679"/>
        <v>545805.96776428656</v>
      </c>
      <c r="K1420" s="1324">
        <f t="shared" si="679"/>
        <v>316574.57868063106</v>
      </c>
      <c r="L1420" s="1324">
        <f t="shared" si="679"/>
        <v>26114.209594221556</v>
      </c>
      <c r="M1420" s="1324">
        <f t="shared" si="679"/>
        <v>166935.02247987012</v>
      </c>
      <c r="N1420" s="1325">
        <f t="shared" si="679"/>
        <v>20839.624148813167</v>
      </c>
      <c r="O1420" s="1325">
        <f t="shared" si="679"/>
        <v>14955.560463990441</v>
      </c>
      <c r="P1420" s="1325">
        <f t="shared" si="679"/>
        <v>386.97239676023759</v>
      </c>
      <c r="Q1420" s="1324">
        <f t="shared" si="679"/>
        <v>0</v>
      </c>
      <c r="S1420" s="1321"/>
      <c r="T1420" s="1321"/>
      <c r="U1420" s="1326"/>
      <c r="V1420" s="1320" t="s">
        <v>5772</v>
      </c>
    </row>
    <row r="1421" spans="1:25">
      <c r="A1421" s="1320" t="s">
        <v>5767</v>
      </c>
      <c r="B1421" s="1321"/>
      <c r="C1421" s="1322">
        <v>6</v>
      </c>
      <c r="D1421" s="1320" t="s">
        <v>5240</v>
      </c>
      <c r="E1421" s="1320" t="s">
        <v>4067</v>
      </c>
      <c r="F1421" s="1320">
        <f t="shared" si="680"/>
        <v>2138740.1302942359</v>
      </c>
      <c r="G1421" s="1320">
        <f t="shared" si="677"/>
        <v>0</v>
      </c>
      <c r="H1421" s="1320">
        <f t="shared" si="677"/>
        <v>2138740.1302942359</v>
      </c>
      <c r="I1421" s="1323">
        <f t="shared" si="678"/>
        <v>1</v>
      </c>
      <c r="J1421" s="1324">
        <f t="shared" si="679"/>
        <v>2138740.1302942359</v>
      </c>
      <c r="K1421" s="1324">
        <f t="shared" si="679"/>
        <v>1331186.1027667453</v>
      </c>
      <c r="L1421" s="1324">
        <f t="shared" si="679"/>
        <v>94677.294322567774</v>
      </c>
      <c r="M1421" s="1324">
        <f t="shared" si="679"/>
        <v>633923.59952110553</v>
      </c>
      <c r="N1421" s="1325">
        <f t="shared" si="679"/>
        <v>66676.016944683288</v>
      </c>
      <c r="O1421" s="1325">
        <f t="shared" si="679"/>
        <v>4.5525085444581663E-2</v>
      </c>
      <c r="P1421" s="1325">
        <f t="shared" si="679"/>
        <v>12277.071214049258</v>
      </c>
      <c r="Q1421" s="1324">
        <f t="shared" si="679"/>
        <v>0</v>
      </c>
      <c r="S1421" s="1321"/>
      <c r="T1421" s="1321"/>
      <c r="U1421" s="1326"/>
      <c r="V1421" s="1320" t="s">
        <v>5773</v>
      </c>
    </row>
    <row r="1422" spans="1:25">
      <c r="A1422" s="1320" t="s">
        <v>5767</v>
      </c>
      <c r="B1422" s="1321"/>
      <c r="C1422" s="1322">
        <v>7</v>
      </c>
      <c r="D1422" s="1320" t="s">
        <v>5241</v>
      </c>
      <c r="E1422" s="1320" t="s">
        <v>4067</v>
      </c>
      <c r="F1422" s="1320">
        <f t="shared" si="680"/>
        <v>1074798.1722257815</v>
      </c>
      <c r="G1422" s="1320">
        <f t="shared" si="677"/>
        <v>0</v>
      </c>
      <c r="H1422" s="1320">
        <f t="shared" si="677"/>
        <v>1074798.1722257815</v>
      </c>
      <c r="I1422" s="1323">
        <f t="shared" si="678"/>
        <v>1</v>
      </c>
      <c r="J1422" s="1324">
        <f t="shared" si="679"/>
        <v>1074798.1722257815</v>
      </c>
      <c r="K1422" s="1324">
        <f t="shared" si="679"/>
        <v>784208.49563306395</v>
      </c>
      <c r="L1422" s="1324">
        <f t="shared" si="679"/>
        <v>63144.347483771526</v>
      </c>
      <c r="M1422" s="1324">
        <f t="shared" si="679"/>
        <v>223557.32388483064</v>
      </c>
      <c r="N1422" s="1325">
        <f t="shared" si="679"/>
        <v>0</v>
      </c>
      <c r="O1422" s="1325">
        <f t="shared" si="679"/>
        <v>0</v>
      </c>
      <c r="P1422" s="1325">
        <f t="shared" si="679"/>
        <v>3888.0052241152839</v>
      </c>
      <c r="Q1422" s="1324">
        <f t="shared" si="679"/>
        <v>0</v>
      </c>
      <c r="S1422" s="1321"/>
      <c r="T1422" s="1321"/>
      <c r="U1422" s="1326"/>
      <c r="V1422" s="1320" t="s">
        <v>5774</v>
      </c>
    </row>
    <row r="1423" spans="1:25">
      <c r="A1423" s="1320" t="s">
        <v>5767</v>
      </c>
      <c r="B1423" s="1321"/>
      <c r="C1423" s="1322">
        <v>8</v>
      </c>
      <c r="D1423" s="1320" t="s">
        <v>5242</v>
      </c>
      <c r="E1423" s="1320" t="s">
        <v>4071</v>
      </c>
      <c r="F1423" s="1320">
        <f t="shared" si="680"/>
        <v>1011029.595133958</v>
      </c>
      <c r="G1423" s="1320">
        <f t="shared" si="677"/>
        <v>0</v>
      </c>
      <c r="H1423" s="1320">
        <f t="shared" si="677"/>
        <v>1011029.595133958</v>
      </c>
      <c r="I1423" s="1323">
        <f t="shared" si="678"/>
        <v>1</v>
      </c>
      <c r="J1423" s="1324">
        <f t="shared" si="679"/>
        <v>1011029.595133958</v>
      </c>
      <c r="K1423" s="1324">
        <f t="shared" si="679"/>
        <v>372722.85569145111</v>
      </c>
      <c r="L1423" s="1324">
        <f t="shared" si="679"/>
        <v>56537.156433522214</v>
      </c>
      <c r="M1423" s="1324">
        <f t="shared" si="679"/>
        <v>27256.520321659871</v>
      </c>
      <c r="N1423" s="1325">
        <f t="shared" si="679"/>
        <v>1757.0954359722562</v>
      </c>
      <c r="O1423" s="1325">
        <f t="shared" si="679"/>
        <v>1917.0648802154396</v>
      </c>
      <c r="P1423" s="1325">
        <f t="shared" si="679"/>
        <v>439.9892673880903</v>
      </c>
      <c r="Q1423" s="1324">
        <f t="shared" si="679"/>
        <v>550398.91310374916</v>
      </c>
      <c r="S1423" s="1321"/>
      <c r="T1423" s="1321"/>
      <c r="U1423" s="1326"/>
      <c r="V1423" s="1320" t="s">
        <v>5775</v>
      </c>
    </row>
    <row r="1424" spans="1:25">
      <c r="A1424" s="1320" t="s">
        <v>5767</v>
      </c>
      <c r="B1424" s="1321"/>
      <c r="C1424" s="1322">
        <v>9</v>
      </c>
      <c r="D1424" s="1320" t="s">
        <v>5244</v>
      </c>
      <c r="E1424" s="1320" t="s">
        <v>4071</v>
      </c>
      <c r="F1424" s="1320">
        <f t="shared" si="680"/>
        <v>245143.87349825987</v>
      </c>
      <c r="G1424" s="1350">
        <f t="shared" si="677"/>
        <v>0</v>
      </c>
      <c r="H1424" s="1350">
        <f t="shared" si="677"/>
        <v>245143.87349825987</v>
      </c>
      <c r="I1424" s="1323">
        <f t="shared" si="678"/>
        <v>1</v>
      </c>
      <c r="J1424" s="1366">
        <f t="shared" si="679"/>
        <v>245143.87349825987</v>
      </c>
      <c r="K1424" s="1366">
        <f t="shared" si="679"/>
        <v>218640.58844120818</v>
      </c>
      <c r="L1424" s="1366">
        <f t="shared" si="679"/>
        <v>21195.236804501328</v>
      </c>
      <c r="M1424" s="1366">
        <f t="shared" si="679"/>
        <v>5220.2061943863555</v>
      </c>
      <c r="N1424" s="1378">
        <f t="shared" si="679"/>
        <v>17.625267333875399</v>
      </c>
      <c r="O1424" s="1378">
        <f t="shared" si="679"/>
        <v>3.1270635592359586</v>
      </c>
      <c r="P1424" s="1378">
        <f t="shared" si="679"/>
        <v>67.089727270880559</v>
      </c>
      <c r="Q1424" s="1366">
        <f t="shared" si="679"/>
        <v>0</v>
      </c>
      <c r="R1424" s="1358"/>
      <c r="S1424" s="1321"/>
      <c r="T1424" s="1321"/>
      <c r="U1424" s="1326"/>
      <c r="V1424" s="1320" t="s">
        <v>5776</v>
      </c>
    </row>
    <row r="1425" spans="1:25">
      <c r="A1425" s="1320" t="s">
        <v>5767</v>
      </c>
      <c r="B1425" s="1321"/>
      <c r="C1425" s="1322">
        <v>10</v>
      </c>
      <c r="D1425" s="1320" t="s">
        <v>5667</v>
      </c>
      <c r="F1425" s="1427">
        <f>+SUM(F1417:F1424)</f>
        <v>13492110.21479091</v>
      </c>
      <c r="G1425" s="1427">
        <f>SUM(G1417:G1424)</f>
        <v>74031.718711794587</v>
      </c>
      <c r="H1425" s="1427">
        <f>SUM(H1417:H1424)</f>
        <v>13418078.496079115</v>
      </c>
      <c r="I1425" s="1323">
        <f t="shared" si="678"/>
        <v>0.99451296220285568</v>
      </c>
      <c r="J1425" s="1421">
        <f t="shared" ref="J1425:Q1425" si="681">SUM(J1417:J1424)</f>
        <v>13418078.496079115</v>
      </c>
      <c r="K1425" s="1421">
        <f t="shared" si="681"/>
        <v>7845628.475459395</v>
      </c>
      <c r="L1425" s="1421">
        <f t="shared" si="681"/>
        <v>662866.43336582044</v>
      </c>
      <c r="M1425" s="1421">
        <f t="shared" si="681"/>
        <v>3655100.5126439026</v>
      </c>
      <c r="N1425" s="1422">
        <f t="shared" si="681"/>
        <v>421762.74661214469</v>
      </c>
      <c r="O1425" s="1422">
        <f>SUM(O1417:O1424)</f>
        <v>256192.06335684514</v>
      </c>
      <c r="P1425" s="1422">
        <f>SUM(P1417:P1424)</f>
        <v>26129.351537261464</v>
      </c>
      <c r="Q1425" s="1421">
        <f t="shared" si="681"/>
        <v>550398.91310374916</v>
      </c>
      <c r="R1425" s="1358"/>
      <c r="S1425" s="1321"/>
      <c r="T1425" s="1321"/>
      <c r="U1425" s="1326"/>
      <c r="V1425" s="1320" t="s">
        <v>5704</v>
      </c>
      <c r="Y1425" s="1324"/>
    </row>
    <row r="1426" spans="1:25">
      <c r="A1426" s="1320" t="s">
        <v>5767</v>
      </c>
      <c r="B1426" s="1321"/>
      <c r="C1426" s="1322">
        <v>11</v>
      </c>
      <c r="G1426" s="1320"/>
      <c r="S1426" s="1321"/>
      <c r="T1426" s="1321"/>
      <c r="U1426" s="1326"/>
      <c r="Y1426" s="1324"/>
    </row>
    <row r="1427" spans="1:25">
      <c r="A1427" s="1320" t="s">
        <v>5767</v>
      </c>
      <c r="B1427" s="1321"/>
      <c r="C1427" s="1322">
        <v>12</v>
      </c>
      <c r="D1427" s="1356" t="s">
        <v>5777</v>
      </c>
      <c r="G1427" s="1320"/>
      <c r="S1427" s="1321"/>
      <c r="T1427" s="1321"/>
      <c r="U1427" s="1326"/>
      <c r="Y1427" s="1324"/>
    </row>
    <row r="1428" spans="1:25">
      <c r="A1428" s="1320" t="s">
        <v>5767</v>
      </c>
      <c r="B1428" s="1321"/>
      <c r="C1428" s="1322">
        <v>13</v>
      </c>
      <c r="D1428" s="1320" t="s">
        <v>5265</v>
      </c>
      <c r="E1428" s="1320" t="s">
        <v>4067</v>
      </c>
      <c r="F1428" s="1320">
        <f>+F1033+F1034</f>
        <v>26353.446</v>
      </c>
      <c r="G1428" s="1320">
        <f>+G1033+G1034</f>
        <v>0</v>
      </c>
      <c r="H1428" s="1320">
        <f>+H1033+H1034</f>
        <v>26353.446</v>
      </c>
      <c r="I1428" s="1323">
        <f>IF(F1428=0,0,+H1428/F1428)</f>
        <v>1</v>
      </c>
      <c r="J1428" s="1324">
        <f>+J1033+J1034</f>
        <v>26353.446</v>
      </c>
      <c r="K1428" s="1324">
        <f t="shared" ref="K1428:Q1428" si="682">+K1033+K1034</f>
        <v>15285.342332196195</v>
      </c>
      <c r="L1428" s="1324">
        <f t="shared" si="682"/>
        <v>1260.8865659585599</v>
      </c>
      <c r="M1428" s="1324">
        <f t="shared" si="682"/>
        <v>8060.2143623536649</v>
      </c>
      <c r="N1428" s="1324">
        <f t="shared" si="682"/>
        <v>1006.2108919688858</v>
      </c>
      <c r="O1428" s="1324">
        <f t="shared" si="682"/>
        <v>722.10744910308028</v>
      </c>
      <c r="P1428" s="1324">
        <f t="shared" si="682"/>
        <v>18.684398419615043</v>
      </c>
      <c r="Q1428" s="1324">
        <f t="shared" si="682"/>
        <v>0</v>
      </c>
      <c r="S1428" s="1321"/>
      <c r="T1428" s="1321"/>
      <c r="U1428" s="1326"/>
      <c r="V1428" s="1320" t="s">
        <v>5778</v>
      </c>
      <c r="Y1428" s="1324"/>
    </row>
    <row r="1429" spans="1:25">
      <c r="A1429" s="1320" t="s">
        <v>5767</v>
      </c>
      <c r="B1429" s="1321"/>
      <c r="C1429" s="1322">
        <v>14</v>
      </c>
      <c r="D1429" s="1320" t="s">
        <v>5265</v>
      </c>
      <c r="E1429" s="1320" t="s">
        <v>2067</v>
      </c>
      <c r="F1429" s="1358">
        <f t="shared" ref="F1429:H1435" si="683">+F1035</f>
        <v>0</v>
      </c>
      <c r="G1429" s="1358">
        <f t="shared" si="683"/>
        <v>0</v>
      </c>
      <c r="H1429" s="1358">
        <f t="shared" si="683"/>
        <v>0</v>
      </c>
      <c r="I1429" s="1323">
        <f t="shared" ref="I1429:I1435" si="684">IF(F1429=0,0,+H1429/F1429)</f>
        <v>0</v>
      </c>
      <c r="J1429" s="1364">
        <f t="shared" ref="J1429:Q1435" si="685">+J1035</f>
        <v>0</v>
      </c>
      <c r="K1429" s="1364">
        <f t="shared" si="685"/>
        <v>0</v>
      </c>
      <c r="L1429" s="1364">
        <f t="shared" si="685"/>
        <v>0</v>
      </c>
      <c r="M1429" s="1364">
        <f t="shared" si="685"/>
        <v>0</v>
      </c>
      <c r="N1429" s="1367">
        <f t="shared" si="685"/>
        <v>0</v>
      </c>
      <c r="O1429" s="1367">
        <f t="shared" si="685"/>
        <v>0</v>
      </c>
      <c r="P1429" s="1367">
        <f t="shared" si="685"/>
        <v>0</v>
      </c>
      <c r="Q1429" s="1364">
        <f t="shared" si="685"/>
        <v>0</v>
      </c>
      <c r="R1429" s="1358"/>
      <c r="S1429" s="1321"/>
      <c r="T1429" s="1321"/>
      <c r="U1429" s="1326"/>
      <c r="V1429" s="1320" t="s">
        <v>5779</v>
      </c>
      <c r="Y1429" s="1324"/>
    </row>
    <row r="1430" spans="1:25">
      <c r="A1430" s="1320" t="s">
        <v>5767</v>
      </c>
      <c r="B1430" s="1321"/>
      <c r="C1430" s="1322">
        <v>15</v>
      </c>
      <c r="D1430" s="1320" t="s">
        <v>5268</v>
      </c>
      <c r="E1430" s="1320" t="s">
        <v>4067</v>
      </c>
      <c r="F1430" s="1358">
        <f t="shared" si="683"/>
        <v>11373.125945033229</v>
      </c>
      <c r="G1430" s="1358">
        <f t="shared" si="683"/>
        <v>736.82907250420544</v>
      </c>
      <c r="H1430" s="1358">
        <f t="shared" si="683"/>
        <v>10636.296872529023</v>
      </c>
      <c r="I1430" s="1323">
        <f>IF(F1430=0,0,+H1430/F1430)</f>
        <v>0.93521314403222733</v>
      </c>
      <c r="J1430" s="1364">
        <f t="shared" si="685"/>
        <v>10636.296872529023</v>
      </c>
      <c r="K1430" s="1364">
        <f t="shared" si="685"/>
        <v>6169.1908846939359</v>
      </c>
      <c r="L1430" s="1364">
        <f t="shared" si="685"/>
        <v>508.8960221034809</v>
      </c>
      <c r="M1430" s="1364">
        <f t="shared" si="685"/>
        <v>3253.1166062387365</v>
      </c>
      <c r="N1430" s="1367">
        <f t="shared" si="685"/>
        <v>406.10847489748772</v>
      </c>
      <c r="O1430" s="1367">
        <f t="shared" si="685"/>
        <v>291.44382873211356</v>
      </c>
      <c r="P1430" s="1367">
        <f t="shared" si="685"/>
        <v>7.5410558632688005</v>
      </c>
      <c r="Q1430" s="1364">
        <f t="shared" si="685"/>
        <v>0</v>
      </c>
      <c r="R1430" s="1358"/>
      <c r="S1430" s="1321"/>
      <c r="T1430" s="1321"/>
      <c r="U1430" s="1326"/>
      <c r="V1430" s="1320" t="s">
        <v>5780</v>
      </c>
      <c r="Y1430" s="1324"/>
    </row>
    <row r="1431" spans="1:25">
      <c r="A1431" s="1320" t="s">
        <v>5767</v>
      </c>
      <c r="B1431" s="1321"/>
      <c r="C1431" s="1322">
        <v>16</v>
      </c>
      <c r="D1431" s="1320" t="s">
        <v>5239</v>
      </c>
      <c r="E1431" s="1320" t="s">
        <v>4067</v>
      </c>
      <c r="F1431" s="1358">
        <f t="shared" si="683"/>
        <v>11177.485054966772</v>
      </c>
      <c r="G1431" s="1358">
        <f t="shared" si="683"/>
        <v>724.1541143380631</v>
      </c>
      <c r="H1431" s="1358">
        <f t="shared" si="683"/>
        <v>10453.330940628708</v>
      </c>
      <c r="I1431" s="1323">
        <f>IF(F1431=0,0,+H1431/F1431)</f>
        <v>0.93521314403222733</v>
      </c>
      <c r="J1431" s="1364">
        <f t="shared" si="685"/>
        <v>10453.330940628708</v>
      </c>
      <c r="K1431" s="1364">
        <f t="shared" si="685"/>
        <v>6063.0682582933659</v>
      </c>
      <c r="L1431" s="1364">
        <f t="shared" si="685"/>
        <v>500.14197583715219</v>
      </c>
      <c r="M1431" s="1364">
        <f t="shared" si="685"/>
        <v>3197.1563863826941</v>
      </c>
      <c r="N1431" s="1367">
        <f t="shared" si="685"/>
        <v>399.12258343049194</v>
      </c>
      <c r="O1431" s="1367">
        <f t="shared" si="685"/>
        <v>286.43040231504068</v>
      </c>
      <c r="P1431" s="1367">
        <f t="shared" si="685"/>
        <v>7.4113343699642193</v>
      </c>
      <c r="Q1431" s="1364">
        <f t="shared" si="685"/>
        <v>0</v>
      </c>
      <c r="R1431" s="1358"/>
      <c r="S1431" s="1321"/>
      <c r="T1431" s="1321"/>
      <c r="U1431" s="1326"/>
      <c r="V1431" s="1320" t="s">
        <v>5781</v>
      </c>
      <c r="Y1431" s="1324"/>
    </row>
    <row r="1432" spans="1:25">
      <c r="A1432" s="1320" t="s">
        <v>5767</v>
      </c>
      <c r="B1432" s="1321"/>
      <c r="C1432" s="1322">
        <v>17</v>
      </c>
      <c r="D1432" s="1320" t="s">
        <v>5240</v>
      </c>
      <c r="E1432" s="1320" t="s">
        <v>4067</v>
      </c>
      <c r="F1432" s="1358">
        <f t="shared" si="683"/>
        <v>20590.486000000001</v>
      </c>
      <c r="G1432" s="1358">
        <f t="shared" si="683"/>
        <v>0</v>
      </c>
      <c r="H1432" s="1358">
        <f t="shared" si="683"/>
        <v>20590.486000000001</v>
      </c>
      <c r="I1432" s="1323">
        <f>IF(F1432=0,0,+H1432/F1432)</f>
        <v>1</v>
      </c>
      <c r="J1432" s="1364">
        <f t="shared" si="685"/>
        <v>20590.486000000001</v>
      </c>
      <c r="K1432" s="1364">
        <f t="shared" si="685"/>
        <v>12815.848182846948</v>
      </c>
      <c r="L1432" s="1364">
        <f t="shared" si="685"/>
        <v>911.49526567237319</v>
      </c>
      <c r="M1432" s="1364">
        <f t="shared" si="685"/>
        <v>6103.0299175305599</v>
      </c>
      <c r="N1432" s="1367">
        <f t="shared" si="685"/>
        <v>641.91603925549816</v>
      </c>
      <c r="O1432" s="1367">
        <f t="shared" si="685"/>
        <v>4.382877663433109E-4</v>
      </c>
      <c r="P1432" s="1367">
        <f t="shared" si="685"/>
        <v>118.19615640685933</v>
      </c>
      <c r="Q1432" s="1364">
        <f t="shared" si="685"/>
        <v>0</v>
      </c>
      <c r="R1432" s="1358"/>
      <c r="S1432" s="1321"/>
      <c r="T1432" s="1321"/>
      <c r="U1432" s="1326"/>
      <c r="V1432" s="1320" t="s">
        <v>5782</v>
      </c>
      <c r="Y1432" s="1324"/>
    </row>
    <row r="1433" spans="1:25">
      <c r="A1433" s="1320" t="s">
        <v>5767</v>
      </c>
      <c r="B1433" s="1321"/>
      <c r="C1433" s="1322">
        <v>18</v>
      </c>
      <c r="D1433" s="1320" t="s">
        <v>5241</v>
      </c>
      <c r="E1433" s="1320" t="s">
        <v>4067</v>
      </c>
      <c r="F1433" s="1358">
        <f t="shared" si="683"/>
        <v>0</v>
      </c>
      <c r="G1433" s="1358">
        <f t="shared" si="683"/>
        <v>0</v>
      </c>
      <c r="H1433" s="1358">
        <f t="shared" si="683"/>
        <v>0</v>
      </c>
      <c r="I1433" s="1323">
        <f t="shared" si="684"/>
        <v>0</v>
      </c>
      <c r="J1433" s="1364">
        <f t="shared" si="685"/>
        <v>0</v>
      </c>
      <c r="K1433" s="1364">
        <f t="shared" si="685"/>
        <v>0</v>
      </c>
      <c r="L1433" s="1364">
        <f t="shared" si="685"/>
        <v>0</v>
      </c>
      <c r="M1433" s="1364">
        <f t="shared" si="685"/>
        <v>0</v>
      </c>
      <c r="N1433" s="1367">
        <f t="shared" si="685"/>
        <v>0</v>
      </c>
      <c r="O1433" s="1367">
        <f t="shared" si="685"/>
        <v>0</v>
      </c>
      <c r="P1433" s="1367">
        <f t="shared" si="685"/>
        <v>0</v>
      </c>
      <c r="Q1433" s="1364">
        <f t="shared" si="685"/>
        <v>0</v>
      </c>
      <c r="R1433" s="1358"/>
      <c r="S1433" s="1321"/>
      <c r="T1433" s="1321"/>
      <c r="U1433" s="1326"/>
      <c r="V1433" s="1320" t="s">
        <v>5783</v>
      </c>
    </row>
    <row r="1434" spans="1:25">
      <c r="A1434" s="1320" t="s">
        <v>5767</v>
      </c>
      <c r="B1434" s="1321"/>
      <c r="C1434" s="1322">
        <v>19</v>
      </c>
      <c r="D1434" s="1320" t="s">
        <v>5242</v>
      </c>
      <c r="E1434" s="1320" t="s">
        <v>4071</v>
      </c>
      <c r="F1434" s="1358">
        <f t="shared" si="683"/>
        <v>0</v>
      </c>
      <c r="G1434" s="1358">
        <f t="shared" si="683"/>
        <v>0</v>
      </c>
      <c r="H1434" s="1358">
        <f t="shared" si="683"/>
        <v>0</v>
      </c>
      <c r="I1434" s="1323">
        <f t="shared" si="684"/>
        <v>0</v>
      </c>
      <c r="J1434" s="1364">
        <f t="shared" si="685"/>
        <v>0</v>
      </c>
      <c r="K1434" s="1364">
        <f t="shared" si="685"/>
        <v>0</v>
      </c>
      <c r="L1434" s="1364">
        <f t="shared" si="685"/>
        <v>0</v>
      </c>
      <c r="M1434" s="1364">
        <f t="shared" si="685"/>
        <v>0</v>
      </c>
      <c r="N1434" s="1367">
        <f t="shared" si="685"/>
        <v>0</v>
      </c>
      <c r="O1434" s="1367">
        <f t="shared" si="685"/>
        <v>0</v>
      </c>
      <c r="P1434" s="1367">
        <f t="shared" si="685"/>
        <v>0</v>
      </c>
      <c r="Q1434" s="1364">
        <f t="shared" si="685"/>
        <v>0</v>
      </c>
      <c r="R1434" s="1358"/>
      <c r="S1434" s="1321"/>
      <c r="T1434" s="1321"/>
      <c r="U1434" s="1326"/>
      <c r="V1434" s="1320" t="s">
        <v>5784</v>
      </c>
    </row>
    <row r="1435" spans="1:25">
      <c r="A1435" s="1320" t="s">
        <v>5767</v>
      </c>
      <c r="B1435" s="1321"/>
      <c r="C1435" s="1322">
        <v>20</v>
      </c>
      <c r="D1435" s="1320" t="s">
        <v>5244</v>
      </c>
      <c r="E1435" s="1320" t="s">
        <v>4071</v>
      </c>
      <c r="F1435" s="1358">
        <f t="shared" si="683"/>
        <v>0</v>
      </c>
      <c r="G1435" s="1350">
        <f t="shared" si="683"/>
        <v>0</v>
      </c>
      <c r="H1435" s="1350">
        <f t="shared" si="683"/>
        <v>0</v>
      </c>
      <c r="I1435" s="1323">
        <f t="shared" si="684"/>
        <v>0</v>
      </c>
      <c r="J1435" s="1366">
        <f t="shared" si="685"/>
        <v>0</v>
      </c>
      <c r="K1435" s="1366">
        <f t="shared" si="685"/>
        <v>0</v>
      </c>
      <c r="L1435" s="1366">
        <f t="shared" si="685"/>
        <v>0</v>
      </c>
      <c r="M1435" s="1366">
        <f t="shared" si="685"/>
        <v>0</v>
      </c>
      <c r="N1435" s="1378">
        <f t="shared" si="685"/>
        <v>0</v>
      </c>
      <c r="O1435" s="1378">
        <f t="shared" si="685"/>
        <v>0</v>
      </c>
      <c r="P1435" s="1378">
        <f t="shared" si="685"/>
        <v>0</v>
      </c>
      <c r="Q1435" s="1366">
        <f t="shared" si="685"/>
        <v>0</v>
      </c>
      <c r="R1435" s="1358"/>
      <c r="S1435" s="1321"/>
      <c r="T1435" s="1321"/>
      <c r="U1435" s="1326"/>
      <c r="V1435" s="1320" t="s">
        <v>5785</v>
      </c>
      <c r="Y1435" s="1324"/>
    </row>
    <row r="1436" spans="1:25">
      <c r="A1436" s="1320" t="s">
        <v>5767</v>
      </c>
      <c r="B1436" s="1321"/>
      <c r="C1436" s="1322">
        <v>21</v>
      </c>
      <c r="D1436" s="1320" t="s">
        <v>5672</v>
      </c>
      <c r="F1436" s="1427">
        <f>+SUM(F1428:F1435)</f>
        <v>69494.543000000005</v>
      </c>
      <c r="G1436" s="1427">
        <f>SUM(G1428:G1435)</f>
        <v>1460.9831868422684</v>
      </c>
      <c r="H1436" s="1427">
        <f>SUM(H1428:H1435)</f>
        <v>68033.559813157728</v>
      </c>
      <c r="I1436" s="1323">
        <f>IF(F1436=0,0,+H1436/F1436)</f>
        <v>0.97897700849918134</v>
      </c>
      <c r="J1436" s="1421">
        <f t="shared" ref="J1436:Q1436" si="686">SUM(J1428:J1435)</f>
        <v>68033.559813157728</v>
      </c>
      <c r="K1436" s="1421">
        <f t="shared" si="686"/>
        <v>40333.44965803044</v>
      </c>
      <c r="L1436" s="1421">
        <f t="shared" si="686"/>
        <v>3181.419829571566</v>
      </c>
      <c r="M1436" s="1421">
        <f t="shared" si="686"/>
        <v>20613.517272505655</v>
      </c>
      <c r="N1436" s="1422">
        <f t="shared" si="686"/>
        <v>2453.3579895523635</v>
      </c>
      <c r="O1436" s="1422">
        <f>SUM(O1428:O1435)</f>
        <v>1299.982118438001</v>
      </c>
      <c r="P1436" s="1422">
        <f>SUM(P1428:P1435)</f>
        <v>151.83294505970741</v>
      </c>
      <c r="Q1436" s="1421">
        <f t="shared" si="686"/>
        <v>0</v>
      </c>
      <c r="R1436" s="1358"/>
      <c r="S1436" s="1321"/>
      <c r="T1436" s="1321"/>
      <c r="U1436" s="1326"/>
      <c r="V1436" s="1320" t="s">
        <v>5707</v>
      </c>
      <c r="Y1436" s="1324"/>
    </row>
    <row r="1437" spans="1:25">
      <c r="A1437" s="1320" t="s">
        <v>5767</v>
      </c>
      <c r="B1437" s="1321"/>
      <c r="C1437" s="1322">
        <v>22</v>
      </c>
      <c r="G1437" s="1320"/>
      <c r="S1437" s="1321"/>
      <c r="T1437" s="1321"/>
      <c r="U1437" s="1326"/>
    </row>
    <row r="1438" spans="1:25">
      <c r="A1438" s="1320" t="s">
        <v>5767</v>
      </c>
      <c r="B1438" s="1321"/>
      <c r="C1438" s="1322">
        <v>23</v>
      </c>
      <c r="D1438" s="1356" t="s">
        <v>5786</v>
      </c>
      <c r="G1438" s="1320"/>
      <c r="S1438" s="1321"/>
      <c r="T1438" s="1321"/>
      <c r="U1438" s="1326"/>
    </row>
    <row r="1439" spans="1:25" s="1324" customFormat="1">
      <c r="A1439" s="1324" t="s">
        <v>5767</v>
      </c>
      <c r="C1439" s="1393">
        <v>24</v>
      </c>
      <c r="D1439" s="1324" t="s">
        <v>5265</v>
      </c>
      <c r="E1439" s="1324" t="s">
        <v>4067</v>
      </c>
      <c r="F1439" s="1324">
        <f t="shared" ref="F1439:H1446" si="687">+F1417+F1428</f>
        <v>7225506.9599943599</v>
      </c>
      <c r="G1439" s="1324">
        <f t="shared" si="687"/>
        <v>0</v>
      </c>
      <c r="H1439" s="1324">
        <f t="shared" si="687"/>
        <v>7225506.9599943599</v>
      </c>
      <c r="I1439" s="1374">
        <f t="shared" ref="I1439:I1447" si="688">IF(F1439=0,0,+H1439/F1439)</f>
        <v>1</v>
      </c>
      <c r="J1439" s="1324">
        <f t="shared" ref="J1439:Q1446" si="689">+J1417+J1428</f>
        <v>7225506.9599943599</v>
      </c>
      <c r="K1439" s="1324">
        <f t="shared" si="689"/>
        <v>4190888.258301401</v>
      </c>
      <c r="L1439" s="1324">
        <f t="shared" si="689"/>
        <v>345706.00968453859</v>
      </c>
      <c r="M1439" s="1324">
        <f t="shared" si="689"/>
        <v>2209924.8414887721</v>
      </c>
      <c r="N1439" s="1325">
        <f t="shared" si="689"/>
        <v>275879.81485014583</v>
      </c>
      <c r="O1439" s="1325">
        <f t="shared" si="689"/>
        <v>197985.20464299357</v>
      </c>
      <c r="P1439" s="1325">
        <f t="shared" si="689"/>
        <v>5122.8310265092514</v>
      </c>
      <c r="Q1439" s="1324">
        <f t="shared" si="689"/>
        <v>0</v>
      </c>
      <c r="V1439" s="1324" t="s">
        <v>5787</v>
      </c>
    </row>
    <row r="1440" spans="1:25" s="1324" customFormat="1">
      <c r="A1440" s="1324" t="s">
        <v>5767</v>
      </c>
      <c r="C1440" s="1393">
        <v>25</v>
      </c>
      <c r="D1440" s="1324" t="s">
        <v>5265</v>
      </c>
      <c r="E1440" s="1324" t="s">
        <v>2067</v>
      </c>
      <c r="F1440" s="1324">
        <f t="shared" si="687"/>
        <v>680548.35013101739</v>
      </c>
      <c r="G1440" s="1324">
        <f t="shared" si="687"/>
        <v>0</v>
      </c>
      <c r="H1440" s="1324">
        <f t="shared" si="687"/>
        <v>680548.35013101739</v>
      </c>
      <c r="I1440" s="1374">
        <f t="shared" si="688"/>
        <v>1</v>
      </c>
      <c r="J1440" s="1324">
        <f t="shared" si="689"/>
        <v>680548.35013101739</v>
      </c>
      <c r="K1440" s="1324">
        <f t="shared" si="689"/>
        <v>343427.96217085293</v>
      </c>
      <c r="L1440" s="1324">
        <f t="shared" si="689"/>
        <v>31736.763978782128</v>
      </c>
      <c r="M1440" s="1324">
        <f t="shared" si="689"/>
        <v>236426.56467645097</v>
      </c>
      <c r="N1440" s="1325">
        <f t="shared" si="689"/>
        <v>37635.307650023817</v>
      </c>
      <c r="O1440" s="1325">
        <f t="shared" si="689"/>
        <v>27726.377665713924</v>
      </c>
      <c r="P1440" s="1325">
        <f t="shared" si="689"/>
        <v>3595.3739891935147</v>
      </c>
      <c r="Q1440" s="1324">
        <f t="shared" si="689"/>
        <v>0</v>
      </c>
      <c r="V1440" s="1324" t="s">
        <v>5788</v>
      </c>
    </row>
    <row r="1441" spans="1:25" s="1324" customFormat="1">
      <c r="A1441" s="1324" t="s">
        <v>5767</v>
      </c>
      <c r="C1441" s="1393">
        <v>26</v>
      </c>
      <c r="D1441" s="1324" t="s">
        <v>5268</v>
      </c>
      <c r="E1441" s="1324" t="s">
        <v>4067</v>
      </c>
      <c r="F1441" s="1324">
        <f t="shared" si="687"/>
        <v>570453.0494615928</v>
      </c>
      <c r="G1441" s="1324">
        <f t="shared" si="687"/>
        <v>36957.859551844864</v>
      </c>
      <c r="H1441" s="1324">
        <f t="shared" si="687"/>
        <v>533495.1899097478</v>
      </c>
      <c r="I1441" s="1374">
        <f t="shared" si="688"/>
        <v>0.93521314403222722</v>
      </c>
      <c r="J1441" s="1324">
        <f t="shared" si="689"/>
        <v>533495.1899097478</v>
      </c>
      <c r="K1441" s="1324">
        <f t="shared" si="689"/>
        <v>309434.16699093237</v>
      </c>
      <c r="L1441" s="1324">
        <f t="shared" si="689"/>
        <v>25525.197651977342</v>
      </c>
      <c r="M1441" s="1324">
        <f t="shared" si="689"/>
        <v>163169.76504541931</v>
      </c>
      <c r="N1441" s="1325">
        <f t="shared" si="689"/>
        <v>20369.581682038755</v>
      </c>
      <c r="O1441" s="1325">
        <f t="shared" si="689"/>
        <v>14618.234393122304</v>
      </c>
      <c r="P1441" s="1325">
        <f t="shared" si="689"/>
        <v>378.24414625783362</v>
      </c>
      <c r="Q1441" s="1324">
        <f t="shared" si="689"/>
        <v>0</v>
      </c>
      <c r="V1441" s="1324" t="s">
        <v>5789</v>
      </c>
    </row>
    <row r="1442" spans="1:25" s="1324" customFormat="1">
      <c r="A1442" s="1324" t="s">
        <v>5767</v>
      </c>
      <c r="C1442" s="1393">
        <v>27</v>
      </c>
      <c r="D1442" s="1324" t="s">
        <v>5239</v>
      </c>
      <c r="E1442" s="1324" t="s">
        <v>4067</v>
      </c>
      <c r="F1442" s="1324">
        <f t="shared" si="687"/>
        <v>594794.14105170744</v>
      </c>
      <c r="G1442" s="1324">
        <f t="shared" si="687"/>
        <v>38534.842346791978</v>
      </c>
      <c r="H1442" s="1324">
        <f t="shared" si="687"/>
        <v>556259.29870491521</v>
      </c>
      <c r="I1442" s="1374">
        <f t="shared" si="688"/>
        <v>0.935213144032227</v>
      </c>
      <c r="J1442" s="1324">
        <f t="shared" si="689"/>
        <v>556259.29870491521</v>
      </c>
      <c r="K1442" s="1324">
        <f t="shared" si="689"/>
        <v>322637.64693892444</v>
      </c>
      <c r="L1442" s="1324">
        <f t="shared" si="689"/>
        <v>26614.351570058709</v>
      </c>
      <c r="M1442" s="1324">
        <f t="shared" si="689"/>
        <v>170132.17886625283</v>
      </c>
      <c r="N1442" s="1325">
        <f t="shared" si="689"/>
        <v>21238.746732243661</v>
      </c>
      <c r="O1442" s="1325">
        <f t="shared" si="689"/>
        <v>15241.990866305481</v>
      </c>
      <c r="P1442" s="1325">
        <f t="shared" si="689"/>
        <v>394.3837311302018</v>
      </c>
      <c r="Q1442" s="1324">
        <f t="shared" si="689"/>
        <v>0</v>
      </c>
      <c r="V1442" s="1324" t="s">
        <v>5790</v>
      </c>
    </row>
    <row r="1443" spans="1:25" s="1324" customFormat="1">
      <c r="A1443" s="1324" t="s">
        <v>5767</v>
      </c>
      <c r="C1443" s="1393">
        <v>28</v>
      </c>
      <c r="D1443" s="1324" t="s">
        <v>5240</v>
      </c>
      <c r="E1443" s="1324" t="s">
        <v>4067</v>
      </c>
      <c r="F1443" s="1324">
        <f t="shared" si="687"/>
        <v>2159330.6162942359</v>
      </c>
      <c r="G1443" s="1324">
        <f t="shared" si="687"/>
        <v>0</v>
      </c>
      <c r="H1443" s="1324">
        <f t="shared" si="687"/>
        <v>2159330.6162942359</v>
      </c>
      <c r="I1443" s="1374">
        <f t="shared" si="688"/>
        <v>1</v>
      </c>
      <c r="J1443" s="1324">
        <f t="shared" si="689"/>
        <v>2159330.6162942359</v>
      </c>
      <c r="K1443" s="1324">
        <f t="shared" si="689"/>
        <v>1344001.9509495923</v>
      </c>
      <c r="L1443" s="1324">
        <f t="shared" si="689"/>
        <v>95588.78958824015</v>
      </c>
      <c r="M1443" s="1324">
        <f t="shared" si="689"/>
        <v>640026.62943863613</v>
      </c>
      <c r="N1443" s="1325">
        <f t="shared" si="689"/>
        <v>67317.932983938779</v>
      </c>
      <c r="O1443" s="1325">
        <f t="shared" si="689"/>
        <v>4.5963373210924974E-2</v>
      </c>
      <c r="P1443" s="1325">
        <f t="shared" si="689"/>
        <v>12395.267370456117</v>
      </c>
      <c r="Q1443" s="1324">
        <f t="shared" si="689"/>
        <v>0</v>
      </c>
      <c r="V1443" s="1324" t="s">
        <v>5791</v>
      </c>
    </row>
    <row r="1444" spans="1:25" s="1324" customFormat="1">
      <c r="A1444" s="1324" t="s">
        <v>5767</v>
      </c>
      <c r="C1444" s="1393">
        <v>29</v>
      </c>
      <c r="D1444" s="1324" t="s">
        <v>5241</v>
      </c>
      <c r="E1444" s="1324" t="s">
        <v>4067</v>
      </c>
      <c r="F1444" s="1324">
        <f t="shared" si="687"/>
        <v>1074798.1722257815</v>
      </c>
      <c r="G1444" s="1324">
        <f t="shared" si="687"/>
        <v>0</v>
      </c>
      <c r="H1444" s="1324">
        <f t="shared" si="687"/>
        <v>1074798.1722257815</v>
      </c>
      <c r="I1444" s="1374">
        <f t="shared" si="688"/>
        <v>1</v>
      </c>
      <c r="J1444" s="1324">
        <f t="shared" si="689"/>
        <v>1074798.1722257815</v>
      </c>
      <c r="K1444" s="1324">
        <f t="shared" si="689"/>
        <v>784208.49563306395</v>
      </c>
      <c r="L1444" s="1324">
        <f t="shared" si="689"/>
        <v>63144.347483771526</v>
      </c>
      <c r="M1444" s="1324">
        <f t="shared" si="689"/>
        <v>223557.32388483064</v>
      </c>
      <c r="N1444" s="1325">
        <f t="shared" si="689"/>
        <v>0</v>
      </c>
      <c r="O1444" s="1325">
        <f t="shared" si="689"/>
        <v>0</v>
      </c>
      <c r="P1444" s="1325">
        <f t="shared" si="689"/>
        <v>3888.0052241152839</v>
      </c>
      <c r="Q1444" s="1324">
        <f t="shared" si="689"/>
        <v>0</v>
      </c>
      <c r="V1444" s="1324" t="s">
        <v>5792</v>
      </c>
    </row>
    <row r="1445" spans="1:25" s="1324" customFormat="1">
      <c r="A1445" s="1324" t="s">
        <v>5767</v>
      </c>
      <c r="C1445" s="1393">
        <v>30</v>
      </c>
      <c r="D1445" s="1324" t="s">
        <v>5242</v>
      </c>
      <c r="E1445" s="1324" t="s">
        <v>4071</v>
      </c>
      <c r="F1445" s="1324">
        <f t="shared" si="687"/>
        <v>1011029.595133958</v>
      </c>
      <c r="G1445" s="1324">
        <f t="shared" si="687"/>
        <v>0</v>
      </c>
      <c r="H1445" s="1324">
        <f t="shared" si="687"/>
        <v>1011029.595133958</v>
      </c>
      <c r="I1445" s="1374">
        <f t="shared" si="688"/>
        <v>1</v>
      </c>
      <c r="J1445" s="1324">
        <f t="shared" si="689"/>
        <v>1011029.595133958</v>
      </c>
      <c r="K1445" s="1324">
        <f t="shared" si="689"/>
        <v>372722.85569145111</v>
      </c>
      <c r="L1445" s="1324">
        <f t="shared" si="689"/>
        <v>56537.156433522214</v>
      </c>
      <c r="M1445" s="1324">
        <f t="shared" si="689"/>
        <v>27256.520321659871</v>
      </c>
      <c r="N1445" s="1325">
        <f t="shared" si="689"/>
        <v>1757.0954359722562</v>
      </c>
      <c r="O1445" s="1325">
        <f t="shared" si="689"/>
        <v>1917.0648802154396</v>
      </c>
      <c r="P1445" s="1325">
        <f t="shared" si="689"/>
        <v>439.9892673880903</v>
      </c>
      <c r="Q1445" s="1324">
        <f t="shared" si="689"/>
        <v>550398.91310374916</v>
      </c>
      <c r="V1445" s="1324" t="s">
        <v>5793</v>
      </c>
    </row>
    <row r="1446" spans="1:25" s="1324" customFormat="1">
      <c r="A1446" s="1324" t="s">
        <v>5767</v>
      </c>
      <c r="C1446" s="1393">
        <v>31</v>
      </c>
      <c r="D1446" s="1324" t="s">
        <v>5244</v>
      </c>
      <c r="E1446" s="1324" t="s">
        <v>4071</v>
      </c>
      <c r="F1446" s="1324">
        <f t="shared" si="687"/>
        <v>245143.87349825987</v>
      </c>
      <c r="G1446" s="1324">
        <f t="shared" si="687"/>
        <v>0</v>
      </c>
      <c r="H1446" s="1324">
        <f t="shared" si="687"/>
        <v>245143.87349825987</v>
      </c>
      <c r="I1446" s="1374">
        <f t="shared" si="688"/>
        <v>1</v>
      </c>
      <c r="J1446" s="1324">
        <f t="shared" si="689"/>
        <v>245143.87349825987</v>
      </c>
      <c r="K1446" s="1324">
        <f t="shared" si="689"/>
        <v>218640.58844120818</v>
      </c>
      <c r="L1446" s="1324">
        <f t="shared" si="689"/>
        <v>21195.236804501328</v>
      </c>
      <c r="M1446" s="1324">
        <f t="shared" si="689"/>
        <v>5220.2061943863555</v>
      </c>
      <c r="N1446" s="1325">
        <f t="shared" si="689"/>
        <v>17.625267333875399</v>
      </c>
      <c r="O1446" s="1325">
        <f t="shared" si="689"/>
        <v>3.1270635592359586</v>
      </c>
      <c r="P1446" s="1325">
        <f t="shared" si="689"/>
        <v>67.089727270880559</v>
      </c>
      <c r="Q1446" s="1324">
        <f t="shared" si="689"/>
        <v>0</v>
      </c>
      <c r="V1446" s="1324" t="s">
        <v>5794</v>
      </c>
    </row>
    <row r="1447" spans="1:25" s="1324" customFormat="1">
      <c r="A1447" s="1324" t="s">
        <v>5767</v>
      </c>
      <c r="B1447" s="1326"/>
      <c r="C1447" s="1393">
        <v>32</v>
      </c>
      <c r="D1447" s="1324" t="s">
        <v>4187</v>
      </c>
      <c r="F1447" s="1421">
        <f>+SUM(F1439:F1446)</f>
        <v>13561604.757790912</v>
      </c>
      <c r="G1447" s="1421">
        <f>SUM(G1439:G1446)</f>
        <v>75492.701898636849</v>
      </c>
      <c r="H1447" s="1421">
        <f>SUM(H1439:H1446)</f>
        <v>13486112.055892274</v>
      </c>
      <c r="I1447" s="1374">
        <f t="shared" si="688"/>
        <v>0.99443335038537617</v>
      </c>
      <c r="J1447" s="1421">
        <f t="shared" ref="J1447:Q1447" si="690">SUM(J1439:J1446)</f>
        <v>13486112.055892274</v>
      </c>
      <c r="K1447" s="1421">
        <f t="shared" si="690"/>
        <v>7885961.9251174256</v>
      </c>
      <c r="L1447" s="1421">
        <f t="shared" si="690"/>
        <v>666047.85319539206</v>
      </c>
      <c r="M1447" s="1421">
        <f t="shared" si="690"/>
        <v>3675714.029916408</v>
      </c>
      <c r="N1447" s="1422">
        <f t="shared" si="690"/>
        <v>424216.10460169701</v>
      </c>
      <c r="O1447" s="1422">
        <f>SUM(O1439:O1446)</f>
        <v>257492.04547528317</v>
      </c>
      <c r="P1447" s="1422">
        <f>SUM(P1439:P1446)</f>
        <v>26281.184482321172</v>
      </c>
      <c r="Q1447" s="1421">
        <f t="shared" si="690"/>
        <v>550398.91310374916</v>
      </c>
      <c r="R1447" s="1364"/>
      <c r="S1447" s="1326"/>
      <c r="T1447" s="1326"/>
      <c r="U1447" s="1326"/>
      <c r="V1447" s="1320" t="s">
        <v>5710</v>
      </c>
    </row>
    <row r="1448" spans="1:25">
      <c r="A1448" s="1320" t="s">
        <v>5767</v>
      </c>
      <c r="B1448" s="1321"/>
      <c r="C1448" s="1322">
        <v>33</v>
      </c>
      <c r="G1448" s="1320"/>
      <c r="S1448" s="1321"/>
      <c r="T1448" s="1321"/>
      <c r="U1448" s="1326"/>
      <c r="Y1448" s="1324"/>
    </row>
    <row r="1449" spans="1:25">
      <c r="A1449" s="1320" t="s">
        <v>5767</v>
      </c>
      <c r="B1449" s="1321"/>
      <c r="C1449" s="1322">
        <v>34</v>
      </c>
      <c r="D1449" s="1356" t="s">
        <v>5795</v>
      </c>
      <c r="G1449" s="1320"/>
      <c r="S1449" s="1321"/>
      <c r="T1449" s="1321"/>
      <c r="U1449" s="1326"/>
      <c r="Y1449" s="1324"/>
    </row>
    <row r="1450" spans="1:25" s="1324" customFormat="1">
      <c r="A1450" s="1324" t="s">
        <v>5767</v>
      </c>
      <c r="B1450" s="1326"/>
      <c r="C1450" s="1393">
        <v>35</v>
      </c>
      <c r="D1450" s="1324" t="s">
        <v>5265</v>
      </c>
      <c r="E1450" s="1324" t="s">
        <v>4067</v>
      </c>
      <c r="F1450" s="1324">
        <f>+F1200</f>
        <v>1928412.7989641612</v>
      </c>
      <c r="G1450" s="1324">
        <f t="shared" ref="G1450:H1457" si="691">+G1200</f>
        <v>0</v>
      </c>
      <c r="H1450" s="1324">
        <f t="shared" si="691"/>
        <v>1928412.7989641612</v>
      </c>
      <c r="I1450" s="1374">
        <f t="shared" ref="I1450:I1458" si="692">IF(F1450=0,0,+H1450/F1450)</f>
        <v>1</v>
      </c>
      <c r="J1450" s="1324">
        <f t="shared" ref="J1450:Q1457" si="693">+J1200</f>
        <v>1928412.7989641612</v>
      </c>
      <c r="K1450" s="1324">
        <f t="shared" si="693"/>
        <v>1118504.5701406884</v>
      </c>
      <c r="L1450" s="1324">
        <f t="shared" si="693"/>
        <v>92265.345178632633</v>
      </c>
      <c r="M1450" s="1324">
        <f t="shared" si="693"/>
        <v>589805.99875847599</v>
      </c>
      <c r="N1450" s="1325">
        <f t="shared" si="693"/>
        <v>73629.458649542255</v>
      </c>
      <c r="O1450" s="1325">
        <f t="shared" si="693"/>
        <v>52840.195816431056</v>
      </c>
      <c r="P1450" s="1325">
        <f t="shared" si="693"/>
        <v>1367.2304203909955</v>
      </c>
      <c r="Q1450" s="1324">
        <f t="shared" si="693"/>
        <v>0</v>
      </c>
      <c r="S1450" s="1326"/>
      <c r="T1450" s="1326"/>
      <c r="U1450" s="1326"/>
      <c r="V1450" s="1324" t="s">
        <v>5796</v>
      </c>
    </row>
    <row r="1451" spans="1:25" s="1324" customFormat="1">
      <c r="A1451" s="1324" t="s">
        <v>5767</v>
      </c>
      <c r="B1451" s="1326"/>
      <c r="C1451" s="1393">
        <v>36</v>
      </c>
      <c r="D1451" s="1324" t="s">
        <v>5265</v>
      </c>
      <c r="E1451" s="1324" t="s">
        <v>2067</v>
      </c>
      <c r="F1451" s="1324">
        <f t="shared" ref="F1451:F1457" si="694">+F1201</f>
        <v>322619.66777948913</v>
      </c>
      <c r="G1451" s="1324">
        <f t="shared" si="691"/>
        <v>0</v>
      </c>
      <c r="H1451" s="1324">
        <f t="shared" si="691"/>
        <v>322619.66777948913</v>
      </c>
      <c r="I1451" s="1374">
        <f t="shared" si="692"/>
        <v>1</v>
      </c>
      <c r="J1451" s="1324">
        <f t="shared" si="693"/>
        <v>322619.66777948913</v>
      </c>
      <c r="K1451" s="1324">
        <f t="shared" si="693"/>
        <v>162804.91318569396</v>
      </c>
      <c r="L1451" s="1324">
        <f t="shared" si="693"/>
        <v>15045.079823144944</v>
      </c>
      <c r="M1451" s="1324">
        <f t="shared" si="693"/>
        <v>112080.00098079453</v>
      </c>
      <c r="N1451" s="1325">
        <f t="shared" si="693"/>
        <v>17841.33404848021</v>
      </c>
      <c r="O1451" s="1325">
        <f t="shared" si="693"/>
        <v>13143.92247004815</v>
      </c>
      <c r="P1451" s="1325">
        <f t="shared" si="693"/>
        <v>1704.4172713273349</v>
      </c>
      <c r="Q1451" s="1324">
        <f t="shared" si="693"/>
        <v>0</v>
      </c>
      <c r="S1451" s="1326"/>
      <c r="T1451" s="1326"/>
      <c r="U1451" s="1326"/>
      <c r="V1451" s="1324" t="s">
        <v>5797</v>
      </c>
    </row>
    <row r="1452" spans="1:25" s="1324" customFormat="1">
      <c r="A1452" s="1324" t="s">
        <v>5767</v>
      </c>
      <c r="B1452" s="1326"/>
      <c r="C1452" s="1393">
        <v>37</v>
      </c>
      <c r="D1452" s="1324" t="s">
        <v>5268</v>
      </c>
      <c r="E1452" s="1324" t="s">
        <v>4067</v>
      </c>
      <c r="F1452" s="1324">
        <f t="shared" si="694"/>
        <v>149714.92348754551</v>
      </c>
      <c r="G1452" s="1324">
        <f t="shared" si="691"/>
        <v>9699.5591842137055</v>
      </c>
      <c r="H1452" s="1324">
        <f t="shared" si="691"/>
        <v>140015.36430333179</v>
      </c>
      <c r="I1452" s="1374">
        <f t="shared" si="692"/>
        <v>0.93521314403222733</v>
      </c>
      <c r="J1452" s="1324">
        <f t="shared" si="693"/>
        <v>140015.36430333179</v>
      </c>
      <c r="K1452" s="1324">
        <f t="shared" si="693"/>
        <v>81210.737113605152</v>
      </c>
      <c r="L1452" s="1324">
        <f t="shared" si="693"/>
        <v>6699.0666752979769</v>
      </c>
      <c r="M1452" s="1324">
        <f t="shared" si="693"/>
        <v>42823.767726918733</v>
      </c>
      <c r="N1452" s="1325">
        <f t="shared" si="693"/>
        <v>5345.9795961789587</v>
      </c>
      <c r="O1452" s="1325">
        <f t="shared" si="693"/>
        <v>3836.543332978822</v>
      </c>
      <c r="P1452" s="1325">
        <f t="shared" si="693"/>
        <v>99.269858352148603</v>
      </c>
      <c r="Q1452" s="1324">
        <f t="shared" si="693"/>
        <v>0</v>
      </c>
      <c r="S1452" s="1326"/>
      <c r="T1452" s="1326"/>
      <c r="U1452" s="1326"/>
      <c r="V1452" s="1324" t="s">
        <v>5798</v>
      </c>
    </row>
    <row r="1453" spans="1:25" s="1324" customFormat="1">
      <c r="A1453" s="1324" t="s">
        <v>5767</v>
      </c>
      <c r="B1453" s="1326"/>
      <c r="C1453" s="1393">
        <v>38</v>
      </c>
      <c r="D1453" s="1324" t="s">
        <v>5239</v>
      </c>
      <c r="E1453" s="1324" t="s">
        <v>4067</v>
      </c>
      <c r="F1453" s="1324">
        <f t="shared" si="694"/>
        <v>140304.38999998066</v>
      </c>
      <c r="G1453" s="1324">
        <f t="shared" si="691"/>
        <v>9089.8803065749416</v>
      </c>
      <c r="H1453" s="1324">
        <f t="shared" si="691"/>
        <v>131214.50969340571</v>
      </c>
      <c r="I1453" s="1374">
        <f t="shared" si="692"/>
        <v>0.93521314403222733</v>
      </c>
      <c r="J1453" s="1324">
        <f t="shared" si="693"/>
        <v>131214.50969340571</v>
      </c>
      <c r="K1453" s="1324">
        <f t="shared" si="693"/>
        <v>76106.126675615116</v>
      </c>
      <c r="L1453" s="1324">
        <f t="shared" si="693"/>
        <v>6277.9878020982342</v>
      </c>
      <c r="M1453" s="1324">
        <f t="shared" si="693"/>
        <v>40132.022035371876</v>
      </c>
      <c r="N1453" s="1325">
        <f t="shared" si="693"/>
        <v>5009.9508367088611</v>
      </c>
      <c r="O1453" s="1325">
        <f t="shared" si="693"/>
        <v>3595.3922261254415</v>
      </c>
      <c r="P1453" s="1325">
        <f t="shared" si="693"/>
        <v>93.030117486192594</v>
      </c>
      <c r="Q1453" s="1324">
        <f t="shared" si="693"/>
        <v>0</v>
      </c>
      <c r="S1453" s="1326"/>
      <c r="T1453" s="1326"/>
      <c r="U1453" s="1326"/>
      <c r="V1453" s="1324" t="s">
        <v>5799</v>
      </c>
    </row>
    <row r="1454" spans="1:25" s="1324" customFormat="1">
      <c r="A1454" s="1324" t="s">
        <v>5767</v>
      </c>
      <c r="B1454" s="1326"/>
      <c r="C1454" s="1393">
        <v>39</v>
      </c>
      <c r="D1454" s="1324" t="s">
        <v>5240</v>
      </c>
      <c r="E1454" s="1324" t="s">
        <v>4067</v>
      </c>
      <c r="F1454" s="1324">
        <f t="shared" si="694"/>
        <v>646089.351016136</v>
      </c>
      <c r="G1454" s="1324">
        <f t="shared" si="691"/>
        <v>0</v>
      </c>
      <c r="H1454" s="1324">
        <f t="shared" si="691"/>
        <v>646089.351016136</v>
      </c>
      <c r="I1454" s="1374">
        <f t="shared" si="692"/>
        <v>1</v>
      </c>
      <c r="J1454" s="1324">
        <f t="shared" si="693"/>
        <v>646089.351016136</v>
      </c>
      <c r="K1454" s="1324">
        <f t="shared" si="693"/>
        <v>402136.35730486939</v>
      </c>
      <c r="L1454" s="1324">
        <f t="shared" si="693"/>
        <v>28600.94631338687</v>
      </c>
      <c r="M1454" s="1324">
        <f t="shared" si="693"/>
        <v>191501.19325252358</v>
      </c>
      <c r="N1454" s="1325">
        <f t="shared" si="693"/>
        <v>20142.075189941279</v>
      </c>
      <c r="O1454" s="1325">
        <f t="shared" si="693"/>
        <v>1.3752616548976141E-2</v>
      </c>
      <c r="P1454" s="1325">
        <f t="shared" si="693"/>
        <v>3708.7652027984886</v>
      </c>
      <c r="Q1454" s="1324">
        <f t="shared" si="693"/>
        <v>0</v>
      </c>
      <c r="S1454" s="1326"/>
      <c r="T1454" s="1326"/>
      <c r="U1454" s="1326"/>
      <c r="V1454" s="1324" t="s">
        <v>5800</v>
      </c>
    </row>
    <row r="1455" spans="1:25" s="1324" customFormat="1">
      <c r="A1455" s="1324" t="s">
        <v>5767</v>
      </c>
      <c r="B1455" s="1326"/>
      <c r="C1455" s="1393">
        <v>40</v>
      </c>
      <c r="D1455" s="1324" t="s">
        <v>5241</v>
      </c>
      <c r="E1455" s="1324" t="s">
        <v>4067</v>
      </c>
      <c r="F1455" s="1324">
        <f t="shared" si="694"/>
        <v>401759.43463110289</v>
      </c>
      <c r="G1455" s="1324">
        <f t="shared" si="691"/>
        <v>0</v>
      </c>
      <c r="H1455" s="1324">
        <f t="shared" si="691"/>
        <v>401759.43463110289</v>
      </c>
      <c r="I1455" s="1374">
        <f t="shared" si="692"/>
        <v>1</v>
      </c>
      <c r="J1455" s="1324">
        <f t="shared" si="693"/>
        <v>401759.43463110289</v>
      </c>
      <c r="K1455" s="1324">
        <f t="shared" si="693"/>
        <v>293137.04654520261</v>
      </c>
      <c r="L1455" s="1324">
        <f t="shared" si="693"/>
        <v>23603.349913308895</v>
      </c>
      <c r="M1455" s="1324">
        <f t="shared" si="693"/>
        <v>83565.702261674785</v>
      </c>
      <c r="N1455" s="1325">
        <f t="shared" si="693"/>
        <v>0</v>
      </c>
      <c r="O1455" s="1325">
        <f t="shared" si="693"/>
        <v>0</v>
      </c>
      <c r="P1455" s="1325">
        <f t="shared" si="693"/>
        <v>1453.3359109166727</v>
      </c>
      <c r="Q1455" s="1324">
        <f t="shared" si="693"/>
        <v>0</v>
      </c>
      <c r="S1455" s="1326"/>
      <c r="T1455" s="1326"/>
      <c r="U1455" s="1326"/>
      <c r="V1455" s="1324" t="s">
        <v>5801</v>
      </c>
    </row>
    <row r="1456" spans="1:25" s="1324" customFormat="1">
      <c r="A1456" s="1324" t="s">
        <v>5767</v>
      </c>
      <c r="B1456" s="1326"/>
      <c r="C1456" s="1393">
        <v>41</v>
      </c>
      <c r="D1456" s="1324" t="s">
        <v>5242</v>
      </c>
      <c r="E1456" s="1324" t="s">
        <v>4071</v>
      </c>
      <c r="F1456" s="1324">
        <f t="shared" si="694"/>
        <v>367572.06008229172</v>
      </c>
      <c r="G1456" s="1324">
        <f t="shared" si="691"/>
        <v>0</v>
      </c>
      <c r="H1456" s="1324">
        <f t="shared" si="691"/>
        <v>367572.06008229172</v>
      </c>
      <c r="I1456" s="1374">
        <f t="shared" si="692"/>
        <v>1</v>
      </c>
      <c r="J1456" s="1324">
        <f t="shared" si="693"/>
        <v>367572.06008229172</v>
      </c>
      <c r="K1456" s="1324">
        <f t="shared" si="693"/>
        <v>163643.70131428656</v>
      </c>
      <c r="L1456" s="1324">
        <f t="shared" si="693"/>
        <v>19697.484539882946</v>
      </c>
      <c r="M1456" s="1324">
        <f t="shared" si="693"/>
        <v>7341.8988623623964</v>
      </c>
      <c r="N1456" s="1325">
        <f t="shared" si="693"/>
        <v>330.32246309227224</v>
      </c>
      <c r="O1456" s="1325">
        <f t="shared" si="693"/>
        <v>360.39567355091276</v>
      </c>
      <c r="P1456" s="1325">
        <f t="shared" si="693"/>
        <v>109.23831490567461</v>
      </c>
      <c r="Q1456" s="1324">
        <f t="shared" si="693"/>
        <v>176089.01891421096</v>
      </c>
      <c r="S1456" s="1326"/>
      <c r="T1456" s="1326"/>
      <c r="U1456" s="1326"/>
      <c r="V1456" s="1324" t="s">
        <v>5802</v>
      </c>
    </row>
    <row r="1457" spans="1:25" s="1324" customFormat="1">
      <c r="A1457" s="1324" t="s">
        <v>5767</v>
      </c>
      <c r="B1457" s="1326"/>
      <c r="C1457" s="1393">
        <v>42</v>
      </c>
      <c r="D1457" s="1324" t="s">
        <v>5244</v>
      </c>
      <c r="E1457" s="1324" t="s">
        <v>4071</v>
      </c>
      <c r="F1457" s="1324">
        <f t="shared" si="694"/>
        <v>67123.870702369808</v>
      </c>
      <c r="G1457" s="1366">
        <f t="shared" si="691"/>
        <v>0</v>
      </c>
      <c r="H1457" s="1366">
        <f t="shared" si="691"/>
        <v>67123.870702369808</v>
      </c>
      <c r="I1457" s="1374">
        <f t="shared" si="692"/>
        <v>1</v>
      </c>
      <c r="J1457" s="1366">
        <f t="shared" si="693"/>
        <v>67123.870702369808</v>
      </c>
      <c r="K1457" s="1366">
        <f t="shared" si="693"/>
        <v>59866.895221111394</v>
      </c>
      <c r="L1457" s="1366">
        <f t="shared" si="693"/>
        <v>5803.5565583145435</v>
      </c>
      <c r="M1457" s="1366">
        <f t="shared" si="693"/>
        <v>1429.3665211020946</v>
      </c>
      <c r="N1457" s="1378">
        <f t="shared" si="693"/>
        <v>4.8260482659875761</v>
      </c>
      <c r="O1457" s="1378">
        <f t="shared" si="693"/>
        <v>0.85623436977198941</v>
      </c>
      <c r="P1457" s="1378">
        <f t="shared" si="693"/>
        <v>18.370119206017222</v>
      </c>
      <c r="Q1457" s="1366">
        <f t="shared" si="693"/>
        <v>0</v>
      </c>
      <c r="R1457" s="1364"/>
      <c r="S1457" s="1326"/>
      <c r="T1457" s="1326"/>
      <c r="U1457" s="1326"/>
      <c r="V1457" s="1324" t="s">
        <v>5803</v>
      </c>
    </row>
    <row r="1458" spans="1:25" s="1324" customFormat="1">
      <c r="A1458" s="1324" t="s">
        <v>5767</v>
      </c>
      <c r="C1458" s="1393">
        <v>43</v>
      </c>
      <c r="D1458" s="1324" t="s">
        <v>5804</v>
      </c>
      <c r="F1458" s="1421">
        <f>+SUM(F1450:F1457)</f>
        <v>4023596.4966630763</v>
      </c>
      <c r="G1458" s="1421">
        <f>SUM(G1450:G1457)</f>
        <v>18789.439490788645</v>
      </c>
      <c r="H1458" s="1421">
        <f>SUM(H1450:H1457)</f>
        <v>4004807.0571722877</v>
      </c>
      <c r="I1458" s="1374">
        <f t="shared" si="692"/>
        <v>0.99533018792854322</v>
      </c>
      <c r="J1458" s="1421">
        <f t="shared" ref="J1458:Q1458" si="695">SUM(J1450:J1457)</f>
        <v>4004807.0571722877</v>
      </c>
      <c r="K1458" s="1421">
        <f t="shared" si="695"/>
        <v>2357410.347501073</v>
      </c>
      <c r="L1458" s="1421">
        <f t="shared" si="695"/>
        <v>197992.81680406703</v>
      </c>
      <c r="M1458" s="1421">
        <f t="shared" si="695"/>
        <v>1068679.9503992239</v>
      </c>
      <c r="N1458" s="1422">
        <f t="shared" si="695"/>
        <v>122303.94683220984</v>
      </c>
      <c r="O1458" s="1422">
        <f>SUM(O1450:O1457)</f>
        <v>73777.319506120708</v>
      </c>
      <c r="P1458" s="1422">
        <f>SUM(P1450:P1457)</f>
        <v>8553.6572153835259</v>
      </c>
      <c r="Q1458" s="1421">
        <f t="shared" si="695"/>
        <v>176089.01891421096</v>
      </c>
      <c r="R1458" s="1364"/>
      <c r="V1458" s="1320" t="s">
        <v>5713</v>
      </c>
    </row>
    <row r="1459" spans="1:25">
      <c r="F1459" s="1358"/>
      <c r="G1459" s="1358"/>
      <c r="H1459" s="1358"/>
      <c r="J1459" s="1364"/>
      <c r="K1459" s="1364"/>
      <c r="L1459" s="1364"/>
      <c r="M1459" s="1367"/>
      <c r="N1459" s="1367"/>
      <c r="O1459" s="1367"/>
      <c r="P1459" s="1364"/>
      <c r="Q1459" s="1364"/>
      <c r="R1459" s="1358"/>
      <c r="Y1459" s="1324"/>
    </row>
    <row r="1460" spans="1:25">
      <c r="G1460" s="1320"/>
      <c r="Y1460" s="1324"/>
    </row>
    <row r="1461" spans="1:25">
      <c r="G1461" s="1320"/>
      <c r="Y1461" s="1324"/>
    </row>
    <row r="1462" spans="1:25">
      <c r="G1462" s="1320"/>
    </row>
    <row r="1463" spans="1:25">
      <c r="G1463" s="1320"/>
    </row>
    <row r="1464" spans="1:25">
      <c r="B1464" s="1432"/>
      <c r="C1464" s="1340" t="str">
        <f>+C$2</f>
        <v>RATES WITH REVENUE DEFICIENCY ADDITION</v>
      </c>
      <c r="F1464" s="1333"/>
      <c r="G1464" s="1327" t="s">
        <v>2173</v>
      </c>
      <c r="I1464" s="1334" t="s">
        <v>5765</v>
      </c>
      <c r="L1464" s="1329" t="s">
        <v>2173</v>
      </c>
      <c r="M1464" s="1330"/>
      <c r="N1464" s="1330"/>
      <c r="O1464" s="1330"/>
      <c r="S1464" s="1334" t="s">
        <v>5805</v>
      </c>
      <c r="T1464" s="1333" t="s">
        <v>2173</v>
      </c>
      <c r="U1464" s="1431"/>
      <c r="V1464" s="1332" t="s">
        <v>4772</v>
      </c>
    </row>
    <row r="1465" spans="1:25">
      <c r="B1465" s="1432"/>
      <c r="C1465" s="1340" t="str">
        <f>+C$3</f>
        <v>PROD. CAP. ALLOC. METHOD: 12 CP &amp; 1/13th AD</v>
      </c>
      <c r="G1465" s="1336" t="s">
        <v>4768</v>
      </c>
      <c r="I1465" s="1335" t="s">
        <v>4959</v>
      </c>
      <c r="L1465" s="1336" t="s">
        <v>5141</v>
      </c>
      <c r="M1465" s="1337"/>
      <c r="N1465" s="1337"/>
      <c r="O1465" s="1337"/>
      <c r="R1465" s="1331"/>
      <c r="S1465" s="1335" t="s">
        <v>3042</v>
      </c>
      <c r="T1465" s="1333" t="s">
        <v>5141</v>
      </c>
      <c r="U1465" s="1326"/>
      <c r="V1465" s="1332" t="s">
        <v>5805</v>
      </c>
    </row>
    <row r="1466" spans="1:25">
      <c r="B1466" s="1321"/>
      <c r="C1466" s="1340" t="str">
        <f>+C$4</f>
        <v>PROJECTED CALENDAR YEAR 2025; FULLY ADJUSTED DATA</v>
      </c>
      <c r="G1466" s="1336" t="s">
        <v>2181</v>
      </c>
      <c r="L1466" s="1336" t="s">
        <v>2181</v>
      </c>
      <c r="S1466" s="1321"/>
      <c r="T1466" s="1339"/>
      <c r="U1466" s="1326"/>
    </row>
    <row r="1467" spans="1:25">
      <c r="B1467" s="1321"/>
      <c r="C1467" s="1340" t="str">
        <f>+C$5</f>
        <v>MINIMUM DISTRIBUTION SYSTEM (MDS) NOT EMPLOYED</v>
      </c>
      <c r="D1467" s="1358"/>
      <c r="G1467" s="1320"/>
      <c r="L1467" s="1336"/>
      <c r="M1467" s="1337"/>
      <c r="N1467" s="1337"/>
      <c r="O1467" s="1337"/>
      <c r="S1467" s="1321"/>
      <c r="T1467" s="1333"/>
      <c r="U1467" s="1326"/>
    </row>
    <row r="1468" spans="1:25">
      <c r="B1468" s="1321"/>
      <c r="C1468" s="1340" t="str">
        <f>+C$6</f>
        <v>Tampa Electric 2025 OB Budget</v>
      </c>
      <c r="F1468" s="1327"/>
      <c r="G1468" s="1333" t="s">
        <v>5766</v>
      </c>
      <c r="L1468" s="1336" t="s">
        <v>5766</v>
      </c>
      <c r="M1468" s="1337"/>
      <c r="N1468" s="1337"/>
      <c r="O1468" s="1337"/>
      <c r="S1468" s="1321"/>
      <c r="T1468" s="1333" t="s">
        <v>5766</v>
      </c>
      <c r="U1468" s="1326"/>
    </row>
    <row r="1469" spans="1:25">
      <c r="B1469" s="1321"/>
      <c r="F1469" s="1333"/>
      <c r="G1469" s="1320"/>
      <c r="L1469" s="1336"/>
      <c r="M1469" s="1337"/>
      <c r="N1469" s="1337"/>
      <c r="O1469" s="1337"/>
      <c r="S1469" s="1321"/>
      <c r="T1469" s="1321"/>
      <c r="U1469" s="1326"/>
    </row>
    <row r="1470" spans="1:25">
      <c r="B1470" s="1321"/>
      <c r="F1470" s="1333"/>
      <c r="G1470" s="1320"/>
      <c r="L1470" s="1336"/>
      <c r="M1470" s="1337"/>
      <c r="N1470" s="1337"/>
      <c r="O1470" s="1337"/>
      <c r="S1470" s="1321"/>
      <c r="T1470" s="1321"/>
      <c r="U1470" s="1326"/>
    </row>
    <row r="1471" spans="1:25">
      <c r="B1471" s="1321"/>
      <c r="G1471" s="1320"/>
      <c r="S1471" s="1321"/>
      <c r="T1471" s="1321"/>
      <c r="U1471" s="1326"/>
    </row>
    <row r="1472" spans="1:25">
      <c r="B1472" s="1321"/>
      <c r="C1472" s="1342"/>
      <c r="D1472" s="1331"/>
      <c r="E1472" s="1331"/>
      <c r="F1472" s="1333"/>
      <c r="G1472" s="1333"/>
      <c r="H1472" s="1333"/>
      <c r="I1472" s="1343"/>
      <c r="J1472" s="1416"/>
      <c r="K1472" s="1336"/>
      <c r="L1472" s="1416"/>
      <c r="M1472" s="1417"/>
      <c r="N1472" s="1417"/>
      <c r="O1472" s="1417"/>
      <c r="P1472" s="96"/>
      <c r="Q1472" s="96"/>
      <c r="R1472" s="1333"/>
      <c r="S1472" s="1321"/>
      <c r="T1472" s="1321"/>
      <c r="U1472" s="1326"/>
    </row>
    <row r="1473" spans="1:25" ht="30" customHeight="1">
      <c r="A1473" s="1418" t="s">
        <v>4683</v>
      </c>
      <c r="B1473" s="1425" t="s">
        <v>5143</v>
      </c>
      <c r="C1473" s="1349" t="s">
        <v>4297</v>
      </c>
      <c r="D1473" s="1418"/>
      <c r="E1473" s="1418"/>
      <c r="F1473" s="1348" t="s">
        <v>5144</v>
      </c>
      <c r="G1473" s="1348" t="s">
        <v>4956</v>
      </c>
      <c r="H1473" s="1348" t="s">
        <v>4957</v>
      </c>
      <c r="I1473" s="1426" t="s">
        <v>5145</v>
      </c>
      <c r="J1473" s="1352" t="s">
        <v>4957</v>
      </c>
      <c r="K1473" s="1353" t="s">
        <v>1949</v>
      </c>
      <c r="L1473" s="1353" t="s">
        <v>1950</v>
      </c>
      <c r="M1473" s="1354" t="s">
        <v>1934</v>
      </c>
      <c r="N1473" s="1354" t="s">
        <v>1971</v>
      </c>
      <c r="O1473" s="1354" t="s">
        <v>1972</v>
      </c>
      <c r="P1473" s="1352" t="s">
        <v>5146</v>
      </c>
      <c r="Q1473" s="1352" t="s">
        <v>5147</v>
      </c>
      <c r="R1473" s="1355"/>
      <c r="S1473" s="1348" t="s">
        <v>5299</v>
      </c>
      <c r="T1473" s="1348"/>
      <c r="U1473" s="1352"/>
      <c r="V1473" s="1355" t="s">
        <v>4774</v>
      </c>
    </row>
    <row r="1474" spans="1:25">
      <c r="B1474" s="1321"/>
      <c r="G1474" s="1320"/>
      <c r="S1474" s="1321"/>
      <c r="T1474" s="1321"/>
      <c r="U1474" s="1326"/>
    </row>
    <row r="1475" spans="1:25">
      <c r="A1475" s="1320" t="s">
        <v>5767</v>
      </c>
      <c r="B1475" s="1321"/>
      <c r="C1475" s="1322">
        <v>44</v>
      </c>
      <c r="D1475" s="1356" t="s">
        <v>5806</v>
      </c>
      <c r="G1475" s="1320"/>
      <c r="S1475" s="1321"/>
      <c r="T1475" s="1321"/>
      <c r="U1475" s="1326"/>
      <c r="V1475" s="1365"/>
    </row>
    <row r="1476" spans="1:25">
      <c r="A1476" s="1320" t="s">
        <v>5767</v>
      </c>
      <c r="B1476" s="1321"/>
      <c r="C1476" s="1322">
        <v>45</v>
      </c>
      <c r="D1476" s="1320" t="s">
        <v>5265</v>
      </c>
      <c r="E1476" s="1320" t="s">
        <v>4067</v>
      </c>
      <c r="F1476" s="1320">
        <f>+F1439-F1450</f>
        <v>5297094.1610301984</v>
      </c>
      <c r="G1476" s="1320">
        <f t="shared" ref="G1476:H1483" si="696">+G1439-G1450</f>
        <v>0</v>
      </c>
      <c r="H1476" s="1320">
        <f t="shared" si="696"/>
        <v>5297094.1610301984</v>
      </c>
      <c r="I1476" s="1323">
        <f t="shared" ref="I1476:I1484" si="697">IF(F1476=0,0,+H1476/F1476)</f>
        <v>1</v>
      </c>
      <c r="J1476" s="1324">
        <f t="shared" ref="J1476:Q1483" si="698">+J1439-J1450</f>
        <v>5297094.1610301984</v>
      </c>
      <c r="K1476" s="1324">
        <f t="shared" si="698"/>
        <v>3072383.6881607128</v>
      </c>
      <c r="L1476" s="1324">
        <f t="shared" si="698"/>
        <v>253440.66450590594</v>
      </c>
      <c r="M1476" s="1324">
        <f t="shared" si="698"/>
        <v>1620118.8427302961</v>
      </c>
      <c r="N1476" s="1325">
        <f t="shared" si="698"/>
        <v>202250.35620060359</v>
      </c>
      <c r="O1476" s="1325">
        <f t="shared" si="698"/>
        <v>145145.00882656252</v>
      </c>
      <c r="P1476" s="1325">
        <f t="shared" si="698"/>
        <v>3755.6006061182561</v>
      </c>
      <c r="Q1476" s="1324">
        <f t="shared" si="698"/>
        <v>0</v>
      </c>
      <c r="S1476" s="1321"/>
      <c r="T1476" s="1321"/>
      <c r="U1476" s="1326"/>
      <c r="V1476" s="1320" t="s">
        <v>5807</v>
      </c>
    </row>
    <row r="1477" spans="1:25">
      <c r="A1477" s="1320" t="s">
        <v>5767</v>
      </c>
      <c r="B1477" s="1321"/>
      <c r="C1477" s="1322">
        <v>46</v>
      </c>
      <c r="D1477" s="1320" t="s">
        <v>5265</v>
      </c>
      <c r="E1477" s="1320" t="s">
        <v>2067</v>
      </c>
      <c r="F1477" s="1320">
        <f t="shared" ref="F1477:F1483" si="699">+F1440-F1451</f>
        <v>357928.68235152826</v>
      </c>
      <c r="G1477" s="1320">
        <f t="shared" si="696"/>
        <v>0</v>
      </c>
      <c r="H1477" s="1320">
        <f t="shared" si="696"/>
        <v>357928.68235152826</v>
      </c>
      <c r="I1477" s="1323">
        <f t="shared" si="697"/>
        <v>1</v>
      </c>
      <c r="J1477" s="1324">
        <f t="shared" si="698"/>
        <v>357928.68235152826</v>
      </c>
      <c r="K1477" s="1324">
        <f t="shared" si="698"/>
        <v>180623.04898515897</v>
      </c>
      <c r="L1477" s="1324">
        <f t="shared" si="698"/>
        <v>16691.684155637184</v>
      </c>
      <c r="M1477" s="1324">
        <f t="shared" si="698"/>
        <v>124346.56369565644</v>
      </c>
      <c r="N1477" s="1325">
        <f t="shared" si="698"/>
        <v>19793.973601543606</v>
      </c>
      <c r="O1477" s="1325">
        <f t="shared" si="698"/>
        <v>14582.455195665774</v>
      </c>
      <c r="P1477" s="1325">
        <f t="shared" si="698"/>
        <v>1890.9567178661798</v>
      </c>
      <c r="Q1477" s="1324">
        <f t="shared" si="698"/>
        <v>0</v>
      </c>
      <c r="S1477" s="1321"/>
      <c r="T1477" s="1321"/>
      <c r="U1477" s="1326"/>
      <c r="V1477" s="1320" t="s">
        <v>5808</v>
      </c>
      <c r="Y1477" s="1324"/>
    </row>
    <row r="1478" spans="1:25">
      <c r="A1478" s="1320" t="s">
        <v>5767</v>
      </c>
      <c r="B1478" s="1321"/>
      <c r="C1478" s="1322">
        <v>47</v>
      </c>
      <c r="D1478" s="1320" t="s">
        <v>5268</v>
      </c>
      <c r="E1478" s="1320" t="s">
        <v>4067</v>
      </c>
      <c r="F1478" s="1320">
        <f t="shared" si="699"/>
        <v>420738.12597404729</v>
      </c>
      <c r="G1478" s="1320">
        <f t="shared" si="696"/>
        <v>27258.300367631156</v>
      </c>
      <c r="H1478" s="1320">
        <f t="shared" si="696"/>
        <v>393479.82560641598</v>
      </c>
      <c r="I1478" s="1323">
        <f t="shared" si="697"/>
        <v>0.93521314403222711</v>
      </c>
      <c r="J1478" s="1324">
        <f t="shared" si="698"/>
        <v>393479.82560641598</v>
      </c>
      <c r="K1478" s="1324">
        <f t="shared" si="698"/>
        <v>228223.42987732723</v>
      </c>
      <c r="L1478" s="1324">
        <f t="shared" si="698"/>
        <v>18826.130976679364</v>
      </c>
      <c r="M1478" s="1324">
        <f t="shared" si="698"/>
        <v>120345.99731850057</v>
      </c>
      <c r="N1478" s="1325">
        <f t="shared" si="698"/>
        <v>15023.602085859797</v>
      </c>
      <c r="O1478" s="1325">
        <f t="shared" si="698"/>
        <v>10781.691060143483</v>
      </c>
      <c r="P1478" s="1325">
        <f t="shared" si="698"/>
        <v>278.974287905685</v>
      </c>
      <c r="Q1478" s="1324">
        <f t="shared" si="698"/>
        <v>0</v>
      </c>
      <c r="S1478" s="1321"/>
      <c r="T1478" s="1321"/>
      <c r="U1478" s="1326"/>
      <c r="V1478" s="1320" t="s">
        <v>5809</v>
      </c>
      <c r="Y1478" s="1324"/>
    </row>
    <row r="1479" spans="1:25">
      <c r="A1479" s="1320" t="s">
        <v>5767</v>
      </c>
      <c r="B1479" s="1321"/>
      <c r="C1479" s="1322">
        <v>48</v>
      </c>
      <c r="D1479" s="1320" t="s">
        <v>5239</v>
      </c>
      <c r="E1479" s="1320" t="s">
        <v>4067</v>
      </c>
      <c r="F1479" s="1320">
        <f t="shared" si="699"/>
        <v>454489.75105172675</v>
      </c>
      <c r="G1479" s="1320">
        <f t="shared" si="696"/>
        <v>29444.962040217037</v>
      </c>
      <c r="H1479" s="1320">
        <f t="shared" si="696"/>
        <v>425044.78901150951</v>
      </c>
      <c r="I1479" s="1323">
        <f t="shared" si="697"/>
        <v>0.935213144032227</v>
      </c>
      <c r="J1479" s="1324">
        <f t="shared" si="698"/>
        <v>425044.78901150951</v>
      </c>
      <c r="K1479" s="1324">
        <f t="shared" si="698"/>
        <v>246531.52026330933</v>
      </c>
      <c r="L1479" s="1324">
        <f t="shared" si="698"/>
        <v>20336.363767960473</v>
      </c>
      <c r="M1479" s="1324">
        <f t="shared" si="698"/>
        <v>130000.15683088095</v>
      </c>
      <c r="N1479" s="1325">
        <f t="shared" si="698"/>
        <v>16228.7958955348</v>
      </c>
      <c r="O1479" s="1325">
        <f t="shared" si="698"/>
        <v>11646.59864018004</v>
      </c>
      <c r="P1479" s="1325">
        <f t="shared" si="698"/>
        <v>301.35361364400922</v>
      </c>
      <c r="Q1479" s="1324">
        <f t="shared" si="698"/>
        <v>0</v>
      </c>
      <c r="S1479" s="1321"/>
      <c r="T1479" s="1321"/>
      <c r="U1479" s="1326"/>
      <c r="V1479" s="1320" t="s">
        <v>5810</v>
      </c>
    </row>
    <row r="1480" spans="1:25">
      <c r="A1480" s="1320" t="s">
        <v>5767</v>
      </c>
      <c r="B1480" s="1321"/>
      <c r="C1480" s="1322">
        <v>49</v>
      </c>
      <c r="D1480" s="1320" t="s">
        <v>5240</v>
      </c>
      <c r="E1480" s="1320" t="s">
        <v>4067</v>
      </c>
      <c r="F1480" s="1320">
        <f t="shared" si="699"/>
        <v>1513241.2652781</v>
      </c>
      <c r="G1480" s="1320">
        <f t="shared" si="696"/>
        <v>0</v>
      </c>
      <c r="H1480" s="1320">
        <f t="shared" si="696"/>
        <v>1513241.2652781</v>
      </c>
      <c r="I1480" s="1323">
        <f t="shared" si="697"/>
        <v>1</v>
      </c>
      <c r="J1480" s="1324">
        <f t="shared" si="698"/>
        <v>1513241.2652781</v>
      </c>
      <c r="K1480" s="1324">
        <f t="shared" si="698"/>
        <v>941865.59364472283</v>
      </c>
      <c r="L1480" s="1324">
        <f t="shared" si="698"/>
        <v>66987.84327485328</v>
      </c>
      <c r="M1480" s="1324">
        <f t="shared" si="698"/>
        <v>448525.43618611258</v>
      </c>
      <c r="N1480" s="1325">
        <f t="shared" si="698"/>
        <v>47175.8577939975</v>
      </c>
      <c r="O1480" s="1325">
        <f t="shared" si="698"/>
        <v>3.2210756661948836E-2</v>
      </c>
      <c r="P1480" s="1325">
        <f t="shared" si="698"/>
        <v>8686.5021676576289</v>
      </c>
      <c r="Q1480" s="1324">
        <f t="shared" si="698"/>
        <v>0</v>
      </c>
      <c r="S1480" s="1321"/>
      <c r="T1480" s="1321"/>
      <c r="U1480" s="1326"/>
      <c r="V1480" s="1320" t="s">
        <v>5811</v>
      </c>
    </row>
    <row r="1481" spans="1:25">
      <c r="A1481" s="1320" t="s">
        <v>5767</v>
      </c>
      <c r="B1481" s="1321"/>
      <c r="C1481" s="1322">
        <v>50</v>
      </c>
      <c r="D1481" s="1320" t="s">
        <v>5241</v>
      </c>
      <c r="E1481" s="1320" t="s">
        <v>4067</v>
      </c>
      <c r="F1481" s="1320">
        <f t="shared" si="699"/>
        <v>673038.73759467853</v>
      </c>
      <c r="G1481" s="1320">
        <f t="shared" si="696"/>
        <v>0</v>
      </c>
      <c r="H1481" s="1320">
        <f t="shared" si="696"/>
        <v>673038.73759467853</v>
      </c>
      <c r="I1481" s="1323">
        <f t="shared" si="697"/>
        <v>1</v>
      </c>
      <c r="J1481" s="1324">
        <f t="shared" si="698"/>
        <v>673038.73759467853</v>
      </c>
      <c r="K1481" s="1324">
        <f t="shared" si="698"/>
        <v>491071.44908786134</v>
      </c>
      <c r="L1481" s="1324">
        <f t="shared" si="698"/>
        <v>39540.997570462627</v>
      </c>
      <c r="M1481" s="1324">
        <f t="shared" si="698"/>
        <v>139991.62162315584</v>
      </c>
      <c r="N1481" s="1325">
        <f t="shared" si="698"/>
        <v>0</v>
      </c>
      <c r="O1481" s="1325">
        <f t="shared" si="698"/>
        <v>0</v>
      </c>
      <c r="P1481" s="1325">
        <f t="shared" si="698"/>
        <v>2434.6693131986112</v>
      </c>
      <c r="Q1481" s="1324">
        <f t="shared" si="698"/>
        <v>0</v>
      </c>
      <c r="S1481" s="1321"/>
      <c r="T1481" s="1321"/>
      <c r="U1481" s="1326"/>
      <c r="V1481" s="1320" t="s">
        <v>5812</v>
      </c>
    </row>
    <row r="1482" spans="1:25">
      <c r="A1482" s="1320" t="s">
        <v>5767</v>
      </c>
      <c r="B1482" s="1321"/>
      <c r="C1482" s="1322">
        <v>51</v>
      </c>
      <c r="D1482" s="1320" t="s">
        <v>5242</v>
      </c>
      <c r="E1482" s="1320" t="s">
        <v>4071</v>
      </c>
      <c r="F1482" s="1320">
        <f t="shared" si="699"/>
        <v>643457.53505166632</v>
      </c>
      <c r="G1482" s="1320">
        <f t="shared" si="696"/>
        <v>0</v>
      </c>
      <c r="H1482" s="1320">
        <f t="shared" si="696"/>
        <v>643457.53505166632</v>
      </c>
      <c r="I1482" s="1323">
        <f t="shared" si="697"/>
        <v>1</v>
      </c>
      <c r="J1482" s="1324">
        <f t="shared" si="698"/>
        <v>643457.53505166632</v>
      </c>
      <c r="K1482" s="1324">
        <f t="shared" si="698"/>
        <v>209079.15437716455</v>
      </c>
      <c r="L1482" s="1324">
        <f t="shared" si="698"/>
        <v>36839.671893639272</v>
      </c>
      <c r="M1482" s="1324">
        <f t="shared" si="698"/>
        <v>19914.621459297476</v>
      </c>
      <c r="N1482" s="1325">
        <f t="shared" si="698"/>
        <v>1426.7729728799839</v>
      </c>
      <c r="O1482" s="1325">
        <f t="shared" si="698"/>
        <v>1556.6692066645269</v>
      </c>
      <c r="P1482" s="1325">
        <f t="shared" si="698"/>
        <v>330.7509524824157</v>
      </c>
      <c r="Q1482" s="1324">
        <f t="shared" si="698"/>
        <v>374309.8941895382</v>
      </c>
      <c r="S1482" s="1321"/>
      <c r="T1482" s="1321"/>
      <c r="U1482" s="1326"/>
      <c r="V1482" s="1320" t="s">
        <v>5813</v>
      </c>
    </row>
    <row r="1483" spans="1:25">
      <c r="A1483" s="1320" t="s">
        <v>5767</v>
      </c>
      <c r="B1483" s="1321"/>
      <c r="C1483" s="1322">
        <v>52</v>
      </c>
      <c r="D1483" s="1320" t="s">
        <v>5244</v>
      </c>
      <c r="E1483" s="1320" t="s">
        <v>4071</v>
      </c>
      <c r="F1483" s="1320">
        <f t="shared" si="699"/>
        <v>178020.00279589006</v>
      </c>
      <c r="G1483" s="1320">
        <f t="shared" si="696"/>
        <v>0</v>
      </c>
      <c r="H1483" s="1320">
        <f t="shared" si="696"/>
        <v>178020.00279589006</v>
      </c>
      <c r="I1483" s="1323">
        <f t="shared" si="697"/>
        <v>1</v>
      </c>
      <c r="J1483" s="1324">
        <f t="shared" si="698"/>
        <v>178020.00279589006</v>
      </c>
      <c r="K1483" s="1324">
        <f t="shared" si="698"/>
        <v>158773.69322009679</v>
      </c>
      <c r="L1483" s="1324">
        <f t="shared" si="698"/>
        <v>15391.680246186785</v>
      </c>
      <c r="M1483" s="1324">
        <f t="shared" si="698"/>
        <v>3790.8396732842612</v>
      </c>
      <c r="N1483" s="1325">
        <f t="shared" si="698"/>
        <v>12.799219067887822</v>
      </c>
      <c r="O1483" s="1325">
        <f t="shared" si="698"/>
        <v>2.2708291894639689</v>
      </c>
      <c r="P1483" s="1325">
        <f t="shared" si="698"/>
        <v>48.719608064863337</v>
      </c>
      <c r="Q1483" s="1324">
        <f t="shared" si="698"/>
        <v>0</v>
      </c>
      <c r="S1483" s="1321"/>
      <c r="T1483" s="1321"/>
      <c r="U1483" s="1326"/>
      <c r="V1483" s="1320" t="s">
        <v>5814</v>
      </c>
    </row>
    <row r="1484" spans="1:25">
      <c r="A1484" s="1320" t="s">
        <v>5767</v>
      </c>
      <c r="B1484" s="1321"/>
      <c r="C1484" s="1322">
        <v>53</v>
      </c>
      <c r="D1484" s="1320" t="s">
        <v>5815</v>
      </c>
      <c r="F1484" s="1427">
        <f>+SUM(F1476:F1483)</f>
        <v>9538008.2611278351</v>
      </c>
      <c r="G1484" s="1427">
        <f>SUM(G1476:G1483)</f>
        <v>56703.262407848189</v>
      </c>
      <c r="H1484" s="1427">
        <f>SUM(H1476:H1483)</f>
        <v>9481304.9987199865</v>
      </c>
      <c r="I1484" s="1323">
        <f t="shared" si="697"/>
        <v>0.99405502062323192</v>
      </c>
      <c r="J1484" s="1421">
        <f t="shared" ref="J1484:Q1484" si="700">SUM(J1476:J1483)</f>
        <v>9481304.9987199865</v>
      </c>
      <c r="K1484" s="1421">
        <f t="shared" si="700"/>
        <v>5528551.5776163526</v>
      </c>
      <c r="L1484" s="1421">
        <f t="shared" si="700"/>
        <v>468055.03639132495</v>
      </c>
      <c r="M1484" s="1421">
        <f t="shared" si="700"/>
        <v>2607034.0795171843</v>
      </c>
      <c r="N1484" s="1422">
        <f t="shared" si="700"/>
        <v>301912.15776948718</v>
      </c>
      <c r="O1484" s="1422">
        <f>SUM(O1476:O1483)</f>
        <v>183714.72596916248</v>
      </c>
      <c r="P1484" s="1422">
        <f>SUM(P1476:P1483)</f>
        <v>17727.52726693765</v>
      </c>
      <c r="Q1484" s="1421">
        <f t="shared" si="700"/>
        <v>374309.8941895382</v>
      </c>
      <c r="R1484" s="1358"/>
      <c r="S1484" s="1321"/>
      <c r="T1484" s="1321"/>
      <c r="U1484" s="1326"/>
      <c r="V1484" s="1320" t="s">
        <v>5816</v>
      </c>
      <c r="Y1484" s="1324"/>
    </row>
    <row r="1485" spans="1:25">
      <c r="A1485" s="1320" t="s">
        <v>5767</v>
      </c>
      <c r="B1485" s="1321"/>
      <c r="C1485" s="1322">
        <v>54</v>
      </c>
      <c r="G1485" s="1320"/>
      <c r="S1485" s="1321"/>
      <c r="T1485" s="1321"/>
      <c r="U1485" s="1326"/>
      <c r="Y1485" s="1324"/>
    </row>
    <row r="1486" spans="1:25">
      <c r="A1486" s="1320" t="s">
        <v>5767</v>
      </c>
      <c r="B1486" s="1321"/>
      <c r="C1486" s="1322">
        <v>55</v>
      </c>
      <c r="D1486" s="1356" t="s">
        <v>5817</v>
      </c>
      <c r="G1486" s="1320"/>
      <c r="S1486" s="1321"/>
      <c r="T1486" s="1321"/>
      <c r="U1486" s="1326"/>
      <c r="Y1486" s="1324"/>
    </row>
    <row r="1487" spans="1:25">
      <c r="A1487" s="1320" t="s">
        <v>5767</v>
      </c>
      <c r="B1487" s="1321"/>
      <c r="C1487" s="1322">
        <v>56</v>
      </c>
      <c r="D1487" s="1320" t="s">
        <v>5265</v>
      </c>
      <c r="E1487" s="1320" t="s">
        <v>4067</v>
      </c>
      <c r="F1487" s="1320">
        <f>+F1305</f>
        <v>31162.773017915024</v>
      </c>
      <c r="G1487" s="1320">
        <f t="shared" ref="G1487:H1494" si="701">+G1305</f>
        <v>0</v>
      </c>
      <c r="H1487" s="1320">
        <f t="shared" si="701"/>
        <v>31162.773017915024</v>
      </c>
      <c r="I1487" s="1323">
        <f t="shared" ref="I1487:I1495" si="702">IF(F1487=0,0,+H1487/F1487)</f>
        <v>1</v>
      </c>
      <c r="J1487" s="1324">
        <f t="shared" ref="J1487:Q1494" si="703">+J1305</f>
        <v>31162.773017915024</v>
      </c>
      <c r="K1487" s="1324">
        <f t="shared" si="703"/>
        <v>18074.814716806228</v>
      </c>
      <c r="L1487" s="1324">
        <f t="shared" si="703"/>
        <v>1490.9899015219853</v>
      </c>
      <c r="M1487" s="1324">
        <f t="shared" si="703"/>
        <v>9531.1493855401495</v>
      </c>
      <c r="N1487" s="1325">
        <f t="shared" si="703"/>
        <v>1189.8376263423106</v>
      </c>
      <c r="O1487" s="1325">
        <f t="shared" si="703"/>
        <v>853.88721197770246</v>
      </c>
      <c r="P1487" s="1325">
        <f t="shared" si="703"/>
        <v>22.094175726648928</v>
      </c>
      <c r="Q1487" s="1324">
        <f t="shared" si="703"/>
        <v>0</v>
      </c>
      <c r="S1487" s="1321"/>
      <c r="T1487" s="1321"/>
      <c r="U1487" s="1326"/>
      <c r="V1487" s="1320" t="s">
        <v>5818</v>
      </c>
      <c r="Y1487" s="1324"/>
    </row>
    <row r="1488" spans="1:25">
      <c r="A1488" s="1320" t="s">
        <v>5767</v>
      </c>
      <c r="B1488" s="1321"/>
      <c r="C1488" s="1322">
        <v>57</v>
      </c>
      <c r="D1488" s="1320" t="s">
        <v>5265</v>
      </c>
      <c r="E1488" s="1320" t="s">
        <v>2067</v>
      </c>
      <c r="F1488" s="1320">
        <f t="shared" ref="F1488:F1494" si="704">+F1306</f>
        <v>38681.936109600938</v>
      </c>
      <c r="G1488" s="1320">
        <f t="shared" si="701"/>
        <v>0</v>
      </c>
      <c r="H1488" s="1320">
        <f t="shared" si="701"/>
        <v>38681.936109600938</v>
      </c>
      <c r="I1488" s="1323">
        <f t="shared" si="702"/>
        <v>1</v>
      </c>
      <c r="J1488" s="1324">
        <f t="shared" si="703"/>
        <v>38681.936109600938</v>
      </c>
      <c r="K1488" s="1324">
        <f t="shared" si="703"/>
        <v>19520.227311381903</v>
      </c>
      <c r="L1488" s="1324">
        <f t="shared" si="703"/>
        <v>1803.8975134042907</v>
      </c>
      <c r="M1488" s="1324">
        <f t="shared" si="703"/>
        <v>13438.33581797128</v>
      </c>
      <c r="N1488" s="1325">
        <f t="shared" si="703"/>
        <v>2139.1669904175487</v>
      </c>
      <c r="O1488" s="1325">
        <f t="shared" si="703"/>
        <v>1575.9497017505598</v>
      </c>
      <c r="P1488" s="1325">
        <f t="shared" si="703"/>
        <v>204.35877467534823</v>
      </c>
      <c r="Q1488" s="1324">
        <f t="shared" si="703"/>
        <v>0</v>
      </c>
      <c r="S1488" s="1321"/>
      <c r="T1488" s="1321"/>
      <c r="U1488" s="1326"/>
      <c r="V1488" s="1320" t="s">
        <v>5819</v>
      </c>
      <c r="Y1488" s="1324"/>
    </row>
    <row r="1489" spans="1:25">
      <c r="A1489" s="1320" t="s">
        <v>5767</v>
      </c>
      <c r="B1489" s="1321"/>
      <c r="C1489" s="1322">
        <v>58</v>
      </c>
      <c r="D1489" s="1320" t="s">
        <v>5268</v>
      </c>
      <c r="E1489" s="1320" t="s">
        <v>4067</v>
      </c>
      <c r="F1489" s="1320">
        <f t="shared" si="704"/>
        <v>2472.7329249705654</v>
      </c>
      <c r="G1489" s="1320">
        <f t="shared" si="701"/>
        <v>160.20059185683772</v>
      </c>
      <c r="H1489" s="1320">
        <f t="shared" si="701"/>
        <v>2312.5323331137297</v>
      </c>
      <c r="I1489" s="1323">
        <f t="shared" si="702"/>
        <v>0.93521314403222799</v>
      </c>
      <c r="J1489" s="1324">
        <f t="shared" si="703"/>
        <v>2312.5323331137297</v>
      </c>
      <c r="K1489" s="1324">
        <f t="shared" si="703"/>
        <v>1341.2989089136863</v>
      </c>
      <c r="L1489" s="1324">
        <f t="shared" si="703"/>
        <v>110.64363090003144</v>
      </c>
      <c r="M1489" s="1324">
        <f t="shared" si="703"/>
        <v>707.28914635188448</v>
      </c>
      <c r="N1489" s="1325">
        <f t="shared" si="703"/>
        <v>88.295671906029156</v>
      </c>
      <c r="O1489" s="1325">
        <f t="shared" si="703"/>
        <v>63.365406711256924</v>
      </c>
      <c r="P1489" s="1325">
        <f t="shared" si="703"/>
        <v>1.6395683308413957</v>
      </c>
      <c r="Q1489" s="1324">
        <f t="shared" si="703"/>
        <v>0</v>
      </c>
      <c r="S1489" s="1321"/>
      <c r="T1489" s="1321"/>
      <c r="U1489" s="1326"/>
      <c r="V1489" s="1320" t="s">
        <v>5820</v>
      </c>
      <c r="Y1489" s="1324"/>
    </row>
    <row r="1490" spans="1:25">
      <c r="A1490" s="1320" t="s">
        <v>5767</v>
      </c>
      <c r="B1490" s="1321"/>
      <c r="C1490" s="1322">
        <v>59</v>
      </c>
      <c r="D1490" s="1320" t="s">
        <v>5239</v>
      </c>
      <c r="E1490" s="1320" t="s">
        <v>4067</v>
      </c>
      <c r="F1490" s="1320">
        <f t="shared" si="704"/>
        <v>2146.9051059723861</v>
      </c>
      <c r="G1490" s="1320">
        <f t="shared" si="701"/>
        <v>139.09123187710861</v>
      </c>
      <c r="H1490" s="1320">
        <f t="shared" si="701"/>
        <v>2007.8138740952782</v>
      </c>
      <c r="I1490" s="1323">
        <f t="shared" si="702"/>
        <v>0.93521314403222766</v>
      </c>
      <c r="J1490" s="1324">
        <f t="shared" si="703"/>
        <v>2007.8138740952782</v>
      </c>
      <c r="K1490" s="1324">
        <f t="shared" si="703"/>
        <v>1164.5582291165774</v>
      </c>
      <c r="L1490" s="1324">
        <f t="shared" si="703"/>
        <v>96.064307521374531</v>
      </c>
      <c r="M1490" s="1324">
        <f t="shared" si="703"/>
        <v>614.09085646392123</v>
      </c>
      <c r="N1490" s="1325">
        <f t="shared" si="703"/>
        <v>76.661101138762433</v>
      </c>
      <c r="O1490" s="1325">
        <f t="shared" si="703"/>
        <v>55.015854658882745</v>
      </c>
      <c r="P1490" s="1325">
        <f t="shared" si="703"/>
        <v>1.4235251957572039</v>
      </c>
      <c r="Q1490" s="1324">
        <f t="shared" si="703"/>
        <v>0</v>
      </c>
      <c r="S1490" s="1321"/>
      <c r="T1490" s="1321"/>
      <c r="U1490" s="1326"/>
      <c r="V1490" s="1320" t="s">
        <v>5821</v>
      </c>
      <c r="Y1490" s="1324"/>
    </row>
    <row r="1491" spans="1:25">
      <c r="A1491" s="1320" t="s">
        <v>5767</v>
      </c>
      <c r="B1491" s="1321"/>
      <c r="C1491" s="1322">
        <v>60</v>
      </c>
      <c r="D1491" s="1320" t="s">
        <v>5240</v>
      </c>
      <c r="E1491" s="1320" t="s">
        <v>4067</v>
      </c>
      <c r="F1491" s="1320">
        <f t="shared" si="704"/>
        <v>6885.4837088285713</v>
      </c>
      <c r="G1491" s="1320">
        <f t="shared" si="701"/>
        <v>0</v>
      </c>
      <c r="H1491" s="1320">
        <f t="shared" si="701"/>
        <v>6885.4837088285713</v>
      </c>
      <c r="I1491" s="1323">
        <f t="shared" si="702"/>
        <v>1</v>
      </c>
      <c r="J1491" s="1324">
        <f t="shared" si="703"/>
        <v>6885.4837088285713</v>
      </c>
      <c r="K1491" s="1324">
        <f t="shared" si="703"/>
        <v>4285.6353112701181</v>
      </c>
      <c r="L1491" s="1324">
        <f t="shared" si="703"/>
        <v>304.80513196538868</v>
      </c>
      <c r="M1491" s="1324">
        <f t="shared" si="703"/>
        <v>2040.8606708773223</v>
      </c>
      <c r="N1491" s="1325">
        <f t="shared" si="703"/>
        <v>214.657508847994</v>
      </c>
      <c r="O1491" s="1325">
        <f t="shared" si="703"/>
        <v>1.4656396526705265E-4</v>
      </c>
      <c r="P1491" s="1325">
        <f t="shared" si="703"/>
        <v>39.52493930379228</v>
      </c>
      <c r="Q1491" s="1324">
        <f t="shared" si="703"/>
        <v>0</v>
      </c>
      <c r="S1491" s="1321"/>
      <c r="T1491" s="1321"/>
      <c r="U1491" s="1326"/>
      <c r="V1491" s="1320" t="s">
        <v>5822</v>
      </c>
      <c r="Y1491" s="1324"/>
    </row>
    <row r="1492" spans="1:25">
      <c r="A1492" s="1320" t="s">
        <v>5767</v>
      </c>
      <c r="B1492" s="1321"/>
      <c r="C1492" s="1322">
        <v>61</v>
      </c>
      <c r="D1492" s="1320" t="s">
        <v>5241</v>
      </c>
      <c r="E1492" s="1320" t="s">
        <v>4067</v>
      </c>
      <c r="F1492" s="1320">
        <f t="shared" si="704"/>
        <v>4842.1379304588409</v>
      </c>
      <c r="G1492" s="1320">
        <f t="shared" si="701"/>
        <v>0</v>
      </c>
      <c r="H1492" s="1320">
        <f t="shared" si="701"/>
        <v>4842.1379304588409</v>
      </c>
      <c r="I1492" s="1323">
        <f t="shared" si="702"/>
        <v>1</v>
      </c>
      <c r="J1492" s="1324">
        <f t="shared" si="703"/>
        <v>4842.1379304588409</v>
      </c>
      <c r="K1492" s="1324">
        <f t="shared" si="703"/>
        <v>3532.9848898321798</v>
      </c>
      <c r="L1492" s="1324">
        <f t="shared" si="703"/>
        <v>284.47540007633506</v>
      </c>
      <c r="M1492" s="1324">
        <f t="shared" si="703"/>
        <v>1007.1615542226755</v>
      </c>
      <c r="N1492" s="1325">
        <f t="shared" si="703"/>
        <v>0</v>
      </c>
      <c r="O1492" s="1325">
        <f t="shared" si="703"/>
        <v>0</v>
      </c>
      <c r="P1492" s="1325">
        <f t="shared" si="703"/>
        <v>17.516086327653284</v>
      </c>
      <c r="Q1492" s="1324">
        <f t="shared" si="703"/>
        <v>0</v>
      </c>
      <c r="S1492" s="1321"/>
      <c r="T1492" s="1321"/>
      <c r="U1492" s="1326"/>
      <c r="V1492" s="1320" t="s">
        <v>5823</v>
      </c>
    </row>
    <row r="1493" spans="1:25">
      <c r="A1493" s="1320" t="s">
        <v>5767</v>
      </c>
      <c r="B1493" s="1321"/>
      <c r="C1493" s="1322">
        <v>62</v>
      </c>
      <c r="D1493" s="1320" t="s">
        <v>5242</v>
      </c>
      <c r="E1493" s="1320" t="s">
        <v>4071</v>
      </c>
      <c r="F1493" s="1320">
        <f t="shared" si="704"/>
        <v>2811.1962462787124</v>
      </c>
      <c r="G1493" s="1320">
        <f t="shared" si="701"/>
        <v>0</v>
      </c>
      <c r="H1493" s="1320">
        <f t="shared" si="701"/>
        <v>2811.1962462787124</v>
      </c>
      <c r="I1493" s="1323">
        <f t="shared" si="702"/>
        <v>1</v>
      </c>
      <c r="J1493" s="1324">
        <f t="shared" si="703"/>
        <v>2811.1962462787124</v>
      </c>
      <c r="K1493" s="1324">
        <f t="shared" si="703"/>
        <v>1036.3663911176191</v>
      </c>
      <c r="L1493" s="1324">
        <f t="shared" si="703"/>
        <v>157.20315479007513</v>
      </c>
      <c r="M1493" s="1324">
        <f t="shared" si="703"/>
        <v>75.787521931756373</v>
      </c>
      <c r="N1493" s="1325">
        <f t="shared" si="703"/>
        <v>4.8856533159191997</v>
      </c>
      <c r="O1493" s="1325">
        <f t="shared" si="703"/>
        <v>5.3304528582274742</v>
      </c>
      <c r="P1493" s="1325">
        <f t="shared" si="703"/>
        <v>1.2234025421584604</v>
      </c>
      <c r="Q1493" s="1324">
        <f t="shared" si="703"/>
        <v>1530.3996697229522</v>
      </c>
      <c r="S1493" s="1321"/>
      <c r="T1493" s="1321"/>
      <c r="U1493" s="1326"/>
      <c r="V1493" s="1320" t="s">
        <v>5824</v>
      </c>
    </row>
    <row r="1494" spans="1:25">
      <c r="A1494" s="1320" t="s">
        <v>5767</v>
      </c>
      <c r="B1494" s="1321"/>
      <c r="C1494" s="1322">
        <v>63</v>
      </c>
      <c r="D1494" s="1320" t="s">
        <v>5244</v>
      </c>
      <c r="E1494" s="1320" t="s">
        <v>4071</v>
      </c>
      <c r="F1494" s="1320">
        <f t="shared" si="704"/>
        <v>-2033.3535253590526</v>
      </c>
      <c r="G1494" s="1320">
        <f t="shared" si="701"/>
        <v>0</v>
      </c>
      <c r="H1494" s="1320">
        <f t="shared" si="701"/>
        <v>-2033.3535253590526</v>
      </c>
      <c r="I1494" s="1323">
        <f t="shared" si="702"/>
        <v>1</v>
      </c>
      <c r="J1494" s="1324">
        <f t="shared" si="703"/>
        <v>-2033.3535253590526</v>
      </c>
      <c r="K1494" s="1324">
        <f t="shared" si="703"/>
        <v>-1813.5211985897895</v>
      </c>
      <c r="L1494" s="1324">
        <f t="shared" si="703"/>
        <v>-175.80455453461957</v>
      </c>
      <c r="M1494" s="1324">
        <f t="shared" si="703"/>
        <v>-43.299163536028544</v>
      </c>
      <c r="N1494" s="1325">
        <f t="shared" si="703"/>
        <v>-0.14619333111331323</v>
      </c>
      <c r="O1494" s="1325">
        <f t="shared" si="703"/>
        <v>-2.5937526487845919E-2</v>
      </c>
      <c r="P1494" s="1325">
        <f t="shared" si="703"/>
        <v>-0.5564778410119664</v>
      </c>
      <c r="Q1494" s="1324">
        <f t="shared" si="703"/>
        <v>0</v>
      </c>
      <c r="S1494" s="1321"/>
      <c r="T1494" s="1321"/>
      <c r="U1494" s="1326"/>
      <c r="V1494" s="1320" t="s">
        <v>5825</v>
      </c>
      <c r="Y1494" s="1324"/>
    </row>
    <row r="1495" spans="1:25">
      <c r="A1495" s="1320" t="s">
        <v>5767</v>
      </c>
      <c r="B1495" s="1321"/>
      <c r="C1495" s="1322">
        <v>64</v>
      </c>
      <c r="D1495" s="1320" t="s">
        <v>5095</v>
      </c>
      <c r="F1495" s="1427">
        <f>+SUM(F1487:F1494)</f>
        <v>86969.811518665971</v>
      </c>
      <c r="G1495" s="1427">
        <f>SUM(G1487:G1494)</f>
        <v>299.29182373394633</v>
      </c>
      <c r="H1495" s="1427">
        <f>SUM(H1487:H1494)</f>
        <v>86670.519694932053</v>
      </c>
      <c r="I1495" s="1323">
        <f t="shared" si="702"/>
        <v>0.99655866997400955</v>
      </c>
      <c r="J1495" s="1421">
        <f t="shared" ref="J1495:Q1495" si="705">SUM(J1487:J1494)</f>
        <v>86670.519694932053</v>
      </c>
      <c r="K1495" s="1421">
        <f t="shared" si="705"/>
        <v>47142.364559848524</v>
      </c>
      <c r="L1495" s="1421">
        <f t="shared" si="705"/>
        <v>4072.2744856448617</v>
      </c>
      <c r="M1495" s="1421">
        <f t="shared" si="705"/>
        <v>27371.375789822963</v>
      </c>
      <c r="N1495" s="1422">
        <f t="shared" si="705"/>
        <v>3713.3583586374507</v>
      </c>
      <c r="O1495" s="1422">
        <f>SUM(O1487:O1494)</f>
        <v>2553.5228369941074</v>
      </c>
      <c r="P1495" s="1422">
        <f>SUM(P1487:P1494)</f>
        <v>287.22399426118784</v>
      </c>
      <c r="Q1495" s="1421">
        <f t="shared" si="705"/>
        <v>1530.3996697229522</v>
      </c>
      <c r="R1495" s="1358"/>
      <c r="S1495" s="1321"/>
      <c r="T1495" s="1321"/>
      <c r="U1495" s="1326"/>
      <c r="V1495" s="1320" t="s">
        <v>5826</v>
      </c>
      <c r="Y1495" s="1324"/>
    </row>
    <row r="1496" spans="1:25">
      <c r="A1496" s="1320" t="s">
        <v>5767</v>
      </c>
      <c r="B1496" s="1321"/>
      <c r="C1496" s="1322">
        <v>65</v>
      </c>
      <c r="G1496" s="1320"/>
      <c r="S1496" s="1321"/>
      <c r="T1496" s="1321"/>
      <c r="U1496" s="1326"/>
    </row>
    <row r="1497" spans="1:25">
      <c r="A1497" s="1320" t="s">
        <v>5767</v>
      </c>
      <c r="B1497" s="1321"/>
      <c r="C1497" s="1322">
        <v>66</v>
      </c>
      <c r="D1497" s="1356" t="s">
        <v>5827</v>
      </c>
      <c r="G1497" s="1320"/>
      <c r="S1497" s="1321"/>
      <c r="T1497" s="1321"/>
      <c r="U1497" s="1326"/>
    </row>
    <row r="1498" spans="1:25" s="1324" customFormat="1">
      <c r="A1498" s="1324" t="s">
        <v>5767</v>
      </c>
      <c r="C1498" s="1393">
        <v>67</v>
      </c>
      <c r="D1498" s="1324" t="s">
        <v>5265</v>
      </c>
      <c r="E1498" s="1324" t="s">
        <v>4067</v>
      </c>
      <c r="F1498" s="1324">
        <f>+F1390</f>
        <v>154919.48494816257</v>
      </c>
      <c r="G1498" s="1324">
        <f t="shared" ref="G1498:H1505" si="706">+G1390</f>
        <v>0</v>
      </c>
      <c r="H1498" s="1324">
        <f t="shared" si="706"/>
        <v>154919.48494816257</v>
      </c>
      <c r="I1498" s="1374">
        <f t="shared" ref="I1498:I1506" si="707">IF(F1498=0,0,+H1498/F1498)</f>
        <v>1</v>
      </c>
      <c r="J1498" s="1324">
        <f t="shared" ref="J1498:Q1505" si="708">+J1390</f>
        <v>154919.48494816257</v>
      </c>
      <c r="K1498" s="1324">
        <f t="shared" si="708"/>
        <v>89855.321439184103</v>
      </c>
      <c r="L1498" s="1324">
        <f t="shared" si="708"/>
        <v>7412.1576880821394</v>
      </c>
      <c r="M1498" s="1324">
        <f t="shared" si="708"/>
        <v>47382.200323540696</v>
      </c>
      <c r="N1498" s="1325">
        <f t="shared" si="708"/>
        <v>5915.0394651633424</v>
      </c>
      <c r="O1498" s="1325">
        <f t="shared" si="708"/>
        <v>4244.9292624683967</v>
      </c>
      <c r="P1498" s="1325">
        <f t="shared" si="708"/>
        <v>109.8367697238921</v>
      </c>
      <c r="Q1498" s="1324">
        <f t="shared" si="708"/>
        <v>0</v>
      </c>
      <c r="V1498" s="1324" t="s">
        <v>5828</v>
      </c>
      <c r="Y1498" s="1320"/>
    </row>
    <row r="1499" spans="1:25">
      <c r="A1499" s="1320" t="s">
        <v>5767</v>
      </c>
      <c r="C1499" s="1322">
        <v>68</v>
      </c>
      <c r="D1499" s="1320" t="s">
        <v>5265</v>
      </c>
      <c r="E1499" s="1320" t="s">
        <v>2067</v>
      </c>
      <c r="F1499" s="1324">
        <f t="shared" ref="F1499:F1505" si="709">+F1391</f>
        <v>15756.28481087529</v>
      </c>
      <c r="G1499" s="1320">
        <f t="shared" si="706"/>
        <v>0</v>
      </c>
      <c r="H1499" s="1320">
        <f t="shared" si="706"/>
        <v>15756.28481087529</v>
      </c>
      <c r="I1499" s="1323">
        <f t="shared" si="707"/>
        <v>1</v>
      </c>
      <c r="J1499" s="1324">
        <f t="shared" si="708"/>
        <v>15756.28481087529</v>
      </c>
      <c r="K1499" s="1324">
        <f t="shared" si="708"/>
        <v>7951.1599476227138</v>
      </c>
      <c r="L1499" s="1324">
        <f t="shared" si="708"/>
        <v>734.78025790371828</v>
      </c>
      <c r="M1499" s="1324">
        <f t="shared" si="708"/>
        <v>5473.8275233226605</v>
      </c>
      <c r="N1499" s="1325">
        <f t="shared" si="708"/>
        <v>871.34532934291508</v>
      </c>
      <c r="O1499" s="1325">
        <f t="shared" si="708"/>
        <v>641.93044210712753</v>
      </c>
      <c r="P1499" s="1325">
        <f t="shared" si="708"/>
        <v>83.241310576154973</v>
      </c>
      <c r="Q1499" s="1324">
        <f t="shared" si="708"/>
        <v>0</v>
      </c>
      <c r="V1499" s="1324" t="s">
        <v>5829</v>
      </c>
    </row>
    <row r="1500" spans="1:25">
      <c r="A1500" s="1320" t="s">
        <v>5767</v>
      </c>
      <c r="C1500" s="1322">
        <v>69</v>
      </c>
      <c r="D1500" s="1320" t="s">
        <v>5268</v>
      </c>
      <c r="E1500" s="1320" t="s">
        <v>4067</v>
      </c>
      <c r="F1500" s="1324">
        <f t="shared" si="709"/>
        <v>9322.5170905997529</v>
      </c>
      <c r="G1500" s="1320">
        <f t="shared" si="706"/>
        <v>603.97657200578476</v>
      </c>
      <c r="H1500" s="1320">
        <f t="shared" si="706"/>
        <v>8718.5405185939671</v>
      </c>
      <c r="I1500" s="1323">
        <f t="shared" si="707"/>
        <v>0.93521314403222733</v>
      </c>
      <c r="J1500" s="1324">
        <f t="shared" si="708"/>
        <v>8718.5405185939671</v>
      </c>
      <c r="K1500" s="1324">
        <f t="shared" si="708"/>
        <v>5056.8671916314906</v>
      </c>
      <c r="L1500" s="1324">
        <f t="shared" si="708"/>
        <v>417.1405369400461</v>
      </c>
      <c r="M1500" s="1324">
        <f t="shared" si="708"/>
        <v>2666.5698864100532</v>
      </c>
      <c r="N1500" s="1325">
        <f t="shared" si="708"/>
        <v>332.88589400723185</v>
      </c>
      <c r="O1500" s="1325">
        <f t="shared" si="708"/>
        <v>238.89562882151111</v>
      </c>
      <c r="P1500" s="1325">
        <f t="shared" si="708"/>
        <v>6.1813807836351602</v>
      </c>
      <c r="Q1500" s="1324">
        <f t="shared" si="708"/>
        <v>0</v>
      </c>
      <c r="V1500" s="1324" t="s">
        <v>5830</v>
      </c>
    </row>
    <row r="1501" spans="1:25">
      <c r="A1501" s="1320" t="s">
        <v>5767</v>
      </c>
      <c r="C1501" s="1322">
        <v>70</v>
      </c>
      <c r="D1501" s="1320" t="s">
        <v>5239</v>
      </c>
      <c r="E1501" s="1320" t="s">
        <v>4067</v>
      </c>
      <c r="F1501" s="1324">
        <f t="shared" si="709"/>
        <v>12890.363327210631</v>
      </c>
      <c r="G1501" s="1320">
        <f t="shared" si="706"/>
        <v>835.12611225225317</v>
      </c>
      <c r="H1501" s="1320">
        <f t="shared" si="706"/>
        <v>12055.237214958377</v>
      </c>
      <c r="I1501" s="1323">
        <f t="shared" si="707"/>
        <v>0.93521314403222733</v>
      </c>
      <c r="J1501" s="1324">
        <f t="shared" si="708"/>
        <v>12055.237214958377</v>
      </c>
      <c r="K1501" s="1324">
        <f t="shared" si="708"/>
        <v>6992.1947864605736</v>
      </c>
      <c r="L1501" s="1324">
        <f t="shared" si="708"/>
        <v>576.78554272502731</v>
      </c>
      <c r="M1501" s="1324">
        <f t="shared" si="708"/>
        <v>3687.1002047166016</v>
      </c>
      <c r="N1501" s="1325">
        <f t="shared" si="708"/>
        <v>460.28557293644917</v>
      </c>
      <c r="O1501" s="1325">
        <f t="shared" si="708"/>
        <v>330.32403404192814</v>
      </c>
      <c r="P1501" s="1325">
        <f t="shared" si="708"/>
        <v>8.5470740777981291</v>
      </c>
      <c r="Q1501" s="1324">
        <f t="shared" si="708"/>
        <v>0</v>
      </c>
      <c r="V1501" s="1324" t="s">
        <v>5831</v>
      </c>
      <c r="Y1501" s="1324"/>
    </row>
    <row r="1502" spans="1:25">
      <c r="A1502" s="1320" t="s">
        <v>5767</v>
      </c>
      <c r="C1502" s="1322">
        <v>71</v>
      </c>
      <c r="D1502" s="1320" t="s">
        <v>5240</v>
      </c>
      <c r="E1502" s="1320" t="s">
        <v>4067</v>
      </c>
      <c r="F1502" s="1324">
        <f t="shared" si="709"/>
        <v>9825.4003612942106</v>
      </c>
      <c r="G1502" s="1320">
        <f t="shared" si="706"/>
        <v>0</v>
      </c>
      <c r="H1502" s="1320">
        <f t="shared" si="706"/>
        <v>9825.4003612942106</v>
      </c>
      <c r="I1502" s="1323">
        <f t="shared" si="707"/>
        <v>1</v>
      </c>
      <c r="J1502" s="1324">
        <f t="shared" si="708"/>
        <v>9825.4003612942106</v>
      </c>
      <c r="K1502" s="1324">
        <f t="shared" si="708"/>
        <v>6115.4865099364888</v>
      </c>
      <c r="L1502" s="1324">
        <f t="shared" si="708"/>
        <v>434.94873859001177</v>
      </c>
      <c r="M1502" s="1324">
        <f t="shared" si="708"/>
        <v>2912.2533755004197</v>
      </c>
      <c r="N1502" s="1325">
        <f t="shared" si="708"/>
        <v>306.31050107421072</v>
      </c>
      <c r="O1502" s="1325">
        <f t="shared" si="708"/>
        <v>2.0914284285375293E-4</v>
      </c>
      <c r="P1502" s="1325">
        <f t="shared" si="708"/>
        <v>56.401027050237801</v>
      </c>
      <c r="Q1502" s="1324">
        <f t="shared" si="708"/>
        <v>0</v>
      </c>
      <c r="V1502" s="1324" t="s">
        <v>5832</v>
      </c>
      <c r="Y1502" s="1324"/>
    </row>
    <row r="1503" spans="1:25">
      <c r="A1503" s="1320" t="s">
        <v>5767</v>
      </c>
      <c r="C1503" s="1322">
        <v>72</v>
      </c>
      <c r="D1503" s="1320" t="s">
        <v>5241</v>
      </c>
      <c r="E1503" s="1320" t="s">
        <v>4067</v>
      </c>
      <c r="F1503" s="1324">
        <f t="shared" si="709"/>
        <v>-5310.0951341857181</v>
      </c>
      <c r="G1503" s="1320">
        <f t="shared" si="706"/>
        <v>0</v>
      </c>
      <c r="H1503" s="1320">
        <f t="shared" si="706"/>
        <v>-5310.0951341857181</v>
      </c>
      <c r="I1503" s="1323">
        <f t="shared" si="707"/>
        <v>1</v>
      </c>
      <c r="J1503" s="1324">
        <f t="shared" si="708"/>
        <v>-5310.0951341857181</v>
      </c>
      <c r="K1503" s="1324">
        <f t="shared" si="708"/>
        <v>-3874.4220305330609</v>
      </c>
      <c r="L1503" s="1324">
        <f t="shared" si="708"/>
        <v>-311.96786614414788</v>
      </c>
      <c r="M1503" s="1324">
        <f t="shared" si="708"/>
        <v>-1104.4963495928282</v>
      </c>
      <c r="N1503" s="1325">
        <f t="shared" si="708"/>
        <v>0</v>
      </c>
      <c r="O1503" s="1325">
        <f t="shared" si="708"/>
        <v>0</v>
      </c>
      <c r="P1503" s="1325">
        <f t="shared" si="708"/>
        <v>-19.208887915680421</v>
      </c>
      <c r="Q1503" s="1324">
        <f t="shared" si="708"/>
        <v>0</v>
      </c>
      <c r="V1503" s="1324" t="s">
        <v>5833</v>
      </c>
      <c r="Y1503" s="1324"/>
    </row>
    <row r="1504" spans="1:25">
      <c r="A1504" s="1320" t="s">
        <v>5767</v>
      </c>
      <c r="C1504" s="1322">
        <v>73</v>
      </c>
      <c r="D1504" s="1320" t="s">
        <v>5242</v>
      </c>
      <c r="E1504" s="1320" t="s">
        <v>4071</v>
      </c>
      <c r="F1504" s="1324">
        <f t="shared" si="709"/>
        <v>9769.3696096750609</v>
      </c>
      <c r="G1504" s="1320">
        <f t="shared" si="706"/>
        <v>0</v>
      </c>
      <c r="H1504" s="1320">
        <f t="shared" si="706"/>
        <v>9769.3696096750609</v>
      </c>
      <c r="I1504" s="1323">
        <f t="shared" si="707"/>
        <v>1</v>
      </c>
      <c r="J1504" s="1324">
        <f t="shared" si="708"/>
        <v>9769.3696096750609</v>
      </c>
      <c r="K1504" s="1324">
        <f t="shared" si="708"/>
        <v>3601.5437695875853</v>
      </c>
      <c r="L1504" s="1324">
        <f t="shared" si="708"/>
        <v>546.30683467373137</v>
      </c>
      <c r="M1504" s="1324">
        <f t="shared" si="708"/>
        <v>263.37411147755131</v>
      </c>
      <c r="N1504" s="1325">
        <f t="shared" si="708"/>
        <v>16.978449331358803</v>
      </c>
      <c r="O1504" s="1325">
        <f t="shared" si="708"/>
        <v>18.524200943960114</v>
      </c>
      <c r="P1504" s="1325">
        <f t="shared" si="708"/>
        <v>4.251525176011171</v>
      </c>
      <c r="Q1504" s="1324">
        <f t="shared" si="708"/>
        <v>5318.390718484864</v>
      </c>
      <c r="V1504" s="1324" t="s">
        <v>5834</v>
      </c>
      <c r="Y1504" s="1324"/>
    </row>
    <row r="1505" spans="1:25">
      <c r="A1505" s="1320" t="s">
        <v>5767</v>
      </c>
      <c r="C1505" s="1322">
        <v>74</v>
      </c>
      <c r="D1505" s="1320" t="s">
        <v>5244</v>
      </c>
      <c r="E1505" s="1320" t="s">
        <v>4071</v>
      </c>
      <c r="F1505" s="1324">
        <f t="shared" si="709"/>
        <v>24440.601398676023</v>
      </c>
      <c r="G1505" s="1320">
        <f t="shared" si="706"/>
        <v>0</v>
      </c>
      <c r="H1505" s="1320">
        <f t="shared" si="706"/>
        <v>24440.601398676023</v>
      </c>
      <c r="I1505" s="1323">
        <f t="shared" si="707"/>
        <v>1</v>
      </c>
      <c r="J1505" s="1324">
        <f t="shared" si="708"/>
        <v>24440.601398676023</v>
      </c>
      <c r="K1505" s="1324">
        <f t="shared" si="708"/>
        <v>21798.250127191015</v>
      </c>
      <c r="L1505" s="1324">
        <f t="shared" si="708"/>
        <v>2113.1441177665888</v>
      </c>
      <c r="M1505" s="1324">
        <f t="shared" si="708"/>
        <v>520.44938751774282</v>
      </c>
      <c r="N1505" s="1325">
        <f t="shared" si="708"/>
        <v>1.7572216972226791</v>
      </c>
      <c r="O1505" s="1325">
        <f t="shared" si="708"/>
        <v>0.31176513982983017</v>
      </c>
      <c r="P1505" s="1325">
        <f t="shared" si="708"/>
        <v>6.6887793636218102</v>
      </c>
      <c r="Q1505" s="1324">
        <f t="shared" si="708"/>
        <v>0</v>
      </c>
      <c r="V1505" s="1324" t="s">
        <v>5835</v>
      </c>
      <c r="Y1505" s="1324"/>
    </row>
    <row r="1506" spans="1:25">
      <c r="A1506" s="1320" t="s">
        <v>5767</v>
      </c>
      <c r="B1506" s="1321"/>
      <c r="C1506" s="1322">
        <v>75</v>
      </c>
      <c r="D1506" s="1320" t="s">
        <v>5763</v>
      </c>
      <c r="F1506" s="1427">
        <f>+SUM(F1498:F1505)</f>
        <v>231613.9264123078</v>
      </c>
      <c r="G1506" s="1427">
        <f>SUM(G1498:G1505)</f>
        <v>1439.1026842580379</v>
      </c>
      <c r="H1506" s="1427">
        <f>SUM(H1498:H1505)</f>
        <v>230174.82372804979</v>
      </c>
      <c r="I1506" s="1323">
        <f t="shared" si="707"/>
        <v>0.99378663145800572</v>
      </c>
      <c r="J1506" s="1421">
        <f t="shared" ref="J1506:Q1506" si="710">SUM(J1498:J1505)</f>
        <v>230174.82372804979</v>
      </c>
      <c r="K1506" s="1421">
        <f t="shared" si="710"/>
        <v>137496.40174108092</v>
      </c>
      <c r="L1506" s="1421">
        <f t="shared" si="710"/>
        <v>11923.295850537113</v>
      </c>
      <c r="M1506" s="1421">
        <f t="shared" si="710"/>
        <v>61801.2784628929</v>
      </c>
      <c r="N1506" s="1422">
        <f t="shared" si="710"/>
        <v>7904.6024335527309</v>
      </c>
      <c r="O1506" s="1422">
        <f>SUM(O1498:O1505)</f>
        <v>5474.9155426655961</v>
      </c>
      <c r="P1506" s="1422">
        <f>SUM(P1498:P1505)</f>
        <v>255.93897883567072</v>
      </c>
      <c r="Q1506" s="1421">
        <f t="shared" si="710"/>
        <v>5318.390718484864</v>
      </c>
      <c r="R1506" s="1358"/>
      <c r="S1506" s="1321"/>
      <c r="T1506" s="1321"/>
      <c r="U1506" s="1326"/>
      <c r="V1506" s="1320" t="s">
        <v>5836</v>
      </c>
      <c r="Y1506" s="1324"/>
    </row>
    <row r="1507" spans="1:25">
      <c r="A1507" s="1320" t="s">
        <v>5767</v>
      </c>
      <c r="B1507" s="1321"/>
      <c r="C1507" s="1322">
        <v>76</v>
      </c>
      <c r="G1507" s="1320"/>
      <c r="S1507" s="1321"/>
      <c r="T1507" s="1321"/>
      <c r="U1507" s="1326"/>
      <c r="Y1507" s="1324"/>
    </row>
    <row r="1508" spans="1:25">
      <c r="A1508" s="1320" t="s">
        <v>5767</v>
      </c>
      <c r="B1508" s="1321"/>
      <c r="C1508" s="1322">
        <v>77</v>
      </c>
      <c r="D1508" s="1356" t="s">
        <v>5837</v>
      </c>
      <c r="G1508" s="1320"/>
      <c r="S1508" s="1321"/>
      <c r="T1508" s="1321"/>
      <c r="U1508" s="1326"/>
      <c r="Y1508" s="1324"/>
    </row>
    <row r="1509" spans="1:25">
      <c r="A1509" s="1320" t="s">
        <v>5767</v>
      </c>
      <c r="B1509" s="1321"/>
      <c r="C1509" s="1322">
        <v>78</v>
      </c>
      <c r="D1509" s="1320" t="s">
        <v>5265</v>
      </c>
      <c r="E1509" s="1320" t="s">
        <v>4067</v>
      </c>
      <c r="F1509" s="1320">
        <f>+F1476+F1487+F1498</f>
        <v>5483176.4189962763</v>
      </c>
      <c r="G1509" s="1320">
        <f t="shared" ref="G1509:H1516" si="711">+G1476+G1487+G1498</f>
        <v>0</v>
      </c>
      <c r="H1509" s="1320">
        <f t="shared" si="711"/>
        <v>5483176.4189962763</v>
      </c>
      <c r="I1509" s="1323">
        <f t="shared" ref="I1509:I1517" si="712">IF(F1509=0,0,+H1509/F1509)</f>
        <v>1</v>
      </c>
      <c r="J1509" s="1324">
        <f t="shared" ref="J1509:Q1516" si="713">+J1476+J1487+J1498</f>
        <v>5483176.4189962763</v>
      </c>
      <c r="K1509" s="1324">
        <f t="shared" si="713"/>
        <v>3180313.8243167032</v>
      </c>
      <c r="L1509" s="1324">
        <f t="shared" si="713"/>
        <v>262343.81209551007</v>
      </c>
      <c r="M1509" s="1324">
        <f t="shared" si="713"/>
        <v>1677032.1924393768</v>
      </c>
      <c r="N1509" s="1325">
        <f t="shared" si="713"/>
        <v>209355.23329210925</v>
      </c>
      <c r="O1509" s="1325">
        <f t="shared" si="713"/>
        <v>150243.82530100862</v>
      </c>
      <c r="P1509" s="1325">
        <f t="shared" si="713"/>
        <v>3887.5315515687976</v>
      </c>
      <c r="Q1509" s="1324">
        <f t="shared" si="713"/>
        <v>0</v>
      </c>
      <c r="S1509" s="1321"/>
      <c r="T1509" s="1321"/>
      <c r="U1509" s="1326"/>
      <c r="V1509" s="1320" t="s">
        <v>5838</v>
      </c>
    </row>
    <row r="1510" spans="1:25">
      <c r="A1510" s="1320" t="s">
        <v>5767</v>
      </c>
      <c r="B1510" s="1321"/>
      <c r="C1510" s="1322">
        <v>79</v>
      </c>
      <c r="D1510" s="1320" t="s">
        <v>5265</v>
      </c>
      <c r="E1510" s="1320" t="s">
        <v>2067</v>
      </c>
      <c r="F1510" s="1320">
        <f t="shared" ref="F1510:F1516" si="714">+F1477+F1488+F1499</f>
        <v>412366.90327200451</v>
      </c>
      <c r="G1510" s="1320">
        <f t="shared" si="711"/>
        <v>0</v>
      </c>
      <c r="H1510" s="1320">
        <f t="shared" si="711"/>
        <v>412366.90327200451</v>
      </c>
      <c r="I1510" s="1323">
        <f t="shared" si="712"/>
        <v>1</v>
      </c>
      <c r="J1510" s="1324">
        <f t="shared" si="713"/>
        <v>412366.90327200451</v>
      </c>
      <c r="K1510" s="1324">
        <f t="shared" si="713"/>
        <v>208094.43624416357</v>
      </c>
      <c r="L1510" s="1324">
        <f t="shared" si="713"/>
        <v>19230.361926945196</v>
      </c>
      <c r="M1510" s="1324">
        <f t="shared" si="713"/>
        <v>143258.72703695038</v>
      </c>
      <c r="N1510" s="1325">
        <f t="shared" si="713"/>
        <v>22804.485921304073</v>
      </c>
      <c r="O1510" s="1325">
        <f t="shared" si="713"/>
        <v>16800.335339523463</v>
      </c>
      <c r="P1510" s="1325">
        <f t="shared" si="713"/>
        <v>2178.5568031176826</v>
      </c>
      <c r="Q1510" s="1324">
        <f t="shared" si="713"/>
        <v>0</v>
      </c>
      <c r="S1510" s="1321"/>
      <c r="T1510" s="1321"/>
      <c r="U1510" s="1326"/>
      <c r="V1510" s="1320" t="s">
        <v>5839</v>
      </c>
    </row>
    <row r="1511" spans="1:25">
      <c r="A1511" s="1320" t="s">
        <v>5767</v>
      </c>
      <c r="B1511" s="1321"/>
      <c r="C1511" s="1322">
        <v>80</v>
      </c>
      <c r="D1511" s="1320" t="s">
        <v>5268</v>
      </c>
      <c r="E1511" s="1320" t="s">
        <v>4067</v>
      </c>
      <c r="F1511" s="1320">
        <f t="shared" si="714"/>
        <v>432533.37598961761</v>
      </c>
      <c r="G1511" s="1320">
        <f t="shared" si="711"/>
        <v>28022.47753149378</v>
      </c>
      <c r="H1511" s="1320">
        <f t="shared" si="711"/>
        <v>404510.89845812367</v>
      </c>
      <c r="I1511" s="1323">
        <f t="shared" si="712"/>
        <v>0.93521314403222711</v>
      </c>
      <c r="J1511" s="1324">
        <f t="shared" si="713"/>
        <v>404510.89845812367</v>
      </c>
      <c r="K1511" s="1324">
        <f t="shared" si="713"/>
        <v>234621.59597787241</v>
      </c>
      <c r="L1511" s="1324">
        <f t="shared" si="713"/>
        <v>19353.91514451944</v>
      </c>
      <c r="M1511" s="1324">
        <f t="shared" si="713"/>
        <v>123719.85635126251</v>
      </c>
      <c r="N1511" s="1325">
        <f t="shared" si="713"/>
        <v>15444.783651773057</v>
      </c>
      <c r="O1511" s="1325">
        <f t="shared" si="713"/>
        <v>11083.95209567625</v>
      </c>
      <c r="P1511" s="1325">
        <f t="shared" si="713"/>
        <v>286.79523702016155</v>
      </c>
      <c r="Q1511" s="1324">
        <f t="shared" si="713"/>
        <v>0</v>
      </c>
      <c r="S1511" s="1321"/>
      <c r="T1511" s="1321"/>
      <c r="U1511" s="1326"/>
      <c r="V1511" s="1320" t="s">
        <v>5840</v>
      </c>
    </row>
    <row r="1512" spans="1:25">
      <c r="A1512" s="1320" t="s">
        <v>5767</v>
      </c>
      <c r="B1512" s="1321"/>
      <c r="C1512" s="1322">
        <v>81</v>
      </c>
      <c r="D1512" s="1320" t="s">
        <v>5239</v>
      </c>
      <c r="E1512" s="1320" t="s">
        <v>4067</v>
      </c>
      <c r="F1512" s="1320">
        <f t="shared" si="714"/>
        <v>469527.01948490978</v>
      </c>
      <c r="G1512" s="1320">
        <f t="shared" si="711"/>
        <v>30419.179384346397</v>
      </c>
      <c r="H1512" s="1320">
        <f t="shared" si="711"/>
        <v>439107.84010056313</v>
      </c>
      <c r="I1512" s="1323">
        <f t="shared" si="712"/>
        <v>0.93521314403222688</v>
      </c>
      <c r="J1512" s="1324">
        <f t="shared" si="713"/>
        <v>439107.84010056313</v>
      </c>
      <c r="K1512" s="1324">
        <f t="shared" si="713"/>
        <v>254688.27327888648</v>
      </c>
      <c r="L1512" s="1324">
        <f t="shared" si="713"/>
        <v>21009.213618206875</v>
      </c>
      <c r="M1512" s="1324">
        <f t="shared" si="713"/>
        <v>134301.34789206149</v>
      </c>
      <c r="N1512" s="1325">
        <f t="shared" si="713"/>
        <v>16765.742569610011</v>
      </c>
      <c r="O1512" s="1325">
        <f t="shared" si="713"/>
        <v>12031.938528880852</v>
      </c>
      <c r="P1512" s="1325">
        <f t="shared" si="713"/>
        <v>311.32421291756452</v>
      </c>
      <c r="Q1512" s="1324">
        <f t="shared" si="713"/>
        <v>0</v>
      </c>
      <c r="S1512" s="1321"/>
      <c r="T1512" s="1321"/>
      <c r="U1512" s="1326"/>
      <c r="V1512" s="1320" t="s">
        <v>5841</v>
      </c>
    </row>
    <row r="1513" spans="1:25">
      <c r="A1513" s="1320" t="s">
        <v>5767</v>
      </c>
      <c r="B1513" s="1321"/>
      <c r="C1513" s="1322">
        <v>82</v>
      </c>
      <c r="D1513" s="1320" t="s">
        <v>5240</v>
      </c>
      <c r="E1513" s="1320" t="s">
        <v>4067</v>
      </c>
      <c r="F1513" s="1320">
        <f t="shared" si="714"/>
        <v>1529952.1493482229</v>
      </c>
      <c r="G1513" s="1320">
        <f t="shared" si="711"/>
        <v>0</v>
      </c>
      <c r="H1513" s="1320">
        <f t="shared" si="711"/>
        <v>1529952.1493482229</v>
      </c>
      <c r="I1513" s="1323">
        <f t="shared" si="712"/>
        <v>1</v>
      </c>
      <c r="J1513" s="1324">
        <f t="shared" si="713"/>
        <v>1529952.1493482229</v>
      </c>
      <c r="K1513" s="1324">
        <f t="shared" si="713"/>
        <v>952266.71546592948</v>
      </c>
      <c r="L1513" s="1324">
        <f t="shared" si="713"/>
        <v>67727.597145408683</v>
      </c>
      <c r="M1513" s="1324">
        <f t="shared" si="713"/>
        <v>453478.55023249035</v>
      </c>
      <c r="N1513" s="1325">
        <f t="shared" si="713"/>
        <v>47696.825803919703</v>
      </c>
      <c r="O1513" s="1325">
        <f t="shared" si="713"/>
        <v>3.256646347006964E-2</v>
      </c>
      <c r="P1513" s="1325">
        <f t="shared" si="713"/>
        <v>8782.4281340116595</v>
      </c>
      <c r="Q1513" s="1324">
        <f t="shared" si="713"/>
        <v>0</v>
      </c>
      <c r="S1513" s="1321"/>
      <c r="T1513" s="1321"/>
      <c r="U1513" s="1326"/>
      <c r="V1513" s="1320" t="s">
        <v>5842</v>
      </c>
      <c r="Y1513" s="1324"/>
    </row>
    <row r="1514" spans="1:25">
      <c r="A1514" s="1320" t="s">
        <v>5767</v>
      </c>
      <c r="B1514" s="1321"/>
      <c r="C1514" s="1322">
        <v>83</v>
      </c>
      <c r="D1514" s="1320" t="s">
        <v>5241</v>
      </c>
      <c r="E1514" s="1320" t="s">
        <v>4067</v>
      </c>
      <c r="F1514" s="1320">
        <f t="shared" si="714"/>
        <v>672570.78039095167</v>
      </c>
      <c r="G1514" s="1320">
        <f t="shared" si="711"/>
        <v>0</v>
      </c>
      <c r="H1514" s="1320">
        <f t="shared" si="711"/>
        <v>672570.78039095167</v>
      </c>
      <c r="I1514" s="1323">
        <f t="shared" si="712"/>
        <v>1</v>
      </c>
      <c r="J1514" s="1324">
        <f t="shared" si="713"/>
        <v>672570.78039095167</v>
      </c>
      <c r="K1514" s="1324">
        <f t="shared" si="713"/>
        <v>490730.01194716047</v>
      </c>
      <c r="L1514" s="1324">
        <f t="shared" si="713"/>
        <v>39513.505104394811</v>
      </c>
      <c r="M1514" s="1324">
        <f t="shared" si="713"/>
        <v>139894.28682778566</v>
      </c>
      <c r="N1514" s="1325">
        <f t="shared" si="713"/>
        <v>0</v>
      </c>
      <c r="O1514" s="1325">
        <f t="shared" si="713"/>
        <v>0</v>
      </c>
      <c r="P1514" s="1325">
        <f t="shared" si="713"/>
        <v>2432.9765116105841</v>
      </c>
      <c r="Q1514" s="1324">
        <f t="shared" si="713"/>
        <v>0</v>
      </c>
      <c r="S1514" s="1321"/>
      <c r="T1514" s="1321"/>
      <c r="U1514" s="1326"/>
      <c r="V1514" s="1320" t="s">
        <v>5843</v>
      </c>
      <c r="Y1514" s="1324"/>
    </row>
    <row r="1515" spans="1:25">
      <c r="A1515" s="1320" t="s">
        <v>5767</v>
      </c>
      <c r="B1515" s="1321"/>
      <c r="C1515" s="1322">
        <v>84</v>
      </c>
      <c r="D1515" s="1320" t="s">
        <v>5242</v>
      </c>
      <c r="E1515" s="1320" t="s">
        <v>4071</v>
      </c>
      <c r="F1515" s="1320">
        <f t="shared" si="714"/>
        <v>656038.10090762004</v>
      </c>
      <c r="G1515" s="1320">
        <f t="shared" si="711"/>
        <v>0</v>
      </c>
      <c r="H1515" s="1320">
        <f t="shared" si="711"/>
        <v>656038.10090762004</v>
      </c>
      <c r="I1515" s="1323">
        <f t="shared" si="712"/>
        <v>1</v>
      </c>
      <c r="J1515" s="1324">
        <f t="shared" si="713"/>
        <v>656038.10090762004</v>
      </c>
      <c r="K1515" s="1324">
        <f t="shared" si="713"/>
        <v>213717.06453786977</v>
      </c>
      <c r="L1515" s="1324">
        <f t="shared" si="713"/>
        <v>37543.181883103083</v>
      </c>
      <c r="M1515" s="1324">
        <f t="shared" si="713"/>
        <v>20253.783092706784</v>
      </c>
      <c r="N1515" s="1325">
        <f t="shared" si="713"/>
        <v>1448.6370755272619</v>
      </c>
      <c r="O1515" s="1325">
        <f t="shared" si="713"/>
        <v>1580.5238604667145</v>
      </c>
      <c r="P1515" s="1325">
        <f t="shared" si="713"/>
        <v>336.22588020058532</v>
      </c>
      <c r="Q1515" s="1324">
        <f t="shared" si="713"/>
        <v>381158.68457774603</v>
      </c>
      <c r="S1515" s="1321"/>
      <c r="T1515" s="1321"/>
      <c r="U1515" s="1326"/>
      <c r="V1515" s="1320" t="s">
        <v>5844</v>
      </c>
      <c r="Y1515" s="1324"/>
    </row>
    <row r="1516" spans="1:25">
      <c r="A1516" s="1320" t="s">
        <v>5767</v>
      </c>
      <c r="B1516" s="1321"/>
      <c r="C1516" s="1322">
        <v>85</v>
      </c>
      <c r="D1516" s="1320" t="s">
        <v>5244</v>
      </c>
      <c r="E1516" s="1320" t="s">
        <v>4071</v>
      </c>
      <c r="F1516" s="1320">
        <f t="shared" si="714"/>
        <v>200427.25066920705</v>
      </c>
      <c r="G1516" s="1320">
        <f t="shared" si="711"/>
        <v>0</v>
      </c>
      <c r="H1516" s="1320">
        <f t="shared" si="711"/>
        <v>200427.25066920705</v>
      </c>
      <c r="I1516" s="1323">
        <f t="shared" si="712"/>
        <v>1</v>
      </c>
      <c r="J1516" s="1324">
        <f t="shared" si="713"/>
        <v>200427.25066920705</v>
      </c>
      <c r="K1516" s="1324">
        <f t="shared" si="713"/>
        <v>178758.42214869801</v>
      </c>
      <c r="L1516" s="1324">
        <f t="shared" si="713"/>
        <v>17329.019809418754</v>
      </c>
      <c r="M1516" s="1324">
        <f t="shared" si="713"/>
        <v>4267.9898972659757</v>
      </c>
      <c r="N1516" s="1325">
        <f t="shared" si="713"/>
        <v>14.410247433997188</v>
      </c>
      <c r="O1516" s="1325">
        <f t="shared" si="713"/>
        <v>2.5566568028059531</v>
      </c>
      <c r="P1516" s="1325">
        <f t="shared" si="713"/>
        <v>54.85190958747318</v>
      </c>
      <c r="Q1516" s="1324">
        <f t="shared" si="713"/>
        <v>0</v>
      </c>
      <c r="S1516" s="1321"/>
      <c r="T1516" s="1321"/>
      <c r="U1516" s="1326"/>
      <c r="V1516" s="1320" t="s">
        <v>5845</v>
      </c>
      <c r="Y1516" s="1324"/>
    </row>
    <row r="1517" spans="1:25" ht="14.4" thickBot="1">
      <c r="A1517" s="1320" t="s">
        <v>5767</v>
      </c>
      <c r="C1517" s="1322">
        <v>86</v>
      </c>
      <c r="D1517" s="1320" t="s">
        <v>5182</v>
      </c>
      <c r="F1517" s="1482">
        <f>+SUM(F1509:F1516)</f>
        <v>9856591.999058811</v>
      </c>
      <c r="G1517" s="1482">
        <f>SUM(G1509:G1516)</f>
        <v>58441.656915840176</v>
      </c>
      <c r="H1517" s="1482">
        <f>SUM(H1509:H1516)</f>
        <v>9798150.3421429694</v>
      </c>
      <c r="I1517" s="1323">
        <f t="shared" si="712"/>
        <v>0.99407080490686617</v>
      </c>
      <c r="J1517" s="1483">
        <f t="shared" ref="J1517:Q1517" si="715">SUM(J1509:J1516)</f>
        <v>9798150.3421429694</v>
      </c>
      <c r="K1517" s="1483">
        <f t="shared" si="715"/>
        <v>5713190.3439172842</v>
      </c>
      <c r="L1517" s="1483">
        <f t="shared" si="715"/>
        <v>484050.60672750691</v>
      </c>
      <c r="M1517" s="1483">
        <f t="shared" si="715"/>
        <v>2696206.7337699006</v>
      </c>
      <c r="N1517" s="1484">
        <f t="shared" si="715"/>
        <v>313530.11856167734</v>
      </c>
      <c r="O1517" s="1484">
        <f>SUM(O1509:O1516)</f>
        <v>191743.16434882217</v>
      </c>
      <c r="P1517" s="1484">
        <f>SUM(P1509:P1516)</f>
        <v>18270.69024003451</v>
      </c>
      <c r="Q1517" s="1483">
        <f t="shared" si="715"/>
        <v>381158.68457774603</v>
      </c>
      <c r="R1517" s="1358"/>
      <c r="V1517" s="1320" t="s">
        <v>5846</v>
      </c>
      <c r="Y1517" s="1324"/>
    </row>
    <row r="1518" spans="1:25" ht="14.4" thickTop="1">
      <c r="F1518" s="1358"/>
      <c r="G1518" s="1358"/>
      <c r="H1518" s="1358"/>
      <c r="J1518" s="1364"/>
      <c r="K1518" s="1364"/>
      <c r="L1518" s="1364"/>
      <c r="M1518" s="1367"/>
      <c r="N1518" s="1367"/>
      <c r="O1518" s="1367"/>
      <c r="P1518" s="1364"/>
      <c r="Q1518" s="1364"/>
      <c r="R1518" s="1358"/>
      <c r="Y1518" s="1324"/>
    </row>
    <row r="1519" spans="1:25">
      <c r="A1519" s="1485" t="s">
        <v>5847</v>
      </c>
      <c r="B1519" s="1485"/>
      <c r="C1519" s="1486"/>
      <c r="D1519" s="1485"/>
      <c r="E1519" s="1485"/>
      <c r="F1519" s="1487"/>
      <c r="G1519" s="1358"/>
      <c r="H1519" s="1358"/>
      <c r="J1519" s="1364"/>
      <c r="K1519" s="1364"/>
      <c r="L1519" s="1364"/>
      <c r="M1519" s="1367"/>
      <c r="N1519" s="1367"/>
      <c r="O1519" s="1367"/>
      <c r="P1519" s="1364"/>
      <c r="Q1519" s="1364"/>
      <c r="R1519" s="1358"/>
      <c r="Y1519" s="1324"/>
    </row>
    <row r="1520" spans="1:25">
      <c r="F1520" s="1358"/>
      <c r="G1520" s="1358"/>
      <c r="H1520" s="1358"/>
      <c r="J1520" s="1364"/>
      <c r="K1520" s="1364"/>
      <c r="L1520" s="1364"/>
      <c r="M1520" s="1367"/>
      <c r="N1520" s="1367"/>
      <c r="O1520" s="1367"/>
      <c r="P1520" s="1364"/>
      <c r="Q1520" s="1364"/>
      <c r="R1520" s="1358"/>
      <c r="Y1520" s="1324"/>
    </row>
    <row r="1521" spans="2:22">
      <c r="F1521" s="1358"/>
      <c r="G1521" s="1358"/>
      <c r="H1521" s="1358"/>
      <c r="J1521" s="1364"/>
      <c r="K1521" s="1364"/>
      <c r="L1521" s="1364"/>
      <c r="M1521" s="1367"/>
      <c r="N1521" s="1367"/>
      <c r="O1521" s="1367"/>
      <c r="P1521" s="1364"/>
      <c r="Q1521" s="1364"/>
      <c r="R1521" s="1358"/>
    </row>
    <row r="1522" spans="2:22" ht="17.399999999999999">
      <c r="D1522" s="1364"/>
      <c r="E1522" s="1364"/>
      <c r="F1522" s="1364"/>
      <c r="G1522" s="1364"/>
      <c r="H1522" s="1364"/>
      <c r="I1522" s="1583"/>
      <c r="J1522" s="1364"/>
      <c r="K1522" s="1364"/>
      <c r="L1522" s="1364"/>
      <c r="M1522" s="1488"/>
      <c r="N1522" s="1488"/>
      <c r="O1522" s="1488"/>
      <c r="P1522" s="1364"/>
      <c r="Q1522" s="1364"/>
      <c r="R1522" s="1364"/>
      <c r="S1522" s="1364"/>
      <c r="T1522" s="1364"/>
      <c r="U1522" s="1364"/>
      <c r="V1522" s="1364"/>
    </row>
    <row r="1523" spans="2:22" ht="21">
      <c r="B1523" s="1489"/>
      <c r="D1523" s="1364"/>
      <c r="E1523" s="1364"/>
      <c r="F1523" s="1364"/>
      <c r="G1523" s="1364"/>
      <c r="H1523" s="1364"/>
      <c r="I1523" s="1440"/>
      <c r="J1523" s="1582"/>
      <c r="K1523" s="1582"/>
      <c r="L1523" s="1364"/>
      <c r="M1523" s="1367"/>
      <c r="N1523" s="1367"/>
      <c r="O1523" s="1367"/>
      <c r="P1523" s="1364"/>
      <c r="Q1523" s="1364"/>
      <c r="R1523" s="1364"/>
      <c r="S1523" s="1364"/>
      <c r="T1523" s="1364"/>
      <c r="U1523" s="1364"/>
      <c r="V1523" s="1364"/>
    </row>
    <row r="1524" spans="2:22" ht="22.8">
      <c r="D1524" s="1584"/>
      <c r="E1524" s="1364"/>
      <c r="F1524" s="1364"/>
      <c r="G1524" s="1364"/>
      <c r="H1524" s="1364"/>
      <c r="I1524" s="1440"/>
      <c r="J1524" s="1582"/>
      <c r="K1524" s="1582"/>
      <c r="L1524" s="1364"/>
      <c r="M1524" s="1490"/>
      <c r="N1524" s="1490"/>
      <c r="O1524" s="1490"/>
      <c r="P1524" s="1364"/>
      <c r="Q1524" s="1364"/>
      <c r="R1524" s="1364"/>
      <c r="S1524" s="1364"/>
      <c r="T1524" s="1364"/>
      <c r="U1524" s="1364"/>
      <c r="V1524" s="1364"/>
    </row>
    <row r="1525" spans="2:22">
      <c r="D1525" s="1364"/>
      <c r="E1525" s="1364"/>
      <c r="F1525" s="1364"/>
      <c r="G1525" s="1364"/>
      <c r="H1525" s="1364"/>
      <c r="I1525" s="1440"/>
      <c r="J1525" s="1582"/>
      <c r="K1525" s="1582"/>
      <c r="L1525" s="1364"/>
      <c r="M1525" s="1367"/>
      <c r="N1525" s="1367"/>
      <c r="O1525" s="1367"/>
      <c r="P1525" s="1364"/>
      <c r="Q1525" s="1364"/>
      <c r="R1525" s="1364"/>
      <c r="S1525" s="1364"/>
      <c r="T1525" s="1364"/>
      <c r="U1525" s="1364"/>
      <c r="V1525" s="1364"/>
    </row>
    <row r="1526" spans="2:22">
      <c r="D1526" s="1364"/>
      <c r="E1526" s="1364"/>
      <c r="F1526" s="1364"/>
      <c r="G1526" s="1364"/>
      <c r="H1526" s="1364"/>
      <c r="I1526" s="1440"/>
      <c r="J1526" s="1364"/>
      <c r="K1526" s="1364"/>
      <c r="L1526" s="1364"/>
      <c r="M1526" s="1367"/>
      <c r="N1526" s="1367"/>
      <c r="O1526" s="1367"/>
      <c r="P1526" s="1364"/>
      <c r="Q1526" s="1364"/>
      <c r="R1526" s="1364"/>
      <c r="S1526" s="1364"/>
      <c r="T1526" s="1364"/>
      <c r="U1526" s="1364"/>
      <c r="V1526" s="1364"/>
    </row>
    <row r="1527" spans="2:22">
      <c r="G1527" s="1320"/>
    </row>
    <row r="1528" spans="2:22">
      <c r="B1528" s="1331"/>
      <c r="C1528" s="1340" t="str">
        <f>+C$2</f>
        <v>RATES WITH REVENUE DEFICIENCY ADDITION</v>
      </c>
      <c r="F1528" s="1333"/>
      <c r="G1528" s="1327" t="s">
        <v>2173</v>
      </c>
      <c r="I1528" s="1334" t="s">
        <v>5805</v>
      </c>
      <c r="L1528" s="1329" t="s">
        <v>2173</v>
      </c>
      <c r="M1528" s="1330"/>
      <c r="N1528" s="1330"/>
      <c r="O1528" s="1330"/>
      <c r="S1528" s="1334" t="s">
        <v>5848</v>
      </c>
      <c r="T1528" s="1333" t="s">
        <v>2173</v>
      </c>
      <c r="U1528" s="1334"/>
      <c r="V1528" s="1332" t="s">
        <v>4772</v>
      </c>
    </row>
    <row r="1529" spans="2:22">
      <c r="B1529" s="1331"/>
      <c r="C1529" s="1340" t="str">
        <f>+C$3</f>
        <v>PROD. CAP. ALLOC. METHOD: 12 CP &amp; 1/13th AD</v>
      </c>
      <c r="G1529" s="1336" t="s">
        <v>4768</v>
      </c>
      <c r="I1529" s="1335" t="s">
        <v>3042</v>
      </c>
      <c r="L1529" s="1336" t="s">
        <v>5141</v>
      </c>
      <c r="M1529" s="1337"/>
      <c r="N1529" s="1337"/>
      <c r="O1529" s="1337"/>
      <c r="R1529" s="1331"/>
      <c r="S1529" s="1335" t="s">
        <v>4960</v>
      </c>
      <c r="T1529" s="1333" t="s">
        <v>5141</v>
      </c>
      <c r="V1529" s="1332" t="s">
        <v>5848</v>
      </c>
    </row>
    <row r="1530" spans="2:22">
      <c r="C1530" s="1340" t="str">
        <f>+C$4</f>
        <v>PROJECTED CALENDAR YEAR 2025; FULLY ADJUSTED DATA</v>
      </c>
      <c r="G1530" s="1336" t="s">
        <v>2181</v>
      </c>
      <c r="L1530" s="1336" t="s">
        <v>2181</v>
      </c>
      <c r="T1530" s="1339"/>
    </row>
    <row r="1531" spans="2:22">
      <c r="C1531" s="1340" t="str">
        <f>+C$5</f>
        <v>MINIMUM DISTRIBUTION SYSTEM (MDS) NOT EMPLOYED</v>
      </c>
      <c r="G1531" s="1320"/>
      <c r="L1531" s="1336"/>
      <c r="M1531" s="1337"/>
      <c r="N1531" s="1337"/>
      <c r="O1531" s="1337"/>
      <c r="T1531" s="1333"/>
    </row>
    <row r="1532" spans="2:22">
      <c r="C1532" s="1340" t="str">
        <f>+C$6</f>
        <v>Tampa Electric 2025 OB Budget</v>
      </c>
      <c r="F1532" s="1327"/>
      <c r="G1532" s="1333" t="s">
        <v>5849</v>
      </c>
      <c r="L1532" s="1336" t="s">
        <v>5849</v>
      </c>
      <c r="M1532" s="1337"/>
      <c r="N1532" s="1337"/>
      <c r="O1532" s="1337"/>
      <c r="T1532" s="1333" t="s">
        <v>5849</v>
      </c>
    </row>
    <row r="1533" spans="2:22">
      <c r="F1533" s="1333"/>
      <c r="G1533" s="1320"/>
      <c r="L1533" s="1336"/>
      <c r="M1533" s="1337"/>
      <c r="N1533" s="1337"/>
      <c r="O1533" s="1337"/>
    </row>
    <row r="1534" spans="2:22">
      <c r="C1534" s="1491" t="s">
        <v>5850</v>
      </c>
      <c r="F1534" s="1333"/>
      <c r="G1534" s="1320"/>
      <c r="K1534" s="1492"/>
      <c r="L1534" s="1336"/>
      <c r="M1534" s="1337"/>
      <c r="N1534" s="1337"/>
      <c r="O1534" s="1337"/>
    </row>
    <row r="1535" spans="2:22">
      <c r="G1535" s="1320"/>
    </row>
    <row r="1536" spans="2:22">
      <c r="C1536" s="1342"/>
      <c r="D1536" s="1331"/>
      <c r="E1536" s="1331"/>
      <c r="F1536" s="1333"/>
      <c r="G1536" s="1333"/>
      <c r="H1536" s="1333"/>
      <c r="I1536" s="1343"/>
      <c r="P1536" s="3164"/>
      <c r="Q1536" s="3164"/>
      <c r="R1536" s="1333"/>
    </row>
    <row r="1537" spans="1:25" ht="30" customHeight="1">
      <c r="A1537" s="1418" t="s">
        <v>4683</v>
      </c>
      <c r="B1537" s="1425" t="s">
        <v>5143</v>
      </c>
      <c r="C1537" s="1349" t="s">
        <v>4297</v>
      </c>
      <c r="D1537" s="1418"/>
      <c r="E1537" s="1418"/>
      <c r="F1537" s="1348" t="s">
        <v>5144</v>
      </c>
      <c r="G1537" s="1348" t="s">
        <v>4956</v>
      </c>
      <c r="H1537" s="1348" t="s">
        <v>4957</v>
      </c>
      <c r="I1537" s="1426" t="s">
        <v>5145</v>
      </c>
      <c r="J1537" s="1352" t="s">
        <v>4957</v>
      </c>
      <c r="K1537" s="1353" t="s">
        <v>1949</v>
      </c>
      <c r="L1537" s="1353" t="s">
        <v>1950</v>
      </c>
      <c r="M1537" s="1354" t="s">
        <v>1934</v>
      </c>
      <c r="N1537" s="1354" t="s">
        <v>1971</v>
      </c>
      <c r="O1537" s="1354" t="s">
        <v>1972</v>
      </c>
      <c r="P1537" s="1352" t="s">
        <v>5146</v>
      </c>
      <c r="Q1537" s="1352" t="s">
        <v>5147</v>
      </c>
      <c r="R1537" s="1348"/>
      <c r="S1537" s="1493"/>
      <c r="T1537" s="1348"/>
      <c r="U1537" s="1352"/>
      <c r="V1537" s="1355" t="s">
        <v>4774</v>
      </c>
    </row>
    <row r="1538" spans="1:25">
      <c r="G1538" s="1320"/>
      <c r="S1538" s="1494"/>
    </row>
    <row r="1539" spans="1:25">
      <c r="A1539" s="1320" t="s">
        <v>5851</v>
      </c>
      <c r="B1539" s="1321"/>
      <c r="C1539" s="1322">
        <v>1</v>
      </c>
      <c r="D1539" s="1356" t="s">
        <v>5852</v>
      </c>
      <c r="F1539" s="1320" t="s">
        <v>2477</v>
      </c>
      <c r="G1539" s="1320"/>
      <c r="S1539" s="1494"/>
    </row>
    <row r="1540" spans="1:25">
      <c r="A1540" s="1320" t="s">
        <v>5851</v>
      </c>
      <c r="C1540" s="1322">
        <v>2</v>
      </c>
      <c r="D1540" s="1320" t="s">
        <v>5265</v>
      </c>
      <c r="E1540" s="1324" t="s">
        <v>4067</v>
      </c>
      <c r="F1540" s="1324">
        <f t="shared" ref="F1540:H1546" si="716">+F1907-F1858-F586</f>
        <v>914850.35657795891</v>
      </c>
      <c r="G1540" s="1324">
        <f t="shared" si="716"/>
        <v>0</v>
      </c>
      <c r="H1540" s="1324">
        <f t="shared" si="716"/>
        <v>914850.35657795891</v>
      </c>
      <c r="I1540" s="1323">
        <f t="shared" ref="I1540:I1549" si="717">IF(F1540=0,0,+H1540/F1540)</f>
        <v>1</v>
      </c>
      <c r="J1540" s="1324">
        <f t="shared" ref="J1540:Q1546" si="718">+J1907-J1858-J586</f>
        <v>914850.35657795891</v>
      </c>
      <c r="K1540" s="1324">
        <f t="shared" si="718"/>
        <v>530625.13657704799</v>
      </c>
      <c r="L1540" s="1324">
        <f t="shared" si="718"/>
        <v>43771.221587929977</v>
      </c>
      <c r="M1540" s="1324">
        <f t="shared" si="718"/>
        <v>279807.42949115793</v>
      </c>
      <c r="N1540" s="1324">
        <f t="shared" si="718"/>
        <v>34930.247577882656</v>
      </c>
      <c r="O1540" s="1324">
        <f t="shared" si="718"/>
        <v>25067.699203343403</v>
      </c>
      <c r="P1540" s="1324">
        <f t="shared" si="718"/>
        <v>648.62214059707708</v>
      </c>
      <c r="Q1540" s="1324">
        <f t="shared" si="718"/>
        <v>0</v>
      </c>
      <c r="R1540" s="1324"/>
      <c r="S1540" s="1324"/>
      <c r="T1540" s="1324"/>
      <c r="V1540" s="1320" t="s">
        <v>5853</v>
      </c>
    </row>
    <row r="1541" spans="1:25">
      <c r="A1541" s="1320" t="s">
        <v>5851</v>
      </c>
      <c r="C1541" s="1322">
        <v>3</v>
      </c>
      <c r="D1541" s="1320" t="s">
        <v>5265</v>
      </c>
      <c r="E1541" s="1324" t="s">
        <v>2067</v>
      </c>
      <c r="F1541" s="1324">
        <f t="shared" si="716"/>
        <v>109726.52397699302</v>
      </c>
      <c r="G1541" s="1324">
        <f t="shared" si="716"/>
        <v>1.84900420208578E-3</v>
      </c>
      <c r="H1541" s="1324">
        <f t="shared" si="716"/>
        <v>109726.52212798882</v>
      </c>
      <c r="I1541" s="1323">
        <f t="shared" si="717"/>
        <v>0.99999998314897687</v>
      </c>
      <c r="J1541" s="1324">
        <f t="shared" si="718"/>
        <v>109726.52212798882</v>
      </c>
      <c r="K1541" s="1324">
        <f t="shared" si="718"/>
        <v>55336.379234645116</v>
      </c>
      <c r="L1541" s="1324">
        <f t="shared" si="718"/>
        <v>5113.7292260920121</v>
      </c>
      <c r="M1541" s="1324">
        <f t="shared" si="718"/>
        <v>38095.296496479663</v>
      </c>
      <c r="N1541" s="1324">
        <f t="shared" si="718"/>
        <v>6064.1586770333497</v>
      </c>
      <c r="O1541" s="1324">
        <f t="shared" si="718"/>
        <v>4467.5376449097894</v>
      </c>
      <c r="P1541" s="1324">
        <f t="shared" si="718"/>
        <v>579.32084882888046</v>
      </c>
      <c r="Q1541" s="1324">
        <f t="shared" si="718"/>
        <v>0</v>
      </c>
      <c r="R1541" s="1324"/>
      <c r="S1541" s="1324"/>
      <c r="T1541" s="1324"/>
      <c r="V1541" s="1320" t="s">
        <v>5854</v>
      </c>
      <c r="Y1541" s="1324"/>
    </row>
    <row r="1542" spans="1:25">
      <c r="A1542" s="1320" t="s">
        <v>5851</v>
      </c>
      <c r="C1542" s="1322">
        <v>4</v>
      </c>
      <c r="D1542" s="1320" t="s">
        <v>5268</v>
      </c>
      <c r="E1542" s="1324" t="s">
        <v>4067</v>
      </c>
      <c r="F1542" s="1324">
        <f t="shared" si="716"/>
        <v>60562.566783695394</v>
      </c>
      <c r="G1542" s="1324">
        <f t="shared" si="716"/>
        <v>3923.6582912538825</v>
      </c>
      <c r="H1542" s="1324">
        <f t="shared" si="716"/>
        <v>56638.908492441507</v>
      </c>
      <c r="I1542" s="1323">
        <f t="shared" si="717"/>
        <v>0.93521314403222733</v>
      </c>
      <c r="J1542" s="1324">
        <f t="shared" si="718"/>
        <v>56638.908492441507</v>
      </c>
      <c r="K1542" s="1324">
        <f t="shared" si="718"/>
        <v>32851.305503989992</v>
      </c>
      <c r="L1542" s="1324">
        <f t="shared" si="718"/>
        <v>2709.9013475761644</v>
      </c>
      <c r="M1542" s="1324">
        <f t="shared" si="718"/>
        <v>17323.03789412633</v>
      </c>
      <c r="N1542" s="1324">
        <f t="shared" si="718"/>
        <v>2162.5515932270746</v>
      </c>
      <c r="O1542" s="1324">
        <f t="shared" si="718"/>
        <v>1551.9555860535179</v>
      </c>
      <c r="P1542" s="1324">
        <f t="shared" si="718"/>
        <v>40.156567468440194</v>
      </c>
      <c r="Q1542" s="1324">
        <f t="shared" si="718"/>
        <v>0</v>
      </c>
      <c r="R1542" s="1324"/>
      <c r="S1542" s="1324"/>
      <c r="T1542" s="1324"/>
      <c r="V1542" s="1320" t="s">
        <v>5855</v>
      </c>
      <c r="W1542" s="1388"/>
      <c r="X1542" s="1388"/>
      <c r="Y1542" s="1324"/>
    </row>
    <row r="1543" spans="1:25">
      <c r="A1543" s="1320" t="s">
        <v>5851</v>
      </c>
      <c r="C1543" s="1322">
        <v>5</v>
      </c>
      <c r="D1543" s="1320" t="s">
        <v>5239</v>
      </c>
      <c r="E1543" s="1324" t="s">
        <v>4067</v>
      </c>
      <c r="F1543" s="1324">
        <f t="shared" si="716"/>
        <v>75062.525367392387</v>
      </c>
      <c r="G1543" s="1324">
        <f t="shared" si="716"/>
        <v>4863.0650195545277</v>
      </c>
      <c r="H1543" s="1324">
        <f t="shared" si="716"/>
        <v>70199.460347837827</v>
      </c>
      <c r="I1543" s="1323">
        <f t="shared" si="717"/>
        <v>0.935213144032227</v>
      </c>
      <c r="J1543" s="1324">
        <f t="shared" si="718"/>
        <v>70199.460347837827</v>
      </c>
      <c r="K1543" s="1324">
        <f t="shared" si="718"/>
        <v>40716.602411393702</v>
      </c>
      <c r="L1543" s="1324">
        <f t="shared" si="718"/>
        <v>3358.7090086863536</v>
      </c>
      <c r="M1543" s="1324">
        <f t="shared" si="718"/>
        <v>21470.539318657571</v>
      </c>
      <c r="N1543" s="1324">
        <f t="shared" si="718"/>
        <v>2680.312153952555</v>
      </c>
      <c r="O1543" s="1324">
        <f t="shared" si="718"/>
        <v>1923.526556648038</v>
      </c>
      <c r="P1543" s="1324">
        <f t="shared" si="718"/>
        <v>49.770898499610652</v>
      </c>
      <c r="Q1543" s="1324">
        <f t="shared" si="718"/>
        <v>0</v>
      </c>
      <c r="R1543" s="1324"/>
      <c r="S1543" s="1324"/>
      <c r="T1543" s="1324"/>
      <c r="V1543" s="1320" t="s">
        <v>5856</v>
      </c>
    </row>
    <row r="1544" spans="1:25">
      <c r="A1544" s="1320" t="s">
        <v>5851</v>
      </c>
      <c r="C1544" s="1322">
        <v>6</v>
      </c>
      <c r="D1544" s="1320" t="s">
        <v>5240</v>
      </c>
      <c r="E1544" s="1324" t="s">
        <v>4067</v>
      </c>
      <c r="F1544" s="1324">
        <f t="shared" si="716"/>
        <v>273993.24535970407</v>
      </c>
      <c r="G1544" s="1324">
        <f t="shared" si="716"/>
        <v>0</v>
      </c>
      <c r="H1544" s="1324">
        <f t="shared" si="716"/>
        <v>273993.24535970407</v>
      </c>
      <c r="I1544" s="1323">
        <f t="shared" si="717"/>
        <v>1</v>
      </c>
      <c r="J1544" s="1324">
        <f t="shared" si="718"/>
        <v>273993.24535970407</v>
      </c>
      <c r="K1544" s="1324">
        <f t="shared" si="718"/>
        <v>170537.78311281736</v>
      </c>
      <c r="L1544" s="1324">
        <f t="shared" si="718"/>
        <v>12129.074853870823</v>
      </c>
      <c r="M1544" s="1324">
        <f t="shared" si="718"/>
        <v>81211.729224437222</v>
      </c>
      <c r="N1544" s="1324">
        <f t="shared" si="718"/>
        <v>8541.8410640749862</v>
      </c>
      <c r="O1544" s="1324">
        <f t="shared" si="718"/>
        <v>5.8322026736940284E-3</v>
      </c>
      <c r="P1544" s="1324">
        <f t="shared" si="718"/>
        <v>1572.8112723011282</v>
      </c>
      <c r="Q1544" s="1324">
        <f t="shared" si="718"/>
        <v>0</v>
      </c>
      <c r="R1544" s="1324"/>
      <c r="S1544" s="1324"/>
      <c r="T1544" s="1324"/>
      <c r="V1544" s="1320" t="s">
        <v>5857</v>
      </c>
    </row>
    <row r="1545" spans="1:25" s="1324" customFormat="1">
      <c r="A1545" s="1324" t="s">
        <v>5851</v>
      </c>
      <c r="C1545" s="1393">
        <v>7</v>
      </c>
      <c r="D1545" s="1324" t="s">
        <v>5241</v>
      </c>
      <c r="E1545" s="1324" t="s">
        <v>4067</v>
      </c>
      <c r="F1545" s="1324">
        <f t="shared" si="716"/>
        <v>121175.8989887772</v>
      </c>
      <c r="G1545" s="1324">
        <f t="shared" si="716"/>
        <v>0</v>
      </c>
      <c r="H1545" s="1324">
        <f t="shared" si="716"/>
        <v>121175.8989887772</v>
      </c>
      <c r="I1545" s="1374">
        <f t="shared" si="717"/>
        <v>1</v>
      </c>
      <c r="J1545" s="1324">
        <f t="shared" si="718"/>
        <v>121175.8989887772</v>
      </c>
      <c r="K1545" s="1324">
        <f t="shared" si="718"/>
        <v>88413.966369316506</v>
      </c>
      <c r="L1545" s="1324">
        <f t="shared" si="718"/>
        <v>7119.0789769954972</v>
      </c>
      <c r="M1545" s="1324">
        <f t="shared" si="718"/>
        <v>25204.508527559046</v>
      </c>
      <c r="N1545" s="1324">
        <f t="shared" si="718"/>
        <v>0</v>
      </c>
      <c r="O1545" s="1324">
        <f t="shared" si="718"/>
        <v>0</v>
      </c>
      <c r="P1545" s="1324">
        <f t="shared" si="718"/>
        <v>438.34511490615142</v>
      </c>
      <c r="Q1545" s="1324">
        <f t="shared" si="718"/>
        <v>0</v>
      </c>
      <c r="V1545" s="1324" t="s">
        <v>5858</v>
      </c>
    </row>
    <row r="1546" spans="1:25">
      <c r="A1546" s="1320" t="s">
        <v>5851</v>
      </c>
      <c r="C1546" s="1322">
        <v>8</v>
      </c>
      <c r="D1546" s="1320" t="s">
        <v>5859</v>
      </c>
      <c r="E1546" s="1324" t="s">
        <v>4071</v>
      </c>
      <c r="F1546" s="1324">
        <f t="shared" si="716"/>
        <v>145442.34610742042</v>
      </c>
      <c r="G1546" s="1324">
        <f t="shared" si="716"/>
        <v>0</v>
      </c>
      <c r="H1546" s="1324">
        <f t="shared" si="716"/>
        <v>145442.34610742042</v>
      </c>
      <c r="I1546" s="1323">
        <f t="shared" si="717"/>
        <v>1</v>
      </c>
      <c r="J1546" s="1324">
        <f t="shared" si="718"/>
        <v>145442.34610742042</v>
      </c>
      <c r="K1546" s="1324">
        <f t="shared" si="718"/>
        <v>59686.996804423427</v>
      </c>
      <c r="L1546" s="1324">
        <f t="shared" si="718"/>
        <v>11342.396735872828</v>
      </c>
      <c r="M1546" s="1324">
        <f t="shared" si="718"/>
        <v>6430.1571534106897</v>
      </c>
      <c r="N1546" s="1324">
        <f t="shared" si="718"/>
        <v>478.36731713898928</v>
      </c>
      <c r="O1546" s="1324">
        <f t="shared" si="718"/>
        <v>521.91882396108952</v>
      </c>
      <c r="P1546" s="1324">
        <f t="shared" si="718"/>
        <v>107.94242854773773</v>
      </c>
      <c r="Q1546" s="1324">
        <f t="shared" si="718"/>
        <v>66874.566844065717</v>
      </c>
      <c r="R1546" s="1324"/>
      <c r="S1546" s="1324"/>
      <c r="T1546" s="1324"/>
      <c r="V1546" s="1320" t="s">
        <v>5860</v>
      </c>
    </row>
    <row r="1547" spans="1:25" s="1324" customFormat="1">
      <c r="A1547" s="1324" t="s">
        <v>5851</v>
      </c>
      <c r="C1547" s="1393">
        <v>9</v>
      </c>
      <c r="D1547" s="1324" t="s">
        <v>5861</v>
      </c>
      <c r="E1547" s="1324" t="s">
        <v>4071</v>
      </c>
      <c r="F1547" s="1324">
        <f>+F1914-F1863-F593-F286</f>
        <v>75710.450450231074</v>
      </c>
      <c r="G1547" s="1324">
        <f>+G1914-G1863-G593-G286</f>
        <v>0</v>
      </c>
      <c r="H1547" s="1324">
        <f>+H1914-H1863-H593-H286</f>
        <v>75710.450450231074</v>
      </c>
      <c r="I1547" s="1374">
        <f t="shared" si="717"/>
        <v>1</v>
      </c>
      <c r="J1547" s="1324">
        <f t="shared" ref="J1547:Q1547" si="719">+J1914-J1863-J593-J286</f>
        <v>75710.450450231074</v>
      </c>
      <c r="K1547" s="1324">
        <f t="shared" si="719"/>
        <v>67505.841072759853</v>
      </c>
      <c r="L1547" s="1324">
        <f t="shared" si="719"/>
        <v>6548.1406837599516</v>
      </c>
      <c r="M1547" s="1324">
        <f t="shared" si="719"/>
        <v>1609.6118827758494</v>
      </c>
      <c r="N1547" s="1324">
        <f t="shared" si="719"/>
        <v>8.4399650224681011</v>
      </c>
      <c r="O1547" s="1324">
        <f t="shared" si="719"/>
        <v>1.8651145050624507</v>
      </c>
      <c r="P1547" s="1324">
        <f t="shared" si="719"/>
        <v>25.183461099253428</v>
      </c>
      <c r="Q1547" s="1324">
        <f t="shared" si="719"/>
        <v>-0.14138035796770509</v>
      </c>
      <c r="T1547" s="1364"/>
      <c r="U1547" s="1364"/>
      <c r="V1547" s="1324" t="s">
        <v>5862</v>
      </c>
    </row>
    <row r="1548" spans="1:25" s="1324" customFormat="1">
      <c r="A1548" s="1324" t="s">
        <v>5851</v>
      </c>
      <c r="C1548" s="1393">
        <v>10</v>
      </c>
      <c r="D1548" s="1324" t="s">
        <v>5863</v>
      </c>
      <c r="E1548" s="1324" t="s">
        <v>4777</v>
      </c>
      <c r="F1548" s="1366">
        <f>F286+F593+F1863</f>
        <v>5880.7465970775693</v>
      </c>
      <c r="G1548" s="1366">
        <f>G286+G593+G1863</f>
        <v>0</v>
      </c>
      <c r="H1548" s="1366">
        <f>H286+H593+H1863</f>
        <v>5880.7465970775693</v>
      </c>
      <c r="I1548" s="1374">
        <f t="shared" si="717"/>
        <v>1</v>
      </c>
      <c r="J1548" s="1366">
        <f t="shared" ref="J1548:Q1548" si="720">J286+J593+J1863</f>
        <v>5880.7465970775693</v>
      </c>
      <c r="K1548" s="1366">
        <f t="shared" si="720"/>
        <v>3657.3920590298412</v>
      </c>
      <c r="L1548" s="1366">
        <f t="shared" si="720"/>
        <v>374.11369611245743</v>
      </c>
      <c r="M1548" s="1366">
        <f t="shared" si="720"/>
        <v>1242.5014564672208</v>
      </c>
      <c r="N1548" s="1366">
        <f t="shared" si="720"/>
        <v>173.63560250492179</v>
      </c>
      <c r="O1548" s="1366">
        <f t="shared" si="720"/>
        <v>93.15472761740412</v>
      </c>
      <c r="P1548" s="1366">
        <f t="shared" si="720"/>
        <v>32.806567292254407</v>
      </c>
      <c r="Q1548" s="1366">
        <f t="shared" si="720"/>
        <v>302.90809416513594</v>
      </c>
      <c r="T1548" s="1364"/>
      <c r="U1548" s="1364"/>
    </row>
    <row r="1549" spans="1:25" ht="14.4" thickBot="1">
      <c r="A1549" s="1320" t="s">
        <v>5851</v>
      </c>
      <c r="C1549" s="1322">
        <v>11</v>
      </c>
      <c r="D1549" s="1320" t="s">
        <v>5864</v>
      </c>
      <c r="F1549" s="1423">
        <f>SUM(F1540:F1548)</f>
        <v>1782404.6602092504</v>
      </c>
      <c r="G1549" s="1423">
        <f>SUM(G1540:G1548)</f>
        <v>8786.7251598126131</v>
      </c>
      <c r="H1549" s="1423">
        <f>SUM(H1540:H1548)</f>
        <v>1773617.9350494375</v>
      </c>
      <c r="I1549" s="1323">
        <f t="shared" si="717"/>
        <v>0.99507029724732576</v>
      </c>
      <c r="J1549" s="1380">
        <f t="shared" ref="J1549:Q1549" si="721">SUM(J1540:J1548)</f>
        <v>1773617.9350494375</v>
      </c>
      <c r="K1549" s="1423">
        <f t="shared" si="721"/>
        <v>1049331.4031454236</v>
      </c>
      <c r="L1549" s="1423">
        <f t="shared" si="721"/>
        <v>92466.366116896068</v>
      </c>
      <c r="M1549" s="1423">
        <f t="shared" si="721"/>
        <v>472394.81144507148</v>
      </c>
      <c r="N1549" s="1423">
        <f t="shared" si="721"/>
        <v>55039.553950836998</v>
      </c>
      <c r="O1549" s="1380">
        <f>SUM(O1540:O1548)</f>
        <v>33627.663489240978</v>
      </c>
      <c r="P1549" s="1380">
        <f>SUM(P1540:P1548)</f>
        <v>3494.9592995405333</v>
      </c>
      <c r="Q1549" s="1423">
        <f t="shared" si="721"/>
        <v>67177.333557872887</v>
      </c>
      <c r="R1549" s="1324"/>
      <c r="S1549" s="1324"/>
      <c r="T1549" s="1358"/>
      <c r="U1549" s="1364"/>
      <c r="V1549" s="1320" t="s">
        <v>5704</v>
      </c>
      <c r="Y1549" s="1324"/>
    </row>
    <row r="1550" spans="1:25" ht="14.4" thickTop="1">
      <c r="A1550" s="1320" t="s">
        <v>5851</v>
      </c>
      <c r="C1550" s="1322">
        <v>12</v>
      </c>
      <c r="F1550" s="1358"/>
      <c r="G1550" s="1358"/>
      <c r="H1550" s="1358"/>
      <c r="K1550" s="1364"/>
      <c r="L1550" s="1364"/>
      <c r="M1550" s="1367"/>
      <c r="N1550" s="1367"/>
      <c r="O1550" s="1367"/>
      <c r="P1550" s="1364"/>
      <c r="Q1550" s="1364"/>
      <c r="R1550" s="1358"/>
      <c r="S1550" s="1495"/>
      <c r="T1550" s="1358"/>
      <c r="U1550" s="1364"/>
      <c r="Y1550" s="1324"/>
    </row>
    <row r="1551" spans="1:25">
      <c r="A1551" s="1320" t="s">
        <v>5851</v>
      </c>
      <c r="C1551" s="1322">
        <v>13</v>
      </c>
      <c r="D1551" s="1324" t="s">
        <v>5865</v>
      </c>
      <c r="G1551" s="1320"/>
      <c r="J1551" s="1496">
        <f>+J1549/(J1549-J1548)</f>
        <v>1.0033267086507502</v>
      </c>
      <c r="S1551" s="763"/>
      <c r="Y1551" s="1324"/>
    </row>
    <row r="1552" spans="1:25" ht="18.75" customHeight="1">
      <c r="A1552" s="1320" t="s">
        <v>5851</v>
      </c>
      <c r="C1552" s="1322">
        <v>14</v>
      </c>
      <c r="D1552" s="1356" t="s">
        <v>5866</v>
      </c>
      <c r="G1552" s="1320"/>
      <c r="S1552" s="763"/>
      <c r="Y1552" s="1324"/>
    </row>
    <row r="1553" spans="1:25" ht="13.5" customHeight="1">
      <c r="A1553" s="1320" t="s">
        <v>5851</v>
      </c>
      <c r="C1553" s="1322">
        <v>15</v>
      </c>
      <c r="D1553" s="1356" t="s">
        <v>5867</v>
      </c>
      <c r="G1553" s="1320"/>
      <c r="O1553" s="1417"/>
      <c r="S1553" s="763"/>
      <c r="T1553" s="1497"/>
      <c r="U1553" s="1497"/>
      <c r="Y1553" s="1324"/>
    </row>
    <row r="1554" spans="1:25" ht="13.5" customHeight="1">
      <c r="A1554" s="1320" t="s">
        <v>5851</v>
      </c>
      <c r="B1554" s="1320">
        <v>404</v>
      </c>
      <c r="C1554" s="1322">
        <v>16</v>
      </c>
      <c r="D1554" s="1320" t="s">
        <v>5868</v>
      </c>
      <c r="G1554" s="1320"/>
      <c r="K1554" s="1324">
        <f t="shared" ref="K1554:P1554" si="722">+K2008</f>
        <v>10290068.453940002</v>
      </c>
      <c r="L1554" s="1324">
        <f t="shared" si="722"/>
        <v>950935.90074000007</v>
      </c>
      <c r="M1554" s="1325">
        <f t="shared" si="722"/>
        <v>7089279.4422360742</v>
      </c>
      <c r="N1554" s="1325">
        <f t="shared" si="722"/>
        <v>1148446.0116341452</v>
      </c>
      <c r="O1554" s="1325">
        <f t="shared" si="722"/>
        <v>847766.50298803649</v>
      </c>
      <c r="P1554" s="1324">
        <f t="shared" si="722"/>
        <v>107727.52524999999</v>
      </c>
      <c r="S1554" s="1325"/>
      <c r="T1554" s="1358"/>
      <c r="U1554" s="1364"/>
      <c r="V1554" s="1321" t="s">
        <v>5869</v>
      </c>
      <c r="W1554" s="1320">
        <v>404</v>
      </c>
      <c r="Y1554" s="1324"/>
    </row>
    <row r="1555" spans="1:25" ht="13.5" customHeight="1">
      <c r="A1555" s="1320" t="s">
        <v>5851</v>
      </c>
      <c r="B1555" s="1320">
        <v>405</v>
      </c>
      <c r="C1555" s="1322">
        <v>17</v>
      </c>
      <c r="D1555" s="1324" t="s">
        <v>5870</v>
      </c>
      <c r="G1555" s="1320"/>
      <c r="K1555" s="1324">
        <f t="shared" ref="K1555:P1555" si="723">K2011</f>
        <v>10290068.453940002</v>
      </c>
      <c r="L1555" s="1324">
        <f t="shared" si="723"/>
        <v>950935.90074000007</v>
      </c>
      <c r="M1555" s="1325">
        <f t="shared" si="723"/>
        <v>7088227.647975089</v>
      </c>
      <c r="N1555" s="1325">
        <f t="shared" si="723"/>
        <v>1148446.0116341452</v>
      </c>
      <c r="O1555" s="1325">
        <f t="shared" si="723"/>
        <v>0</v>
      </c>
      <c r="P1555" s="1324">
        <f t="shared" si="723"/>
        <v>107727.52524999999</v>
      </c>
      <c r="S1555" s="1325"/>
      <c r="T1555" s="1358"/>
      <c r="U1555" s="1364"/>
      <c r="V1555" s="1321" t="s">
        <v>5871</v>
      </c>
      <c r="W1555" s="1320">
        <v>405</v>
      </c>
      <c r="Y1555" s="1324"/>
    </row>
    <row r="1556" spans="1:25" ht="13.5" customHeight="1">
      <c r="A1556" s="1320" t="s">
        <v>5851</v>
      </c>
      <c r="B1556" s="1320">
        <v>406</v>
      </c>
      <c r="C1556" s="1322">
        <v>18</v>
      </c>
      <c r="D1556" s="1324" t="s">
        <v>5872</v>
      </c>
      <c r="G1556" s="1320"/>
      <c r="K1556" s="1324">
        <f t="shared" ref="K1556:P1556" si="724">K2014</f>
        <v>10290068.453940002</v>
      </c>
      <c r="L1556" s="1324">
        <f t="shared" si="724"/>
        <v>950935.90074000007</v>
      </c>
      <c r="M1556" s="1325">
        <f t="shared" si="724"/>
        <v>7005109.5403091656</v>
      </c>
      <c r="N1556" s="1325">
        <f t="shared" si="724"/>
        <v>0</v>
      </c>
      <c r="O1556" s="1325">
        <f t="shared" si="724"/>
        <v>0</v>
      </c>
      <c r="P1556" s="1324">
        <f t="shared" si="724"/>
        <v>107727.52524999999</v>
      </c>
      <c r="S1556" s="1325"/>
      <c r="T1556" s="1358"/>
      <c r="U1556" s="1364"/>
      <c r="V1556" s="1321" t="s">
        <v>5873</v>
      </c>
      <c r="W1556" s="1320">
        <v>406</v>
      </c>
      <c r="Y1556" s="1324"/>
    </row>
    <row r="1557" spans="1:25" ht="13.5" customHeight="1">
      <c r="A1557" s="1320" t="s">
        <v>5851</v>
      </c>
      <c r="C1557" s="1322">
        <v>19</v>
      </c>
      <c r="D1557" s="1324"/>
      <c r="G1557" s="1320"/>
      <c r="S1557" s="1325"/>
      <c r="T1557" s="1497"/>
      <c r="U1557" s="1497"/>
      <c r="Y1557" s="1324"/>
    </row>
    <row r="1558" spans="1:25" ht="13.5" customHeight="1">
      <c r="A1558" s="1320" t="s">
        <v>5851</v>
      </c>
      <c r="C1558" s="1322">
        <v>20</v>
      </c>
      <c r="D1558" s="1356" t="s">
        <v>5874</v>
      </c>
      <c r="G1558" s="1320"/>
      <c r="O1558" s="1417"/>
      <c r="S1558" s="1325"/>
      <c r="T1558" s="1497"/>
      <c r="U1558" s="1497"/>
    </row>
    <row r="1559" spans="1:25">
      <c r="A1559" s="1320" t="s">
        <v>5851</v>
      </c>
      <c r="B1559" s="1320">
        <v>401</v>
      </c>
      <c r="C1559" s="1322">
        <v>21</v>
      </c>
      <c r="D1559" s="1320" t="s">
        <v>5875</v>
      </c>
      <c r="G1559" s="1320"/>
      <c r="M1559" s="1324">
        <f>+M1999</f>
        <v>18168858.210000001</v>
      </c>
      <c r="N1559" s="1324">
        <f>+N1999</f>
        <v>2634852.5689424397</v>
      </c>
      <c r="O1559" s="1324">
        <f>+O1999</f>
        <v>3203801.7791090398</v>
      </c>
      <c r="S1559" s="1324"/>
      <c r="V1559" s="1321" t="s">
        <v>5876</v>
      </c>
      <c r="W1559" s="1320">
        <v>401</v>
      </c>
    </row>
    <row r="1560" spans="1:25">
      <c r="A1560" s="1320" t="s">
        <v>5851</v>
      </c>
      <c r="B1560" s="1320">
        <v>402</v>
      </c>
      <c r="C1560" s="1322">
        <v>22</v>
      </c>
      <c r="D1560" s="1324" t="s">
        <v>5877</v>
      </c>
      <c r="G1560" s="1320"/>
      <c r="M1560" s="1324">
        <f>+M2002</f>
        <v>18166432.804031242</v>
      </c>
      <c r="N1560" s="1324">
        <f>+N2002</f>
        <v>2634852.5689424397</v>
      </c>
      <c r="O1560" s="1324">
        <f>+O2002</f>
        <v>0</v>
      </c>
      <c r="S1560" s="1324"/>
      <c r="V1560" s="1321" t="s">
        <v>5878</v>
      </c>
      <c r="W1560" s="1320">
        <v>402</v>
      </c>
      <c r="Y1560" s="1324"/>
    </row>
    <row r="1561" spans="1:25" ht="14.4" thickBot="1">
      <c r="A1561" s="1320" t="s">
        <v>5851</v>
      </c>
      <c r="B1561" s="1320">
        <v>403</v>
      </c>
      <c r="C1561" s="1322">
        <v>23</v>
      </c>
      <c r="D1561" s="1324" t="s">
        <v>5879</v>
      </c>
      <c r="G1561" s="1320"/>
      <c r="M1561" s="1324">
        <f>+M2005</f>
        <v>17938641.16138665</v>
      </c>
      <c r="N1561" s="1324">
        <f>+N2005</f>
        <v>0</v>
      </c>
      <c r="O1561" s="1324">
        <f>+O2005</f>
        <v>0</v>
      </c>
      <c r="S1561" s="1324"/>
      <c r="V1561" s="1321" t="s">
        <v>5880</v>
      </c>
      <c r="W1561" s="1320">
        <v>403</v>
      </c>
      <c r="Y1561" s="1324"/>
    </row>
    <row r="1562" spans="1:25">
      <c r="A1562" s="1320" t="s">
        <v>5851</v>
      </c>
      <c r="C1562" s="1322">
        <v>24</v>
      </c>
      <c r="G1562" s="1320"/>
      <c r="I1562" s="1386"/>
      <c r="J1562" s="1498" t="s">
        <v>7084</v>
      </c>
      <c r="S1562" s="763"/>
    </row>
    <row r="1563" spans="1:25">
      <c r="A1563" s="1320" t="s">
        <v>5851</v>
      </c>
      <c r="B1563" s="1320">
        <v>412</v>
      </c>
      <c r="C1563" s="1322">
        <v>25</v>
      </c>
      <c r="D1563" s="1356" t="s">
        <v>5881</v>
      </c>
      <c r="G1563" s="1320"/>
      <c r="J1563" s="1499">
        <f>+K1563/12*365</f>
        <v>280724055</v>
      </c>
      <c r="K1563" s="1324">
        <f t="shared" ref="K1563:P1563" si="725">+K2017</f>
        <v>9229284</v>
      </c>
      <c r="L1563" s="1324">
        <f t="shared" si="725"/>
        <v>894696</v>
      </c>
      <c r="M1563" s="1324">
        <f t="shared" si="725"/>
        <v>220356</v>
      </c>
      <c r="N1563" s="1324">
        <f t="shared" si="725"/>
        <v>744</v>
      </c>
      <c r="O1563" s="1324">
        <f t="shared" si="725"/>
        <v>132</v>
      </c>
      <c r="P1563" s="1324">
        <f t="shared" si="725"/>
        <v>2832</v>
      </c>
      <c r="S1563" s="1324"/>
      <c r="V1563" s="1321" t="s">
        <v>5245</v>
      </c>
      <c r="W1563" s="1320">
        <v>412</v>
      </c>
    </row>
    <row r="1564" spans="1:25">
      <c r="A1564" s="1320" t="s">
        <v>5851</v>
      </c>
      <c r="C1564" s="1322">
        <v>26</v>
      </c>
      <c r="G1564" s="1320"/>
      <c r="I1564" s="1386"/>
      <c r="J1564" s="1499"/>
      <c r="S1564" s="763"/>
    </row>
    <row r="1565" spans="1:25">
      <c r="A1565" s="1320" t="s">
        <v>5851</v>
      </c>
      <c r="B1565" s="1324"/>
      <c r="C1565" s="1322">
        <v>27</v>
      </c>
      <c r="D1565" s="1356" t="s">
        <v>5882</v>
      </c>
      <c r="E1565" s="1324"/>
      <c r="F1565" s="1324"/>
      <c r="H1565" s="1324"/>
      <c r="I1565" s="1374"/>
      <c r="J1565" s="1499"/>
      <c r="S1565" s="763"/>
      <c r="T1565" s="1368"/>
      <c r="U1565" s="1368"/>
      <c r="V1565" s="1368"/>
    </row>
    <row r="1566" spans="1:25">
      <c r="A1566" s="1320" t="s">
        <v>5851</v>
      </c>
      <c r="C1566" s="1322">
        <v>28</v>
      </c>
      <c r="D1566" s="1320" t="s">
        <v>5883</v>
      </c>
      <c r="F1566" s="907"/>
      <c r="G1566" s="907"/>
      <c r="H1566" s="907"/>
      <c r="J1566" s="1500"/>
      <c r="K1566" s="907"/>
      <c r="L1566" s="907"/>
      <c r="M1566" s="1501"/>
      <c r="N1566" s="1501"/>
      <c r="O1566" s="1501"/>
      <c r="P1566" s="907"/>
      <c r="Q1566" s="907"/>
      <c r="R1566" s="907"/>
      <c r="S1566" s="763"/>
      <c r="T1566" s="1502"/>
      <c r="U1566" s="1502"/>
    </row>
    <row r="1567" spans="1:25">
      <c r="A1567" s="1320" t="s">
        <v>5851</v>
      </c>
      <c r="C1567" s="1322">
        <v>29</v>
      </c>
      <c r="D1567" s="1320" t="s">
        <v>5884</v>
      </c>
      <c r="F1567" s="907"/>
      <c r="G1567" s="907"/>
      <c r="H1567" s="907"/>
      <c r="J1567" s="1503">
        <f>+$K$1546*1000/(J$1563)*J1551</f>
        <v>0.21332535273127914</v>
      </c>
      <c r="K1567" s="1504">
        <f>+$K$1546*1000/(K$1563)*J1551</f>
        <v>6.488646145576408</v>
      </c>
      <c r="L1567" s="1504">
        <f>+L1546*1000/(L$1563)*J1551</f>
        <v>12.71954896994543</v>
      </c>
      <c r="M1567" s="1504">
        <f>+M1546*1000/(M$1563)*J1551</f>
        <v>29.277843184840098</v>
      </c>
      <c r="N1567" s="1504">
        <f>+N1546*1000/(N$1563)*J1551</f>
        <v>645.105787407462</v>
      </c>
      <c r="O1567" s="1504">
        <f>+O1546*1000/(O$1563)*J1551</f>
        <v>3967.0840593011385</v>
      </c>
      <c r="P1567" s="1504">
        <f>+P1546*1000/(P$1563)*J1551</f>
        <v>38.242062697235333</v>
      </c>
      <c r="Q1567" s="1504"/>
      <c r="R1567" s="1504"/>
      <c r="S1567" s="1505"/>
      <c r="T1567" s="1504"/>
      <c r="U1567" s="1504"/>
      <c r="V1567" s="1320" t="s">
        <v>5885</v>
      </c>
      <c r="Y1567" s="1324"/>
    </row>
    <row r="1568" spans="1:25">
      <c r="A1568" s="1320" t="s">
        <v>5851</v>
      </c>
      <c r="C1568" s="1322">
        <v>30</v>
      </c>
      <c r="D1568" s="1320" t="s">
        <v>5886</v>
      </c>
      <c r="F1568" s="907"/>
      <c r="G1568" s="907"/>
      <c r="H1568" s="907"/>
      <c r="J1568" s="1506">
        <f>+$K$1547*1000/(J$1563)*J1551</f>
        <v>0.24127042956198669</v>
      </c>
      <c r="K1568" s="1507">
        <f>+$K$1547*1000/(K$1563)*J1551</f>
        <v>7.3386422325104288</v>
      </c>
      <c r="L1568" s="1507">
        <f>+L1547*1000/(L$1563)*J1551</f>
        <v>7.3431919221936237</v>
      </c>
      <c r="M1568" s="1507">
        <f>+M1547*1000/(M$1563)*J1551</f>
        <v>7.3288977497804924</v>
      </c>
      <c r="N1568" s="1507">
        <f>+N1547*1000/(N$1563)*J1551</f>
        <v>11.381777321398355</v>
      </c>
      <c r="O1568" s="1507">
        <f>+O1547*1000/(O$1563)*J1551</f>
        <v>14.176660588038498</v>
      </c>
      <c r="P1568" s="1507">
        <f>+P1547*1000/(P$1563)*J1551</f>
        <v>8.9220477179195434</v>
      </c>
      <c r="Q1568" s="1504"/>
      <c r="R1568" s="907"/>
      <c r="S1568" s="763"/>
      <c r="T1568" s="1504"/>
      <c r="U1568" s="1504"/>
      <c r="V1568" s="1320" t="s">
        <v>5887</v>
      </c>
      <c r="Y1568" s="1324"/>
    </row>
    <row r="1569" spans="1:25" ht="14.4" thickBot="1">
      <c r="A1569" s="1320" t="s">
        <v>5851</v>
      </c>
      <c r="C1569" s="1322">
        <v>31</v>
      </c>
      <c r="D1569" s="1320" t="s">
        <v>5888</v>
      </c>
      <c r="F1569" s="907"/>
      <c r="G1569" s="907"/>
      <c r="H1569" s="907"/>
      <c r="J1569" s="1508">
        <f t="shared" ref="J1569:P1569" si="726">SUM(J1567:J1568)</f>
        <v>0.4545957822932658</v>
      </c>
      <c r="K1569" s="1504">
        <f t="shared" si="726"/>
        <v>13.827288378086838</v>
      </c>
      <c r="L1569" s="1504">
        <f t="shared" si="726"/>
        <v>20.062740892139054</v>
      </c>
      <c r="M1569" s="1509">
        <f t="shared" si="726"/>
        <v>36.606740934620589</v>
      </c>
      <c r="N1569" s="1509">
        <f t="shared" si="726"/>
        <v>656.48756472886032</v>
      </c>
      <c r="O1569" s="1509">
        <f t="shared" si="726"/>
        <v>3981.2607198891769</v>
      </c>
      <c r="P1569" s="1509">
        <f t="shared" si="726"/>
        <v>47.16411041515488</v>
      </c>
      <c r="Q1569" s="1504"/>
      <c r="R1569" s="1504"/>
      <c r="S1569" s="1505"/>
      <c r="T1569" s="1504"/>
      <c r="U1569" s="1504"/>
      <c r="V1569" s="1320" t="s">
        <v>5889</v>
      </c>
      <c r="Y1569" s="1324"/>
    </row>
    <row r="1570" spans="1:25">
      <c r="A1570" s="1320" t="s">
        <v>5851</v>
      </c>
      <c r="C1570" s="1322">
        <v>32</v>
      </c>
      <c r="D1570" s="1356"/>
      <c r="F1570" s="907"/>
      <c r="G1570" s="907"/>
      <c r="H1570" s="907"/>
      <c r="J1570" s="907"/>
      <c r="K1570" s="907"/>
      <c r="L1570" s="907"/>
      <c r="M1570" s="1501"/>
      <c r="N1570" s="1501"/>
      <c r="O1570" s="1501"/>
      <c r="P1570" s="907"/>
      <c r="Q1570" s="907"/>
      <c r="R1570" s="907"/>
      <c r="S1570" s="763"/>
      <c r="T1570" s="1510"/>
      <c r="U1570" s="1511"/>
      <c r="Y1570" s="1324"/>
    </row>
    <row r="1571" spans="1:25">
      <c r="A1571" s="1320" t="s">
        <v>5851</v>
      </c>
      <c r="C1571" s="1322">
        <v>33</v>
      </c>
      <c r="D1571" s="1320" t="s">
        <v>5890</v>
      </c>
      <c r="F1571" s="907"/>
      <c r="G1571" s="907"/>
      <c r="H1571" s="907"/>
      <c r="J1571" s="907"/>
      <c r="K1571" s="1512">
        <f>(IF(K1554=0,0,K1541/K1554/10)*1000)*J1551</f>
        <v>0.53955391545415587</v>
      </c>
      <c r="L1571" s="1512">
        <f>(IF(L1554=0,0,L1541/L1554/10)*1000)*J1551</f>
        <v>0.53954647304338843</v>
      </c>
      <c r="M1571" s="1512">
        <f>(IF(M1554=0,0,M1541/M1554/10)*1000)*J1551</f>
        <v>0.53915251557401644</v>
      </c>
      <c r="N1571" s="1512">
        <f>(IF(N1554=0,0,N1541/N1554/10)*1000)*J1551</f>
        <v>0.52978827951226448</v>
      </c>
      <c r="O1571" s="1512">
        <f>(IF(O1554=0,0,O1541/O1554/10)*1000)*J1551</f>
        <v>0.52873047298306841</v>
      </c>
      <c r="P1571" s="1512">
        <f>(IF(P1554=0,0,P1541/P1554/10)*1000)*J1551</f>
        <v>0.53955391545415599</v>
      </c>
      <c r="Q1571" s="907"/>
      <c r="R1571" s="907"/>
      <c r="S1571" s="1512"/>
      <c r="T1571" s="1513"/>
      <c r="U1571" s="1514"/>
      <c r="V1571" s="1321" t="s">
        <v>5891</v>
      </c>
      <c r="Y1571" s="1324"/>
    </row>
    <row r="1572" spans="1:25">
      <c r="A1572" s="1320" t="s">
        <v>5851</v>
      </c>
      <c r="C1572" s="1322">
        <v>34</v>
      </c>
      <c r="D1572" s="1356"/>
      <c r="F1572" s="907"/>
      <c r="G1572" s="907"/>
      <c r="H1572" s="907"/>
      <c r="J1572" s="907"/>
      <c r="K1572" s="1515"/>
      <c r="L1572" s="1515"/>
      <c r="M1572" s="1516"/>
      <c r="N1572" s="1516"/>
      <c r="O1572" s="1516"/>
      <c r="P1572" s="1515"/>
      <c r="Q1572" s="907"/>
      <c r="R1572" s="907"/>
      <c r="S1572" s="763"/>
      <c r="T1572" s="1510"/>
      <c r="U1572" s="1511"/>
      <c r="Y1572" s="1324"/>
    </row>
    <row r="1573" spans="1:25">
      <c r="A1573" s="1320" t="s">
        <v>5851</v>
      </c>
      <c r="C1573" s="1322">
        <v>35</v>
      </c>
      <c r="D1573" s="1320" t="s">
        <v>5892</v>
      </c>
      <c r="F1573" s="907"/>
      <c r="G1573" s="907"/>
      <c r="H1573" s="907"/>
      <c r="J1573" s="907"/>
      <c r="K1573" s="1515"/>
      <c r="L1573" s="1515"/>
      <c r="M1573" s="1516"/>
      <c r="N1573" s="1516"/>
      <c r="O1573" s="1516"/>
      <c r="P1573" s="1515"/>
      <c r="Q1573" s="907"/>
      <c r="R1573" s="907"/>
      <c r="S1573" s="763"/>
      <c r="T1573" s="1510"/>
      <c r="U1573" s="1511"/>
      <c r="Y1573" s="1324"/>
    </row>
    <row r="1574" spans="1:25">
      <c r="A1574" s="1320" t="s">
        <v>5851</v>
      </c>
      <c r="C1574" s="1322">
        <v>36</v>
      </c>
      <c r="D1574" s="1320" t="s">
        <v>5893</v>
      </c>
      <c r="F1574" s="907"/>
      <c r="G1574" s="907"/>
      <c r="H1574" s="907"/>
      <c r="J1574" s="907"/>
      <c r="K1574" s="1515"/>
      <c r="L1574" s="1515"/>
      <c r="M1574" s="1516"/>
      <c r="N1574" s="1516"/>
      <c r="O1574" s="1516"/>
      <c r="P1574" s="1515"/>
      <c r="Q1574" s="907"/>
      <c r="R1574" s="907"/>
      <c r="S1574" s="763"/>
      <c r="T1574" s="1510"/>
      <c r="U1574" s="1511"/>
      <c r="Y1574" s="1324"/>
    </row>
    <row r="1575" spans="1:25">
      <c r="A1575" s="1320" t="s">
        <v>5851</v>
      </c>
      <c r="C1575" s="1322">
        <v>37</v>
      </c>
      <c r="D1575" s="1320" t="s">
        <v>5894</v>
      </c>
      <c r="F1575" s="907"/>
      <c r="G1575" s="907"/>
      <c r="H1575" s="907"/>
      <c r="I1575" s="1440"/>
      <c r="J1575" s="907"/>
      <c r="K1575" s="1512">
        <f>(IF(K1554=0,0,K1540/K1554/10)*1000)*J1551</f>
        <v>5.1738273092377289</v>
      </c>
      <c r="L1575" s="1512">
        <f>(IF(L1554=0,0,L1540/L1554/10)*1000)*J1551</f>
        <v>4.6182750756665314</v>
      </c>
      <c r="M1575" s="1512">
        <f>(IF(M1554=0,0,M1540/M1554/10)*1000)*J1551</f>
        <v>3.9600395156498585</v>
      </c>
      <c r="N1575" s="1512">
        <f>(IF(N1554=0,0,N1540/N1554/10)*1000)*J1551</f>
        <v>3.0516410854006621</v>
      </c>
      <c r="O1575" s="1512">
        <f>(IF(O1554=0,0,O1540/O1554/10)*1000)*J1551</f>
        <v>2.9667475709986264</v>
      </c>
      <c r="P1575" s="1512">
        <f>(IF(P1554=0,0,P1540/P1554/10)*1000)*J1551</f>
        <v>0.60409808539927412</v>
      </c>
      <c r="Q1575" s="907"/>
      <c r="R1575" s="907"/>
      <c r="S1575" s="1517"/>
      <c r="T1575" s="1513"/>
      <c r="U1575" s="1514"/>
      <c r="V1575" s="1321" t="s">
        <v>5895</v>
      </c>
    </row>
    <row r="1576" spans="1:25">
      <c r="A1576" s="1320" t="s">
        <v>5851</v>
      </c>
      <c r="C1576" s="1322">
        <v>38</v>
      </c>
      <c r="D1576" s="1320" t="s">
        <v>5896</v>
      </c>
      <c r="F1576" s="907"/>
      <c r="G1576" s="907"/>
      <c r="H1576" s="907"/>
      <c r="J1576" s="907"/>
      <c r="K1576" s="1512">
        <f>(IF(K1554=0,0,SUM(K1542:K1543)/K1554/10)*1000)*J1551</f>
        <v>0.71731929910340886</v>
      </c>
      <c r="L1576" s="1512">
        <f>(IF(L1554=0,0,SUM(L1542:L1543)/L1554/10)*1000)*J1551</f>
        <v>0.64029540267588403</v>
      </c>
      <c r="M1576" s="1512">
        <f>(IF(M1554=0,0,SUM(M1542:M1543)/M1554/10)*1000)*J1551</f>
        <v>0.54903509529897143</v>
      </c>
      <c r="N1576" s="1512">
        <f>(IF(N1554=0,0,SUM(N1542:N1543)/N1554/10)*1000)*J1551</f>
        <v>0.42309124631708656</v>
      </c>
      <c r="O1576" s="1512">
        <f>(IF(O1554=0,0,SUM(O1542:O1543)/O1554/10)*1000)*J1551</f>
        <v>0.41132128326853912</v>
      </c>
      <c r="P1576" s="1512">
        <f>(IF(P1554=0,0,SUM(P1542:P1543)/P1554/10)*1000)*J1551</f>
        <v>8.3754479867276826E-2</v>
      </c>
      <c r="Q1576" s="907"/>
      <c r="R1576" s="907"/>
      <c r="S1576" s="1517"/>
      <c r="T1576" s="1513"/>
      <c r="U1576" s="1514"/>
      <c r="V1576" s="1321" t="s">
        <v>5897</v>
      </c>
    </row>
    <row r="1577" spans="1:25">
      <c r="A1577" s="1320" t="s">
        <v>5851</v>
      </c>
      <c r="C1577" s="1322">
        <v>39</v>
      </c>
      <c r="D1577" s="1320" t="s">
        <v>5898</v>
      </c>
      <c r="F1577" s="907"/>
      <c r="G1577" s="907"/>
      <c r="H1577" s="907"/>
      <c r="J1577" s="907"/>
      <c r="K1577" s="1512">
        <f>(IF(K1555=0,0,K1544/K1555/10)*1000)*J1551</f>
        <v>1.6628180210566379</v>
      </c>
      <c r="L1577" s="1512">
        <f>(IF(L1555=0,0,L1544/L1555/10)*1000)*J1551</f>
        <v>1.2797313407394524</v>
      </c>
      <c r="M1577" s="1512">
        <f>(IF(M1555=0,0,M1544/M1555/10)*1000)*J1551</f>
        <v>1.1495383759276931</v>
      </c>
      <c r="N1577" s="1512">
        <f>(IF(N1555=0,0,N1544/N1555/10)*1000)*J1551</f>
        <v>0.74624816437312536</v>
      </c>
      <c r="O1577" s="1512">
        <f>(IF(O1555=0,0,O1544/O1555/10)*1000)*J1551</f>
        <v>0</v>
      </c>
      <c r="P1577" s="1512">
        <f>(IF(P1555=0,0,P1544/P1555/10)*1000)*J1551</f>
        <v>1.4648471256575997</v>
      </c>
      <c r="Q1577" s="907"/>
      <c r="R1577" s="907"/>
      <c r="S1577" s="1517"/>
      <c r="T1577" s="1513"/>
      <c r="U1577" s="1514"/>
      <c r="V1577" s="1321" t="s">
        <v>5899</v>
      </c>
    </row>
    <row r="1578" spans="1:25">
      <c r="A1578" s="1320" t="s">
        <v>5851</v>
      </c>
      <c r="C1578" s="1322">
        <v>40</v>
      </c>
      <c r="D1578" s="1320" t="s">
        <v>5900</v>
      </c>
      <c r="F1578" s="907"/>
      <c r="G1578" s="907"/>
      <c r="H1578" s="907"/>
      <c r="J1578" s="907"/>
      <c r="K1578" s="1512">
        <f>(IF(K1556=0,0,K1545/K1556/10)*1000)*J1551</f>
        <v>0.86207486639332009</v>
      </c>
      <c r="L1578" s="1512">
        <f>(IF(L1556=0,0,L1545/L1556/10)*1000)*J1551</f>
        <v>0.75112971053624988</v>
      </c>
      <c r="M1578" s="1512">
        <f>(IF(M1556=0,0,M1545/M1556/10)*1000)*J1551</f>
        <v>0.36099873154873613</v>
      </c>
      <c r="N1578" s="1512">
        <f>(IF(N1556=0,0,N1545/N1556/10)*1000)*J1551</f>
        <v>0</v>
      </c>
      <c r="O1578" s="1512">
        <f>(IF(O1556=0,0,O1545/O1556/10)*1000)*J1551</f>
        <v>0</v>
      </c>
      <c r="P1578" s="1512">
        <f>(IF(P1556=0,0,P1545/P1556/10)*1000)*J1551</f>
        <v>0.40825532784799945</v>
      </c>
      <c r="Q1578" s="907"/>
      <c r="R1578" s="907"/>
      <c r="S1578" s="1517"/>
      <c r="T1578" s="1513"/>
      <c r="U1578" s="1514"/>
      <c r="V1578" s="1321" t="s">
        <v>5901</v>
      </c>
    </row>
    <row r="1579" spans="1:25">
      <c r="A1579" s="1320" t="s">
        <v>5851</v>
      </c>
      <c r="C1579" s="1322">
        <v>41</v>
      </c>
      <c r="F1579" s="907"/>
      <c r="G1579" s="907"/>
      <c r="H1579" s="907"/>
      <c r="J1579" s="907"/>
      <c r="K1579" s="907"/>
      <c r="L1579" s="907"/>
      <c r="M1579" s="1501"/>
      <c r="N1579" s="1501"/>
      <c r="O1579" s="1501"/>
      <c r="P1579" s="907"/>
      <c r="Q1579" s="907"/>
      <c r="R1579" s="907"/>
      <c r="S1579" s="763"/>
      <c r="T1579" s="1510"/>
      <c r="U1579" s="1511"/>
      <c r="V1579" s="1321"/>
      <c r="Y1579" s="1324"/>
    </row>
    <row r="1580" spans="1:25">
      <c r="A1580" s="1320" t="s">
        <v>5851</v>
      </c>
      <c r="C1580" s="1322">
        <v>42</v>
      </c>
      <c r="D1580" s="1320" t="s">
        <v>5902</v>
      </c>
      <c r="F1580" s="907"/>
      <c r="G1580" s="907"/>
      <c r="H1580" s="907"/>
      <c r="J1580" s="907"/>
      <c r="K1580" s="907"/>
      <c r="L1580" s="907"/>
      <c r="M1580" s="1501"/>
      <c r="N1580" s="1501"/>
      <c r="O1580" s="1501"/>
      <c r="P1580" s="907"/>
      <c r="Q1580" s="907"/>
      <c r="R1580" s="907"/>
      <c r="S1580" s="763"/>
      <c r="T1580" s="1510"/>
      <c r="U1580" s="1511"/>
      <c r="Y1580" s="1324"/>
    </row>
    <row r="1581" spans="1:25">
      <c r="A1581" s="1320" t="s">
        <v>5851</v>
      </c>
      <c r="C1581" s="1322">
        <v>43</v>
      </c>
      <c r="D1581" s="1320" t="s">
        <v>5903</v>
      </c>
      <c r="F1581" s="907"/>
      <c r="G1581" s="907"/>
      <c r="H1581" s="907"/>
      <c r="I1581" s="1386"/>
      <c r="J1581" s="907"/>
      <c r="K1581" s="1364"/>
      <c r="L1581" s="1364"/>
      <c r="M1581" s="1509">
        <f>(IF(M1559=0,0,+M1540*1000/(M1559)))*J1551</f>
        <v>15.451618590587833</v>
      </c>
      <c r="N1581" s="1509">
        <f>(IF(N1559=0,0,+N1540*1000/(N1559)))*J1551</f>
        <v>13.301104869309468</v>
      </c>
      <c r="O1581" s="1509">
        <f>(IF(O1559=0,0,+O1540*1000/(O1559)))*J1551</f>
        <v>7.8503895899989029</v>
      </c>
      <c r="P1581" s="1364"/>
      <c r="Q1581" s="907"/>
      <c r="R1581" s="907"/>
      <c r="S1581" s="1518"/>
      <c r="T1581" s="1519"/>
      <c r="U1581" s="1520"/>
      <c r="V1581" s="1321" t="s">
        <v>5904</v>
      </c>
      <c r="Y1581" s="1324"/>
    </row>
    <row r="1582" spans="1:25">
      <c r="A1582" s="1320" t="s">
        <v>5851</v>
      </c>
      <c r="C1582" s="1322">
        <v>44</v>
      </c>
      <c r="D1582" s="1320" t="s">
        <v>5905</v>
      </c>
      <c r="F1582" s="907"/>
      <c r="G1582" s="907"/>
      <c r="H1582" s="907"/>
      <c r="I1582" s="1386"/>
      <c r="J1582" s="907"/>
      <c r="K1582" s="1364"/>
      <c r="L1582" s="1364"/>
      <c r="M1582" s="1509">
        <f>(IF(M1559=0,0,SUM(M1542:M1543)/M1559)*1000)*J1551</f>
        <v>2.1422717757942813</v>
      </c>
      <c r="N1582" s="1509">
        <f>(IF(N1559=0,0,SUM(N1542:N1543)/N1559)*1000)*J1551</f>
        <v>1.8441162899114469</v>
      </c>
      <c r="O1582" s="1509">
        <f>(IF(O1559=0,0,SUM(O1542:O1543)/O1559)*1000)*J1551</f>
        <v>1.0884081786673261</v>
      </c>
      <c r="P1582" s="1364"/>
      <c r="Q1582" s="907"/>
      <c r="R1582" s="907"/>
      <c r="S1582" s="1518"/>
      <c r="T1582" s="1519"/>
      <c r="U1582" s="1520"/>
      <c r="V1582" s="1321" t="s">
        <v>5906</v>
      </c>
      <c r="Y1582" s="1324"/>
    </row>
    <row r="1583" spans="1:25">
      <c r="A1583" s="1320" t="s">
        <v>5851</v>
      </c>
      <c r="C1583" s="1322">
        <v>45</v>
      </c>
      <c r="D1583" s="1320" t="s">
        <v>5907</v>
      </c>
      <c r="F1583" s="907"/>
      <c r="G1583" s="907"/>
      <c r="H1583" s="907"/>
      <c r="I1583" s="1386"/>
      <c r="J1583" s="907"/>
      <c r="K1583" s="1364"/>
      <c r="L1583" s="1364"/>
      <c r="M1583" s="1509">
        <f>(IF(M1560=0,0,M1544/M1560)*1000)*J1551</f>
        <v>4.4852997759972562</v>
      </c>
      <c r="N1583" s="1509">
        <f>(IF(N1560=0,0,N1544/N1560)*1000)*J1551</f>
        <v>3.2526515455382969</v>
      </c>
      <c r="O1583" s="1509">
        <f>(IF(O1560=0,0,O1544/O1560)*1000)*J1551</f>
        <v>0</v>
      </c>
      <c r="P1583" s="1364"/>
      <c r="Q1583" s="907"/>
      <c r="R1583" s="907"/>
      <c r="S1583" s="1518"/>
      <c r="T1583" s="1519"/>
      <c r="U1583" s="1520"/>
      <c r="V1583" s="1321" t="s">
        <v>5908</v>
      </c>
      <c r="Y1583" s="1324"/>
    </row>
    <row r="1584" spans="1:25">
      <c r="A1584" s="1320" t="s">
        <v>5851</v>
      </c>
      <c r="C1584" s="1322">
        <v>46</v>
      </c>
      <c r="D1584" s="1320" t="s">
        <v>5909</v>
      </c>
      <c r="F1584" s="907"/>
      <c r="G1584" s="907"/>
      <c r="H1584" s="907"/>
      <c r="I1584" s="1386"/>
      <c r="J1584" s="907"/>
      <c r="K1584" s="1364"/>
      <c r="L1584" s="1364"/>
      <c r="M1584" s="1509">
        <f>(IF(M1561=0,0,M1545/M1561)*1000)*J1551</f>
        <v>1.409714167121497</v>
      </c>
      <c r="N1584" s="1509">
        <f>(IF(N1561=0,0,N1545/N1561)*1000)*J1551</f>
        <v>0</v>
      </c>
      <c r="O1584" s="1509">
        <f>(IF(O1561=0,0,O1545/O1561)*1000)*J1551</f>
        <v>0</v>
      </c>
      <c r="P1584" s="1364"/>
      <c r="Q1584" s="907"/>
      <c r="R1584" s="907"/>
      <c r="S1584" s="1518"/>
      <c r="T1584" s="1519"/>
      <c r="U1584" s="1520"/>
      <c r="V1584" s="1321" t="s">
        <v>5910</v>
      </c>
      <c r="Y1584" s="1324"/>
    </row>
    <row r="1585" spans="1:25" ht="14.4">
      <c r="F1585" s="907"/>
      <c r="G1585" s="907"/>
      <c r="H1585" s="907"/>
      <c r="I1585" s="1386"/>
      <c r="J1585" s="907"/>
      <c r="K1585" s="907"/>
      <c r="L1585" s="907"/>
      <c r="M1585" s="1501"/>
      <c r="N1585" s="1501"/>
      <c r="O1585" s="1501"/>
      <c r="P1585" s="907"/>
      <c r="Q1585" s="907"/>
      <c r="R1585" s="907"/>
      <c r="S1585"/>
      <c r="Y1585" s="1324"/>
    </row>
    <row r="1586" spans="1:25">
      <c r="F1586" s="907"/>
      <c r="G1586" s="907"/>
      <c r="H1586" s="907"/>
      <c r="I1586" s="1386"/>
      <c r="J1586" s="907"/>
      <c r="K1586" s="907"/>
      <c r="L1586" s="907"/>
      <c r="M1586" s="1501"/>
      <c r="N1586" s="1501"/>
      <c r="O1586" s="1501"/>
      <c r="P1586" s="96"/>
      <c r="Q1586" s="907"/>
      <c r="R1586" s="907"/>
      <c r="S1586" s="1521"/>
      <c r="Y1586" s="1324"/>
    </row>
    <row r="1587" spans="1:25">
      <c r="F1587" s="907"/>
      <c r="G1587" s="907"/>
      <c r="H1587" s="907"/>
      <c r="I1587" s="1386"/>
      <c r="J1587" s="907"/>
      <c r="K1587" s="907"/>
      <c r="L1587" s="907"/>
      <c r="M1587" s="1501"/>
      <c r="N1587" s="1501"/>
      <c r="O1587" s="1501"/>
      <c r="P1587" s="96"/>
      <c r="Q1587" s="907"/>
      <c r="R1587" s="907"/>
    </row>
    <row r="1588" spans="1:25">
      <c r="G1588" s="1320"/>
    </row>
    <row r="1589" spans="1:25">
      <c r="G1589" s="1320"/>
    </row>
    <row r="1590" spans="1:25">
      <c r="B1590" s="1331"/>
      <c r="C1590" s="1340" t="str">
        <f>+C$2</f>
        <v>RATES WITH REVENUE DEFICIENCY ADDITION</v>
      </c>
      <c r="F1590" s="1333"/>
      <c r="G1590" s="1327" t="s">
        <v>2173</v>
      </c>
      <c r="I1590" s="1334" t="s">
        <v>5848</v>
      </c>
      <c r="L1590" s="1329" t="s">
        <v>2173</v>
      </c>
      <c r="M1590" s="1330"/>
      <c r="N1590" s="1330"/>
      <c r="O1590" s="1330"/>
      <c r="S1590" s="1334" t="s">
        <v>5911</v>
      </c>
      <c r="T1590" s="1333" t="s">
        <v>2173</v>
      </c>
      <c r="U1590" s="1334"/>
      <c r="V1590" s="1332" t="s">
        <v>4772</v>
      </c>
    </row>
    <row r="1591" spans="1:25">
      <c r="B1591" s="1331"/>
      <c r="C1591" s="1340" t="str">
        <f>+C$3</f>
        <v>PROD. CAP. ALLOC. METHOD: 12 CP &amp; 1/13th AD</v>
      </c>
      <c r="G1591" s="1336" t="s">
        <v>4768</v>
      </c>
      <c r="I1591" s="1335" t="s">
        <v>4960</v>
      </c>
      <c r="L1591" s="1336" t="s">
        <v>5141</v>
      </c>
      <c r="M1591" s="1337"/>
      <c r="N1591" s="1337"/>
      <c r="O1591" s="1337"/>
      <c r="R1591" s="1331"/>
      <c r="S1591" s="1335" t="s">
        <v>4961</v>
      </c>
      <c r="T1591" s="1333" t="s">
        <v>5141</v>
      </c>
      <c r="V1591" s="1332" t="s">
        <v>5911</v>
      </c>
    </row>
    <row r="1592" spans="1:25">
      <c r="C1592" s="1340" t="str">
        <f>+C$4</f>
        <v>PROJECTED CALENDAR YEAR 2025; FULLY ADJUSTED DATA</v>
      </c>
      <c r="G1592" s="1336" t="s">
        <v>2181</v>
      </c>
      <c r="L1592" s="1336" t="s">
        <v>2181</v>
      </c>
      <c r="T1592" s="1339"/>
    </row>
    <row r="1593" spans="1:25">
      <c r="C1593" s="1340" t="str">
        <f>+C$5</f>
        <v>MINIMUM DISTRIBUTION SYSTEM (MDS) NOT EMPLOYED</v>
      </c>
      <c r="D1593" s="1358"/>
      <c r="G1593" s="1320"/>
      <c r="L1593" s="1336"/>
      <c r="M1593" s="1337"/>
      <c r="N1593" s="1337"/>
      <c r="O1593" s="1337"/>
      <c r="T1593" s="1333"/>
    </row>
    <row r="1594" spans="1:25">
      <c r="C1594" s="1340" t="str">
        <f>+C$6</f>
        <v>Tampa Electric 2025 OB Budget</v>
      </c>
      <c r="F1594" s="1327"/>
      <c r="G1594" s="1333" t="s">
        <v>5912</v>
      </c>
      <c r="L1594" s="1336" t="s">
        <v>5912</v>
      </c>
      <c r="M1594" s="1337"/>
      <c r="N1594" s="1337"/>
      <c r="O1594" s="1337"/>
      <c r="T1594" s="1333" t="s">
        <v>5912</v>
      </c>
    </row>
    <row r="1595" spans="1:25">
      <c r="F1595" s="1333"/>
      <c r="G1595" s="1320"/>
      <c r="L1595" s="1336"/>
      <c r="M1595" s="1337"/>
      <c r="N1595" s="1337"/>
      <c r="O1595" s="1337"/>
      <c r="Q1595" s="907"/>
      <c r="R1595" s="907"/>
    </row>
    <row r="1596" spans="1:25">
      <c r="C1596" s="1522" t="s">
        <v>5913</v>
      </c>
      <c r="F1596" s="1333"/>
      <c r="G1596" s="1320"/>
      <c r="L1596" s="1336"/>
      <c r="M1596" s="1337"/>
      <c r="N1596" s="1337"/>
      <c r="O1596" s="1337"/>
      <c r="Q1596" s="907"/>
      <c r="R1596" s="907"/>
    </row>
    <row r="1597" spans="1:25">
      <c r="C1597" s="1522" t="s">
        <v>5914</v>
      </c>
      <c r="F1597" s="1523"/>
      <c r="G1597" s="1320"/>
    </row>
    <row r="1598" spans="1:25">
      <c r="C1598" s="1342"/>
      <c r="D1598" s="1331"/>
      <c r="E1598" s="1331"/>
      <c r="F1598" s="1333"/>
      <c r="G1598" s="1333"/>
      <c r="H1598" s="1333"/>
      <c r="I1598" s="1343"/>
      <c r="J1598" s="1416"/>
      <c r="K1598" s="1336"/>
      <c r="L1598" s="1416"/>
      <c r="M1598" s="1417"/>
      <c r="N1598" s="1417"/>
      <c r="O1598" s="1417"/>
      <c r="P1598" s="1416"/>
      <c r="Q1598" s="1416"/>
      <c r="R1598" s="1331"/>
    </row>
    <row r="1599" spans="1:25" ht="27.6">
      <c r="A1599" s="1418" t="s">
        <v>4683</v>
      </c>
      <c r="C1599" s="1349" t="s">
        <v>4297</v>
      </c>
      <c r="D1599" s="1418"/>
      <c r="E1599" s="1418"/>
      <c r="F1599" s="1348" t="s">
        <v>5144</v>
      </c>
      <c r="G1599" s="1348" t="s">
        <v>4956</v>
      </c>
      <c r="H1599" s="1348" t="s">
        <v>4957</v>
      </c>
      <c r="I1599" s="1426" t="s">
        <v>5145</v>
      </c>
      <c r="J1599" s="1352" t="s">
        <v>4957</v>
      </c>
      <c r="K1599" s="1353" t="s">
        <v>1949</v>
      </c>
      <c r="L1599" s="1353" t="s">
        <v>1950</v>
      </c>
      <c r="M1599" s="1354" t="s">
        <v>1934</v>
      </c>
      <c r="N1599" s="1354" t="s">
        <v>1971</v>
      </c>
      <c r="O1599" s="1354" t="s">
        <v>1972</v>
      </c>
      <c r="P1599" s="1352" t="s">
        <v>5146</v>
      </c>
      <c r="Q1599" s="1352" t="s">
        <v>5147</v>
      </c>
      <c r="R1599" s="1355"/>
      <c r="S1599" s="1524"/>
      <c r="T1599" s="1524"/>
      <c r="U1599" s="1524"/>
      <c r="V1599" s="1355" t="s">
        <v>4774</v>
      </c>
    </row>
    <row r="1600" spans="1:25">
      <c r="G1600" s="1320"/>
      <c r="S1600" s="1358"/>
      <c r="T1600" s="1358"/>
      <c r="U1600" s="1364"/>
    </row>
    <row r="1601" spans="1:25">
      <c r="A1601" s="1320" t="s">
        <v>5915</v>
      </c>
      <c r="C1601" s="1322">
        <v>1</v>
      </c>
      <c r="D1601" s="1356" t="s">
        <v>2305</v>
      </c>
      <c r="F1601" s="1320" t="s">
        <v>2477</v>
      </c>
      <c r="G1601" s="1320"/>
      <c r="S1601" s="1358"/>
      <c r="T1601" s="1358"/>
      <c r="U1601" s="1364"/>
    </row>
    <row r="1602" spans="1:25">
      <c r="A1602" s="1320" t="s">
        <v>5915</v>
      </c>
      <c r="C1602" s="1322">
        <v>2</v>
      </c>
      <c r="D1602" s="1320" t="s">
        <v>5265</v>
      </c>
      <c r="E1602" s="1320" t="s">
        <v>4067</v>
      </c>
      <c r="F1602" s="1320">
        <f t="shared" ref="F1602:H1609" si="727">+F1509</f>
        <v>5483176.4189962763</v>
      </c>
      <c r="G1602" s="1320">
        <f t="shared" si="727"/>
        <v>0</v>
      </c>
      <c r="H1602" s="1320">
        <f t="shared" si="727"/>
        <v>5483176.4189962763</v>
      </c>
      <c r="I1602" s="1525"/>
      <c r="J1602" s="1324">
        <f t="shared" ref="J1602:Q1609" si="728">+J1509</f>
        <v>5483176.4189962763</v>
      </c>
      <c r="K1602" s="1324">
        <f t="shared" si="728"/>
        <v>3180313.8243167032</v>
      </c>
      <c r="L1602" s="1324">
        <f t="shared" si="728"/>
        <v>262343.81209551007</v>
      </c>
      <c r="M1602" s="1324">
        <f t="shared" si="728"/>
        <v>1677032.1924393768</v>
      </c>
      <c r="N1602" s="1325">
        <f t="shared" si="728"/>
        <v>209355.23329210925</v>
      </c>
      <c r="O1602" s="1325">
        <f t="shared" si="728"/>
        <v>150243.82530100862</v>
      </c>
      <c r="P1602" s="1325">
        <f t="shared" si="728"/>
        <v>3887.5315515687976</v>
      </c>
      <c r="Q1602" s="1324">
        <f t="shared" si="728"/>
        <v>0</v>
      </c>
      <c r="V1602" s="1320" t="s">
        <v>5916</v>
      </c>
    </row>
    <row r="1603" spans="1:25">
      <c r="A1603" s="1320" t="s">
        <v>5915</v>
      </c>
      <c r="C1603" s="1322">
        <v>3</v>
      </c>
      <c r="D1603" s="1320" t="s">
        <v>5265</v>
      </c>
      <c r="E1603" s="1320" t="s">
        <v>2067</v>
      </c>
      <c r="F1603" s="1320">
        <f t="shared" si="727"/>
        <v>412366.90327200451</v>
      </c>
      <c r="G1603" s="1320">
        <f t="shared" si="727"/>
        <v>0</v>
      </c>
      <c r="H1603" s="1320">
        <f t="shared" si="727"/>
        <v>412366.90327200451</v>
      </c>
      <c r="I1603" s="1525"/>
      <c r="J1603" s="1324">
        <f t="shared" si="728"/>
        <v>412366.90327200451</v>
      </c>
      <c r="K1603" s="1324">
        <f t="shared" si="728"/>
        <v>208094.43624416357</v>
      </c>
      <c r="L1603" s="1324">
        <f t="shared" si="728"/>
        <v>19230.361926945196</v>
      </c>
      <c r="M1603" s="1324">
        <f t="shared" si="728"/>
        <v>143258.72703695038</v>
      </c>
      <c r="N1603" s="1325">
        <f t="shared" si="728"/>
        <v>22804.485921304073</v>
      </c>
      <c r="O1603" s="1325">
        <f t="shared" si="728"/>
        <v>16800.335339523463</v>
      </c>
      <c r="P1603" s="1325">
        <f t="shared" si="728"/>
        <v>2178.5568031176826</v>
      </c>
      <c r="Q1603" s="1324">
        <f t="shared" si="728"/>
        <v>0</v>
      </c>
      <c r="V1603" s="1320" t="s">
        <v>5917</v>
      </c>
      <c r="Y1603" s="1324"/>
    </row>
    <row r="1604" spans="1:25">
      <c r="A1604" s="1320" t="s">
        <v>5915</v>
      </c>
      <c r="C1604" s="1322">
        <v>4</v>
      </c>
      <c r="D1604" s="1320" t="s">
        <v>5268</v>
      </c>
      <c r="E1604" s="1320" t="s">
        <v>4067</v>
      </c>
      <c r="F1604" s="1320">
        <f t="shared" si="727"/>
        <v>432533.37598961761</v>
      </c>
      <c r="G1604" s="1320">
        <f t="shared" si="727"/>
        <v>28022.47753149378</v>
      </c>
      <c r="H1604" s="1320">
        <f t="shared" si="727"/>
        <v>404510.89845812367</v>
      </c>
      <c r="I1604" s="1525"/>
      <c r="J1604" s="1324">
        <f t="shared" si="728"/>
        <v>404510.89845812367</v>
      </c>
      <c r="K1604" s="1324">
        <f t="shared" si="728"/>
        <v>234621.59597787241</v>
      </c>
      <c r="L1604" s="1324">
        <f t="shared" si="728"/>
        <v>19353.91514451944</v>
      </c>
      <c r="M1604" s="1324">
        <f t="shared" si="728"/>
        <v>123719.85635126251</v>
      </c>
      <c r="N1604" s="1325">
        <f t="shared" si="728"/>
        <v>15444.783651773057</v>
      </c>
      <c r="O1604" s="1325">
        <f t="shared" si="728"/>
        <v>11083.95209567625</v>
      </c>
      <c r="P1604" s="1325">
        <f t="shared" si="728"/>
        <v>286.79523702016155</v>
      </c>
      <c r="Q1604" s="1324">
        <f t="shared" si="728"/>
        <v>0</v>
      </c>
      <c r="V1604" s="1320" t="s">
        <v>5918</v>
      </c>
      <c r="Y1604" s="1324"/>
    </row>
    <row r="1605" spans="1:25">
      <c r="A1605" s="1320" t="s">
        <v>5915</v>
      </c>
      <c r="C1605" s="1322">
        <v>5</v>
      </c>
      <c r="D1605" s="1320" t="s">
        <v>5239</v>
      </c>
      <c r="E1605" s="1320" t="s">
        <v>4067</v>
      </c>
      <c r="F1605" s="1320">
        <f t="shared" si="727"/>
        <v>469527.01948490978</v>
      </c>
      <c r="G1605" s="1320">
        <f t="shared" si="727"/>
        <v>30419.179384346397</v>
      </c>
      <c r="H1605" s="1320">
        <f t="shared" si="727"/>
        <v>439107.84010056313</v>
      </c>
      <c r="I1605" s="1525"/>
      <c r="J1605" s="1324">
        <f t="shared" si="728"/>
        <v>439107.84010056313</v>
      </c>
      <c r="K1605" s="1324">
        <f t="shared" si="728"/>
        <v>254688.27327888648</v>
      </c>
      <c r="L1605" s="1324">
        <f t="shared" si="728"/>
        <v>21009.213618206875</v>
      </c>
      <c r="M1605" s="1324">
        <f t="shared" si="728"/>
        <v>134301.34789206149</v>
      </c>
      <c r="N1605" s="1325">
        <f t="shared" si="728"/>
        <v>16765.742569610011</v>
      </c>
      <c r="O1605" s="1325">
        <f t="shared" si="728"/>
        <v>12031.938528880852</v>
      </c>
      <c r="P1605" s="1325">
        <f t="shared" si="728"/>
        <v>311.32421291756452</v>
      </c>
      <c r="Q1605" s="1324">
        <f t="shared" si="728"/>
        <v>0</v>
      </c>
      <c r="V1605" s="1320" t="s">
        <v>5919</v>
      </c>
    </row>
    <row r="1606" spans="1:25">
      <c r="A1606" s="1320" t="s">
        <v>5915</v>
      </c>
      <c r="C1606" s="1322">
        <v>6</v>
      </c>
      <c r="D1606" s="1320" t="s">
        <v>5240</v>
      </c>
      <c r="E1606" s="1320" t="s">
        <v>4067</v>
      </c>
      <c r="F1606" s="1320">
        <f t="shared" si="727"/>
        <v>1529952.1493482229</v>
      </c>
      <c r="G1606" s="1320">
        <f t="shared" si="727"/>
        <v>0</v>
      </c>
      <c r="H1606" s="1320">
        <f t="shared" si="727"/>
        <v>1529952.1493482229</v>
      </c>
      <c r="I1606" s="1525"/>
      <c r="J1606" s="1324">
        <f t="shared" si="728"/>
        <v>1529952.1493482229</v>
      </c>
      <c r="K1606" s="1324">
        <f t="shared" si="728"/>
        <v>952266.71546592948</v>
      </c>
      <c r="L1606" s="1324">
        <f t="shared" si="728"/>
        <v>67727.597145408683</v>
      </c>
      <c r="M1606" s="1324">
        <f t="shared" si="728"/>
        <v>453478.55023249035</v>
      </c>
      <c r="N1606" s="1325">
        <f t="shared" si="728"/>
        <v>47696.825803919703</v>
      </c>
      <c r="O1606" s="1325">
        <f t="shared" si="728"/>
        <v>3.256646347006964E-2</v>
      </c>
      <c r="P1606" s="1325">
        <f t="shared" si="728"/>
        <v>8782.4281340116595</v>
      </c>
      <c r="Q1606" s="1324">
        <f t="shared" si="728"/>
        <v>0</v>
      </c>
      <c r="V1606" s="1320" t="s">
        <v>5920</v>
      </c>
    </row>
    <row r="1607" spans="1:25">
      <c r="A1607" s="1320" t="s">
        <v>5915</v>
      </c>
      <c r="C1607" s="1322">
        <v>7</v>
      </c>
      <c r="D1607" s="1320" t="s">
        <v>5241</v>
      </c>
      <c r="E1607" s="1320" t="s">
        <v>4067</v>
      </c>
      <c r="F1607" s="1320">
        <f t="shared" si="727"/>
        <v>672570.78039095167</v>
      </c>
      <c r="G1607" s="1320">
        <f t="shared" si="727"/>
        <v>0</v>
      </c>
      <c r="H1607" s="1320">
        <f t="shared" si="727"/>
        <v>672570.78039095167</v>
      </c>
      <c r="I1607" s="1525"/>
      <c r="J1607" s="1324">
        <f t="shared" si="728"/>
        <v>672570.78039095167</v>
      </c>
      <c r="K1607" s="1324">
        <f t="shared" si="728"/>
        <v>490730.01194716047</v>
      </c>
      <c r="L1607" s="1324">
        <f t="shared" si="728"/>
        <v>39513.505104394811</v>
      </c>
      <c r="M1607" s="1324">
        <f t="shared" si="728"/>
        <v>139894.28682778566</v>
      </c>
      <c r="N1607" s="1325">
        <f t="shared" si="728"/>
        <v>0</v>
      </c>
      <c r="O1607" s="1325">
        <f t="shared" si="728"/>
        <v>0</v>
      </c>
      <c r="P1607" s="1325">
        <f t="shared" si="728"/>
        <v>2432.9765116105841</v>
      </c>
      <c r="Q1607" s="1324">
        <f t="shared" si="728"/>
        <v>0</v>
      </c>
      <c r="V1607" s="1320" t="s">
        <v>5921</v>
      </c>
    </row>
    <row r="1608" spans="1:25">
      <c r="A1608" s="1320" t="s">
        <v>5915</v>
      </c>
      <c r="C1608" s="1322">
        <v>8</v>
      </c>
      <c r="D1608" s="1320" t="s">
        <v>5242</v>
      </c>
      <c r="E1608" s="1320" t="s">
        <v>4071</v>
      </c>
      <c r="F1608" s="1320">
        <f t="shared" si="727"/>
        <v>656038.10090762004</v>
      </c>
      <c r="G1608" s="1320">
        <f t="shared" si="727"/>
        <v>0</v>
      </c>
      <c r="H1608" s="1320">
        <f t="shared" si="727"/>
        <v>656038.10090762004</v>
      </c>
      <c r="I1608" s="1525"/>
      <c r="J1608" s="1324">
        <f t="shared" si="728"/>
        <v>656038.10090762004</v>
      </c>
      <c r="K1608" s="1324">
        <f t="shared" si="728"/>
        <v>213717.06453786977</v>
      </c>
      <c r="L1608" s="1324">
        <f t="shared" si="728"/>
        <v>37543.181883103083</v>
      </c>
      <c r="M1608" s="1324">
        <f t="shared" si="728"/>
        <v>20253.783092706784</v>
      </c>
      <c r="N1608" s="1325">
        <f t="shared" si="728"/>
        <v>1448.6370755272619</v>
      </c>
      <c r="O1608" s="1325">
        <f t="shared" si="728"/>
        <v>1580.5238604667145</v>
      </c>
      <c r="P1608" s="1325">
        <f t="shared" si="728"/>
        <v>336.22588020058532</v>
      </c>
      <c r="Q1608" s="1324">
        <f t="shared" si="728"/>
        <v>381158.68457774603</v>
      </c>
      <c r="V1608" s="1320" t="s">
        <v>5922</v>
      </c>
    </row>
    <row r="1609" spans="1:25">
      <c r="A1609" s="1320" t="s">
        <v>5915</v>
      </c>
      <c r="C1609" s="1322">
        <v>9</v>
      </c>
      <c r="D1609" s="1320" t="s">
        <v>5244</v>
      </c>
      <c r="E1609" s="1320" t="s">
        <v>4071</v>
      </c>
      <c r="F1609" s="1350">
        <f t="shared" si="727"/>
        <v>200427.25066920705</v>
      </c>
      <c r="G1609" s="1350">
        <f t="shared" si="727"/>
        <v>0</v>
      </c>
      <c r="H1609" s="1350">
        <f t="shared" si="727"/>
        <v>200427.25066920705</v>
      </c>
      <c r="I1609" s="1525"/>
      <c r="J1609" s="1366">
        <f t="shared" si="728"/>
        <v>200427.25066920705</v>
      </c>
      <c r="K1609" s="1366">
        <f t="shared" si="728"/>
        <v>178758.42214869801</v>
      </c>
      <c r="L1609" s="1366">
        <f t="shared" si="728"/>
        <v>17329.019809418754</v>
      </c>
      <c r="M1609" s="1366">
        <f t="shared" si="728"/>
        <v>4267.9898972659757</v>
      </c>
      <c r="N1609" s="1378">
        <f t="shared" si="728"/>
        <v>14.410247433997188</v>
      </c>
      <c r="O1609" s="1378">
        <f t="shared" si="728"/>
        <v>2.5566568028059531</v>
      </c>
      <c r="P1609" s="1378">
        <f t="shared" si="728"/>
        <v>54.85190958747318</v>
      </c>
      <c r="Q1609" s="1366">
        <f t="shared" si="728"/>
        <v>0</v>
      </c>
      <c r="R1609" s="1358"/>
      <c r="V1609" s="1320" t="s">
        <v>5923</v>
      </c>
    </row>
    <row r="1610" spans="1:25">
      <c r="A1610" s="1320" t="s">
        <v>5915</v>
      </c>
      <c r="C1610" s="1322">
        <v>10</v>
      </c>
      <c r="D1610" s="1320" t="s">
        <v>5182</v>
      </c>
      <c r="F1610" s="1350">
        <f>SUM(F1602:F1609)</f>
        <v>9856591.999058811</v>
      </c>
      <c r="G1610" s="1350">
        <f>SUM(G1602:G1609)</f>
        <v>58441.656915840176</v>
      </c>
      <c r="H1610" s="1350">
        <f>SUM(H1602:H1609)</f>
        <v>9798150.3421429694</v>
      </c>
      <c r="I1610" s="1525"/>
      <c r="J1610" s="1366">
        <f t="shared" ref="J1610:Q1610" si="729">SUM(J1602:J1609)</f>
        <v>9798150.3421429694</v>
      </c>
      <c r="K1610" s="1366">
        <f t="shared" si="729"/>
        <v>5713190.3439172842</v>
      </c>
      <c r="L1610" s="1366">
        <f t="shared" si="729"/>
        <v>484050.60672750691</v>
      </c>
      <c r="M1610" s="1366">
        <f t="shared" si="729"/>
        <v>2696206.7337699006</v>
      </c>
      <c r="N1610" s="1378">
        <f t="shared" si="729"/>
        <v>313530.11856167734</v>
      </c>
      <c r="O1610" s="1378">
        <f>SUM(O1602:O1609)</f>
        <v>191743.16434882217</v>
      </c>
      <c r="P1610" s="1378">
        <f>SUM(P1602:P1609)</f>
        <v>18270.69024003451</v>
      </c>
      <c r="Q1610" s="1366">
        <f t="shared" si="729"/>
        <v>381158.68457774603</v>
      </c>
      <c r="R1610" s="1358"/>
      <c r="V1610" s="1320" t="s">
        <v>5704</v>
      </c>
      <c r="Y1610" s="1324"/>
    </row>
    <row r="1611" spans="1:25">
      <c r="A1611" s="1320" t="s">
        <v>5915</v>
      </c>
      <c r="C1611" s="1322">
        <v>11</v>
      </c>
      <c r="G1611" s="1320"/>
      <c r="M1611" s="1324"/>
      <c r="P1611" s="1325"/>
      <c r="Y1611" s="1324"/>
    </row>
    <row r="1612" spans="1:25" s="1324" customFormat="1">
      <c r="A1612" s="1320" t="s">
        <v>5915</v>
      </c>
      <c r="C1612" s="1393">
        <v>12</v>
      </c>
      <c r="D1612" s="1362" t="s">
        <v>5924</v>
      </c>
      <c r="F1612" s="1526">
        <f>ROUND(+F$80*100,4)</f>
        <v>7.37</v>
      </c>
      <c r="G1612" s="1526">
        <f t="shared" ref="G1612:Q1612" si="730">ROUND(+G$80*100,4)</f>
        <v>7.37</v>
      </c>
      <c r="H1612" s="1526">
        <f t="shared" si="730"/>
        <v>7.37</v>
      </c>
      <c r="I1612" s="1374"/>
      <c r="J1612" s="1526">
        <f t="shared" si="730"/>
        <v>7.37</v>
      </c>
      <c r="K1612" s="1526">
        <f t="shared" si="730"/>
        <v>7.37</v>
      </c>
      <c r="L1612" s="1526">
        <f t="shared" si="730"/>
        <v>7.37</v>
      </c>
      <c r="M1612" s="1526">
        <f t="shared" si="730"/>
        <v>7.37</v>
      </c>
      <c r="N1612" s="1526">
        <f t="shared" si="730"/>
        <v>7.37</v>
      </c>
      <c r="O1612" s="1526">
        <f t="shared" si="730"/>
        <v>7.37</v>
      </c>
      <c r="P1612" s="1526">
        <f t="shared" si="730"/>
        <v>7.37</v>
      </c>
      <c r="Q1612" s="1526">
        <f t="shared" si="730"/>
        <v>7.37</v>
      </c>
      <c r="R1612" s="1389"/>
      <c r="V1612" s="1324" t="s">
        <v>5925</v>
      </c>
    </row>
    <row r="1613" spans="1:25" s="907" customFormat="1">
      <c r="A1613" s="1320" t="s">
        <v>5915</v>
      </c>
      <c r="B1613" s="1324"/>
      <c r="C1613" s="1322">
        <v>13</v>
      </c>
      <c r="F1613" s="1358"/>
      <c r="H1613" s="1358"/>
      <c r="I1613" s="1527"/>
      <c r="M1613" s="1501"/>
      <c r="N1613" s="1501"/>
      <c r="O1613" s="1501"/>
      <c r="Y1613" s="1324"/>
    </row>
    <row r="1614" spans="1:25">
      <c r="A1614" s="1320" t="s">
        <v>5915</v>
      </c>
      <c r="C1614" s="1322">
        <v>14</v>
      </c>
      <c r="D1614" s="1356" t="s">
        <v>5926</v>
      </c>
      <c r="G1614" s="1320"/>
      <c r="V1614" s="1384"/>
      <c r="Y1614" s="1324"/>
    </row>
    <row r="1615" spans="1:25">
      <c r="A1615" s="1320" t="s">
        <v>5915</v>
      </c>
      <c r="C1615" s="1322">
        <v>15</v>
      </c>
      <c r="D1615" s="1320" t="s">
        <v>5265</v>
      </c>
      <c r="E1615" s="1320" t="s">
        <v>4067</v>
      </c>
      <c r="F1615" s="1320">
        <f t="shared" ref="F1615:H1622" si="731">+F1602*F$1612/100</f>
        <v>404110.10208002559</v>
      </c>
      <c r="G1615" s="1320">
        <f t="shared" si="731"/>
        <v>0</v>
      </c>
      <c r="H1615" s="1320">
        <f t="shared" si="731"/>
        <v>404110.10208002559</v>
      </c>
      <c r="I1615" s="1525"/>
      <c r="J1615" s="1324">
        <f t="shared" ref="J1615:Q1622" si="732">+J1602*J$1612/100</f>
        <v>404110.10208002559</v>
      </c>
      <c r="K1615" s="1324">
        <f t="shared" si="732"/>
        <v>234389.128852141</v>
      </c>
      <c r="L1615" s="1324">
        <f t="shared" si="732"/>
        <v>19334.738951439092</v>
      </c>
      <c r="M1615" s="1324">
        <f t="shared" si="732"/>
        <v>123597.27258278208</v>
      </c>
      <c r="N1615" s="1325">
        <f t="shared" si="732"/>
        <v>15429.480693628453</v>
      </c>
      <c r="O1615" s="1325">
        <f t="shared" si="732"/>
        <v>11072.969924684334</v>
      </c>
      <c r="P1615" s="1325">
        <f t="shared" si="732"/>
        <v>286.51107535062039</v>
      </c>
      <c r="Q1615" s="1324">
        <f t="shared" si="732"/>
        <v>0</v>
      </c>
      <c r="V1615" s="1320" t="s">
        <v>5927</v>
      </c>
      <c r="Y1615" s="1324"/>
    </row>
    <row r="1616" spans="1:25">
      <c r="A1616" s="1320" t="s">
        <v>5915</v>
      </c>
      <c r="C1616" s="1322">
        <v>16</v>
      </c>
      <c r="D1616" s="1320" t="s">
        <v>5265</v>
      </c>
      <c r="E1616" s="1320" t="s">
        <v>2067</v>
      </c>
      <c r="F1616" s="1358">
        <f t="shared" si="731"/>
        <v>30391.440771146732</v>
      </c>
      <c r="G1616" s="1358">
        <f t="shared" si="731"/>
        <v>0</v>
      </c>
      <c r="H1616" s="1358">
        <f t="shared" si="731"/>
        <v>30391.440771146732</v>
      </c>
      <c r="I1616" s="1525"/>
      <c r="J1616" s="1364">
        <f t="shared" si="732"/>
        <v>30391.440771146732</v>
      </c>
      <c r="K1616" s="1364">
        <f t="shared" si="732"/>
        <v>15336.559951194855</v>
      </c>
      <c r="L1616" s="1364">
        <f t="shared" si="732"/>
        <v>1417.2776740158608</v>
      </c>
      <c r="M1616" s="1364">
        <f t="shared" si="732"/>
        <v>10558.168182623245</v>
      </c>
      <c r="N1616" s="1367">
        <f t="shared" si="732"/>
        <v>1680.69061240011</v>
      </c>
      <c r="O1616" s="1367">
        <f t="shared" si="732"/>
        <v>1238.1847145228792</v>
      </c>
      <c r="P1616" s="1367">
        <f t="shared" si="732"/>
        <v>160.5596363897732</v>
      </c>
      <c r="Q1616" s="1364">
        <f t="shared" si="732"/>
        <v>0</v>
      </c>
      <c r="R1616" s="1358"/>
      <c r="V1616" s="1320" t="s">
        <v>5928</v>
      </c>
      <c r="Y1616" s="1324"/>
    </row>
    <row r="1617" spans="1:25">
      <c r="A1617" s="1320" t="s">
        <v>5915</v>
      </c>
      <c r="C1617" s="1322">
        <v>17</v>
      </c>
      <c r="D1617" s="1320" t="s">
        <v>5268</v>
      </c>
      <c r="E1617" s="1320" t="s">
        <v>4067</v>
      </c>
      <c r="F1617" s="1358">
        <f t="shared" si="731"/>
        <v>31877.709810434819</v>
      </c>
      <c r="G1617" s="1358">
        <f>+G1604*G$1612/100</f>
        <v>2065.2565940710915</v>
      </c>
      <c r="H1617" s="1358">
        <f t="shared" si="731"/>
        <v>29812.453216363712</v>
      </c>
      <c r="I1617" s="1525"/>
      <c r="J1617" s="1364">
        <f t="shared" si="732"/>
        <v>29812.453216363712</v>
      </c>
      <c r="K1617" s="1364">
        <f t="shared" si="732"/>
        <v>17291.611623569195</v>
      </c>
      <c r="L1617" s="1364">
        <f t="shared" si="732"/>
        <v>1426.3835461510828</v>
      </c>
      <c r="M1617" s="1364">
        <f t="shared" si="732"/>
        <v>9118.1534130880464</v>
      </c>
      <c r="N1617" s="1367">
        <f t="shared" si="732"/>
        <v>1138.2805551356744</v>
      </c>
      <c r="O1617" s="1367">
        <f t="shared" si="732"/>
        <v>816.88726945133965</v>
      </c>
      <c r="P1617" s="1367">
        <f t="shared" si="732"/>
        <v>21.136808968385907</v>
      </c>
      <c r="Q1617" s="1364">
        <f t="shared" si="732"/>
        <v>0</v>
      </c>
      <c r="R1617" s="1358"/>
      <c r="V1617" s="1320" t="s">
        <v>5929</v>
      </c>
      <c r="Y1617" s="1324"/>
    </row>
    <row r="1618" spans="1:25">
      <c r="A1618" s="1320" t="s">
        <v>5915</v>
      </c>
      <c r="C1618" s="1322">
        <v>18</v>
      </c>
      <c r="D1618" s="1320" t="s">
        <v>5239</v>
      </c>
      <c r="E1618" s="1320" t="s">
        <v>4067</v>
      </c>
      <c r="F1618" s="1358">
        <f t="shared" si="731"/>
        <v>34604.14133603785</v>
      </c>
      <c r="G1618" s="1358">
        <f>+G1605*G$1612/100</f>
        <v>2241.8935206263295</v>
      </c>
      <c r="H1618" s="1358">
        <f t="shared" si="731"/>
        <v>32362.247815411505</v>
      </c>
      <c r="I1618" s="1525"/>
      <c r="J1618" s="1364">
        <f t="shared" si="732"/>
        <v>32362.247815411505</v>
      </c>
      <c r="K1618" s="1364">
        <f t="shared" si="732"/>
        <v>18770.525740653931</v>
      </c>
      <c r="L1618" s="1364">
        <f t="shared" si="732"/>
        <v>1548.3790436618467</v>
      </c>
      <c r="M1618" s="1364">
        <f t="shared" si="732"/>
        <v>9898.009339644932</v>
      </c>
      <c r="N1618" s="1367">
        <f t="shared" si="732"/>
        <v>1235.6352273802579</v>
      </c>
      <c r="O1618" s="1367">
        <f t="shared" si="732"/>
        <v>886.75386957851879</v>
      </c>
      <c r="P1618" s="1367">
        <f t="shared" si="732"/>
        <v>22.944594492024507</v>
      </c>
      <c r="Q1618" s="1364">
        <f t="shared" si="732"/>
        <v>0</v>
      </c>
      <c r="R1618" s="1358"/>
      <c r="V1618" s="1320" t="s">
        <v>5930</v>
      </c>
    </row>
    <row r="1619" spans="1:25">
      <c r="A1619" s="1320" t="s">
        <v>5915</v>
      </c>
      <c r="C1619" s="1322">
        <v>19</v>
      </c>
      <c r="D1619" s="1320" t="s">
        <v>5240</v>
      </c>
      <c r="E1619" s="1320" t="s">
        <v>4067</v>
      </c>
      <c r="F1619" s="1358">
        <f t="shared" si="731"/>
        <v>112757.47340696403</v>
      </c>
      <c r="G1619" s="1358">
        <f t="shared" si="731"/>
        <v>0</v>
      </c>
      <c r="H1619" s="1358">
        <f t="shared" si="731"/>
        <v>112757.47340696403</v>
      </c>
      <c r="I1619" s="1525"/>
      <c r="J1619" s="1364">
        <f t="shared" si="732"/>
        <v>112757.47340696403</v>
      </c>
      <c r="K1619" s="1364">
        <f t="shared" si="732"/>
        <v>70182.056929839004</v>
      </c>
      <c r="L1619" s="1364">
        <f t="shared" si="732"/>
        <v>4991.5239096166197</v>
      </c>
      <c r="M1619" s="1364">
        <f t="shared" si="732"/>
        <v>33421.369152134539</v>
      </c>
      <c r="N1619" s="1367">
        <f t="shared" si="732"/>
        <v>3515.2560617488821</v>
      </c>
      <c r="O1619" s="1367">
        <f t="shared" si="732"/>
        <v>2.4001483577441324E-3</v>
      </c>
      <c r="P1619" s="1367">
        <f t="shared" si="732"/>
        <v>647.26495347665923</v>
      </c>
      <c r="Q1619" s="1364">
        <f t="shared" si="732"/>
        <v>0</v>
      </c>
      <c r="R1619" s="1358"/>
      <c r="V1619" s="1320" t="s">
        <v>5931</v>
      </c>
    </row>
    <row r="1620" spans="1:25">
      <c r="A1620" s="1320" t="s">
        <v>5915</v>
      </c>
      <c r="C1620" s="1322">
        <v>20</v>
      </c>
      <c r="D1620" s="1320" t="s">
        <v>5241</v>
      </c>
      <c r="E1620" s="1320" t="s">
        <v>4067</v>
      </c>
      <c r="F1620" s="1358">
        <f t="shared" si="731"/>
        <v>49568.466514813139</v>
      </c>
      <c r="G1620" s="1358">
        <f t="shared" si="731"/>
        <v>0</v>
      </c>
      <c r="H1620" s="1358">
        <f t="shared" si="731"/>
        <v>49568.466514813139</v>
      </c>
      <c r="I1620" s="1525"/>
      <c r="J1620" s="1364">
        <f t="shared" si="732"/>
        <v>49568.466514813139</v>
      </c>
      <c r="K1620" s="1364">
        <f t="shared" si="732"/>
        <v>36166.801880505729</v>
      </c>
      <c r="L1620" s="1364">
        <f t="shared" si="732"/>
        <v>2912.1453261938977</v>
      </c>
      <c r="M1620" s="1364">
        <f t="shared" si="732"/>
        <v>10310.208939207803</v>
      </c>
      <c r="N1620" s="1367">
        <f t="shared" si="732"/>
        <v>0</v>
      </c>
      <c r="O1620" s="1367">
        <f t="shared" si="732"/>
        <v>0</v>
      </c>
      <c r="P1620" s="1367">
        <f t="shared" si="732"/>
        <v>179.31036890570005</v>
      </c>
      <c r="Q1620" s="1364">
        <f t="shared" si="732"/>
        <v>0</v>
      </c>
      <c r="R1620" s="1358"/>
      <c r="V1620" s="1320" t="s">
        <v>5932</v>
      </c>
      <c r="Y1620" s="1324"/>
    </row>
    <row r="1621" spans="1:25">
      <c r="A1621" s="1320" t="s">
        <v>5915</v>
      </c>
      <c r="C1621" s="1322">
        <v>21</v>
      </c>
      <c r="D1621" s="1320" t="s">
        <v>5242</v>
      </c>
      <c r="E1621" s="1320" t="s">
        <v>4071</v>
      </c>
      <c r="F1621" s="1358">
        <f t="shared" si="731"/>
        <v>48350.008036891595</v>
      </c>
      <c r="G1621" s="1358">
        <f t="shared" si="731"/>
        <v>0</v>
      </c>
      <c r="H1621" s="1358">
        <f t="shared" si="731"/>
        <v>48350.008036891595</v>
      </c>
      <c r="I1621" s="1525"/>
      <c r="J1621" s="1364">
        <f t="shared" si="732"/>
        <v>48350.008036891595</v>
      </c>
      <c r="K1621" s="1364">
        <f t="shared" si="732"/>
        <v>15750.947656441003</v>
      </c>
      <c r="L1621" s="1364">
        <f t="shared" si="732"/>
        <v>2766.9325047846969</v>
      </c>
      <c r="M1621" s="1364">
        <f t="shared" si="732"/>
        <v>1492.70381393249</v>
      </c>
      <c r="N1621" s="1367">
        <f t="shared" si="732"/>
        <v>106.76455246635921</v>
      </c>
      <c r="O1621" s="1367">
        <f t="shared" si="732"/>
        <v>116.48460851639686</v>
      </c>
      <c r="P1621" s="1367">
        <f t="shared" si="732"/>
        <v>24.779847370783141</v>
      </c>
      <c r="Q1621" s="1364">
        <f t="shared" si="732"/>
        <v>28091.395053379882</v>
      </c>
      <c r="R1621" s="1358"/>
      <c r="V1621" s="1320" t="s">
        <v>5933</v>
      </c>
      <c r="Y1621" s="1324"/>
    </row>
    <row r="1622" spans="1:25">
      <c r="A1622" s="1320" t="s">
        <v>5915</v>
      </c>
      <c r="C1622" s="1322">
        <v>22</v>
      </c>
      <c r="D1622" s="1320" t="s">
        <v>5244</v>
      </c>
      <c r="E1622" s="1320" t="s">
        <v>4071</v>
      </c>
      <c r="F1622" s="1350">
        <f t="shared" si="731"/>
        <v>14771.488374320559</v>
      </c>
      <c r="G1622" s="1350">
        <f t="shared" si="731"/>
        <v>0</v>
      </c>
      <c r="H1622" s="1350">
        <f t="shared" si="731"/>
        <v>14771.488374320559</v>
      </c>
      <c r="I1622" s="1525"/>
      <c r="J1622" s="1366">
        <f t="shared" si="732"/>
        <v>14771.488374320559</v>
      </c>
      <c r="K1622" s="1366">
        <f t="shared" si="732"/>
        <v>13174.495712359043</v>
      </c>
      <c r="L1622" s="1366">
        <f t="shared" si="732"/>
        <v>1277.1487599541622</v>
      </c>
      <c r="M1622" s="1366">
        <f t="shared" si="732"/>
        <v>314.55085542850242</v>
      </c>
      <c r="N1622" s="1378">
        <f t="shared" si="732"/>
        <v>1.0620352358855927</v>
      </c>
      <c r="O1622" s="1378">
        <f t="shared" si="732"/>
        <v>0.18842560636679873</v>
      </c>
      <c r="P1622" s="1378">
        <f t="shared" si="732"/>
        <v>4.0425857365967737</v>
      </c>
      <c r="Q1622" s="1366">
        <f t="shared" si="732"/>
        <v>0</v>
      </c>
      <c r="R1622" s="1358"/>
      <c r="V1622" s="1320" t="s">
        <v>5934</v>
      </c>
    </row>
    <row r="1623" spans="1:25">
      <c r="A1623" s="1320" t="s">
        <v>5915</v>
      </c>
      <c r="C1623" s="1322">
        <v>23</v>
      </c>
      <c r="D1623" s="1320" t="s">
        <v>5935</v>
      </c>
      <c r="F1623" s="1350">
        <f>SUM(F1615:F1622)</f>
        <v>726430.83033063426</v>
      </c>
      <c r="G1623" s="1350">
        <f>SUM(G1615:G1622)</f>
        <v>4307.1501146974206</v>
      </c>
      <c r="H1623" s="1350">
        <f>SUM(H1615:H1622)</f>
        <v>722123.68021593685</v>
      </c>
      <c r="I1623" s="1525"/>
      <c r="J1623" s="1366">
        <f t="shared" ref="J1623:Q1623" si="733">SUM(J1615:J1622)</f>
        <v>722123.68021593685</v>
      </c>
      <c r="K1623" s="1366">
        <f t="shared" si="733"/>
        <v>421062.12834670377</v>
      </c>
      <c r="L1623" s="1366">
        <f t="shared" si="733"/>
        <v>35674.529715817262</v>
      </c>
      <c r="M1623" s="1366">
        <f t="shared" si="733"/>
        <v>198710.43627884163</v>
      </c>
      <c r="N1623" s="1378">
        <f t="shared" si="733"/>
        <v>23107.169737995624</v>
      </c>
      <c r="O1623" s="1378">
        <f>SUM(O1615:O1622)</f>
        <v>14131.471212508193</v>
      </c>
      <c r="P1623" s="1378">
        <f>SUM(P1615:P1622)</f>
        <v>1346.549870690543</v>
      </c>
      <c r="Q1623" s="1366">
        <f t="shared" si="733"/>
        <v>28091.395053379882</v>
      </c>
      <c r="R1623" s="1358"/>
      <c r="V1623" s="1320" t="s">
        <v>5936</v>
      </c>
    </row>
    <row r="1624" spans="1:25">
      <c r="A1624" s="1320" t="s">
        <v>5915</v>
      </c>
      <c r="C1624" s="1322">
        <v>24</v>
      </c>
      <c r="G1624" s="1320"/>
      <c r="I1624" s="1386"/>
      <c r="M1624" s="1324"/>
      <c r="P1624" s="1325"/>
    </row>
    <row r="1625" spans="1:25">
      <c r="A1625" s="1320" t="s">
        <v>5915</v>
      </c>
      <c r="C1625" s="1393">
        <v>25</v>
      </c>
      <c r="D1625" s="1362" t="s">
        <v>5937</v>
      </c>
      <c r="E1625" s="1324"/>
      <c r="F1625" s="1324"/>
      <c r="H1625" s="1324"/>
      <c r="I1625" s="1374"/>
      <c r="M1625" s="1324"/>
      <c r="P1625" s="1325"/>
    </row>
    <row r="1626" spans="1:25" s="1324" customFormat="1">
      <c r="A1626" s="1324" t="s">
        <v>5915</v>
      </c>
      <c r="C1626" s="1393">
        <v>26</v>
      </c>
      <c r="D1626" s="1324" t="s">
        <v>5265</v>
      </c>
      <c r="E1626" s="1324" t="s">
        <v>4067</v>
      </c>
      <c r="F1626" s="1324">
        <f t="shared" ref="F1626:H1633" si="734">+F824</f>
        <v>-68897.406480517937</v>
      </c>
      <c r="G1626" s="1324">
        <f t="shared" si="734"/>
        <v>0</v>
      </c>
      <c r="H1626" s="1324">
        <f t="shared" si="734"/>
        <v>-68897.406480517937</v>
      </c>
      <c r="I1626" s="1369"/>
      <c r="J1626" s="1324">
        <f t="shared" ref="J1626:Q1633" si="735">+J824</f>
        <v>-68897.406480517937</v>
      </c>
      <c r="K1626" s="1324">
        <f t="shared" si="735"/>
        <v>-39961.394189404651</v>
      </c>
      <c r="L1626" s="1324">
        <f t="shared" si="735"/>
        <v>-3296.4119478215976</v>
      </c>
      <c r="M1626" s="1324">
        <f t="shared" si="735"/>
        <v>-21072.305505822242</v>
      </c>
      <c r="N1626" s="1324">
        <f t="shared" si="735"/>
        <v>-2630.5979426411577</v>
      </c>
      <c r="O1626" s="1324">
        <f t="shared" si="735"/>
        <v>-1887.8491428963348</v>
      </c>
      <c r="P1626" s="1324">
        <f t="shared" si="735"/>
        <v>-48.847751931954733</v>
      </c>
      <c r="Q1626" s="1324">
        <f t="shared" si="735"/>
        <v>0</v>
      </c>
      <c r="V1626" s="1324" t="s">
        <v>5938</v>
      </c>
    </row>
    <row r="1627" spans="1:25" s="1324" customFormat="1">
      <c r="A1627" s="1324" t="s">
        <v>5915</v>
      </c>
      <c r="C1627" s="1393">
        <v>27</v>
      </c>
      <c r="D1627" s="1324" t="s">
        <v>5265</v>
      </c>
      <c r="E1627" s="1324" t="s">
        <v>2067</v>
      </c>
      <c r="F1627" s="1364">
        <f t="shared" si="734"/>
        <v>-4761.2269711501331</v>
      </c>
      <c r="G1627" s="1364">
        <f t="shared" si="734"/>
        <v>0</v>
      </c>
      <c r="H1627" s="1364">
        <f t="shared" si="734"/>
        <v>-4761.2269711501331</v>
      </c>
      <c r="I1627" s="1369"/>
      <c r="J1627" s="1364">
        <f t="shared" si="735"/>
        <v>-4761.2269711501331</v>
      </c>
      <c r="K1627" s="1364">
        <f t="shared" si="735"/>
        <v>-2402.6778932315392</v>
      </c>
      <c r="L1627" s="1364">
        <f t="shared" si="735"/>
        <v>-222.03556382689484</v>
      </c>
      <c r="M1627" s="1364">
        <f t="shared" si="735"/>
        <v>-1654.07870905451</v>
      </c>
      <c r="N1627" s="1364">
        <f t="shared" si="735"/>
        <v>-263.30273494356294</v>
      </c>
      <c r="O1627" s="1364">
        <f t="shared" si="735"/>
        <v>-193.97824875907392</v>
      </c>
      <c r="P1627" s="1364">
        <f t="shared" si="735"/>
        <v>-25.153821334552088</v>
      </c>
      <c r="Q1627" s="1364">
        <f t="shared" si="735"/>
        <v>0</v>
      </c>
      <c r="R1627" s="1364"/>
      <c r="V1627" s="1324" t="s">
        <v>5939</v>
      </c>
    </row>
    <row r="1628" spans="1:25" s="1324" customFormat="1">
      <c r="A1628" s="1324" t="s">
        <v>5915</v>
      </c>
      <c r="C1628" s="1393">
        <v>28</v>
      </c>
      <c r="D1628" s="1324" t="s">
        <v>5268</v>
      </c>
      <c r="E1628" s="1324" t="s">
        <v>4067</v>
      </c>
      <c r="F1628" s="1364">
        <f t="shared" si="734"/>
        <v>-1553.8940078238429</v>
      </c>
      <c r="G1628" s="1445">
        <f t="shared" si="734"/>
        <v>-100.67190727406822</v>
      </c>
      <c r="H1628" s="1364">
        <f t="shared" si="734"/>
        <v>-1453.2221005497745</v>
      </c>
      <c r="I1628" s="1369"/>
      <c r="J1628" s="1364">
        <f t="shared" si="735"/>
        <v>-1453.2221005497745</v>
      </c>
      <c r="K1628" s="1364">
        <f t="shared" si="735"/>
        <v>-842.88776851484783</v>
      </c>
      <c r="L1628" s="1364">
        <f t="shared" si="735"/>
        <v>-69.529739068556353</v>
      </c>
      <c r="M1628" s="1364">
        <f t="shared" si="735"/>
        <v>-444.46869098413367</v>
      </c>
      <c r="N1628" s="1364">
        <f t="shared" si="735"/>
        <v>-55.486022815501492</v>
      </c>
      <c r="O1628" s="1364">
        <f t="shared" si="735"/>
        <v>-39.819555439095808</v>
      </c>
      <c r="P1628" s="1364">
        <f t="shared" si="735"/>
        <v>-1.0303237276393327</v>
      </c>
      <c r="Q1628" s="1364">
        <f t="shared" si="735"/>
        <v>0</v>
      </c>
      <c r="R1628" s="1364"/>
      <c r="V1628" s="1324" t="s">
        <v>5940</v>
      </c>
    </row>
    <row r="1629" spans="1:25" s="1324" customFormat="1">
      <c r="A1629" s="1324" t="s">
        <v>5915</v>
      </c>
      <c r="C1629" s="1393">
        <v>29</v>
      </c>
      <c r="D1629" s="1324" t="s">
        <v>5239</v>
      </c>
      <c r="E1629" s="1324" t="s">
        <v>4067</v>
      </c>
      <c r="F1629" s="1364">
        <f t="shared" si="734"/>
        <v>-1161.7653124633177</v>
      </c>
      <c r="G1629" s="1445">
        <f t="shared" si="734"/>
        <v>-75.267121966915298</v>
      </c>
      <c r="H1629" s="1364">
        <f t="shared" si="734"/>
        <v>-1086.4981904964025</v>
      </c>
      <c r="I1629" s="1369"/>
      <c r="J1629" s="1364">
        <f t="shared" si="735"/>
        <v>-1086.4981904964025</v>
      </c>
      <c r="K1629" s="1364">
        <f t="shared" si="735"/>
        <v>-630.18311855873526</v>
      </c>
      <c r="L1629" s="1364">
        <f t="shared" si="735"/>
        <v>-51.983750904348454</v>
      </c>
      <c r="M1629" s="1364">
        <f t="shared" si="735"/>
        <v>-332.30600353784365</v>
      </c>
      <c r="N1629" s="1364">
        <f t="shared" si="735"/>
        <v>-41.483998463880795</v>
      </c>
      <c r="O1629" s="1364">
        <f t="shared" si="735"/>
        <v>-29.770999845502928</v>
      </c>
      <c r="P1629" s="1364">
        <f t="shared" si="735"/>
        <v>-0.7703191860914731</v>
      </c>
      <c r="Q1629" s="1364">
        <f t="shared" si="735"/>
        <v>0</v>
      </c>
      <c r="R1629" s="1364"/>
      <c r="V1629" s="1324" t="s">
        <v>5941</v>
      </c>
    </row>
    <row r="1630" spans="1:25" s="1324" customFormat="1">
      <c r="A1630" s="1324" t="s">
        <v>5915</v>
      </c>
      <c r="C1630" s="1393">
        <v>30</v>
      </c>
      <c r="D1630" s="1324" t="s">
        <v>5240</v>
      </c>
      <c r="E1630" s="1324" t="s">
        <v>4067</v>
      </c>
      <c r="F1630" s="1364">
        <f t="shared" si="734"/>
        <v>-4054.7767288160089</v>
      </c>
      <c r="G1630" s="1364">
        <f t="shared" si="734"/>
        <v>0</v>
      </c>
      <c r="H1630" s="1364">
        <f t="shared" si="734"/>
        <v>-4054.7767288160089</v>
      </c>
      <c r="I1630" s="1369"/>
      <c r="J1630" s="1364">
        <f t="shared" si="735"/>
        <v>-4054.7767288160089</v>
      </c>
      <c r="K1630" s="1364">
        <f t="shared" si="735"/>
        <v>-2523.7579614122142</v>
      </c>
      <c r="L1630" s="1364">
        <f t="shared" si="735"/>
        <v>-179.49599595047462</v>
      </c>
      <c r="M1630" s="1364">
        <f t="shared" si="735"/>
        <v>-1201.8377655034853</v>
      </c>
      <c r="N1630" s="1364">
        <f t="shared" si="735"/>
        <v>-126.40916867270339</v>
      </c>
      <c r="O1630" s="1364">
        <f t="shared" si="735"/>
        <v>-8.6309717774199469E-5</v>
      </c>
      <c r="P1630" s="1364">
        <f t="shared" si="735"/>
        <v>-23.275750967414293</v>
      </c>
      <c r="Q1630" s="1364">
        <f t="shared" si="735"/>
        <v>0</v>
      </c>
      <c r="R1630" s="1364"/>
      <c r="V1630" s="1324" t="s">
        <v>5942</v>
      </c>
    </row>
    <row r="1631" spans="1:25" s="1324" customFormat="1">
      <c r="A1631" s="1324" t="s">
        <v>5915</v>
      </c>
      <c r="C1631" s="1393">
        <v>31</v>
      </c>
      <c r="D1631" s="1324" t="s">
        <v>5241</v>
      </c>
      <c r="E1631" s="1324" t="s">
        <v>4067</v>
      </c>
      <c r="F1631" s="1364">
        <f t="shared" si="734"/>
        <v>-1277.9307771508202</v>
      </c>
      <c r="G1631" s="1364">
        <f t="shared" si="734"/>
        <v>0</v>
      </c>
      <c r="H1631" s="1364">
        <f t="shared" si="734"/>
        <v>-1277.9307771508202</v>
      </c>
      <c r="I1631" s="1369"/>
      <c r="J1631" s="1364">
        <f t="shared" si="735"/>
        <v>-1277.9307771508202</v>
      </c>
      <c r="K1631" s="1364">
        <f t="shared" si="735"/>
        <v>-932.42080063950243</v>
      </c>
      <c r="L1631" s="1364">
        <f t="shared" si="735"/>
        <v>-75.07837949287682</v>
      </c>
      <c r="M1631" s="1364">
        <f t="shared" si="735"/>
        <v>-265.80877417968338</v>
      </c>
      <c r="N1631" s="1364">
        <f t="shared" si="735"/>
        <v>0</v>
      </c>
      <c r="O1631" s="1364">
        <f t="shared" si="735"/>
        <v>0</v>
      </c>
      <c r="P1631" s="1364">
        <f t="shared" si="735"/>
        <v>-4.6228228387574388</v>
      </c>
      <c r="Q1631" s="1364">
        <f t="shared" si="735"/>
        <v>0</v>
      </c>
      <c r="R1631" s="1364"/>
      <c r="V1631" s="1324" t="s">
        <v>5943</v>
      </c>
    </row>
    <row r="1632" spans="1:25" s="1324" customFormat="1">
      <c r="A1632" s="1324" t="s">
        <v>5915</v>
      </c>
      <c r="C1632" s="1393">
        <v>32</v>
      </c>
      <c r="D1632" s="1324" t="s">
        <v>5242</v>
      </c>
      <c r="E1632" s="1324" t="s">
        <v>4071</v>
      </c>
      <c r="F1632" s="1364">
        <f t="shared" si="734"/>
        <v>-7206.1482686802538</v>
      </c>
      <c r="G1632" s="1364">
        <f t="shared" si="734"/>
        <v>0</v>
      </c>
      <c r="H1632" s="1364">
        <f t="shared" si="734"/>
        <v>-7206.1482686802538</v>
      </c>
      <c r="I1632" s="1369"/>
      <c r="J1632" s="1364">
        <f t="shared" si="735"/>
        <v>-7206.1482686802538</v>
      </c>
      <c r="K1632" s="1364">
        <f t="shared" si="735"/>
        <v>-2656.5949940195746</v>
      </c>
      <c r="L1632" s="1364">
        <f t="shared" si="735"/>
        <v>-402.97053015104825</v>
      </c>
      <c r="M1632" s="1364">
        <f t="shared" si="735"/>
        <v>-194.2717875634028</v>
      </c>
      <c r="N1632" s="1364">
        <f t="shared" si="735"/>
        <v>-12.523758250775824</v>
      </c>
      <c r="O1632" s="1364">
        <f t="shared" si="735"/>
        <v>-13.663945975470494</v>
      </c>
      <c r="P1632" s="1364">
        <f t="shared" si="735"/>
        <v>-3.1360386606748962</v>
      </c>
      <c r="Q1632" s="1364">
        <f t="shared" si="735"/>
        <v>-3922.9872140593075</v>
      </c>
      <c r="R1632" s="1364"/>
      <c r="V1632" s="1324" t="s">
        <v>5944</v>
      </c>
    </row>
    <row r="1633" spans="1:25" s="1324" customFormat="1">
      <c r="A1633" s="1324" t="s">
        <v>5915</v>
      </c>
      <c r="C1633" s="1393">
        <v>33</v>
      </c>
      <c r="D1633" s="1324" t="s">
        <v>5244</v>
      </c>
      <c r="E1633" s="1324" t="s">
        <v>4071</v>
      </c>
      <c r="F1633" s="1366">
        <f t="shared" si="734"/>
        <v>-852.62029339770424</v>
      </c>
      <c r="G1633" s="1366">
        <f t="shared" si="734"/>
        <v>0</v>
      </c>
      <c r="H1633" s="1366">
        <f t="shared" si="734"/>
        <v>-852.62029339770424</v>
      </c>
      <c r="I1633" s="1369"/>
      <c r="J1633" s="1366">
        <f t="shared" si="735"/>
        <v>-852.62029339770424</v>
      </c>
      <c r="K1633" s="1366">
        <f t="shared" si="735"/>
        <v>-760.44079750054573</v>
      </c>
      <c r="L1633" s="1366">
        <f t="shared" si="735"/>
        <v>-73.717889682509309</v>
      </c>
      <c r="M1633" s="1366">
        <f t="shared" si="735"/>
        <v>-18.156087988410615</v>
      </c>
      <c r="N1633" s="1366">
        <f t="shared" si="735"/>
        <v>-6.1301391672464081E-2</v>
      </c>
      <c r="O1633" s="1366">
        <f t="shared" si="735"/>
        <v>-1.0876053361243629E-2</v>
      </c>
      <c r="P1633" s="1366">
        <f t="shared" si="735"/>
        <v>-0.23334078120486329</v>
      </c>
      <c r="Q1633" s="1366">
        <f t="shared" si="735"/>
        <v>0</v>
      </c>
      <c r="R1633" s="1364"/>
      <c r="V1633" s="1324" t="s">
        <v>5945</v>
      </c>
    </row>
    <row r="1634" spans="1:25" s="1324" customFormat="1">
      <c r="A1634" s="1324" t="s">
        <v>5915</v>
      </c>
      <c r="C1634" s="1393">
        <v>34</v>
      </c>
      <c r="D1634" s="1324" t="s">
        <v>5946</v>
      </c>
      <c r="F1634" s="1366">
        <f>SUM(F1626:F1633)</f>
        <v>-89765.768840000004</v>
      </c>
      <c r="G1634" s="1366">
        <f>SUM(G1626:G1633)</f>
        <v>-175.93902924098353</v>
      </c>
      <c r="H1634" s="1366">
        <f>SUM(H1626:H1633)</f>
        <v>-89589.829810759024</v>
      </c>
      <c r="I1634" s="1369"/>
      <c r="J1634" s="1366">
        <f t="shared" ref="J1634:Q1634" si="736">SUM(J1626:J1633)</f>
        <v>-89589.829810759024</v>
      </c>
      <c r="K1634" s="1366">
        <f t="shared" si="736"/>
        <v>-50710.357523281615</v>
      </c>
      <c r="L1634" s="1366">
        <f t="shared" si="736"/>
        <v>-4371.2237968983063</v>
      </c>
      <c r="M1634" s="1366">
        <f t="shared" si="736"/>
        <v>-25183.233324633711</v>
      </c>
      <c r="N1634" s="1378">
        <f t="shared" si="736"/>
        <v>-3129.8649271792542</v>
      </c>
      <c r="O1634" s="1378">
        <f>SUM(O1626:O1633)</f>
        <v>-2165.0928552785572</v>
      </c>
      <c r="P1634" s="1378">
        <f>SUM(P1626:P1633)</f>
        <v>-107.07016942828912</v>
      </c>
      <c r="Q1634" s="1366">
        <f t="shared" si="736"/>
        <v>-3922.9872140593075</v>
      </c>
      <c r="R1634" s="1364"/>
      <c r="V1634" s="1324" t="s">
        <v>5466</v>
      </c>
    </row>
    <row r="1635" spans="1:25">
      <c r="A1635" s="1320" t="s">
        <v>5915</v>
      </c>
      <c r="C1635" s="1322">
        <v>35</v>
      </c>
      <c r="F1635" s="1358"/>
      <c r="G1635" s="1358"/>
      <c r="H1635" s="1358"/>
      <c r="J1635" s="1364"/>
      <c r="K1635" s="1364"/>
      <c r="L1635" s="1364"/>
      <c r="M1635" s="1364"/>
      <c r="N1635" s="1367"/>
      <c r="O1635" s="1367"/>
      <c r="P1635" s="1367"/>
      <c r="Q1635" s="1364"/>
      <c r="R1635" s="1358"/>
    </row>
    <row r="1636" spans="1:25">
      <c r="A1636" s="1320" t="s">
        <v>5915</v>
      </c>
      <c r="C1636" s="1322">
        <v>36</v>
      </c>
      <c r="D1636" s="1362" t="s">
        <v>5947</v>
      </c>
      <c r="G1636" s="1320"/>
      <c r="M1636" s="1324"/>
      <c r="P1636" s="1325"/>
      <c r="R1636" s="1358"/>
    </row>
    <row r="1637" spans="1:25">
      <c r="A1637" s="1320" t="s">
        <v>5915</v>
      </c>
      <c r="C1637" s="1322">
        <v>37</v>
      </c>
      <c r="D1637" s="1320" t="s">
        <v>5265</v>
      </c>
      <c r="E1637" s="1320" t="s">
        <v>4067</v>
      </c>
      <c r="F1637" s="1320">
        <f t="shared" ref="F1637:H1644" si="737">F739</f>
        <v>101438.76376111731</v>
      </c>
      <c r="G1637" s="1320">
        <f t="shared" si="737"/>
        <v>0</v>
      </c>
      <c r="H1637" s="1320">
        <f t="shared" si="737"/>
        <v>101438.76376111731</v>
      </c>
      <c r="I1637" s="1525"/>
      <c r="J1637" s="1324">
        <f t="shared" ref="J1637:Q1644" si="738">J739</f>
        <v>101438.76376111731</v>
      </c>
      <c r="K1637" s="1320">
        <f t="shared" si="738"/>
        <v>58835.805755477129</v>
      </c>
      <c r="L1637" s="1320">
        <f t="shared" si="738"/>
        <v>4853.3605242303729</v>
      </c>
      <c r="M1637" s="1320">
        <f t="shared" si="738"/>
        <v>31025.095563090999</v>
      </c>
      <c r="N1637" s="1320">
        <f t="shared" si="738"/>
        <v>3873.0718162738544</v>
      </c>
      <c r="O1637" s="1324">
        <f t="shared" si="738"/>
        <v>2779.5107683340693</v>
      </c>
      <c r="P1637" s="1324">
        <f t="shared" si="738"/>
        <v>71.919333710890186</v>
      </c>
      <c r="Q1637" s="1320">
        <f t="shared" si="738"/>
        <v>0</v>
      </c>
      <c r="R1637" s="1358"/>
      <c r="V1637" s="1320" t="s">
        <v>5948</v>
      </c>
    </row>
    <row r="1638" spans="1:25">
      <c r="A1638" s="1320" t="s">
        <v>5915</v>
      </c>
      <c r="C1638" s="1322">
        <v>38</v>
      </c>
      <c r="D1638" s="1320" t="s">
        <v>5265</v>
      </c>
      <c r="E1638" s="1320" t="s">
        <v>2067</v>
      </c>
      <c r="F1638" s="1320">
        <f t="shared" si="737"/>
        <v>7628.7877112605429</v>
      </c>
      <c r="G1638" s="1320">
        <f t="shared" si="737"/>
        <v>0</v>
      </c>
      <c r="H1638" s="1320">
        <f t="shared" si="737"/>
        <v>7628.7877112605429</v>
      </c>
      <c r="I1638" s="1525"/>
      <c r="J1638" s="1324">
        <f t="shared" si="738"/>
        <v>7628.7877112605429</v>
      </c>
      <c r="K1638" s="1320">
        <f t="shared" si="738"/>
        <v>3849.7470708846326</v>
      </c>
      <c r="L1638" s="1320">
        <f t="shared" si="738"/>
        <v>355.76169568245729</v>
      </c>
      <c r="M1638" s="1320">
        <f t="shared" si="738"/>
        <v>2650.2864504366544</v>
      </c>
      <c r="N1638" s="1320">
        <f t="shared" si="738"/>
        <v>421.88298958441027</v>
      </c>
      <c r="O1638" s="1324">
        <f t="shared" si="738"/>
        <v>310.80620381086248</v>
      </c>
      <c r="P1638" s="1324">
        <f t="shared" si="738"/>
        <v>40.303300861525635</v>
      </c>
      <c r="Q1638" s="1320">
        <f t="shared" si="738"/>
        <v>0</v>
      </c>
      <c r="R1638" s="1358"/>
      <c r="V1638" s="1320" t="s">
        <v>5949</v>
      </c>
    </row>
    <row r="1639" spans="1:25">
      <c r="A1639" s="1320" t="s">
        <v>5915</v>
      </c>
      <c r="C1639" s="1322">
        <v>39</v>
      </c>
      <c r="D1639" s="1320" t="s">
        <v>5268</v>
      </c>
      <c r="E1639" s="1320" t="s">
        <v>4067</v>
      </c>
      <c r="F1639" s="1320">
        <f t="shared" si="737"/>
        <v>8001.8674565720094</v>
      </c>
      <c r="G1639" s="1320">
        <f t="shared" si="737"/>
        <v>518.41583438213763</v>
      </c>
      <c r="H1639" s="1320">
        <f t="shared" si="737"/>
        <v>7483.4516221898712</v>
      </c>
      <c r="I1639" s="1525"/>
      <c r="J1639" s="1324">
        <f t="shared" si="738"/>
        <v>7483.4516221898712</v>
      </c>
      <c r="K1639" s="1320">
        <f t="shared" si="738"/>
        <v>4340.4995260051046</v>
      </c>
      <c r="L1639" s="1320">
        <f t="shared" si="738"/>
        <v>358.04743020779904</v>
      </c>
      <c r="M1639" s="1320">
        <f t="shared" si="738"/>
        <v>2288.8173427169118</v>
      </c>
      <c r="N1639" s="1320">
        <f t="shared" si="738"/>
        <v>285.72849758508528</v>
      </c>
      <c r="O1639" s="1324">
        <f t="shared" si="738"/>
        <v>205.05311378959078</v>
      </c>
      <c r="P1639" s="1324">
        <f t="shared" si="738"/>
        <v>5.3057118853796226</v>
      </c>
      <c r="Q1639" s="1320">
        <f t="shared" si="738"/>
        <v>0</v>
      </c>
      <c r="R1639" s="1358"/>
      <c r="V1639" s="1320" t="s">
        <v>5950</v>
      </c>
      <c r="Y1639" s="1324"/>
    </row>
    <row r="1640" spans="1:25">
      <c r="A1640" s="1320" t="s">
        <v>5915</v>
      </c>
      <c r="C1640" s="1322">
        <v>40</v>
      </c>
      <c r="D1640" s="1320" t="s">
        <v>5239</v>
      </c>
      <c r="E1640" s="1320" t="s">
        <v>4067</v>
      </c>
      <c r="F1640" s="1320">
        <f t="shared" si="737"/>
        <v>8686.2498613002645</v>
      </c>
      <c r="G1640" s="1320">
        <f t="shared" si="737"/>
        <v>562.75481866414498</v>
      </c>
      <c r="H1640" s="1320">
        <f t="shared" si="737"/>
        <v>8123.4950426361193</v>
      </c>
      <c r="I1640" s="1525"/>
      <c r="J1640" s="1324">
        <f t="shared" si="738"/>
        <v>8123.4950426361193</v>
      </c>
      <c r="K1640" s="1320">
        <f t="shared" si="738"/>
        <v>4711.7330561093149</v>
      </c>
      <c r="L1640" s="1320">
        <f t="shared" si="738"/>
        <v>388.67045197394077</v>
      </c>
      <c r="M1640" s="1320">
        <f t="shared" si="738"/>
        <v>2484.5749362403858</v>
      </c>
      <c r="N1640" s="1320">
        <f t="shared" si="738"/>
        <v>310.16623756740245</v>
      </c>
      <c r="O1640" s="1324">
        <f t="shared" si="738"/>
        <v>222.59086280555061</v>
      </c>
      <c r="P1640" s="1324">
        <f t="shared" si="738"/>
        <v>5.7594979395249091</v>
      </c>
      <c r="Q1640" s="1320">
        <f t="shared" si="738"/>
        <v>0</v>
      </c>
      <c r="R1640" s="1358"/>
      <c r="V1640" s="1320" t="s">
        <v>5951</v>
      </c>
      <c r="Y1640" s="1324"/>
    </row>
    <row r="1641" spans="1:25">
      <c r="A1641" s="1320" t="s">
        <v>5915</v>
      </c>
      <c r="C1641" s="1322">
        <v>41</v>
      </c>
      <c r="D1641" s="1320" t="s">
        <v>5240</v>
      </c>
      <c r="E1641" s="1320" t="s">
        <v>4067</v>
      </c>
      <c r="F1641" s="1320">
        <f t="shared" si="737"/>
        <v>28304.114765644834</v>
      </c>
      <c r="G1641" s="1320">
        <f t="shared" si="737"/>
        <v>0</v>
      </c>
      <c r="H1641" s="1320">
        <f t="shared" si="737"/>
        <v>28304.114765644834</v>
      </c>
      <c r="I1641" s="1525"/>
      <c r="J1641" s="1324">
        <f t="shared" si="738"/>
        <v>28304.114765644834</v>
      </c>
      <c r="K1641" s="1320">
        <f t="shared" si="738"/>
        <v>17616.934237801906</v>
      </c>
      <c r="L1641" s="1320">
        <f t="shared" si="738"/>
        <v>1252.9605473097031</v>
      </c>
      <c r="M1641" s="1320">
        <f t="shared" si="738"/>
        <v>8389.3531801021545</v>
      </c>
      <c r="N1641" s="1320">
        <f t="shared" si="738"/>
        <v>882.39127745677274</v>
      </c>
      <c r="O1641" s="1324">
        <f t="shared" si="738"/>
        <v>6.0247957425381795E-4</v>
      </c>
      <c r="P1641" s="1324">
        <f t="shared" si="738"/>
        <v>162.4749204947301</v>
      </c>
      <c r="Q1641" s="1320">
        <f t="shared" si="738"/>
        <v>0</v>
      </c>
      <c r="R1641" s="1358"/>
      <c r="V1641" s="1320" t="s">
        <v>5952</v>
      </c>
      <c r="Y1641" s="1324"/>
    </row>
    <row r="1642" spans="1:25">
      <c r="A1642" s="1320" t="s">
        <v>5915</v>
      </c>
      <c r="C1642" s="1322">
        <v>42</v>
      </c>
      <c r="D1642" s="1320" t="s">
        <v>5241</v>
      </c>
      <c r="E1642" s="1320" t="s">
        <v>4067</v>
      </c>
      <c r="F1642" s="1320">
        <f t="shared" si="737"/>
        <v>12442.559438420725</v>
      </c>
      <c r="G1642" s="1320">
        <f t="shared" si="737"/>
        <v>0</v>
      </c>
      <c r="H1642" s="1320">
        <f t="shared" si="737"/>
        <v>12442.559438420725</v>
      </c>
      <c r="I1642" s="1525"/>
      <c r="J1642" s="1324">
        <f t="shared" si="738"/>
        <v>12442.559438420725</v>
      </c>
      <c r="K1642" s="1320">
        <f t="shared" si="738"/>
        <v>9078.5052218893616</v>
      </c>
      <c r="L1642" s="1320">
        <f t="shared" si="738"/>
        <v>730.99984450110628</v>
      </c>
      <c r="M1642" s="1320">
        <f t="shared" si="738"/>
        <v>2588.0443065611635</v>
      </c>
      <c r="N1642" s="1320">
        <f t="shared" si="738"/>
        <v>0</v>
      </c>
      <c r="O1642" s="1324">
        <f t="shared" si="738"/>
        <v>0</v>
      </c>
      <c r="P1642" s="1324">
        <f t="shared" si="738"/>
        <v>45.010065469093739</v>
      </c>
      <c r="Q1642" s="1320">
        <f t="shared" si="738"/>
        <v>0</v>
      </c>
      <c r="R1642" s="1358"/>
      <c r="V1642" s="1320" t="s">
        <v>5953</v>
      </c>
      <c r="Y1642" s="1324"/>
    </row>
    <row r="1643" spans="1:25">
      <c r="A1643" s="1320" t="s">
        <v>5915</v>
      </c>
      <c r="C1643" s="1322">
        <v>43</v>
      </c>
      <c r="D1643" s="1320" t="s">
        <v>5242</v>
      </c>
      <c r="E1643" s="1320" t="s">
        <v>4071</v>
      </c>
      <c r="F1643" s="1320">
        <f t="shared" si="737"/>
        <v>12136.704867949884</v>
      </c>
      <c r="G1643" s="1320">
        <f t="shared" si="737"/>
        <v>0</v>
      </c>
      <c r="H1643" s="1320">
        <f t="shared" si="737"/>
        <v>12136.704867949884</v>
      </c>
      <c r="I1643" s="1525"/>
      <c r="J1643" s="1324">
        <f t="shared" si="738"/>
        <v>12136.704867949884</v>
      </c>
      <c r="K1643" s="1320">
        <f t="shared" si="738"/>
        <v>4474.2778241494025</v>
      </c>
      <c r="L1643" s="1320">
        <f t="shared" si="738"/>
        <v>678.68911554053693</v>
      </c>
      <c r="M1643" s="1320">
        <f t="shared" si="738"/>
        <v>327.19550887868303</v>
      </c>
      <c r="N1643" s="1320">
        <f t="shared" si="738"/>
        <v>21.092704737680272</v>
      </c>
      <c r="O1643" s="1324">
        <f t="shared" si="738"/>
        <v>23.013026300979558</v>
      </c>
      <c r="P1643" s="1324">
        <f t="shared" si="738"/>
        <v>5.2817641630433227</v>
      </c>
      <c r="Q1643" s="1320">
        <f t="shared" si="738"/>
        <v>6607.1549241795601</v>
      </c>
      <c r="R1643" s="1358"/>
      <c r="V1643" s="1320" t="s">
        <v>5954</v>
      </c>
      <c r="Y1643" s="1324"/>
    </row>
    <row r="1644" spans="1:25">
      <c r="A1644" s="1320" t="s">
        <v>5915</v>
      </c>
      <c r="C1644" s="1322">
        <v>44</v>
      </c>
      <c r="D1644" s="1320" t="s">
        <v>5244</v>
      </c>
      <c r="E1644" s="1320" t="s">
        <v>4071</v>
      </c>
      <c r="F1644" s="1350">
        <f t="shared" si="737"/>
        <v>3707.9041377343915</v>
      </c>
      <c r="G1644" s="1350">
        <f t="shared" si="737"/>
        <v>0</v>
      </c>
      <c r="H1644" s="1350">
        <f t="shared" si="737"/>
        <v>3707.9041377343915</v>
      </c>
      <c r="I1644" s="1525"/>
      <c r="J1644" s="1366">
        <f t="shared" si="738"/>
        <v>3707.9041377343915</v>
      </c>
      <c r="K1644" s="1350">
        <f t="shared" si="738"/>
        <v>3307.0308100666962</v>
      </c>
      <c r="L1644" s="1350">
        <f t="shared" si="738"/>
        <v>320.58686650485919</v>
      </c>
      <c r="M1644" s="1350">
        <f t="shared" si="738"/>
        <v>78.957813106960074</v>
      </c>
      <c r="N1644" s="1350">
        <f t="shared" si="738"/>
        <v>0.26658957755440421</v>
      </c>
      <c r="O1644" s="1366">
        <f t="shared" si="738"/>
        <v>4.7298150856426559E-2</v>
      </c>
      <c r="P1644" s="1366">
        <f t="shared" si="738"/>
        <v>1.0147603274651515</v>
      </c>
      <c r="Q1644" s="1350">
        <f t="shared" si="738"/>
        <v>0</v>
      </c>
      <c r="V1644" s="1320" t="s">
        <v>5955</v>
      </c>
      <c r="Y1644" s="1324"/>
    </row>
    <row r="1645" spans="1:25">
      <c r="A1645" s="1320" t="s">
        <v>5915</v>
      </c>
      <c r="C1645" s="1322">
        <v>45</v>
      </c>
      <c r="D1645" s="1320" t="s">
        <v>5561</v>
      </c>
      <c r="F1645" s="1350">
        <f>SUM(F1637:F1644)</f>
        <v>182346.95199999996</v>
      </c>
      <c r="G1645" s="1350">
        <f>SUM(G1637:G1644)</f>
        <v>1081.1706530462825</v>
      </c>
      <c r="H1645" s="1350">
        <f>SUM(H1637:H1644)</f>
        <v>181265.78134695368</v>
      </c>
      <c r="I1645" s="1525"/>
      <c r="J1645" s="1366">
        <f t="shared" ref="J1645:Q1645" si="739">SUM(J1637:J1644)</f>
        <v>181265.78134695368</v>
      </c>
      <c r="K1645" s="1366">
        <f t="shared" si="739"/>
        <v>106214.53350238357</v>
      </c>
      <c r="L1645" s="1366">
        <f t="shared" si="739"/>
        <v>8939.0764759507747</v>
      </c>
      <c r="M1645" s="1366">
        <f t="shared" si="739"/>
        <v>49832.325101133909</v>
      </c>
      <c r="N1645" s="1378">
        <f t="shared" si="739"/>
        <v>5794.6001127827594</v>
      </c>
      <c r="O1645" s="1378">
        <f>SUM(O1637:O1644)</f>
        <v>3541.0218756714835</v>
      </c>
      <c r="P1645" s="1378">
        <f>SUM(P1637:P1644)</f>
        <v>337.06935485165258</v>
      </c>
      <c r="Q1645" s="1366">
        <f t="shared" si="739"/>
        <v>6607.1549241795601</v>
      </c>
      <c r="V1645" s="1320" t="s">
        <v>5477</v>
      </c>
      <c r="Y1645" s="1324"/>
    </row>
    <row r="1646" spans="1:25">
      <c r="G1646" s="1320"/>
      <c r="I1646" s="1525"/>
      <c r="Y1646" s="1324"/>
    </row>
    <row r="1647" spans="1:25">
      <c r="G1647" s="1320"/>
      <c r="I1647" s="1525"/>
      <c r="Y1647" s="1324"/>
    </row>
    <row r="1648" spans="1:25">
      <c r="G1648" s="1320"/>
      <c r="I1648" s="1525"/>
      <c r="Y1648" s="1324"/>
    </row>
    <row r="1649" spans="1:22">
      <c r="G1649" s="1320"/>
    </row>
    <row r="1650" spans="1:22">
      <c r="G1650" s="1320"/>
    </row>
    <row r="1651" spans="1:22">
      <c r="B1651" s="1331"/>
      <c r="C1651" s="1340" t="str">
        <f>+C$2</f>
        <v>RATES WITH REVENUE DEFICIENCY ADDITION</v>
      </c>
      <c r="F1651" s="1333"/>
      <c r="G1651" s="1327" t="s">
        <v>2173</v>
      </c>
      <c r="I1651" s="1334" t="s">
        <v>5911</v>
      </c>
      <c r="L1651" s="1329" t="s">
        <v>2173</v>
      </c>
      <c r="M1651" s="1330"/>
      <c r="N1651" s="1330"/>
      <c r="O1651" s="1330"/>
      <c r="S1651" s="1334" t="s">
        <v>5956</v>
      </c>
      <c r="T1651" s="1333" t="s">
        <v>2173</v>
      </c>
      <c r="U1651" s="1334"/>
      <c r="V1651" s="1332" t="s">
        <v>4772</v>
      </c>
    </row>
    <row r="1652" spans="1:22">
      <c r="B1652" s="1331"/>
      <c r="C1652" s="1340" t="str">
        <f>+C$3</f>
        <v>PROD. CAP. ALLOC. METHOD: 12 CP &amp; 1/13th AD</v>
      </c>
      <c r="G1652" s="1336" t="s">
        <v>4768</v>
      </c>
      <c r="I1652" s="1335" t="s">
        <v>4961</v>
      </c>
      <c r="L1652" s="1336" t="s">
        <v>5141</v>
      </c>
      <c r="M1652" s="1337"/>
      <c r="N1652" s="1337"/>
      <c r="O1652" s="1337"/>
      <c r="R1652" s="1331"/>
      <c r="S1652" s="1335" t="s">
        <v>3043</v>
      </c>
      <c r="T1652" s="1333" t="s">
        <v>5141</v>
      </c>
      <c r="V1652" s="1332" t="s">
        <v>5956</v>
      </c>
    </row>
    <row r="1653" spans="1:22">
      <c r="C1653" s="1340" t="str">
        <f>+C$4</f>
        <v>PROJECTED CALENDAR YEAR 2025; FULLY ADJUSTED DATA</v>
      </c>
      <c r="F1653" s="1333"/>
      <c r="G1653" s="1336" t="s">
        <v>2181</v>
      </c>
      <c r="L1653" s="1336" t="s">
        <v>2181</v>
      </c>
      <c r="T1653" s="1339"/>
    </row>
    <row r="1654" spans="1:22">
      <c r="C1654" s="1340" t="str">
        <f>+C$5</f>
        <v>MINIMUM DISTRIBUTION SYSTEM (MDS) NOT EMPLOYED</v>
      </c>
      <c r="G1654" s="1320"/>
      <c r="L1654" s="1336"/>
      <c r="M1654" s="1337"/>
      <c r="N1654" s="1337"/>
      <c r="O1654" s="1337"/>
      <c r="T1654" s="1333"/>
    </row>
    <row r="1655" spans="1:22">
      <c r="C1655" s="1340" t="str">
        <f>+C$6</f>
        <v>Tampa Electric 2025 OB Budget</v>
      </c>
      <c r="F1655" s="1327"/>
      <c r="G1655" s="1333" t="s">
        <v>5912</v>
      </c>
      <c r="L1655" s="1336" t="s">
        <v>5912</v>
      </c>
      <c r="M1655" s="1337"/>
      <c r="N1655" s="1337"/>
      <c r="O1655" s="1337"/>
      <c r="T1655" s="1333" t="s">
        <v>5912</v>
      </c>
    </row>
    <row r="1656" spans="1:22">
      <c r="F1656" s="1333"/>
      <c r="G1656" s="1320"/>
      <c r="L1656" s="1336"/>
      <c r="M1656" s="1337"/>
      <c r="N1656" s="1337"/>
      <c r="O1656" s="1337"/>
    </row>
    <row r="1657" spans="1:22">
      <c r="F1657" s="1333"/>
      <c r="G1657" s="1320"/>
      <c r="L1657" s="1336"/>
      <c r="M1657" s="1337"/>
      <c r="N1657" s="1337"/>
      <c r="O1657" s="1337"/>
    </row>
    <row r="1658" spans="1:22">
      <c r="G1658" s="1320"/>
    </row>
    <row r="1659" spans="1:22">
      <c r="G1659" s="1320"/>
    </row>
    <row r="1660" spans="1:22" ht="27.6">
      <c r="A1660" s="1418" t="s">
        <v>4683</v>
      </c>
      <c r="C1660" s="1349" t="s">
        <v>4297</v>
      </c>
      <c r="D1660" s="1418"/>
      <c r="E1660" s="1418"/>
      <c r="F1660" s="1348" t="s">
        <v>5144</v>
      </c>
      <c r="G1660" s="1348" t="s">
        <v>4956</v>
      </c>
      <c r="H1660" s="1348" t="s">
        <v>4957</v>
      </c>
      <c r="I1660" s="1426" t="s">
        <v>5145</v>
      </c>
      <c r="J1660" s="1352" t="s">
        <v>4957</v>
      </c>
      <c r="K1660" s="1353" t="s">
        <v>1949</v>
      </c>
      <c r="L1660" s="1353" t="s">
        <v>1950</v>
      </c>
      <c r="M1660" s="1354" t="s">
        <v>1934</v>
      </c>
      <c r="N1660" s="1354" t="s">
        <v>1971</v>
      </c>
      <c r="O1660" s="1354" t="s">
        <v>1972</v>
      </c>
      <c r="P1660" s="1352" t="s">
        <v>5146</v>
      </c>
      <c r="Q1660" s="1352" t="s">
        <v>5147</v>
      </c>
      <c r="R1660" s="1350"/>
      <c r="S1660" s="1350"/>
      <c r="T1660" s="1350"/>
      <c r="U1660" s="1366"/>
      <c r="V1660" s="1355" t="s">
        <v>4774</v>
      </c>
    </row>
    <row r="1661" spans="1:22">
      <c r="D1661" s="1435"/>
      <c r="E1661" s="1435"/>
      <c r="G1661" s="1320"/>
      <c r="J1661" s="1399"/>
      <c r="K1661" s="1360"/>
      <c r="L1661" s="1360"/>
      <c r="M1661" s="1361"/>
      <c r="N1661" s="1361"/>
      <c r="O1661" s="1361"/>
      <c r="P1661" s="1399"/>
      <c r="Q1661" s="1399"/>
    </row>
    <row r="1662" spans="1:22" ht="15.6">
      <c r="A1662" s="1320" t="s">
        <v>5915</v>
      </c>
      <c r="C1662" s="1322">
        <v>46</v>
      </c>
      <c r="D1662" s="1528" t="s">
        <v>5957</v>
      </c>
      <c r="E1662" s="1447"/>
      <c r="G1662" s="1320"/>
      <c r="J1662" s="1399"/>
      <c r="K1662" s="1360"/>
      <c r="L1662" s="1360"/>
      <c r="M1662" s="1361"/>
      <c r="N1662" s="1361"/>
      <c r="O1662" s="1361"/>
      <c r="P1662" s="1399"/>
      <c r="Q1662" s="1399"/>
    </row>
    <row r="1663" spans="1:22" s="1324" customFormat="1">
      <c r="A1663" s="1320" t="s">
        <v>5915</v>
      </c>
      <c r="C1663" s="1393">
        <v>47</v>
      </c>
      <c r="D1663" s="1364" t="s">
        <v>5265</v>
      </c>
      <c r="E1663" s="1364" t="s">
        <v>4067</v>
      </c>
      <c r="F1663" s="1364">
        <f>SUM(G1663:H1663)</f>
        <v>4071.9547618950883</v>
      </c>
      <c r="G1663" s="1364">
        <f t="shared" ref="G1663:H1670" si="740">G750</f>
        <v>0</v>
      </c>
      <c r="H1663" s="1364">
        <f t="shared" si="740"/>
        <v>4071.9547618950883</v>
      </c>
      <c r="I1663" s="1374"/>
      <c r="J1663" s="1364">
        <f t="shared" ref="J1663:Q1670" si="741">J750</f>
        <v>4071.9547618950883</v>
      </c>
      <c r="K1663" s="1364">
        <f t="shared" si="741"/>
        <v>2361.7868606930142</v>
      </c>
      <c r="L1663" s="1364">
        <f t="shared" si="741"/>
        <v>194.82359371387344</v>
      </c>
      <c r="M1663" s="1364">
        <f t="shared" si="741"/>
        <v>1245.409357648377</v>
      </c>
      <c r="N1663" s="1364">
        <f t="shared" si="741"/>
        <v>155.47284529785625</v>
      </c>
      <c r="O1663" s="1364">
        <f t="shared" si="741"/>
        <v>111.57511871408403</v>
      </c>
      <c r="P1663" s="1364">
        <f t="shared" si="741"/>
        <v>2.8869858278836302</v>
      </c>
      <c r="Q1663" s="1364">
        <f t="shared" si="741"/>
        <v>0</v>
      </c>
      <c r="V1663" s="1324" t="s">
        <v>5958</v>
      </c>
    </row>
    <row r="1664" spans="1:22" s="1324" customFormat="1">
      <c r="A1664" s="1320" t="s">
        <v>5915</v>
      </c>
      <c r="C1664" s="1393">
        <v>48</v>
      </c>
      <c r="D1664" s="1364" t="s">
        <v>5265</v>
      </c>
      <c r="E1664" s="1364" t="s">
        <v>2067</v>
      </c>
      <c r="F1664" s="1364">
        <f t="shared" ref="F1664:F1670" si="742">F751</f>
        <v>306.23478931100033</v>
      </c>
      <c r="G1664" s="1364">
        <f t="shared" si="740"/>
        <v>0</v>
      </c>
      <c r="H1664" s="1364">
        <f t="shared" si="740"/>
        <v>306.23478931100033</v>
      </c>
      <c r="I1664" s="1374"/>
      <c r="J1664" s="1364">
        <f t="shared" si="741"/>
        <v>306.23478931100033</v>
      </c>
      <c r="K1664" s="1364">
        <f t="shared" si="741"/>
        <v>154.5365433898273</v>
      </c>
      <c r="L1664" s="1364">
        <f t="shared" si="741"/>
        <v>14.280985661906657</v>
      </c>
      <c r="M1664" s="1364">
        <f t="shared" si="741"/>
        <v>106.38779626352472</v>
      </c>
      <c r="N1664" s="1364">
        <f t="shared" si="741"/>
        <v>16.935226581095836</v>
      </c>
      <c r="O1664" s="1364">
        <f t="shared" si="741"/>
        <v>12.476382348414344</v>
      </c>
      <c r="P1664" s="1364">
        <f t="shared" si="741"/>
        <v>1.6178550662314581</v>
      </c>
      <c r="Q1664" s="1364">
        <f t="shared" si="741"/>
        <v>0</v>
      </c>
      <c r="V1664" s="1324" t="s">
        <v>5959</v>
      </c>
    </row>
    <row r="1665" spans="1:25" s="1324" customFormat="1">
      <c r="A1665" s="1320" t="s">
        <v>5915</v>
      </c>
      <c r="C1665" s="1393">
        <v>49</v>
      </c>
      <c r="D1665" s="1364" t="s">
        <v>5268</v>
      </c>
      <c r="E1665" s="1364" t="s">
        <v>4067</v>
      </c>
      <c r="F1665" s="1364">
        <f t="shared" si="742"/>
        <v>321.21095610523673</v>
      </c>
      <c r="G1665" s="1364">
        <f t="shared" si="740"/>
        <v>20.8102479484605</v>
      </c>
      <c r="H1665" s="1364">
        <f t="shared" si="740"/>
        <v>300.4007081567762</v>
      </c>
      <c r="I1665" s="1374"/>
      <c r="J1665" s="1364">
        <f t="shared" si="741"/>
        <v>300.4007081567762</v>
      </c>
      <c r="K1665" s="1364">
        <f t="shared" si="741"/>
        <v>174.23632799332907</v>
      </c>
      <c r="L1665" s="1364">
        <f t="shared" si="741"/>
        <v>14.372739615127262</v>
      </c>
      <c r="M1665" s="1364">
        <f t="shared" si="741"/>
        <v>91.877703672850203</v>
      </c>
      <c r="N1665" s="1364">
        <f t="shared" si="741"/>
        <v>11.469713088091581</v>
      </c>
      <c r="O1665" s="1364">
        <f t="shared" si="741"/>
        <v>8.2312419057397097</v>
      </c>
      <c r="P1665" s="1364">
        <f t="shared" si="741"/>
        <v>0.21298188163839027</v>
      </c>
      <c r="Q1665" s="1364">
        <f t="shared" si="741"/>
        <v>0</v>
      </c>
      <c r="V1665" s="1324" t="s">
        <v>5960</v>
      </c>
    </row>
    <row r="1666" spans="1:25" s="1324" customFormat="1">
      <c r="A1666" s="1320" t="s">
        <v>5915</v>
      </c>
      <c r="C1666" s="1393">
        <v>50</v>
      </c>
      <c r="D1666" s="1364" t="s">
        <v>5239</v>
      </c>
      <c r="E1666" s="1364" t="s">
        <v>4067</v>
      </c>
      <c r="F1666" s="1364">
        <f t="shared" si="742"/>
        <v>348.68343396836536</v>
      </c>
      <c r="G1666" s="1364">
        <f t="shared" si="740"/>
        <v>22.590103414856834</v>
      </c>
      <c r="H1666" s="1364">
        <f t="shared" si="740"/>
        <v>326.09333055350851</v>
      </c>
      <c r="I1666" s="1374"/>
      <c r="J1666" s="1364">
        <f t="shared" si="741"/>
        <v>326.09333055350851</v>
      </c>
      <c r="K1666" s="1364">
        <f t="shared" si="741"/>
        <v>189.13838401840846</v>
      </c>
      <c r="L1666" s="1364">
        <f t="shared" si="741"/>
        <v>15.602008926787141</v>
      </c>
      <c r="M1666" s="1364">
        <f t="shared" si="741"/>
        <v>99.73580481258999</v>
      </c>
      <c r="N1666" s="1364">
        <f t="shared" si="741"/>
        <v>12.450692824056123</v>
      </c>
      <c r="O1666" s="1364">
        <f t="shared" si="741"/>
        <v>8.9352422106589628</v>
      </c>
      <c r="P1666" s="1364">
        <f t="shared" si="741"/>
        <v>0.23119776100783862</v>
      </c>
      <c r="Q1666" s="1364">
        <f t="shared" si="741"/>
        <v>0</v>
      </c>
      <c r="V1666" s="1324" t="s">
        <v>5961</v>
      </c>
    </row>
    <row r="1667" spans="1:25" s="1324" customFormat="1">
      <c r="A1667" s="1320" t="s">
        <v>5915</v>
      </c>
      <c r="C1667" s="1393">
        <v>51</v>
      </c>
      <c r="D1667" s="1364" t="s">
        <v>5240</v>
      </c>
      <c r="E1667" s="1364" t="s">
        <v>4067</v>
      </c>
      <c r="F1667" s="1364">
        <f t="shared" si="742"/>
        <v>1136.1837489720122</v>
      </c>
      <c r="G1667" s="1364">
        <f t="shared" si="740"/>
        <v>0</v>
      </c>
      <c r="H1667" s="1364">
        <f t="shared" si="740"/>
        <v>1136.1837489720122</v>
      </c>
      <c r="I1667" s="1374"/>
      <c r="J1667" s="1364">
        <f t="shared" si="741"/>
        <v>1136.1837489720122</v>
      </c>
      <c r="K1667" s="1364">
        <f t="shared" si="741"/>
        <v>707.17895802183568</v>
      </c>
      <c r="L1667" s="1364">
        <f t="shared" si="741"/>
        <v>50.29634114133475</v>
      </c>
      <c r="M1667" s="1364">
        <f t="shared" si="741"/>
        <v>336.76540766391923</v>
      </c>
      <c r="N1667" s="1364">
        <f t="shared" si="741"/>
        <v>35.420949850653223</v>
      </c>
      <c r="O1667" s="1364">
        <f t="shared" si="741"/>
        <v>2.418473451731602E-5</v>
      </c>
      <c r="P1667" s="1364">
        <f t="shared" si="741"/>
        <v>6.5220681095350415</v>
      </c>
      <c r="Q1667" s="1364">
        <f t="shared" si="741"/>
        <v>0</v>
      </c>
      <c r="V1667" s="1324" t="s">
        <v>5962</v>
      </c>
    </row>
    <row r="1668" spans="1:25" s="1324" customFormat="1">
      <c r="A1668" s="1320" t="s">
        <v>5915</v>
      </c>
      <c r="C1668" s="1393">
        <v>52</v>
      </c>
      <c r="D1668" s="1364" t="s">
        <v>5241</v>
      </c>
      <c r="E1668" s="1364" t="s">
        <v>4067</v>
      </c>
      <c r="F1668" s="1364">
        <f t="shared" si="742"/>
        <v>499.46920956917899</v>
      </c>
      <c r="G1668" s="1364">
        <f t="shared" si="740"/>
        <v>0</v>
      </c>
      <c r="H1668" s="1364">
        <f t="shared" si="740"/>
        <v>499.46920956917899</v>
      </c>
      <c r="I1668" s="1374"/>
      <c r="J1668" s="1364">
        <f t="shared" si="741"/>
        <v>499.46920956917899</v>
      </c>
      <c r="K1668" s="1364">
        <f t="shared" si="741"/>
        <v>364.42934829349525</v>
      </c>
      <c r="L1668" s="1364">
        <f t="shared" si="741"/>
        <v>29.343795087749424</v>
      </c>
      <c r="M1668" s="1364">
        <f t="shared" si="741"/>
        <v>103.88927218114121</v>
      </c>
      <c r="N1668" s="1364">
        <f t="shared" si="741"/>
        <v>0</v>
      </c>
      <c r="O1668" s="1364">
        <f t="shared" si="741"/>
        <v>0</v>
      </c>
      <c r="P1668" s="1364">
        <f t="shared" si="741"/>
        <v>1.8067940067930808</v>
      </c>
      <c r="Q1668" s="1364">
        <f t="shared" si="741"/>
        <v>0</v>
      </c>
      <c r="V1668" s="1324" t="s">
        <v>5963</v>
      </c>
    </row>
    <row r="1669" spans="1:25" s="1324" customFormat="1">
      <c r="A1669" s="1320" t="s">
        <v>5915</v>
      </c>
      <c r="C1669" s="1393">
        <v>53</v>
      </c>
      <c r="D1669" s="1364" t="s">
        <v>5242</v>
      </c>
      <c r="E1669" s="1364" t="s">
        <v>4071</v>
      </c>
      <c r="F1669" s="1364">
        <f t="shared" si="742"/>
        <v>487.19159568175985</v>
      </c>
      <c r="G1669" s="1364">
        <f t="shared" si="740"/>
        <v>0</v>
      </c>
      <c r="H1669" s="1364">
        <f t="shared" si="740"/>
        <v>487.19159568175985</v>
      </c>
      <c r="I1669" s="1374"/>
      <c r="J1669" s="1364">
        <f t="shared" si="741"/>
        <v>487.19159568175985</v>
      </c>
      <c r="K1669" s="1364">
        <f t="shared" si="741"/>
        <v>179.60645631478337</v>
      </c>
      <c r="L1669" s="1364">
        <f t="shared" si="741"/>
        <v>27.243937853775108</v>
      </c>
      <c r="M1669" s="1364">
        <f t="shared" si="741"/>
        <v>13.134281817420334</v>
      </c>
      <c r="N1669" s="1364">
        <f t="shared" si="741"/>
        <v>0.84670333424120803</v>
      </c>
      <c r="O1669" s="1364">
        <f t="shared" si="741"/>
        <v>0.92378888067452958</v>
      </c>
      <c r="P1669" s="1364">
        <f t="shared" si="741"/>
        <v>0.21202057219032283</v>
      </c>
      <c r="Q1669" s="1364">
        <f t="shared" si="741"/>
        <v>265.22440690867501</v>
      </c>
      <c r="V1669" s="1324" t="s">
        <v>5964</v>
      </c>
    </row>
    <row r="1670" spans="1:25" s="1324" customFormat="1">
      <c r="A1670" s="1320" t="s">
        <v>5915</v>
      </c>
      <c r="C1670" s="1393">
        <v>54</v>
      </c>
      <c r="D1670" s="1364" t="s">
        <v>5244</v>
      </c>
      <c r="E1670" s="1364" t="s">
        <v>4071</v>
      </c>
      <c r="F1670" s="1366">
        <f t="shared" si="742"/>
        <v>148.84268449735839</v>
      </c>
      <c r="G1670" s="1366">
        <f t="shared" si="740"/>
        <v>0</v>
      </c>
      <c r="H1670" s="1366">
        <f t="shared" si="740"/>
        <v>148.84268449735839</v>
      </c>
      <c r="I1670" s="1374"/>
      <c r="J1670" s="1366">
        <f t="shared" si="741"/>
        <v>148.84268449735839</v>
      </c>
      <c r="K1670" s="1366">
        <f t="shared" si="741"/>
        <v>132.7508277456607</v>
      </c>
      <c r="L1670" s="1366">
        <f t="shared" si="741"/>
        <v>12.868997701309402</v>
      </c>
      <c r="M1670" s="1366">
        <f t="shared" si="741"/>
        <v>3.1695244613474687</v>
      </c>
      <c r="N1670" s="1366">
        <f t="shared" si="741"/>
        <v>1.0701438577767416E-2</v>
      </c>
      <c r="O1670" s="1366">
        <f t="shared" si="741"/>
        <v>1.8986423283135739E-3</v>
      </c>
      <c r="P1670" s="1366">
        <f t="shared" si="741"/>
        <v>4.0734508134727579E-2</v>
      </c>
      <c r="Q1670" s="1366">
        <f t="shared" si="741"/>
        <v>0</v>
      </c>
      <c r="V1670" s="1324" t="s">
        <v>5965</v>
      </c>
    </row>
    <row r="1671" spans="1:25" s="1324" customFormat="1">
      <c r="A1671" s="1320" t="s">
        <v>5915</v>
      </c>
      <c r="C1671" s="1393">
        <v>55</v>
      </c>
      <c r="D1671" s="1324" t="s">
        <v>5564</v>
      </c>
      <c r="F1671" s="1366">
        <f>SUM(F1663:F1670)</f>
        <v>7319.7711799999997</v>
      </c>
      <c r="G1671" s="1366">
        <f>SUM(G1663:G1670)</f>
        <v>43.400351363317334</v>
      </c>
      <c r="H1671" s="1366">
        <f>SUM(H1663:H1670)</f>
        <v>7276.3708286366818</v>
      </c>
      <c r="I1671" s="1369">
        <f>SUM(I1663:I1670)</f>
        <v>0</v>
      </c>
      <c r="J1671" s="1366">
        <f t="shared" ref="J1671:Q1671" si="743">SUM(J1663:J1670)</f>
        <v>7276.3708286366818</v>
      </c>
      <c r="K1671" s="1366">
        <f t="shared" si="743"/>
        <v>4263.6637064703546</v>
      </c>
      <c r="L1671" s="1366">
        <f t="shared" si="743"/>
        <v>358.83239970186321</v>
      </c>
      <c r="M1671" s="1366">
        <f t="shared" si="743"/>
        <v>2000.36914852117</v>
      </c>
      <c r="N1671" s="1378">
        <f t="shared" si="743"/>
        <v>232.60683241457198</v>
      </c>
      <c r="O1671" s="1378">
        <f>SUM(O1663:O1670)</f>
        <v>142.14369688663442</v>
      </c>
      <c r="P1671" s="1378">
        <f>SUM(P1663:P1670)</f>
        <v>13.530637733414489</v>
      </c>
      <c r="Q1671" s="1366">
        <f t="shared" si="743"/>
        <v>265.22440690867501</v>
      </c>
      <c r="V1671" s="1324" t="s">
        <v>5481</v>
      </c>
    </row>
    <row r="1672" spans="1:25" s="1324" customFormat="1">
      <c r="A1672" s="1320" t="s">
        <v>5915</v>
      </c>
      <c r="C1672" s="1393">
        <v>56</v>
      </c>
      <c r="D1672" s="1447"/>
      <c r="E1672" s="1447"/>
      <c r="I1672" s="1374"/>
      <c r="J1672" s="1399"/>
      <c r="K1672" s="1360"/>
      <c r="L1672" s="1360"/>
      <c r="M1672" s="1361"/>
      <c r="N1672" s="1361"/>
      <c r="O1672" s="1361"/>
      <c r="P1672" s="1399"/>
      <c r="Q1672" s="1399"/>
    </row>
    <row r="1673" spans="1:25">
      <c r="A1673" s="1320" t="s">
        <v>5915</v>
      </c>
      <c r="C1673" s="1322">
        <v>57</v>
      </c>
      <c r="D1673" s="1356" t="s">
        <v>5966</v>
      </c>
      <c r="G1673" s="1320"/>
      <c r="J1673" s="1399"/>
      <c r="K1673" s="1360"/>
      <c r="L1673" s="1360"/>
      <c r="M1673" s="1361"/>
      <c r="N1673" s="1361"/>
      <c r="O1673" s="1361"/>
      <c r="P1673" s="1399"/>
      <c r="Q1673" s="1399"/>
      <c r="R1673" s="1324"/>
      <c r="S1673" s="1324"/>
      <c r="T1673" s="1324"/>
      <c r="V1673" s="1324"/>
    </row>
    <row r="1674" spans="1:25">
      <c r="A1674" s="1320" t="s">
        <v>5915</v>
      </c>
      <c r="C1674" s="1322">
        <v>58</v>
      </c>
      <c r="D1674" s="1324" t="s">
        <v>5265</v>
      </c>
      <c r="E1674" s="1324" t="s">
        <v>4067</v>
      </c>
      <c r="F1674" s="1324">
        <f t="shared" ref="F1674:H1681" si="744">+F1615+F1626-F1637+F1663</f>
        <v>237845.88660028545</v>
      </c>
      <c r="G1674" s="1324">
        <f t="shared" si="744"/>
        <v>0</v>
      </c>
      <c r="H1674" s="1324">
        <f t="shared" si="744"/>
        <v>237845.88660028545</v>
      </c>
      <c r="I1674" s="1324"/>
      <c r="J1674" s="1324">
        <f t="shared" ref="J1674:Q1681" si="745">+J1615+J1626-J1637+J1663</f>
        <v>237845.88660028545</v>
      </c>
      <c r="K1674" s="1324">
        <f t="shared" si="745"/>
        <v>137953.71576795224</v>
      </c>
      <c r="L1674" s="1324">
        <f t="shared" si="745"/>
        <v>11379.790073100996</v>
      </c>
      <c r="M1674" s="1324">
        <f t="shared" si="745"/>
        <v>72745.280871517214</v>
      </c>
      <c r="N1674" s="1324">
        <f t="shared" si="745"/>
        <v>9081.2837800112975</v>
      </c>
      <c r="O1674" s="1324">
        <f t="shared" si="745"/>
        <v>6517.1851321680133</v>
      </c>
      <c r="P1674" s="1324">
        <f t="shared" si="745"/>
        <v>168.63097553565908</v>
      </c>
      <c r="Q1674" s="1324">
        <f t="shared" si="745"/>
        <v>0</v>
      </c>
    </row>
    <row r="1675" spans="1:25">
      <c r="A1675" s="1320" t="s">
        <v>5915</v>
      </c>
      <c r="C1675" s="1322">
        <v>59</v>
      </c>
      <c r="D1675" s="1324" t="s">
        <v>5265</v>
      </c>
      <c r="E1675" s="1324" t="s">
        <v>2067</v>
      </c>
      <c r="F1675" s="1324">
        <f t="shared" si="744"/>
        <v>18307.66087804706</v>
      </c>
      <c r="G1675" s="1324">
        <f t="shared" si="744"/>
        <v>0</v>
      </c>
      <c r="H1675" s="1324">
        <f t="shared" si="744"/>
        <v>18307.66087804706</v>
      </c>
      <c r="I1675" s="1324"/>
      <c r="J1675" s="1324">
        <f t="shared" si="745"/>
        <v>18307.66087804706</v>
      </c>
      <c r="K1675" s="1324">
        <f t="shared" si="745"/>
        <v>9238.6715304685113</v>
      </c>
      <c r="L1675" s="1324">
        <f t="shared" si="745"/>
        <v>853.76140016841555</v>
      </c>
      <c r="M1675" s="1324">
        <f t="shared" si="745"/>
        <v>6360.1908193956069</v>
      </c>
      <c r="N1675" s="1324">
        <f t="shared" si="745"/>
        <v>1012.4401144532327</v>
      </c>
      <c r="O1675" s="1324">
        <f t="shared" si="745"/>
        <v>745.87664430135703</v>
      </c>
      <c r="P1675" s="1324">
        <f t="shared" si="745"/>
        <v>96.720369259926954</v>
      </c>
      <c r="Q1675" s="1324">
        <f t="shared" si="745"/>
        <v>0</v>
      </c>
      <c r="V1675" s="1320" t="s">
        <v>5967</v>
      </c>
    </row>
    <row r="1676" spans="1:25">
      <c r="A1676" s="1320" t="s">
        <v>5915</v>
      </c>
      <c r="C1676" s="1322">
        <v>60</v>
      </c>
      <c r="D1676" s="1324" t="s">
        <v>5268</v>
      </c>
      <c r="E1676" s="1324" t="s">
        <v>4067</v>
      </c>
      <c r="F1676" s="1324">
        <f t="shared" si="744"/>
        <v>22643.159302144202</v>
      </c>
      <c r="G1676" s="1324">
        <f t="shared" si="744"/>
        <v>1466.9791003633463</v>
      </c>
      <c r="H1676" s="1324">
        <f t="shared" si="744"/>
        <v>21176.180201780844</v>
      </c>
      <c r="I1676" s="1324"/>
      <c r="J1676" s="1324">
        <f t="shared" si="745"/>
        <v>21176.180201780844</v>
      </c>
      <c r="K1676" s="1324">
        <f t="shared" si="745"/>
        <v>12282.460657042573</v>
      </c>
      <c r="L1676" s="1324">
        <f t="shared" si="745"/>
        <v>1013.1791164898546</v>
      </c>
      <c r="M1676" s="1324">
        <f t="shared" si="745"/>
        <v>6476.7450830598518</v>
      </c>
      <c r="N1676" s="1324">
        <f t="shared" si="745"/>
        <v>808.53574782317924</v>
      </c>
      <c r="O1676" s="1324">
        <f t="shared" si="745"/>
        <v>580.24584212839284</v>
      </c>
      <c r="P1676" s="1324">
        <f t="shared" si="745"/>
        <v>15.013755237005343</v>
      </c>
      <c r="Q1676" s="1324">
        <f t="shared" si="745"/>
        <v>0</v>
      </c>
      <c r="R1676" s="1358"/>
      <c r="V1676" s="1320" t="s">
        <v>5968</v>
      </c>
      <c r="Y1676" s="1324"/>
    </row>
    <row r="1677" spans="1:25">
      <c r="A1677" s="1320" t="s">
        <v>5915</v>
      </c>
      <c r="C1677" s="1322">
        <v>61</v>
      </c>
      <c r="D1677" s="1324" t="s">
        <v>5239</v>
      </c>
      <c r="E1677" s="1324" t="s">
        <v>4067</v>
      </c>
      <c r="F1677" s="1324">
        <f t="shared" si="744"/>
        <v>25104.809596242638</v>
      </c>
      <c r="G1677" s="1324">
        <f t="shared" si="744"/>
        <v>1626.4616834101259</v>
      </c>
      <c r="H1677" s="1324">
        <f t="shared" si="744"/>
        <v>23478.347912832491</v>
      </c>
      <c r="I1677" s="1324"/>
      <c r="J1677" s="1324">
        <f t="shared" si="745"/>
        <v>23478.347912832491</v>
      </c>
      <c r="K1677" s="1324">
        <f t="shared" si="745"/>
        <v>13617.747950004288</v>
      </c>
      <c r="L1677" s="1324">
        <f t="shared" si="745"/>
        <v>1123.3268497103447</v>
      </c>
      <c r="M1677" s="1324">
        <f t="shared" si="745"/>
        <v>7180.864204679292</v>
      </c>
      <c r="N1677" s="1324">
        <f t="shared" si="745"/>
        <v>896.43568417303061</v>
      </c>
      <c r="O1677" s="1324">
        <f t="shared" si="745"/>
        <v>643.32724913812422</v>
      </c>
      <c r="P1677" s="1324">
        <f t="shared" si="745"/>
        <v>16.645975127415962</v>
      </c>
      <c r="Q1677" s="1324">
        <f t="shared" si="745"/>
        <v>0</v>
      </c>
      <c r="R1677" s="1358"/>
      <c r="V1677" s="1320" t="s">
        <v>5969</v>
      </c>
      <c r="Y1677" s="1324"/>
    </row>
    <row r="1678" spans="1:25">
      <c r="A1678" s="1320" t="s">
        <v>5915</v>
      </c>
      <c r="C1678" s="1322">
        <v>62</v>
      </c>
      <c r="D1678" s="1324" t="s">
        <v>5240</v>
      </c>
      <c r="E1678" s="1324" t="s">
        <v>4067</v>
      </c>
      <c r="F1678" s="1324">
        <f t="shared" si="744"/>
        <v>81534.76566147519</v>
      </c>
      <c r="G1678" s="1324">
        <f t="shared" si="744"/>
        <v>0</v>
      </c>
      <c r="H1678" s="1324">
        <f t="shared" si="744"/>
        <v>81534.76566147519</v>
      </c>
      <c r="I1678" s="1324"/>
      <c r="J1678" s="1324">
        <f t="shared" si="745"/>
        <v>81534.76566147519</v>
      </c>
      <c r="K1678" s="1324">
        <f t="shared" si="745"/>
        <v>50748.543688646729</v>
      </c>
      <c r="L1678" s="1324">
        <f t="shared" si="745"/>
        <v>3609.3637074977764</v>
      </c>
      <c r="M1678" s="1324">
        <f t="shared" si="745"/>
        <v>24166.94361419282</v>
      </c>
      <c r="N1678" s="1324">
        <f t="shared" si="745"/>
        <v>2541.8765654700592</v>
      </c>
      <c r="O1678" s="1324">
        <f t="shared" si="745"/>
        <v>1.7355438002334309E-3</v>
      </c>
      <c r="P1678" s="1324">
        <f t="shared" si="745"/>
        <v>468.03635012404987</v>
      </c>
      <c r="Q1678" s="1324">
        <f t="shared" si="745"/>
        <v>0</v>
      </c>
      <c r="R1678" s="1358"/>
      <c r="V1678" s="1320" t="s">
        <v>5970</v>
      </c>
    </row>
    <row r="1679" spans="1:25">
      <c r="A1679" s="1320" t="s">
        <v>5915</v>
      </c>
      <c r="C1679" s="1322">
        <v>63</v>
      </c>
      <c r="D1679" s="1324" t="s">
        <v>5241</v>
      </c>
      <c r="E1679" s="1324" t="s">
        <v>4067</v>
      </c>
      <c r="F1679" s="1324">
        <f t="shared" si="744"/>
        <v>36347.445508810772</v>
      </c>
      <c r="G1679" s="1324">
        <f t="shared" si="744"/>
        <v>0</v>
      </c>
      <c r="H1679" s="1324">
        <f t="shared" si="744"/>
        <v>36347.445508810772</v>
      </c>
      <c r="I1679" s="1324"/>
      <c r="J1679" s="1324">
        <f t="shared" si="745"/>
        <v>36347.445508810772</v>
      </c>
      <c r="K1679" s="1324">
        <f t="shared" si="745"/>
        <v>26520.305206270357</v>
      </c>
      <c r="L1679" s="1324">
        <f t="shared" si="745"/>
        <v>2135.4108972876647</v>
      </c>
      <c r="M1679" s="1324">
        <f t="shared" si="745"/>
        <v>7560.245130648098</v>
      </c>
      <c r="N1679" s="1324">
        <f t="shared" si="745"/>
        <v>0</v>
      </c>
      <c r="O1679" s="1324">
        <f t="shared" si="745"/>
        <v>0</v>
      </c>
      <c r="P1679" s="1324">
        <f t="shared" si="745"/>
        <v>131.48427460464194</v>
      </c>
      <c r="Q1679" s="1324">
        <f t="shared" si="745"/>
        <v>0</v>
      </c>
      <c r="R1679" s="1358"/>
      <c r="V1679" s="1320" t="s">
        <v>5971</v>
      </c>
    </row>
    <row r="1680" spans="1:25">
      <c r="A1680" s="1320" t="s">
        <v>5915</v>
      </c>
      <c r="C1680" s="1322">
        <v>64</v>
      </c>
      <c r="D1680" s="1324" t="s">
        <v>5242</v>
      </c>
      <c r="E1680" s="1324" t="s">
        <v>4071</v>
      </c>
      <c r="F1680" s="1324">
        <f t="shared" si="744"/>
        <v>29494.346495943217</v>
      </c>
      <c r="G1680" s="1324">
        <f t="shared" si="744"/>
        <v>0</v>
      </c>
      <c r="H1680" s="1324">
        <f t="shared" si="744"/>
        <v>29494.346495943217</v>
      </c>
      <c r="I1680" s="1324"/>
      <c r="J1680" s="1324">
        <f t="shared" si="745"/>
        <v>29494.346495943217</v>
      </c>
      <c r="K1680" s="1324">
        <f t="shared" si="745"/>
        <v>8799.6812945868096</v>
      </c>
      <c r="L1680" s="1324">
        <f t="shared" si="745"/>
        <v>1712.5167969468866</v>
      </c>
      <c r="M1680" s="1324">
        <f t="shared" si="745"/>
        <v>984.37079930782443</v>
      </c>
      <c r="N1680" s="1324">
        <f t="shared" si="745"/>
        <v>73.994792812144325</v>
      </c>
      <c r="O1680" s="1324">
        <f t="shared" si="745"/>
        <v>80.731425120621338</v>
      </c>
      <c r="P1680" s="1324">
        <f t="shared" si="745"/>
        <v>16.574065119255245</v>
      </c>
      <c r="Q1680" s="1324">
        <f t="shared" si="745"/>
        <v>17826.477322049686</v>
      </c>
      <c r="R1680" s="1358"/>
      <c r="V1680" s="1320" t="s">
        <v>5972</v>
      </c>
    </row>
    <row r="1681" spans="1:26">
      <c r="A1681" s="1320" t="s">
        <v>5915</v>
      </c>
      <c r="C1681" s="1322">
        <v>65</v>
      </c>
      <c r="D1681" s="1324" t="s">
        <v>5244</v>
      </c>
      <c r="E1681" s="1324" t="s">
        <v>4071</v>
      </c>
      <c r="F1681" s="1366">
        <f t="shared" si="744"/>
        <v>10359.806627685823</v>
      </c>
      <c r="G1681" s="1366">
        <f t="shared" si="744"/>
        <v>0</v>
      </c>
      <c r="H1681" s="1366">
        <f t="shared" si="744"/>
        <v>10359.806627685823</v>
      </c>
      <c r="I1681" s="1324"/>
      <c r="J1681" s="1366">
        <f t="shared" si="745"/>
        <v>10359.806627685823</v>
      </c>
      <c r="K1681" s="1366">
        <f t="shared" si="745"/>
        <v>9239.7749325374625</v>
      </c>
      <c r="L1681" s="1366">
        <f t="shared" si="745"/>
        <v>895.7130014681029</v>
      </c>
      <c r="M1681" s="1366">
        <f t="shared" si="745"/>
        <v>220.60647879447919</v>
      </c>
      <c r="N1681" s="1366">
        <f t="shared" si="745"/>
        <v>0.74484570523649174</v>
      </c>
      <c r="O1681" s="1366">
        <f t="shared" si="745"/>
        <v>0.13215004447744211</v>
      </c>
      <c r="P1681" s="1366">
        <f t="shared" si="745"/>
        <v>2.8352191360614869</v>
      </c>
      <c r="Q1681" s="1366">
        <f t="shared" si="745"/>
        <v>0</v>
      </c>
      <c r="R1681" s="1358"/>
      <c r="V1681" s="1320" t="s">
        <v>5973</v>
      </c>
    </row>
    <row r="1682" spans="1:26">
      <c r="A1682" s="1320" t="s">
        <v>5915</v>
      </c>
      <c r="C1682" s="1322">
        <v>66</v>
      </c>
      <c r="F1682" s="1350">
        <f>SUM(F1674:F1681)</f>
        <v>461637.88067063433</v>
      </c>
      <c r="G1682" s="1350">
        <f>SUM(G1674:G1681)</f>
        <v>3093.4407837734725</v>
      </c>
      <c r="H1682" s="1350">
        <f>SUM(H1674:H1681)</f>
        <v>458544.43988686084</v>
      </c>
      <c r="I1682" s="1525"/>
      <c r="J1682" s="1366">
        <f t="shared" ref="J1682:Q1682" si="746">SUM(J1674:J1681)</f>
        <v>458544.43988686084</v>
      </c>
      <c r="K1682" s="1366">
        <f t="shared" si="746"/>
        <v>268400.90102750895</v>
      </c>
      <c r="L1682" s="1366">
        <f t="shared" si="746"/>
        <v>22723.061842670042</v>
      </c>
      <c r="M1682" s="1366">
        <f t="shared" si="746"/>
        <v>125695.24700159518</v>
      </c>
      <c r="N1682" s="1378">
        <f t="shared" si="746"/>
        <v>14415.311530448182</v>
      </c>
      <c r="O1682" s="1378">
        <f t="shared" si="746"/>
        <v>8567.500178444785</v>
      </c>
      <c r="P1682" s="1378">
        <f t="shared" si="746"/>
        <v>915.94098414401594</v>
      </c>
      <c r="Q1682" s="1366">
        <f t="shared" si="746"/>
        <v>17826.477322049686</v>
      </c>
      <c r="R1682" s="1358"/>
      <c r="V1682" s="1320" t="s">
        <v>5974</v>
      </c>
    </row>
    <row r="1683" spans="1:26">
      <c r="A1683" s="1320" t="s">
        <v>5915</v>
      </c>
      <c r="C1683" s="1322">
        <v>67</v>
      </c>
      <c r="D1683" s="1320" t="s">
        <v>5975</v>
      </c>
      <c r="F1683" s="1324"/>
      <c r="G1683" s="1529"/>
      <c r="H1683" s="1529"/>
      <c r="I1683" s="1386"/>
      <c r="J1683" s="1530"/>
      <c r="K1683" s="1530"/>
      <c r="L1683" s="1530"/>
      <c r="M1683" s="1531"/>
      <c r="N1683" s="1531"/>
      <c r="O1683" s="1531"/>
      <c r="R1683" s="1358"/>
      <c r="V1683" s="1320" t="s">
        <v>5492</v>
      </c>
      <c r="Y1683" s="1324"/>
    </row>
    <row r="1684" spans="1:26">
      <c r="A1684" s="1320" t="s">
        <v>5915</v>
      </c>
      <c r="C1684" s="1322">
        <v>68</v>
      </c>
      <c r="F1684" s="1358"/>
      <c r="G1684" s="1358"/>
      <c r="H1684" s="1358"/>
      <c r="J1684" s="1364"/>
      <c r="K1684" s="1364"/>
      <c r="L1684" s="1364"/>
      <c r="M1684" s="1367"/>
      <c r="N1684" s="1367"/>
      <c r="O1684" s="1367"/>
      <c r="P1684" s="1364"/>
      <c r="Q1684" s="1364"/>
      <c r="R1684" s="1358"/>
      <c r="Y1684" s="1324"/>
    </row>
    <row r="1685" spans="1:26">
      <c r="A1685" s="1320" t="s">
        <v>5915</v>
      </c>
      <c r="C1685" s="1322">
        <v>69</v>
      </c>
      <c r="D1685" s="1356" t="s">
        <v>5976</v>
      </c>
      <c r="F1685" s="1324"/>
      <c r="G1685" s="1529"/>
      <c r="H1685" s="1529"/>
      <c r="I1685" s="1386"/>
      <c r="J1685" s="1530"/>
      <c r="K1685" s="1530"/>
      <c r="L1685" s="1530"/>
      <c r="M1685" s="1531"/>
      <c r="N1685" s="1531"/>
      <c r="O1685" s="1531"/>
      <c r="Y1685" s="1324"/>
    </row>
    <row r="1686" spans="1:26">
      <c r="A1686" s="1320" t="s">
        <v>5915</v>
      </c>
      <c r="C1686" s="1322">
        <v>70</v>
      </c>
      <c r="D1686" s="1320" t="s">
        <v>5265</v>
      </c>
      <c r="E1686" s="1320" t="s">
        <v>4067</v>
      </c>
      <c r="F1686" s="1324">
        <f t="shared" ref="F1686:F1693" si="747">G1686+H1686</f>
        <v>63224.855931721446</v>
      </c>
      <c r="G1686" s="1324">
        <f>+G1674*'Tax &amp; Debt Inputs'!C3/(1-'Tax &amp; Debt Inputs'!C3)</f>
        <v>0</v>
      </c>
      <c r="H1686" s="1324">
        <f>+H1674*'Tax &amp; Debt Inputs'!C3/(1-'Tax &amp; Debt Inputs'!C3)</f>
        <v>63224.855931721446</v>
      </c>
      <c r="I1686" s="1324"/>
      <c r="J1686" s="1324">
        <f>+J1674*'Tax &amp; Debt Inputs'!C3/(1-'Tax &amp; Debt Inputs'!C3)</f>
        <v>63224.855931721446</v>
      </c>
      <c r="K1686" s="1324">
        <f>+K1674*'Tax &amp; Debt Inputs'!C3/(1-'Tax &amp; Debt Inputs'!C3)</f>
        <v>36671.240900341734</v>
      </c>
      <c r="L1686" s="1324">
        <f>+L1674*'Tax &amp; Debt Inputs'!C3/(1-'Tax &amp; Debt Inputs'!C3)</f>
        <v>3025.0074877863403</v>
      </c>
      <c r="M1686" s="1324">
        <f>+M1674*'Tax &amp; Debt Inputs'!C3/(1-'Tax &amp; Debt Inputs'!C3)</f>
        <v>19337.353143061537</v>
      </c>
      <c r="N1686" s="1325">
        <f>+N1674*'Tax &amp; Debt Inputs'!C3/(1-'Tax &amp; Debt Inputs'!C3)</f>
        <v>2414.0121440536359</v>
      </c>
      <c r="O1686" s="1325">
        <f>+O1674*'Tax &amp; Debt Inputs'!C3/(1-'Tax &amp; Debt Inputs'!C3)</f>
        <v>1732.4163009560541</v>
      </c>
      <c r="P1686" s="1325">
        <f>+P1674*'Tax &amp; Debt Inputs'!C3/(1-'Tax &amp; Debt Inputs'!C3)</f>
        <v>44.825955522137221</v>
      </c>
      <c r="Q1686" s="1324">
        <f>+Q1674*'Tax &amp; Debt Inputs'!C3/(1-'Tax &amp; Debt Inputs'!C3)</f>
        <v>0</v>
      </c>
      <c r="R1686" s="1324"/>
      <c r="V1686" s="1321" t="s">
        <v>5977</v>
      </c>
      <c r="Y1686" s="1324"/>
    </row>
    <row r="1687" spans="1:26">
      <c r="A1687" s="1320" t="s">
        <v>5915</v>
      </c>
      <c r="C1687" s="1322">
        <v>71</v>
      </c>
      <c r="D1687" s="1320" t="s">
        <v>5265</v>
      </c>
      <c r="E1687" s="1320" t="s">
        <v>2067</v>
      </c>
      <c r="F1687" s="1324">
        <f t="shared" si="747"/>
        <v>4866.5933979618758</v>
      </c>
      <c r="G1687" s="1324">
        <f>+G1675*'Tax &amp; Debt Inputs'!C3/(1-'Tax &amp; Debt Inputs'!C3)</f>
        <v>0</v>
      </c>
      <c r="H1687" s="1324">
        <f>+H1675*'Tax &amp; Debt Inputs'!C3/(1-'Tax &amp; Debt Inputs'!C3)</f>
        <v>4866.5933979618758</v>
      </c>
      <c r="I1687" s="1525"/>
      <c r="J1687" s="1324">
        <f>+J1675*'Tax &amp; Debt Inputs'!C3/(1-'Tax &amp; Debt Inputs'!C3)</f>
        <v>4866.5933979618758</v>
      </c>
      <c r="K1687" s="1324">
        <f>+K1675*'Tax &amp; Debt Inputs'!C3/(1-'Tax &amp; Debt Inputs'!C3)</f>
        <v>2455.8493941751735</v>
      </c>
      <c r="L1687" s="1324">
        <f>+L1675*'Tax &amp; Debt Inputs'!C3/(1-'Tax &amp; Debt Inputs'!C3)</f>
        <v>226.9492329561611</v>
      </c>
      <c r="M1687" s="1324">
        <f>+M1675*'Tax &amp; Debt Inputs'!C3/(1-'Tax &amp; Debt Inputs'!C3)</f>
        <v>1690.6836355355408</v>
      </c>
      <c r="N1687" s="1325">
        <f>+N1675*'Tax &amp; Debt Inputs'!C3/(1-'Tax &amp; Debt Inputs'!C3)</f>
        <v>269.12965067744159</v>
      </c>
      <c r="O1687" s="1325">
        <f>+O1675*'Tax &amp; Debt Inputs'!C3/(1-'Tax &amp; Debt Inputs'!C3)</f>
        <v>198.27100671301895</v>
      </c>
      <c r="P1687" s="1325">
        <f>+P1675*'Tax &amp; Debt Inputs'!C3/(1-'Tax &amp; Debt Inputs'!C3)</f>
        <v>25.710477904537541</v>
      </c>
      <c r="Q1687" s="1324">
        <f>+Q1675*'Tax &amp; Debt Inputs'!C3/(1-'Tax &amp; Debt Inputs'!C3)</f>
        <v>0</v>
      </c>
      <c r="R1687" s="1324"/>
      <c r="V1687" s="1321" t="s">
        <v>5978</v>
      </c>
      <c r="Y1687" s="1324"/>
    </row>
    <row r="1688" spans="1:26">
      <c r="A1688" s="1320" t="s">
        <v>5915</v>
      </c>
      <c r="C1688" s="1322">
        <v>72</v>
      </c>
      <c r="D1688" s="1320" t="s">
        <v>5268</v>
      </c>
      <c r="E1688" s="1320" t="s">
        <v>4067</v>
      </c>
      <c r="F1688" s="1324">
        <f t="shared" si="747"/>
        <v>6019.0676625952901</v>
      </c>
      <c r="G1688" s="1324">
        <f>+G1676*'Tax &amp; Debt Inputs'!C3/(1-'Tax &amp; Debt Inputs'!C3)</f>
        <v>389.95646971683885</v>
      </c>
      <c r="H1688" s="1324">
        <f>+H1676*'Tax &amp; Debt Inputs'!C3/(1-'Tax &amp; Debt Inputs'!C3)</f>
        <v>5629.1111928784512</v>
      </c>
      <c r="I1688" s="1525"/>
      <c r="J1688" s="1324">
        <f>+J1676*'Tax &amp; Debt Inputs'!C3/(1-'Tax &amp; Debt Inputs'!C3)</f>
        <v>5629.1111928784512</v>
      </c>
      <c r="K1688" s="1324">
        <f>+K1676*'Tax &amp; Debt Inputs'!C3/(1-'Tax &amp; Debt Inputs'!C3)</f>
        <v>3264.9578961758734</v>
      </c>
      <c r="L1688" s="1324">
        <f>+L1676*'Tax &amp; Debt Inputs'!C3/(1-'Tax &amp; Debt Inputs'!C3)</f>
        <v>269.32609425679675</v>
      </c>
      <c r="M1688" s="1324">
        <f>+M1676*'Tax &amp; Debt Inputs'!C3/(1-'Tax &amp; Debt Inputs'!C3)</f>
        <v>1721.6664144842644</v>
      </c>
      <c r="N1688" s="1325">
        <f>+N1676*'Tax &amp; Debt Inputs'!C3/(1-'Tax &amp; Debt Inputs'!C3)</f>
        <v>214.92722410489574</v>
      </c>
      <c r="O1688" s="1325">
        <f>+O1676*'Tax &amp; Debt Inputs'!C3/(1-'Tax &amp; Debt Inputs'!C3)</f>
        <v>154.24256562906643</v>
      </c>
      <c r="P1688" s="1325">
        <f>+P1676*'Tax &amp; Debt Inputs'!C3/(1-'Tax &amp; Debt Inputs'!C3)</f>
        <v>3.9909982275583822</v>
      </c>
      <c r="Q1688" s="1324">
        <f>+Q1676*'Tax &amp; Debt Inputs'!C3/(1-'Tax &amp; Debt Inputs'!C3)</f>
        <v>0</v>
      </c>
      <c r="R1688" s="1324"/>
      <c r="V1688" s="1321" t="s">
        <v>5979</v>
      </c>
      <c r="Y1688" s="1324"/>
    </row>
    <row r="1689" spans="1:26">
      <c r="A1689" s="1320" t="s">
        <v>5915</v>
      </c>
      <c r="C1689" s="1322">
        <v>73</v>
      </c>
      <c r="D1689" s="1320" t="s">
        <v>5239</v>
      </c>
      <c r="E1689" s="1320" t="s">
        <v>4067</v>
      </c>
      <c r="F1689" s="1324">
        <f t="shared" si="747"/>
        <v>6673.4303990012022</v>
      </c>
      <c r="G1689" s="1324">
        <f>+G1677*'Tax &amp; Debt Inputs'!C3/(1-'Tax &amp; Debt Inputs'!C3)</f>
        <v>432.35057407104608</v>
      </c>
      <c r="H1689" s="1324">
        <f>+H1677*'Tax &amp; Debt Inputs'!C3/(1-'Tax &amp; Debt Inputs'!C3)</f>
        <v>6241.0798249301561</v>
      </c>
      <c r="I1689" s="1525"/>
      <c r="J1689" s="1324">
        <f>+J1677*'Tax &amp; Debt Inputs'!C3/(1-'Tax &amp; Debt Inputs'!C3)</f>
        <v>6241.0798249301561</v>
      </c>
      <c r="K1689" s="1324">
        <f>+K1677*'Tax &amp; Debt Inputs'!C3/(1-'Tax &amp; Debt Inputs'!C3)</f>
        <v>3619.9076829125324</v>
      </c>
      <c r="L1689" s="1324">
        <f>+L1677*'Tax &amp; Debt Inputs'!C3/(1-'Tax &amp; Debt Inputs'!C3)</f>
        <v>298.60587144199036</v>
      </c>
      <c r="M1689" s="1324">
        <f>+M1677*'Tax &amp; Debt Inputs'!C3/(1-'Tax &amp; Debt Inputs'!C3)</f>
        <v>1908.8373202312039</v>
      </c>
      <c r="N1689" s="1325">
        <f>+N1677*'Tax &amp; Debt Inputs'!C3/(1-'Tax &amp; Debt Inputs'!C3)</f>
        <v>238.29302997004609</v>
      </c>
      <c r="O1689" s="1325">
        <f>+O1677*'Tax &amp; Debt Inputs'!C3/(1-'Tax &amp; Debt Inputs'!C3)</f>
        <v>171.01104091013426</v>
      </c>
      <c r="P1689" s="1325">
        <f>+P1677*'Tax &amp; Debt Inputs'!C3/(1-'Tax &amp; Debt Inputs'!C3)</f>
        <v>4.4248794642498126</v>
      </c>
      <c r="Q1689" s="1324">
        <f>+Q1677*'Tax &amp; Debt Inputs'!C3/(1-'Tax &amp; Debt Inputs'!C3)</f>
        <v>0</v>
      </c>
      <c r="R1689" s="1324"/>
      <c r="V1689" s="1321" t="s">
        <v>5980</v>
      </c>
      <c r="Y1689" s="1324"/>
      <c r="Z1689" s="1320" t="s">
        <v>5981</v>
      </c>
    </row>
    <row r="1690" spans="1:26">
      <c r="A1690" s="1320" t="s">
        <v>5915</v>
      </c>
      <c r="C1690" s="1322">
        <v>74</v>
      </c>
      <c r="D1690" s="1320" t="s">
        <v>5240</v>
      </c>
      <c r="E1690" s="1320" t="s">
        <v>4067</v>
      </c>
      <c r="F1690" s="1324">
        <f t="shared" si="747"/>
        <v>21673.798466974418</v>
      </c>
      <c r="G1690" s="1324">
        <f>+G1678*'Tax &amp; Debt Inputs'!C3/(1-'Tax &amp; Debt Inputs'!C3)</f>
        <v>0</v>
      </c>
      <c r="H1690" s="1324">
        <f>+H1678*'Tax &amp; Debt Inputs'!C3/(1-'Tax &amp; Debt Inputs'!C3)</f>
        <v>21673.798466974418</v>
      </c>
      <c r="I1690" s="1525"/>
      <c r="J1690" s="1324">
        <f>+J1678*'Tax &amp; Debt Inputs'!C3/(1-'Tax &amp; Debt Inputs'!C3)</f>
        <v>21673.798466974418</v>
      </c>
      <c r="K1690" s="1324">
        <f>+K1678*'Tax &amp; Debt Inputs'!C3/(1-'Tax &amp; Debt Inputs'!C3)</f>
        <v>13490.119208374444</v>
      </c>
      <c r="L1690" s="1324">
        <f>+L1678*'Tax &amp; Debt Inputs'!C3/(1-'Tax &amp; Debt Inputs'!C3)</f>
        <v>959.45111211966196</v>
      </c>
      <c r="M1690" s="1324">
        <f>+M1678*'Tax &amp; Debt Inputs'!C3/(1-'Tax &amp; Debt Inputs'!C3)</f>
        <v>6424.124251874041</v>
      </c>
      <c r="N1690" s="1325">
        <f>+N1678*'Tax &amp; Debt Inputs'!C3/(1-'Tax &amp; Debt Inputs'!C3)</f>
        <v>675.68870727685112</v>
      </c>
      <c r="O1690" s="1325">
        <f>+O1678*'Tax &amp; Debt Inputs'!C3/(1-'Tax &amp; Debt Inputs'!C3)</f>
        <v>4.6134708613800062E-4</v>
      </c>
      <c r="P1690" s="1325">
        <f>+P1678*'Tax &amp; Debt Inputs'!C3/(1-'Tax &amp; Debt Inputs'!C3)</f>
        <v>124.41472598234236</v>
      </c>
      <c r="Q1690" s="1324">
        <f>+Q1678*'Tax &amp; Debt Inputs'!C3/(1-'Tax &amp; Debt Inputs'!C3)</f>
        <v>0</v>
      </c>
      <c r="R1690" s="1324"/>
      <c r="V1690" s="1321" t="s">
        <v>5982</v>
      </c>
      <c r="Y1690" s="1324"/>
    </row>
    <row r="1691" spans="1:26">
      <c r="A1691" s="1320" t="s">
        <v>5915</v>
      </c>
      <c r="C1691" s="1322">
        <v>75</v>
      </c>
      <c r="D1691" s="1320" t="s">
        <v>5241</v>
      </c>
      <c r="E1691" s="1320" t="s">
        <v>4067</v>
      </c>
      <c r="F1691" s="1324">
        <f t="shared" si="747"/>
        <v>9661.9791858864064</v>
      </c>
      <c r="G1691" s="1324">
        <f>+G1679*'Tax &amp; Debt Inputs'!C3/(1-'Tax &amp; Debt Inputs'!C3)</f>
        <v>0</v>
      </c>
      <c r="H1691" s="1324">
        <f>+H1679*'Tax &amp; Debt Inputs'!C3/(1-'Tax &amp; Debt Inputs'!C3)</f>
        <v>9661.9791858864064</v>
      </c>
      <c r="I1691" s="1525"/>
      <c r="J1691" s="1324">
        <f>+J1679*'Tax &amp; Debt Inputs'!C3/(1-'Tax &amp; Debt Inputs'!C3)</f>
        <v>9661.9791858864064</v>
      </c>
      <c r="K1691" s="1324">
        <f>+K1679*'Tax &amp; Debt Inputs'!C3/(1-'Tax &amp; Debt Inputs'!C3)</f>
        <v>7049.7013839452848</v>
      </c>
      <c r="L1691" s="1324">
        <f>+L1679*'Tax &amp; Debt Inputs'!C3/(1-'Tax &amp; Debt Inputs'!C3)</f>
        <v>567.64087143089819</v>
      </c>
      <c r="M1691" s="1324">
        <f>+M1679*'Tax &amp; Debt Inputs'!C3/(1-'Tax &amp; Debt Inputs'!C3)</f>
        <v>2009.6854144760766</v>
      </c>
      <c r="N1691" s="1325">
        <f>+N1679*'Tax &amp; Debt Inputs'!C3/(1-'Tax &amp; Debt Inputs'!C3)</f>
        <v>0</v>
      </c>
      <c r="O1691" s="1325">
        <f>+O1679*'Tax &amp; Debt Inputs'!C3/(1-'Tax &amp; Debt Inputs'!C3)</f>
        <v>0</v>
      </c>
      <c r="P1691" s="1325">
        <f>+P1679*'Tax &amp; Debt Inputs'!C3/(1-'Tax &amp; Debt Inputs'!C3)</f>
        <v>34.951516034145321</v>
      </c>
      <c r="Q1691" s="1324">
        <f>+Q1679*'Tax &amp; Debt Inputs'!C3/(1-'Tax &amp; Debt Inputs'!C3)</f>
        <v>0</v>
      </c>
      <c r="R1691" s="1324"/>
      <c r="V1691" s="1321" t="s">
        <v>5983</v>
      </c>
    </row>
    <row r="1692" spans="1:26">
      <c r="A1692" s="1320" t="s">
        <v>5915</v>
      </c>
      <c r="C1692" s="1322">
        <v>76</v>
      </c>
      <c r="D1692" s="1320" t="s">
        <v>5242</v>
      </c>
      <c r="E1692" s="1320" t="s">
        <v>4071</v>
      </c>
      <c r="F1692" s="1324">
        <f t="shared" si="747"/>
        <v>7840.2693217064234</v>
      </c>
      <c r="G1692" s="1324">
        <f>+G1680*'Tax &amp; Debt Inputs'!C3/(1-'Tax &amp; Debt Inputs'!C3)</f>
        <v>0</v>
      </c>
      <c r="H1692" s="1324">
        <f>+H1680*'Tax &amp; Debt Inputs'!C3/(1-'Tax &amp; Debt Inputs'!C3)</f>
        <v>7840.2693217064234</v>
      </c>
      <c r="I1692" s="1525"/>
      <c r="J1692" s="1324">
        <f>+J1680*'Tax &amp; Debt Inputs'!C3/(1-'Tax &amp; Debt Inputs'!C3)</f>
        <v>7840.2693217064234</v>
      </c>
      <c r="K1692" s="1324">
        <f>+K1680*'Tax &amp; Debt Inputs'!C3/(1-'Tax &amp; Debt Inputs'!C3)</f>
        <v>2339.1557871686455</v>
      </c>
      <c r="L1692" s="1324">
        <f>+L1680*'Tax &amp; Debt Inputs'!C3/(1-'Tax &amp; Debt Inputs'!C3)</f>
        <v>455.22598399853939</v>
      </c>
      <c r="M1692" s="1324">
        <f>+M1680*'Tax &amp; Debt Inputs'!C3/(1-'Tax &amp; Debt Inputs'!C3)</f>
        <v>261.66818715777606</v>
      </c>
      <c r="N1692" s="1325">
        <f>+N1680*'Tax &amp; Debt Inputs'!C3/(1-'Tax &amp; Debt Inputs'!C3)</f>
        <v>19.66950188677254</v>
      </c>
      <c r="O1692" s="1325">
        <f>+O1680*'Tax &amp; Debt Inputs'!C3/(1-'Tax &amp; Debt Inputs'!C3)</f>
        <v>21.46025224725377</v>
      </c>
      <c r="P1692" s="1325">
        <f>+P1680*'Tax &amp; Debt Inputs'!C3/(1-'Tax &amp; Debt Inputs'!C3)</f>
        <v>4.4057641456248122</v>
      </c>
      <c r="Q1692" s="1324">
        <f>+Q1680*'Tax &amp; Debt Inputs'!C3/(1-'Tax &amp; Debt Inputs'!C3)</f>
        <v>4738.6838451018148</v>
      </c>
      <c r="R1692" s="1324"/>
      <c r="V1692" s="1321" t="s">
        <v>5984</v>
      </c>
    </row>
    <row r="1693" spans="1:26">
      <c r="A1693" s="1320" t="s">
        <v>5915</v>
      </c>
      <c r="C1693" s="1322">
        <v>77</v>
      </c>
      <c r="D1693" s="1320" t="s">
        <v>5244</v>
      </c>
      <c r="E1693" s="1320" t="s">
        <v>4071</v>
      </c>
      <c r="F1693" s="1366">
        <f t="shared" si="747"/>
        <v>2753.8726478658514</v>
      </c>
      <c r="G1693" s="1366">
        <f>+G1681*'Tax &amp; Debt Inputs'!C3/(1-'Tax &amp; Debt Inputs'!C3)</f>
        <v>0</v>
      </c>
      <c r="H1693" s="1366">
        <f>+H1681*'Tax &amp; Debt Inputs'!C3/(1-'Tax &amp; Debt Inputs'!C3)</f>
        <v>2753.8726478658514</v>
      </c>
      <c r="I1693" s="1525"/>
      <c r="J1693" s="1366">
        <f>+J1681*'Tax &amp; Debt Inputs'!C3/(1-'Tax &amp; Debt Inputs'!C3)</f>
        <v>2753.8726478658514</v>
      </c>
      <c r="K1693" s="1366">
        <f>+K1681*'Tax &amp; Debt Inputs'!C3/(1-'Tax &amp; Debt Inputs'!C3)</f>
        <v>2456.1427035859074</v>
      </c>
      <c r="L1693" s="1366">
        <f>+L1681*'Tax &amp; Debt Inputs'!C3/(1-'Tax &amp; Debt Inputs'!C3)</f>
        <v>238.10092444088812</v>
      </c>
      <c r="M1693" s="1366">
        <f>+M1681*'Tax &amp; Debt Inputs'!C3/(1-'Tax &amp; Debt Inputs'!C3)</f>
        <v>58.642228540304593</v>
      </c>
      <c r="N1693" s="1378">
        <f>+N1681*'Tax &amp; Debt Inputs'!C3/(1-'Tax &amp; Debt Inputs'!C3)</f>
        <v>0.19799695961982691</v>
      </c>
      <c r="O1693" s="1378">
        <f>+O1681*'Tax &amp; Debt Inputs'!C3/(1-'Tax &amp; Debt Inputs'!C3)</f>
        <v>3.5128492835775751E-2</v>
      </c>
      <c r="P1693" s="1378">
        <f>+P1681*'Tax &amp; Debt Inputs'!C3/(1-'Tax &amp; Debt Inputs'!C3)</f>
        <v>0.75366584629482558</v>
      </c>
      <c r="Q1693" s="1366">
        <f>+Q1681*'Tax &amp; Debt Inputs'!C3/(1-'Tax &amp; Debt Inputs'!C3)</f>
        <v>0</v>
      </c>
      <c r="R1693" s="1364"/>
      <c r="V1693" s="1321" t="s">
        <v>5985</v>
      </c>
      <c r="Y1693" s="1324"/>
    </row>
    <row r="1694" spans="1:26">
      <c r="A1694" s="1320" t="s">
        <v>5915</v>
      </c>
      <c r="C1694" s="1322">
        <v>78</v>
      </c>
      <c r="D1694" s="1320" t="s">
        <v>5613</v>
      </c>
      <c r="F1694" s="1350">
        <f>SUM(F1686:F1693)</f>
        <v>122713.86701371291</v>
      </c>
      <c r="G1694" s="1350">
        <f>SUM(G1686:G1693)</f>
        <v>822.30704378788494</v>
      </c>
      <c r="H1694" s="1350">
        <f>SUM(H1686:H1693)</f>
        <v>121891.55996992503</v>
      </c>
      <c r="I1694" s="1525"/>
      <c r="J1694" s="1366">
        <f t="shared" ref="J1694:Q1694" si="748">SUM(J1686:J1693)</f>
        <v>121891.55996992503</v>
      </c>
      <c r="K1694" s="1366">
        <f t="shared" si="748"/>
        <v>71347.0749566796</v>
      </c>
      <c r="L1694" s="1366">
        <f t="shared" si="748"/>
        <v>6040.3075784312759</v>
      </c>
      <c r="M1694" s="1366">
        <f t="shared" si="748"/>
        <v>33412.660595360743</v>
      </c>
      <c r="N1694" s="1378">
        <f t="shared" si="748"/>
        <v>3831.9182549292627</v>
      </c>
      <c r="O1694" s="1378">
        <f>SUM(O1686:O1693)</f>
        <v>2277.4367562954494</v>
      </c>
      <c r="P1694" s="1378">
        <f>SUM(P1686:P1693)</f>
        <v>243.47798312689028</v>
      </c>
      <c r="Q1694" s="1366">
        <f t="shared" si="748"/>
        <v>4738.6838451018148</v>
      </c>
      <c r="R1694" s="1358"/>
      <c r="V1694" s="1320" t="s">
        <v>5986</v>
      </c>
      <c r="Y1694" s="1324"/>
    </row>
    <row r="1695" spans="1:26">
      <c r="A1695" s="1320" t="s">
        <v>5915</v>
      </c>
      <c r="C1695" s="1322">
        <v>79</v>
      </c>
      <c r="F1695" s="1358"/>
      <c r="G1695" s="1358"/>
      <c r="H1695" s="1446"/>
      <c r="I1695" s="1525"/>
      <c r="J1695" s="1364"/>
      <c r="K1695" s="1364"/>
      <c r="L1695" s="1364"/>
      <c r="M1695" s="1367"/>
      <c r="N1695" s="1367"/>
      <c r="O1695" s="1367"/>
      <c r="P1695" s="1364"/>
      <c r="Q1695" s="1364"/>
      <c r="R1695" s="1358"/>
    </row>
    <row r="1696" spans="1:26">
      <c r="A1696" s="1320" t="s">
        <v>5915</v>
      </c>
      <c r="C1696" s="1322">
        <v>80</v>
      </c>
      <c r="D1696" s="1356" t="s">
        <v>5591</v>
      </c>
      <c r="G1696" s="1320"/>
      <c r="R1696" s="1358"/>
    </row>
    <row r="1697" spans="1:25">
      <c r="A1697" s="1320" t="s">
        <v>5915</v>
      </c>
      <c r="C1697" s="1322">
        <v>81</v>
      </c>
      <c r="D1697" s="1320" t="s">
        <v>5265</v>
      </c>
      <c r="E1697" s="1320" t="s">
        <v>4067</v>
      </c>
      <c r="F1697" s="1320">
        <f t="shared" ref="F1697:H1704" si="749">+F1674+F1686</f>
        <v>301070.74253200687</v>
      </c>
      <c r="G1697" s="1320">
        <f t="shared" si="749"/>
        <v>0</v>
      </c>
      <c r="H1697" s="1320">
        <f t="shared" si="749"/>
        <v>301070.74253200687</v>
      </c>
      <c r="I1697" s="1525"/>
      <c r="J1697" s="1324">
        <f t="shared" ref="J1697:Q1704" si="750">+J1674+J1686</f>
        <v>301070.74253200687</v>
      </c>
      <c r="K1697" s="1324">
        <f t="shared" si="750"/>
        <v>174624.95666829398</v>
      </c>
      <c r="L1697" s="1324">
        <f t="shared" si="750"/>
        <v>14404.797560887337</v>
      </c>
      <c r="M1697" s="1324">
        <f t="shared" si="750"/>
        <v>92082.634014578754</v>
      </c>
      <c r="N1697" s="1325">
        <f t="shared" si="750"/>
        <v>11495.295924064932</v>
      </c>
      <c r="O1697" s="1325">
        <f t="shared" si="750"/>
        <v>8249.6014331240676</v>
      </c>
      <c r="P1697" s="1325">
        <f t="shared" si="750"/>
        <v>213.45693105779628</v>
      </c>
      <c r="Q1697" s="1324">
        <f t="shared" si="750"/>
        <v>0</v>
      </c>
      <c r="R1697" s="1358"/>
      <c r="V1697" s="1320" t="s">
        <v>5987</v>
      </c>
    </row>
    <row r="1698" spans="1:25">
      <c r="A1698" s="1320" t="s">
        <v>5915</v>
      </c>
      <c r="C1698" s="1322">
        <v>82</v>
      </c>
      <c r="D1698" s="1320" t="s">
        <v>5265</v>
      </c>
      <c r="E1698" s="1320" t="s">
        <v>2067</v>
      </c>
      <c r="F1698" s="1358">
        <f t="shared" si="749"/>
        <v>23174.254276008935</v>
      </c>
      <c r="G1698" s="1358">
        <f t="shared" si="749"/>
        <v>0</v>
      </c>
      <c r="H1698" s="1358">
        <f t="shared" si="749"/>
        <v>23174.254276008935</v>
      </c>
      <c r="I1698" s="1525"/>
      <c r="J1698" s="1364">
        <f t="shared" si="750"/>
        <v>23174.254276008935</v>
      </c>
      <c r="K1698" s="1364">
        <f t="shared" si="750"/>
        <v>11694.520924643684</v>
      </c>
      <c r="L1698" s="1364">
        <f t="shared" si="750"/>
        <v>1080.7106331245766</v>
      </c>
      <c r="M1698" s="1364">
        <f t="shared" si="750"/>
        <v>8050.8744549311477</v>
      </c>
      <c r="N1698" s="1367">
        <f t="shared" si="750"/>
        <v>1281.5697651306743</v>
      </c>
      <c r="O1698" s="1367">
        <f t="shared" si="750"/>
        <v>944.14765101437592</v>
      </c>
      <c r="P1698" s="1367">
        <f t="shared" si="750"/>
        <v>122.4308471644645</v>
      </c>
      <c r="Q1698" s="1364">
        <f t="shared" si="750"/>
        <v>0</v>
      </c>
      <c r="R1698" s="1358"/>
      <c r="V1698" s="1320" t="s">
        <v>5988</v>
      </c>
    </row>
    <row r="1699" spans="1:25">
      <c r="A1699" s="1320" t="s">
        <v>5915</v>
      </c>
      <c r="C1699" s="1322">
        <v>83</v>
      </c>
      <c r="D1699" s="1320" t="s">
        <v>5268</v>
      </c>
      <c r="E1699" s="1320" t="s">
        <v>4067</v>
      </c>
      <c r="F1699" s="1358">
        <f t="shared" si="749"/>
        <v>28662.226964739493</v>
      </c>
      <c r="G1699" s="1358">
        <f t="shared" si="749"/>
        <v>1856.9355700801852</v>
      </c>
      <c r="H1699" s="1358">
        <f t="shared" si="749"/>
        <v>26805.291394659296</v>
      </c>
      <c r="I1699" s="1525"/>
      <c r="J1699" s="1364">
        <f t="shared" si="750"/>
        <v>26805.291394659296</v>
      </c>
      <c r="K1699" s="1364">
        <f t="shared" si="750"/>
        <v>15547.418553218446</v>
      </c>
      <c r="L1699" s="1364">
        <f t="shared" si="750"/>
        <v>1282.5052107466513</v>
      </c>
      <c r="M1699" s="1364">
        <f t="shared" si="750"/>
        <v>8198.4114975441153</v>
      </c>
      <c r="N1699" s="1367">
        <f t="shared" si="750"/>
        <v>1023.4629719280749</v>
      </c>
      <c r="O1699" s="1367">
        <f t="shared" si="750"/>
        <v>734.4884077574593</v>
      </c>
      <c r="P1699" s="1367">
        <f t="shared" si="750"/>
        <v>19.004753464563727</v>
      </c>
      <c r="Q1699" s="1364">
        <f t="shared" si="750"/>
        <v>0</v>
      </c>
      <c r="R1699" s="1358"/>
      <c r="V1699" s="1320" t="s">
        <v>5989</v>
      </c>
    </row>
    <row r="1700" spans="1:25">
      <c r="A1700" s="1320" t="s">
        <v>5915</v>
      </c>
      <c r="C1700" s="1322">
        <v>84</v>
      </c>
      <c r="D1700" s="1320" t="s">
        <v>5239</v>
      </c>
      <c r="E1700" s="1320" t="s">
        <v>4067</v>
      </c>
      <c r="F1700" s="1358">
        <f t="shared" si="749"/>
        <v>31778.239995243839</v>
      </c>
      <c r="G1700" s="1358">
        <f t="shared" si="749"/>
        <v>2058.8122574811719</v>
      </c>
      <c r="H1700" s="1358">
        <f t="shared" si="749"/>
        <v>29719.427737762646</v>
      </c>
      <c r="I1700" s="1525"/>
      <c r="J1700" s="1364">
        <f t="shared" si="750"/>
        <v>29719.427737762646</v>
      </c>
      <c r="K1700" s="1364">
        <f t="shared" si="750"/>
        <v>17237.65563291682</v>
      </c>
      <c r="L1700" s="1364">
        <f t="shared" si="750"/>
        <v>1421.932721152335</v>
      </c>
      <c r="M1700" s="1364">
        <f t="shared" si="750"/>
        <v>9089.7015249104952</v>
      </c>
      <c r="N1700" s="1367">
        <f t="shared" si="750"/>
        <v>1134.7287141430768</v>
      </c>
      <c r="O1700" s="1367">
        <f t="shared" si="750"/>
        <v>814.3382900482585</v>
      </c>
      <c r="P1700" s="1367">
        <f t="shared" si="750"/>
        <v>21.070854591665775</v>
      </c>
      <c r="Q1700" s="1364">
        <f t="shared" si="750"/>
        <v>0</v>
      </c>
      <c r="R1700" s="1358"/>
      <c r="V1700" s="1320" t="s">
        <v>5990</v>
      </c>
      <c r="Y1700" s="1324"/>
    </row>
    <row r="1701" spans="1:25">
      <c r="A1701" s="1320" t="s">
        <v>5915</v>
      </c>
      <c r="C1701" s="1322">
        <v>85</v>
      </c>
      <c r="D1701" s="1320" t="s">
        <v>5240</v>
      </c>
      <c r="E1701" s="1320" t="s">
        <v>4067</v>
      </c>
      <c r="F1701" s="1358">
        <f t="shared" si="749"/>
        <v>103208.56412844961</v>
      </c>
      <c r="G1701" s="1358">
        <f t="shared" si="749"/>
        <v>0</v>
      </c>
      <c r="H1701" s="1358">
        <f t="shared" si="749"/>
        <v>103208.56412844961</v>
      </c>
      <c r="I1701" s="1525"/>
      <c r="J1701" s="1364">
        <f t="shared" si="750"/>
        <v>103208.56412844961</v>
      </c>
      <c r="K1701" s="1364">
        <f t="shared" si="750"/>
        <v>64238.662897021175</v>
      </c>
      <c r="L1701" s="1364">
        <f t="shared" si="750"/>
        <v>4568.8148196174388</v>
      </c>
      <c r="M1701" s="1364">
        <f t="shared" si="750"/>
        <v>30591.06786606686</v>
      </c>
      <c r="N1701" s="1367">
        <f t="shared" si="750"/>
        <v>3217.5652727469105</v>
      </c>
      <c r="O1701" s="1367">
        <f t="shared" si="750"/>
        <v>2.1968908863714315E-3</v>
      </c>
      <c r="P1701" s="1367">
        <f t="shared" si="750"/>
        <v>592.45107610639229</v>
      </c>
      <c r="Q1701" s="1364">
        <f t="shared" si="750"/>
        <v>0</v>
      </c>
      <c r="R1701" s="1358"/>
      <c r="V1701" s="1320" t="s">
        <v>5991</v>
      </c>
      <c r="Y1701" s="1324"/>
    </row>
    <row r="1702" spans="1:25">
      <c r="A1702" s="1320" t="s">
        <v>5915</v>
      </c>
      <c r="C1702" s="1322">
        <v>86</v>
      </c>
      <c r="D1702" s="1320" t="s">
        <v>5241</v>
      </c>
      <c r="E1702" s="1320" t="s">
        <v>4067</v>
      </c>
      <c r="F1702" s="1358">
        <f t="shared" si="749"/>
        <v>46009.424694697176</v>
      </c>
      <c r="G1702" s="1358">
        <f t="shared" si="749"/>
        <v>0</v>
      </c>
      <c r="H1702" s="1358">
        <f t="shared" si="749"/>
        <v>46009.424694697176</v>
      </c>
      <c r="I1702" s="1525"/>
      <c r="J1702" s="1364">
        <f t="shared" si="750"/>
        <v>46009.424694697176</v>
      </c>
      <c r="K1702" s="1364">
        <f t="shared" si="750"/>
        <v>33570.006590215642</v>
      </c>
      <c r="L1702" s="1364">
        <f t="shared" si="750"/>
        <v>2703.0517687185629</v>
      </c>
      <c r="M1702" s="1364">
        <f t="shared" si="750"/>
        <v>9569.9305451241744</v>
      </c>
      <c r="N1702" s="1367">
        <f t="shared" si="750"/>
        <v>0</v>
      </c>
      <c r="O1702" s="1367">
        <f t="shared" si="750"/>
        <v>0</v>
      </c>
      <c r="P1702" s="1367">
        <f t="shared" si="750"/>
        <v>166.43579063878727</v>
      </c>
      <c r="Q1702" s="1364">
        <f t="shared" si="750"/>
        <v>0</v>
      </c>
      <c r="R1702" s="1358"/>
      <c r="V1702" s="1320" t="s">
        <v>5992</v>
      </c>
      <c r="Y1702" s="1324"/>
    </row>
    <row r="1703" spans="1:25">
      <c r="A1703" s="1320" t="s">
        <v>5915</v>
      </c>
      <c r="C1703" s="1322">
        <v>87</v>
      </c>
      <c r="D1703" s="1320" t="s">
        <v>5242</v>
      </c>
      <c r="E1703" s="1320" t="s">
        <v>4071</v>
      </c>
      <c r="F1703" s="1358">
        <f t="shared" si="749"/>
        <v>37334.615817649639</v>
      </c>
      <c r="G1703" s="1358">
        <f t="shared" si="749"/>
        <v>0</v>
      </c>
      <c r="H1703" s="1358">
        <f t="shared" si="749"/>
        <v>37334.615817649639</v>
      </c>
      <c r="I1703" s="1525"/>
      <c r="J1703" s="1364">
        <f t="shared" si="750"/>
        <v>37334.615817649639</v>
      </c>
      <c r="K1703" s="1364">
        <f t="shared" si="750"/>
        <v>11138.837081755455</v>
      </c>
      <c r="L1703" s="1364">
        <f t="shared" si="750"/>
        <v>2167.7427809454261</v>
      </c>
      <c r="M1703" s="1364">
        <f t="shared" si="750"/>
        <v>1246.0389864656004</v>
      </c>
      <c r="N1703" s="1367">
        <f t="shared" si="750"/>
        <v>93.664294698916862</v>
      </c>
      <c r="O1703" s="1367">
        <f t="shared" si="750"/>
        <v>102.19167736787512</v>
      </c>
      <c r="P1703" s="1367">
        <f t="shared" si="750"/>
        <v>20.979829264880056</v>
      </c>
      <c r="Q1703" s="1364">
        <f t="shared" si="750"/>
        <v>22565.161167151502</v>
      </c>
      <c r="R1703" s="1358"/>
      <c r="V1703" s="1320" t="s">
        <v>5993</v>
      </c>
      <c r="Y1703" s="1324"/>
    </row>
    <row r="1704" spans="1:25">
      <c r="A1704" s="1320" t="s">
        <v>5915</v>
      </c>
      <c r="C1704" s="1322">
        <v>88</v>
      </c>
      <c r="D1704" s="1320" t="s">
        <v>5244</v>
      </c>
      <c r="E1704" s="1320" t="s">
        <v>4071</v>
      </c>
      <c r="F1704" s="1350">
        <f t="shared" si="749"/>
        <v>13113.679275551674</v>
      </c>
      <c r="G1704" s="1350">
        <f t="shared" si="749"/>
        <v>0</v>
      </c>
      <c r="H1704" s="1350">
        <f t="shared" si="749"/>
        <v>13113.679275551674</v>
      </c>
      <c r="I1704" s="1525"/>
      <c r="J1704" s="1366">
        <f t="shared" si="750"/>
        <v>13113.679275551674</v>
      </c>
      <c r="K1704" s="1366">
        <f t="shared" si="750"/>
        <v>11695.917636123369</v>
      </c>
      <c r="L1704" s="1366">
        <f t="shared" si="750"/>
        <v>1133.813925908991</v>
      </c>
      <c r="M1704" s="1366">
        <f t="shared" si="750"/>
        <v>279.24870733478377</v>
      </c>
      <c r="N1704" s="1378">
        <f t="shared" si="750"/>
        <v>0.94284266485631862</v>
      </c>
      <c r="O1704" s="1378">
        <f t="shared" si="750"/>
        <v>0.16727853731321785</v>
      </c>
      <c r="P1704" s="1378">
        <f t="shared" si="750"/>
        <v>3.5888849823563125</v>
      </c>
      <c r="Q1704" s="1366">
        <f t="shared" si="750"/>
        <v>0</v>
      </c>
      <c r="R1704" s="1358"/>
      <c r="V1704" s="1320" t="s">
        <v>5994</v>
      </c>
      <c r="Y1704" s="1324"/>
    </row>
    <row r="1705" spans="1:25">
      <c r="A1705" s="1320" t="s">
        <v>5915</v>
      </c>
      <c r="C1705" s="1322">
        <v>89</v>
      </c>
      <c r="D1705" s="1320" t="s">
        <v>5601</v>
      </c>
      <c r="F1705" s="1350">
        <f>SUM(F1697:F1704)</f>
        <v>584351.74768434721</v>
      </c>
      <c r="G1705" s="1350">
        <f>SUM(G1697:G1704)</f>
        <v>3915.7478275613571</v>
      </c>
      <c r="H1705" s="1350">
        <f>SUM(H1697:H1704)</f>
        <v>580435.99985678587</v>
      </c>
      <c r="I1705" s="1525"/>
      <c r="J1705" s="1366">
        <f t="shared" ref="J1705:Q1705" si="751">SUM(J1697:J1704)</f>
        <v>580435.99985678587</v>
      </c>
      <c r="K1705" s="1366">
        <f t="shared" si="751"/>
        <v>339747.97598418855</v>
      </c>
      <c r="L1705" s="1366">
        <f t="shared" si="751"/>
        <v>28763.369421101321</v>
      </c>
      <c r="M1705" s="1366">
        <f t="shared" si="751"/>
        <v>159107.90759695592</v>
      </c>
      <c r="N1705" s="1378">
        <f t="shared" si="751"/>
        <v>18247.22978537744</v>
      </c>
      <c r="O1705" s="1378">
        <f>SUM(O1697:O1704)</f>
        <v>10844.936934740237</v>
      </c>
      <c r="P1705" s="1378">
        <f>SUM(P1697:P1704)</f>
        <v>1159.4189672709063</v>
      </c>
      <c r="Q1705" s="1366">
        <f t="shared" si="751"/>
        <v>22565.161167151502</v>
      </c>
      <c r="R1705" s="1358"/>
      <c r="V1705" s="1320" t="s">
        <v>5995</v>
      </c>
      <c r="Y1705" s="1324"/>
    </row>
    <row r="1706" spans="1:25">
      <c r="A1706" s="1320" t="s">
        <v>5915</v>
      </c>
      <c r="G1706" s="1320"/>
      <c r="R1706" s="1358"/>
      <c r="Y1706" s="1324"/>
    </row>
    <row r="1707" spans="1:25">
      <c r="A1707" s="1358"/>
      <c r="F1707" s="1358"/>
      <c r="G1707" s="1358"/>
      <c r="H1707" s="1358"/>
      <c r="J1707" s="1364"/>
      <c r="K1707" s="1364"/>
      <c r="L1707" s="1364"/>
      <c r="M1707" s="1367"/>
      <c r="N1707" s="1367"/>
      <c r="O1707" s="1367"/>
      <c r="P1707" s="1364"/>
      <c r="Q1707" s="1364"/>
      <c r="R1707" s="1358"/>
      <c r="Y1707" s="1324"/>
    </row>
    <row r="1708" spans="1:25">
      <c r="A1708" s="1358"/>
      <c r="F1708" s="1358"/>
      <c r="G1708" s="1358"/>
      <c r="H1708" s="1358"/>
      <c r="J1708" s="1364"/>
      <c r="K1708" s="1364"/>
      <c r="L1708" s="1364"/>
      <c r="M1708" s="1367"/>
      <c r="N1708" s="1367"/>
      <c r="O1708" s="1367"/>
      <c r="P1708" s="1364"/>
      <c r="Q1708" s="1364"/>
      <c r="R1708" s="1358"/>
      <c r="Y1708" s="1324"/>
    </row>
    <row r="1709" spans="1:25">
      <c r="A1709" s="1358"/>
      <c r="F1709" s="1358"/>
      <c r="G1709" s="1358"/>
      <c r="H1709" s="1358"/>
      <c r="J1709" s="1364"/>
      <c r="K1709" s="1364"/>
      <c r="L1709" s="1364"/>
      <c r="M1709" s="1367"/>
      <c r="N1709" s="1367"/>
      <c r="O1709" s="1367"/>
      <c r="P1709" s="1364"/>
      <c r="Q1709" s="1364"/>
      <c r="R1709" s="1358"/>
      <c r="Y1709" s="1324"/>
    </row>
    <row r="1710" spans="1:25">
      <c r="A1710" s="1358"/>
      <c r="F1710" s="1358"/>
      <c r="G1710" s="1358"/>
      <c r="H1710" s="1358"/>
      <c r="J1710" s="1364"/>
      <c r="K1710" s="1364"/>
      <c r="L1710" s="1364"/>
      <c r="M1710" s="1367"/>
      <c r="N1710" s="1367"/>
      <c r="O1710" s="1367"/>
      <c r="P1710" s="1364"/>
      <c r="Q1710" s="1364"/>
      <c r="R1710" s="1358"/>
    </row>
    <row r="1711" spans="1:25">
      <c r="A1711" s="1358"/>
      <c r="B1711" s="1331"/>
      <c r="C1711" s="1340" t="str">
        <f>+C$2</f>
        <v>RATES WITH REVENUE DEFICIENCY ADDITION</v>
      </c>
      <c r="F1711" s="1333"/>
      <c r="G1711" s="1327" t="s">
        <v>2173</v>
      </c>
      <c r="I1711" s="1334" t="s">
        <v>5956</v>
      </c>
      <c r="L1711" s="1329" t="s">
        <v>2173</v>
      </c>
      <c r="M1711" s="1330"/>
      <c r="N1711" s="1330"/>
      <c r="O1711" s="1330"/>
      <c r="S1711" s="1334" t="s">
        <v>5981</v>
      </c>
      <c r="T1711" s="1333" t="s">
        <v>2173</v>
      </c>
      <c r="U1711" s="1334"/>
      <c r="V1711" s="1332" t="s">
        <v>4772</v>
      </c>
    </row>
    <row r="1712" spans="1:25">
      <c r="A1712" s="1358"/>
      <c r="B1712" s="1331"/>
      <c r="C1712" s="1340" t="str">
        <f>+C$3</f>
        <v>PROD. CAP. ALLOC. METHOD: 12 CP &amp; 1/13th AD</v>
      </c>
      <c r="G1712" s="1336" t="s">
        <v>4768</v>
      </c>
      <c r="I1712" s="1335" t="s">
        <v>3043</v>
      </c>
      <c r="L1712" s="1336" t="s">
        <v>5141</v>
      </c>
      <c r="M1712" s="1337"/>
      <c r="N1712" s="1337"/>
      <c r="O1712" s="1337"/>
      <c r="R1712" s="1331"/>
      <c r="S1712" s="1335" t="s">
        <v>3047</v>
      </c>
      <c r="T1712" s="1333" t="s">
        <v>5141</v>
      </c>
      <c r="V1712" s="1332" t="s">
        <v>5981</v>
      </c>
    </row>
    <row r="1713" spans="1:25">
      <c r="A1713" s="1358"/>
      <c r="C1713" s="1340" t="str">
        <f>+C$4</f>
        <v>PROJECTED CALENDAR YEAR 2025; FULLY ADJUSTED DATA</v>
      </c>
      <c r="F1713" s="1333"/>
      <c r="G1713" s="1336" t="s">
        <v>2181</v>
      </c>
      <c r="L1713" s="1336" t="s">
        <v>2181</v>
      </c>
      <c r="P1713" s="1364"/>
      <c r="Q1713" s="1364"/>
      <c r="R1713" s="1358"/>
      <c r="T1713" s="1339"/>
    </row>
    <row r="1714" spans="1:25">
      <c r="A1714" s="1358"/>
      <c r="C1714" s="1340" t="str">
        <f>+C$5</f>
        <v>MINIMUM DISTRIBUTION SYSTEM (MDS) NOT EMPLOYED</v>
      </c>
      <c r="G1714" s="1320"/>
      <c r="J1714" s="1364"/>
      <c r="K1714" s="1364"/>
      <c r="L1714" s="1336"/>
      <c r="M1714" s="1337"/>
      <c r="N1714" s="1337"/>
      <c r="O1714" s="1337"/>
      <c r="P1714" s="1364"/>
      <c r="Q1714" s="1364"/>
      <c r="R1714" s="1358"/>
      <c r="T1714" s="1333"/>
    </row>
    <row r="1715" spans="1:25">
      <c r="A1715" s="1358"/>
      <c r="C1715" s="1340" t="str">
        <f>+C$6</f>
        <v>Tampa Electric 2025 OB Budget</v>
      </c>
      <c r="F1715" s="1327"/>
      <c r="G1715" s="1333" t="s">
        <v>5912</v>
      </c>
      <c r="J1715" s="1364"/>
      <c r="K1715" s="1364"/>
      <c r="L1715" s="1336" t="s">
        <v>5912</v>
      </c>
      <c r="M1715" s="1337"/>
      <c r="N1715" s="1337"/>
      <c r="O1715" s="1337"/>
      <c r="P1715" s="1364"/>
      <c r="Q1715" s="1364"/>
      <c r="R1715" s="1358"/>
      <c r="T1715" s="1333" t="s">
        <v>5912</v>
      </c>
    </row>
    <row r="1716" spans="1:25">
      <c r="A1716" s="1358"/>
      <c r="F1716" s="1333"/>
      <c r="G1716" s="1320"/>
      <c r="J1716" s="1364"/>
      <c r="K1716" s="1364"/>
      <c r="L1716" s="1336"/>
      <c r="M1716" s="1337"/>
      <c r="N1716" s="1337"/>
      <c r="O1716" s="1337"/>
      <c r="P1716" s="1364"/>
      <c r="Q1716" s="1364"/>
      <c r="R1716" s="1358"/>
    </row>
    <row r="1717" spans="1:25">
      <c r="A1717" s="1358"/>
      <c r="F1717" s="1333"/>
      <c r="G1717" s="1320"/>
      <c r="J1717" s="1364"/>
      <c r="K1717" s="1364"/>
      <c r="L1717" s="1336"/>
      <c r="M1717" s="1337"/>
      <c r="N1717" s="1337"/>
      <c r="O1717" s="1337"/>
      <c r="P1717" s="1364"/>
      <c r="Q1717" s="1364"/>
      <c r="R1717" s="1358"/>
    </row>
    <row r="1718" spans="1:25">
      <c r="A1718" s="1358"/>
      <c r="F1718" s="1358"/>
      <c r="G1718" s="1358"/>
      <c r="H1718" s="1358"/>
      <c r="J1718" s="1364"/>
      <c r="K1718" s="1364"/>
      <c r="L1718" s="1336"/>
      <c r="M1718" s="1337"/>
      <c r="N1718" s="1337"/>
      <c r="O1718" s="1337"/>
      <c r="P1718" s="1364"/>
      <c r="Q1718" s="1364"/>
      <c r="R1718" s="1358"/>
    </row>
    <row r="1719" spans="1:25">
      <c r="A1719" s="1358"/>
      <c r="F1719" s="1358"/>
      <c r="G1719" s="1358"/>
      <c r="H1719" s="1358"/>
      <c r="J1719" s="1364"/>
      <c r="K1719" s="1364"/>
      <c r="L1719" s="1336"/>
      <c r="M1719" s="1337"/>
      <c r="N1719" s="1337"/>
      <c r="O1719" s="1337"/>
      <c r="P1719" s="1364"/>
      <c r="Q1719" s="1364"/>
      <c r="R1719" s="1358"/>
    </row>
    <row r="1720" spans="1:25" ht="27.6">
      <c r="A1720" s="1418" t="s">
        <v>4683</v>
      </c>
      <c r="C1720" s="1349" t="s">
        <v>4297</v>
      </c>
      <c r="D1720" s="1418"/>
      <c r="E1720" s="1418"/>
      <c r="F1720" s="1348" t="s">
        <v>5144</v>
      </c>
      <c r="G1720" s="1348" t="s">
        <v>4956</v>
      </c>
      <c r="H1720" s="1348" t="s">
        <v>4957</v>
      </c>
      <c r="I1720" s="1426" t="s">
        <v>5145</v>
      </c>
      <c r="J1720" s="1352" t="s">
        <v>4957</v>
      </c>
      <c r="K1720" s="1353" t="s">
        <v>1949</v>
      </c>
      <c r="L1720" s="1353" t="s">
        <v>1950</v>
      </c>
      <c r="M1720" s="1354" t="s">
        <v>1934</v>
      </c>
      <c r="N1720" s="1354" t="s">
        <v>1971</v>
      </c>
      <c r="O1720" s="1354" t="s">
        <v>1972</v>
      </c>
      <c r="P1720" s="1352" t="s">
        <v>5146</v>
      </c>
      <c r="Q1720" s="1352" t="s">
        <v>5147</v>
      </c>
      <c r="R1720" s="1350"/>
      <c r="S1720" s="1350"/>
      <c r="T1720" s="1350"/>
      <c r="U1720" s="1366"/>
      <c r="V1720" s="1355" t="s">
        <v>4774</v>
      </c>
    </row>
    <row r="1721" spans="1:25">
      <c r="G1721" s="1320"/>
    </row>
    <row r="1722" spans="1:25">
      <c r="A1722" s="1320" t="s">
        <v>5915</v>
      </c>
      <c r="C1722" s="1322">
        <v>90</v>
      </c>
      <c r="D1722" s="1356" t="s">
        <v>5996</v>
      </c>
      <c r="F1722" s="1392"/>
      <c r="G1722" s="1532"/>
      <c r="V1722" s="1321"/>
      <c r="Y1722" s="1324"/>
    </row>
    <row r="1723" spans="1:25">
      <c r="A1723" s="1320" t="s">
        <v>5915</v>
      </c>
      <c r="C1723" s="1322">
        <v>91</v>
      </c>
      <c r="D1723" s="1320" t="s">
        <v>5265</v>
      </c>
      <c r="E1723" s="1320" t="s">
        <v>4067</v>
      </c>
      <c r="F1723" s="1324">
        <f t="shared" ref="F1723:F1730" si="752">G1723+H1723</f>
        <v>17522.635808741139</v>
      </c>
      <c r="G1723" s="1320">
        <f>+G1697*'Tax &amp; Debt Inputs'!C4/(1-'Tax &amp; Debt Inputs'!C4)</f>
        <v>0</v>
      </c>
      <c r="H1723" s="1320">
        <f>+H1697*'Tax &amp; Debt Inputs'!C4/(1-'Tax &amp; Debt Inputs'!C4)</f>
        <v>17522.635808741139</v>
      </c>
      <c r="I1723" s="1525"/>
      <c r="J1723" s="1324">
        <f>+J1697*'Tax &amp; Debt Inputs'!C4/(1-'Tax &amp; Debt Inputs'!C4)</f>
        <v>17522.635808741139</v>
      </c>
      <c r="K1723" s="1320">
        <f>+K1697*'Tax &amp; Debt Inputs'!C4/(1-'Tax &amp; Debt Inputs'!C4)</f>
        <v>10163.357266408644</v>
      </c>
      <c r="L1723" s="1320">
        <f>+L1697*'Tax &amp; Debt Inputs'!C4/(1-'Tax &amp; Debt Inputs'!C4)</f>
        <v>838.37446121566518</v>
      </c>
      <c r="M1723" s="1320">
        <f>+M1697*'Tax &amp; Debt Inputs'!C4/(1-'Tax &amp; Debt Inputs'!C4)</f>
        <v>5359.3067415892392</v>
      </c>
      <c r="N1723" s="1320">
        <f>+N1697*'Tax &amp; Debt Inputs'!C4/(1-'Tax &amp; Debt Inputs'!C4)</f>
        <v>669.03838711489027</v>
      </c>
      <c r="O1723" s="1324">
        <f>+O1697*'Tax &amp; Debt Inputs'!C4/(1-'Tax &amp; Debt Inputs'!C4)</f>
        <v>480.13553314478702</v>
      </c>
      <c r="P1723" s="1324">
        <f>+P1697*'Tax &amp; Debt Inputs'!C4/(1-'Tax &amp; Debt Inputs'!C4)</f>
        <v>12.423419267914069</v>
      </c>
      <c r="Q1723" s="1320">
        <f>+Q1697*'Tax &amp; Debt Inputs'!C4/(1-'Tax &amp; Debt Inputs'!C4)</f>
        <v>0</v>
      </c>
      <c r="V1723" s="1321" t="s">
        <v>5997</v>
      </c>
      <c r="Y1723" s="1324"/>
    </row>
    <row r="1724" spans="1:25">
      <c r="A1724" s="1320" t="s">
        <v>5915</v>
      </c>
      <c r="C1724" s="1322">
        <v>92</v>
      </c>
      <c r="D1724" s="1320" t="s">
        <v>5265</v>
      </c>
      <c r="E1724" s="1320" t="s">
        <v>2067</v>
      </c>
      <c r="F1724" s="1324">
        <f t="shared" si="752"/>
        <v>1348.7661218841181</v>
      </c>
      <c r="G1724" s="1320">
        <f>+G1698*'Tax &amp; Debt Inputs'!C4/(1-'Tax &amp; Debt Inputs'!C4)</f>
        <v>0</v>
      </c>
      <c r="H1724" s="1320">
        <f>+H1698*'Tax &amp; Debt Inputs'!C4/(1-'Tax &amp; Debt Inputs'!C4)</f>
        <v>1348.7661218841181</v>
      </c>
      <c r="I1724" s="1525"/>
      <c r="J1724" s="1324">
        <f>+J1698*'Tax &amp; Debt Inputs'!C4/(1-'Tax &amp; Debt Inputs'!C4)</f>
        <v>1348.7661218841181</v>
      </c>
      <c r="K1724" s="1320">
        <f>+K1698*'Tax &amp; Debt Inputs'!C4/(1-'Tax &amp; Debt Inputs'!C4)</f>
        <v>680.63349296868012</v>
      </c>
      <c r="L1724" s="1320">
        <f>+L1698*'Tax &amp; Debt Inputs'!C4/(1-'Tax &amp; Debt Inputs'!C4)</f>
        <v>62.898502456985945</v>
      </c>
      <c r="M1724" s="1320">
        <f>+M1698*'Tax &amp; Debt Inputs'!C4/(1-'Tax &amp; Debt Inputs'!C4)</f>
        <v>468.56941272086044</v>
      </c>
      <c r="N1724" s="1320">
        <f>+N1698*'Tax &amp; Debt Inputs'!C4/(1-'Tax &amp; Debt Inputs'!C4)</f>
        <v>74.588716489086877</v>
      </c>
      <c r="O1724" s="1324">
        <f>+O1698*'Tax &amp; Debt Inputs'!C4/(1-'Tax &amp; Debt Inputs'!C4)</f>
        <v>54.950392387080086</v>
      </c>
      <c r="P1724" s="1324">
        <f>+P1698*'Tax &amp; Debt Inputs'!C4/(1-'Tax &amp; Debt Inputs'!C4)</f>
        <v>7.1256048614238594</v>
      </c>
      <c r="Q1724" s="1320">
        <f>+Q1698*'Tax &amp; Debt Inputs'!C4/(1-'Tax &amp; Debt Inputs'!C4)</f>
        <v>0</v>
      </c>
      <c r="V1724" s="1321" t="s">
        <v>5998</v>
      </c>
    </row>
    <row r="1725" spans="1:25">
      <c r="A1725" s="1320" t="s">
        <v>5915</v>
      </c>
      <c r="C1725" s="1322">
        <v>93</v>
      </c>
      <c r="D1725" s="1320" t="s">
        <v>5268</v>
      </c>
      <c r="E1725" s="1320" t="s">
        <v>4067</v>
      </c>
      <c r="F1725" s="1324">
        <f t="shared" si="752"/>
        <v>1668.1719397467425</v>
      </c>
      <c r="G1725" s="1320">
        <f>+G1699*'Tax &amp; Debt Inputs'!C4/(1-'Tax &amp; Debt Inputs'!C4)</f>
        <v>108.07561518985206</v>
      </c>
      <c r="H1725" s="1320">
        <f>+H1699*'Tax &amp; Debt Inputs'!C4/(1-'Tax &amp; Debt Inputs'!C4)</f>
        <v>1560.0963245568905</v>
      </c>
      <c r="I1725" s="1525"/>
      <c r="J1725" s="1324">
        <f>+J1699*'Tax &amp; Debt Inputs'!C4/(1-'Tax &amp; Debt Inputs'!C4)</f>
        <v>1560.0963245568905</v>
      </c>
      <c r="K1725" s="1320">
        <f>+K1699*'Tax &amp; Debt Inputs'!C4/(1-'Tax &amp; Debt Inputs'!C4)</f>
        <v>904.87621209207884</v>
      </c>
      <c r="L1725" s="1320">
        <f>+L1699*'Tax &amp; Debt Inputs'!C4/(1-'Tax &amp; Debt Inputs'!C4)</f>
        <v>74.64316041382628</v>
      </c>
      <c r="M1725" s="1320">
        <f>+M1699*'Tax &amp; Debt Inputs'!C4/(1-'Tax &amp; Debt Inputs'!C4)</f>
        <v>477.15622472478981</v>
      </c>
      <c r="N1725" s="1320">
        <f>+N1699*'Tax &amp; Debt Inputs'!C4/(1-'Tax &amp; Debt Inputs'!C4)</f>
        <v>59.566627995813889</v>
      </c>
      <c r="O1725" s="1324">
        <f>+O1699*'Tax &amp; Debt Inputs'!C4/(1-'Tax &amp; Debt Inputs'!C4)</f>
        <v>42.74800256789446</v>
      </c>
      <c r="P1725" s="1324">
        <f>+P1699*'Tax &amp; Debt Inputs'!C4/(1-'Tax &amp; Debt Inputs'!C4)</f>
        <v>1.1060967624878359</v>
      </c>
      <c r="Q1725" s="1320">
        <f>+Q1699*'Tax &amp; Debt Inputs'!C4/(1-'Tax &amp; Debt Inputs'!C4)</f>
        <v>0</v>
      </c>
      <c r="R1725" s="1358"/>
      <c r="V1725" s="1321" t="s">
        <v>5999</v>
      </c>
    </row>
    <row r="1726" spans="1:25">
      <c r="A1726" s="1320" t="s">
        <v>5915</v>
      </c>
      <c r="C1726" s="1322">
        <v>94</v>
      </c>
      <c r="D1726" s="1320" t="s">
        <v>5239</v>
      </c>
      <c r="E1726" s="1320" t="s">
        <v>4067</v>
      </c>
      <c r="F1726" s="1324">
        <f t="shared" si="752"/>
        <v>1849.527195490381</v>
      </c>
      <c r="G1726" s="1320">
        <f>+G1700*'Tax &amp; Debt Inputs'!C4/(1-'Tax &amp; Debt Inputs'!C4)</f>
        <v>119.82505202271372</v>
      </c>
      <c r="H1726" s="1320">
        <f>+H1700*'Tax &amp; Debt Inputs'!C4/(1-'Tax &amp; Debt Inputs'!C4)</f>
        <v>1729.7021434676674</v>
      </c>
      <c r="I1726" s="1525"/>
      <c r="J1726" s="1324">
        <f>+J1700*'Tax &amp; Debt Inputs'!C4/(1-'Tax &amp; Debt Inputs'!C4)</f>
        <v>1729.7021434676674</v>
      </c>
      <c r="K1726" s="1320">
        <f>+K1700*'Tax &amp; Debt Inputs'!C4/(1-'Tax &amp; Debt Inputs'!C4)</f>
        <v>1003.2497987411907</v>
      </c>
      <c r="L1726" s="1320">
        <f>+L1700*'Tax &amp; Debt Inputs'!C4/(1-'Tax &amp; Debt Inputs'!C4)</f>
        <v>82.757989061776115</v>
      </c>
      <c r="M1726" s="1320">
        <f>+M1700*'Tax &amp; Debt Inputs'!C4/(1-'Tax &amp; Debt Inputs'!C4)</f>
        <v>529.03024748156326</v>
      </c>
      <c r="N1726" s="1320">
        <f>+N1700*'Tax &amp; Debt Inputs'!C4/(1-'Tax &amp; Debt Inputs'!C4)</f>
        <v>66.042411934253153</v>
      </c>
      <c r="O1726" s="1324">
        <f>+O1700*'Tax &amp; Debt Inputs'!C4/(1-'Tax &amp; Debt Inputs'!C4)</f>
        <v>47.395350214448911</v>
      </c>
      <c r="P1726" s="1324">
        <f>+P1700*'Tax &amp; Debt Inputs'!C4/(1-'Tax &amp; Debt Inputs'!C4)</f>
        <v>1.2263460344355743</v>
      </c>
      <c r="Q1726" s="1320">
        <f>+Q1700*'Tax &amp; Debt Inputs'!C4/(1-'Tax &amp; Debt Inputs'!C4)</f>
        <v>0</v>
      </c>
      <c r="R1726" s="1358"/>
      <c r="V1726" s="1321" t="s">
        <v>6000</v>
      </c>
    </row>
    <row r="1727" spans="1:25">
      <c r="A1727" s="1320" t="s">
        <v>5915</v>
      </c>
      <c r="C1727" s="1322">
        <v>95</v>
      </c>
      <c r="D1727" s="1320" t="s">
        <v>5240</v>
      </c>
      <c r="E1727" s="1320" t="s">
        <v>4067</v>
      </c>
      <c r="F1727" s="1324">
        <f t="shared" si="752"/>
        <v>6006.8476476875439</v>
      </c>
      <c r="G1727" s="1320">
        <f>+G1701*'Tax &amp; Debt Inputs'!C4/(1-'Tax &amp; Debt Inputs'!C4)</f>
        <v>0</v>
      </c>
      <c r="H1727" s="1320">
        <f>+H1701*'Tax &amp; Debt Inputs'!C4/(1-'Tax &amp; Debt Inputs'!C4)</f>
        <v>6006.8476476875439</v>
      </c>
      <c r="I1727" s="1525"/>
      <c r="J1727" s="1324">
        <f>+J1701*'Tax &amp; Debt Inputs'!C4/(1-'Tax &amp; Debt Inputs'!C4)</f>
        <v>6006.8476476875439</v>
      </c>
      <c r="K1727" s="1320">
        <f>+K1701*'Tax &amp; Debt Inputs'!C4/(1-'Tax &amp; Debt Inputs'!C4)</f>
        <v>3738.7581580276878</v>
      </c>
      <c r="L1727" s="1320">
        <f>+L1701*'Tax &amp; Debt Inputs'!C4/(1-'Tax &amp; Debt Inputs'!C4)</f>
        <v>265.90985722641182</v>
      </c>
      <c r="M1727" s="1320">
        <f>+M1701*'Tax &amp; Debt Inputs'!C4/(1-'Tax &amp; Debt Inputs'!C4)</f>
        <v>1780.4325213054788</v>
      </c>
      <c r="N1727" s="1320">
        <f>+N1701*'Tax &amp; Debt Inputs'!C4/(1-'Tax &amp; Debt Inputs'!C4)</f>
        <v>187.26570370484666</v>
      </c>
      <c r="O1727" s="1324">
        <f>+O1701*'Tax &amp; Debt Inputs'!C4/(1-'Tax &amp; Debt Inputs'!C4)</f>
        <v>1.2786137433907802E-4</v>
      </c>
      <c r="P1727" s="1324">
        <f>+P1701*'Tax &amp; Debt Inputs'!C4/(1-'Tax &amp; Debt Inputs'!C4)</f>
        <v>34.481279561747698</v>
      </c>
      <c r="Q1727" s="1320">
        <f>+Q1701*'Tax &amp; Debt Inputs'!C4/(1-'Tax &amp; Debt Inputs'!C4)</f>
        <v>0</v>
      </c>
      <c r="R1727" s="1358"/>
      <c r="V1727" s="1321" t="s">
        <v>6001</v>
      </c>
    </row>
    <row r="1728" spans="1:25">
      <c r="A1728" s="1320" t="s">
        <v>5915</v>
      </c>
      <c r="C1728" s="1322">
        <v>96</v>
      </c>
      <c r="D1728" s="1320" t="s">
        <v>5241</v>
      </c>
      <c r="E1728" s="1320" t="s">
        <v>4067</v>
      </c>
      <c r="F1728" s="1324">
        <f t="shared" si="752"/>
        <v>2677.7972044532748</v>
      </c>
      <c r="G1728" s="1320">
        <f>+G1702*'Tax &amp; Debt Inputs'!C4/(1-'Tax &amp; Debt Inputs'!C4)</f>
        <v>0</v>
      </c>
      <c r="H1728" s="1320">
        <f>+H1702*'Tax &amp; Debt Inputs'!C4/(1-'Tax &amp; Debt Inputs'!C4)</f>
        <v>2677.7972044532748</v>
      </c>
      <c r="I1728" s="1525"/>
      <c r="J1728" s="1324">
        <f>+J1702*'Tax &amp; Debt Inputs'!C4/(1-'Tax &amp; Debt Inputs'!C4)</f>
        <v>2677.7972044532748</v>
      </c>
      <c r="K1728" s="1320">
        <f>+K1702*'Tax &amp; Debt Inputs'!C4/(1-'Tax &amp; Debt Inputs'!C4)</f>
        <v>1953.8099073670483</v>
      </c>
      <c r="L1728" s="1320">
        <f>+L1702*'Tax &amp; Debt Inputs'!C4/(1-'Tax &amp; Debt Inputs'!C4)</f>
        <v>157.3204733116624</v>
      </c>
      <c r="M1728" s="1320">
        <f>+M1702*'Tax &amp; Debt Inputs'!C4/(1-'Tax &amp; Debt Inputs'!C4)</f>
        <v>556.98008463685665</v>
      </c>
      <c r="N1728" s="1320">
        <f>+N1702*'Tax &amp; Debt Inputs'!C4/(1-'Tax &amp; Debt Inputs'!C4)</f>
        <v>0</v>
      </c>
      <c r="O1728" s="1324">
        <f>+O1702*'Tax &amp; Debt Inputs'!C4/(1-'Tax &amp; Debt Inputs'!C4)</f>
        <v>0</v>
      </c>
      <c r="P1728" s="1324">
        <f>+P1702*'Tax &amp; Debt Inputs'!C4/(1-'Tax &amp; Debt Inputs'!C4)</f>
        <v>9.6867391377071961</v>
      </c>
      <c r="Q1728" s="1320">
        <f>+Q1702*'Tax &amp; Debt Inputs'!C4/(1-'Tax &amp; Debt Inputs'!C4)</f>
        <v>0</v>
      </c>
      <c r="R1728" s="1358"/>
      <c r="V1728" s="1321" t="s">
        <v>6002</v>
      </c>
      <c r="Y1728" s="1324"/>
    </row>
    <row r="1729" spans="1:25">
      <c r="A1729" s="1320" t="s">
        <v>5915</v>
      </c>
      <c r="C1729" s="1322">
        <v>97</v>
      </c>
      <c r="D1729" s="1320" t="s">
        <v>5242</v>
      </c>
      <c r="E1729" s="1320" t="s">
        <v>4071</v>
      </c>
      <c r="F1729" s="1324">
        <f t="shared" si="752"/>
        <v>2172.914148117175</v>
      </c>
      <c r="G1729" s="1320">
        <f>+G1703*'Tax &amp; Debt Inputs'!C4/(1-'Tax &amp; Debt Inputs'!C4)</f>
        <v>0</v>
      </c>
      <c r="H1729" s="1320">
        <f>+H1703*'Tax &amp; Debt Inputs'!C4/(1-'Tax &amp; Debt Inputs'!C4)</f>
        <v>2172.914148117175</v>
      </c>
      <c r="I1729" s="1525"/>
      <c r="J1729" s="1324">
        <f>+J1703*'Tax &amp; Debt Inputs'!C4/(1-'Tax &amp; Debt Inputs'!C4)</f>
        <v>2172.914148117175</v>
      </c>
      <c r="K1729" s="1320">
        <f>+K1703*'Tax &amp; Debt Inputs'!C4/(1-'Tax &amp; Debt Inputs'!C4)</f>
        <v>648.2921052873545</v>
      </c>
      <c r="L1729" s="1320">
        <f>+L1703*'Tax &amp; Debt Inputs'!C4/(1-'Tax &amp; Debt Inputs'!C4)</f>
        <v>126.16492375872851</v>
      </c>
      <c r="M1729" s="1320">
        <f>+M1703*'Tax &amp; Debt Inputs'!C4/(1-'Tax &amp; Debt Inputs'!C4)</f>
        <v>72.520787572071981</v>
      </c>
      <c r="N1729" s="1320">
        <f>+N1703*'Tax &amp; Debt Inputs'!C4/(1-'Tax &amp; Debt Inputs'!C4)</f>
        <v>5.4513610671327282</v>
      </c>
      <c r="O1729" s="1324">
        <f>+O1703*'Tax &amp; Debt Inputs'!C4/(1-'Tax &amp; Debt Inputs'!C4)</f>
        <v>5.9476637621514614</v>
      </c>
      <c r="P1729" s="1324">
        <f>+P1703*'Tax &amp; Debt Inputs'!C4/(1-'Tax &amp; Debt Inputs'!C4)</f>
        <v>1.2210482640935485</v>
      </c>
      <c r="Q1729" s="1320">
        <f>+Q1703*'Tax &amp; Debt Inputs'!C4/(1-'Tax &amp; Debt Inputs'!C4)</f>
        <v>1313.3162584056431</v>
      </c>
      <c r="R1729" s="1358"/>
      <c r="V1729" s="1321" t="s">
        <v>6003</v>
      </c>
      <c r="Y1729" s="1324"/>
    </row>
    <row r="1730" spans="1:25">
      <c r="A1730" s="1320" t="s">
        <v>5915</v>
      </c>
      <c r="C1730" s="1322">
        <v>98</v>
      </c>
      <c r="D1730" s="1320" t="s">
        <v>5244</v>
      </c>
      <c r="E1730" s="1320" t="s">
        <v>4071</v>
      </c>
      <c r="F1730" s="1366">
        <f t="shared" si="752"/>
        <v>763.23001074639376</v>
      </c>
      <c r="G1730" s="1350">
        <f>+G1704*'Tax &amp; Debt Inputs'!C4/(1-'Tax &amp; Debt Inputs'!C4)</f>
        <v>0</v>
      </c>
      <c r="H1730" s="1350">
        <f>+H1704*'Tax &amp; Debt Inputs'!C4/(1-'Tax &amp; Debt Inputs'!C4)</f>
        <v>763.23001074639376</v>
      </c>
      <c r="I1730" s="1525"/>
      <c r="J1730" s="1366">
        <f>+J1704*'Tax &amp; Debt Inputs'!C4/(1-'Tax &amp; Debt Inputs'!C4)</f>
        <v>763.23001074639376</v>
      </c>
      <c r="K1730" s="1350">
        <f>+K1704*'Tax &amp; Debt Inputs'!C4/(1-'Tax &amp; Debt Inputs'!C4)</f>
        <v>680.71478305479934</v>
      </c>
      <c r="L1730" s="1350">
        <f>+L1704*'Tax &amp; Debt Inputs'!C4/(1-'Tax &amp; Debt Inputs'!C4)</f>
        <v>65.989170290999482</v>
      </c>
      <c r="M1730" s="1350">
        <f>+M1704*'Tax &amp; Debt Inputs'!C4/(1-'Tax &amp; Debt Inputs'!C4)</f>
        <v>16.252570268162017</v>
      </c>
      <c r="N1730" s="1350">
        <f>+N1704*'Tax &amp; Debt Inputs'!C4/(1-'Tax &amp; Debt Inputs'!C4)</f>
        <v>5.4874440811743419E-2</v>
      </c>
      <c r="O1730" s="1366">
        <f>+O1704*'Tax &amp; Debt Inputs'!C4/(1-'Tax &amp; Debt Inputs'!C4)</f>
        <v>9.7357878859544774E-3</v>
      </c>
      <c r="P1730" s="1366">
        <f>+P1704*'Tax &amp; Debt Inputs'!C4/(1-'Tax &amp; Debt Inputs'!C4)</f>
        <v>0.20887690373502349</v>
      </c>
      <c r="Q1730" s="1350">
        <f>+Q1704*'Tax &amp; Debt Inputs'!C4/(1-'Tax &amp; Debt Inputs'!C4)</f>
        <v>0</v>
      </c>
      <c r="R1730" s="1358"/>
      <c r="V1730" s="1321" t="s">
        <v>6004</v>
      </c>
      <c r="Y1730" s="1324"/>
    </row>
    <row r="1731" spans="1:25">
      <c r="A1731" s="1320" t="s">
        <v>5915</v>
      </c>
      <c r="C1731" s="1322">
        <v>99</v>
      </c>
      <c r="D1731" s="1320" t="s">
        <v>6005</v>
      </c>
      <c r="F1731" s="1350">
        <f>SUM(F1723:F1730)</f>
        <v>34009.890076866766</v>
      </c>
      <c r="G1731" s="1350">
        <f>SUM(G1723:G1730)</f>
        <v>227.90066721256579</v>
      </c>
      <c r="H1731" s="1350">
        <f>SUM(H1723:H1730)</f>
        <v>33781.989409654205</v>
      </c>
      <c r="I1731" s="1525"/>
      <c r="J1731" s="1366">
        <f t="shared" ref="J1731:Q1731" si="753">SUM(J1723:J1730)</f>
        <v>33781.989409654205</v>
      </c>
      <c r="K1731" s="1366">
        <f t="shared" si="753"/>
        <v>19773.691723947482</v>
      </c>
      <c r="L1731" s="1366">
        <f t="shared" si="753"/>
        <v>1674.0585377360558</v>
      </c>
      <c r="M1731" s="1366">
        <f t="shared" si="753"/>
        <v>9260.2485902990211</v>
      </c>
      <c r="N1731" s="1378">
        <f t="shared" si="753"/>
        <v>1062.0080827468353</v>
      </c>
      <c r="O1731" s="1378">
        <f>SUM(O1723:O1730)</f>
        <v>631.18680572562221</v>
      </c>
      <c r="P1731" s="1378">
        <f>SUM(P1723:P1730)</f>
        <v>67.479410793544801</v>
      </c>
      <c r="Q1731" s="1366">
        <f t="shared" si="753"/>
        <v>1313.3162584056431</v>
      </c>
      <c r="R1731" s="1358"/>
      <c r="V1731" s="1320" t="s">
        <v>6006</v>
      </c>
      <c r="Y1731" s="1324"/>
    </row>
    <row r="1732" spans="1:25">
      <c r="A1732" s="1320" t="s">
        <v>5915</v>
      </c>
      <c r="C1732" s="1322">
        <v>100</v>
      </c>
      <c r="D1732" s="1324"/>
      <c r="E1732" s="1324"/>
      <c r="F1732" s="1533"/>
      <c r="G1732" s="1533"/>
      <c r="H1732" s="1533"/>
      <c r="I1732" s="1525"/>
      <c r="J1732" s="1533"/>
      <c r="K1732" s="1533"/>
      <c r="L1732" s="1533"/>
      <c r="M1732" s="1534"/>
      <c r="N1732" s="1534"/>
      <c r="O1732" s="1534"/>
      <c r="P1732" s="1533"/>
      <c r="Q1732" s="1533"/>
      <c r="R1732" s="1358"/>
      <c r="Y1732" s="1324"/>
    </row>
    <row r="1733" spans="1:25" s="1324" customFormat="1">
      <c r="A1733" s="1320" t="s">
        <v>5915</v>
      </c>
      <c r="C1733" s="1322">
        <v>101</v>
      </c>
      <c r="F1733" s="1533"/>
      <c r="G1733" s="1533"/>
      <c r="H1733" s="1533"/>
      <c r="I1733" s="1525"/>
      <c r="J1733" s="1533"/>
      <c r="K1733" s="1533"/>
      <c r="L1733" s="1533"/>
      <c r="M1733" s="1534"/>
      <c r="N1733" s="1534"/>
      <c r="O1733" s="1534"/>
      <c r="P1733" s="1533"/>
      <c r="Q1733" s="1533"/>
      <c r="R1733" s="1533"/>
      <c r="S1733" s="1533"/>
      <c r="T1733" s="1533"/>
      <c r="U1733" s="1533"/>
    </row>
    <row r="1734" spans="1:25" s="1324" customFormat="1">
      <c r="A1734" s="1320" t="s">
        <v>5915</v>
      </c>
      <c r="C1734" s="1322">
        <v>102</v>
      </c>
      <c r="D1734" s="1356" t="s">
        <v>6007</v>
      </c>
      <c r="E1734" s="1320"/>
      <c r="F1734" s="1320"/>
      <c r="G1734" s="1320"/>
      <c r="H1734" s="1320"/>
      <c r="I1734" s="1323"/>
      <c r="M1734" s="1325"/>
      <c r="N1734" s="1325"/>
      <c r="O1734" s="1325"/>
      <c r="R1734" s="1533"/>
      <c r="S1734" s="1533"/>
      <c r="T1734" s="1533"/>
      <c r="U1734" s="1533"/>
    </row>
    <row r="1735" spans="1:25" s="1324" customFormat="1">
      <c r="A1735" s="1320" t="s">
        <v>5915</v>
      </c>
      <c r="C1735" s="1322">
        <v>103</v>
      </c>
      <c r="D1735" s="1320" t="s">
        <v>5265</v>
      </c>
      <c r="E1735" s="1320" t="s">
        <v>4067</v>
      </c>
      <c r="F1735" s="1320">
        <f t="shared" ref="F1735:H1742" si="754">+F750</f>
        <v>4071.9547618950883</v>
      </c>
      <c r="G1735" s="1320">
        <f t="shared" si="754"/>
        <v>0</v>
      </c>
      <c r="H1735" s="1320">
        <f t="shared" si="754"/>
        <v>4071.9547618950883</v>
      </c>
      <c r="I1735" s="1525"/>
      <c r="J1735" s="1324">
        <f t="shared" ref="J1735:Q1742" si="755">+J750</f>
        <v>4071.9547618950883</v>
      </c>
      <c r="K1735" s="1324">
        <f t="shared" si="755"/>
        <v>2361.7868606930142</v>
      </c>
      <c r="L1735" s="1324">
        <f t="shared" si="755"/>
        <v>194.82359371387344</v>
      </c>
      <c r="M1735" s="1324">
        <f t="shared" si="755"/>
        <v>1245.409357648377</v>
      </c>
      <c r="N1735" s="1325">
        <f t="shared" si="755"/>
        <v>155.47284529785625</v>
      </c>
      <c r="O1735" s="1325">
        <f t="shared" si="755"/>
        <v>111.57511871408403</v>
      </c>
      <c r="P1735" s="1325">
        <f t="shared" si="755"/>
        <v>2.8869858278836302</v>
      </c>
      <c r="Q1735" s="1324">
        <f t="shared" si="755"/>
        <v>0</v>
      </c>
      <c r="R1735" s="1533"/>
      <c r="S1735" s="1533"/>
      <c r="T1735" s="1533"/>
      <c r="U1735" s="1533"/>
      <c r="V1735" s="1320" t="s">
        <v>6008</v>
      </c>
    </row>
    <row r="1736" spans="1:25" s="1324" customFormat="1">
      <c r="A1736" s="1320" t="s">
        <v>5915</v>
      </c>
      <c r="C1736" s="1322">
        <v>104</v>
      </c>
      <c r="D1736" s="1320" t="s">
        <v>5265</v>
      </c>
      <c r="E1736" s="1320" t="s">
        <v>2067</v>
      </c>
      <c r="F1736" s="1358">
        <f t="shared" si="754"/>
        <v>306.23478931100033</v>
      </c>
      <c r="G1736" s="1358">
        <f t="shared" si="754"/>
        <v>0</v>
      </c>
      <c r="H1736" s="1358">
        <f t="shared" si="754"/>
        <v>306.23478931100033</v>
      </c>
      <c r="I1736" s="1525"/>
      <c r="J1736" s="1364">
        <f t="shared" si="755"/>
        <v>306.23478931100033</v>
      </c>
      <c r="K1736" s="1364">
        <f t="shared" si="755"/>
        <v>154.5365433898273</v>
      </c>
      <c r="L1736" s="1364">
        <f t="shared" si="755"/>
        <v>14.280985661906657</v>
      </c>
      <c r="M1736" s="1364">
        <f t="shared" si="755"/>
        <v>106.38779626352472</v>
      </c>
      <c r="N1736" s="1367">
        <f t="shared" si="755"/>
        <v>16.935226581095836</v>
      </c>
      <c r="O1736" s="1367">
        <f t="shared" si="755"/>
        <v>12.476382348414344</v>
      </c>
      <c r="P1736" s="1367">
        <f t="shared" si="755"/>
        <v>1.6178550662314581</v>
      </c>
      <c r="Q1736" s="1364">
        <f t="shared" si="755"/>
        <v>0</v>
      </c>
      <c r="R1736" s="1533"/>
      <c r="S1736" s="1533"/>
      <c r="T1736" s="1533"/>
      <c r="U1736" s="1533"/>
      <c r="V1736" s="1320" t="s">
        <v>6009</v>
      </c>
    </row>
    <row r="1737" spans="1:25" s="1324" customFormat="1">
      <c r="A1737" s="1320" t="s">
        <v>5915</v>
      </c>
      <c r="C1737" s="1322">
        <v>105</v>
      </c>
      <c r="D1737" s="1320" t="s">
        <v>5268</v>
      </c>
      <c r="E1737" s="1320" t="s">
        <v>4067</v>
      </c>
      <c r="F1737" s="1358">
        <f t="shared" si="754"/>
        <v>321.21095610523673</v>
      </c>
      <c r="G1737" s="1358">
        <f t="shared" si="754"/>
        <v>20.8102479484605</v>
      </c>
      <c r="H1737" s="1358">
        <f t="shared" si="754"/>
        <v>300.4007081567762</v>
      </c>
      <c r="I1737" s="1525"/>
      <c r="J1737" s="1364">
        <f t="shared" si="755"/>
        <v>300.4007081567762</v>
      </c>
      <c r="K1737" s="1364">
        <f t="shared" si="755"/>
        <v>174.23632799332907</v>
      </c>
      <c r="L1737" s="1364">
        <f t="shared" si="755"/>
        <v>14.372739615127262</v>
      </c>
      <c r="M1737" s="1364">
        <f t="shared" si="755"/>
        <v>91.877703672850203</v>
      </c>
      <c r="N1737" s="1367">
        <f t="shared" si="755"/>
        <v>11.469713088091581</v>
      </c>
      <c r="O1737" s="1367">
        <f t="shared" si="755"/>
        <v>8.2312419057397097</v>
      </c>
      <c r="P1737" s="1367">
        <f t="shared" si="755"/>
        <v>0.21298188163839027</v>
      </c>
      <c r="Q1737" s="1364">
        <f t="shared" si="755"/>
        <v>0</v>
      </c>
      <c r="R1737" s="1533"/>
      <c r="S1737" s="1533"/>
      <c r="T1737" s="1533"/>
      <c r="U1737" s="1533"/>
      <c r="V1737" s="1320" t="s">
        <v>6010</v>
      </c>
    </row>
    <row r="1738" spans="1:25" s="1324" customFormat="1">
      <c r="A1738" s="1320" t="s">
        <v>5915</v>
      </c>
      <c r="C1738" s="1322">
        <v>106</v>
      </c>
      <c r="D1738" s="1320" t="s">
        <v>5239</v>
      </c>
      <c r="E1738" s="1320" t="s">
        <v>4067</v>
      </c>
      <c r="F1738" s="1358">
        <f t="shared" si="754"/>
        <v>348.68343396836536</v>
      </c>
      <c r="G1738" s="1358">
        <f t="shared" si="754"/>
        <v>22.590103414856834</v>
      </c>
      <c r="H1738" s="1358">
        <f t="shared" si="754"/>
        <v>326.09333055350851</v>
      </c>
      <c r="I1738" s="1525"/>
      <c r="J1738" s="1364">
        <f t="shared" si="755"/>
        <v>326.09333055350851</v>
      </c>
      <c r="K1738" s="1364">
        <f t="shared" si="755"/>
        <v>189.13838401840846</v>
      </c>
      <c r="L1738" s="1364">
        <f t="shared" si="755"/>
        <v>15.602008926787141</v>
      </c>
      <c r="M1738" s="1364">
        <f t="shared" si="755"/>
        <v>99.73580481258999</v>
      </c>
      <c r="N1738" s="1367">
        <f t="shared" si="755"/>
        <v>12.450692824056123</v>
      </c>
      <c r="O1738" s="1367">
        <f t="shared" si="755"/>
        <v>8.9352422106589628</v>
      </c>
      <c r="P1738" s="1367">
        <f t="shared" si="755"/>
        <v>0.23119776100783862</v>
      </c>
      <c r="Q1738" s="1364">
        <f t="shared" si="755"/>
        <v>0</v>
      </c>
      <c r="R1738" s="1533"/>
      <c r="S1738" s="1533"/>
      <c r="T1738" s="1533"/>
      <c r="U1738" s="1533"/>
      <c r="V1738" s="1320" t="s">
        <v>6011</v>
      </c>
    </row>
    <row r="1739" spans="1:25" s="1324" customFormat="1">
      <c r="A1739" s="1320" t="s">
        <v>5915</v>
      </c>
      <c r="C1739" s="1322">
        <v>107</v>
      </c>
      <c r="D1739" s="1320" t="s">
        <v>5240</v>
      </c>
      <c r="E1739" s="1320" t="s">
        <v>4067</v>
      </c>
      <c r="F1739" s="1358">
        <f t="shared" si="754"/>
        <v>1136.1837489720122</v>
      </c>
      <c r="G1739" s="1358">
        <f t="shared" si="754"/>
        <v>0</v>
      </c>
      <c r="H1739" s="1358">
        <f t="shared" si="754"/>
        <v>1136.1837489720122</v>
      </c>
      <c r="I1739" s="1525"/>
      <c r="J1739" s="1364">
        <f t="shared" si="755"/>
        <v>1136.1837489720122</v>
      </c>
      <c r="K1739" s="1364">
        <f t="shared" si="755"/>
        <v>707.17895802183568</v>
      </c>
      <c r="L1739" s="1364">
        <f t="shared" si="755"/>
        <v>50.29634114133475</v>
      </c>
      <c r="M1739" s="1364">
        <f t="shared" si="755"/>
        <v>336.76540766391923</v>
      </c>
      <c r="N1739" s="1367">
        <f t="shared" si="755"/>
        <v>35.420949850653223</v>
      </c>
      <c r="O1739" s="1367">
        <f t="shared" si="755"/>
        <v>2.418473451731602E-5</v>
      </c>
      <c r="P1739" s="1367">
        <f t="shared" si="755"/>
        <v>6.5220681095350415</v>
      </c>
      <c r="Q1739" s="1364">
        <f t="shared" si="755"/>
        <v>0</v>
      </c>
      <c r="R1739" s="1533"/>
      <c r="S1739" s="1533"/>
      <c r="T1739" s="1533"/>
      <c r="U1739" s="1533"/>
      <c r="V1739" s="1320" t="s">
        <v>6012</v>
      </c>
    </row>
    <row r="1740" spans="1:25" s="1324" customFormat="1">
      <c r="A1740" s="1320" t="s">
        <v>5915</v>
      </c>
      <c r="C1740" s="1322">
        <v>108</v>
      </c>
      <c r="D1740" s="1320" t="s">
        <v>5241</v>
      </c>
      <c r="E1740" s="1320" t="s">
        <v>4067</v>
      </c>
      <c r="F1740" s="1358">
        <f t="shared" si="754"/>
        <v>499.46920956917899</v>
      </c>
      <c r="G1740" s="1358">
        <f t="shared" si="754"/>
        <v>0</v>
      </c>
      <c r="H1740" s="1358">
        <f t="shared" si="754"/>
        <v>499.46920956917899</v>
      </c>
      <c r="I1740" s="1525"/>
      <c r="J1740" s="1364">
        <f t="shared" si="755"/>
        <v>499.46920956917899</v>
      </c>
      <c r="K1740" s="1364">
        <f t="shared" si="755"/>
        <v>364.42934829349525</v>
      </c>
      <c r="L1740" s="1364">
        <f t="shared" si="755"/>
        <v>29.343795087749424</v>
      </c>
      <c r="M1740" s="1364">
        <f t="shared" si="755"/>
        <v>103.88927218114121</v>
      </c>
      <c r="N1740" s="1367">
        <f t="shared" si="755"/>
        <v>0</v>
      </c>
      <c r="O1740" s="1367">
        <f t="shared" si="755"/>
        <v>0</v>
      </c>
      <c r="P1740" s="1367">
        <f t="shared" si="755"/>
        <v>1.8067940067930808</v>
      </c>
      <c r="Q1740" s="1364">
        <f t="shared" si="755"/>
        <v>0</v>
      </c>
      <c r="R1740" s="1533"/>
      <c r="S1740" s="1533"/>
      <c r="T1740" s="1533"/>
      <c r="U1740" s="1533"/>
      <c r="V1740" s="1320" t="s">
        <v>6013</v>
      </c>
    </row>
    <row r="1741" spans="1:25" s="1324" customFormat="1">
      <c r="A1741" s="1320" t="s">
        <v>5915</v>
      </c>
      <c r="C1741" s="1322">
        <v>109</v>
      </c>
      <c r="D1741" s="1320" t="s">
        <v>5242</v>
      </c>
      <c r="E1741" s="1320" t="s">
        <v>4071</v>
      </c>
      <c r="F1741" s="1358">
        <f t="shared" si="754"/>
        <v>487.19159568175985</v>
      </c>
      <c r="G1741" s="1358">
        <f t="shared" si="754"/>
        <v>0</v>
      </c>
      <c r="H1741" s="1358">
        <f t="shared" si="754"/>
        <v>487.19159568175985</v>
      </c>
      <c r="I1741" s="1525"/>
      <c r="J1741" s="1364">
        <f t="shared" si="755"/>
        <v>487.19159568175985</v>
      </c>
      <c r="K1741" s="1364">
        <f t="shared" si="755"/>
        <v>179.60645631478337</v>
      </c>
      <c r="L1741" s="1364">
        <f t="shared" si="755"/>
        <v>27.243937853775108</v>
      </c>
      <c r="M1741" s="1364">
        <f t="shared" si="755"/>
        <v>13.134281817420334</v>
      </c>
      <c r="N1741" s="1367">
        <f t="shared" si="755"/>
        <v>0.84670333424120803</v>
      </c>
      <c r="O1741" s="1367">
        <f t="shared" si="755"/>
        <v>0.92378888067452958</v>
      </c>
      <c r="P1741" s="1367">
        <f t="shared" si="755"/>
        <v>0.21202057219032283</v>
      </c>
      <c r="Q1741" s="1364">
        <f t="shared" si="755"/>
        <v>265.22440690867501</v>
      </c>
      <c r="R1741" s="1533"/>
      <c r="S1741" s="1533"/>
      <c r="T1741" s="1533"/>
      <c r="U1741" s="1533"/>
      <c r="V1741" s="1320" t="s">
        <v>6014</v>
      </c>
    </row>
    <row r="1742" spans="1:25" s="1324" customFormat="1">
      <c r="A1742" s="1320" t="s">
        <v>5915</v>
      </c>
      <c r="C1742" s="1322">
        <v>110</v>
      </c>
      <c r="D1742" s="1320" t="s">
        <v>5244</v>
      </c>
      <c r="E1742" s="1320" t="s">
        <v>4071</v>
      </c>
      <c r="F1742" s="1350">
        <f t="shared" si="754"/>
        <v>148.84268449735839</v>
      </c>
      <c r="G1742" s="1350">
        <f t="shared" si="754"/>
        <v>0</v>
      </c>
      <c r="H1742" s="1350">
        <f t="shared" si="754"/>
        <v>148.84268449735839</v>
      </c>
      <c r="I1742" s="1525"/>
      <c r="J1742" s="1366">
        <f t="shared" si="755"/>
        <v>148.84268449735839</v>
      </c>
      <c r="K1742" s="1366">
        <f t="shared" si="755"/>
        <v>132.7508277456607</v>
      </c>
      <c r="L1742" s="1366">
        <f t="shared" si="755"/>
        <v>12.868997701309402</v>
      </c>
      <c r="M1742" s="1366">
        <f t="shared" si="755"/>
        <v>3.1695244613474687</v>
      </c>
      <c r="N1742" s="1378">
        <f t="shared" si="755"/>
        <v>1.0701438577767416E-2</v>
      </c>
      <c r="O1742" s="1378">
        <f t="shared" si="755"/>
        <v>1.8986423283135739E-3</v>
      </c>
      <c r="P1742" s="1378">
        <f t="shared" si="755"/>
        <v>4.0734508134727579E-2</v>
      </c>
      <c r="Q1742" s="1366">
        <f t="shared" si="755"/>
        <v>0</v>
      </c>
      <c r="R1742" s="1533"/>
      <c r="S1742" s="1533"/>
      <c r="T1742" s="1533"/>
      <c r="U1742" s="1533"/>
      <c r="V1742" s="1320" t="s">
        <v>6015</v>
      </c>
    </row>
    <row r="1743" spans="1:25" s="1324" customFormat="1">
      <c r="A1743" s="1320" t="s">
        <v>5915</v>
      </c>
      <c r="C1743" s="1322">
        <v>111</v>
      </c>
      <c r="D1743" s="1320" t="s">
        <v>5564</v>
      </c>
      <c r="E1743" s="1320"/>
      <c r="F1743" s="1350">
        <f>SUM(F1735:F1742)</f>
        <v>7319.7711799999997</v>
      </c>
      <c r="G1743" s="1350">
        <f>SUM(G1735:G1742)</f>
        <v>43.400351363317334</v>
      </c>
      <c r="H1743" s="1350">
        <f>SUM(H1735:H1742)</f>
        <v>7276.3708286366818</v>
      </c>
      <c r="I1743" s="1525"/>
      <c r="J1743" s="1366">
        <f t="shared" ref="J1743:Q1743" si="756">SUM(J1735:J1742)</f>
        <v>7276.3708286366818</v>
      </c>
      <c r="K1743" s="1366">
        <f t="shared" si="756"/>
        <v>4263.6637064703546</v>
      </c>
      <c r="L1743" s="1366">
        <f t="shared" si="756"/>
        <v>358.83239970186321</v>
      </c>
      <c r="M1743" s="1366">
        <f t="shared" si="756"/>
        <v>2000.36914852117</v>
      </c>
      <c r="N1743" s="1378">
        <f t="shared" si="756"/>
        <v>232.60683241457198</v>
      </c>
      <c r="O1743" s="1378">
        <f>SUM(O1735:O1742)</f>
        <v>142.14369688663442</v>
      </c>
      <c r="P1743" s="1378">
        <f>SUM(P1735:P1742)</f>
        <v>13.530637733414489</v>
      </c>
      <c r="Q1743" s="1366">
        <f t="shared" si="756"/>
        <v>265.22440690867501</v>
      </c>
      <c r="R1743" s="1533"/>
      <c r="S1743" s="1533"/>
      <c r="T1743" s="1533"/>
      <c r="U1743" s="1533"/>
      <c r="V1743" s="1320" t="s">
        <v>6016</v>
      </c>
    </row>
    <row r="1744" spans="1:25" s="1324" customFormat="1">
      <c r="A1744" s="1320" t="s">
        <v>5915</v>
      </c>
      <c r="C1744" s="1322">
        <v>112</v>
      </c>
      <c r="R1744" s="1533"/>
      <c r="S1744" s="1533"/>
      <c r="T1744" s="1533"/>
      <c r="U1744" s="1533"/>
    </row>
    <row r="1745" spans="1:22" s="1324" customFormat="1">
      <c r="A1745" s="1320" t="s">
        <v>5915</v>
      </c>
      <c r="C1745" s="1322">
        <v>113</v>
      </c>
      <c r="D1745" s="1356" t="s">
        <v>6017</v>
      </c>
      <c r="E1745" s="1320"/>
      <c r="F1745" s="1320"/>
      <c r="G1745" s="1320"/>
      <c r="H1745" s="1320"/>
      <c r="I1745" s="1323"/>
      <c r="M1745" s="1325"/>
      <c r="N1745" s="1325"/>
      <c r="O1745" s="1325"/>
      <c r="R1745" s="1533"/>
      <c r="S1745" s="1533"/>
      <c r="T1745" s="1533"/>
      <c r="U1745" s="1533"/>
    </row>
    <row r="1746" spans="1:22" s="1324" customFormat="1">
      <c r="A1746" s="1320" t="s">
        <v>5915</v>
      </c>
      <c r="C1746" s="1322">
        <v>114</v>
      </c>
      <c r="D1746" s="1320" t="s">
        <v>5265</v>
      </c>
      <c r="E1746" s="1320" t="s">
        <v>4067</v>
      </c>
      <c r="F1746" s="1320">
        <f t="shared" ref="F1746:H1753" si="757">F1637</f>
        <v>101438.76376111731</v>
      </c>
      <c r="G1746" s="1320">
        <f t="shared" si="757"/>
        <v>0</v>
      </c>
      <c r="H1746" s="1320">
        <f t="shared" si="757"/>
        <v>101438.76376111731</v>
      </c>
      <c r="I1746" s="1525"/>
      <c r="J1746" s="1324">
        <f t="shared" ref="J1746:Q1753" si="758">J1637</f>
        <v>101438.76376111731</v>
      </c>
      <c r="K1746" s="1320">
        <f t="shared" si="758"/>
        <v>58835.805755477129</v>
      </c>
      <c r="L1746" s="1320">
        <f t="shared" si="758"/>
        <v>4853.3605242303729</v>
      </c>
      <c r="M1746" s="1320">
        <f t="shared" si="758"/>
        <v>31025.095563090999</v>
      </c>
      <c r="N1746" s="1320">
        <f t="shared" si="758"/>
        <v>3873.0718162738544</v>
      </c>
      <c r="O1746" s="1324">
        <f t="shared" si="758"/>
        <v>2779.5107683340693</v>
      </c>
      <c r="P1746" s="1324">
        <f t="shared" si="758"/>
        <v>71.919333710890186</v>
      </c>
      <c r="Q1746" s="1320">
        <f t="shared" si="758"/>
        <v>0</v>
      </c>
      <c r="R1746" s="1533"/>
      <c r="S1746" s="1533"/>
      <c r="T1746" s="1533"/>
      <c r="U1746" s="1533"/>
      <c r="V1746" s="1320" t="s">
        <v>6018</v>
      </c>
    </row>
    <row r="1747" spans="1:22" s="1324" customFormat="1">
      <c r="A1747" s="1320" t="s">
        <v>5915</v>
      </c>
      <c r="C1747" s="1322">
        <v>115</v>
      </c>
      <c r="D1747" s="1320" t="s">
        <v>5265</v>
      </c>
      <c r="E1747" s="1320" t="s">
        <v>2067</v>
      </c>
      <c r="F1747" s="1320">
        <f t="shared" si="757"/>
        <v>7628.7877112605429</v>
      </c>
      <c r="G1747" s="1320">
        <f t="shared" si="757"/>
        <v>0</v>
      </c>
      <c r="H1747" s="1320">
        <f t="shared" si="757"/>
        <v>7628.7877112605429</v>
      </c>
      <c r="I1747" s="1525"/>
      <c r="J1747" s="1324">
        <f t="shared" si="758"/>
        <v>7628.7877112605429</v>
      </c>
      <c r="K1747" s="1320">
        <f t="shared" si="758"/>
        <v>3849.7470708846326</v>
      </c>
      <c r="L1747" s="1320">
        <f t="shared" si="758"/>
        <v>355.76169568245729</v>
      </c>
      <c r="M1747" s="1320">
        <f t="shared" si="758"/>
        <v>2650.2864504366544</v>
      </c>
      <c r="N1747" s="1320">
        <f t="shared" si="758"/>
        <v>421.88298958441027</v>
      </c>
      <c r="O1747" s="1324">
        <f t="shared" si="758"/>
        <v>310.80620381086248</v>
      </c>
      <c r="P1747" s="1324">
        <f t="shared" si="758"/>
        <v>40.303300861525635</v>
      </c>
      <c r="Q1747" s="1320">
        <f t="shared" si="758"/>
        <v>0</v>
      </c>
      <c r="R1747" s="1533"/>
      <c r="S1747" s="1533"/>
      <c r="T1747" s="1533"/>
      <c r="U1747" s="1533"/>
      <c r="V1747" s="1320" t="s">
        <v>6019</v>
      </c>
    </row>
    <row r="1748" spans="1:22" s="1324" customFormat="1">
      <c r="A1748" s="1320" t="s">
        <v>5915</v>
      </c>
      <c r="C1748" s="1322">
        <v>116</v>
      </c>
      <c r="D1748" s="1320" t="s">
        <v>5268</v>
      </c>
      <c r="E1748" s="1320" t="s">
        <v>4067</v>
      </c>
      <c r="F1748" s="1320">
        <f t="shared" si="757"/>
        <v>8001.8674565720094</v>
      </c>
      <c r="G1748" s="1320">
        <f t="shared" si="757"/>
        <v>518.41583438213763</v>
      </c>
      <c r="H1748" s="1320">
        <f t="shared" si="757"/>
        <v>7483.4516221898712</v>
      </c>
      <c r="I1748" s="1525"/>
      <c r="J1748" s="1324">
        <f t="shared" si="758"/>
        <v>7483.4516221898712</v>
      </c>
      <c r="K1748" s="1320">
        <f t="shared" si="758"/>
        <v>4340.4995260051046</v>
      </c>
      <c r="L1748" s="1320">
        <f t="shared" si="758"/>
        <v>358.04743020779904</v>
      </c>
      <c r="M1748" s="1320">
        <f t="shared" si="758"/>
        <v>2288.8173427169118</v>
      </c>
      <c r="N1748" s="1320">
        <f t="shared" si="758"/>
        <v>285.72849758508528</v>
      </c>
      <c r="O1748" s="1324">
        <f t="shared" si="758"/>
        <v>205.05311378959078</v>
      </c>
      <c r="P1748" s="1324">
        <f t="shared" si="758"/>
        <v>5.3057118853796226</v>
      </c>
      <c r="Q1748" s="1320">
        <f t="shared" si="758"/>
        <v>0</v>
      </c>
      <c r="R1748" s="1533"/>
      <c r="S1748" s="1533"/>
      <c r="T1748" s="1533"/>
      <c r="U1748" s="1533"/>
      <c r="V1748" s="1320" t="s">
        <v>6020</v>
      </c>
    </row>
    <row r="1749" spans="1:22" s="1324" customFormat="1">
      <c r="A1749" s="1320" t="s">
        <v>5915</v>
      </c>
      <c r="C1749" s="1322">
        <v>117</v>
      </c>
      <c r="D1749" s="1320" t="s">
        <v>5239</v>
      </c>
      <c r="E1749" s="1320" t="s">
        <v>4067</v>
      </c>
      <c r="F1749" s="1320">
        <f t="shared" si="757"/>
        <v>8686.2498613002645</v>
      </c>
      <c r="G1749" s="1320">
        <f t="shared" si="757"/>
        <v>562.75481866414498</v>
      </c>
      <c r="H1749" s="1320">
        <f t="shared" si="757"/>
        <v>8123.4950426361193</v>
      </c>
      <c r="I1749" s="1525"/>
      <c r="J1749" s="1324">
        <f t="shared" si="758"/>
        <v>8123.4950426361193</v>
      </c>
      <c r="K1749" s="1320">
        <f t="shared" si="758"/>
        <v>4711.7330561093149</v>
      </c>
      <c r="L1749" s="1320">
        <f t="shared" si="758"/>
        <v>388.67045197394077</v>
      </c>
      <c r="M1749" s="1320">
        <f t="shared" si="758"/>
        <v>2484.5749362403858</v>
      </c>
      <c r="N1749" s="1320">
        <f t="shared" si="758"/>
        <v>310.16623756740245</v>
      </c>
      <c r="O1749" s="1324">
        <f t="shared" si="758"/>
        <v>222.59086280555061</v>
      </c>
      <c r="P1749" s="1324">
        <f t="shared" si="758"/>
        <v>5.7594979395249091</v>
      </c>
      <c r="Q1749" s="1320">
        <f t="shared" si="758"/>
        <v>0</v>
      </c>
      <c r="R1749" s="1533"/>
      <c r="S1749" s="1533"/>
      <c r="T1749" s="1533"/>
      <c r="U1749" s="1533"/>
      <c r="V1749" s="1320" t="s">
        <v>6021</v>
      </c>
    </row>
    <row r="1750" spans="1:22" s="1324" customFormat="1">
      <c r="A1750" s="1320" t="s">
        <v>5915</v>
      </c>
      <c r="C1750" s="1322">
        <v>118</v>
      </c>
      <c r="D1750" s="1320" t="s">
        <v>5240</v>
      </c>
      <c r="E1750" s="1320" t="s">
        <v>4067</v>
      </c>
      <c r="F1750" s="1320">
        <f t="shared" si="757"/>
        <v>28304.114765644834</v>
      </c>
      <c r="G1750" s="1320">
        <f t="shared" si="757"/>
        <v>0</v>
      </c>
      <c r="H1750" s="1320">
        <f t="shared" si="757"/>
        <v>28304.114765644834</v>
      </c>
      <c r="I1750" s="1525"/>
      <c r="J1750" s="1324">
        <f t="shared" si="758"/>
        <v>28304.114765644834</v>
      </c>
      <c r="K1750" s="1320">
        <f t="shared" si="758"/>
        <v>17616.934237801906</v>
      </c>
      <c r="L1750" s="1320">
        <f t="shared" si="758"/>
        <v>1252.9605473097031</v>
      </c>
      <c r="M1750" s="1320">
        <f t="shared" si="758"/>
        <v>8389.3531801021545</v>
      </c>
      <c r="N1750" s="1320">
        <f t="shared" si="758"/>
        <v>882.39127745677274</v>
      </c>
      <c r="O1750" s="1324">
        <f t="shared" si="758"/>
        <v>6.0247957425381795E-4</v>
      </c>
      <c r="P1750" s="1324">
        <f t="shared" si="758"/>
        <v>162.4749204947301</v>
      </c>
      <c r="Q1750" s="1320">
        <f t="shared" si="758"/>
        <v>0</v>
      </c>
      <c r="R1750" s="1533"/>
      <c r="S1750" s="1533"/>
      <c r="T1750" s="1533"/>
      <c r="U1750" s="1533"/>
      <c r="V1750" s="1320" t="s">
        <v>6022</v>
      </c>
    </row>
    <row r="1751" spans="1:22" s="1324" customFormat="1">
      <c r="A1751" s="1320" t="s">
        <v>5915</v>
      </c>
      <c r="C1751" s="1322">
        <v>119</v>
      </c>
      <c r="D1751" s="1320" t="s">
        <v>5241</v>
      </c>
      <c r="E1751" s="1320" t="s">
        <v>4067</v>
      </c>
      <c r="F1751" s="1320">
        <f t="shared" si="757"/>
        <v>12442.559438420725</v>
      </c>
      <c r="G1751" s="1320">
        <f t="shared" si="757"/>
        <v>0</v>
      </c>
      <c r="H1751" s="1320">
        <f t="shared" si="757"/>
        <v>12442.559438420725</v>
      </c>
      <c r="I1751" s="1525"/>
      <c r="J1751" s="1324">
        <f t="shared" si="758"/>
        <v>12442.559438420725</v>
      </c>
      <c r="K1751" s="1320">
        <f t="shared" si="758"/>
        <v>9078.5052218893616</v>
      </c>
      <c r="L1751" s="1320">
        <f t="shared" si="758"/>
        <v>730.99984450110628</v>
      </c>
      <c r="M1751" s="1320">
        <f t="shared" si="758"/>
        <v>2588.0443065611635</v>
      </c>
      <c r="N1751" s="1320">
        <f t="shared" si="758"/>
        <v>0</v>
      </c>
      <c r="O1751" s="1324">
        <f t="shared" si="758"/>
        <v>0</v>
      </c>
      <c r="P1751" s="1324">
        <f t="shared" si="758"/>
        <v>45.010065469093739</v>
      </c>
      <c r="Q1751" s="1320">
        <f t="shared" si="758"/>
        <v>0</v>
      </c>
      <c r="R1751" s="1533"/>
      <c r="S1751" s="1533"/>
      <c r="T1751" s="1533"/>
      <c r="U1751" s="1533"/>
      <c r="V1751" s="1320" t="s">
        <v>6023</v>
      </c>
    </row>
    <row r="1752" spans="1:22" s="1324" customFormat="1">
      <c r="A1752" s="1320" t="s">
        <v>5915</v>
      </c>
      <c r="C1752" s="1322">
        <v>120</v>
      </c>
      <c r="D1752" s="1320" t="s">
        <v>5242</v>
      </c>
      <c r="E1752" s="1320" t="s">
        <v>4071</v>
      </c>
      <c r="F1752" s="1320">
        <f t="shared" si="757"/>
        <v>12136.704867949884</v>
      </c>
      <c r="G1752" s="1320">
        <f t="shared" si="757"/>
        <v>0</v>
      </c>
      <c r="H1752" s="1320">
        <f t="shared" si="757"/>
        <v>12136.704867949884</v>
      </c>
      <c r="I1752" s="1525"/>
      <c r="J1752" s="1324">
        <f t="shared" si="758"/>
        <v>12136.704867949884</v>
      </c>
      <c r="K1752" s="1320">
        <f t="shared" si="758"/>
        <v>4474.2778241494025</v>
      </c>
      <c r="L1752" s="1320">
        <f t="shared" si="758"/>
        <v>678.68911554053693</v>
      </c>
      <c r="M1752" s="1320">
        <f t="shared" si="758"/>
        <v>327.19550887868303</v>
      </c>
      <c r="N1752" s="1320">
        <f t="shared" si="758"/>
        <v>21.092704737680272</v>
      </c>
      <c r="O1752" s="1324">
        <f t="shared" si="758"/>
        <v>23.013026300979558</v>
      </c>
      <c r="P1752" s="1324">
        <f t="shared" si="758"/>
        <v>5.2817641630433227</v>
      </c>
      <c r="Q1752" s="1320">
        <f t="shared" si="758"/>
        <v>6607.1549241795601</v>
      </c>
      <c r="R1752" s="1533"/>
      <c r="S1752" s="1533"/>
      <c r="T1752" s="1533"/>
      <c r="U1752" s="1533"/>
      <c r="V1752" s="1320" t="s">
        <v>6024</v>
      </c>
    </row>
    <row r="1753" spans="1:22" s="1324" customFormat="1">
      <c r="A1753" s="1320" t="s">
        <v>5915</v>
      </c>
      <c r="C1753" s="1322">
        <v>121</v>
      </c>
      <c r="D1753" s="1320" t="s">
        <v>5244</v>
      </c>
      <c r="E1753" s="1320" t="s">
        <v>4071</v>
      </c>
      <c r="F1753" s="1350">
        <f t="shared" si="757"/>
        <v>3707.9041377343915</v>
      </c>
      <c r="G1753" s="1350">
        <f t="shared" si="757"/>
        <v>0</v>
      </c>
      <c r="H1753" s="1350">
        <f t="shared" si="757"/>
        <v>3707.9041377343915</v>
      </c>
      <c r="I1753" s="1525"/>
      <c r="J1753" s="1366">
        <f t="shared" si="758"/>
        <v>3707.9041377343915</v>
      </c>
      <c r="K1753" s="1350">
        <f t="shared" si="758"/>
        <v>3307.0308100666962</v>
      </c>
      <c r="L1753" s="1350">
        <f t="shared" si="758"/>
        <v>320.58686650485919</v>
      </c>
      <c r="M1753" s="1350">
        <f t="shared" si="758"/>
        <v>78.957813106960074</v>
      </c>
      <c r="N1753" s="1350">
        <f t="shared" si="758"/>
        <v>0.26658957755440421</v>
      </c>
      <c r="O1753" s="1366">
        <f t="shared" si="758"/>
        <v>4.7298150856426559E-2</v>
      </c>
      <c r="P1753" s="1366">
        <f t="shared" si="758"/>
        <v>1.0147603274651515</v>
      </c>
      <c r="Q1753" s="1350">
        <f t="shared" si="758"/>
        <v>0</v>
      </c>
      <c r="R1753" s="1533"/>
      <c r="S1753" s="1533"/>
      <c r="T1753" s="1533"/>
      <c r="U1753" s="1533"/>
      <c r="V1753" s="1320" t="s">
        <v>6025</v>
      </c>
    </row>
    <row r="1754" spans="1:22" s="1324" customFormat="1">
      <c r="A1754" s="1320" t="s">
        <v>5915</v>
      </c>
      <c r="C1754" s="1322">
        <v>122</v>
      </c>
      <c r="D1754" s="1320" t="s">
        <v>5561</v>
      </c>
      <c r="E1754" s="1320"/>
      <c r="F1754" s="1350">
        <f>SUM(F1746:F1753)</f>
        <v>182346.95199999996</v>
      </c>
      <c r="G1754" s="1350">
        <f>SUM(G1746:G1753)</f>
        <v>1081.1706530462825</v>
      </c>
      <c r="H1754" s="1350">
        <f>SUM(H1746:H1753)</f>
        <v>181265.78134695368</v>
      </c>
      <c r="I1754" s="1525"/>
      <c r="J1754" s="1366">
        <f t="shared" ref="J1754:Q1754" si="759">SUM(J1746:J1753)</f>
        <v>181265.78134695368</v>
      </c>
      <c r="K1754" s="1366">
        <f t="shared" si="759"/>
        <v>106214.53350238357</v>
      </c>
      <c r="L1754" s="1366">
        <f t="shared" si="759"/>
        <v>8939.0764759507747</v>
      </c>
      <c r="M1754" s="1366">
        <f t="shared" si="759"/>
        <v>49832.325101133909</v>
      </c>
      <c r="N1754" s="1378">
        <f t="shared" si="759"/>
        <v>5794.6001127827594</v>
      </c>
      <c r="O1754" s="1378">
        <f>SUM(O1746:O1753)</f>
        <v>3541.0218756714835</v>
      </c>
      <c r="P1754" s="1378">
        <f>SUM(P1746:P1753)</f>
        <v>337.06935485165258</v>
      </c>
      <c r="Q1754" s="1366">
        <f t="shared" si="759"/>
        <v>6607.1549241795601</v>
      </c>
      <c r="R1754" s="1533"/>
      <c r="S1754" s="1533"/>
      <c r="T1754" s="1533"/>
      <c r="U1754" s="1533"/>
      <c r="V1754" s="1320" t="s">
        <v>6026</v>
      </c>
    </row>
    <row r="1755" spans="1:22" s="1324" customFormat="1">
      <c r="A1755" s="1320" t="s">
        <v>5915</v>
      </c>
      <c r="C1755" s="1322">
        <v>123</v>
      </c>
      <c r="D1755" s="1320"/>
      <c r="E1755" s="1320"/>
      <c r="F1755" s="1320"/>
      <c r="G1755" s="1320"/>
      <c r="H1755" s="1320"/>
      <c r="I1755" s="1320"/>
      <c r="K1755" s="1320"/>
      <c r="L1755" s="1320"/>
      <c r="M1755" s="1320"/>
      <c r="P1755" s="1320"/>
      <c r="Q1755" s="1320"/>
      <c r="R1755" s="1533"/>
      <c r="S1755" s="1533"/>
      <c r="T1755" s="1533"/>
      <c r="U1755" s="1533"/>
    </row>
    <row r="1756" spans="1:22" s="1324" customFormat="1">
      <c r="A1756" s="1320" t="s">
        <v>5915</v>
      </c>
      <c r="C1756" s="1322">
        <v>124</v>
      </c>
      <c r="D1756" s="1356" t="s">
        <v>6027</v>
      </c>
      <c r="E1756" s="1320"/>
      <c r="F1756" s="1320"/>
      <c r="G1756" s="1320"/>
      <c r="H1756" s="1320"/>
      <c r="I1756" s="1323"/>
      <c r="M1756" s="1325"/>
      <c r="N1756" s="1325"/>
      <c r="O1756" s="1325"/>
      <c r="R1756" s="1533"/>
      <c r="S1756" s="1533"/>
      <c r="T1756" s="1533"/>
      <c r="U1756" s="1533"/>
    </row>
    <row r="1757" spans="1:22" s="1324" customFormat="1">
      <c r="A1757" s="1320" t="s">
        <v>5915</v>
      </c>
      <c r="C1757" s="1322">
        <v>125</v>
      </c>
      <c r="D1757" s="1320" t="s">
        <v>5265</v>
      </c>
      <c r="E1757" s="1320" t="s">
        <v>4067</v>
      </c>
      <c r="F1757" s="1364">
        <f t="shared" ref="F1757:H1764" si="760">F1697+F1723-F1735+F1746</f>
        <v>415960.18733997026</v>
      </c>
      <c r="G1757" s="1364">
        <f t="shared" si="760"/>
        <v>0</v>
      </c>
      <c r="H1757" s="1364">
        <f t="shared" si="760"/>
        <v>415960.18733997026</v>
      </c>
      <c r="I1757" s="1525"/>
      <c r="J1757" s="1364">
        <f t="shared" ref="J1757:Q1764" si="761">J1697+J1723-J1735+J1746</f>
        <v>415960.18733997026</v>
      </c>
      <c r="K1757" s="1364">
        <f t="shared" si="761"/>
        <v>241262.33282948675</v>
      </c>
      <c r="L1757" s="1364">
        <f t="shared" si="761"/>
        <v>19901.708952619498</v>
      </c>
      <c r="M1757" s="1364">
        <f t="shared" si="761"/>
        <v>127221.62696161063</v>
      </c>
      <c r="N1757" s="1364">
        <f t="shared" si="761"/>
        <v>15881.93328215582</v>
      </c>
      <c r="O1757" s="1364">
        <f t="shared" si="761"/>
        <v>11397.672615888841</v>
      </c>
      <c r="P1757" s="1364">
        <f t="shared" si="761"/>
        <v>294.9126982087169</v>
      </c>
      <c r="Q1757" s="1364">
        <f t="shared" si="761"/>
        <v>0</v>
      </c>
      <c r="R1757" s="1533"/>
      <c r="S1757" s="1533"/>
      <c r="T1757" s="1533"/>
      <c r="U1757" s="1533"/>
      <c r="V1757" s="1320" t="s">
        <v>6028</v>
      </c>
    </row>
    <row r="1758" spans="1:22" s="1324" customFormat="1">
      <c r="A1758" s="1320" t="s">
        <v>5915</v>
      </c>
      <c r="C1758" s="1322">
        <v>126</v>
      </c>
      <c r="D1758" s="1320" t="s">
        <v>5265</v>
      </c>
      <c r="E1758" s="1320" t="s">
        <v>2067</v>
      </c>
      <c r="F1758" s="1364">
        <f t="shared" si="760"/>
        <v>31845.573319842591</v>
      </c>
      <c r="G1758" s="1364">
        <f t="shared" si="760"/>
        <v>0</v>
      </c>
      <c r="H1758" s="1364">
        <f t="shared" si="760"/>
        <v>31845.573319842591</v>
      </c>
      <c r="I1758" s="1525"/>
      <c r="J1758" s="1364">
        <f t="shared" si="761"/>
        <v>31845.573319842591</v>
      </c>
      <c r="K1758" s="1364">
        <f t="shared" si="761"/>
        <v>16070.364945107169</v>
      </c>
      <c r="L1758" s="1364">
        <f t="shared" si="761"/>
        <v>1485.089845602113</v>
      </c>
      <c r="M1758" s="1364">
        <f t="shared" si="761"/>
        <v>11063.342521825136</v>
      </c>
      <c r="N1758" s="1364">
        <f t="shared" si="761"/>
        <v>1761.1062446230758</v>
      </c>
      <c r="O1758" s="1364">
        <f t="shared" si="761"/>
        <v>1297.4278648639042</v>
      </c>
      <c r="P1758" s="1364">
        <f t="shared" si="761"/>
        <v>168.24189782118253</v>
      </c>
      <c r="Q1758" s="1364">
        <f t="shared" si="761"/>
        <v>0</v>
      </c>
      <c r="R1758" s="1533"/>
      <c r="S1758" s="1533"/>
      <c r="T1758" s="1533"/>
      <c r="U1758" s="1533"/>
      <c r="V1758" s="1320" t="s">
        <v>6029</v>
      </c>
    </row>
    <row r="1759" spans="1:22" s="1324" customFormat="1">
      <c r="A1759" s="1320" t="s">
        <v>5915</v>
      </c>
      <c r="C1759" s="1322">
        <v>127</v>
      </c>
      <c r="D1759" s="1320" t="s">
        <v>5268</v>
      </c>
      <c r="E1759" s="1320" t="s">
        <v>4067</v>
      </c>
      <c r="F1759" s="1364">
        <f t="shared" si="760"/>
        <v>38011.055404953004</v>
      </c>
      <c r="G1759" s="1364">
        <f t="shared" si="760"/>
        <v>2462.6167717037142</v>
      </c>
      <c r="H1759" s="1364">
        <f t="shared" si="760"/>
        <v>35548.43863324928</v>
      </c>
      <c r="I1759" s="1525"/>
      <c r="J1759" s="1364">
        <f t="shared" si="761"/>
        <v>35548.43863324928</v>
      </c>
      <c r="K1759" s="1364">
        <f t="shared" si="761"/>
        <v>20618.557963322302</v>
      </c>
      <c r="L1759" s="1364">
        <f t="shared" si="761"/>
        <v>1700.8230617531494</v>
      </c>
      <c r="M1759" s="1364">
        <f t="shared" si="761"/>
        <v>10872.507361312966</v>
      </c>
      <c r="N1759" s="1364">
        <f t="shared" si="761"/>
        <v>1357.2883844208825</v>
      </c>
      <c r="O1759" s="1364">
        <f t="shared" si="761"/>
        <v>974.05828220920489</v>
      </c>
      <c r="P1759" s="1364">
        <f t="shared" si="761"/>
        <v>25.203580230792795</v>
      </c>
      <c r="Q1759" s="1364">
        <f t="shared" si="761"/>
        <v>0</v>
      </c>
      <c r="R1759" s="1533"/>
      <c r="S1759" s="1533"/>
      <c r="T1759" s="1533"/>
      <c r="U1759" s="1533"/>
      <c r="V1759" s="1320" t="s">
        <v>6030</v>
      </c>
    </row>
    <row r="1760" spans="1:22" s="1324" customFormat="1">
      <c r="A1760" s="1320" t="s">
        <v>5915</v>
      </c>
      <c r="C1760" s="1322">
        <v>128</v>
      </c>
      <c r="D1760" s="1320" t="s">
        <v>5239</v>
      </c>
      <c r="E1760" s="1320" t="s">
        <v>4067</v>
      </c>
      <c r="F1760" s="1364">
        <f t="shared" si="760"/>
        <v>41965.333618066128</v>
      </c>
      <c r="G1760" s="1364">
        <f t="shared" si="760"/>
        <v>2718.802024753174</v>
      </c>
      <c r="H1760" s="1364">
        <f t="shared" si="760"/>
        <v>39246.531593312924</v>
      </c>
      <c r="I1760" s="1525"/>
      <c r="J1760" s="1364">
        <f t="shared" si="761"/>
        <v>39246.531593312924</v>
      </c>
      <c r="K1760" s="1364">
        <f t="shared" si="761"/>
        <v>22763.500103748916</v>
      </c>
      <c r="L1760" s="1364">
        <f t="shared" si="761"/>
        <v>1877.7591532612646</v>
      </c>
      <c r="M1760" s="1364">
        <f t="shared" si="761"/>
        <v>12003.570903819855</v>
      </c>
      <c r="N1760" s="1364">
        <f t="shared" si="761"/>
        <v>1498.4866708206762</v>
      </c>
      <c r="O1760" s="1364">
        <f t="shared" si="761"/>
        <v>1075.3892608575991</v>
      </c>
      <c r="P1760" s="1364">
        <f t="shared" si="761"/>
        <v>27.825500804618422</v>
      </c>
      <c r="Q1760" s="1364">
        <f t="shared" si="761"/>
        <v>0</v>
      </c>
      <c r="R1760" s="1533"/>
      <c r="S1760" s="1533"/>
      <c r="T1760" s="1533"/>
      <c r="U1760" s="1533"/>
      <c r="V1760" s="1320" t="s">
        <v>6031</v>
      </c>
    </row>
    <row r="1761" spans="1:25" s="1324" customFormat="1">
      <c r="A1761" s="1320" t="s">
        <v>5915</v>
      </c>
      <c r="C1761" s="1322">
        <v>129</v>
      </c>
      <c r="D1761" s="1320" t="s">
        <v>5240</v>
      </c>
      <c r="E1761" s="1320" t="s">
        <v>4067</v>
      </c>
      <c r="F1761" s="1364">
        <f t="shared" si="760"/>
        <v>136383.34279281</v>
      </c>
      <c r="G1761" s="1364">
        <f t="shared" si="760"/>
        <v>0</v>
      </c>
      <c r="H1761" s="1364">
        <f t="shared" si="760"/>
        <v>136383.34279281</v>
      </c>
      <c r="I1761" s="1525"/>
      <c r="J1761" s="1364">
        <f t="shared" si="761"/>
        <v>136383.34279281</v>
      </c>
      <c r="K1761" s="1364">
        <f t="shared" si="761"/>
        <v>84887.176334828939</v>
      </c>
      <c r="L1761" s="1364">
        <f t="shared" si="761"/>
        <v>6037.3888830122196</v>
      </c>
      <c r="M1761" s="1364">
        <f t="shared" si="761"/>
        <v>40424.088159810577</v>
      </c>
      <c r="N1761" s="1364">
        <f t="shared" si="761"/>
        <v>4251.8013040578762</v>
      </c>
      <c r="O1761" s="1364">
        <f t="shared" si="761"/>
        <v>2.9030471004470116E-3</v>
      </c>
      <c r="P1761" s="1364">
        <f t="shared" si="761"/>
        <v>782.88520805333508</v>
      </c>
      <c r="Q1761" s="1364">
        <f t="shared" si="761"/>
        <v>0</v>
      </c>
      <c r="R1761" s="1533"/>
      <c r="S1761" s="1533"/>
      <c r="T1761" s="1533"/>
      <c r="U1761" s="1533"/>
      <c r="V1761" s="1320" t="s">
        <v>6032</v>
      </c>
    </row>
    <row r="1762" spans="1:25" s="1324" customFormat="1">
      <c r="A1762" s="1320" t="s">
        <v>5915</v>
      </c>
      <c r="C1762" s="1322">
        <v>130</v>
      </c>
      <c r="D1762" s="1320" t="s">
        <v>5241</v>
      </c>
      <c r="E1762" s="1320" t="s">
        <v>4067</v>
      </c>
      <c r="F1762" s="1364">
        <f t="shared" si="760"/>
        <v>60630.312128001999</v>
      </c>
      <c r="G1762" s="1364">
        <f t="shared" si="760"/>
        <v>0</v>
      </c>
      <c r="H1762" s="1364">
        <f t="shared" si="760"/>
        <v>60630.312128001999</v>
      </c>
      <c r="I1762" s="1525"/>
      <c r="J1762" s="1364">
        <f t="shared" si="761"/>
        <v>60630.312128001999</v>
      </c>
      <c r="K1762" s="1364">
        <f t="shared" si="761"/>
        <v>44237.892371178554</v>
      </c>
      <c r="L1762" s="1364">
        <f t="shared" si="761"/>
        <v>3562.028291443582</v>
      </c>
      <c r="M1762" s="1364">
        <f t="shared" si="761"/>
        <v>12611.065664141053</v>
      </c>
      <c r="N1762" s="1364">
        <f t="shared" si="761"/>
        <v>0</v>
      </c>
      <c r="O1762" s="1364">
        <f t="shared" si="761"/>
        <v>0</v>
      </c>
      <c r="P1762" s="1364">
        <f t="shared" si="761"/>
        <v>219.32580123879515</v>
      </c>
      <c r="Q1762" s="1364">
        <f t="shared" si="761"/>
        <v>0</v>
      </c>
      <c r="R1762" s="1533"/>
      <c r="S1762" s="1533"/>
      <c r="T1762" s="1533"/>
      <c r="U1762" s="1533"/>
      <c r="V1762" s="1320" t="s">
        <v>6033</v>
      </c>
    </row>
    <row r="1763" spans="1:25" s="1324" customFormat="1">
      <c r="A1763" s="1320" t="s">
        <v>5915</v>
      </c>
      <c r="C1763" s="1322">
        <v>131</v>
      </c>
      <c r="D1763" s="1320" t="s">
        <v>5242</v>
      </c>
      <c r="E1763" s="1320" t="s">
        <v>4071</v>
      </c>
      <c r="F1763" s="1364">
        <f t="shared" si="760"/>
        <v>51157.043238034938</v>
      </c>
      <c r="G1763" s="1364">
        <f t="shared" si="760"/>
        <v>0</v>
      </c>
      <c r="H1763" s="1364">
        <f t="shared" si="760"/>
        <v>51157.043238034938</v>
      </c>
      <c r="I1763" s="1525"/>
      <c r="J1763" s="1364">
        <f t="shared" si="761"/>
        <v>51157.043238034938</v>
      </c>
      <c r="K1763" s="1364">
        <f t="shared" si="761"/>
        <v>16081.800554877431</v>
      </c>
      <c r="L1763" s="1364">
        <f t="shared" si="761"/>
        <v>2945.3528823909164</v>
      </c>
      <c r="M1763" s="1364">
        <f t="shared" si="761"/>
        <v>1632.6210010989353</v>
      </c>
      <c r="N1763" s="1364">
        <f t="shared" si="761"/>
        <v>119.36165716948864</v>
      </c>
      <c r="O1763" s="1364">
        <f t="shared" si="761"/>
        <v>130.2285785503316</v>
      </c>
      <c r="P1763" s="1364">
        <f t="shared" si="761"/>
        <v>27.270621119826608</v>
      </c>
      <c r="Q1763" s="1364">
        <f t="shared" si="761"/>
        <v>30220.407942828031</v>
      </c>
      <c r="R1763" s="1533"/>
      <c r="S1763" s="1533"/>
      <c r="T1763" s="1533"/>
      <c r="U1763" s="1533"/>
      <c r="V1763" s="1320" t="s">
        <v>6034</v>
      </c>
    </row>
    <row r="1764" spans="1:25" s="1324" customFormat="1">
      <c r="A1764" s="1320" t="s">
        <v>5915</v>
      </c>
      <c r="C1764" s="1322">
        <v>132</v>
      </c>
      <c r="D1764" s="1320" t="s">
        <v>5244</v>
      </c>
      <c r="E1764" s="1320" t="s">
        <v>4071</v>
      </c>
      <c r="F1764" s="1366">
        <f t="shared" si="760"/>
        <v>17435.970739535103</v>
      </c>
      <c r="G1764" s="1366">
        <f t="shared" si="760"/>
        <v>0</v>
      </c>
      <c r="H1764" s="1366">
        <f t="shared" si="760"/>
        <v>17435.970739535103</v>
      </c>
      <c r="I1764" s="1525"/>
      <c r="J1764" s="1366">
        <f t="shared" si="761"/>
        <v>17435.970739535103</v>
      </c>
      <c r="K1764" s="1366">
        <f t="shared" si="761"/>
        <v>15550.912401499205</v>
      </c>
      <c r="L1764" s="1366">
        <f t="shared" si="761"/>
        <v>1507.5209650035404</v>
      </c>
      <c r="M1764" s="1366">
        <f t="shared" si="761"/>
        <v>371.2895662485584</v>
      </c>
      <c r="N1764" s="1366">
        <f t="shared" si="761"/>
        <v>1.2536052446446988</v>
      </c>
      <c r="O1764" s="1366">
        <f t="shared" si="761"/>
        <v>0.22241383372728529</v>
      </c>
      <c r="P1764" s="1366">
        <f t="shared" si="761"/>
        <v>4.7717877054217599</v>
      </c>
      <c r="Q1764" s="1366">
        <f t="shared" si="761"/>
        <v>0</v>
      </c>
      <c r="R1764" s="1533"/>
      <c r="S1764" s="1533"/>
      <c r="T1764" s="1533"/>
      <c r="U1764" s="1533"/>
      <c r="V1764" s="1320" t="s">
        <v>6035</v>
      </c>
    </row>
    <row r="1765" spans="1:25" s="1324" customFormat="1">
      <c r="A1765" s="1320" t="s">
        <v>5915</v>
      </c>
      <c r="C1765" s="1322">
        <v>133</v>
      </c>
      <c r="D1765" s="1320" t="s">
        <v>6036</v>
      </c>
      <c r="E1765" s="1320"/>
      <c r="F1765" s="1350">
        <f>SUM(F1757:F1764)</f>
        <v>793388.81858121394</v>
      </c>
      <c r="G1765" s="1350">
        <f>SUM(G1757:G1764)</f>
        <v>5181.4187964568882</v>
      </c>
      <c r="H1765" s="1350">
        <f>SUM(H1757:H1764)</f>
        <v>788207.39978475706</v>
      </c>
      <c r="I1765" s="1525"/>
      <c r="J1765" s="1366">
        <f t="shared" ref="J1765:Q1765" si="762">SUM(J1757:J1764)</f>
        <v>788207.39978475706</v>
      </c>
      <c r="K1765" s="1366">
        <f t="shared" si="762"/>
        <v>461472.53750404931</v>
      </c>
      <c r="L1765" s="1366">
        <f t="shared" si="762"/>
        <v>39017.672035086282</v>
      </c>
      <c r="M1765" s="1366">
        <f t="shared" si="762"/>
        <v>216200.11213986774</v>
      </c>
      <c r="N1765" s="1378">
        <f t="shared" si="762"/>
        <v>24871.231148492461</v>
      </c>
      <c r="O1765" s="1378">
        <f>SUM(O1757:O1764)</f>
        <v>14875.00191925071</v>
      </c>
      <c r="P1765" s="1378">
        <f>SUM(P1757:P1764)</f>
        <v>1550.4370951826891</v>
      </c>
      <c r="Q1765" s="1366">
        <f t="shared" si="762"/>
        <v>30220.407942828031</v>
      </c>
      <c r="R1765" s="1533"/>
      <c r="S1765" s="1533"/>
      <c r="T1765" s="1533"/>
      <c r="U1765" s="1533"/>
      <c r="V1765" s="1320" t="s">
        <v>6037</v>
      </c>
    </row>
    <row r="1766" spans="1:25" s="1324" customFormat="1">
      <c r="A1766" s="1358"/>
      <c r="C1766" s="1322"/>
      <c r="R1766" s="1533"/>
      <c r="S1766" s="1533"/>
      <c r="T1766" s="1533"/>
      <c r="U1766" s="1533"/>
    </row>
    <row r="1767" spans="1:25" s="1324" customFormat="1">
      <c r="A1767" s="1358"/>
      <c r="C1767" s="1322"/>
      <c r="R1767" s="1533"/>
      <c r="S1767" s="1533"/>
      <c r="T1767" s="1533"/>
      <c r="U1767" s="1533"/>
    </row>
    <row r="1768" spans="1:25">
      <c r="G1768" s="1320"/>
      <c r="Y1768" s="1324"/>
    </row>
    <row r="1769" spans="1:25">
      <c r="G1769" s="1320"/>
      <c r="Y1769" s="1324"/>
    </row>
    <row r="1770" spans="1:25">
      <c r="G1770" s="1320"/>
    </row>
    <row r="1771" spans="1:25">
      <c r="B1771" s="1331"/>
      <c r="C1771" s="1340" t="str">
        <f>+C$2</f>
        <v>RATES WITH REVENUE DEFICIENCY ADDITION</v>
      </c>
      <c r="F1771" s="1333"/>
      <c r="G1771" s="1327" t="s">
        <v>2173</v>
      </c>
      <c r="I1771" s="1334" t="s">
        <v>5981</v>
      </c>
      <c r="L1771" s="1329" t="s">
        <v>2173</v>
      </c>
      <c r="M1771" s="1330"/>
      <c r="N1771" s="1330"/>
      <c r="O1771" s="1330"/>
      <c r="S1771" s="1334" t="s">
        <v>6038</v>
      </c>
      <c r="T1771" s="1333" t="s">
        <v>2173</v>
      </c>
      <c r="U1771" s="1334"/>
      <c r="V1771" s="1332" t="s">
        <v>4772</v>
      </c>
    </row>
    <row r="1772" spans="1:25">
      <c r="B1772" s="1331"/>
      <c r="C1772" s="1340" t="str">
        <f>+C$3</f>
        <v>PROD. CAP. ALLOC. METHOD: 12 CP &amp; 1/13th AD</v>
      </c>
      <c r="G1772" s="1336" t="s">
        <v>4768</v>
      </c>
      <c r="I1772" s="1335" t="s">
        <v>3047</v>
      </c>
      <c r="L1772" s="1336" t="s">
        <v>5141</v>
      </c>
      <c r="M1772" s="1337"/>
      <c r="N1772" s="1337"/>
      <c r="O1772" s="1337"/>
      <c r="R1772" s="1331"/>
      <c r="S1772" s="1335" t="s">
        <v>6039</v>
      </c>
      <c r="T1772" s="1333" t="s">
        <v>5141</v>
      </c>
      <c r="V1772" s="1332" t="s">
        <v>6038</v>
      </c>
    </row>
    <row r="1773" spans="1:25">
      <c r="C1773" s="1340" t="str">
        <f>+C$4</f>
        <v>PROJECTED CALENDAR YEAR 2025; FULLY ADJUSTED DATA</v>
      </c>
      <c r="F1773" s="1333"/>
      <c r="G1773" s="1336" t="s">
        <v>2181</v>
      </c>
      <c r="L1773" s="1336" t="s">
        <v>2181</v>
      </c>
      <c r="P1773" s="1364"/>
      <c r="Q1773" s="1364"/>
      <c r="R1773" s="1358"/>
      <c r="T1773" s="1339"/>
    </row>
    <row r="1774" spans="1:25">
      <c r="C1774" s="1340" t="str">
        <f>+C$5</f>
        <v>MINIMUM DISTRIBUTION SYSTEM (MDS) NOT EMPLOYED</v>
      </c>
      <c r="G1774" s="1320"/>
      <c r="J1774" s="1364"/>
      <c r="K1774" s="1364"/>
      <c r="L1774" s="1336"/>
      <c r="M1774" s="1337"/>
      <c r="N1774" s="1337"/>
      <c r="O1774" s="1337"/>
      <c r="P1774" s="1364"/>
      <c r="Q1774" s="1364"/>
      <c r="R1774" s="1358"/>
      <c r="T1774" s="1333"/>
    </row>
    <row r="1775" spans="1:25">
      <c r="C1775" s="1340" t="str">
        <f>+C$6</f>
        <v>Tampa Electric 2025 OB Budget</v>
      </c>
      <c r="F1775" s="1327"/>
      <c r="G1775" s="1333" t="s">
        <v>5912</v>
      </c>
      <c r="J1775" s="1364"/>
      <c r="K1775" s="1364"/>
      <c r="L1775" s="1336" t="s">
        <v>5912</v>
      </c>
      <c r="M1775" s="1337"/>
      <c r="N1775" s="1337"/>
      <c r="O1775" s="1337"/>
      <c r="P1775" s="1364"/>
      <c r="Q1775" s="1364"/>
      <c r="R1775" s="1358"/>
      <c r="T1775" s="1333" t="s">
        <v>5912</v>
      </c>
    </row>
    <row r="1776" spans="1:25">
      <c r="F1776" s="1333"/>
      <c r="G1776" s="1320"/>
      <c r="J1776" s="1364"/>
      <c r="K1776" s="1364"/>
      <c r="L1776" s="1336"/>
      <c r="M1776" s="1337"/>
      <c r="N1776" s="1337"/>
      <c r="O1776" s="1337"/>
      <c r="P1776" s="1364"/>
      <c r="Q1776" s="1364"/>
      <c r="R1776" s="1358"/>
    </row>
    <row r="1777" spans="1:25">
      <c r="F1777" s="1333"/>
      <c r="G1777" s="1320"/>
      <c r="J1777" s="1364"/>
      <c r="K1777" s="1364"/>
      <c r="L1777" s="1336"/>
      <c r="M1777" s="1337"/>
      <c r="N1777" s="1337"/>
      <c r="O1777" s="1337"/>
      <c r="P1777" s="1364"/>
      <c r="Q1777" s="1364"/>
      <c r="R1777" s="1358"/>
    </row>
    <row r="1778" spans="1:25">
      <c r="G1778" s="1320"/>
    </row>
    <row r="1779" spans="1:25">
      <c r="G1779" s="1320"/>
    </row>
    <row r="1780" spans="1:25" ht="27.6">
      <c r="A1780" s="1418" t="s">
        <v>4683</v>
      </c>
      <c r="C1780" s="1349" t="s">
        <v>4297</v>
      </c>
      <c r="D1780" s="1418"/>
      <c r="E1780" s="1418"/>
      <c r="F1780" s="1348" t="s">
        <v>5144</v>
      </c>
      <c r="G1780" s="1348" t="s">
        <v>4956</v>
      </c>
      <c r="H1780" s="1348" t="s">
        <v>4957</v>
      </c>
      <c r="I1780" s="1426" t="s">
        <v>5145</v>
      </c>
      <c r="J1780" s="1352" t="s">
        <v>4957</v>
      </c>
      <c r="K1780" s="1353" t="s">
        <v>1949</v>
      </c>
      <c r="L1780" s="1353" t="s">
        <v>1950</v>
      </c>
      <c r="M1780" s="1354" t="s">
        <v>1934</v>
      </c>
      <c r="N1780" s="1354" t="s">
        <v>1971</v>
      </c>
      <c r="O1780" s="1354" t="s">
        <v>1972</v>
      </c>
      <c r="P1780" s="1352" t="s">
        <v>5146</v>
      </c>
      <c r="Q1780" s="1352" t="s">
        <v>5147</v>
      </c>
      <c r="R1780" s="1350"/>
      <c r="S1780" s="1350"/>
      <c r="T1780" s="1350"/>
      <c r="U1780" s="1366"/>
      <c r="V1780" s="1355" t="s">
        <v>4774</v>
      </c>
    </row>
    <row r="1781" spans="1:25">
      <c r="C1781" s="1397"/>
      <c r="D1781" s="1435"/>
      <c r="E1781" s="1435"/>
      <c r="F1781" s="1396"/>
      <c r="G1781" s="1396"/>
      <c r="H1781" s="1396"/>
      <c r="I1781" s="1442"/>
      <c r="J1781" s="1399"/>
      <c r="K1781" s="1360"/>
      <c r="L1781" s="1360"/>
      <c r="M1781" s="1361"/>
      <c r="N1781" s="1361"/>
      <c r="O1781" s="1361"/>
      <c r="P1781" s="1399"/>
      <c r="Q1781" s="1399"/>
    </row>
    <row r="1782" spans="1:25">
      <c r="A1782" s="1320" t="s">
        <v>5915</v>
      </c>
      <c r="C1782" s="1322">
        <v>134</v>
      </c>
      <c r="D1782" s="1356" t="s">
        <v>6040</v>
      </c>
      <c r="G1782" s="1320"/>
    </row>
    <row r="1783" spans="1:25">
      <c r="A1783" s="1320" t="s">
        <v>5915</v>
      </c>
      <c r="C1783" s="1322">
        <v>135</v>
      </c>
      <c r="D1783" s="1320" t="s">
        <v>5265</v>
      </c>
      <c r="E1783" s="1320" t="s">
        <v>4067</v>
      </c>
      <c r="F1783" s="1320">
        <f t="shared" ref="F1783:H1790" si="763">+F598</f>
        <v>51196.763326436805</v>
      </c>
      <c r="G1783" s="1320">
        <f t="shared" si="763"/>
        <v>0</v>
      </c>
      <c r="H1783" s="1320">
        <f t="shared" si="763"/>
        <v>51196.763326436805</v>
      </c>
      <c r="I1783" s="1525"/>
      <c r="J1783" s="1324">
        <f t="shared" ref="J1783:Q1790" si="764">+J598</f>
        <v>51196.763326436805</v>
      </c>
      <c r="K1783" s="1324">
        <f t="shared" si="764"/>
        <v>29694.790341461008</v>
      </c>
      <c r="L1783" s="1324">
        <f t="shared" si="764"/>
        <v>2449.520685031629</v>
      </c>
      <c r="M1783" s="1324">
        <f t="shared" si="764"/>
        <v>15658.555130504275</v>
      </c>
      <c r="N1783" s="1325">
        <f t="shared" si="764"/>
        <v>1954.7629897287027</v>
      </c>
      <c r="O1783" s="1325">
        <f t="shared" si="764"/>
        <v>1402.8360529392405</v>
      </c>
      <c r="P1783" s="1325">
        <f t="shared" si="764"/>
        <v>36.298126771955417</v>
      </c>
      <c r="Q1783" s="1324">
        <f t="shared" si="764"/>
        <v>0</v>
      </c>
      <c r="V1783" s="1320" t="s">
        <v>5536</v>
      </c>
    </row>
    <row r="1784" spans="1:25">
      <c r="A1784" s="1320" t="s">
        <v>5915</v>
      </c>
      <c r="C1784" s="1322">
        <v>136</v>
      </c>
      <c r="D1784" s="1320" t="s">
        <v>5265</v>
      </c>
      <c r="E1784" s="1320" t="s">
        <v>2067</v>
      </c>
      <c r="F1784" s="1320">
        <f t="shared" si="763"/>
        <v>5739.4427931324281</v>
      </c>
      <c r="G1784" s="1320">
        <f>+G599</f>
        <v>0</v>
      </c>
      <c r="H1784" s="1320">
        <f t="shared" si="763"/>
        <v>5739.4427931324281</v>
      </c>
      <c r="I1784" s="1525"/>
      <c r="J1784" s="1324">
        <f t="shared" si="764"/>
        <v>5739.4427931324281</v>
      </c>
      <c r="K1784" s="1324">
        <f t="shared" si="764"/>
        <v>2896.3190375264148</v>
      </c>
      <c r="L1784" s="1324">
        <f t="shared" si="764"/>
        <v>267.65378427601598</v>
      </c>
      <c r="M1784" s="1324">
        <f t="shared" si="764"/>
        <v>1993.91673269956</v>
      </c>
      <c r="N1784" s="1325">
        <f t="shared" si="764"/>
        <v>317.39948413314949</v>
      </c>
      <c r="O1784" s="1325">
        <f t="shared" si="764"/>
        <v>233.83196571193457</v>
      </c>
      <c r="P1784" s="1325">
        <f t="shared" si="764"/>
        <v>30.321788785352023</v>
      </c>
      <c r="Q1784" s="1324">
        <f t="shared" si="764"/>
        <v>0</v>
      </c>
      <c r="V1784" s="1320" t="s">
        <v>5537</v>
      </c>
      <c r="Y1784" s="1324"/>
    </row>
    <row r="1785" spans="1:25">
      <c r="A1785" s="1320" t="s">
        <v>5915</v>
      </c>
      <c r="C1785" s="1322">
        <v>137</v>
      </c>
      <c r="D1785" s="1320" t="s">
        <v>5268</v>
      </c>
      <c r="E1785" s="1320" t="s">
        <v>4067</v>
      </c>
      <c r="F1785" s="1320">
        <f t="shared" si="763"/>
        <v>3842.091768610097</v>
      </c>
      <c r="G1785" s="1320">
        <f t="shared" si="763"/>
        <v>245.69994735909012</v>
      </c>
      <c r="H1785" s="1320">
        <f t="shared" si="763"/>
        <v>3596.3918212510071</v>
      </c>
      <c r="I1785" s="1525"/>
      <c r="J1785" s="1324">
        <f t="shared" si="764"/>
        <v>3596.3918212510071</v>
      </c>
      <c r="K1785" s="1324">
        <f t="shared" si="764"/>
        <v>2085.9541537198656</v>
      </c>
      <c r="L1785" s="1324">
        <f t="shared" si="764"/>
        <v>172.07017759038544</v>
      </c>
      <c r="M1785" s="1324">
        <f t="shared" si="764"/>
        <v>1099.9581994058244</v>
      </c>
      <c r="N1785" s="1325">
        <f t="shared" si="764"/>
        <v>137.31519674241395</v>
      </c>
      <c r="O1785" s="1325">
        <f t="shared" si="764"/>
        <v>98.5442785743749</v>
      </c>
      <c r="P1785" s="1325">
        <f t="shared" si="764"/>
        <v>2.5498152181425828</v>
      </c>
      <c r="Q1785" s="1324">
        <f t="shared" si="764"/>
        <v>0</v>
      </c>
      <c r="V1785" s="1320" t="s">
        <v>5538</v>
      </c>
      <c r="Y1785" s="1324"/>
    </row>
    <row r="1786" spans="1:25">
      <c r="A1786" s="1320" t="s">
        <v>5915</v>
      </c>
      <c r="C1786" s="1322">
        <v>138</v>
      </c>
      <c r="D1786" s="1320" t="s">
        <v>5239</v>
      </c>
      <c r="E1786" s="1320" t="s">
        <v>4067</v>
      </c>
      <c r="F1786" s="1320">
        <f t="shared" si="763"/>
        <v>4417.4526336091139</v>
      </c>
      <c r="G1786" s="1320">
        <f t="shared" si="763"/>
        <v>282.70061736305422</v>
      </c>
      <c r="H1786" s="1320">
        <f t="shared" si="763"/>
        <v>4134.7520162460587</v>
      </c>
      <c r="I1786" s="1525"/>
      <c r="J1786" s="1324">
        <f t="shared" si="764"/>
        <v>4134.7520162460587</v>
      </c>
      <c r="K1786" s="1324">
        <f t="shared" si="764"/>
        <v>2398.2100871005428</v>
      </c>
      <c r="L1786" s="1324">
        <f t="shared" si="764"/>
        <v>197.82814250761453</v>
      </c>
      <c r="M1786" s="1324">
        <f t="shared" si="764"/>
        <v>1264.6159286386023</v>
      </c>
      <c r="N1786" s="1325">
        <f t="shared" si="764"/>
        <v>157.87053102418167</v>
      </c>
      <c r="O1786" s="1325">
        <f t="shared" si="764"/>
        <v>113.29581835807201</v>
      </c>
      <c r="P1786" s="1325">
        <f t="shared" si="764"/>
        <v>2.931508617045679</v>
      </c>
      <c r="Q1786" s="1324">
        <f t="shared" si="764"/>
        <v>0</v>
      </c>
      <c r="V1786" s="1320" t="s">
        <v>5539</v>
      </c>
    </row>
    <row r="1787" spans="1:25">
      <c r="A1787" s="1320" t="s">
        <v>5915</v>
      </c>
      <c r="C1787" s="1322">
        <v>139</v>
      </c>
      <c r="D1787" s="1320" t="s">
        <v>5240</v>
      </c>
      <c r="E1787" s="1320" t="s">
        <v>4067</v>
      </c>
      <c r="F1787" s="1320">
        <f t="shared" si="763"/>
        <v>16853.009915954655</v>
      </c>
      <c r="G1787" s="1320">
        <f t="shared" si="763"/>
        <v>0</v>
      </c>
      <c r="H1787" s="1320">
        <f t="shared" si="763"/>
        <v>16853.009915954655</v>
      </c>
      <c r="I1787" s="1525"/>
      <c r="J1787" s="1324">
        <f t="shared" si="764"/>
        <v>16853.009915954655</v>
      </c>
      <c r="K1787" s="1324">
        <f t="shared" si="764"/>
        <v>10489.583223382346</v>
      </c>
      <c r="L1787" s="1324">
        <f t="shared" si="764"/>
        <v>746.0454673445895</v>
      </c>
      <c r="M1787" s="1324">
        <f t="shared" si="764"/>
        <v>4995.2402151901824</v>
      </c>
      <c r="N1787" s="1325">
        <f t="shared" si="764"/>
        <v>525.39883588873261</v>
      </c>
      <c r="O1787" s="1325">
        <f t="shared" si="764"/>
        <v>3.5873208977318146E-4</v>
      </c>
      <c r="P1787" s="1325">
        <f t="shared" si="764"/>
        <v>96.741815416718552</v>
      </c>
      <c r="Q1787" s="1324">
        <f t="shared" si="764"/>
        <v>0</v>
      </c>
      <c r="V1787" s="1320" t="s">
        <v>5540</v>
      </c>
    </row>
    <row r="1788" spans="1:25">
      <c r="A1788" s="1320" t="s">
        <v>5915</v>
      </c>
      <c r="C1788" s="1322">
        <v>140</v>
      </c>
      <c r="D1788" s="1320" t="s">
        <v>5241</v>
      </c>
      <c r="E1788" s="1320" t="s">
        <v>4067</v>
      </c>
      <c r="F1788" s="1320">
        <f t="shared" si="763"/>
        <v>7339.7985693741639</v>
      </c>
      <c r="G1788" s="1320">
        <f t="shared" si="763"/>
        <v>0</v>
      </c>
      <c r="H1788" s="1320">
        <f t="shared" si="763"/>
        <v>7339.7985693741639</v>
      </c>
      <c r="I1788" s="1525"/>
      <c r="J1788" s="1324">
        <f t="shared" si="764"/>
        <v>7339.7985693741639</v>
      </c>
      <c r="K1788" s="1324">
        <f t="shared" si="764"/>
        <v>5355.3611674076119</v>
      </c>
      <c r="L1788" s="1324">
        <f t="shared" si="764"/>
        <v>431.21285772720086</v>
      </c>
      <c r="M1788" s="1324">
        <f t="shared" si="764"/>
        <v>1526.6733498671247</v>
      </c>
      <c r="N1788" s="1325">
        <f t="shared" si="764"/>
        <v>0</v>
      </c>
      <c r="O1788" s="1325">
        <f t="shared" si="764"/>
        <v>0</v>
      </c>
      <c r="P1788" s="1325">
        <f t="shared" si="764"/>
        <v>26.551194372226629</v>
      </c>
      <c r="Q1788" s="1324">
        <f t="shared" si="764"/>
        <v>0</v>
      </c>
      <c r="V1788" s="1320" t="s">
        <v>5541</v>
      </c>
    </row>
    <row r="1789" spans="1:25">
      <c r="A1789" s="1320" t="s">
        <v>5915</v>
      </c>
      <c r="C1789" s="1322">
        <v>141</v>
      </c>
      <c r="D1789" s="1320" t="s">
        <v>5242</v>
      </c>
      <c r="E1789" s="1320" t="s">
        <v>4071</v>
      </c>
      <c r="F1789" s="1320">
        <f t="shared" si="763"/>
        <v>8437.1296669418807</v>
      </c>
      <c r="G1789" s="1320">
        <f t="shared" si="763"/>
        <v>0</v>
      </c>
      <c r="H1789" s="1320">
        <f t="shared" si="763"/>
        <v>8437.1296669418807</v>
      </c>
      <c r="I1789" s="1525"/>
      <c r="J1789" s="1324">
        <f t="shared" si="764"/>
        <v>8437.1296669418807</v>
      </c>
      <c r="K1789" s="1324">
        <f t="shared" si="764"/>
        <v>3110.4045602987276</v>
      </c>
      <c r="L1789" s="1324">
        <f t="shared" si="764"/>
        <v>471.8074744059316</v>
      </c>
      <c r="M1789" s="1324">
        <f t="shared" si="764"/>
        <v>227.4580262836034</v>
      </c>
      <c r="N1789" s="1325">
        <f t="shared" si="764"/>
        <v>14.663113821633932</v>
      </c>
      <c r="O1789" s="1325">
        <f t="shared" si="764"/>
        <v>15.998072709409657</v>
      </c>
      <c r="P1789" s="1325">
        <f t="shared" si="764"/>
        <v>3.6717486005186823</v>
      </c>
      <c r="Q1789" s="1324">
        <f t="shared" si="764"/>
        <v>4593.1266708220564</v>
      </c>
      <c r="V1789" s="1320" t="s">
        <v>5542</v>
      </c>
    </row>
    <row r="1790" spans="1:25">
      <c r="A1790" s="1320" t="s">
        <v>5915</v>
      </c>
      <c r="C1790" s="1322">
        <v>142</v>
      </c>
      <c r="D1790" s="1320" t="s">
        <v>5244</v>
      </c>
      <c r="E1790" s="1320" t="s">
        <v>4071</v>
      </c>
      <c r="F1790" s="1350">
        <f t="shared" si="763"/>
        <v>4328.749069178054</v>
      </c>
      <c r="G1790" s="1350">
        <f t="shared" si="763"/>
        <v>0</v>
      </c>
      <c r="H1790" s="1350">
        <f t="shared" si="763"/>
        <v>4328.749069178054</v>
      </c>
      <c r="I1790" s="1525"/>
      <c r="J1790" s="1366">
        <f t="shared" si="764"/>
        <v>4328.749069178054</v>
      </c>
      <c r="K1790" s="1366">
        <f t="shared" si="764"/>
        <v>3860.7542183025025</v>
      </c>
      <c r="L1790" s="1366">
        <f t="shared" si="764"/>
        <v>374.26536620808031</v>
      </c>
      <c r="M1790" s="1366">
        <f t="shared" si="764"/>
        <v>92.178370123648421</v>
      </c>
      <c r="N1790" s="1378">
        <f t="shared" si="764"/>
        <v>0.31122686639798519</v>
      </c>
      <c r="O1790" s="1378">
        <f t="shared" si="764"/>
        <v>5.5217669844803821E-2</v>
      </c>
      <c r="P1790" s="1378">
        <f t="shared" si="764"/>
        <v>1.1846700075794274</v>
      </c>
      <c r="Q1790" s="1366">
        <f t="shared" si="764"/>
        <v>0</v>
      </c>
      <c r="R1790" s="1358"/>
      <c r="V1790" s="1320" t="s">
        <v>5543</v>
      </c>
    </row>
    <row r="1791" spans="1:25">
      <c r="A1791" s="1320" t="s">
        <v>5915</v>
      </c>
      <c r="C1791" s="1322">
        <v>143</v>
      </c>
      <c r="D1791" s="1320" t="s">
        <v>5491</v>
      </c>
      <c r="F1791" s="1350">
        <f>SUM(F1783:F1790)</f>
        <v>102154.4377432372</v>
      </c>
      <c r="G1791" s="1350">
        <f>SUM(G1783:G1790)</f>
        <v>528.40056472214428</v>
      </c>
      <c r="H1791" s="1350">
        <f>SUM(H1783:H1790)</f>
        <v>101626.03717851505</v>
      </c>
      <c r="I1791" s="1525"/>
      <c r="J1791" s="1366">
        <f t="shared" ref="J1791:Q1791" si="765">SUM(J1783:J1790)</f>
        <v>101626.03717851505</v>
      </c>
      <c r="K1791" s="1366">
        <f t="shared" si="765"/>
        <v>59891.376789199014</v>
      </c>
      <c r="L1791" s="1366">
        <f t="shared" si="765"/>
        <v>5110.4039550914458</v>
      </c>
      <c r="M1791" s="1366">
        <f t="shared" si="765"/>
        <v>26858.595952712822</v>
      </c>
      <c r="N1791" s="1378">
        <f t="shared" si="765"/>
        <v>3107.7213782052122</v>
      </c>
      <c r="O1791" s="1378">
        <f>SUM(O1783:O1790)</f>
        <v>1864.5617646949661</v>
      </c>
      <c r="P1791" s="1378">
        <f>SUM(P1783:P1790)</f>
        <v>200.25066778953899</v>
      </c>
      <c r="Q1791" s="1366">
        <f t="shared" si="765"/>
        <v>4593.1266708220564</v>
      </c>
      <c r="R1791" s="1358"/>
      <c r="V1791" s="1320" t="s">
        <v>6041</v>
      </c>
      <c r="Y1791" s="1324"/>
    </row>
    <row r="1792" spans="1:25">
      <c r="A1792" s="1320" t="s">
        <v>5915</v>
      </c>
      <c r="C1792" s="1322">
        <v>144</v>
      </c>
      <c r="G1792" s="1320"/>
      <c r="I1792" s="1525"/>
      <c r="Y1792" s="1324"/>
    </row>
    <row r="1793" spans="1:25">
      <c r="A1793" s="1320" t="s">
        <v>5915</v>
      </c>
      <c r="C1793" s="1322">
        <v>145</v>
      </c>
      <c r="D1793" s="1356" t="s">
        <v>6042</v>
      </c>
      <c r="G1793" s="1320"/>
      <c r="I1793" s="1525"/>
      <c r="Y1793" s="1324"/>
    </row>
    <row r="1794" spans="1:25">
      <c r="A1794" s="1320" t="s">
        <v>5915</v>
      </c>
      <c r="C1794" s="1322">
        <v>146</v>
      </c>
      <c r="D1794" s="1320" t="s">
        <v>5265</v>
      </c>
      <c r="E1794" s="1320" t="s">
        <v>4067</v>
      </c>
      <c r="F1794" s="1320">
        <f t="shared" ref="F1794:H1801" si="766">+F498</f>
        <v>290551.79552865884</v>
      </c>
      <c r="G1794" s="1320">
        <f t="shared" si="766"/>
        <v>0</v>
      </c>
      <c r="H1794" s="1320">
        <f t="shared" si="766"/>
        <v>290551.79552865884</v>
      </c>
      <c r="I1794" s="1525"/>
      <c r="J1794" s="1324">
        <f t="shared" ref="J1794:Q1801" si="767">+J498</f>
        <v>290551.79552865884</v>
      </c>
      <c r="K1794" s="1324">
        <f t="shared" si="767"/>
        <v>168523.83023798189</v>
      </c>
      <c r="L1794" s="1324">
        <f t="shared" si="767"/>
        <v>13901.516169734479</v>
      </c>
      <c r="M1794" s="1324">
        <f t="shared" si="767"/>
        <v>88865.408923286246</v>
      </c>
      <c r="N1794" s="1325">
        <f t="shared" si="767"/>
        <v>11093.668028919376</v>
      </c>
      <c r="O1794" s="1325">
        <f t="shared" si="767"/>
        <v>7961.3730933525603</v>
      </c>
      <c r="P1794" s="1325">
        <f t="shared" si="767"/>
        <v>205.99907538437245</v>
      </c>
      <c r="Q1794" s="1324">
        <f t="shared" si="767"/>
        <v>0</v>
      </c>
      <c r="V1794" s="1320" t="s">
        <v>5522</v>
      </c>
      <c r="Y1794" s="1324"/>
    </row>
    <row r="1795" spans="1:25">
      <c r="A1795" s="1320" t="s">
        <v>5915</v>
      </c>
      <c r="C1795" s="1322">
        <v>147</v>
      </c>
      <c r="D1795" s="1320" t="s">
        <v>5265</v>
      </c>
      <c r="E1795" s="1320" t="s">
        <v>2067</v>
      </c>
      <c r="F1795" s="1358">
        <f t="shared" si="766"/>
        <v>30632.200099340615</v>
      </c>
      <c r="G1795" s="1358">
        <f t="shared" si="766"/>
        <v>0</v>
      </c>
      <c r="H1795" s="1358">
        <f t="shared" si="766"/>
        <v>30632.200099340615</v>
      </c>
      <c r="I1795" s="1525"/>
      <c r="J1795" s="1364">
        <f t="shared" si="767"/>
        <v>30632.200099340615</v>
      </c>
      <c r="K1795" s="1364">
        <f t="shared" si="767"/>
        <v>15458.055338611979</v>
      </c>
      <c r="L1795" s="1364">
        <f t="shared" si="767"/>
        <v>1428.5052700758743</v>
      </c>
      <c r="M1795" s="1364">
        <f t="shared" si="767"/>
        <v>10641.809412328281</v>
      </c>
      <c r="N1795" s="1367">
        <f t="shared" si="767"/>
        <v>1694.0049513217248</v>
      </c>
      <c r="O1795" s="1367">
        <f t="shared" si="767"/>
        <v>1247.9935459729331</v>
      </c>
      <c r="P1795" s="1367">
        <f t="shared" si="767"/>
        <v>161.83158102982321</v>
      </c>
      <c r="Q1795" s="1364">
        <f t="shared" si="767"/>
        <v>0</v>
      </c>
      <c r="R1795" s="1358"/>
      <c r="V1795" s="1320" t="s">
        <v>5523</v>
      </c>
      <c r="Y1795" s="1324"/>
    </row>
    <row r="1796" spans="1:25">
      <c r="A1796" s="1320" t="s">
        <v>5915</v>
      </c>
      <c r="C1796" s="1322">
        <v>148</v>
      </c>
      <c r="D1796" s="1320" t="s">
        <v>5268</v>
      </c>
      <c r="E1796" s="1320" t="s">
        <v>4067</v>
      </c>
      <c r="F1796" s="1358">
        <f t="shared" si="766"/>
        <v>15709.633517949591</v>
      </c>
      <c r="G1796" s="1358">
        <f t="shared" si="766"/>
        <v>1017.7777640338929</v>
      </c>
      <c r="H1796" s="1358">
        <f t="shared" si="766"/>
        <v>14691.855753915697</v>
      </c>
      <c r="I1796" s="1525"/>
      <c r="J1796" s="1364">
        <f t="shared" si="767"/>
        <v>14691.855753915697</v>
      </c>
      <c r="K1796" s="1364">
        <f t="shared" si="767"/>
        <v>8521.4679208877606</v>
      </c>
      <c r="L1796" s="1364">
        <f t="shared" si="767"/>
        <v>702.9351512175399</v>
      </c>
      <c r="M1796" s="1364">
        <f t="shared" si="767"/>
        <v>4493.5112758058149</v>
      </c>
      <c r="N1796" s="1367">
        <f t="shared" si="767"/>
        <v>560.95530287863369</v>
      </c>
      <c r="O1796" s="1367">
        <f t="shared" si="767"/>
        <v>402.56968599288598</v>
      </c>
      <c r="P1796" s="1367">
        <f t="shared" si="767"/>
        <v>10.416417133063913</v>
      </c>
      <c r="Q1796" s="1364">
        <f t="shared" si="767"/>
        <v>0</v>
      </c>
      <c r="R1796" s="1358"/>
      <c r="V1796" s="1320" t="s">
        <v>5524</v>
      </c>
      <c r="Y1796" s="1324"/>
    </row>
    <row r="1797" spans="1:25">
      <c r="A1797" s="1320" t="s">
        <v>5915</v>
      </c>
      <c r="C1797" s="1322">
        <v>149</v>
      </c>
      <c r="D1797" s="1320" t="s">
        <v>5239</v>
      </c>
      <c r="E1797" s="1320" t="s">
        <v>4067</v>
      </c>
      <c r="F1797" s="1358">
        <f t="shared" si="766"/>
        <v>16596.304009286247</v>
      </c>
      <c r="G1797" s="1358">
        <f t="shared" si="766"/>
        <v>1075.2223574469951</v>
      </c>
      <c r="H1797" s="1358">
        <f t="shared" si="766"/>
        <v>15521.081651839251</v>
      </c>
      <c r="I1797" s="1525"/>
      <c r="J1797" s="1364">
        <f t="shared" si="767"/>
        <v>15521.081651839251</v>
      </c>
      <c r="K1797" s="1364">
        <f t="shared" si="767"/>
        <v>9002.4297548917184</v>
      </c>
      <c r="L1797" s="1364">
        <f t="shared" si="767"/>
        <v>742.60965127482791</v>
      </c>
      <c r="M1797" s="1364">
        <f t="shared" si="767"/>
        <v>4747.1304226938173</v>
      </c>
      <c r="N1797" s="1367">
        <f t="shared" si="767"/>
        <v>592.61629060651421</v>
      </c>
      <c r="O1797" s="1367">
        <f t="shared" si="767"/>
        <v>425.29120020699622</v>
      </c>
      <c r="P1797" s="1367">
        <f t="shared" si="767"/>
        <v>11.004332165377591</v>
      </c>
      <c r="Q1797" s="1364">
        <f t="shared" si="767"/>
        <v>0</v>
      </c>
      <c r="R1797" s="1358"/>
      <c r="V1797" s="1320" t="s">
        <v>5525</v>
      </c>
      <c r="Y1797" s="1324"/>
    </row>
    <row r="1798" spans="1:25">
      <c r="A1798" s="1320" t="s">
        <v>5915</v>
      </c>
      <c r="C1798" s="1322">
        <v>150</v>
      </c>
      <c r="D1798" s="1320" t="s">
        <v>5240</v>
      </c>
      <c r="E1798" s="1320" t="s">
        <v>4067</v>
      </c>
      <c r="F1798" s="1358">
        <f t="shared" si="766"/>
        <v>76341.16310059707</v>
      </c>
      <c r="G1798" s="1358">
        <f t="shared" si="766"/>
        <v>0</v>
      </c>
      <c r="H1798" s="1358">
        <f t="shared" si="766"/>
        <v>76341.16310059707</v>
      </c>
      <c r="I1798" s="1525"/>
      <c r="J1798" s="1364">
        <f t="shared" si="767"/>
        <v>76341.16310059707</v>
      </c>
      <c r="K1798" s="1364">
        <f t="shared" si="767"/>
        <v>47515.962294392157</v>
      </c>
      <c r="L1798" s="1364">
        <f t="shared" si="767"/>
        <v>3379.4544112322901</v>
      </c>
      <c r="M1798" s="1364">
        <f t="shared" si="767"/>
        <v>22627.557326331393</v>
      </c>
      <c r="N1798" s="1367">
        <f t="shared" si="767"/>
        <v>2379.9640790262674</v>
      </c>
      <c r="O1798" s="1367">
        <f t="shared" si="767"/>
        <v>1.6249931087304634E-3</v>
      </c>
      <c r="P1798" s="1367">
        <f t="shared" si="767"/>
        <v>438.22336462188076</v>
      </c>
      <c r="Q1798" s="1364">
        <f t="shared" si="767"/>
        <v>0</v>
      </c>
      <c r="R1798" s="1358"/>
      <c r="V1798" s="1320" t="s">
        <v>5526</v>
      </c>
      <c r="Y1798" s="1324"/>
    </row>
    <row r="1799" spans="1:25">
      <c r="A1799" s="1320" t="s">
        <v>5915</v>
      </c>
      <c r="C1799" s="1322">
        <v>151</v>
      </c>
      <c r="D1799" s="1320" t="s">
        <v>5241</v>
      </c>
      <c r="E1799" s="1320" t="s">
        <v>4067</v>
      </c>
      <c r="F1799" s="1358">
        <f t="shared" si="766"/>
        <v>43854.63708184228</v>
      </c>
      <c r="G1799" s="1358">
        <f t="shared" si="766"/>
        <v>0</v>
      </c>
      <c r="H1799" s="1358">
        <f t="shared" si="766"/>
        <v>43854.63708184228</v>
      </c>
      <c r="I1799" s="1525"/>
      <c r="J1799" s="1364">
        <f t="shared" si="767"/>
        <v>43854.63708184228</v>
      </c>
      <c r="K1799" s="1364">
        <f t="shared" si="767"/>
        <v>31997.801876854155</v>
      </c>
      <c r="L1799" s="1364">
        <f t="shared" si="767"/>
        <v>2576.4580869503243</v>
      </c>
      <c r="M1799" s="1364">
        <f t="shared" si="767"/>
        <v>9121.7361168879997</v>
      </c>
      <c r="N1799" s="1367">
        <f t="shared" si="767"/>
        <v>0</v>
      </c>
      <c r="O1799" s="1367">
        <f t="shared" si="767"/>
        <v>0</v>
      </c>
      <c r="P1799" s="1367">
        <f t="shared" si="767"/>
        <v>158.64100114980889</v>
      </c>
      <c r="Q1799" s="1364">
        <f t="shared" si="767"/>
        <v>0</v>
      </c>
      <c r="R1799" s="1358"/>
      <c r="V1799" s="1320" t="s">
        <v>5527</v>
      </c>
    </row>
    <row r="1800" spans="1:25">
      <c r="A1800" s="1320" t="s">
        <v>5915</v>
      </c>
      <c r="C1800" s="1322">
        <v>152</v>
      </c>
      <c r="D1800" s="1320" t="s">
        <v>5242</v>
      </c>
      <c r="E1800" s="1320" t="s">
        <v>4071</v>
      </c>
      <c r="F1800" s="1358">
        <f t="shared" si="766"/>
        <v>47757.415820776761</v>
      </c>
      <c r="G1800" s="1358">
        <f t="shared" si="766"/>
        <v>0</v>
      </c>
      <c r="H1800" s="1358">
        <f t="shared" si="766"/>
        <v>47757.415820776761</v>
      </c>
      <c r="I1800" s="1525"/>
      <c r="J1800" s="1364">
        <f t="shared" si="767"/>
        <v>47757.415820776761</v>
      </c>
      <c r="K1800" s="1364">
        <f t="shared" si="767"/>
        <v>19058.030035910961</v>
      </c>
      <c r="L1800" s="1364">
        <f t="shared" si="767"/>
        <v>3755.5686858919635</v>
      </c>
      <c r="M1800" s="1364">
        <f t="shared" si="767"/>
        <v>2174.023732577497</v>
      </c>
      <c r="N1800" s="1367">
        <f t="shared" si="767"/>
        <v>164.27153031826174</v>
      </c>
      <c r="O1800" s="1367">
        <f t="shared" si="767"/>
        <v>179.22713538785715</v>
      </c>
      <c r="P1800" s="1367">
        <f t="shared" si="767"/>
        <v>36.659734645543473</v>
      </c>
      <c r="Q1800" s="1364">
        <f t="shared" si="767"/>
        <v>22389.634966044672</v>
      </c>
      <c r="R1800" s="1358"/>
      <c r="V1800" s="1320" t="s">
        <v>5528</v>
      </c>
    </row>
    <row r="1801" spans="1:25">
      <c r="A1801" s="1320" t="s">
        <v>5915</v>
      </c>
      <c r="C1801" s="1322">
        <v>153</v>
      </c>
      <c r="D1801" s="1320" t="s">
        <v>5244</v>
      </c>
      <c r="E1801" s="1320" t="s">
        <v>4071</v>
      </c>
      <c r="F1801" s="1350">
        <f t="shared" si="766"/>
        <v>12431.05871528412</v>
      </c>
      <c r="G1801" s="1350">
        <f t="shared" si="766"/>
        <v>0</v>
      </c>
      <c r="H1801" s="1350">
        <f t="shared" si="766"/>
        <v>12431.05871528412</v>
      </c>
      <c r="I1801" s="1525"/>
      <c r="J1801" s="1366">
        <f t="shared" si="767"/>
        <v>12431.05871528412</v>
      </c>
      <c r="K1801" s="1366">
        <f t="shared" si="767"/>
        <v>11087.097359078902</v>
      </c>
      <c r="L1801" s="1366">
        <f t="shared" si="767"/>
        <v>1074.7942807674417</v>
      </c>
      <c r="M1801" s="1366">
        <f t="shared" si="767"/>
        <v>264.71267171507458</v>
      </c>
      <c r="N1801" s="1378">
        <f t="shared" si="767"/>
        <v>0.89376385374582712</v>
      </c>
      <c r="O1801" s="1378">
        <f t="shared" si="767"/>
        <v>0.15857100630974355</v>
      </c>
      <c r="P1801" s="1378">
        <f t="shared" si="767"/>
        <v>3.4020688626454065</v>
      </c>
      <c r="Q1801" s="1366">
        <f t="shared" si="767"/>
        <v>0</v>
      </c>
      <c r="R1801" s="1358"/>
      <c r="V1801" s="1320" t="s">
        <v>5529</v>
      </c>
      <c r="Y1801" s="1324"/>
    </row>
    <row r="1802" spans="1:25">
      <c r="A1802" s="1320" t="s">
        <v>5915</v>
      </c>
      <c r="C1802" s="1322">
        <v>154</v>
      </c>
      <c r="D1802" s="1320" t="s">
        <v>6043</v>
      </c>
      <c r="F1802" s="1350">
        <f>SUM(F1794:F1801)</f>
        <v>533874.20787373558</v>
      </c>
      <c r="G1802" s="1350">
        <f>SUM(G1794:G1801)</f>
        <v>2093.0001214808881</v>
      </c>
      <c r="H1802" s="1350">
        <f>SUM(H1794:H1801)</f>
        <v>531781.20775225468</v>
      </c>
      <c r="I1802" s="1525"/>
      <c r="J1802" s="1366">
        <f t="shared" ref="J1802:Q1802" si="768">SUM(J1794:J1801)</f>
        <v>531781.20775225468</v>
      </c>
      <c r="K1802" s="1366">
        <f t="shared" si="768"/>
        <v>311164.67481860949</v>
      </c>
      <c r="L1802" s="1366">
        <f t="shared" si="768"/>
        <v>27561.84170714474</v>
      </c>
      <c r="M1802" s="1366">
        <f t="shared" si="768"/>
        <v>142935.88988162612</v>
      </c>
      <c r="N1802" s="1378">
        <f t="shared" si="768"/>
        <v>16486.373946924527</v>
      </c>
      <c r="O1802" s="1378">
        <f>SUM(O1794:O1801)</f>
        <v>10216.614856912653</v>
      </c>
      <c r="P1802" s="1378">
        <f>SUM(P1794:P1801)</f>
        <v>1026.1775749925157</v>
      </c>
      <c r="Q1802" s="1366">
        <f t="shared" si="768"/>
        <v>22389.634966044672</v>
      </c>
      <c r="R1802" s="1358"/>
      <c r="V1802" s="1320" t="s">
        <v>6044</v>
      </c>
      <c r="Y1802" s="1324"/>
    </row>
    <row r="1803" spans="1:25">
      <c r="A1803" s="1320" t="s">
        <v>5915</v>
      </c>
      <c r="C1803" s="1322">
        <v>155</v>
      </c>
      <c r="G1803" s="1320"/>
    </row>
    <row r="1804" spans="1:25">
      <c r="A1804" s="1320" t="s">
        <v>5915</v>
      </c>
      <c r="C1804" s="1322">
        <v>156</v>
      </c>
      <c r="D1804" s="1356" t="s">
        <v>6045</v>
      </c>
      <c r="G1804" s="1320"/>
    </row>
    <row r="1805" spans="1:25">
      <c r="A1805" s="1320" t="s">
        <v>5915</v>
      </c>
      <c r="C1805" s="1322">
        <v>157</v>
      </c>
      <c r="D1805" s="1320" t="s">
        <v>5265</v>
      </c>
      <c r="E1805" s="1320" t="s">
        <v>4067</v>
      </c>
      <c r="F1805" s="1320">
        <f>SUM(G1805:H1805)</f>
        <v>0</v>
      </c>
      <c r="G1805" s="1320">
        <f t="shared" ref="G1805:H1812" si="769">+G701</f>
        <v>0</v>
      </c>
      <c r="H1805" s="1320">
        <f t="shared" si="769"/>
        <v>0</v>
      </c>
      <c r="I1805" s="1525"/>
      <c r="J1805" s="1320">
        <f t="shared" ref="J1805:Q1812" si="770">+J701</f>
        <v>0</v>
      </c>
      <c r="K1805" s="1320">
        <f t="shared" si="770"/>
        <v>0</v>
      </c>
      <c r="L1805" s="1320">
        <f t="shared" si="770"/>
        <v>0</v>
      </c>
      <c r="M1805" s="1320">
        <f t="shared" si="770"/>
        <v>0</v>
      </c>
      <c r="N1805" s="1320">
        <f t="shared" si="770"/>
        <v>0</v>
      </c>
      <c r="O1805" s="1320">
        <f t="shared" si="770"/>
        <v>0</v>
      </c>
      <c r="P1805" s="1320">
        <f t="shared" si="770"/>
        <v>0</v>
      </c>
      <c r="Q1805" s="1320">
        <f t="shared" si="770"/>
        <v>0</v>
      </c>
      <c r="V1805" s="1320" t="s">
        <v>6046</v>
      </c>
    </row>
    <row r="1806" spans="1:25">
      <c r="A1806" s="1320" t="s">
        <v>5915</v>
      </c>
      <c r="C1806" s="1322">
        <v>158</v>
      </c>
      <c r="D1806" s="1320" t="s">
        <v>5265</v>
      </c>
      <c r="E1806" s="1320" t="s">
        <v>2067</v>
      </c>
      <c r="F1806" s="1358">
        <f t="shared" ref="F1806:F1812" si="771">+F702</f>
        <v>0</v>
      </c>
      <c r="G1806" s="1358">
        <f t="shared" si="769"/>
        <v>0</v>
      </c>
      <c r="H1806" s="1358">
        <f t="shared" si="769"/>
        <v>0</v>
      </c>
      <c r="I1806" s="1525"/>
      <c r="J1806" s="1364">
        <f t="shared" si="770"/>
        <v>0</v>
      </c>
      <c r="K1806" s="1364">
        <f t="shared" si="770"/>
        <v>0</v>
      </c>
      <c r="L1806" s="1364">
        <f t="shared" si="770"/>
        <v>0</v>
      </c>
      <c r="M1806" s="1364">
        <f t="shared" si="770"/>
        <v>0</v>
      </c>
      <c r="N1806" s="1364">
        <f t="shared" si="770"/>
        <v>0</v>
      </c>
      <c r="O1806" s="1364">
        <f t="shared" si="770"/>
        <v>0</v>
      </c>
      <c r="P1806" s="1364">
        <f t="shared" si="770"/>
        <v>0</v>
      </c>
      <c r="Q1806" s="1364">
        <f t="shared" si="770"/>
        <v>0</v>
      </c>
      <c r="R1806" s="1358"/>
      <c r="V1806" s="1320" t="s">
        <v>6047</v>
      </c>
    </row>
    <row r="1807" spans="1:25">
      <c r="A1807" s="1320" t="s">
        <v>5915</v>
      </c>
      <c r="C1807" s="1322">
        <v>159</v>
      </c>
      <c r="D1807" s="1320" t="s">
        <v>5268</v>
      </c>
      <c r="E1807" s="1320" t="s">
        <v>4067</v>
      </c>
      <c r="F1807" s="1358">
        <f t="shared" si="771"/>
        <v>0</v>
      </c>
      <c r="G1807" s="1358">
        <f t="shared" si="769"/>
        <v>0</v>
      </c>
      <c r="H1807" s="1358">
        <f t="shared" si="769"/>
        <v>0</v>
      </c>
      <c r="I1807" s="1525"/>
      <c r="J1807" s="1364">
        <f t="shared" si="770"/>
        <v>0</v>
      </c>
      <c r="K1807" s="1364">
        <f t="shared" si="770"/>
        <v>0</v>
      </c>
      <c r="L1807" s="1364">
        <f t="shared" si="770"/>
        <v>0</v>
      </c>
      <c r="M1807" s="1364">
        <f t="shared" si="770"/>
        <v>0</v>
      </c>
      <c r="N1807" s="1364">
        <f t="shared" si="770"/>
        <v>0</v>
      </c>
      <c r="O1807" s="1364">
        <f t="shared" si="770"/>
        <v>0</v>
      </c>
      <c r="P1807" s="1364">
        <f t="shared" si="770"/>
        <v>0</v>
      </c>
      <c r="Q1807" s="1364">
        <f t="shared" si="770"/>
        <v>0</v>
      </c>
      <c r="R1807" s="1358"/>
      <c r="V1807" s="1320" t="s">
        <v>6048</v>
      </c>
    </row>
    <row r="1808" spans="1:25">
      <c r="A1808" s="1320" t="s">
        <v>5915</v>
      </c>
      <c r="C1808" s="1322">
        <v>160</v>
      </c>
      <c r="D1808" s="1320" t="s">
        <v>5239</v>
      </c>
      <c r="E1808" s="1320" t="s">
        <v>4067</v>
      </c>
      <c r="F1808" s="1358">
        <f t="shared" si="771"/>
        <v>0</v>
      </c>
      <c r="G1808" s="1358">
        <f t="shared" si="769"/>
        <v>0</v>
      </c>
      <c r="H1808" s="1358">
        <f t="shared" si="769"/>
        <v>0</v>
      </c>
      <c r="I1808" s="1525"/>
      <c r="J1808" s="1364">
        <f t="shared" si="770"/>
        <v>0</v>
      </c>
      <c r="K1808" s="1364">
        <f t="shared" si="770"/>
        <v>0</v>
      </c>
      <c r="L1808" s="1364">
        <f t="shared" si="770"/>
        <v>0</v>
      </c>
      <c r="M1808" s="1364">
        <f t="shared" si="770"/>
        <v>0</v>
      </c>
      <c r="N1808" s="1364">
        <f t="shared" si="770"/>
        <v>0</v>
      </c>
      <c r="O1808" s="1364">
        <f t="shared" si="770"/>
        <v>0</v>
      </c>
      <c r="P1808" s="1364">
        <f t="shared" si="770"/>
        <v>0</v>
      </c>
      <c r="Q1808" s="1364">
        <f t="shared" si="770"/>
        <v>0</v>
      </c>
      <c r="R1808" s="1358"/>
      <c r="V1808" s="1320" t="s">
        <v>6049</v>
      </c>
      <c r="Y1808" s="1324"/>
    </row>
    <row r="1809" spans="1:25">
      <c r="A1809" s="1320" t="s">
        <v>5915</v>
      </c>
      <c r="C1809" s="1322">
        <v>161</v>
      </c>
      <c r="D1809" s="1320" t="s">
        <v>5240</v>
      </c>
      <c r="E1809" s="1320" t="s">
        <v>4067</v>
      </c>
      <c r="F1809" s="1358">
        <f t="shared" si="771"/>
        <v>0</v>
      </c>
      <c r="G1809" s="1358">
        <f t="shared" si="769"/>
        <v>0</v>
      </c>
      <c r="H1809" s="1358">
        <f t="shared" si="769"/>
        <v>0</v>
      </c>
      <c r="I1809" s="1525"/>
      <c r="J1809" s="1364">
        <f t="shared" si="770"/>
        <v>0</v>
      </c>
      <c r="K1809" s="1364">
        <f t="shared" si="770"/>
        <v>0</v>
      </c>
      <c r="L1809" s="1364">
        <f t="shared" si="770"/>
        <v>0</v>
      </c>
      <c r="M1809" s="1364">
        <f t="shared" si="770"/>
        <v>0</v>
      </c>
      <c r="N1809" s="1364">
        <f t="shared" si="770"/>
        <v>0</v>
      </c>
      <c r="O1809" s="1364">
        <f t="shared" si="770"/>
        <v>0</v>
      </c>
      <c r="P1809" s="1364">
        <f t="shared" si="770"/>
        <v>0</v>
      </c>
      <c r="Q1809" s="1364">
        <f t="shared" si="770"/>
        <v>0</v>
      </c>
      <c r="R1809" s="1358"/>
      <c r="V1809" s="1320" t="s">
        <v>6050</v>
      </c>
      <c r="Y1809" s="1324"/>
    </row>
    <row r="1810" spans="1:25">
      <c r="A1810" s="1320" t="s">
        <v>5915</v>
      </c>
      <c r="C1810" s="1322">
        <v>162</v>
      </c>
      <c r="D1810" s="1320" t="s">
        <v>5241</v>
      </c>
      <c r="E1810" s="1320" t="s">
        <v>4067</v>
      </c>
      <c r="F1810" s="1358">
        <f t="shared" si="771"/>
        <v>0</v>
      </c>
      <c r="G1810" s="1358">
        <f t="shared" si="769"/>
        <v>0</v>
      </c>
      <c r="H1810" s="1358">
        <f t="shared" si="769"/>
        <v>0</v>
      </c>
      <c r="I1810" s="1525"/>
      <c r="J1810" s="1364">
        <f t="shared" si="770"/>
        <v>0</v>
      </c>
      <c r="K1810" s="1364">
        <f t="shared" si="770"/>
        <v>0</v>
      </c>
      <c r="L1810" s="1364">
        <f t="shared" si="770"/>
        <v>0</v>
      </c>
      <c r="M1810" s="1364">
        <f t="shared" si="770"/>
        <v>0</v>
      </c>
      <c r="N1810" s="1364">
        <f t="shared" si="770"/>
        <v>0</v>
      </c>
      <c r="O1810" s="1364">
        <f t="shared" si="770"/>
        <v>0</v>
      </c>
      <c r="P1810" s="1364">
        <f t="shared" si="770"/>
        <v>0</v>
      </c>
      <c r="Q1810" s="1364">
        <f t="shared" si="770"/>
        <v>0</v>
      </c>
      <c r="R1810" s="1358"/>
      <c r="V1810" s="1320" t="s">
        <v>6051</v>
      </c>
      <c r="Y1810" s="1324"/>
    </row>
    <row r="1811" spans="1:25">
      <c r="A1811" s="1320" t="s">
        <v>5915</v>
      </c>
      <c r="C1811" s="1322">
        <v>163</v>
      </c>
      <c r="D1811" s="1320" t="s">
        <v>5242</v>
      </c>
      <c r="E1811" s="1320" t="s">
        <v>4071</v>
      </c>
      <c r="F1811" s="1358">
        <f t="shared" si="771"/>
        <v>0</v>
      </c>
      <c r="G1811" s="1358">
        <f t="shared" si="769"/>
        <v>0</v>
      </c>
      <c r="H1811" s="1358">
        <f t="shared" si="769"/>
        <v>0</v>
      </c>
      <c r="I1811" s="1525"/>
      <c r="J1811" s="1364">
        <f t="shared" si="770"/>
        <v>0</v>
      </c>
      <c r="K1811" s="1364">
        <f t="shared" si="770"/>
        <v>0</v>
      </c>
      <c r="L1811" s="1364">
        <f t="shared" si="770"/>
        <v>0</v>
      </c>
      <c r="M1811" s="1364">
        <f t="shared" si="770"/>
        <v>0</v>
      </c>
      <c r="N1811" s="1364">
        <f t="shared" si="770"/>
        <v>0</v>
      </c>
      <c r="O1811" s="1364">
        <f t="shared" si="770"/>
        <v>0</v>
      </c>
      <c r="P1811" s="1364">
        <f t="shared" si="770"/>
        <v>0</v>
      </c>
      <c r="Q1811" s="1364">
        <f t="shared" si="770"/>
        <v>0</v>
      </c>
      <c r="R1811" s="1358"/>
      <c r="V1811" s="1320" t="s">
        <v>6052</v>
      </c>
      <c r="Y1811" s="1324"/>
    </row>
    <row r="1812" spans="1:25">
      <c r="A1812" s="1320" t="s">
        <v>5915</v>
      </c>
      <c r="C1812" s="1322">
        <v>164</v>
      </c>
      <c r="D1812" s="1320" t="s">
        <v>5244</v>
      </c>
      <c r="E1812" s="1320" t="s">
        <v>4071</v>
      </c>
      <c r="F1812" s="1350">
        <f t="shared" si="771"/>
        <v>0</v>
      </c>
      <c r="G1812" s="1350">
        <f t="shared" si="769"/>
        <v>0</v>
      </c>
      <c r="H1812" s="1350">
        <f t="shared" si="769"/>
        <v>0</v>
      </c>
      <c r="I1812" s="1525"/>
      <c r="J1812" s="1366">
        <f t="shared" si="770"/>
        <v>0</v>
      </c>
      <c r="K1812" s="1366">
        <f t="shared" si="770"/>
        <v>0</v>
      </c>
      <c r="L1812" s="1366">
        <f t="shared" si="770"/>
        <v>0</v>
      </c>
      <c r="M1812" s="1366">
        <f t="shared" si="770"/>
        <v>0</v>
      </c>
      <c r="N1812" s="1366">
        <f t="shared" si="770"/>
        <v>0</v>
      </c>
      <c r="O1812" s="1366">
        <f t="shared" si="770"/>
        <v>0</v>
      </c>
      <c r="P1812" s="1366">
        <f t="shared" si="770"/>
        <v>0</v>
      </c>
      <c r="Q1812" s="1366">
        <f t="shared" si="770"/>
        <v>0</v>
      </c>
      <c r="R1812" s="1358"/>
      <c r="V1812" s="1320" t="s">
        <v>6053</v>
      </c>
      <c r="Y1812" s="1324"/>
    </row>
    <row r="1813" spans="1:25">
      <c r="A1813" s="1320" t="s">
        <v>5915</v>
      </c>
      <c r="C1813" s="1322">
        <v>165</v>
      </c>
      <c r="D1813" s="1320" t="s">
        <v>5546</v>
      </c>
      <c r="F1813" s="1350">
        <f>SUM(F1805:F1812)</f>
        <v>0</v>
      </c>
      <c r="G1813" s="1350">
        <f>SUM(G1805:G1812)</f>
        <v>0</v>
      </c>
      <c r="H1813" s="1350">
        <f>SUM(H1805:H1812)</f>
        <v>0</v>
      </c>
      <c r="I1813" s="1525"/>
      <c r="J1813" s="1366">
        <f t="shared" ref="J1813:Q1813" si="772">SUM(J1805:J1812)</f>
        <v>0</v>
      </c>
      <c r="K1813" s="1366">
        <f t="shared" si="772"/>
        <v>0</v>
      </c>
      <c r="L1813" s="1366">
        <f t="shared" si="772"/>
        <v>0</v>
      </c>
      <c r="M1813" s="1366">
        <f t="shared" si="772"/>
        <v>0</v>
      </c>
      <c r="N1813" s="1366">
        <f t="shared" si="772"/>
        <v>0</v>
      </c>
      <c r="O1813" s="1366">
        <f t="shared" si="772"/>
        <v>0</v>
      </c>
      <c r="P1813" s="1366">
        <f t="shared" si="772"/>
        <v>0</v>
      </c>
      <c r="Q1813" s="1366">
        <f t="shared" si="772"/>
        <v>0</v>
      </c>
      <c r="R1813" s="1358"/>
      <c r="V1813" s="1320" t="s">
        <v>6054</v>
      </c>
      <c r="Y1813" s="1324"/>
    </row>
    <row r="1814" spans="1:25">
      <c r="A1814" s="1320" t="s">
        <v>5915</v>
      </c>
      <c r="C1814" s="1322">
        <v>166</v>
      </c>
      <c r="F1814" s="1358"/>
      <c r="G1814" s="1358"/>
      <c r="H1814" s="1358"/>
      <c r="I1814" s="1525"/>
      <c r="J1814" s="1364"/>
      <c r="K1814" s="1364"/>
      <c r="L1814" s="1364"/>
      <c r="M1814" s="1367"/>
      <c r="N1814" s="1367"/>
      <c r="O1814" s="1367"/>
      <c r="P1814" s="1364"/>
      <c r="Q1814" s="1364"/>
      <c r="R1814" s="1358"/>
      <c r="Y1814" s="1324"/>
    </row>
    <row r="1815" spans="1:25">
      <c r="A1815" s="1320" t="s">
        <v>5915</v>
      </c>
      <c r="C1815" s="1322">
        <v>167</v>
      </c>
      <c r="D1815" s="1356" t="s">
        <v>6055</v>
      </c>
      <c r="G1815" s="1320"/>
      <c r="I1815" s="1525"/>
      <c r="R1815" s="1358"/>
      <c r="Y1815" s="1324"/>
    </row>
    <row r="1816" spans="1:25">
      <c r="A1816" s="1320" t="s">
        <v>5915</v>
      </c>
      <c r="C1816" s="1322">
        <v>168</v>
      </c>
      <c r="D1816" s="1320" t="s">
        <v>5265</v>
      </c>
      <c r="E1816" s="1320" t="s">
        <v>4067</v>
      </c>
      <c r="F1816" s="1320">
        <f t="shared" ref="F1816:H1823" si="773">+F318</f>
        <v>159622.03948402521</v>
      </c>
      <c r="G1816" s="1320">
        <f t="shared" si="773"/>
        <v>0</v>
      </c>
      <c r="H1816" s="1320">
        <f t="shared" si="773"/>
        <v>159622.03948402521</v>
      </c>
      <c r="I1816" s="1525"/>
      <c r="J1816" s="1324">
        <f t="shared" ref="J1816:Q1823" si="774">+J318</f>
        <v>159622.03948402521</v>
      </c>
      <c r="K1816" s="1324">
        <f t="shared" si="774"/>
        <v>92582.86439187736</v>
      </c>
      <c r="L1816" s="1324">
        <f t="shared" si="774"/>
        <v>7637.1524701670596</v>
      </c>
      <c r="M1816" s="1324">
        <f t="shared" si="774"/>
        <v>48820.478930813209</v>
      </c>
      <c r="N1816" s="1325">
        <f t="shared" si="774"/>
        <v>6094.5894790045186</v>
      </c>
      <c r="O1816" s="1325">
        <f t="shared" si="774"/>
        <v>4373.7833660326842</v>
      </c>
      <c r="P1816" s="1325">
        <f t="shared" si="774"/>
        <v>113.17084613037136</v>
      </c>
      <c r="Q1816" s="1324">
        <f t="shared" si="774"/>
        <v>0</v>
      </c>
      <c r="R1816" s="1358"/>
      <c r="V1816" s="1320" t="s">
        <v>5507</v>
      </c>
    </row>
    <row r="1817" spans="1:25">
      <c r="A1817" s="1320" t="s">
        <v>5915</v>
      </c>
      <c r="C1817" s="1322">
        <v>169</v>
      </c>
      <c r="D1817" s="1320" t="s">
        <v>5265</v>
      </c>
      <c r="E1817" s="1320" t="s">
        <v>2067</v>
      </c>
      <c r="F1817" s="1320">
        <f t="shared" si="773"/>
        <v>41606.418583832929</v>
      </c>
      <c r="G1817" s="1320">
        <f t="shared" si="773"/>
        <v>0</v>
      </c>
      <c r="H1817" s="1320">
        <f t="shared" si="773"/>
        <v>41606.418583832929</v>
      </c>
      <c r="I1817" s="1525"/>
      <c r="J1817" s="1324">
        <f t="shared" si="774"/>
        <v>41606.418583832929</v>
      </c>
      <c r="K1817" s="1324">
        <f t="shared" si="774"/>
        <v>20996.021141954727</v>
      </c>
      <c r="L1817" s="1324">
        <f t="shared" si="774"/>
        <v>1940.2781394493284</v>
      </c>
      <c r="M1817" s="1324">
        <f t="shared" si="774"/>
        <v>14454.318510025485</v>
      </c>
      <c r="N1817" s="1325">
        <f t="shared" si="774"/>
        <v>2300.8950992486625</v>
      </c>
      <c r="O1817" s="1325">
        <f t="shared" si="774"/>
        <v>1695.0967183316852</v>
      </c>
      <c r="P1817" s="1325">
        <f t="shared" si="774"/>
        <v>219.80897482304056</v>
      </c>
      <c r="Q1817" s="1324">
        <f t="shared" si="774"/>
        <v>0</v>
      </c>
      <c r="R1817" s="1358"/>
      <c r="V1817" s="1320" t="s">
        <v>5508</v>
      </c>
    </row>
    <row r="1818" spans="1:25">
      <c r="A1818" s="1320" t="s">
        <v>5915</v>
      </c>
      <c r="C1818" s="1322">
        <v>170</v>
      </c>
      <c r="D1818" s="1320" t="s">
        <v>5268</v>
      </c>
      <c r="E1818" s="1320" t="s">
        <v>4067</v>
      </c>
      <c r="F1818" s="1320">
        <f t="shared" si="773"/>
        <v>4045.8701124403733</v>
      </c>
      <c r="G1818" s="1320">
        <f t="shared" si="773"/>
        <v>262.11920423899039</v>
      </c>
      <c r="H1818" s="1320">
        <f t="shared" si="773"/>
        <v>3783.7509082013821</v>
      </c>
      <c r="I1818" s="1525"/>
      <c r="J1818" s="1324">
        <f t="shared" si="774"/>
        <v>3783.7509082013821</v>
      </c>
      <c r="K1818" s="1324">
        <f t="shared" si="774"/>
        <v>2194.6248673367572</v>
      </c>
      <c r="L1818" s="1324">
        <f t="shared" si="774"/>
        <v>181.03441535063851</v>
      </c>
      <c r="M1818" s="1324">
        <f t="shared" si="774"/>
        <v>1157.2620678849175</v>
      </c>
      <c r="N1818" s="1325">
        <f t="shared" si="774"/>
        <v>144.46882492442904</v>
      </c>
      <c r="O1818" s="1325">
        <f t="shared" si="774"/>
        <v>103.67808127873536</v>
      </c>
      <c r="P1818" s="1325">
        <f t="shared" si="774"/>
        <v>2.6826514259051697</v>
      </c>
      <c r="Q1818" s="1324">
        <f t="shared" si="774"/>
        <v>0</v>
      </c>
      <c r="R1818" s="1358"/>
      <c r="V1818" s="1320" t="s">
        <v>5509</v>
      </c>
    </row>
    <row r="1819" spans="1:25">
      <c r="A1819" s="1320" t="s">
        <v>5915</v>
      </c>
      <c r="C1819" s="1322">
        <v>171</v>
      </c>
      <c r="D1819" s="1320" t="s">
        <v>5239</v>
      </c>
      <c r="E1819" s="1320" t="s">
        <v>4067</v>
      </c>
      <c r="F1819" s="1320">
        <f t="shared" si="773"/>
        <v>12410.707503730187</v>
      </c>
      <c r="G1819" s="1320">
        <f t="shared" si="773"/>
        <v>804.05071950232241</v>
      </c>
      <c r="H1819" s="1320">
        <f t="shared" si="773"/>
        <v>11606.656784227866</v>
      </c>
      <c r="I1819" s="1525"/>
      <c r="J1819" s="1324">
        <f t="shared" si="774"/>
        <v>11606.656784227866</v>
      </c>
      <c r="K1819" s="1324">
        <f t="shared" si="774"/>
        <v>6732.0122870925625</v>
      </c>
      <c r="L1819" s="1324">
        <f t="shared" si="774"/>
        <v>555.32311087228186</v>
      </c>
      <c r="M1819" s="1324">
        <f t="shared" si="774"/>
        <v>3549.901660342372</v>
      </c>
      <c r="N1819" s="1325">
        <f t="shared" si="774"/>
        <v>443.15815380025214</v>
      </c>
      <c r="O1819" s="1325">
        <f t="shared" si="774"/>
        <v>318.03253825225534</v>
      </c>
      <c r="P1819" s="1325">
        <f t="shared" si="774"/>
        <v>8.229033868141622</v>
      </c>
      <c r="Q1819" s="1324">
        <f t="shared" si="774"/>
        <v>0</v>
      </c>
      <c r="R1819" s="1358"/>
      <c r="V1819" s="1320" t="s">
        <v>5510</v>
      </c>
    </row>
    <row r="1820" spans="1:25">
      <c r="A1820" s="1320" t="s">
        <v>5915</v>
      </c>
      <c r="C1820" s="1322">
        <v>172</v>
      </c>
      <c r="D1820" s="1320" t="s">
        <v>5240</v>
      </c>
      <c r="E1820" s="1320" t="s">
        <v>4067</v>
      </c>
      <c r="F1820" s="1320">
        <f t="shared" si="773"/>
        <v>58782.428641817736</v>
      </c>
      <c r="G1820" s="1320">
        <f t="shared" si="773"/>
        <v>0</v>
      </c>
      <c r="H1820" s="1320">
        <f t="shared" si="773"/>
        <v>58782.428641817736</v>
      </c>
      <c r="I1820" s="1525"/>
      <c r="J1820" s="1324">
        <f t="shared" si="774"/>
        <v>58782.428641817736</v>
      </c>
      <c r="K1820" s="1324">
        <f t="shared" si="774"/>
        <v>36587.124815440024</v>
      </c>
      <c r="L1820" s="1324">
        <f t="shared" si="774"/>
        <v>2602.1680795558191</v>
      </c>
      <c r="M1820" s="1324">
        <f t="shared" si="774"/>
        <v>17423.140018458958</v>
      </c>
      <c r="N1820" s="1325">
        <f t="shared" si="774"/>
        <v>1832.564018720811</v>
      </c>
      <c r="O1820" s="1325">
        <f t="shared" si="774"/>
        <v>1.2512390115346165E-3</v>
      </c>
      <c r="P1820" s="1325">
        <f t="shared" si="774"/>
        <v>337.43045840313516</v>
      </c>
      <c r="Q1820" s="1324">
        <f t="shared" si="774"/>
        <v>0</v>
      </c>
      <c r="R1820" s="1358"/>
      <c r="V1820" s="1320" t="s">
        <v>5511</v>
      </c>
      <c r="Y1820" s="1324"/>
    </row>
    <row r="1821" spans="1:25">
      <c r="A1821" s="1320" t="s">
        <v>5915</v>
      </c>
      <c r="C1821" s="1322">
        <v>173</v>
      </c>
      <c r="D1821" s="1320" t="s">
        <v>5241</v>
      </c>
      <c r="E1821" s="1320" t="s">
        <v>4067</v>
      </c>
      <c r="F1821" s="1320">
        <f t="shared" si="773"/>
        <v>9777.0558428558634</v>
      </c>
      <c r="G1821" s="1320">
        <f t="shared" si="773"/>
        <v>0</v>
      </c>
      <c r="H1821" s="1320">
        <f t="shared" si="773"/>
        <v>9777.0558428558634</v>
      </c>
      <c r="I1821" s="1525"/>
      <c r="J1821" s="1324">
        <f t="shared" si="774"/>
        <v>9777.0558428558634</v>
      </c>
      <c r="K1821" s="1324">
        <f t="shared" si="774"/>
        <v>7133.665140468629</v>
      </c>
      <c r="L1821" s="1324">
        <f t="shared" si="774"/>
        <v>574.40162019538707</v>
      </c>
      <c r="M1821" s="1324">
        <f t="shared" si="774"/>
        <v>2033.6212846129124</v>
      </c>
      <c r="N1821" s="1325">
        <f t="shared" si="774"/>
        <v>0</v>
      </c>
      <c r="O1821" s="1325">
        <f t="shared" si="774"/>
        <v>0</v>
      </c>
      <c r="P1821" s="1325">
        <f t="shared" si="774"/>
        <v>35.36779757893472</v>
      </c>
      <c r="Q1821" s="1324">
        <f t="shared" si="774"/>
        <v>0</v>
      </c>
      <c r="R1821" s="1358"/>
      <c r="V1821" s="1320" t="s">
        <v>5512</v>
      </c>
      <c r="Y1821" s="1324"/>
    </row>
    <row r="1822" spans="1:25">
      <c r="A1822" s="1320" t="s">
        <v>5915</v>
      </c>
      <c r="C1822" s="1322">
        <v>174</v>
      </c>
      <c r="D1822" s="1320" t="s">
        <v>5242</v>
      </c>
      <c r="E1822" s="1320" t="s">
        <v>4071</v>
      </c>
      <c r="F1822" s="1320">
        <f t="shared" si="773"/>
        <v>38382.168295255775</v>
      </c>
      <c r="G1822" s="1320">
        <f t="shared" si="773"/>
        <v>0</v>
      </c>
      <c r="H1822" s="1320">
        <f t="shared" si="773"/>
        <v>38382.168295255775</v>
      </c>
      <c r="I1822" s="1525"/>
      <c r="J1822" s="1324">
        <f t="shared" si="774"/>
        <v>38382.168295255775</v>
      </c>
      <c r="K1822" s="1324">
        <f t="shared" si="774"/>
        <v>21544.192245294515</v>
      </c>
      <c r="L1822" s="1324">
        <f t="shared" si="774"/>
        <v>4185.9635014247515</v>
      </c>
      <c r="M1822" s="1324">
        <f t="shared" si="774"/>
        <v>2403.9105902686488</v>
      </c>
      <c r="N1822" s="1325">
        <f t="shared" si="774"/>
        <v>180.57746666816001</v>
      </c>
      <c r="O1822" s="1325">
        <f t="shared" si="774"/>
        <v>197.01759643821063</v>
      </c>
      <c r="P1822" s="1325">
        <f t="shared" si="774"/>
        <v>40.467143094960882</v>
      </c>
      <c r="Q1822" s="1324">
        <f t="shared" si="774"/>
        <v>9830.0397520665319</v>
      </c>
      <c r="R1822" s="1358"/>
      <c r="V1822" s="1320" t="s">
        <v>5513</v>
      </c>
      <c r="Y1822" s="1324"/>
    </row>
    <row r="1823" spans="1:25">
      <c r="A1823" s="1320" t="s">
        <v>5915</v>
      </c>
      <c r="C1823" s="1322">
        <v>175</v>
      </c>
      <c r="D1823" s="1320" t="s">
        <v>5244</v>
      </c>
      <c r="E1823" s="1320" t="s">
        <v>4071</v>
      </c>
      <c r="F1823" s="1350">
        <f t="shared" si="773"/>
        <v>68841.128986264681</v>
      </c>
      <c r="G1823" s="1350">
        <f t="shared" si="773"/>
        <v>0</v>
      </c>
      <c r="H1823" s="1350">
        <f t="shared" si="773"/>
        <v>68841.128986264681</v>
      </c>
      <c r="I1823" s="1525"/>
      <c r="J1823" s="1366">
        <f t="shared" si="774"/>
        <v>68841.128986264681</v>
      </c>
      <c r="K1823" s="1366">
        <f t="shared" si="774"/>
        <v>59809.640671587651</v>
      </c>
      <c r="L1823" s="1366">
        <f t="shared" si="774"/>
        <v>5825.1651118337631</v>
      </c>
      <c r="M1823" s="1366">
        <f t="shared" si="774"/>
        <v>2575.0388485428939</v>
      </c>
      <c r="N1823" s="1378">
        <f t="shared" si="774"/>
        <v>179.5122865880362</v>
      </c>
      <c r="O1823" s="1378">
        <f t="shared" si="774"/>
        <v>94.498564225009261</v>
      </c>
      <c r="P1823" s="1378">
        <f t="shared" si="774"/>
        <v>54.365409322181975</v>
      </c>
      <c r="Q1823" s="1366">
        <f t="shared" si="774"/>
        <v>302.90809416513594</v>
      </c>
      <c r="R1823" s="1358"/>
      <c r="V1823" s="1320" t="s">
        <v>5514</v>
      </c>
      <c r="Y1823" s="1324"/>
    </row>
    <row r="1824" spans="1:25">
      <c r="A1824" s="1320" t="s">
        <v>5915</v>
      </c>
      <c r="C1824" s="1322">
        <v>176</v>
      </c>
      <c r="D1824" s="1320" t="s">
        <v>6056</v>
      </c>
      <c r="F1824" s="1350">
        <f>SUM(F1816:F1823)</f>
        <v>393467.81745022279</v>
      </c>
      <c r="G1824" s="1350">
        <f>SUM(G1816:G1823)</f>
        <v>1066.1699237413127</v>
      </c>
      <c r="H1824" s="1350">
        <f>SUM(H1816:H1823)</f>
        <v>392401.64752648154</v>
      </c>
      <c r="I1824" s="1525"/>
      <c r="J1824" s="1366">
        <f t="shared" ref="J1824:Q1824" si="775">SUM(J1816:J1823)</f>
        <v>392401.64752648154</v>
      </c>
      <c r="K1824" s="1366">
        <f t="shared" si="775"/>
        <v>247580.14556105225</v>
      </c>
      <c r="L1824" s="1366">
        <f t="shared" si="775"/>
        <v>23501.486448849028</v>
      </c>
      <c r="M1824" s="1366">
        <f t="shared" si="775"/>
        <v>92417.671910949386</v>
      </c>
      <c r="N1824" s="1378">
        <f t="shared" si="775"/>
        <v>11175.765328954869</v>
      </c>
      <c r="O1824" s="1378">
        <f>SUM(O1816:O1823)</f>
        <v>6782.1081157975914</v>
      </c>
      <c r="P1824" s="1378">
        <f>SUM(P1816:P1823)</f>
        <v>811.52231464667159</v>
      </c>
      <c r="Q1824" s="1366">
        <f t="shared" si="775"/>
        <v>10132.947846231667</v>
      </c>
      <c r="R1824" s="1358"/>
      <c r="V1824" s="1320" t="s">
        <v>6057</v>
      </c>
      <c r="Y1824" s="1324"/>
    </row>
    <row r="1825" spans="1:25">
      <c r="F1825" s="1358"/>
      <c r="G1825" s="1358"/>
      <c r="H1825" s="1358"/>
      <c r="J1825" s="1364"/>
      <c r="K1825" s="1364"/>
      <c r="L1825" s="1364"/>
      <c r="M1825" s="1367"/>
      <c r="N1825" s="1367"/>
      <c r="O1825" s="1367"/>
      <c r="P1825" s="1364"/>
      <c r="Q1825" s="1364"/>
      <c r="R1825" s="1358"/>
      <c r="Y1825" s="1324"/>
    </row>
    <row r="1826" spans="1:25">
      <c r="G1826" s="1320"/>
      <c r="Y1826" s="1324"/>
    </row>
    <row r="1827" spans="1:25">
      <c r="G1827" s="1320"/>
      <c r="Y1827" s="1324"/>
    </row>
    <row r="1828" spans="1:25">
      <c r="G1828" s="1320"/>
      <c r="Y1828" s="1324"/>
    </row>
    <row r="1829" spans="1:25">
      <c r="G1829" s="1320"/>
      <c r="Y1829" s="1324"/>
    </row>
    <row r="1830" spans="1:25">
      <c r="B1830" s="1331"/>
      <c r="C1830" s="1340" t="str">
        <f>+C$2</f>
        <v>RATES WITH REVENUE DEFICIENCY ADDITION</v>
      </c>
      <c r="F1830" s="1333"/>
      <c r="G1830" s="1327" t="s">
        <v>2173</v>
      </c>
      <c r="I1830" s="1334" t="s">
        <v>6038</v>
      </c>
      <c r="L1830" s="1329" t="s">
        <v>2173</v>
      </c>
      <c r="M1830" s="1330"/>
      <c r="N1830" s="1330"/>
      <c r="O1830" s="1330"/>
      <c r="S1830" s="1334" t="s">
        <v>6058</v>
      </c>
      <c r="T1830" s="1333" t="s">
        <v>2173</v>
      </c>
      <c r="U1830" s="1431"/>
      <c r="V1830" s="1332" t="s">
        <v>4772</v>
      </c>
    </row>
    <row r="1831" spans="1:25">
      <c r="B1831" s="1331"/>
      <c r="C1831" s="1340" t="str">
        <f>+C$3</f>
        <v>PROD. CAP. ALLOC. METHOD: 12 CP &amp; 1/13th AD</v>
      </c>
      <c r="G1831" s="1336" t="s">
        <v>4768</v>
      </c>
      <c r="I1831" s="1335" t="s">
        <v>6039</v>
      </c>
      <c r="L1831" s="1336" t="s">
        <v>5141</v>
      </c>
      <c r="M1831" s="1337"/>
      <c r="N1831" s="1337"/>
      <c r="O1831" s="1337"/>
      <c r="R1831" s="1331"/>
      <c r="S1831" s="1335" t="s">
        <v>6059</v>
      </c>
      <c r="T1831" s="1333" t="s">
        <v>5141</v>
      </c>
      <c r="V1831" s="1332" t="s">
        <v>6058</v>
      </c>
    </row>
    <row r="1832" spans="1:25">
      <c r="C1832" s="1340" t="str">
        <f>+C$4</f>
        <v>PROJECTED CALENDAR YEAR 2025; FULLY ADJUSTED DATA</v>
      </c>
      <c r="F1832" s="1333"/>
      <c r="G1832" s="1336" t="s">
        <v>2181</v>
      </c>
      <c r="L1832" s="1336" t="s">
        <v>2181</v>
      </c>
      <c r="T1832" s="1339"/>
    </row>
    <row r="1833" spans="1:25">
      <c r="C1833" s="1340" t="str">
        <f>+C$5</f>
        <v>MINIMUM DISTRIBUTION SYSTEM (MDS) NOT EMPLOYED</v>
      </c>
      <c r="G1833" s="1320"/>
      <c r="L1833" s="1336"/>
      <c r="M1833" s="1337"/>
      <c r="N1833" s="1337"/>
      <c r="O1833" s="1337"/>
      <c r="T1833" s="1333"/>
    </row>
    <row r="1834" spans="1:25">
      <c r="C1834" s="1340" t="str">
        <f>+C$6</f>
        <v>Tampa Electric 2025 OB Budget</v>
      </c>
      <c r="F1834" s="1327"/>
      <c r="G1834" s="1333" t="s">
        <v>5912</v>
      </c>
      <c r="L1834" s="1336" t="s">
        <v>5912</v>
      </c>
      <c r="M1834" s="1337"/>
      <c r="N1834" s="1337"/>
      <c r="O1834" s="1337"/>
      <c r="T1834" s="1333" t="s">
        <v>5912</v>
      </c>
    </row>
    <row r="1835" spans="1:25">
      <c r="F1835" s="1333"/>
      <c r="G1835" s="1320"/>
      <c r="L1835" s="1336"/>
      <c r="M1835" s="1337"/>
      <c r="N1835" s="1337"/>
      <c r="O1835" s="1337"/>
    </row>
    <row r="1836" spans="1:25">
      <c r="F1836" s="1333"/>
      <c r="G1836" s="1320"/>
      <c r="L1836" s="1336"/>
      <c r="M1836" s="1337"/>
      <c r="N1836" s="1337"/>
      <c r="O1836" s="1337"/>
    </row>
    <row r="1837" spans="1:25">
      <c r="F1837" s="1339"/>
      <c r="G1837" s="1320"/>
    </row>
    <row r="1838" spans="1:25">
      <c r="G1838" s="1320"/>
    </row>
    <row r="1839" spans="1:25" ht="27.6">
      <c r="A1839" s="1418" t="s">
        <v>4683</v>
      </c>
      <c r="C1839" s="1349" t="s">
        <v>4297</v>
      </c>
      <c r="D1839" s="1418"/>
      <c r="E1839" s="1418"/>
      <c r="F1839" s="1348" t="s">
        <v>5144</v>
      </c>
      <c r="G1839" s="1348" t="s">
        <v>4956</v>
      </c>
      <c r="H1839" s="1348" t="s">
        <v>4957</v>
      </c>
      <c r="I1839" s="1426" t="s">
        <v>5145</v>
      </c>
      <c r="J1839" s="1352" t="s">
        <v>4957</v>
      </c>
      <c r="K1839" s="1353" t="s">
        <v>1949</v>
      </c>
      <c r="L1839" s="1353" t="s">
        <v>1950</v>
      </c>
      <c r="M1839" s="1354" t="s">
        <v>1934</v>
      </c>
      <c r="N1839" s="1354" t="s">
        <v>1971</v>
      </c>
      <c r="O1839" s="1354" t="s">
        <v>1972</v>
      </c>
      <c r="P1839" s="1352" t="s">
        <v>5146</v>
      </c>
      <c r="Q1839" s="1352" t="s">
        <v>5147</v>
      </c>
      <c r="R1839" s="1355"/>
      <c r="S1839" s="1350"/>
      <c r="T1839" s="1350"/>
      <c r="U1839" s="1366"/>
      <c r="V1839" s="1355" t="s">
        <v>4774</v>
      </c>
    </row>
    <row r="1840" spans="1:25">
      <c r="C1840" s="1397"/>
      <c r="D1840" s="1435"/>
      <c r="E1840" s="1435"/>
      <c r="F1840" s="1396"/>
      <c r="G1840" s="1396"/>
      <c r="H1840" s="1396"/>
      <c r="I1840" s="1442"/>
      <c r="J1840" s="1399"/>
      <c r="K1840" s="1360"/>
      <c r="L1840" s="1360"/>
      <c r="M1840" s="1361"/>
      <c r="N1840" s="1361"/>
      <c r="O1840" s="1361"/>
      <c r="P1840" s="1399"/>
      <c r="Q1840" s="1399"/>
      <c r="R1840" s="1346"/>
    </row>
    <row r="1841" spans="1:25">
      <c r="A1841" s="1320" t="s">
        <v>5915</v>
      </c>
      <c r="C1841" s="1322">
        <v>177</v>
      </c>
      <c r="D1841" s="1356" t="s">
        <v>6060</v>
      </c>
      <c r="G1841" s="1320"/>
    </row>
    <row r="1842" spans="1:25">
      <c r="A1842" s="1320" t="s">
        <v>5915</v>
      </c>
      <c r="C1842" s="1322">
        <v>178</v>
      </c>
      <c r="D1842" s="1320" t="s">
        <v>4813</v>
      </c>
      <c r="E1842" s="1320" t="s">
        <v>4067</v>
      </c>
      <c r="F1842" s="1320">
        <f t="shared" ref="F1842:H1843" si="776">+F185</f>
        <v>0</v>
      </c>
      <c r="G1842" s="1320">
        <f t="shared" si="776"/>
        <v>0</v>
      </c>
      <c r="H1842" s="1320">
        <f t="shared" si="776"/>
        <v>0</v>
      </c>
      <c r="J1842" s="1324">
        <f t="shared" ref="J1842:Q1843" si="777">+J185</f>
        <v>0</v>
      </c>
      <c r="K1842" s="1324">
        <f t="shared" si="777"/>
        <v>0</v>
      </c>
      <c r="L1842" s="1324">
        <f t="shared" si="777"/>
        <v>0</v>
      </c>
      <c r="M1842" s="1324">
        <f t="shared" si="777"/>
        <v>0</v>
      </c>
      <c r="N1842" s="1325">
        <f t="shared" si="777"/>
        <v>0</v>
      </c>
      <c r="O1842" s="1325">
        <f t="shared" si="777"/>
        <v>0</v>
      </c>
      <c r="P1842" s="1325">
        <f t="shared" si="777"/>
        <v>0</v>
      </c>
      <c r="Q1842" s="1324">
        <f t="shared" si="777"/>
        <v>0</v>
      </c>
      <c r="V1842" s="1320" t="s">
        <v>5517</v>
      </c>
    </row>
    <row r="1843" spans="1:25">
      <c r="A1843" s="1320" t="s">
        <v>5915</v>
      </c>
      <c r="C1843" s="1322">
        <v>179</v>
      </c>
      <c r="D1843" s="1320" t="s">
        <v>4814</v>
      </c>
      <c r="E1843" s="1320" t="s">
        <v>2067</v>
      </c>
      <c r="F1843" s="1350">
        <f t="shared" si="776"/>
        <v>626.46090775325297</v>
      </c>
      <c r="G1843" s="1350">
        <f t="shared" si="776"/>
        <v>0</v>
      </c>
      <c r="H1843" s="1350">
        <f t="shared" si="776"/>
        <v>626.46090775325297</v>
      </c>
      <c r="I1843" s="1525"/>
      <c r="J1843" s="1366">
        <f t="shared" si="777"/>
        <v>626.46090775325297</v>
      </c>
      <c r="K1843" s="1366">
        <f t="shared" si="777"/>
        <v>316.13358975594224</v>
      </c>
      <c r="L1843" s="1366">
        <f t="shared" si="777"/>
        <v>29.214444451259041</v>
      </c>
      <c r="M1843" s="1366">
        <f t="shared" si="777"/>
        <v>217.63626389760336</v>
      </c>
      <c r="N1843" s="1378">
        <f t="shared" si="777"/>
        <v>34.64419389080566</v>
      </c>
      <c r="O1843" s="1378">
        <f t="shared" si="777"/>
        <v>25.522788671559834</v>
      </c>
      <c r="P1843" s="1378">
        <f t="shared" si="777"/>
        <v>3.3096270860828403</v>
      </c>
      <c r="Q1843" s="1366">
        <f t="shared" si="777"/>
        <v>0</v>
      </c>
      <c r="R1843" s="1358"/>
      <c r="V1843" s="1320" t="s">
        <v>5518</v>
      </c>
      <c r="Y1843" s="1324"/>
    </row>
    <row r="1844" spans="1:25">
      <c r="A1844" s="1320" t="s">
        <v>5915</v>
      </c>
      <c r="C1844" s="1322">
        <v>180</v>
      </c>
      <c r="D1844" s="1320" t="s">
        <v>5519</v>
      </c>
      <c r="F1844" s="1350">
        <f>SUM(F1842:F1843)</f>
        <v>626.46090775325297</v>
      </c>
      <c r="G1844" s="1350">
        <f>SUM(G1842:G1843)</f>
        <v>0</v>
      </c>
      <c r="H1844" s="1350">
        <f>SUM(H1842:H1843)</f>
        <v>626.46090775325297</v>
      </c>
      <c r="I1844" s="1525"/>
      <c r="J1844" s="1366">
        <f t="shared" ref="J1844:Q1844" si="778">SUM(J1842:J1843)</f>
        <v>626.46090775325297</v>
      </c>
      <c r="K1844" s="1366">
        <f t="shared" si="778"/>
        <v>316.13358975594224</v>
      </c>
      <c r="L1844" s="1366">
        <f t="shared" si="778"/>
        <v>29.214444451259041</v>
      </c>
      <c r="M1844" s="1366">
        <f t="shared" si="778"/>
        <v>217.63626389760336</v>
      </c>
      <c r="N1844" s="1378">
        <f t="shared" si="778"/>
        <v>34.64419389080566</v>
      </c>
      <c r="O1844" s="1378">
        <f>SUM(O1842:O1843)</f>
        <v>25.522788671559834</v>
      </c>
      <c r="P1844" s="1378">
        <f>SUM(P1842:P1843)</f>
        <v>3.3096270860828403</v>
      </c>
      <c r="Q1844" s="1366">
        <f t="shared" si="778"/>
        <v>0</v>
      </c>
      <c r="R1844" s="1358"/>
      <c r="V1844" s="1320" t="s">
        <v>6061</v>
      </c>
      <c r="Y1844" s="1324"/>
    </row>
    <row r="1845" spans="1:25">
      <c r="A1845" s="1320" t="s">
        <v>5915</v>
      </c>
      <c r="C1845" s="1322">
        <v>181</v>
      </c>
      <c r="G1845" s="1320"/>
      <c r="I1845" s="1525"/>
    </row>
    <row r="1846" spans="1:25">
      <c r="A1846" s="1320" t="s">
        <v>5915</v>
      </c>
      <c r="C1846" s="1322">
        <v>182</v>
      </c>
      <c r="D1846" s="1356" t="s">
        <v>6062</v>
      </c>
      <c r="G1846" s="1320"/>
      <c r="I1846" s="1525"/>
    </row>
    <row r="1847" spans="1:25">
      <c r="A1847" s="1320" t="s">
        <v>5915</v>
      </c>
      <c r="C1847" s="1322">
        <v>183</v>
      </c>
      <c r="D1847" s="1320" t="s">
        <v>5265</v>
      </c>
      <c r="E1847" s="1320" t="s">
        <v>4067</v>
      </c>
      <c r="F1847" s="1320">
        <f t="shared" ref="F1847:H1848" si="779">+F1757+F1783+F1794+F1805+F1816+F1842</f>
        <v>917330.78567909112</v>
      </c>
      <c r="G1847" s="1320">
        <f t="shared" si="779"/>
        <v>0</v>
      </c>
      <c r="H1847" s="1320">
        <f t="shared" si="779"/>
        <v>917330.78567909112</v>
      </c>
      <c r="I1847" s="1525"/>
      <c r="J1847" s="1324">
        <f t="shared" ref="J1847:Q1848" si="780">+J1757+J1783+J1794+J1805+J1816+J1842</f>
        <v>917330.78567909112</v>
      </c>
      <c r="K1847" s="1324">
        <f t="shared" si="780"/>
        <v>532063.81780080695</v>
      </c>
      <c r="L1847" s="1324">
        <f t="shared" si="780"/>
        <v>43889.89827755266</v>
      </c>
      <c r="M1847" s="1324">
        <f t="shared" si="780"/>
        <v>280566.06994621438</v>
      </c>
      <c r="N1847" s="1325">
        <f t="shared" si="780"/>
        <v>35024.95377980842</v>
      </c>
      <c r="O1847" s="1325">
        <f>+O1757+O1783+O1794+O1805+O1816+O1842</f>
        <v>25135.665128213328</v>
      </c>
      <c r="P1847" s="1325">
        <f>+P1757+P1783+P1794+P1805+P1816+P1842</f>
        <v>650.38074649541613</v>
      </c>
      <c r="Q1847" s="1324">
        <f t="shared" si="780"/>
        <v>0</v>
      </c>
      <c r="V1847" s="1320" t="s">
        <v>6063</v>
      </c>
    </row>
    <row r="1848" spans="1:25">
      <c r="A1848" s="1320" t="s">
        <v>5915</v>
      </c>
      <c r="C1848" s="1322">
        <v>184</v>
      </c>
      <c r="D1848" s="1320" t="s">
        <v>5265</v>
      </c>
      <c r="E1848" s="1320" t="s">
        <v>2067</v>
      </c>
      <c r="F1848" s="1320">
        <f t="shared" si="779"/>
        <v>110450.09570390181</v>
      </c>
      <c r="G1848" s="1320">
        <f t="shared" si="779"/>
        <v>0</v>
      </c>
      <c r="H1848" s="1320">
        <f t="shared" si="779"/>
        <v>110450.09570390181</v>
      </c>
      <c r="I1848" s="1525"/>
      <c r="J1848" s="1324">
        <f t="shared" si="780"/>
        <v>110450.09570390181</v>
      </c>
      <c r="K1848" s="1324">
        <f t="shared" si="780"/>
        <v>55736.894052956231</v>
      </c>
      <c r="L1848" s="1324">
        <f t="shared" si="780"/>
        <v>5150.7414838545901</v>
      </c>
      <c r="M1848" s="1324">
        <f t="shared" si="780"/>
        <v>38371.023440776065</v>
      </c>
      <c r="N1848" s="1325">
        <f t="shared" si="780"/>
        <v>6108.0499732174185</v>
      </c>
      <c r="O1848" s="1325">
        <f>+O1758+O1784+O1795+O1806+O1817+O1843</f>
        <v>4499.8728835520178</v>
      </c>
      <c r="P1848" s="1325">
        <f>+P1758+P1784+P1795+P1806+P1817+P1843</f>
        <v>583.51386954548116</v>
      </c>
      <c r="Q1848" s="1324">
        <f t="shared" si="780"/>
        <v>0</v>
      </c>
      <c r="V1848" s="1320" t="s">
        <v>6064</v>
      </c>
    </row>
    <row r="1849" spans="1:25">
      <c r="A1849" s="1320" t="s">
        <v>5915</v>
      </c>
      <c r="C1849" s="1322">
        <v>185</v>
      </c>
      <c r="D1849" s="1320" t="s">
        <v>5268</v>
      </c>
      <c r="E1849" s="1320" t="s">
        <v>4067</v>
      </c>
      <c r="F1849" s="1320">
        <f t="shared" ref="F1849:H1854" si="781">+F1759+F1785+F1796+F1807+F1818</f>
        <v>61608.65080395306</v>
      </c>
      <c r="G1849" s="1320">
        <f t="shared" si="781"/>
        <v>3988.2136873356876</v>
      </c>
      <c r="H1849" s="1320">
        <f t="shared" si="781"/>
        <v>57620.437116617366</v>
      </c>
      <c r="I1849" s="1525"/>
      <c r="J1849" s="1324">
        <f t="shared" ref="J1849:Q1854" si="782">+J1759+J1785+J1796+J1807+J1818</f>
        <v>57620.437116617366</v>
      </c>
      <c r="K1849" s="1324">
        <f t="shared" si="782"/>
        <v>33420.604905266686</v>
      </c>
      <c r="L1849" s="1324">
        <f t="shared" si="782"/>
        <v>2756.8628059117132</v>
      </c>
      <c r="M1849" s="1324">
        <f t="shared" si="782"/>
        <v>17623.238904409522</v>
      </c>
      <c r="N1849" s="1325">
        <f t="shared" si="782"/>
        <v>2200.0277089663591</v>
      </c>
      <c r="O1849" s="1325">
        <f t="shared" si="782"/>
        <v>1578.8503280552011</v>
      </c>
      <c r="P1849" s="1325">
        <f t="shared" si="782"/>
        <v>40.852464007904466</v>
      </c>
      <c r="Q1849" s="1324">
        <f t="shared" si="782"/>
        <v>0</v>
      </c>
      <c r="V1849" s="1320" t="s">
        <v>6065</v>
      </c>
    </row>
    <row r="1850" spans="1:25">
      <c r="A1850" s="1320" t="s">
        <v>5915</v>
      </c>
      <c r="C1850" s="1322">
        <v>186</v>
      </c>
      <c r="D1850" s="1320" t="s">
        <v>5239</v>
      </c>
      <c r="E1850" s="1320" t="s">
        <v>4067</v>
      </c>
      <c r="F1850" s="1358">
        <f t="shared" si="781"/>
        <v>75389.79776469167</v>
      </c>
      <c r="G1850" s="1358">
        <f t="shared" si="781"/>
        <v>4880.7757190655466</v>
      </c>
      <c r="H1850" s="1358">
        <f t="shared" si="781"/>
        <v>70509.022045626101</v>
      </c>
      <c r="I1850" s="1525"/>
      <c r="J1850" s="1364">
        <f t="shared" si="782"/>
        <v>70509.022045626101</v>
      </c>
      <c r="K1850" s="1364">
        <f t="shared" si="782"/>
        <v>40896.152232833738</v>
      </c>
      <c r="L1850" s="1364">
        <f t="shared" si="782"/>
        <v>3373.5200579159891</v>
      </c>
      <c r="M1850" s="1364">
        <f t="shared" si="782"/>
        <v>21565.218915494646</v>
      </c>
      <c r="N1850" s="1367">
        <f t="shared" si="782"/>
        <v>2692.1316462516243</v>
      </c>
      <c r="O1850" s="1367">
        <f t="shared" si="782"/>
        <v>1932.0088176749225</v>
      </c>
      <c r="P1850" s="1367">
        <f t="shared" si="782"/>
        <v>49.990375455183312</v>
      </c>
      <c r="Q1850" s="1364">
        <f t="shared" si="782"/>
        <v>0</v>
      </c>
      <c r="R1850" s="1358"/>
      <c r="V1850" s="1320" t="s">
        <v>6066</v>
      </c>
      <c r="Y1850" s="1324"/>
    </row>
    <row r="1851" spans="1:25">
      <c r="A1851" s="1320" t="s">
        <v>5915</v>
      </c>
      <c r="C1851" s="1322">
        <v>187</v>
      </c>
      <c r="D1851" s="1320" t="s">
        <v>5240</v>
      </c>
      <c r="E1851" s="1320" t="s">
        <v>4067</v>
      </c>
      <c r="F1851" s="1358">
        <f t="shared" si="781"/>
        <v>288359.94445117947</v>
      </c>
      <c r="G1851" s="1358">
        <f t="shared" si="781"/>
        <v>0</v>
      </c>
      <c r="H1851" s="1358">
        <f t="shared" si="781"/>
        <v>288359.94445117947</v>
      </c>
      <c r="I1851" s="1525"/>
      <c r="J1851" s="1364">
        <f t="shared" si="782"/>
        <v>288359.94445117947</v>
      </c>
      <c r="K1851" s="1364">
        <f t="shared" si="782"/>
        <v>179479.84666804346</v>
      </c>
      <c r="L1851" s="1364">
        <f t="shared" si="782"/>
        <v>12765.056841144919</v>
      </c>
      <c r="M1851" s="1364">
        <f t="shared" si="782"/>
        <v>85470.025719791112</v>
      </c>
      <c r="N1851" s="1367">
        <f t="shared" si="782"/>
        <v>8989.7282376936873</v>
      </c>
      <c r="O1851" s="1367">
        <f t="shared" si="782"/>
        <v>6.1380113104852734E-3</v>
      </c>
      <c r="P1851" s="1367">
        <f t="shared" si="782"/>
        <v>1655.2808464950695</v>
      </c>
      <c r="Q1851" s="1364">
        <f t="shared" si="782"/>
        <v>0</v>
      </c>
      <c r="R1851" s="1358"/>
      <c r="V1851" s="1320" t="s">
        <v>6067</v>
      </c>
      <c r="Y1851" s="1324"/>
    </row>
    <row r="1852" spans="1:25">
      <c r="A1852" s="1320" t="s">
        <v>5915</v>
      </c>
      <c r="C1852" s="1322">
        <v>188</v>
      </c>
      <c r="D1852" s="1320" t="s">
        <v>5241</v>
      </c>
      <c r="E1852" s="1320" t="s">
        <v>4067</v>
      </c>
      <c r="F1852" s="1358">
        <f t="shared" si="781"/>
        <v>121601.80362207431</v>
      </c>
      <c r="G1852" s="1358">
        <f t="shared" si="781"/>
        <v>0</v>
      </c>
      <c r="H1852" s="1358">
        <f t="shared" si="781"/>
        <v>121601.80362207431</v>
      </c>
      <c r="I1852" s="1525"/>
      <c r="J1852" s="1364">
        <f t="shared" si="782"/>
        <v>121601.80362207431</v>
      </c>
      <c r="K1852" s="1364">
        <f t="shared" si="782"/>
        <v>88724.720555908949</v>
      </c>
      <c r="L1852" s="1364">
        <f t="shared" si="782"/>
        <v>7144.1008563164942</v>
      </c>
      <c r="M1852" s="1364">
        <f t="shared" si="782"/>
        <v>25293.096415509091</v>
      </c>
      <c r="N1852" s="1367">
        <f t="shared" si="782"/>
        <v>0</v>
      </c>
      <c r="O1852" s="1367">
        <f t="shared" si="782"/>
        <v>0</v>
      </c>
      <c r="P1852" s="1367">
        <f t="shared" si="782"/>
        <v>439.88579433976537</v>
      </c>
      <c r="Q1852" s="1364">
        <f t="shared" si="782"/>
        <v>0</v>
      </c>
      <c r="R1852" s="1358"/>
      <c r="V1852" s="1320" t="s">
        <v>6068</v>
      </c>
      <c r="Y1852" s="1324"/>
    </row>
    <row r="1853" spans="1:25">
      <c r="A1853" s="1320" t="s">
        <v>5915</v>
      </c>
      <c r="C1853" s="1322">
        <v>189</v>
      </c>
      <c r="D1853" s="1320" t="s">
        <v>5242</v>
      </c>
      <c r="E1853" s="1320" t="s">
        <v>4071</v>
      </c>
      <c r="F1853" s="1358">
        <f t="shared" si="781"/>
        <v>145733.75702100934</v>
      </c>
      <c r="G1853" s="1358">
        <f t="shared" si="781"/>
        <v>0</v>
      </c>
      <c r="H1853" s="1358">
        <f t="shared" si="781"/>
        <v>145733.75702100934</v>
      </c>
      <c r="I1853" s="1525"/>
      <c r="J1853" s="1364">
        <f t="shared" si="782"/>
        <v>145733.75702100934</v>
      </c>
      <c r="K1853" s="1364">
        <f t="shared" si="782"/>
        <v>59794.427396381638</v>
      </c>
      <c r="L1853" s="1364">
        <f t="shared" si="782"/>
        <v>11358.692544113565</v>
      </c>
      <c r="M1853" s="1364">
        <f t="shared" si="782"/>
        <v>6438.0133502286844</v>
      </c>
      <c r="N1853" s="1367">
        <f t="shared" si="782"/>
        <v>478.87376797754433</v>
      </c>
      <c r="O1853" s="1367">
        <f t="shared" si="782"/>
        <v>522.47138308580907</v>
      </c>
      <c r="P1853" s="1367">
        <f t="shared" si="782"/>
        <v>108.06924746084965</v>
      </c>
      <c r="Q1853" s="1364">
        <f t="shared" si="782"/>
        <v>67033.209331761289</v>
      </c>
      <c r="R1853" s="1358"/>
      <c r="V1853" s="1320" t="s">
        <v>6069</v>
      </c>
      <c r="Y1853" s="1324"/>
    </row>
    <row r="1854" spans="1:25">
      <c r="A1854" s="1320" t="s">
        <v>5915</v>
      </c>
      <c r="C1854" s="1322">
        <v>190</v>
      </c>
      <c r="D1854" s="1320" t="s">
        <v>5244</v>
      </c>
      <c r="E1854" s="1320" t="s">
        <v>4071</v>
      </c>
      <c r="F1854" s="1350">
        <f t="shared" si="781"/>
        <v>103036.90751026195</v>
      </c>
      <c r="G1854" s="1350">
        <f t="shared" si="781"/>
        <v>0</v>
      </c>
      <c r="H1854" s="1350">
        <f t="shared" si="781"/>
        <v>103036.90751026195</v>
      </c>
      <c r="I1854" s="1525"/>
      <c r="J1854" s="1366">
        <f t="shared" si="782"/>
        <v>103036.90751026195</v>
      </c>
      <c r="K1854" s="1366">
        <f t="shared" si="782"/>
        <v>90308.404650468263</v>
      </c>
      <c r="L1854" s="1366">
        <f t="shared" si="782"/>
        <v>8781.7457238128263</v>
      </c>
      <c r="M1854" s="1366">
        <f t="shared" si="782"/>
        <v>3303.219456630175</v>
      </c>
      <c r="N1854" s="1378">
        <f t="shared" si="782"/>
        <v>181.97088255282472</v>
      </c>
      <c r="O1854" s="1378">
        <f t="shared" si="782"/>
        <v>94.934766734891099</v>
      </c>
      <c r="P1854" s="1378">
        <f t="shared" si="782"/>
        <v>63.723935897828568</v>
      </c>
      <c r="Q1854" s="1366">
        <f t="shared" si="782"/>
        <v>302.90809416513594</v>
      </c>
      <c r="R1854" s="1358"/>
      <c r="V1854" s="1320" t="s">
        <v>6070</v>
      </c>
      <c r="Y1854" s="1324"/>
    </row>
    <row r="1855" spans="1:25">
      <c r="A1855" s="1320" t="s">
        <v>5915</v>
      </c>
      <c r="C1855" s="1322">
        <v>191</v>
      </c>
      <c r="D1855" s="1320" t="s">
        <v>6071</v>
      </c>
      <c r="F1855" s="1350">
        <f>SUM(F1847:F1854)</f>
        <v>1823511.7425561631</v>
      </c>
      <c r="G1855" s="1350">
        <f>SUM(G1847:G1854)</f>
        <v>8868.9894064012333</v>
      </c>
      <c r="H1855" s="1350">
        <f>SUM(H1847:H1854)</f>
        <v>1814642.7531497618</v>
      </c>
      <c r="I1855" s="1525"/>
      <c r="J1855" s="1366">
        <f t="shared" ref="J1855:Q1855" si="783">SUM(J1847:J1854)</f>
        <v>1814642.7531497618</v>
      </c>
      <c r="K1855" s="1366">
        <f t="shared" si="783"/>
        <v>1080424.868262666</v>
      </c>
      <c r="L1855" s="1366">
        <f t="shared" si="783"/>
        <v>95220.618590622747</v>
      </c>
      <c r="M1855" s="1366">
        <f t="shared" si="783"/>
        <v>478629.9061490536</v>
      </c>
      <c r="N1855" s="1378">
        <f t="shared" si="783"/>
        <v>55675.735996467876</v>
      </c>
      <c r="O1855" s="1378">
        <f>SUM(O1847:O1854)</f>
        <v>33763.809445327483</v>
      </c>
      <c r="P1855" s="1378">
        <f>SUM(P1847:P1854)</f>
        <v>3591.6972796974978</v>
      </c>
      <c r="Q1855" s="1366">
        <f t="shared" si="783"/>
        <v>67336.117425926423</v>
      </c>
      <c r="R1855" s="1358"/>
      <c r="V1855" s="1320" t="s">
        <v>6072</v>
      </c>
      <c r="Y1855" s="1324"/>
    </row>
    <row r="1856" spans="1:25">
      <c r="A1856" s="1320" t="s">
        <v>5915</v>
      </c>
      <c r="C1856" s="1322">
        <v>192</v>
      </c>
      <c r="G1856" s="1320"/>
      <c r="Y1856" s="1324"/>
    </row>
    <row r="1857" spans="1:25">
      <c r="A1857" s="1320" t="s">
        <v>5915</v>
      </c>
      <c r="C1857" s="1322">
        <v>193</v>
      </c>
      <c r="D1857" s="1356" t="s">
        <v>6073</v>
      </c>
      <c r="G1857" s="1320"/>
      <c r="V1857" s="1321"/>
      <c r="Y1857" s="1324"/>
    </row>
    <row r="1858" spans="1:25">
      <c r="A1858" s="1320" t="s">
        <v>5915</v>
      </c>
      <c r="C1858" s="1322">
        <v>194</v>
      </c>
      <c r="D1858" s="1320" t="s">
        <v>5265</v>
      </c>
      <c r="E1858" s="1320" t="s">
        <v>4067</v>
      </c>
      <c r="F1858" s="1320">
        <f t="shared" ref="F1858:F1865" si="784">SUM(G1858:H1858)</f>
        <v>459.83749971494353</v>
      </c>
      <c r="G1858" s="1438">
        <f>((G1847/G$1855))*(G$89*('Tax &amp; Debt Inputs'!C10+'Tax &amp; Debt Inputs'!C11))</f>
        <v>0</v>
      </c>
      <c r="H1858" s="1438">
        <f>((H1847/H$1855))*(H$89*('Tax &amp; Debt Inputs'!C10+'Tax &amp; Debt Inputs'!C11))</f>
        <v>459.83749971494353</v>
      </c>
      <c r="I1858" s="1525"/>
      <c r="J1858" s="1438">
        <f>((J1847/J$1855))*(J$89*('Tax &amp; Debt Inputs'!C10+'Tax &amp; Debt Inputs'!C11))</f>
        <v>459.83749971494353</v>
      </c>
      <c r="K1858" s="1438">
        <f>((K1847/K$1855))*(K$89*('Tax &amp; Debt Inputs'!C10+'Tax &amp; Debt Inputs'!C11))</f>
        <v>197.10057671059366</v>
      </c>
      <c r="L1858" s="1438">
        <f>((L1847/L$1855))*(L$89*('Tax &amp; Debt Inputs'!C10+'Tax &amp; Debt Inputs'!C11))</f>
        <v>-3.8426085117085402</v>
      </c>
      <c r="M1858" s="1438">
        <f>((M1847/M$1855))*(M$89*('Tax &amp; Debt Inputs'!C10+'Tax &amp; Debt Inputs'!C11))</f>
        <v>294.26354611279254</v>
      </c>
      <c r="N1858" s="1438">
        <f>((N1847/N$1855))*(N$89*('Tax &amp; Debt Inputs'!C10+'Tax &amp; Debt Inputs'!C11))</f>
        <v>20.874393134461886</v>
      </c>
      <c r="O1858" s="1438">
        <f>((O1847/O$1855))*(O$89*('Tax &amp; Debt Inputs'!C10+'Tax &amp; Debt Inputs'!C11))</f>
        <v>22.702182485364457</v>
      </c>
      <c r="P1858" s="1438">
        <f>((P1847/P$1855))*(P$89*('Tax &amp; Debt Inputs'!C10+'Tax &amp; Debt Inputs'!C11))</f>
        <v>-3.0283557472910632</v>
      </c>
      <c r="Q1858" s="1438">
        <f>((Q1847/Q$1855))*(Q$89*('Tax &amp; Debt Inputs'!C10+'Tax &amp; Debt Inputs'!C11))</f>
        <v>0</v>
      </c>
      <c r="V1858" s="1321" t="s">
        <v>6074</v>
      </c>
    </row>
    <row r="1859" spans="1:25">
      <c r="A1859" s="1320" t="s">
        <v>5915</v>
      </c>
      <c r="C1859" s="1322">
        <v>195</v>
      </c>
      <c r="D1859" s="1320" t="s">
        <v>5265</v>
      </c>
      <c r="E1859" s="1320" t="s">
        <v>2067</v>
      </c>
      <c r="F1859" s="1320">
        <f t="shared" si="784"/>
        <v>55.36617395235433</v>
      </c>
      <c r="G1859" s="1438">
        <f>((G1848/G$1855))*(G$89*('Tax &amp; Debt Inputs'!C10+'Tax &amp; Debt Inputs'!C11))</f>
        <v>0</v>
      </c>
      <c r="H1859" s="1438">
        <f>((H1848/H$1855))*(H$89*('Tax &amp; Debt Inputs'!C10+'Tax &amp; Debt Inputs'!C11))</f>
        <v>55.36617395235433</v>
      </c>
      <c r="I1859" s="1525"/>
      <c r="J1859" s="1438">
        <f>((J1848/J$1855))*(J$89*('Tax &amp; Debt Inputs'!C10+'Tax &amp; Debt Inputs'!C11))</f>
        <v>55.36617395235433</v>
      </c>
      <c r="K1859" s="1438">
        <f>((K1848/K$1855))*(K$89*('Tax &amp; Debt Inputs'!C10+'Tax &amp; Debt Inputs'!C11))</f>
        <v>20.647474220860783</v>
      </c>
      <c r="L1859" s="1438">
        <f>((L1848/L$1855))*(L$89*('Tax &amp; Debt Inputs'!C10+'Tax &amp; Debt Inputs'!C11))</f>
        <v>-0.45095304031708411</v>
      </c>
      <c r="M1859" s="1438">
        <f>((M1848/M$1855))*(M$89*('Tax &amp; Debt Inputs'!C10+'Tax &amp; Debt Inputs'!C11))</f>
        <v>40.24432971465302</v>
      </c>
      <c r="N1859" s="1438">
        <f>((N1848/N$1855))*(N$89*('Tax &amp; Debt Inputs'!C10+'Tax &amp; Debt Inputs'!C11))</f>
        <v>3.6403141950577957</v>
      </c>
      <c r="O1859" s="1438">
        <f>((O1848/O$1855))*(O$89*('Tax &amp; Debt Inputs'!C10+'Tax &amp; Debt Inputs'!C11))</f>
        <v>4.0642224839586927</v>
      </c>
      <c r="P1859" s="1438">
        <f>((P1848/P$1855))*(P$89*('Tax &amp; Debt Inputs'!C10+'Tax &amp; Debt Inputs'!C11))</f>
        <v>-2.7170047544981557</v>
      </c>
      <c r="Q1859" s="1438">
        <f>((Q1848/Q$1855))*(Q$89*('Tax &amp; Debt Inputs'!C10+'Tax &amp; Debt Inputs'!C11))</f>
        <v>0</v>
      </c>
      <c r="V1859" s="1321" t="s">
        <v>6075</v>
      </c>
    </row>
    <row r="1860" spans="1:25">
      <c r="A1860" s="1320" t="s">
        <v>5915</v>
      </c>
      <c r="C1860" s="1322">
        <v>196</v>
      </c>
      <c r="D1860" s="1320" t="s">
        <v>5268</v>
      </c>
      <c r="E1860" s="1320" t="s">
        <v>4067</v>
      </c>
      <c r="F1860" s="1320">
        <f t="shared" si="784"/>
        <v>30.077374059404146</v>
      </c>
      <c r="G1860" s="1438">
        <f>((G1849/G$1855))*(G$89*('Tax &amp; Debt Inputs'!C10+'Tax &amp; Debt Inputs'!C11))</f>
        <v>1.1935317749955905</v>
      </c>
      <c r="H1860" s="1438">
        <f>((H1849/H$1855))*(H$89*('Tax &amp; Debt Inputs'!C10+'Tax &amp; Debt Inputs'!C11))</f>
        <v>28.883842284408555</v>
      </c>
      <c r="I1860" s="1525"/>
      <c r="J1860" s="1438">
        <f>((J1849/J$1855))*(J$89*('Tax &amp; Debt Inputs'!C10+'Tax &amp; Debt Inputs'!C11))</f>
        <v>28.883842284408555</v>
      </c>
      <c r="K1860" s="1438">
        <f>((K1849/K$1855))*(K$89*('Tax &amp; Debt Inputs'!C10+'Tax &amp; Debt Inputs'!C11))</f>
        <v>12.380508278258963</v>
      </c>
      <c r="L1860" s="1438">
        <f>((L1849/L$1855))*(L$89*('Tax &amp; Debt Inputs'!C10+'Tax &amp; Debt Inputs'!C11))</f>
        <v>-0.24136634850728445</v>
      </c>
      <c r="M1860" s="1438">
        <f>((M1849/M$1855))*(M$89*('Tax &amp; Debt Inputs'!C10+'Tax &amp; Debt Inputs'!C11))</f>
        <v>18.483620542564623</v>
      </c>
      <c r="N1860" s="1438">
        <f>((N1849/N$1855))*(N$89*('Tax &amp; Debt Inputs'!C10+'Tax &amp; Debt Inputs'!C11))</f>
        <v>1.3111864070509698</v>
      </c>
      <c r="O1860" s="1438">
        <f>((O1849/O$1855))*(O$89*('Tax &amp; Debt Inputs'!C10+'Tax &amp; Debt Inputs'!C11))</f>
        <v>1.4259956154633295</v>
      </c>
      <c r="P1860" s="1438">
        <f>((P1849/P$1855))*(P$89*('Tax &amp; Debt Inputs'!C10+'Tax &amp; Debt Inputs'!C11))</f>
        <v>-0.1902205667003255</v>
      </c>
      <c r="Q1860" s="1438">
        <f>((Q1849/Q$1855))*(Q$89*('Tax &amp; Debt Inputs'!C10+'Tax &amp; Debt Inputs'!C11))</f>
        <v>0</v>
      </c>
      <c r="V1860" s="1321" t="s">
        <v>6076</v>
      </c>
      <c r="Y1860" s="1324"/>
    </row>
    <row r="1861" spans="1:25">
      <c r="A1861" s="1320" t="s">
        <v>5915</v>
      </c>
      <c r="C1861" s="1322">
        <v>197</v>
      </c>
      <c r="D1861" s="1320" t="s">
        <v>5239</v>
      </c>
      <c r="E1861" s="1320" t="s">
        <v>4067</v>
      </c>
      <c r="F1861" s="1320">
        <f t="shared" si="784"/>
        <v>36.805247091105564</v>
      </c>
      <c r="G1861" s="1438">
        <f>((G1850/G$1855))*(G$89*('Tax &amp; Debt Inputs'!C10+'Tax &amp; Debt Inputs'!C11))</f>
        <v>1.4606441289316405</v>
      </c>
      <c r="H1861" s="1438">
        <f>((H1850/H$1855))*(H$89*('Tax &amp; Debt Inputs'!C10+'Tax &amp; Debt Inputs'!C11))</f>
        <v>35.344602962173923</v>
      </c>
      <c r="I1861" s="1525"/>
      <c r="J1861" s="1438">
        <f>((J1850/J$1855))*(J$89*('Tax &amp; Debt Inputs'!C10+'Tax &amp; Debt Inputs'!C11))</f>
        <v>35.344602962173923</v>
      </c>
      <c r="K1861" s="1438">
        <f>((K1850/K$1855))*(K$89*('Tax &amp; Debt Inputs'!C10+'Tax &amp; Debt Inputs'!C11))</f>
        <v>15.149790157979686</v>
      </c>
      <c r="L1861" s="1438">
        <f>((L1850/L$1855))*(L$89*('Tax &amp; Debt Inputs'!C10+'Tax &amp; Debt Inputs'!C11))</f>
        <v>-0.29535536416582242</v>
      </c>
      <c r="M1861" s="1438">
        <f>((M1850/M$1855))*(M$89*('Tax &amp; Debt Inputs'!C10+'Tax &amp; Debt Inputs'!C11))</f>
        <v>22.618051398690696</v>
      </c>
      <c r="N1861" s="1438">
        <f>((N1850/N$1855))*(N$89*('Tax &amp; Debt Inputs'!C10+'Tax &amp; Debt Inputs'!C11))</f>
        <v>1.604473619205155</v>
      </c>
      <c r="O1861" s="1438">
        <f>((O1850/O$1855))*(O$89*('Tax &amp; Debt Inputs'!C10+'Tax &amp; Debt Inputs'!C11))</f>
        <v>1.7449634421234428</v>
      </c>
      <c r="P1861" s="1438">
        <f>((P1850/P$1855))*(P$89*('Tax &amp; Debt Inputs'!C10+'Tax &amp; Debt Inputs'!C11))</f>
        <v>-0.23276925344838673</v>
      </c>
      <c r="Q1861" s="1438">
        <f>((Q1850/Q$1855))*(Q$89*('Tax &amp; Debt Inputs'!C10+'Tax &amp; Debt Inputs'!C11))</f>
        <v>0</v>
      </c>
      <c r="V1861" s="1321" t="s">
        <v>6077</v>
      </c>
      <c r="Y1861" s="1324"/>
    </row>
    <row r="1862" spans="1:25">
      <c r="A1862" s="1320" t="s">
        <v>5915</v>
      </c>
      <c r="C1862" s="1322">
        <v>198</v>
      </c>
      <c r="D1862" s="1320" t="s">
        <v>5240</v>
      </c>
      <c r="E1862" s="1320" t="s">
        <v>4067</v>
      </c>
      <c r="F1862" s="1320">
        <f t="shared" si="784"/>
        <v>144.54842020396035</v>
      </c>
      <c r="G1862" s="1438">
        <f>((G1851/G$1855))*(G$89*('Tax &amp; Debt Inputs'!C10+'Tax &amp; Debt Inputs'!C11))</f>
        <v>0</v>
      </c>
      <c r="H1862" s="1438">
        <f>((H1851/H$1855))*(H$89*('Tax &amp; Debt Inputs'!C10+'Tax &amp; Debt Inputs'!C11))</f>
        <v>144.54842020396035</v>
      </c>
      <c r="I1862" s="1525"/>
      <c r="J1862" s="1438">
        <f>((J1851/J$1855))*(J$89*('Tax &amp; Debt Inputs'!C10+'Tax &amp; Debt Inputs'!C11))</f>
        <v>144.54842020396035</v>
      </c>
      <c r="K1862" s="1438">
        <f>((K1851/K$1855))*(K$89*('Tax &amp; Debt Inputs'!C10+'Tax &amp; Debt Inputs'!C11))</f>
        <v>66.487477822527168</v>
      </c>
      <c r="L1862" s="1438">
        <f>((L1851/L$1855))*(L$89*('Tax &amp; Debt Inputs'!C10+'Tax &amp; Debt Inputs'!C11))</f>
        <v>-1.1175946629002287</v>
      </c>
      <c r="M1862" s="1438">
        <f>((M1851/M$1855))*(M$89*('Tax &amp; Debt Inputs'!C10+'Tax &amp; Debt Inputs'!C11))</f>
        <v>89.642745680113094</v>
      </c>
      <c r="N1862" s="1438">
        <f>((N1851/N$1855))*(N$89*('Tax &amp; Debt Inputs'!C10+'Tax &amp; Debt Inputs'!C11))</f>
        <v>5.3577550047695652</v>
      </c>
      <c r="O1862" s="1438">
        <f>((O1851/O$1855))*(O$89*('Tax &amp; Debt Inputs'!C10+'Tax &amp; Debt Inputs'!C11))</f>
        <v>5.5437662841656664E-6</v>
      </c>
      <c r="P1862" s="1438">
        <f>((P1851/P$1855))*(P$89*('Tax &amp; Debt Inputs'!C10+'Tax &amp; Debt Inputs'!C11))</f>
        <v>-7.7074533523256594</v>
      </c>
      <c r="Q1862" s="1438">
        <f>((Q1851/Q$1855))*(Q$89*('Tax &amp; Debt Inputs'!C10+'Tax &amp; Debt Inputs'!C11))</f>
        <v>0</v>
      </c>
      <c r="V1862" s="1321" t="s">
        <v>6078</v>
      </c>
    </row>
    <row r="1863" spans="1:25">
      <c r="A1863" s="1320" t="s">
        <v>5915</v>
      </c>
      <c r="C1863" s="1322">
        <v>199</v>
      </c>
      <c r="D1863" s="1320" t="s">
        <v>5241</v>
      </c>
      <c r="E1863" s="1320" t="s">
        <v>4067</v>
      </c>
      <c r="F1863" s="1320">
        <f t="shared" si="784"/>
        <v>60.956276853836691</v>
      </c>
      <c r="G1863" s="1438">
        <f>((G1852/G$1855))*(G$89*('Tax &amp; Debt Inputs'!C10+'Tax &amp; Debt Inputs'!C11))</f>
        <v>0</v>
      </c>
      <c r="H1863" s="1438">
        <f>((H1852/H$1855))*(H$89*('Tax &amp; Debt Inputs'!C10+'Tax &amp; Debt Inputs'!C11))</f>
        <v>60.956276853836691</v>
      </c>
      <c r="I1863" s="1525"/>
      <c r="J1863" s="1438">
        <f>((J1852/J$1855))*(J$89*('Tax &amp; Debt Inputs'!C10+'Tax &amp; Debt Inputs'!C11))</f>
        <v>60.956276853836691</v>
      </c>
      <c r="K1863" s="1438">
        <f>((K1852/K$1855))*(K$89*('Tax &amp; Debt Inputs'!C10+'Tax &amp; Debt Inputs'!C11))</f>
        <v>32.867661744672375</v>
      </c>
      <c r="L1863" s="1438">
        <f>((L1852/L$1855))*(L$89*('Tax &amp; Debt Inputs'!C10+'Tax &amp; Debt Inputs'!C11))</f>
        <v>-0.62547382965857212</v>
      </c>
      <c r="M1863" s="1438">
        <f>((M1852/M$1855))*(M$89*('Tax &amp; Debt Inputs'!C10+'Tax &amp; Debt Inputs'!C11))</f>
        <v>26.527927075527305</v>
      </c>
      <c r="N1863" s="1438">
        <f>((N1852/N$1855))*(N$89*('Tax &amp; Debt Inputs'!C10+'Tax &amp; Debt Inputs'!C11))</f>
        <v>0</v>
      </c>
      <c r="O1863" s="1438">
        <f>((O1852/O$1855))*(O$89*('Tax &amp; Debt Inputs'!C10+'Tax &amp; Debt Inputs'!C11))</f>
        <v>0</v>
      </c>
      <c r="P1863" s="1438">
        <f>((P1852/P$1855))*(P$89*('Tax &amp; Debt Inputs'!C10+'Tax &amp; Debt Inputs'!C11))</f>
        <v>-2.0482320250387547</v>
      </c>
      <c r="Q1863" s="1438">
        <f>((Q1852/Q$1855))*(Q$89*('Tax &amp; Debt Inputs'!C10+'Tax &amp; Debt Inputs'!C11))</f>
        <v>0</v>
      </c>
      <c r="V1863" s="1321" t="s">
        <v>6079</v>
      </c>
    </row>
    <row r="1864" spans="1:25">
      <c r="A1864" s="1320" t="s">
        <v>5915</v>
      </c>
      <c r="C1864" s="1322">
        <v>200</v>
      </c>
      <c r="D1864" s="1320" t="s">
        <v>5242</v>
      </c>
      <c r="E1864" s="1320" t="s">
        <v>4071</v>
      </c>
      <c r="F1864" s="1320">
        <f t="shared" si="784"/>
        <v>73.053087826978711</v>
      </c>
      <c r="G1864" s="1438">
        <f>((G1853/G$1855))*(G$89*('Tax &amp; Debt Inputs'!C10+'Tax &amp; Debt Inputs'!C11))</f>
        <v>0</v>
      </c>
      <c r="H1864" s="1438">
        <f>((H1853/H$1855))*(H$89*('Tax &amp; Debt Inputs'!C10+'Tax &amp; Debt Inputs'!C11))</f>
        <v>73.053087826978711</v>
      </c>
      <c r="I1864" s="1525"/>
      <c r="J1864" s="1438">
        <f>((J1853/J$1855))*(J$89*('Tax &amp; Debt Inputs'!C10+'Tax &amp; Debt Inputs'!C11))</f>
        <v>73.053087826978711</v>
      </c>
      <c r="K1864" s="1438">
        <f>((K1853/K$1855))*(K$89*('Tax &amp; Debt Inputs'!C10+'Tax &amp; Debt Inputs'!C11))</f>
        <v>22.150568652873105</v>
      </c>
      <c r="L1864" s="1438">
        <f>((L1853/L$1855))*(L$89*('Tax &amp; Debt Inputs'!C10+'Tax &amp; Debt Inputs'!C11))</f>
        <v>-0.99446593327408628</v>
      </c>
      <c r="M1864" s="1438">
        <f>((M1853/M$1855))*(M$89*('Tax &amp; Debt Inputs'!C10+'Tax &amp; Debt Inputs'!C11))</f>
        <v>6.7523226836479928</v>
      </c>
      <c r="N1864" s="1438">
        <f>((N1853/N$1855))*(N$89*('Tax &amp; Debt Inputs'!C10+'Tax &amp; Debt Inputs'!C11))</f>
        <v>0.28540221230233481</v>
      </c>
      <c r="O1864" s="1438">
        <f>((O1853/O$1855))*(O$89*('Tax &amp; Debt Inputs'!C10+'Tax &amp; Debt Inputs'!C11))</f>
        <v>0.47188887271104052</v>
      </c>
      <c r="P1864" s="1438">
        <f>((P1853/P$1855))*(P$89*('Tax &amp; Debt Inputs'!C10+'Tax &amp; Debt Inputs'!C11))</f>
        <v>-0.50320082262120103</v>
      </c>
      <c r="Q1864" s="1438">
        <f>((Q1853/Q$1855))*(Q$89*('Tax &amp; Debt Inputs'!C10+'Tax &amp; Debt Inputs'!C11))</f>
        <v>-31.287308967982693</v>
      </c>
      <c r="V1864" s="1321" t="s">
        <v>6080</v>
      </c>
    </row>
    <row r="1865" spans="1:25">
      <c r="A1865" s="1320" t="s">
        <v>5915</v>
      </c>
      <c r="C1865" s="1322">
        <v>201</v>
      </c>
      <c r="D1865" s="1320" t="s">
        <v>5244</v>
      </c>
      <c r="E1865" s="1320" t="s">
        <v>4071</v>
      </c>
      <c r="F1865" s="1350">
        <f t="shared" si="784"/>
        <v>51.650107755626678</v>
      </c>
      <c r="G1865" s="1535">
        <f>((G1854/G$1855))*(G$89*('Tax &amp; Debt Inputs'!C10+'Tax &amp; Debt Inputs'!C11))</f>
        <v>0</v>
      </c>
      <c r="H1865" s="1535">
        <f>((H1854/H$1855))*(H$89*('Tax &amp; Debt Inputs'!C10+'Tax &amp; Debt Inputs'!C11))</f>
        <v>51.650107755626678</v>
      </c>
      <c r="I1865" s="1525"/>
      <c r="J1865" s="1535">
        <f>((J1854/J$1855))*(J$89*('Tax &amp; Debt Inputs'!C10+'Tax &amp; Debt Inputs'!C11))</f>
        <v>51.650107755626678</v>
      </c>
      <c r="K1865" s="1535">
        <f>((K1854/K$1855))*(K$89*('Tax &amp; Debt Inputs'!C10+'Tax &amp; Debt Inputs'!C11))</f>
        <v>33.454330181656559</v>
      </c>
      <c r="L1865" s="1535">
        <f>((L1854/L$1855))*(L$89*('Tax &amp; Debt Inputs'!C10+'Tax &amp; Debt Inputs'!C11))</f>
        <v>-0.76885142573324006</v>
      </c>
      <c r="M1865" s="1535">
        <f>((M1854/M$1855))*(M$89*('Tax &amp; Debt Inputs'!C10+'Tax &amp; Debt Inputs'!C11))</f>
        <v>3.4644854635598188</v>
      </c>
      <c r="N1865" s="1535">
        <f>((N1854/N$1855))*(N$89*('Tax &amp; Debt Inputs'!C10+'Tax &amp; Debt Inputs'!C11))</f>
        <v>0.10845215572054445</v>
      </c>
      <c r="O1865" s="1535">
        <f>((O1854/O$1855))*(O$89*('Tax &amp; Debt Inputs'!C10+'Tax &amp; Debt Inputs'!C11))</f>
        <v>8.5743758425627981E-2</v>
      </c>
      <c r="P1865" s="1535">
        <f>((P1854/P$1855))*(P$89*('Tax &amp; Debt Inputs'!C10+'Tax &amp; Debt Inputs'!C11))</f>
        <v>-0.29671657495407811</v>
      </c>
      <c r="Q1865" s="1535">
        <f>((Q1854/Q$1855))*(Q$89*('Tax &amp; Debt Inputs'!C10+'Tax &amp; Debt Inputs'!C11))</f>
        <v>-0.14138035796768844</v>
      </c>
      <c r="R1865" s="1358"/>
      <c r="V1865" s="1321" t="s">
        <v>6081</v>
      </c>
    </row>
    <row r="1866" spans="1:25">
      <c r="A1866" s="1320" t="s">
        <v>5915</v>
      </c>
      <c r="C1866" s="1322">
        <v>202</v>
      </c>
      <c r="D1866" s="1320" t="s">
        <v>6082</v>
      </c>
      <c r="F1866" s="1350">
        <f>SUM(F1858:F1865)</f>
        <v>912.2941874582101</v>
      </c>
      <c r="G1866" s="1350">
        <f>SUM(G1858:G1865)</f>
        <v>2.6541759039272312</v>
      </c>
      <c r="H1866" s="1350">
        <f>SUM(H1858:H1865)</f>
        <v>909.64001155428275</v>
      </c>
      <c r="I1866" s="1525"/>
      <c r="J1866" s="1421">
        <f t="shared" ref="J1866:Q1866" si="785">SUM(J1858:J1865)</f>
        <v>909.64001155428275</v>
      </c>
      <c r="K1866" s="1366">
        <f t="shared" si="785"/>
        <v>400.23838776942227</v>
      </c>
      <c r="L1866" s="1366">
        <f t="shared" si="785"/>
        <v>-8.3366691162648596</v>
      </c>
      <c r="M1866" s="1366">
        <f t="shared" si="785"/>
        <v>501.99702867154906</v>
      </c>
      <c r="N1866" s="1366">
        <f t="shared" si="785"/>
        <v>33.181976728568252</v>
      </c>
      <c r="O1866" s="1366">
        <f t="shared" si="785"/>
        <v>30.495002201812873</v>
      </c>
      <c r="P1866" s="1366">
        <f t="shared" si="785"/>
        <v>-16.723953096877626</v>
      </c>
      <c r="Q1866" s="1366">
        <f t="shared" si="785"/>
        <v>-31.42868932595038</v>
      </c>
      <c r="R1866" s="1358"/>
      <c r="V1866" s="1320" t="s">
        <v>6083</v>
      </c>
    </row>
    <row r="1867" spans="1:25">
      <c r="A1867" s="1320" t="s">
        <v>5915</v>
      </c>
      <c r="C1867" s="1322">
        <v>203</v>
      </c>
      <c r="G1867" s="1320"/>
      <c r="I1867" s="1525"/>
      <c r="Y1867" s="1324"/>
    </row>
    <row r="1868" spans="1:25">
      <c r="A1868" s="1320" t="s">
        <v>5915</v>
      </c>
      <c r="C1868" s="1322">
        <v>204</v>
      </c>
      <c r="D1868" s="1356" t="s">
        <v>6084</v>
      </c>
      <c r="G1868" s="1320"/>
      <c r="I1868" s="1525"/>
      <c r="Y1868" s="1324"/>
    </row>
    <row r="1869" spans="1:25">
      <c r="A1869" s="1320" t="s">
        <v>5915</v>
      </c>
      <c r="C1869" s="1322">
        <v>205</v>
      </c>
      <c r="D1869" s="1320" t="s">
        <v>5265</v>
      </c>
      <c r="E1869" s="1320" t="s">
        <v>4067</v>
      </c>
      <c r="F1869" s="1320">
        <f t="shared" ref="F1869:H1876" si="786">+F1847+F1858</f>
        <v>917790.62317880604</v>
      </c>
      <c r="G1869" s="1320">
        <f t="shared" si="786"/>
        <v>0</v>
      </c>
      <c r="H1869" s="1320">
        <f t="shared" si="786"/>
        <v>917790.62317880604</v>
      </c>
      <c r="I1869" s="1525"/>
      <c r="J1869" s="1324">
        <f t="shared" ref="J1869:Q1876" si="787">+J1847+J1858</f>
        <v>917790.62317880604</v>
      </c>
      <c r="K1869" s="1324">
        <f t="shared" si="787"/>
        <v>532260.91837751749</v>
      </c>
      <c r="L1869" s="1324">
        <f t="shared" si="787"/>
        <v>43886.05566904095</v>
      </c>
      <c r="M1869" s="1324">
        <f t="shared" si="787"/>
        <v>280860.33349232719</v>
      </c>
      <c r="N1869" s="1324">
        <f t="shared" si="787"/>
        <v>35045.828172942885</v>
      </c>
      <c r="O1869" s="1324">
        <f t="shared" si="787"/>
        <v>25158.367310698693</v>
      </c>
      <c r="P1869" s="1324">
        <f t="shared" si="787"/>
        <v>647.35239074812512</v>
      </c>
      <c r="Q1869" s="1324">
        <f t="shared" si="787"/>
        <v>0</v>
      </c>
      <c r="V1869" s="1320" t="s">
        <v>6085</v>
      </c>
      <c r="Y1869" s="1324"/>
    </row>
    <row r="1870" spans="1:25">
      <c r="A1870" s="1320" t="s">
        <v>5915</v>
      </c>
      <c r="C1870" s="1322">
        <v>206</v>
      </c>
      <c r="D1870" s="1320" t="s">
        <v>5265</v>
      </c>
      <c r="E1870" s="1320" t="s">
        <v>2067</v>
      </c>
      <c r="F1870" s="1320">
        <f t="shared" si="786"/>
        <v>110505.46187785416</v>
      </c>
      <c r="G1870" s="1320">
        <f t="shared" si="786"/>
        <v>0</v>
      </c>
      <c r="H1870" s="1320">
        <f t="shared" si="786"/>
        <v>110505.46187785416</v>
      </c>
      <c r="I1870" s="1525"/>
      <c r="J1870" s="1324">
        <f t="shared" si="787"/>
        <v>110505.46187785416</v>
      </c>
      <c r="K1870" s="1324">
        <f t="shared" si="787"/>
        <v>55757.541527177091</v>
      </c>
      <c r="L1870" s="1324">
        <f t="shared" si="787"/>
        <v>5150.2905308142726</v>
      </c>
      <c r="M1870" s="1324">
        <f t="shared" si="787"/>
        <v>38411.267770490718</v>
      </c>
      <c r="N1870" s="1324">
        <f t="shared" si="787"/>
        <v>6111.6902874124762</v>
      </c>
      <c r="O1870" s="1324">
        <f t="shared" si="787"/>
        <v>4503.9371060359763</v>
      </c>
      <c r="P1870" s="1324">
        <f t="shared" si="787"/>
        <v>580.79686479098302</v>
      </c>
      <c r="Q1870" s="1324">
        <f t="shared" si="787"/>
        <v>0</v>
      </c>
      <c r="V1870" s="1320" t="s">
        <v>6086</v>
      </c>
      <c r="Y1870" s="1324"/>
    </row>
    <row r="1871" spans="1:25">
      <c r="A1871" s="1320" t="s">
        <v>5915</v>
      </c>
      <c r="C1871" s="1322">
        <v>207</v>
      </c>
      <c r="D1871" s="1320" t="s">
        <v>5268</v>
      </c>
      <c r="E1871" s="1320" t="s">
        <v>4067</v>
      </c>
      <c r="F1871" s="1320">
        <f t="shared" si="786"/>
        <v>61638.728178012461</v>
      </c>
      <c r="G1871" s="1320">
        <f t="shared" si="786"/>
        <v>3989.4072191106834</v>
      </c>
      <c r="H1871" s="1320">
        <f t="shared" si="786"/>
        <v>57649.320958901772</v>
      </c>
      <c r="I1871" s="1525"/>
      <c r="J1871" s="1324">
        <f t="shared" si="787"/>
        <v>57649.320958901772</v>
      </c>
      <c r="K1871" s="1324">
        <f t="shared" si="787"/>
        <v>33432.985413544942</v>
      </c>
      <c r="L1871" s="1324">
        <f t="shared" si="787"/>
        <v>2756.621439563206</v>
      </c>
      <c r="M1871" s="1324">
        <f t="shared" si="787"/>
        <v>17641.722524952085</v>
      </c>
      <c r="N1871" s="1324">
        <f t="shared" si="787"/>
        <v>2201.3388953734102</v>
      </c>
      <c r="O1871" s="1324">
        <f t="shared" si="787"/>
        <v>1580.2763236706644</v>
      </c>
      <c r="P1871" s="1324">
        <f t="shared" si="787"/>
        <v>40.66224344120414</v>
      </c>
      <c r="Q1871" s="1324">
        <f t="shared" si="787"/>
        <v>0</v>
      </c>
      <c r="V1871" s="1320" t="s">
        <v>6087</v>
      </c>
      <c r="Y1871" s="1324"/>
    </row>
    <row r="1872" spans="1:25">
      <c r="A1872" s="1320" t="s">
        <v>5915</v>
      </c>
      <c r="C1872" s="1322">
        <v>208</v>
      </c>
      <c r="D1872" s="1320" t="s">
        <v>5239</v>
      </c>
      <c r="E1872" s="1320" t="s">
        <v>4067</v>
      </c>
      <c r="F1872" s="1320">
        <f t="shared" si="786"/>
        <v>75426.603011782776</v>
      </c>
      <c r="G1872" s="1320">
        <f t="shared" si="786"/>
        <v>4882.2363631944781</v>
      </c>
      <c r="H1872" s="1320">
        <f t="shared" si="786"/>
        <v>70544.366648588271</v>
      </c>
      <c r="I1872" s="1525"/>
      <c r="J1872" s="1324">
        <f t="shared" si="787"/>
        <v>70544.366648588271</v>
      </c>
      <c r="K1872" s="1324">
        <f t="shared" si="787"/>
        <v>40911.302022991717</v>
      </c>
      <c r="L1872" s="1324">
        <f t="shared" si="787"/>
        <v>3373.2247025518232</v>
      </c>
      <c r="M1872" s="1324">
        <f t="shared" si="787"/>
        <v>21587.836966893337</v>
      </c>
      <c r="N1872" s="1324">
        <f t="shared" si="787"/>
        <v>2693.7361198708295</v>
      </c>
      <c r="O1872" s="1324">
        <f t="shared" si="787"/>
        <v>1933.7537811170459</v>
      </c>
      <c r="P1872" s="1324">
        <f t="shared" si="787"/>
        <v>49.757606201734923</v>
      </c>
      <c r="Q1872" s="1324">
        <f t="shared" si="787"/>
        <v>0</v>
      </c>
      <c r="V1872" s="1320" t="s">
        <v>6088</v>
      </c>
      <c r="Y1872" s="1324"/>
    </row>
    <row r="1873" spans="1:25">
      <c r="A1873" s="1320" t="s">
        <v>5915</v>
      </c>
      <c r="C1873" s="1322">
        <v>209</v>
      </c>
      <c r="D1873" s="1320" t="s">
        <v>5240</v>
      </c>
      <c r="E1873" s="1320" t="s">
        <v>4067</v>
      </c>
      <c r="F1873" s="1320">
        <f t="shared" si="786"/>
        <v>288504.49287138344</v>
      </c>
      <c r="G1873" s="1320">
        <f t="shared" si="786"/>
        <v>0</v>
      </c>
      <c r="H1873" s="1320">
        <f t="shared" si="786"/>
        <v>288504.49287138344</v>
      </c>
      <c r="I1873" s="1525"/>
      <c r="J1873" s="1324">
        <f t="shared" si="787"/>
        <v>288504.49287138344</v>
      </c>
      <c r="K1873" s="1324">
        <f t="shared" si="787"/>
        <v>179546.33414586599</v>
      </c>
      <c r="L1873" s="1324">
        <f t="shared" si="787"/>
        <v>12763.939246482018</v>
      </c>
      <c r="M1873" s="1324">
        <f t="shared" si="787"/>
        <v>85559.66846547123</v>
      </c>
      <c r="N1873" s="1324">
        <f t="shared" si="787"/>
        <v>8995.0859926984576</v>
      </c>
      <c r="O1873" s="1324">
        <f t="shared" si="787"/>
        <v>6.1435550767694391E-3</v>
      </c>
      <c r="P1873" s="1324">
        <f t="shared" si="787"/>
        <v>1647.5733931427437</v>
      </c>
      <c r="Q1873" s="1324">
        <f t="shared" si="787"/>
        <v>0</v>
      </c>
      <c r="V1873" s="1320" t="s">
        <v>6089</v>
      </c>
      <c r="Y1873" s="1324"/>
    </row>
    <row r="1874" spans="1:25">
      <c r="A1874" s="1320" t="s">
        <v>5915</v>
      </c>
      <c r="C1874" s="1322">
        <v>210</v>
      </c>
      <c r="D1874" s="1320" t="s">
        <v>5241</v>
      </c>
      <c r="E1874" s="1320" t="s">
        <v>4067</v>
      </c>
      <c r="F1874" s="1320">
        <f t="shared" si="786"/>
        <v>121662.75989892814</v>
      </c>
      <c r="G1874" s="1320">
        <f t="shared" si="786"/>
        <v>0</v>
      </c>
      <c r="H1874" s="1320">
        <f t="shared" si="786"/>
        <v>121662.75989892814</v>
      </c>
      <c r="I1874" s="1525"/>
      <c r="J1874" s="1324">
        <f t="shared" si="787"/>
        <v>121662.75989892814</v>
      </c>
      <c r="K1874" s="1324">
        <f t="shared" si="787"/>
        <v>88757.588217653625</v>
      </c>
      <c r="L1874" s="1324">
        <f t="shared" si="787"/>
        <v>7143.4753824868358</v>
      </c>
      <c r="M1874" s="1324">
        <f t="shared" si="787"/>
        <v>25319.624342584619</v>
      </c>
      <c r="N1874" s="1324">
        <f t="shared" si="787"/>
        <v>0</v>
      </c>
      <c r="O1874" s="1324">
        <f t="shared" si="787"/>
        <v>0</v>
      </c>
      <c r="P1874" s="1324">
        <f t="shared" si="787"/>
        <v>437.8375623147266</v>
      </c>
      <c r="Q1874" s="1324">
        <f t="shared" si="787"/>
        <v>0</v>
      </c>
      <c r="V1874" s="1320" t="s">
        <v>6090</v>
      </c>
      <c r="Y1874" s="1324"/>
    </row>
    <row r="1875" spans="1:25">
      <c r="A1875" s="1320" t="s">
        <v>5915</v>
      </c>
      <c r="C1875" s="1322">
        <v>211</v>
      </c>
      <c r="D1875" s="1320" t="s">
        <v>5242</v>
      </c>
      <c r="E1875" s="1320" t="s">
        <v>4071</v>
      </c>
      <c r="F1875" s="1320">
        <f t="shared" si="786"/>
        <v>145806.81010883633</v>
      </c>
      <c r="G1875" s="1320">
        <f t="shared" si="786"/>
        <v>0</v>
      </c>
      <c r="H1875" s="1320">
        <f t="shared" si="786"/>
        <v>145806.81010883633</v>
      </c>
      <c r="I1875" s="1525"/>
      <c r="J1875" s="1324">
        <f t="shared" si="787"/>
        <v>145806.81010883633</v>
      </c>
      <c r="K1875" s="1324">
        <f t="shared" si="787"/>
        <v>59816.577965034514</v>
      </c>
      <c r="L1875" s="1324">
        <f t="shared" si="787"/>
        <v>11357.69807818029</v>
      </c>
      <c r="M1875" s="1324">
        <f t="shared" si="787"/>
        <v>6444.7656729123328</v>
      </c>
      <c r="N1875" s="1324">
        <f t="shared" si="787"/>
        <v>479.15917018984669</v>
      </c>
      <c r="O1875" s="1324">
        <f t="shared" si="787"/>
        <v>522.94327195852009</v>
      </c>
      <c r="P1875" s="1324">
        <f t="shared" si="787"/>
        <v>107.56604663822846</v>
      </c>
      <c r="Q1875" s="1324">
        <f t="shared" si="787"/>
        <v>67001.922022793311</v>
      </c>
      <c r="V1875" s="1320" t="s">
        <v>6091</v>
      </c>
    </row>
    <row r="1876" spans="1:25">
      <c r="A1876" s="1320" t="s">
        <v>5915</v>
      </c>
      <c r="C1876" s="1322">
        <v>212</v>
      </c>
      <c r="D1876" s="1320" t="s">
        <v>5244</v>
      </c>
      <c r="E1876" s="1320" t="s">
        <v>4071</v>
      </c>
      <c r="F1876" s="1350">
        <f t="shared" si="786"/>
        <v>103088.55761801758</v>
      </c>
      <c r="G1876" s="1350">
        <f t="shared" si="786"/>
        <v>0</v>
      </c>
      <c r="H1876" s="1350">
        <f t="shared" si="786"/>
        <v>103088.55761801758</v>
      </c>
      <c r="I1876" s="1525"/>
      <c r="J1876" s="1366">
        <f t="shared" si="787"/>
        <v>103088.55761801758</v>
      </c>
      <c r="K1876" s="1366">
        <f t="shared" si="787"/>
        <v>90341.858980649922</v>
      </c>
      <c r="L1876" s="1366">
        <f t="shared" si="787"/>
        <v>8780.976872387093</v>
      </c>
      <c r="M1876" s="1366">
        <f t="shared" si="787"/>
        <v>3306.6839420937349</v>
      </c>
      <c r="N1876" s="1366">
        <f t="shared" si="787"/>
        <v>182.07933470854528</v>
      </c>
      <c r="O1876" s="1366">
        <f t="shared" si="787"/>
        <v>95.020510493316721</v>
      </c>
      <c r="P1876" s="1366">
        <f t="shared" si="787"/>
        <v>63.427219322874492</v>
      </c>
      <c r="Q1876" s="1366">
        <f t="shared" si="787"/>
        <v>302.76671380716823</v>
      </c>
      <c r="R1876" s="1358"/>
      <c r="V1876" s="1320" t="s">
        <v>6092</v>
      </c>
    </row>
    <row r="1877" spans="1:25">
      <c r="A1877" s="1320" t="s">
        <v>5915</v>
      </c>
      <c r="C1877" s="1322">
        <v>213</v>
      </c>
      <c r="D1877" s="1320" t="s">
        <v>6093</v>
      </c>
      <c r="F1877" s="1350">
        <f>SUM(F1869:F1876)</f>
        <v>1824424.0367436209</v>
      </c>
      <c r="G1877" s="1350">
        <f>SUM(G1869:G1876)</f>
        <v>8871.6435823051615</v>
      </c>
      <c r="H1877" s="1350">
        <f>SUM(H1869:H1876)</f>
        <v>1815552.3931613157</v>
      </c>
      <c r="I1877" s="1525"/>
      <c r="J1877" s="1366">
        <f t="shared" ref="J1877:Q1877" si="788">SUM(J1869:J1876)</f>
        <v>1815552.3931613157</v>
      </c>
      <c r="K1877" s="1366">
        <f t="shared" si="788"/>
        <v>1080825.1066504354</v>
      </c>
      <c r="L1877" s="1366">
        <f t="shared" si="788"/>
        <v>95212.281921506481</v>
      </c>
      <c r="M1877" s="1366">
        <f t="shared" si="788"/>
        <v>479131.90317772533</v>
      </c>
      <c r="N1877" s="1366">
        <f t="shared" si="788"/>
        <v>55708.917973196447</v>
      </c>
      <c r="O1877" s="1366">
        <f t="shared" si="788"/>
        <v>33794.304447529292</v>
      </c>
      <c r="P1877" s="1366">
        <f t="shared" si="788"/>
        <v>3574.9733266006201</v>
      </c>
      <c r="Q1877" s="1366">
        <f t="shared" si="788"/>
        <v>67304.688736600481</v>
      </c>
      <c r="R1877" s="1358"/>
      <c r="V1877" s="1320" t="s">
        <v>6094</v>
      </c>
    </row>
    <row r="1878" spans="1:25">
      <c r="G1878" s="1320"/>
    </row>
    <row r="1879" spans="1:25">
      <c r="G1879" s="1320"/>
      <c r="Y1879" s="1324"/>
    </row>
    <row r="1880" spans="1:25">
      <c r="G1880" s="1320"/>
      <c r="Y1880" s="1324"/>
    </row>
    <row r="1881" spans="1:25">
      <c r="F1881" s="1358"/>
      <c r="G1881" s="1358"/>
      <c r="H1881" s="1358"/>
      <c r="J1881" s="1364"/>
      <c r="K1881" s="1364"/>
      <c r="L1881" s="1364"/>
      <c r="M1881" s="1367"/>
      <c r="N1881" s="1367"/>
      <c r="O1881" s="1367"/>
      <c r="P1881" s="1364"/>
      <c r="Q1881" s="1364"/>
      <c r="R1881" s="1358"/>
      <c r="Y1881" s="1324"/>
    </row>
    <row r="1882" spans="1:25">
      <c r="F1882" s="1327"/>
      <c r="G1882" s="1320"/>
      <c r="H1882" s="1415"/>
      <c r="K1882" s="1329"/>
      <c r="L1882" s="1329"/>
      <c r="M1882" s="1330"/>
      <c r="N1882" s="1330"/>
      <c r="O1882" s="1330"/>
      <c r="Q1882" s="1536"/>
      <c r="R1882" s="1415"/>
      <c r="Y1882" s="1324"/>
    </row>
    <row r="1883" spans="1:25">
      <c r="B1883" s="1331"/>
      <c r="C1883" s="1340" t="str">
        <f>+C$2</f>
        <v>RATES WITH REVENUE DEFICIENCY ADDITION</v>
      </c>
      <c r="F1883" s="1333"/>
      <c r="G1883" s="1327" t="s">
        <v>2173</v>
      </c>
      <c r="I1883" s="1334" t="s">
        <v>6058</v>
      </c>
      <c r="L1883" s="1329" t="s">
        <v>2173</v>
      </c>
      <c r="M1883" s="1330"/>
      <c r="N1883" s="1330"/>
      <c r="O1883" s="1330"/>
      <c r="S1883" s="1334" t="s">
        <v>6095</v>
      </c>
      <c r="T1883" s="1333" t="s">
        <v>2173</v>
      </c>
      <c r="U1883" s="1431"/>
      <c r="V1883" s="1332" t="s">
        <v>4772</v>
      </c>
      <c r="Y1883" s="1324"/>
    </row>
    <row r="1884" spans="1:25">
      <c r="B1884" s="1331"/>
      <c r="C1884" s="1340" t="str">
        <f>+C$3</f>
        <v>PROD. CAP. ALLOC. METHOD: 12 CP &amp; 1/13th AD</v>
      </c>
      <c r="G1884" s="1336" t="s">
        <v>4768</v>
      </c>
      <c r="I1884" s="1335" t="s">
        <v>6059</v>
      </c>
      <c r="L1884" s="1336" t="s">
        <v>5141</v>
      </c>
      <c r="M1884" s="1337"/>
      <c r="N1884" s="1337"/>
      <c r="O1884" s="1337"/>
      <c r="R1884" s="1331"/>
      <c r="S1884" s="1335" t="s">
        <v>6096</v>
      </c>
      <c r="T1884" s="1333" t="s">
        <v>5141</v>
      </c>
      <c r="V1884" s="1332" t="s">
        <v>6095</v>
      </c>
      <c r="Y1884" s="1324"/>
    </row>
    <row r="1885" spans="1:25">
      <c r="C1885" s="1340" t="str">
        <f>+C$4</f>
        <v>PROJECTED CALENDAR YEAR 2025; FULLY ADJUSTED DATA</v>
      </c>
      <c r="F1885" s="1333"/>
      <c r="G1885" s="1336" t="s">
        <v>2181</v>
      </c>
      <c r="L1885" s="1336" t="s">
        <v>2181</v>
      </c>
      <c r="T1885" s="1339"/>
      <c r="Y1885" s="1324"/>
    </row>
    <row r="1886" spans="1:25">
      <c r="C1886" s="1340" t="str">
        <f>+C$5</f>
        <v>MINIMUM DISTRIBUTION SYSTEM (MDS) NOT EMPLOYED</v>
      </c>
      <c r="G1886" s="1320"/>
      <c r="L1886" s="1336"/>
      <c r="M1886" s="1337"/>
      <c r="N1886" s="1337"/>
      <c r="O1886" s="1337"/>
      <c r="T1886" s="1333"/>
      <c r="Y1886" s="1324"/>
    </row>
    <row r="1887" spans="1:25">
      <c r="C1887" s="1340" t="str">
        <f>+C$6</f>
        <v>Tampa Electric 2025 OB Budget</v>
      </c>
      <c r="F1887" s="1327"/>
      <c r="G1887" s="1333" t="s">
        <v>5912</v>
      </c>
      <c r="L1887" s="1336" t="s">
        <v>5912</v>
      </c>
      <c r="M1887" s="1337"/>
      <c r="N1887" s="1337"/>
      <c r="O1887" s="1337"/>
      <c r="T1887" s="1333" t="s">
        <v>5912</v>
      </c>
    </row>
    <row r="1888" spans="1:25">
      <c r="F1888" s="1333"/>
      <c r="G1888" s="1320"/>
      <c r="L1888" s="1336"/>
      <c r="M1888" s="1337"/>
      <c r="N1888" s="1337"/>
      <c r="O1888" s="1337"/>
    </row>
    <row r="1889" spans="1:25">
      <c r="F1889" s="1333"/>
      <c r="G1889" s="1320"/>
      <c r="L1889" s="1336"/>
      <c r="M1889" s="1337"/>
      <c r="N1889" s="1337"/>
      <c r="O1889" s="1337"/>
    </row>
    <row r="1890" spans="1:25">
      <c r="F1890" s="1339"/>
      <c r="G1890" s="1320"/>
      <c r="I1890" s="1379"/>
    </row>
    <row r="1891" spans="1:25">
      <c r="G1891" s="1320"/>
      <c r="I1891" s="1379"/>
    </row>
    <row r="1892" spans="1:25" ht="27.6">
      <c r="A1892" s="1418" t="s">
        <v>4683</v>
      </c>
      <c r="C1892" s="1349" t="s">
        <v>4297</v>
      </c>
      <c r="D1892" s="1418"/>
      <c r="E1892" s="1418"/>
      <c r="F1892" s="1348" t="s">
        <v>5144</v>
      </c>
      <c r="G1892" s="1348" t="s">
        <v>4956</v>
      </c>
      <c r="H1892" s="1348" t="s">
        <v>4957</v>
      </c>
      <c r="I1892" s="1426" t="s">
        <v>5145</v>
      </c>
      <c r="J1892" s="1352" t="s">
        <v>4957</v>
      </c>
      <c r="K1892" s="1353" t="s">
        <v>1949</v>
      </c>
      <c r="L1892" s="1353" t="s">
        <v>1950</v>
      </c>
      <c r="M1892" s="1354" t="s">
        <v>1934</v>
      </c>
      <c r="N1892" s="1354" t="s">
        <v>1971</v>
      </c>
      <c r="O1892" s="1354" t="s">
        <v>1972</v>
      </c>
      <c r="P1892" s="1352" t="s">
        <v>5146</v>
      </c>
      <c r="Q1892" s="1352" t="s">
        <v>5147</v>
      </c>
      <c r="R1892" s="1355"/>
      <c r="S1892" s="1350"/>
      <c r="T1892" s="1350"/>
      <c r="U1892" s="1366"/>
      <c r="V1892" s="1355" t="s">
        <v>4774</v>
      </c>
    </row>
    <row r="1893" spans="1:25">
      <c r="C1893" s="1397"/>
      <c r="D1893" s="1435"/>
      <c r="E1893" s="1435"/>
      <c r="F1893" s="1396"/>
      <c r="G1893" s="1396"/>
      <c r="H1893" s="1396"/>
      <c r="I1893" s="1442"/>
      <c r="J1893" s="1399"/>
      <c r="K1893" s="1360"/>
      <c r="L1893" s="1360"/>
      <c r="M1893" s="1361"/>
      <c r="N1893" s="1361"/>
      <c r="O1893" s="1361"/>
      <c r="P1893" s="1399"/>
      <c r="Q1893" s="1399"/>
      <c r="R1893" s="1346"/>
    </row>
    <row r="1894" spans="1:25">
      <c r="A1894" s="1320" t="s">
        <v>5915</v>
      </c>
      <c r="C1894" s="1322">
        <v>214</v>
      </c>
      <c r="D1894" s="1356" t="s">
        <v>6097</v>
      </c>
      <c r="G1894" s="1320"/>
      <c r="I1894" s="1379"/>
    </row>
    <row r="1895" spans="1:25">
      <c r="A1895" s="1320" t="s">
        <v>5915</v>
      </c>
      <c r="C1895" s="1322">
        <v>215</v>
      </c>
      <c r="D1895" s="1320" t="s">
        <v>5265</v>
      </c>
      <c r="E1895" s="1320" t="s">
        <v>4067</v>
      </c>
      <c r="F1895" s="1324">
        <f t="shared" ref="F1895:H1902" si="789">+F151</f>
        <v>1850.9373105288489</v>
      </c>
      <c r="G1895" s="1320">
        <f t="shared" si="789"/>
        <v>0</v>
      </c>
      <c r="H1895" s="1320">
        <f t="shared" si="789"/>
        <v>1850.9373105288489</v>
      </c>
      <c r="I1895" s="1525"/>
      <c r="J1895" s="1324">
        <f t="shared" ref="J1895:Q1902" si="790">+J151</f>
        <v>1850.9373105288489</v>
      </c>
      <c r="K1895" s="1324">
        <f t="shared" si="790"/>
        <v>1073.5677765582529</v>
      </c>
      <c r="L1895" s="1324">
        <f t="shared" si="790"/>
        <v>88.558512965526134</v>
      </c>
      <c r="M1895" s="1324">
        <f t="shared" si="790"/>
        <v>566.11008268675346</v>
      </c>
      <c r="N1895" s="1325">
        <f t="shared" si="790"/>
        <v>70.671337714457678</v>
      </c>
      <c r="O1895" s="1325">
        <f t="shared" si="790"/>
        <v>50.717299732099669</v>
      </c>
      <c r="P1895" s="1325">
        <f t="shared" si="790"/>
        <v>1.3123008717589244</v>
      </c>
      <c r="Q1895" s="1324">
        <f t="shared" si="790"/>
        <v>0</v>
      </c>
      <c r="V1895" s="1320" t="s">
        <v>5498</v>
      </c>
    </row>
    <row r="1896" spans="1:25">
      <c r="A1896" s="1320" t="s">
        <v>5915</v>
      </c>
      <c r="C1896" s="1322">
        <v>216</v>
      </c>
      <c r="D1896" s="1320" t="s">
        <v>5265</v>
      </c>
      <c r="E1896" s="1320" t="s">
        <v>2067</v>
      </c>
      <c r="F1896" s="1364">
        <f t="shared" si="789"/>
        <v>676.2302663227432</v>
      </c>
      <c r="G1896" s="1358">
        <f t="shared" si="789"/>
        <v>-1.84900420208578E-3</v>
      </c>
      <c r="H1896" s="1358">
        <f t="shared" si="789"/>
        <v>676.23211532694529</v>
      </c>
      <c r="I1896" s="1525"/>
      <c r="J1896" s="1364">
        <f t="shared" si="790"/>
        <v>676.23211532694529</v>
      </c>
      <c r="K1896" s="1364">
        <f t="shared" si="790"/>
        <v>376.62469892117406</v>
      </c>
      <c r="L1896" s="1364">
        <f t="shared" si="790"/>
        <v>34.804531065803914</v>
      </c>
      <c r="M1896" s="1364">
        <f t="shared" si="790"/>
        <v>259.280237914748</v>
      </c>
      <c r="N1896" s="1367">
        <f t="shared" si="790"/>
        <v>41.273244970787559</v>
      </c>
      <c r="O1896" s="1367">
        <f t="shared" si="790"/>
        <v>30.406489251825199</v>
      </c>
      <c r="P1896" s="1367">
        <f t="shared" si="790"/>
        <v>3.9429132026103617</v>
      </c>
      <c r="Q1896" s="1364">
        <f t="shared" si="790"/>
        <v>0</v>
      </c>
      <c r="R1896" s="1358"/>
      <c r="V1896" s="1320" t="s">
        <v>5499</v>
      </c>
      <c r="Y1896" s="1324"/>
    </row>
    <row r="1897" spans="1:25">
      <c r="A1897" s="1320" t="s">
        <v>5915</v>
      </c>
      <c r="C1897" s="1322">
        <v>217</v>
      </c>
      <c r="D1897" s="1320" t="s">
        <v>5268</v>
      </c>
      <c r="E1897" s="1320" t="s">
        <v>4067</v>
      </c>
      <c r="F1897" s="1364">
        <f t="shared" si="789"/>
        <v>996.42736350591531</v>
      </c>
      <c r="G1897" s="1358">
        <f t="shared" si="789"/>
        <v>64.555396081805128</v>
      </c>
      <c r="H1897" s="1358">
        <f t="shared" si="789"/>
        <v>931.87196742411015</v>
      </c>
      <c r="I1897" s="1525"/>
      <c r="J1897" s="1364">
        <f t="shared" si="790"/>
        <v>931.87196742411015</v>
      </c>
      <c r="K1897" s="1364">
        <f t="shared" si="790"/>
        <v>540.49789283172697</v>
      </c>
      <c r="L1897" s="1364">
        <f t="shared" si="790"/>
        <v>44.585624396841048</v>
      </c>
      <c r="M1897" s="1364">
        <f t="shared" si="790"/>
        <v>285.01349750262563</v>
      </c>
      <c r="N1897" s="1367">
        <f t="shared" si="790"/>
        <v>35.580156141349192</v>
      </c>
      <c r="O1897" s="1367">
        <f t="shared" si="790"/>
        <v>25.534106214697424</v>
      </c>
      <c r="P1897" s="1367">
        <f t="shared" si="790"/>
        <v>0.66069033686989576</v>
      </c>
      <c r="Q1897" s="1364">
        <f t="shared" si="790"/>
        <v>0</v>
      </c>
      <c r="R1897" s="1358"/>
      <c r="V1897" s="1320" t="s">
        <v>5500</v>
      </c>
      <c r="Y1897" s="1324"/>
    </row>
    <row r="1898" spans="1:25">
      <c r="A1898" s="1320" t="s">
        <v>5915</v>
      </c>
      <c r="C1898" s="1322">
        <v>218</v>
      </c>
      <c r="D1898" s="1320" t="s">
        <v>5239</v>
      </c>
      <c r="E1898" s="1320" t="s">
        <v>4067</v>
      </c>
      <c r="F1898" s="1364">
        <f t="shared" si="789"/>
        <v>273.36871416988186</v>
      </c>
      <c r="G1898" s="1358">
        <f t="shared" si="789"/>
        <v>17.710699511019335</v>
      </c>
      <c r="H1898" s="1358">
        <f t="shared" si="789"/>
        <v>255.65801465886253</v>
      </c>
      <c r="I1898" s="1525"/>
      <c r="J1898" s="1364">
        <f t="shared" si="790"/>
        <v>255.65801465886253</v>
      </c>
      <c r="K1898" s="1364">
        <f t="shared" si="790"/>
        <v>148.28498231428051</v>
      </c>
      <c r="L1898" s="1364">
        <f t="shared" si="790"/>
        <v>12.232015356283817</v>
      </c>
      <c r="M1898" s="1364">
        <f t="shared" si="790"/>
        <v>78.19312895946085</v>
      </c>
      <c r="N1898" s="1367">
        <f t="shared" si="790"/>
        <v>9.7613753802401604</v>
      </c>
      <c r="O1898" s="1367">
        <f t="shared" si="790"/>
        <v>7.0052530059282994</v>
      </c>
      <c r="P1898" s="1367">
        <f t="shared" si="790"/>
        <v>0.18125964266889311</v>
      </c>
      <c r="Q1898" s="1364">
        <f t="shared" si="790"/>
        <v>0</v>
      </c>
      <c r="R1898" s="1358"/>
      <c r="V1898" s="1320" t="s">
        <v>5501</v>
      </c>
    </row>
    <row r="1899" spans="1:25">
      <c r="A1899" s="1320" t="s">
        <v>5915</v>
      </c>
      <c r="C1899" s="1322">
        <v>219</v>
      </c>
      <c r="D1899" s="1320" t="s">
        <v>5240</v>
      </c>
      <c r="E1899" s="1320" t="s">
        <v>4067</v>
      </c>
      <c r="F1899" s="1364">
        <f t="shared" si="789"/>
        <v>14191.054128695432</v>
      </c>
      <c r="G1899" s="1358">
        <f t="shared" si="789"/>
        <v>0</v>
      </c>
      <c r="H1899" s="1358">
        <f t="shared" si="789"/>
        <v>14191.054128695432</v>
      </c>
      <c r="I1899" s="1525"/>
      <c r="J1899" s="1364">
        <f t="shared" si="790"/>
        <v>14191.054128695432</v>
      </c>
      <c r="K1899" s="1364">
        <f t="shared" si="790"/>
        <v>8832.7393179512146</v>
      </c>
      <c r="L1899" s="1364">
        <f t="shared" si="790"/>
        <v>628.20657332742269</v>
      </c>
      <c r="M1899" s="1364">
        <f t="shared" si="790"/>
        <v>4206.2352442154006</v>
      </c>
      <c r="N1899" s="1367">
        <f t="shared" si="790"/>
        <v>442.41137674713241</v>
      </c>
      <c r="O1899" s="1367">
        <f t="shared" si="790"/>
        <v>3.0206986936213846E-4</v>
      </c>
      <c r="P1899" s="1367">
        <f t="shared" si="790"/>
        <v>81.461314384395408</v>
      </c>
      <c r="Q1899" s="1364">
        <f t="shared" si="790"/>
        <v>0</v>
      </c>
      <c r="R1899" s="1358"/>
      <c r="V1899" s="1320" t="s">
        <v>5502</v>
      </c>
    </row>
    <row r="1900" spans="1:25">
      <c r="A1900" s="1320" t="s">
        <v>5915</v>
      </c>
      <c r="C1900" s="1322">
        <v>220</v>
      </c>
      <c r="D1900" s="1320" t="s">
        <v>5241</v>
      </c>
      <c r="E1900" s="1320" t="s">
        <v>4067</v>
      </c>
      <c r="F1900" s="1358">
        <f t="shared" si="789"/>
        <v>348.6906696192342</v>
      </c>
      <c r="G1900" s="1358">
        <f t="shared" si="789"/>
        <v>0</v>
      </c>
      <c r="H1900" s="1358">
        <f t="shared" si="789"/>
        <v>348.6906696192342</v>
      </c>
      <c r="I1900" s="1525"/>
      <c r="J1900" s="1364">
        <f t="shared" si="790"/>
        <v>348.6906696192342</v>
      </c>
      <c r="K1900" s="1364">
        <f t="shared" si="790"/>
        <v>254.41631045679048</v>
      </c>
      <c r="L1900" s="1364">
        <f t="shared" si="790"/>
        <v>20.485562197402622</v>
      </c>
      <c r="M1900" s="1364">
        <f t="shared" si="790"/>
        <v>72.527433501543271</v>
      </c>
      <c r="N1900" s="1367">
        <f t="shared" si="790"/>
        <v>0</v>
      </c>
      <c r="O1900" s="1367">
        <f t="shared" si="790"/>
        <v>0</v>
      </c>
      <c r="P1900" s="1367">
        <f t="shared" si="790"/>
        <v>1.2613634634978208</v>
      </c>
      <c r="Q1900" s="1364">
        <f t="shared" si="790"/>
        <v>0</v>
      </c>
      <c r="R1900" s="1358"/>
      <c r="V1900" s="1320" t="s">
        <v>5503</v>
      </c>
    </row>
    <row r="1901" spans="1:25">
      <c r="A1901" s="1320" t="s">
        <v>5915</v>
      </c>
      <c r="C1901" s="1322">
        <v>221</v>
      </c>
      <c r="D1901" s="1320" t="s">
        <v>5242</v>
      </c>
      <c r="E1901" s="1320" t="s">
        <v>4071</v>
      </c>
      <c r="F1901" s="1358">
        <f t="shared" si="789"/>
        <v>216.09497127969638</v>
      </c>
      <c r="G1901" s="1358">
        <f t="shared" si="789"/>
        <v>0</v>
      </c>
      <c r="H1901" s="1358">
        <f t="shared" si="789"/>
        <v>216.09497127969638</v>
      </c>
      <c r="I1901" s="1525"/>
      <c r="J1901" s="1364">
        <f t="shared" si="790"/>
        <v>216.09497127969638</v>
      </c>
      <c r="K1901" s="1364">
        <f t="shared" si="790"/>
        <v>79.664863603976698</v>
      </c>
      <c r="L1901" s="1364">
        <f t="shared" si="790"/>
        <v>12.08411232919341</v>
      </c>
      <c r="M1901" s="1364">
        <f t="shared" si="790"/>
        <v>5.8257414070189961</v>
      </c>
      <c r="N1901" s="1367">
        <f t="shared" si="790"/>
        <v>0.37555724342747981</v>
      </c>
      <c r="O1901" s="1367">
        <f t="shared" si="790"/>
        <v>0.40974871776783239</v>
      </c>
      <c r="P1901" s="1367">
        <f t="shared" si="790"/>
        <v>9.4042220482187092E-2</v>
      </c>
      <c r="Q1901" s="1364">
        <f t="shared" si="790"/>
        <v>117.64090575782981</v>
      </c>
      <c r="R1901" s="1358"/>
      <c r="V1901" s="1320" t="s">
        <v>5504</v>
      </c>
    </row>
    <row r="1902" spans="1:25">
      <c r="A1902" s="1320" t="s">
        <v>5915</v>
      </c>
      <c r="C1902" s="1322">
        <v>222</v>
      </c>
      <c r="D1902" s="1320" t="s">
        <v>5244</v>
      </c>
      <c r="E1902" s="1320" t="s">
        <v>4071</v>
      </c>
      <c r="F1902" s="1350">
        <f t="shared" si="789"/>
        <v>21497.360570708937</v>
      </c>
      <c r="G1902" s="1350">
        <f t="shared" si="789"/>
        <v>0</v>
      </c>
      <c r="H1902" s="1350">
        <f t="shared" si="789"/>
        <v>21497.360570708937</v>
      </c>
      <c r="I1902" s="1525"/>
      <c r="J1902" s="1366">
        <f t="shared" si="790"/>
        <v>21497.360570708937</v>
      </c>
      <c r="K1902" s="1366">
        <f t="shared" si="790"/>
        <v>19178.625848860214</v>
      </c>
      <c r="L1902" s="1366">
        <f t="shared" si="790"/>
        <v>1858.7224925146834</v>
      </c>
      <c r="M1902" s="1366">
        <f t="shared" si="790"/>
        <v>454.57060285066461</v>
      </c>
      <c r="N1902" s="1378">
        <f t="shared" si="790"/>
        <v>3.7671811553707597E-3</v>
      </c>
      <c r="O1902" s="1378">
        <f t="shared" si="790"/>
        <v>6.6837085014642521E-4</v>
      </c>
      <c r="P1902" s="1378">
        <f t="shared" si="790"/>
        <v>5.4371909313666578</v>
      </c>
      <c r="Q1902" s="1366">
        <f t="shared" si="790"/>
        <v>0</v>
      </c>
      <c r="R1902" s="1358"/>
      <c r="V1902" s="1320" t="s">
        <v>5505</v>
      </c>
    </row>
    <row r="1903" spans="1:25">
      <c r="A1903" s="1320" t="s">
        <v>5915</v>
      </c>
      <c r="C1903" s="1322">
        <v>223</v>
      </c>
      <c r="G1903" s="1320"/>
      <c r="I1903" s="1525"/>
      <c r="M1903" s="1324"/>
      <c r="P1903" s="1325"/>
      <c r="Y1903" s="1324"/>
    </row>
    <row r="1904" spans="1:25">
      <c r="A1904" s="1320" t="s">
        <v>5915</v>
      </c>
      <c r="C1904" s="1322">
        <v>224</v>
      </c>
      <c r="D1904" s="1320" t="s">
        <v>6098</v>
      </c>
      <c r="F1904" s="1350">
        <f>SUM(F1895:F1902)</f>
        <v>40050.163994830691</v>
      </c>
      <c r="G1904" s="1350">
        <f>SUM(G1895:G1902)</f>
        <v>82.26424658862237</v>
      </c>
      <c r="H1904" s="1350">
        <f>SUM(H1895:H1902)</f>
        <v>39967.899748242067</v>
      </c>
      <c r="I1904" s="1525"/>
      <c r="J1904" s="1366">
        <f t="shared" ref="J1904:Q1904" si="791">SUM(J1895:J1902)</f>
        <v>39967.899748242067</v>
      </c>
      <c r="K1904" s="1366">
        <f t="shared" si="791"/>
        <v>30484.421691497631</v>
      </c>
      <c r="L1904" s="1366">
        <f t="shared" si="791"/>
        <v>2699.679424153157</v>
      </c>
      <c r="M1904" s="1366">
        <f t="shared" si="791"/>
        <v>5927.7559690382159</v>
      </c>
      <c r="N1904" s="1378">
        <f t="shared" si="791"/>
        <v>600.07681537854978</v>
      </c>
      <c r="O1904" s="1378">
        <f>SUM(O1895:O1902)</f>
        <v>114.07386736303793</v>
      </c>
      <c r="P1904" s="1378">
        <f>SUM(P1895:P1902)</f>
        <v>94.351075053650135</v>
      </c>
      <c r="Q1904" s="1366">
        <f t="shared" si="791"/>
        <v>117.64090575782981</v>
      </c>
      <c r="R1904" s="1358"/>
      <c r="V1904" s="1320" t="s">
        <v>6099</v>
      </c>
      <c r="Y1904" s="1324"/>
    </row>
    <row r="1905" spans="1:25">
      <c r="A1905" s="1320" t="s">
        <v>5915</v>
      </c>
      <c r="C1905" s="1322">
        <v>225</v>
      </c>
      <c r="F1905" s="1597"/>
      <c r="G1905" s="1320"/>
      <c r="I1905" s="1379"/>
      <c r="Y1905" s="1324"/>
    </row>
    <row r="1906" spans="1:25">
      <c r="A1906" s="1320" t="s">
        <v>5915</v>
      </c>
      <c r="C1906" s="1322">
        <v>226</v>
      </c>
      <c r="D1906" s="1356" t="s">
        <v>6100</v>
      </c>
      <c r="G1906" s="1320"/>
      <c r="I1906" s="1379"/>
      <c r="Y1906" s="1324"/>
    </row>
    <row r="1907" spans="1:25">
      <c r="A1907" s="1320" t="s">
        <v>5915</v>
      </c>
      <c r="C1907" s="1322">
        <v>227</v>
      </c>
      <c r="D1907" s="1320" t="s">
        <v>5265</v>
      </c>
      <c r="E1907" s="1320" t="s">
        <v>4067</v>
      </c>
      <c r="F1907" s="1320">
        <f t="shared" ref="F1907:H1914" si="792">+F1869-F1895</f>
        <v>915939.68586827721</v>
      </c>
      <c r="G1907" s="1320">
        <f t="shared" si="792"/>
        <v>0</v>
      </c>
      <c r="H1907" s="1320">
        <f t="shared" si="792"/>
        <v>915939.68586827721</v>
      </c>
      <c r="I1907" s="1525"/>
      <c r="J1907" s="1324">
        <f t="shared" ref="J1907:Q1914" si="793">+J1869-J1895</f>
        <v>915939.68586827721</v>
      </c>
      <c r="K1907" s="1324">
        <f t="shared" si="793"/>
        <v>531187.35060095927</v>
      </c>
      <c r="L1907" s="1324">
        <f t="shared" si="793"/>
        <v>43797.497156075427</v>
      </c>
      <c r="M1907" s="1324">
        <f t="shared" si="793"/>
        <v>280294.22340964043</v>
      </c>
      <c r="N1907" s="1325">
        <f t="shared" si="793"/>
        <v>34975.15683522843</v>
      </c>
      <c r="O1907" s="1325">
        <f t="shared" si="793"/>
        <v>25107.650010966594</v>
      </c>
      <c r="P1907" s="1325">
        <f t="shared" si="793"/>
        <v>646.04008987636621</v>
      </c>
      <c r="Q1907" s="1324">
        <f t="shared" si="793"/>
        <v>0</v>
      </c>
      <c r="V1907" s="1320" t="s">
        <v>6101</v>
      </c>
      <c r="Y1907" s="1324"/>
    </row>
    <row r="1908" spans="1:25">
      <c r="A1908" s="1320" t="s">
        <v>5915</v>
      </c>
      <c r="C1908" s="1322">
        <v>228</v>
      </c>
      <c r="D1908" s="1320" t="s">
        <v>5265</v>
      </c>
      <c r="E1908" s="1320" t="s">
        <v>2067</v>
      </c>
      <c r="F1908" s="1358">
        <f t="shared" si="792"/>
        <v>109829.23161153142</v>
      </c>
      <c r="G1908" s="1358">
        <f t="shared" si="792"/>
        <v>1.84900420208578E-3</v>
      </c>
      <c r="H1908" s="1358">
        <f t="shared" si="792"/>
        <v>109829.22976252722</v>
      </c>
      <c r="I1908" s="1525"/>
      <c r="J1908" s="1364">
        <f t="shared" si="793"/>
        <v>109829.22976252722</v>
      </c>
      <c r="K1908" s="1364">
        <f t="shared" si="793"/>
        <v>55380.916828255919</v>
      </c>
      <c r="L1908" s="1364">
        <f t="shared" si="793"/>
        <v>5115.4859997484691</v>
      </c>
      <c r="M1908" s="1364">
        <f t="shared" si="793"/>
        <v>38151.987532575971</v>
      </c>
      <c r="N1908" s="1367">
        <f t="shared" si="793"/>
        <v>6070.4170424416889</v>
      </c>
      <c r="O1908" s="1367">
        <f t="shared" si="793"/>
        <v>4473.5306167841509</v>
      </c>
      <c r="P1908" s="1367">
        <f t="shared" si="793"/>
        <v>576.85395158837264</v>
      </c>
      <c r="Q1908" s="1364">
        <f t="shared" si="793"/>
        <v>0</v>
      </c>
      <c r="R1908" s="1358"/>
      <c r="V1908" s="1320" t="s">
        <v>6102</v>
      </c>
      <c r="Y1908" s="1324"/>
    </row>
    <row r="1909" spans="1:25">
      <c r="A1909" s="1320" t="s">
        <v>5915</v>
      </c>
      <c r="C1909" s="1322">
        <v>229</v>
      </c>
      <c r="D1909" s="1320" t="s">
        <v>5268</v>
      </c>
      <c r="E1909" s="1320" t="s">
        <v>4067</v>
      </c>
      <c r="F1909" s="1358">
        <f t="shared" si="792"/>
        <v>60642.300814506547</v>
      </c>
      <c r="G1909" s="1358">
        <f t="shared" si="792"/>
        <v>3924.8518230288782</v>
      </c>
      <c r="H1909" s="1358">
        <f t="shared" si="792"/>
        <v>56717.448991477664</v>
      </c>
      <c r="I1909" s="1525"/>
      <c r="J1909" s="1364">
        <f t="shared" si="793"/>
        <v>56717.448991477664</v>
      </c>
      <c r="K1909" s="1364">
        <f t="shared" si="793"/>
        <v>32892.487520713214</v>
      </c>
      <c r="L1909" s="1364">
        <f t="shared" si="793"/>
        <v>2712.035815166365</v>
      </c>
      <c r="M1909" s="1364">
        <f t="shared" si="793"/>
        <v>17356.709027449459</v>
      </c>
      <c r="N1909" s="1367">
        <f t="shared" si="793"/>
        <v>2165.7587392320611</v>
      </c>
      <c r="O1909" s="1367">
        <f t="shared" si="793"/>
        <v>1554.742217455967</v>
      </c>
      <c r="P1909" s="1367">
        <f t="shared" si="793"/>
        <v>40.001553104334242</v>
      </c>
      <c r="Q1909" s="1364">
        <f t="shared" si="793"/>
        <v>0</v>
      </c>
      <c r="R1909" s="1358"/>
      <c r="V1909" s="1320" t="s">
        <v>6103</v>
      </c>
      <c r="Y1909" s="1324"/>
    </row>
    <row r="1910" spans="1:25">
      <c r="A1910" s="1320" t="s">
        <v>5915</v>
      </c>
      <c r="C1910" s="1322">
        <v>230</v>
      </c>
      <c r="D1910" s="1320" t="s">
        <v>5239</v>
      </c>
      <c r="E1910" s="1320" t="s">
        <v>4067</v>
      </c>
      <c r="F1910" s="1358">
        <f t="shared" si="792"/>
        <v>75153.2342976129</v>
      </c>
      <c r="G1910" s="1358">
        <f t="shared" si="792"/>
        <v>4864.5256636834592</v>
      </c>
      <c r="H1910" s="1358">
        <f t="shared" si="792"/>
        <v>70288.708633929404</v>
      </c>
      <c r="I1910" s="1525"/>
      <c r="J1910" s="1364">
        <f t="shared" si="793"/>
        <v>70288.708633929404</v>
      </c>
      <c r="K1910" s="1364">
        <f t="shared" si="793"/>
        <v>40763.017040677434</v>
      </c>
      <c r="L1910" s="1364">
        <f t="shared" si="793"/>
        <v>3360.9926871955395</v>
      </c>
      <c r="M1910" s="1364">
        <f t="shared" si="793"/>
        <v>21509.643837933876</v>
      </c>
      <c r="N1910" s="1367">
        <f t="shared" si="793"/>
        <v>2683.9747444905893</v>
      </c>
      <c r="O1910" s="1367">
        <f t="shared" si="793"/>
        <v>1926.7485281111176</v>
      </c>
      <c r="P1910" s="1367">
        <f t="shared" si="793"/>
        <v>49.576346559066032</v>
      </c>
      <c r="Q1910" s="1364">
        <f t="shared" si="793"/>
        <v>0</v>
      </c>
      <c r="R1910" s="1358"/>
      <c r="V1910" s="1320" t="s">
        <v>6104</v>
      </c>
      <c r="Y1910" s="1324"/>
    </row>
    <row r="1911" spans="1:25">
      <c r="A1911" s="1320" t="s">
        <v>5915</v>
      </c>
      <c r="C1911" s="1322">
        <v>231</v>
      </c>
      <c r="D1911" s="1320" t="s">
        <v>5240</v>
      </c>
      <c r="E1911" s="1320" t="s">
        <v>4067</v>
      </c>
      <c r="F1911" s="1358">
        <f t="shared" si="792"/>
        <v>274313.43874268798</v>
      </c>
      <c r="G1911" s="1358">
        <f t="shared" si="792"/>
        <v>0</v>
      </c>
      <c r="H1911" s="1358">
        <f t="shared" si="792"/>
        <v>274313.43874268798</v>
      </c>
      <c r="I1911" s="1525"/>
      <c r="J1911" s="1364">
        <f t="shared" si="793"/>
        <v>274313.43874268798</v>
      </c>
      <c r="K1911" s="1364">
        <f t="shared" si="793"/>
        <v>170713.59482791479</v>
      </c>
      <c r="L1911" s="1364">
        <f t="shared" si="793"/>
        <v>12135.732673154595</v>
      </c>
      <c r="M1911" s="1364">
        <f t="shared" si="793"/>
        <v>81353.433221255837</v>
      </c>
      <c r="N1911" s="1367">
        <f t="shared" si="793"/>
        <v>8552.6746159513259</v>
      </c>
      <c r="O1911" s="1367">
        <f t="shared" si="793"/>
        <v>5.841485207407301E-3</v>
      </c>
      <c r="P1911" s="1367">
        <f t="shared" si="793"/>
        <v>1566.1120787583484</v>
      </c>
      <c r="Q1911" s="1364">
        <f t="shared" si="793"/>
        <v>0</v>
      </c>
      <c r="R1911" s="1358"/>
      <c r="V1911" s="1320" t="s">
        <v>6105</v>
      </c>
    </row>
    <row r="1912" spans="1:25">
      <c r="A1912" s="1320" t="s">
        <v>5915</v>
      </c>
      <c r="C1912" s="1322">
        <v>232</v>
      </c>
      <c r="D1912" s="1320" t="s">
        <v>5241</v>
      </c>
      <c r="E1912" s="1320" t="s">
        <v>4067</v>
      </c>
      <c r="F1912" s="1358">
        <f t="shared" si="792"/>
        <v>121314.06922930891</v>
      </c>
      <c r="G1912" s="1358">
        <f t="shared" si="792"/>
        <v>0</v>
      </c>
      <c r="H1912" s="1358">
        <f t="shared" si="792"/>
        <v>121314.06922930891</v>
      </c>
      <c r="I1912" s="1525"/>
      <c r="J1912" s="1364">
        <f t="shared" si="793"/>
        <v>121314.06922930891</v>
      </c>
      <c r="K1912" s="1364">
        <f t="shared" si="793"/>
        <v>88503.17190719684</v>
      </c>
      <c r="L1912" s="1364">
        <f t="shared" si="793"/>
        <v>7122.9898202894328</v>
      </c>
      <c r="M1912" s="1364">
        <f t="shared" si="793"/>
        <v>25247.096909083077</v>
      </c>
      <c r="N1912" s="1367">
        <f t="shared" si="793"/>
        <v>0</v>
      </c>
      <c r="O1912" s="1367">
        <f t="shared" si="793"/>
        <v>0</v>
      </c>
      <c r="P1912" s="1367">
        <f t="shared" si="793"/>
        <v>436.57619885122875</v>
      </c>
      <c r="Q1912" s="1364">
        <f t="shared" si="793"/>
        <v>0</v>
      </c>
      <c r="R1912" s="1358"/>
      <c r="V1912" s="1320" t="s">
        <v>6106</v>
      </c>
    </row>
    <row r="1913" spans="1:25">
      <c r="A1913" s="1320" t="s">
        <v>5915</v>
      </c>
      <c r="C1913" s="1322">
        <v>233</v>
      </c>
      <c r="D1913" s="1320" t="s">
        <v>5242</v>
      </c>
      <c r="E1913" s="1320" t="s">
        <v>4071</v>
      </c>
      <c r="F1913" s="1358">
        <f t="shared" si="792"/>
        <v>145590.71513755663</v>
      </c>
      <c r="G1913" s="1358">
        <f t="shared" si="792"/>
        <v>0</v>
      </c>
      <c r="H1913" s="1358">
        <f t="shared" si="792"/>
        <v>145590.71513755663</v>
      </c>
      <c r="I1913" s="1525"/>
      <c r="J1913" s="1364">
        <f t="shared" si="793"/>
        <v>145590.71513755663</v>
      </c>
      <c r="K1913" s="1364">
        <f t="shared" si="793"/>
        <v>59736.913101430539</v>
      </c>
      <c r="L1913" s="1364">
        <f t="shared" si="793"/>
        <v>11345.613965851097</v>
      </c>
      <c r="M1913" s="1364">
        <f t="shared" si="793"/>
        <v>6438.9399315053133</v>
      </c>
      <c r="N1913" s="1367">
        <f t="shared" si="793"/>
        <v>478.78361294641923</v>
      </c>
      <c r="O1913" s="1367">
        <f t="shared" si="793"/>
        <v>522.53352324075229</v>
      </c>
      <c r="P1913" s="1367">
        <f t="shared" si="793"/>
        <v>107.47200441774628</v>
      </c>
      <c r="Q1913" s="1364">
        <f t="shared" si="793"/>
        <v>66884.281117035483</v>
      </c>
      <c r="R1913" s="1358"/>
      <c r="V1913" s="1320" t="s">
        <v>6107</v>
      </c>
      <c r="Y1913" s="1324"/>
    </row>
    <row r="1914" spans="1:25">
      <c r="A1914" s="1320" t="s">
        <v>5915</v>
      </c>
      <c r="C1914" s="1322">
        <v>234</v>
      </c>
      <c r="D1914" s="1320" t="s">
        <v>5244</v>
      </c>
      <c r="E1914" s="1320" t="s">
        <v>4071</v>
      </c>
      <c r="F1914" s="1350">
        <f t="shared" si="792"/>
        <v>81591.19704730864</v>
      </c>
      <c r="G1914" s="1350">
        <f t="shared" si="792"/>
        <v>0</v>
      </c>
      <c r="H1914" s="1350">
        <f t="shared" si="792"/>
        <v>81591.19704730864</v>
      </c>
      <c r="I1914" s="1525"/>
      <c r="J1914" s="1366">
        <f t="shared" si="793"/>
        <v>81591.19704730864</v>
      </c>
      <c r="K1914" s="1366">
        <f t="shared" si="793"/>
        <v>71163.233131789704</v>
      </c>
      <c r="L1914" s="1366">
        <f t="shared" si="793"/>
        <v>6922.2543798724091</v>
      </c>
      <c r="M1914" s="1366">
        <f t="shared" si="793"/>
        <v>2852.1133392430702</v>
      </c>
      <c r="N1914" s="1378">
        <f t="shared" si="793"/>
        <v>182.07556752738989</v>
      </c>
      <c r="O1914" s="1378">
        <f t="shared" si="793"/>
        <v>95.019842122466571</v>
      </c>
      <c r="P1914" s="1378">
        <f t="shared" si="793"/>
        <v>57.990028391507835</v>
      </c>
      <c r="Q1914" s="1366">
        <f t="shared" si="793"/>
        <v>302.76671380716823</v>
      </c>
      <c r="R1914" s="1358"/>
      <c r="V1914" s="1320" t="s">
        <v>6108</v>
      </c>
      <c r="Y1914" s="1324"/>
    </row>
    <row r="1915" spans="1:25">
      <c r="A1915" s="1320" t="s">
        <v>5915</v>
      </c>
      <c r="C1915" s="1322">
        <v>235</v>
      </c>
      <c r="G1915" s="1320"/>
      <c r="I1915" s="1379"/>
      <c r="M1915" s="1324"/>
      <c r="P1915" s="1325"/>
    </row>
    <row r="1916" spans="1:25" ht="14.4" thickBot="1">
      <c r="A1916" s="1320" t="s">
        <v>5915</v>
      </c>
      <c r="C1916" s="1322">
        <v>236</v>
      </c>
      <c r="D1916" s="1320" t="s">
        <v>6109</v>
      </c>
      <c r="F1916" s="1423">
        <f>SUM(F1907:F1914)</f>
        <v>1784373.8727487903</v>
      </c>
      <c r="G1916" s="1423">
        <f>SUM(G1907:G1914)</f>
        <v>8789.3793357165396</v>
      </c>
      <c r="H1916" s="1423">
        <f>SUM(H1907:H1914)</f>
        <v>1775584.4934130737</v>
      </c>
      <c r="I1916" s="1379"/>
      <c r="J1916" s="1380">
        <f t="shared" ref="J1916:Q1916" si="794">SUM(J1907:J1914)</f>
        <v>1775584.4934130737</v>
      </c>
      <c r="K1916" s="1380">
        <f t="shared" si="794"/>
        <v>1050340.6849589378</v>
      </c>
      <c r="L1916" s="1380">
        <f t="shared" si="794"/>
        <v>92512.60249735332</v>
      </c>
      <c r="M1916" s="1380">
        <f t="shared" si="794"/>
        <v>473204.14720868703</v>
      </c>
      <c r="N1916" s="1424">
        <f t="shared" si="794"/>
        <v>55108.841157817908</v>
      </c>
      <c r="O1916" s="1424">
        <f>SUM(O1907:O1914)</f>
        <v>33680.230580166251</v>
      </c>
      <c r="P1916" s="1424">
        <f>SUM(P1907:P1914)</f>
        <v>3480.6222515469699</v>
      </c>
      <c r="Q1916" s="1380">
        <f t="shared" si="794"/>
        <v>67187.047830842654</v>
      </c>
      <c r="R1916" s="1358"/>
      <c r="V1916" s="1320" t="s">
        <v>6110</v>
      </c>
    </row>
    <row r="1917" spans="1:25" ht="14.4" thickTop="1">
      <c r="G1917" s="1320"/>
      <c r="I1917" s="1379"/>
      <c r="M1917" s="1324"/>
      <c r="P1917" s="1325"/>
    </row>
    <row r="1918" spans="1:25">
      <c r="I1918" s="1379"/>
      <c r="M1918" s="1324"/>
      <c r="P1918" s="1325"/>
    </row>
    <row r="1919" spans="1:25">
      <c r="A1919" s="1485" t="s">
        <v>6111</v>
      </c>
      <c r="B1919" s="1485"/>
      <c r="C1919" s="1485"/>
      <c r="D1919" s="1324"/>
      <c r="E1919" s="1324"/>
      <c r="F1919" s="1412">
        <f>+F1916-F96</f>
        <v>0</v>
      </c>
      <c r="G1919" s="1537">
        <f>+G1916-G96</f>
        <v>0</v>
      </c>
      <c r="H1919" s="1537">
        <f>+H1916-H96</f>
        <v>0</v>
      </c>
      <c r="I1919" s="1538"/>
      <c r="J1919" s="1537">
        <f t="shared" ref="J1919:P1919" si="795">+J1916-J96</f>
        <v>0</v>
      </c>
      <c r="K1919" s="1537">
        <f t="shared" si="795"/>
        <v>0</v>
      </c>
      <c r="L1919" s="1537">
        <f t="shared" si="795"/>
        <v>0</v>
      </c>
      <c r="M1919" s="1537">
        <f t="shared" si="795"/>
        <v>0</v>
      </c>
      <c r="N1919" s="1537">
        <f t="shared" si="795"/>
        <v>0</v>
      </c>
      <c r="O1919" s="1537">
        <f t="shared" si="795"/>
        <v>0</v>
      </c>
      <c r="P1919" s="1537">
        <f t="shared" si="795"/>
        <v>0</v>
      </c>
      <c r="Q1919" s="1537"/>
      <c r="R1919" s="1539"/>
      <c r="S1919" s="1539"/>
    </row>
    <row r="1920" spans="1:25">
      <c r="G1920" s="1320"/>
      <c r="I1920" s="1379"/>
      <c r="Y1920" s="1324"/>
    </row>
    <row r="1921" spans="2:25">
      <c r="G1921" s="1320"/>
      <c r="I1921" s="1379"/>
      <c r="Y1921" s="1324"/>
    </row>
    <row r="1922" spans="2:25">
      <c r="G1922" s="1320"/>
      <c r="I1922" s="1379"/>
      <c r="Y1922" s="1324"/>
    </row>
    <row r="1923" spans="2:25">
      <c r="C1923" s="1340" t="str">
        <f>+C$2</f>
        <v>RATES WITH REVENUE DEFICIENCY ADDITION</v>
      </c>
      <c r="D1923" s="1321"/>
      <c r="G1923" s="1327" t="s">
        <v>2173</v>
      </c>
      <c r="I1923" s="1540" t="s">
        <v>4767</v>
      </c>
      <c r="L1923" s="1329" t="s">
        <v>2173</v>
      </c>
      <c r="M1923" s="1330"/>
      <c r="N1923" s="1330"/>
      <c r="O1923" s="1330"/>
      <c r="R1923" s="1332"/>
      <c r="T1923" s="1333" t="s">
        <v>2173</v>
      </c>
      <c r="V1923" s="1332"/>
      <c r="Y1923" s="1324"/>
    </row>
    <row r="1924" spans="2:25">
      <c r="C1924" s="1340" t="str">
        <f>+C$3</f>
        <v>PROD. CAP. ALLOC. METHOD: 12 CP &amp; 1/13th AD</v>
      </c>
      <c r="D1924" s="1321"/>
      <c r="G1924" s="1333" t="s">
        <v>4768</v>
      </c>
      <c r="L1924" s="1336" t="s">
        <v>5141</v>
      </c>
      <c r="M1924" s="1337"/>
      <c r="N1924" s="1337"/>
      <c r="O1924" s="1337"/>
      <c r="T1924" s="1333" t="s">
        <v>5141</v>
      </c>
      <c r="Y1924" s="1324"/>
    </row>
    <row r="1925" spans="2:25">
      <c r="C1925" s="1340" t="str">
        <f>+C$4</f>
        <v>PROJECTED CALENDAR YEAR 2025; FULLY ADJUSTED DATA</v>
      </c>
      <c r="G1925" s="1320"/>
      <c r="L1925" s="1336"/>
      <c r="R1925" s="1331"/>
      <c r="T1925" s="1339"/>
      <c r="Y1925" s="1324"/>
    </row>
    <row r="1926" spans="2:25">
      <c r="C1926" s="1340" t="str">
        <f>+C$5</f>
        <v>MINIMUM DISTRIBUTION SYSTEM (MDS) NOT EMPLOYED</v>
      </c>
      <c r="G1926" s="1320"/>
      <c r="T1926" s="1333"/>
      <c r="Y1926" s="1324"/>
    </row>
    <row r="1927" spans="2:25">
      <c r="C1927" s="1340" t="str">
        <f>+C$6</f>
        <v>Tampa Electric 2025 OB Budget</v>
      </c>
      <c r="G1927" s="1333" t="s">
        <v>6112</v>
      </c>
      <c r="L1927" s="1336" t="s">
        <v>6112</v>
      </c>
      <c r="M1927" s="1337"/>
      <c r="N1927" s="1337"/>
      <c r="O1927" s="1337"/>
      <c r="T1927" s="1333" t="s">
        <v>6112</v>
      </c>
      <c r="Y1927" s="1324"/>
    </row>
    <row r="1928" spans="2:25">
      <c r="L1928" s="1336"/>
      <c r="M1928" s="1337"/>
      <c r="N1928" s="1337"/>
      <c r="O1928" s="1337"/>
    </row>
    <row r="1929" spans="2:25">
      <c r="F1929" s="1339"/>
      <c r="G1929" s="1320"/>
    </row>
    <row r="1930" spans="2:25" ht="27.6">
      <c r="B1930" s="1349" t="s">
        <v>4297</v>
      </c>
      <c r="C1930" s="1349" t="s">
        <v>6113</v>
      </c>
      <c r="D1930" s="1353"/>
      <c r="E1930" s="1355" t="s">
        <v>6114</v>
      </c>
      <c r="F1930" s="1348" t="s">
        <v>5144</v>
      </c>
      <c r="G1930" s="1348" t="s">
        <v>4956</v>
      </c>
      <c r="H1930" s="1348" t="s">
        <v>4957</v>
      </c>
      <c r="I1930" s="1415"/>
      <c r="J1930" s="1352" t="s">
        <v>4957</v>
      </c>
      <c r="K1930" s="1353" t="s">
        <v>1949</v>
      </c>
      <c r="L1930" s="1353" t="s">
        <v>1950</v>
      </c>
      <c r="M1930" s="1354" t="s">
        <v>1934</v>
      </c>
      <c r="N1930" s="1354" t="s">
        <v>1971</v>
      </c>
      <c r="O1930" s="1354" t="s">
        <v>1972</v>
      </c>
      <c r="P1930" s="1352" t="s">
        <v>5146</v>
      </c>
      <c r="Q1930" s="1352" t="s">
        <v>5147</v>
      </c>
      <c r="R1930" s="1355"/>
      <c r="S1930" s="1350"/>
      <c r="T1930" s="1350"/>
      <c r="U1930" s="1366"/>
      <c r="V1930" s="1350"/>
    </row>
    <row r="1931" spans="2:25">
      <c r="G1931" s="1320"/>
      <c r="M1931" s="1324"/>
      <c r="N1931" s="1324"/>
      <c r="O1931" s="1324"/>
    </row>
    <row r="1932" spans="2:25" s="1324" customFormat="1">
      <c r="B1932" s="1344">
        <v>1</v>
      </c>
      <c r="C1932" s="1393">
        <v>101</v>
      </c>
      <c r="D1932" s="1324" t="s">
        <v>4783</v>
      </c>
      <c r="E1932" s="1344" t="s">
        <v>6115</v>
      </c>
      <c r="F1932" s="1324">
        <f>SUM(G1932:H1932)</f>
        <v>3929693.4213738362</v>
      </c>
      <c r="G1932" s="1324">
        <f>+'Load Research'!E7</f>
        <v>0</v>
      </c>
      <c r="H1932" s="1324">
        <f>+'Load Research'!F7</f>
        <v>3929693.4213738362</v>
      </c>
      <c r="I1932" s="1395"/>
      <c r="J1932" s="1324">
        <f>+'Load Research'!F7</f>
        <v>3929693.4213738362</v>
      </c>
      <c r="K1932" s="1324">
        <f>+'Load Research'!G7</f>
        <v>2293413.5539451065</v>
      </c>
      <c r="L1932" s="1324">
        <f>+'Load Research'!H7</f>
        <v>189971.77408652118</v>
      </c>
      <c r="M1932" s="1324">
        <f>+'Load Research'!I7</f>
        <v>1182868.1660745537</v>
      </c>
      <c r="N1932" s="1324">
        <f>+'Load Research'!J7</f>
        <v>151725.93203270945</v>
      </c>
      <c r="O1932" s="1324">
        <f>+'Load Research'!K7</f>
        <v>108896.00045594225</v>
      </c>
      <c r="P1932" s="1324">
        <f>+'Load Research'!L7</f>
        <v>2817.891048503418</v>
      </c>
      <c r="Q1932" s="1324">
        <v>0</v>
      </c>
      <c r="V1932" s="1324" t="s">
        <v>6116</v>
      </c>
    </row>
    <row r="1933" spans="2:25" s="1324" customFormat="1">
      <c r="B1933" s="1324">
        <v>2</v>
      </c>
      <c r="C1933" s="1541">
        <v>101</v>
      </c>
      <c r="D1933" s="1324" t="s">
        <v>6117</v>
      </c>
      <c r="E1933" s="1344" t="s">
        <v>3179</v>
      </c>
      <c r="F1933" s="1374">
        <f>+SUM(G1933:H1933)</f>
        <v>1</v>
      </c>
      <c r="G1933" s="1374">
        <f>+G1932/F1932</f>
        <v>0</v>
      </c>
      <c r="H1933" s="1374">
        <f>+H1932/F1932</f>
        <v>1</v>
      </c>
      <c r="I1933" s="1374"/>
      <c r="J1933" s="1374">
        <f>+SUM(K1933:Q1933)</f>
        <v>0.99999997360341175</v>
      </c>
      <c r="K1933" s="1374">
        <f>+K1932/$J1932</f>
        <v>0.58361131722670623</v>
      </c>
      <c r="L1933" s="1374">
        <f t="shared" ref="L1933:Q1933" si="796">+L1932/$J1932</f>
        <v>4.834264501481296E-2</v>
      </c>
      <c r="M1933" s="1374">
        <f t="shared" si="796"/>
        <v>0.30100774773952171</v>
      </c>
      <c r="N1933" s="1374">
        <f t="shared" si="796"/>
        <v>3.8610119356248779E-2</v>
      </c>
      <c r="O1933" s="1374">
        <f t="shared" si="796"/>
        <v>2.771106770407341E-2</v>
      </c>
      <c r="P1933" s="1374">
        <f t="shared" si="796"/>
        <v>7.1707656204851524E-4</v>
      </c>
      <c r="Q1933" s="1374">
        <f t="shared" si="796"/>
        <v>0</v>
      </c>
      <c r="R1933" s="1374"/>
    </row>
    <row r="1934" spans="2:25" s="1324" customFormat="1">
      <c r="B1934" s="1324">
        <v>3</v>
      </c>
      <c r="C1934" s="1393"/>
      <c r="E1934" s="1344"/>
      <c r="I1934" s="1527"/>
    </row>
    <row r="1935" spans="2:25" s="1324" customFormat="1">
      <c r="B1935" s="1324">
        <v>4</v>
      </c>
      <c r="C1935" s="1393">
        <v>105</v>
      </c>
      <c r="D1935" s="1324" t="s">
        <v>4786</v>
      </c>
      <c r="E1935" s="1344" t="s">
        <v>6115</v>
      </c>
      <c r="F1935" s="1324">
        <f>SUM(G1935:H1935)</f>
        <v>4697937.6521934383</v>
      </c>
      <c r="G1935" s="1324">
        <f>+'Load Research'!E8</f>
        <v>0</v>
      </c>
      <c r="H1935" s="1324">
        <f>+'Load Research'!F8</f>
        <v>4697937.6521934383</v>
      </c>
      <c r="I1935" s="1527"/>
      <c r="J1935" s="1324">
        <f>+'Load Research'!F8</f>
        <v>4697937.6521934383</v>
      </c>
      <c r="K1935" s="1324">
        <f>+'Load Research'!G8</f>
        <v>2924071.6184645439</v>
      </c>
      <c r="L1935" s="1324">
        <f>+'Load Research'!H8</f>
        <v>207967.30725046038</v>
      </c>
      <c r="M1935" s="1324">
        <f>+'Load Research'!I8</f>
        <v>1392470.9714005697</v>
      </c>
      <c r="N1935" s="1324">
        <f>+'Load Research'!J8</f>
        <v>146459.94904468433</v>
      </c>
      <c r="O1935" s="1324">
        <f>+'Load Research'!K8</f>
        <v>0.1</v>
      </c>
      <c r="P1935" s="1324">
        <f>+'Load Research'!L8</f>
        <v>26967.70603318101</v>
      </c>
      <c r="Q1935" s="1324">
        <v>0</v>
      </c>
      <c r="V1935" s="1324" t="s">
        <v>6116</v>
      </c>
    </row>
    <row r="1936" spans="2:25" s="1324" customFormat="1">
      <c r="B1936" s="1324">
        <v>5</v>
      </c>
      <c r="C1936" s="1541">
        <v>105</v>
      </c>
      <c r="D1936" s="1324" t="s">
        <v>6117</v>
      </c>
      <c r="E1936" s="1344" t="s">
        <v>3179</v>
      </c>
      <c r="F1936" s="1374">
        <f>+SUM(G1936:H1936)</f>
        <v>1</v>
      </c>
      <c r="G1936" s="1374">
        <f>+G1935/F1935</f>
        <v>0</v>
      </c>
      <c r="H1936" s="1374">
        <f>+H1935/F1935</f>
        <v>1</v>
      </c>
      <c r="I1936" s="1374"/>
      <c r="J1936" s="1374">
        <f>+SUM(K1936:Q1936)</f>
        <v>1.0000000000000002</v>
      </c>
      <c r="K1936" s="1374">
        <f t="shared" ref="K1936:Q1936" si="797">+K1935/$J1935</f>
        <v>0.62241601207698294</v>
      </c>
      <c r="L1936" s="1374">
        <f t="shared" si="797"/>
        <v>4.4267787835234836E-2</v>
      </c>
      <c r="M1936" s="1374">
        <f t="shared" si="797"/>
        <v>0.29640047920824014</v>
      </c>
      <c r="N1936" s="1374">
        <f t="shared" si="797"/>
        <v>3.1175370957999639E-2</v>
      </c>
      <c r="O1936" s="1374">
        <f t="shared" si="797"/>
        <v>2.1285935958156154E-8</v>
      </c>
      <c r="P1936" s="1374">
        <f t="shared" si="797"/>
        <v>5.7403286356067229E-3</v>
      </c>
      <c r="Q1936" s="1374">
        <f t="shared" si="797"/>
        <v>0</v>
      </c>
      <c r="R1936" s="1374"/>
    </row>
    <row r="1937" spans="2:25" s="1324" customFormat="1">
      <c r="B1937" s="1324">
        <v>6</v>
      </c>
      <c r="C1937" s="1393"/>
      <c r="E1937" s="1344"/>
      <c r="I1937" s="1527"/>
    </row>
    <row r="1938" spans="2:25" s="1324" customFormat="1">
      <c r="B1938" s="1324">
        <v>7</v>
      </c>
      <c r="C1938" s="1393">
        <v>106</v>
      </c>
      <c r="D1938" s="1324" t="s">
        <v>4788</v>
      </c>
      <c r="E1938" s="1344" t="s">
        <v>6115</v>
      </c>
      <c r="F1938" s="1324">
        <f>SUM(G1938:H1938)</f>
        <v>7187229.5482128784</v>
      </c>
      <c r="G1938" s="1324">
        <f>+'Load Research'!E9</f>
        <v>0</v>
      </c>
      <c r="H1938" s="1324">
        <f>+'Load Research'!F9</f>
        <v>7187229.5482128784</v>
      </c>
      <c r="I1938" s="1527"/>
      <c r="J1938" s="1324">
        <f>+'Load Research'!F9</f>
        <v>7187229.5482128784</v>
      </c>
      <c r="K1938" s="1324">
        <f>+'Load Research'!G9</f>
        <v>5244041.7349253921</v>
      </c>
      <c r="L1938" s="1324">
        <f>+'Load Research'!H9</f>
        <v>422249.43414087628</v>
      </c>
      <c r="M1938" s="1324">
        <f>+'Load Research'!I9</f>
        <v>1494939.0922549148</v>
      </c>
      <c r="N1938" s="1324">
        <f>+'Load Research'!J9</f>
        <v>0</v>
      </c>
      <c r="O1938" s="1324">
        <f>+'Load Research'!K9</f>
        <v>0</v>
      </c>
      <c r="P1938" s="1324">
        <f>+'Load Research'!L9</f>
        <v>25999.286891694905</v>
      </c>
      <c r="Q1938" s="1324">
        <v>0</v>
      </c>
      <c r="V1938" s="1324" t="s">
        <v>6116</v>
      </c>
    </row>
    <row r="1939" spans="2:25" s="1324" customFormat="1">
      <c r="B1939" s="1324">
        <v>8</v>
      </c>
      <c r="C1939" s="1541">
        <v>106</v>
      </c>
      <c r="D1939" s="1324" t="s">
        <v>6117</v>
      </c>
      <c r="E1939" s="1344" t="s">
        <v>3179</v>
      </c>
      <c r="F1939" s="1374">
        <f>+SUM(G1939:H1939)</f>
        <v>1</v>
      </c>
      <c r="G1939" s="1374">
        <f>+G1938/F1938</f>
        <v>0</v>
      </c>
      <c r="H1939" s="1374">
        <f>+H1938/F1938</f>
        <v>1</v>
      </c>
      <c r="I1939" s="1374"/>
      <c r="J1939" s="1374">
        <f>+SUM(K1939:Q1939)</f>
        <v>0.99999999999999989</v>
      </c>
      <c r="K1939" s="1374">
        <f t="shared" ref="K1939:Q1939" si="798">+K1938/$J1938</f>
        <v>0.72963326129319683</v>
      </c>
      <c r="L1939" s="1374">
        <f t="shared" si="798"/>
        <v>5.8749958006540863E-2</v>
      </c>
      <c r="M1939" s="1374">
        <f t="shared" si="798"/>
        <v>0.2079993524941241</v>
      </c>
      <c r="N1939" s="1374">
        <f t="shared" si="798"/>
        <v>0</v>
      </c>
      <c r="O1939" s="1374">
        <f t="shared" si="798"/>
        <v>0</v>
      </c>
      <c r="P1939" s="1374">
        <f t="shared" si="798"/>
        <v>3.6174282061381619E-3</v>
      </c>
      <c r="Q1939" s="1374">
        <f t="shared" si="798"/>
        <v>0</v>
      </c>
      <c r="R1939" s="1374"/>
    </row>
    <row r="1940" spans="2:25" s="1324" customFormat="1">
      <c r="B1940" s="1324">
        <v>9</v>
      </c>
      <c r="C1940" s="1393"/>
      <c r="E1940" s="1344"/>
      <c r="I1940" s="1527"/>
      <c r="Y1940" s="1320"/>
    </row>
    <row r="1941" spans="2:25" s="1324" customFormat="1">
      <c r="B1941" s="1324">
        <v>10</v>
      </c>
      <c r="C1941" s="1393">
        <v>117</v>
      </c>
      <c r="D1941" s="1324" t="s">
        <v>9327</v>
      </c>
      <c r="E1941" s="1344" t="s">
        <v>6115</v>
      </c>
      <c r="F1941" s="1324">
        <f>SUM(G1941:H1941)</f>
        <v>4249833.2296028445</v>
      </c>
      <c r="G1941" s="1324">
        <f>+'Load Research'!E10</f>
        <v>275333.33333333337</v>
      </c>
      <c r="H1941" s="1324">
        <f>+'Load Research'!F10</f>
        <v>3974499.896269511</v>
      </c>
      <c r="I1941" s="1527"/>
      <c r="J1941" s="1324">
        <f>+'Load Research'!F10</f>
        <v>3974499.896269511</v>
      </c>
      <c r="K1941" s="1324">
        <f>+'Load Research'!G10</f>
        <v>2305261.7678066748</v>
      </c>
      <c r="L1941" s="1324">
        <f>+'Load Research'!H10</f>
        <v>190160.84369421427</v>
      </c>
      <c r="M1941" s="1324">
        <f>+'Load Research'!I10</f>
        <v>1215602.739280649</v>
      </c>
      <c r="N1941" s="1324">
        <f>+'Load Research'!J10</f>
        <v>151751.88420351513</v>
      </c>
      <c r="O1941" s="1324">
        <f>+'Load Research'!K10</f>
        <v>108904.77023595448</v>
      </c>
      <c r="P1941" s="1324">
        <f>+'Load Research'!L10</f>
        <v>2817.891048503418</v>
      </c>
      <c r="Q1941" s="1324">
        <v>0</v>
      </c>
      <c r="V1941" s="1324" t="s">
        <v>6116</v>
      </c>
    </row>
    <row r="1942" spans="2:25" s="1324" customFormat="1">
      <c r="B1942" s="1324">
        <v>11</v>
      </c>
      <c r="C1942" s="1541">
        <v>117</v>
      </c>
      <c r="D1942" s="1324" t="s">
        <v>6117</v>
      </c>
      <c r="E1942" s="1344" t="s">
        <v>3179</v>
      </c>
      <c r="F1942" s="1374">
        <f>+SUM(G1942:H1942)</f>
        <v>0.99999999999999989</v>
      </c>
      <c r="G1942" s="1374">
        <f>+G1941/F1941</f>
        <v>6.4786855967772602E-2</v>
      </c>
      <c r="H1942" s="1374">
        <f>+H1941/F1941</f>
        <v>0.93521314403222733</v>
      </c>
      <c r="I1942" s="1374"/>
      <c r="J1942" s="1374">
        <f>+SUM(K1942:Q1942)</f>
        <v>1</v>
      </c>
      <c r="K1942" s="1374">
        <f t="shared" ref="K1942:Q1942" si="799">+K1941/$J1941</f>
        <v>0.58001304012371646</v>
      </c>
      <c r="L1942" s="1374">
        <f t="shared" si="799"/>
        <v>4.7845225476719815E-2</v>
      </c>
      <c r="M1942" s="1374">
        <f t="shared" si="799"/>
        <v>0.3058504896230142</v>
      </c>
      <c r="N1942" s="1374">
        <f t="shared" si="799"/>
        <v>3.8181378327862163E-2</v>
      </c>
      <c r="O1942" s="1374">
        <f t="shared" si="799"/>
        <v>2.7400873840297026E-2</v>
      </c>
      <c r="P1942" s="1374">
        <f t="shared" si="799"/>
        <v>7.0899260839038069E-4</v>
      </c>
      <c r="Q1942" s="1374">
        <f t="shared" si="799"/>
        <v>0</v>
      </c>
      <c r="R1942" s="1374"/>
    </row>
    <row r="1943" spans="2:25" s="1324" customFormat="1">
      <c r="B1943" s="1324">
        <v>12</v>
      </c>
      <c r="C1943" s="1393"/>
      <c r="E1943" s="1344"/>
      <c r="I1943" s="1527"/>
      <c r="Y1943" s="1320"/>
    </row>
    <row r="1944" spans="2:25" s="1324" customFormat="1">
      <c r="B1944" s="1324">
        <v>13</v>
      </c>
      <c r="C1944" s="1393">
        <v>118</v>
      </c>
      <c r="D1944" s="1324" t="s">
        <v>4785</v>
      </c>
      <c r="E1944" s="1344" t="s">
        <v>6115</v>
      </c>
      <c r="F1944" s="1324">
        <f>SUM(G1944:H1944)</f>
        <v>4249833.2296028445</v>
      </c>
      <c r="G1944" s="1324">
        <f>+'Load Research'!E11</f>
        <v>275333.33333333337</v>
      </c>
      <c r="H1944" s="1324">
        <f>+'Load Research'!F11</f>
        <v>3974499.896269511</v>
      </c>
      <c r="J1944" s="1324">
        <f>+'Load Research'!F11</f>
        <v>3974499.896269511</v>
      </c>
      <c r="K1944" s="1324">
        <f>+'Load Research'!G11</f>
        <v>2305261.7678066748</v>
      </c>
      <c r="L1944" s="1324">
        <f>+'Load Research'!H11</f>
        <v>190160.84369421427</v>
      </c>
      <c r="M1944" s="1324">
        <f>+'Load Research'!I11</f>
        <v>1215602.739280649</v>
      </c>
      <c r="N1944" s="1324">
        <f>+'Load Research'!J11</f>
        <v>151751.88420351513</v>
      </c>
      <c r="O1944" s="1324">
        <f>+'Load Research'!K11</f>
        <v>108904.77023595448</v>
      </c>
      <c r="P1944" s="1324">
        <f>+'Load Research'!L11</f>
        <v>2817.891048503418</v>
      </c>
      <c r="Q1944" s="1324">
        <v>0</v>
      </c>
      <c r="R1944" s="1387"/>
      <c r="V1944" s="1324" t="s">
        <v>6116</v>
      </c>
    </row>
    <row r="1945" spans="2:25" s="1324" customFormat="1">
      <c r="B1945" s="1324">
        <v>14</v>
      </c>
      <c r="C1945" s="1541">
        <v>117</v>
      </c>
      <c r="D1945" s="1324" t="s">
        <v>6117</v>
      </c>
      <c r="E1945" s="1344" t="s">
        <v>3179</v>
      </c>
      <c r="F1945" s="1374">
        <f>+SUM(G1945:H1945)</f>
        <v>0.99999999999999989</v>
      </c>
      <c r="G1945" s="1374">
        <f>+G1944/F1944</f>
        <v>6.4786855967772602E-2</v>
      </c>
      <c r="H1945" s="1374">
        <f>+H1944/F1944</f>
        <v>0.93521314403222733</v>
      </c>
      <c r="J1945" s="1374">
        <f>+SUM(K1945:Q1945)</f>
        <v>1</v>
      </c>
      <c r="K1945" s="1374">
        <f t="shared" ref="K1945:Q1945" si="800">+K1944/$J1944</f>
        <v>0.58001304012371646</v>
      </c>
      <c r="L1945" s="1374">
        <f t="shared" si="800"/>
        <v>4.7845225476719815E-2</v>
      </c>
      <c r="M1945" s="1374">
        <f t="shared" si="800"/>
        <v>0.3058504896230142</v>
      </c>
      <c r="N1945" s="1374">
        <f t="shared" si="800"/>
        <v>3.8181378327862163E-2</v>
      </c>
      <c r="O1945" s="1374">
        <f t="shared" si="800"/>
        <v>2.7400873840297026E-2</v>
      </c>
      <c r="P1945" s="1374">
        <f t="shared" si="800"/>
        <v>7.0899260839038069E-4</v>
      </c>
      <c r="Q1945" s="1374">
        <f t="shared" si="800"/>
        <v>0</v>
      </c>
      <c r="R1945" s="1374"/>
    </row>
    <row r="1946" spans="2:25" s="1324" customFormat="1">
      <c r="B1946" s="1324">
        <v>15</v>
      </c>
    </row>
    <row r="1947" spans="2:25" s="1324" customFormat="1">
      <c r="B1947" s="1324">
        <v>16</v>
      </c>
      <c r="C1947" s="1393">
        <v>121</v>
      </c>
      <c r="D1947" s="1324" t="s">
        <v>4816</v>
      </c>
      <c r="E1947" s="1344" t="s">
        <v>3179</v>
      </c>
      <c r="F1947" s="1374">
        <f>+SUM(G1947:H1947)</f>
        <v>1</v>
      </c>
      <c r="G1947" s="1374">
        <f>+'Load Research'!E13</f>
        <v>0</v>
      </c>
      <c r="H1947" s="1374">
        <f>+'Load Research'!F13</f>
        <v>1</v>
      </c>
      <c r="I1947" s="1527"/>
      <c r="J1947" s="1374">
        <f>+'Load Research'!F13</f>
        <v>1</v>
      </c>
      <c r="K1947" s="1374">
        <f>+'Load Research'!G13</f>
        <v>0.58001304012371646</v>
      </c>
      <c r="L1947" s="1374">
        <f>+'Load Research'!H13</f>
        <v>4.7845225476719815E-2</v>
      </c>
      <c r="M1947" s="1374">
        <f>+'Load Research'!I13</f>
        <v>0.3058504896230142</v>
      </c>
      <c r="N1947" s="1374">
        <f>+'Load Research'!J13</f>
        <v>3.8181378327862163E-2</v>
      </c>
      <c r="O1947" s="1374">
        <f>+'Load Research'!K13</f>
        <v>2.7400873840297026E-2</v>
      </c>
      <c r="P1947" s="1374">
        <f>+'Load Research'!L13</f>
        <v>7.0899260839038069E-4</v>
      </c>
      <c r="Q1947" s="1374">
        <f>+'Load Research'!M12</f>
        <v>0</v>
      </c>
      <c r="R1947" s="1387"/>
      <c r="V1947" s="1324" t="s">
        <v>6116</v>
      </c>
    </row>
    <row r="1948" spans="2:25" s="1324" customFormat="1">
      <c r="B1948" s="1324">
        <v>17</v>
      </c>
      <c r="C1948" s="1541">
        <v>121</v>
      </c>
      <c r="D1948" s="1324" t="s">
        <v>6117</v>
      </c>
      <c r="E1948" s="1344" t="s">
        <v>3179</v>
      </c>
      <c r="F1948" s="1374">
        <f>+SUM(G1948:H1948)</f>
        <v>1</v>
      </c>
      <c r="G1948" s="1374">
        <f>+G1947/F1947</f>
        <v>0</v>
      </c>
      <c r="H1948" s="1374">
        <f>+H1947/F1947</f>
        <v>1</v>
      </c>
      <c r="I1948" s="1374"/>
      <c r="J1948" s="1374">
        <f>+SUM(K1948:Q1948)</f>
        <v>1</v>
      </c>
      <c r="K1948" s="1374">
        <f t="shared" ref="K1948:Q1948" si="801">+K1947/$J1947</f>
        <v>0.58001304012371646</v>
      </c>
      <c r="L1948" s="1374">
        <f t="shared" si="801"/>
        <v>4.7845225476719815E-2</v>
      </c>
      <c r="M1948" s="1374">
        <f t="shared" si="801"/>
        <v>0.3058504896230142</v>
      </c>
      <c r="N1948" s="1374">
        <f t="shared" si="801"/>
        <v>3.8181378327862163E-2</v>
      </c>
      <c r="O1948" s="1374">
        <f t="shared" si="801"/>
        <v>2.7400873840297026E-2</v>
      </c>
      <c r="P1948" s="1374">
        <f t="shared" si="801"/>
        <v>7.0899260839038069E-4</v>
      </c>
      <c r="Q1948" s="1374">
        <f t="shared" si="801"/>
        <v>0</v>
      </c>
      <c r="R1948" s="1374"/>
    </row>
    <row r="1949" spans="2:25" s="1324" customFormat="1">
      <c r="B1949" s="1324">
        <v>18</v>
      </c>
      <c r="C1949" s="1393"/>
      <c r="E1949" s="1502"/>
      <c r="I1949" s="1527"/>
    </row>
    <row r="1950" spans="2:25" s="1324" customFormat="1">
      <c r="B1950" s="1324">
        <v>19</v>
      </c>
      <c r="C1950" s="1393">
        <v>122</v>
      </c>
      <c r="D1950" s="1324" t="s">
        <v>4784</v>
      </c>
      <c r="E1950" s="1344" t="s">
        <v>3179</v>
      </c>
      <c r="F1950" s="1374">
        <f>+SUM(G1950:H1950)</f>
        <v>1</v>
      </c>
      <c r="G1950" s="1374">
        <f>+'Load Research'!E13</f>
        <v>0</v>
      </c>
      <c r="H1950" s="1374">
        <f>+'Load Research'!F13</f>
        <v>1</v>
      </c>
      <c r="I1950" s="1527"/>
      <c r="J1950" s="1374">
        <f>+'Load Research'!F13</f>
        <v>1</v>
      </c>
      <c r="K1950" s="1374">
        <f>+'Load Research'!G13</f>
        <v>0.58001304012371646</v>
      </c>
      <c r="L1950" s="1374">
        <f>+'Load Research'!H13</f>
        <v>4.7845225476719815E-2</v>
      </c>
      <c r="M1950" s="1374">
        <f>+'Load Research'!I13</f>
        <v>0.3058504896230142</v>
      </c>
      <c r="N1950" s="1374">
        <f>+'Load Research'!J13</f>
        <v>3.8181378327862163E-2</v>
      </c>
      <c r="O1950" s="1374">
        <f>+'Load Research'!K13</f>
        <v>2.7400873840297026E-2</v>
      </c>
      <c r="P1950" s="1374">
        <f>+'Load Research'!L13</f>
        <v>7.0899260839038069E-4</v>
      </c>
      <c r="Q1950" s="1374">
        <f>+'Load Research'!M12</f>
        <v>0</v>
      </c>
      <c r="R1950" s="1387"/>
      <c r="V1950" s="1324" t="s">
        <v>6116</v>
      </c>
    </row>
    <row r="1951" spans="2:25" s="1324" customFormat="1">
      <c r="B1951" s="1324">
        <v>20</v>
      </c>
      <c r="C1951" s="1541">
        <v>122</v>
      </c>
      <c r="D1951" s="1324" t="s">
        <v>6117</v>
      </c>
      <c r="E1951" s="1344" t="s">
        <v>3179</v>
      </c>
      <c r="F1951" s="1374">
        <f>+SUM(G1951:H1951)</f>
        <v>1</v>
      </c>
      <c r="G1951" s="1374">
        <f>+G1950/F1950</f>
        <v>0</v>
      </c>
      <c r="H1951" s="1374">
        <f>+H1950/F1950</f>
        <v>1</v>
      </c>
      <c r="I1951" s="1374"/>
      <c r="J1951" s="1374">
        <f>+SUM(K1951:Q1951)</f>
        <v>1</v>
      </c>
      <c r="K1951" s="1374">
        <f t="shared" ref="K1951:Q1951" si="802">+K1950/$J1950</f>
        <v>0.58001304012371646</v>
      </c>
      <c r="L1951" s="1374">
        <f t="shared" si="802"/>
        <v>4.7845225476719815E-2</v>
      </c>
      <c r="M1951" s="1374">
        <f t="shared" si="802"/>
        <v>0.3058504896230142</v>
      </c>
      <c r="N1951" s="1374">
        <f t="shared" si="802"/>
        <v>3.8181378327862163E-2</v>
      </c>
      <c r="O1951" s="1374">
        <f t="shared" si="802"/>
        <v>2.7400873840297026E-2</v>
      </c>
      <c r="P1951" s="1374">
        <f t="shared" si="802"/>
        <v>7.0899260839038069E-4</v>
      </c>
      <c r="Q1951" s="1374">
        <f t="shared" si="802"/>
        <v>0</v>
      </c>
      <c r="R1951" s="1374"/>
    </row>
    <row r="1952" spans="2:25" s="1324" customFormat="1">
      <c r="B1952" s="1324">
        <v>21</v>
      </c>
      <c r="C1952" s="1393"/>
      <c r="E1952" s="1502"/>
      <c r="I1952" s="1527"/>
    </row>
    <row r="1953" spans="2:25" s="1324" customFormat="1">
      <c r="B1953" s="1324">
        <v>22</v>
      </c>
      <c r="C1953" s="1393">
        <v>124</v>
      </c>
      <c r="D1953" s="1324" t="s">
        <v>6118</v>
      </c>
      <c r="E1953" s="1502" t="s">
        <v>3179</v>
      </c>
      <c r="F1953" s="1374">
        <v>0</v>
      </c>
      <c r="G1953" s="1374">
        <v>0</v>
      </c>
      <c r="H1953" s="1374">
        <v>0</v>
      </c>
      <c r="I1953" s="1527"/>
      <c r="J1953" s="1374">
        <v>0</v>
      </c>
      <c r="K1953" s="1374">
        <v>0</v>
      </c>
      <c r="L1953" s="1374">
        <v>0</v>
      </c>
      <c r="M1953" s="1374">
        <v>0</v>
      </c>
      <c r="N1953" s="1374">
        <v>0</v>
      </c>
      <c r="O1953" s="1374">
        <v>0</v>
      </c>
      <c r="P1953" s="1374">
        <v>0</v>
      </c>
      <c r="Q1953" s="1374">
        <v>0</v>
      </c>
      <c r="R1953" s="1387"/>
      <c r="V1953" s="1324" t="s">
        <v>6116</v>
      </c>
    </row>
    <row r="1954" spans="2:25" s="1324" customFormat="1">
      <c r="B1954" s="1324">
        <v>23</v>
      </c>
      <c r="C1954" s="1541">
        <v>124</v>
      </c>
      <c r="D1954" s="1324" t="s">
        <v>6117</v>
      </c>
      <c r="E1954" s="1344" t="s">
        <v>3179</v>
      </c>
      <c r="F1954" s="1374">
        <v>0</v>
      </c>
      <c r="G1954" s="1374">
        <v>0</v>
      </c>
      <c r="H1954" s="1374">
        <v>0</v>
      </c>
      <c r="I1954" s="1527"/>
      <c r="J1954" s="1374">
        <v>0</v>
      </c>
      <c r="K1954" s="1374">
        <v>0</v>
      </c>
      <c r="L1954" s="1374">
        <v>0</v>
      </c>
      <c r="M1954" s="1374">
        <v>0</v>
      </c>
      <c r="N1954" s="1374">
        <v>0</v>
      </c>
      <c r="O1954" s="1374">
        <v>0</v>
      </c>
      <c r="P1954" s="1374">
        <v>0</v>
      </c>
      <c r="Q1954" s="1374">
        <v>0</v>
      </c>
      <c r="R1954" s="1374"/>
    </row>
    <row r="1955" spans="2:25" s="1324" customFormat="1">
      <c r="B1955" s="1324">
        <v>24</v>
      </c>
      <c r="C1955" s="1393"/>
      <c r="E1955" s="1502"/>
      <c r="F1955" s="1374"/>
      <c r="G1955" s="1374"/>
      <c r="H1955" s="1374"/>
      <c r="I1955" s="1527"/>
      <c r="J1955" s="1374"/>
      <c r="K1955" s="1374"/>
      <c r="L1955" s="1374"/>
      <c r="M1955" s="1374"/>
      <c r="N1955" s="1374"/>
      <c r="O1955" s="1374"/>
      <c r="P1955" s="1374"/>
      <c r="Q1955" s="1374"/>
      <c r="R1955" s="1374"/>
    </row>
    <row r="1956" spans="2:25" s="1324" customFormat="1">
      <c r="B1956" s="1324">
        <v>25</v>
      </c>
      <c r="C1956" s="1393">
        <v>125</v>
      </c>
      <c r="D1956" s="1324" t="s">
        <v>6119</v>
      </c>
      <c r="E1956" s="1502" t="s">
        <v>3179</v>
      </c>
      <c r="F1956" s="1374">
        <v>0</v>
      </c>
      <c r="G1956" s="1374">
        <v>0</v>
      </c>
      <c r="H1956" s="1374">
        <v>0</v>
      </c>
      <c r="I1956" s="1527"/>
      <c r="J1956" s="1374">
        <v>0</v>
      </c>
      <c r="K1956" s="1374">
        <v>0</v>
      </c>
      <c r="L1956" s="1374">
        <v>0</v>
      </c>
      <c r="M1956" s="1374">
        <v>0</v>
      </c>
      <c r="N1956" s="1374">
        <v>0</v>
      </c>
      <c r="O1956" s="1374">
        <v>0</v>
      </c>
      <c r="P1956" s="1374">
        <v>0</v>
      </c>
      <c r="Q1956" s="1374">
        <v>0</v>
      </c>
      <c r="R1956" s="1374"/>
      <c r="V1956" s="1324" t="s">
        <v>6116</v>
      </c>
    </row>
    <row r="1957" spans="2:25" s="1324" customFormat="1">
      <c r="B1957" s="1324">
        <v>26</v>
      </c>
      <c r="C1957" s="1541">
        <v>125</v>
      </c>
      <c r="D1957" s="1324" t="s">
        <v>6117</v>
      </c>
      <c r="E1957" s="1344" t="s">
        <v>3179</v>
      </c>
      <c r="F1957" s="1374">
        <v>0</v>
      </c>
      <c r="G1957" s="1374">
        <v>0</v>
      </c>
      <c r="H1957" s="1374">
        <v>0</v>
      </c>
      <c r="I1957" s="1527"/>
      <c r="J1957" s="1374">
        <v>0</v>
      </c>
      <c r="K1957" s="1374">
        <v>0</v>
      </c>
      <c r="L1957" s="1374">
        <v>0</v>
      </c>
      <c r="M1957" s="1374">
        <v>0</v>
      </c>
      <c r="N1957" s="1374">
        <v>0</v>
      </c>
      <c r="O1957" s="1374">
        <v>0</v>
      </c>
      <c r="P1957" s="1374">
        <v>0</v>
      </c>
      <c r="Q1957" s="1374">
        <v>0</v>
      </c>
      <c r="R1957" s="1374"/>
    </row>
    <row r="1958" spans="2:25" s="1324" customFormat="1">
      <c r="B1958" s="1324">
        <v>27</v>
      </c>
      <c r="C1958" s="1393"/>
      <c r="E1958" s="1502"/>
      <c r="F1958" s="1374"/>
      <c r="G1958" s="1374"/>
      <c r="H1958" s="1374"/>
      <c r="I1958" s="1527"/>
      <c r="J1958" s="1374"/>
      <c r="K1958" s="1374"/>
      <c r="L1958" s="1374"/>
      <c r="M1958" s="1374"/>
      <c r="N1958" s="1374"/>
      <c r="O1958" s="1374"/>
      <c r="P1958" s="1374"/>
      <c r="Q1958" s="1374"/>
      <c r="R1958" s="1374"/>
    </row>
    <row r="1959" spans="2:25" s="1324" customFormat="1">
      <c r="B1959" s="1324">
        <v>28</v>
      </c>
      <c r="C1959" s="1393">
        <v>126</v>
      </c>
      <c r="D1959" s="1324" t="s">
        <v>6120</v>
      </c>
      <c r="E1959" s="1502" t="s">
        <v>3179</v>
      </c>
      <c r="F1959" s="1374">
        <v>0</v>
      </c>
      <c r="G1959" s="1374">
        <v>0</v>
      </c>
      <c r="H1959" s="1374">
        <v>0</v>
      </c>
      <c r="I1959" s="1527"/>
      <c r="J1959" s="1374">
        <v>0</v>
      </c>
      <c r="K1959" s="1374">
        <v>0</v>
      </c>
      <c r="L1959" s="1374">
        <v>0</v>
      </c>
      <c r="M1959" s="1374">
        <v>0</v>
      </c>
      <c r="N1959" s="1374">
        <v>0</v>
      </c>
      <c r="O1959" s="1374">
        <v>0</v>
      </c>
      <c r="P1959" s="1374">
        <v>0</v>
      </c>
      <c r="Q1959" s="1374">
        <v>0</v>
      </c>
      <c r="R1959" s="1374"/>
      <c r="V1959" s="1324" t="s">
        <v>6116</v>
      </c>
    </row>
    <row r="1960" spans="2:25" s="1324" customFormat="1">
      <c r="B1960" s="1324">
        <v>29</v>
      </c>
      <c r="C1960" s="1541">
        <v>126</v>
      </c>
      <c r="D1960" s="1324" t="s">
        <v>6117</v>
      </c>
      <c r="E1960" s="1344" t="s">
        <v>3179</v>
      </c>
      <c r="F1960" s="1374">
        <v>0</v>
      </c>
      <c r="G1960" s="1374">
        <v>0</v>
      </c>
      <c r="H1960" s="1374">
        <v>0</v>
      </c>
      <c r="I1960" s="1527"/>
      <c r="J1960" s="1374">
        <v>0</v>
      </c>
      <c r="K1960" s="1374">
        <v>0</v>
      </c>
      <c r="L1960" s="1374">
        <v>0</v>
      </c>
      <c r="M1960" s="1374">
        <v>0</v>
      </c>
      <c r="N1960" s="1374">
        <v>0</v>
      </c>
      <c r="O1960" s="1374">
        <v>0</v>
      </c>
      <c r="P1960" s="1374">
        <v>0</v>
      </c>
      <c r="Q1960" s="1374">
        <v>0</v>
      </c>
      <c r="R1960" s="1374"/>
    </row>
    <row r="1961" spans="2:25" s="1324" customFormat="1">
      <c r="B1961" s="1324">
        <v>30</v>
      </c>
      <c r="C1961" s="1393"/>
      <c r="E1961" s="1502"/>
      <c r="F1961" s="1374"/>
      <c r="G1961" s="1374"/>
      <c r="H1961" s="1374"/>
      <c r="I1961" s="1527"/>
      <c r="J1961" s="1374"/>
      <c r="K1961" s="1374"/>
      <c r="L1961" s="1374"/>
      <c r="M1961" s="1374"/>
      <c r="N1961" s="1374"/>
      <c r="O1961" s="1374"/>
      <c r="P1961" s="1374"/>
      <c r="Q1961" s="1374"/>
      <c r="R1961" s="1374"/>
    </row>
    <row r="1962" spans="2:25" s="1324" customFormat="1">
      <c r="B1962" s="1324">
        <v>31</v>
      </c>
      <c r="C1962" s="1393">
        <v>128</v>
      </c>
      <c r="D1962" s="1324" t="s">
        <v>6121</v>
      </c>
      <c r="E1962" s="1502" t="s">
        <v>3179</v>
      </c>
      <c r="F1962" s="1374">
        <v>0</v>
      </c>
      <c r="G1962" s="1374">
        <v>0</v>
      </c>
      <c r="H1962" s="1374">
        <v>0</v>
      </c>
      <c r="I1962" s="1527"/>
      <c r="J1962" s="1374">
        <v>0</v>
      </c>
      <c r="K1962" s="1374">
        <v>0</v>
      </c>
      <c r="L1962" s="1374">
        <v>0</v>
      </c>
      <c r="M1962" s="1374">
        <v>0</v>
      </c>
      <c r="N1962" s="1374">
        <v>0</v>
      </c>
      <c r="O1962" s="1374">
        <v>0</v>
      </c>
      <c r="P1962" s="1374">
        <v>0</v>
      </c>
      <c r="Q1962" s="1374">
        <v>0</v>
      </c>
      <c r="R1962" s="1374"/>
      <c r="V1962" s="1324" t="s">
        <v>6116</v>
      </c>
    </row>
    <row r="1963" spans="2:25" s="1324" customFormat="1">
      <c r="B1963" s="1324">
        <v>32</v>
      </c>
      <c r="C1963" s="1541">
        <v>128</v>
      </c>
      <c r="D1963" s="1324" t="s">
        <v>6117</v>
      </c>
      <c r="E1963" s="1344" t="s">
        <v>3179</v>
      </c>
      <c r="F1963" s="1374">
        <v>0</v>
      </c>
      <c r="G1963" s="1374">
        <v>0</v>
      </c>
      <c r="H1963" s="1374">
        <v>0</v>
      </c>
      <c r="I1963" s="1527"/>
      <c r="J1963" s="1374">
        <v>0</v>
      </c>
      <c r="K1963" s="1374">
        <v>0</v>
      </c>
      <c r="L1963" s="1374">
        <v>0</v>
      </c>
      <c r="M1963" s="1374">
        <v>0</v>
      </c>
      <c r="N1963" s="1374">
        <v>0</v>
      </c>
      <c r="O1963" s="1374">
        <v>0</v>
      </c>
      <c r="P1963" s="1374">
        <v>0</v>
      </c>
      <c r="Q1963" s="1374">
        <v>0</v>
      </c>
      <c r="R1963" s="1374"/>
      <c r="Y1963" s="1320"/>
    </row>
    <row r="1964" spans="2:25" s="1324" customFormat="1">
      <c r="B1964" s="1324">
        <v>33</v>
      </c>
      <c r="C1964" s="1393"/>
      <c r="E1964" s="1344"/>
      <c r="I1964" s="1527"/>
      <c r="Y1964" s="1320"/>
    </row>
    <row r="1965" spans="2:25" s="1324" customFormat="1">
      <c r="B1965" s="1324">
        <v>34</v>
      </c>
      <c r="C1965" s="1393">
        <v>201</v>
      </c>
      <c r="D1965" s="1324" t="s">
        <v>4790</v>
      </c>
      <c r="E1965" s="1344" t="s">
        <v>9267</v>
      </c>
      <c r="F1965" s="1324">
        <f>+SUM(G1965:H1965)</f>
        <v>21513101.492999993</v>
      </c>
      <c r="G1965" s="1324">
        <f>+'Load Research'!E14</f>
        <v>0</v>
      </c>
      <c r="H1965" s="1324">
        <f>+'Load Research'!F14</f>
        <v>21513101.492999993</v>
      </c>
      <c r="I1965" s="1527"/>
      <c r="J1965" s="1324">
        <f>+'Load Research'!F14</f>
        <v>21513101.492999993</v>
      </c>
      <c r="K1965" s="1324">
        <f>+'Load Research'!G14</f>
        <v>10856246.44346484</v>
      </c>
      <c r="L1965" s="1324">
        <f>+'Load Research'!H14</f>
        <v>1003244.2579626911</v>
      </c>
      <c r="M1965" s="1324">
        <f>+'Load Research'!I14</f>
        <v>7473780.0489070648</v>
      </c>
      <c r="N1965" s="1324">
        <f>+'Load Research'!J14</f>
        <v>1189705.6146552546</v>
      </c>
      <c r="O1965" s="1324">
        <f>+'Load Research'!K14</f>
        <v>876470.24144709064</v>
      </c>
      <c r="P1965" s="1324">
        <f>+'Load Research'!L14</f>
        <v>113654.88656305107</v>
      </c>
      <c r="Q1965" s="1324">
        <v>0</v>
      </c>
      <c r="V1965" s="1324" t="s">
        <v>6116</v>
      </c>
      <c r="Y1965" s="1320"/>
    </row>
    <row r="1966" spans="2:25" s="1324" customFormat="1">
      <c r="B1966" s="1324">
        <v>35</v>
      </c>
      <c r="C1966" s="1541">
        <v>201</v>
      </c>
      <c r="D1966" s="1324" t="s">
        <v>6117</v>
      </c>
      <c r="E1966" s="1344" t="s">
        <v>3179</v>
      </c>
      <c r="F1966" s="1374">
        <f>+SUM(G1966:H1966)</f>
        <v>1</v>
      </c>
      <c r="G1966" s="1374">
        <f>+G1965/F1965</f>
        <v>0</v>
      </c>
      <c r="H1966" s="1374">
        <f>+H1965/F1965</f>
        <v>1</v>
      </c>
      <c r="I1966" s="1374"/>
      <c r="J1966" s="1374">
        <f>+SUM(K1966:Q1966)</f>
        <v>0.99999999999999978</v>
      </c>
      <c r="K1966" s="1374">
        <f t="shared" ref="K1966:Q1966" si="803">+K1965/$J1965</f>
        <v>0.50463418521951764</v>
      </c>
      <c r="L1966" s="1374">
        <f t="shared" si="803"/>
        <v>4.6634106118503195E-2</v>
      </c>
      <c r="M1966" s="1374">
        <f t="shared" si="803"/>
        <v>0.34740597729894546</v>
      </c>
      <c r="N1966" s="1374">
        <f t="shared" si="803"/>
        <v>5.5301445727960939E-2</v>
      </c>
      <c r="O1966" s="1374">
        <f t="shared" si="803"/>
        <v>4.0741231185669788E-2</v>
      </c>
      <c r="P1966" s="1374">
        <f t="shared" si="803"/>
        <v>5.2830544494029599E-3</v>
      </c>
      <c r="Q1966" s="1374">
        <f t="shared" si="803"/>
        <v>0</v>
      </c>
      <c r="R1966" s="1374"/>
      <c r="Y1966" s="1320"/>
    </row>
    <row r="1967" spans="2:25" s="1324" customFormat="1">
      <c r="B1967" s="1324">
        <v>36</v>
      </c>
      <c r="C1967" s="1393"/>
      <c r="E1967" s="1344"/>
      <c r="I1967" s="1527"/>
    </row>
    <row r="1968" spans="2:25" s="1324" customFormat="1">
      <c r="B1968" s="1324">
        <v>37</v>
      </c>
      <c r="C1968" s="1393">
        <v>202</v>
      </c>
      <c r="D1968" s="1324" t="s">
        <v>4792</v>
      </c>
      <c r="E1968" s="1344" t="s">
        <v>3179</v>
      </c>
      <c r="F1968" s="1374">
        <v>1</v>
      </c>
      <c r="G1968" s="1374">
        <v>1</v>
      </c>
      <c r="H1968" s="1374">
        <v>0</v>
      </c>
      <c r="I1968" s="1527"/>
      <c r="J1968" s="1374">
        <v>0</v>
      </c>
      <c r="K1968" s="1374">
        <v>0</v>
      </c>
      <c r="L1968" s="1374">
        <v>0</v>
      </c>
      <c r="M1968" s="1374">
        <v>0</v>
      </c>
      <c r="N1968" s="1374">
        <v>0</v>
      </c>
      <c r="O1968" s="1374">
        <v>0</v>
      </c>
      <c r="P1968" s="1374">
        <v>0</v>
      </c>
      <c r="Q1968" s="1374">
        <v>0</v>
      </c>
      <c r="V1968" s="1324" t="s">
        <v>6123</v>
      </c>
    </row>
    <row r="1969" spans="2:25" s="1324" customFormat="1">
      <c r="B1969" s="1324">
        <v>38</v>
      </c>
      <c r="C1969" s="1541">
        <v>202</v>
      </c>
      <c r="D1969" s="1324" t="s">
        <v>6117</v>
      </c>
      <c r="E1969" s="1344" t="s">
        <v>3179</v>
      </c>
      <c r="F1969" s="1374">
        <f>+SUM(G1969:H1969)</f>
        <v>1</v>
      </c>
      <c r="G1969" s="1374">
        <f>+G1968/F1968</f>
        <v>1</v>
      </c>
      <c r="H1969" s="1374">
        <f>+H1968/F1968</f>
        <v>0</v>
      </c>
      <c r="I1969" s="1374"/>
      <c r="J1969" s="1374">
        <v>0</v>
      </c>
      <c r="K1969" s="1374">
        <v>0</v>
      </c>
      <c r="L1969" s="1374">
        <v>0</v>
      </c>
      <c r="M1969" s="1374">
        <v>0</v>
      </c>
      <c r="N1969" s="1374">
        <v>0</v>
      </c>
      <c r="O1969" s="1374">
        <v>0</v>
      </c>
      <c r="P1969" s="1374">
        <v>0</v>
      </c>
      <c r="Q1969" s="1374">
        <v>0</v>
      </c>
      <c r="R1969" s="1374"/>
    </row>
    <row r="1970" spans="2:25">
      <c r="B1970" s="1324">
        <v>39</v>
      </c>
      <c r="C1970" s="1393"/>
      <c r="D1970" s="1324"/>
      <c r="E1970" s="1344"/>
      <c r="F1970" s="1324"/>
      <c r="H1970" s="1324"/>
      <c r="I1970" s="1527"/>
      <c r="M1970" s="1324"/>
      <c r="N1970" s="1324"/>
      <c r="O1970" s="1324"/>
      <c r="R1970" s="1324"/>
      <c r="S1970" s="1324"/>
      <c r="T1970" s="1324"/>
      <c r="V1970" s="1324"/>
      <c r="Y1970" s="1324"/>
    </row>
    <row r="1971" spans="2:25">
      <c r="B1971" s="1324">
        <v>40</v>
      </c>
      <c r="C1971" s="1393">
        <v>204</v>
      </c>
      <c r="D1971" s="1324" t="s">
        <v>4800</v>
      </c>
      <c r="E1971" s="1344" t="s">
        <v>9267</v>
      </c>
      <c r="F1971" s="1324">
        <f>+SUM(G1971:H1971)</f>
        <v>21513101.492999993</v>
      </c>
      <c r="G1971" s="1324">
        <f>+'Load Research'!E16</f>
        <v>0</v>
      </c>
      <c r="H1971" s="1324">
        <f>+'Load Research'!F16</f>
        <v>21513101.492999993</v>
      </c>
      <c r="I1971" s="1527"/>
      <c r="J1971" s="1324">
        <f>+'Load Research'!F16</f>
        <v>21513101.492999993</v>
      </c>
      <c r="K1971" s="1324">
        <f>+'Load Research'!G16</f>
        <v>10856246.44346484</v>
      </c>
      <c r="L1971" s="1324">
        <f>+'Load Research'!H16</f>
        <v>1003244.2579626911</v>
      </c>
      <c r="M1971" s="1324">
        <f>+'Load Research'!I16</f>
        <v>7473780.0489070648</v>
      </c>
      <c r="N1971" s="1324">
        <f>+'Load Research'!J16</f>
        <v>1189705.6146552546</v>
      </c>
      <c r="O1971" s="1324">
        <f>+'Load Research'!K16</f>
        <v>876470.24144709064</v>
      </c>
      <c r="P1971" s="1324">
        <f>+'Load Research'!L16</f>
        <v>113654.88656305107</v>
      </c>
      <c r="Q1971" s="1324">
        <v>0</v>
      </c>
      <c r="R1971" s="1324"/>
      <c r="S1971" s="1324"/>
      <c r="T1971" s="1324"/>
      <c r="V1971" s="1324" t="s">
        <v>6116</v>
      </c>
      <c r="Y1971" s="1324"/>
    </row>
    <row r="1972" spans="2:25">
      <c r="B1972" s="1324">
        <v>41</v>
      </c>
      <c r="C1972" s="1541">
        <v>204</v>
      </c>
      <c r="D1972" s="1324" t="s">
        <v>6117</v>
      </c>
      <c r="E1972" s="1344" t="s">
        <v>3179</v>
      </c>
      <c r="F1972" s="1374">
        <f>+SUM(G1972:H1972)</f>
        <v>1</v>
      </c>
      <c r="G1972" s="1374">
        <f>+G1971/F1971</f>
        <v>0</v>
      </c>
      <c r="H1972" s="1374">
        <f>+H1971/F1971</f>
        <v>1</v>
      </c>
      <c r="I1972" s="1374"/>
      <c r="J1972" s="1374">
        <f>+SUM(K1972:Q1972)</f>
        <v>0.99999999999999978</v>
      </c>
      <c r="K1972" s="1374">
        <f t="shared" ref="K1972:Q1972" si="804">+K1971/$J1971</f>
        <v>0.50463418521951764</v>
      </c>
      <c r="L1972" s="1374">
        <f t="shared" si="804"/>
        <v>4.6634106118503195E-2</v>
      </c>
      <c r="M1972" s="1374">
        <f t="shared" si="804"/>
        <v>0.34740597729894546</v>
      </c>
      <c r="N1972" s="1374">
        <f t="shared" si="804"/>
        <v>5.5301445727960939E-2</v>
      </c>
      <c r="O1972" s="1374">
        <f t="shared" si="804"/>
        <v>4.0741231185669788E-2</v>
      </c>
      <c r="P1972" s="1374">
        <f t="shared" si="804"/>
        <v>5.2830544494029599E-3</v>
      </c>
      <c r="Q1972" s="1374">
        <f t="shared" si="804"/>
        <v>0</v>
      </c>
      <c r="R1972" s="1374"/>
      <c r="S1972" s="1324"/>
      <c r="T1972" s="1324"/>
      <c r="V1972" s="1324"/>
      <c r="Y1972" s="1324"/>
    </row>
    <row r="1973" spans="2:25">
      <c r="B1973" s="1324"/>
      <c r="E1973" s="1339"/>
      <c r="G1973" s="1320"/>
      <c r="I1973" s="1527"/>
      <c r="M1973" s="1324"/>
      <c r="N1973" s="1324"/>
      <c r="O1973" s="1324"/>
      <c r="Y1973" s="1324"/>
    </row>
    <row r="1974" spans="2:25">
      <c r="B1974" s="1324"/>
      <c r="C1974" s="1322">
        <v>205</v>
      </c>
      <c r="D1974" s="1324" t="s">
        <v>4810</v>
      </c>
      <c r="E1974" s="1344" t="s">
        <v>3179</v>
      </c>
      <c r="F1974" s="1374">
        <v>1</v>
      </c>
      <c r="G1974" s="1374">
        <v>0</v>
      </c>
      <c r="H1974" s="1374">
        <v>1</v>
      </c>
      <c r="I1974" s="1527"/>
      <c r="J1974" s="1374">
        <v>0</v>
      </c>
      <c r="K1974" s="1374">
        <v>0</v>
      </c>
      <c r="L1974" s="1374">
        <v>0</v>
      </c>
      <c r="M1974" s="1374">
        <v>0</v>
      </c>
      <c r="N1974" s="1374">
        <v>0</v>
      </c>
      <c r="O1974" s="1374">
        <v>0</v>
      </c>
      <c r="P1974" s="1374">
        <v>0</v>
      </c>
      <c r="Q1974" s="1374">
        <v>0</v>
      </c>
      <c r="V1974" s="1320" t="s">
        <v>6124</v>
      </c>
      <c r="Y1974" s="1324"/>
    </row>
    <row r="1975" spans="2:25">
      <c r="C1975" s="1541">
        <v>205</v>
      </c>
      <c r="D1975" s="1324" t="s">
        <v>6117</v>
      </c>
      <c r="E1975" s="1344" t="s">
        <v>3179</v>
      </c>
      <c r="F1975" s="1374">
        <f>+SUM(G1975:H1975)</f>
        <v>1</v>
      </c>
      <c r="G1975" s="1374">
        <f>+G1974/F1974</f>
        <v>0</v>
      </c>
      <c r="H1975" s="1374">
        <f>+H1974/F1974</f>
        <v>1</v>
      </c>
      <c r="I1975" s="1374"/>
      <c r="J1975" s="1374">
        <v>0</v>
      </c>
      <c r="K1975" s="1374">
        <v>0</v>
      </c>
      <c r="L1975" s="1374">
        <v>0</v>
      </c>
      <c r="M1975" s="1374">
        <v>0</v>
      </c>
      <c r="N1975" s="1374">
        <v>0</v>
      </c>
      <c r="O1975" s="1374">
        <v>0</v>
      </c>
      <c r="P1975" s="1374">
        <v>0</v>
      </c>
      <c r="Q1975" s="1374">
        <v>0</v>
      </c>
      <c r="Y1975" s="1324"/>
    </row>
    <row r="1976" spans="2:25">
      <c r="G1976" s="1320"/>
      <c r="I1976" s="1527"/>
      <c r="L1976" s="1326"/>
      <c r="Y1976" s="1324"/>
    </row>
    <row r="1977" spans="2:25">
      <c r="G1977" s="1320"/>
      <c r="I1977" s="1527"/>
    </row>
    <row r="1978" spans="2:25">
      <c r="C1978" s="1340" t="str">
        <f>+C$2</f>
        <v>RATES WITH REVENUE DEFICIENCY ADDITION</v>
      </c>
      <c r="D1978" s="1321"/>
      <c r="G1978" s="1327" t="s">
        <v>2173</v>
      </c>
      <c r="I1978" s="1540" t="s">
        <v>4851</v>
      </c>
      <c r="L1978" s="1329" t="s">
        <v>2173</v>
      </c>
      <c r="M1978" s="1330"/>
      <c r="N1978" s="1330"/>
      <c r="O1978" s="1330"/>
      <c r="R1978" s="1332"/>
      <c r="T1978" s="1333" t="s">
        <v>2173</v>
      </c>
    </row>
    <row r="1979" spans="2:25">
      <c r="C1979" s="1340" t="str">
        <f>+C$3</f>
        <v>PROD. CAP. ALLOC. METHOD: 12 CP &amp; 1/13th AD</v>
      </c>
      <c r="D1979" s="1321"/>
      <c r="G1979" s="1333" t="s">
        <v>4768</v>
      </c>
      <c r="L1979" s="1336" t="s">
        <v>5141</v>
      </c>
      <c r="M1979" s="1337"/>
      <c r="N1979" s="1337"/>
      <c r="O1979" s="1337"/>
      <c r="T1979" s="1333" t="s">
        <v>5141</v>
      </c>
    </row>
    <row r="1980" spans="2:25">
      <c r="C1980" s="1340" t="str">
        <f>+C$4</f>
        <v>PROJECTED CALENDAR YEAR 2025; FULLY ADJUSTED DATA</v>
      </c>
      <c r="G1980" s="1320"/>
      <c r="L1980" s="1336"/>
      <c r="T1980" s="1339"/>
    </row>
    <row r="1981" spans="2:25" ht="15" customHeight="1">
      <c r="C1981" s="1340" t="str">
        <f>+C$5</f>
        <v>MINIMUM DISTRIBUTION SYSTEM (MDS) NOT EMPLOYED</v>
      </c>
      <c r="G1981" s="1320"/>
      <c r="T1981" s="1333"/>
      <c r="Y1981" s="1324"/>
    </row>
    <row r="1982" spans="2:25" ht="15" customHeight="1">
      <c r="C1982" s="1340" t="str">
        <f>+C$6</f>
        <v>Tampa Electric 2025 OB Budget</v>
      </c>
      <c r="G1982" s="1333" t="s">
        <v>6112</v>
      </c>
      <c r="L1982" s="1336" t="s">
        <v>6112</v>
      </c>
      <c r="M1982" s="1337"/>
      <c r="N1982" s="1337"/>
      <c r="O1982" s="1337"/>
      <c r="T1982" s="1333" t="s">
        <v>6112</v>
      </c>
      <c r="Y1982" s="1324"/>
    </row>
    <row r="1983" spans="2:25" ht="15" customHeight="1">
      <c r="G1983" s="1320"/>
      <c r="I1983" s="1527"/>
      <c r="Y1983" s="1324"/>
    </row>
    <row r="1984" spans="2:25" ht="15" customHeight="1">
      <c r="F1984" s="1339"/>
      <c r="G1984" s="1320"/>
      <c r="I1984" s="1527"/>
      <c r="Y1984" s="1324"/>
    </row>
    <row r="1985" spans="2:25" ht="27.6">
      <c r="B1985" s="1349" t="s">
        <v>4297</v>
      </c>
      <c r="C1985" s="1349" t="s">
        <v>6113</v>
      </c>
      <c r="D1985" s="1353"/>
      <c r="E1985" s="1355" t="s">
        <v>6114</v>
      </c>
      <c r="F1985" s="1348" t="s">
        <v>5144</v>
      </c>
      <c r="G1985" s="1348" t="s">
        <v>4956</v>
      </c>
      <c r="H1985" s="1348" t="s">
        <v>4957</v>
      </c>
      <c r="I1985" s="1415"/>
      <c r="J1985" s="1352" t="s">
        <v>4957</v>
      </c>
      <c r="K1985" s="1353" t="s">
        <v>1949</v>
      </c>
      <c r="L1985" s="1353" t="s">
        <v>1950</v>
      </c>
      <c r="M1985" s="1354" t="s">
        <v>1934</v>
      </c>
      <c r="N1985" s="1354" t="s">
        <v>1971</v>
      </c>
      <c r="O1985" s="1354" t="s">
        <v>1972</v>
      </c>
      <c r="P1985" s="1352" t="s">
        <v>5146</v>
      </c>
      <c r="Q1985" s="1352" t="s">
        <v>5147</v>
      </c>
      <c r="R1985" s="1355"/>
      <c r="S1985" s="1350"/>
      <c r="T1985" s="1350"/>
      <c r="U1985" s="1366"/>
      <c r="V1985" s="1350"/>
      <c r="W1985" s="1350"/>
      <c r="Y1985" s="1324"/>
    </row>
    <row r="1986" spans="2:25">
      <c r="B1986" s="1324"/>
      <c r="G1986" s="1320"/>
      <c r="I1986" s="1527"/>
      <c r="M1986" s="1324"/>
      <c r="N1986" s="1324"/>
      <c r="O1986" s="1324"/>
      <c r="Y1986" s="1324"/>
    </row>
    <row r="1987" spans="2:25" s="1324" customFormat="1">
      <c r="B1987" s="1324">
        <v>42</v>
      </c>
      <c r="C1987" s="1393">
        <v>308</v>
      </c>
      <c r="D1987" s="1324" t="s">
        <v>4837</v>
      </c>
      <c r="E1987" s="1344" t="s">
        <v>6125</v>
      </c>
      <c r="F1987" s="1324">
        <f>SUM(G1987:H1987)</f>
        <v>255853086.6769709</v>
      </c>
      <c r="G1987" s="1324">
        <f>+'Weighted Meters'!L52</f>
        <v>0</v>
      </c>
      <c r="H1987" s="1324">
        <f>+'Weighted Meters'!M52</f>
        <v>255853086.6769709</v>
      </c>
      <c r="I1987" s="1527"/>
      <c r="J1987" s="1324">
        <f>+'Weighted Meters'!M52</f>
        <v>255853086.6769709</v>
      </c>
      <c r="K1987" s="1324">
        <f>+'Weighted Meters'!N52</f>
        <v>174663821.41775307</v>
      </c>
      <c r="L1987" s="1324">
        <f>+'Weighted Meters'!O52</f>
        <v>45550089.690557122</v>
      </c>
      <c r="M1987" s="1324">
        <f>+'Weighted Meters'!P52</f>
        <v>29969441.063496064</v>
      </c>
      <c r="N1987" s="1324">
        <f>+'Weighted Meters'!Q52</f>
        <v>2463581.8057832038</v>
      </c>
      <c r="O1987" s="1324">
        <f>+'Weighted Meters'!R52</f>
        <v>2687871.1666514659</v>
      </c>
      <c r="P1987" s="1324">
        <f>+'Weighted Meters'!S52</f>
        <v>518281.53272996884</v>
      </c>
      <c r="Q1987" s="1324">
        <v>0</v>
      </c>
      <c r="V1987" s="1324" t="s">
        <v>6126</v>
      </c>
    </row>
    <row r="1988" spans="2:25" s="1324" customFormat="1">
      <c r="B1988" s="1324">
        <v>43</v>
      </c>
      <c r="C1988" s="1541">
        <v>308</v>
      </c>
      <c r="D1988" s="1324" t="s">
        <v>6117</v>
      </c>
      <c r="E1988" s="1344" t="s">
        <v>3179</v>
      </c>
      <c r="F1988" s="1374">
        <f>+SUM(G1988:H1988)</f>
        <v>1</v>
      </c>
      <c r="G1988" s="1374">
        <f>+G1987/F1987</f>
        <v>0</v>
      </c>
      <c r="H1988" s="1374">
        <f>+H1987/F1987</f>
        <v>1</v>
      </c>
      <c r="I1988" s="1374"/>
      <c r="J1988" s="1374">
        <f>+SUM(K1988:Q1988)</f>
        <v>1</v>
      </c>
      <c r="K1988" s="1374">
        <f t="shared" ref="K1988:Q1988" si="805">+K1987/$J1987</f>
        <v>0.68267232452143956</v>
      </c>
      <c r="L1988" s="1374">
        <f t="shared" si="805"/>
        <v>0.17803220700661981</v>
      </c>
      <c r="M1988" s="1374">
        <f t="shared" si="805"/>
        <v>0.11713535080909222</v>
      </c>
      <c r="N1988" s="1374">
        <f t="shared" si="805"/>
        <v>9.6288922591487684E-3</v>
      </c>
      <c r="O1988" s="1374">
        <f t="shared" si="805"/>
        <v>1.0505525657562445E-2</v>
      </c>
      <c r="P1988" s="1374">
        <f t="shared" si="805"/>
        <v>2.0256997461372385E-3</v>
      </c>
      <c r="Q1988" s="1374">
        <f t="shared" si="805"/>
        <v>0</v>
      </c>
      <c r="R1988" s="1374"/>
    </row>
    <row r="1989" spans="2:25" s="1324" customFormat="1">
      <c r="B1989" s="1324">
        <v>44</v>
      </c>
      <c r="C1989" s="1393"/>
      <c r="I1989" s="1527"/>
    </row>
    <row r="1990" spans="2:25" s="1324" customFormat="1">
      <c r="B1990" s="1324">
        <v>45</v>
      </c>
      <c r="C1990" s="1393">
        <v>309</v>
      </c>
      <c r="D1990" s="1324" t="s">
        <v>4839</v>
      </c>
      <c r="E1990" s="1344" t="s">
        <v>3179</v>
      </c>
      <c r="F1990" s="1374">
        <v>1</v>
      </c>
      <c r="G1990" s="1374">
        <v>0</v>
      </c>
      <c r="H1990" s="1374">
        <v>1</v>
      </c>
      <c r="I1990" s="1527"/>
      <c r="J1990" s="1374">
        <v>1</v>
      </c>
      <c r="K1990" s="1374">
        <v>0</v>
      </c>
      <c r="L1990" s="1374">
        <v>0</v>
      </c>
      <c r="M1990" s="1374">
        <v>0</v>
      </c>
      <c r="N1990" s="1374">
        <v>0</v>
      </c>
      <c r="O1990" s="1374">
        <v>0</v>
      </c>
      <c r="P1990" s="1374">
        <v>0</v>
      </c>
      <c r="Q1990" s="1374">
        <v>0</v>
      </c>
      <c r="V1990" s="1324" t="s">
        <v>6127</v>
      </c>
    </row>
    <row r="1991" spans="2:25" s="1324" customFormat="1">
      <c r="B1991" s="1324">
        <v>46</v>
      </c>
      <c r="C1991" s="1541">
        <v>309</v>
      </c>
      <c r="D1991" s="1324" t="s">
        <v>6117</v>
      </c>
      <c r="E1991" s="1344" t="s">
        <v>3179</v>
      </c>
      <c r="F1991" s="1374">
        <f>SUM(G1991:H1991)</f>
        <v>1</v>
      </c>
      <c r="G1991" s="1374">
        <f>IF($F1990=0,0,G1990/$F1990)</f>
        <v>0</v>
      </c>
      <c r="H1991" s="1374">
        <f>IF($F1990=0,0,H1990/$F1990)</f>
        <v>1</v>
      </c>
      <c r="I1991" s="1527"/>
      <c r="J1991" s="1374">
        <f>SUM(K1991:S1991)-M1991</f>
        <v>0</v>
      </c>
      <c r="K1991" s="1374">
        <f t="shared" ref="K1991:Q1991" si="806">IF($J1990=0,0,K1990/$J1990)</f>
        <v>0</v>
      </c>
      <c r="L1991" s="1374">
        <f t="shared" si="806"/>
        <v>0</v>
      </c>
      <c r="M1991" s="1374">
        <f t="shared" si="806"/>
        <v>0</v>
      </c>
      <c r="N1991" s="1374">
        <f t="shared" si="806"/>
        <v>0</v>
      </c>
      <c r="O1991" s="1374">
        <f>IF($J1990=0,0,O1990/$J1990)</f>
        <v>0</v>
      </c>
      <c r="P1991" s="1374">
        <f>IF($J1990=0,0,P1990/$J1990)</f>
        <v>0</v>
      </c>
      <c r="Q1991" s="1374">
        <f t="shared" si="806"/>
        <v>0</v>
      </c>
      <c r="R1991" s="1374"/>
      <c r="S1991" s="1374"/>
    </row>
    <row r="1992" spans="2:25" s="1324" customFormat="1">
      <c r="B1992" s="1324">
        <v>47</v>
      </c>
      <c r="C1992" s="1393"/>
      <c r="I1992" s="1527"/>
    </row>
    <row r="1993" spans="2:25" s="1324" customFormat="1">
      <c r="B1993" s="1324">
        <v>48</v>
      </c>
      <c r="C1993" s="1393">
        <v>310</v>
      </c>
      <c r="D1993" s="1324" t="s">
        <v>4821</v>
      </c>
      <c r="E1993" s="1344" t="s">
        <v>3179</v>
      </c>
      <c r="F1993" s="1374">
        <v>1</v>
      </c>
      <c r="G1993" s="1374">
        <v>0</v>
      </c>
      <c r="H1993" s="1374">
        <v>1</v>
      </c>
      <c r="I1993" s="1527"/>
      <c r="J1993" s="1374">
        <v>1</v>
      </c>
      <c r="K1993" s="1374">
        <v>0</v>
      </c>
      <c r="L1993" s="1374">
        <v>0</v>
      </c>
      <c r="M1993" s="1374">
        <v>0</v>
      </c>
      <c r="N1993" s="1374">
        <v>0</v>
      </c>
      <c r="O1993" s="1374">
        <v>0</v>
      </c>
      <c r="P1993" s="1374">
        <v>0</v>
      </c>
      <c r="Q1993" s="1374">
        <v>1</v>
      </c>
      <c r="V1993" s="1324" t="s">
        <v>6128</v>
      </c>
    </row>
    <row r="1994" spans="2:25" s="1324" customFormat="1">
      <c r="B1994" s="1324">
        <v>49</v>
      </c>
      <c r="C1994" s="1541">
        <v>310</v>
      </c>
      <c r="D1994" s="1324" t="s">
        <v>6117</v>
      </c>
      <c r="E1994" s="1344" t="s">
        <v>3179</v>
      </c>
      <c r="F1994" s="1374">
        <f>+SUM(G1994:H1994)</f>
        <v>1</v>
      </c>
      <c r="G1994" s="1374">
        <f>+G1993/F1993</f>
        <v>0</v>
      </c>
      <c r="H1994" s="1374">
        <f>+H1993/F1993</f>
        <v>1</v>
      </c>
      <c r="I1994" s="1374"/>
      <c r="J1994" s="1374">
        <f>+SUM(K1994:Q1994)</f>
        <v>1</v>
      </c>
      <c r="K1994" s="1374">
        <f t="shared" ref="K1994:Q1994" si="807">+K1993/$J1993</f>
        <v>0</v>
      </c>
      <c r="L1994" s="1374">
        <f t="shared" si="807"/>
        <v>0</v>
      </c>
      <c r="M1994" s="1374">
        <f t="shared" si="807"/>
        <v>0</v>
      </c>
      <c r="N1994" s="1374">
        <f t="shared" si="807"/>
        <v>0</v>
      </c>
      <c r="O1994" s="1374">
        <f t="shared" si="807"/>
        <v>0</v>
      </c>
      <c r="P1994" s="1374">
        <f t="shared" si="807"/>
        <v>0</v>
      </c>
      <c r="Q1994" s="1374">
        <f t="shared" si="807"/>
        <v>1</v>
      </c>
      <c r="R1994" s="1374"/>
    </row>
    <row r="1995" spans="2:25" s="1324" customFormat="1">
      <c r="B1995" s="1324">
        <v>50</v>
      </c>
      <c r="C1995" s="1393"/>
      <c r="I1995" s="1527"/>
    </row>
    <row r="1996" spans="2:25" s="1324" customFormat="1">
      <c r="B1996" s="1324">
        <v>51</v>
      </c>
      <c r="C1996" s="1393">
        <v>311</v>
      </c>
      <c r="D1996" s="1324" t="s">
        <v>4843</v>
      </c>
      <c r="E1996" s="1344" t="s">
        <v>2334</v>
      </c>
      <c r="F1996" s="1324">
        <f>+SUM(G1996:H1996)</f>
        <v>57640822.250094414</v>
      </c>
      <c r="G1996" s="1324">
        <f>+'Weighted Meters'!L63</f>
        <v>0</v>
      </c>
      <c r="H1996" s="1324">
        <f>+'Weighted Meters'!M63</f>
        <v>57640822.250094414</v>
      </c>
      <c r="I1996" s="1527"/>
      <c r="J1996" s="1324">
        <f>+'Weighted Meters'!M63</f>
        <v>57640822.250094414</v>
      </c>
      <c r="K1996" s="1324">
        <f>+'Weighted Meters'!N63</f>
        <v>51110226.705206528</v>
      </c>
      <c r="L1996" s="1324">
        <f>+'Weighted Meters'!O63</f>
        <v>5004319.6476968629</v>
      </c>
      <c r="M1996" s="1324">
        <f>+'Weighted Meters'!P63</f>
        <v>1451202.7702471646</v>
      </c>
      <c r="N1996" s="1324">
        <f>+'Weighted Meters'!Q63</f>
        <v>21794.185529936356</v>
      </c>
      <c r="O1996" s="1324">
        <f>+'Weighted Meters'!R63</f>
        <v>7817.4795922597805</v>
      </c>
      <c r="P1996" s="1324">
        <f>+'Weighted Meters'!S63</f>
        <v>45461.461821655656</v>
      </c>
      <c r="Q1996" s="1324">
        <f>+'Weighted Meters'!T63</f>
        <v>0</v>
      </c>
      <c r="V1996" s="1324" t="s">
        <v>6129</v>
      </c>
    </row>
    <row r="1997" spans="2:25" s="1324" customFormat="1">
      <c r="B1997" s="1324">
        <v>52</v>
      </c>
      <c r="C1997" s="1541">
        <v>311</v>
      </c>
      <c r="D1997" s="1324" t="s">
        <v>6117</v>
      </c>
      <c r="E1997" s="1344" t="s">
        <v>3179</v>
      </c>
      <c r="F1997" s="1374">
        <f>+SUM(G1997:H1997)</f>
        <v>1</v>
      </c>
      <c r="G1997" s="1374">
        <f>+G1996/F1996</f>
        <v>0</v>
      </c>
      <c r="H1997" s="1374">
        <f>+H1996/F1996</f>
        <v>1</v>
      </c>
      <c r="I1997" s="1527"/>
      <c r="J1997" s="1374">
        <f>+SUM(K1997:Q1997)</f>
        <v>0.99999999999999989</v>
      </c>
      <c r="K1997" s="1374">
        <f t="shared" ref="K1997:Q1997" si="808">+K1996/$J1996</f>
        <v>0.88670190170860741</v>
      </c>
      <c r="L1997" s="1374">
        <f t="shared" si="808"/>
        <v>8.6819019096984973E-2</v>
      </c>
      <c r="M1997" s="1374">
        <f t="shared" si="808"/>
        <v>2.5176649353658164E-2</v>
      </c>
      <c r="N1997" s="1374">
        <f t="shared" si="808"/>
        <v>3.7810330732921939E-4</v>
      </c>
      <c r="O1997" s="1374">
        <f t="shared" si="808"/>
        <v>1.3562401241156783E-4</v>
      </c>
      <c r="P1997" s="1374">
        <f t="shared" si="808"/>
        <v>7.8870252100855819E-4</v>
      </c>
      <c r="Q1997" s="1374">
        <f t="shared" si="808"/>
        <v>0</v>
      </c>
      <c r="R1997" s="1374"/>
    </row>
    <row r="1998" spans="2:25" s="1324" customFormat="1" ht="15.75" customHeight="1">
      <c r="B1998" s="1324">
        <v>53</v>
      </c>
      <c r="C1998" s="1393"/>
      <c r="I1998" s="1527"/>
    </row>
    <row r="1999" spans="2:25" s="1324" customFormat="1">
      <c r="B1999" s="1324">
        <v>54</v>
      </c>
      <c r="C1999" s="1393">
        <v>401</v>
      </c>
      <c r="D1999" s="1324" t="s">
        <v>6130</v>
      </c>
      <c r="E1999" s="1502" t="s">
        <v>6115</v>
      </c>
      <c r="F1999" s="1324">
        <f>+SUM(G1999:H1999)</f>
        <v>35356244.437981486</v>
      </c>
      <c r="G1999" s="1324">
        <v>0</v>
      </c>
      <c r="H1999" s="1324">
        <f>+J1999</f>
        <v>35356244.437981486</v>
      </c>
      <c r="I1999" s="1527"/>
      <c r="J1999" s="1324">
        <f>+'Load Research'!D20</f>
        <v>35356244.437981486</v>
      </c>
      <c r="K1999" s="1324">
        <f>+'Load Research'!E20</f>
        <v>10290068.453940002</v>
      </c>
      <c r="L1999" s="1324">
        <f>+'Load Research'!F20</f>
        <v>950935.90074000007</v>
      </c>
      <c r="M1999" s="1324">
        <f>+'Load Research'!G20</f>
        <v>18168858.210000001</v>
      </c>
      <c r="N1999" s="1324">
        <f>+'Load Research'!H20</f>
        <v>2634852.5689424397</v>
      </c>
      <c r="O1999" s="1324">
        <f>+'Load Research'!I20</f>
        <v>3203801.7791090398</v>
      </c>
      <c r="P1999" s="1324">
        <f>+'Load Research'!J20</f>
        <v>107727.52524999999</v>
      </c>
      <c r="Q1999" s="1324">
        <v>0</v>
      </c>
      <c r="V1999" s="1324" t="s">
        <v>6116</v>
      </c>
    </row>
    <row r="2000" spans="2:25" s="1324" customFormat="1">
      <c r="B2000" s="1324">
        <v>55</v>
      </c>
      <c r="C2000" s="1541">
        <v>401</v>
      </c>
      <c r="D2000" s="1324" t="s">
        <v>6117</v>
      </c>
      <c r="E2000" s="1502"/>
      <c r="F2000" s="1374">
        <f>+SUM(G2000:H2000)</f>
        <v>1</v>
      </c>
      <c r="G2000" s="1374">
        <f>+G1999/F1999</f>
        <v>0</v>
      </c>
      <c r="H2000" s="1374">
        <f>+H1999/F1999</f>
        <v>1</v>
      </c>
      <c r="I2000" s="1527"/>
      <c r="J2000" s="1374">
        <f>+SUM(K2000:Q2000)</f>
        <v>0.99999999999999978</v>
      </c>
      <c r="K2000" s="1374">
        <f t="shared" ref="K2000:Q2000" si="809">+K1999/$J1999</f>
        <v>0.29103963437038249</v>
      </c>
      <c r="L2000" s="1374">
        <f t="shared" si="809"/>
        <v>2.6895840207464345E-2</v>
      </c>
      <c r="M2000" s="1374">
        <f t="shared" si="809"/>
        <v>0.5138797544481869</v>
      </c>
      <c r="N2000" s="1374">
        <f t="shared" si="809"/>
        <v>7.452297637449147E-2</v>
      </c>
      <c r="O2000" s="1374">
        <f t="shared" si="809"/>
        <v>9.0614878079849234E-2</v>
      </c>
      <c r="P2000" s="1374">
        <f t="shared" si="809"/>
        <v>3.046916519625415E-3</v>
      </c>
      <c r="Q2000" s="1374">
        <f t="shared" si="809"/>
        <v>0</v>
      </c>
      <c r="R2000" s="1374"/>
    </row>
    <row r="2001" spans="2:22" s="1324" customFormat="1">
      <c r="B2001" s="1324">
        <v>56</v>
      </c>
      <c r="C2001" s="1393"/>
      <c r="E2001" s="907"/>
      <c r="I2001" s="1527"/>
    </row>
    <row r="2002" spans="2:22" s="1324" customFormat="1">
      <c r="B2002" s="1324">
        <v>57</v>
      </c>
      <c r="C2002" s="1393">
        <v>402</v>
      </c>
      <c r="D2002" s="1324" t="s">
        <v>6131</v>
      </c>
      <c r="E2002" s="1502" t="s">
        <v>6115</v>
      </c>
      <c r="F2002" s="1324">
        <f>+SUM(G2002:H2002)</f>
        <v>32150017.252903681</v>
      </c>
      <c r="G2002" s="1324">
        <v>0</v>
      </c>
      <c r="H2002" s="1324">
        <f>+J2002</f>
        <v>32150017.252903681</v>
      </c>
      <c r="I2002" s="1527"/>
      <c r="J2002" s="1324">
        <f>+'Load Research'!D21</f>
        <v>32150017.252903681</v>
      </c>
      <c r="K2002" s="1324">
        <f>+'Load Research'!E21</f>
        <v>10290068.453940002</v>
      </c>
      <c r="L2002" s="1324">
        <f>+'Load Research'!F21</f>
        <v>950935.90074000007</v>
      </c>
      <c r="M2002" s="1324">
        <f>+'Load Research'!G21</f>
        <v>18166432.804031242</v>
      </c>
      <c r="N2002" s="1324">
        <f>+'Load Research'!H21</f>
        <v>2634852.5689424397</v>
      </c>
      <c r="O2002" s="1324">
        <f>+'Load Research'!I21</f>
        <v>0</v>
      </c>
      <c r="P2002" s="1324">
        <f>+'Load Research'!J21</f>
        <v>107727.52524999999</v>
      </c>
      <c r="Q2002" s="1324">
        <v>0</v>
      </c>
      <c r="V2002" s="1324" t="s">
        <v>6116</v>
      </c>
    </row>
    <row r="2003" spans="2:22" s="1324" customFormat="1">
      <c r="B2003" s="1324">
        <v>58</v>
      </c>
      <c r="C2003" s="1541">
        <v>402</v>
      </c>
      <c r="D2003" s="1324" t="s">
        <v>6117</v>
      </c>
      <c r="E2003" s="1502"/>
      <c r="F2003" s="1374">
        <f>+SUM(G2003:H2003)</f>
        <v>1</v>
      </c>
      <c r="G2003" s="1374">
        <f>+G2002/F2002</f>
        <v>0</v>
      </c>
      <c r="H2003" s="1374">
        <f>+H2002/F2002</f>
        <v>1</v>
      </c>
      <c r="I2003" s="1527"/>
      <c r="J2003" s="1374">
        <f>+SUM(K2003:Q2003)</f>
        <v>1.0000000000000002</v>
      </c>
      <c r="K2003" s="1374">
        <f t="shared" ref="K2003:Q2003" si="810">+K2002/$J2002</f>
        <v>0.32006416584459652</v>
      </c>
      <c r="L2003" s="1374">
        <f t="shared" si="810"/>
        <v>2.9578083683737828E-2</v>
      </c>
      <c r="M2003" s="1374">
        <f t="shared" si="810"/>
        <v>0.56505203904332313</v>
      </c>
      <c r="N2003" s="1374">
        <f t="shared" si="810"/>
        <v>8.1954934836138194E-2</v>
      </c>
      <c r="O2003" s="1374">
        <f t="shared" si="810"/>
        <v>0</v>
      </c>
      <c r="P2003" s="1374">
        <f t="shared" si="810"/>
        <v>3.3507765922044849E-3</v>
      </c>
      <c r="Q2003" s="1374">
        <f t="shared" si="810"/>
        <v>0</v>
      </c>
      <c r="R2003" s="1374"/>
    </row>
    <row r="2004" spans="2:22" s="1324" customFormat="1">
      <c r="B2004" s="1324">
        <v>59</v>
      </c>
      <c r="C2004" s="1393"/>
      <c r="I2004" s="1527"/>
    </row>
    <row r="2005" spans="2:22" s="1324" customFormat="1">
      <c r="B2005" s="1324">
        <v>60</v>
      </c>
      <c r="C2005" s="1393">
        <v>403</v>
      </c>
      <c r="D2005" s="1324" t="s">
        <v>6132</v>
      </c>
      <c r="E2005" s="1502" t="s">
        <v>6115</v>
      </c>
      <c r="F2005" s="1324">
        <f>+SUM(G2005:H2005)</f>
        <v>29287373.041316651</v>
      </c>
      <c r="G2005" s="1324">
        <v>0</v>
      </c>
      <c r="H2005" s="1324">
        <f>+J2005</f>
        <v>29287373.041316651</v>
      </c>
      <c r="I2005" s="1527"/>
      <c r="J2005" s="1324">
        <f>+'Load Research'!D22</f>
        <v>29287373.041316651</v>
      </c>
      <c r="K2005" s="1324">
        <f>+'Load Research'!E22</f>
        <v>10290068.453940002</v>
      </c>
      <c r="L2005" s="1324">
        <f>+'Load Research'!F22</f>
        <v>950935.90074000007</v>
      </c>
      <c r="M2005" s="1324">
        <f>+'Load Research'!G22</f>
        <v>17938641.16138665</v>
      </c>
      <c r="N2005" s="1324">
        <f>+'Load Research'!H22</f>
        <v>0</v>
      </c>
      <c r="O2005" s="1324">
        <f>+'Load Research'!I22</f>
        <v>0</v>
      </c>
      <c r="P2005" s="1324">
        <f>+'Load Research'!J22</f>
        <v>107727.52524999999</v>
      </c>
      <c r="Q2005" s="1324">
        <v>0</v>
      </c>
      <c r="V2005" s="1324" t="s">
        <v>6116</v>
      </c>
    </row>
    <row r="2006" spans="2:22" s="1324" customFormat="1">
      <c r="B2006" s="1324">
        <v>61</v>
      </c>
      <c r="C2006" s="1541">
        <v>403</v>
      </c>
      <c r="D2006" s="1324" t="s">
        <v>6117</v>
      </c>
      <c r="E2006" s="1502"/>
      <c r="F2006" s="1374">
        <f>+SUM(G2006:H2006)</f>
        <v>1</v>
      </c>
      <c r="G2006" s="1374">
        <f>+G2005/F2005</f>
        <v>0</v>
      </c>
      <c r="H2006" s="1374">
        <f>+H2005/F2005</f>
        <v>1</v>
      </c>
      <c r="I2006" s="1527"/>
      <c r="J2006" s="1374">
        <f>+SUM(K2006:Q2006)</f>
        <v>1</v>
      </c>
      <c r="K2006" s="1374">
        <f t="shared" ref="K2006:Q2006" si="811">+K2005/$J2005</f>
        <v>0.35134829059005968</v>
      </c>
      <c r="L2006" s="1374">
        <f t="shared" si="811"/>
        <v>3.2469142910102722E-2</v>
      </c>
      <c r="M2006" s="1374">
        <f t="shared" si="811"/>
        <v>0.61250427397773177</v>
      </c>
      <c r="N2006" s="1374">
        <f t="shared" si="811"/>
        <v>0</v>
      </c>
      <c r="O2006" s="1374">
        <f t="shared" si="811"/>
        <v>0</v>
      </c>
      <c r="P2006" s="1374">
        <f t="shared" si="811"/>
        <v>3.6782925221058669E-3</v>
      </c>
      <c r="Q2006" s="1374">
        <f t="shared" si="811"/>
        <v>0</v>
      </c>
      <c r="R2006" s="1374"/>
    </row>
    <row r="2007" spans="2:22" s="1324" customFormat="1">
      <c r="B2007" s="1324">
        <v>62</v>
      </c>
      <c r="C2007" s="1393"/>
      <c r="I2007" s="1527"/>
    </row>
    <row r="2008" spans="2:22" s="1324" customFormat="1">
      <c r="B2008" s="1324">
        <v>63</v>
      </c>
      <c r="C2008" s="1393">
        <v>404</v>
      </c>
      <c r="D2008" s="1324" t="s">
        <v>6133</v>
      </c>
      <c r="E2008" s="1344" t="s">
        <v>9267</v>
      </c>
      <c r="F2008" s="1324">
        <f>+SUM(G2008:H2008)</f>
        <v>20434223.836788256</v>
      </c>
      <c r="G2008" s="1324">
        <v>0</v>
      </c>
      <c r="H2008" s="1324">
        <f>+J2008</f>
        <v>20434223.836788256</v>
      </c>
      <c r="I2008" s="1527"/>
      <c r="J2008" s="1324">
        <f>+'Load Research'!D23</f>
        <v>20434223.836788256</v>
      </c>
      <c r="K2008" s="1324">
        <f>+'Load Research'!E23</f>
        <v>10290068.453940002</v>
      </c>
      <c r="L2008" s="1324">
        <f>+'Load Research'!F23</f>
        <v>950935.90074000007</v>
      </c>
      <c r="M2008" s="1324">
        <f>+'Load Research'!G23</f>
        <v>7089279.4422360742</v>
      </c>
      <c r="N2008" s="1324">
        <f>+'Load Research'!H23</f>
        <v>1148446.0116341452</v>
      </c>
      <c r="O2008" s="1324">
        <f>+'Load Research'!I23</f>
        <v>847766.50298803649</v>
      </c>
      <c r="P2008" s="1324">
        <f>+'Load Research'!J23</f>
        <v>107727.52524999999</v>
      </c>
      <c r="Q2008" s="1324">
        <v>0</v>
      </c>
      <c r="V2008" s="1324" t="s">
        <v>6116</v>
      </c>
    </row>
    <row r="2009" spans="2:22" s="1324" customFormat="1">
      <c r="B2009" s="1324">
        <v>64</v>
      </c>
      <c r="C2009" s="1541">
        <v>404</v>
      </c>
      <c r="D2009" s="1324" t="s">
        <v>6117</v>
      </c>
      <c r="E2009" s="1502"/>
      <c r="F2009" s="1374">
        <f>+SUM(G2009:H2009)</f>
        <v>1</v>
      </c>
      <c r="G2009" s="1374">
        <f>+G2008/F2008</f>
        <v>0</v>
      </c>
      <c r="H2009" s="1374">
        <f>+H2008/F2008</f>
        <v>1</v>
      </c>
      <c r="I2009" s="1527"/>
      <c r="J2009" s="1374">
        <f>+SUM(K2009:Q2009)</f>
        <v>1</v>
      </c>
      <c r="K2009" s="1374">
        <f t="shared" ref="K2009:Q2009" si="812">+K2008/$J2008</f>
        <v>0.50357031106875361</v>
      </c>
      <c r="L2009" s="1374">
        <f t="shared" si="812"/>
        <v>4.6536433599597055E-2</v>
      </c>
      <c r="M2009" s="1374">
        <f t="shared" si="812"/>
        <v>0.34693167202529429</v>
      </c>
      <c r="N2009" s="1374">
        <f t="shared" si="812"/>
        <v>5.6202086304181928E-2</v>
      </c>
      <c r="O2009" s="1374">
        <f t="shared" si="812"/>
        <v>4.1487580333821182E-2</v>
      </c>
      <c r="P2009" s="1374">
        <f t="shared" si="812"/>
        <v>5.2719166683520115E-3</v>
      </c>
      <c r="Q2009" s="1374">
        <f t="shared" si="812"/>
        <v>0</v>
      </c>
      <c r="R2009" s="1374"/>
    </row>
    <row r="2010" spans="2:22" s="1324" customFormat="1">
      <c r="B2010" s="1324">
        <v>65</v>
      </c>
      <c r="C2010" s="1393"/>
      <c r="I2010" s="1527"/>
    </row>
    <row r="2011" spans="2:22" s="1324" customFormat="1">
      <c r="B2011" s="1324">
        <v>66</v>
      </c>
      <c r="C2011" s="1393">
        <v>405</v>
      </c>
      <c r="D2011" s="1324" t="s">
        <v>6134</v>
      </c>
      <c r="E2011" s="1344" t="s">
        <v>9267</v>
      </c>
      <c r="F2011" s="1324">
        <f>+SUM(G2011:H2011)</f>
        <v>19585405.539539233</v>
      </c>
      <c r="G2011" s="1324">
        <v>0</v>
      </c>
      <c r="H2011" s="1324">
        <f>+J2011</f>
        <v>19585405.539539233</v>
      </c>
      <c r="I2011" s="1527"/>
      <c r="J2011" s="1324">
        <f>+'Load Research'!D24</f>
        <v>19585405.539539233</v>
      </c>
      <c r="K2011" s="1324">
        <f>+'Load Research'!E24</f>
        <v>10290068.453940002</v>
      </c>
      <c r="L2011" s="1324">
        <f>+'Load Research'!F24</f>
        <v>950935.90074000007</v>
      </c>
      <c r="M2011" s="1324">
        <f>+'Load Research'!G24</f>
        <v>7088227.647975089</v>
      </c>
      <c r="N2011" s="1324">
        <f>+'Load Research'!H24</f>
        <v>1148446.0116341452</v>
      </c>
      <c r="O2011" s="1324">
        <f>+'Load Research'!I24</f>
        <v>0</v>
      </c>
      <c r="P2011" s="1324">
        <f>+'Load Research'!J24</f>
        <v>107727.52524999999</v>
      </c>
      <c r="Q2011" s="1324">
        <v>0</v>
      </c>
      <c r="V2011" s="1324" t="s">
        <v>6116</v>
      </c>
    </row>
    <row r="2012" spans="2:22" s="1324" customFormat="1">
      <c r="B2012" s="1324">
        <v>67</v>
      </c>
      <c r="C2012" s="1541">
        <v>405</v>
      </c>
      <c r="D2012" s="1324" t="s">
        <v>6117</v>
      </c>
      <c r="E2012" s="1502"/>
      <c r="F2012" s="1374">
        <f>+SUM(G2012:H2012)</f>
        <v>1</v>
      </c>
      <c r="G2012" s="1374">
        <f>+G2011/F2011</f>
        <v>0</v>
      </c>
      <c r="H2012" s="1374">
        <f>+H2011/F2011</f>
        <v>1</v>
      </c>
      <c r="I2012" s="1527"/>
      <c r="J2012" s="1374">
        <f>+SUM(K2012:Q2012)</f>
        <v>1.0000000000000002</v>
      </c>
      <c r="K2012" s="1374">
        <f t="shared" ref="K2012:Q2012" si="813">+K2011/$J2011</f>
        <v>0.52539470950276201</v>
      </c>
      <c r="L2012" s="1374">
        <f t="shared" si="813"/>
        <v>4.8553291317876474E-2</v>
      </c>
      <c r="M2012" s="1374">
        <f t="shared" si="813"/>
        <v>0.36191375428327471</v>
      </c>
      <c r="N2012" s="1374">
        <f t="shared" si="813"/>
        <v>5.8637846906751542E-2</v>
      </c>
      <c r="O2012" s="1374">
        <f t="shared" si="813"/>
        <v>0</v>
      </c>
      <c r="P2012" s="1374">
        <f t="shared" si="813"/>
        <v>5.5003979893353998E-3</v>
      </c>
      <c r="Q2012" s="1374">
        <f t="shared" si="813"/>
        <v>0</v>
      </c>
      <c r="R2012" s="1374"/>
    </row>
    <row r="2013" spans="2:22" s="1324" customFormat="1">
      <c r="B2013" s="1324">
        <v>68</v>
      </c>
      <c r="C2013" s="1393"/>
      <c r="F2013" s="1374"/>
      <c r="G2013" s="1374"/>
      <c r="H2013" s="1374"/>
      <c r="I2013" s="1527"/>
      <c r="J2013" s="1374"/>
      <c r="K2013" s="1374"/>
      <c r="L2013" s="1374"/>
      <c r="M2013" s="1374"/>
      <c r="N2013" s="1374"/>
      <c r="O2013" s="1374"/>
      <c r="P2013" s="1374"/>
      <c r="Q2013" s="1374"/>
      <c r="R2013" s="1374"/>
    </row>
    <row r="2014" spans="2:22" s="1324" customFormat="1">
      <c r="B2014" s="1324">
        <v>69</v>
      </c>
      <c r="C2014" s="1393">
        <v>406</v>
      </c>
      <c r="D2014" s="1324" t="s">
        <v>6135</v>
      </c>
      <c r="E2014" s="1344" t="s">
        <v>9267</v>
      </c>
      <c r="F2014" s="1324">
        <f>+SUM(G2014:H2014)</f>
        <v>18353841.420239165</v>
      </c>
      <c r="G2014" s="1324">
        <v>0</v>
      </c>
      <c r="H2014" s="1324">
        <f>+J2014</f>
        <v>18353841.420239165</v>
      </c>
      <c r="I2014" s="1527"/>
      <c r="J2014" s="1324">
        <f>+'Load Research'!D25</f>
        <v>18353841.420239165</v>
      </c>
      <c r="K2014" s="1324">
        <f>+'Load Research'!E25</f>
        <v>10290068.453940002</v>
      </c>
      <c r="L2014" s="1324">
        <f>+'Load Research'!F25</f>
        <v>950935.90074000007</v>
      </c>
      <c r="M2014" s="1324">
        <f>+'Load Research'!G25</f>
        <v>7005109.5403091656</v>
      </c>
      <c r="N2014" s="1324">
        <f>+'Load Research'!H25</f>
        <v>0</v>
      </c>
      <c r="O2014" s="1324">
        <f>+'Load Research'!I25</f>
        <v>0</v>
      </c>
      <c r="P2014" s="1324">
        <f>+'Load Research'!J25</f>
        <v>107727.52524999999</v>
      </c>
      <c r="Q2014" s="1324">
        <v>0</v>
      </c>
      <c r="V2014" s="1324" t="s">
        <v>6116</v>
      </c>
    </row>
    <row r="2015" spans="2:22" s="1324" customFormat="1">
      <c r="B2015" s="1324">
        <v>70</v>
      </c>
      <c r="C2015" s="1541">
        <v>406</v>
      </c>
      <c r="D2015" s="1324" t="s">
        <v>6117</v>
      </c>
      <c r="E2015" s="1502"/>
      <c r="F2015" s="1374">
        <f>+SUM(G2015:H2015)</f>
        <v>1</v>
      </c>
      <c r="G2015" s="1374">
        <f>+G2014/F2014</f>
        <v>0</v>
      </c>
      <c r="H2015" s="1374">
        <f>+H2014/F2014</f>
        <v>1</v>
      </c>
      <c r="I2015" s="1527"/>
      <c r="J2015" s="1374">
        <f>+SUM(K2015:Q2015)</f>
        <v>1</v>
      </c>
      <c r="K2015" s="1374">
        <f t="shared" ref="K2015:Q2015" si="814">+K2014/$J2014</f>
        <v>0.56064930595907447</v>
      </c>
      <c r="L2015" s="1374">
        <f t="shared" si="814"/>
        <v>5.1811273671100978E-2</v>
      </c>
      <c r="M2015" s="1374">
        <f t="shared" si="814"/>
        <v>0.3816699392741012</v>
      </c>
      <c r="N2015" s="1374">
        <f t="shared" si="814"/>
        <v>0</v>
      </c>
      <c r="O2015" s="1374">
        <f t="shared" si="814"/>
        <v>0</v>
      </c>
      <c r="P2015" s="1374">
        <f t="shared" si="814"/>
        <v>5.8694810957234597E-3</v>
      </c>
      <c r="Q2015" s="1374">
        <f t="shared" si="814"/>
        <v>0</v>
      </c>
      <c r="R2015" s="1374"/>
    </row>
    <row r="2016" spans="2:22" s="1324" customFormat="1">
      <c r="B2016" s="1324">
        <v>71</v>
      </c>
      <c r="C2016" s="1393"/>
      <c r="E2016" s="1502"/>
      <c r="F2016" s="1374"/>
      <c r="G2016" s="1374"/>
      <c r="H2016" s="1374"/>
      <c r="I2016" s="1527"/>
      <c r="J2016" s="1374"/>
      <c r="K2016" s="1374"/>
      <c r="L2016" s="1374"/>
      <c r="M2016" s="1374"/>
      <c r="N2016" s="1374"/>
      <c r="O2016" s="1374"/>
      <c r="P2016" s="1374"/>
      <c r="Q2016" s="1374"/>
      <c r="R2016" s="1374"/>
    </row>
    <row r="2017" spans="2:25" s="1324" customFormat="1">
      <c r="B2017" s="1324">
        <v>72</v>
      </c>
      <c r="C2017" s="1393">
        <v>412</v>
      </c>
      <c r="D2017" s="1324" t="s">
        <v>4795</v>
      </c>
      <c r="E2017" s="1344" t="s">
        <v>6136</v>
      </c>
      <c r="F2017" s="1324">
        <f>+SUM(G2017:H2017)</f>
        <v>10348044</v>
      </c>
      <c r="G2017" s="1324">
        <v>0</v>
      </c>
      <c r="H2017" s="1324">
        <f>+J2017</f>
        <v>10348044</v>
      </c>
      <c r="I2017" s="1527"/>
      <c r="J2017" s="1364">
        <f>+SUM(K2017:Q2017)</f>
        <v>10348044</v>
      </c>
      <c r="K2017" s="1364">
        <f>+'Weighted Meters'!N70</f>
        <v>9229284</v>
      </c>
      <c r="L2017" s="1364">
        <f>+'Weighted Meters'!O70</f>
        <v>894696</v>
      </c>
      <c r="M2017" s="1364">
        <f>+'Weighted Meters'!P70</f>
        <v>220356</v>
      </c>
      <c r="N2017" s="1364">
        <f>+'Weighted Meters'!Q70</f>
        <v>744</v>
      </c>
      <c r="O2017" s="1364">
        <f>+'Weighted Meters'!R70</f>
        <v>132</v>
      </c>
      <c r="P2017" s="1364">
        <f>+'Weighted Meters'!S70</f>
        <v>2832</v>
      </c>
      <c r="Q2017" s="1364">
        <v>0</v>
      </c>
      <c r="R2017" s="1374"/>
      <c r="V2017" s="1324" t="s">
        <v>6126</v>
      </c>
    </row>
    <row r="2018" spans="2:25" s="1324" customFormat="1">
      <c r="B2018" s="1324">
        <v>73</v>
      </c>
      <c r="C2018" s="1541">
        <v>412</v>
      </c>
      <c r="D2018" s="1324" t="s">
        <v>6117</v>
      </c>
      <c r="E2018" s="1502"/>
      <c r="F2018" s="1374">
        <f>+SUM(G2018:H2018)</f>
        <v>1</v>
      </c>
      <c r="G2018" s="1374">
        <f>+G2017/F2017</f>
        <v>0</v>
      </c>
      <c r="H2018" s="1374">
        <f>+H2017/F2017</f>
        <v>1</v>
      </c>
      <c r="I2018" s="1527"/>
      <c r="J2018" s="1374">
        <f>+SUM(K2018:Q2018)</f>
        <v>1</v>
      </c>
      <c r="K2018" s="1374">
        <f t="shared" ref="K2018:Q2018" si="815">+K2017/$J2017</f>
        <v>0.89188681455161956</v>
      </c>
      <c r="L2018" s="1374">
        <f t="shared" si="815"/>
        <v>8.646039773313681E-2</v>
      </c>
      <c r="M2018" s="1374">
        <f t="shared" si="815"/>
        <v>2.1294459126768306E-2</v>
      </c>
      <c r="N2018" s="1374">
        <f t="shared" si="815"/>
        <v>7.1897645584035008E-5</v>
      </c>
      <c r="O2018" s="1374">
        <f t="shared" si="815"/>
        <v>1.2756033893941696E-5</v>
      </c>
      <c r="P2018" s="1374">
        <f t="shared" si="815"/>
        <v>2.7367490899729455E-4</v>
      </c>
      <c r="Q2018" s="1374">
        <f t="shared" si="815"/>
        <v>0</v>
      </c>
      <c r="R2018" s="1374"/>
    </row>
    <row r="2019" spans="2:25" s="1324" customFormat="1">
      <c r="B2019" s="1324">
        <v>74</v>
      </c>
      <c r="C2019" s="1543"/>
      <c r="D2019" s="1360"/>
      <c r="E2019" s="1447"/>
      <c r="F2019" s="1399"/>
      <c r="G2019" s="1399"/>
      <c r="H2019" s="1399"/>
      <c r="I2019" s="1527"/>
      <c r="J2019" s="1399"/>
      <c r="K2019" s="1360"/>
      <c r="L2019" s="1360"/>
      <c r="M2019" s="1361"/>
      <c r="N2019" s="1361"/>
      <c r="O2019" s="1361"/>
      <c r="P2019" s="1399"/>
      <c r="Q2019" s="1399"/>
      <c r="R2019" s="1374"/>
    </row>
    <row r="2020" spans="2:25" s="1324" customFormat="1">
      <c r="B2020" s="1324">
        <v>75</v>
      </c>
      <c r="C2020" s="1544">
        <v>418</v>
      </c>
      <c r="D2020" s="1324" t="s">
        <v>4824</v>
      </c>
      <c r="E2020" s="1511" t="s">
        <v>6137</v>
      </c>
      <c r="F2020" s="1324">
        <f>+SUM(G2020:H2020)</f>
        <v>862322</v>
      </c>
      <c r="G2020" s="1324">
        <v>0</v>
      </c>
      <c r="H2020" s="1324">
        <f>+J2020</f>
        <v>862322</v>
      </c>
      <c r="I2020" s="1527"/>
      <c r="J2020" s="1364">
        <f>+SUM(K2020:Q2020)</f>
        <v>862322</v>
      </c>
      <c r="K2020" s="1545">
        <f>+'Weighted Meters'!N75</f>
        <v>769107</v>
      </c>
      <c r="L2020" s="1545">
        <f>+'Weighted Meters'!O75</f>
        <v>74558</v>
      </c>
      <c r="M2020" s="1545">
        <f>+'Weighted Meters'!P75</f>
        <v>18359</v>
      </c>
      <c r="N2020" s="1545">
        <f>+'Weighted Meters'!Q75</f>
        <v>62</v>
      </c>
      <c r="O2020" s="1545">
        <f>+'Weighted Meters'!R75</f>
        <v>0</v>
      </c>
      <c r="P2020" s="1545">
        <f>+'Weighted Meters'!S75</f>
        <v>236</v>
      </c>
      <c r="Q2020" s="1545">
        <f>+'Weighted Meters'!T75</f>
        <v>0</v>
      </c>
      <c r="R2020" s="1545"/>
      <c r="S2020" s="1545"/>
      <c r="V2020" s="1324" t="s">
        <v>6138</v>
      </c>
    </row>
    <row r="2021" spans="2:25" s="1324" customFormat="1">
      <c r="B2021" s="1324">
        <v>76</v>
      </c>
      <c r="C2021" s="1541">
        <v>418</v>
      </c>
      <c r="D2021" s="1324" t="s">
        <v>6117</v>
      </c>
      <c r="E2021" s="1502" t="s">
        <v>3179</v>
      </c>
      <c r="F2021" s="1374">
        <f>+SUM(G2021:H2021)</f>
        <v>1</v>
      </c>
      <c r="G2021" s="1374">
        <f>+G2020/F2020</f>
        <v>0</v>
      </c>
      <c r="H2021" s="1374">
        <f>+H2020/F2020</f>
        <v>1</v>
      </c>
      <c r="I2021" s="1527"/>
      <c r="J2021" s="1374">
        <f>+SUM(K2021:Q2021)</f>
        <v>0.99999999999999989</v>
      </c>
      <c r="K2021" s="1374">
        <f t="shared" ref="K2021:Q2021" si="816">+K2020/$J2020</f>
        <v>0.89190232882844223</v>
      </c>
      <c r="L2021" s="1374">
        <f t="shared" si="816"/>
        <v>8.6461901702612254E-2</v>
      </c>
      <c r="M2021" s="1374">
        <f t="shared" si="816"/>
        <v>2.1290190903166101E-2</v>
      </c>
      <c r="N2021" s="1374">
        <f t="shared" si="816"/>
        <v>7.1898896235976812E-5</v>
      </c>
      <c r="O2021" s="1374">
        <f t="shared" si="816"/>
        <v>0</v>
      </c>
      <c r="P2021" s="1374">
        <f t="shared" si="816"/>
        <v>2.7367966954339564E-4</v>
      </c>
      <c r="Q2021" s="1374">
        <f t="shared" si="816"/>
        <v>0</v>
      </c>
      <c r="R2021" s="1360"/>
    </row>
    <row r="2022" spans="2:25" s="1324" customFormat="1">
      <c r="B2022" s="1324">
        <v>77</v>
      </c>
      <c r="C2022" s="1543"/>
      <c r="D2022" s="1360"/>
      <c r="E2022" s="1447"/>
      <c r="F2022" s="1399"/>
      <c r="G2022" s="1399"/>
      <c r="H2022" s="1399"/>
      <c r="I2022" s="1527"/>
      <c r="J2022" s="1399"/>
      <c r="K2022" s="1360"/>
      <c r="L2022" s="1360"/>
      <c r="M2022" s="1361"/>
      <c r="N2022" s="1361"/>
      <c r="O2022" s="1361"/>
      <c r="P2022" s="1399"/>
      <c r="Q2022" s="1399"/>
      <c r="R2022" s="1360"/>
    </row>
    <row r="2023" spans="2:25" s="1324" customFormat="1">
      <c r="B2023" s="1324">
        <v>78</v>
      </c>
      <c r="C2023" s="1544">
        <v>420</v>
      </c>
      <c r="D2023" s="1324" t="s">
        <v>4781</v>
      </c>
      <c r="E2023" s="1511" t="s">
        <v>6137</v>
      </c>
      <c r="F2023" s="1324">
        <f>+SUM(G2023:H2023)</f>
        <v>862093</v>
      </c>
      <c r="G2023" s="1324">
        <v>0</v>
      </c>
      <c r="H2023" s="1324">
        <f>+J2023</f>
        <v>862093</v>
      </c>
      <c r="I2023" s="1527"/>
      <c r="J2023" s="1364">
        <f>+SUM(K2023:Q2023)</f>
        <v>862093</v>
      </c>
      <c r="K2023" s="1545">
        <f>+'Weighted Meters'!N80</f>
        <v>769107</v>
      </c>
      <c r="L2023" s="1545">
        <f>+'Weighted Meters'!O80</f>
        <v>74539</v>
      </c>
      <c r="M2023" s="1545">
        <f>+'Weighted Meters'!P80</f>
        <v>18229</v>
      </c>
      <c r="N2023" s="1545">
        <f>+'Weighted Meters'!Q80</f>
        <v>0</v>
      </c>
      <c r="O2023" s="1545">
        <f>+'Weighted Meters'!R80</f>
        <v>0</v>
      </c>
      <c r="P2023" s="1545">
        <f>+'Weighted Meters'!S80</f>
        <v>218</v>
      </c>
      <c r="Q2023" s="1545">
        <f>+'Weighted Meters'!T80</f>
        <v>0</v>
      </c>
      <c r="R2023" s="1360"/>
      <c r="V2023" s="1324" t="s">
        <v>6139</v>
      </c>
    </row>
    <row r="2024" spans="2:25" s="1324" customFormat="1">
      <c r="B2024" s="1324">
        <v>79</v>
      </c>
      <c r="C2024" s="1541">
        <v>420</v>
      </c>
      <c r="D2024" s="1324" t="s">
        <v>6117</v>
      </c>
      <c r="E2024" s="1502" t="s">
        <v>3179</v>
      </c>
      <c r="F2024" s="1374">
        <f>+SUM(G2024:H2024)</f>
        <v>1</v>
      </c>
      <c r="G2024" s="1374">
        <f>+G2023/F2023</f>
        <v>0</v>
      </c>
      <c r="H2024" s="1374">
        <f>+H2023/F2023</f>
        <v>1</v>
      </c>
      <c r="I2024" s="1527"/>
      <c r="J2024" s="1374">
        <f>+SUM(K2024:Q2024)</f>
        <v>1</v>
      </c>
      <c r="K2024" s="1374">
        <f t="shared" ref="K2024:Q2024" si="817">+K2023/$J2023</f>
        <v>0.89213924715778925</v>
      </c>
      <c r="L2024" s="1374">
        <f t="shared" si="817"/>
        <v>8.6462829416315876E-2</v>
      </c>
      <c r="M2024" s="1374">
        <f t="shared" si="817"/>
        <v>2.114505047599273E-2</v>
      </c>
      <c r="N2024" s="1374">
        <f t="shared" si="817"/>
        <v>0</v>
      </c>
      <c r="O2024" s="1374">
        <f t="shared" si="817"/>
        <v>0</v>
      </c>
      <c r="P2024" s="1374">
        <f t="shared" si="817"/>
        <v>2.5287294990215673E-4</v>
      </c>
      <c r="Q2024" s="1374">
        <f t="shared" si="817"/>
        <v>0</v>
      </c>
      <c r="R2024" s="1360"/>
    </row>
    <row r="2025" spans="2:25" s="1324" customFormat="1">
      <c r="J2025" s="1545"/>
      <c r="K2025" s="1545"/>
      <c r="L2025" s="1545"/>
      <c r="M2025" s="1326"/>
      <c r="N2025" s="1326"/>
      <c r="O2025" s="1326"/>
      <c r="P2025" s="1545"/>
      <c r="Q2025" s="1545"/>
    </row>
    <row r="2026" spans="2:25" s="1324" customFormat="1">
      <c r="J2026" s="1374"/>
      <c r="K2026" s="1374"/>
      <c r="L2026" s="1374"/>
      <c r="M2026" s="1374"/>
      <c r="N2026" s="1374"/>
      <c r="O2026" s="1374"/>
      <c r="P2026" s="1374"/>
      <c r="Q2026" s="1374"/>
      <c r="Y2026" s="1320"/>
    </row>
    <row r="2027" spans="2:25" s="1324" customFormat="1">
      <c r="Y2027" s="1320"/>
    </row>
    <row r="2028" spans="2:25">
      <c r="G2028" s="1320"/>
      <c r="I2028" s="1527"/>
      <c r="R2028" s="1324"/>
    </row>
    <row r="2029" spans="2:25">
      <c r="G2029" s="1320"/>
      <c r="I2029" s="1527"/>
      <c r="R2029" s="1324"/>
      <c r="Y2029" s="1324"/>
    </row>
    <row r="2030" spans="2:25">
      <c r="C2030" s="1340" t="str">
        <f>+C$2</f>
        <v>RATES WITH REVENUE DEFICIENCY ADDITION</v>
      </c>
      <c r="D2030" s="1321"/>
      <c r="G2030" s="1327" t="s">
        <v>2173</v>
      </c>
      <c r="I2030" s="1540" t="s">
        <v>4867</v>
      </c>
      <c r="L2030" s="1329" t="s">
        <v>2173</v>
      </c>
      <c r="M2030" s="1330"/>
      <c r="N2030" s="1330"/>
      <c r="O2030" s="1330"/>
      <c r="R2030" s="1334"/>
      <c r="T2030" s="1333" t="s">
        <v>2173</v>
      </c>
      <c r="Y2030" s="1324"/>
    </row>
    <row r="2031" spans="2:25">
      <c r="C2031" s="1340" t="str">
        <f>+C$3</f>
        <v>PROD. CAP. ALLOC. METHOD: 12 CP &amp; 1/13th AD</v>
      </c>
      <c r="D2031" s="1321"/>
      <c r="G2031" s="1333" t="s">
        <v>4768</v>
      </c>
      <c r="L2031" s="1336" t="s">
        <v>5141</v>
      </c>
      <c r="M2031" s="1337"/>
      <c r="N2031" s="1337"/>
      <c r="O2031" s="1337"/>
      <c r="R2031" s="1324"/>
      <c r="T2031" s="1333" t="s">
        <v>5141</v>
      </c>
      <c r="Y2031" s="1324"/>
    </row>
    <row r="2032" spans="2:25">
      <c r="C2032" s="1340" t="str">
        <f>+C$4</f>
        <v>PROJECTED CALENDAR YEAR 2025; FULLY ADJUSTED DATA</v>
      </c>
      <c r="G2032" s="1320"/>
      <c r="L2032" s="1336"/>
      <c r="R2032" s="1324"/>
      <c r="T2032" s="1339"/>
      <c r="Y2032" s="1324"/>
    </row>
    <row r="2033" spans="2:25">
      <c r="C2033" s="1340" t="str">
        <f>+C$5</f>
        <v>MINIMUM DISTRIBUTION SYSTEM (MDS) NOT EMPLOYED</v>
      </c>
      <c r="G2033" s="1320"/>
      <c r="R2033" s="1324"/>
      <c r="T2033" s="1333"/>
      <c r="Y2033" s="1324"/>
    </row>
    <row r="2034" spans="2:25">
      <c r="C2034" s="1340" t="str">
        <f>+C$6</f>
        <v>Tampa Electric 2025 OB Budget</v>
      </c>
      <c r="G2034" s="1333" t="s">
        <v>6112</v>
      </c>
      <c r="L2034" s="1336" t="s">
        <v>6112</v>
      </c>
      <c r="M2034" s="1337"/>
      <c r="N2034" s="1337"/>
      <c r="O2034" s="1337"/>
      <c r="R2034" s="1324"/>
      <c r="T2034" s="1333" t="s">
        <v>6112</v>
      </c>
      <c r="Y2034" s="1324"/>
    </row>
    <row r="2035" spans="2:25">
      <c r="C2035" s="1522"/>
      <c r="G2035" s="1333"/>
      <c r="L2035" s="1336"/>
      <c r="M2035" s="1337"/>
      <c r="N2035" s="1337"/>
      <c r="O2035" s="1337"/>
      <c r="R2035" s="1324"/>
      <c r="Y2035" s="1324"/>
    </row>
    <row r="2036" spans="2:25">
      <c r="G2036" s="1320"/>
      <c r="I2036" s="1527"/>
      <c r="R2036" s="1324"/>
    </row>
    <row r="2037" spans="2:25" ht="27.6">
      <c r="B2037" s="1349" t="s">
        <v>4297</v>
      </c>
      <c r="C2037" s="1349" t="s">
        <v>6113</v>
      </c>
      <c r="D2037" s="1353"/>
      <c r="E2037" s="1355" t="s">
        <v>6114</v>
      </c>
      <c r="F2037" s="1348" t="s">
        <v>5144</v>
      </c>
      <c r="G2037" s="1348" t="s">
        <v>4956</v>
      </c>
      <c r="H2037" s="1348" t="s">
        <v>4957</v>
      </c>
      <c r="I2037" s="1415"/>
      <c r="J2037" s="1352" t="s">
        <v>4957</v>
      </c>
      <c r="K2037" s="1353" t="s">
        <v>1949</v>
      </c>
      <c r="L2037" s="1353" t="s">
        <v>1950</v>
      </c>
      <c r="M2037" s="1354" t="s">
        <v>1934</v>
      </c>
      <c r="N2037" s="1354" t="s">
        <v>1971</v>
      </c>
      <c r="O2037" s="1354" t="s">
        <v>1972</v>
      </c>
      <c r="P2037" s="1352" t="s">
        <v>5146</v>
      </c>
      <c r="Q2037" s="1352" t="s">
        <v>5147</v>
      </c>
      <c r="R2037" s="1360"/>
    </row>
    <row r="2038" spans="2:25">
      <c r="B2038" s="1397"/>
      <c r="C2038" s="1397"/>
      <c r="D2038" s="1360"/>
      <c r="E2038" s="1435"/>
      <c r="F2038" s="1396"/>
      <c r="G2038" s="1396"/>
      <c r="H2038" s="1396"/>
      <c r="I2038" s="1415"/>
      <c r="J2038" s="1399"/>
      <c r="K2038" s="1360"/>
      <c r="L2038" s="1360"/>
      <c r="M2038" s="1361"/>
      <c r="N2038" s="1361"/>
      <c r="O2038" s="1361"/>
      <c r="P2038" s="1399"/>
      <c r="Q2038" s="1399"/>
      <c r="R2038" s="1360"/>
    </row>
    <row r="2039" spans="2:25">
      <c r="B2039" s="1546">
        <v>80</v>
      </c>
      <c r="C2039" s="1393">
        <v>501</v>
      </c>
      <c r="D2039" s="1324" t="s">
        <v>4778</v>
      </c>
      <c r="E2039" s="1344" t="s">
        <v>6125</v>
      </c>
      <c r="F2039" s="1324">
        <f>+SUM(G2039:H2039)</f>
        <v>1480725.49453</v>
      </c>
      <c r="G2039" s="1324">
        <v>0</v>
      </c>
      <c r="H2039" s="1324">
        <f>+J2039</f>
        <v>1480725.49453</v>
      </c>
      <c r="I2039" s="1364"/>
      <c r="J2039" s="1364">
        <f>+SUM(K2039:Q2039)</f>
        <v>1480725.49453</v>
      </c>
      <c r="K2039" s="1326">
        <f>+'0 MDS Functionalized Revenues'!G38</f>
        <v>920603.76834000007</v>
      </c>
      <c r="L2039" s="1326">
        <f>+'0 MDS Functionalized Revenues'!G39</f>
        <v>95214.926359999998</v>
      </c>
      <c r="M2039" s="1326">
        <f>+'0 MDS Functionalized Revenues'!G40</f>
        <v>310482.25785000005</v>
      </c>
      <c r="N2039" s="1326">
        <f>+'0 MDS Functionalized Revenues'!G41</f>
        <v>44352.932979999998</v>
      </c>
      <c r="O2039" s="1326">
        <f>+'0 MDS Functionalized Revenues'!G42</f>
        <v>23795.302800000001</v>
      </c>
      <c r="P2039" s="1326">
        <f>+'0 MDS Functionalized Revenues'!G43</f>
        <v>8901.6767400000099</v>
      </c>
      <c r="Q2039" s="1326">
        <f>+'0 MDS Functionalized Revenues'!G44</f>
        <v>77374.629459999996</v>
      </c>
      <c r="R2039" s="1324"/>
      <c r="S2039" s="1324"/>
      <c r="T2039" s="1324"/>
      <c r="V2039" s="1324" t="s">
        <v>6140</v>
      </c>
    </row>
    <row r="2040" spans="2:25">
      <c r="B2040" s="1546">
        <v>81</v>
      </c>
      <c r="C2040" s="1541">
        <v>501</v>
      </c>
      <c r="D2040" s="1324" t="s">
        <v>6117</v>
      </c>
      <c r="E2040" s="1502" t="s">
        <v>3179</v>
      </c>
      <c r="F2040" s="1374">
        <f>+SUM(G2040:H2040)</f>
        <v>1</v>
      </c>
      <c r="G2040" s="1374">
        <f>+G2039/F2039</f>
        <v>0</v>
      </c>
      <c r="H2040" s="1374">
        <f>+H2039/F2039</f>
        <v>1</v>
      </c>
      <c r="I2040" s="1527"/>
      <c r="J2040" s="1374">
        <f>+SUM(K2040:Q2040)</f>
        <v>1.0000000000000002</v>
      </c>
      <c r="K2040" s="1374">
        <f t="shared" ref="K2040:Q2040" si="818">+K2039/$J2039</f>
        <v>0.62172480432114852</v>
      </c>
      <c r="L2040" s="1374">
        <f t="shared" si="818"/>
        <v>6.4302888490632995E-2</v>
      </c>
      <c r="M2040" s="1374">
        <f t="shared" si="818"/>
        <v>0.20968252319350444</v>
      </c>
      <c r="N2040" s="1374">
        <f t="shared" si="818"/>
        <v>2.9953514776267256E-2</v>
      </c>
      <c r="O2040" s="1374">
        <f t="shared" si="818"/>
        <v>1.6070029784658307E-2</v>
      </c>
      <c r="P2040" s="1374">
        <f t="shared" si="818"/>
        <v>6.01169951681389E-3</v>
      </c>
      <c r="Q2040" s="1374">
        <f t="shared" si="818"/>
        <v>5.2254539916974707E-2</v>
      </c>
      <c r="R2040" s="1374"/>
      <c r="S2040" s="1324"/>
      <c r="T2040" s="1324"/>
      <c r="V2040" s="1324"/>
    </row>
    <row r="2041" spans="2:25">
      <c r="B2041" s="1546">
        <v>82</v>
      </c>
      <c r="C2041" s="1393"/>
      <c r="D2041" s="1324"/>
      <c r="E2041" s="1324"/>
      <c r="F2041" s="1324"/>
      <c r="H2041" s="1324"/>
      <c r="I2041" s="1415"/>
      <c r="M2041" s="1324"/>
      <c r="N2041" s="1324"/>
      <c r="O2041" s="1324"/>
      <c r="R2041" s="1324"/>
      <c r="S2041" s="1324"/>
      <c r="T2041" s="1324"/>
      <c r="V2041" s="1324"/>
    </row>
    <row r="2042" spans="2:25">
      <c r="B2042" s="1546">
        <v>83</v>
      </c>
      <c r="C2042" s="1393">
        <v>507</v>
      </c>
      <c r="D2042" s="1324" t="s">
        <v>4842</v>
      </c>
      <c r="E2042" s="1344" t="s">
        <v>6125</v>
      </c>
      <c r="F2042" s="1324">
        <f>+SUM(G2042:H2042)</f>
        <v>1480725.49453</v>
      </c>
      <c r="G2042" s="1324">
        <v>0</v>
      </c>
      <c r="H2042" s="1324">
        <f>+J2042</f>
        <v>1480725.49453</v>
      </c>
      <c r="I2042" s="1415"/>
      <c r="J2042" s="1364">
        <f>+SUM(K2042:Q2042)</f>
        <v>1480725.49453</v>
      </c>
      <c r="K2042" s="1324">
        <f>+'0 MDS Functionalized Revenues'!G38</f>
        <v>920603.76834000007</v>
      </c>
      <c r="L2042" s="1324">
        <f>+'0 MDS Functionalized Revenues'!G39</f>
        <v>95214.926359999998</v>
      </c>
      <c r="M2042" s="1324">
        <f>+'0 MDS Functionalized Revenues'!G40</f>
        <v>310482.25785000005</v>
      </c>
      <c r="N2042" s="1324">
        <f>+'0 MDS Functionalized Revenues'!G41</f>
        <v>44352.932979999998</v>
      </c>
      <c r="O2042" s="1324">
        <f>+'0 MDS Functionalized Revenues'!G42</f>
        <v>23795.302800000001</v>
      </c>
      <c r="P2042" s="1324">
        <f>+'0 MDS Functionalized Revenues'!G43</f>
        <v>8901.6767400000099</v>
      </c>
      <c r="Q2042" s="1324">
        <f>+'0 MDS Functionalized Revenues'!G44</f>
        <v>77374.629459999996</v>
      </c>
      <c r="R2042" s="1324"/>
      <c r="S2042" s="1324"/>
      <c r="T2042" s="1324"/>
      <c r="V2042" s="1324" t="s">
        <v>6140</v>
      </c>
    </row>
    <row r="2043" spans="2:25">
      <c r="B2043" s="1546">
        <v>84</v>
      </c>
      <c r="C2043" s="1541">
        <v>507</v>
      </c>
      <c r="D2043" s="1324" t="s">
        <v>6117</v>
      </c>
      <c r="E2043" s="1344" t="s">
        <v>3179</v>
      </c>
      <c r="F2043" s="1374">
        <f>+SUM(G2043:H2043)</f>
        <v>1</v>
      </c>
      <c r="G2043" s="1374">
        <f>+G2042/F2042</f>
        <v>0</v>
      </c>
      <c r="H2043" s="1374">
        <f>+H2042/F2042</f>
        <v>1</v>
      </c>
      <c r="I2043" s="1527"/>
      <c r="J2043" s="1374">
        <f>+SUM(K2043:Q2043)</f>
        <v>1.0000000000000002</v>
      </c>
      <c r="K2043" s="1374">
        <f t="shared" ref="K2043:Q2043" si="819">+K2042/$J2042</f>
        <v>0.62172480432114852</v>
      </c>
      <c r="L2043" s="1374">
        <f t="shared" si="819"/>
        <v>6.4302888490632995E-2</v>
      </c>
      <c r="M2043" s="1374">
        <f t="shared" si="819"/>
        <v>0.20968252319350444</v>
      </c>
      <c r="N2043" s="1374">
        <f t="shared" si="819"/>
        <v>2.9953514776267256E-2</v>
      </c>
      <c r="O2043" s="1374">
        <f t="shared" si="819"/>
        <v>1.6070029784658307E-2</v>
      </c>
      <c r="P2043" s="1374">
        <f t="shared" si="819"/>
        <v>6.01169951681389E-3</v>
      </c>
      <c r="Q2043" s="1374">
        <f t="shared" si="819"/>
        <v>5.2254539916974707E-2</v>
      </c>
      <c r="R2043" s="1374"/>
      <c r="S2043" s="1324"/>
      <c r="T2043" s="1324"/>
      <c r="V2043" s="1324"/>
    </row>
    <row r="2044" spans="2:25">
      <c r="B2044" s="1546">
        <v>85</v>
      </c>
      <c r="G2044" s="1320"/>
      <c r="I2044" s="1415"/>
      <c r="M2044" s="1324"/>
      <c r="N2044" s="1324"/>
      <c r="O2044" s="1324"/>
      <c r="R2044" s="1324"/>
    </row>
    <row r="2045" spans="2:25">
      <c r="B2045" s="1546">
        <v>86</v>
      </c>
      <c r="C2045" s="1393">
        <v>508</v>
      </c>
      <c r="D2045" s="1324" t="s">
        <v>4802</v>
      </c>
      <c r="E2045" s="1344" t="s">
        <v>6125</v>
      </c>
      <c r="F2045" s="1410">
        <v>0</v>
      </c>
      <c r="G2045" s="1410">
        <v>0</v>
      </c>
      <c r="H2045" s="1410">
        <v>0</v>
      </c>
      <c r="I2045" s="1415"/>
      <c r="J2045" s="1410">
        <v>0</v>
      </c>
      <c r="K2045" s="1410">
        <v>0</v>
      </c>
      <c r="L2045" s="1410">
        <v>0</v>
      </c>
      <c r="M2045" s="1410">
        <v>0</v>
      </c>
      <c r="N2045" s="1410">
        <v>0</v>
      </c>
      <c r="O2045" s="1410">
        <v>0</v>
      </c>
      <c r="P2045" s="1410">
        <v>0</v>
      </c>
      <c r="Q2045" s="1410">
        <v>0</v>
      </c>
      <c r="R2045" s="1324"/>
      <c r="S2045" s="1365"/>
      <c r="V2045" s="1320" t="s">
        <v>6141</v>
      </c>
    </row>
    <row r="2046" spans="2:25">
      <c r="B2046" s="1546">
        <v>87</v>
      </c>
      <c r="C2046" s="1541">
        <v>508</v>
      </c>
      <c r="D2046" s="1324" t="s">
        <v>6117</v>
      </c>
      <c r="E2046" s="1502" t="s">
        <v>3179</v>
      </c>
      <c r="F2046" s="1374">
        <v>0</v>
      </c>
      <c r="G2046" s="1374">
        <v>0</v>
      </c>
      <c r="H2046" s="1374">
        <v>0</v>
      </c>
      <c r="I2046" s="1527"/>
      <c r="J2046" s="1374">
        <v>0</v>
      </c>
      <c r="K2046" s="1374">
        <v>0</v>
      </c>
      <c r="L2046" s="1374">
        <v>0</v>
      </c>
      <c r="M2046" s="1374">
        <v>0</v>
      </c>
      <c r="N2046" s="1374">
        <v>0</v>
      </c>
      <c r="O2046" s="1374">
        <v>0</v>
      </c>
      <c r="P2046" s="1374">
        <v>0</v>
      </c>
      <c r="Q2046" s="1374">
        <v>0</v>
      </c>
      <c r="R2046" s="1324"/>
    </row>
    <row r="2047" spans="2:25">
      <c r="B2047" s="1546">
        <v>88</v>
      </c>
      <c r="G2047" s="1320"/>
      <c r="I2047" s="1415"/>
      <c r="M2047" s="1324"/>
      <c r="N2047" s="1324"/>
      <c r="O2047" s="1324"/>
      <c r="R2047" s="1324"/>
    </row>
    <row r="2048" spans="2:25" s="1324" customFormat="1">
      <c r="B2048" s="1546">
        <v>89</v>
      </c>
      <c r="C2048" s="1393">
        <v>607</v>
      </c>
      <c r="D2048" s="1324" t="s">
        <v>6142</v>
      </c>
      <c r="E2048" s="1344" t="s">
        <v>6125</v>
      </c>
      <c r="F2048" s="1324">
        <f>SUM(G2048:H2048)</f>
        <v>18434.779543395223</v>
      </c>
      <c r="G2048" s="1324">
        <f>+G266</f>
        <v>0</v>
      </c>
      <c r="H2048" s="1324">
        <f>+H266</f>
        <v>18434.779543395223</v>
      </c>
      <c r="I2048" s="1527"/>
      <c r="J2048" s="1324">
        <f t="shared" ref="J2048:Q2048" si="820">+J254</f>
        <v>18434.779543395223</v>
      </c>
      <c r="K2048" s="1324">
        <f t="shared" si="820"/>
        <v>10347.576807733931</v>
      </c>
      <c r="L2048" s="1324">
        <f t="shared" si="820"/>
        <v>2010.4990872806502</v>
      </c>
      <c r="M2048" s="1324">
        <f t="shared" si="820"/>
        <v>1154.5872404273014</v>
      </c>
      <c r="N2048" s="1324">
        <f t="shared" si="820"/>
        <v>86.7305297325737</v>
      </c>
      <c r="O2048" s="1324">
        <f t="shared" si="820"/>
        <v>94.626648723150709</v>
      </c>
      <c r="P2048" s="1324">
        <f t="shared" si="820"/>
        <v>19.436183385159136</v>
      </c>
      <c r="Q2048" s="1324">
        <f t="shared" si="820"/>
        <v>4721.3230461124567</v>
      </c>
      <c r="V2048" s="1324" t="s">
        <v>6143</v>
      </c>
      <c r="Y2048" s="1320"/>
    </row>
    <row r="2049" spans="2:25" s="1324" customFormat="1">
      <c r="B2049" s="1546">
        <v>90</v>
      </c>
      <c r="C2049" s="1541">
        <v>607</v>
      </c>
      <c r="D2049" s="1324" t="s">
        <v>6117</v>
      </c>
      <c r="E2049" s="1502" t="s">
        <v>3179</v>
      </c>
      <c r="F2049" s="1374">
        <f>SUM(G2049:H2049)</f>
        <v>1</v>
      </c>
      <c r="G2049" s="1374">
        <f>IF($F2048=0,0,G2048/$F2048)</f>
        <v>0</v>
      </c>
      <c r="H2049" s="1374">
        <f>IF($F2048=0,0,H2048/$F2048)</f>
        <v>1</v>
      </c>
      <c r="I2049" s="1527"/>
      <c r="J2049" s="1374">
        <f>SUM(K2049:S2049)</f>
        <v>0.99999999999999989</v>
      </c>
      <c r="K2049" s="1374">
        <f t="shared" ref="K2049:Q2049" si="821">IF($J2048=0,0,K2048/$J2048)</f>
        <v>0.5613073258281106</v>
      </c>
      <c r="L2049" s="1374">
        <f t="shared" si="821"/>
        <v>0.10906011013302125</v>
      </c>
      <c r="M2049" s="1374">
        <f t="shared" si="821"/>
        <v>6.263092204110271E-2</v>
      </c>
      <c r="N2049" s="1374">
        <f t="shared" si="821"/>
        <v>4.7047229140121365E-3</v>
      </c>
      <c r="O2049" s="1374">
        <f>IF($J2048=0,0,O2048/$J2048)</f>
        <v>5.1330501946280863E-3</v>
      </c>
      <c r="P2049" s="1374">
        <f>IF($J2048=0,0,P2048/$J2048)</f>
        <v>1.054321443845131E-3</v>
      </c>
      <c r="Q2049" s="1374">
        <f t="shared" si="821"/>
        <v>0.25610954744528003</v>
      </c>
      <c r="R2049" s="1374"/>
      <c r="S2049" s="1374"/>
    </row>
    <row r="2050" spans="2:25" s="1324" customFormat="1">
      <c r="B2050" s="1546">
        <v>91</v>
      </c>
      <c r="C2050" s="1322"/>
      <c r="D2050" s="1320"/>
      <c r="F2050" s="1320"/>
      <c r="G2050" s="1320"/>
      <c r="H2050" s="1320"/>
      <c r="I2050" s="1527"/>
      <c r="T2050" s="1320"/>
      <c r="V2050" s="1320"/>
    </row>
    <row r="2051" spans="2:25" s="1324" customFormat="1">
      <c r="B2051" s="1546">
        <v>92</v>
      </c>
      <c r="C2051" s="1393">
        <v>907</v>
      </c>
      <c r="D2051" s="1324" t="s">
        <v>6144</v>
      </c>
      <c r="E2051" s="1344" t="s">
        <v>6125</v>
      </c>
      <c r="F2051" s="1324">
        <f>SUM(G2051:H2051)</f>
        <v>830246.67682678136</v>
      </c>
      <c r="G2051" s="1324">
        <f>+G949</f>
        <v>0</v>
      </c>
      <c r="H2051" s="1324">
        <f>+H949</f>
        <v>830246.67682678136</v>
      </c>
      <c r="I2051" s="1527"/>
      <c r="J2051" s="1324">
        <f t="shared" ref="J2051:Q2051" si="822">+J937</f>
        <v>830246.67682678136</v>
      </c>
      <c r="K2051" s="1324">
        <f t="shared" si="822"/>
        <v>306076.01775911805</v>
      </c>
      <c r="L2051" s="1324">
        <f t="shared" si="822"/>
        <v>46427.707430214577</v>
      </c>
      <c r="M2051" s="1324">
        <f t="shared" si="822"/>
        <v>22382.762609359015</v>
      </c>
      <c r="N2051" s="1324">
        <f t="shared" si="822"/>
        <v>1442.907956013079</v>
      </c>
      <c r="O2051" s="1324">
        <f t="shared" si="822"/>
        <v>1574.273150579053</v>
      </c>
      <c r="P2051" s="1324">
        <f t="shared" si="822"/>
        <v>361.31447471625313</v>
      </c>
      <c r="Q2051" s="1324">
        <f t="shared" si="822"/>
        <v>451981.69344678143</v>
      </c>
      <c r="V2051" s="1324" t="s">
        <v>6145</v>
      </c>
      <c r="Y2051" s="1320"/>
    </row>
    <row r="2052" spans="2:25" s="1324" customFormat="1">
      <c r="B2052" s="1546">
        <v>93</v>
      </c>
      <c r="C2052" s="1541">
        <v>907</v>
      </c>
      <c r="D2052" s="1324" t="s">
        <v>6117</v>
      </c>
      <c r="E2052" s="1502" t="s">
        <v>3179</v>
      </c>
      <c r="F2052" s="1374">
        <f>SUM(G2052:H2052)</f>
        <v>1</v>
      </c>
      <c r="G2052" s="1374">
        <f>IF($F2051=0,0,G2051/$F2051)</f>
        <v>0</v>
      </c>
      <c r="H2052" s="1374">
        <f>IF($F2051=0,0,H2051/$F2051)</f>
        <v>1</v>
      </c>
      <c r="I2052" s="1527"/>
      <c r="J2052" s="1374">
        <f>SUM(K2052:S2052)</f>
        <v>1</v>
      </c>
      <c r="K2052" s="1374">
        <f t="shared" ref="K2052:Q2052" si="823">IF($J2051=0,0,K2051/$J2051)</f>
        <v>0.36865672131196769</v>
      </c>
      <c r="L2052" s="1374">
        <f t="shared" si="823"/>
        <v>5.5920377312032324E-2</v>
      </c>
      <c r="M2052" s="1374">
        <f t="shared" si="823"/>
        <v>2.6959171574051175E-2</v>
      </c>
      <c r="N2052" s="1374">
        <f t="shared" si="823"/>
        <v>1.7379268069194816E-3</v>
      </c>
      <c r="O2052" s="1374">
        <f>IF($J2051=0,0,O2051/$J2051)</f>
        <v>1.8961511012557798E-3</v>
      </c>
      <c r="P2052" s="1374">
        <f>IF($J2051=0,0,P2051/$J2051)</f>
        <v>4.3518930554134098E-4</v>
      </c>
      <c r="Q2052" s="1374">
        <f t="shared" si="823"/>
        <v>0.54439446258823232</v>
      </c>
      <c r="R2052" s="1374"/>
      <c r="S2052" s="1374"/>
      <c r="Y2052" s="1320"/>
    </row>
    <row r="2053" spans="2:25">
      <c r="B2053" s="1546">
        <v>94</v>
      </c>
      <c r="G2053" s="1320"/>
      <c r="I2053" s="1527"/>
      <c r="M2053" s="1324"/>
      <c r="P2053" s="1325"/>
      <c r="R2053" s="1324"/>
      <c r="S2053" s="1324"/>
      <c r="Y2053" s="1324"/>
    </row>
    <row r="2054" spans="2:25">
      <c r="B2054" s="1546">
        <v>95</v>
      </c>
      <c r="C2054" s="1322">
        <v>817</v>
      </c>
      <c r="D2054" s="1320" t="s">
        <v>6146</v>
      </c>
      <c r="E2054" s="1344" t="s">
        <v>6115</v>
      </c>
      <c r="F2054" s="1320">
        <f>H2054</f>
        <v>3974499.896269511</v>
      </c>
      <c r="G2054" s="1320">
        <v>0</v>
      </c>
      <c r="H2054" s="1320">
        <f>H1941</f>
        <v>3974499.896269511</v>
      </c>
      <c r="I2054" s="1527"/>
      <c r="J2054" s="1324">
        <f t="shared" ref="J2054:Q2054" si="824">J1944</f>
        <v>3974499.896269511</v>
      </c>
      <c r="K2054" s="1324">
        <f t="shared" si="824"/>
        <v>2305261.7678066748</v>
      </c>
      <c r="L2054" s="1324">
        <f t="shared" si="824"/>
        <v>190160.84369421427</v>
      </c>
      <c r="M2054" s="1324">
        <f t="shared" si="824"/>
        <v>1215602.739280649</v>
      </c>
      <c r="N2054" s="1324">
        <f t="shared" si="824"/>
        <v>151751.88420351513</v>
      </c>
      <c r="O2054" s="1324">
        <f t="shared" si="824"/>
        <v>108904.77023595448</v>
      </c>
      <c r="P2054" s="1324">
        <f t="shared" si="824"/>
        <v>2817.891048503418</v>
      </c>
      <c r="Q2054" s="1324">
        <f t="shared" si="824"/>
        <v>0</v>
      </c>
      <c r="R2054" s="1324"/>
      <c r="S2054" s="1324"/>
      <c r="V2054" s="1320" t="s">
        <v>6147</v>
      </c>
      <c r="Y2054" s="1324"/>
    </row>
    <row r="2055" spans="2:25">
      <c r="B2055" s="1546">
        <v>96</v>
      </c>
      <c r="C2055" s="1541">
        <v>817</v>
      </c>
      <c r="D2055" s="1320" t="s">
        <v>6117</v>
      </c>
      <c r="E2055" s="1344" t="s">
        <v>3179</v>
      </c>
      <c r="F2055" s="1374">
        <f>SUM(G2055:H2055)</f>
        <v>1</v>
      </c>
      <c r="G2055" s="1374">
        <f>IF($F2054=0,0,G2054/$F2054)</f>
        <v>0</v>
      </c>
      <c r="H2055" s="1323">
        <f>H2054/$F$2054</f>
        <v>1</v>
      </c>
      <c r="I2055" s="1527"/>
      <c r="J2055" s="1374">
        <f>SUM(K2055:S2055)</f>
        <v>1</v>
      </c>
      <c r="K2055" s="1374">
        <f>K2054/$J$2054</f>
        <v>0.58001304012371646</v>
      </c>
      <c r="L2055" s="1374">
        <f>L2054/$J$2054</f>
        <v>4.7845225476719815E-2</v>
      </c>
      <c r="M2055" s="1374">
        <f>IF($J2054=0,0,M2054/$J2054)</f>
        <v>0.3058504896230142</v>
      </c>
      <c r="N2055" s="1374">
        <f>N2054/$J$2054</f>
        <v>3.8181378327862163E-2</v>
      </c>
      <c r="O2055" s="1374">
        <f>O2054/$J$2054</f>
        <v>2.7400873840297026E-2</v>
      </c>
      <c r="P2055" s="1374">
        <f>P2054/$J$2054</f>
        <v>7.0899260839038069E-4</v>
      </c>
      <c r="Q2055" s="1374">
        <f>Q2054/$J$2054</f>
        <v>0</v>
      </c>
      <c r="R2055" s="1374"/>
      <c r="S2055" s="1374"/>
      <c r="Y2055" s="1324"/>
    </row>
    <row r="2056" spans="2:25">
      <c r="B2056" s="1546"/>
      <c r="C2056" s="1320"/>
      <c r="G2056" s="1320"/>
      <c r="I2056" s="1527"/>
      <c r="Y2056" s="1324"/>
    </row>
    <row r="2057" spans="2:25" s="1324" customFormat="1">
      <c r="B2057" s="1546"/>
      <c r="I2057" s="1527"/>
    </row>
    <row r="2058" spans="2:25" s="1324" customFormat="1">
      <c r="B2058" s="1546"/>
      <c r="I2058" s="1527"/>
    </row>
    <row r="2059" spans="2:25">
      <c r="B2059" s="1546"/>
      <c r="C2059" s="1320"/>
      <c r="G2059" s="1320"/>
      <c r="I2059" s="1527"/>
      <c r="Y2059" s="1324"/>
    </row>
    <row r="2060" spans="2:25" s="1324" customFormat="1">
      <c r="B2060" s="1546"/>
      <c r="I2060" s="1527"/>
    </row>
    <row r="2061" spans="2:25" s="1324" customFormat="1">
      <c r="B2061" s="1546"/>
      <c r="I2061" s="1527"/>
    </row>
    <row r="2062" spans="2:25">
      <c r="B2062" s="1546"/>
      <c r="C2062" s="1320"/>
      <c r="G2062" s="1320"/>
      <c r="I2062" s="1527"/>
      <c r="Y2062" s="1324"/>
    </row>
    <row r="2063" spans="2:25">
      <c r="B2063" s="1546"/>
      <c r="C2063" s="1320"/>
      <c r="G2063" s="1320"/>
      <c r="I2063" s="1527"/>
      <c r="Y2063" s="1324"/>
    </row>
    <row r="2064" spans="2:25">
      <c r="B2064" s="1546"/>
      <c r="C2064" s="1320"/>
      <c r="G2064" s="1320"/>
      <c r="I2064" s="1527"/>
    </row>
    <row r="2065" spans="2:25">
      <c r="B2065" s="1547"/>
      <c r="G2065" s="1320"/>
      <c r="I2065" s="1527"/>
      <c r="R2065" s="1324"/>
    </row>
    <row r="2066" spans="2:25">
      <c r="C2066" s="1341"/>
      <c r="G2066" s="1320"/>
      <c r="I2066" s="1527"/>
      <c r="R2066" s="1324"/>
      <c r="Y2066" s="1324"/>
    </row>
    <row r="2067" spans="2:25">
      <c r="E2067" s="1339"/>
      <c r="G2067" s="1320"/>
      <c r="I2067" s="1527"/>
      <c r="R2067" s="1324"/>
      <c r="Y2067" s="1324"/>
    </row>
    <row r="2068" spans="2:25">
      <c r="D2068" s="1324"/>
      <c r="E2068" s="1548"/>
      <c r="G2068" s="1320"/>
      <c r="I2068" s="1527"/>
      <c r="M2068" s="1324"/>
      <c r="N2068" s="1324"/>
      <c r="O2068" s="1324"/>
      <c r="R2068" s="1324"/>
    </row>
    <row r="2069" spans="2:25">
      <c r="D2069" s="1548"/>
      <c r="F2069" s="1374"/>
      <c r="G2069" s="1374"/>
      <c r="H2069" s="1323"/>
      <c r="I2069" s="1527"/>
      <c r="M2069" s="1324"/>
      <c r="N2069" s="1324"/>
      <c r="O2069" s="1324"/>
      <c r="R2069" s="1324"/>
    </row>
    <row r="2070" spans="2:25">
      <c r="D2070" s="1548"/>
      <c r="G2070" s="1320"/>
      <c r="I2070" s="1527"/>
      <c r="R2070" s="1324"/>
    </row>
    <row r="2071" spans="2:25">
      <c r="E2071" s="1548"/>
      <c r="G2071" s="1320"/>
      <c r="I2071" s="1527"/>
      <c r="M2071" s="1324"/>
      <c r="N2071" s="1324"/>
      <c r="O2071" s="1324"/>
      <c r="R2071" s="1324"/>
      <c r="V2071" s="1324"/>
    </row>
    <row r="2072" spans="2:25">
      <c r="E2072" s="1548"/>
      <c r="F2072" s="1374"/>
      <c r="G2072" s="1374"/>
      <c r="H2072" s="1323"/>
      <c r="I2072" s="1527"/>
      <c r="J2072" s="1374"/>
      <c r="K2072" s="1374"/>
      <c r="L2072" s="1374"/>
      <c r="M2072" s="1374"/>
      <c r="N2072" s="1374"/>
      <c r="O2072" s="1374"/>
      <c r="P2072" s="1374"/>
      <c r="Q2072" s="1374"/>
      <c r="R2072" s="1324"/>
    </row>
    <row r="2073" spans="2:25">
      <c r="E2073" s="1548"/>
      <c r="G2073" s="1320"/>
      <c r="I2073" s="1527"/>
      <c r="R2073" s="1324"/>
    </row>
    <row r="2074" spans="2:25">
      <c r="E2074" s="1548"/>
      <c r="G2074" s="1320"/>
      <c r="I2074" s="1527"/>
      <c r="M2074" s="1324"/>
      <c r="N2074" s="1324"/>
      <c r="O2074" s="1324"/>
      <c r="R2074" s="1324"/>
      <c r="V2074" s="1324"/>
    </row>
    <row r="2075" spans="2:25">
      <c r="E2075" s="1548"/>
      <c r="F2075" s="1374"/>
      <c r="G2075" s="1374"/>
      <c r="H2075" s="1323"/>
      <c r="I2075" s="1527"/>
      <c r="J2075" s="1374"/>
      <c r="K2075" s="1374"/>
      <c r="L2075" s="1374"/>
      <c r="M2075" s="1374"/>
      <c r="N2075" s="1374"/>
      <c r="O2075" s="1374"/>
      <c r="P2075" s="1374"/>
      <c r="Q2075" s="1374"/>
      <c r="R2075" s="1324"/>
    </row>
    <row r="2076" spans="2:25">
      <c r="E2076" s="1548"/>
      <c r="G2076" s="1320"/>
      <c r="I2076" s="1527"/>
      <c r="R2076" s="1324"/>
    </row>
    <row r="2077" spans="2:25">
      <c r="C2077" s="1320"/>
      <c r="G2077" s="1320"/>
      <c r="I2077" s="1320"/>
      <c r="M2077" s="1324"/>
      <c r="N2077" s="1324"/>
      <c r="O2077" s="1324"/>
      <c r="R2077" s="1324"/>
      <c r="U2077" s="1320"/>
    </row>
    <row r="2078" spans="2:25">
      <c r="C2078" s="1320"/>
      <c r="G2078" s="1320"/>
      <c r="I2078" s="1320"/>
      <c r="M2078" s="1324"/>
      <c r="N2078" s="1324"/>
      <c r="O2078" s="1324"/>
      <c r="R2078" s="1324"/>
      <c r="U2078" s="1320"/>
    </row>
    <row r="2079" spans="2:25">
      <c r="E2079" s="1548"/>
      <c r="G2079" s="1320"/>
      <c r="I2079" s="1527"/>
      <c r="R2079" s="1324"/>
      <c r="Y2079" s="1324"/>
    </row>
    <row r="2080" spans="2:25">
      <c r="C2080" s="1320"/>
      <c r="G2080" s="1320"/>
      <c r="I2080" s="1320"/>
      <c r="M2080" s="1324"/>
      <c r="N2080" s="1324"/>
      <c r="O2080" s="1324"/>
      <c r="R2080" s="1324"/>
      <c r="U2080" s="1320"/>
      <c r="Y2080" s="1324"/>
    </row>
    <row r="2081" spans="3:25">
      <c r="C2081" s="1320"/>
      <c r="G2081" s="1320"/>
      <c r="I2081" s="1320"/>
      <c r="M2081" s="1324"/>
      <c r="N2081" s="1324"/>
      <c r="O2081" s="1324"/>
      <c r="R2081" s="1324"/>
      <c r="U2081" s="1320"/>
      <c r="Y2081" s="1324"/>
    </row>
    <row r="2082" spans="3:25">
      <c r="E2082" s="1548"/>
      <c r="G2082" s="1320"/>
      <c r="I2082" s="1527"/>
      <c r="R2082" s="1324"/>
      <c r="Y2082" s="1324"/>
    </row>
    <row r="2083" spans="3:25">
      <c r="C2083" s="1320"/>
      <c r="G2083" s="1320"/>
      <c r="I2083" s="1320"/>
      <c r="M2083" s="1324"/>
      <c r="N2083" s="1324"/>
      <c r="O2083" s="1324"/>
      <c r="R2083" s="1324"/>
      <c r="U2083" s="1320"/>
      <c r="Y2083" s="1324"/>
    </row>
    <row r="2084" spans="3:25">
      <c r="C2084" s="1320"/>
      <c r="G2084" s="1320"/>
      <c r="I2084" s="1320"/>
      <c r="M2084" s="1324"/>
      <c r="N2084" s="1324"/>
      <c r="O2084" s="1324"/>
      <c r="R2084" s="1324"/>
      <c r="U2084" s="1320"/>
      <c r="Y2084" s="1324"/>
    </row>
    <row r="2085" spans="3:25">
      <c r="G2085" s="1320"/>
      <c r="I2085" s="1527"/>
      <c r="R2085" s="1324"/>
      <c r="Y2085" s="1324"/>
    </row>
    <row r="2086" spans="3:25">
      <c r="G2086" s="1320"/>
      <c r="I2086" s="1527"/>
      <c r="R2086" s="1324"/>
      <c r="Y2086" s="1324"/>
    </row>
    <row r="2087" spans="3:25">
      <c r="G2087" s="1320"/>
      <c r="I2087" s="1527"/>
      <c r="R2087" s="1324"/>
    </row>
    <row r="2088" spans="3:25">
      <c r="G2088" s="1320"/>
      <c r="I2088" s="1527"/>
      <c r="R2088" s="1324"/>
    </row>
    <row r="2089" spans="3:25">
      <c r="G2089" s="1320"/>
      <c r="I2089" s="1527"/>
      <c r="R2089" s="1324"/>
    </row>
    <row r="2090" spans="3:25">
      <c r="G2090" s="1320"/>
      <c r="I2090" s="1527"/>
      <c r="R2090" s="1324"/>
    </row>
    <row r="2091" spans="3:25">
      <c r="G2091" s="1320"/>
      <c r="I2091" s="1527"/>
      <c r="R2091" s="1324"/>
      <c r="Y2091" s="1324"/>
    </row>
    <row r="2092" spans="3:25">
      <c r="I2092" s="1527"/>
      <c r="R2092" s="1324"/>
      <c r="Y2092" s="1324"/>
    </row>
    <row r="2093" spans="3:25">
      <c r="I2093" s="1527"/>
      <c r="R2093" s="1324"/>
      <c r="Y2093" s="1324"/>
    </row>
    <row r="2094" spans="3:25">
      <c r="I2094" s="1527"/>
      <c r="R2094" s="1324"/>
      <c r="Y2094" s="1324"/>
    </row>
    <row r="2095" spans="3:25">
      <c r="I2095" s="1527"/>
      <c r="R2095" s="1324"/>
      <c r="Y2095" s="1324"/>
    </row>
    <row r="2096" spans="3:25">
      <c r="I2096" s="1527"/>
      <c r="R2096" s="1324"/>
      <c r="Y2096" s="1324"/>
    </row>
    <row r="2097" spans="9:25">
      <c r="I2097" s="1527"/>
      <c r="R2097" s="1324"/>
      <c r="Y2097" s="1324"/>
    </row>
    <row r="2098" spans="9:25">
      <c r="I2098" s="1527"/>
      <c r="Y2098" s="1324"/>
    </row>
    <row r="2099" spans="9:25">
      <c r="I2099" s="1527"/>
    </row>
    <row r="2100" spans="9:25">
      <c r="I2100" s="1527"/>
    </row>
    <row r="2101" spans="9:25">
      <c r="I2101" s="1527"/>
    </row>
    <row r="2102" spans="9:25">
      <c r="I2102" s="1527"/>
    </row>
    <row r="2103" spans="9:25">
      <c r="I2103" s="1527"/>
    </row>
    <row r="2104" spans="9:25">
      <c r="I2104" s="1527"/>
    </row>
    <row r="2105" spans="9:25">
      <c r="I2105" s="1527"/>
    </row>
    <row r="2122" hidden="1"/>
    <row r="2123" hidden="1"/>
  </sheetData>
  <mergeCells count="18">
    <mergeCell ref="P621:Q621"/>
    <mergeCell ref="P112:Q112"/>
    <mergeCell ref="P221:Q221"/>
    <mergeCell ref="P282:Q282"/>
    <mergeCell ref="P352:Q352"/>
    <mergeCell ref="P457:Q457"/>
    <mergeCell ref="P1536:Q1536"/>
    <mergeCell ref="P735:Q735"/>
    <mergeCell ref="P796:Q796"/>
    <mergeCell ref="P861:Q861"/>
    <mergeCell ref="P897:Q897"/>
    <mergeCell ref="P965:Q965"/>
    <mergeCell ref="P1029:Q1029"/>
    <mergeCell ref="P1093:Q1093"/>
    <mergeCell ref="P1162:Q1162"/>
    <mergeCell ref="P1223:Q1223"/>
    <mergeCell ref="P1328:Q1328"/>
    <mergeCell ref="P1413:Q1413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theme="9"/>
  </sheetPr>
  <dimension ref="A1:B18"/>
  <sheetViews>
    <sheetView tabSelected="1" showOutlineSymbols="0" workbookViewId="0"/>
  </sheetViews>
  <sheetFormatPr defaultRowHeight="14.4"/>
  <cols>
    <col min="1" max="1" width="67.44140625" bestFit="1" customWidth="1"/>
    <col min="2" max="2" width="42.33203125" bestFit="1" customWidth="1"/>
  </cols>
  <sheetData>
    <row r="1" spans="1:2" ht="25.8">
      <c r="A1" s="1777" t="s">
        <v>9140</v>
      </c>
    </row>
    <row r="2" spans="1:2">
      <c r="A2" s="1775" t="s">
        <v>9478</v>
      </c>
      <c r="B2" t="s">
        <v>9143</v>
      </c>
    </row>
    <row r="3" spans="1:2">
      <c r="A3" s="1775" t="s">
        <v>9356</v>
      </c>
      <c r="B3" t="s">
        <v>9143</v>
      </c>
    </row>
    <row r="4" spans="1:2">
      <c r="A4" s="1775" t="s">
        <v>9357</v>
      </c>
      <c r="B4" t="s">
        <v>9143</v>
      </c>
    </row>
    <row r="5" spans="1:2">
      <c r="A5" s="1776"/>
      <c r="B5" t="s">
        <v>9144</v>
      </c>
    </row>
    <row r="6" spans="1:2">
      <c r="A6" s="1776" t="s">
        <v>9358</v>
      </c>
      <c r="B6" t="s">
        <v>9143</v>
      </c>
    </row>
    <row r="7" spans="1:2" ht="25.8">
      <c r="A7" s="1777" t="s">
        <v>9141</v>
      </c>
    </row>
    <row r="8" spans="1:2">
      <c r="A8" s="1775" t="s">
        <v>9478</v>
      </c>
      <c r="B8" t="s">
        <v>9143</v>
      </c>
    </row>
    <row r="9" spans="1:2">
      <c r="A9" s="1775" t="s">
        <v>9472</v>
      </c>
      <c r="B9" t="s">
        <v>9143</v>
      </c>
    </row>
    <row r="10" spans="1:2">
      <c r="A10" s="1775" t="s">
        <v>9357</v>
      </c>
      <c r="B10" t="s">
        <v>9143</v>
      </c>
    </row>
    <row r="11" spans="1:2">
      <c r="A11" s="1776" t="s">
        <v>9473</v>
      </c>
      <c r="B11" t="s">
        <v>9144</v>
      </c>
    </row>
    <row r="12" spans="1:2">
      <c r="A12" s="1776" t="s">
        <v>9358</v>
      </c>
      <c r="B12" t="s">
        <v>9143</v>
      </c>
    </row>
    <row r="13" spans="1:2" ht="25.8">
      <c r="A13" s="1777" t="s">
        <v>9142</v>
      </c>
    </row>
    <row r="14" spans="1:2">
      <c r="A14" s="1775" t="s">
        <v>8944</v>
      </c>
      <c r="B14" t="s">
        <v>9143</v>
      </c>
    </row>
    <row r="15" spans="1:2">
      <c r="A15" s="1775" t="s">
        <v>8945</v>
      </c>
      <c r="B15" t="s">
        <v>9143</v>
      </c>
    </row>
    <row r="16" spans="1:2">
      <c r="A16" s="1775" t="s">
        <v>8946</v>
      </c>
      <c r="B16" t="s">
        <v>9143</v>
      </c>
    </row>
    <row r="17" spans="1:2">
      <c r="A17" s="1775" t="s">
        <v>8679</v>
      </c>
      <c r="B17" t="s">
        <v>9143</v>
      </c>
    </row>
    <row r="18" spans="1:2">
      <c r="A18" s="1775" t="s">
        <v>9485</v>
      </c>
      <c r="B18" t="s">
        <v>9145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9"/>
  </sheetPr>
  <dimension ref="A1:H2014"/>
  <sheetViews>
    <sheetView tabSelected="1" showOutlineSymbols="0" view="pageBreakPreview" topLeftCell="B1" zoomScale="60" zoomScaleNormal="100" workbookViewId="0"/>
  </sheetViews>
  <sheetFormatPr defaultRowHeight="14.4"/>
  <cols>
    <col min="1" max="1" width="31.88671875" style="1759" hidden="1" customWidth="1"/>
    <col min="2" max="2" width="12.44140625" customWidth="1"/>
    <col min="3" max="3" width="50.6640625" customWidth="1"/>
    <col min="4" max="4" width="20.6640625" customWidth="1"/>
    <col min="5" max="7" width="25.88671875" customWidth="1"/>
    <col min="8" max="8" width="19.5546875" customWidth="1"/>
  </cols>
  <sheetData>
    <row r="1" spans="1:8">
      <c r="A1" s="1751"/>
      <c r="B1" s="1416" t="str">
        <f>+'MFR HEADERS'!A2</f>
        <v>RATES WITH REVENUE DEFICIENCY ADDITION</v>
      </c>
      <c r="C1" s="1324"/>
      <c r="D1" s="1324"/>
      <c r="E1" s="1324"/>
      <c r="F1" s="1329" t="s">
        <v>2173</v>
      </c>
      <c r="G1" s="1324"/>
      <c r="H1" s="1431" t="s">
        <v>4767</v>
      </c>
    </row>
    <row r="2" spans="1:8">
      <c r="A2" s="1751"/>
      <c r="B2" s="1416" t="str">
        <f>+'MFR HEADERS'!A3</f>
        <v xml:space="preserve">PROD. CAP. ALLOC. METHOD: 12 CP </v>
      </c>
      <c r="C2" s="1324"/>
      <c r="D2" s="1324"/>
      <c r="E2" s="1324"/>
      <c r="F2" s="1336" t="s">
        <v>4768</v>
      </c>
      <c r="G2" s="1324"/>
      <c r="H2" s="1731" t="s">
        <v>5140</v>
      </c>
    </row>
    <row r="3" spans="1:8">
      <c r="A3" s="1751"/>
      <c r="B3" s="1416" t="str">
        <f>+'MFR HEADERS'!A4</f>
        <v>PROJECTED CALENDAR YEAR 2025; FULLY ADJUSTED DATA</v>
      </c>
      <c r="C3" s="1324"/>
      <c r="D3" s="1324"/>
      <c r="E3" s="1324"/>
      <c r="F3" s="1336" t="s">
        <v>2181</v>
      </c>
      <c r="G3" s="1324"/>
      <c r="H3" s="1374"/>
    </row>
    <row r="4" spans="1:8">
      <c r="A4" s="1751"/>
      <c r="B4" s="1416">
        <f>+'MFR HEADERS'!A5</f>
        <v>0</v>
      </c>
      <c r="C4" s="1324"/>
      <c r="D4" s="1324"/>
      <c r="E4" s="1324"/>
      <c r="F4" s="1324"/>
      <c r="G4" s="1324"/>
      <c r="H4" s="1374"/>
    </row>
    <row r="5" spans="1:8">
      <c r="A5" s="1751"/>
      <c r="B5" s="1416" t="str">
        <f>+'MFR HEADERS'!A6</f>
        <v>Tampa Electric 2025 OB Budget</v>
      </c>
      <c r="C5" s="1732"/>
      <c r="D5" s="1324"/>
      <c r="E5" s="1324"/>
      <c r="F5" s="1336" t="s">
        <v>3148</v>
      </c>
      <c r="G5" s="1324"/>
      <c r="H5" s="1374"/>
    </row>
    <row r="6" spans="1:8">
      <c r="A6" s="1751"/>
      <c r="B6" s="1734"/>
      <c r="C6" s="1324"/>
      <c r="D6" s="1324"/>
      <c r="E6" s="1324"/>
      <c r="F6" s="1336"/>
      <c r="G6" s="1324"/>
      <c r="H6" s="1374"/>
    </row>
    <row r="7" spans="1:8">
      <c r="A7" s="1751"/>
      <c r="B7" s="1393"/>
      <c r="C7" s="907"/>
      <c r="D7" s="1324"/>
      <c r="E7" s="1324"/>
      <c r="F7" s="1336"/>
      <c r="G7" s="1324"/>
      <c r="H7" s="1374"/>
    </row>
    <row r="8" spans="1:8">
      <c r="A8" s="1751"/>
      <c r="B8" s="1393"/>
      <c r="C8" s="1324"/>
      <c r="D8" s="1324"/>
      <c r="E8" s="1324"/>
      <c r="F8" s="1324"/>
      <c r="G8" s="1324"/>
      <c r="H8" s="1374"/>
    </row>
    <row r="9" spans="1:8">
      <c r="A9" s="1751"/>
      <c r="B9" s="1735"/>
      <c r="C9" s="1324"/>
      <c r="D9" s="1324"/>
      <c r="E9" s="1336"/>
      <c r="F9" s="1344"/>
      <c r="G9" s="1344"/>
      <c r="H9" s="1736"/>
    </row>
    <row r="10" spans="1:8" ht="28.2">
      <c r="A10" s="1756" t="s">
        <v>5143</v>
      </c>
      <c r="B10" s="1737" t="s">
        <v>4297</v>
      </c>
      <c r="C10" s="1366"/>
      <c r="D10" s="1366"/>
      <c r="E10" s="1352" t="s">
        <v>5144</v>
      </c>
      <c r="F10" s="1352" t="s">
        <v>4956</v>
      </c>
      <c r="G10" s="1352" t="s">
        <v>4957</v>
      </c>
      <c r="H10" s="1738" t="s">
        <v>5145</v>
      </c>
    </row>
    <row r="11" spans="1:8">
      <c r="A11" s="1757"/>
      <c r="B11" s="1739"/>
      <c r="C11" s="1364"/>
      <c r="D11" s="1364"/>
      <c r="E11" s="1360"/>
      <c r="F11" s="1360"/>
      <c r="G11" s="1360"/>
      <c r="H11" s="1740"/>
    </row>
    <row r="12" spans="1:8">
      <c r="A12" s="1751"/>
      <c r="B12" s="1393">
        <v>1</v>
      </c>
      <c r="C12" s="1362" t="s">
        <v>5149</v>
      </c>
      <c r="D12" s="1344"/>
      <c r="E12" s="1324"/>
      <c r="F12" s="1324"/>
      <c r="G12" s="1324"/>
      <c r="H12" s="1374"/>
    </row>
    <row r="13" spans="1:8">
      <c r="A13" s="1751"/>
      <c r="B13" s="1393">
        <v>2</v>
      </c>
      <c r="C13" s="1324" t="s">
        <v>4776</v>
      </c>
      <c r="D13" s="1373"/>
      <c r="E13" s="1364">
        <f>+IF(ISBLANK(REPORTS!F14),"",REPORTS!F14)</f>
        <v>1782281.2948316957</v>
      </c>
      <c r="F13" s="1364">
        <f>+IF(ISBLANK(REPORTS!G14),"",REPORTS!G14)</f>
        <v>7929.0305824175994</v>
      </c>
      <c r="G13" s="1364">
        <f>+IF(ISBLANK(REPORTS!H14),"",REPORTS!H14)</f>
        <v>1774352.2642492782</v>
      </c>
      <c r="H13" s="1374">
        <f>+IF(ISBLANK(REPORTS!I14),"",REPORTS!I14)</f>
        <v>0.99555119014859761</v>
      </c>
    </row>
    <row r="14" spans="1:8">
      <c r="A14" s="1751"/>
      <c r="B14" s="1393">
        <v>3</v>
      </c>
      <c r="C14" s="1324" t="s">
        <v>5151</v>
      </c>
      <c r="D14" s="1373"/>
      <c r="E14" s="1366">
        <f>+IF(ISBLANK(REPORTS!F15),"",REPORTS!F15)</f>
        <v>40811.65069322077</v>
      </c>
      <c r="F14" s="1366">
        <f>+IF(ISBLANK(REPORTS!G15),"",REPORTS!G15)</f>
        <v>82.264246588621972</v>
      </c>
      <c r="G14" s="1366">
        <f>+IF(ISBLANK(REPORTS!H15),"",REPORTS!H15)</f>
        <v>40729.386446632147</v>
      </c>
      <c r="H14" s="1374">
        <f>+IF(ISBLANK(REPORTS!I15),"",REPORTS!I15)</f>
        <v>0.9979842950434179</v>
      </c>
    </row>
    <row r="15" spans="1:8">
      <c r="A15" s="1751"/>
      <c r="B15" s="1393">
        <v>4</v>
      </c>
      <c r="C15" s="1324"/>
      <c r="D15" s="1373"/>
      <c r="E15" s="1364" t="str">
        <f>+IF(ISBLANK(REPORTS!F16),"",REPORTS!F16)</f>
        <v/>
      </c>
      <c r="F15" s="1364" t="str">
        <f>+IF(ISBLANK(REPORTS!G16),"",REPORTS!G16)</f>
        <v/>
      </c>
      <c r="G15" s="1364" t="str">
        <f>+IF(ISBLANK(REPORTS!H16),"",REPORTS!H16)</f>
        <v/>
      </c>
      <c r="H15" s="1374" t="str">
        <f>+IF(ISBLANK(REPORTS!I16),"",REPORTS!I16)</f>
        <v/>
      </c>
    </row>
    <row r="16" spans="1:8">
      <c r="A16" s="1751"/>
      <c r="B16" s="1393">
        <v>5</v>
      </c>
      <c r="C16" s="1324" t="s">
        <v>5153</v>
      </c>
      <c r="D16" s="1373"/>
      <c r="E16" s="1364">
        <f>+IF(ISBLANK(REPORTS!F17),"",REPORTS!F17)</f>
        <v>1823092.9455249165</v>
      </c>
      <c r="F16" s="1364">
        <f>+IF(ISBLANK(REPORTS!G17),"",REPORTS!G17)</f>
        <v>8011.2948290062213</v>
      </c>
      <c r="G16" s="1364">
        <f>+IF(ISBLANK(REPORTS!H17),"",REPORTS!H17)</f>
        <v>1815081.6506959104</v>
      </c>
      <c r="H16" s="1374" t="str">
        <f>+IF(ISBLANK(REPORTS!I17),"",REPORTS!I17)</f>
        <v/>
      </c>
    </row>
    <row r="17" spans="1:8">
      <c r="A17" s="1751"/>
      <c r="B17" s="1393">
        <v>6</v>
      </c>
      <c r="C17" s="1324"/>
      <c r="D17" s="1344"/>
      <c r="E17" s="1324" t="str">
        <f>+IF(ISBLANK(REPORTS!F18),"",REPORTS!F18)</f>
        <v/>
      </c>
      <c r="F17" s="1324" t="str">
        <f>+IF(ISBLANK(REPORTS!G18),"",REPORTS!G18)</f>
        <v/>
      </c>
      <c r="G17" s="1324" t="str">
        <f>+IF(ISBLANK(REPORTS!H18),"",REPORTS!H18)</f>
        <v/>
      </c>
      <c r="H17" s="1374" t="str">
        <f>+IF(ISBLANK(REPORTS!I18),"",REPORTS!I18)</f>
        <v/>
      </c>
    </row>
    <row r="18" spans="1:8">
      <c r="A18" s="1751"/>
      <c r="B18" s="1393">
        <v>7</v>
      </c>
      <c r="C18" s="1324"/>
      <c r="D18" s="1344"/>
      <c r="E18" s="1324" t="str">
        <f>+IF(ISBLANK(REPORTS!F19),"",REPORTS!F19)</f>
        <v/>
      </c>
      <c r="F18" s="1324" t="str">
        <f>+IF(ISBLANK(REPORTS!G19),"",REPORTS!G19)</f>
        <v/>
      </c>
      <c r="G18" s="1324" t="str">
        <f>+IF(ISBLANK(REPORTS!H19),"",REPORTS!H19)</f>
        <v/>
      </c>
      <c r="H18" s="1374" t="str">
        <f>+IF(ISBLANK(REPORTS!I19),"",REPORTS!I19)</f>
        <v/>
      </c>
    </row>
    <row r="19" spans="1:8">
      <c r="A19" s="1758"/>
      <c r="B19" s="1393">
        <v>8</v>
      </c>
      <c r="C19" s="1362" t="s">
        <v>5155</v>
      </c>
      <c r="D19" s="1344"/>
      <c r="E19" s="1324" t="str">
        <f>+IF(ISBLANK(REPORTS!F20),"",REPORTS!F20)</f>
        <v/>
      </c>
      <c r="F19" s="1324" t="str">
        <f>+IF(ISBLANK(REPORTS!G20),"",REPORTS!G20)</f>
        <v/>
      </c>
      <c r="G19" s="1324" t="str">
        <f>+IF(ISBLANK(REPORTS!H20),"",REPORTS!H20)</f>
        <v/>
      </c>
      <c r="H19" s="1374" t="str">
        <f>+IF(ISBLANK(REPORTS!I20),"",REPORTS!I20)</f>
        <v/>
      </c>
    </row>
    <row r="20" spans="1:8">
      <c r="A20" s="1751"/>
      <c r="B20" s="1393">
        <v>9</v>
      </c>
      <c r="C20" s="1324" t="s">
        <v>5156</v>
      </c>
      <c r="D20" s="1373"/>
      <c r="E20" s="1324">
        <f>+IF(ISBLANK(REPORTS!F21),"",REPORTS!F21)</f>
        <v>626.46090775325297</v>
      </c>
      <c r="F20" s="1324">
        <f>+IF(ISBLANK(REPORTS!G21),"",REPORTS!G21)</f>
        <v>0</v>
      </c>
      <c r="G20" s="1324">
        <f>+IF(ISBLANK(REPORTS!H21),"",REPORTS!H21)</f>
        <v>626.46090775325297</v>
      </c>
      <c r="H20" s="1374">
        <f>+IF(ISBLANK(REPORTS!I21),"",REPORTS!I21)</f>
        <v>1</v>
      </c>
    </row>
    <row r="21" spans="1:8">
      <c r="A21" s="1751"/>
      <c r="B21" s="1393">
        <v>10</v>
      </c>
      <c r="C21" s="1324" t="s">
        <v>5158</v>
      </c>
      <c r="D21" s="1373"/>
      <c r="E21" s="1324">
        <f>+IF(ISBLANK(REPORTS!F22),"",REPORTS!F22)</f>
        <v>393467.81005182274</v>
      </c>
      <c r="F21" s="1324">
        <f>+IF(ISBLANK(REPORTS!G22),"",REPORTS!G22)</f>
        <v>1696.7046513136961</v>
      </c>
      <c r="G21" s="1324">
        <f>+IF(ISBLANK(REPORTS!H22),"",REPORTS!H22)</f>
        <v>391771.10540050903</v>
      </c>
      <c r="H21" s="1374">
        <f>+IF(ISBLANK(REPORTS!I22),"",REPORTS!I22)</f>
        <v>0.99568781839843457</v>
      </c>
    </row>
    <row r="22" spans="1:8">
      <c r="A22" s="1751"/>
      <c r="B22" s="1393">
        <v>11</v>
      </c>
      <c r="C22" s="1324" t="s">
        <v>5160</v>
      </c>
      <c r="D22" s="1373"/>
      <c r="E22" s="1324">
        <f>+IF(ISBLANK(REPORTS!F23),"",REPORTS!F23)</f>
        <v>533874.20787373558</v>
      </c>
      <c r="F22" s="1324">
        <f>+IF(ISBLANK(REPORTS!G23),"",REPORTS!G23)</f>
        <v>2438.1304602066384</v>
      </c>
      <c r="G22" s="1324">
        <f>+IF(ISBLANK(REPORTS!H23),"",REPORTS!H23)</f>
        <v>531436.07741352892</v>
      </c>
      <c r="H22" s="1374">
        <f>+IF(ISBLANK(REPORTS!I23),"",REPORTS!I23)</f>
        <v>0.99543313682465195</v>
      </c>
    </row>
    <row r="23" spans="1:8">
      <c r="A23" s="1751"/>
      <c r="B23" s="1393">
        <v>12</v>
      </c>
      <c r="C23" s="1324" t="s">
        <v>5162</v>
      </c>
      <c r="D23" s="1373"/>
      <c r="E23" s="1324">
        <f>+IF(ISBLANK(REPORTS!F24),"",REPORTS!F24)</f>
        <v>102154.43774323718</v>
      </c>
      <c r="F23" s="1324">
        <f>+IF(ISBLANK(REPORTS!G24),"",REPORTS!G24)</f>
        <v>561.95570653723053</v>
      </c>
      <c r="G23" s="1324">
        <f>+IF(ISBLANK(REPORTS!H24),"",REPORTS!H24)</f>
        <v>101592.48203669996</v>
      </c>
      <c r="H23" s="1374">
        <f>+IF(ISBLANK(REPORTS!I24),"",REPORTS!I24)</f>
        <v>0.99449895942896105</v>
      </c>
    </row>
    <row r="24" spans="1:8">
      <c r="A24" s="1751"/>
      <c r="B24" s="1393">
        <v>13</v>
      </c>
      <c r="C24" s="1324" t="s">
        <v>5164</v>
      </c>
      <c r="D24" s="1373"/>
      <c r="E24" s="1324">
        <f>+IF(ISBLANK(REPORTS!F25),"",REPORTS!F25)</f>
        <v>67414.930018134939</v>
      </c>
      <c r="F24" s="1324">
        <f>+IF(ISBLANK(REPORTS!G25),"",REPORTS!G25)</f>
        <v>354.5671908193217</v>
      </c>
      <c r="G24" s="1324">
        <f>+IF(ISBLANK(REPORTS!H25),"",REPORTS!H25)</f>
        <v>67060.343142276222</v>
      </c>
      <c r="H24" s="1374">
        <f>+IF(ISBLANK(REPORTS!I25),"",REPORTS!I25)</f>
        <v>0.99474023223396757</v>
      </c>
    </row>
    <row r="25" spans="1:8">
      <c r="A25" s="1751"/>
      <c r="B25" s="1393">
        <v>14</v>
      </c>
      <c r="C25" s="1324" t="s">
        <v>5166</v>
      </c>
      <c r="D25" s="1373"/>
      <c r="E25" s="1324">
        <f>+IF(ISBLANK(REPORTS!F26),"",REPORTS!F26)</f>
        <v>0</v>
      </c>
      <c r="F25" s="1324">
        <f>+IF(ISBLANK(REPORTS!G26),"",REPORTS!G26)</f>
        <v>0</v>
      </c>
      <c r="G25" s="1366">
        <f>+IF(ISBLANK(REPORTS!H26),"",REPORTS!H26)</f>
        <v>0</v>
      </c>
      <c r="H25" s="1374">
        <f>+IF(ISBLANK(REPORTS!I26),"",REPORTS!I26)</f>
        <v>0</v>
      </c>
    </row>
    <row r="26" spans="1:8">
      <c r="A26" s="1751"/>
      <c r="B26" s="1393">
        <v>15</v>
      </c>
      <c r="C26" s="1324"/>
      <c r="D26" s="1324"/>
      <c r="E26" s="1375" t="str">
        <f>+IF(ISBLANK(REPORTS!F27),"",REPORTS!F27)</f>
        <v/>
      </c>
      <c r="F26" s="1375" t="str">
        <f>+IF(ISBLANK(REPORTS!G27),"",REPORTS!G27)</f>
        <v/>
      </c>
      <c r="G26" s="1364" t="str">
        <f>+IF(ISBLANK(REPORTS!H27),"",REPORTS!H27)</f>
        <v/>
      </c>
      <c r="H26" s="1374" t="str">
        <f>+IF(ISBLANK(REPORTS!I27),"",REPORTS!I27)</f>
        <v/>
      </c>
    </row>
    <row r="27" spans="1:8">
      <c r="A27" s="1751"/>
      <c r="B27" s="1393">
        <v>16</v>
      </c>
      <c r="C27" s="1324" t="s">
        <v>5168</v>
      </c>
      <c r="D27" s="1373"/>
      <c r="E27" s="1366">
        <f>+IF(ISBLANK(REPORTS!F28),"",REPORTS!F28)</f>
        <v>1097537.8465946836</v>
      </c>
      <c r="F27" s="1366">
        <f>+IF(ISBLANK(REPORTS!G28),"",REPORTS!G28)</f>
        <v>5051.3580088768867</v>
      </c>
      <c r="G27" s="1366">
        <f>+IF(ISBLANK(REPORTS!H28),"",REPORTS!H28)</f>
        <v>1092486.4689007674</v>
      </c>
      <c r="H27" s="1374">
        <f>+IF(ISBLANK(REPORTS!I28),"",REPORTS!I28)</f>
        <v>0.99539753666847197</v>
      </c>
    </row>
    <row r="28" spans="1:8">
      <c r="A28" s="1751"/>
      <c r="B28" s="1393">
        <v>17</v>
      </c>
      <c r="C28" s="1324"/>
      <c r="D28" s="1373"/>
      <c r="E28" s="1364" t="str">
        <f>+IF(ISBLANK(REPORTS!F29),"",REPORTS!F29)</f>
        <v/>
      </c>
      <c r="F28" s="1364" t="str">
        <f>+IF(ISBLANK(REPORTS!G29),"",REPORTS!G29)</f>
        <v/>
      </c>
      <c r="G28" s="1364" t="str">
        <f>+IF(ISBLANK(REPORTS!H29),"",REPORTS!H29)</f>
        <v/>
      </c>
      <c r="H28" s="1440" t="str">
        <f>+IF(ISBLANK(REPORTS!I29),"",REPORTS!I29)</f>
        <v/>
      </c>
    </row>
    <row r="29" spans="1:8">
      <c r="A29" s="1751"/>
      <c r="B29" s="1393">
        <v>18</v>
      </c>
      <c r="C29" s="1324"/>
      <c r="D29" s="1373"/>
      <c r="E29" s="1364" t="str">
        <f>+IF(ISBLANK(REPORTS!F30),"",REPORTS!F30)</f>
        <v/>
      </c>
      <c r="F29" s="1364" t="str">
        <f>+IF(ISBLANK(REPORTS!G30),"",REPORTS!G30)</f>
        <v/>
      </c>
      <c r="G29" s="1364" t="str">
        <f>+IF(ISBLANK(REPORTS!H30),"",REPORTS!H30)</f>
        <v/>
      </c>
      <c r="H29" s="1440" t="str">
        <f>+IF(ISBLANK(REPORTS!I30),"",REPORTS!I30)</f>
        <v/>
      </c>
    </row>
    <row r="30" spans="1:8" ht="15" thickBot="1">
      <c r="A30" s="1751"/>
      <c r="B30" s="1393">
        <v>19</v>
      </c>
      <c r="C30" s="1324" t="s">
        <v>5170</v>
      </c>
      <c r="D30" s="1373"/>
      <c r="E30" s="1324">
        <f>+IF(ISBLANK(REPORTS!F31),"",REPORTS!F31)</f>
        <v>725555.09893023293</v>
      </c>
      <c r="F30" s="1324">
        <f>+IF(ISBLANK(REPORTS!G31),"",REPORTS!G31)</f>
        <v>2959.9368201293346</v>
      </c>
      <c r="G30" s="1324">
        <f>+IF(ISBLANK(REPORTS!H31),"",REPORTS!H31)</f>
        <v>722595.18179514306</v>
      </c>
      <c r="H30" s="1374">
        <f>+IF(ISBLANK(REPORTS!I31),"",REPORTS!I31)</f>
        <v>0.99592047917593851</v>
      </c>
    </row>
    <row r="31" spans="1:8" ht="15" thickTop="1">
      <c r="A31" s="1751"/>
      <c r="B31" s="1393">
        <v>20</v>
      </c>
      <c r="C31" s="1324"/>
      <c r="D31" s="1324"/>
      <c r="E31" s="1381" t="str">
        <f>+IF(ISBLANK(REPORTS!F32),"",REPORTS!F32)</f>
        <v/>
      </c>
      <c r="F31" s="1381" t="str">
        <f>+IF(ISBLANK(REPORTS!G32),"",REPORTS!G32)</f>
        <v/>
      </c>
      <c r="G31" s="1381" t="str">
        <f>+IF(ISBLANK(REPORTS!H32),"",REPORTS!H32)</f>
        <v/>
      </c>
      <c r="H31" s="1374" t="str">
        <f>+IF(ISBLANK(REPORTS!I32),"",REPORTS!I32)</f>
        <v/>
      </c>
    </row>
    <row r="32" spans="1:8">
      <c r="A32" s="1751"/>
      <c r="B32" s="1393">
        <v>21</v>
      </c>
      <c r="C32" s="1324"/>
      <c r="D32" s="1344"/>
      <c r="E32" s="1411" t="str">
        <f>+IF(ISBLANK(REPORTS!F33),"",REPORTS!F33)</f>
        <v/>
      </c>
      <c r="F32" s="1324" t="str">
        <f>+IF(ISBLANK(REPORTS!G33),"",REPORTS!G33)</f>
        <v/>
      </c>
      <c r="G32" s="1324" t="str">
        <f>+IF(ISBLANK(REPORTS!H33),"",REPORTS!H33)</f>
        <v/>
      </c>
      <c r="H32" s="1374" t="str">
        <f>+IF(ISBLANK(REPORTS!I33),"",REPORTS!I33)</f>
        <v/>
      </c>
    </row>
    <row r="33" spans="1:8">
      <c r="A33" s="1751"/>
      <c r="B33" s="1393">
        <v>22</v>
      </c>
      <c r="C33" s="1362" t="s">
        <v>2305</v>
      </c>
      <c r="D33" s="1344"/>
      <c r="E33" s="1324" t="str">
        <f>+IF(ISBLANK(REPORTS!F34),"",REPORTS!F34)</f>
        <v/>
      </c>
      <c r="F33" s="1324" t="str">
        <f>+IF(ISBLANK(REPORTS!G34),"",REPORTS!G34)</f>
        <v/>
      </c>
      <c r="G33" s="1324" t="str">
        <f>+IF(ISBLANK(REPORTS!H34),"",REPORTS!H34)</f>
        <v/>
      </c>
      <c r="H33" s="1374" t="str">
        <f>+IF(ISBLANK(REPORTS!I34),"",REPORTS!I34)</f>
        <v/>
      </c>
    </row>
    <row r="34" spans="1:8">
      <c r="A34" s="1751"/>
      <c r="B34" s="1393">
        <v>23</v>
      </c>
      <c r="C34" s="1324" t="s">
        <v>5172</v>
      </c>
      <c r="D34" s="1324"/>
      <c r="E34" s="1324">
        <f>+IF(ISBLANK(REPORTS!F35),"",REPORTS!F35)</f>
        <v>13492110.214790912</v>
      </c>
      <c r="F34" s="1324">
        <f>+IF(ISBLANK(REPORTS!G35),"",REPORTS!G35)</f>
        <v>74031.718711794587</v>
      </c>
      <c r="G34" s="1324">
        <f>+IF(ISBLANK(REPORTS!H35),"",REPORTS!H35)</f>
        <v>13418078.496079115</v>
      </c>
      <c r="H34" s="1374">
        <f>+IF(ISBLANK(REPORTS!I35),"",REPORTS!I35)</f>
        <v>0.99451296220285546</v>
      </c>
    </row>
    <row r="35" spans="1:8">
      <c r="A35" s="1751"/>
      <c r="B35" s="1393">
        <v>24</v>
      </c>
      <c r="C35" s="1324" t="s">
        <v>5174</v>
      </c>
      <c r="D35" s="1324"/>
      <c r="E35" s="1324">
        <f>+IF(ISBLANK(REPORTS!F36),"",REPORTS!F36)</f>
        <v>69494.543000000005</v>
      </c>
      <c r="F35" s="1324">
        <f>+IF(ISBLANK(REPORTS!G36),"",REPORTS!G36)</f>
        <v>1460.9831868422684</v>
      </c>
      <c r="G35" s="1324">
        <f>+IF(ISBLANK(REPORTS!H36),"",REPORTS!H36)</f>
        <v>68033.559813157728</v>
      </c>
      <c r="H35" s="1374">
        <f>+IF(ISBLANK(REPORTS!I36),"",REPORTS!I36)</f>
        <v>0.97897700849918134</v>
      </c>
    </row>
    <row r="36" spans="1:8">
      <c r="A36" s="1751"/>
      <c r="B36" s="1393">
        <v>25</v>
      </c>
      <c r="C36" s="1324" t="s">
        <v>5176</v>
      </c>
      <c r="D36" s="1324"/>
      <c r="E36" s="1324">
        <f>+IF(ISBLANK(REPORTS!F37),"",REPORTS!F37)</f>
        <v>86969.811518665971</v>
      </c>
      <c r="F36" s="1324">
        <f>+IF(ISBLANK(REPORTS!G37),"",REPORTS!G37)</f>
        <v>299.29182373394633</v>
      </c>
      <c r="G36" s="1324">
        <f>+IF(ISBLANK(REPORTS!H37),"",REPORTS!H37)</f>
        <v>86670.519694932023</v>
      </c>
      <c r="H36" s="1374">
        <f>+IF(ISBLANK(REPORTS!I37),"",REPORTS!I37)</f>
        <v>0.99655866997400921</v>
      </c>
    </row>
    <row r="37" spans="1:8">
      <c r="A37" s="1751"/>
      <c r="B37" s="1393">
        <v>26</v>
      </c>
      <c r="C37" s="1324" t="s">
        <v>5178</v>
      </c>
      <c r="D37" s="1324"/>
      <c r="E37" s="1324">
        <f>+IF(ISBLANK(REPORTS!F38),"",REPORTS!F38)</f>
        <v>231613.9264123078</v>
      </c>
      <c r="F37" s="1324">
        <f>+IF(ISBLANK(REPORTS!G38),"",REPORTS!G38)</f>
        <v>1439.1026842580379</v>
      </c>
      <c r="G37" s="1324">
        <f>+IF(ISBLANK(REPORTS!H38),"",REPORTS!H38)</f>
        <v>230174.82372804979</v>
      </c>
      <c r="H37" s="1374">
        <f>+IF(ISBLANK(REPORTS!I38),"",REPORTS!I38)</f>
        <v>0.99378663145800572</v>
      </c>
    </row>
    <row r="38" spans="1:8">
      <c r="A38" s="1751"/>
      <c r="B38" s="1393">
        <v>27</v>
      </c>
      <c r="C38" s="1324" t="s">
        <v>5180</v>
      </c>
      <c r="D38" s="1324"/>
      <c r="E38" s="1366">
        <f>+IF(ISBLANK(REPORTS!F39),"",REPORTS!F39)</f>
        <v>4023596.4966630763</v>
      </c>
      <c r="F38" s="1366">
        <f>+IF(ISBLANK(REPORTS!G39),"",REPORTS!G39)</f>
        <v>18789.439490788645</v>
      </c>
      <c r="G38" s="1366">
        <f>+IF(ISBLANK(REPORTS!H39),"",REPORTS!H39)</f>
        <v>4004807.0571722877</v>
      </c>
      <c r="H38" s="1374">
        <f>+IF(ISBLANK(REPORTS!I39),"",REPORTS!I39)</f>
        <v>0.99533018792854322</v>
      </c>
    </row>
    <row r="39" spans="1:8">
      <c r="A39" s="1751"/>
      <c r="B39" s="1393">
        <v>28</v>
      </c>
      <c r="C39" s="1324"/>
      <c r="D39" s="1344"/>
      <c r="E39" s="1375" t="str">
        <f>+IF(ISBLANK(REPORTS!F40),"",REPORTS!F40)</f>
        <v/>
      </c>
      <c r="F39" s="1375" t="str">
        <f>+IF(ISBLANK(REPORTS!G40),"",REPORTS!G40)</f>
        <v/>
      </c>
      <c r="G39" s="1375" t="str">
        <f>+IF(ISBLANK(REPORTS!H40),"",REPORTS!H40)</f>
        <v/>
      </c>
      <c r="H39" s="1374" t="str">
        <f>+IF(ISBLANK(REPORTS!I40),"",REPORTS!I40)</f>
        <v/>
      </c>
    </row>
    <row r="40" spans="1:8">
      <c r="A40" s="1751"/>
      <c r="B40" s="1393">
        <v>29</v>
      </c>
      <c r="C40" s="1324" t="s">
        <v>5182</v>
      </c>
      <c r="D40" s="1344"/>
      <c r="E40" s="1324">
        <f>+IF(ISBLANK(REPORTS!F41),"",REPORTS!F41)</f>
        <v>9856591.9990588091</v>
      </c>
      <c r="F40" s="1324">
        <f>+IF(ISBLANK(REPORTS!G41),"",REPORTS!G41)</f>
        <v>58441.656915840184</v>
      </c>
      <c r="G40" s="1324">
        <f>+IF(ISBLANK(REPORTS!H41),"",REPORTS!H41)</f>
        <v>9798150.3421429675</v>
      </c>
      <c r="H40" s="1374">
        <f>+IF(ISBLANK(REPORTS!I41),"",REPORTS!I41)</f>
        <v>0.99407080490686617</v>
      </c>
    </row>
    <row r="62" spans="1:8">
      <c r="A62" s="1751"/>
      <c r="B62" s="1416" t="str">
        <f>+$B$1</f>
        <v>RATES WITH REVENUE DEFICIENCY ADDITION</v>
      </c>
      <c r="C62" s="1324"/>
      <c r="D62" s="1324"/>
      <c r="E62" s="1336"/>
      <c r="F62" s="1329" t="s">
        <v>2173</v>
      </c>
      <c r="G62" s="1324"/>
      <c r="H62" s="1334" t="s">
        <v>4851</v>
      </c>
    </row>
    <row r="63" spans="1:8">
      <c r="A63" s="1751"/>
      <c r="B63" s="1416" t="str">
        <f>+$B$2</f>
        <v xml:space="preserve">PROD. CAP. ALLOC. METHOD: 12 CP </v>
      </c>
      <c r="C63" s="1324"/>
      <c r="D63" s="1324"/>
      <c r="E63" s="1324"/>
      <c r="F63" s="1336" t="s">
        <v>4768</v>
      </c>
      <c r="G63" s="1324"/>
      <c r="H63" s="1731" t="s">
        <v>5189</v>
      </c>
    </row>
    <row r="64" spans="1:8">
      <c r="A64" s="1751"/>
      <c r="B64" s="1416" t="str">
        <f>+$B$3</f>
        <v>PROJECTED CALENDAR YEAR 2025; FULLY ADJUSTED DATA</v>
      </c>
      <c r="C64" s="1324"/>
      <c r="D64" s="1324"/>
      <c r="E64" s="1324"/>
      <c r="F64" s="1336" t="s">
        <v>2181</v>
      </c>
      <c r="G64" s="1324"/>
      <c r="H64" s="1374"/>
    </row>
    <row r="65" spans="1:8">
      <c r="A65" s="1751"/>
      <c r="B65" s="1732">
        <f>+$B$4</f>
        <v>0</v>
      </c>
      <c r="C65" s="1324"/>
      <c r="D65" s="1324"/>
      <c r="E65" s="1324"/>
      <c r="F65" s="1324"/>
      <c r="G65" s="1324"/>
      <c r="H65" s="1374"/>
    </row>
    <row r="66" spans="1:8">
      <c r="A66" s="1751"/>
      <c r="B66" s="1732" t="str">
        <f>+$B$5</f>
        <v>Tampa Electric 2025 OB Budget</v>
      </c>
      <c r="C66" s="1364"/>
      <c r="D66" s="1324"/>
      <c r="E66" s="1329"/>
      <c r="F66" s="1336" t="s">
        <v>5221</v>
      </c>
      <c r="G66" s="1324"/>
      <c r="H66" s="1374"/>
    </row>
    <row r="67" spans="1:8">
      <c r="A67" s="1751"/>
      <c r="B67" s="1393"/>
      <c r="C67" s="1324"/>
      <c r="D67" s="1324"/>
      <c r="E67" s="1336"/>
      <c r="F67" s="1324"/>
      <c r="G67" s="1324"/>
      <c r="H67" s="1374"/>
    </row>
    <row r="68" spans="1:8">
      <c r="A68" s="1751"/>
      <c r="B68" s="1393"/>
      <c r="C68" s="1324"/>
      <c r="D68" s="1324"/>
      <c r="E68" s="1336"/>
      <c r="F68" s="1324"/>
      <c r="G68" s="1324"/>
      <c r="H68" s="1374"/>
    </row>
    <row r="69" spans="1:8">
      <c r="A69" s="1751"/>
      <c r="B69" s="1735"/>
      <c r="C69" s="1324"/>
      <c r="D69" s="1416"/>
      <c r="E69" s="1416"/>
      <c r="F69" s="1416"/>
      <c r="G69" s="1416"/>
      <c r="H69" s="1536"/>
    </row>
    <row r="70" spans="1:8">
      <c r="A70" s="1751"/>
      <c r="B70" s="1735"/>
      <c r="C70" s="1324"/>
      <c r="D70" s="1416"/>
      <c r="E70" s="1336"/>
      <c r="F70" s="1336"/>
      <c r="G70" s="1336"/>
      <c r="H70" s="1736"/>
    </row>
    <row r="71" spans="1:8" ht="28.2">
      <c r="A71" s="1756" t="s">
        <v>5143</v>
      </c>
      <c r="B71" s="1737" t="s">
        <v>4297</v>
      </c>
      <c r="C71" s="1366"/>
      <c r="D71" s="1741"/>
      <c r="E71" s="1352" t="s">
        <v>5144</v>
      </c>
      <c r="F71" s="1352" t="s">
        <v>4956</v>
      </c>
      <c r="G71" s="1352" t="s">
        <v>4957</v>
      </c>
      <c r="H71" s="1738" t="s">
        <v>5145</v>
      </c>
    </row>
    <row r="72" spans="1:8">
      <c r="A72" s="1751"/>
      <c r="B72" s="1393"/>
      <c r="C72" s="1324"/>
      <c r="D72" s="1324"/>
      <c r="E72" s="1324"/>
      <c r="F72" s="1324"/>
      <c r="G72" s="1324"/>
      <c r="H72" s="1374"/>
    </row>
    <row r="73" spans="1:8">
      <c r="A73" s="1751">
        <v>501</v>
      </c>
      <c r="B73" s="1393">
        <v>1</v>
      </c>
      <c r="C73" s="1362" t="s">
        <v>5222</v>
      </c>
      <c r="D73" s="1324" t="s">
        <v>4777</v>
      </c>
      <c r="E73" s="1366">
        <f>+IF(ISBLANK(REPORTS!F115),"",REPORTS!F115)</f>
        <v>1774352.2642492782</v>
      </c>
      <c r="F73" s="1366">
        <f>+IF(ISBLANK(REPORTS!G115),"",REPORTS!G115)</f>
        <v>0</v>
      </c>
      <c r="G73" s="1366">
        <f>+IF(ISBLANK(REPORTS!H115),"",REPORTS!H115)</f>
        <v>1774352.2642492782</v>
      </c>
      <c r="H73" s="1374">
        <f>+IF(ISBLANK(REPORTS!I115),"",REPORTS!I115)</f>
        <v>1</v>
      </c>
    </row>
    <row r="74" spans="1:8">
      <c r="A74" s="1751"/>
      <c r="B74" s="1393">
        <v>2</v>
      </c>
      <c r="C74" s="1324"/>
      <c r="D74" s="1324"/>
      <c r="E74" s="1324" t="str">
        <f>+IF(ISBLANK(REPORTS!F116),"",REPORTS!F116)</f>
        <v/>
      </c>
      <c r="F74" s="1324" t="str">
        <f>+IF(ISBLANK(REPORTS!G116),"",REPORTS!G116)</f>
        <v/>
      </c>
      <c r="G74" s="1324" t="str">
        <f>+IF(ISBLANK(REPORTS!H116),"",REPORTS!H116)</f>
        <v/>
      </c>
      <c r="H74" s="1374" t="str">
        <f>+IF(ISBLANK(REPORTS!I116),"",REPORTS!I116)</f>
        <v/>
      </c>
    </row>
    <row r="75" spans="1:8">
      <c r="A75" s="1751">
        <v>420</v>
      </c>
      <c r="B75" s="1393">
        <v>3</v>
      </c>
      <c r="C75" s="1362" t="s">
        <v>5224</v>
      </c>
      <c r="D75" s="1324" t="s">
        <v>4071</v>
      </c>
      <c r="E75" s="1366">
        <f>+IF(ISBLANK(REPORTS!F117),"",REPORTS!F117)</f>
        <v>21444.731936121014</v>
      </c>
      <c r="F75" s="1366">
        <f>+IF(ISBLANK(REPORTS!G117),"",REPORTS!G117)</f>
        <v>0</v>
      </c>
      <c r="G75" s="1366">
        <f>+IF(ISBLANK(REPORTS!H117),"",REPORTS!H117)</f>
        <v>21444.731936121014</v>
      </c>
      <c r="H75" s="1374">
        <f>+IF(ISBLANK(REPORTS!I117),"",REPORTS!I117)</f>
        <v>1</v>
      </c>
    </row>
    <row r="76" spans="1:8">
      <c r="A76" s="1751"/>
      <c r="B76" s="1393">
        <v>4</v>
      </c>
      <c r="C76" s="1324"/>
      <c r="D76" s="1324"/>
      <c r="E76" s="1324" t="str">
        <f>+IF(ISBLANK(REPORTS!F118),"",REPORTS!F118)</f>
        <v/>
      </c>
      <c r="F76" s="1324" t="str">
        <f>+IF(ISBLANK(REPORTS!G118),"",REPORTS!G118)</f>
        <v/>
      </c>
      <c r="G76" s="1324" t="str">
        <f>+IF(ISBLANK(REPORTS!H118),"",REPORTS!H118)</f>
        <v/>
      </c>
      <c r="H76" s="1374" t="str">
        <f>+IF(ISBLANK(REPORTS!I118),"",REPORTS!I118)</f>
        <v/>
      </c>
    </row>
    <row r="77" spans="1:8">
      <c r="A77" s="1752"/>
      <c r="B77" s="1393">
        <v>5</v>
      </c>
      <c r="C77" s="1362" t="s">
        <v>5226</v>
      </c>
      <c r="D77" s="1324"/>
      <c r="E77" s="1324" t="str">
        <f>+IF(ISBLANK(REPORTS!F119),"",REPORTS!F119)</f>
        <v/>
      </c>
      <c r="F77" s="1324" t="str">
        <f>+IF(ISBLANK(REPORTS!G119),"",REPORTS!G119)</f>
        <v/>
      </c>
      <c r="G77" s="1324" t="str">
        <f>+IF(ISBLANK(REPORTS!H119),"",REPORTS!H119)</f>
        <v/>
      </c>
      <c r="H77" s="1374" t="str">
        <f>+IF(ISBLANK(REPORTS!I119),"",REPORTS!I119)</f>
        <v/>
      </c>
    </row>
    <row r="78" spans="1:8">
      <c r="A78" s="1751">
        <v>101</v>
      </c>
      <c r="B78" s="1393">
        <v>6</v>
      </c>
      <c r="C78" s="1324" t="s">
        <v>1528</v>
      </c>
      <c r="D78" s="1324" t="s">
        <v>4067</v>
      </c>
      <c r="E78" s="1364">
        <f>+IF(ISBLANK(REPORTS!F120),"",REPORTS!F120)</f>
        <v>312.20800000000003</v>
      </c>
      <c r="F78" s="1324">
        <f>+IF(ISBLANK(REPORTS!G120),"",REPORTS!G120)</f>
        <v>0</v>
      </c>
      <c r="G78" s="1324">
        <f>+IF(ISBLANK(REPORTS!H120),"",REPORTS!H120)</f>
        <v>312.20800000000003</v>
      </c>
      <c r="H78" s="1374">
        <f>+IF(ISBLANK(REPORTS!I120),"",REPORTS!I120)</f>
        <v>1</v>
      </c>
    </row>
    <row r="79" spans="1:8">
      <c r="A79" s="1751">
        <v>117</v>
      </c>
      <c r="B79" s="1393">
        <v>7</v>
      </c>
      <c r="C79" s="1324" t="s">
        <v>1529</v>
      </c>
      <c r="D79" s="1324" t="s">
        <v>4067</v>
      </c>
      <c r="E79" s="1364">
        <f>+IF(ISBLANK(REPORTS!F121),"",REPORTS!F121)</f>
        <v>755.73100000000011</v>
      </c>
      <c r="F79" s="1324">
        <f>+IF(ISBLANK(REPORTS!G121),"",REPORTS!G121)</f>
        <v>48.961435447380765</v>
      </c>
      <c r="G79" s="1324">
        <f>+IF(ISBLANK(REPORTS!H121),"",REPORTS!H121)</f>
        <v>706.76956455261927</v>
      </c>
      <c r="H79" s="1374">
        <f>+IF(ISBLANK(REPORTS!I121),"",REPORTS!I121)</f>
        <v>0.93521314403222733</v>
      </c>
    </row>
    <row r="80" spans="1:8">
      <c r="A80" s="1751">
        <v>117</v>
      </c>
      <c r="B80" s="1393">
        <v>8</v>
      </c>
      <c r="C80" s="1324" t="s">
        <v>1953</v>
      </c>
      <c r="D80" s="1324" t="s">
        <v>4067</v>
      </c>
      <c r="E80" s="1364">
        <f>+IF(ISBLANK(REPORTS!F122),"",REPORTS!F122)</f>
        <v>148.62792999999999</v>
      </c>
      <c r="F80" s="1324">
        <f>+IF(ISBLANK(REPORTS!G122),"",REPORTS!G122)</f>
        <v>9.6291362936981884</v>
      </c>
      <c r="G80" s="1324">
        <f>+IF(ISBLANK(REPORTS!H122),"",REPORTS!H122)</f>
        <v>138.9987937063018</v>
      </c>
      <c r="H80" s="1374">
        <f>+IF(ISBLANK(REPORTS!I122),"",REPORTS!I122)</f>
        <v>0.93521314403222733</v>
      </c>
    </row>
    <row r="81" spans="1:8">
      <c r="A81" s="1751">
        <v>105</v>
      </c>
      <c r="B81" s="1393">
        <v>9</v>
      </c>
      <c r="C81" s="1324" t="s">
        <v>2040</v>
      </c>
      <c r="D81" s="1324" t="s">
        <v>4067</v>
      </c>
      <c r="E81" s="1364">
        <f>+IF(ISBLANK(REPORTS!F123),"",REPORTS!F123)</f>
        <v>14488.425089886799</v>
      </c>
      <c r="F81" s="1364">
        <f>+IF(ISBLANK(REPORTS!G123),"",REPORTS!G123)</f>
        <v>0</v>
      </c>
      <c r="G81" s="1364">
        <f>+IF(ISBLANK(REPORTS!H123),"",REPORTS!H123)</f>
        <v>14488.425089886799</v>
      </c>
      <c r="H81" s="1374">
        <f>+IF(ISBLANK(REPORTS!I123),"",REPORTS!I123)</f>
        <v>1</v>
      </c>
    </row>
    <row r="82" spans="1:8">
      <c r="A82" s="1751">
        <v>106</v>
      </c>
      <c r="B82" s="1393">
        <v>10</v>
      </c>
      <c r="C82" s="1324" t="s">
        <v>4787</v>
      </c>
      <c r="D82" s="1324" t="s">
        <v>4067</v>
      </c>
      <c r="E82" s="1364">
        <f>+IF(ISBLANK(REPORTS!F124),"",REPORTS!F124)</f>
        <v>118.96596000000004</v>
      </c>
      <c r="F82" s="1366">
        <f>+IF(ISBLANK(REPORTS!G124),"",REPORTS!G124)</f>
        <v>0</v>
      </c>
      <c r="G82" s="1366">
        <f>+IF(ISBLANK(REPORTS!H124),"",REPORTS!H124)</f>
        <v>118.96596000000004</v>
      </c>
      <c r="H82" s="1374">
        <f>+IF(ISBLANK(REPORTS!I124),"",REPORTS!I124)</f>
        <v>1</v>
      </c>
    </row>
    <row r="83" spans="1:8">
      <c r="A83" s="1751"/>
      <c r="B83" s="1393">
        <v>11</v>
      </c>
      <c r="C83" s="1324" t="s">
        <v>5231</v>
      </c>
      <c r="D83" s="1324"/>
      <c r="E83" s="1421">
        <f>+IF(ISBLANK(REPORTS!F125),"",REPORTS!F125)</f>
        <v>15823.957979886798</v>
      </c>
      <c r="F83" s="1366">
        <f>+IF(ISBLANK(REPORTS!G125),"",REPORTS!G125)</f>
        <v>58.590571741078953</v>
      </c>
      <c r="G83" s="1366">
        <f>+IF(ISBLANK(REPORTS!H125),"",REPORTS!H125)</f>
        <v>15765.367408145719</v>
      </c>
      <c r="H83" s="1374">
        <f>+IF(ISBLANK(REPORTS!I125),"",REPORTS!I125)</f>
        <v>0.99629735039643363</v>
      </c>
    </row>
    <row r="84" spans="1:8">
      <c r="A84" s="1751"/>
      <c r="B84" s="1393">
        <v>12</v>
      </c>
      <c r="C84" s="1324"/>
      <c r="D84" s="1324"/>
      <c r="E84" s="1324" t="str">
        <f>+IF(ISBLANK(REPORTS!F126),"",REPORTS!F126)</f>
        <v/>
      </c>
      <c r="F84" s="1324" t="str">
        <f>+IF(ISBLANK(REPORTS!G126),"",REPORTS!G126)</f>
        <v/>
      </c>
      <c r="G84" s="1324" t="str">
        <f>+IF(ISBLANK(REPORTS!H126),"",REPORTS!H126)</f>
        <v/>
      </c>
      <c r="H84" s="1374" t="str">
        <f>+IF(ISBLANK(REPORTS!I126),"",REPORTS!I126)</f>
        <v/>
      </c>
    </row>
    <row r="85" spans="1:8">
      <c r="A85" s="1751"/>
      <c r="B85" s="1393">
        <v>13</v>
      </c>
      <c r="C85" s="1362" t="s">
        <v>5233</v>
      </c>
      <c r="D85" s="1324"/>
      <c r="E85" s="1324" t="str">
        <f>+IF(ISBLANK(REPORTS!F127),"",REPORTS!F127)</f>
        <v/>
      </c>
      <c r="F85" s="1324" t="str">
        <f>+IF(ISBLANK(REPORTS!G127),"",REPORTS!G127)</f>
        <v/>
      </c>
      <c r="G85" s="1324" t="str">
        <f>+IF(ISBLANK(REPORTS!H127),"",REPORTS!H127)</f>
        <v/>
      </c>
      <c r="H85" s="1374" t="str">
        <f>+IF(ISBLANK(REPORTS!I127),"",REPORTS!I127)</f>
        <v/>
      </c>
    </row>
    <row r="86" spans="1:8">
      <c r="A86" s="1751">
        <v>101</v>
      </c>
      <c r="B86" s="1393">
        <v>14</v>
      </c>
      <c r="C86" s="1324" t="s">
        <v>5234</v>
      </c>
      <c r="D86" s="1324" t="s">
        <v>4067</v>
      </c>
      <c r="E86" s="1364">
        <f>+IF(ISBLANK(REPORTS!F128),"",REPORTS!F128)</f>
        <v>1538.7293105288484</v>
      </c>
      <c r="F86" s="1324">
        <f>+IF(ISBLANK(REPORTS!G128),"",REPORTS!G128)</f>
        <v>0</v>
      </c>
      <c r="G86" s="1324">
        <f>+IF(ISBLANK(REPORTS!H128),"",REPORTS!H128)</f>
        <v>1538.7293105288484</v>
      </c>
      <c r="H86" s="1374">
        <f>+IF(ISBLANK(REPORTS!I128),"",REPORTS!I128)</f>
        <v>1</v>
      </c>
    </row>
    <row r="87" spans="1:8">
      <c r="A87" s="1751">
        <v>201</v>
      </c>
      <c r="B87" s="1393">
        <v>15</v>
      </c>
      <c r="C87" s="1324" t="s">
        <v>5234</v>
      </c>
      <c r="D87" s="1324" t="s">
        <v>2067</v>
      </c>
      <c r="E87" s="1364">
        <f>+IF(ISBLANK(REPORTS!F129),"",REPORTS!F129)</f>
        <v>145.45872532694909</v>
      </c>
      <c r="F87" s="1324">
        <f>+IF(ISBLANK(REPORTS!G129),"",REPORTS!G129)</f>
        <v>0</v>
      </c>
      <c r="G87" s="1324">
        <f>+IF(ISBLANK(REPORTS!H129),"",REPORTS!H129)</f>
        <v>145.45872532694909</v>
      </c>
      <c r="H87" s="1374">
        <f>+IF(ISBLANK(REPORTS!I129),"",REPORTS!I129)</f>
        <v>1</v>
      </c>
    </row>
    <row r="88" spans="1:8">
      <c r="A88" s="1751">
        <v>117</v>
      </c>
      <c r="B88" s="1393">
        <v>16</v>
      </c>
      <c r="C88" s="1324" t="s">
        <v>5236</v>
      </c>
      <c r="D88" s="1324" t="s">
        <v>4067</v>
      </c>
      <c r="E88" s="1364">
        <f>+IF(ISBLANK(REPORTS!F130),"",REPORTS!F130)</f>
        <v>240.6963635059152</v>
      </c>
      <c r="F88" s="1324">
        <f>+IF(ISBLANK(REPORTS!G130),"",REPORTS!G130)</f>
        <v>15.593960634424366</v>
      </c>
      <c r="G88" s="1324">
        <f>+IF(ISBLANK(REPORTS!H130),"",REPORTS!H130)</f>
        <v>225.10240287149082</v>
      </c>
      <c r="H88" s="1374">
        <f>+IF(ISBLANK(REPORTS!I130),"",REPORTS!I130)</f>
        <v>0.93521314403222733</v>
      </c>
    </row>
    <row r="89" spans="1:8">
      <c r="A89" s="1751">
        <v>202</v>
      </c>
      <c r="B89" s="1393">
        <v>17</v>
      </c>
      <c r="C89" s="1324" t="s">
        <v>5237</v>
      </c>
      <c r="D89" s="1324" t="s">
        <v>4777</v>
      </c>
      <c r="E89" s="1364">
        <f>+IF(ISBLANK(REPORTS!F131),"",REPORTS!F131)</f>
        <v>7929.0305824175994</v>
      </c>
      <c r="F89" s="1324">
        <f>+IF(ISBLANK(REPORTS!G131),"",REPORTS!G131)</f>
        <v>7929.0305824175994</v>
      </c>
      <c r="G89" s="1324">
        <f>+IF(ISBLANK(REPORTS!H131),"",REPORTS!H131)</f>
        <v>0</v>
      </c>
      <c r="H89" s="1374">
        <f>+IF(ISBLANK(REPORTS!I131),"",REPORTS!I131)</f>
        <v>0</v>
      </c>
    </row>
    <row r="90" spans="1:8">
      <c r="A90" s="1751">
        <v>117</v>
      </c>
      <c r="B90" s="1393">
        <v>18</v>
      </c>
      <c r="C90" s="1324" t="s">
        <v>5239</v>
      </c>
      <c r="D90" s="1324" t="s">
        <v>4067</v>
      </c>
      <c r="E90" s="1364">
        <f>+IF(ISBLANK(REPORTS!F132),"",REPORTS!F132)</f>
        <v>124.74078416988186</v>
      </c>
      <c r="F90" s="1324">
        <f>+IF(ISBLANK(REPORTS!G132),"",REPORTS!G132)</f>
        <v>8.0815632173211451</v>
      </c>
      <c r="G90" s="1324">
        <f>+IF(ISBLANK(REPORTS!H132),"",REPORTS!H132)</f>
        <v>116.65922095256072</v>
      </c>
      <c r="H90" s="1374">
        <f>+IF(ISBLANK(REPORTS!I132),"",REPORTS!I132)</f>
        <v>0.93521314403222733</v>
      </c>
    </row>
    <row r="91" spans="1:8">
      <c r="A91" s="1751">
        <v>105</v>
      </c>
      <c r="B91" s="1393">
        <v>19</v>
      </c>
      <c r="C91" s="1324" t="s">
        <v>5240</v>
      </c>
      <c r="D91" s="1324" t="s">
        <v>4067</v>
      </c>
      <c r="E91" s="1364">
        <f>+IF(ISBLANK(REPORTS!F133),"",REPORTS!F133)</f>
        <v>457.1290387791085</v>
      </c>
      <c r="F91" s="1324">
        <f>+IF(ISBLANK(REPORTS!G133),"",REPORTS!G133)</f>
        <v>0</v>
      </c>
      <c r="G91" s="1324">
        <f>+IF(ISBLANK(REPORTS!H133),"",REPORTS!H133)</f>
        <v>457.1290387791085</v>
      </c>
      <c r="H91" s="1374">
        <f>+IF(ISBLANK(REPORTS!I133),"",REPORTS!I133)</f>
        <v>1</v>
      </c>
    </row>
    <row r="92" spans="1:8">
      <c r="A92" s="1751">
        <v>106</v>
      </c>
      <c r="B92" s="1393">
        <v>20</v>
      </c>
      <c r="C92" s="1324" t="s">
        <v>5241</v>
      </c>
      <c r="D92" s="1324" t="s">
        <v>4067</v>
      </c>
      <c r="E92" s="1364">
        <f>+IF(ISBLANK(REPORTS!F134),"",REPORTS!F134)</f>
        <v>229.72470960232238</v>
      </c>
      <c r="F92" s="1324">
        <f>+IF(ISBLANK(REPORTS!G134),"",REPORTS!G134)</f>
        <v>0</v>
      </c>
      <c r="G92" s="1324">
        <f>+IF(ISBLANK(REPORTS!H134),"",REPORTS!H134)</f>
        <v>229.72470960232238</v>
      </c>
      <c r="H92" s="1374">
        <f>+IF(ISBLANK(REPORTS!I134),"",REPORTS!I134)</f>
        <v>1</v>
      </c>
    </row>
    <row r="93" spans="1:8">
      <c r="A93" s="1751">
        <v>907</v>
      </c>
      <c r="B93" s="1393">
        <v>21</v>
      </c>
      <c r="C93" s="1324" t="s">
        <v>5242</v>
      </c>
      <c r="D93" s="1324" t="s">
        <v>4071</v>
      </c>
      <c r="E93" s="1364">
        <f>+IF(ISBLANK(REPORTS!F135),"",REPORTS!F135)</f>
        <v>216.09497132613194</v>
      </c>
      <c r="F93" s="1324">
        <f>+IF(ISBLANK(REPORTS!G135),"",REPORTS!G135)</f>
        <v>0</v>
      </c>
      <c r="G93" s="1324">
        <f>+IF(ISBLANK(REPORTS!H135),"",REPORTS!H135)</f>
        <v>216.09497132613194</v>
      </c>
      <c r="H93" s="1374">
        <f>+IF(ISBLANK(REPORTS!I135),"",REPORTS!I135)</f>
        <v>1</v>
      </c>
    </row>
    <row r="94" spans="1:8">
      <c r="A94" s="1751">
        <v>412</v>
      </c>
      <c r="B94" s="1393">
        <v>22</v>
      </c>
      <c r="C94" s="1324" t="s">
        <v>5244</v>
      </c>
      <c r="D94" s="1324" t="s">
        <v>4071</v>
      </c>
      <c r="E94" s="1364">
        <f>+IF(ISBLANK(REPORTS!F136),"",REPORTS!F136)</f>
        <v>52.39644670933798</v>
      </c>
      <c r="F94" s="1366">
        <f>+IF(ISBLANK(REPORTS!G136),"",REPORTS!G136)</f>
        <v>0</v>
      </c>
      <c r="G94" s="1366">
        <f>+IF(ISBLANK(REPORTS!H136),"",REPORTS!H136)</f>
        <v>52.39644670933798</v>
      </c>
      <c r="H94" s="1374">
        <f>+IF(ISBLANK(REPORTS!I136),"",REPORTS!I136)</f>
        <v>1</v>
      </c>
    </row>
    <row r="95" spans="1:8">
      <c r="A95" s="1751"/>
      <c r="B95" s="1393">
        <v>23</v>
      </c>
      <c r="C95" s="1324" t="s">
        <v>5246</v>
      </c>
      <c r="D95" s="1324"/>
      <c r="E95" s="1421">
        <f>+IF(ISBLANK(REPORTS!F137),"",REPORTS!F137)</f>
        <v>10934.000932366094</v>
      </c>
      <c r="F95" s="1366">
        <f>+IF(ISBLANK(REPORTS!G137),"",REPORTS!G137)</f>
        <v>7952.7061062693447</v>
      </c>
      <c r="G95" s="1366">
        <f>+IF(ISBLANK(REPORTS!H137),"",REPORTS!H137)</f>
        <v>2981.2948260967496</v>
      </c>
      <c r="H95" s="1374">
        <f>+IF(ISBLANK(REPORTS!I137),"",REPORTS!I137)</f>
        <v>0.2726627557961625</v>
      </c>
    </row>
    <row r="96" spans="1:8">
      <c r="A96" s="1751"/>
      <c r="B96" s="1393">
        <v>24</v>
      </c>
      <c r="C96" s="1324"/>
      <c r="D96" s="1324"/>
      <c r="E96" s="1324" t="str">
        <f>+IF(ISBLANK(REPORTS!F138),"",REPORTS!F138)</f>
        <v/>
      </c>
      <c r="F96" s="1364" t="str">
        <f>+IF(ISBLANK(REPORTS!G138),"",REPORTS!G138)</f>
        <v/>
      </c>
      <c r="G96" s="1364" t="str">
        <f>+IF(ISBLANK(REPORTS!H138),"",REPORTS!H138)</f>
        <v/>
      </c>
      <c r="H96" s="1374" t="str">
        <f>+IF(ISBLANK(REPORTS!I138),"",REPORTS!I138)</f>
        <v/>
      </c>
    </row>
    <row r="97" spans="1:8">
      <c r="A97" s="1751"/>
      <c r="B97" s="1393">
        <v>25</v>
      </c>
      <c r="C97" s="1362" t="s">
        <v>5248</v>
      </c>
      <c r="D97" s="1324"/>
      <c r="E97" s="1324" t="str">
        <f>+IF(ISBLANK(REPORTS!F139),"",REPORTS!F139)</f>
        <v/>
      </c>
      <c r="F97" s="1324" t="str">
        <f>+IF(ISBLANK(REPORTS!G139),"",REPORTS!G139)</f>
        <v/>
      </c>
      <c r="G97" s="1324" t="str">
        <f>+IF(ISBLANK(REPORTS!H139),"",REPORTS!H139)</f>
        <v/>
      </c>
      <c r="H97" s="1374" t="str">
        <f>+IF(ISBLANK(REPORTS!I139),"",REPORTS!I139)</f>
        <v/>
      </c>
    </row>
    <row r="98" spans="1:8">
      <c r="A98" s="1751">
        <v>201</v>
      </c>
      <c r="B98" s="1393">
        <v>26</v>
      </c>
      <c r="C98" s="1324" t="s">
        <v>5249</v>
      </c>
      <c r="D98" s="1324" t="s">
        <v>2067</v>
      </c>
      <c r="E98" s="1364">
        <f>+IF(ISBLANK(REPORTS!F140),"",REPORTS!F140)</f>
        <v>493.87339000000003</v>
      </c>
      <c r="F98" s="1324">
        <f>+IF(ISBLANK(REPORTS!G140),"",REPORTS!G140)</f>
        <v>0</v>
      </c>
      <c r="G98" s="1324">
        <f>+IF(ISBLANK(REPORTS!H140),"",REPORTS!H140)</f>
        <v>493.87339000000003</v>
      </c>
      <c r="H98" s="1374">
        <f>+IF(ISBLANK(REPORTS!I140),"",REPORTS!I140)</f>
        <v>1</v>
      </c>
    </row>
    <row r="99" spans="1:8">
      <c r="A99" s="1751">
        <v>202</v>
      </c>
      <c r="B99" s="1393">
        <v>27</v>
      </c>
      <c r="C99" s="1324" t="s">
        <v>5250</v>
      </c>
      <c r="D99" s="1324" t="s">
        <v>2067</v>
      </c>
      <c r="E99" s="1366">
        <f>+IF(ISBLANK(REPORTS!F141),"",REPORTS!F141)</f>
        <v>-1.84900420208578E-3</v>
      </c>
      <c r="F99" s="1366">
        <f>+IF(ISBLANK(REPORTS!G141),"",REPORTS!G141)</f>
        <v>-1.84900420208578E-3</v>
      </c>
      <c r="G99" s="1366">
        <f>+IF(ISBLANK(REPORTS!H141),"",REPORTS!H141)</f>
        <v>0</v>
      </c>
      <c r="H99" s="1374">
        <f>+IF(ISBLANK(REPORTS!I141),"",REPORTS!I141)</f>
        <v>0</v>
      </c>
    </row>
    <row r="100" spans="1:8">
      <c r="A100" s="1751"/>
      <c r="B100" s="1393">
        <v>28</v>
      </c>
      <c r="C100" s="1324" t="s">
        <v>5251</v>
      </c>
      <c r="D100" s="1324" t="s">
        <v>4374</v>
      </c>
      <c r="E100" s="1366">
        <f>+IF(ISBLANK(REPORTS!F142),"",REPORTS!F142)</f>
        <v>493.87154099579794</v>
      </c>
      <c r="F100" s="1366">
        <f>+IF(ISBLANK(REPORTS!G142),"",REPORTS!G142)</f>
        <v>-1.84900420208578E-3</v>
      </c>
      <c r="G100" s="1366">
        <f>+IF(ISBLANK(REPORTS!H142),"",REPORTS!H142)</f>
        <v>493.87339000000003</v>
      </c>
      <c r="H100" s="1374">
        <f>+IF(ISBLANK(REPORTS!I142),"",REPORTS!I142)</f>
        <v>1.0000037438970433</v>
      </c>
    </row>
    <row r="101" spans="1:8">
      <c r="A101" s="1751">
        <v>204</v>
      </c>
      <c r="B101" s="1393">
        <v>29</v>
      </c>
      <c r="C101" s="1324" t="s">
        <v>5253</v>
      </c>
      <c r="D101" s="1324" t="s">
        <v>2067</v>
      </c>
      <c r="E101" s="1364">
        <f>+IF(ISBLANK(REPORTS!F143),"",REPORTS!F143)</f>
        <v>107</v>
      </c>
      <c r="F101" s="1364">
        <f>+IF(ISBLANK(REPORTS!G143),"",REPORTS!G143)</f>
        <v>0</v>
      </c>
      <c r="G101" s="1364">
        <f>+IF(ISBLANK(REPORTS!H143),"",REPORTS!H143)</f>
        <v>107</v>
      </c>
      <c r="H101" s="1374">
        <f>+IF(ISBLANK(REPORTS!I143),"",REPORTS!I143)</f>
        <v>1</v>
      </c>
    </row>
    <row r="102" spans="1:8">
      <c r="A102" s="1751">
        <v>201</v>
      </c>
      <c r="B102" s="1393">
        <v>30</v>
      </c>
      <c r="C102" s="1324" t="s">
        <v>5255</v>
      </c>
      <c r="D102" s="1324" t="s">
        <v>2067</v>
      </c>
      <c r="E102" s="1364">
        <f>+IF(ISBLANK(REPORTS!F144),"",REPORTS!F144)</f>
        <v>0</v>
      </c>
      <c r="F102" s="1364">
        <f>+IF(ISBLANK(REPORTS!G144),"",REPORTS!G144)</f>
        <v>0</v>
      </c>
      <c r="G102" s="1364">
        <f>+IF(ISBLANK(REPORTS!H144),"",REPORTS!H144)</f>
        <v>0</v>
      </c>
      <c r="H102" s="1374">
        <f>+IF(ISBLANK(REPORTS!I144),"",REPORTS!I144)</f>
        <v>0</v>
      </c>
    </row>
    <row r="103" spans="1:8">
      <c r="A103" s="1751">
        <v>508</v>
      </c>
      <c r="B103" s="1393">
        <v>31</v>
      </c>
      <c r="C103" s="1324" t="s">
        <v>5256</v>
      </c>
      <c r="D103" s="1324" t="s">
        <v>2067</v>
      </c>
      <c r="E103" s="1366">
        <f>+IF(ISBLANK(REPORTS!F145),"",REPORTS!F145)</f>
        <v>-62.881113731333144</v>
      </c>
      <c r="F103" s="1366">
        <f>+IF(ISBLANK(REPORTS!G145),"",REPORTS!G145)</f>
        <v>0</v>
      </c>
      <c r="G103" s="1366">
        <f>+IF(ISBLANK(REPORTS!H145),"",REPORTS!H145)</f>
        <v>-62.881113731333144</v>
      </c>
      <c r="H103" s="1374">
        <f>+IF(ISBLANK(REPORTS!I145),"",REPORTS!I145)</f>
        <v>1</v>
      </c>
    </row>
    <row r="104" spans="1:8">
      <c r="A104" s="1751"/>
      <c r="B104" s="1393">
        <v>32</v>
      </c>
      <c r="C104" s="1324" t="s">
        <v>5258</v>
      </c>
      <c r="D104" s="1324" t="s">
        <v>4374</v>
      </c>
      <c r="E104" s="1366">
        <f>+IF(ISBLANK(REPORTS!F146),"",REPORTS!F146)</f>
        <v>44.118886268666856</v>
      </c>
      <c r="F104" s="1366">
        <f>+IF(ISBLANK(REPORTS!G146),"",REPORTS!G146)</f>
        <v>0</v>
      </c>
      <c r="G104" s="1366">
        <f>+IF(ISBLANK(REPORTS!H146),"",REPORTS!H146)</f>
        <v>44.118886268666856</v>
      </c>
      <c r="H104" s="1374">
        <f>+IF(ISBLANK(REPORTS!I146),"",REPORTS!I146)</f>
        <v>1</v>
      </c>
    </row>
    <row r="105" spans="1:8">
      <c r="A105" s="1751"/>
      <c r="B105" s="1393">
        <v>33</v>
      </c>
      <c r="C105" s="1324" t="s">
        <v>5260</v>
      </c>
      <c r="D105" s="1324"/>
      <c r="E105" s="1366">
        <f>+IF(ISBLANK(REPORTS!F147),"",REPORTS!F147)</f>
        <v>537.99042726446476</v>
      </c>
      <c r="F105" s="1366">
        <f>+IF(ISBLANK(REPORTS!G147),"",REPORTS!G147)</f>
        <v>-1.84900420208578E-3</v>
      </c>
      <c r="G105" s="1366">
        <f>+IF(ISBLANK(REPORTS!H147),"",REPORTS!H147)</f>
        <v>537.99227626866684</v>
      </c>
      <c r="H105" s="1374">
        <f>+IF(ISBLANK(REPORTS!I147),"",REPORTS!I147)</f>
        <v>1.0000034368719375</v>
      </c>
    </row>
    <row r="106" spans="1:8">
      <c r="A106" s="1751"/>
      <c r="B106" s="1393">
        <v>34</v>
      </c>
      <c r="C106" s="1324"/>
      <c r="D106" s="1324"/>
      <c r="E106" s="1324" t="str">
        <f>+IF(ISBLANK(REPORTS!F148),"",REPORTS!F148)</f>
        <v/>
      </c>
      <c r="F106" s="1324" t="str">
        <f>+IF(ISBLANK(REPORTS!G148),"",REPORTS!G148)</f>
        <v/>
      </c>
      <c r="G106" s="1324" t="str">
        <f>+IF(ISBLANK(REPORTS!H148),"",REPORTS!H148)</f>
        <v/>
      </c>
      <c r="H106" s="1374" t="str">
        <f>+IF(ISBLANK(REPORTS!I148),"",REPORTS!I148)</f>
        <v/>
      </c>
    </row>
    <row r="107" spans="1:8">
      <c r="A107" s="1751"/>
      <c r="B107" s="1393">
        <v>35</v>
      </c>
      <c r="C107" s="1362" t="s">
        <v>5262</v>
      </c>
      <c r="D107" s="1324"/>
      <c r="E107" s="1324" t="str">
        <f>+IF(ISBLANK(REPORTS!F149),"",REPORTS!F149)</f>
        <v/>
      </c>
      <c r="F107" s="1324" t="str">
        <f>+IF(ISBLANK(REPORTS!G149),"",REPORTS!G149)</f>
        <v/>
      </c>
      <c r="G107" s="1324" t="str">
        <f>+IF(ISBLANK(REPORTS!H149),"",REPORTS!H149)</f>
        <v/>
      </c>
      <c r="H107" s="1374" t="str">
        <f>+IF(ISBLANK(REPORTS!I149),"",REPORTS!I149)</f>
        <v/>
      </c>
    </row>
    <row r="108" spans="1:8">
      <c r="A108" s="1752"/>
      <c r="B108" s="1393">
        <v>36</v>
      </c>
      <c r="C108" s="1324" t="s">
        <v>5263</v>
      </c>
      <c r="D108" s="1324" t="s">
        <v>4777</v>
      </c>
      <c r="E108" s="1324">
        <f>+IF(ISBLANK(REPORTS!F150),"",REPORTS!F150)</f>
        <v>1782281.2948316957</v>
      </c>
      <c r="F108" s="1324">
        <f>+IF(ISBLANK(REPORTS!G150),"",REPORTS!G150)</f>
        <v>7929.0305824175994</v>
      </c>
      <c r="G108" s="1324">
        <f>+IF(ISBLANK(REPORTS!H150),"",REPORTS!H150)</f>
        <v>1774352.2642492782</v>
      </c>
      <c r="H108" s="1374">
        <f>+IF(ISBLANK(REPORTS!I150),"",REPORTS!I150)</f>
        <v>0.99555119014859761</v>
      </c>
    </row>
    <row r="109" spans="1:8">
      <c r="A109" s="1752"/>
      <c r="B109" s="1393">
        <v>37</v>
      </c>
      <c r="C109" s="1324" t="s">
        <v>5265</v>
      </c>
      <c r="D109" s="1324" t="s">
        <v>4067</v>
      </c>
      <c r="E109" s="1324">
        <f>+IF(ISBLANK(REPORTS!F151),"",REPORTS!F151)</f>
        <v>1850.9373105288485</v>
      </c>
      <c r="F109" s="1324">
        <f>+IF(ISBLANK(REPORTS!G151),"",REPORTS!G151)</f>
        <v>0</v>
      </c>
      <c r="G109" s="1324">
        <f>+IF(ISBLANK(REPORTS!H151),"",REPORTS!H151)</f>
        <v>1850.9373105288485</v>
      </c>
      <c r="H109" s="1374">
        <f>+IF(ISBLANK(REPORTS!I151),"",REPORTS!I151)</f>
        <v>1</v>
      </c>
    </row>
    <row r="110" spans="1:8">
      <c r="A110" s="1752"/>
      <c r="B110" s="1393">
        <v>38</v>
      </c>
      <c r="C110" s="1324" t="s">
        <v>5265</v>
      </c>
      <c r="D110" s="1324" t="s">
        <v>2067</v>
      </c>
      <c r="E110" s="1324">
        <f>+IF(ISBLANK(REPORTS!F152),"",REPORTS!F152)</f>
        <v>683.44915259141396</v>
      </c>
      <c r="F110" s="1324">
        <f>+IF(ISBLANK(REPORTS!G152),"",REPORTS!G152)</f>
        <v>-1.84900420208578E-3</v>
      </c>
      <c r="G110" s="1324">
        <f>+IF(ISBLANK(REPORTS!H152),"",REPORTS!H152)</f>
        <v>683.45100159561605</v>
      </c>
      <c r="H110" s="1374">
        <f>+IF(ISBLANK(REPORTS!I152),"",REPORTS!I152)</f>
        <v>1.0000027054012652</v>
      </c>
    </row>
    <row r="111" spans="1:8">
      <c r="A111" s="1752"/>
      <c r="B111" s="1393">
        <v>39</v>
      </c>
      <c r="C111" s="1324" t="s">
        <v>5268</v>
      </c>
      <c r="D111" s="1324" t="s">
        <v>4067</v>
      </c>
      <c r="E111" s="1364">
        <f>+IF(ISBLANK(REPORTS!F153),"",REPORTS!F153)</f>
        <v>996.42736350591531</v>
      </c>
      <c r="F111" s="1364">
        <f>+IF(ISBLANK(REPORTS!G153),"",REPORTS!G153)</f>
        <v>64.555396081805128</v>
      </c>
      <c r="G111" s="1364">
        <f>+IF(ISBLANK(REPORTS!H153),"",REPORTS!H153)</f>
        <v>931.87196742411015</v>
      </c>
      <c r="H111" s="1374">
        <f>+IF(ISBLANK(REPORTS!I153),"",REPORTS!I153)</f>
        <v>0.93521314403222733</v>
      </c>
    </row>
    <row r="112" spans="1:8">
      <c r="A112" s="1752"/>
      <c r="B112" s="1393">
        <v>40</v>
      </c>
      <c r="C112" s="1324" t="s">
        <v>5239</v>
      </c>
      <c r="D112" s="1324" t="s">
        <v>4067</v>
      </c>
      <c r="E112" s="1364">
        <f>+IF(ISBLANK(REPORTS!F154),"",REPORTS!F154)</f>
        <v>273.36871416988186</v>
      </c>
      <c r="F112" s="1364">
        <f>+IF(ISBLANK(REPORTS!G154),"",REPORTS!G154)</f>
        <v>17.710699511019335</v>
      </c>
      <c r="G112" s="1364">
        <f>+IF(ISBLANK(REPORTS!H154),"",REPORTS!H154)</f>
        <v>255.6580146588625</v>
      </c>
      <c r="H112" s="1374">
        <f>+IF(ISBLANK(REPORTS!I154),"",REPORTS!I154)</f>
        <v>0.93521314403222733</v>
      </c>
    </row>
    <row r="113" spans="1:8">
      <c r="A113" s="1752"/>
      <c r="B113" s="1393">
        <v>41</v>
      </c>
      <c r="C113" s="1324" t="s">
        <v>5240</v>
      </c>
      <c r="D113" s="1324" t="s">
        <v>4067</v>
      </c>
      <c r="E113" s="1364">
        <f>+IF(ISBLANK(REPORTS!F155),"",REPORTS!F155)</f>
        <v>14945.554128665908</v>
      </c>
      <c r="F113" s="1364">
        <f>+IF(ISBLANK(REPORTS!G155),"",REPORTS!G155)</f>
        <v>0</v>
      </c>
      <c r="G113" s="1364">
        <f>+IF(ISBLANK(REPORTS!H155),"",REPORTS!H155)</f>
        <v>14945.554128665908</v>
      </c>
      <c r="H113" s="1374">
        <f>+IF(ISBLANK(REPORTS!I155),"",REPORTS!I155)</f>
        <v>1</v>
      </c>
    </row>
    <row r="114" spans="1:8">
      <c r="A114" s="1752"/>
      <c r="B114" s="1393">
        <v>42</v>
      </c>
      <c r="C114" s="1324" t="s">
        <v>5241</v>
      </c>
      <c r="D114" s="1324" t="s">
        <v>4067</v>
      </c>
      <c r="E114" s="1364">
        <f>+IF(ISBLANK(REPORTS!F156),"",REPORTS!F156)</f>
        <v>348.69066960232243</v>
      </c>
      <c r="F114" s="1364">
        <f>+IF(ISBLANK(REPORTS!G156),"",REPORTS!G156)</f>
        <v>0</v>
      </c>
      <c r="G114" s="1364">
        <f>+IF(ISBLANK(REPORTS!H156),"",REPORTS!H156)</f>
        <v>348.69066960232243</v>
      </c>
      <c r="H114" s="1374">
        <f>+IF(ISBLANK(REPORTS!I156),"",REPORTS!I156)</f>
        <v>1</v>
      </c>
    </row>
    <row r="115" spans="1:8">
      <c r="A115" s="1752"/>
      <c r="B115" s="1393">
        <v>43</v>
      </c>
      <c r="C115" s="1324" t="s">
        <v>5242</v>
      </c>
      <c r="D115" s="1324" t="s">
        <v>4071</v>
      </c>
      <c r="E115" s="1364">
        <f>+IF(ISBLANK(REPORTS!F157),"",REPORTS!F157)</f>
        <v>216.09497132613194</v>
      </c>
      <c r="F115" s="1364">
        <f>+IF(ISBLANK(REPORTS!G157),"",REPORTS!G157)</f>
        <v>0</v>
      </c>
      <c r="G115" s="1364">
        <f>+IF(ISBLANK(REPORTS!H157),"",REPORTS!H157)</f>
        <v>216.09497132613194</v>
      </c>
      <c r="H115" s="1374">
        <f>+IF(ISBLANK(REPORTS!I157),"",REPORTS!I157)</f>
        <v>1</v>
      </c>
    </row>
    <row r="116" spans="1:8">
      <c r="A116" s="1752"/>
      <c r="B116" s="1393">
        <v>44</v>
      </c>
      <c r="C116" s="1324" t="s">
        <v>5244</v>
      </c>
      <c r="D116" s="1324" t="s">
        <v>4071</v>
      </c>
      <c r="E116" s="1366">
        <f>+IF(ISBLANK(REPORTS!F158),"",REPORTS!F158)</f>
        <v>21497.128382830353</v>
      </c>
      <c r="F116" s="1366">
        <f>+IF(ISBLANK(REPORTS!G158),"",REPORTS!G158)</f>
        <v>0</v>
      </c>
      <c r="G116" s="1366">
        <f>+IF(ISBLANK(REPORTS!H158),"",REPORTS!H158)</f>
        <v>21497.128382830353</v>
      </c>
      <c r="H116" s="1374">
        <f>+IF(ISBLANK(REPORTS!I158),"",REPORTS!I158)</f>
        <v>1</v>
      </c>
    </row>
    <row r="117" spans="1:8">
      <c r="A117" s="1751"/>
      <c r="B117" s="1393">
        <v>45</v>
      </c>
      <c r="C117" s="1324"/>
      <c r="D117" s="1324"/>
      <c r="E117" s="1324" t="str">
        <f>+IF(ISBLANK(REPORTS!F159),"",REPORTS!F159)</f>
        <v/>
      </c>
      <c r="F117" s="1324" t="str">
        <f>+IF(ISBLANK(REPORTS!G159),"",REPORTS!G159)</f>
        <v/>
      </c>
      <c r="G117" s="1324" t="str">
        <f>+IF(ISBLANK(REPORTS!H159),"",REPORTS!H159)</f>
        <v/>
      </c>
      <c r="H117" s="1374" t="str">
        <f>+IF(ISBLANK(REPORTS!I159),"",REPORTS!I159)</f>
        <v/>
      </c>
    </row>
    <row r="118" spans="1:8" ht="15" thickBot="1">
      <c r="A118" s="1751"/>
      <c r="B118" s="1393">
        <v>46</v>
      </c>
      <c r="C118" s="1324" t="s">
        <v>5262</v>
      </c>
      <c r="D118" s="1324"/>
      <c r="E118" s="1380">
        <f>+IF(ISBLANK(REPORTS!F160),"",REPORTS!F160)</f>
        <v>1823092.9455249165</v>
      </c>
      <c r="F118" s="1380">
        <f>+IF(ISBLANK(REPORTS!G160),"",REPORTS!G160)</f>
        <v>8011.2948290062213</v>
      </c>
      <c r="G118" s="1380">
        <f>+IF(ISBLANK(REPORTS!H160),"",REPORTS!H160)</f>
        <v>1815081.6506959107</v>
      </c>
      <c r="H118" s="1374">
        <f>+IF(ISBLANK(REPORTS!I160),"",REPORTS!I160)</f>
        <v>0.99560565749065566</v>
      </c>
    </row>
    <row r="119" spans="1:8" ht="15" thickTop="1"/>
    <row r="123" spans="1:8">
      <c r="A123" s="1751"/>
      <c r="B123" s="1416" t="str">
        <f>+$B$1</f>
        <v>RATES WITH REVENUE DEFICIENCY ADDITION</v>
      </c>
      <c r="C123" s="1324"/>
      <c r="D123" s="1324"/>
      <c r="E123" s="1336"/>
      <c r="F123" s="1329" t="s">
        <v>2173</v>
      </c>
      <c r="G123" s="1324"/>
      <c r="H123" s="1334" t="s">
        <v>4867</v>
      </c>
    </row>
    <row r="124" spans="1:8">
      <c r="A124" s="1751"/>
      <c r="B124" s="1416" t="str">
        <f>+$B$2</f>
        <v xml:space="preserve">PROD. CAP. ALLOC. METHOD: 12 CP </v>
      </c>
      <c r="C124" s="1324"/>
      <c r="D124" s="1324"/>
      <c r="E124" s="1324"/>
      <c r="F124" s="1336" t="s">
        <v>4768</v>
      </c>
      <c r="G124" s="1324"/>
      <c r="H124" s="1731" t="s">
        <v>5220</v>
      </c>
    </row>
    <row r="125" spans="1:8">
      <c r="A125" s="1751"/>
      <c r="B125" s="1416" t="str">
        <f>+$B$3</f>
        <v>PROJECTED CALENDAR YEAR 2025; FULLY ADJUSTED DATA</v>
      </c>
      <c r="C125" s="1324"/>
      <c r="D125" s="1324"/>
      <c r="E125" s="1324"/>
      <c r="F125" s="1336" t="s">
        <v>2181</v>
      </c>
      <c r="G125" s="1324"/>
      <c r="H125" s="1374"/>
    </row>
    <row r="126" spans="1:8">
      <c r="A126" s="1751"/>
      <c r="B126" s="1732">
        <f>+$B$4</f>
        <v>0</v>
      </c>
      <c r="C126" s="1364"/>
      <c r="D126" s="1324"/>
      <c r="E126" s="1324"/>
      <c r="F126" s="1324"/>
      <c r="G126" s="1324"/>
      <c r="H126" s="1374"/>
    </row>
    <row r="127" spans="1:8">
      <c r="A127" s="1751"/>
      <c r="B127" s="1732" t="str">
        <f>+$B$5</f>
        <v>Tampa Electric 2025 OB Budget</v>
      </c>
      <c r="C127" s="1324"/>
      <c r="D127" s="1324"/>
      <c r="E127" s="1329"/>
      <c r="F127" s="1336" t="s">
        <v>5277</v>
      </c>
      <c r="G127" s="1324"/>
      <c r="H127" s="1374"/>
    </row>
    <row r="128" spans="1:8">
      <c r="A128" s="1751"/>
      <c r="B128" s="1393"/>
      <c r="C128" s="1324"/>
      <c r="D128" s="1324"/>
      <c r="E128" s="1336"/>
      <c r="F128" s="1324"/>
      <c r="G128" s="1324"/>
      <c r="H128" s="1374"/>
    </row>
    <row r="129" spans="1:8">
      <c r="A129" s="1751"/>
      <c r="B129" s="1393"/>
      <c r="C129" s="1324"/>
      <c r="D129" s="1324"/>
      <c r="E129" s="1336"/>
      <c r="F129" s="1324"/>
      <c r="G129" s="1324"/>
      <c r="H129" s="1374"/>
    </row>
    <row r="130" spans="1:8">
      <c r="A130" s="1751"/>
      <c r="B130" s="1393"/>
      <c r="C130" s="1324"/>
      <c r="D130" s="1324"/>
      <c r="E130" s="1324"/>
      <c r="F130" s="1324"/>
      <c r="G130" s="1324"/>
      <c r="H130" s="1374"/>
    </row>
    <row r="131" spans="1:8">
      <c r="A131" s="1751"/>
      <c r="B131" s="1393"/>
      <c r="C131" s="1324"/>
      <c r="D131" s="1324"/>
      <c r="E131" s="1324"/>
      <c r="F131" s="1324"/>
      <c r="G131" s="1324"/>
      <c r="H131" s="1374"/>
    </row>
    <row r="132" spans="1:8" ht="28.2">
      <c r="A132" s="1753" t="s">
        <v>5143</v>
      </c>
      <c r="B132" s="1737" t="s">
        <v>4297</v>
      </c>
      <c r="C132" s="1741"/>
      <c r="D132" s="1741"/>
      <c r="E132" s="1352" t="s">
        <v>5144</v>
      </c>
      <c r="F132" s="1352" t="s">
        <v>4956</v>
      </c>
      <c r="G132" s="1352" t="s">
        <v>4957</v>
      </c>
      <c r="H132" s="1742" t="s">
        <v>5145</v>
      </c>
    </row>
    <row r="133" spans="1:8">
      <c r="A133" s="1751"/>
      <c r="B133" s="1393"/>
      <c r="C133" s="1324"/>
      <c r="D133" s="1324"/>
      <c r="E133" s="1324"/>
      <c r="F133" s="1324"/>
      <c r="G133" s="1324"/>
      <c r="H133" s="1374"/>
    </row>
    <row r="134" spans="1:8">
      <c r="A134" s="1752"/>
      <c r="B134" s="1393">
        <v>1</v>
      </c>
      <c r="C134" s="1362" t="s">
        <v>5278</v>
      </c>
      <c r="D134" s="1324"/>
      <c r="E134" s="1324"/>
      <c r="F134" s="1324"/>
      <c r="G134" s="1324"/>
      <c r="H134" s="1374"/>
    </row>
    <row r="135" spans="1:8">
      <c r="A135" s="1751">
        <v>202</v>
      </c>
      <c r="B135" s="1393">
        <v>2</v>
      </c>
      <c r="C135" s="1324" t="s">
        <v>5279</v>
      </c>
      <c r="D135" s="1324" t="s">
        <v>4067</v>
      </c>
      <c r="E135" s="1324">
        <f>+IF(ISBLANK(REPORTS!F178),"",REPORTS!F178)</f>
        <v>0</v>
      </c>
      <c r="F135" s="1364">
        <f>+IF(ISBLANK(REPORTS!G178),"",REPORTS!G178)</f>
        <v>0</v>
      </c>
      <c r="G135" s="1364">
        <f>+IF(ISBLANK(REPORTS!H178),"",REPORTS!H178)</f>
        <v>0</v>
      </c>
      <c r="H135" s="1374">
        <f>+IF(ISBLANK(REPORTS!I178),"",REPORTS!I178)</f>
        <v>0</v>
      </c>
    </row>
    <row r="136" spans="1:8">
      <c r="A136" s="1751">
        <v>202</v>
      </c>
      <c r="B136" s="1393">
        <v>3</v>
      </c>
      <c r="C136" s="1324" t="s">
        <v>4805</v>
      </c>
      <c r="D136" s="1324" t="s">
        <v>2067</v>
      </c>
      <c r="E136" s="1324">
        <f>+IF(ISBLANK(REPORTS!F179),"",REPORTS!F179)</f>
        <v>0</v>
      </c>
      <c r="F136" s="1364">
        <f>+IF(ISBLANK(REPORTS!G179),"",REPORTS!G179)</f>
        <v>0</v>
      </c>
      <c r="G136" s="1364">
        <f>+IF(ISBLANK(REPORTS!H179),"",REPORTS!H179)</f>
        <v>0</v>
      </c>
      <c r="H136" s="1374">
        <f>+IF(ISBLANK(REPORTS!I179),"",REPORTS!I179)</f>
        <v>0</v>
      </c>
    </row>
    <row r="137" spans="1:8">
      <c r="A137" s="1751">
        <v>202</v>
      </c>
      <c r="B137" s="1393">
        <v>4</v>
      </c>
      <c r="C137" s="1324" t="s">
        <v>4808</v>
      </c>
      <c r="D137" s="1324" t="s">
        <v>2067</v>
      </c>
      <c r="E137" s="1324">
        <f>+IF(ISBLANK(REPORTS!F180),"",REPORTS!F180)</f>
        <v>0</v>
      </c>
      <c r="F137" s="1364">
        <f>+IF(ISBLANK(REPORTS!G180),"",REPORTS!G180)</f>
        <v>0</v>
      </c>
      <c r="G137" s="1364">
        <f>+IF(ISBLANK(REPORTS!H180),"",REPORTS!H180)</f>
        <v>0</v>
      </c>
      <c r="H137" s="1374">
        <f>+IF(ISBLANK(REPORTS!I180),"",REPORTS!I180)</f>
        <v>0</v>
      </c>
    </row>
    <row r="138" spans="1:8">
      <c r="A138" s="1752"/>
      <c r="B138" s="1393">
        <v>5</v>
      </c>
      <c r="C138" s="1324"/>
      <c r="D138" s="1324"/>
      <c r="E138" s="1324" t="str">
        <f>+IF(ISBLANK(REPORTS!F181),"",REPORTS!F181)</f>
        <v/>
      </c>
      <c r="F138" s="1324" t="str">
        <f>+IF(ISBLANK(REPORTS!G181),"",REPORTS!G181)</f>
        <v/>
      </c>
      <c r="G138" s="1324" t="str">
        <f>+IF(ISBLANK(REPORTS!H181),"",REPORTS!H181)</f>
        <v/>
      </c>
      <c r="H138" s="1374" t="str">
        <f>+IF(ISBLANK(REPORTS!I181),"",REPORTS!I181)</f>
        <v/>
      </c>
    </row>
    <row r="139" spans="1:8">
      <c r="A139" s="1752">
        <v>205</v>
      </c>
      <c r="B139" s="1393">
        <v>6</v>
      </c>
      <c r="C139" s="1324" t="s">
        <v>4811</v>
      </c>
      <c r="D139" s="1324" t="s">
        <v>4067</v>
      </c>
      <c r="E139" s="1324">
        <f>+IF(ISBLANK(REPORTS!F182),"",REPORTS!F182)</f>
        <v>0</v>
      </c>
      <c r="F139" s="1364">
        <f>+IF(ISBLANK(REPORTS!G182),"",REPORTS!G182)</f>
        <v>0</v>
      </c>
      <c r="G139" s="1364">
        <f>+IF(ISBLANK(REPORTS!H182),"",REPORTS!H182)</f>
        <v>0</v>
      </c>
      <c r="H139" s="1374">
        <f>+IF(ISBLANK(REPORTS!I182),"",REPORTS!I182)</f>
        <v>0</v>
      </c>
    </row>
    <row r="140" spans="1:8">
      <c r="A140" s="1752">
        <v>205</v>
      </c>
      <c r="B140" s="1393">
        <v>7</v>
      </c>
      <c r="C140" s="1324" t="s">
        <v>5280</v>
      </c>
      <c r="D140" s="1324" t="s">
        <v>2067</v>
      </c>
      <c r="E140" s="1324">
        <f>+IF(ISBLANK(REPORTS!F183),"",REPORTS!F183)</f>
        <v>626.46090775325297</v>
      </c>
      <c r="F140" s="1364">
        <f>+IF(ISBLANK(REPORTS!G183),"",REPORTS!G183)</f>
        <v>0</v>
      </c>
      <c r="G140" s="1364">
        <f>+IF(ISBLANK(REPORTS!H183),"",REPORTS!H183)</f>
        <v>626.46090775325297</v>
      </c>
      <c r="H140" s="1374">
        <f>+IF(ISBLANK(REPORTS!I183),"",REPORTS!I183)</f>
        <v>1</v>
      </c>
    </row>
    <row r="141" spans="1:8">
      <c r="A141" s="1752"/>
      <c r="B141" s="1393">
        <v>8</v>
      </c>
      <c r="C141" s="1324"/>
      <c r="D141" s="1324"/>
      <c r="E141" s="1324" t="str">
        <f>+IF(ISBLANK(REPORTS!F184),"",REPORTS!F184)</f>
        <v/>
      </c>
      <c r="F141" s="1324" t="str">
        <f>+IF(ISBLANK(REPORTS!G184),"",REPORTS!G184)</f>
        <v/>
      </c>
      <c r="G141" s="1324" t="str">
        <f>+IF(ISBLANK(REPORTS!H184),"",REPORTS!H184)</f>
        <v/>
      </c>
      <c r="H141" s="1374" t="str">
        <f>+IF(ISBLANK(REPORTS!I184),"",REPORTS!I184)</f>
        <v/>
      </c>
    </row>
    <row r="142" spans="1:8">
      <c r="A142" s="1752"/>
      <c r="B142" s="1393">
        <v>9</v>
      </c>
      <c r="C142" s="1324" t="s">
        <v>4813</v>
      </c>
      <c r="D142" s="1324" t="s">
        <v>4067</v>
      </c>
      <c r="E142" s="1324">
        <f>+IF(ISBLANK(REPORTS!F185),"",REPORTS!F185)</f>
        <v>0</v>
      </c>
      <c r="F142" s="1324">
        <f>+IF(ISBLANK(REPORTS!G185),"",REPORTS!G185)</f>
        <v>0</v>
      </c>
      <c r="G142" s="1324">
        <f>+IF(ISBLANK(REPORTS!H185),"",REPORTS!H185)</f>
        <v>0</v>
      </c>
      <c r="H142" s="1374">
        <f>+IF(ISBLANK(REPORTS!I185),"",REPORTS!I185)</f>
        <v>0</v>
      </c>
    </row>
    <row r="143" spans="1:8">
      <c r="A143" s="1752"/>
      <c r="B143" s="1393">
        <v>10</v>
      </c>
      <c r="C143" s="1324" t="s">
        <v>4814</v>
      </c>
      <c r="D143" s="1324" t="s">
        <v>2067</v>
      </c>
      <c r="E143" s="1366">
        <f>+IF(ISBLANK(REPORTS!F186),"",REPORTS!F186)</f>
        <v>626.46090775325297</v>
      </c>
      <c r="F143" s="1366">
        <f>+IF(ISBLANK(REPORTS!G186),"",REPORTS!G186)</f>
        <v>0</v>
      </c>
      <c r="G143" s="1366">
        <f>+IF(ISBLANK(REPORTS!H186),"",REPORTS!H186)</f>
        <v>626.46090775325297</v>
      </c>
      <c r="H143" s="1374">
        <f>+IF(ISBLANK(REPORTS!I186),"",REPORTS!I186)</f>
        <v>1</v>
      </c>
    </row>
    <row r="144" spans="1:8">
      <c r="A144" s="1752"/>
      <c r="B144" s="1393">
        <v>11</v>
      </c>
      <c r="C144" s="1324" t="s">
        <v>5283</v>
      </c>
      <c r="D144" s="1324"/>
      <c r="E144" s="1421">
        <f>+IF(ISBLANK(REPORTS!F187),"",REPORTS!F187)</f>
        <v>626.46090775325297</v>
      </c>
      <c r="F144" s="1421">
        <f>+IF(ISBLANK(REPORTS!G187),"",REPORTS!G187)</f>
        <v>0</v>
      </c>
      <c r="G144" s="1421">
        <f>+IF(ISBLANK(REPORTS!H187),"",REPORTS!H187)</f>
        <v>626.46090775325297</v>
      </c>
      <c r="H144" s="1374">
        <f>+IF(ISBLANK(REPORTS!I187),"",REPORTS!I187)</f>
        <v>1</v>
      </c>
    </row>
    <row r="145" spans="1:8">
      <c r="A145" s="1752"/>
      <c r="B145" s="1393">
        <v>12</v>
      </c>
      <c r="C145" s="1324"/>
      <c r="D145" s="1324"/>
      <c r="E145" s="1324" t="str">
        <f>+IF(ISBLANK(REPORTS!F188),"",REPORTS!F188)</f>
        <v/>
      </c>
      <c r="F145" s="1324" t="str">
        <f>+IF(ISBLANK(REPORTS!G188),"",REPORTS!G188)</f>
        <v/>
      </c>
      <c r="G145" s="1324" t="str">
        <f>+IF(ISBLANK(REPORTS!H188),"",REPORTS!H188)</f>
        <v/>
      </c>
      <c r="H145" s="1374" t="str">
        <f>+IF(ISBLANK(REPORTS!I188),"",REPORTS!I188)</f>
        <v/>
      </c>
    </row>
    <row r="146" spans="1:8">
      <c r="A146" s="1752"/>
      <c r="B146" s="1393">
        <v>13</v>
      </c>
      <c r="C146" s="1324"/>
      <c r="D146" s="1324"/>
      <c r="E146" s="1324" t="str">
        <f>+IF(ISBLANK(REPORTS!F189),"",REPORTS!F189)</f>
        <v/>
      </c>
      <c r="F146" s="1324" t="str">
        <f>+IF(ISBLANK(REPORTS!G189),"",REPORTS!G189)</f>
        <v/>
      </c>
      <c r="G146" s="1324" t="str">
        <f>+IF(ISBLANK(REPORTS!H189),"",REPORTS!H189)</f>
        <v/>
      </c>
      <c r="H146" s="1374" t="str">
        <f>+IF(ISBLANK(REPORTS!I189),"",REPORTS!I189)</f>
        <v/>
      </c>
    </row>
    <row r="147" spans="1:8">
      <c r="A147" s="1752"/>
      <c r="B147" s="1393">
        <v>14</v>
      </c>
      <c r="C147" s="1362" t="s">
        <v>5285</v>
      </c>
      <c r="D147" s="1324"/>
      <c r="E147" s="1324" t="str">
        <f>+IF(ISBLANK(REPORTS!F190),"",REPORTS!F190)</f>
        <v/>
      </c>
      <c r="F147" s="1324" t="str">
        <f>+IF(ISBLANK(REPORTS!G190),"",REPORTS!G190)</f>
        <v/>
      </c>
      <c r="G147" s="1324" t="str">
        <f>+IF(ISBLANK(REPORTS!H190),"",REPORTS!H190)</f>
        <v/>
      </c>
      <c r="H147" s="1374" t="str">
        <f>+IF(ISBLANK(REPORTS!I190),"",REPORTS!I190)</f>
        <v/>
      </c>
    </row>
    <row r="148" spans="1:8">
      <c r="A148" s="1751">
        <v>101</v>
      </c>
      <c r="B148" s="1393">
        <v>15</v>
      </c>
      <c r="C148" s="1324" t="s">
        <v>4813</v>
      </c>
      <c r="D148" s="1324" t="s">
        <v>4067</v>
      </c>
      <c r="E148" s="1324">
        <f>+IF(ISBLANK(REPORTS!F191),"",REPORTS!F191)</f>
        <v>95092.072680275</v>
      </c>
      <c r="F148" s="1364">
        <f>+IF(ISBLANK(REPORTS!G191),"",REPORTS!G191)</f>
        <v>0</v>
      </c>
      <c r="G148" s="1364">
        <f>+IF(ISBLANK(REPORTS!H191),"",REPORTS!H191)</f>
        <v>95092.072680275</v>
      </c>
      <c r="H148" s="1374">
        <f>+IF(ISBLANK(REPORTS!I191),"",REPORTS!I191)</f>
        <v>1</v>
      </c>
    </row>
    <row r="149" spans="1:8">
      <c r="A149" s="1751">
        <v>101</v>
      </c>
      <c r="B149" s="1393">
        <v>16</v>
      </c>
      <c r="C149" s="1324" t="s">
        <v>5286</v>
      </c>
      <c r="D149" s="1324" t="s">
        <v>4067</v>
      </c>
      <c r="E149" s="1324">
        <f>+IF(ISBLANK(REPORTS!F192),"",REPORTS!F192)</f>
        <v>0</v>
      </c>
      <c r="F149" s="1364">
        <f>+IF(ISBLANK(REPORTS!G192),"",REPORTS!G192)</f>
        <v>0</v>
      </c>
      <c r="G149" s="1364">
        <f>+IF(ISBLANK(REPORTS!H192),"",REPORTS!H192)</f>
        <v>0</v>
      </c>
      <c r="H149" s="1374">
        <f>+IF(ISBLANK(REPORTS!I192),"",REPORTS!I192)</f>
        <v>0</v>
      </c>
    </row>
    <row r="150" spans="1:8">
      <c r="A150" s="1751">
        <v>201</v>
      </c>
      <c r="B150" s="1393">
        <v>17</v>
      </c>
      <c r="C150" s="1324" t="s">
        <v>4814</v>
      </c>
      <c r="D150" s="1324" t="s">
        <v>2067</v>
      </c>
      <c r="E150" s="1366">
        <f>+IF(ISBLANK(REPORTS!F193),"",REPORTS!F193)</f>
        <v>29310.186608764699</v>
      </c>
      <c r="F150" s="1364">
        <f>+IF(ISBLANK(REPORTS!G193),"",REPORTS!G193)</f>
        <v>0</v>
      </c>
      <c r="G150" s="1364">
        <f>+IF(ISBLANK(REPORTS!H193),"",REPORTS!H193)</f>
        <v>29310.186608764699</v>
      </c>
      <c r="H150" s="1374">
        <f>+IF(ISBLANK(REPORTS!I193),"",REPORTS!I193)</f>
        <v>1</v>
      </c>
    </row>
    <row r="151" spans="1:8">
      <c r="A151" s="1752"/>
      <c r="B151" s="1393">
        <v>18</v>
      </c>
      <c r="C151" s="1324" t="s">
        <v>5288</v>
      </c>
      <c r="D151" s="1324"/>
      <c r="E151" s="1421">
        <f>+IF(ISBLANK(REPORTS!F194),"",REPORTS!F194)</f>
        <v>124402.25928903971</v>
      </c>
      <c r="F151" s="1421">
        <f>+IF(ISBLANK(REPORTS!G194),"",REPORTS!G194)</f>
        <v>0</v>
      </c>
      <c r="G151" s="1421">
        <f>+IF(ISBLANK(REPORTS!H194),"",REPORTS!H194)</f>
        <v>124402.25928903971</v>
      </c>
      <c r="H151" s="1374">
        <f>+IF(ISBLANK(REPORTS!I194),"",REPORTS!I194)</f>
        <v>1</v>
      </c>
    </row>
    <row r="152" spans="1:8">
      <c r="A152" s="1752"/>
      <c r="B152" s="1393">
        <v>19</v>
      </c>
      <c r="C152" s="1324"/>
      <c r="D152" s="1324"/>
      <c r="E152" s="1324" t="str">
        <f>+IF(ISBLANK(REPORTS!F195),"",REPORTS!F195)</f>
        <v/>
      </c>
      <c r="F152" s="1324" t="str">
        <f>+IF(ISBLANK(REPORTS!G195),"",REPORTS!G195)</f>
        <v/>
      </c>
      <c r="G152" s="1324" t="str">
        <f>+IF(ISBLANK(REPORTS!H195),"",REPORTS!H195)</f>
        <v/>
      </c>
      <c r="H152" s="1374" t="str">
        <f>+IF(ISBLANK(REPORTS!I195),"",REPORTS!I195)</f>
        <v/>
      </c>
    </row>
    <row r="153" spans="1:8">
      <c r="A153" s="1752"/>
      <c r="B153" s="1393">
        <v>20</v>
      </c>
      <c r="C153" s="1324"/>
      <c r="D153" s="1324"/>
      <c r="E153" s="1324" t="str">
        <f>+IF(ISBLANK(REPORTS!F196),"",REPORTS!F196)</f>
        <v/>
      </c>
      <c r="F153" s="1324" t="str">
        <f>+IF(ISBLANK(REPORTS!G196),"",REPORTS!G196)</f>
        <v/>
      </c>
      <c r="G153" s="1324" t="str">
        <f>+IF(ISBLANK(REPORTS!H196),"",REPORTS!H196)</f>
        <v/>
      </c>
      <c r="H153" s="1374" t="str">
        <f>+IF(ISBLANK(REPORTS!I196),"",REPORTS!I196)</f>
        <v/>
      </c>
    </row>
    <row r="154" spans="1:8">
      <c r="A154" s="1752"/>
      <c r="B154" s="1393">
        <v>21</v>
      </c>
      <c r="C154" s="1362" t="s">
        <v>5290</v>
      </c>
      <c r="D154" s="1324"/>
      <c r="E154" s="1324" t="str">
        <f>+IF(ISBLANK(REPORTS!F197),"",REPORTS!F197)</f>
        <v/>
      </c>
      <c r="F154" s="1324" t="str">
        <f>+IF(ISBLANK(REPORTS!G197),"",REPORTS!G197)</f>
        <v/>
      </c>
      <c r="G154" s="1324" t="str">
        <f>+IF(ISBLANK(REPORTS!H197),"",REPORTS!H197)</f>
        <v/>
      </c>
      <c r="H154" s="1374" t="str">
        <f>+IF(ISBLANK(REPORTS!I197),"",REPORTS!I197)</f>
        <v/>
      </c>
    </row>
    <row r="155" spans="1:8">
      <c r="A155" s="1751">
        <v>101</v>
      </c>
      <c r="B155" s="1393">
        <v>22</v>
      </c>
      <c r="C155" s="1324" t="s">
        <v>5291</v>
      </c>
      <c r="D155" s="1324" t="s">
        <v>4067</v>
      </c>
      <c r="E155" s="1366">
        <f>+IF(ISBLANK(REPORTS!F198),"",REPORTS!F198)</f>
        <v>3435.0487828274636</v>
      </c>
      <c r="F155" s="1366">
        <f>+IF(ISBLANK(REPORTS!G198),"",REPORTS!G198)</f>
        <v>0</v>
      </c>
      <c r="G155" s="1366">
        <f>+IF(ISBLANK(REPORTS!H198),"",REPORTS!H198)</f>
        <v>3435.0487828274636</v>
      </c>
      <c r="H155" s="1374">
        <f>+IF(ISBLANK(REPORTS!I198),"",REPORTS!I198)</f>
        <v>1</v>
      </c>
    </row>
    <row r="156" spans="1:8">
      <c r="A156" s="1752"/>
      <c r="B156" s="1393">
        <v>23</v>
      </c>
      <c r="C156" s="1324"/>
      <c r="D156" s="1324"/>
      <c r="E156" s="1324" t="str">
        <f>+IF(ISBLANK(REPORTS!F199),"",REPORTS!F199)</f>
        <v/>
      </c>
      <c r="F156" s="1324" t="str">
        <f>+IF(ISBLANK(REPORTS!G199),"",REPORTS!G199)</f>
        <v/>
      </c>
      <c r="G156" s="1324" t="str">
        <f>+IF(ISBLANK(REPORTS!H199),"",REPORTS!H199)</f>
        <v/>
      </c>
      <c r="H156" s="1374" t="str">
        <f>+IF(ISBLANK(REPORTS!I199),"",REPORTS!I199)</f>
        <v/>
      </c>
    </row>
    <row r="157" spans="1:8">
      <c r="A157" s="1751">
        <v>117</v>
      </c>
      <c r="B157" s="1393">
        <v>24</v>
      </c>
      <c r="C157" s="1324" t="s">
        <v>5292</v>
      </c>
      <c r="D157" s="1324" t="s">
        <v>4067</v>
      </c>
      <c r="E157" s="1366">
        <f>+IF(ISBLANK(REPORTS!F200),"",REPORTS!F200)</f>
        <v>2130.0112029296843</v>
      </c>
      <c r="F157" s="1366">
        <f>+IF(ISBLANK(REPORTS!G200),"",REPORTS!G200)</f>
        <v>137.99672901394752</v>
      </c>
      <c r="G157" s="1366">
        <f>+IF(ISBLANK(REPORTS!H200),"",REPORTS!H200)</f>
        <v>1992.0144739157365</v>
      </c>
      <c r="H157" s="1374">
        <f>+IF(ISBLANK(REPORTS!I200),"",REPORTS!I200)</f>
        <v>0.93521314403222733</v>
      </c>
    </row>
    <row r="158" spans="1:8">
      <c r="A158" s="1752"/>
      <c r="B158" s="1393">
        <v>25</v>
      </c>
      <c r="C158" s="1324"/>
      <c r="D158" s="1324"/>
      <c r="E158" s="1324" t="str">
        <f>+IF(ISBLANK(REPORTS!F201),"",REPORTS!F201)</f>
        <v/>
      </c>
      <c r="F158" s="1324" t="str">
        <f>+IF(ISBLANK(REPORTS!G201),"",REPORTS!G201)</f>
        <v/>
      </c>
      <c r="G158" s="1324" t="str">
        <f>+IF(ISBLANK(REPORTS!H201),"",REPORTS!H201)</f>
        <v/>
      </c>
      <c r="H158" s="1374" t="str">
        <f>+IF(ISBLANK(REPORTS!I201),"",REPORTS!I201)</f>
        <v/>
      </c>
    </row>
    <row r="159" spans="1:8">
      <c r="A159" s="1752"/>
      <c r="B159" s="1393">
        <v>26</v>
      </c>
      <c r="C159" s="1324" t="s">
        <v>1953</v>
      </c>
      <c r="D159" s="1324"/>
      <c r="E159" s="1324" t="str">
        <f>+IF(ISBLANK(REPORTS!F202),"",REPORTS!F202)</f>
        <v/>
      </c>
      <c r="F159" s="1324" t="str">
        <f>+IF(ISBLANK(REPORTS!G202),"",REPORTS!G202)</f>
        <v/>
      </c>
      <c r="G159" s="1324" t="str">
        <f>+IF(ISBLANK(REPORTS!H202),"",REPORTS!H202)</f>
        <v/>
      </c>
      <c r="H159" s="1374" t="str">
        <f>+IF(ISBLANK(REPORTS!I202),"",REPORTS!I202)</f>
        <v/>
      </c>
    </row>
    <row r="160" spans="1:8">
      <c r="A160" s="1751">
        <v>117</v>
      </c>
      <c r="B160" s="1393">
        <v>27</v>
      </c>
      <c r="C160" s="1324" t="s">
        <v>5293</v>
      </c>
      <c r="D160" s="1324" t="s">
        <v>4067</v>
      </c>
      <c r="E160" s="1364">
        <f>+IF(ISBLANK(REPORTS!F203),"",REPORTS!F203)</f>
        <v>4395.4471926732531</v>
      </c>
      <c r="F160" s="1364">
        <f>+IF(ISBLANK(REPORTS!G203),"",REPORTS!G203)</f>
        <v>284.76720418567248</v>
      </c>
      <c r="G160" s="1364">
        <f>+IF(ISBLANK(REPORTS!H203),"",REPORTS!H203)</f>
        <v>4110.67998848758</v>
      </c>
      <c r="H160" s="1374">
        <f>+IF(ISBLANK(REPORTS!I203),"",REPORTS!I203)</f>
        <v>0.93521314403222722</v>
      </c>
    </row>
    <row r="161" spans="1:8">
      <c r="A161" s="1751">
        <v>117</v>
      </c>
      <c r="B161" s="1393">
        <v>28</v>
      </c>
      <c r="C161" s="1324" t="s">
        <v>5294</v>
      </c>
      <c r="D161" s="1324" t="s">
        <v>4067</v>
      </c>
      <c r="E161" s="1364">
        <f>+IF(ISBLANK(REPORTS!F204),"",REPORTS!F204)</f>
        <v>1579.0860305628878</v>
      </c>
      <c r="F161" s="1364">
        <f>+IF(ISBLANK(REPORTS!G204),"",REPORTS!G204)</f>
        <v>102.30401922279958</v>
      </c>
      <c r="G161" s="1364">
        <f>+IF(ISBLANK(REPORTS!H204),"",REPORTS!H204)</f>
        <v>1476.782011340088</v>
      </c>
      <c r="H161" s="1374">
        <f>+IF(ISBLANK(REPORTS!I204),"",REPORTS!I204)</f>
        <v>0.93521314403222733</v>
      </c>
    </row>
    <row r="162" spans="1:8">
      <c r="A162" s="1752"/>
      <c r="B162" s="1393">
        <v>29</v>
      </c>
      <c r="C162" s="1324" t="s">
        <v>1953</v>
      </c>
      <c r="D162" s="1324"/>
      <c r="E162" s="1421">
        <f>+IF(ISBLANK(REPORTS!F205),"",REPORTS!F205)</f>
        <v>5974.5332232361407</v>
      </c>
      <c r="F162" s="1421">
        <f>+IF(ISBLANK(REPORTS!G205),"",REPORTS!G205)</f>
        <v>387.07122340847206</v>
      </c>
      <c r="G162" s="1421">
        <f>+IF(ISBLANK(REPORTS!H205),"",REPORTS!H205)</f>
        <v>5587.4619998276685</v>
      </c>
      <c r="H162" s="1374">
        <f>+IF(ISBLANK(REPORTS!I205),"",REPORTS!I205)</f>
        <v>0.93521314403222733</v>
      </c>
    </row>
    <row r="163" spans="1:8">
      <c r="A163" s="1751"/>
      <c r="B163" s="1393">
        <v>30</v>
      </c>
      <c r="C163" s="1324"/>
      <c r="D163" s="1324"/>
      <c r="E163" s="1324" t="str">
        <f>+IF(ISBLANK(REPORTS!F206),"",REPORTS!F206)</f>
        <v/>
      </c>
      <c r="F163" s="1324" t="str">
        <f>+IF(ISBLANK(REPORTS!G206),"",REPORTS!G206)</f>
        <v/>
      </c>
      <c r="G163" s="1324" t="str">
        <f>+IF(ISBLANK(REPORTS!H206),"",REPORTS!H206)</f>
        <v/>
      </c>
      <c r="H163" s="1374" t="str">
        <f>+IF(ISBLANK(REPORTS!I206),"",REPORTS!I206)</f>
        <v/>
      </c>
    </row>
    <row r="164" spans="1:8">
      <c r="A164" s="1751"/>
      <c r="B164" s="1393">
        <v>31</v>
      </c>
      <c r="C164" s="1324" t="s">
        <v>5296</v>
      </c>
      <c r="D164" s="1324"/>
      <c r="E164" s="1366">
        <f>+IF(ISBLANK(REPORTS!F207),"",REPORTS!F207)</f>
        <v>11539.593208993288</v>
      </c>
      <c r="F164" s="1366">
        <f>+IF(ISBLANK(REPORTS!G207),"",REPORTS!G207)</f>
        <v>525.06795242241958</v>
      </c>
      <c r="G164" s="1366">
        <f>+IF(ISBLANK(REPORTS!H207),"",REPORTS!H207)</f>
        <v>11014.525256570869</v>
      </c>
      <c r="H164" s="1374">
        <f>+IF(ISBLANK(REPORTS!I207),"",REPORTS!I207)</f>
        <v>0.95449857348409717</v>
      </c>
    </row>
    <row r="184" spans="1:8">
      <c r="A184" s="1751"/>
      <c r="B184" s="1416" t="str">
        <f>+$B$1</f>
        <v>RATES WITH REVENUE DEFICIENCY ADDITION</v>
      </c>
      <c r="C184" s="1324"/>
      <c r="D184" s="1324"/>
      <c r="E184" s="1336"/>
      <c r="F184" s="1329" t="s">
        <v>2173</v>
      </c>
      <c r="G184" s="1324"/>
      <c r="H184" s="1334" t="s">
        <v>4875</v>
      </c>
    </row>
    <row r="185" spans="1:8">
      <c r="A185" s="1751"/>
      <c r="B185" s="1416" t="str">
        <f>+$B$2</f>
        <v xml:space="preserve">PROD. CAP. ALLOC. METHOD: 12 CP </v>
      </c>
      <c r="C185" s="1324"/>
      <c r="D185" s="1324"/>
      <c r="E185" s="1324"/>
      <c r="F185" s="1336" t="s">
        <v>4768</v>
      </c>
      <c r="G185" s="1324"/>
      <c r="H185" s="1731" t="s">
        <v>5276</v>
      </c>
    </row>
    <row r="186" spans="1:8">
      <c r="A186" s="1751"/>
      <c r="B186" s="1416" t="str">
        <f>+$B$3</f>
        <v>PROJECTED CALENDAR YEAR 2025; FULLY ADJUSTED DATA</v>
      </c>
      <c r="C186" s="1324"/>
      <c r="D186" s="1324"/>
      <c r="E186" s="1324"/>
      <c r="F186" s="1336" t="s">
        <v>2181</v>
      </c>
      <c r="G186" s="1324"/>
      <c r="H186" s="1374"/>
    </row>
    <row r="187" spans="1:8">
      <c r="A187" s="1751"/>
      <c r="B187" s="1732">
        <f>+$B$4</f>
        <v>0</v>
      </c>
      <c r="C187" s="1364"/>
      <c r="D187" s="1324"/>
      <c r="E187" s="1324"/>
      <c r="F187" s="1324"/>
      <c r="G187" s="1324"/>
      <c r="H187" s="1374"/>
    </row>
    <row r="188" spans="1:8">
      <c r="A188" s="1751"/>
      <c r="B188" s="1732" t="str">
        <f>+$B$5</f>
        <v>Tampa Electric 2025 OB Budget</v>
      </c>
      <c r="C188" s="1324"/>
      <c r="D188" s="1324"/>
      <c r="E188" s="1329"/>
      <c r="F188" s="1336" t="s">
        <v>5277</v>
      </c>
      <c r="G188" s="1324"/>
      <c r="H188" s="1374"/>
    </row>
    <row r="189" spans="1:8">
      <c r="A189" s="1751"/>
      <c r="B189" s="1393"/>
      <c r="C189" s="1324"/>
      <c r="D189" s="1324"/>
      <c r="E189" s="1336"/>
      <c r="F189" s="1324"/>
      <c r="G189" s="1324"/>
      <c r="H189" s="1374"/>
    </row>
    <row r="190" spans="1:8">
      <c r="A190" s="1751"/>
      <c r="B190" s="1393"/>
      <c r="C190" s="1324"/>
      <c r="D190" s="1324"/>
      <c r="E190" s="1336"/>
      <c r="F190" s="1324"/>
      <c r="G190" s="1324"/>
      <c r="H190" s="1374"/>
    </row>
    <row r="191" spans="1:8">
      <c r="A191" s="1751"/>
      <c r="B191" s="1393"/>
      <c r="C191" s="1324"/>
      <c r="D191" s="1324"/>
      <c r="E191" s="1324"/>
      <c r="F191" s="1324"/>
      <c r="G191" s="1324"/>
      <c r="H191" s="1374"/>
    </row>
    <row r="192" spans="1:8">
      <c r="A192" s="1751"/>
      <c r="B192" s="1735"/>
      <c r="C192" s="1416"/>
      <c r="D192" s="1416"/>
      <c r="E192" s="1336"/>
      <c r="F192" s="1336"/>
      <c r="G192" s="1336"/>
      <c r="H192" s="1736"/>
    </row>
    <row r="193" spans="1:8" ht="28.2">
      <c r="A193" s="1751"/>
      <c r="B193" s="1737" t="s">
        <v>4297</v>
      </c>
      <c r="C193" s="1741"/>
      <c r="D193" s="1741"/>
      <c r="E193" s="1352" t="s">
        <v>5144</v>
      </c>
      <c r="F193" s="1352" t="s">
        <v>4956</v>
      </c>
      <c r="G193" s="1352" t="s">
        <v>4957</v>
      </c>
      <c r="H193" s="1742" t="s">
        <v>5145</v>
      </c>
    </row>
    <row r="194" spans="1:8" ht="28.2">
      <c r="A194" s="1753" t="s">
        <v>5143</v>
      </c>
      <c r="B194" s="1393"/>
      <c r="C194" s="1324"/>
      <c r="D194" s="1324"/>
      <c r="E194" s="1324"/>
      <c r="F194" s="1324"/>
      <c r="G194" s="1324"/>
      <c r="H194" s="1374"/>
    </row>
    <row r="195" spans="1:8">
      <c r="A195" s="1751"/>
      <c r="B195" s="1393">
        <v>32</v>
      </c>
      <c r="C195" s="1362" t="s">
        <v>5300</v>
      </c>
      <c r="D195" s="1324"/>
      <c r="E195" s="1324"/>
      <c r="F195" s="1324"/>
      <c r="G195" s="1324"/>
      <c r="H195" s="1374"/>
    </row>
    <row r="196" spans="1:8">
      <c r="A196" s="1752"/>
      <c r="B196" s="1393">
        <v>33</v>
      </c>
      <c r="C196" s="1324" t="s">
        <v>5293</v>
      </c>
      <c r="D196" s="1324" t="s">
        <v>4067</v>
      </c>
      <c r="E196" s="1366">
        <f>+IF(ISBLANK(REPORTS!F225),"",REPORTS!F225)</f>
        <v>5220.568253917193</v>
      </c>
      <c r="F196" s="1743">
        <f>+IF(ISBLANK(REPORTS!G225),"",REPORTS!G225)</f>
        <v>0</v>
      </c>
      <c r="G196" s="1366">
        <f>+IF(ISBLANK(REPORTS!H225),"",REPORTS!H225)</f>
        <v>5220.568253917193</v>
      </c>
      <c r="H196" s="1374">
        <f>+IF(ISBLANK(REPORTS!I225),"",REPORTS!I225)</f>
        <v>1</v>
      </c>
    </row>
    <row r="197" spans="1:8">
      <c r="A197" s="1751">
        <v>105</v>
      </c>
      <c r="B197" s="1393">
        <v>34</v>
      </c>
      <c r="C197" s="1324"/>
      <c r="D197" s="1324"/>
      <c r="E197" s="1324" t="str">
        <f>+IF(ISBLANK(REPORTS!F226),"",REPORTS!F226)</f>
        <v/>
      </c>
      <c r="F197" s="1324" t="str">
        <f>+IF(ISBLANK(REPORTS!G226),"",REPORTS!G226)</f>
        <v/>
      </c>
      <c r="G197" s="1324" t="str">
        <f>+IF(ISBLANK(REPORTS!H226),"",REPORTS!H226)</f>
        <v/>
      </c>
      <c r="H197" s="1374" t="str">
        <f>+IF(ISBLANK(REPORTS!I226),"",REPORTS!I226)</f>
        <v/>
      </c>
    </row>
    <row r="198" spans="1:8">
      <c r="A198" s="1752"/>
      <c r="B198" s="1393">
        <v>35</v>
      </c>
      <c r="C198" s="1324" t="s">
        <v>5301</v>
      </c>
      <c r="D198" s="1324" t="s">
        <v>4071</v>
      </c>
      <c r="E198" s="1324">
        <f>+IF(ISBLANK(REPORTS!F227),"",REPORTS!F227)</f>
        <v>1266.5742759713339</v>
      </c>
      <c r="F198" s="1429">
        <f>+IF(ISBLANK(REPORTS!G227),"",REPORTS!G227)</f>
        <v>0</v>
      </c>
      <c r="G198" s="1429">
        <f>+IF(ISBLANK(REPORTS!H227),"",REPORTS!H227)</f>
        <v>1266.5742759713339</v>
      </c>
      <c r="H198" s="1374">
        <f>+IF(ISBLANK(REPORTS!I227),"",REPORTS!I227)</f>
        <v>1</v>
      </c>
    </row>
    <row r="199" spans="1:8">
      <c r="A199" s="1751">
        <v>310</v>
      </c>
      <c r="B199" s="1393">
        <v>36</v>
      </c>
      <c r="C199" s="1324" t="s">
        <v>5303</v>
      </c>
      <c r="D199" s="1324" t="s">
        <v>4067</v>
      </c>
      <c r="E199" s="1324">
        <f>+IF(ISBLANK(REPORTS!F228),"",REPORTS!F228)</f>
        <v>19118.911569194039</v>
      </c>
      <c r="F199" s="1364">
        <f>+IF(ISBLANK(REPORTS!G228),"",REPORTS!G228)</f>
        <v>0</v>
      </c>
      <c r="G199" s="1364">
        <f>+IF(ISBLANK(REPORTS!H228),"",REPORTS!H228)</f>
        <v>19118.911569194039</v>
      </c>
      <c r="H199" s="1374">
        <f>+IF(ISBLANK(REPORTS!I228),"",REPORTS!I228)</f>
        <v>1</v>
      </c>
    </row>
    <row r="200" spans="1:8">
      <c r="A200" s="1751">
        <v>105</v>
      </c>
      <c r="B200" s="1393">
        <v>37</v>
      </c>
      <c r="C200" s="1324" t="s">
        <v>5304</v>
      </c>
      <c r="D200" s="1324" t="s">
        <v>4071</v>
      </c>
      <c r="E200" s="1324">
        <f>+IF(ISBLANK(REPORTS!F229),"",REPORTS!F229)</f>
        <v>0</v>
      </c>
      <c r="F200" s="1364">
        <f>+IF(ISBLANK(REPORTS!G229),"",REPORTS!G229)</f>
        <v>0</v>
      </c>
      <c r="G200" s="1364">
        <f>+IF(ISBLANK(REPORTS!H229),"",REPORTS!H229)</f>
        <v>0</v>
      </c>
      <c r="H200" s="1374">
        <f>+IF(ISBLANK(REPORTS!I229),"",REPORTS!I229)</f>
        <v>0</v>
      </c>
    </row>
    <row r="201" spans="1:8">
      <c r="A201" s="1751">
        <v>418</v>
      </c>
      <c r="B201" s="1393">
        <v>38</v>
      </c>
      <c r="C201" s="1324" t="s">
        <v>5306</v>
      </c>
      <c r="D201" s="1324" t="s">
        <v>4067</v>
      </c>
      <c r="E201" s="1324">
        <f>+IF(ISBLANK(REPORTS!F230),"",REPORTS!F230)</f>
        <v>4451.4384580897895</v>
      </c>
      <c r="F201" s="1364">
        <f>+IF(ISBLANK(REPORTS!G230),"",REPORTS!G230)</f>
        <v>0</v>
      </c>
      <c r="G201" s="1364">
        <f>+IF(ISBLANK(REPORTS!H230),"",REPORTS!H230)</f>
        <v>4451.4384580897895</v>
      </c>
      <c r="H201" s="1374">
        <f>+IF(ISBLANK(REPORTS!I230),"",REPORTS!I230)</f>
        <v>1</v>
      </c>
    </row>
    <row r="202" spans="1:8">
      <c r="A202" s="1751">
        <v>106</v>
      </c>
      <c r="B202" s="1393">
        <v>39</v>
      </c>
      <c r="C202" s="1324" t="s">
        <v>5307</v>
      </c>
      <c r="D202" s="1324" t="s">
        <v>4071</v>
      </c>
      <c r="E202" s="1324">
        <f>+IF(ISBLANK(REPORTS!F231),"",REPORTS!F231)</f>
        <v>0</v>
      </c>
      <c r="F202" s="1366">
        <f>+IF(ISBLANK(REPORTS!G231),"",REPORTS!G231)</f>
        <v>0</v>
      </c>
      <c r="G202" s="1366">
        <f>+IF(ISBLANK(REPORTS!H231),"",REPORTS!H231)</f>
        <v>0</v>
      </c>
      <c r="H202" s="1374">
        <f>+IF(ISBLANK(REPORTS!I231),"",REPORTS!I231)</f>
        <v>0</v>
      </c>
    </row>
    <row r="203" spans="1:8">
      <c r="A203" s="1751">
        <v>420</v>
      </c>
      <c r="B203" s="1393">
        <v>40</v>
      </c>
      <c r="C203" s="1324" t="s">
        <v>5308</v>
      </c>
      <c r="D203" s="1324"/>
      <c r="E203" s="1421">
        <f>+IF(ISBLANK(REPORTS!F232),"",REPORTS!F232)</f>
        <v>24836.92430325516</v>
      </c>
      <c r="F203" s="1366">
        <f>+IF(ISBLANK(REPORTS!G232),"",REPORTS!G232)</f>
        <v>0</v>
      </c>
      <c r="G203" s="1366">
        <f>+IF(ISBLANK(REPORTS!H232),"",REPORTS!H232)</f>
        <v>24836.92430325516</v>
      </c>
      <c r="H203" s="1374">
        <f>+IF(ISBLANK(REPORTS!I232),"",REPORTS!I232)</f>
        <v>1</v>
      </c>
    </row>
    <row r="204" spans="1:8">
      <c r="A204" s="1752"/>
      <c r="B204" s="1393">
        <v>41</v>
      </c>
      <c r="C204" s="1324"/>
      <c r="D204" s="1324"/>
      <c r="E204" s="1324" t="str">
        <f>+IF(ISBLANK(REPORTS!F233),"",REPORTS!F233)</f>
        <v/>
      </c>
      <c r="F204" s="1324" t="str">
        <f>+IF(ISBLANK(REPORTS!G233),"",REPORTS!G233)</f>
        <v/>
      </c>
      <c r="G204" s="1324" t="str">
        <f>+IF(ISBLANK(REPORTS!H233),"",REPORTS!H233)</f>
        <v/>
      </c>
      <c r="H204" s="1374" t="str">
        <f>+IF(ISBLANK(REPORTS!I233),"",REPORTS!I233)</f>
        <v/>
      </c>
    </row>
    <row r="205" spans="1:8">
      <c r="A205" s="1752"/>
      <c r="B205" s="1393">
        <v>42</v>
      </c>
      <c r="C205" s="1324" t="s">
        <v>5310</v>
      </c>
      <c r="D205" s="1324" t="s">
        <v>4071</v>
      </c>
      <c r="E205" s="1324">
        <f>+IF(ISBLANK(REPORTS!F234),"",REPORTS!F234)</f>
        <v>3.1713748859914901</v>
      </c>
      <c r="F205" s="1429">
        <f>+IF(ISBLANK(REPORTS!G234),"",REPORTS!G234)</f>
        <v>0</v>
      </c>
      <c r="G205" s="1429">
        <f>+IF(ISBLANK(REPORTS!H234),"",REPORTS!H234)</f>
        <v>3.1713748859914901</v>
      </c>
      <c r="H205" s="1374">
        <f>+IF(ISBLANK(REPORTS!I234),"",REPORTS!I234)</f>
        <v>1</v>
      </c>
    </row>
    <row r="206" spans="1:8">
      <c r="A206" s="1751">
        <v>310</v>
      </c>
      <c r="B206" s="1393">
        <v>43</v>
      </c>
      <c r="C206" s="1324" t="s">
        <v>5311</v>
      </c>
      <c r="D206" s="1324" t="s">
        <v>4067</v>
      </c>
      <c r="E206" s="1324">
        <f>+IF(ISBLANK(REPORTS!F235),"",REPORTS!F235)</f>
        <v>6192.9745707198108</v>
      </c>
      <c r="F206" s="1364">
        <f>+IF(ISBLANK(REPORTS!G235),"",REPORTS!G235)</f>
        <v>0</v>
      </c>
      <c r="G206" s="1364">
        <f>+IF(ISBLANK(REPORTS!H235),"",REPORTS!H235)</f>
        <v>6192.9745707198108</v>
      </c>
      <c r="H206" s="1374">
        <f>+IF(ISBLANK(REPORTS!I235),"",REPORTS!I235)</f>
        <v>1</v>
      </c>
    </row>
    <row r="207" spans="1:8">
      <c r="A207" s="1751">
        <v>105</v>
      </c>
      <c r="B207" s="1393">
        <v>44</v>
      </c>
      <c r="C207" s="1324" t="s">
        <v>5312</v>
      </c>
      <c r="D207" s="1324" t="s">
        <v>4071</v>
      </c>
      <c r="E207" s="1324">
        <f>+IF(ISBLANK(REPORTS!F236),"",REPORTS!F236)</f>
        <v>0</v>
      </c>
      <c r="F207" s="1364">
        <f>+IF(ISBLANK(REPORTS!G236),"",REPORTS!G236)</f>
        <v>0</v>
      </c>
      <c r="G207" s="1364">
        <f>+IF(ISBLANK(REPORTS!H236),"",REPORTS!H236)</f>
        <v>0</v>
      </c>
      <c r="H207" s="1374">
        <f>+IF(ISBLANK(REPORTS!I236),"",REPORTS!I236)</f>
        <v>0</v>
      </c>
    </row>
    <row r="208" spans="1:8">
      <c r="A208" s="1751">
        <v>418</v>
      </c>
      <c r="B208" s="1393">
        <v>45</v>
      </c>
      <c r="C208" s="1324" t="s">
        <v>5313</v>
      </c>
      <c r="D208" s="1324" t="s">
        <v>4067</v>
      </c>
      <c r="E208" s="1324">
        <f>+IF(ISBLANK(REPORTS!F237),"",REPORTS!F237)</f>
        <v>472.19143504708194</v>
      </c>
      <c r="F208" s="1364">
        <f>+IF(ISBLANK(REPORTS!G237),"",REPORTS!G237)</f>
        <v>0</v>
      </c>
      <c r="G208" s="1364">
        <f>+IF(ISBLANK(REPORTS!H237),"",REPORTS!H237)</f>
        <v>472.19143504708194</v>
      </c>
      <c r="H208" s="1374">
        <f>+IF(ISBLANK(REPORTS!I237),"",REPORTS!I237)</f>
        <v>1</v>
      </c>
    </row>
    <row r="209" spans="1:8">
      <c r="A209" s="1751">
        <v>106</v>
      </c>
      <c r="B209" s="1393">
        <v>46</v>
      </c>
      <c r="C209" s="1324" t="s">
        <v>5314</v>
      </c>
      <c r="D209" s="1324" t="s">
        <v>4071</v>
      </c>
      <c r="E209" s="1324">
        <f>+IF(ISBLANK(REPORTS!F238),"",REPORTS!F238)</f>
        <v>0</v>
      </c>
      <c r="F209" s="1366">
        <f>+IF(ISBLANK(REPORTS!G238),"",REPORTS!G238)</f>
        <v>0</v>
      </c>
      <c r="G209" s="1366">
        <f>+IF(ISBLANK(REPORTS!H238),"",REPORTS!H238)</f>
        <v>0</v>
      </c>
      <c r="H209" s="1374">
        <f>+IF(ISBLANK(REPORTS!I238),"",REPORTS!I238)</f>
        <v>0</v>
      </c>
    </row>
    <row r="210" spans="1:8">
      <c r="A210" s="1751">
        <v>420</v>
      </c>
      <c r="B210" s="1393">
        <v>47</v>
      </c>
      <c r="C210" s="1324" t="s">
        <v>5315</v>
      </c>
      <c r="D210" s="1324"/>
      <c r="E210" s="1421">
        <f>+IF(ISBLANK(REPORTS!F239),"",REPORTS!F239)</f>
        <v>6668.3373806528834</v>
      </c>
      <c r="F210" s="1366">
        <f>+IF(ISBLANK(REPORTS!G239),"",REPORTS!G239)</f>
        <v>0</v>
      </c>
      <c r="G210" s="1366">
        <f>+IF(ISBLANK(REPORTS!H239),"",REPORTS!H239)</f>
        <v>6668.3373806528834</v>
      </c>
      <c r="H210" s="1374">
        <f>+IF(ISBLANK(REPORTS!I239),"",REPORTS!I239)</f>
        <v>1</v>
      </c>
    </row>
    <row r="211" spans="1:8">
      <c r="A211" s="1752"/>
      <c r="B211" s="1393">
        <v>48</v>
      </c>
      <c r="C211" s="1324"/>
      <c r="D211" s="1324"/>
      <c r="E211" s="1324" t="str">
        <f>+IF(ISBLANK(REPORTS!F240),"",REPORTS!F240)</f>
        <v/>
      </c>
      <c r="F211" s="1324" t="str">
        <f>+IF(ISBLANK(REPORTS!G240),"",REPORTS!G240)</f>
        <v/>
      </c>
      <c r="G211" s="1324" t="str">
        <f>+IF(ISBLANK(REPORTS!H240),"",REPORTS!H240)</f>
        <v/>
      </c>
      <c r="H211" s="1374" t="str">
        <f>+IF(ISBLANK(REPORTS!I240),"",REPORTS!I240)</f>
        <v/>
      </c>
    </row>
    <row r="212" spans="1:8">
      <c r="A212" s="1752"/>
      <c r="B212" s="1393">
        <v>49</v>
      </c>
      <c r="C212" s="1324" t="s">
        <v>5317</v>
      </c>
      <c r="D212" s="1324" t="s">
        <v>4071</v>
      </c>
      <c r="E212" s="1324">
        <f>+IF(ISBLANK(REPORTS!F241),"",REPORTS!F241)</f>
        <v>0</v>
      </c>
      <c r="F212" s="1429">
        <f>+IF(ISBLANK(REPORTS!G241),"",REPORTS!G241)</f>
        <v>0</v>
      </c>
      <c r="G212" s="1429">
        <f>+IF(ISBLANK(REPORTS!H241),"",REPORTS!H241)</f>
        <v>0</v>
      </c>
      <c r="H212" s="1374">
        <f>+IF(ISBLANK(REPORTS!I241),"",REPORTS!I241)</f>
        <v>0</v>
      </c>
    </row>
    <row r="213" spans="1:8">
      <c r="A213" s="1751">
        <v>310</v>
      </c>
      <c r="B213" s="1393">
        <v>50</v>
      </c>
      <c r="C213" s="1324" t="s">
        <v>5318</v>
      </c>
      <c r="D213" s="1324" t="s">
        <v>4067</v>
      </c>
      <c r="E213" s="1324">
        <f>+IF(ISBLANK(REPORTS!F242),"",REPORTS!F242)</f>
        <v>50.038320628456624</v>
      </c>
      <c r="F213" s="1364">
        <f>+IF(ISBLANK(REPORTS!G242),"",REPORTS!G242)</f>
        <v>0</v>
      </c>
      <c r="G213" s="1364">
        <f>+IF(ISBLANK(REPORTS!H242),"",REPORTS!H242)</f>
        <v>50.038320628456624</v>
      </c>
      <c r="H213" s="1374">
        <f>+IF(ISBLANK(REPORTS!I242),"",REPORTS!I242)</f>
        <v>1</v>
      </c>
    </row>
    <row r="214" spans="1:8">
      <c r="A214" s="1751">
        <v>105</v>
      </c>
      <c r="B214" s="1393">
        <v>51</v>
      </c>
      <c r="C214" s="1324" t="s">
        <v>5319</v>
      </c>
      <c r="D214" s="1324" t="s">
        <v>4071</v>
      </c>
      <c r="E214" s="1324">
        <f>+IF(ISBLANK(REPORTS!F243),"",REPORTS!F243)</f>
        <v>0</v>
      </c>
      <c r="F214" s="1364">
        <f>+IF(ISBLANK(REPORTS!G243),"",REPORTS!G243)</f>
        <v>0</v>
      </c>
      <c r="G214" s="1364">
        <f>+IF(ISBLANK(REPORTS!H243),"",REPORTS!H243)</f>
        <v>0</v>
      </c>
      <c r="H214" s="1374">
        <f>+IF(ISBLANK(REPORTS!I243),"",REPORTS!I243)</f>
        <v>0</v>
      </c>
    </row>
    <row r="215" spans="1:8">
      <c r="A215" s="1751">
        <v>418</v>
      </c>
      <c r="B215" s="1393">
        <v>52</v>
      </c>
      <c r="C215" s="1324" t="s">
        <v>5320</v>
      </c>
      <c r="D215" s="1324" t="s">
        <v>4067</v>
      </c>
      <c r="E215" s="1324">
        <f>+IF(ISBLANK(REPORTS!F244),"",REPORTS!F244)</f>
        <v>254.20882162637275</v>
      </c>
      <c r="F215" s="1364">
        <f>+IF(ISBLANK(REPORTS!G244),"",REPORTS!G244)</f>
        <v>0</v>
      </c>
      <c r="G215" s="1364">
        <f>+IF(ISBLANK(REPORTS!H244),"",REPORTS!H244)</f>
        <v>254.20882162637275</v>
      </c>
      <c r="H215" s="1374">
        <f>+IF(ISBLANK(REPORTS!I244),"",REPORTS!I244)</f>
        <v>1</v>
      </c>
    </row>
    <row r="216" spans="1:8">
      <c r="A216" s="1751">
        <v>106</v>
      </c>
      <c r="B216" s="1393">
        <v>53</v>
      </c>
      <c r="C216" s="1324" t="s">
        <v>5321</v>
      </c>
      <c r="D216" s="1324" t="s">
        <v>4071</v>
      </c>
      <c r="E216" s="1324">
        <f>+IF(ISBLANK(REPORTS!F245),"",REPORTS!F245)</f>
        <v>0</v>
      </c>
      <c r="F216" s="1364">
        <f>+IF(ISBLANK(REPORTS!G245),"",REPORTS!G245)</f>
        <v>0</v>
      </c>
      <c r="G216" s="1364">
        <f>+IF(ISBLANK(REPORTS!H245),"",REPORTS!H245)</f>
        <v>0</v>
      </c>
      <c r="H216" s="1374">
        <f>+IF(ISBLANK(REPORTS!I245),"",REPORTS!I245)</f>
        <v>0</v>
      </c>
    </row>
    <row r="217" spans="1:8">
      <c r="A217" s="1751">
        <v>420</v>
      </c>
      <c r="B217" s="1393">
        <v>54</v>
      </c>
      <c r="C217" s="1324" t="s">
        <v>5322</v>
      </c>
      <c r="D217" s="1324"/>
      <c r="E217" s="1421">
        <f>+IF(ISBLANK(REPORTS!F246),"",REPORTS!F246)</f>
        <v>304.24714225482938</v>
      </c>
      <c r="F217" s="1421">
        <f>+IF(ISBLANK(REPORTS!G246),"",REPORTS!G246)</f>
        <v>0</v>
      </c>
      <c r="G217" s="1421">
        <f>+IF(ISBLANK(REPORTS!H246),"",REPORTS!H246)</f>
        <v>304.24714225482938</v>
      </c>
      <c r="H217" s="1374">
        <f>+IF(ISBLANK(REPORTS!I246),"",REPORTS!I246)</f>
        <v>1</v>
      </c>
    </row>
    <row r="218" spans="1:8">
      <c r="A218" s="1752"/>
      <c r="B218" s="1393">
        <v>55</v>
      </c>
      <c r="C218" s="1324"/>
      <c r="D218" s="1324"/>
      <c r="E218" s="1324" t="str">
        <f>+IF(ISBLANK(REPORTS!F247),"",REPORTS!F247)</f>
        <v/>
      </c>
      <c r="F218" s="1324" t="str">
        <f>+IF(ISBLANK(REPORTS!G247),"",REPORTS!G247)</f>
        <v/>
      </c>
      <c r="G218" s="1324" t="str">
        <f>+IF(ISBLANK(REPORTS!H247),"",REPORTS!H247)</f>
        <v/>
      </c>
      <c r="H218" s="1374" t="str">
        <f>+IF(ISBLANK(REPORTS!I247),"",REPORTS!I247)</f>
        <v/>
      </c>
    </row>
    <row r="219" spans="1:8">
      <c r="A219" s="1752"/>
      <c r="B219" s="1393">
        <v>56</v>
      </c>
      <c r="C219" s="1324" t="s">
        <v>5324</v>
      </c>
      <c r="D219" s="1324" t="s">
        <v>4071</v>
      </c>
      <c r="E219" s="1364">
        <f>+IF(ISBLANK(REPORTS!F248),"",REPORTS!F248)</f>
        <v>4706.1347865526459</v>
      </c>
      <c r="F219" s="1364">
        <f>+IF(ISBLANK(REPORTS!G248),"",REPORTS!G248)</f>
        <v>0</v>
      </c>
      <c r="G219" s="1364">
        <f>+IF(ISBLANK(REPORTS!H248),"",REPORTS!H248)</f>
        <v>4706.1347865526459</v>
      </c>
      <c r="H219" s="1374">
        <f>+IF(ISBLANK(REPORTS!I248),"",REPORTS!I248)</f>
        <v>1</v>
      </c>
    </row>
    <row r="220" spans="1:8">
      <c r="A220" s="1751">
        <v>420</v>
      </c>
      <c r="B220" s="1393">
        <v>57</v>
      </c>
      <c r="C220" s="1324" t="s">
        <v>5325</v>
      </c>
      <c r="D220" s="1324" t="s">
        <v>4071</v>
      </c>
      <c r="E220" s="1364">
        <f>+IF(ISBLANK(REPORTS!F249),"",REPORTS!F249)</f>
        <v>9007.3216782124982</v>
      </c>
      <c r="F220" s="1364">
        <f>+IF(ISBLANK(REPORTS!G249),"",REPORTS!G249)</f>
        <v>0</v>
      </c>
      <c r="G220" s="1364">
        <f>+IF(ISBLANK(REPORTS!H249),"",REPORTS!H249)</f>
        <v>9007.3216782124982</v>
      </c>
      <c r="H220" s="1374">
        <f>+IF(ISBLANK(REPORTS!I249),"",REPORTS!I249)</f>
        <v>1</v>
      </c>
    </row>
    <row r="221" spans="1:8">
      <c r="A221" s="1751">
        <v>308</v>
      </c>
      <c r="B221" s="1393">
        <v>58</v>
      </c>
      <c r="C221" s="1324" t="s">
        <v>5327</v>
      </c>
      <c r="D221" s="1324" t="s">
        <v>4071</v>
      </c>
      <c r="E221" s="1364">
        <f>+IF(ISBLANK(REPORTS!F250),"",REPORTS!F250)</f>
        <v>0</v>
      </c>
      <c r="F221" s="1364">
        <f>+IF(ISBLANK(REPORTS!G250),"",REPORTS!G250)</f>
        <v>0</v>
      </c>
      <c r="G221" s="1364">
        <f>+IF(ISBLANK(REPORTS!H250),"",REPORTS!H250)</f>
        <v>0</v>
      </c>
      <c r="H221" s="1374">
        <f>+IF(ISBLANK(REPORTS!I250),"",REPORTS!I250)</f>
        <v>0</v>
      </c>
    </row>
    <row r="222" spans="1:8">
      <c r="A222" s="1751">
        <v>309</v>
      </c>
      <c r="B222" s="1393">
        <v>59</v>
      </c>
      <c r="C222" s="1324" t="s">
        <v>5329</v>
      </c>
      <c r="D222" s="1324" t="s">
        <v>4071</v>
      </c>
      <c r="E222" s="1364">
        <f>+IF(ISBLANK(REPORTS!F251),"",REPORTS!F251)</f>
        <v>3451.5773842684866</v>
      </c>
      <c r="F222" s="1364">
        <f>+IF(ISBLANK(REPORTS!G251),"",REPORTS!G251)</f>
        <v>0</v>
      </c>
      <c r="G222" s="1364">
        <f>+IF(ISBLANK(REPORTS!H251),"",REPORTS!H251)</f>
        <v>3451.5773842684866</v>
      </c>
      <c r="H222" s="1374">
        <f>+IF(ISBLANK(REPORTS!I251),"",REPORTS!I251)</f>
        <v>1</v>
      </c>
    </row>
    <row r="223" spans="1:8">
      <c r="A223" s="1751">
        <v>310</v>
      </c>
      <c r="B223" s="1393">
        <v>60</v>
      </c>
      <c r="C223" s="1324"/>
      <c r="D223" s="1324"/>
      <c r="E223" s="1324" t="str">
        <f>+IF(ISBLANK(REPORTS!F252),"",REPORTS!F252)</f>
        <v/>
      </c>
      <c r="F223" s="1324" t="str">
        <f>+IF(ISBLANK(REPORTS!G252),"",REPORTS!G252)</f>
        <v/>
      </c>
      <c r="G223" s="1324" t="str">
        <f>+IF(ISBLANK(REPORTS!H252),"",REPORTS!H252)</f>
        <v/>
      </c>
      <c r="H223" s="1374" t="str">
        <f>+IF(ISBLANK(REPORTS!I252),"",REPORTS!I252)</f>
        <v/>
      </c>
    </row>
    <row r="224" spans="1:8">
      <c r="A224" s="1752"/>
      <c r="B224" s="1393">
        <v>61</v>
      </c>
      <c r="C224" s="1324" t="s">
        <v>5330</v>
      </c>
      <c r="D224" s="1324" t="s">
        <v>4067</v>
      </c>
      <c r="E224" s="1324">
        <f>+IF(ISBLANK(REPORTS!F253),"",REPORTS!F253)</f>
        <v>35760.331429222744</v>
      </c>
      <c r="F224" s="1324">
        <f>+IF(ISBLANK(REPORTS!G253),"",REPORTS!G253)</f>
        <v>0</v>
      </c>
      <c r="G224" s="1324">
        <f>+IF(ISBLANK(REPORTS!H253),"",REPORTS!H253)</f>
        <v>35760.331429222744</v>
      </c>
      <c r="H224" s="1374">
        <f>+IF(ISBLANK(REPORTS!I253),"",REPORTS!I253)</f>
        <v>1</v>
      </c>
    </row>
    <row r="225" spans="1:8">
      <c r="A225" s="1752"/>
      <c r="B225" s="1393">
        <v>62</v>
      </c>
      <c r="C225" s="1324" t="s">
        <v>5330</v>
      </c>
      <c r="D225" s="1324" t="s">
        <v>4071</v>
      </c>
      <c r="E225" s="1324">
        <f>+IF(ISBLANK(REPORTS!F254),"",REPORTS!F254)</f>
        <v>18434.779499890956</v>
      </c>
      <c r="F225" s="1324">
        <f>+IF(ISBLANK(REPORTS!G254),"",REPORTS!G254)</f>
        <v>0</v>
      </c>
      <c r="G225" s="1324">
        <f>+IF(ISBLANK(REPORTS!H254),"",REPORTS!H254)</f>
        <v>18434.779499890956</v>
      </c>
      <c r="H225" s="1374">
        <f>+IF(ISBLANK(REPORTS!I254),"",REPORTS!I254)</f>
        <v>1</v>
      </c>
    </row>
    <row r="226" spans="1:8">
      <c r="A226" s="1752"/>
      <c r="B226" s="1393">
        <v>63</v>
      </c>
      <c r="C226" s="1324"/>
      <c r="D226" s="1324"/>
      <c r="E226" s="1375" t="str">
        <f>+IF(ISBLANK(REPORTS!F255),"",REPORTS!F255)</f>
        <v/>
      </c>
      <c r="F226" s="1375" t="str">
        <f>+IF(ISBLANK(REPORTS!G255),"",REPORTS!G255)</f>
        <v/>
      </c>
      <c r="G226" s="1375" t="str">
        <f>+IF(ISBLANK(REPORTS!H255),"",REPORTS!H255)</f>
        <v/>
      </c>
      <c r="H226" s="1374" t="str">
        <f>+IF(ISBLANK(REPORTS!I255),"",REPORTS!I255)</f>
        <v/>
      </c>
    </row>
    <row r="227" spans="1:8">
      <c r="A227" s="1752"/>
      <c r="B227" s="1393">
        <v>64</v>
      </c>
      <c r="C227" s="1324" t="s">
        <v>5333</v>
      </c>
      <c r="D227" s="1324"/>
      <c r="E227" s="1366">
        <f>+IF(ISBLANK(REPORTS!F256),"",REPORTS!F256)</f>
        <v>54195.110929113696</v>
      </c>
      <c r="F227" s="1366">
        <f>+IF(ISBLANK(REPORTS!G256),"",REPORTS!G256)</f>
        <v>0</v>
      </c>
      <c r="G227" s="1366">
        <f>+IF(ISBLANK(REPORTS!H256),"",REPORTS!H256)</f>
        <v>54195.110929113696</v>
      </c>
      <c r="H227" s="1374">
        <f>+IF(ISBLANK(REPORTS!I256),"",REPORTS!I256)</f>
        <v>1</v>
      </c>
    </row>
    <row r="228" spans="1:8">
      <c r="A228" s="1752"/>
      <c r="B228" s="1393">
        <v>65</v>
      </c>
      <c r="C228" s="1324"/>
      <c r="D228" s="1324"/>
      <c r="E228" s="1364" t="str">
        <f>+IF(ISBLANK(REPORTS!F257),"",REPORTS!F257)</f>
        <v/>
      </c>
      <c r="F228" s="1364" t="str">
        <f>+IF(ISBLANK(REPORTS!G257),"",REPORTS!G257)</f>
        <v/>
      </c>
      <c r="G228" s="1364" t="str">
        <f>+IF(ISBLANK(REPORTS!H257),"",REPORTS!H257)</f>
        <v/>
      </c>
      <c r="H228" s="1374" t="str">
        <f>+IF(ISBLANK(REPORTS!I257),"",REPORTS!I257)</f>
        <v/>
      </c>
    </row>
    <row r="229" spans="1:8">
      <c r="A229" s="1752"/>
      <c r="B229" s="1393">
        <v>66</v>
      </c>
      <c r="C229" s="1324"/>
      <c r="D229" s="1324"/>
      <c r="E229" s="1364" t="str">
        <f>+IF(ISBLANK(REPORTS!F258),"",REPORTS!F258)</f>
        <v/>
      </c>
      <c r="F229" s="1364" t="str">
        <f>+IF(ISBLANK(REPORTS!G258),"",REPORTS!G258)</f>
        <v/>
      </c>
      <c r="G229" s="1364" t="str">
        <f>+IF(ISBLANK(REPORTS!H258),"",REPORTS!H258)</f>
        <v/>
      </c>
      <c r="H229" s="1374" t="str">
        <f>+IF(ISBLANK(REPORTS!I258),"",REPORTS!I258)</f>
        <v/>
      </c>
    </row>
    <row r="230" spans="1:8">
      <c r="A230" s="1752"/>
      <c r="B230" s="1393">
        <v>67</v>
      </c>
      <c r="C230" s="1362" t="s">
        <v>5335</v>
      </c>
      <c r="D230" s="1324"/>
      <c r="E230" s="1324" t="str">
        <f>+IF(ISBLANK(REPORTS!F259),"",REPORTS!F259)</f>
        <v/>
      </c>
      <c r="F230" s="1324" t="str">
        <f>+IF(ISBLANK(REPORTS!G259),"",REPORTS!G259)</f>
        <v/>
      </c>
      <c r="G230" s="1324" t="str">
        <f>+IF(ISBLANK(REPORTS!H259),"",REPORTS!H259)</f>
        <v/>
      </c>
      <c r="H230" s="1374" t="str">
        <f>+IF(ISBLANK(REPORTS!I259),"",REPORTS!I259)</f>
        <v/>
      </c>
    </row>
    <row r="231" spans="1:8">
      <c r="A231" s="1752"/>
      <c r="B231" s="1393">
        <v>68</v>
      </c>
      <c r="C231" s="1324" t="s">
        <v>5265</v>
      </c>
      <c r="D231" s="1324" t="s">
        <v>4067</v>
      </c>
      <c r="E231" s="1324">
        <f>+IF(ISBLANK(REPORTS!F260),"",REPORTS!F260)</f>
        <v>98527.121463102463</v>
      </c>
      <c r="F231" s="1324">
        <f>+IF(ISBLANK(REPORTS!G260),"",REPORTS!G260)</f>
        <v>0</v>
      </c>
      <c r="G231" s="1324">
        <f>+IF(ISBLANK(REPORTS!H260),"",REPORTS!H260)</f>
        <v>98527.121463102463</v>
      </c>
      <c r="H231" s="1374">
        <f>+IF(ISBLANK(REPORTS!I260),"",REPORTS!I260)</f>
        <v>1</v>
      </c>
    </row>
    <row r="232" spans="1:8">
      <c r="A232" s="1752"/>
      <c r="B232" s="1393">
        <v>69</v>
      </c>
      <c r="C232" s="1324" t="s">
        <v>5265</v>
      </c>
      <c r="D232" s="1324" t="s">
        <v>2067</v>
      </c>
      <c r="E232" s="1324">
        <f>+IF(ISBLANK(REPORTS!F261),"",REPORTS!F261)</f>
        <v>29310.186608764699</v>
      </c>
      <c r="F232" s="1324">
        <f>+IF(ISBLANK(REPORTS!G261),"",REPORTS!G261)</f>
        <v>0</v>
      </c>
      <c r="G232" s="1324">
        <f>+IF(ISBLANK(REPORTS!H261),"",REPORTS!H261)</f>
        <v>29310.186608764699</v>
      </c>
      <c r="H232" s="1374">
        <f>+IF(ISBLANK(REPORTS!I261),"",REPORTS!I261)</f>
        <v>1</v>
      </c>
    </row>
    <row r="233" spans="1:8">
      <c r="A233" s="1752"/>
      <c r="B233" s="1393">
        <v>70</v>
      </c>
      <c r="C233" s="1324" t="s">
        <v>5268</v>
      </c>
      <c r="D233" s="1324" t="s">
        <v>4067</v>
      </c>
      <c r="E233" s="1324">
        <f>+IF(ISBLANK(REPORTS!F262),"",REPORTS!F262)</f>
        <v>2130.0112029296843</v>
      </c>
      <c r="F233" s="1324">
        <f>+IF(ISBLANK(REPORTS!G262),"",REPORTS!G262)</f>
        <v>137.99672901394752</v>
      </c>
      <c r="G233" s="1324">
        <f>+IF(ISBLANK(REPORTS!H262),"",REPORTS!H262)</f>
        <v>1992.0144739157365</v>
      </c>
      <c r="H233" s="1374">
        <f>+IF(ISBLANK(REPORTS!I262),"",REPORTS!I262)</f>
        <v>0.93521314403222733</v>
      </c>
    </row>
    <row r="234" spans="1:8">
      <c r="A234" s="1752"/>
      <c r="B234" s="1393">
        <v>71</v>
      </c>
      <c r="C234" s="1324" t="s">
        <v>5239</v>
      </c>
      <c r="D234" s="1324" t="s">
        <v>4067</v>
      </c>
      <c r="E234" s="1324">
        <f>+IF(ISBLANK(REPORTS!F263),"",REPORTS!F263)</f>
        <v>5974.5332232361407</v>
      </c>
      <c r="F234" s="1324">
        <f>+IF(ISBLANK(REPORTS!G263),"",REPORTS!G263)</f>
        <v>387.07122340847206</v>
      </c>
      <c r="G234" s="1324">
        <f>+IF(ISBLANK(REPORTS!H263),"",REPORTS!H263)</f>
        <v>5587.4619998276685</v>
      </c>
      <c r="H234" s="1374">
        <f>+IF(ISBLANK(REPORTS!I263),"",REPORTS!I263)</f>
        <v>0.93521314403222733</v>
      </c>
    </row>
    <row r="235" spans="1:8">
      <c r="A235" s="1752"/>
      <c r="B235" s="1393">
        <v>72</v>
      </c>
      <c r="C235" s="1324" t="s">
        <v>5240</v>
      </c>
      <c r="D235" s="1324" t="s">
        <v>4067</v>
      </c>
      <c r="E235" s="1324">
        <f>+IF(ISBLANK(REPORTS!F264),"",REPORTS!F264)</f>
        <v>30582.492714459502</v>
      </c>
      <c r="F235" s="1324">
        <f>+IF(ISBLANK(REPORTS!G264),"",REPORTS!G264)</f>
        <v>0</v>
      </c>
      <c r="G235" s="1324">
        <f>+IF(ISBLANK(REPORTS!H264),"",REPORTS!H264)</f>
        <v>30582.492714459502</v>
      </c>
      <c r="H235" s="1374">
        <f>+IF(ISBLANK(REPORTS!I264),"",REPORTS!I264)</f>
        <v>1</v>
      </c>
    </row>
    <row r="236" spans="1:8">
      <c r="A236" s="1752"/>
      <c r="B236" s="1393">
        <v>73</v>
      </c>
      <c r="C236" s="1324" t="s">
        <v>5241</v>
      </c>
      <c r="D236" s="1324" t="s">
        <v>4067</v>
      </c>
      <c r="E236" s="1324">
        <f>+IF(ISBLANK(REPORTS!F265),"",REPORTS!F265)</f>
        <v>5177.8387147632438</v>
      </c>
      <c r="F236" s="1324">
        <f>+IF(ISBLANK(REPORTS!G265),"",REPORTS!G265)</f>
        <v>0</v>
      </c>
      <c r="G236" s="1324">
        <f>+IF(ISBLANK(REPORTS!H265),"",REPORTS!H265)</f>
        <v>5177.8387147632438</v>
      </c>
      <c r="H236" s="1374">
        <f>+IF(ISBLANK(REPORTS!I265),"",REPORTS!I265)</f>
        <v>1</v>
      </c>
    </row>
    <row r="237" spans="1:8">
      <c r="A237" s="1752"/>
      <c r="B237" s="1393">
        <v>74</v>
      </c>
      <c r="C237" s="1324" t="s">
        <v>5242</v>
      </c>
      <c r="D237" s="1324" t="s">
        <v>4071</v>
      </c>
      <c r="E237" s="1324">
        <f>+IF(ISBLANK(REPORTS!F266),"",REPORTS!F266)</f>
        <v>18434.779499890956</v>
      </c>
      <c r="F237" s="1324">
        <f>+IF(ISBLANK(REPORTS!G266),"",REPORTS!G266)</f>
        <v>0</v>
      </c>
      <c r="G237" s="1324">
        <f>+IF(ISBLANK(REPORTS!H266),"",REPORTS!H266)</f>
        <v>18434.779499890956</v>
      </c>
      <c r="H237" s="1374">
        <f>+IF(ISBLANK(REPORTS!I266),"",REPORTS!I266)</f>
        <v>1</v>
      </c>
    </row>
    <row r="238" spans="1:8">
      <c r="A238" s="1752"/>
      <c r="B238" s="1393">
        <v>75</v>
      </c>
      <c r="C238" s="1324" t="s">
        <v>5244</v>
      </c>
      <c r="D238" s="1324" t="s">
        <v>4071</v>
      </c>
      <c r="E238" s="1366">
        <f>+IF(ISBLANK(REPORTS!F267),"",REPORTS!F267)</f>
        <v>0</v>
      </c>
      <c r="F238" s="1366">
        <f>+IF(ISBLANK(REPORTS!G267),"",REPORTS!G267)</f>
        <v>0</v>
      </c>
      <c r="G238" s="1366">
        <f>+IF(ISBLANK(REPORTS!H267),"",REPORTS!H267)</f>
        <v>0</v>
      </c>
      <c r="H238" s="1374">
        <f>+IF(ISBLANK(REPORTS!I267),"",REPORTS!I267)</f>
        <v>0</v>
      </c>
    </row>
    <row r="239" spans="1:8">
      <c r="A239" s="1752"/>
      <c r="B239" s="1393">
        <v>76</v>
      </c>
      <c r="C239" s="1324" t="s">
        <v>5344</v>
      </c>
      <c r="D239" s="1324"/>
      <c r="E239" s="1421">
        <f>+IF(ISBLANK(REPORTS!F268),"",REPORTS!F268)</f>
        <v>190136.96342714669</v>
      </c>
      <c r="F239" s="1421">
        <f>+IF(ISBLANK(REPORTS!G268),"",REPORTS!G268)</f>
        <v>525.06795242241958</v>
      </c>
      <c r="G239" s="1421">
        <f>+IF(ISBLANK(REPORTS!H268),"",REPORTS!H268)</f>
        <v>189611.89547472427</v>
      </c>
      <c r="H239" s="1374">
        <f>+IF(ISBLANK(REPORTS!I268),"",REPORTS!I268)</f>
        <v>0.99723847513414399</v>
      </c>
    </row>
    <row r="240" spans="1:8">
      <c r="A240" s="1752"/>
      <c r="E240" s="1364"/>
      <c r="F240" s="1364"/>
      <c r="G240" s="1364"/>
      <c r="H240" s="1374"/>
    </row>
    <row r="242" spans="1:8">
      <c r="E242" s="1364"/>
      <c r="F242" s="1364"/>
      <c r="G242" s="1364"/>
      <c r="H242" s="1374"/>
    </row>
    <row r="244" spans="1:8">
      <c r="B244" s="1416" t="str">
        <f>+$B$1</f>
        <v>RATES WITH REVENUE DEFICIENCY ADDITION</v>
      </c>
      <c r="C244" s="1324"/>
      <c r="D244" s="1324"/>
      <c r="E244" s="1336"/>
      <c r="F244" s="1329" t="s">
        <v>2173</v>
      </c>
      <c r="G244" s="1324"/>
      <c r="H244" s="1334" t="s">
        <v>4882</v>
      </c>
    </row>
    <row r="245" spans="1:8">
      <c r="A245" s="1751"/>
      <c r="B245" s="1416" t="str">
        <f>+$B$2</f>
        <v xml:space="preserve">PROD. CAP. ALLOC. METHOD: 12 CP </v>
      </c>
      <c r="C245" s="1364"/>
      <c r="D245" s="1324"/>
      <c r="E245" s="1324"/>
      <c r="F245" s="1336" t="s">
        <v>4768</v>
      </c>
      <c r="G245" s="1324"/>
      <c r="H245" s="1731" t="s">
        <v>5298</v>
      </c>
    </row>
    <row r="246" spans="1:8">
      <c r="A246" s="1751"/>
      <c r="B246" s="1416" t="str">
        <f>+$B$3</f>
        <v>PROJECTED CALENDAR YEAR 2025; FULLY ADJUSTED DATA</v>
      </c>
      <c r="C246" s="1324"/>
      <c r="D246" s="1324"/>
      <c r="E246" s="1324"/>
      <c r="F246" s="1336" t="s">
        <v>2181</v>
      </c>
      <c r="G246" s="1324"/>
      <c r="H246" s="1374"/>
    </row>
    <row r="247" spans="1:8">
      <c r="A247" s="1751"/>
      <c r="B247" s="1732">
        <f>+$B$4</f>
        <v>0</v>
      </c>
      <c r="C247" s="1324"/>
      <c r="D247" s="1324"/>
      <c r="E247" s="1324"/>
      <c r="F247" s="1324"/>
      <c r="G247" s="1324"/>
      <c r="H247" s="1374"/>
    </row>
    <row r="248" spans="1:8">
      <c r="A248" s="1752"/>
      <c r="B248" s="1732" t="str">
        <f>+$B$5</f>
        <v>Tampa Electric 2025 OB Budget</v>
      </c>
      <c r="C248" s="1324"/>
      <c r="D248" s="1324"/>
      <c r="E248" s="1329"/>
      <c r="F248" s="1336" t="s">
        <v>5277</v>
      </c>
      <c r="G248" s="1324"/>
      <c r="H248" s="1374"/>
    </row>
    <row r="249" spans="1:8">
      <c r="A249" s="1752"/>
      <c r="B249" s="1393"/>
      <c r="C249" s="1324"/>
      <c r="D249" s="1324"/>
      <c r="E249" s="1336"/>
      <c r="F249" s="1324"/>
      <c r="G249" s="1324"/>
      <c r="H249" s="1374"/>
    </row>
    <row r="250" spans="1:8">
      <c r="A250" s="1752"/>
      <c r="B250" s="1393"/>
      <c r="C250" s="1324"/>
      <c r="D250" s="1324"/>
      <c r="E250" s="1336"/>
      <c r="F250" s="1324"/>
      <c r="G250" s="1324"/>
      <c r="H250" s="1374"/>
    </row>
    <row r="251" spans="1:8">
      <c r="A251" s="1752"/>
      <c r="B251" s="1393"/>
      <c r="C251" s="1324"/>
      <c r="D251" s="1324"/>
      <c r="E251" s="1324"/>
      <c r="F251" s="1324"/>
      <c r="G251" s="1324"/>
      <c r="H251" s="1374"/>
    </row>
    <row r="252" spans="1:8">
      <c r="A252" s="1752"/>
      <c r="B252" s="1735"/>
      <c r="C252" s="1416"/>
      <c r="D252" s="1416"/>
      <c r="E252" s="1336"/>
      <c r="F252" s="1336"/>
      <c r="G252" s="1336"/>
      <c r="H252" s="1736"/>
    </row>
    <row r="253" spans="1:8" ht="28.2">
      <c r="A253" s="1752"/>
      <c r="B253" s="1737" t="s">
        <v>4297</v>
      </c>
      <c r="C253" s="1741"/>
      <c r="D253" s="1741"/>
      <c r="E253" s="1352" t="s">
        <v>5144</v>
      </c>
      <c r="F253" s="1352" t="s">
        <v>4956</v>
      </c>
      <c r="G253" s="1352" t="s">
        <v>4957</v>
      </c>
      <c r="H253" s="1742" t="s">
        <v>5145</v>
      </c>
    </row>
    <row r="254" spans="1:8">
      <c r="A254" s="1752"/>
      <c r="B254" s="1393"/>
      <c r="C254" s="1324"/>
      <c r="D254" s="1324"/>
      <c r="E254" s="1324"/>
      <c r="F254" s="1324"/>
      <c r="G254" s="1324"/>
      <c r="H254" s="1374"/>
    </row>
    <row r="255" spans="1:8" ht="28.2">
      <c r="A255" s="1753" t="s">
        <v>5143</v>
      </c>
      <c r="B255" s="1393">
        <v>77</v>
      </c>
      <c r="C255" s="1362" t="s">
        <v>5347</v>
      </c>
      <c r="D255" s="1324"/>
      <c r="E255" s="1324"/>
      <c r="F255" s="1324"/>
      <c r="G255" s="1324"/>
      <c r="H255" s="1374"/>
    </row>
    <row r="256" spans="1:8">
      <c r="A256" s="1752"/>
      <c r="B256" s="1393">
        <v>78</v>
      </c>
      <c r="C256" s="1324" t="s">
        <v>5348</v>
      </c>
      <c r="D256" s="1324" t="s">
        <v>4071</v>
      </c>
      <c r="E256" s="1324">
        <f>+IF(ISBLANK(REPORTS!F286),"",REPORTS!F286)</f>
        <v>5796.7804260915</v>
      </c>
      <c r="F256" s="1364">
        <f>+IF(ISBLANK(REPORTS!G286),"",REPORTS!G286)</f>
        <v>0</v>
      </c>
      <c r="G256" s="1364">
        <f>+IF(ISBLANK(REPORTS!H286),"",REPORTS!H286)</f>
        <v>5796.7804260915</v>
      </c>
      <c r="H256" s="1374">
        <f>+IF(ISBLANK(REPORTS!I286),"",REPORTS!I286)</f>
        <v>1</v>
      </c>
    </row>
    <row r="257" spans="1:8">
      <c r="A257" s="1752"/>
      <c r="B257" s="1393">
        <v>79</v>
      </c>
      <c r="C257" s="1324" t="s">
        <v>5350</v>
      </c>
      <c r="D257" s="1324" t="s">
        <v>4071</v>
      </c>
      <c r="E257" s="1324">
        <f>+IF(ISBLANK(REPORTS!F287),"",REPORTS!F287)</f>
        <v>29376.6058748381</v>
      </c>
      <c r="F257" s="1364">
        <f>+IF(ISBLANK(REPORTS!G287),"",REPORTS!G287)</f>
        <v>0</v>
      </c>
      <c r="G257" s="1364">
        <f>+IF(ISBLANK(REPORTS!H287),"",REPORTS!H287)</f>
        <v>29376.6058748381</v>
      </c>
      <c r="H257" s="1374">
        <f>+IF(ISBLANK(REPORTS!I287),"",REPORTS!I287)</f>
        <v>1</v>
      </c>
    </row>
    <row r="258" spans="1:8">
      <c r="A258" s="1751">
        <v>507</v>
      </c>
      <c r="B258" s="1393">
        <v>80</v>
      </c>
      <c r="C258" s="1324" t="s">
        <v>5351</v>
      </c>
      <c r="D258" s="1324" t="s">
        <v>4071</v>
      </c>
      <c r="E258" s="1324">
        <f>+IF(ISBLANK(REPORTS!F288),"",REPORTS!F288)</f>
        <v>4394.4262944155998</v>
      </c>
      <c r="F258" s="1364">
        <f>+IF(ISBLANK(REPORTS!G288),"",REPORTS!G288)</f>
        <v>0</v>
      </c>
      <c r="G258" s="1364">
        <f>+IF(ISBLANK(REPORTS!H288),"",REPORTS!H288)</f>
        <v>4394.4262944155998</v>
      </c>
      <c r="H258" s="1374">
        <f>+IF(ISBLANK(REPORTS!I288),"",REPORTS!I288)</f>
        <v>1</v>
      </c>
    </row>
    <row r="259" spans="1:8">
      <c r="A259" s="1751">
        <v>412</v>
      </c>
      <c r="B259" s="1393">
        <v>81</v>
      </c>
      <c r="C259" s="1324" t="s">
        <v>5353</v>
      </c>
      <c r="D259" s="1324" t="s">
        <v>4071</v>
      </c>
      <c r="E259" s="1324">
        <f>+IF(ISBLANK(REPORTS!F289),"",REPORTS!F289)</f>
        <v>5164.9798171764114</v>
      </c>
      <c r="F259" s="1364">
        <f>+IF(ISBLANK(REPORTS!G289),"",REPORTS!G289)</f>
        <v>0</v>
      </c>
      <c r="G259" s="1364">
        <f>+IF(ISBLANK(REPORTS!H289),"",REPORTS!H289)</f>
        <v>5164.9798171764114</v>
      </c>
      <c r="H259" s="1374">
        <f>+IF(ISBLANK(REPORTS!I289),"",REPORTS!I289)</f>
        <v>1</v>
      </c>
    </row>
    <row r="260" spans="1:8">
      <c r="A260" s="1751">
        <v>311</v>
      </c>
      <c r="B260" s="1393">
        <v>82</v>
      </c>
      <c r="C260" s="1324" t="s">
        <v>5354</v>
      </c>
      <c r="D260" s="1324" t="s">
        <v>4071</v>
      </c>
      <c r="E260" s="1324">
        <f>+IF(ISBLANK(REPORTS!F290),"",REPORTS!F290)</f>
        <v>311.50189999999998</v>
      </c>
      <c r="F260" s="1364">
        <f>+IF(ISBLANK(REPORTS!G290),"",REPORTS!G290)</f>
        <v>0</v>
      </c>
      <c r="G260" s="1364">
        <f>+IF(ISBLANK(REPORTS!H290),"",REPORTS!H290)</f>
        <v>311.50189999999998</v>
      </c>
      <c r="H260" s="1374">
        <f>+IF(ISBLANK(REPORTS!I290),"",REPORTS!I290)</f>
        <v>1</v>
      </c>
    </row>
    <row r="261" spans="1:8">
      <c r="A261" s="1751">
        <v>412</v>
      </c>
      <c r="B261" s="1393">
        <v>83</v>
      </c>
      <c r="C261" s="1324" t="s">
        <v>5355</v>
      </c>
      <c r="D261" s="1324"/>
      <c r="E261" s="1421">
        <f>+IF(ISBLANK(REPORTS!F291),"",REPORTS!F291)</f>
        <v>45044.294312521619</v>
      </c>
      <c r="F261" s="1421">
        <f>+IF(ISBLANK(REPORTS!G291),"",REPORTS!G291)</f>
        <v>0</v>
      </c>
      <c r="G261" s="1421">
        <f>+IF(ISBLANK(REPORTS!H291),"",REPORTS!H291)</f>
        <v>45044.294312521619</v>
      </c>
      <c r="H261" s="1374">
        <f>+IF(ISBLANK(REPORTS!I291),"",REPORTS!I291)</f>
        <v>1</v>
      </c>
    </row>
    <row r="262" spans="1:8">
      <c r="A262" s="1751">
        <v>412</v>
      </c>
      <c r="B262" s="1393">
        <v>84</v>
      </c>
      <c r="C262" s="1324"/>
      <c r="D262" s="1324"/>
      <c r="E262" s="1324" t="str">
        <f>+IF(ISBLANK(REPORTS!F292),"",REPORTS!F292)</f>
        <v/>
      </c>
      <c r="F262" s="1324" t="str">
        <f>+IF(ISBLANK(REPORTS!G292),"",REPORTS!G292)</f>
        <v/>
      </c>
      <c r="G262" s="1324" t="str">
        <f>+IF(ISBLANK(REPORTS!H292),"",REPORTS!H292)</f>
        <v/>
      </c>
      <c r="H262" s="1374" t="str">
        <f>+IF(ISBLANK(REPORTS!I292),"",REPORTS!I292)</f>
        <v/>
      </c>
    </row>
    <row r="263" spans="1:8">
      <c r="A263" s="1752"/>
      <c r="B263" s="1393">
        <v>85</v>
      </c>
      <c r="C263" s="1362" t="s">
        <v>5357</v>
      </c>
      <c r="D263" s="1324"/>
      <c r="E263" s="1324" t="str">
        <f>+IF(ISBLANK(REPORTS!F293),"",REPORTS!F293)</f>
        <v/>
      </c>
      <c r="F263" s="1324" t="str">
        <f>+IF(ISBLANK(REPORTS!G293),"",REPORTS!G293)</f>
        <v/>
      </c>
      <c r="G263" s="1324" t="str">
        <f>+IF(ISBLANK(REPORTS!H293),"",REPORTS!H293)</f>
        <v/>
      </c>
      <c r="H263" s="1374" t="str">
        <f>+IF(ISBLANK(REPORTS!I293),"",REPORTS!I293)</f>
        <v/>
      </c>
    </row>
    <row r="264" spans="1:8">
      <c r="A264" s="1752"/>
      <c r="B264" s="1393">
        <v>86</v>
      </c>
      <c r="C264" s="1324" t="s">
        <v>5265</v>
      </c>
      <c r="D264" s="1324" t="s">
        <v>4067</v>
      </c>
      <c r="E264" s="1324">
        <f>+IF(ISBLANK(REPORTS!F294),"",REPORTS!F294)</f>
        <v>57914.988842500505</v>
      </c>
      <c r="F264" s="1364">
        <f>+IF(ISBLANK(REPORTS!G294),"",REPORTS!G294)</f>
        <v>0</v>
      </c>
      <c r="G264" s="1364">
        <f>+IF(ISBLANK(REPORTS!H294),"",REPORTS!H294)</f>
        <v>57914.988842500505</v>
      </c>
      <c r="H264" s="1374">
        <f>+IF(ISBLANK(REPORTS!I294),"",REPORTS!I294)</f>
        <v>1</v>
      </c>
    </row>
    <row r="265" spans="1:8">
      <c r="A265" s="1752"/>
      <c r="B265" s="1393">
        <v>87</v>
      </c>
      <c r="C265" s="1324" t="s">
        <v>5358</v>
      </c>
      <c r="D265" s="1324" t="s">
        <v>4067</v>
      </c>
      <c r="E265" s="1324">
        <f>+IF(ISBLANK(REPORTS!F295),"",REPORTS!F295)</f>
        <v>3179.9221784590645</v>
      </c>
      <c r="F265" s="1364">
        <f>+IF(ISBLANK(REPORTS!G295),"",REPORTS!G295)</f>
        <v>0</v>
      </c>
      <c r="G265" s="1364">
        <f>+IF(ISBLANK(REPORTS!H295),"",REPORTS!H295)</f>
        <v>3179.9221784590645</v>
      </c>
      <c r="H265" s="1374">
        <f>+IF(ISBLANK(REPORTS!I295),"",REPORTS!I295)</f>
        <v>1</v>
      </c>
    </row>
    <row r="266" spans="1:8">
      <c r="A266" s="1751">
        <v>101</v>
      </c>
      <c r="B266" s="1393">
        <v>88</v>
      </c>
      <c r="C266" s="1324" t="s">
        <v>5265</v>
      </c>
      <c r="D266" s="1324" t="s">
        <v>2067</v>
      </c>
      <c r="E266" s="1324">
        <f>+IF(ISBLANK(REPORTS!F296),"",REPORTS!F296)</f>
        <v>12296.231975077957</v>
      </c>
      <c r="F266" s="1364">
        <f>+IF(ISBLANK(REPORTS!G296),"",REPORTS!G296)</f>
        <v>0</v>
      </c>
      <c r="G266" s="1364">
        <f>+IF(ISBLANK(REPORTS!H296),"",REPORTS!H296)</f>
        <v>12296.231975077957</v>
      </c>
      <c r="H266" s="1374">
        <f>+IF(ISBLANK(REPORTS!I296),"",REPORTS!I296)</f>
        <v>1</v>
      </c>
    </row>
    <row r="267" spans="1:8">
      <c r="A267" s="1751">
        <v>101</v>
      </c>
      <c r="B267" s="1393">
        <v>89</v>
      </c>
      <c r="C267" s="1324" t="s">
        <v>5268</v>
      </c>
      <c r="D267" s="1324" t="s">
        <v>4067</v>
      </c>
      <c r="E267" s="1324">
        <f>+IF(ISBLANK(REPORTS!F297),"",REPORTS!F297)</f>
        <v>1915.8589095122497</v>
      </c>
      <c r="F267" s="1364">
        <f>+IF(ISBLANK(REPORTS!G297),"",REPORTS!G297)</f>
        <v>268.64429818064809</v>
      </c>
      <c r="G267" s="1364">
        <f>+IF(ISBLANK(REPORTS!H297),"",REPORTS!H297)</f>
        <v>1647.0791264124391</v>
      </c>
      <c r="H267" s="1374">
        <f>+IF(ISBLANK(REPORTS!I297),"",REPORTS!I297)</f>
        <v>0.8597079452117703</v>
      </c>
    </row>
    <row r="268" spans="1:8">
      <c r="A268" s="1751">
        <v>201</v>
      </c>
      <c r="B268" s="1393">
        <v>90</v>
      </c>
      <c r="C268" s="1324" t="s">
        <v>5239</v>
      </c>
      <c r="D268" s="1324" t="s">
        <v>4067</v>
      </c>
      <c r="E268" s="1324">
        <f>+IF(ISBLANK(REPORTS!F298),"",REPORTS!F298)</f>
        <v>6436.174280498436</v>
      </c>
      <c r="F268" s="1364">
        <f>+IF(ISBLANK(REPORTS!G298),"",REPORTS!G298)</f>
        <v>902.99240071062832</v>
      </c>
      <c r="G268" s="1364">
        <f>+IF(ISBLANK(REPORTS!H298),"",REPORTS!H298)</f>
        <v>5533.3173647069689</v>
      </c>
      <c r="H268" s="1374">
        <f>+IF(ISBLANK(REPORTS!I298),"",REPORTS!I298)</f>
        <v>0.85972149347678206</v>
      </c>
    </row>
    <row r="269" spans="1:8">
      <c r="A269" s="1751">
        <v>117</v>
      </c>
      <c r="B269" s="1393">
        <v>91</v>
      </c>
      <c r="C269" s="1324" t="s">
        <v>5240</v>
      </c>
      <c r="D269" s="1324" t="s">
        <v>4067</v>
      </c>
      <c r="E269" s="1324">
        <f>+IF(ISBLANK(REPORTS!F299),"",REPORTS!F299)</f>
        <v>28199.935630517411</v>
      </c>
      <c r="F269" s="1364">
        <f>+IF(ISBLANK(REPORTS!G299),"",REPORTS!G299)</f>
        <v>0</v>
      </c>
      <c r="G269" s="1364">
        <f>+IF(ISBLANK(REPORTS!H299),"",REPORTS!H299)</f>
        <v>28199.935630517411</v>
      </c>
      <c r="H269" s="1374">
        <f>+IF(ISBLANK(REPORTS!I299),"",REPORTS!I299)</f>
        <v>1</v>
      </c>
    </row>
    <row r="270" spans="1:8">
      <c r="A270" s="1751">
        <v>117</v>
      </c>
      <c r="B270" s="1393">
        <v>92</v>
      </c>
      <c r="C270" s="1324" t="s">
        <v>5241</v>
      </c>
      <c r="D270" s="1324" t="s">
        <v>4067</v>
      </c>
      <c r="E270" s="1324">
        <f>+IF(ISBLANK(REPORTS!F300),"",REPORTS!F300)</f>
        <v>4599.217048839866</v>
      </c>
      <c r="F270" s="1364">
        <f>+IF(ISBLANK(REPORTS!G300),"",REPORTS!G300)</f>
        <v>0</v>
      </c>
      <c r="G270" s="1364">
        <f>+IF(ISBLANK(REPORTS!H300),"",REPORTS!H300)</f>
        <v>4599.217048839866</v>
      </c>
      <c r="H270" s="1374">
        <f>+IF(ISBLANK(REPORTS!I300),"",REPORTS!I300)</f>
        <v>1</v>
      </c>
    </row>
    <row r="271" spans="1:8">
      <c r="A271" s="1751">
        <v>105</v>
      </c>
      <c r="B271" s="1393">
        <v>93</v>
      </c>
      <c r="C271" s="1324" t="s">
        <v>5242</v>
      </c>
      <c r="D271" s="1324" t="s">
        <v>4071</v>
      </c>
      <c r="E271" s="1324">
        <f>+IF(ISBLANK(REPORTS!F301),"",REPORTS!F301)</f>
        <v>19947.388772987171</v>
      </c>
      <c r="F271" s="1364">
        <f>+IF(ISBLANK(REPORTS!G301),"",REPORTS!G301)</f>
        <v>0</v>
      </c>
      <c r="G271" s="1364">
        <f>+IF(ISBLANK(REPORTS!H301),"",REPORTS!H301)</f>
        <v>19947.388772987171</v>
      </c>
      <c r="H271" s="1374">
        <f>+IF(ISBLANK(REPORTS!I301),"",REPORTS!I301)</f>
        <v>1</v>
      </c>
    </row>
    <row r="272" spans="1:8">
      <c r="A272" s="1751">
        <v>106</v>
      </c>
      <c r="B272" s="1393">
        <v>94</v>
      </c>
      <c r="C272" s="1324" t="s">
        <v>5244</v>
      </c>
      <c r="D272" s="1324" t="s">
        <v>4071</v>
      </c>
      <c r="E272" s="1324">
        <f>+IF(ISBLANK(REPORTS!F302),"",REPORTS!F302)</f>
        <v>23796.834673761768</v>
      </c>
      <c r="F272" s="1364">
        <f>+IF(ISBLANK(REPORTS!G302),"",REPORTS!G302)</f>
        <v>0</v>
      </c>
      <c r="G272" s="1364">
        <f>+IF(ISBLANK(REPORTS!H302),"",REPORTS!H302)</f>
        <v>23796.834673761768</v>
      </c>
      <c r="H272" s="1374">
        <f>+IF(ISBLANK(REPORTS!I302),"",REPORTS!I302)</f>
        <v>1</v>
      </c>
    </row>
    <row r="273" spans="1:8">
      <c r="A273" s="1751">
        <v>607</v>
      </c>
      <c r="B273" s="1393">
        <v>95</v>
      </c>
      <c r="C273" s="1324" t="s">
        <v>5360</v>
      </c>
      <c r="D273" s="1324"/>
      <c r="E273" s="1421">
        <f>+IF(ISBLANK(REPORTS!F303),"",REPORTS!F303)</f>
        <v>158286.55231215444</v>
      </c>
      <c r="F273" s="1421">
        <f>+IF(ISBLANK(REPORTS!G303),"",REPORTS!G303)</f>
        <v>1171.6366988912764</v>
      </c>
      <c r="G273" s="1421">
        <f>+IF(ISBLANK(REPORTS!H303),"",REPORTS!H303)</f>
        <v>157114.91561326315</v>
      </c>
      <c r="H273" s="1374">
        <f>+IF(ISBLANK(REPORTS!I303),"",REPORTS!I303)</f>
        <v>0.99259800228271622</v>
      </c>
    </row>
    <row r="274" spans="1:8">
      <c r="A274" s="1751">
        <v>412</v>
      </c>
      <c r="B274" s="1393">
        <v>96</v>
      </c>
      <c r="C274" s="1324"/>
      <c r="D274" s="1324"/>
      <c r="E274" s="1364" t="str">
        <f>+IF(ISBLANK(REPORTS!F304),"",REPORTS!F304)</f>
        <v/>
      </c>
      <c r="F274" s="1364" t="str">
        <f>+IF(ISBLANK(REPORTS!G304),"",REPORTS!G304)</f>
        <v/>
      </c>
      <c r="G274" s="1364" t="str">
        <f>+IF(ISBLANK(REPORTS!H304),"",REPORTS!H304)</f>
        <v/>
      </c>
      <c r="H274" s="1374" t="str">
        <f>+IF(ISBLANK(REPORTS!I304),"",REPORTS!I304)</f>
        <v/>
      </c>
    </row>
    <row r="275" spans="1:8">
      <c r="A275" s="1751"/>
      <c r="B275" s="1393">
        <v>97</v>
      </c>
      <c r="C275" s="1362" t="s">
        <v>5362</v>
      </c>
      <c r="D275" s="1324"/>
      <c r="E275" s="1364" t="str">
        <f>+IF(ISBLANK(REPORTS!F305),"",REPORTS!F305)</f>
        <v/>
      </c>
      <c r="F275" s="1364" t="str">
        <f>+IF(ISBLANK(REPORTS!G305),"",REPORTS!G305)</f>
        <v/>
      </c>
      <c r="G275" s="1364" t="str">
        <f>+IF(ISBLANK(REPORTS!H305),"",REPORTS!H305)</f>
        <v/>
      </c>
      <c r="H275" s="1374" t="str">
        <f>+IF(ISBLANK(REPORTS!I305),"",REPORTS!I305)</f>
        <v/>
      </c>
    </row>
    <row r="276" spans="1:8">
      <c r="A276" s="1751"/>
      <c r="B276" s="1393">
        <v>98</v>
      </c>
      <c r="C276" s="1324" t="s">
        <v>5265</v>
      </c>
      <c r="D276" s="1324" t="s">
        <v>4067</v>
      </c>
      <c r="E276" s="1364">
        <f>+IF(ISBLANK(REPORTS!F306),"",REPORTS!F306)</f>
        <v>0</v>
      </c>
      <c r="F276" s="1364">
        <f>+IF(ISBLANK(REPORTS!G306),"",REPORTS!G306)</f>
        <v>0</v>
      </c>
      <c r="G276" s="1364">
        <f>+IF(ISBLANK(REPORTS!H306),"",REPORTS!H306)</f>
        <v>0</v>
      </c>
      <c r="H276" s="1374">
        <f>+IF(ISBLANK(REPORTS!I306),"",REPORTS!I306)</f>
        <v>0</v>
      </c>
    </row>
    <row r="277" spans="1:8">
      <c r="A277" s="1751"/>
      <c r="B277" s="1393">
        <v>99</v>
      </c>
      <c r="C277" s="1324" t="s">
        <v>5265</v>
      </c>
      <c r="D277" s="1324" t="s">
        <v>2067</v>
      </c>
      <c r="E277" s="1364">
        <f>+IF(ISBLANK(REPORTS!F307),"",REPORTS!F307)</f>
        <v>0</v>
      </c>
      <c r="F277" s="1364">
        <f>+IF(ISBLANK(REPORTS!G307),"",REPORTS!G307)</f>
        <v>0</v>
      </c>
      <c r="G277" s="1364">
        <f>+IF(ISBLANK(REPORTS!H307),"",REPORTS!H307)</f>
        <v>0</v>
      </c>
      <c r="H277" s="1374">
        <f>+IF(ISBLANK(REPORTS!I307),"",REPORTS!I307)</f>
        <v>0</v>
      </c>
    </row>
    <row r="278" spans="1:8">
      <c r="A278" s="1751">
        <v>101</v>
      </c>
      <c r="B278" s="1393">
        <v>100</v>
      </c>
      <c r="C278" s="1324" t="s">
        <v>5268</v>
      </c>
      <c r="D278" s="1324" t="s">
        <v>4067</v>
      </c>
      <c r="E278" s="1364">
        <f>+IF(ISBLANK(REPORTS!F308),"",REPORTS!F308)</f>
        <v>0</v>
      </c>
      <c r="F278" s="1364">
        <f>+IF(ISBLANK(REPORTS!G308),"",REPORTS!G308)</f>
        <v>0</v>
      </c>
      <c r="G278" s="1364">
        <f>+IF(ISBLANK(REPORTS!H308),"",REPORTS!H308)</f>
        <v>0</v>
      </c>
      <c r="H278" s="1374">
        <f>+IF(ISBLANK(REPORTS!I308),"",REPORTS!I308)</f>
        <v>0</v>
      </c>
    </row>
    <row r="279" spans="1:8">
      <c r="A279" s="1751">
        <v>204</v>
      </c>
      <c r="B279" s="1393">
        <v>101</v>
      </c>
      <c r="C279" s="1324" t="s">
        <v>5239</v>
      </c>
      <c r="D279" s="1324" t="s">
        <v>4067</v>
      </c>
      <c r="E279" s="1364">
        <f>+IF(ISBLANK(REPORTS!F309),"",REPORTS!F309)</f>
        <v>0</v>
      </c>
      <c r="F279" s="1364">
        <f>+IF(ISBLANK(REPORTS!G309),"",REPORTS!G309)</f>
        <v>0</v>
      </c>
      <c r="G279" s="1364">
        <f>+IF(ISBLANK(REPORTS!H309),"",REPORTS!H309)</f>
        <v>0</v>
      </c>
      <c r="H279" s="1374">
        <f>+IF(ISBLANK(REPORTS!I309),"",REPORTS!I309)</f>
        <v>0</v>
      </c>
    </row>
    <row r="280" spans="1:8">
      <c r="A280" s="1751">
        <v>817</v>
      </c>
      <c r="B280" s="1393">
        <v>102</v>
      </c>
      <c r="C280" s="1324" t="s">
        <v>5240</v>
      </c>
      <c r="D280" s="1324" t="s">
        <v>4067</v>
      </c>
      <c r="E280" s="1364">
        <f>+IF(ISBLANK(REPORTS!F310),"",REPORTS!F310)</f>
        <v>0</v>
      </c>
      <c r="F280" s="1364">
        <f>+IF(ISBLANK(REPORTS!G310),"",REPORTS!G310)</f>
        <v>0</v>
      </c>
      <c r="G280" s="1364">
        <f>+IF(ISBLANK(REPORTS!H310),"",REPORTS!H310)</f>
        <v>0</v>
      </c>
      <c r="H280" s="1374">
        <f>+IF(ISBLANK(REPORTS!I310),"",REPORTS!I310)</f>
        <v>0</v>
      </c>
    </row>
    <row r="281" spans="1:8">
      <c r="A281" s="1751">
        <v>817</v>
      </c>
      <c r="B281" s="1393">
        <v>103</v>
      </c>
      <c r="C281" s="1324" t="s">
        <v>5241</v>
      </c>
      <c r="D281" s="1324" t="s">
        <v>4067</v>
      </c>
      <c r="E281" s="1364">
        <f>+IF(ISBLANK(REPORTS!F311),"",REPORTS!F311)</f>
        <v>0</v>
      </c>
      <c r="F281" s="1364">
        <f>+IF(ISBLANK(REPORTS!G311),"",REPORTS!G311)</f>
        <v>0</v>
      </c>
      <c r="G281" s="1364">
        <f>+IF(ISBLANK(REPORTS!H311),"",REPORTS!H311)</f>
        <v>0</v>
      </c>
      <c r="H281" s="1374">
        <f>+IF(ISBLANK(REPORTS!I311),"",REPORTS!I311)</f>
        <v>0</v>
      </c>
    </row>
    <row r="282" spans="1:8">
      <c r="A282" s="1751">
        <v>105</v>
      </c>
      <c r="B282" s="1393">
        <v>104</v>
      </c>
      <c r="C282" s="1324" t="s">
        <v>5242</v>
      </c>
      <c r="D282" s="1324" t="s">
        <v>4071</v>
      </c>
      <c r="E282" s="1364">
        <f>+IF(ISBLANK(REPORTS!F312),"",REPORTS!F312)</f>
        <v>0</v>
      </c>
      <c r="F282" s="1364">
        <f>+IF(ISBLANK(REPORTS!G312),"",REPORTS!G312)</f>
        <v>0</v>
      </c>
      <c r="G282" s="1364">
        <f>+IF(ISBLANK(REPORTS!H312),"",REPORTS!H312)</f>
        <v>0</v>
      </c>
      <c r="H282" s="1374">
        <f>+IF(ISBLANK(REPORTS!I312),"",REPORTS!I312)</f>
        <v>0</v>
      </c>
    </row>
    <row r="283" spans="1:8">
      <c r="A283" s="1751">
        <v>106</v>
      </c>
      <c r="B283" s="1393">
        <v>105</v>
      </c>
      <c r="C283" s="1324" t="s">
        <v>5244</v>
      </c>
      <c r="D283" s="1324" t="s">
        <v>4071</v>
      </c>
      <c r="E283" s="1364">
        <f>+IF(ISBLANK(REPORTS!F313),"",REPORTS!F313)</f>
        <v>0</v>
      </c>
      <c r="F283" s="1364">
        <f>+IF(ISBLANK(REPORTS!G313),"",REPORTS!G313)</f>
        <v>0</v>
      </c>
      <c r="G283" s="1364">
        <f>+IF(ISBLANK(REPORTS!H313),"",REPORTS!H313)</f>
        <v>0</v>
      </c>
      <c r="H283" s="1374">
        <f>+IF(ISBLANK(REPORTS!I313),"",REPORTS!I313)</f>
        <v>0</v>
      </c>
    </row>
    <row r="284" spans="1:8">
      <c r="A284" s="1751">
        <v>607</v>
      </c>
      <c r="B284" s="1393">
        <v>106</v>
      </c>
      <c r="C284" s="1324" t="s">
        <v>5364</v>
      </c>
      <c r="D284" s="1324"/>
      <c r="E284" s="1421">
        <f>+IF(ISBLANK(REPORTS!F314),"",REPORTS!F314)</f>
        <v>0</v>
      </c>
      <c r="F284" s="1421">
        <f>+IF(ISBLANK(REPORTS!G314),"",REPORTS!G314)</f>
        <v>0</v>
      </c>
      <c r="G284" s="1421">
        <f>+IF(ISBLANK(REPORTS!H314),"",REPORTS!H314)</f>
        <v>0</v>
      </c>
      <c r="H284" s="1374">
        <f>+IF(ISBLANK(REPORTS!I314),"",REPORTS!I314)</f>
        <v>0</v>
      </c>
    </row>
    <row r="285" spans="1:8">
      <c r="A285" s="1751">
        <v>412</v>
      </c>
      <c r="B285" s="1393">
        <v>107</v>
      </c>
      <c r="C285" s="1324" t="s">
        <v>5366</v>
      </c>
      <c r="D285" s="1324"/>
      <c r="E285" s="1421">
        <f>+IF(ISBLANK(REPORTS!F315),"",REPORTS!F315)</f>
        <v>158286.55231215444</v>
      </c>
      <c r="F285" s="1421">
        <f>+IF(ISBLANK(REPORTS!G315),"",REPORTS!G315)</f>
        <v>1171.6366988912764</v>
      </c>
      <c r="G285" s="1421">
        <f>+IF(ISBLANK(REPORTS!H315),"",REPORTS!H315)</f>
        <v>157114.91561326315</v>
      </c>
      <c r="H285" s="1374" t="str">
        <f>+IF(ISBLANK(REPORTS!I315),"",REPORTS!I315)</f>
        <v/>
      </c>
    </row>
    <row r="286" spans="1:8">
      <c r="A286" s="1751"/>
      <c r="B286" s="1393">
        <v>108</v>
      </c>
      <c r="C286" s="1324"/>
      <c r="D286" s="1324"/>
      <c r="E286" s="1364" t="str">
        <f>+IF(ISBLANK(REPORTS!F316),"",REPORTS!F316)</f>
        <v/>
      </c>
      <c r="F286" s="1364" t="str">
        <f>+IF(ISBLANK(REPORTS!G316),"",REPORTS!G316)</f>
        <v/>
      </c>
      <c r="G286" s="1364" t="str">
        <f>+IF(ISBLANK(REPORTS!H316),"",REPORTS!H316)</f>
        <v/>
      </c>
      <c r="H286" s="1374" t="str">
        <f>+IF(ISBLANK(REPORTS!I316),"",REPORTS!I316)</f>
        <v/>
      </c>
    </row>
    <row r="287" spans="1:8">
      <c r="A287" s="1751"/>
      <c r="B287" s="1393">
        <v>109</v>
      </c>
      <c r="C287" s="1362" t="s">
        <v>5368</v>
      </c>
      <c r="D287" s="1324"/>
      <c r="E287" s="1324" t="str">
        <f>+IF(ISBLANK(REPORTS!F317),"",REPORTS!F317)</f>
        <v/>
      </c>
      <c r="F287" s="1324" t="str">
        <f>+IF(ISBLANK(REPORTS!G317),"",REPORTS!G317)</f>
        <v/>
      </c>
      <c r="G287" s="1324" t="str">
        <f>+IF(ISBLANK(REPORTS!H317),"",REPORTS!H317)</f>
        <v/>
      </c>
      <c r="H287" s="1374" t="str">
        <f>+IF(ISBLANK(REPORTS!I317),"",REPORTS!I317)</f>
        <v/>
      </c>
    </row>
    <row r="288" spans="1:8">
      <c r="A288" s="1751"/>
      <c r="B288" s="1393">
        <v>110</v>
      </c>
      <c r="C288" s="1324" t="s">
        <v>5265</v>
      </c>
      <c r="D288" s="1324" t="s">
        <v>4067</v>
      </c>
      <c r="E288" s="1324">
        <f>+IF(ISBLANK(REPORTS!F318),"",REPORTS!F318)</f>
        <v>159622.03248406202</v>
      </c>
      <c r="F288" s="1324">
        <f>+IF(ISBLANK(REPORTS!G318),"",REPORTS!G318)</f>
        <v>0</v>
      </c>
      <c r="G288" s="1324">
        <f>+IF(ISBLANK(REPORTS!H318),"",REPORTS!H318)</f>
        <v>159622.03248406202</v>
      </c>
      <c r="H288" s="1374">
        <f>+IF(ISBLANK(REPORTS!I318),"",REPORTS!I318)</f>
        <v>1</v>
      </c>
    </row>
    <row r="289" spans="1:8">
      <c r="A289" s="1751"/>
      <c r="B289" s="1393">
        <v>111</v>
      </c>
      <c r="C289" s="1324" t="s">
        <v>5265</v>
      </c>
      <c r="D289" s="1324" t="s">
        <v>2067</v>
      </c>
      <c r="E289" s="1364">
        <f>+IF(ISBLANK(REPORTS!F319),"",REPORTS!F319)</f>
        <v>41606.418583842657</v>
      </c>
      <c r="F289" s="1364">
        <f>+IF(ISBLANK(REPORTS!G319),"",REPORTS!G319)</f>
        <v>0</v>
      </c>
      <c r="G289" s="1364">
        <f>+IF(ISBLANK(REPORTS!H319),"",REPORTS!H319)</f>
        <v>41606.418583842657</v>
      </c>
      <c r="H289" s="1374">
        <f>+IF(ISBLANK(REPORTS!I319),"",REPORTS!I319)</f>
        <v>1</v>
      </c>
    </row>
    <row r="290" spans="1:8">
      <c r="A290" s="1751"/>
      <c r="B290" s="1393">
        <v>112</v>
      </c>
      <c r="C290" s="1324" t="s">
        <v>5268</v>
      </c>
      <c r="D290" s="1324" t="s">
        <v>4067</v>
      </c>
      <c r="E290" s="1364">
        <f>+IF(ISBLANK(REPORTS!F320),"",REPORTS!F320)</f>
        <v>4045.870112441934</v>
      </c>
      <c r="F290" s="1364">
        <f>+IF(ISBLANK(REPORTS!G320),"",REPORTS!G320)</f>
        <v>406.64102719459561</v>
      </c>
      <c r="G290" s="1364">
        <f>+IF(ISBLANK(REPORTS!H320),"",REPORTS!H320)</f>
        <v>3639.0936003281759</v>
      </c>
      <c r="H290" s="1374">
        <f>+IF(ISBLANK(REPORTS!I320),"",REPORTS!I320)</f>
        <v>0.89945883065725918</v>
      </c>
    </row>
    <row r="291" spans="1:8">
      <c r="A291" s="1751"/>
      <c r="B291" s="1393">
        <v>113</v>
      </c>
      <c r="C291" s="1324" t="s">
        <v>5239</v>
      </c>
      <c r="D291" s="1324" t="s">
        <v>4067</v>
      </c>
      <c r="E291" s="1364">
        <f>+IF(ISBLANK(REPORTS!F321),"",REPORTS!F321)</f>
        <v>12410.707503734577</v>
      </c>
      <c r="F291" s="1364">
        <f>+IF(ISBLANK(REPORTS!G321),"",REPORTS!G321)</f>
        <v>1290.0636241191005</v>
      </c>
      <c r="G291" s="1364">
        <f>+IF(ISBLANK(REPORTS!H321),"",REPORTS!H321)</f>
        <v>11120.779364534637</v>
      </c>
      <c r="H291" s="1374">
        <f>+IF(ISBLANK(REPORTS!I321),"",REPORTS!I321)</f>
        <v>0.89606328738214325</v>
      </c>
    </row>
    <row r="292" spans="1:8">
      <c r="A292" s="1751"/>
      <c r="B292" s="1393">
        <v>114</v>
      </c>
      <c r="C292" s="1324" t="s">
        <v>5240</v>
      </c>
      <c r="D292" s="1324" t="s">
        <v>4067</v>
      </c>
      <c r="E292" s="1364">
        <f>+IF(ISBLANK(REPORTS!F322),"",REPORTS!F322)</f>
        <v>58782.428344976914</v>
      </c>
      <c r="F292" s="1364">
        <f>+IF(ISBLANK(REPORTS!G322),"",REPORTS!G322)</f>
        <v>0</v>
      </c>
      <c r="G292" s="1364">
        <f>+IF(ISBLANK(REPORTS!H322),"",REPORTS!H322)</f>
        <v>58782.428344976914</v>
      </c>
      <c r="H292" s="1374">
        <f>+IF(ISBLANK(REPORTS!I322),"",REPORTS!I322)</f>
        <v>1</v>
      </c>
    </row>
    <row r="293" spans="1:8">
      <c r="A293" s="1751"/>
      <c r="B293" s="1393">
        <v>115</v>
      </c>
      <c r="C293" s="1324" t="s">
        <v>5241</v>
      </c>
      <c r="D293" s="1324" t="s">
        <v>4067</v>
      </c>
      <c r="E293" s="1364">
        <f>+IF(ISBLANK(REPORTS!F323),"",REPORTS!F323)</f>
        <v>9777.0557636031099</v>
      </c>
      <c r="F293" s="1364">
        <f>+IF(ISBLANK(REPORTS!G323),"",REPORTS!G323)</f>
        <v>0</v>
      </c>
      <c r="G293" s="1364">
        <f>+IF(ISBLANK(REPORTS!H323),"",REPORTS!H323)</f>
        <v>9777.0557636031099</v>
      </c>
      <c r="H293" s="1374">
        <f>+IF(ISBLANK(REPORTS!I323),"",REPORTS!I323)</f>
        <v>1</v>
      </c>
    </row>
    <row r="294" spans="1:8">
      <c r="A294" s="1751"/>
      <c r="B294" s="1393">
        <v>116</v>
      </c>
      <c r="C294" s="1324" t="s">
        <v>5242</v>
      </c>
      <c r="D294" s="1324" t="s">
        <v>4071</v>
      </c>
      <c r="E294" s="1364">
        <f>+IF(ISBLANK(REPORTS!F324),"",REPORTS!F324)</f>
        <v>38382.168272878131</v>
      </c>
      <c r="F294" s="1364">
        <f>+IF(ISBLANK(REPORTS!G324),"",REPORTS!G324)</f>
        <v>0</v>
      </c>
      <c r="G294" s="1364">
        <f>+IF(ISBLANK(REPORTS!H324),"",REPORTS!H324)</f>
        <v>38382.168272878131</v>
      </c>
      <c r="H294" s="1374">
        <f>+IF(ISBLANK(REPORTS!I324),"",REPORTS!I324)</f>
        <v>1</v>
      </c>
    </row>
    <row r="295" spans="1:8">
      <c r="A295" s="1751"/>
      <c r="B295" s="1393">
        <v>117</v>
      </c>
      <c r="C295" s="1324" t="s">
        <v>5244</v>
      </c>
      <c r="D295" s="1324" t="s">
        <v>4071</v>
      </c>
      <c r="E295" s="1366">
        <f>+IF(ISBLANK(REPORTS!F325),"",REPORTS!F325)</f>
        <v>68841.12898628338</v>
      </c>
      <c r="F295" s="1366">
        <f>+IF(ISBLANK(REPORTS!G325),"",REPORTS!G325)</f>
        <v>0</v>
      </c>
      <c r="G295" s="1366">
        <f>+IF(ISBLANK(REPORTS!H325),"",REPORTS!H325)</f>
        <v>68841.12898628338</v>
      </c>
      <c r="H295" s="1374">
        <f>+IF(ISBLANK(REPORTS!I325),"",REPORTS!I325)</f>
        <v>1</v>
      </c>
    </row>
    <row r="296" spans="1:8">
      <c r="A296" s="1751"/>
      <c r="B296" s="1393">
        <v>118</v>
      </c>
      <c r="C296" s="1324"/>
      <c r="D296" s="1324"/>
      <c r="E296" s="1364" t="str">
        <f>+IF(ISBLANK(REPORTS!F326),"",REPORTS!F326)</f>
        <v/>
      </c>
      <c r="F296" s="1364" t="str">
        <f>+IF(ISBLANK(REPORTS!G326),"",REPORTS!G326)</f>
        <v/>
      </c>
      <c r="G296" s="1364" t="str">
        <f>+IF(ISBLANK(REPORTS!H326),"",REPORTS!H326)</f>
        <v/>
      </c>
      <c r="H296" s="1374" t="str">
        <f>+IF(ISBLANK(REPORTS!I326),"",REPORTS!I326)</f>
        <v/>
      </c>
    </row>
    <row r="297" spans="1:8" ht="15" thickBot="1">
      <c r="A297" s="1751"/>
      <c r="B297" s="1393">
        <v>119</v>
      </c>
      <c r="C297" s="1324" t="s">
        <v>5377</v>
      </c>
      <c r="D297" s="1324"/>
      <c r="E297" s="1380">
        <f>+IF(ISBLANK(REPORTS!F327),"",REPORTS!F327)</f>
        <v>393467.81005182274</v>
      </c>
      <c r="F297" s="1380">
        <f>+IF(ISBLANK(REPORTS!G327),"",REPORTS!G327)</f>
        <v>1696.7046513136961</v>
      </c>
      <c r="G297" s="1380">
        <f>+IF(ISBLANK(REPORTS!H327),"",REPORTS!H327)</f>
        <v>391771.10540050903</v>
      </c>
      <c r="H297" s="1374">
        <f>+IF(ISBLANK(REPORTS!I327),"",REPORTS!I327)</f>
        <v>0.99568781839843457</v>
      </c>
    </row>
    <row r="298" spans="1:8" ht="15" thickTop="1">
      <c r="A298" s="1751"/>
      <c r="B298" s="1393">
        <v>120</v>
      </c>
      <c r="C298" s="1324"/>
      <c r="D298" s="1324"/>
      <c r="E298" s="1324" t="str">
        <f>+IF(ISBLANK(REPORTS!F328),"",REPORTS!F328)</f>
        <v/>
      </c>
      <c r="F298" s="1324" t="str">
        <f>+IF(ISBLANK(REPORTS!G328),"",REPORTS!G328)</f>
        <v/>
      </c>
      <c r="G298" s="1324" t="str">
        <f>+IF(ISBLANK(REPORTS!H328),"",REPORTS!H328)</f>
        <v/>
      </c>
      <c r="H298" s="1374" t="str">
        <f>+IF(ISBLANK(REPORTS!I328),"",REPORTS!I328)</f>
        <v/>
      </c>
    </row>
    <row r="299" spans="1:8">
      <c r="A299" s="1751"/>
      <c r="B299" s="1393">
        <v>121</v>
      </c>
      <c r="C299" s="1362" t="s">
        <v>5379</v>
      </c>
      <c r="D299" s="1324"/>
      <c r="E299" s="1324" t="str">
        <f>+IF(ISBLANK(REPORTS!F329),"",REPORTS!F329)</f>
        <v/>
      </c>
      <c r="F299" s="1324" t="str">
        <f>+IF(ISBLANK(REPORTS!G329),"",REPORTS!G329)</f>
        <v/>
      </c>
      <c r="G299" s="1324" t="str">
        <f>+IF(ISBLANK(REPORTS!H329),"",REPORTS!H329)</f>
        <v/>
      </c>
      <c r="H299" s="1374" t="str">
        <f>+IF(ISBLANK(REPORTS!I329),"",REPORTS!I329)</f>
        <v/>
      </c>
    </row>
    <row r="300" spans="1:8">
      <c r="A300" s="1751"/>
      <c r="B300" s="1393">
        <v>122</v>
      </c>
      <c r="C300" s="1324" t="s">
        <v>5265</v>
      </c>
      <c r="D300" s="1324" t="s">
        <v>4067</v>
      </c>
      <c r="E300" s="1324">
        <f>+IF(ISBLANK(REPORTS!F330),"",REPORTS!F330)</f>
        <v>159622.03248406202</v>
      </c>
      <c r="F300" s="1324">
        <f>+IF(ISBLANK(REPORTS!G330),"",REPORTS!G330)</f>
        <v>0</v>
      </c>
      <c r="G300" s="1324">
        <f>+IF(ISBLANK(REPORTS!H330),"",REPORTS!H330)</f>
        <v>159622.03248406202</v>
      </c>
      <c r="H300" s="1374">
        <f>+IF(ISBLANK(REPORTS!I330),"",REPORTS!I330)</f>
        <v>1</v>
      </c>
    </row>
    <row r="301" spans="1:8">
      <c r="A301" s="1751"/>
      <c r="B301" s="1393">
        <v>123</v>
      </c>
      <c r="C301" s="1324" t="s">
        <v>5265</v>
      </c>
      <c r="D301" s="1324" t="s">
        <v>2067</v>
      </c>
      <c r="E301" s="1324">
        <f>+IF(ISBLANK(REPORTS!F331),"",REPORTS!F331)</f>
        <v>42232.879491595908</v>
      </c>
      <c r="F301" s="1324">
        <f>+IF(ISBLANK(REPORTS!G331),"",REPORTS!G331)</f>
        <v>0</v>
      </c>
      <c r="G301" s="1324">
        <f>+IF(ISBLANK(REPORTS!H331),"",REPORTS!H331)</f>
        <v>42232.879491595908</v>
      </c>
      <c r="H301" s="1374">
        <f>+IF(ISBLANK(REPORTS!I331),"",REPORTS!I331)</f>
        <v>1</v>
      </c>
    </row>
    <row r="302" spans="1:8">
      <c r="A302" s="1751"/>
      <c r="B302" s="1393">
        <v>124</v>
      </c>
      <c r="C302" s="1324" t="s">
        <v>5268</v>
      </c>
      <c r="D302" s="1324" t="s">
        <v>4067</v>
      </c>
      <c r="E302" s="1324">
        <f>+IF(ISBLANK(REPORTS!F332),"",REPORTS!F332)</f>
        <v>4045.870112441934</v>
      </c>
      <c r="F302" s="1324">
        <f>+IF(ISBLANK(REPORTS!G332),"",REPORTS!G332)</f>
        <v>406.64102719459561</v>
      </c>
      <c r="G302" s="1324">
        <f>+IF(ISBLANK(REPORTS!H332),"",REPORTS!H332)</f>
        <v>3639.0936003281759</v>
      </c>
      <c r="H302" s="1374">
        <f>+IF(ISBLANK(REPORTS!I332),"",REPORTS!I332)</f>
        <v>0.89945883065725918</v>
      </c>
    </row>
    <row r="303" spans="1:8">
      <c r="A303" s="1751"/>
      <c r="B303" s="1393">
        <v>125</v>
      </c>
      <c r="C303" s="1324" t="s">
        <v>5239</v>
      </c>
      <c r="D303" s="1324" t="s">
        <v>4067</v>
      </c>
      <c r="E303" s="1364">
        <f>+IF(ISBLANK(REPORTS!F333),"",REPORTS!F333)</f>
        <v>12410.707503734577</v>
      </c>
      <c r="F303" s="1364">
        <f>+IF(ISBLANK(REPORTS!G333),"",REPORTS!G333)</f>
        <v>1290.0636241191005</v>
      </c>
      <c r="G303" s="1364">
        <f>+IF(ISBLANK(REPORTS!H333),"",REPORTS!H333)</f>
        <v>11120.779364534637</v>
      </c>
      <c r="H303" s="1374">
        <f>+IF(ISBLANK(REPORTS!I333),"",REPORTS!I333)</f>
        <v>0.89606328738214325</v>
      </c>
    </row>
    <row r="304" spans="1:8">
      <c r="A304" s="1751"/>
      <c r="B304" s="1416" t="str">
        <f>+$B$1</f>
        <v>RATES WITH REVENUE DEFICIENCY ADDITION</v>
      </c>
      <c r="C304" s="1324"/>
      <c r="D304" s="1324"/>
      <c r="E304" s="1336"/>
      <c r="F304" s="1329" t="s">
        <v>2173</v>
      </c>
      <c r="G304" s="1324"/>
      <c r="H304" s="1334" t="s">
        <v>4889</v>
      </c>
    </row>
    <row r="305" spans="1:8">
      <c r="A305" s="1751"/>
      <c r="B305" s="1416" t="str">
        <f>+$B$2</f>
        <v xml:space="preserve">PROD. CAP. ALLOC. METHOD: 12 CP </v>
      </c>
      <c r="C305" s="1364"/>
      <c r="D305" s="1324"/>
      <c r="E305" s="1324"/>
      <c r="F305" s="1336" t="s">
        <v>4768</v>
      </c>
      <c r="G305" s="1324"/>
      <c r="H305" s="1731" t="s">
        <v>5298</v>
      </c>
    </row>
    <row r="306" spans="1:8">
      <c r="A306" s="1752"/>
      <c r="B306" s="1416" t="str">
        <f>+$B$3</f>
        <v>PROJECTED CALENDAR YEAR 2025; FULLY ADJUSTED DATA</v>
      </c>
      <c r="C306" s="1324"/>
      <c r="D306" s="1324"/>
      <c r="E306" s="1324"/>
      <c r="F306" s="1336" t="s">
        <v>2181</v>
      </c>
      <c r="G306" s="1324"/>
      <c r="H306" s="1374"/>
    </row>
    <row r="307" spans="1:8">
      <c r="A307" s="1752"/>
      <c r="B307" s="1732">
        <f>+$B$4</f>
        <v>0</v>
      </c>
      <c r="C307" s="1324"/>
      <c r="D307" s="1324"/>
      <c r="E307" s="1324"/>
      <c r="F307" s="1324"/>
      <c r="G307" s="1324"/>
      <c r="H307" s="1374"/>
    </row>
    <row r="308" spans="1:8">
      <c r="A308" s="1752"/>
      <c r="B308" s="1732" t="str">
        <f>+$B$5</f>
        <v>Tampa Electric 2025 OB Budget</v>
      </c>
      <c r="C308" s="1324"/>
      <c r="D308" s="1324"/>
      <c r="E308" s="1329"/>
      <c r="F308" s="1336" t="s">
        <v>5277</v>
      </c>
      <c r="G308" s="1324"/>
      <c r="H308" s="1374"/>
    </row>
    <row r="309" spans="1:8">
      <c r="A309" s="1752"/>
      <c r="B309" s="1393"/>
      <c r="C309" s="1324"/>
      <c r="D309" s="1324"/>
      <c r="E309" s="1336"/>
      <c r="F309" s="1324"/>
      <c r="G309" s="1324"/>
      <c r="H309" s="1374"/>
    </row>
    <row r="310" spans="1:8">
      <c r="A310" s="1751"/>
      <c r="B310" s="1393"/>
      <c r="C310" s="1324"/>
      <c r="D310" s="1324"/>
      <c r="E310" s="1336"/>
      <c r="F310" s="1324"/>
      <c r="G310" s="1324"/>
      <c r="H310" s="1374"/>
    </row>
    <row r="311" spans="1:8">
      <c r="A311" s="1751"/>
      <c r="B311" s="1393"/>
      <c r="C311" s="1324"/>
      <c r="D311" s="1324"/>
      <c r="E311" s="1324"/>
      <c r="F311" s="1324"/>
      <c r="G311" s="1324"/>
      <c r="H311" s="1374"/>
    </row>
    <row r="312" spans="1:8">
      <c r="A312" s="1751"/>
      <c r="B312" s="1735"/>
      <c r="C312" s="1416"/>
      <c r="D312" s="1416"/>
      <c r="E312" s="1336"/>
      <c r="F312" s="1336"/>
      <c r="G312" s="1336"/>
      <c r="H312" s="1736"/>
    </row>
    <row r="313" spans="1:8" ht="28.2">
      <c r="A313" s="1751"/>
      <c r="B313" s="1737" t="s">
        <v>4297</v>
      </c>
      <c r="C313" s="1741"/>
      <c r="D313" s="1741"/>
      <c r="E313" s="1352" t="s">
        <v>5144</v>
      </c>
      <c r="F313" s="1352" t="s">
        <v>4956</v>
      </c>
      <c r="G313" s="1352" t="s">
        <v>4957</v>
      </c>
      <c r="H313" s="1742" t="s">
        <v>5145</v>
      </c>
    </row>
    <row r="314" spans="1:8">
      <c r="A314" s="1751"/>
      <c r="B314" s="1393">
        <v>126</v>
      </c>
      <c r="C314" s="1324" t="s">
        <v>5240</v>
      </c>
      <c r="D314" s="1324" t="s">
        <v>4067</v>
      </c>
      <c r="E314" s="1364">
        <f>+IF(ISBLANK(REPORTS!F334),"",REPORTS!F334)</f>
        <v>58782.428344976914</v>
      </c>
      <c r="F314" s="1364">
        <f>+IF(ISBLANK(REPORTS!G334),"",REPORTS!G334)</f>
        <v>0</v>
      </c>
      <c r="G314" s="1364">
        <f>+IF(ISBLANK(REPORTS!H334),"",REPORTS!H334)</f>
        <v>58782.428344976914</v>
      </c>
      <c r="H314" s="1374">
        <f>+IF(ISBLANK(REPORTS!I334),"",REPORTS!I334)</f>
        <v>1</v>
      </c>
    </row>
    <row r="315" spans="1:8">
      <c r="A315" s="1751"/>
      <c r="B315" s="1393">
        <v>127</v>
      </c>
      <c r="C315" s="1324" t="s">
        <v>5241</v>
      </c>
      <c r="D315" s="1324" t="s">
        <v>4067</v>
      </c>
      <c r="E315" s="1364">
        <f>+IF(ISBLANK(REPORTS!F335),"",REPORTS!F335)</f>
        <v>9777.0557636031099</v>
      </c>
      <c r="F315" s="1364">
        <f>+IF(ISBLANK(REPORTS!G335),"",REPORTS!G335)</f>
        <v>0</v>
      </c>
      <c r="G315" s="1364">
        <f>+IF(ISBLANK(REPORTS!H335),"",REPORTS!H335)</f>
        <v>9777.0557636031099</v>
      </c>
      <c r="H315" s="1374">
        <f>+IF(ISBLANK(REPORTS!I335),"",REPORTS!I335)</f>
        <v>1</v>
      </c>
    </row>
    <row r="316" spans="1:8">
      <c r="A316" s="1751"/>
      <c r="B316" s="1393">
        <v>128</v>
      </c>
      <c r="C316" s="1324" t="s">
        <v>5242</v>
      </c>
      <c r="D316" s="1324" t="s">
        <v>4071</v>
      </c>
      <c r="E316" s="1364">
        <f>+IF(ISBLANK(REPORTS!F336),"",REPORTS!F336)</f>
        <v>38382.168272878131</v>
      </c>
      <c r="F316" s="1364">
        <f>+IF(ISBLANK(REPORTS!G336),"",REPORTS!G336)</f>
        <v>0</v>
      </c>
      <c r="G316" s="1364">
        <f>+IF(ISBLANK(REPORTS!H336),"",REPORTS!H336)</f>
        <v>38382.168272878131</v>
      </c>
      <c r="H316" s="1374">
        <f>+IF(ISBLANK(REPORTS!I336),"",REPORTS!I336)</f>
        <v>1</v>
      </c>
    </row>
    <row r="317" spans="1:8">
      <c r="A317" s="1751"/>
      <c r="B317" s="1393">
        <v>129</v>
      </c>
      <c r="C317" s="1324" t="s">
        <v>5244</v>
      </c>
      <c r="D317" s="1324" t="s">
        <v>4071</v>
      </c>
      <c r="E317" s="1366">
        <f>+IF(ISBLANK(REPORTS!F337),"",REPORTS!F337)</f>
        <v>68841.12898628338</v>
      </c>
      <c r="F317" s="1366">
        <f>+IF(ISBLANK(REPORTS!G337),"",REPORTS!G337)</f>
        <v>0</v>
      </c>
      <c r="G317" s="1366">
        <f>+IF(ISBLANK(REPORTS!H337),"",REPORTS!H337)</f>
        <v>68841.12898628338</v>
      </c>
      <c r="H317" s="1374">
        <f>+IF(ISBLANK(REPORTS!I337),"",REPORTS!I337)</f>
        <v>1</v>
      </c>
    </row>
    <row r="318" spans="1:8" ht="15" thickBot="1">
      <c r="A318" s="1751"/>
      <c r="B318" s="1393">
        <v>130</v>
      </c>
      <c r="C318" s="1324" t="s">
        <v>5388</v>
      </c>
      <c r="D318" s="1324"/>
      <c r="E318" s="1380">
        <f>+IF(ISBLANK(REPORTS!F338),"",REPORTS!F338)</f>
        <v>394094.27095957595</v>
      </c>
      <c r="F318" s="1380">
        <f>+IF(ISBLANK(REPORTS!G338),"",REPORTS!G338)</f>
        <v>1696.7046513136961</v>
      </c>
      <c r="G318" s="1380">
        <f>+IF(ISBLANK(REPORTS!H338),"",REPORTS!H338)</f>
        <v>392397.56630826223</v>
      </c>
      <c r="H318" s="1374">
        <f>+IF(ISBLANK(REPORTS!I338),"",REPORTS!I338)</f>
        <v>0.99569467313700744</v>
      </c>
    </row>
    <row r="319" spans="1:8" ht="15" thickTop="1">
      <c r="A319" s="1751"/>
    </row>
    <row r="320" spans="1:8">
      <c r="A320" s="1751"/>
    </row>
    <row r="321" spans="1:8">
      <c r="A321" s="1751"/>
      <c r="B321" s="1393"/>
      <c r="C321" s="1324"/>
      <c r="D321" s="1324"/>
      <c r="E321" s="1324"/>
      <c r="F321" s="1324"/>
      <c r="G321" s="1324"/>
      <c r="H321" s="1374"/>
    </row>
    <row r="324" spans="1:8">
      <c r="A324" s="1751"/>
    </row>
    <row r="325" spans="1:8">
      <c r="A325" s="1751"/>
      <c r="B325" s="1393"/>
      <c r="C325" s="1324"/>
      <c r="D325" s="1324"/>
      <c r="E325" s="1324"/>
      <c r="F325" s="1324"/>
      <c r="G325" s="1324"/>
      <c r="H325" s="1374"/>
    </row>
    <row r="326" spans="1:8">
      <c r="A326" s="1751"/>
      <c r="B326" s="1393"/>
      <c r="C326" s="1324"/>
      <c r="D326" s="1324"/>
      <c r="E326" s="1324"/>
      <c r="F326" s="1324"/>
      <c r="G326" s="1324"/>
      <c r="H326" s="1374"/>
    </row>
    <row r="327" spans="1:8">
      <c r="A327" s="1751"/>
      <c r="B327" s="1393"/>
      <c r="C327" s="1324"/>
      <c r="D327" s="1324"/>
      <c r="E327" s="1324"/>
      <c r="F327" s="1324"/>
      <c r="G327" s="1324"/>
      <c r="H327" s="1374"/>
    </row>
    <row r="328" spans="1:8">
      <c r="A328" s="1751"/>
      <c r="B328" s="1393"/>
      <c r="C328" s="1324"/>
      <c r="D328" s="1324"/>
      <c r="E328" s="1324"/>
      <c r="F328" s="1324"/>
      <c r="G328" s="1324"/>
      <c r="H328" s="1374"/>
    </row>
    <row r="329" spans="1:8">
      <c r="A329" s="1751"/>
      <c r="B329" s="1393"/>
      <c r="C329" s="1324"/>
      <c r="D329" s="1324"/>
      <c r="E329" s="1324"/>
      <c r="F329" s="1324"/>
      <c r="G329" s="1324"/>
      <c r="H329" s="1374"/>
    </row>
    <row r="330" spans="1:8">
      <c r="A330" s="1751"/>
      <c r="B330" s="1393"/>
      <c r="C330" s="1324"/>
      <c r="D330" s="1324"/>
      <c r="E330" s="1324"/>
      <c r="F330" s="1324"/>
      <c r="G330" s="1324"/>
      <c r="H330" s="1374"/>
    </row>
    <row r="331" spans="1:8">
      <c r="A331" s="1751"/>
      <c r="B331" s="1393"/>
      <c r="C331" s="1324"/>
      <c r="D331" s="1324"/>
      <c r="E331" s="1324"/>
      <c r="F331" s="1324"/>
      <c r="G331" s="1324"/>
      <c r="H331" s="1374"/>
    </row>
    <row r="332" spans="1:8">
      <c r="A332" s="1751"/>
      <c r="B332" s="1393"/>
      <c r="C332" s="1324"/>
      <c r="D332" s="1324"/>
      <c r="E332" s="1324"/>
      <c r="F332" s="1324"/>
      <c r="G332" s="1324"/>
      <c r="H332" s="1374"/>
    </row>
    <row r="333" spans="1:8">
      <c r="A333" s="1751"/>
      <c r="B333" s="1393"/>
      <c r="C333" s="1324"/>
      <c r="D333" s="1324"/>
      <c r="E333" s="1324"/>
      <c r="F333" s="1324"/>
      <c r="G333" s="1324"/>
      <c r="H333" s="1374"/>
    </row>
    <row r="334" spans="1:8">
      <c r="A334" s="1751"/>
      <c r="B334" s="1393"/>
      <c r="C334" s="1324"/>
      <c r="D334" s="1324"/>
      <c r="E334" s="1324"/>
      <c r="F334" s="1324"/>
      <c r="G334" s="1324"/>
      <c r="H334" s="1374"/>
    </row>
    <row r="335" spans="1:8">
      <c r="A335" s="1751"/>
      <c r="B335" s="1393"/>
      <c r="C335" s="1324"/>
      <c r="D335" s="1324"/>
      <c r="E335" s="1324"/>
      <c r="F335" s="1324"/>
      <c r="G335" s="1324"/>
      <c r="H335" s="1374"/>
    </row>
    <row r="336" spans="1:8">
      <c r="A336" s="1751"/>
      <c r="B336" s="1393"/>
      <c r="C336" s="1324"/>
      <c r="D336" s="1324"/>
      <c r="E336" s="1324"/>
      <c r="F336" s="1324"/>
      <c r="G336" s="1324"/>
      <c r="H336" s="1374"/>
    </row>
    <row r="337" spans="1:8">
      <c r="A337" s="1751"/>
      <c r="B337" s="1393"/>
      <c r="C337" s="1324"/>
      <c r="D337" s="1324"/>
      <c r="E337" s="1324"/>
      <c r="F337" s="1324"/>
      <c r="G337" s="1324"/>
      <c r="H337" s="1374"/>
    </row>
    <row r="338" spans="1:8">
      <c r="A338" s="1751"/>
      <c r="B338" s="1393"/>
      <c r="C338" s="1324"/>
      <c r="D338" s="1324"/>
      <c r="E338" s="1324"/>
      <c r="F338" s="1324"/>
      <c r="G338" s="1324"/>
      <c r="H338" s="1374"/>
    </row>
    <row r="339" spans="1:8">
      <c r="A339" s="1751"/>
      <c r="B339" s="1393"/>
      <c r="C339" s="1324"/>
      <c r="D339" s="1324"/>
      <c r="E339" s="1324"/>
      <c r="F339" s="1324"/>
      <c r="G339" s="1324"/>
      <c r="H339" s="1374"/>
    </row>
    <row r="340" spans="1:8">
      <c r="A340" s="1751"/>
      <c r="B340" s="1393"/>
      <c r="C340" s="1324"/>
      <c r="D340" s="1324"/>
      <c r="E340" s="1324"/>
      <c r="F340" s="1324"/>
      <c r="G340" s="1324"/>
      <c r="H340" s="1374"/>
    </row>
    <row r="341" spans="1:8">
      <c r="A341" s="1751"/>
      <c r="B341" s="1393"/>
      <c r="C341" s="1324"/>
      <c r="D341" s="1324"/>
      <c r="E341" s="1324"/>
      <c r="F341" s="1324"/>
      <c r="G341" s="1324"/>
      <c r="H341" s="1374"/>
    </row>
    <row r="342" spans="1:8">
      <c r="A342" s="1751"/>
      <c r="B342" s="1393"/>
      <c r="C342" s="1324"/>
      <c r="D342" s="1324"/>
      <c r="E342" s="1324"/>
      <c r="F342" s="1324"/>
      <c r="G342" s="1324"/>
      <c r="H342" s="1374"/>
    </row>
    <row r="343" spans="1:8">
      <c r="A343" s="1751"/>
      <c r="B343" s="1393"/>
      <c r="C343" s="1324"/>
      <c r="D343" s="1324"/>
      <c r="E343" s="1324"/>
      <c r="F343" s="1324"/>
      <c r="G343" s="1324"/>
      <c r="H343" s="1374"/>
    </row>
    <row r="344" spans="1:8">
      <c r="A344" s="1751"/>
      <c r="B344" s="1393"/>
      <c r="C344" s="1324"/>
      <c r="D344" s="1324"/>
      <c r="E344" s="1324"/>
      <c r="F344" s="1324"/>
      <c r="G344" s="1324"/>
      <c r="H344" s="1374"/>
    </row>
    <row r="345" spans="1:8">
      <c r="A345" s="1751"/>
      <c r="B345" s="1393"/>
      <c r="C345" s="1324"/>
      <c r="D345" s="1324"/>
      <c r="E345" s="1324"/>
      <c r="F345" s="1324"/>
      <c r="G345" s="1324"/>
      <c r="H345" s="1374"/>
    </row>
    <row r="346" spans="1:8">
      <c r="A346" s="1751"/>
      <c r="B346" s="1393"/>
      <c r="C346" s="1324"/>
      <c r="D346" s="1324"/>
      <c r="E346" s="1324"/>
      <c r="F346" s="1324"/>
      <c r="G346" s="1324"/>
      <c r="H346" s="1374"/>
    </row>
    <row r="347" spans="1:8">
      <c r="A347" s="1751"/>
      <c r="B347" s="1393"/>
      <c r="C347" s="1324"/>
      <c r="D347" s="1324"/>
      <c r="E347" s="1324"/>
      <c r="F347" s="1324"/>
      <c r="G347" s="1324"/>
      <c r="H347" s="1374"/>
    </row>
    <row r="348" spans="1:8">
      <c r="A348" s="1751"/>
      <c r="B348" s="1393"/>
      <c r="C348" s="1324"/>
      <c r="D348" s="1324"/>
      <c r="E348" s="1324"/>
      <c r="F348" s="1324"/>
      <c r="G348" s="1324"/>
      <c r="H348" s="1374"/>
    </row>
    <row r="349" spans="1:8">
      <c r="A349" s="1751"/>
      <c r="B349" s="1393"/>
      <c r="C349" s="1324"/>
      <c r="D349" s="1324"/>
      <c r="E349" s="1324"/>
      <c r="F349" s="1324"/>
      <c r="G349" s="1324"/>
      <c r="H349" s="1374"/>
    </row>
    <row r="350" spans="1:8">
      <c r="A350" s="1751"/>
      <c r="B350" s="1393"/>
      <c r="C350" s="1324"/>
      <c r="D350" s="1324"/>
      <c r="E350" s="1324"/>
      <c r="F350" s="1324"/>
      <c r="G350" s="1324"/>
      <c r="H350" s="1374"/>
    </row>
    <row r="351" spans="1:8">
      <c r="A351" s="1751"/>
      <c r="B351" s="1393"/>
      <c r="C351" s="1324"/>
      <c r="D351" s="1324"/>
      <c r="E351" s="1324"/>
      <c r="F351" s="1324"/>
      <c r="G351" s="1324"/>
      <c r="H351" s="1374"/>
    </row>
    <row r="352" spans="1:8">
      <c r="A352" s="1751"/>
      <c r="B352" s="1393"/>
      <c r="C352" s="1324"/>
      <c r="D352" s="1324"/>
      <c r="E352" s="1324"/>
      <c r="F352" s="1324"/>
      <c r="G352" s="1324"/>
      <c r="H352" s="1374"/>
    </row>
    <row r="353" spans="1:8">
      <c r="A353" s="1751"/>
      <c r="B353" s="1393"/>
      <c r="C353" s="1324"/>
      <c r="D353" s="1324"/>
      <c r="E353" s="1324"/>
      <c r="F353" s="1324"/>
      <c r="G353" s="1324"/>
      <c r="H353" s="1374"/>
    </row>
    <row r="354" spans="1:8">
      <c r="A354" s="1751"/>
      <c r="B354" s="1393"/>
      <c r="C354" s="1324"/>
      <c r="D354" s="1324"/>
      <c r="E354" s="1324"/>
      <c r="F354" s="1324"/>
      <c r="G354" s="1324"/>
      <c r="H354" s="1374"/>
    </row>
    <row r="355" spans="1:8">
      <c r="A355" s="1751"/>
      <c r="B355" s="1393"/>
      <c r="C355" s="1324"/>
      <c r="D355" s="1324"/>
      <c r="E355" s="1324"/>
      <c r="F355" s="1324"/>
      <c r="G355" s="1324"/>
      <c r="H355" s="1374"/>
    </row>
    <row r="356" spans="1:8">
      <c r="A356" s="1751"/>
      <c r="B356" s="1393"/>
      <c r="C356" s="1324"/>
      <c r="D356" s="1324"/>
      <c r="E356" s="1324"/>
      <c r="F356" s="1324"/>
      <c r="G356" s="1324"/>
      <c r="H356" s="1374"/>
    </row>
    <row r="357" spans="1:8">
      <c r="A357" s="1751"/>
      <c r="B357" s="1393"/>
      <c r="C357" s="1324"/>
      <c r="D357" s="1324"/>
      <c r="E357" s="1324"/>
      <c r="F357" s="1324"/>
      <c r="G357" s="1324"/>
      <c r="H357" s="1374"/>
    </row>
    <row r="358" spans="1:8">
      <c r="A358" s="1751"/>
      <c r="B358" s="1393"/>
      <c r="C358" s="1324"/>
      <c r="D358" s="1324"/>
      <c r="E358" s="1324"/>
      <c r="F358" s="1324"/>
      <c r="G358" s="1324"/>
      <c r="H358" s="1374"/>
    </row>
    <row r="359" spans="1:8">
      <c r="A359" s="1751"/>
      <c r="B359" s="1393"/>
      <c r="C359" s="1324"/>
      <c r="D359" s="1324"/>
      <c r="E359" s="1324"/>
      <c r="F359" s="1324"/>
      <c r="G359" s="1324"/>
      <c r="H359" s="1374"/>
    </row>
    <row r="360" spans="1:8">
      <c r="A360" s="1751"/>
      <c r="B360" s="1393"/>
      <c r="C360" s="1324"/>
      <c r="D360" s="1324"/>
      <c r="E360" s="1324"/>
      <c r="F360" s="1324"/>
      <c r="G360" s="1324"/>
      <c r="H360" s="1374"/>
    </row>
    <row r="361" spans="1:8">
      <c r="A361" s="1751"/>
      <c r="B361" s="1393"/>
      <c r="C361" s="1324"/>
      <c r="D361" s="1324"/>
      <c r="E361" s="1324"/>
      <c r="F361" s="1324"/>
      <c r="G361" s="1324"/>
      <c r="H361" s="1374"/>
    </row>
    <row r="362" spans="1:8">
      <c r="A362" s="1751"/>
      <c r="B362" s="1393"/>
      <c r="C362" s="1324"/>
      <c r="D362" s="1324"/>
      <c r="E362" s="1324"/>
      <c r="F362" s="1324"/>
      <c r="G362" s="1324"/>
      <c r="H362" s="1374"/>
    </row>
    <row r="363" spans="1:8">
      <c r="A363" s="1751"/>
      <c r="B363" s="1393"/>
      <c r="C363" s="1324"/>
      <c r="D363" s="1324"/>
      <c r="E363" s="1324"/>
      <c r="F363" s="1324"/>
      <c r="G363" s="1324"/>
      <c r="H363" s="1374"/>
    </row>
    <row r="364" spans="1:8">
      <c r="A364" s="1751"/>
      <c r="B364" s="1393"/>
      <c r="C364" s="1324"/>
      <c r="D364" s="1324"/>
      <c r="E364" s="1324"/>
      <c r="F364" s="1324"/>
      <c r="G364" s="1324"/>
      <c r="H364" s="1374"/>
    </row>
    <row r="365" spans="1:8">
      <c r="A365" s="1751"/>
      <c r="B365" s="1416" t="str">
        <f>+$B$1</f>
        <v>RATES WITH REVENUE DEFICIENCY ADDITION</v>
      </c>
      <c r="C365" s="1324"/>
      <c r="D365" s="1324"/>
      <c r="E365" s="1336"/>
      <c r="F365" s="1329" t="s">
        <v>2173</v>
      </c>
      <c r="G365" s="1364"/>
      <c r="H365" s="1334" t="s">
        <v>4895</v>
      </c>
    </row>
    <row r="366" spans="1:8">
      <c r="A366" s="1751"/>
      <c r="B366" s="1416" t="str">
        <f>+$B$2</f>
        <v xml:space="preserve">PROD. CAP. ALLOC. METHOD: 12 CP </v>
      </c>
      <c r="C366" s="1364"/>
      <c r="D366" s="1324"/>
      <c r="E366" s="1324"/>
      <c r="F366" s="1336" t="s">
        <v>4768</v>
      </c>
      <c r="G366" s="1324"/>
      <c r="H366" s="1731" t="s">
        <v>5346</v>
      </c>
    </row>
    <row r="367" spans="1:8">
      <c r="A367" s="1751"/>
      <c r="B367" s="1416" t="str">
        <f>+$B$3</f>
        <v>PROJECTED CALENDAR YEAR 2025; FULLY ADJUSTED DATA</v>
      </c>
      <c r="C367" s="1324"/>
      <c r="D367" s="1324"/>
      <c r="E367" s="1324"/>
      <c r="F367" s="1336" t="s">
        <v>2181</v>
      </c>
      <c r="G367" s="1324"/>
      <c r="H367" s="1374"/>
    </row>
    <row r="368" spans="1:8">
      <c r="A368" s="1760"/>
      <c r="B368" s="1732">
        <f>+$B$4</f>
        <v>0</v>
      </c>
      <c r="C368" s="1324"/>
      <c r="D368" s="1324"/>
      <c r="E368" s="1324"/>
      <c r="F368" s="1364"/>
      <c r="G368" s="1364"/>
      <c r="H368" s="1440"/>
    </row>
    <row r="369" spans="1:8">
      <c r="A369" s="1760"/>
      <c r="B369" s="1732" t="str">
        <f>+$B$5</f>
        <v>Tampa Electric 2025 OB Budget</v>
      </c>
      <c r="C369" s="1324"/>
      <c r="D369" s="1324"/>
      <c r="E369" s="1329"/>
      <c r="F369" s="1336" t="s">
        <v>5391</v>
      </c>
      <c r="G369" s="1364"/>
      <c r="H369" s="1440"/>
    </row>
    <row r="370" spans="1:8">
      <c r="A370" s="1752"/>
      <c r="B370" s="1393"/>
      <c r="C370" s="1324"/>
      <c r="D370" s="1324"/>
      <c r="E370" s="1336"/>
      <c r="F370" s="1364"/>
      <c r="G370" s="1364"/>
      <c r="H370" s="1440"/>
    </row>
    <row r="371" spans="1:8">
      <c r="A371" s="1752"/>
      <c r="B371" s="1393"/>
      <c r="C371" s="1324"/>
      <c r="D371" s="1324"/>
      <c r="E371" s="1336"/>
      <c r="F371" s="1364"/>
      <c r="G371" s="1364"/>
      <c r="H371" s="1440"/>
    </row>
    <row r="372" spans="1:8">
      <c r="A372" s="1752"/>
      <c r="B372" s="1439"/>
      <c r="C372" s="1364"/>
      <c r="D372" s="1364"/>
      <c r="E372" s="1324"/>
      <c r="F372" s="1364"/>
      <c r="G372" s="1364"/>
      <c r="H372" s="1440"/>
    </row>
    <row r="373" spans="1:8">
      <c r="A373" s="1752"/>
      <c r="B373" s="1735"/>
      <c r="C373" s="1447"/>
      <c r="D373" s="1447"/>
      <c r="E373" s="1336"/>
      <c r="F373" s="1336"/>
      <c r="G373" s="1336"/>
      <c r="H373" s="1736"/>
    </row>
    <row r="374" spans="1:8" ht="28.2">
      <c r="A374" s="1752"/>
      <c r="B374" s="1737" t="s">
        <v>4297</v>
      </c>
      <c r="C374" s="1741"/>
      <c r="D374" s="1741"/>
      <c r="E374" s="1352" t="s">
        <v>5144</v>
      </c>
      <c r="F374" s="1352" t="s">
        <v>4956</v>
      </c>
      <c r="G374" s="1352" t="s">
        <v>4957</v>
      </c>
      <c r="H374" s="1742" t="s">
        <v>5145</v>
      </c>
    </row>
    <row r="375" spans="1:8">
      <c r="A375" s="1751"/>
      <c r="B375" s="1439"/>
      <c r="C375" s="1364"/>
      <c r="D375" s="1364"/>
      <c r="E375" s="1364"/>
      <c r="F375" s="1364"/>
      <c r="G375" s="1364"/>
      <c r="H375" s="1440"/>
    </row>
    <row r="376" spans="1:8">
      <c r="A376" s="1751"/>
      <c r="B376" s="1439">
        <v>1</v>
      </c>
      <c r="C376" s="1450" t="s">
        <v>5392</v>
      </c>
      <c r="D376" s="1364"/>
      <c r="E376" s="1364" t="str">
        <f>+IF(ISBLANK(REPORTS!F355),"",REPORTS!F355)</f>
        <v/>
      </c>
      <c r="F376" s="1364" t="str">
        <f>+IF(ISBLANK(REPORTS!G355),"",REPORTS!G355)</f>
        <v/>
      </c>
      <c r="G376" s="1364" t="str">
        <f>+IF(ISBLANK(REPORTS!H355),"",REPORTS!H355)</f>
        <v/>
      </c>
      <c r="H376" s="1440" t="str">
        <f>+IF(ISBLANK(REPORTS!I355),"",REPORTS!I355)</f>
        <v/>
      </c>
    </row>
    <row r="377" spans="1:8" ht="28.2">
      <c r="A377" s="1753" t="s">
        <v>5143</v>
      </c>
      <c r="B377" s="1439">
        <v>2</v>
      </c>
      <c r="C377" s="1324" t="s">
        <v>4813</v>
      </c>
      <c r="D377" s="1364" t="s">
        <v>4067</v>
      </c>
      <c r="E377" s="1364">
        <f>+IF(ISBLANK(REPORTS!F356),"",REPORTS!F356)</f>
        <v>190419.46700762311</v>
      </c>
      <c r="F377" s="1364">
        <f>+IF(ISBLANK(REPORTS!G356),"",REPORTS!G356)</f>
        <v>0</v>
      </c>
      <c r="G377" s="1364">
        <f>+IF(ISBLANK(REPORTS!H356),"",REPORTS!H356)</f>
        <v>190419.46700762311</v>
      </c>
      <c r="H377" s="1374">
        <f>+IF(ISBLANK(REPORTS!I356),"",REPORTS!I356)</f>
        <v>1</v>
      </c>
    </row>
    <row r="378" spans="1:8">
      <c r="A378" s="1751"/>
      <c r="B378" s="1439">
        <v>3</v>
      </c>
      <c r="C378" s="1324" t="s">
        <v>5393</v>
      </c>
      <c r="D378" s="1364" t="s">
        <v>4067</v>
      </c>
      <c r="E378" s="1364">
        <f>+IF(ISBLANK(REPORTS!F357),"",REPORTS!F357)</f>
        <v>70700.31160999999</v>
      </c>
      <c r="F378" s="1364">
        <f>+IF(ISBLANK(REPORTS!G357),"",REPORTS!G357)</f>
        <v>0</v>
      </c>
      <c r="G378" s="1364">
        <f>+IF(ISBLANK(REPORTS!H357),"",REPORTS!H357)</f>
        <v>70700.31160999999</v>
      </c>
      <c r="H378" s="1374">
        <f>+IF(ISBLANK(REPORTS!I357),"",REPORTS!I357)</f>
        <v>1</v>
      </c>
    </row>
    <row r="379" spans="1:8">
      <c r="A379" s="1752"/>
      <c r="B379" s="1439">
        <v>4</v>
      </c>
      <c r="C379" s="1324" t="s">
        <v>4814</v>
      </c>
      <c r="D379" s="1364" t="s">
        <v>2067</v>
      </c>
      <c r="E379" s="1366">
        <f>+IF(ISBLANK(REPORTS!F358),"",REPORTS!F358)</f>
        <v>24171.775932376906</v>
      </c>
      <c r="F379" s="1366">
        <f>+IF(ISBLANK(REPORTS!G358),"",REPORTS!G358)</f>
        <v>0</v>
      </c>
      <c r="G379" s="1366">
        <f>+IF(ISBLANK(REPORTS!H358),"",REPORTS!H358)</f>
        <v>24171.775932376906</v>
      </c>
      <c r="H379" s="1374">
        <f>+IF(ISBLANK(REPORTS!I358),"",REPORTS!I358)</f>
        <v>1</v>
      </c>
    </row>
    <row r="380" spans="1:8">
      <c r="A380" s="1751">
        <v>101</v>
      </c>
      <c r="B380" s="1439">
        <v>5</v>
      </c>
      <c r="C380" s="1364" t="s">
        <v>5394</v>
      </c>
      <c r="D380" s="1364"/>
      <c r="E380" s="1364">
        <f>+IF(ISBLANK(REPORTS!F359),"",REPORTS!F359)</f>
        <v>285291.55455</v>
      </c>
      <c r="F380" s="1364">
        <f>+IF(ISBLANK(REPORTS!G359),"",REPORTS!G359)</f>
        <v>0</v>
      </c>
      <c r="G380" s="1364">
        <f>+IF(ISBLANK(REPORTS!H359),"",REPORTS!H359)</f>
        <v>285291.55455</v>
      </c>
      <c r="H380" s="1374">
        <f>+IF(ISBLANK(REPORTS!I359),"",REPORTS!I359)</f>
        <v>1</v>
      </c>
    </row>
    <row r="381" spans="1:8">
      <c r="A381" s="1751">
        <v>101</v>
      </c>
      <c r="B381" s="1439">
        <v>6</v>
      </c>
      <c r="C381" s="1364"/>
      <c r="D381" s="1364"/>
      <c r="E381" s="1364" t="str">
        <f>+IF(ISBLANK(REPORTS!F360),"",REPORTS!F360)</f>
        <v/>
      </c>
      <c r="F381" s="1364" t="str">
        <f>+IF(ISBLANK(REPORTS!G360),"",REPORTS!G360)</f>
        <v/>
      </c>
      <c r="G381" s="1364" t="str">
        <f>+IF(ISBLANK(REPORTS!H360),"",REPORTS!H360)</f>
        <v/>
      </c>
      <c r="H381" s="1440" t="str">
        <f>+IF(ISBLANK(REPORTS!I360),"",REPORTS!I360)</f>
        <v/>
      </c>
    </row>
    <row r="382" spans="1:8">
      <c r="A382" s="1751">
        <v>101</v>
      </c>
      <c r="B382" s="1439">
        <v>7</v>
      </c>
      <c r="C382" s="1364"/>
      <c r="D382" s="1364"/>
      <c r="E382" s="1364" t="str">
        <f>+IF(ISBLANK(REPORTS!F361),"",REPORTS!F361)</f>
        <v/>
      </c>
      <c r="F382" s="1364" t="str">
        <f>+IF(ISBLANK(REPORTS!G361),"",REPORTS!G361)</f>
        <v/>
      </c>
      <c r="G382" s="1364" t="str">
        <f>+IF(ISBLANK(REPORTS!H361),"",REPORTS!H361)</f>
        <v/>
      </c>
      <c r="H382" s="1440" t="str">
        <f>+IF(ISBLANK(REPORTS!I361),"",REPORTS!I361)</f>
        <v/>
      </c>
    </row>
    <row r="383" spans="1:8">
      <c r="A383" s="1751"/>
      <c r="B383" s="1439">
        <v>8</v>
      </c>
      <c r="C383" s="1450" t="s">
        <v>5396</v>
      </c>
      <c r="D383" s="1364"/>
      <c r="E383" s="1364" t="str">
        <f>+IF(ISBLANK(REPORTS!F362),"",REPORTS!F362)</f>
        <v/>
      </c>
      <c r="F383" s="1364" t="str">
        <f>+IF(ISBLANK(REPORTS!G362),"",REPORTS!G362)</f>
        <v/>
      </c>
      <c r="G383" s="1364" t="str">
        <f>+IF(ISBLANK(REPORTS!H362),"",REPORTS!H362)</f>
        <v/>
      </c>
      <c r="H383" s="1440" t="str">
        <f>+IF(ISBLANK(REPORTS!I362),"",REPORTS!I362)</f>
        <v/>
      </c>
    </row>
    <row r="384" spans="1:8">
      <c r="A384" s="1751"/>
      <c r="B384" s="1439">
        <v>9</v>
      </c>
      <c r="C384" s="1364" t="s">
        <v>5397</v>
      </c>
      <c r="D384" s="1364" t="s">
        <v>4067</v>
      </c>
      <c r="E384" s="1364">
        <f>+IF(ISBLANK(REPORTS!F363),"",REPORTS!F363)</f>
        <v>4399.5250740593683</v>
      </c>
      <c r="F384" s="1364">
        <f>+IF(ISBLANK(REPORTS!G363),"",REPORTS!G363)</f>
        <v>0</v>
      </c>
      <c r="G384" s="1364">
        <f>+IF(ISBLANK(REPORTS!H363),"",REPORTS!H363)</f>
        <v>4399.5250740593683</v>
      </c>
      <c r="H384" s="1374">
        <f>+IF(ISBLANK(REPORTS!I363),"",REPORTS!I363)</f>
        <v>1</v>
      </c>
    </row>
    <row r="385" spans="1:8">
      <c r="A385" s="1751"/>
      <c r="B385" s="1439">
        <v>10</v>
      </c>
      <c r="C385" s="1364" t="s">
        <v>5398</v>
      </c>
      <c r="D385" s="1364" t="s">
        <v>4067</v>
      </c>
      <c r="E385" s="1366">
        <f>+IF(ISBLANK(REPORTS!F364),"",REPORTS!F364)</f>
        <v>0</v>
      </c>
      <c r="F385" s="1366">
        <f>+IF(ISBLANK(REPORTS!G364),"",REPORTS!G364)</f>
        <v>0</v>
      </c>
      <c r="G385" s="1366">
        <f>+IF(ISBLANK(REPORTS!H364),"",REPORTS!H364)</f>
        <v>0</v>
      </c>
      <c r="H385" s="1374">
        <f>+IF(ISBLANK(REPORTS!I364),"",REPORTS!I364)</f>
        <v>0</v>
      </c>
    </row>
    <row r="386" spans="1:8">
      <c r="A386" s="1751"/>
      <c r="B386" s="1439">
        <v>11</v>
      </c>
      <c r="C386" s="1364" t="s">
        <v>5399</v>
      </c>
      <c r="D386" s="1364"/>
      <c r="E386" s="1421">
        <f>+IF(ISBLANK(REPORTS!F365),"",REPORTS!F365)</f>
        <v>4399.5250740593683</v>
      </c>
      <c r="F386" s="1421">
        <f>+IF(ISBLANK(REPORTS!G365),"",REPORTS!G365)</f>
        <v>0</v>
      </c>
      <c r="G386" s="1421">
        <f>+IF(ISBLANK(REPORTS!H365),"",REPORTS!H365)</f>
        <v>4399.5250740593683</v>
      </c>
      <c r="H386" s="1374">
        <f>+IF(ISBLANK(REPORTS!I365),"",REPORTS!I365)</f>
        <v>1</v>
      </c>
    </row>
    <row r="387" spans="1:8">
      <c r="A387" s="1751">
        <v>101</v>
      </c>
      <c r="B387" s="1439">
        <v>12</v>
      </c>
      <c r="C387" s="1364"/>
      <c r="D387" s="1364"/>
      <c r="E387" s="1364" t="str">
        <f>+IF(ISBLANK(REPORTS!F366),"",REPORTS!F366)</f>
        <v/>
      </c>
      <c r="F387" s="1364" t="str">
        <f>+IF(ISBLANK(REPORTS!G366),"",REPORTS!G366)</f>
        <v/>
      </c>
      <c r="G387" s="1364" t="str">
        <f>+IF(ISBLANK(REPORTS!H366),"",REPORTS!H366)</f>
        <v/>
      </c>
      <c r="H387" s="1440" t="str">
        <f>+IF(ISBLANK(REPORTS!I366),"",REPORTS!I366)</f>
        <v/>
      </c>
    </row>
    <row r="388" spans="1:8">
      <c r="A388" s="1751">
        <v>101</v>
      </c>
      <c r="B388" s="1439">
        <v>13</v>
      </c>
      <c r="C388" s="1364" t="s">
        <v>5292</v>
      </c>
      <c r="D388" s="1364" t="s">
        <v>4067</v>
      </c>
      <c r="E388" s="1366">
        <f>+IF(ISBLANK(REPORTS!F367),"",REPORTS!F367)</f>
        <v>14335.379063852772</v>
      </c>
      <c r="F388" s="1366">
        <f>+IF(ISBLANK(REPORTS!G367),"",REPORTS!G367)</f>
        <v>1273.8744773790027</v>
      </c>
      <c r="G388" s="1366">
        <f>+IF(ISBLANK(REPORTS!H367),"",REPORTS!H367)</f>
        <v>13061.504586473768</v>
      </c>
      <c r="H388" s="1374">
        <f>+IF(ISBLANK(REPORTS!I367),"",REPORTS!I367)</f>
        <v>0.91113771936515242</v>
      </c>
    </row>
    <row r="389" spans="1:8">
      <c r="A389" s="1751"/>
      <c r="B389" s="1439">
        <v>14</v>
      </c>
      <c r="C389" s="1364"/>
      <c r="D389" s="1364"/>
      <c r="E389" s="1364" t="str">
        <f>+IF(ISBLANK(REPORTS!F368),"",REPORTS!F368)</f>
        <v/>
      </c>
      <c r="F389" s="1364" t="str">
        <f>+IF(ISBLANK(REPORTS!G368),"",REPORTS!G368)</f>
        <v/>
      </c>
      <c r="G389" s="1364" t="str">
        <f>+IF(ISBLANK(REPORTS!H368),"",REPORTS!H368)</f>
        <v/>
      </c>
      <c r="H389" s="1440" t="str">
        <f>+IF(ISBLANK(REPORTS!I368),"",REPORTS!I368)</f>
        <v/>
      </c>
    </row>
    <row r="390" spans="1:8">
      <c r="A390" s="1751"/>
      <c r="B390" s="1439">
        <v>15</v>
      </c>
      <c r="C390" s="1364" t="s">
        <v>1953</v>
      </c>
      <c r="D390" s="1364"/>
      <c r="E390" s="1364" t="str">
        <f>+IF(ISBLANK(REPORTS!F369),"",REPORTS!F369)</f>
        <v/>
      </c>
      <c r="F390" s="1364" t="str">
        <f>+IF(ISBLANK(REPORTS!G369),"",REPORTS!G369)</f>
        <v/>
      </c>
      <c r="G390" s="1364" t="str">
        <f>+IF(ISBLANK(REPORTS!H369),"",REPORTS!H369)</f>
        <v/>
      </c>
      <c r="H390" s="1440" t="str">
        <f>+IF(ISBLANK(REPORTS!I369),"",REPORTS!I369)</f>
        <v/>
      </c>
    </row>
    <row r="391" spans="1:8">
      <c r="A391" s="1751">
        <v>117</v>
      </c>
      <c r="B391" s="1439">
        <v>16</v>
      </c>
      <c r="C391" s="1364" t="s">
        <v>5293</v>
      </c>
      <c r="D391" s="1364" t="s">
        <v>4067</v>
      </c>
      <c r="E391" s="1364">
        <f>+IF(ISBLANK(REPORTS!F370),"",REPORTS!F370)</f>
        <v>5452.3630009842718</v>
      </c>
      <c r="F391" s="1364">
        <f>+IF(ISBLANK(REPORTS!G370),"",REPORTS!G370)</f>
        <v>353.2414564287804</v>
      </c>
      <c r="G391" s="1364">
        <f>+IF(ISBLANK(REPORTS!H370),"",REPORTS!H370)</f>
        <v>5099.1215445554908</v>
      </c>
      <c r="H391" s="1374">
        <f>+IF(ISBLANK(REPORTS!I370),"",REPORTS!I370)</f>
        <v>0.93521314403222733</v>
      </c>
    </row>
    <row r="392" spans="1:8">
      <c r="A392" s="1751"/>
      <c r="B392" s="1439">
        <v>17</v>
      </c>
      <c r="C392" s="1364" t="s">
        <v>5294</v>
      </c>
      <c r="D392" s="1364" t="s">
        <v>4067</v>
      </c>
      <c r="E392" s="1366">
        <f>+IF(ISBLANK(REPORTS!F371),"",REPORTS!F371)</f>
        <v>8138.7001948391526</v>
      </c>
      <c r="F392" s="1366">
        <f>+IF(ISBLANK(REPORTS!G371),"",REPORTS!G371)</f>
        <v>527.28079728792704</v>
      </c>
      <c r="G392" s="1366">
        <f>+IF(ISBLANK(REPORTS!H371),"",REPORTS!H371)</f>
        <v>7611.4193975512253</v>
      </c>
      <c r="H392" s="1374">
        <f>+IF(ISBLANK(REPORTS!I371),"",REPORTS!I371)</f>
        <v>0.93521314403222733</v>
      </c>
    </row>
    <row r="393" spans="1:8">
      <c r="A393" s="1751"/>
      <c r="B393" s="1439">
        <v>18</v>
      </c>
      <c r="C393" s="1364" t="s">
        <v>1953</v>
      </c>
      <c r="D393" s="1364"/>
      <c r="E393" s="1366">
        <f>+IF(ISBLANK(REPORTS!F372),"",REPORTS!F372)</f>
        <v>13591.063195823424</v>
      </c>
      <c r="F393" s="1366">
        <f>+IF(ISBLANK(REPORTS!G372),"",REPORTS!G372)</f>
        <v>880.52225371670738</v>
      </c>
      <c r="G393" s="1366">
        <f>+IF(ISBLANK(REPORTS!H372),"",REPORTS!H372)</f>
        <v>12710.540942106716</v>
      </c>
      <c r="H393" s="1374">
        <f>+IF(ISBLANK(REPORTS!I372),"",REPORTS!I372)</f>
        <v>0.93521314403222733</v>
      </c>
    </row>
    <row r="394" spans="1:8">
      <c r="A394" s="1751">
        <v>117</v>
      </c>
      <c r="B394" s="1439">
        <v>19</v>
      </c>
      <c r="C394" s="1364"/>
      <c r="D394" s="1364"/>
      <c r="E394" s="1364" t="str">
        <f>+IF(ISBLANK(REPORTS!F373),"",REPORTS!F373)</f>
        <v/>
      </c>
      <c r="F394" s="1364" t="str">
        <f>+IF(ISBLANK(REPORTS!G373),"",REPORTS!G373)</f>
        <v/>
      </c>
      <c r="G394" s="1364" t="str">
        <f>+IF(ISBLANK(REPORTS!H373),"",REPORTS!H373)</f>
        <v/>
      </c>
      <c r="H394" s="1440" t="str">
        <f>+IF(ISBLANK(REPORTS!I373),"",REPORTS!I373)</f>
        <v/>
      </c>
    </row>
    <row r="395" spans="1:8">
      <c r="A395" s="1751">
        <v>117</v>
      </c>
      <c r="B395" s="1439">
        <v>20</v>
      </c>
      <c r="C395" s="1364" t="s">
        <v>5401</v>
      </c>
      <c r="D395" s="1364"/>
      <c r="E395" s="1366">
        <f>+IF(ISBLANK(REPORTS!F374),"",REPORTS!F374)</f>
        <v>32325.967333735563</v>
      </c>
      <c r="F395" s="1366">
        <f>+IF(ISBLANK(REPORTS!G374),"",REPORTS!G374)</f>
        <v>2154.39673109571</v>
      </c>
      <c r="G395" s="1366">
        <f>+IF(ISBLANK(REPORTS!H374),"",REPORTS!H374)</f>
        <v>30171.570602639851</v>
      </c>
      <c r="H395" s="1374">
        <f>+IF(ISBLANK(REPORTS!I374),"",REPORTS!I374)</f>
        <v>0.93335399034300914</v>
      </c>
    </row>
    <row r="396" spans="1:8">
      <c r="A396" s="1751"/>
    </row>
    <row r="397" spans="1:8">
      <c r="A397" s="1751"/>
    </row>
    <row r="398" spans="1:8">
      <c r="A398" s="1751"/>
    </row>
    <row r="399" spans="1:8">
      <c r="A399" s="1751"/>
      <c r="B399" s="1439"/>
      <c r="C399" s="1364"/>
      <c r="D399" s="1364"/>
      <c r="E399" s="1364"/>
      <c r="F399" s="1364"/>
      <c r="G399" s="1364"/>
      <c r="H399" s="1374"/>
    </row>
    <row r="400" spans="1:8">
      <c r="A400" s="1751"/>
      <c r="B400" s="1439"/>
      <c r="C400" s="1364"/>
      <c r="D400" s="1364"/>
      <c r="E400" s="1364"/>
      <c r="F400" s="1364"/>
      <c r="G400" s="1364"/>
      <c r="H400" s="1374"/>
    </row>
    <row r="401" spans="1:8">
      <c r="A401" s="1751"/>
      <c r="B401" s="1439"/>
      <c r="C401" s="1364"/>
      <c r="D401" s="1364"/>
      <c r="E401" s="1364"/>
      <c r="F401" s="1364"/>
      <c r="G401" s="1364"/>
      <c r="H401" s="1374"/>
    </row>
    <row r="402" spans="1:8">
      <c r="A402" s="1751"/>
      <c r="B402" s="1439"/>
      <c r="C402" s="1364"/>
      <c r="D402" s="1364"/>
      <c r="E402" s="1364"/>
      <c r="F402" s="1364"/>
      <c r="G402" s="1364"/>
      <c r="H402" s="1374"/>
    </row>
    <row r="403" spans="1:8">
      <c r="A403" s="1751"/>
      <c r="B403" s="1439"/>
      <c r="C403" s="1364"/>
      <c r="D403" s="1364"/>
      <c r="E403" s="1364"/>
      <c r="F403" s="1364"/>
      <c r="G403" s="1364"/>
      <c r="H403" s="1374"/>
    </row>
    <row r="404" spans="1:8">
      <c r="A404" s="1751"/>
      <c r="B404" s="1439"/>
      <c r="C404" s="1364"/>
      <c r="D404" s="1364"/>
      <c r="E404" s="1364"/>
      <c r="F404" s="1364"/>
      <c r="G404" s="1364"/>
      <c r="H404" s="1374"/>
    </row>
    <row r="405" spans="1:8">
      <c r="A405" s="1751"/>
      <c r="B405" s="1439"/>
      <c r="C405" s="1364"/>
      <c r="D405" s="1364"/>
      <c r="E405" s="1364"/>
      <c r="F405" s="1364"/>
      <c r="G405" s="1364"/>
      <c r="H405" s="1374"/>
    </row>
    <row r="406" spans="1:8">
      <c r="A406" s="1751"/>
      <c r="B406" s="1439"/>
      <c r="C406" s="1364"/>
      <c r="D406" s="1364"/>
      <c r="E406" s="1364"/>
      <c r="F406" s="1364"/>
      <c r="G406" s="1364"/>
      <c r="H406" s="1374"/>
    </row>
    <row r="407" spans="1:8">
      <c r="A407" s="1751"/>
      <c r="B407" s="1439"/>
      <c r="C407" s="1364"/>
      <c r="D407" s="1364"/>
      <c r="E407" s="1364"/>
      <c r="F407" s="1364"/>
      <c r="G407" s="1364"/>
      <c r="H407" s="1374"/>
    </row>
    <row r="408" spans="1:8">
      <c r="A408" s="1751"/>
      <c r="B408" s="1439"/>
      <c r="C408" s="1364"/>
      <c r="D408" s="1364"/>
      <c r="E408" s="1364"/>
      <c r="F408" s="1364"/>
      <c r="G408" s="1364"/>
      <c r="H408" s="1374"/>
    </row>
    <row r="409" spans="1:8">
      <c r="A409" s="1751"/>
      <c r="B409" s="1439"/>
      <c r="C409" s="1364"/>
      <c r="D409" s="1364"/>
      <c r="E409" s="1364"/>
      <c r="F409" s="1364"/>
      <c r="G409" s="1364"/>
      <c r="H409" s="1374"/>
    </row>
    <row r="410" spans="1:8">
      <c r="A410" s="1751"/>
      <c r="B410" s="1439"/>
      <c r="C410" s="1364"/>
      <c r="D410" s="1364"/>
      <c r="E410" s="1364"/>
      <c r="F410" s="1364"/>
      <c r="G410" s="1364"/>
      <c r="H410" s="1374"/>
    </row>
    <row r="411" spans="1:8">
      <c r="A411" s="1751"/>
      <c r="B411" s="1439"/>
      <c r="C411" s="1364"/>
      <c r="D411" s="1364"/>
      <c r="E411" s="1364"/>
      <c r="F411" s="1364"/>
      <c r="G411" s="1364"/>
      <c r="H411" s="1374"/>
    </row>
    <row r="412" spans="1:8">
      <c r="A412" s="1751"/>
      <c r="B412" s="1439"/>
      <c r="C412" s="1364"/>
      <c r="D412" s="1364"/>
      <c r="E412" s="1364"/>
      <c r="F412" s="1364"/>
      <c r="G412" s="1364"/>
      <c r="H412" s="1374"/>
    </row>
    <row r="413" spans="1:8">
      <c r="A413" s="1751"/>
      <c r="B413" s="1439"/>
      <c r="C413" s="1364"/>
      <c r="D413" s="1364"/>
      <c r="E413" s="1364"/>
      <c r="F413" s="1364"/>
      <c r="G413" s="1364"/>
      <c r="H413" s="1374"/>
    </row>
    <row r="414" spans="1:8">
      <c r="A414" s="1751"/>
      <c r="B414" s="1439"/>
      <c r="C414" s="1364"/>
      <c r="D414" s="1364"/>
      <c r="E414" s="1364"/>
      <c r="F414" s="1364"/>
      <c r="G414" s="1364"/>
      <c r="H414" s="1374"/>
    </row>
    <row r="415" spans="1:8">
      <c r="A415" s="1751"/>
      <c r="B415" s="1439"/>
      <c r="C415" s="1364"/>
      <c r="D415" s="1364"/>
      <c r="E415" s="1364"/>
      <c r="F415" s="1364"/>
      <c r="G415" s="1364"/>
      <c r="H415" s="1374"/>
    </row>
    <row r="416" spans="1:8">
      <c r="A416" s="1751"/>
      <c r="B416" s="1439"/>
      <c r="C416" s="1364"/>
      <c r="D416" s="1364"/>
      <c r="E416" s="1364"/>
      <c r="F416" s="1364"/>
      <c r="G416" s="1364"/>
      <c r="H416" s="1374"/>
    </row>
    <row r="417" spans="1:8">
      <c r="A417" s="1751"/>
      <c r="B417" s="1439"/>
      <c r="C417" s="1364"/>
      <c r="D417" s="1364"/>
      <c r="E417" s="1364"/>
      <c r="F417" s="1364"/>
      <c r="G417" s="1364"/>
      <c r="H417" s="1374"/>
    </row>
    <row r="418" spans="1:8">
      <c r="A418" s="1751"/>
      <c r="B418" s="1439"/>
      <c r="C418" s="1364"/>
      <c r="D418" s="1364"/>
      <c r="E418" s="1364"/>
      <c r="F418" s="1364"/>
      <c r="G418" s="1364"/>
      <c r="H418" s="1374"/>
    </row>
    <row r="419" spans="1:8">
      <c r="A419" s="1751"/>
      <c r="B419" s="1439"/>
      <c r="C419" s="1364"/>
      <c r="D419" s="1364"/>
      <c r="E419" s="1364"/>
      <c r="F419" s="1364"/>
      <c r="G419" s="1364"/>
      <c r="H419" s="1374"/>
    </row>
    <row r="420" spans="1:8">
      <c r="A420" s="1751"/>
      <c r="B420" s="1439"/>
      <c r="C420" s="1364"/>
      <c r="D420" s="1364"/>
      <c r="E420" s="1364"/>
      <c r="F420" s="1364"/>
      <c r="G420" s="1364"/>
      <c r="H420" s="1374"/>
    </row>
    <row r="421" spans="1:8">
      <c r="A421" s="1751"/>
      <c r="B421" s="1439"/>
      <c r="C421" s="1364"/>
      <c r="D421" s="1364"/>
      <c r="E421" s="1364"/>
      <c r="F421" s="1364"/>
      <c r="G421" s="1364"/>
      <c r="H421" s="1374"/>
    </row>
    <row r="422" spans="1:8">
      <c r="A422" s="1751"/>
      <c r="B422" s="1439"/>
      <c r="C422" s="1364"/>
      <c r="D422" s="1364"/>
      <c r="E422" s="1364"/>
      <c r="F422" s="1364"/>
      <c r="G422" s="1364"/>
      <c r="H422" s="1374"/>
    </row>
    <row r="423" spans="1:8">
      <c r="A423" s="1751"/>
      <c r="B423" s="1439"/>
      <c r="C423" s="1364"/>
      <c r="D423" s="1364"/>
      <c r="E423" s="1364"/>
      <c r="F423" s="1364"/>
      <c r="G423" s="1364"/>
      <c r="H423" s="1374"/>
    </row>
    <row r="424" spans="1:8">
      <c r="A424" s="1751"/>
      <c r="B424" s="1439"/>
      <c r="C424" s="1364"/>
      <c r="D424" s="1364"/>
      <c r="E424" s="1364"/>
      <c r="F424" s="1364"/>
      <c r="G424" s="1364"/>
      <c r="H424" s="1374"/>
    </row>
    <row r="425" spans="1:8">
      <c r="A425" s="1751"/>
      <c r="B425" s="1416" t="str">
        <f>+$B$1</f>
        <v>RATES WITH REVENUE DEFICIENCY ADDITION</v>
      </c>
      <c r="C425" s="1324"/>
      <c r="D425" s="1324"/>
      <c r="E425" s="1336"/>
      <c r="F425" s="1329" t="s">
        <v>2173</v>
      </c>
      <c r="G425" s="1364"/>
      <c r="H425" s="1334" t="s">
        <v>5403</v>
      </c>
    </row>
    <row r="426" spans="1:8">
      <c r="A426" s="1751"/>
      <c r="B426" s="1416" t="str">
        <f>+$B$2</f>
        <v xml:space="preserve">PROD. CAP. ALLOC. METHOD: 12 CP </v>
      </c>
      <c r="C426" s="1364"/>
      <c r="D426" s="1324"/>
      <c r="E426" s="1324"/>
      <c r="F426" s="1336" t="s">
        <v>4768</v>
      </c>
      <c r="G426" s="1324"/>
      <c r="H426" s="1731" t="s">
        <v>5390</v>
      </c>
    </row>
    <row r="427" spans="1:8">
      <c r="A427" s="1751"/>
      <c r="B427" s="1416" t="str">
        <f>+$B$3</f>
        <v>PROJECTED CALENDAR YEAR 2025; FULLY ADJUSTED DATA</v>
      </c>
      <c r="C427" s="1324"/>
      <c r="D427" s="1324"/>
      <c r="E427" s="1324"/>
      <c r="F427" s="1336" t="s">
        <v>2181</v>
      </c>
      <c r="G427" s="1324"/>
      <c r="H427" s="1374"/>
    </row>
    <row r="428" spans="1:8">
      <c r="A428" s="1751"/>
      <c r="B428" s="1732">
        <f>+$B$4</f>
        <v>0</v>
      </c>
      <c r="C428" s="1324"/>
      <c r="D428" s="1324"/>
      <c r="E428" s="1324"/>
      <c r="F428" s="1364"/>
      <c r="G428" s="1364"/>
      <c r="H428" s="1440"/>
    </row>
    <row r="429" spans="1:8">
      <c r="A429" s="1760"/>
      <c r="B429" s="1732" t="str">
        <f>+$B$5</f>
        <v>Tampa Electric 2025 OB Budget</v>
      </c>
      <c r="C429" s="1324"/>
      <c r="D429" s="1324"/>
      <c r="E429" s="1329"/>
      <c r="F429" s="1336" t="s">
        <v>5391</v>
      </c>
      <c r="G429" s="1364"/>
      <c r="H429" s="1440"/>
    </row>
    <row r="430" spans="1:8">
      <c r="A430" s="1760"/>
      <c r="B430" s="1393"/>
      <c r="C430" s="1324"/>
      <c r="D430" s="1324"/>
      <c r="E430" s="1336"/>
      <c r="F430" s="1364"/>
      <c r="G430" s="1364"/>
      <c r="H430" s="1440"/>
    </row>
    <row r="431" spans="1:8">
      <c r="A431" s="1752"/>
      <c r="B431" s="1393"/>
      <c r="C431" s="1324"/>
      <c r="D431" s="1324"/>
      <c r="E431" s="1336"/>
      <c r="F431" s="1364"/>
      <c r="G431" s="1364"/>
      <c r="H431" s="1440"/>
    </row>
    <row r="432" spans="1:8">
      <c r="A432" s="1752"/>
      <c r="B432" s="1439"/>
      <c r="C432" s="1364"/>
      <c r="D432" s="1364"/>
      <c r="E432" s="1324"/>
      <c r="F432" s="1364"/>
      <c r="G432" s="1364"/>
      <c r="H432" s="1440"/>
    </row>
    <row r="433" spans="1:8">
      <c r="A433" s="1752"/>
      <c r="B433" s="1439"/>
      <c r="C433" s="1364"/>
      <c r="D433" s="1364"/>
      <c r="E433" s="1364"/>
      <c r="F433" s="1364"/>
      <c r="G433" s="1364"/>
      <c r="H433" s="1440"/>
    </row>
    <row r="434" spans="1:8" ht="28.2">
      <c r="A434" s="1752"/>
      <c r="B434" s="1737" t="s">
        <v>4297</v>
      </c>
      <c r="C434" s="1741"/>
      <c r="D434" s="1741"/>
      <c r="E434" s="1352" t="s">
        <v>5144</v>
      </c>
      <c r="F434" s="1352" t="s">
        <v>4956</v>
      </c>
      <c r="G434" s="1352" t="s">
        <v>4957</v>
      </c>
      <c r="H434" s="1742" t="s">
        <v>5145</v>
      </c>
    </row>
    <row r="435" spans="1:8">
      <c r="A435" s="1752"/>
      <c r="B435" s="1439"/>
      <c r="C435" s="1364"/>
      <c r="D435" s="1364"/>
      <c r="E435" s="1364"/>
      <c r="F435" s="1364"/>
      <c r="G435" s="1364"/>
      <c r="H435" s="1440"/>
    </row>
    <row r="436" spans="1:8">
      <c r="A436" s="1751"/>
      <c r="B436" s="1439">
        <v>21</v>
      </c>
      <c r="C436" s="1450" t="s">
        <v>4132</v>
      </c>
      <c r="D436" s="1364"/>
      <c r="E436" s="1364"/>
      <c r="F436" s="1364"/>
      <c r="G436" s="1364"/>
      <c r="H436" s="1440"/>
    </row>
    <row r="437" spans="1:8">
      <c r="A437" s="1751"/>
      <c r="B437" s="1439">
        <v>22</v>
      </c>
      <c r="C437" s="1364" t="s">
        <v>5293</v>
      </c>
      <c r="D437" s="1364" t="s">
        <v>4067</v>
      </c>
      <c r="E437" s="1364">
        <f>+IF(ISBLANK(REPORTS!F392),"",REPORTS!F392)</f>
        <v>9806.7207300000009</v>
      </c>
      <c r="F437" s="1364">
        <f>+IF(ISBLANK(REPORTS!G392),"",REPORTS!G392)</f>
        <v>0</v>
      </c>
      <c r="G437" s="1364">
        <f>+IF(ISBLANK(REPORTS!H392),"",REPORTS!H392)</f>
        <v>9806.7207300000009</v>
      </c>
      <c r="H437" s="1374">
        <f>+IF(ISBLANK(REPORTS!I392),"",REPORTS!I392)</f>
        <v>1</v>
      </c>
    </row>
    <row r="438" spans="1:8" ht="28.2">
      <c r="A438" s="1753" t="s">
        <v>5143</v>
      </c>
      <c r="B438" s="1439">
        <v>23</v>
      </c>
      <c r="C438" s="1364"/>
      <c r="D438" s="1364"/>
      <c r="E438" s="1364" t="str">
        <f>+IF(ISBLANK(REPORTS!F393),"",REPORTS!F393)</f>
        <v/>
      </c>
      <c r="F438" s="1364" t="str">
        <f>+IF(ISBLANK(REPORTS!G393),"",REPORTS!G393)</f>
        <v/>
      </c>
      <c r="G438" s="1364" t="str">
        <f>+IF(ISBLANK(REPORTS!H393),"",REPORTS!H393)</f>
        <v/>
      </c>
      <c r="H438" s="1440" t="str">
        <f>+IF(ISBLANK(REPORTS!I393),"",REPORTS!I393)</f>
        <v/>
      </c>
    </row>
    <row r="439" spans="1:8">
      <c r="A439" s="1751"/>
      <c r="B439" s="1439">
        <v>24</v>
      </c>
      <c r="C439" s="1364" t="s">
        <v>5405</v>
      </c>
      <c r="D439" s="1364" t="s">
        <v>4071</v>
      </c>
      <c r="E439" s="1364">
        <f>+IF(ISBLANK(REPORTS!F394),"",REPORTS!F394)</f>
        <v>2044.6598045826174</v>
      </c>
      <c r="F439" s="1364">
        <f>+IF(ISBLANK(REPORTS!G394),"",REPORTS!G394)</f>
        <v>0</v>
      </c>
      <c r="G439" s="1364">
        <f>+IF(ISBLANK(REPORTS!H394),"",REPORTS!H394)</f>
        <v>2044.6598045826174</v>
      </c>
      <c r="H439" s="1374">
        <f>+IF(ISBLANK(REPORTS!I394),"",REPORTS!I394)</f>
        <v>1</v>
      </c>
    </row>
    <row r="440" spans="1:8">
      <c r="A440" s="1751"/>
      <c r="B440" s="1439">
        <v>25</v>
      </c>
      <c r="C440" s="1364" t="s">
        <v>5406</v>
      </c>
      <c r="D440" s="1364" t="s">
        <v>4067</v>
      </c>
      <c r="E440" s="1364">
        <f>+IF(ISBLANK(REPORTS!F395),"",REPORTS!F395)</f>
        <v>19187.392134374531</v>
      </c>
      <c r="F440" s="1364">
        <f>+IF(ISBLANK(REPORTS!G395),"",REPORTS!G395)</f>
        <v>0</v>
      </c>
      <c r="G440" s="1364">
        <f>+IF(ISBLANK(REPORTS!H395),"",REPORTS!H395)</f>
        <v>19187.392134374531</v>
      </c>
      <c r="H440" s="1374">
        <f>+IF(ISBLANK(REPORTS!I395),"",REPORTS!I395)</f>
        <v>1</v>
      </c>
    </row>
    <row r="441" spans="1:8">
      <c r="A441" s="1751">
        <v>105</v>
      </c>
      <c r="B441" s="1439">
        <v>26</v>
      </c>
      <c r="C441" s="1364" t="s">
        <v>5407</v>
      </c>
      <c r="D441" s="1364" t="s">
        <v>4071</v>
      </c>
      <c r="E441" s="1364">
        <f>+IF(ISBLANK(REPORTS!F396),"",REPORTS!F396)</f>
        <v>0</v>
      </c>
      <c r="F441" s="1364">
        <f>+IF(ISBLANK(REPORTS!G396),"",REPORTS!G396)</f>
        <v>0</v>
      </c>
      <c r="G441" s="1364">
        <f>+IF(ISBLANK(REPORTS!H396),"",REPORTS!H396)</f>
        <v>0</v>
      </c>
      <c r="H441" s="1374">
        <f>+IF(ISBLANK(REPORTS!I396),"",REPORTS!I396)</f>
        <v>0</v>
      </c>
    </row>
    <row r="442" spans="1:8">
      <c r="A442" s="1751"/>
      <c r="B442" s="1439">
        <v>27</v>
      </c>
      <c r="C442" s="1364" t="s">
        <v>5408</v>
      </c>
      <c r="D442" s="1364" t="s">
        <v>4067</v>
      </c>
      <c r="E442" s="1364">
        <f>+IF(ISBLANK(REPORTS!F397),"",REPORTS!F397)</f>
        <v>5762.4819510428561</v>
      </c>
      <c r="F442" s="1364">
        <f>+IF(ISBLANK(REPORTS!G397),"",REPORTS!G397)</f>
        <v>0</v>
      </c>
      <c r="G442" s="1364">
        <f>+IF(ISBLANK(REPORTS!H397),"",REPORTS!H397)</f>
        <v>5762.4819510428561</v>
      </c>
      <c r="H442" s="1374">
        <f>+IF(ISBLANK(REPORTS!I397),"",REPORTS!I397)</f>
        <v>1</v>
      </c>
    </row>
    <row r="443" spans="1:8">
      <c r="A443" s="1751">
        <v>310</v>
      </c>
      <c r="B443" s="1439">
        <v>28</v>
      </c>
      <c r="C443" s="1364" t="s">
        <v>5409</v>
      </c>
      <c r="D443" s="1364" t="s">
        <v>4071</v>
      </c>
      <c r="E443" s="1364">
        <f>+IF(ISBLANK(REPORTS!F398),"",REPORTS!F398)</f>
        <v>0</v>
      </c>
      <c r="F443" s="1364">
        <f>+IF(ISBLANK(REPORTS!G398),"",REPORTS!G398)</f>
        <v>0</v>
      </c>
      <c r="G443" s="1364">
        <f>+IF(ISBLANK(REPORTS!H398),"",REPORTS!H398)</f>
        <v>0</v>
      </c>
      <c r="H443" s="1374">
        <f>+IF(ISBLANK(REPORTS!I398),"",REPORTS!I398)</f>
        <v>0</v>
      </c>
    </row>
    <row r="444" spans="1:8">
      <c r="A444" s="1751">
        <v>105</v>
      </c>
      <c r="B444" s="1439">
        <v>29</v>
      </c>
      <c r="C444" s="1364" t="s">
        <v>5410</v>
      </c>
      <c r="D444" s="1364"/>
      <c r="E444" s="1421">
        <f>+IF(ISBLANK(REPORTS!F399),"",REPORTS!F399)</f>
        <v>26994.533890000006</v>
      </c>
      <c r="F444" s="1421">
        <f>+IF(ISBLANK(REPORTS!G399),"",REPORTS!G399)</f>
        <v>0</v>
      </c>
      <c r="G444" s="1421">
        <f>+IF(ISBLANK(REPORTS!H399),"",REPORTS!H399)</f>
        <v>26994.533890000006</v>
      </c>
      <c r="H444" s="1374">
        <f>+IF(ISBLANK(REPORTS!I399),"",REPORTS!I399)</f>
        <v>1</v>
      </c>
    </row>
    <row r="445" spans="1:8">
      <c r="A445" s="1751">
        <v>418</v>
      </c>
      <c r="B445" s="1439">
        <v>30</v>
      </c>
      <c r="C445" s="1364"/>
      <c r="D445" s="1364"/>
      <c r="E445" s="1364" t="str">
        <f>+IF(ISBLANK(REPORTS!F400),"",REPORTS!F400)</f>
        <v/>
      </c>
      <c r="F445" s="1364" t="str">
        <f>+IF(ISBLANK(REPORTS!G400),"",REPORTS!G400)</f>
        <v/>
      </c>
      <c r="G445" s="1364" t="str">
        <f>+IF(ISBLANK(REPORTS!H400),"",REPORTS!H400)</f>
        <v/>
      </c>
      <c r="H445" s="1440" t="str">
        <f>+IF(ISBLANK(REPORTS!I400),"",REPORTS!I400)</f>
        <v/>
      </c>
    </row>
    <row r="446" spans="1:8">
      <c r="A446" s="1751">
        <v>106</v>
      </c>
      <c r="B446" s="1439">
        <v>31</v>
      </c>
      <c r="C446" s="1364" t="s">
        <v>5301</v>
      </c>
      <c r="D446" s="1364" t="s">
        <v>4071</v>
      </c>
      <c r="E446" s="1364">
        <f>+IF(ISBLANK(REPORTS!F401),"",REPORTS!F401)</f>
        <v>107.01148424700513</v>
      </c>
      <c r="F446" s="1364">
        <f>+IF(ISBLANK(REPORTS!G401),"",REPORTS!G401)</f>
        <v>0</v>
      </c>
      <c r="G446" s="1364">
        <f>+IF(ISBLANK(REPORTS!H401),"",REPORTS!H401)</f>
        <v>107.01148424700513</v>
      </c>
      <c r="H446" s="1374">
        <f>+IF(ISBLANK(REPORTS!I401),"",REPORTS!I401)</f>
        <v>1</v>
      </c>
    </row>
    <row r="447" spans="1:8">
      <c r="A447" s="1751">
        <v>420</v>
      </c>
      <c r="B447" s="1439">
        <v>32</v>
      </c>
      <c r="C447" s="1364" t="s">
        <v>5303</v>
      </c>
      <c r="D447" s="1364" t="s">
        <v>4067</v>
      </c>
      <c r="E447" s="1364">
        <f>+IF(ISBLANK(REPORTS!F402),"",REPORTS!F402)</f>
        <v>5930.0781825408103</v>
      </c>
      <c r="F447" s="1364">
        <f>+IF(ISBLANK(REPORTS!G402),"",REPORTS!G402)</f>
        <v>0</v>
      </c>
      <c r="G447" s="1364">
        <f>+IF(ISBLANK(REPORTS!H402),"",REPORTS!H402)</f>
        <v>5930.0781825408103</v>
      </c>
      <c r="H447" s="1374">
        <f>+IF(ISBLANK(REPORTS!I402),"",REPORTS!I402)</f>
        <v>1</v>
      </c>
    </row>
    <row r="448" spans="1:8">
      <c r="A448" s="1751"/>
      <c r="B448" s="1439">
        <v>33</v>
      </c>
      <c r="C448" s="1364" t="s">
        <v>5304</v>
      </c>
      <c r="D448" s="1364" t="s">
        <v>4071</v>
      </c>
      <c r="E448" s="1364">
        <f>+IF(ISBLANK(REPORTS!F403),"",REPORTS!F403)</f>
        <v>0</v>
      </c>
      <c r="F448" s="1364">
        <f>+IF(ISBLANK(REPORTS!G403),"",REPORTS!G403)</f>
        <v>0</v>
      </c>
      <c r="G448" s="1364">
        <f>+IF(ISBLANK(REPORTS!H403),"",REPORTS!H403)</f>
        <v>0</v>
      </c>
      <c r="H448" s="1374">
        <f>+IF(ISBLANK(REPORTS!I403),"",REPORTS!I403)</f>
        <v>0</v>
      </c>
    </row>
    <row r="449" spans="1:8">
      <c r="A449" s="1751"/>
      <c r="B449" s="1439">
        <v>34</v>
      </c>
      <c r="C449" s="1364" t="s">
        <v>5306</v>
      </c>
      <c r="D449" s="1364" t="s">
        <v>4067</v>
      </c>
      <c r="E449" s="1364">
        <f>+IF(ISBLANK(REPORTS!F404),"",REPORTS!F404)</f>
        <v>902.13325321218497</v>
      </c>
      <c r="F449" s="1364">
        <f>+IF(ISBLANK(REPORTS!G404),"",REPORTS!G404)</f>
        <v>0</v>
      </c>
      <c r="G449" s="1364">
        <f>+IF(ISBLANK(REPORTS!H404),"",REPORTS!H404)</f>
        <v>902.13325321218497</v>
      </c>
      <c r="H449" s="1374">
        <f>+IF(ISBLANK(REPORTS!I404),"",REPORTS!I404)</f>
        <v>1</v>
      </c>
    </row>
    <row r="450" spans="1:8">
      <c r="A450" s="1751">
        <v>310</v>
      </c>
      <c r="B450" s="1439">
        <v>35</v>
      </c>
      <c r="C450" s="1364" t="s">
        <v>5307</v>
      </c>
      <c r="D450" s="1364" t="s">
        <v>4071</v>
      </c>
      <c r="E450" s="1364">
        <f>+IF(ISBLANK(REPORTS!F405),"",REPORTS!F405)</f>
        <v>0</v>
      </c>
      <c r="F450" s="1364">
        <f>+IF(ISBLANK(REPORTS!G405),"",REPORTS!G405)</f>
        <v>0</v>
      </c>
      <c r="G450" s="1364">
        <f>+IF(ISBLANK(REPORTS!H405),"",REPORTS!H405)</f>
        <v>0</v>
      </c>
      <c r="H450" s="1374">
        <f>+IF(ISBLANK(REPORTS!I405),"",REPORTS!I405)</f>
        <v>0</v>
      </c>
    </row>
    <row r="451" spans="1:8">
      <c r="A451" s="1751">
        <v>105</v>
      </c>
      <c r="B451" s="1439">
        <v>36</v>
      </c>
      <c r="C451" s="1364" t="s">
        <v>5308</v>
      </c>
      <c r="D451" s="1364"/>
      <c r="E451" s="1421">
        <f>+IF(ISBLANK(REPORTS!F406),"",REPORTS!F406)</f>
        <v>6939.2229200000002</v>
      </c>
      <c r="F451" s="1421">
        <f>+IF(ISBLANK(REPORTS!G406),"",REPORTS!G406)</f>
        <v>0</v>
      </c>
      <c r="G451" s="1421">
        <f>+IF(ISBLANK(REPORTS!H406),"",REPORTS!H406)</f>
        <v>6939.2229200000002</v>
      </c>
      <c r="H451" s="1374">
        <f>+IF(ISBLANK(REPORTS!I406),"",REPORTS!I406)</f>
        <v>1</v>
      </c>
    </row>
    <row r="452" spans="1:8">
      <c r="A452" s="1751">
        <v>418</v>
      </c>
      <c r="B452" s="1439">
        <v>37</v>
      </c>
      <c r="C452" s="1364"/>
      <c r="D452" s="1364"/>
      <c r="E452" s="1364" t="str">
        <f>+IF(ISBLANK(REPORTS!F407),"",REPORTS!F407)</f>
        <v/>
      </c>
      <c r="F452" s="1364" t="str">
        <f>+IF(ISBLANK(REPORTS!G407),"",REPORTS!G407)</f>
        <v/>
      </c>
      <c r="G452" s="1364" t="str">
        <f>+IF(ISBLANK(REPORTS!H407),"",REPORTS!H407)</f>
        <v/>
      </c>
      <c r="H452" s="1440" t="str">
        <f>+IF(ISBLANK(REPORTS!I407),"",REPORTS!I407)</f>
        <v/>
      </c>
    </row>
    <row r="453" spans="1:8">
      <c r="A453" s="1751">
        <v>106</v>
      </c>
      <c r="B453" s="1439">
        <v>38</v>
      </c>
      <c r="C453" s="1364" t="s">
        <v>5310</v>
      </c>
      <c r="D453" s="1364" t="s">
        <v>4071</v>
      </c>
      <c r="E453" s="1364">
        <f>+IF(ISBLANK(REPORTS!F408),"",REPORTS!F408)</f>
        <v>10.151967899116032</v>
      </c>
      <c r="F453" s="1364">
        <f>+IF(ISBLANK(REPORTS!G408),"",REPORTS!G408)</f>
        <v>0</v>
      </c>
      <c r="G453" s="1364">
        <f>+IF(ISBLANK(REPORTS!H408),"",REPORTS!H408)</f>
        <v>10.151967899116032</v>
      </c>
      <c r="H453" s="1374">
        <f>+IF(ISBLANK(REPORTS!I408),"",REPORTS!I408)</f>
        <v>1</v>
      </c>
    </row>
    <row r="454" spans="1:8">
      <c r="A454" s="1751">
        <v>420</v>
      </c>
      <c r="B454" s="1439">
        <v>39</v>
      </c>
      <c r="C454" s="1364" t="s">
        <v>5311</v>
      </c>
      <c r="D454" s="1364" t="s">
        <v>4067</v>
      </c>
      <c r="E454" s="1364">
        <f>+IF(ISBLANK(REPORTS!F409),"",REPORTS!F409)</f>
        <v>19824.48663502411</v>
      </c>
      <c r="F454" s="1364">
        <f>+IF(ISBLANK(REPORTS!G409),"",REPORTS!G409)</f>
        <v>0</v>
      </c>
      <c r="G454" s="1364">
        <f>+IF(ISBLANK(REPORTS!H409),"",REPORTS!H409)</f>
        <v>19824.48663502411</v>
      </c>
      <c r="H454" s="1374">
        <f>+IF(ISBLANK(REPORTS!I409),"",REPORTS!I409)</f>
        <v>1</v>
      </c>
    </row>
    <row r="455" spans="1:8">
      <c r="A455" s="1751"/>
      <c r="B455" s="1439">
        <v>40</v>
      </c>
      <c r="C455" s="1364" t="s">
        <v>5312</v>
      </c>
      <c r="D455" s="1364" t="s">
        <v>4071</v>
      </c>
      <c r="E455" s="1364">
        <f>+IF(ISBLANK(REPORTS!F410),"",REPORTS!F410)</f>
        <v>0</v>
      </c>
      <c r="F455" s="1364">
        <f>+IF(ISBLANK(REPORTS!G410),"",REPORTS!G410)</f>
        <v>0</v>
      </c>
      <c r="G455" s="1364">
        <f>+IF(ISBLANK(REPORTS!H410),"",REPORTS!H410)</f>
        <v>0</v>
      </c>
      <c r="H455" s="1374">
        <f>+IF(ISBLANK(REPORTS!I410),"",REPORTS!I410)</f>
        <v>0</v>
      </c>
    </row>
    <row r="456" spans="1:8">
      <c r="A456" s="1751"/>
      <c r="B456" s="1439">
        <v>41</v>
      </c>
      <c r="C456" s="1364" t="s">
        <v>5313</v>
      </c>
      <c r="D456" s="1364" t="s">
        <v>4067</v>
      </c>
      <c r="E456" s="1364">
        <f>+IF(ISBLANK(REPORTS!F411),"",REPORTS!F411)</f>
        <v>1511.5438770767803</v>
      </c>
      <c r="F456" s="1364">
        <f>+IF(ISBLANK(REPORTS!G411),"",REPORTS!G411)</f>
        <v>0</v>
      </c>
      <c r="G456" s="1364">
        <f>+IF(ISBLANK(REPORTS!H411),"",REPORTS!H411)</f>
        <v>1511.5438770767803</v>
      </c>
      <c r="H456" s="1374">
        <f>+IF(ISBLANK(REPORTS!I411),"",REPORTS!I411)</f>
        <v>1</v>
      </c>
    </row>
    <row r="457" spans="1:8">
      <c r="A457" s="1751">
        <v>310</v>
      </c>
      <c r="B457" s="1439">
        <v>42</v>
      </c>
      <c r="C457" s="1364" t="s">
        <v>5314</v>
      </c>
      <c r="D457" s="1364" t="s">
        <v>4071</v>
      </c>
      <c r="E457" s="1364">
        <f>+IF(ISBLANK(REPORTS!F412),"",REPORTS!F412)</f>
        <v>0</v>
      </c>
      <c r="F457" s="1364">
        <f>+IF(ISBLANK(REPORTS!G412),"",REPORTS!G412)</f>
        <v>0</v>
      </c>
      <c r="G457" s="1364">
        <f>+IF(ISBLANK(REPORTS!H412),"",REPORTS!H412)</f>
        <v>0</v>
      </c>
      <c r="H457" s="1374">
        <f>+IF(ISBLANK(REPORTS!I412),"",REPORTS!I412)</f>
        <v>0</v>
      </c>
    </row>
    <row r="458" spans="1:8">
      <c r="A458" s="1751">
        <v>105</v>
      </c>
      <c r="B458" s="1439">
        <v>43</v>
      </c>
      <c r="C458" s="1364" t="s">
        <v>5413</v>
      </c>
      <c r="D458" s="1364"/>
      <c r="E458" s="1421">
        <f>+IF(ISBLANK(REPORTS!F413),"",REPORTS!F413)</f>
        <v>21346.182480000007</v>
      </c>
      <c r="F458" s="1421">
        <f>+IF(ISBLANK(REPORTS!G413),"",REPORTS!G413)</f>
        <v>0</v>
      </c>
      <c r="G458" s="1421">
        <f>+IF(ISBLANK(REPORTS!H413),"",REPORTS!H413)</f>
        <v>21346.182480000007</v>
      </c>
      <c r="H458" s="1374">
        <f>+IF(ISBLANK(REPORTS!I413),"",REPORTS!I413)</f>
        <v>1</v>
      </c>
    </row>
    <row r="459" spans="1:8">
      <c r="A459" s="1751">
        <v>418</v>
      </c>
      <c r="B459" s="1439">
        <v>44</v>
      </c>
      <c r="C459" s="1364"/>
      <c r="D459" s="1364"/>
      <c r="E459" s="1364" t="str">
        <f>+IF(ISBLANK(REPORTS!F414),"",REPORTS!F414)</f>
        <v/>
      </c>
      <c r="F459" s="1364" t="str">
        <f>+IF(ISBLANK(REPORTS!G414),"",REPORTS!G414)</f>
        <v/>
      </c>
      <c r="G459" s="1364" t="str">
        <f>+IF(ISBLANK(REPORTS!H414),"",REPORTS!H414)</f>
        <v/>
      </c>
      <c r="H459" s="1440" t="str">
        <f>+IF(ISBLANK(REPORTS!I414),"",REPORTS!I414)</f>
        <v/>
      </c>
    </row>
    <row r="460" spans="1:8">
      <c r="A460" s="1751">
        <v>106</v>
      </c>
      <c r="B460" s="1439">
        <v>45</v>
      </c>
      <c r="C460" s="1324" t="s">
        <v>5317</v>
      </c>
      <c r="D460" s="1364" t="s">
        <v>4071</v>
      </c>
      <c r="E460" s="1364">
        <f>+IF(ISBLANK(REPORTS!F415),"",REPORTS!F415)</f>
        <v>0</v>
      </c>
      <c r="F460" s="1364">
        <f>+IF(ISBLANK(REPORTS!G415),"",REPORTS!G415)</f>
        <v>0</v>
      </c>
      <c r="G460" s="1364">
        <f>+IF(ISBLANK(REPORTS!H415),"",REPORTS!H415)</f>
        <v>0</v>
      </c>
      <c r="H460" s="1374">
        <f>+IF(ISBLANK(REPORTS!I415),"",REPORTS!I415)</f>
        <v>0</v>
      </c>
    </row>
    <row r="461" spans="1:8">
      <c r="A461" s="1751">
        <v>420</v>
      </c>
      <c r="B461" s="1439">
        <v>46</v>
      </c>
      <c r="C461" s="1324" t="s">
        <v>5318</v>
      </c>
      <c r="D461" s="1364" t="s">
        <v>4067</v>
      </c>
      <c r="E461" s="1364">
        <f>+IF(ISBLANK(REPORTS!F416),"",REPORTS!F416)</f>
        <v>6446.2285393647117</v>
      </c>
      <c r="F461" s="1364">
        <f>+IF(ISBLANK(REPORTS!G416),"",REPORTS!G416)</f>
        <v>0</v>
      </c>
      <c r="G461" s="1364">
        <f>+IF(ISBLANK(REPORTS!H416),"",REPORTS!H416)</f>
        <v>6446.2285393647117</v>
      </c>
      <c r="H461" s="1374">
        <f>+IF(ISBLANK(REPORTS!I416),"",REPORTS!I416)</f>
        <v>1</v>
      </c>
    </row>
    <row r="462" spans="1:8">
      <c r="A462" s="1751"/>
      <c r="B462" s="1439">
        <v>47</v>
      </c>
      <c r="C462" s="1324" t="s">
        <v>5319</v>
      </c>
      <c r="D462" s="1364" t="s">
        <v>4071</v>
      </c>
      <c r="E462" s="1364">
        <f>+IF(ISBLANK(REPORTS!F417),"",REPORTS!F417)</f>
        <v>0</v>
      </c>
      <c r="F462" s="1364">
        <f>+IF(ISBLANK(REPORTS!G417),"",REPORTS!G417)</f>
        <v>0</v>
      </c>
      <c r="G462" s="1364">
        <f>+IF(ISBLANK(REPORTS!H417),"",REPORTS!H417)</f>
        <v>0</v>
      </c>
      <c r="H462" s="1374">
        <f>+IF(ISBLANK(REPORTS!I417),"",REPORTS!I417)</f>
        <v>0</v>
      </c>
    </row>
    <row r="463" spans="1:8">
      <c r="A463" s="1751"/>
      <c r="B463" s="1439">
        <v>48</v>
      </c>
      <c r="C463" s="1324" t="s">
        <v>5320</v>
      </c>
      <c r="D463" s="1364" t="s">
        <v>4067</v>
      </c>
      <c r="E463" s="1364">
        <f>+IF(ISBLANK(REPORTS!F418),"",REPORTS!F418)</f>
        <v>32748.664230635288</v>
      </c>
      <c r="F463" s="1364">
        <f>+IF(ISBLANK(REPORTS!G418),"",REPORTS!G418)</f>
        <v>0</v>
      </c>
      <c r="G463" s="1364">
        <f>+IF(ISBLANK(REPORTS!H418),"",REPORTS!H418)</f>
        <v>32748.664230635288</v>
      </c>
      <c r="H463" s="1374">
        <f>+IF(ISBLANK(REPORTS!I418),"",REPORTS!I418)</f>
        <v>1</v>
      </c>
    </row>
    <row r="464" spans="1:8">
      <c r="A464" s="1751">
        <v>310</v>
      </c>
      <c r="B464" s="1439">
        <v>49</v>
      </c>
      <c r="C464" s="1324" t="s">
        <v>5321</v>
      </c>
      <c r="D464" s="1364" t="s">
        <v>4071</v>
      </c>
      <c r="E464" s="1364">
        <f>+IF(ISBLANK(REPORTS!F419),"",REPORTS!F419)</f>
        <v>0</v>
      </c>
      <c r="F464" s="1364">
        <f>+IF(ISBLANK(REPORTS!G419),"",REPORTS!G419)</f>
        <v>0</v>
      </c>
      <c r="G464" s="1364">
        <f>+IF(ISBLANK(REPORTS!H419),"",REPORTS!H419)</f>
        <v>0</v>
      </c>
      <c r="H464" s="1374">
        <f>+IF(ISBLANK(REPORTS!I419),"",REPORTS!I419)</f>
        <v>0</v>
      </c>
    </row>
    <row r="465" spans="1:8">
      <c r="A465" s="1751">
        <v>105</v>
      </c>
      <c r="B465" s="1439">
        <v>50</v>
      </c>
      <c r="C465" s="1324" t="s">
        <v>5322</v>
      </c>
      <c r="D465" s="1364"/>
      <c r="E465" s="1421">
        <f>+IF(ISBLANK(REPORTS!F420),"",REPORTS!F420)</f>
        <v>39194.892769999999</v>
      </c>
      <c r="F465" s="1421">
        <f>+IF(ISBLANK(REPORTS!G420),"",REPORTS!G420)</f>
        <v>0</v>
      </c>
      <c r="G465" s="1421">
        <f>+IF(ISBLANK(REPORTS!H420),"",REPORTS!H420)</f>
        <v>39194.892769999999</v>
      </c>
      <c r="H465" s="1374">
        <f>+IF(ISBLANK(REPORTS!I420),"",REPORTS!I420)</f>
        <v>1</v>
      </c>
    </row>
    <row r="466" spans="1:8">
      <c r="A466" s="1751">
        <v>418</v>
      </c>
      <c r="B466" s="1439">
        <v>51</v>
      </c>
      <c r="C466" s="1364"/>
      <c r="D466" s="1364"/>
      <c r="E466" s="1364" t="str">
        <f>+IF(ISBLANK(REPORTS!F421),"",REPORTS!F421)</f>
        <v/>
      </c>
      <c r="F466" s="1364" t="str">
        <f>+IF(ISBLANK(REPORTS!G421),"",REPORTS!G421)</f>
        <v/>
      </c>
      <c r="G466" s="1364" t="str">
        <f>+IF(ISBLANK(REPORTS!H421),"",REPORTS!H421)</f>
        <v/>
      </c>
      <c r="H466" s="1440" t="str">
        <f>+IF(ISBLANK(REPORTS!I421),"",REPORTS!I421)</f>
        <v/>
      </c>
    </row>
    <row r="467" spans="1:8">
      <c r="A467" s="1751">
        <v>106</v>
      </c>
      <c r="B467" s="1439">
        <v>52</v>
      </c>
      <c r="C467" s="1364" t="s">
        <v>5324</v>
      </c>
      <c r="D467" s="1364" t="s">
        <v>4071</v>
      </c>
      <c r="E467" s="1364">
        <f>+IF(ISBLANK(REPORTS!F422),"",REPORTS!F422)</f>
        <v>5782.6588400000001</v>
      </c>
      <c r="F467" s="1364">
        <f>+IF(ISBLANK(REPORTS!G422),"",REPORTS!G422)</f>
        <v>0</v>
      </c>
      <c r="G467" s="1364">
        <f>+IF(ISBLANK(REPORTS!H422),"",REPORTS!H422)</f>
        <v>5782.6588400000001</v>
      </c>
      <c r="H467" s="1374">
        <f>+IF(ISBLANK(REPORTS!I422),"",REPORTS!I422)</f>
        <v>1</v>
      </c>
    </row>
    <row r="468" spans="1:8">
      <c r="A468" s="1751">
        <v>420</v>
      </c>
      <c r="B468" s="1439">
        <v>53</v>
      </c>
      <c r="C468" s="1364" t="s">
        <v>5325</v>
      </c>
      <c r="D468" s="1364" t="s">
        <v>4071</v>
      </c>
      <c r="E468" s="1364">
        <f>+IF(ISBLANK(REPORTS!F423),"",REPORTS!F423)</f>
        <v>15403.828909999998</v>
      </c>
      <c r="F468" s="1364">
        <f>+IF(ISBLANK(REPORTS!G423),"",REPORTS!G423)</f>
        <v>0</v>
      </c>
      <c r="G468" s="1364">
        <f>+IF(ISBLANK(REPORTS!H423),"",REPORTS!H423)</f>
        <v>15403.828909999998</v>
      </c>
      <c r="H468" s="1374">
        <f>+IF(ISBLANK(REPORTS!I423),"",REPORTS!I423)</f>
        <v>1</v>
      </c>
    </row>
    <row r="469" spans="1:8">
      <c r="A469" s="1751"/>
      <c r="B469" s="1439">
        <v>54</v>
      </c>
      <c r="C469" s="1364" t="s">
        <v>5416</v>
      </c>
      <c r="D469" s="1364" t="s">
        <v>4071</v>
      </c>
      <c r="E469" s="1364">
        <f>+IF(ISBLANK(REPORTS!F424),"",REPORTS!F424)</f>
        <v>0</v>
      </c>
      <c r="F469" s="1364">
        <f>+IF(ISBLANK(REPORTS!G424),"",REPORTS!G424)</f>
        <v>0</v>
      </c>
      <c r="G469" s="1364">
        <f>+IF(ISBLANK(REPORTS!H424),"",REPORTS!H424)</f>
        <v>0</v>
      </c>
      <c r="H469" s="1374">
        <f>+IF(ISBLANK(REPORTS!I424),"",REPORTS!I424)</f>
        <v>0</v>
      </c>
    </row>
    <row r="470" spans="1:8">
      <c r="A470" s="1751"/>
      <c r="B470" s="1439">
        <v>55</v>
      </c>
      <c r="C470" s="1364" t="s">
        <v>5329</v>
      </c>
      <c r="D470" s="1364" t="s">
        <v>4071</v>
      </c>
      <c r="E470" s="1366">
        <f>+IF(ISBLANK(REPORTS!F425),"",REPORTS!F425)</f>
        <v>15231.66345</v>
      </c>
      <c r="F470" s="1366">
        <f>+IF(ISBLANK(REPORTS!G425),"",REPORTS!G425)</f>
        <v>0</v>
      </c>
      <c r="G470" s="1366">
        <f>+IF(ISBLANK(REPORTS!H425),"",REPORTS!H425)</f>
        <v>15231.66345</v>
      </c>
      <c r="H470" s="1374">
        <f>+IF(ISBLANK(REPORTS!I425),"",REPORTS!I425)</f>
        <v>1</v>
      </c>
    </row>
    <row r="471" spans="1:8">
      <c r="A471" s="1751">
        <v>420</v>
      </c>
      <c r="B471" s="1439">
        <v>56</v>
      </c>
      <c r="C471" s="1364"/>
      <c r="D471" s="1364"/>
      <c r="E471" s="1364" t="str">
        <f>+IF(ISBLANK(REPORTS!F426),"",REPORTS!F426)</f>
        <v/>
      </c>
      <c r="F471" s="1364" t="str">
        <f>+IF(ISBLANK(REPORTS!G426),"",REPORTS!G426)</f>
        <v/>
      </c>
      <c r="G471" s="1364" t="str">
        <f>+IF(ISBLANK(REPORTS!H426),"",REPORTS!H426)</f>
        <v/>
      </c>
      <c r="H471" s="1440" t="str">
        <f>+IF(ISBLANK(REPORTS!I426),"",REPORTS!I426)</f>
        <v/>
      </c>
    </row>
    <row r="472" spans="1:8">
      <c r="A472" s="1751">
        <v>308</v>
      </c>
      <c r="B472" s="1439">
        <v>57</v>
      </c>
      <c r="C472" s="1364" t="s">
        <v>5417</v>
      </c>
      <c r="D472" s="1364"/>
      <c r="E472" s="1364" t="str">
        <f>+IF(ISBLANK(REPORTS!F427),"",REPORTS!F427)</f>
        <v/>
      </c>
      <c r="F472" s="1364" t="str">
        <f>+IF(ISBLANK(REPORTS!G427),"",REPORTS!G427)</f>
        <v/>
      </c>
      <c r="G472" s="1364" t="str">
        <f>+IF(ISBLANK(REPORTS!H427),"",REPORTS!H427)</f>
        <v/>
      </c>
      <c r="H472" s="1440" t="str">
        <f>+IF(ISBLANK(REPORTS!I427),"",REPORTS!I427)</f>
        <v/>
      </c>
    </row>
    <row r="473" spans="1:8">
      <c r="A473" s="1751">
        <v>412</v>
      </c>
      <c r="B473" s="1439">
        <v>58</v>
      </c>
      <c r="C473" s="1364" t="s">
        <v>5418</v>
      </c>
      <c r="D473" s="1364" t="s">
        <v>4067</v>
      </c>
      <c r="E473" s="1364">
        <f>+IF(ISBLANK(REPORTS!F428),"",REPORTS!F428)</f>
        <v>102119.72953327128</v>
      </c>
      <c r="F473" s="1364">
        <f>+IF(ISBLANK(REPORTS!G428),"",REPORTS!G428)</f>
        <v>0</v>
      </c>
      <c r="G473" s="1364">
        <f>+IF(ISBLANK(REPORTS!H428),"",REPORTS!H428)</f>
        <v>102119.72953327128</v>
      </c>
      <c r="H473" s="1374">
        <f>+IF(ISBLANK(REPORTS!I428),"",REPORTS!I428)</f>
        <v>1</v>
      </c>
    </row>
    <row r="474" spans="1:8">
      <c r="A474" s="1751">
        <v>310</v>
      </c>
      <c r="B474" s="1439">
        <v>59</v>
      </c>
      <c r="C474" s="1364" t="s">
        <v>5418</v>
      </c>
      <c r="D474" s="1364" t="s">
        <v>4071</v>
      </c>
      <c r="E474" s="1366">
        <f>+IF(ISBLANK(REPORTS!F429),"",REPORTS!F429)</f>
        <v>38579.974456728742</v>
      </c>
      <c r="F474" s="1366">
        <f>+IF(ISBLANK(REPORTS!G429),"",REPORTS!G429)</f>
        <v>0</v>
      </c>
      <c r="G474" s="1366">
        <f>+IF(ISBLANK(REPORTS!H429),"",REPORTS!H429)</f>
        <v>38579.974456728742</v>
      </c>
      <c r="H474" s="1374">
        <f>+IF(ISBLANK(REPORTS!I429),"",REPORTS!I429)</f>
        <v>1</v>
      </c>
    </row>
    <row r="475" spans="1:8">
      <c r="A475" s="1751"/>
      <c r="B475" s="1439">
        <v>60</v>
      </c>
      <c r="C475" s="1364"/>
      <c r="D475" s="1364"/>
      <c r="E475" s="1364" t="str">
        <f>+IF(ISBLANK(REPORTS!F430),"",REPORTS!F430)</f>
        <v/>
      </c>
      <c r="F475" s="1364" t="str">
        <f>+IF(ISBLANK(REPORTS!G430),"",REPORTS!G430)</f>
        <v/>
      </c>
      <c r="G475" s="1364" t="str">
        <f>+IF(ISBLANK(REPORTS!H430),"",REPORTS!H430)</f>
        <v/>
      </c>
      <c r="H475" s="1440" t="str">
        <f>+IF(ISBLANK(REPORTS!I430),"",REPORTS!I430)</f>
        <v/>
      </c>
    </row>
    <row r="476" spans="1:8">
      <c r="A476" s="1751"/>
      <c r="B476" s="1439">
        <v>61</v>
      </c>
      <c r="C476" s="1364" t="s">
        <v>5421</v>
      </c>
      <c r="D476" s="1364"/>
      <c r="E476" s="1366">
        <f>+IF(ISBLANK(REPORTS!F431),"",REPORTS!F431)</f>
        <v>140699.70399000001</v>
      </c>
      <c r="F476" s="1366">
        <f>+IF(ISBLANK(REPORTS!G431),"",REPORTS!G431)</f>
        <v>0</v>
      </c>
      <c r="G476" s="1366">
        <f>+IF(ISBLANK(REPORTS!H431),"",REPORTS!H431)</f>
        <v>140699.70399000001</v>
      </c>
      <c r="H476" s="1374">
        <f>+IF(ISBLANK(REPORTS!I431),"",REPORTS!I431)</f>
        <v>1</v>
      </c>
    </row>
    <row r="477" spans="1:8">
      <c r="A477" s="1751"/>
      <c r="B477" s="1439">
        <v>62</v>
      </c>
      <c r="C477" s="1364"/>
      <c r="D477" s="1364"/>
      <c r="E477" s="1364" t="str">
        <f>+IF(ISBLANK(REPORTS!F432),"",REPORTS!F432)</f>
        <v/>
      </c>
      <c r="F477" s="1364" t="str">
        <f>+IF(ISBLANK(REPORTS!G432),"",REPORTS!G432)</f>
        <v/>
      </c>
      <c r="G477" s="1364" t="str">
        <f>+IF(ISBLANK(REPORTS!H432),"",REPORTS!H432)</f>
        <v/>
      </c>
      <c r="H477" s="1440" t="str">
        <f>+IF(ISBLANK(REPORTS!I432),"",REPORTS!I432)</f>
        <v/>
      </c>
    </row>
    <row r="478" spans="1:8">
      <c r="A478" s="1751"/>
    </row>
    <row r="479" spans="1:8">
      <c r="A479" s="1751"/>
    </row>
    <row r="480" spans="1:8">
      <c r="A480" s="1751"/>
    </row>
    <row r="481" spans="1:8">
      <c r="A481" s="1751"/>
    </row>
    <row r="482" spans="1:8">
      <c r="A482" s="1751"/>
    </row>
    <row r="483" spans="1:8">
      <c r="A483" s="1751"/>
    </row>
    <row r="484" spans="1:8">
      <c r="A484" s="1751"/>
    </row>
    <row r="485" spans="1:8">
      <c r="A485" s="1751"/>
      <c r="B485" s="1416" t="str">
        <f>+$B$1</f>
        <v>RATES WITH REVENUE DEFICIENCY ADDITION</v>
      </c>
      <c r="C485" s="1324"/>
      <c r="D485" s="1324"/>
      <c r="E485" s="1336"/>
      <c r="F485" s="1329" t="s">
        <v>2173</v>
      </c>
      <c r="G485" s="1364"/>
      <c r="H485" s="1334" t="s">
        <v>5433</v>
      </c>
    </row>
    <row r="486" spans="1:8">
      <c r="A486" s="1751"/>
      <c r="B486" s="1416" t="str">
        <f>+$B$2</f>
        <v xml:space="preserve">PROD. CAP. ALLOC. METHOD: 12 CP </v>
      </c>
      <c r="C486" s="1364"/>
      <c r="D486" s="1324"/>
      <c r="E486" s="1324"/>
      <c r="F486" s="1336" t="s">
        <v>4768</v>
      </c>
      <c r="G486" s="1324"/>
      <c r="H486" s="1731" t="s">
        <v>5390</v>
      </c>
    </row>
    <row r="487" spans="1:8">
      <c r="A487" s="1751"/>
      <c r="B487" s="1416" t="str">
        <f>+$B$3</f>
        <v>PROJECTED CALENDAR YEAR 2025; FULLY ADJUSTED DATA</v>
      </c>
      <c r="C487" s="1324"/>
      <c r="D487" s="1324"/>
      <c r="E487" s="1324"/>
      <c r="F487" s="1336" t="s">
        <v>2181</v>
      </c>
      <c r="G487" s="1324"/>
      <c r="H487" s="1374"/>
    </row>
    <row r="488" spans="1:8">
      <c r="A488" s="1751"/>
      <c r="B488" s="1732">
        <f>+$B$4</f>
        <v>0</v>
      </c>
      <c r="C488" s="1324"/>
      <c r="D488" s="1324"/>
      <c r="E488" s="1324"/>
      <c r="F488" s="1364"/>
      <c r="G488" s="1364"/>
      <c r="H488" s="1440"/>
    </row>
    <row r="489" spans="1:8">
      <c r="A489" s="1751"/>
      <c r="B489" s="1732" t="str">
        <f>+$B$5</f>
        <v>Tampa Electric 2025 OB Budget</v>
      </c>
      <c r="C489" s="1324"/>
      <c r="D489" s="1324"/>
      <c r="E489" s="1329"/>
      <c r="F489" s="1336" t="s">
        <v>5391</v>
      </c>
      <c r="G489" s="1364"/>
      <c r="H489" s="1440"/>
    </row>
    <row r="490" spans="1:8">
      <c r="A490" s="1751"/>
      <c r="B490" s="1393"/>
      <c r="C490" s="1324"/>
      <c r="D490" s="1324"/>
      <c r="E490" s="1336"/>
      <c r="F490" s="1364"/>
      <c r="G490" s="1364"/>
      <c r="H490" s="1440"/>
    </row>
    <row r="491" spans="1:8">
      <c r="A491" s="1751"/>
      <c r="B491" s="1393"/>
      <c r="C491" s="1324"/>
      <c r="D491" s="1324"/>
      <c r="E491" s="1336"/>
      <c r="F491" s="1364"/>
      <c r="G491" s="1364"/>
      <c r="H491" s="1440"/>
    </row>
    <row r="492" spans="1:8">
      <c r="A492" s="1751"/>
      <c r="B492" s="1439"/>
      <c r="C492" s="1364"/>
      <c r="D492" s="1364"/>
      <c r="E492" s="1324"/>
      <c r="F492" s="1364"/>
      <c r="G492" s="1364"/>
      <c r="H492" s="1440"/>
    </row>
    <row r="493" spans="1:8">
      <c r="A493" s="1751"/>
      <c r="B493" s="1439"/>
      <c r="C493" s="1364"/>
      <c r="D493" s="1364"/>
      <c r="E493" s="1364"/>
      <c r="F493" s="1364"/>
      <c r="G493" s="1364"/>
      <c r="H493" s="1440"/>
    </row>
    <row r="494" spans="1:8" ht="28.2">
      <c r="A494" s="1751"/>
      <c r="B494" s="1737" t="s">
        <v>4297</v>
      </c>
      <c r="C494" s="1741"/>
      <c r="D494" s="1741"/>
      <c r="E494" s="1352" t="s">
        <v>5144</v>
      </c>
      <c r="F494" s="1352" t="s">
        <v>4956</v>
      </c>
      <c r="G494" s="1352" t="s">
        <v>4957</v>
      </c>
      <c r="H494" s="1742" t="s">
        <v>5145</v>
      </c>
    </row>
    <row r="495" spans="1:8">
      <c r="A495" s="1751"/>
    </row>
    <row r="496" spans="1:8">
      <c r="A496" s="1751"/>
      <c r="B496" s="1439">
        <v>63</v>
      </c>
      <c r="C496" s="1450" t="s">
        <v>5423</v>
      </c>
      <c r="D496" s="1364"/>
      <c r="E496" s="1364" t="str">
        <f>+IF(ISBLANK(REPORTS!F433),"",REPORTS!F433)</f>
        <v/>
      </c>
      <c r="F496" s="1364" t="str">
        <f>+IF(ISBLANK(REPORTS!G433),"",REPORTS!G433)</f>
        <v/>
      </c>
      <c r="G496" s="1364" t="str">
        <f>+IF(ISBLANK(REPORTS!H433),"",REPORTS!H433)</f>
        <v/>
      </c>
      <c r="H496" s="1440" t="str">
        <f>+IF(ISBLANK(REPORTS!I433),"",REPORTS!I433)</f>
        <v/>
      </c>
    </row>
    <row r="497" spans="1:8">
      <c r="A497" s="1751"/>
      <c r="B497" s="1439">
        <v>64</v>
      </c>
      <c r="C497" s="1364" t="s">
        <v>5265</v>
      </c>
      <c r="D497" s="1364" t="s">
        <v>4067</v>
      </c>
      <c r="E497" s="1364">
        <f>+IF(ISBLANK(REPORTS!F434),"",REPORTS!F434)</f>
        <v>265519.30369168246</v>
      </c>
      <c r="F497" s="1364">
        <f>+IF(ISBLANK(REPORTS!G434),"",REPORTS!G434)</f>
        <v>0</v>
      </c>
      <c r="G497" s="1364">
        <f>+IF(ISBLANK(REPORTS!H434),"",REPORTS!H434)</f>
        <v>265519.30369168246</v>
      </c>
      <c r="H497" s="1374">
        <f>+IF(ISBLANK(REPORTS!I434),"",REPORTS!I434)</f>
        <v>1</v>
      </c>
    </row>
    <row r="498" spans="1:8">
      <c r="A498" s="1751"/>
      <c r="B498" s="1439">
        <v>65</v>
      </c>
      <c r="C498" s="1364" t="s">
        <v>5265</v>
      </c>
      <c r="D498" s="1364" t="s">
        <v>2067</v>
      </c>
      <c r="E498" s="1364">
        <f>+IF(ISBLANK(REPORTS!F435),"",REPORTS!F435)</f>
        <v>24171.775932376906</v>
      </c>
      <c r="F498" s="1364">
        <f>+IF(ISBLANK(REPORTS!G435),"",REPORTS!G435)</f>
        <v>0</v>
      </c>
      <c r="G498" s="1364">
        <f>+IF(ISBLANK(REPORTS!H435),"",REPORTS!H435)</f>
        <v>24171.775932376906</v>
      </c>
      <c r="H498" s="1374">
        <f>+IF(ISBLANK(REPORTS!I435),"",REPORTS!I435)</f>
        <v>1</v>
      </c>
    </row>
    <row r="499" spans="1:8">
      <c r="A499" s="1751"/>
      <c r="B499" s="1439">
        <v>66</v>
      </c>
      <c r="C499" s="1364" t="s">
        <v>5268</v>
      </c>
      <c r="D499" s="1364" t="s">
        <v>4067</v>
      </c>
      <c r="E499" s="1364">
        <f>+IF(ISBLANK(REPORTS!F436),"",REPORTS!F436)</f>
        <v>14335.379063852772</v>
      </c>
      <c r="F499" s="1364">
        <f>+IF(ISBLANK(REPORTS!G436),"",REPORTS!G436)</f>
        <v>1273.8744773790027</v>
      </c>
      <c r="G499" s="1364">
        <f>+IF(ISBLANK(REPORTS!H436),"",REPORTS!H436)</f>
        <v>13061.504586473768</v>
      </c>
      <c r="H499" s="1374">
        <f>+IF(ISBLANK(REPORTS!I436),"",REPORTS!I436)</f>
        <v>0.91113771936515242</v>
      </c>
    </row>
    <row r="500" spans="1:8">
      <c r="A500" s="1751"/>
      <c r="B500" s="1439">
        <v>67</v>
      </c>
      <c r="C500" s="1364" t="s">
        <v>5239</v>
      </c>
      <c r="D500" s="1364" t="s">
        <v>4067</v>
      </c>
      <c r="E500" s="1364">
        <f>+IF(ISBLANK(REPORTS!F437),"",REPORTS!F437)</f>
        <v>13591.063195823424</v>
      </c>
      <c r="F500" s="1364">
        <f>+IF(ISBLANK(REPORTS!G437),"",REPORTS!G437)</f>
        <v>880.52225371670738</v>
      </c>
      <c r="G500" s="1364">
        <f>+IF(ISBLANK(REPORTS!H437),"",REPORTS!H437)</f>
        <v>12710.540942106716</v>
      </c>
      <c r="H500" s="1374">
        <f>+IF(ISBLANK(REPORTS!I437),"",REPORTS!I437)</f>
        <v>0.93521314403222733</v>
      </c>
    </row>
    <row r="501" spans="1:8">
      <c r="A501" s="1751"/>
      <c r="B501" s="1439">
        <v>68</v>
      </c>
      <c r="C501" s="1364" t="s">
        <v>5240</v>
      </c>
      <c r="D501" s="1364" t="s">
        <v>4067</v>
      </c>
      <c r="E501" s="1364">
        <f>+IF(ISBLANK(REPORTS!F438),"",REPORTS!F438)</f>
        <v>61194.906221304169</v>
      </c>
      <c r="F501" s="1364">
        <f>+IF(ISBLANK(REPORTS!G438),"",REPORTS!G438)</f>
        <v>0</v>
      </c>
      <c r="G501" s="1364">
        <f>+IF(ISBLANK(REPORTS!H438),"",REPORTS!H438)</f>
        <v>61194.906221304169</v>
      </c>
      <c r="H501" s="1374">
        <f>+IF(ISBLANK(REPORTS!I438),"",REPORTS!I438)</f>
        <v>1</v>
      </c>
    </row>
    <row r="502" spans="1:8">
      <c r="A502" s="1751"/>
      <c r="B502" s="1439">
        <v>69</v>
      </c>
      <c r="C502" s="1364" t="s">
        <v>5241</v>
      </c>
      <c r="D502" s="1364" t="s">
        <v>4067</v>
      </c>
      <c r="E502" s="1364">
        <f>+IF(ISBLANK(REPORTS!F439),"",REPORTS!F439)</f>
        <v>40924.823311967106</v>
      </c>
      <c r="F502" s="1364">
        <f>+IF(ISBLANK(REPORTS!G439),"",REPORTS!G439)</f>
        <v>0</v>
      </c>
      <c r="G502" s="1364">
        <f>+IF(ISBLANK(REPORTS!H439),"",REPORTS!H439)</f>
        <v>40924.823311967106</v>
      </c>
      <c r="H502" s="1374">
        <f>+IF(ISBLANK(REPORTS!I439),"",REPORTS!I439)</f>
        <v>1</v>
      </c>
    </row>
    <row r="503" spans="1:8">
      <c r="A503" s="1751"/>
      <c r="B503" s="1439">
        <v>70</v>
      </c>
      <c r="C503" s="1364" t="s">
        <v>5242</v>
      </c>
      <c r="D503" s="1364" t="s">
        <v>4071</v>
      </c>
      <c r="E503" s="1364">
        <f>+IF(ISBLANK(REPORTS!F440),"",REPORTS!F440)</f>
        <v>38579.974456728742</v>
      </c>
      <c r="F503" s="1364">
        <f>+IF(ISBLANK(REPORTS!G440),"",REPORTS!G440)</f>
        <v>0</v>
      </c>
      <c r="G503" s="1364">
        <f>+IF(ISBLANK(REPORTS!H440),"",REPORTS!H440)</f>
        <v>38579.974456728742</v>
      </c>
      <c r="H503" s="1374">
        <f>+IF(ISBLANK(REPORTS!I440),"",REPORTS!I440)</f>
        <v>1</v>
      </c>
    </row>
    <row r="504" spans="1:8">
      <c r="A504" s="1751"/>
      <c r="B504" s="1439">
        <v>71</v>
      </c>
      <c r="C504" s="1364" t="s">
        <v>5244</v>
      </c>
      <c r="D504" s="1364" t="s">
        <v>4071</v>
      </c>
      <c r="E504" s="1366">
        <f>+IF(ISBLANK(REPORTS!F441),"",REPORTS!F441)</f>
        <v>0</v>
      </c>
      <c r="F504" s="1366">
        <f>+IF(ISBLANK(REPORTS!G441),"",REPORTS!G441)</f>
        <v>0</v>
      </c>
      <c r="G504" s="1366">
        <f>+IF(ISBLANK(REPORTS!H441),"",REPORTS!H441)</f>
        <v>0</v>
      </c>
      <c r="H504" s="1374">
        <f>+IF(ISBLANK(REPORTS!I441),"",REPORTS!I441)</f>
        <v>0</v>
      </c>
    </row>
    <row r="505" spans="1:8">
      <c r="A505" s="1751"/>
      <c r="B505" s="1439">
        <v>72</v>
      </c>
      <c r="C505" s="1364"/>
      <c r="D505" s="1364"/>
      <c r="E505" s="1364" t="str">
        <f>+IF(ISBLANK(REPORTS!F442),"",REPORTS!F442)</f>
        <v/>
      </c>
      <c r="F505" s="1364" t="str">
        <f>+IF(ISBLANK(REPORTS!G442),"",REPORTS!G442)</f>
        <v/>
      </c>
      <c r="G505" s="1364" t="str">
        <f>+IF(ISBLANK(REPORTS!H442),"",REPORTS!H442)</f>
        <v/>
      </c>
      <c r="H505" s="1440" t="str">
        <f>+IF(ISBLANK(REPORTS!I442),"",REPORTS!I442)</f>
        <v/>
      </c>
    </row>
    <row r="506" spans="1:8">
      <c r="A506" s="1751"/>
      <c r="B506" s="1439">
        <v>73</v>
      </c>
      <c r="C506" s="1364" t="s">
        <v>5431</v>
      </c>
      <c r="D506" s="1364"/>
      <c r="E506" s="1366">
        <f>+IF(ISBLANK(REPORTS!F443),"",REPORTS!F443)</f>
        <v>458317.22587373556</v>
      </c>
      <c r="F506" s="1366">
        <f>+IF(ISBLANK(REPORTS!G443),"",REPORTS!G443)</f>
        <v>2154.39673109571</v>
      </c>
      <c r="G506" s="1366">
        <f>+IF(ISBLANK(REPORTS!H443),"",REPORTS!H443)</f>
        <v>456162.82914263982</v>
      </c>
      <c r="H506" s="1374">
        <f>+IF(ISBLANK(REPORTS!I443),"",REPORTS!I443)</f>
        <v>0.99529933284312277</v>
      </c>
    </row>
    <row r="507" spans="1:8">
      <c r="A507" s="1751"/>
    </row>
    <row r="508" spans="1:8">
      <c r="A508" s="1751"/>
      <c r="B508" s="1439"/>
      <c r="C508" s="1364"/>
      <c r="D508" s="1364"/>
      <c r="E508" s="1364"/>
      <c r="F508" s="1364"/>
      <c r="G508" s="1364"/>
      <c r="H508" s="1374"/>
    </row>
    <row r="509" spans="1:8">
      <c r="A509" s="1751"/>
      <c r="B509" s="1439"/>
      <c r="C509" s="1364"/>
      <c r="D509" s="1364"/>
      <c r="E509" s="1364"/>
      <c r="F509" s="1364"/>
      <c r="G509" s="1364"/>
      <c r="H509" s="1374"/>
    </row>
    <row r="510" spans="1:8">
      <c r="A510" s="1751"/>
      <c r="B510" s="1439"/>
      <c r="C510" s="1364"/>
      <c r="D510" s="1364"/>
      <c r="E510" s="1364"/>
      <c r="F510" s="1364"/>
      <c r="G510" s="1364"/>
      <c r="H510" s="1374"/>
    </row>
    <row r="511" spans="1:8">
      <c r="A511" s="1751"/>
    </row>
    <row r="512" spans="1:8">
      <c r="A512" s="1751"/>
      <c r="B512" s="1439"/>
      <c r="C512" s="1364"/>
      <c r="D512" s="1364"/>
      <c r="E512" s="1364"/>
      <c r="F512" s="1364"/>
      <c r="G512" s="1364"/>
      <c r="H512" s="1374"/>
    </row>
    <row r="513" spans="1:8">
      <c r="A513" s="1751"/>
      <c r="B513" s="1439"/>
      <c r="C513" s="1364"/>
      <c r="D513" s="1364"/>
      <c r="E513" s="1364"/>
      <c r="F513" s="1364"/>
      <c r="G513" s="1364"/>
      <c r="H513" s="1374"/>
    </row>
    <row r="514" spans="1:8">
      <c r="A514" s="1751"/>
      <c r="B514" s="1439"/>
      <c r="C514" s="1364"/>
      <c r="D514" s="1364"/>
      <c r="E514" s="1364"/>
      <c r="F514" s="1364"/>
      <c r="G514" s="1364"/>
      <c r="H514" s="1374"/>
    </row>
    <row r="515" spans="1:8">
      <c r="A515" s="1751"/>
      <c r="B515" s="1439"/>
      <c r="C515" s="1364"/>
      <c r="D515" s="1364"/>
      <c r="E515" s="1364"/>
      <c r="F515" s="1364"/>
      <c r="G515" s="1364"/>
      <c r="H515" s="1374"/>
    </row>
    <row r="516" spans="1:8">
      <c r="A516" s="1751"/>
    </row>
    <row r="517" spans="1:8">
      <c r="A517" s="1751"/>
    </row>
    <row r="518" spans="1:8">
      <c r="A518" s="1751"/>
    </row>
    <row r="519" spans="1:8">
      <c r="A519" s="1751"/>
      <c r="B519" s="1439"/>
      <c r="C519" s="1364"/>
      <c r="D519" s="1364"/>
      <c r="E519" s="1364"/>
      <c r="F519" s="1364"/>
      <c r="G519" s="1364"/>
      <c r="H519" s="1374"/>
    </row>
    <row r="520" spans="1:8">
      <c r="A520" s="1751"/>
      <c r="B520" s="1439"/>
      <c r="C520" s="1364"/>
      <c r="D520" s="1364"/>
      <c r="E520" s="1364"/>
      <c r="F520" s="1364"/>
      <c r="G520" s="1364"/>
      <c r="H520" s="1374"/>
    </row>
    <row r="521" spans="1:8">
      <c r="A521" s="1751"/>
      <c r="B521" s="1439"/>
      <c r="C521" s="1364"/>
      <c r="D521" s="1364"/>
      <c r="E521" s="1364"/>
      <c r="F521" s="1364"/>
      <c r="G521" s="1364"/>
      <c r="H521" s="1374"/>
    </row>
    <row r="522" spans="1:8">
      <c r="A522" s="1751"/>
      <c r="B522" s="1439"/>
      <c r="C522" s="1364"/>
      <c r="D522" s="1364"/>
      <c r="E522" s="1364"/>
      <c r="F522" s="1364"/>
      <c r="G522" s="1364"/>
      <c r="H522" s="1374"/>
    </row>
    <row r="523" spans="1:8">
      <c r="A523" s="1751"/>
      <c r="B523" s="1439"/>
      <c r="C523" s="1364"/>
      <c r="D523" s="1364"/>
      <c r="E523" s="1364"/>
      <c r="F523" s="1364"/>
      <c r="G523" s="1364"/>
      <c r="H523" s="1374"/>
    </row>
    <row r="524" spans="1:8">
      <c r="A524" s="1751"/>
      <c r="B524" s="1439"/>
      <c r="C524" s="1364"/>
      <c r="D524" s="1364"/>
      <c r="E524" s="1364"/>
      <c r="F524" s="1364"/>
      <c r="G524" s="1364"/>
      <c r="H524" s="1374"/>
    </row>
    <row r="525" spans="1:8">
      <c r="A525" s="1751"/>
      <c r="B525" s="1439"/>
      <c r="C525" s="1364"/>
      <c r="D525" s="1364"/>
      <c r="E525" s="1364"/>
      <c r="F525" s="1364"/>
      <c r="G525" s="1364"/>
      <c r="H525" s="1374"/>
    </row>
    <row r="526" spans="1:8">
      <c r="A526" s="1751"/>
      <c r="B526" s="1439"/>
      <c r="C526" s="1364"/>
      <c r="D526" s="1364"/>
      <c r="E526" s="1364"/>
      <c r="F526" s="1364"/>
      <c r="G526" s="1364"/>
      <c r="H526" s="1374"/>
    </row>
    <row r="527" spans="1:8">
      <c r="A527" s="1751"/>
      <c r="B527" s="1439"/>
      <c r="C527" s="1364"/>
      <c r="D527" s="1364"/>
      <c r="E527" s="1364"/>
      <c r="F527" s="1364"/>
      <c r="G527" s="1364"/>
      <c r="H527" s="1374"/>
    </row>
    <row r="528" spans="1:8">
      <c r="A528" s="1751"/>
      <c r="B528" s="1439"/>
      <c r="C528" s="1364"/>
      <c r="D528" s="1364"/>
      <c r="E528" s="1364"/>
      <c r="F528" s="1364"/>
      <c r="G528" s="1364"/>
      <c r="H528" s="1374"/>
    </row>
    <row r="529" spans="1:8">
      <c r="A529" s="1751"/>
      <c r="B529" s="1439"/>
      <c r="C529" s="1364"/>
      <c r="D529" s="1364"/>
      <c r="E529" s="1364"/>
      <c r="F529" s="1364"/>
      <c r="G529" s="1364"/>
      <c r="H529" s="1374"/>
    </row>
    <row r="530" spans="1:8">
      <c r="A530" s="1751"/>
      <c r="B530" s="1439"/>
      <c r="C530" s="1364"/>
      <c r="D530" s="1364"/>
      <c r="E530" s="1364"/>
      <c r="F530" s="1364"/>
      <c r="G530" s="1364"/>
      <c r="H530" s="1374"/>
    </row>
    <row r="531" spans="1:8">
      <c r="A531" s="1751"/>
      <c r="B531" s="1439"/>
      <c r="C531" s="1364"/>
      <c r="D531" s="1364"/>
      <c r="E531" s="1364"/>
      <c r="F531" s="1364"/>
      <c r="G531" s="1364"/>
      <c r="H531" s="1374"/>
    </row>
    <row r="532" spans="1:8">
      <c r="A532" s="1751"/>
      <c r="B532" s="1439"/>
      <c r="C532" s="1364"/>
      <c r="D532" s="1364"/>
      <c r="E532" s="1364"/>
      <c r="F532" s="1364"/>
      <c r="G532" s="1364"/>
      <c r="H532" s="1374"/>
    </row>
    <row r="533" spans="1:8">
      <c r="A533" s="1751"/>
      <c r="B533" s="1439"/>
      <c r="C533" s="1364"/>
      <c r="D533" s="1364"/>
      <c r="E533" s="1364"/>
      <c r="F533" s="1364"/>
      <c r="G533" s="1364"/>
      <c r="H533" s="1374"/>
    </row>
    <row r="534" spans="1:8">
      <c r="A534" s="1751"/>
      <c r="B534" s="1439"/>
      <c r="C534" s="1364"/>
      <c r="D534" s="1364"/>
      <c r="E534" s="1364"/>
      <c r="F534" s="1364"/>
      <c r="G534" s="1364"/>
      <c r="H534" s="1374"/>
    </row>
    <row r="535" spans="1:8">
      <c r="A535" s="1751"/>
      <c r="B535" s="1439"/>
      <c r="C535" s="1364"/>
      <c r="D535" s="1364"/>
      <c r="E535" s="1364"/>
      <c r="F535" s="1364"/>
      <c r="G535" s="1364"/>
      <c r="H535" s="1374"/>
    </row>
    <row r="536" spans="1:8">
      <c r="A536" s="1751"/>
      <c r="B536" s="1439"/>
      <c r="C536" s="1364"/>
      <c r="D536" s="1364"/>
      <c r="E536" s="1364"/>
      <c r="F536" s="1364"/>
      <c r="G536" s="1364"/>
      <c r="H536" s="1374"/>
    </row>
    <row r="537" spans="1:8">
      <c r="A537" s="1751"/>
      <c r="B537" s="1439"/>
      <c r="C537" s="1364"/>
      <c r="D537" s="1364"/>
      <c r="E537" s="1364"/>
      <c r="F537" s="1364"/>
      <c r="G537" s="1364"/>
      <c r="H537" s="1374"/>
    </row>
    <row r="538" spans="1:8">
      <c r="A538" s="1751"/>
      <c r="B538" s="1439"/>
      <c r="C538" s="1364"/>
      <c r="D538" s="1364"/>
      <c r="E538" s="1364"/>
      <c r="F538" s="1364"/>
      <c r="G538" s="1364"/>
      <c r="H538" s="1374"/>
    </row>
    <row r="539" spans="1:8">
      <c r="A539" s="1751"/>
      <c r="B539" s="1439"/>
      <c r="C539" s="1364"/>
      <c r="D539" s="1364"/>
      <c r="E539" s="1364"/>
      <c r="F539" s="1364"/>
      <c r="G539" s="1364"/>
      <c r="H539" s="1374"/>
    </row>
    <row r="540" spans="1:8">
      <c r="A540" s="1751"/>
      <c r="B540" s="1439"/>
      <c r="C540" s="1364"/>
      <c r="D540" s="1364"/>
      <c r="E540" s="1364"/>
      <c r="F540" s="1364"/>
      <c r="G540" s="1364"/>
      <c r="H540" s="1374"/>
    </row>
    <row r="541" spans="1:8">
      <c r="A541" s="1751"/>
      <c r="B541" s="1439"/>
      <c r="C541" s="1364"/>
      <c r="D541" s="1364"/>
      <c r="E541" s="1364"/>
      <c r="F541" s="1364"/>
      <c r="G541" s="1364"/>
      <c r="H541" s="1374"/>
    </row>
    <row r="542" spans="1:8">
      <c r="A542" s="1751"/>
      <c r="B542" s="1439"/>
      <c r="C542" s="1364"/>
      <c r="D542" s="1364"/>
      <c r="E542" s="1364"/>
      <c r="F542" s="1364"/>
      <c r="G542" s="1364"/>
      <c r="H542" s="1374"/>
    </row>
    <row r="543" spans="1:8">
      <c r="A543" s="1751"/>
      <c r="B543" s="1439"/>
      <c r="C543" s="1364"/>
      <c r="D543" s="1364"/>
      <c r="E543" s="1364"/>
      <c r="F543" s="1364"/>
      <c r="G543" s="1364"/>
      <c r="H543" s="1374"/>
    </row>
    <row r="544" spans="1:8">
      <c r="A544" s="1751"/>
      <c r="B544" s="1439"/>
      <c r="C544" s="1364"/>
      <c r="D544" s="1364"/>
      <c r="E544" s="1364"/>
      <c r="F544" s="1364"/>
      <c r="G544" s="1364"/>
      <c r="H544" s="1374"/>
    </row>
    <row r="545" spans="1:8">
      <c r="A545" s="1751"/>
      <c r="B545" s="1439"/>
      <c r="C545" s="1364"/>
      <c r="D545" s="1364"/>
      <c r="E545" s="1364"/>
      <c r="F545" s="1364"/>
      <c r="G545" s="1364"/>
      <c r="H545" s="1374"/>
    </row>
    <row r="546" spans="1:8">
      <c r="A546" s="1751"/>
      <c r="B546" s="1416" t="str">
        <f>+$B$1</f>
        <v>RATES WITH REVENUE DEFICIENCY ADDITION</v>
      </c>
      <c r="C546" s="1324"/>
      <c r="D546" s="1324"/>
      <c r="E546" s="1336"/>
      <c r="F546" s="1329" t="s">
        <v>2173</v>
      </c>
      <c r="G546" s="1364"/>
      <c r="H546" s="1334" t="s">
        <v>5455</v>
      </c>
    </row>
    <row r="547" spans="1:8">
      <c r="A547" s="1751"/>
      <c r="B547" s="1416" t="str">
        <f>+$B$2</f>
        <v xml:space="preserve">PROD. CAP. ALLOC. METHOD: 12 CP </v>
      </c>
      <c r="C547" s="1364"/>
      <c r="D547" s="1324"/>
      <c r="E547" s="1324"/>
      <c r="F547" s="1336" t="s">
        <v>4768</v>
      </c>
      <c r="G547" s="1324"/>
      <c r="H547" s="1731" t="s">
        <v>5404</v>
      </c>
    </row>
    <row r="548" spans="1:8">
      <c r="A548" s="1760"/>
      <c r="B548" s="1416" t="str">
        <f>+$B$3</f>
        <v>PROJECTED CALENDAR YEAR 2025; FULLY ADJUSTED DATA</v>
      </c>
      <c r="C548" s="1324"/>
      <c r="D548" s="1324"/>
      <c r="E548" s="1324"/>
      <c r="F548" s="1336" t="s">
        <v>2181</v>
      </c>
      <c r="G548" s="1324"/>
      <c r="H548" s="1374"/>
    </row>
    <row r="549" spans="1:8">
      <c r="A549" s="1760"/>
      <c r="B549" s="1732">
        <f>+$B$4</f>
        <v>0</v>
      </c>
      <c r="C549" s="1324"/>
      <c r="D549" s="1324"/>
      <c r="E549" s="1324"/>
      <c r="F549" s="1364"/>
      <c r="G549" s="1364"/>
      <c r="H549" s="1440"/>
    </row>
    <row r="550" spans="1:8">
      <c r="A550" s="1752"/>
      <c r="B550" s="1732" t="str">
        <f>+$B$5</f>
        <v>Tampa Electric 2025 OB Budget</v>
      </c>
      <c r="C550" s="1324"/>
      <c r="D550" s="1324"/>
      <c r="E550" s="1329"/>
      <c r="F550" s="1336" t="s">
        <v>5391</v>
      </c>
      <c r="G550" s="1364"/>
      <c r="H550" s="1440"/>
    </row>
    <row r="551" spans="1:8">
      <c r="A551" s="1752"/>
      <c r="B551" s="1393"/>
      <c r="C551" s="1324"/>
      <c r="D551" s="1324"/>
      <c r="E551" s="1336"/>
      <c r="F551" s="1364"/>
      <c r="G551" s="1364"/>
      <c r="H551" s="1440"/>
    </row>
    <row r="552" spans="1:8">
      <c r="A552" s="1752"/>
      <c r="B552" s="1393"/>
      <c r="C552" s="1324"/>
      <c r="D552" s="1324"/>
      <c r="E552" s="1336"/>
      <c r="F552" s="1364"/>
      <c r="G552" s="1364"/>
      <c r="H552" s="1440"/>
    </row>
    <row r="553" spans="1:8">
      <c r="A553" s="1752"/>
      <c r="B553" s="1439"/>
      <c r="C553" s="1364"/>
      <c r="D553" s="1364"/>
      <c r="E553" s="1364"/>
      <c r="F553" s="1364"/>
      <c r="G553" s="1364"/>
      <c r="H553" s="1440"/>
    </row>
    <row r="554" spans="1:8">
      <c r="A554" s="1752"/>
      <c r="B554" s="1735"/>
      <c r="C554" s="1447"/>
      <c r="D554" s="1447"/>
      <c r="E554" s="1336"/>
      <c r="F554" s="1336"/>
      <c r="G554" s="1336"/>
      <c r="H554" s="1736"/>
    </row>
    <row r="555" spans="1:8" ht="28.2">
      <c r="A555" s="1751"/>
      <c r="B555" s="1737" t="s">
        <v>4297</v>
      </c>
      <c r="C555" s="1741"/>
      <c r="D555" s="1741"/>
      <c r="E555" s="1352" t="s">
        <v>5144</v>
      </c>
      <c r="F555" s="1352" t="s">
        <v>4956</v>
      </c>
      <c r="G555" s="1352" t="s">
        <v>4957</v>
      </c>
      <c r="H555" s="1742" t="s">
        <v>5145</v>
      </c>
    </row>
    <row r="556" spans="1:8">
      <c r="A556" s="1751"/>
      <c r="B556" s="1439"/>
      <c r="C556" s="1364"/>
      <c r="D556" s="1364"/>
      <c r="E556" s="1364"/>
      <c r="F556" s="1364"/>
      <c r="G556" s="1364"/>
      <c r="H556" s="1440"/>
    </row>
    <row r="557" spans="1:8" ht="28.2">
      <c r="A557" s="1753" t="s">
        <v>5143</v>
      </c>
      <c r="B557" s="1439">
        <v>74</v>
      </c>
      <c r="C557" s="1450" t="s">
        <v>5435</v>
      </c>
      <c r="D557" s="1364"/>
      <c r="E557" s="1364"/>
      <c r="F557" s="1364"/>
      <c r="G557" s="1364"/>
      <c r="H557" s="1440"/>
    </row>
    <row r="558" spans="1:8">
      <c r="A558" s="1751"/>
      <c r="B558" s="1439">
        <v>75</v>
      </c>
      <c r="C558" s="1364" t="s">
        <v>5265</v>
      </c>
      <c r="D558" s="1364" t="s">
        <v>4067</v>
      </c>
      <c r="E558" s="1364">
        <f>+IF(ISBLANK(REPORTS!F461),"",REPORTS!F461)</f>
        <v>2270.0840464485473</v>
      </c>
      <c r="F558" s="1364">
        <f>+IF(ISBLANK(REPORTS!G461),"",REPORTS!G461)</f>
        <v>0</v>
      </c>
      <c r="G558" s="1364">
        <f>+IF(ISBLANK(REPORTS!H461),"",REPORTS!H461)</f>
        <v>2270.0840464485473</v>
      </c>
      <c r="H558" s="1374">
        <f>+IF(ISBLANK(REPORTS!I461),"",REPORTS!I461)</f>
        <v>1</v>
      </c>
    </row>
    <row r="559" spans="1:8">
      <c r="A559" s="1751"/>
      <c r="B559" s="1439">
        <v>76</v>
      </c>
      <c r="C559" s="1364" t="s">
        <v>5265</v>
      </c>
      <c r="D559" s="1364" t="s">
        <v>2067</v>
      </c>
      <c r="E559" s="1364">
        <f>+IF(ISBLANK(REPORTS!F462),"",REPORTS!F462)</f>
        <v>564.04119465374163</v>
      </c>
      <c r="F559" s="1364">
        <f>+IF(ISBLANK(REPORTS!G462),"",REPORTS!G462)</f>
        <v>0</v>
      </c>
      <c r="G559" s="1364">
        <f>+IF(ISBLANK(REPORTS!H462),"",REPORTS!H462)</f>
        <v>564.04119465374163</v>
      </c>
      <c r="H559" s="1374">
        <f>+IF(ISBLANK(REPORTS!I462),"",REPORTS!I462)</f>
        <v>1</v>
      </c>
    </row>
    <row r="560" spans="1:8">
      <c r="A560" s="1751">
        <v>101</v>
      </c>
      <c r="B560" s="1439">
        <v>77</v>
      </c>
      <c r="C560" s="1364" t="s">
        <v>5268</v>
      </c>
      <c r="D560" s="1364" t="s">
        <v>4067</v>
      </c>
      <c r="E560" s="1364">
        <f>+IF(ISBLANK(REPORTS!F463),"",REPORTS!F463)</f>
        <v>427.86315231558297</v>
      </c>
      <c r="F560" s="1364">
        <f>+IF(ISBLANK(REPORTS!G463),"",REPORTS!G463)</f>
        <v>27.719908422986823</v>
      </c>
      <c r="G560" s="1364">
        <f>+IF(ISBLANK(REPORTS!H463),"",REPORTS!H463)</f>
        <v>400.1432438925961</v>
      </c>
      <c r="H560" s="1374">
        <f>+IF(ISBLANK(REPORTS!I463),"",REPORTS!I463)</f>
        <v>0.93521314403222733</v>
      </c>
    </row>
    <row r="561" spans="1:8">
      <c r="A561" s="1751">
        <v>201</v>
      </c>
      <c r="B561" s="1439">
        <v>78</v>
      </c>
      <c r="C561" s="1364" t="s">
        <v>5239</v>
      </c>
      <c r="D561" s="1364" t="s">
        <v>4067</v>
      </c>
      <c r="E561" s="1364">
        <f>+IF(ISBLANK(REPORTS!F464),"",REPORTS!F464)</f>
        <v>344.4303917378038</v>
      </c>
      <c r="F561" s="1364">
        <f>+IF(ISBLANK(REPORTS!G464),"",REPORTS!G464)</f>
        <v>22.314562180440589</v>
      </c>
      <c r="G561" s="1364">
        <f>+IF(ISBLANK(REPORTS!H464),"",REPORTS!H464)</f>
        <v>322.11582955736321</v>
      </c>
      <c r="H561" s="1374">
        <f>+IF(ISBLANK(REPORTS!I464),"",REPORTS!I464)</f>
        <v>0.93521314403222744</v>
      </c>
    </row>
    <row r="562" spans="1:8">
      <c r="A562" s="1751">
        <v>117</v>
      </c>
      <c r="B562" s="1439">
        <v>79</v>
      </c>
      <c r="C562" s="1364" t="s">
        <v>5240</v>
      </c>
      <c r="D562" s="1364" t="s">
        <v>4067</v>
      </c>
      <c r="E562" s="1364">
        <f>+IF(ISBLANK(REPORTS!F465),"",REPORTS!F465)</f>
        <v>2079.1077250027865</v>
      </c>
      <c r="F562" s="1364">
        <f>+IF(ISBLANK(REPORTS!G465),"",REPORTS!G465)</f>
        <v>0</v>
      </c>
      <c r="G562" s="1364">
        <f>+IF(ISBLANK(REPORTS!H465),"",REPORTS!H465)</f>
        <v>2079.1077250027865</v>
      </c>
      <c r="H562" s="1374">
        <f>+IF(ISBLANK(REPORTS!I465),"",REPORTS!I465)</f>
        <v>1</v>
      </c>
    </row>
    <row r="563" spans="1:8">
      <c r="A563" s="1751">
        <v>117</v>
      </c>
      <c r="B563" s="1439">
        <v>80</v>
      </c>
      <c r="C563" s="1364" t="s">
        <v>5241</v>
      </c>
      <c r="D563" s="1364" t="s">
        <v>4067</v>
      </c>
      <c r="E563" s="1364">
        <f>+IF(ISBLANK(REPORTS!F466),"",REPORTS!F466)</f>
        <v>675.63423200398438</v>
      </c>
      <c r="F563" s="1364">
        <f>+IF(ISBLANK(REPORTS!G466),"",REPORTS!G466)</f>
        <v>0</v>
      </c>
      <c r="G563" s="1364">
        <f>+IF(ISBLANK(REPORTS!H466),"",REPORTS!H466)</f>
        <v>675.63423200398438</v>
      </c>
      <c r="H563" s="1374">
        <f>+IF(ISBLANK(REPORTS!I466),"",REPORTS!I466)</f>
        <v>1</v>
      </c>
    </row>
    <row r="564" spans="1:8">
      <c r="A564" s="1751">
        <v>105</v>
      </c>
      <c r="B564" s="1439">
        <v>81</v>
      </c>
      <c r="C564" s="1364" t="s">
        <v>5242</v>
      </c>
      <c r="D564" s="1364" t="s">
        <v>4071</v>
      </c>
      <c r="E564" s="1364">
        <f>+IF(ISBLANK(REPORTS!F467),"",REPORTS!F467)</f>
        <v>801.25621217467824</v>
      </c>
      <c r="F564" s="1364">
        <f>+IF(ISBLANK(REPORTS!G467),"",REPORTS!G467)</f>
        <v>0</v>
      </c>
      <c r="G564" s="1364">
        <f>+IF(ISBLANK(REPORTS!H467),"",REPORTS!H467)</f>
        <v>801.25621217467824</v>
      </c>
      <c r="H564" s="1374">
        <f>+IF(ISBLANK(REPORTS!I467),"",REPORTS!I467)</f>
        <v>1</v>
      </c>
    </row>
    <row r="565" spans="1:8">
      <c r="A565" s="1751">
        <v>106</v>
      </c>
      <c r="B565" s="1439">
        <v>82</v>
      </c>
      <c r="C565" s="1364" t="s">
        <v>5244</v>
      </c>
      <c r="D565" s="1364" t="s">
        <v>4071</v>
      </c>
      <c r="E565" s="1364">
        <f>+IF(ISBLANK(REPORTS!F468),"",REPORTS!F468)</f>
        <v>1085.3202556628742</v>
      </c>
      <c r="F565" s="1366">
        <f>+IF(ISBLANK(REPORTS!G468),"",REPORTS!G468)</f>
        <v>0</v>
      </c>
      <c r="G565" s="1366">
        <f>+IF(ISBLANK(REPORTS!H468),"",REPORTS!H468)</f>
        <v>1085.3202556628742</v>
      </c>
      <c r="H565" s="1374">
        <f>+IF(ISBLANK(REPORTS!I468),"",REPORTS!I468)</f>
        <v>1</v>
      </c>
    </row>
    <row r="566" spans="1:8">
      <c r="A566" s="1751">
        <v>907</v>
      </c>
      <c r="B566" s="1439">
        <v>83</v>
      </c>
      <c r="C566" s="1364"/>
      <c r="D566" s="1364"/>
      <c r="E566" s="1375" t="str">
        <f>+IF(ISBLANK(REPORTS!F469),"",REPORTS!F469)</f>
        <v/>
      </c>
      <c r="F566" s="1364" t="str">
        <f>+IF(ISBLANK(REPORTS!G469),"",REPORTS!G469)</f>
        <v/>
      </c>
      <c r="G566" s="1364" t="str">
        <f>+IF(ISBLANK(REPORTS!H469),"",REPORTS!H469)</f>
        <v/>
      </c>
      <c r="H566" s="1440" t="str">
        <f>+IF(ISBLANK(REPORTS!I469),"",REPORTS!I469)</f>
        <v/>
      </c>
    </row>
    <row r="567" spans="1:8">
      <c r="A567" s="1751">
        <v>412</v>
      </c>
      <c r="B567" s="1439">
        <v>84</v>
      </c>
      <c r="C567" s="1364" t="s">
        <v>5436</v>
      </c>
      <c r="D567" s="1364"/>
      <c r="E567" s="1366">
        <f>+IF(ISBLANK(REPORTS!F470),"",REPORTS!F470)</f>
        <v>8247.7372099999993</v>
      </c>
      <c r="F567" s="1366">
        <f>+IF(ISBLANK(REPORTS!G470),"",REPORTS!G470)</f>
        <v>50.034470603427408</v>
      </c>
      <c r="G567" s="1366">
        <f>+IF(ISBLANK(REPORTS!H470),"",REPORTS!H470)</f>
        <v>8197.7027393965709</v>
      </c>
      <c r="H567" s="1374">
        <f>+IF(ISBLANK(REPORTS!I470),"",REPORTS!I470)</f>
        <v>0.99393355179372544</v>
      </c>
    </row>
    <row r="568" spans="1:8">
      <c r="A568" s="1751"/>
      <c r="B568" s="1439">
        <v>85</v>
      </c>
      <c r="C568" s="1364"/>
      <c r="D568" s="1364"/>
      <c r="E568" s="1364" t="str">
        <f>+IF(ISBLANK(REPORTS!F471),"",REPORTS!F471)</f>
        <v/>
      </c>
      <c r="F568" s="1364" t="str">
        <f>+IF(ISBLANK(REPORTS!G471),"",REPORTS!G471)</f>
        <v/>
      </c>
      <c r="G568" s="1364" t="str">
        <f>+IF(ISBLANK(REPORTS!H471),"",REPORTS!H471)</f>
        <v/>
      </c>
      <c r="H568" s="1440" t="str">
        <f>+IF(ISBLANK(REPORTS!I471),"",REPORTS!I471)</f>
        <v/>
      </c>
    </row>
    <row r="569" spans="1:8">
      <c r="A569" s="1751"/>
      <c r="B569" s="1439">
        <v>86</v>
      </c>
      <c r="C569" s="1450" t="s">
        <v>5438</v>
      </c>
      <c r="D569" s="1364"/>
      <c r="E569" s="1364" t="str">
        <f>+IF(ISBLANK(REPORTS!F472),"",REPORTS!F472)</f>
        <v/>
      </c>
      <c r="F569" s="1364" t="str">
        <f>+IF(ISBLANK(REPORTS!G472),"",REPORTS!G472)</f>
        <v/>
      </c>
      <c r="G569" s="1364" t="str">
        <f>+IF(ISBLANK(REPORTS!H472),"",REPORTS!H472)</f>
        <v/>
      </c>
      <c r="H569" s="1440" t="str">
        <f>+IF(ISBLANK(REPORTS!I472),"",REPORTS!I472)</f>
        <v/>
      </c>
    </row>
    <row r="570" spans="1:8">
      <c r="A570" s="1751"/>
      <c r="B570" s="1439">
        <v>87</v>
      </c>
      <c r="C570" s="1364" t="s">
        <v>5265</v>
      </c>
      <c r="D570" s="1364" t="s">
        <v>4067</v>
      </c>
      <c r="E570" s="1364">
        <f>+IF(ISBLANK(REPORTS!F473),"",REPORTS!F473)</f>
        <v>428.13576</v>
      </c>
      <c r="F570" s="1364">
        <f>+IF(ISBLANK(REPORTS!G473),"",REPORTS!G473)</f>
        <v>0</v>
      </c>
      <c r="G570" s="1364">
        <f>+IF(ISBLANK(REPORTS!H473),"",REPORTS!H473)</f>
        <v>428.13576</v>
      </c>
      <c r="H570" s="1374">
        <f>+IF(ISBLANK(REPORTS!I473),"",REPORTS!I473)</f>
        <v>1</v>
      </c>
    </row>
    <row r="571" spans="1:8">
      <c r="A571" s="1751"/>
      <c r="B571" s="1439">
        <v>88</v>
      </c>
      <c r="C571" s="1364" t="s">
        <v>5265</v>
      </c>
      <c r="D571" s="1364" t="s">
        <v>2067</v>
      </c>
      <c r="E571" s="1364">
        <f>+IF(ISBLANK(REPORTS!F474),"",REPORTS!F474)</f>
        <v>0</v>
      </c>
      <c r="F571" s="1364">
        <f>+IF(ISBLANK(REPORTS!G474),"",REPORTS!G474)</f>
        <v>0</v>
      </c>
      <c r="G571" s="1364">
        <f>+IF(ISBLANK(REPORTS!H474),"",REPORTS!H474)</f>
        <v>0</v>
      </c>
      <c r="H571" s="1374">
        <f>+IF(ISBLANK(REPORTS!I474),"",REPORTS!I474)</f>
        <v>0</v>
      </c>
    </row>
    <row r="572" spans="1:8">
      <c r="A572" s="1751">
        <v>101</v>
      </c>
      <c r="B572" s="1439">
        <v>89</v>
      </c>
      <c r="C572" s="1364" t="s">
        <v>5268</v>
      </c>
      <c r="D572" s="1364" t="s">
        <v>4067</v>
      </c>
      <c r="E572" s="1364">
        <f>+IF(ISBLANK(REPORTS!F475),"",REPORTS!F475)</f>
        <v>0</v>
      </c>
      <c r="F572" s="1364">
        <f>+IF(ISBLANK(REPORTS!G475),"",REPORTS!G475)</f>
        <v>0</v>
      </c>
      <c r="G572" s="1364">
        <f>+IF(ISBLANK(REPORTS!H475),"",REPORTS!H475)</f>
        <v>0</v>
      </c>
      <c r="H572" s="1374">
        <f>+IF(ISBLANK(REPORTS!I475),"",REPORTS!I475)</f>
        <v>0</v>
      </c>
    </row>
    <row r="573" spans="1:8">
      <c r="A573" s="1751">
        <v>201</v>
      </c>
      <c r="B573" s="1439">
        <v>90</v>
      </c>
      <c r="C573" s="1364" t="s">
        <v>5239</v>
      </c>
      <c r="D573" s="1364" t="s">
        <v>4067</v>
      </c>
      <c r="E573" s="1364">
        <f>+IF(ISBLANK(REPORTS!F476),"",REPORTS!F476)</f>
        <v>0</v>
      </c>
      <c r="F573" s="1364">
        <f>+IF(ISBLANK(REPORTS!G476),"",REPORTS!G476)</f>
        <v>0</v>
      </c>
      <c r="G573" s="1364">
        <f>+IF(ISBLANK(REPORTS!H476),"",REPORTS!H476)</f>
        <v>0</v>
      </c>
      <c r="H573" s="1374">
        <f>+IF(ISBLANK(REPORTS!I476),"",REPORTS!I476)</f>
        <v>0</v>
      </c>
    </row>
    <row r="574" spans="1:8">
      <c r="A574" s="1751">
        <v>117</v>
      </c>
      <c r="B574" s="1439">
        <v>91</v>
      </c>
      <c r="C574" s="1364" t="s">
        <v>5240</v>
      </c>
      <c r="D574" s="1364" t="s">
        <v>4067</v>
      </c>
      <c r="E574" s="1364">
        <f>+IF(ISBLANK(REPORTS!F477),"",REPORTS!F477)</f>
        <v>0</v>
      </c>
      <c r="F574" s="1364">
        <f>+IF(ISBLANK(REPORTS!G477),"",REPORTS!G477)</f>
        <v>0</v>
      </c>
      <c r="G574" s="1364">
        <f>+IF(ISBLANK(REPORTS!H477),"",REPORTS!H477)</f>
        <v>0</v>
      </c>
      <c r="H574" s="1374">
        <f>+IF(ISBLANK(REPORTS!I477),"",REPORTS!I477)</f>
        <v>0</v>
      </c>
    </row>
    <row r="575" spans="1:8">
      <c r="A575" s="1751">
        <v>117</v>
      </c>
      <c r="B575" s="1439">
        <v>92</v>
      </c>
      <c r="C575" s="1364" t="s">
        <v>5241</v>
      </c>
      <c r="D575" s="1364" t="s">
        <v>4067</v>
      </c>
      <c r="E575" s="1364">
        <f>+IF(ISBLANK(REPORTS!F478),"",REPORTS!F478)</f>
        <v>0</v>
      </c>
      <c r="F575" s="1364">
        <f>+IF(ISBLANK(REPORTS!G478),"",REPORTS!G478)</f>
        <v>0</v>
      </c>
      <c r="G575" s="1364">
        <f>+IF(ISBLANK(REPORTS!H478),"",REPORTS!H478)</f>
        <v>0</v>
      </c>
      <c r="H575" s="1374">
        <f>+IF(ISBLANK(REPORTS!I478),"",REPORTS!I478)</f>
        <v>0</v>
      </c>
    </row>
    <row r="576" spans="1:8">
      <c r="A576" s="1751">
        <v>105</v>
      </c>
      <c r="B576" s="1439">
        <v>93</v>
      </c>
      <c r="C576" s="1364" t="s">
        <v>5242</v>
      </c>
      <c r="D576" s="1364" t="s">
        <v>4071</v>
      </c>
      <c r="E576" s="1364">
        <f>+IF(ISBLANK(REPORTS!F479),"",REPORTS!F479)</f>
        <v>0</v>
      </c>
      <c r="F576" s="1364">
        <f>+IF(ISBLANK(REPORTS!G479),"",REPORTS!G479)</f>
        <v>0</v>
      </c>
      <c r="G576" s="1364">
        <f>+IF(ISBLANK(REPORTS!H479),"",REPORTS!H479)</f>
        <v>0</v>
      </c>
      <c r="H576" s="1374">
        <f>+IF(ISBLANK(REPORTS!I479),"",REPORTS!I479)</f>
        <v>0</v>
      </c>
    </row>
    <row r="577" spans="1:8">
      <c r="A577" s="1751">
        <v>106</v>
      </c>
      <c r="B577" s="1439">
        <v>94</v>
      </c>
      <c r="C577" s="1364" t="s">
        <v>5244</v>
      </c>
      <c r="D577" s="1364" t="s">
        <v>4071</v>
      </c>
      <c r="E577" s="1366">
        <f>+IF(ISBLANK(REPORTS!F480),"",REPORTS!F480)</f>
        <v>0</v>
      </c>
      <c r="F577" s="1366">
        <f>+IF(ISBLANK(REPORTS!G480),"",REPORTS!G480)</f>
        <v>0</v>
      </c>
      <c r="G577" s="1366">
        <f>+IF(ISBLANK(REPORTS!H480),"",REPORTS!H480)</f>
        <v>0</v>
      </c>
      <c r="H577" s="1374">
        <f>+IF(ISBLANK(REPORTS!I480),"",REPORTS!I480)</f>
        <v>0</v>
      </c>
    </row>
    <row r="578" spans="1:8">
      <c r="A578" s="1751">
        <v>907</v>
      </c>
      <c r="B578" s="1439">
        <v>95</v>
      </c>
      <c r="C578" s="1364"/>
      <c r="D578" s="1364"/>
      <c r="E578" s="1364" t="str">
        <f>+IF(ISBLANK(REPORTS!F481),"",REPORTS!F481)</f>
        <v/>
      </c>
      <c r="F578" s="1364" t="str">
        <f>+IF(ISBLANK(REPORTS!G481),"",REPORTS!G481)</f>
        <v/>
      </c>
      <c r="G578" s="1364" t="str">
        <f>+IF(ISBLANK(REPORTS!H481),"",REPORTS!H481)</f>
        <v/>
      </c>
      <c r="H578" s="1440" t="str">
        <f>+IF(ISBLANK(REPORTS!I481),"",REPORTS!I481)</f>
        <v/>
      </c>
    </row>
    <row r="579" spans="1:8">
      <c r="A579" s="1751">
        <v>412</v>
      </c>
      <c r="B579" s="1439">
        <v>96</v>
      </c>
      <c r="C579" s="1364" t="s">
        <v>5439</v>
      </c>
      <c r="D579" s="1364"/>
      <c r="E579" s="1366">
        <f>+IF(ISBLANK(REPORTS!F482),"",REPORTS!F482)</f>
        <v>428.13576</v>
      </c>
      <c r="F579" s="1366">
        <f>+IF(ISBLANK(REPORTS!G482),"",REPORTS!G482)</f>
        <v>0</v>
      </c>
      <c r="G579" s="1366">
        <f>+IF(ISBLANK(REPORTS!H482),"",REPORTS!H482)</f>
        <v>428.13576</v>
      </c>
      <c r="H579" s="1374">
        <f>+IF(ISBLANK(REPORTS!I482),"",REPORTS!I482)</f>
        <v>1</v>
      </c>
    </row>
    <row r="580" spans="1:8">
      <c r="A580" s="1751"/>
      <c r="B580" s="1439">
        <v>97</v>
      </c>
      <c r="C580" s="1364"/>
      <c r="D580" s="1364"/>
      <c r="E580" s="1364" t="str">
        <f>+IF(ISBLANK(REPORTS!F483),"",REPORTS!F483)</f>
        <v/>
      </c>
      <c r="F580" s="1364" t="str">
        <f>+IF(ISBLANK(REPORTS!G483),"",REPORTS!G483)</f>
        <v/>
      </c>
      <c r="G580" s="1364" t="str">
        <f>+IF(ISBLANK(REPORTS!H483),"",REPORTS!H483)</f>
        <v/>
      </c>
      <c r="H580" s="1440" t="str">
        <f>+IF(ISBLANK(REPORTS!I483),"",REPORTS!I483)</f>
        <v/>
      </c>
    </row>
    <row r="581" spans="1:8">
      <c r="A581" s="1751"/>
      <c r="B581" s="1439">
        <v>98</v>
      </c>
      <c r="C581" s="1450" t="s">
        <v>5441</v>
      </c>
      <c r="D581" s="1364"/>
      <c r="E581" s="1364" t="str">
        <f>+IF(ISBLANK(REPORTS!F484),"",REPORTS!F484)</f>
        <v/>
      </c>
      <c r="F581" s="1364" t="str">
        <f>+IF(ISBLANK(REPORTS!G484),"",REPORTS!G484)</f>
        <v/>
      </c>
      <c r="G581" s="1364" t="str">
        <f>+IF(ISBLANK(REPORTS!H484),"",REPORTS!H484)</f>
        <v/>
      </c>
      <c r="H581" s="1440" t="str">
        <f>+IF(ISBLANK(REPORTS!I484),"",REPORTS!I484)</f>
        <v/>
      </c>
    </row>
    <row r="582" spans="1:8">
      <c r="A582" s="1751"/>
      <c r="B582" s="1439">
        <v>99</v>
      </c>
      <c r="C582" s="1364" t="s">
        <v>5265</v>
      </c>
      <c r="D582" s="1364" t="s">
        <v>4067</v>
      </c>
      <c r="E582" s="1364">
        <f>+IF(ISBLANK(REPORTS!F485),"",REPORTS!F485)</f>
        <v>22181.809150527879</v>
      </c>
      <c r="F582" s="1364">
        <f>+IF(ISBLANK(REPORTS!G485),"",REPORTS!G485)</f>
        <v>0</v>
      </c>
      <c r="G582" s="1364">
        <f>+IF(ISBLANK(REPORTS!H485),"",REPORTS!H485)</f>
        <v>22181.809150527879</v>
      </c>
      <c r="H582" s="1374">
        <f>+IF(ISBLANK(REPORTS!I485),"",REPORTS!I485)</f>
        <v>1</v>
      </c>
    </row>
    <row r="583" spans="1:8">
      <c r="A583" s="1751"/>
      <c r="B583" s="1439">
        <v>100</v>
      </c>
      <c r="C583" s="1364" t="s">
        <v>5358</v>
      </c>
      <c r="D583" s="1364" t="s">
        <v>4067</v>
      </c>
      <c r="E583" s="1364">
        <f>+IF(ISBLANK(REPORTS!F486),"",REPORTS!F486)</f>
        <v>152.46288000000001</v>
      </c>
      <c r="F583" s="1364">
        <f>+IF(ISBLANK(REPORTS!G486),"",REPORTS!G486)</f>
        <v>0</v>
      </c>
      <c r="G583" s="1364">
        <f>+IF(ISBLANK(REPORTS!H486),"",REPORTS!H486)</f>
        <v>152.46288000000001</v>
      </c>
      <c r="H583" s="1374">
        <f>+IF(ISBLANK(REPORTS!I486),"",REPORTS!I486)</f>
        <v>1</v>
      </c>
    </row>
    <row r="584" spans="1:8">
      <c r="A584" s="1751">
        <v>101</v>
      </c>
      <c r="B584" s="1439">
        <v>101</v>
      </c>
      <c r="C584" s="1364" t="s">
        <v>5265</v>
      </c>
      <c r="D584" s="1364" t="s">
        <v>2067</v>
      </c>
      <c r="E584" s="1364">
        <f>+IF(ISBLANK(REPORTS!F487),"",REPORTS!F487)</f>
        <v>5896.3829723099661</v>
      </c>
      <c r="F584" s="1364">
        <f>+IF(ISBLANK(REPORTS!G487),"",REPORTS!G487)</f>
        <v>0</v>
      </c>
      <c r="G584" s="1364">
        <f>+IF(ISBLANK(REPORTS!H487),"",REPORTS!H487)</f>
        <v>5896.3829723099661</v>
      </c>
      <c r="H584" s="1374">
        <f>+IF(ISBLANK(REPORTS!I487),"",REPORTS!I487)</f>
        <v>1</v>
      </c>
    </row>
    <row r="585" spans="1:8">
      <c r="A585" s="1751">
        <v>101</v>
      </c>
      <c r="B585" s="1439">
        <v>102</v>
      </c>
      <c r="C585" s="1364" t="s">
        <v>5268</v>
      </c>
      <c r="D585" s="1364" t="s">
        <v>4067</v>
      </c>
      <c r="E585" s="1364">
        <f>+IF(ISBLANK(REPORTS!F488),"",REPORTS!F488)</f>
        <v>946.39130178123651</v>
      </c>
      <c r="F585" s="1364">
        <f>+IF(ISBLANK(REPORTS!G488),"",REPORTS!G488)</f>
        <v>61.313716957653781</v>
      </c>
      <c r="G585" s="1364">
        <f>+IF(ISBLANK(REPORTS!H488),"",REPORTS!H488)</f>
        <v>885.0775848235827</v>
      </c>
      <c r="H585" s="1374">
        <f>+IF(ISBLANK(REPORTS!I488),"",REPORTS!I488)</f>
        <v>0.93521314403222733</v>
      </c>
    </row>
    <row r="586" spans="1:8">
      <c r="A586" s="1751">
        <v>201</v>
      </c>
      <c r="B586" s="1439">
        <v>103</v>
      </c>
      <c r="C586" s="1364" t="s">
        <v>5239</v>
      </c>
      <c r="D586" s="1364" t="s">
        <v>4067</v>
      </c>
      <c r="E586" s="1364">
        <f>+IF(ISBLANK(REPORTS!F489),"",REPORTS!F489)</f>
        <v>2660.8104217250198</v>
      </c>
      <c r="F586" s="1364">
        <f>+IF(ISBLANK(REPORTS!G489),"",REPORTS!G489)</f>
        <v>172.38554154984712</v>
      </c>
      <c r="G586" s="1364">
        <f>+IF(ISBLANK(REPORTS!H489),"",REPORTS!H489)</f>
        <v>2488.4248801751723</v>
      </c>
      <c r="H586" s="1374">
        <f>+IF(ISBLANK(REPORTS!I489),"",REPORTS!I489)</f>
        <v>0.93521314403222733</v>
      </c>
    </row>
    <row r="587" spans="1:8">
      <c r="A587" s="1751">
        <v>117</v>
      </c>
      <c r="B587" s="1439">
        <v>104</v>
      </c>
      <c r="C587" s="1364" t="s">
        <v>5240</v>
      </c>
      <c r="D587" s="1364" t="s">
        <v>4067</v>
      </c>
      <c r="E587" s="1364">
        <f>+IF(ISBLANK(REPORTS!F490),"",REPORTS!F490)</f>
        <v>13067.149147277894</v>
      </c>
      <c r="F587" s="1364">
        <f>+IF(ISBLANK(REPORTS!G490),"",REPORTS!G490)</f>
        <v>0</v>
      </c>
      <c r="G587" s="1364">
        <f>+IF(ISBLANK(REPORTS!H490),"",REPORTS!H490)</f>
        <v>13067.149147277894</v>
      </c>
      <c r="H587" s="1374">
        <f>+IF(ISBLANK(REPORTS!I490),"",REPORTS!I490)</f>
        <v>1</v>
      </c>
    </row>
    <row r="588" spans="1:8">
      <c r="A588" s="1751">
        <v>117</v>
      </c>
      <c r="B588" s="1439">
        <v>105</v>
      </c>
      <c r="C588" s="1364" t="s">
        <v>5241</v>
      </c>
      <c r="D588" s="1364" t="s">
        <v>4067</v>
      </c>
      <c r="E588" s="1364">
        <f>+IF(ISBLANK(REPORTS!F491),"",REPORTS!F491)</f>
        <v>2254.1795338544694</v>
      </c>
      <c r="F588" s="1364">
        <f>+IF(ISBLANK(REPORTS!G491),"",REPORTS!G491)</f>
        <v>0</v>
      </c>
      <c r="G588" s="1364">
        <f>+IF(ISBLANK(REPORTS!H491),"",REPORTS!H491)</f>
        <v>2254.1795338544694</v>
      </c>
      <c r="H588" s="1374">
        <f>+IF(ISBLANK(REPORTS!I491),"",REPORTS!I491)</f>
        <v>1</v>
      </c>
    </row>
    <row r="589" spans="1:8">
      <c r="A589" s="1751">
        <v>105</v>
      </c>
      <c r="B589" s="1439">
        <v>106</v>
      </c>
      <c r="C589" s="1364" t="s">
        <v>5242</v>
      </c>
      <c r="D589" s="1364" t="s">
        <v>4071</v>
      </c>
      <c r="E589" s="1364">
        <f>+IF(ISBLANK(REPORTS!F492),"",REPORTS!F492)</f>
        <v>8376.1851629022913</v>
      </c>
      <c r="F589" s="1364">
        <f>+IF(ISBLANK(REPORTS!G492),"",REPORTS!G492)</f>
        <v>0</v>
      </c>
      <c r="G589" s="1364">
        <f>+IF(ISBLANK(REPORTS!H492),"",REPORTS!H492)</f>
        <v>8376.1851629022913</v>
      </c>
      <c r="H589" s="1374">
        <f>+IF(ISBLANK(REPORTS!I492),"",REPORTS!I492)</f>
        <v>1</v>
      </c>
    </row>
    <row r="590" spans="1:8">
      <c r="A590" s="1751">
        <v>106</v>
      </c>
      <c r="B590" s="1439">
        <v>107</v>
      </c>
      <c r="C590" s="1364" t="s">
        <v>5244</v>
      </c>
      <c r="D590" s="1364" t="s">
        <v>4071</v>
      </c>
      <c r="E590" s="1364">
        <f>+IF(ISBLANK(REPORTS!F493),"",REPORTS!F493)</f>
        <v>11345.738459621245</v>
      </c>
      <c r="F590" s="1366">
        <f>+IF(ISBLANK(REPORTS!G493),"",REPORTS!G493)</f>
        <v>0</v>
      </c>
      <c r="G590" s="1366">
        <f>+IF(ISBLANK(REPORTS!H493),"",REPORTS!H493)</f>
        <v>11345.738459621245</v>
      </c>
      <c r="H590" s="1374">
        <f>+IF(ISBLANK(REPORTS!I493),"",REPORTS!I493)</f>
        <v>1</v>
      </c>
    </row>
    <row r="591" spans="1:8">
      <c r="A591" s="1751">
        <v>907</v>
      </c>
      <c r="B591" s="1439">
        <v>108</v>
      </c>
      <c r="C591" s="1364"/>
      <c r="D591" s="1364"/>
      <c r="E591" s="1375" t="str">
        <f>+IF(ISBLANK(REPORTS!F494),"",REPORTS!F494)</f>
        <v/>
      </c>
      <c r="F591" s="1364" t="str">
        <f>+IF(ISBLANK(REPORTS!G494),"",REPORTS!G494)</f>
        <v/>
      </c>
      <c r="G591" s="1364" t="str">
        <f>+IF(ISBLANK(REPORTS!H494),"",REPORTS!H494)</f>
        <v/>
      </c>
      <c r="H591" s="1440" t="str">
        <f>+IF(ISBLANK(REPORTS!I494),"",REPORTS!I494)</f>
        <v/>
      </c>
    </row>
    <row r="592" spans="1:8">
      <c r="A592" s="1751">
        <v>412</v>
      </c>
      <c r="B592" s="1439">
        <v>109</v>
      </c>
      <c r="C592" s="1364" t="s">
        <v>5442</v>
      </c>
      <c r="D592" s="1364"/>
      <c r="E592" s="1366">
        <f>+IF(ISBLANK(REPORTS!F495),"",REPORTS!F495)</f>
        <v>66881.109030000007</v>
      </c>
      <c r="F592" s="1366">
        <f>+IF(ISBLANK(REPORTS!G495),"",REPORTS!G495)</f>
        <v>233.6992585075009</v>
      </c>
      <c r="G592" s="1366">
        <f>+IF(ISBLANK(REPORTS!H495),"",REPORTS!H495)</f>
        <v>66647.409771492501</v>
      </c>
      <c r="H592" s="1374">
        <f>+IF(ISBLANK(REPORTS!I495),"",REPORTS!I495)</f>
        <v>0.99650575084808057</v>
      </c>
    </row>
    <row r="593" spans="1:8">
      <c r="A593" s="1751"/>
      <c r="B593" s="1439">
        <v>110</v>
      </c>
      <c r="C593" s="1364"/>
      <c r="D593" s="1364"/>
      <c r="E593" s="1364" t="str">
        <f>+IF(ISBLANK(REPORTS!F496),"",REPORTS!F496)</f>
        <v/>
      </c>
      <c r="F593" s="1364" t="str">
        <f>+IF(ISBLANK(REPORTS!G496),"",REPORTS!G496)</f>
        <v/>
      </c>
      <c r="G593" s="1364" t="str">
        <f>+IF(ISBLANK(REPORTS!H496),"",REPORTS!H496)</f>
        <v/>
      </c>
      <c r="H593" s="1440" t="str">
        <f>+IF(ISBLANK(REPORTS!I496),"",REPORTS!I496)</f>
        <v/>
      </c>
    </row>
    <row r="594" spans="1:8">
      <c r="A594" s="1751"/>
      <c r="B594" s="1439">
        <v>111</v>
      </c>
      <c r="C594" s="1362" t="s">
        <v>5444</v>
      </c>
      <c r="D594" s="1364"/>
      <c r="E594" s="1364" t="str">
        <f>+IF(ISBLANK(REPORTS!F497),"",REPORTS!F497)</f>
        <v/>
      </c>
      <c r="F594" s="1364" t="str">
        <f>+IF(ISBLANK(REPORTS!G497),"",REPORTS!G497)</f>
        <v/>
      </c>
      <c r="G594" s="1364" t="str">
        <f>+IF(ISBLANK(REPORTS!H497),"",REPORTS!H497)</f>
        <v/>
      </c>
      <c r="H594" s="1440" t="str">
        <f>+IF(ISBLANK(REPORTS!I497),"",REPORTS!I497)</f>
        <v/>
      </c>
    </row>
    <row r="595" spans="1:8">
      <c r="A595" s="1751"/>
      <c r="B595" s="1439">
        <v>112</v>
      </c>
      <c r="C595" s="1364" t="s">
        <v>5265</v>
      </c>
      <c r="D595" s="1364" t="s">
        <v>4067</v>
      </c>
      <c r="E595" s="1364">
        <f>+IF(ISBLANK(REPORTS!F498),"",REPORTS!F498)</f>
        <v>290551.79552865884</v>
      </c>
      <c r="F595" s="1364">
        <f>+IF(ISBLANK(REPORTS!G498),"",REPORTS!G498)</f>
        <v>0</v>
      </c>
      <c r="G595" s="1364">
        <f>+IF(ISBLANK(REPORTS!H498),"",REPORTS!H498)</f>
        <v>290551.79552865884</v>
      </c>
      <c r="H595" s="1374">
        <f>+IF(ISBLANK(REPORTS!I498),"",REPORTS!I498)</f>
        <v>1</v>
      </c>
    </row>
    <row r="596" spans="1:8">
      <c r="A596" s="1751"/>
      <c r="B596" s="1439">
        <v>113</v>
      </c>
      <c r="C596" s="1364" t="s">
        <v>5265</v>
      </c>
      <c r="D596" s="1364" t="s">
        <v>2067</v>
      </c>
      <c r="E596" s="1364">
        <f>+IF(ISBLANK(REPORTS!F499),"",REPORTS!F499)</f>
        <v>30632.200099340615</v>
      </c>
      <c r="F596" s="1364">
        <f>+IF(ISBLANK(REPORTS!G499),"",REPORTS!G499)</f>
        <v>0</v>
      </c>
      <c r="G596" s="1364">
        <f>+IF(ISBLANK(REPORTS!H499),"",REPORTS!H499)</f>
        <v>30632.200099340615</v>
      </c>
      <c r="H596" s="1374">
        <f>+IF(ISBLANK(REPORTS!I499),"",REPORTS!I499)</f>
        <v>1</v>
      </c>
    </row>
    <row r="597" spans="1:8">
      <c r="A597" s="1751"/>
      <c r="B597" s="1439">
        <v>114</v>
      </c>
      <c r="C597" s="1364" t="s">
        <v>5268</v>
      </c>
      <c r="D597" s="1364" t="s">
        <v>4067</v>
      </c>
      <c r="E597" s="1364">
        <f>+IF(ISBLANK(REPORTS!F500),"",REPORTS!F500)</f>
        <v>15709.633517949591</v>
      </c>
      <c r="F597" s="1364">
        <f>+IF(ISBLANK(REPORTS!G500),"",REPORTS!G500)</f>
        <v>1362.9081027596433</v>
      </c>
      <c r="G597" s="1364">
        <f>+IF(ISBLANK(REPORTS!H500),"",REPORTS!H500)</f>
        <v>14346.725415189947</v>
      </c>
      <c r="H597" s="1374">
        <f>+IF(ISBLANK(REPORTS!I500),"",REPORTS!I500)</f>
        <v>0.91324380029601548</v>
      </c>
    </row>
    <row r="598" spans="1:8">
      <c r="A598" s="1751"/>
      <c r="B598" s="1439">
        <v>115</v>
      </c>
      <c r="C598" s="1364" t="s">
        <v>5239</v>
      </c>
      <c r="D598" s="1364" t="s">
        <v>4067</v>
      </c>
      <c r="E598" s="1364">
        <f>+IF(ISBLANK(REPORTS!F501),"",REPORTS!F501)</f>
        <v>16596.304009286247</v>
      </c>
      <c r="F598" s="1364">
        <f>+IF(ISBLANK(REPORTS!G501),"",REPORTS!G501)</f>
        <v>1075.2223574469951</v>
      </c>
      <c r="G598" s="1364">
        <f>+IF(ISBLANK(REPORTS!H501),"",REPORTS!H501)</f>
        <v>15521.081651839251</v>
      </c>
      <c r="H598" s="1374">
        <f>+IF(ISBLANK(REPORTS!I501),"",REPORTS!I501)</f>
        <v>0.93521314403222733</v>
      </c>
    </row>
    <row r="599" spans="1:8">
      <c r="A599" s="1751"/>
      <c r="B599" s="1439">
        <v>116</v>
      </c>
      <c r="C599" s="1364" t="s">
        <v>5240</v>
      </c>
      <c r="D599" s="1364" t="s">
        <v>4067</v>
      </c>
      <c r="E599" s="1364">
        <f>+IF(ISBLANK(REPORTS!F502),"",REPORTS!F502)</f>
        <v>76341.163093584852</v>
      </c>
      <c r="F599" s="1364">
        <f>+IF(ISBLANK(REPORTS!G502),"",REPORTS!G502)</f>
        <v>0</v>
      </c>
      <c r="G599" s="1364">
        <f>+IF(ISBLANK(REPORTS!H502),"",REPORTS!H502)</f>
        <v>76341.163093584852</v>
      </c>
      <c r="H599" s="1374">
        <f>+IF(ISBLANK(REPORTS!I502),"",REPORTS!I502)</f>
        <v>1</v>
      </c>
    </row>
    <row r="600" spans="1:8">
      <c r="A600" s="1751"/>
      <c r="B600" s="1439">
        <v>117</v>
      </c>
      <c r="C600" s="1364" t="s">
        <v>5241</v>
      </c>
      <c r="D600" s="1364" t="s">
        <v>4067</v>
      </c>
      <c r="E600" s="1364">
        <f>+IF(ISBLANK(REPORTS!F503),"",REPORTS!F503)</f>
        <v>43854.637077825559</v>
      </c>
      <c r="F600" s="1364">
        <f>+IF(ISBLANK(REPORTS!G503),"",REPORTS!G503)</f>
        <v>0</v>
      </c>
      <c r="G600" s="1364">
        <f>+IF(ISBLANK(REPORTS!H503),"",REPORTS!H503)</f>
        <v>43854.637077825559</v>
      </c>
      <c r="H600" s="1374">
        <f>+IF(ISBLANK(REPORTS!I503),"",REPORTS!I503)</f>
        <v>1</v>
      </c>
    </row>
    <row r="601" spans="1:8">
      <c r="A601" s="1751"/>
      <c r="B601" s="1439">
        <v>118</v>
      </c>
      <c r="C601" s="1364" t="s">
        <v>5242</v>
      </c>
      <c r="D601" s="1364" t="s">
        <v>4071</v>
      </c>
      <c r="E601" s="1364">
        <f>+IF(ISBLANK(REPORTS!F504),"",REPORTS!F504)</f>
        <v>47757.415831805716</v>
      </c>
      <c r="F601" s="1364">
        <f>+IF(ISBLANK(REPORTS!G504),"",REPORTS!G504)</f>
        <v>0</v>
      </c>
      <c r="G601" s="1364">
        <f>+IF(ISBLANK(REPORTS!H504),"",REPORTS!H504)</f>
        <v>47757.415831805716</v>
      </c>
      <c r="H601" s="1374">
        <f>+IF(ISBLANK(REPORTS!I504),"",REPORTS!I504)</f>
        <v>1</v>
      </c>
    </row>
    <row r="602" spans="1:8">
      <c r="A602" s="1751"/>
      <c r="B602" s="1439">
        <v>119</v>
      </c>
      <c r="C602" s="1364" t="s">
        <v>5244</v>
      </c>
      <c r="D602" s="1364" t="s">
        <v>4071</v>
      </c>
      <c r="E602" s="1366">
        <f>+IF(ISBLANK(REPORTS!F505),"",REPORTS!F505)</f>
        <v>12431.05871528412</v>
      </c>
      <c r="F602" s="1366">
        <f>+IF(ISBLANK(REPORTS!G505),"",REPORTS!G505)</f>
        <v>0</v>
      </c>
      <c r="G602" s="1366">
        <f>+IF(ISBLANK(REPORTS!H505),"",REPORTS!H505)</f>
        <v>12431.05871528412</v>
      </c>
      <c r="H602" s="1374">
        <f>+IF(ISBLANK(REPORTS!I505),"",REPORTS!I505)</f>
        <v>1</v>
      </c>
    </row>
    <row r="603" spans="1:8">
      <c r="A603" s="1751"/>
      <c r="B603" s="1439">
        <v>120</v>
      </c>
      <c r="C603" s="1364"/>
      <c r="D603" s="1364"/>
      <c r="E603" s="1364" t="str">
        <f>+IF(ISBLANK(REPORTS!F506),"",REPORTS!F506)</f>
        <v/>
      </c>
      <c r="F603" s="1364" t="str">
        <f>+IF(ISBLANK(REPORTS!G506),"",REPORTS!G506)</f>
        <v/>
      </c>
      <c r="G603" s="1364" t="str">
        <f>+IF(ISBLANK(REPORTS!H506),"",REPORTS!H506)</f>
        <v/>
      </c>
      <c r="H603" s="1440" t="str">
        <f>+IF(ISBLANK(REPORTS!I506),"",REPORTS!I506)</f>
        <v/>
      </c>
    </row>
    <row r="604" spans="1:8" ht="15" thickBot="1">
      <c r="A604" s="1751"/>
      <c r="B604" s="1439">
        <v>121</v>
      </c>
      <c r="C604" s="1324" t="s">
        <v>5453</v>
      </c>
      <c r="D604" s="1364"/>
      <c r="E604" s="1380">
        <f>+IF(ISBLANK(REPORTS!F507),"",REPORTS!F507)</f>
        <v>533874.20787373558</v>
      </c>
      <c r="F604" s="1380">
        <f>+IF(ISBLANK(REPORTS!G507),"",REPORTS!G507)</f>
        <v>2438.1304602066384</v>
      </c>
      <c r="G604" s="1380">
        <f>+IF(ISBLANK(REPORTS!H507),"",REPORTS!H507)</f>
        <v>531436.07741352892</v>
      </c>
      <c r="H604" s="1374">
        <f>+IF(ISBLANK(REPORTS!I507),"",REPORTS!I507)</f>
        <v>0.99543313682465195</v>
      </c>
    </row>
    <row r="605" spans="1:8" ht="15" thickTop="1">
      <c r="A605" s="1751"/>
    </row>
    <row r="606" spans="1:8">
      <c r="A606" s="1751"/>
      <c r="B606" s="1416" t="str">
        <f>+$B$1</f>
        <v>RATES WITH REVENUE DEFICIENCY ADDITION</v>
      </c>
      <c r="C606" s="1324"/>
      <c r="D606" s="1324"/>
      <c r="E606" s="1336"/>
      <c r="F606" s="1329" t="s">
        <v>2173</v>
      </c>
      <c r="G606" s="1324"/>
      <c r="H606" s="1334" t="s">
        <v>5478</v>
      </c>
    </row>
    <row r="607" spans="1:8">
      <c r="A607" s="1751"/>
      <c r="B607" s="1416" t="str">
        <f>+$B$2</f>
        <v xml:space="preserve">PROD. CAP. ALLOC. METHOD: 12 CP </v>
      </c>
      <c r="C607" s="1364"/>
      <c r="D607" s="1324"/>
      <c r="E607" s="1324"/>
      <c r="F607" s="1336" t="s">
        <v>4768</v>
      </c>
      <c r="G607" s="1324"/>
      <c r="H607" s="1731" t="s">
        <v>5434</v>
      </c>
    </row>
    <row r="608" spans="1:8">
      <c r="A608" s="1751"/>
      <c r="B608" s="1416" t="str">
        <f>+$B$3</f>
        <v>PROJECTED CALENDAR YEAR 2025; FULLY ADJUSTED DATA</v>
      </c>
      <c r="C608" s="1324"/>
      <c r="D608" s="1324"/>
      <c r="E608" s="1324"/>
      <c r="F608" s="1336" t="s">
        <v>2181</v>
      </c>
      <c r="G608" s="1324"/>
      <c r="H608" s="1374"/>
    </row>
    <row r="609" spans="1:8">
      <c r="A609" s="1760"/>
      <c r="B609" s="1732">
        <f>+$B$4</f>
        <v>0</v>
      </c>
      <c r="C609" s="1324"/>
      <c r="D609" s="1324"/>
      <c r="E609" s="1324"/>
      <c r="F609" s="1324"/>
      <c r="G609" s="1324"/>
      <c r="H609" s="1374"/>
    </row>
    <row r="610" spans="1:8">
      <c r="A610" s="1760"/>
      <c r="B610" s="1732" t="str">
        <f>+$B$5</f>
        <v>Tampa Electric 2025 OB Budget</v>
      </c>
      <c r="C610" s="1324"/>
      <c r="D610" s="1324"/>
      <c r="E610" s="1329"/>
      <c r="F610" s="1336" t="s">
        <v>5456</v>
      </c>
      <c r="G610" s="1324"/>
      <c r="H610" s="1374"/>
    </row>
    <row r="611" spans="1:8">
      <c r="A611" s="1752"/>
      <c r="B611" s="1393"/>
      <c r="C611" s="1324"/>
      <c r="D611" s="1324"/>
      <c r="E611" s="1336"/>
      <c r="F611" s="1324"/>
      <c r="G611" s="1324"/>
      <c r="H611" s="1374"/>
    </row>
    <row r="612" spans="1:8">
      <c r="A612" s="1752"/>
      <c r="B612" s="1393"/>
      <c r="C612" s="1324"/>
      <c r="D612" s="1324"/>
      <c r="E612" s="1336"/>
      <c r="F612" s="1324"/>
      <c r="G612" s="1324"/>
      <c r="H612" s="1374"/>
    </row>
    <row r="613" spans="1:8">
      <c r="A613" s="1752"/>
      <c r="B613" s="1393"/>
      <c r="C613" s="1324"/>
      <c r="D613" s="1324"/>
      <c r="E613" s="1324"/>
      <c r="F613" s="1324"/>
      <c r="G613" s="1324"/>
      <c r="H613" s="1374"/>
    </row>
    <row r="614" spans="1:8">
      <c r="A614" s="1752"/>
      <c r="B614" s="1393"/>
      <c r="C614" s="1324"/>
      <c r="D614" s="1324"/>
      <c r="E614" s="1324"/>
      <c r="F614" s="1324"/>
      <c r="G614" s="1324"/>
      <c r="H614" s="1374"/>
    </row>
    <row r="615" spans="1:8" ht="28.2">
      <c r="A615" s="1752"/>
      <c r="B615" s="1737" t="s">
        <v>4297</v>
      </c>
      <c r="C615" s="1741"/>
      <c r="D615" s="1741"/>
      <c r="E615" s="1352" t="s">
        <v>5144</v>
      </c>
      <c r="F615" s="1352" t="s">
        <v>4956</v>
      </c>
      <c r="G615" s="1352" t="s">
        <v>4957</v>
      </c>
      <c r="H615" s="1742" t="s">
        <v>5145</v>
      </c>
    </row>
    <row r="616" spans="1:8">
      <c r="A616" s="1751"/>
      <c r="B616" s="1393"/>
      <c r="C616" s="1324"/>
      <c r="D616" s="1324"/>
      <c r="E616" s="1324"/>
      <c r="F616" s="1324"/>
      <c r="G616" s="1324"/>
      <c r="H616" s="1374"/>
    </row>
    <row r="617" spans="1:8">
      <c r="A617" s="1751"/>
      <c r="B617" s="1393">
        <v>1</v>
      </c>
      <c r="C617" s="1362" t="s">
        <v>5457</v>
      </c>
      <c r="D617" s="1324"/>
      <c r="E617" s="1324"/>
      <c r="F617" s="1324"/>
      <c r="G617" s="1324"/>
      <c r="H617" s="1374"/>
    </row>
    <row r="618" spans="1:8" ht="28.2">
      <c r="A618" s="1753" t="s">
        <v>5143</v>
      </c>
      <c r="B618" s="1393">
        <v>2</v>
      </c>
      <c r="C618" s="1324" t="s">
        <v>5265</v>
      </c>
      <c r="D618" s="1324" t="s">
        <v>4067</v>
      </c>
      <c r="E618" s="1324">
        <f>+IF(ISBLANK(REPORTS!F525),"",REPORTS!F525)</f>
        <v>5463.9974238223331</v>
      </c>
      <c r="F618" s="1364">
        <f>+IF(ISBLANK(REPORTS!G525),"",REPORTS!G525)</f>
        <v>0</v>
      </c>
      <c r="G618" s="1364">
        <f>+IF(ISBLANK(REPORTS!H525),"",REPORTS!H525)</f>
        <v>5463.9974238223331</v>
      </c>
      <c r="H618" s="1374">
        <f>+IF(ISBLANK(REPORTS!I525),"",REPORTS!I525)</f>
        <v>1</v>
      </c>
    </row>
    <row r="619" spans="1:8">
      <c r="A619" s="1751"/>
      <c r="B619" s="1393">
        <v>3</v>
      </c>
      <c r="C619" s="1324" t="s">
        <v>5458</v>
      </c>
      <c r="D619" s="1324" t="s">
        <v>4067</v>
      </c>
      <c r="E619" s="1324">
        <f>+IF(ISBLANK(REPORTS!F526),"",REPORTS!F526)</f>
        <v>0</v>
      </c>
      <c r="F619" s="1364">
        <f>+IF(ISBLANK(REPORTS!G526),"",REPORTS!G526)</f>
        <v>0</v>
      </c>
      <c r="G619" s="1364">
        <f>+IF(ISBLANK(REPORTS!H526),"",REPORTS!H526)</f>
        <v>0</v>
      </c>
      <c r="H619" s="1374">
        <f>+IF(ISBLANK(REPORTS!I526),"",REPORTS!I526)</f>
        <v>0</v>
      </c>
    </row>
    <row r="620" spans="1:8">
      <c r="A620" s="1752"/>
      <c r="B620" s="1393">
        <v>4</v>
      </c>
      <c r="C620" s="1324" t="s">
        <v>5265</v>
      </c>
      <c r="D620" s="1324" t="s">
        <v>2067</v>
      </c>
      <c r="E620" s="1324">
        <f>+IF(ISBLANK(REPORTS!F527),"",REPORTS!F527)</f>
        <v>1442.5283853681995</v>
      </c>
      <c r="F620" s="1364">
        <f>+IF(ISBLANK(REPORTS!G527),"",REPORTS!G527)</f>
        <v>0</v>
      </c>
      <c r="G620" s="1364">
        <f>+IF(ISBLANK(REPORTS!H527),"",REPORTS!H527)</f>
        <v>1442.5283853681995</v>
      </c>
      <c r="H620" s="1374">
        <f>+IF(ISBLANK(REPORTS!I527),"",REPORTS!I527)</f>
        <v>1</v>
      </c>
    </row>
    <row r="621" spans="1:8">
      <c r="A621" s="1751">
        <v>101</v>
      </c>
      <c r="B621" s="1393">
        <v>5</v>
      </c>
      <c r="C621" s="1324" t="s">
        <v>5268</v>
      </c>
      <c r="D621" s="1324" t="s">
        <v>4067</v>
      </c>
      <c r="E621" s="1324">
        <f>+IF(ISBLANK(REPORTS!F528),"",REPORTS!F528)</f>
        <v>231.53114763679716</v>
      </c>
      <c r="F621" s="1364">
        <f>+IF(ISBLANK(REPORTS!G528),"",REPORTS!G528)</f>
        <v>15.000175113998271</v>
      </c>
      <c r="G621" s="1364">
        <f>+IF(ISBLANK(REPORTS!H528),"",REPORTS!H528)</f>
        <v>216.53097252279886</v>
      </c>
      <c r="H621" s="1374">
        <f>+IF(ISBLANK(REPORTS!I528),"",REPORTS!I528)</f>
        <v>0.93521314403222733</v>
      </c>
    </row>
    <row r="622" spans="1:8">
      <c r="A622" s="1751">
        <v>101</v>
      </c>
      <c r="B622" s="1393">
        <v>6</v>
      </c>
      <c r="C622" s="1324" t="s">
        <v>5239</v>
      </c>
      <c r="D622" s="1324" t="s">
        <v>4067</v>
      </c>
      <c r="E622" s="1324">
        <f>+IF(ISBLANK(REPORTS!F529),"",REPORTS!F529)</f>
        <v>650.95747332676751</v>
      </c>
      <c r="F622" s="1364">
        <f>+IF(ISBLANK(REPORTS!G529),"",REPORTS!G529)</f>
        <v>42.17348806556646</v>
      </c>
      <c r="G622" s="1364">
        <f>+IF(ISBLANK(REPORTS!H529),"",REPORTS!H529)</f>
        <v>608.783985261201</v>
      </c>
      <c r="H622" s="1374">
        <f>+IF(ISBLANK(REPORTS!I529),"",REPORTS!I529)</f>
        <v>0.93521314403222733</v>
      </c>
    </row>
    <row r="623" spans="1:8">
      <c r="A623" s="1751">
        <v>201</v>
      </c>
      <c r="B623" s="1393">
        <v>7</v>
      </c>
      <c r="C623" s="1324" t="s">
        <v>5240</v>
      </c>
      <c r="D623" s="1324" t="s">
        <v>4067</v>
      </c>
      <c r="E623" s="1324">
        <f>+IF(ISBLANK(REPORTS!F530),"",REPORTS!F530)</f>
        <v>3196.8299293496639</v>
      </c>
      <c r="F623" s="1364">
        <f>+IF(ISBLANK(REPORTS!G530),"",REPORTS!G530)</f>
        <v>0</v>
      </c>
      <c r="G623" s="1364">
        <f>+IF(ISBLANK(REPORTS!H530),"",REPORTS!H530)</f>
        <v>3196.8299293496639</v>
      </c>
      <c r="H623" s="1374">
        <f>+IF(ISBLANK(REPORTS!I530),"",REPORTS!I530)</f>
        <v>1</v>
      </c>
    </row>
    <row r="624" spans="1:8">
      <c r="A624" s="1751">
        <v>117</v>
      </c>
      <c r="B624" s="1393">
        <v>8</v>
      </c>
      <c r="C624" s="1324" t="s">
        <v>5241</v>
      </c>
      <c r="D624" s="1324" t="s">
        <v>4067</v>
      </c>
      <c r="E624" s="1324">
        <f>+IF(ISBLANK(REPORTS!F531),"",REPORTS!F531)</f>
        <v>551.47672370867667</v>
      </c>
      <c r="F624" s="1364">
        <f>+IF(ISBLANK(REPORTS!G531),"",REPORTS!G531)</f>
        <v>0</v>
      </c>
      <c r="G624" s="1364">
        <f>+IF(ISBLANK(REPORTS!H531),"",REPORTS!H531)</f>
        <v>551.47672370867667</v>
      </c>
      <c r="H624" s="1374">
        <f>+IF(ISBLANK(REPORTS!I531),"",REPORTS!I531)</f>
        <v>1</v>
      </c>
    </row>
    <row r="625" spans="1:8">
      <c r="A625" s="1751">
        <v>117</v>
      </c>
      <c r="B625" s="1393">
        <v>9</v>
      </c>
      <c r="C625" s="1324" t="s">
        <v>5242</v>
      </c>
      <c r="D625" s="1324" t="s">
        <v>4071</v>
      </c>
      <c r="E625" s="1324">
        <f>+IF(ISBLANK(REPORTS!F532),"",REPORTS!F532)</f>
        <v>2049.2028613692514</v>
      </c>
      <c r="F625" s="1364">
        <f>+IF(ISBLANK(REPORTS!G532),"",REPORTS!G532)</f>
        <v>0</v>
      </c>
      <c r="G625" s="1364">
        <f>+IF(ISBLANK(REPORTS!H532),"",REPORTS!H532)</f>
        <v>2049.2028613692514</v>
      </c>
      <c r="H625" s="1374">
        <f>+IF(ISBLANK(REPORTS!I532),"",REPORTS!I532)</f>
        <v>1</v>
      </c>
    </row>
    <row r="626" spans="1:8">
      <c r="A626" s="1751">
        <v>105</v>
      </c>
      <c r="B626" s="1393">
        <v>10</v>
      </c>
      <c r="C626" s="1324" t="s">
        <v>5244</v>
      </c>
      <c r="D626" s="1324" t="s">
        <v>4071</v>
      </c>
      <c r="E626" s="1324">
        <f>+IF(ISBLANK(REPORTS!F533),"",REPORTS!F533)</f>
        <v>2775.6931423597071</v>
      </c>
      <c r="F626" s="1364">
        <f>+IF(ISBLANK(REPORTS!G533),"",REPORTS!G533)</f>
        <v>0</v>
      </c>
      <c r="G626" s="1364">
        <f>+IF(ISBLANK(REPORTS!H533),"",REPORTS!H533)</f>
        <v>2775.6931423597071</v>
      </c>
      <c r="H626" s="1374">
        <f>+IF(ISBLANK(REPORTS!I533),"",REPORTS!I533)</f>
        <v>1</v>
      </c>
    </row>
    <row r="627" spans="1:8">
      <c r="A627" s="1751">
        <v>106</v>
      </c>
      <c r="B627" s="1393">
        <v>11</v>
      </c>
      <c r="C627" s="1324" t="s">
        <v>5459</v>
      </c>
      <c r="D627" s="1324"/>
      <c r="E627" s="1421">
        <f>+IF(ISBLANK(REPORTS!F534),"",REPORTS!F534)</f>
        <v>16362.217086941395</v>
      </c>
      <c r="F627" s="1421">
        <f>+IF(ISBLANK(REPORTS!G534),"",REPORTS!G534)</f>
        <v>57.173663179564727</v>
      </c>
      <c r="G627" s="1421">
        <f>+IF(ISBLANK(REPORTS!H534),"",REPORTS!H534)</f>
        <v>16305.04342376183</v>
      </c>
      <c r="H627" s="1374">
        <f>+IF(ISBLANK(REPORTS!I534),"",REPORTS!I534)</f>
        <v>0.99650575084808068</v>
      </c>
    </row>
    <row r="628" spans="1:8">
      <c r="A628" s="1751">
        <v>907</v>
      </c>
      <c r="B628" s="1393">
        <v>12</v>
      </c>
      <c r="C628" s="1324"/>
      <c r="D628" s="1324"/>
      <c r="E628" s="1324" t="str">
        <f>+IF(ISBLANK(REPORTS!F535),"",REPORTS!F535)</f>
        <v/>
      </c>
      <c r="F628" s="1324" t="str">
        <f>+IF(ISBLANK(REPORTS!G535),"",REPORTS!G535)</f>
        <v/>
      </c>
      <c r="G628" s="1324" t="str">
        <f>+IF(ISBLANK(REPORTS!H535),"",REPORTS!H535)</f>
        <v/>
      </c>
      <c r="H628" s="1374" t="str">
        <f>+IF(ISBLANK(REPORTS!I535),"",REPORTS!I535)</f>
        <v/>
      </c>
    </row>
    <row r="629" spans="1:8">
      <c r="A629" s="1751">
        <v>412</v>
      </c>
      <c r="B629" s="1393">
        <v>13</v>
      </c>
      <c r="C629" s="1362" t="s">
        <v>5461</v>
      </c>
      <c r="D629" s="1324"/>
      <c r="E629" s="1324" t="str">
        <f>+IF(ISBLANK(REPORTS!F536),"",REPORTS!F536)</f>
        <v/>
      </c>
      <c r="F629" s="1324" t="str">
        <f>+IF(ISBLANK(REPORTS!G536),"",REPORTS!G536)</f>
        <v/>
      </c>
      <c r="G629" s="1324" t="str">
        <f>+IF(ISBLANK(REPORTS!H536),"",REPORTS!H536)</f>
        <v/>
      </c>
      <c r="H629" s="1374" t="str">
        <f>+IF(ISBLANK(REPORTS!I536),"",REPORTS!I536)</f>
        <v/>
      </c>
    </row>
    <row r="630" spans="1:8">
      <c r="A630" s="1752"/>
      <c r="B630" s="1393">
        <v>14</v>
      </c>
      <c r="C630" s="1324" t="s">
        <v>5265</v>
      </c>
      <c r="D630" s="1324" t="s">
        <v>4067</v>
      </c>
      <c r="E630" s="1364">
        <f>+IF(ISBLANK(REPORTS!F537),"",REPORTS!F537)</f>
        <v>45178.813847395977</v>
      </c>
      <c r="F630" s="1364">
        <f>+IF(ISBLANK(REPORTS!G537),"",REPORTS!G537)</f>
        <v>0</v>
      </c>
      <c r="G630" s="1364">
        <f>+IF(ISBLANK(REPORTS!H537),"",REPORTS!H537)</f>
        <v>45178.813847395977</v>
      </c>
      <c r="H630" s="1374">
        <f>+IF(ISBLANK(REPORTS!I537),"",REPORTS!I537)</f>
        <v>1</v>
      </c>
    </row>
    <row r="631" spans="1:8">
      <c r="A631" s="1752"/>
      <c r="B631" s="1393">
        <v>15</v>
      </c>
      <c r="C631" s="1324" t="s">
        <v>5265</v>
      </c>
      <c r="D631" s="1324" t="s">
        <v>2067</v>
      </c>
      <c r="E631" s="1364">
        <f>+IF(ISBLANK(REPORTS!F538),"",REPORTS!F538)</f>
        <v>4255.2539766352529</v>
      </c>
      <c r="F631" s="1364">
        <f>+IF(ISBLANK(REPORTS!G538),"",REPORTS!G538)</f>
        <v>0</v>
      </c>
      <c r="G631" s="1364">
        <f>+IF(ISBLANK(REPORTS!H538),"",REPORTS!H538)</f>
        <v>4255.2539766352529</v>
      </c>
      <c r="H631" s="1374">
        <f>+IF(ISBLANK(REPORTS!I538),"",REPORTS!I538)</f>
        <v>1</v>
      </c>
    </row>
    <row r="632" spans="1:8">
      <c r="A632" s="1751"/>
      <c r="B632" s="1393">
        <v>16</v>
      </c>
      <c r="C632" s="1324" t="s">
        <v>5268</v>
      </c>
      <c r="D632" s="1324" t="s">
        <v>4067</v>
      </c>
      <c r="E632" s="1364">
        <f>+IF(ISBLANK(REPORTS!F539),"",REPORTS!F539)</f>
        <v>3566.862819868461</v>
      </c>
      <c r="F632" s="1364">
        <f>+IF(ISBLANK(REPORTS!G539),"",REPORTS!G539)</f>
        <v>247.50794166441131</v>
      </c>
      <c r="G632" s="1364">
        <f>+IF(ISBLANK(REPORTS!H539),"",REPORTS!H539)</f>
        <v>3319.3490565130601</v>
      </c>
      <c r="H632" s="1374">
        <f>+IF(ISBLANK(REPORTS!I539),"",REPORTS!I539)</f>
        <v>0.93060743407997715</v>
      </c>
    </row>
    <row r="633" spans="1:8">
      <c r="A633" s="1751">
        <v>101</v>
      </c>
      <c r="B633" s="1393">
        <v>17</v>
      </c>
      <c r="C633" s="1324" t="s">
        <v>5239</v>
      </c>
      <c r="D633" s="1324" t="s">
        <v>4067</v>
      </c>
      <c r="E633" s="1364">
        <f>+IF(ISBLANK(REPORTS!F540),"",REPORTS!F540)</f>
        <v>3719.0599808262937</v>
      </c>
      <c r="F633" s="1364">
        <f>+IF(ISBLANK(REPORTS!G540),"",REPORTS!G540)</f>
        <v>258.0792312315964</v>
      </c>
      <c r="G633" s="1364">
        <f>+IF(ISBLANK(REPORTS!H540),"",REPORTS!H540)</f>
        <v>3460.9865712856863</v>
      </c>
      <c r="H633" s="1374">
        <f>+IF(ISBLANK(REPORTS!I540),"",REPORTS!I540)</f>
        <v>0.93060789262041721</v>
      </c>
    </row>
    <row r="634" spans="1:8">
      <c r="A634" s="1751">
        <v>201</v>
      </c>
      <c r="B634" s="1393">
        <v>18</v>
      </c>
      <c r="C634" s="1324" t="s">
        <v>5240</v>
      </c>
      <c r="D634" s="1324" t="s">
        <v>4067</v>
      </c>
      <c r="E634" s="1364">
        <f>+IF(ISBLANK(REPORTS!F541),"",REPORTS!F541)</f>
        <v>13501.612617971328</v>
      </c>
      <c r="F634" s="1364">
        <f>+IF(ISBLANK(REPORTS!G541),"",REPORTS!G541)</f>
        <v>0</v>
      </c>
      <c r="G634" s="1364">
        <f>+IF(ISBLANK(REPORTS!H541),"",REPORTS!H541)</f>
        <v>13501.612617971328</v>
      </c>
      <c r="H634" s="1374">
        <f>+IF(ISBLANK(REPORTS!I541),"",REPORTS!I541)</f>
        <v>1</v>
      </c>
    </row>
    <row r="635" spans="1:8">
      <c r="A635" s="1751">
        <v>117</v>
      </c>
      <c r="B635" s="1393">
        <v>19</v>
      </c>
      <c r="C635" s="1324" t="s">
        <v>5241</v>
      </c>
      <c r="D635" s="1324" t="s">
        <v>4067</v>
      </c>
      <c r="E635" s="1364">
        <f>+IF(ISBLANK(REPORTS!F542),"",REPORTS!F542)</f>
        <v>6720.3736446159619</v>
      </c>
      <c r="F635" s="1364">
        <f>+IF(ISBLANK(REPORTS!G542),"",REPORTS!G542)</f>
        <v>0</v>
      </c>
      <c r="G635" s="1364">
        <f>+IF(ISBLANK(REPORTS!H542),"",REPORTS!H542)</f>
        <v>6720.3736446159619</v>
      </c>
      <c r="H635" s="1374">
        <f>+IF(ISBLANK(REPORTS!I542),"",REPORTS!I542)</f>
        <v>1</v>
      </c>
    </row>
    <row r="636" spans="1:8">
      <c r="A636" s="1751">
        <v>117</v>
      </c>
      <c r="B636" s="1393">
        <v>20</v>
      </c>
      <c r="C636" s="1324" t="s">
        <v>5242</v>
      </c>
      <c r="D636" s="1324" t="s">
        <v>4071</v>
      </c>
      <c r="E636" s="1364">
        <f>+IF(ISBLANK(REPORTS!F543),"",REPORTS!F543)</f>
        <v>6321.6488663677383</v>
      </c>
      <c r="F636" s="1364">
        <f>+IF(ISBLANK(REPORTS!G543),"",REPORTS!G543)</f>
        <v>0</v>
      </c>
      <c r="G636" s="1364">
        <f>+IF(ISBLANK(REPORTS!H543),"",REPORTS!H543)</f>
        <v>6321.6488663677383</v>
      </c>
      <c r="H636" s="1374">
        <f>+IF(ISBLANK(REPORTS!I543),"",REPORTS!I543)</f>
        <v>1</v>
      </c>
    </row>
    <row r="637" spans="1:8">
      <c r="A637" s="1751">
        <v>105</v>
      </c>
      <c r="B637" s="1393">
        <v>21</v>
      </c>
      <c r="C637" s="1324" t="s">
        <v>5244</v>
      </c>
      <c r="D637" s="1324" t="s">
        <v>4071</v>
      </c>
      <c r="E637" s="1364">
        <f>+IF(ISBLANK(REPORTS!F544),"",REPORTS!F544)</f>
        <v>1532.8072463189651</v>
      </c>
      <c r="F637" s="1364">
        <f>+IF(ISBLANK(REPORTS!G544),"",REPORTS!G544)</f>
        <v>0</v>
      </c>
      <c r="G637" s="1364">
        <f>+IF(ISBLANK(REPORTS!H544),"",REPORTS!H544)</f>
        <v>1532.8072463189651</v>
      </c>
      <c r="H637" s="1374">
        <f>+IF(ISBLANK(REPORTS!I544),"",REPORTS!I544)</f>
        <v>1</v>
      </c>
    </row>
    <row r="638" spans="1:8">
      <c r="A638" s="1751">
        <v>106</v>
      </c>
      <c r="B638" s="1393">
        <v>22</v>
      </c>
      <c r="C638" s="1324" t="s">
        <v>5462</v>
      </c>
      <c r="D638" s="1324"/>
      <c r="E638" s="1421">
        <f>+IF(ISBLANK(REPORTS!F545),"",REPORTS!F545)</f>
        <v>84796.432999999975</v>
      </c>
      <c r="F638" s="1421">
        <f>+IF(ISBLANK(REPORTS!G545),"",REPORTS!G545)</f>
        <v>505.5871728960077</v>
      </c>
      <c r="G638" s="1421">
        <f>+IF(ISBLANK(REPORTS!H545),"",REPORTS!H545)</f>
        <v>84290.845827103971</v>
      </c>
      <c r="H638" s="1374">
        <f>+IF(ISBLANK(REPORTS!I545),"",REPORTS!I545)</f>
        <v>0.9940376363131217</v>
      </c>
    </row>
    <row r="639" spans="1:8">
      <c r="A639" s="1751">
        <v>907</v>
      </c>
      <c r="B639" s="1393">
        <v>23</v>
      </c>
      <c r="C639" s="1324"/>
      <c r="D639" s="1324"/>
      <c r="E639" s="1324" t="str">
        <f>+IF(ISBLANK(REPORTS!F546),"",REPORTS!F546)</f>
        <v/>
      </c>
      <c r="F639" s="1324" t="str">
        <f>+IF(ISBLANK(REPORTS!G546),"",REPORTS!G546)</f>
        <v/>
      </c>
      <c r="G639" s="1324" t="str">
        <f>+IF(ISBLANK(REPORTS!H546),"",REPORTS!H546)</f>
        <v/>
      </c>
      <c r="H639" s="1374" t="str">
        <f>+IF(ISBLANK(REPORTS!I546),"",REPORTS!I546)</f>
        <v/>
      </c>
    </row>
    <row r="640" spans="1:8">
      <c r="A640" s="1751">
        <v>412</v>
      </c>
      <c r="B640" s="1393">
        <v>24</v>
      </c>
      <c r="C640" s="1324"/>
      <c r="D640" s="1324"/>
      <c r="E640" s="1324" t="str">
        <f>+IF(ISBLANK(REPORTS!F547),"",REPORTS!F547)</f>
        <v/>
      </c>
      <c r="F640" s="1324" t="str">
        <f>+IF(ISBLANK(REPORTS!G547),"",REPORTS!G547)</f>
        <v/>
      </c>
      <c r="G640" s="1324" t="str">
        <f>+IF(ISBLANK(REPORTS!H547),"",REPORTS!H547)</f>
        <v/>
      </c>
      <c r="H640" s="1374" t="str">
        <f>+IF(ISBLANK(REPORTS!I547),"",REPORTS!I547)</f>
        <v/>
      </c>
    </row>
    <row r="641" spans="1:8">
      <c r="A641" s="1752"/>
      <c r="B641" s="1393">
        <v>25</v>
      </c>
      <c r="C641" s="1362" t="s">
        <v>5464</v>
      </c>
      <c r="D641" s="1324"/>
      <c r="E641" s="1324" t="str">
        <f>+IF(ISBLANK(REPORTS!F548),"",REPORTS!F548)</f>
        <v/>
      </c>
      <c r="F641" s="1324" t="str">
        <f>+IF(ISBLANK(REPORTS!G548),"",REPORTS!G548)</f>
        <v/>
      </c>
      <c r="G641" s="1324" t="str">
        <f>+IF(ISBLANK(REPORTS!H548),"",REPORTS!H548)</f>
        <v/>
      </c>
      <c r="H641" s="1374" t="str">
        <f>+IF(ISBLANK(REPORTS!I548),"",REPORTS!I548)</f>
        <v/>
      </c>
    </row>
    <row r="642" spans="1:8">
      <c r="A642" s="1752"/>
      <c r="B642" s="1393">
        <v>26</v>
      </c>
      <c r="C642" s="1324" t="s">
        <v>5265</v>
      </c>
      <c r="D642" s="1324" t="s">
        <v>4067</v>
      </c>
      <c r="E642" s="1364">
        <f>+IF(ISBLANK(REPORTS!F549),"",REPORTS!F549)</f>
        <v>-75.539735384829342</v>
      </c>
      <c r="F642" s="1364">
        <f>+IF(ISBLANK(REPORTS!G549),"",REPORTS!G549)</f>
        <v>0</v>
      </c>
      <c r="G642" s="1364">
        <f>+IF(ISBLANK(REPORTS!H549),"",REPORTS!H549)</f>
        <v>-75.539735384829342</v>
      </c>
      <c r="H642" s="1374">
        <f>+IF(ISBLANK(REPORTS!I549),"",REPORTS!I549)</f>
        <v>1</v>
      </c>
    </row>
    <row r="643" spans="1:8">
      <c r="A643" s="1752"/>
      <c r="B643" s="1393">
        <v>27</v>
      </c>
      <c r="C643" s="1324" t="s">
        <v>5265</v>
      </c>
      <c r="D643" s="1324" t="s">
        <v>2067</v>
      </c>
      <c r="E643" s="1364">
        <f>+IF(ISBLANK(REPORTS!F550),"",REPORTS!F550)</f>
        <v>-5.6810294570698723</v>
      </c>
      <c r="F643" s="1364">
        <f>+IF(ISBLANK(REPORTS!G550),"",REPORTS!G550)</f>
        <v>0</v>
      </c>
      <c r="G643" s="1364">
        <f>+IF(ISBLANK(REPORTS!H550),"",REPORTS!H550)</f>
        <v>-5.6810294570698723</v>
      </c>
      <c r="H643" s="1374">
        <f>+IF(ISBLANK(REPORTS!I550),"",REPORTS!I550)</f>
        <v>1</v>
      </c>
    </row>
    <row r="644" spans="1:8">
      <c r="A644" s="1752"/>
      <c r="B644" s="1393">
        <v>28</v>
      </c>
      <c r="C644" s="1324" t="s">
        <v>5268</v>
      </c>
      <c r="D644" s="1324" t="s">
        <v>4067</v>
      </c>
      <c r="E644" s="1364">
        <f>+IF(ISBLANK(REPORTS!F551),"",REPORTS!F551)</f>
        <v>-5.9588556469141762</v>
      </c>
      <c r="F644" s="1364">
        <f>+IF(ISBLANK(REPORTS!G551),"",REPORTS!G551)</f>
        <v>-0.38605552252937719</v>
      </c>
      <c r="G644" s="1364">
        <f>+IF(ISBLANK(REPORTS!H551),"",REPORTS!H551)</f>
        <v>-5.5728001243847984</v>
      </c>
      <c r="H644" s="1374">
        <f>+IF(ISBLANK(REPORTS!I551),"",REPORTS!I551)</f>
        <v>0.93521314403222733</v>
      </c>
    </row>
    <row r="645" spans="1:8">
      <c r="A645" s="1751">
        <v>101</v>
      </c>
      <c r="B645" s="1393">
        <v>29</v>
      </c>
      <c r="C645" s="1324" t="s">
        <v>5239</v>
      </c>
      <c r="D645" s="1324" t="s">
        <v>4067</v>
      </c>
      <c r="E645" s="1364">
        <f>+IF(ISBLANK(REPORTS!F552),"",REPORTS!F552)</f>
        <v>-6.4685036733525862</v>
      </c>
      <c r="F645" s="1364">
        <f>+IF(ISBLANK(REPORTS!G552),"",REPORTS!G552)</f>
        <v>-0.41907401581250198</v>
      </c>
      <c r="G645" s="1364">
        <f>+IF(ISBLANK(REPORTS!H552),"",REPORTS!H552)</f>
        <v>-6.0494296575400837</v>
      </c>
      <c r="H645" s="1374">
        <f>+IF(ISBLANK(REPORTS!I552),"",REPORTS!I552)</f>
        <v>0.93521314403222733</v>
      </c>
    </row>
    <row r="646" spans="1:8">
      <c r="A646" s="1751">
        <v>201</v>
      </c>
      <c r="B646" s="1393">
        <v>30</v>
      </c>
      <c r="C646" s="1324" t="s">
        <v>5240</v>
      </c>
      <c r="D646" s="1324" t="s">
        <v>4067</v>
      </c>
      <c r="E646" s="1364">
        <f>+IF(ISBLANK(REPORTS!F553),"",REPORTS!F553)</f>
        <v>-21.077596574183623</v>
      </c>
      <c r="F646" s="1364">
        <f>+IF(ISBLANK(REPORTS!G553),"",REPORTS!G553)</f>
        <v>0</v>
      </c>
      <c r="G646" s="1364">
        <f>+IF(ISBLANK(REPORTS!H553),"",REPORTS!H553)</f>
        <v>-21.077596574183623</v>
      </c>
      <c r="H646" s="1374">
        <f>+IF(ISBLANK(REPORTS!I553),"",REPORTS!I553)</f>
        <v>1</v>
      </c>
    </row>
    <row r="647" spans="1:8">
      <c r="A647" s="1751">
        <v>117</v>
      </c>
      <c r="B647" s="1393">
        <v>31</v>
      </c>
      <c r="C647" s="1324" t="s">
        <v>5241</v>
      </c>
      <c r="D647" s="1324" t="s">
        <v>4067</v>
      </c>
      <c r="E647" s="1364">
        <f>+IF(ISBLANK(REPORTS!F554),"",REPORTS!F554)</f>
        <v>-9.2657640190814323</v>
      </c>
      <c r="F647" s="1364">
        <f>+IF(ISBLANK(REPORTS!G554),"",REPORTS!G554)</f>
        <v>0</v>
      </c>
      <c r="G647" s="1364">
        <f>+IF(ISBLANK(REPORTS!H554),"",REPORTS!H554)</f>
        <v>-9.2657640190814323</v>
      </c>
      <c r="H647" s="1374">
        <f>+IF(ISBLANK(REPORTS!I554),"",REPORTS!I554)</f>
        <v>1</v>
      </c>
    </row>
    <row r="648" spans="1:8">
      <c r="A648" s="1751">
        <v>117</v>
      </c>
      <c r="B648" s="1393">
        <v>32</v>
      </c>
      <c r="C648" s="1324" t="s">
        <v>5242</v>
      </c>
      <c r="D648" s="1324" t="s">
        <v>4071</v>
      </c>
      <c r="E648" s="1364">
        <f>+IF(ISBLANK(REPORTS!F555),"",REPORTS!F555)</f>
        <v>-9.0379992857176283</v>
      </c>
      <c r="F648" s="1364">
        <f>+IF(ISBLANK(REPORTS!G555),"",REPORTS!G555)</f>
        <v>0</v>
      </c>
      <c r="G648" s="1364">
        <f>+IF(ISBLANK(REPORTS!H555),"",REPORTS!H555)</f>
        <v>-9.0379992857176283</v>
      </c>
      <c r="H648" s="1374">
        <f>+IF(ISBLANK(REPORTS!I555),"",REPORTS!I555)</f>
        <v>1</v>
      </c>
    </row>
    <row r="649" spans="1:8">
      <c r="A649" s="1751">
        <v>105</v>
      </c>
      <c r="B649" s="1393">
        <v>33</v>
      </c>
      <c r="C649" s="1324" t="s">
        <v>5244</v>
      </c>
      <c r="D649" s="1324" t="s">
        <v>4071</v>
      </c>
      <c r="E649" s="1364">
        <f>+IF(ISBLANK(REPORTS!F556),"",REPORTS!F556)</f>
        <v>-2.7612136328512036</v>
      </c>
      <c r="F649" s="1366">
        <f>+IF(ISBLANK(REPORTS!G556),"",REPORTS!G556)</f>
        <v>0</v>
      </c>
      <c r="G649" s="1364">
        <f>+IF(ISBLANK(REPORTS!H556),"",REPORTS!H556)</f>
        <v>-2.7612136328512036</v>
      </c>
      <c r="H649" s="1374">
        <f>+IF(ISBLANK(REPORTS!I556),"",REPORTS!I556)</f>
        <v>1</v>
      </c>
    </row>
    <row r="650" spans="1:8">
      <c r="A650" s="1751">
        <v>106</v>
      </c>
      <c r="B650" s="1393">
        <v>34</v>
      </c>
      <c r="C650" s="1324" t="s">
        <v>5465</v>
      </c>
      <c r="D650" s="1324"/>
      <c r="E650" s="1421">
        <f>+IF(ISBLANK(REPORTS!F557),"",REPORTS!F557)</f>
        <v>-135.79069767399983</v>
      </c>
      <c r="F650" s="1421">
        <f>+IF(ISBLANK(REPORTS!G557),"",REPORTS!G557)</f>
        <v>-0.80512953834187917</v>
      </c>
      <c r="G650" s="1421">
        <f>+IF(ISBLANK(REPORTS!H557),"",REPORTS!H557)</f>
        <v>-134.98556813565796</v>
      </c>
      <c r="H650" s="1374">
        <f>+IF(ISBLANK(REPORTS!I557),"",REPORTS!I557)</f>
        <v>0.99407080490686639</v>
      </c>
    </row>
    <row r="651" spans="1:8">
      <c r="A651" s="1751">
        <v>907</v>
      </c>
      <c r="B651" s="1393">
        <v>35</v>
      </c>
      <c r="C651" s="1324"/>
      <c r="D651" s="1324"/>
      <c r="E651" s="1364" t="str">
        <f>+IF(ISBLANK(REPORTS!F558),"",REPORTS!F558)</f>
        <v/>
      </c>
      <c r="F651" s="1364" t="str">
        <f>+IF(ISBLANK(REPORTS!G558),"",REPORTS!G558)</f>
        <v/>
      </c>
      <c r="G651" s="1364" t="str">
        <f>+IF(ISBLANK(REPORTS!H558),"",REPORTS!H558)</f>
        <v/>
      </c>
      <c r="H651" s="1374" t="str">
        <f>+IF(ISBLANK(REPORTS!I558),"",REPORTS!I558)</f>
        <v/>
      </c>
    </row>
    <row r="652" spans="1:8">
      <c r="A652" s="1751">
        <v>412</v>
      </c>
      <c r="B652" s="1393">
        <v>36</v>
      </c>
      <c r="C652" s="1362" t="s">
        <v>5467</v>
      </c>
      <c r="D652" s="1324"/>
      <c r="E652" s="1324" t="str">
        <f>+IF(ISBLANK(REPORTS!F559),"",REPORTS!F559)</f>
        <v/>
      </c>
      <c r="F652" s="1324" t="str">
        <f>+IF(ISBLANK(REPORTS!G559),"",REPORTS!G559)</f>
        <v/>
      </c>
      <c r="G652" s="1324" t="str">
        <f>+IF(ISBLANK(REPORTS!H559),"",REPORTS!H559)</f>
        <v/>
      </c>
      <c r="H652" s="1374" t="str">
        <f>+IF(ISBLANK(REPORTS!I559),"",REPORTS!I559)</f>
        <v/>
      </c>
    </row>
    <row r="653" spans="1:8">
      <c r="A653" s="1752"/>
      <c r="B653" s="1393">
        <v>37</v>
      </c>
      <c r="C653" s="1324" t="s">
        <v>5265</v>
      </c>
      <c r="D653" s="1324" t="s">
        <v>4067</v>
      </c>
      <c r="E653" s="1324">
        <f>+IF(ISBLANK(REPORTS!F560),"",REPORTS!F560)</f>
        <v>50567.271535833475</v>
      </c>
      <c r="F653" s="1324">
        <f>+IF(ISBLANK(REPORTS!G560),"",REPORTS!G560)</f>
        <v>0</v>
      </c>
      <c r="G653" s="1324">
        <f>+IF(ISBLANK(REPORTS!H560),"",REPORTS!H560)</f>
        <v>50567.271535833475</v>
      </c>
      <c r="H653" s="1374">
        <f>+IF(ISBLANK(REPORTS!I560),"",REPORTS!I560)</f>
        <v>1</v>
      </c>
    </row>
    <row r="654" spans="1:8">
      <c r="A654" s="1752"/>
      <c r="B654" s="1393">
        <v>38</v>
      </c>
      <c r="C654" s="1324" t="s">
        <v>5265</v>
      </c>
      <c r="D654" s="1324" t="s">
        <v>2067</v>
      </c>
      <c r="E654" s="1324">
        <f>+IF(ISBLANK(REPORTS!F561),"",REPORTS!F561)</f>
        <v>5692.1013325463828</v>
      </c>
      <c r="F654" s="1324">
        <f>+IF(ISBLANK(REPORTS!G561),"",REPORTS!G561)</f>
        <v>0</v>
      </c>
      <c r="G654" s="1324">
        <f>+IF(ISBLANK(REPORTS!H561),"",REPORTS!H561)</f>
        <v>5692.1013325463828</v>
      </c>
      <c r="H654" s="1374">
        <f>+IF(ISBLANK(REPORTS!I561),"",REPORTS!I561)</f>
        <v>1</v>
      </c>
    </row>
    <row r="655" spans="1:8">
      <c r="A655" s="1752"/>
      <c r="B655" s="1393">
        <v>39</v>
      </c>
      <c r="C655" s="1324" t="s">
        <v>5268</v>
      </c>
      <c r="D655" s="1324" t="s">
        <v>4067</v>
      </c>
      <c r="E655" s="1324">
        <f>+IF(ISBLANK(REPORTS!F562),"",REPORTS!F562)</f>
        <v>3792.4351118583436</v>
      </c>
      <c r="F655" s="1324">
        <f>+IF(ISBLANK(REPORTS!G562),"",REPORTS!G562)</f>
        <v>262.12206125588023</v>
      </c>
      <c r="G655" s="1324">
        <f>+IF(ISBLANK(REPORTS!H562),"",REPORTS!H562)</f>
        <v>3530.3072289114743</v>
      </c>
      <c r="H655" s="1374">
        <f>+IF(ISBLANK(REPORTS!I562),"",REPORTS!I562)</f>
        <v>0.93088137958452155</v>
      </c>
    </row>
    <row r="656" spans="1:8">
      <c r="A656" s="1752"/>
      <c r="B656" s="1393">
        <v>40</v>
      </c>
      <c r="C656" s="1324" t="s">
        <v>5239</v>
      </c>
      <c r="D656" s="1324" t="s">
        <v>4067</v>
      </c>
      <c r="E656" s="1324">
        <f>+IF(ISBLANK(REPORTS!F563),"",REPORTS!F563)</f>
        <v>4363.5489504797088</v>
      </c>
      <c r="F656" s="1324">
        <f>+IF(ISBLANK(REPORTS!G563),"",REPORTS!G563)</f>
        <v>299.83364528135036</v>
      </c>
      <c r="G656" s="1324">
        <f>+IF(ISBLANK(REPORTS!H563),"",REPORTS!H563)</f>
        <v>4063.721126889347</v>
      </c>
      <c r="H656" s="1374">
        <f>+IF(ISBLANK(REPORTS!I563),"",REPORTS!I563)</f>
        <v>0.93128808064421964</v>
      </c>
    </row>
    <row r="657" spans="1:8">
      <c r="A657" s="1752"/>
      <c r="B657" s="1393">
        <v>41</v>
      </c>
      <c r="C657" s="1324" t="s">
        <v>5240</v>
      </c>
      <c r="D657" s="1324" t="s">
        <v>4067</v>
      </c>
      <c r="E657" s="1324">
        <f>+IF(ISBLANK(REPORTS!F564),"",REPORTS!F564)</f>
        <v>16677.364950746807</v>
      </c>
      <c r="F657" s="1324">
        <f>+IF(ISBLANK(REPORTS!G564),"",REPORTS!G564)</f>
        <v>0</v>
      </c>
      <c r="G657" s="1324">
        <f>+IF(ISBLANK(REPORTS!H564),"",REPORTS!H564)</f>
        <v>16677.364950746807</v>
      </c>
      <c r="H657" s="1374">
        <f>+IF(ISBLANK(REPORTS!I564),"",REPORTS!I564)</f>
        <v>1</v>
      </c>
    </row>
    <row r="658" spans="1:8">
      <c r="A658" s="1752"/>
      <c r="B658" s="1393">
        <v>42</v>
      </c>
      <c r="C658" s="1324" t="s">
        <v>5241</v>
      </c>
      <c r="D658" s="1324" t="s">
        <v>4067</v>
      </c>
      <c r="E658" s="1324">
        <f>+IF(ISBLANK(REPORTS!F565),"",REPORTS!F565)</f>
        <v>7262.5846043055562</v>
      </c>
      <c r="F658" s="1324">
        <f>+IF(ISBLANK(REPORTS!G565),"",REPORTS!G565)</f>
        <v>0</v>
      </c>
      <c r="G658" s="1324">
        <f>+IF(ISBLANK(REPORTS!H565),"",REPORTS!H565)</f>
        <v>7262.5846043055562</v>
      </c>
      <c r="H658" s="1374">
        <f>+IF(ISBLANK(REPORTS!I565),"",REPORTS!I565)</f>
        <v>1</v>
      </c>
    </row>
    <row r="659" spans="1:8">
      <c r="A659" s="1752"/>
      <c r="B659" s="1393">
        <v>43</v>
      </c>
      <c r="C659" s="1324" t="s">
        <v>5242</v>
      </c>
      <c r="D659" s="1324" t="s">
        <v>4071</v>
      </c>
      <c r="E659" s="1324">
        <f>+IF(ISBLANK(REPORTS!F566),"",REPORTS!F566)</f>
        <v>8361.8137284512723</v>
      </c>
      <c r="F659" s="1324">
        <f>+IF(ISBLANK(REPORTS!G566),"",REPORTS!G566)</f>
        <v>0</v>
      </c>
      <c r="G659" s="1324">
        <f>+IF(ISBLANK(REPORTS!H566),"",REPORTS!H566)</f>
        <v>8361.8137284512723</v>
      </c>
      <c r="H659" s="1374">
        <f>+IF(ISBLANK(REPORTS!I566),"",REPORTS!I566)</f>
        <v>1</v>
      </c>
    </row>
    <row r="660" spans="1:8">
      <c r="A660" s="1752"/>
      <c r="B660" s="1393">
        <v>44</v>
      </c>
      <c r="C660" s="1324" t="s">
        <v>5244</v>
      </c>
      <c r="D660" s="1324" t="s">
        <v>4071</v>
      </c>
      <c r="E660" s="1324">
        <f>+IF(ISBLANK(REPORTS!F567),"",REPORTS!F567)</f>
        <v>4305.739175045821</v>
      </c>
      <c r="F660" s="1324">
        <f>+IF(ISBLANK(REPORTS!G567),"",REPORTS!G567)</f>
        <v>0</v>
      </c>
      <c r="G660" s="1324">
        <f>+IF(ISBLANK(REPORTS!H567),"",REPORTS!H567)</f>
        <v>4305.739175045821</v>
      </c>
      <c r="H660" s="1374">
        <f>+IF(ISBLANK(REPORTS!I567),"",REPORTS!I567)</f>
        <v>1</v>
      </c>
    </row>
    <row r="661" spans="1:8">
      <c r="A661" s="1752"/>
      <c r="B661" s="1393">
        <v>45</v>
      </c>
      <c r="C661" s="1324" t="s">
        <v>5476</v>
      </c>
      <c r="D661" s="1324"/>
      <c r="E661" s="1421">
        <f>+IF(ISBLANK(REPORTS!F568),"",REPORTS!F568)</f>
        <v>101022.85938926735</v>
      </c>
      <c r="F661" s="1421">
        <f>+IF(ISBLANK(REPORTS!G568),"",REPORTS!G568)</f>
        <v>561.95570653723053</v>
      </c>
      <c r="G661" s="1421">
        <f>+IF(ISBLANK(REPORTS!H568),"",REPORTS!H568)</f>
        <v>100460.90368273012</v>
      </c>
      <c r="H661" s="1374">
        <f>+IF(ISBLANK(REPORTS!I568),"",REPORTS!I568)</f>
        <v>0.9944373411133427</v>
      </c>
    </row>
    <row r="662" spans="1:8">
      <c r="A662" s="1752"/>
      <c r="B662" s="1393"/>
      <c r="C662" s="1324"/>
      <c r="D662" s="1324"/>
      <c r="E662" s="1324"/>
      <c r="F662" s="1324"/>
      <c r="G662" s="1324"/>
      <c r="H662" s="1374"/>
    </row>
    <row r="663" spans="1:8">
      <c r="A663" s="1752"/>
      <c r="B663" s="1393"/>
      <c r="C663" s="1324"/>
      <c r="D663" s="1324"/>
      <c r="E663" s="1324"/>
      <c r="F663" s="1324"/>
      <c r="G663" s="1324"/>
      <c r="H663" s="1374"/>
    </row>
    <row r="664" spans="1:8">
      <c r="A664" s="1752"/>
      <c r="B664" s="1393"/>
      <c r="C664" s="1324"/>
      <c r="D664" s="1324"/>
      <c r="E664" s="1324"/>
      <c r="F664" s="1324"/>
      <c r="G664" s="1324"/>
      <c r="H664" s="1374"/>
    </row>
    <row r="665" spans="1:8">
      <c r="A665" s="1752"/>
      <c r="B665" s="1393"/>
      <c r="C665" s="1324"/>
      <c r="D665" s="1324"/>
      <c r="E665" s="1324"/>
      <c r="F665" s="1324"/>
      <c r="G665" s="1324"/>
      <c r="H665" s="1374"/>
    </row>
    <row r="666" spans="1:8">
      <c r="A666" s="1752"/>
      <c r="B666" s="1416" t="str">
        <f>+$B$1</f>
        <v>RATES WITH REVENUE DEFICIENCY ADDITION</v>
      </c>
      <c r="C666" s="1324"/>
      <c r="D666" s="1324"/>
      <c r="E666" s="1336"/>
      <c r="F666" s="1329" t="s">
        <v>2173</v>
      </c>
      <c r="G666" s="1324"/>
      <c r="H666" s="1334" t="s">
        <v>5493</v>
      </c>
    </row>
    <row r="667" spans="1:8">
      <c r="A667" s="1752"/>
      <c r="B667" s="1416" t="str">
        <f>+$B$2</f>
        <v xml:space="preserve">PROD. CAP. ALLOC. METHOD: 12 CP </v>
      </c>
      <c r="C667" s="1324"/>
      <c r="D667" s="1324"/>
      <c r="E667" s="1324"/>
      <c r="F667" s="1336" t="s">
        <v>4768</v>
      </c>
      <c r="G667" s="1324"/>
      <c r="H667" s="1731" t="s">
        <v>2629</v>
      </c>
    </row>
    <row r="668" spans="1:8">
      <c r="A668" s="1752"/>
      <c r="B668" s="1416" t="str">
        <f>+$B$3</f>
        <v>PROJECTED CALENDAR YEAR 2025; FULLY ADJUSTED DATA</v>
      </c>
      <c r="C668" s="1324"/>
      <c r="D668" s="1324"/>
      <c r="E668" s="1324"/>
      <c r="F668" s="1336" t="s">
        <v>2181</v>
      </c>
      <c r="G668" s="1324"/>
      <c r="H668" s="1374"/>
    </row>
    <row r="669" spans="1:8">
      <c r="A669" s="1752"/>
      <c r="B669" s="1732">
        <f>+$B$4</f>
        <v>0</v>
      </c>
      <c r="C669" s="1364"/>
      <c r="D669" s="1324"/>
      <c r="E669" s="1324"/>
      <c r="F669" s="1324"/>
      <c r="G669" s="1324"/>
      <c r="H669" s="1374"/>
    </row>
    <row r="670" spans="1:8">
      <c r="A670" s="1760"/>
      <c r="B670" s="1732" t="str">
        <f>+$B$5</f>
        <v>Tampa Electric 2025 OB Budget</v>
      </c>
      <c r="C670" s="1324"/>
      <c r="D670" s="1324"/>
      <c r="E670" s="1329"/>
      <c r="F670" s="1336" t="s">
        <v>5456</v>
      </c>
      <c r="G670" s="1324"/>
      <c r="H670" s="1374"/>
    </row>
    <row r="671" spans="1:8">
      <c r="A671" s="1760"/>
      <c r="B671" s="1393"/>
      <c r="C671" s="1324"/>
      <c r="D671" s="1324"/>
      <c r="E671" s="1336"/>
      <c r="F671" s="1324"/>
      <c r="G671" s="1324"/>
      <c r="H671" s="1374"/>
    </row>
    <row r="672" spans="1:8">
      <c r="A672" s="1752"/>
      <c r="B672" s="1393"/>
      <c r="C672" s="1324"/>
      <c r="D672" s="1324"/>
      <c r="E672" s="1336"/>
      <c r="F672" s="1324"/>
      <c r="G672" s="1324"/>
      <c r="H672" s="1374"/>
    </row>
    <row r="673" spans="1:8">
      <c r="A673" s="1752"/>
      <c r="B673" s="1393"/>
      <c r="C673" s="1324"/>
      <c r="D673" s="1324"/>
      <c r="E673" s="1324"/>
      <c r="F673" s="1324"/>
      <c r="G673" s="1324"/>
      <c r="H673" s="1374"/>
    </row>
    <row r="674" spans="1:8">
      <c r="A674" s="1752"/>
      <c r="B674" s="1393"/>
      <c r="C674" s="1324"/>
      <c r="D674" s="1324"/>
      <c r="E674" s="1336"/>
      <c r="F674" s="1324"/>
      <c r="G674" s="1324"/>
      <c r="H674" s="1374"/>
    </row>
    <row r="675" spans="1:8" ht="28.2">
      <c r="A675" s="1752"/>
      <c r="B675" s="1737" t="s">
        <v>4297</v>
      </c>
      <c r="C675" s="1741"/>
      <c r="D675" s="1741"/>
      <c r="E675" s="1352" t="s">
        <v>5144</v>
      </c>
      <c r="F675" s="1352" t="s">
        <v>4956</v>
      </c>
      <c r="G675" s="1352" t="s">
        <v>4957</v>
      </c>
      <c r="H675" s="1742" t="s">
        <v>5145</v>
      </c>
    </row>
    <row r="676" spans="1:8">
      <c r="A676" s="1752"/>
      <c r="B676" s="1393"/>
      <c r="C676" s="1324"/>
      <c r="D676" s="1324"/>
      <c r="E676" s="1324"/>
      <c r="F676" s="1324"/>
      <c r="G676" s="1324"/>
      <c r="H676" s="1374"/>
    </row>
    <row r="677" spans="1:8">
      <c r="A677" s="1752"/>
      <c r="B677" s="1393">
        <v>46</v>
      </c>
      <c r="C677" s="1362" t="s">
        <v>5479</v>
      </c>
      <c r="D677" s="1324"/>
      <c r="E677" s="1324"/>
      <c r="F677" s="1324"/>
      <c r="G677" s="1324"/>
      <c r="H677" s="1374"/>
    </row>
    <row r="678" spans="1:8">
      <c r="A678" s="1752"/>
      <c r="B678" s="1393">
        <v>47</v>
      </c>
      <c r="C678" s="1324" t="s">
        <v>5265</v>
      </c>
      <c r="D678" s="1324" t="s">
        <v>4067</v>
      </c>
      <c r="E678" s="1364">
        <f>+IF(ISBLANK(REPORTS!F586),"",REPORTS!F586)</f>
        <v>629.49179060332824</v>
      </c>
      <c r="F678" s="1364">
        <f>+IF(ISBLANK(REPORTS!G586),"",REPORTS!G586)</f>
        <v>0</v>
      </c>
      <c r="G678" s="1364">
        <f>+IF(ISBLANK(REPORTS!H586),"",REPORTS!H586)</f>
        <v>629.49179060332824</v>
      </c>
      <c r="H678" s="1374">
        <f>+IF(ISBLANK(REPORTS!I586),"",REPORTS!I586)</f>
        <v>1</v>
      </c>
    </row>
    <row r="679" spans="1:8" ht="28.2">
      <c r="A679" s="1753" t="s">
        <v>5143</v>
      </c>
      <c r="B679" s="1393">
        <v>48</v>
      </c>
      <c r="C679" s="1324" t="s">
        <v>5265</v>
      </c>
      <c r="D679" s="1324" t="s">
        <v>2067</v>
      </c>
      <c r="E679" s="1364">
        <f>+IF(ISBLANK(REPORTS!F587),"",REPORTS!F587)</f>
        <v>47.341460586045002</v>
      </c>
      <c r="F679" s="1364">
        <f>+IF(ISBLANK(REPORTS!G587),"",REPORTS!G587)</f>
        <v>0</v>
      </c>
      <c r="G679" s="1364">
        <f>+IF(ISBLANK(REPORTS!H587),"",REPORTS!H587)</f>
        <v>47.341460586045002</v>
      </c>
      <c r="H679" s="1374">
        <f>+IF(ISBLANK(REPORTS!I587),"",REPORTS!I587)</f>
        <v>1</v>
      </c>
    </row>
    <row r="680" spans="1:8">
      <c r="A680" s="1752"/>
      <c r="B680" s="1393">
        <v>49</v>
      </c>
      <c r="C680" s="1324" t="s">
        <v>5268</v>
      </c>
      <c r="D680" s="1324" t="s">
        <v>4067</v>
      </c>
      <c r="E680" s="1364">
        <f>+IF(ISBLANK(REPORTS!F588),"",REPORTS!F588)</f>
        <v>49.656656751753495</v>
      </c>
      <c r="F680" s="1364">
        <f>+IF(ISBLANK(REPORTS!G588),"",REPORTS!G588)</f>
        <v>0</v>
      </c>
      <c r="G680" s="1364">
        <f>+IF(ISBLANK(REPORTS!H588),"",REPORTS!H588)</f>
        <v>49.656656751753495</v>
      </c>
      <c r="H680" s="1374">
        <f>+IF(ISBLANK(REPORTS!I588),"",REPORTS!I588)</f>
        <v>1</v>
      </c>
    </row>
    <row r="681" spans="1:8">
      <c r="A681" s="1752"/>
      <c r="B681" s="1393">
        <v>50</v>
      </c>
      <c r="C681" s="1324" t="s">
        <v>5239</v>
      </c>
      <c r="D681" s="1324" t="s">
        <v>4067</v>
      </c>
      <c r="E681" s="1364">
        <f>+IF(ISBLANK(REPORTS!F589),"",REPORTS!F589)</f>
        <v>53.903683129404769</v>
      </c>
      <c r="F681" s="1364">
        <f>+IF(ISBLANK(REPORTS!G589),"",REPORTS!G589)</f>
        <v>0</v>
      </c>
      <c r="G681" s="1364">
        <f>+IF(ISBLANK(REPORTS!H589),"",REPORTS!H589)</f>
        <v>53.903683129404769</v>
      </c>
      <c r="H681" s="1374">
        <f>+IF(ISBLANK(REPORTS!I589),"",REPORTS!I589)</f>
        <v>1</v>
      </c>
    </row>
    <row r="682" spans="1:8">
      <c r="A682" s="1751">
        <v>507</v>
      </c>
      <c r="B682" s="1393">
        <v>51</v>
      </c>
      <c r="C682" s="1324" t="s">
        <v>5240</v>
      </c>
      <c r="D682" s="1324" t="s">
        <v>4067</v>
      </c>
      <c r="E682" s="1364">
        <f>+IF(ISBLANK(REPORTS!F590),"",REPORTS!F590)</f>
        <v>175.64496276700058</v>
      </c>
      <c r="F682" s="1364">
        <f>+IF(ISBLANK(REPORTS!G590),"",REPORTS!G590)</f>
        <v>0</v>
      </c>
      <c r="G682" s="1364">
        <f>+IF(ISBLANK(REPORTS!H590),"",REPORTS!H590)</f>
        <v>175.64496276700058</v>
      </c>
      <c r="H682" s="1374">
        <f>+IF(ISBLANK(REPORTS!I590),"",REPORTS!I590)</f>
        <v>1</v>
      </c>
    </row>
    <row r="683" spans="1:8">
      <c r="A683" s="1751">
        <v>507</v>
      </c>
      <c r="B683" s="1393">
        <v>52</v>
      </c>
      <c r="C683" s="1324" t="s">
        <v>5241</v>
      </c>
      <c r="D683" s="1324" t="s">
        <v>4067</v>
      </c>
      <c r="E683" s="1364">
        <f>+IF(ISBLANK(REPORTS!F591),"",REPORTS!F591)</f>
        <v>77.21396367044791</v>
      </c>
      <c r="F683" s="1364">
        <f>+IF(ISBLANK(REPORTS!G591),"",REPORTS!G591)</f>
        <v>0</v>
      </c>
      <c r="G683" s="1364">
        <f>+IF(ISBLANK(REPORTS!H591),"",REPORTS!H591)</f>
        <v>77.21396367044791</v>
      </c>
      <c r="H683" s="1374">
        <f>+IF(ISBLANK(REPORTS!I591),"",REPORTS!I591)</f>
        <v>1</v>
      </c>
    </row>
    <row r="684" spans="1:8">
      <c r="A684" s="1751">
        <v>507</v>
      </c>
      <c r="B684" s="1393">
        <v>53</v>
      </c>
      <c r="C684" s="1324" t="s">
        <v>5242</v>
      </c>
      <c r="D684" s="1324" t="s">
        <v>4071</v>
      </c>
      <c r="E684" s="1364">
        <f>+IF(ISBLANK(REPORTS!F592),"",REPORTS!F592)</f>
        <v>75.315942329612454</v>
      </c>
      <c r="F684" s="1364">
        <f>+IF(ISBLANK(REPORTS!G592),"",REPORTS!G592)</f>
        <v>0</v>
      </c>
      <c r="G684" s="1364">
        <f>+IF(ISBLANK(REPORTS!H592),"",REPORTS!H592)</f>
        <v>75.315942329612454</v>
      </c>
      <c r="H684" s="1374">
        <f>+IF(ISBLANK(REPORTS!I592),"",REPORTS!I592)</f>
        <v>1</v>
      </c>
    </row>
    <row r="685" spans="1:8">
      <c r="A685" s="1751">
        <v>507</v>
      </c>
      <c r="B685" s="1393">
        <v>54</v>
      </c>
      <c r="C685" s="1324" t="s">
        <v>5244</v>
      </c>
      <c r="D685" s="1324" t="s">
        <v>4071</v>
      </c>
      <c r="E685" s="1364">
        <f>+IF(ISBLANK(REPORTS!F593),"",REPORTS!F593)</f>
        <v>23.009894132233089</v>
      </c>
      <c r="F685" s="1364">
        <f>+IF(ISBLANK(REPORTS!G593),"",REPORTS!G593)</f>
        <v>0</v>
      </c>
      <c r="G685" s="1364">
        <f>+IF(ISBLANK(REPORTS!H593),"",REPORTS!H593)</f>
        <v>23.009894132233089</v>
      </c>
      <c r="H685" s="1374">
        <f>+IF(ISBLANK(REPORTS!I593),"",REPORTS!I593)</f>
        <v>1</v>
      </c>
    </row>
    <row r="686" spans="1:8">
      <c r="A686" s="1751">
        <v>507</v>
      </c>
      <c r="B686" s="1393">
        <v>55</v>
      </c>
      <c r="C686" s="1324" t="s">
        <v>5480</v>
      </c>
      <c r="D686" s="1324"/>
      <c r="E686" s="1421">
        <f>+IF(ISBLANK(REPORTS!F594),"",REPORTS!F594)</f>
        <v>1131.5783539698255</v>
      </c>
      <c r="F686" s="1421">
        <f>+IF(ISBLANK(REPORTS!G594),"",REPORTS!G594)</f>
        <v>0</v>
      </c>
      <c r="G686" s="1421">
        <f>+IF(ISBLANK(REPORTS!H594),"",REPORTS!H594)</f>
        <v>1131.5783539698255</v>
      </c>
      <c r="H686" s="1374">
        <f>+IF(ISBLANK(REPORTS!I594),"",REPORTS!I594)</f>
        <v>1</v>
      </c>
    </row>
    <row r="687" spans="1:8">
      <c r="A687" s="1751">
        <v>507</v>
      </c>
      <c r="B687" s="1393">
        <v>56</v>
      </c>
      <c r="C687" s="1324"/>
      <c r="D687" s="1324"/>
      <c r="E687" s="1324" t="str">
        <f>+IF(ISBLANK(REPORTS!F595),"",REPORTS!F595)</f>
        <v/>
      </c>
      <c r="F687" s="1324" t="str">
        <f>+IF(ISBLANK(REPORTS!G595),"",REPORTS!G595)</f>
        <v/>
      </c>
      <c r="G687" s="1324" t="str">
        <f>+IF(ISBLANK(REPORTS!H595),"",REPORTS!H595)</f>
        <v/>
      </c>
      <c r="H687" s="1374" t="str">
        <f>+IF(ISBLANK(REPORTS!I595),"",REPORTS!I595)</f>
        <v/>
      </c>
    </row>
    <row r="688" spans="1:8">
      <c r="A688" s="1751">
        <v>507</v>
      </c>
      <c r="B688" s="1393">
        <v>57</v>
      </c>
      <c r="C688" s="1324"/>
      <c r="D688" s="1324"/>
      <c r="E688" s="1324" t="str">
        <f>+IF(ISBLANK(REPORTS!F596),"",REPORTS!F596)</f>
        <v/>
      </c>
      <c r="F688" s="1324" t="str">
        <f>+IF(ISBLANK(REPORTS!G596),"",REPORTS!G596)</f>
        <v/>
      </c>
      <c r="G688" s="1324" t="str">
        <f>+IF(ISBLANK(REPORTS!H596),"",REPORTS!H596)</f>
        <v/>
      </c>
      <c r="H688" s="1374" t="str">
        <f>+IF(ISBLANK(REPORTS!I596),"",REPORTS!I596)</f>
        <v/>
      </c>
    </row>
    <row r="689" spans="1:8">
      <c r="A689" s="1751">
        <v>507</v>
      </c>
      <c r="B689" s="1393">
        <v>58</v>
      </c>
      <c r="C689" s="1362" t="s">
        <v>5482</v>
      </c>
      <c r="D689" s="1324"/>
      <c r="E689" s="1324" t="str">
        <f>+IF(ISBLANK(REPORTS!F597),"",REPORTS!F597)</f>
        <v/>
      </c>
      <c r="F689" s="1324" t="str">
        <f>+IF(ISBLANK(REPORTS!G597),"",REPORTS!G597)</f>
        <v/>
      </c>
      <c r="G689" s="1324" t="str">
        <f>+IF(ISBLANK(REPORTS!H597),"",REPORTS!H597)</f>
        <v/>
      </c>
      <c r="H689" s="1374" t="str">
        <f>+IF(ISBLANK(REPORTS!I597),"",REPORTS!I597)</f>
        <v/>
      </c>
    </row>
    <row r="690" spans="1:8">
      <c r="A690" s="1752"/>
      <c r="B690" s="1393">
        <v>59</v>
      </c>
      <c r="C690" s="1324" t="s">
        <v>5265</v>
      </c>
      <c r="D690" s="1324" t="s">
        <v>4067</v>
      </c>
      <c r="E690" s="1324">
        <f>+IF(ISBLANK(REPORTS!F598),"",REPORTS!F598)</f>
        <v>51196.763326436805</v>
      </c>
      <c r="F690" s="1324">
        <f>+IF(ISBLANK(REPORTS!G598),"",REPORTS!G598)</f>
        <v>0</v>
      </c>
      <c r="G690" s="1324">
        <f>+IF(ISBLANK(REPORTS!H598),"",REPORTS!H598)</f>
        <v>51196.763326436805</v>
      </c>
      <c r="H690" s="1374">
        <f>+IF(ISBLANK(REPORTS!I598),"",REPORTS!I598)</f>
        <v>1</v>
      </c>
    </row>
    <row r="691" spans="1:8">
      <c r="A691" s="1752"/>
      <c r="B691" s="1393">
        <v>60</v>
      </c>
      <c r="C691" s="1324" t="s">
        <v>5265</v>
      </c>
      <c r="D691" s="1324" t="s">
        <v>2067</v>
      </c>
      <c r="E691" s="1364">
        <f>+IF(ISBLANK(REPORTS!F599),"",REPORTS!F599)</f>
        <v>5739.4427931324281</v>
      </c>
      <c r="F691" s="1364">
        <f>+IF(ISBLANK(REPORTS!G599),"",REPORTS!G599)</f>
        <v>0</v>
      </c>
      <c r="G691" s="1364">
        <f>+IF(ISBLANK(REPORTS!H599),"",REPORTS!H599)</f>
        <v>5739.4427931324281</v>
      </c>
      <c r="H691" s="1374">
        <f>+IF(ISBLANK(REPORTS!I599),"",REPORTS!I599)</f>
        <v>1</v>
      </c>
    </row>
    <row r="692" spans="1:8">
      <c r="A692" s="1752"/>
      <c r="B692" s="1393">
        <v>61</v>
      </c>
      <c r="C692" s="1324" t="s">
        <v>5268</v>
      </c>
      <c r="D692" s="1324" t="s">
        <v>4067</v>
      </c>
      <c r="E692" s="1364">
        <f>+IF(ISBLANK(REPORTS!F600),"",REPORTS!F600)</f>
        <v>3842.091768610097</v>
      </c>
      <c r="F692" s="1364">
        <f>+IF(ISBLANK(REPORTS!G600),"",REPORTS!G600)</f>
        <v>262.12206125588023</v>
      </c>
      <c r="G692" s="1364">
        <f>+IF(ISBLANK(REPORTS!H600),"",REPORTS!H600)</f>
        <v>3579.9638856632278</v>
      </c>
      <c r="H692" s="1374">
        <f>+IF(ISBLANK(REPORTS!I600),"",REPORTS!I600)</f>
        <v>0.93177469494912768</v>
      </c>
    </row>
    <row r="693" spans="1:8">
      <c r="A693" s="1751"/>
      <c r="B693" s="1393">
        <v>62</v>
      </c>
      <c r="C693" s="1324" t="s">
        <v>5239</v>
      </c>
      <c r="D693" s="1324" t="s">
        <v>4067</v>
      </c>
      <c r="E693" s="1364">
        <f>+IF(ISBLANK(REPORTS!F601),"",REPORTS!F601)</f>
        <v>4417.4526336091139</v>
      </c>
      <c r="F693" s="1364">
        <f>+IF(ISBLANK(REPORTS!G601),"",REPORTS!G601)</f>
        <v>299.83364528135036</v>
      </c>
      <c r="G693" s="1364">
        <f>+IF(ISBLANK(REPORTS!H601),"",REPORTS!H601)</f>
        <v>4117.6248100187522</v>
      </c>
      <c r="H693" s="1374">
        <f>+IF(ISBLANK(REPORTS!I601),"",REPORTS!I601)</f>
        <v>0.93212653344391416</v>
      </c>
    </row>
    <row r="694" spans="1:8">
      <c r="A694" s="1751"/>
      <c r="B694" s="1393">
        <v>63</v>
      </c>
      <c r="C694" s="1324" t="s">
        <v>5240</v>
      </c>
      <c r="D694" s="1324" t="s">
        <v>4067</v>
      </c>
      <c r="E694" s="1364">
        <f>+IF(ISBLANK(REPORTS!F602),"",REPORTS!F602)</f>
        <v>16853.009913513808</v>
      </c>
      <c r="F694" s="1364">
        <f>+IF(ISBLANK(REPORTS!G602),"",REPORTS!G602)</f>
        <v>0</v>
      </c>
      <c r="G694" s="1364">
        <f>+IF(ISBLANK(REPORTS!H602),"",REPORTS!H602)</f>
        <v>16853.009913513808</v>
      </c>
      <c r="H694" s="1374">
        <f>+IF(ISBLANK(REPORTS!I602),"",REPORTS!I602)</f>
        <v>1</v>
      </c>
    </row>
    <row r="695" spans="1:8">
      <c r="A695" s="1751"/>
      <c r="B695" s="1393">
        <v>64</v>
      </c>
      <c r="C695" s="1324" t="s">
        <v>5241</v>
      </c>
      <c r="D695" s="1324" t="s">
        <v>4067</v>
      </c>
      <c r="E695" s="1364">
        <f>+IF(ISBLANK(REPORTS!F603),"",REPORTS!F603)</f>
        <v>7339.7985679760041</v>
      </c>
      <c r="F695" s="1364">
        <f>+IF(ISBLANK(REPORTS!G603),"",REPORTS!G603)</f>
        <v>0</v>
      </c>
      <c r="G695" s="1364">
        <f>+IF(ISBLANK(REPORTS!H603),"",REPORTS!H603)</f>
        <v>7339.7985679760041</v>
      </c>
      <c r="H695" s="1374">
        <f>+IF(ISBLANK(REPORTS!I603),"",REPORTS!I603)</f>
        <v>1</v>
      </c>
    </row>
    <row r="696" spans="1:8">
      <c r="A696" s="1751"/>
      <c r="B696" s="1393">
        <v>65</v>
      </c>
      <c r="C696" s="1324" t="s">
        <v>5242</v>
      </c>
      <c r="D696" s="1324" t="s">
        <v>4071</v>
      </c>
      <c r="E696" s="1364">
        <f>+IF(ISBLANK(REPORTS!F604),"",REPORTS!F604)</f>
        <v>8437.1296707808851</v>
      </c>
      <c r="F696" s="1364">
        <f>+IF(ISBLANK(REPORTS!G604),"",REPORTS!G604)</f>
        <v>0</v>
      </c>
      <c r="G696" s="1364">
        <f>+IF(ISBLANK(REPORTS!H604),"",REPORTS!H604)</f>
        <v>8437.1296707808851</v>
      </c>
      <c r="H696" s="1374">
        <f>+IF(ISBLANK(REPORTS!I604),"",REPORTS!I604)</f>
        <v>1</v>
      </c>
    </row>
    <row r="697" spans="1:8">
      <c r="A697" s="1751"/>
      <c r="B697" s="1393">
        <v>66</v>
      </c>
      <c r="C697" s="1324" t="s">
        <v>5244</v>
      </c>
      <c r="D697" s="1324" t="s">
        <v>4071</v>
      </c>
      <c r="E697" s="1366">
        <f>+IF(ISBLANK(REPORTS!F605),"",REPORTS!F605)</f>
        <v>4328.749069178054</v>
      </c>
      <c r="F697" s="1366">
        <f>+IF(ISBLANK(REPORTS!G605),"",REPORTS!G605)</f>
        <v>0</v>
      </c>
      <c r="G697" s="1366">
        <f>+IF(ISBLANK(REPORTS!H605),"",REPORTS!H605)</f>
        <v>4328.749069178054</v>
      </c>
      <c r="H697" s="1374">
        <f>+IF(ISBLANK(REPORTS!I605),"",REPORTS!I605)</f>
        <v>1</v>
      </c>
    </row>
    <row r="698" spans="1:8">
      <c r="A698" s="1751"/>
      <c r="B698" s="1393">
        <v>67</v>
      </c>
      <c r="C698" s="1324"/>
      <c r="D698" s="1324"/>
      <c r="E698" s="1364" t="str">
        <f>+IF(ISBLANK(REPORTS!F606),"",REPORTS!F606)</f>
        <v/>
      </c>
      <c r="F698" s="1364" t="str">
        <f>+IF(ISBLANK(REPORTS!G606),"",REPORTS!G606)</f>
        <v/>
      </c>
      <c r="G698" s="1364" t="str">
        <f>+IF(ISBLANK(REPORTS!H606),"",REPORTS!H606)</f>
        <v/>
      </c>
      <c r="H698" s="1374" t="str">
        <f>+IF(ISBLANK(REPORTS!I606),"",REPORTS!I606)</f>
        <v/>
      </c>
    </row>
    <row r="699" spans="1:8" ht="15" thickBot="1">
      <c r="A699" s="1751"/>
      <c r="B699" s="1393">
        <v>68</v>
      </c>
      <c r="C699" s="1324" t="s">
        <v>5491</v>
      </c>
      <c r="D699" s="1324"/>
      <c r="E699" s="1380">
        <f>+IF(ISBLANK(REPORTS!F607),"",REPORTS!F607)</f>
        <v>102154.43774323718</v>
      </c>
      <c r="F699" s="1380">
        <f>+IF(ISBLANK(REPORTS!G607),"",REPORTS!G607)</f>
        <v>561.95570653723053</v>
      </c>
      <c r="G699" s="1380">
        <f>+IF(ISBLANK(REPORTS!H607),"",REPORTS!H607)</f>
        <v>101592.48203669996</v>
      </c>
      <c r="H699" s="1374">
        <f>+IF(ISBLANK(REPORTS!I607),"",REPORTS!I607)</f>
        <v>0.99449895942896105</v>
      </c>
    </row>
    <row r="700" spans="1:8" ht="15" thickTop="1">
      <c r="A700" s="1751"/>
    </row>
    <row r="701" spans="1:8">
      <c r="A701" s="1751"/>
      <c r="B701" s="1393"/>
      <c r="C701" s="1324"/>
      <c r="D701" s="1324"/>
      <c r="E701" s="1364"/>
      <c r="F701" s="1364"/>
      <c r="G701" s="1364"/>
      <c r="H701" s="1374"/>
    </row>
    <row r="702" spans="1:8">
      <c r="A702" s="1752"/>
      <c r="B702" s="1393"/>
      <c r="C702" s="1324"/>
      <c r="D702" s="1324"/>
      <c r="E702" s="1364"/>
      <c r="F702" s="1364"/>
      <c r="G702" s="1364"/>
      <c r="H702" s="1374"/>
    </row>
    <row r="703" spans="1:8">
      <c r="A703" s="1752"/>
      <c r="B703" s="1393"/>
      <c r="C703" s="1324"/>
      <c r="D703" s="1324"/>
      <c r="E703" s="1364"/>
      <c r="F703" s="1364"/>
      <c r="G703" s="1364"/>
      <c r="H703" s="1374"/>
    </row>
    <row r="704" spans="1:8">
      <c r="A704" s="1752"/>
    </row>
    <row r="705" spans="1:8">
      <c r="A705" s="1752"/>
    </row>
    <row r="706" spans="1:8">
      <c r="A706" s="1752"/>
    </row>
    <row r="707" spans="1:8">
      <c r="A707" s="1752"/>
      <c r="B707" s="1393"/>
      <c r="C707" s="1324"/>
      <c r="D707" s="1324"/>
      <c r="E707" s="1364"/>
      <c r="F707" s="1364"/>
      <c r="G707" s="1364"/>
      <c r="H707" s="1374"/>
    </row>
    <row r="708" spans="1:8">
      <c r="A708" s="1752"/>
      <c r="B708" s="1393"/>
      <c r="C708" s="1324"/>
      <c r="D708" s="1324"/>
      <c r="E708" s="1364"/>
      <c r="F708" s="1364"/>
      <c r="G708" s="1364"/>
      <c r="H708" s="1374"/>
    </row>
    <row r="709" spans="1:8">
      <c r="A709" s="1752"/>
      <c r="B709" s="1393"/>
      <c r="C709" s="1324"/>
      <c r="D709" s="1324"/>
      <c r="E709" s="1364"/>
      <c r="F709" s="1364"/>
      <c r="G709" s="1364"/>
      <c r="H709" s="1374"/>
    </row>
    <row r="710" spans="1:8">
      <c r="A710" s="1752"/>
      <c r="B710" s="1393"/>
      <c r="C710" s="1324"/>
      <c r="D710" s="1324"/>
      <c r="E710" s="1364"/>
      <c r="F710" s="1364"/>
      <c r="G710" s="1364"/>
      <c r="H710" s="1374"/>
    </row>
    <row r="711" spans="1:8">
      <c r="A711" s="1752"/>
      <c r="B711" s="1393"/>
      <c r="C711" s="1324"/>
      <c r="D711" s="1324"/>
      <c r="E711" s="1364"/>
      <c r="F711" s="1364"/>
      <c r="G711" s="1364"/>
      <c r="H711" s="1374"/>
    </row>
    <row r="712" spans="1:8">
      <c r="A712" s="1752"/>
      <c r="B712" s="1393"/>
      <c r="C712" s="1324"/>
      <c r="D712" s="1324"/>
      <c r="E712" s="1364"/>
      <c r="F712" s="1364"/>
      <c r="G712" s="1364"/>
      <c r="H712" s="1374"/>
    </row>
    <row r="713" spans="1:8">
      <c r="A713" s="1752"/>
      <c r="B713" s="1393"/>
      <c r="C713" s="1324"/>
      <c r="D713" s="1324"/>
      <c r="E713" s="1364"/>
      <c r="F713" s="1364"/>
      <c r="G713" s="1364"/>
      <c r="H713" s="1374"/>
    </row>
    <row r="714" spans="1:8">
      <c r="A714" s="1752"/>
      <c r="B714" s="1393"/>
      <c r="C714" s="1324"/>
      <c r="D714" s="1324"/>
      <c r="E714" s="1364"/>
      <c r="F714" s="1364"/>
      <c r="G714" s="1364"/>
      <c r="H714" s="1374"/>
    </row>
    <row r="715" spans="1:8">
      <c r="A715" s="1752"/>
      <c r="B715" s="1393"/>
      <c r="C715" s="1324"/>
      <c r="D715" s="1324"/>
      <c r="E715" s="1364"/>
      <c r="F715" s="1364"/>
      <c r="G715" s="1364"/>
      <c r="H715" s="1374"/>
    </row>
    <row r="716" spans="1:8">
      <c r="A716" s="1752"/>
      <c r="B716" s="1393"/>
      <c r="C716" s="1324"/>
      <c r="D716" s="1324"/>
      <c r="E716" s="1364"/>
      <c r="F716" s="1364"/>
      <c r="G716" s="1364"/>
      <c r="H716" s="1374"/>
    </row>
    <row r="717" spans="1:8">
      <c r="A717" s="1752"/>
      <c r="B717" s="1393"/>
      <c r="C717" s="1324"/>
      <c r="D717" s="1324"/>
      <c r="E717" s="1364"/>
      <c r="F717" s="1364"/>
      <c r="G717" s="1364"/>
      <c r="H717" s="1374"/>
    </row>
    <row r="718" spans="1:8">
      <c r="A718" s="1752"/>
      <c r="B718" s="1393"/>
      <c r="C718" s="1324"/>
      <c r="D718" s="1324"/>
      <c r="E718" s="1364"/>
      <c r="F718" s="1364"/>
      <c r="G718" s="1364"/>
      <c r="H718" s="1374"/>
    </row>
    <row r="719" spans="1:8">
      <c r="A719" s="1752"/>
      <c r="B719" s="1393"/>
      <c r="C719" s="1324"/>
      <c r="D719" s="1324"/>
      <c r="E719" s="1364"/>
      <c r="F719" s="1364"/>
      <c r="G719" s="1364"/>
      <c r="H719" s="1374"/>
    </row>
    <row r="720" spans="1:8">
      <c r="A720" s="1752"/>
      <c r="B720" s="1393"/>
      <c r="C720" s="1324"/>
      <c r="D720" s="1324"/>
      <c r="E720" s="1364"/>
      <c r="F720" s="1364"/>
      <c r="G720" s="1364"/>
      <c r="H720" s="1374"/>
    </row>
    <row r="721" spans="1:8">
      <c r="A721" s="1752"/>
      <c r="B721" s="1393"/>
      <c r="C721" s="1324"/>
      <c r="D721" s="1324"/>
      <c r="E721" s="1364"/>
      <c r="F721" s="1364"/>
      <c r="G721" s="1364"/>
      <c r="H721" s="1374"/>
    </row>
    <row r="722" spans="1:8">
      <c r="A722" s="1752"/>
      <c r="B722" s="1393"/>
      <c r="C722" s="1324"/>
      <c r="D722" s="1324"/>
      <c r="E722" s="1364"/>
      <c r="F722" s="1364"/>
      <c r="G722" s="1364"/>
      <c r="H722" s="1374"/>
    </row>
    <row r="723" spans="1:8">
      <c r="A723" s="1752"/>
      <c r="B723" s="1393"/>
      <c r="C723" s="1324"/>
      <c r="D723" s="1324"/>
      <c r="E723" s="1364"/>
      <c r="F723" s="1364"/>
      <c r="G723" s="1364"/>
      <c r="H723" s="1374"/>
    </row>
    <row r="724" spans="1:8">
      <c r="A724" s="1752"/>
      <c r="B724" s="1393"/>
      <c r="C724" s="1324"/>
      <c r="D724" s="1324"/>
      <c r="E724" s="1364"/>
      <c r="F724" s="1364"/>
      <c r="G724" s="1364"/>
      <c r="H724" s="1374"/>
    </row>
    <row r="725" spans="1:8">
      <c r="A725" s="1752"/>
      <c r="B725" s="1393"/>
      <c r="C725" s="1324"/>
      <c r="D725" s="1324"/>
      <c r="E725" s="1364"/>
      <c r="F725" s="1364"/>
      <c r="G725" s="1364"/>
      <c r="H725" s="1374"/>
    </row>
    <row r="726" spans="1:8">
      <c r="A726" s="1752"/>
      <c r="B726" s="1416" t="str">
        <f>+$B$1</f>
        <v>RATES WITH REVENUE DEFICIENCY ADDITION</v>
      </c>
      <c r="C726" s="1324"/>
      <c r="D726" s="1324"/>
      <c r="E726" s="1336"/>
      <c r="F726" s="1329" t="s">
        <v>2173</v>
      </c>
      <c r="G726" s="1324"/>
      <c r="H726" s="1334" t="s">
        <v>5531</v>
      </c>
    </row>
    <row r="727" spans="1:8">
      <c r="A727" s="1752"/>
      <c r="B727" s="1416" t="str">
        <f>+$B$2</f>
        <v xml:space="preserve">PROD. CAP. ALLOC. METHOD: 12 CP </v>
      </c>
      <c r="C727" s="1364"/>
      <c r="D727" s="1324"/>
      <c r="E727" s="1324"/>
      <c r="F727" s="1336" t="s">
        <v>4768</v>
      </c>
      <c r="G727" s="1324"/>
      <c r="H727" s="1731" t="s">
        <v>2630</v>
      </c>
    </row>
    <row r="728" spans="1:8">
      <c r="A728" s="1752"/>
      <c r="B728" s="1416" t="str">
        <f>+$B$3</f>
        <v>PROJECTED CALENDAR YEAR 2025; FULLY ADJUSTED DATA</v>
      </c>
      <c r="C728" s="1324"/>
      <c r="D728" s="1324"/>
      <c r="E728" s="1324"/>
      <c r="F728" s="1336" t="s">
        <v>2181</v>
      </c>
      <c r="G728" s="1324"/>
      <c r="H728" s="1374"/>
    </row>
    <row r="729" spans="1:8">
      <c r="A729" s="1752"/>
      <c r="B729" s="1732">
        <f>+$B$4</f>
        <v>0</v>
      </c>
      <c r="C729" s="1324"/>
      <c r="D729" s="1324"/>
      <c r="E729" s="1324"/>
      <c r="F729" s="1324"/>
      <c r="G729" s="1324"/>
      <c r="H729" s="1374"/>
    </row>
    <row r="730" spans="1:8">
      <c r="A730" s="1752"/>
      <c r="B730" s="1732" t="str">
        <f>+$B$5</f>
        <v>Tampa Electric 2025 OB Budget</v>
      </c>
      <c r="C730" s="1324"/>
      <c r="D730" s="1324"/>
      <c r="E730" s="1329"/>
      <c r="F730" s="1336" t="s">
        <v>5494</v>
      </c>
      <c r="G730" s="1324"/>
      <c r="H730" s="1374"/>
    </row>
    <row r="731" spans="1:8">
      <c r="A731" s="1760"/>
      <c r="B731" s="1393"/>
      <c r="C731" s="1324"/>
      <c r="D731" s="1324"/>
      <c r="E731" s="1336"/>
      <c r="F731" s="1324"/>
      <c r="G731" s="1324"/>
      <c r="H731" s="1374"/>
    </row>
    <row r="732" spans="1:8">
      <c r="A732" s="1760"/>
      <c r="B732" s="1416" t="s">
        <v>5495</v>
      </c>
      <c r="C732" s="1324"/>
      <c r="D732" s="1324"/>
      <c r="E732" s="1336"/>
      <c r="F732" s="1324"/>
      <c r="G732" s="1324"/>
      <c r="H732" s="1374"/>
    </row>
    <row r="733" spans="1:8">
      <c r="A733" s="1751"/>
      <c r="B733" s="1416"/>
      <c r="C733" s="1324"/>
      <c r="D733" s="1324"/>
      <c r="E733" s="1324"/>
      <c r="F733" s="1324"/>
      <c r="G733" s="1324"/>
      <c r="H733" s="1374"/>
    </row>
    <row r="734" spans="1:8">
      <c r="A734" s="1751"/>
      <c r="B734" s="1735"/>
      <c r="C734" s="1416"/>
      <c r="D734" s="1416"/>
      <c r="E734" s="1336"/>
      <c r="F734" s="1336"/>
      <c r="G734" s="1336"/>
      <c r="H734" s="1736"/>
    </row>
    <row r="735" spans="1:8" ht="28.2">
      <c r="A735" s="1751"/>
      <c r="B735" s="1737" t="s">
        <v>4297</v>
      </c>
      <c r="C735" s="1741"/>
      <c r="D735" s="1741"/>
      <c r="E735" s="1352" t="s">
        <v>5144</v>
      </c>
      <c r="F735" s="1352" t="s">
        <v>4956</v>
      </c>
      <c r="G735" s="1352" t="s">
        <v>4957</v>
      </c>
      <c r="H735" s="1742" t="s">
        <v>5145</v>
      </c>
    </row>
    <row r="736" spans="1:8">
      <c r="A736" s="1751"/>
      <c r="B736" s="1393"/>
      <c r="C736" s="1324"/>
      <c r="D736" s="1324"/>
      <c r="E736" s="1324"/>
      <c r="F736" s="1324"/>
      <c r="G736" s="1324"/>
      <c r="H736" s="1374"/>
    </row>
    <row r="737" spans="1:8">
      <c r="A737" s="1751"/>
      <c r="B737" s="1393">
        <v>1</v>
      </c>
      <c r="C737" s="1362" t="s">
        <v>5153</v>
      </c>
      <c r="D737" s="1324"/>
      <c r="E737" s="1324"/>
      <c r="F737" s="1324"/>
      <c r="G737" s="1324"/>
      <c r="H737" s="1374"/>
    </row>
    <row r="738" spans="1:8">
      <c r="A738" s="1751"/>
      <c r="B738" s="1393">
        <v>2</v>
      </c>
      <c r="C738" s="1324" t="s">
        <v>5496</v>
      </c>
      <c r="D738" s="1324" t="s">
        <v>4777</v>
      </c>
      <c r="E738" s="1324">
        <f>+IF(ISBLANK(REPORTS!F625),"",REPORTS!F625)</f>
        <v>1782281.2948316957</v>
      </c>
      <c r="F738" s="1324">
        <f>+IF(ISBLANK(REPORTS!G625),"",REPORTS!G625)</f>
        <v>7929.0305824175994</v>
      </c>
      <c r="G738" s="1324">
        <f>+IF(ISBLANK(REPORTS!H625),"",REPORTS!H625)</f>
        <v>1774352.2642492782</v>
      </c>
      <c r="H738" s="1374">
        <f>+IF(ISBLANK(REPORTS!I625),"",REPORTS!I625)</f>
        <v>0.99555119014859761</v>
      </c>
    </row>
    <row r="739" spans="1:8">
      <c r="A739" s="1751"/>
      <c r="B739" s="1393">
        <v>3</v>
      </c>
      <c r="C739" s="1324" t="s">
        <v>5265</v>
      </c>
      <c r="D739" s="1324" t="s">
        <v>4067</v>
      </c>
      <c r="E739" s="1364">
        <f>+IF(ISBLANK(REPORTS!F626),"",REPORTS!F626)</f>
        <v>1850.9373105288485</v>
      </c>
      <c r="F739" s="1364">
        <f>+IF(ISBLANK(REPORTS!G626),"",REPORTS!G626)</f>
        <v>0</v>
      </c>
      <c r="G739" s="1364">
        <f>+IF(ISBLANK(REPORTS!H626),"",REPORTS!H626)</f>
        <v>1850.9373105288485</v>
      </c>
      <c r="H739" s="1374">
        <f>+IF(ISBLANK(REPORTS!I626),"",REPORTS!I626)</f>
        <v>1</v>
      </c>
    </row>
    <row r="740" spans="1:8" ht="28.2">
      <c r="A740" s="1753" t="s">
        <v>5143</v>
      </c>
      <c r="B740" s="1393">
        <v>4</v>
      </c>
      <c r="C740" s="1324" t="s">
        <v>5265</v>
      </c>
      <c r="D740" s="1324" t="s">
        <v>2067</v>
      </c>
      <c r="E740" s="1364">
        <f>+IF(ISBLANK(REPORTS!F627),"",REPORTS!F627)</f>
        <v>683.44915259141396</v>
      </c>
      <c r="F740" s="1364">
        <f>+IF(ISBLANK(REPORTS!G627),"",REPORTS!G627)</f>
        <v>-1.84900420208578E-3</v>
      </c>
      <c r="G740" s="1364">
        <f>+IF(ISBLANK(REPORTS!H627),"",REPORTS!H627)</f>
        <v>683.45100159561605</v>
      </c>
      <c r="H740" s="1374">
        <f>+IF(ISBLANK(REPORTS!I627),"",REPORTS!I627)</f>
        <v>1.0000027054012652</v>
      </c>
    </row>
    <row r="741" spans="1:8">
      <c r="A741" s="1751"/>
      <c r="B741" s="1393">
        <v>5</v>
      </c>
      <c r="C741" s="1324" t="s">
        <v>5268</v>
      </c>
      <c r="D741" s="1324" t="s">
        <v>4067</v>
      </c>
      <c r="E741" s="1364">
        <f>+IF(ISBLANK(REPORTS!F628),"",REPORTS!F628)</f>
        <v>996.42736350591531</v>
      </c>
      <c r="F741" s="1364">
        <f>+IF(ISBLANK(REPORTS!G628),"",REPORTS!G628)</f>
        <v>64.555396081805128</v>
      </c>
      <c r="G741" s="1364">
        <f>+IF(ISBLANK(REPORTS!H628),"",REPORTS!H628)</f>
        <v>931.87196742411015</v>
      </c>
      <c r="H741" s="1374">
        <f>+IF(ISBLANK(REPORTS!I628),"",REPORTS!I628)</f>
        <v>0.93521314403222733</v>
      </c>
    </row>
    <row r="742" spans="1:8">
      <c r="A742" s="1752"/>
      <c r="B742" s="1393">
        <v>6</v>
      </c>
      <c r="C742" s="1324" t="s">
        <v>5239</v>
      </c>
      <c r="D742" s="1324" t="s">
        <v>4067</v>
      </c>
      <c r="E742" s="1364">
        <f>+IF(ISBLANK(REPORTS!F629),"",REPORTS!F629)</f>
        <v>273.36871416988186</v>
      </c>
      <c r="F742" s="1364">
        <f>+IF(ISBLANK(REPORTS!G629),"",REPORTS!G629)</f>
        <v>17.710699511019335</v>
      </c>
      <c r="G742" s="1364">
        <f>+IF(ISBLANK(REPORTS!H629),"",REPORTS!H629)</f>
        <v>255.6580146588625</v>
      </c>
      <c r="H742" s="1374">
        <f>+IF(ISBLANK(REPORTS!I629),"",REPORTS!I629)</f>
        <v>0.93521314403222733</v>
      </c>
    </row>
    <row r="743" spans="1:8">
      <c r="A743" s="1751"/>
      <c r="B743" s="1393">
        <v>7</v>
      </c>
      <c r="C743" s="1324" t="s">
        <v>5240</v>
      </c>
      <c r="D743" s="1324" t="s">
        <v>4067</v>
      </c>
      <c r="E743" s="1364">
        <f>+IF(ISBLANK(REPORTS!F630),"",REPORTS!F630)</f>
        <v>14945.554128665908</v>
      </c>
      <c r="F743" s="1364">
        <f>+IF(ISBLANK(REPORTS!G630),"",REPORTS!G630)</f>
        <v>0</v>
      </c>
      <c r="G743" s="1364">
        <f>+IF(ISBLANK(REPORTS!H630),"",REPORTS!H630)</f>
        <v>14945.554128665908</v>
      </c>
      <c r="H743" s="1374">
        <f>+IF(ISBLANK(REPORTS!I630),"",REPORTS!I630)</f>
        <v>1</v>
      </c>
    </row>
    <row r="744" spans="1:8">
      <c r="A744" s="1751"/>
      <c r="B744" s="1393">
        <v>8</v>
      </c>
      <c r="C744" s="1324" t="s">
        <v>5241</v>
      </c>
      <c r="D744" s="1324" t="s">
        <v>4067</v>
      </c>
      <c r="E744" s="1364">
        <f>+IF(ISBLANK(REPORTS!F631),"",REPORTS!F631)</f>
        <v>348.69066960232243</v>
      </c>
      <c r="F744" s="1364">
        <f>+IF(ISBLANK(REPORTS!G631),"",REPORTS!G631)</f>
        <v>0</v>
      </c>
      <c r="G744" s="1364">
        <f>+IF(ISBLANK(REPORTS!H631),"",REPORTS!H631)</f>
        <v>348.69066960232243</v>
      </c>
      <c r="H744" s="1374">
        <f>+IF(ISBLANK(REPORTS!I631),"",REPORTS!I631)</f>
        <v>1</v>
      </c>
    </row>
    <row r="745" spans="1:8">
      <c r="A745" s="1751"/>
      <c r="B745" s="1393">
        <v>9</v>
      </c>
      <c r="C745" s="1324" t="s">
        <v>5242</v>
      </c>
      <c r="D745" s="1324" t="s">
        <v>4071</v>
      </c>
      <c r="E745" s="1364">
        <f>+IF(ISBLANK(REPORTS!F632),"",REPORTS!F632)</f>
        <v>216.09497132613194</v>
      </c>
      <c r="F745" s="1364">
        <f>+IF(ISBLANK(REPORTS!G632),"",REPORTS!G632)</f>
        <v>0</v>
      </c>
      <c r="G745" s="1364">
        <f>+IF(ISBLANK(REPORTS!H632),"",REPORTS!H632)</f>
        <v>216.09497132613194</v>
      </c>
      <c r="H745" s="1374">
        <f>+IF(ISBLANK(REPORTS!I632),"",REPORTS!I632)</f>
        <v>1</v>
      </c>
    </row>
    <row r="746" spans="1:8">
      <c r="A746" s="1751"/>
      <c r="B746" s="1393">
        <v>10</v>
      </c>
      <c r="C746" s="1324" t="s">
        <v>5244</v>
      </c>
      <c r="D746" s="1324" t="s">
        <v>4071</v>
      </c>
      <c r="E746" s="1366">
        <f>+IF(ISBLANK(REPORTS!F633),"",REPORTS!F633)</f>
        <v>21497.128382830353</v>
      </c>
      <c r="F746" s="1366">
        <f>+IF(ISBLANK(REPORTS!G633),"",REPORTS!G633)</f>
        <v>0</v>
      </c>
      <c r="G746" s="1366">
        <f>+IF(ISBLANK(REPORTS!H633),"",REPORTS!H633)</f>
        <v>21497.128382830353</v>
      </c>
      <c r="H746" s="1374">
        <f>+IF(ISBLANK(REPORTS!I633),"",REPORTS!I633)</f>
        <v>1</v>
      </c>
    </row>
    <row r="747" spans="1:8">
      <c r="A747" s="1751"/>
      <c r="B747" s="1393">
        <v>11</v>
      </c>
      <c r="C747" s="1324" t="s">
        <v>5153</v>
      </c>
      <c r="D747" s="1324"/>
      <c r="E747" s="1421">
        <f>+IF(ISBLANK(REPORTS!F634),"",REPORTS!F634)</f>
        <v>1823092.9455249165</v>
      </c>
      <c r="F747" s="1421">
        <f>+IF(ISBLANK(REPORTS!G634),"",REPORTS!G634)</f>
        <v>8011.2948290062213</v>
      </c>
      <c r="G747" s="1421">
        <f>+IF(ISBLANK(REPORTS!H634),"",REPORTS!H634)</f>
        <v>1815081.6506959107</v>
      </c>
      <c r="H747" s="1374">
        <f>+IF(ISBLANK(REPORTS!I634),"",REPORTS!I634)</f>
        <v>0.99560565749065566</v>
      </c>
    </row>
    <row r="748" spans="1:8">
      <c r="A748" s="1751"/>
      <c r="B748" s="1393">
        <v>12</v>
      </c>
      <c r="C748" s="1324"/>
      <c r="D748" s="1324"/>
      <c r="E748" s="1324" t="str">
        <f>+IF(ISBLANK(REPORTS!F635),"",REPORTS!F635)</f>
        <v/>
      </c>
      <c r="F748" s="1324" t="str">
        <f>+IF(ISBLANK(REPORTS!G635),"",REPORTS!G635)</f>
        <v/>
      </c>
      <c r="G748" s="1324" t="str">
        <f>+IF(ISBLANK(REPORTS!H635),"",REPORTS!H635)</f>
        <v/>
      </c>
      <c r="H748" s="1374" t="str">
        <f>+IF(ISBLANK(REPORTS!I635),"",REPORTS!I635)</f>
        <v/>
      </c>
    </row>
    <row r="749" spans="1:8">
      <c r="A749" s="1751"/>
      <c r="B749" s="1393">
        <v>13</v>
      </c>
      <c r="C749" s="1362" t="s">
        <v>5506</v>
      </c>
      <c r="D749" s="1324"/>
      <c r="E749" s="1324" t="str">
        <f>+IF(ISBLANK(REPORTS!F636),"",REPORTS!F636)</f>
        <v/>
      </c>
      <c r="F749" s="1324" t="str">
        <f>+IF(ISBLANK(REPORTS!G636),"",REPORTS!G636)</f>
        <v/>
      </c>
      <c r="G749" s="1324" t="str">
        <f>+IF(ISBLANK(REPORTS!H636),"",REPORTS!H636)</f>
        <v/>
      </c>
      <c r="H749" s="1374" t="str">
        <f>+IF(ISBLANK(REPORTS!I636),"",REPORTS!I636)</f>
        <v/>
      </c>
    </row>
    <row r="750" spans="1:8">
      <c r="A750" s="1751"/>
      <c r="B750" s="1393">
        <v>14</v>
      </c>
      <c r="C750" s="1324" t="s">
        <v>5265</v>
      </c>
      <c r="D750" s="1324" t="s">
        <v>4067</v>
      </c>
      <c r="E750" s="1324">
        <f>+IF(ISBLANK(REPORTS!F637),"",REPORTS!F637)</f>
        <v>159622.03248406202</v>
      </c>
      <c r="F750" s="1324">
        <f>+IF(ISBLANK(REPORTS!G637),"",REPORTS!G637)</f>
        <v>0</v>
      </c>
      <c r="G750" s="1324">
        <f>+IF(ISBLANK(REPORTS!H637),"",REPORTS!H637)</f>
        <v>159622.03248406202</v>
      </c>
      <c r="H750" s="1374">
        <f>+IF(ISBLANK(REPORTS!I637),"",REPORTS!I637)</f>
        <v>1</v>
      </c>
    </row>
    <row r="751" spans="1:8">
      <c r="A751" s="1751"/>
      <c r="B751" s="1393">
        <v>15</v>
      </c>
      <c r="C751" s="1324" t="s">
        <v>5265</v>
      </c>
      <c r="D751" s="1324" t="s">
        <v>2067</v>
      </c>
      <c r="E751" s="1324">
        <f>+IF(ISBLANK(REPORTS!F638),"",REPORTS!F638)</f>
        <v>41606.418583842657</v>
      </c>
      <c r="F751" s="1324">
        <f>+IF(ISBLANK(REPORTS!G638),"",REPORTS!G638)</f>
        <v>0</v>
      </c>
      <c r="G751" s="1324">
        <f>+IF(ISBLANK(REPORTS!H638),"",REPORTS!H638)</f>
        <v>41606.418583842657</v>
      </c>
      <c r="H751" s="1374">
        <f>+IF(ISBLANK(REPORTS!I638),"",REPORTS!I638)</f>
        <v>1</v>
      </c>
    </row>
    <row r="752" spans="1:8">
      <c r="A752" s="1751"/>
      <c r="B752" s="1393">
        <v>16</v>
      </c>
      <c r="C752" s="1324" t="s">
        <v>5268</v>
      </c>
      <c r="D752" s="1324" t="s">
        <v>4067</v>
      </c>
      <c r="E752" s="1324">
        <f>+IF(ISBLANK(REPORTS!F639),"",REPORTS!F639)</f>
        <v>4045.870112441934</v>
      </c>
      <c r="F752" s="1324">
        <f>+IF(ISBLANK(REPORTS!G639),"",REPORTS!G639)</f>
        <v>406.64102719459561</v>
      </c>
      <c r="G752" s="1324">
        <f>+IF(ISBLANK(REPORTS!H639),"",REPORTS!H639)</f>
        <v>3639.0936003281759</v>
      </c>
      <c r="H752" s="1374">
        <f>+IF(ISBLANK(REPORTS!I639),"",REPORTS!I639)</f>
        <v>0.89945883065725918</v>
      </c>
    </row>
    <row r="753" spans="1:8">
      <c r="A753" s="1751"/>
      <c r="B753" s="1393">
        <v>17</v>
      </c>
      <c r="C753" s="1324" t="s">
        <v>5239</v>
      </c>
      <c r="D753" s="1324" t="s">
        <v>4067</v>
      </c>
      <c r="E753" s="1324">
        <f>+IF(ISBLANK(REPORTS!F640),"",REPORTS!F640)</f>
        <v>12410.707503734577</v>
      </c>
      <c r="F753" s="1324">
        <f>+IF(ISBLANK(REPORTS!G640),"",REPORTS!G640)</f>
        <v>1290.0636241191005</v>
      </c>
      <c r="G753" s="1324">
        <f>+IF(ISBLANK(REPORTS!H640),"",REPORTS!H640)</f>
        <v>11120.779364534637</v>
      </c>
      <c r="H753" s="1374">
        <f>+IF(ISBLANK(REPORTS!I640),"",REPORTS!I640)</f>
        <v>0.89606328738214325</v>
      </c>
    </row>
    <row r="754" spans="1:8">
      <c r="A754" s="1751"/>
      <c r="B754" s="1393">
        <v>18</v>
      </c>
      <c r="C754" s="1324" t="s">
        <v>5240</v>
      </c>
      <c r="D754" s="1324" t="s">
        <v>4067</v>
      </c>
      <c r="E754" s="1324">
        <f>+IF(ISBLANK(REPORTS!F641),"",REPORTS!F641)</f>
        <v>58782.428344976914</v>
      </c>
      <c r="F754" s="1324">
        <f>+IF(ISBLANK(REPORTS!G641),"",REPORTS!G641)</f>
        <v>0</v>
      </c>
      <c r="G754" s="1324">
        <f>+IF(ISBLANK(REPORTS!H641),"",REPORTS!H641)</f>
        <v>58782.428344976914</v>
      </c>
      <c r="H754" s="1374">
        <f>+IF(ISBLANK(REPORTS!I641),"",REPORTS!I641)</f>
        <v>1</v>
      </c>
    </row>
    <row r="755" spans="1:8">
      <c r="A755" s="1751"/>
      <c r="B755" s="1393">
        <v>19</v>
      </c>
      <c r="C755" s="1324" t="s">
        <v>5241</v>
      </c>
      <c r="D755" s="1324" t="s">
        <v>4067</v>
      </c>
      <c r="E755" s="1324">
        <f>+IF(ISBLANK(REPORTS!F642),"",REPORTS!F642)</f>
        <v>9777.0557636031099</v>
      </c>
      <c r="F755" s="1324">
        <f>+IF(ISBLANK(REPORTS!G642),"",REPORTS!G642)</f>
        <v>0</v>
      </c>
      <c r="G755" s="1324">
        <f>+IF(ISBLANK(REPORTS!H642),"",REPORTS!H642)</f>
        <v>9777.0557636031099</v>
      </c>
      <c r="H755" s="1374">
        <f>+IF(ISBLANK(REPORTS!I642),"",REPORTS!I642)</f>
        <v>1</v>
      </c>
    </row>
    <row r="756" spans="1:8">
      <c r="A756" s="1751"/>
      <c r="B756" s="1393">
        <v>20</v>
      </c>
      <c r="C756" s="1324" t="s">
        <v>5242</v>
      </c>
      <c r="D756" s="1324" t="s">
        <v>4071</v>
      </c>
      <c r="E756" s="1324">
        <f>+IF(ISBLANK(REPORTS!F643),"",REPORTS!F643)</f>
        <v>38382.168272878131</v>
      </c>
      <c r="F756" s="1324">
        <f>+IF(ISBLANK(REPORTS!G643),"",REPORTS!G643)</f>
        <v>0</v>
      </c>
      <c r="G756" s="1324">
        <f>+IF(ISBLANK(REPORTS!H643),"",REPORTS!H643)</f>
        <v>38382.168272878131</v>
      </c>
      <c r="H756" s="1374">
        <f>+IF(ISBLANK(REPORTS!I643),"",REPORTS!I643)</f>
        <v>1</v>
      </c>
    </row>
    <row r="757" spans="1:8">
      <c r="A757" s="1751"/>
      <c r="B757" s="1393">
        <v>21</v>
      </c>
      <c r="C757" s="1324" t="s">
        <v>5244</v>
      </c>
      <c r="D757" s="1324" t="s">
        <v>4071</v>
      </c>
      <c r="E757" s="1324">
        <f>+IF(ISBLANK(REPORTS!F644),"",REPORTS!F644)</f>
        <v>68841.12898628338</v>
      </c>
      <c r="F757" s="1324">
        <f>+IF(ISBLANK(REPORTS!G644),"",REPORTS!G644)</f>
        <v>0</v>
      </c>
      <c r="G757" s="1324">
        <f>+IF(ISBLANK(REPORTS!H644),"",REPORTS!H644)</f>
        <v>68841.12898628338</v>
      </c>
      <c r="H757" s="1374">
        <f>+IF(ISBLANK(REPORTS!I644),"",REPORTS!I644)</f>
        <v>1</v>
      </c>
    </row>
    <row r="758" spans="1:8">
      <c r="A758" s="1751"/>
      <c r="B758" s="1393">
        <v>22</v>
      </c>
      <c r="C758" s="1324" t="s">
        <v>5515</v>
      </c>
      <c r="D758" s="1324"/>
      <c r="E758" s="1421">
        <f>+IF(ISBLANK(REPORTS!F645),"",REPORTS!F645)</f>
        <v>393467.81005182274</v>
      </c>
      <c r="F758" s="1421">
        <f>+IF(ISBLANK(REPORTS!G645),"",REPORTS!G645)</f>
        <v>1696.7046513136961</v>
      </c>
      <c r="G758" s="1421">
        <f>+IF(ISBLANK(REPORTS!H645),"",REPORTS!H645)</f>
        <v>391771.10540050903</v>
      </c>
      <c r="H758" s="1374">
        <f>+IF(ISBLANK(REPORTS!I645),"",REPORTS!I645)</f>
        <v>0.99568781839843457</v>
      </c>
    </row>
    <row r="759" spans="1:8">
      <c r="A759" s="1751"/>
      <c r="B759" s="1393">
        <v>23</v>
      </c>
      <c r="C759" s="1324"/>
      <c r="D759" s="1324"/>
      <c r="E759" s="1324" t="str">
        <f>+IF(ISBLANK(REPORTS!F646),"",REPORTS!F646)</f>
        <v/>
      </c>
      <c r="F759" s="1324" t="str">
        <f>+IF(ISBLANK(REPORTS!G646),"",REPORTS!G646)</f>
        <v/>
      </c>
      <c r="G759" s="1324" t="str">
        <f>+IF(ISBLANK(REPORTS!H646),"",REPORTS!H646)</f>
        <v/>
      </c>
      <c r="H759" s="1374" t="str">
        <f>+IF(ISBLANK(REPORTS!I646),"",REPORTS!I646)</f>
        <v/>
      </c>
    </row>
    <row r="760" spans="1:8">
      <c r="A760" s="1751"/>
      <c r="B760" s="1393">
        <v>24</v>
      </c>
      <c r="C760" s="1362" t="s">
        <v>5516</v>
      </c>
      <c r="D760" s="1324"/>
      <c r="E760" s="1324" t="str">
        <f>+IF(ISBLANK(REPORTS!F647),"",REPORTS!F647)</f>
        <v/>
      </c>
      <c r="F760" s="1324" t="str">
        <f>+IF(ISBLANK(REPORTS!G647),"",REPORTS!G647)</f>
        <v/>
      </c>
      <c r="G760" s="1324" t="str">
        <f>+IF(ISBLANK(REPORTS!H647),"",REPORTS!H647)</f>
        <v/>
      </c>
      <c r="H760" s="1374" t="str">
        <f>+IF(ISBLANK(REPORTS!I647),"",REPORTS!I647)</f>
        <v/>
      </c>
    </row>
    <row r="761" spans="1:8">
      <c r="A761" s="1751"/>
      <c r="B761" s="1393">
        <v>25</v>
      </c>
      <c r="C761" s="1324" t="s">
        <v>4813</v>
      </c>
      <c r="D761" s="1324" t="s">
        <v>4067</v>
      </c>
      <c r="E761" s="1324">
        <f>+IF(ISBLANK(REPORTS!F648),"",REPORTS!F648)</f>
        <v>0</v>
      </c>
      <c r="F761" s="1324">
        <f>+IF(ISBLANK(REPORTS!G648),"",REPORTS!G648)</f>
        <v>0</v>
      </c>
      <c r="G761" s="1324">
        <f>+IF(ISBLANK(REPORTS!H648),"",REPORTS!H648)</f>
        <v>0</v>
      </c>
      <c r="H761" s="1374">
        <f>+IF(ISBLANK(REPORTS!I648),"",REPORTS!I648)</f>
        <v>0</v>
      </c>
    </row>
    <row r="762" spans="1:8">
      <c r="A762" s="1751"/>
      <c r="B762" s="1393">
        <v>26</v>
      </c>
      <c r="C762" s="1324" t="s">
        <v>4814</v>
      </c>
      <c r="D762" s="1324" t="s">
        <v>2067</v>
      </c>
      <c r="E762" s="1366">
        <f>+IF(ISBLANK(REPORTS!F649),"",REPORTS!F649)</f>
        <v>626.46090775325297</v>
      </c>
      <c r="F762" s="1366">
        <f>+IF(ISBLANK(REPORTS!G649),"",REPORTS!G649)</f>
        <v>0</v>
      </c>
      <c r="G762" s="1366">
        <f>+IF(ISBLANK(REPORTS!H649),"",REPORTS!H649)</f>
        <v>626.46090775325297</v>
      </c>
      <c r="H762" s="1374">
        <f>+IF(ISBLANK(REPORTS!I649),"",REPORTS!I649)</f>
        <v>1</v>
      </c>
    </row>
    <row r="763" spans="1:8">
      <c r="A763" s="1751"/>
      <c r="B763" s="1393">
        <v>27</v>
      </c>
      <c r="C763" s="1324" t="s">
        <v>5519</v>
      </c>
      <c r="D763" s="1324"/>
      <c r="E763" s="1421">
        <f>+IF(ISBLANK(REPORTS!F650),"",REPORTS!F650)</f>
        <v>626.46090775325297</v>
      </c>
      <c r="F763" s="1421">
        <f>+IF(ISBLANK(REPORTS!G650),"",REPORTS!G650)</f>
        <v>0</v>
      </c>
      <c r="G763" s="1421">
        <f>+IF(ISBLANK(REPORTS!H650),"",REPORTS!H650)</f>
        <v>626.46090775325297</v>
      </c>
      <c r="H763" s="1374">
        <f>+IF(ISBLANK(REPORTS!I650),"",REPORTS!I650)</f>
        <v>1</v>
      </c>
    </row>
    <row r="764" spans="1:8">
      <c r="A764" s="1751"/>
      <c r="B764" s="1393">
        <v>28</v>
      </c>
      <c r="C764" s="1324"/>
      <c r="D764" s="1324"/>
      <c r="E764" s="1324" t="str">
        <f>+IF(ISBLANK(REPORTS!F651),"",REPORTS!F651)</f>
        <v/>
      </c>
      <c r="F764" s="1324" t="str">
        <f>+IF(ISBLANK(REPORTS!G651),"",REPORTS!G651)</f>
        <v/>
      </c>
      <c r="G764" s="1324" t="str">
        <f>+IF(ISBLANK(REPORTS!H651),"",REPORTS!H651)</f>
        <v/>
      </c>
      <c r="H764" s="1374" t="str">
        <f>+IF(ISBLANK(REPORTS!I651),"",REPORTS!I651)</f>
        <v/>
      </c>
    </row>
    <row r="765" spans="1:8">
      <c r="A765" s="1751"/>
      <c r="B765" s="1393">
        <v>29</v>
      </c>
      <c r="C765" s="1362" t="s">
        <v>5521</v>
      </c>
      <c r="D765" s="1324"/>
      <c r="E765" s="1324" t="str">
        <f>+IF(ISBLANK(REPORTS!F652),"",REPORTS!F652)</f>
        <v/>
      </c>
      <c r="F765" s="1324" t="str">
        <f>+IF(ISBLANK(REPORTS!G652),"",REPORTS!G652)</f>
        <v/>
      </c>
      <c r="G765" s="1324" t="str">
        <f>+IF(ISBLANK(REPORTS!H652),"",REPORTS!H652)</f>
        <v/>
      </c>
      <c r="H765" s="1374" t="str">
        <f>+IF(ISBLANK(REPORTS!I652),"",REPORTS!I652)</f>
        <v/>
      </c>
    </row>
    <row r="766" spans="1:8">
      <c r="A766" s="1751"/>
      <c r="B766" s="1393">
        <v>30</v>
      </c>
      <c r="C766" s="1324" t="s">
        <v>5265</v>
      </c>
      <c r="D766" s="1324" t="s">
        <v>4067</v>
      </c>
      <c r="E766" s="1324">
        <f>+IF(ISBLANK(REPORTS!F653),"",REPORTS!F653)</f>
        <v>290551.79552865884</v>
      </c>
      <c r="F766" s="1324">
        <f>+IF(ISBLANK(REPORTS!G653),"",REPORTS!G653)</f>
        <v>0</v>
      </c>
      <c r="G766" s="1324">
        <f>+IF(ISBLANK(REPORTS!H653),"",REPORTS!H653)</f>
        <v>290551.79552865884</v>
      </c>
      <c r="H766" s="1374">
        <f>+IF(ISBLANK(REPORTS!I653),"",REPORTS!I653)</f>
        <v>1</v>
      </c>
    </row>
    <row r="767" spans="1:8">
      <c r="A767" s="1751"/>
      <c r="B767" s="1393">
        <v>31</v>
      </c>
      <c r="C767" s="1324" t="s">
        <v>5265</v>
      </c>
      <c r="D767" s="1324" t="s">
        <v>2067</v>
      </c>
      <c r="E767" s="1324">
        <f>+IF(ISBLANK(REPORTS!F654),"",REPORTS!F654)</f>
        <v>30632.200099340615</v>
      </c>
      <c r="F767" s="1324">
        <f>+IF(ISBLANK(REPORTS!G654),"",REPORTS!G654)</f>
        <v>0</v>
      </c>
      <c r="G767" s="1324">
        <f>+IF(ISBLANK(REPORTS!H654),"",REPORTS!H654)</f>
        <v>30632.200099340615</v>
      </c>
      <c r="H767" s="1374">
        <f>+IF(ISBLANK(REPORTS!I654),"",REPORTS!I654)</f>
        <v>1</v>
      </c>
    </row>
    <row r="768" spans="1:8">
      <c r="A768" s="1751"/>
      <c r="B768" s="1393">
        <v>32</v>
      </c>
      <c r="C768" s="1324" t="s">
        <v>5268</v>
      </c>
      <c r="D768" s="1324" t="s">
        <v>4067</v>
      </c>
      <c r="E768" s="1324">
        <f>+IF(ISBLANK(REPORTS!F655),"",REPORTS!F655)</f>
        <v>15709.633517949591</v>
      </c>
      <c r="F768" s="1324">
        <f>+IF(ISBLANK(REPORTS!G655),"",REPORTS!G655)</f>
        <v>1362.9081027596433</v>
      </c>
      <c r="G768" s="1324">
        <f>+IF(ISBLANK(REPORTS!H655),"",REPORTS!H655)</f>
        <v>14346.725415189947</v>
      </c>
      <c r="H768" s="1374">
        <f>+IF(ISBLANK(REPORTS!I655),"",REPORTS!I655)</f>
        <v>0.91324380029601548</v>
      </c>
    </row>
    <row r="769" spans="1:8">
      <c r="A769" s="1751"/>
      <c r="B769" s="1393">
        <v>33</v>
      </c>
      <c r="C769" s="1324" t="s">
        <v>5239</v>
      </c>
      <c r="D769" s="1324" t="s">
        <v>4067</v>
      </c>
      <c r="E769" s="1324">
        <f>+IF(ISBLANK(REPORTS!F656),"",REPORTS!F656)</f>
        <v>16596.304009286247</v>
      </c>
      <c r="F769" s="1324">
        <f>+IF(ISBLANK(REPORTS!G656),"",REPORTS!G656)</f>
        <v>1075.2223574469951</v>
      </c>
      <c r="G769" s="1324">
        <f>+IF(ISBLANK(REPORTS!H656),"",REPORTS!H656)</f>
        <v>15521.081651839251</v>
      </c>
      <c r="H769" s="1374">
        <f>+IF(ISBLANK(REPORTS!I656),"",REPORTS!I656)</f>
        <v>0.93521314403222733</v>
      </c>
    </row>
    <row r="770" spans="1:8">
      <c r="A770" s="1751"/>
      <c r="B770" s="1393">
        <v>34</v>
      </c>
      <c r="C770" s="1324" t="s">
        <v>5240</v>
      </c>
      <c r="D770" s="1324" t="s">
        <v>4067</v>
      </c>
      <c r="E770" s="1324">
        <f>+IF(ISBLANK(REPORTS!F657),"",REPORTS!F657)</f>
        <v>76341.163093584852</v>
      </c>
      <c r="F770" s="1324">
        <f>+IF(ISBLANK(REPORTS!G657),"",REPORTS!G657)</f>
        <v>0</v>
      </c>
      <c r="G770" s="1324">
        <f>+IF(ISBLANK(REPORTS!H657),"",REPORTS!H657)</f>
        <v>76341.163093584852</v>
      </c>
      <c r="H770" s="1374">
        <f>+IF(ISBLANK(REPORTS!I657),"",REPORTS!I657)</f>
        <v>1</v>
      </c>
    </row>
    <row r="771" spans="1:8">
      <c r="A771" s="1751"/>
      <c r="B771" s="1393">
        <v>35</v>
      </c>
      <c r="C771" s="1324" t="s">
        <v>5241</v>
      </c>
      <c r="D771" s="1324" t="s">
        <v>4067</v>
      </c>
      <c r="E771" s="1324">
        <f>+IF(ISBLANK(REPORTS!F658),"",REPORTS!F658)</f>
        <v>43854.637077825559</v>
      </c>
      <c r="F771" s="1324">
        <f>+IF(ISBLANK(REPORTS!G658),"",REPORTS!G658)</f>
        <v>0</v>
      </c>
      <c r="G771" s="1324">
        <f>+IF(ISBLANK(REPORTS!H658),"",REPORTS!H658)</f>
        <v>43854.637077825559</v>
      </c>
      <c r="H771" s="1374">
        <f>+IF(ISBLANK(REPORTS!I658),"",REPORTS!I658)</f>
        <v>1</v>
      </c>
    </row>
    <row r="772" spans="1:8">
      <c r="A772" s="1751"/>
      <c r="B772" s="1393">
        <v>36</v>
      </c>
      <c r="C772" s="1324" t="s">
        <v>5242</v>
      </c>
      <c r="D772" s="1324" t="s">
        <v>4071</v>
      </c>
      <c r="E772" s="1324">
        <f>+IF(ISBLANK(REPORTS!F659),"",REPORTS!F659)</f>
        <v>47757.415831805716</v>
      </c>
      <c r="F772" s="1324">
        <f>+IF(ISBLANK(REPORTS!G659),"",REPORTS!G659)</f>
        <v>0</v>
      </c>
      <c r="G772" s="1324">
        <f>+IF(ISBLANK(REPORTS!H659),"",REPORTS!H659)</f>
        <v>47757.415831805716</v>
      </c>
      <c r="H772" s="1374">
        <f>+IF(ISBLANK(REPORTS!I659),"",REPORTS!I659)</f>
        <v>1</v>
      </c>
    </row>
    <row r="773" spans="1:8">
      <c r="A773" s="1751"/>
      <c r="B773" s="1393">
        <v>37</v>
      </c>
      <c r="C773" s="1324" t="s">
        <v>5244</v>
      </c>
      <c r="D773" s="1324" t="s">
        <v>4071</v>
      </c>
      <c r="E773" s="1324">
        <f>+IF(ISBLANK(REPORTS!F660),"",REPORTS!F660)</f>
        <v>12431.05871528412</v>
      </c>
      <c r="F773" s="1324">
        <f>+IF(ISBLANK(REPORTS!G660),"",REPORTS!G660)</f>
        <v>0</v>
      </c>
      <c r="G773" s="1324">
        <f>+IF(ISBLANK(REPORTS!H660),"",REPORTS!H660)</f>
        <v>12431.05871528412</v>
      </c>
      <c r="H773" s="1374">
        <f>+IF(ISBLANK(REPORTS!I660),"",REPORTS!I660)</f>
        <v>1</v>
      </c>
    </row>
    <row r="774" spans="1:8">
      <c r="A774" s="1751"/>
      <c r="B774" s="1393">
        <v>38</v>
      </c>
      <c r="C774" s="1324" t="s">
        <v>5453</v>
      </c>
      <c r="D774" s="1324"/>
      <c r="E774" s="1421">
        <f>+IF(ISBLANK(REPORTS!F661),"",REPORTS!F661)</f>
        <v>533874.20787373558</v>
      </c>
      <c r="F774" s="1421">
        <f>+IF(ISBLANK(REPORTS!G661),"",REPORTS!G661)</f>
        <v>2438.1304602066384</v>
      </c>
      <c r="G774" s="1421">
        <f>+IF(ISBLANK(REPORTS!H661),"",REPORTS!H661)</f>
        <v>531436.07741352892</v>
      </c>
      <c r="H774" s="1374">
        <f>+IF(ISBLANK(REPORTS!I661),"",REPORTS!I661)</f>
        <v>0.99543313682465195</v>
      </c>
    </row>
    <row r="775" spans="1:8">
      <c r="A775" s="1751"/>
      <c r="B775" s="1393"/>
      <c r="C775" s="1324"/>
      <c r="D775" s="1324"/>
      <c r="E775" s="1364"/>
      <c r="F775" s="1364"/>
      <c r="G775" s="1364"/>
      <c r="H775" s="1374"/>
    </row>
    <row r="776" spans="1:8">
      <c r="A776" s="1751"/>
    </row>
    <row r="777" spans="1:8">
      <c r="A777" s="1751"/>
    </row>
    <row r="778" spans="1:8">
      <c r="A778" s="1751"/>
    </row>
    <row r="779" spans="1:8">
      <c r="A779" s="1751"/>
    </row>
    <row r="780" spans="1:8">
      <c r="A780" s="1751"/>
    </row>
    <row r="781" spans="1:8">
      <c r="A781" s="1751"/>
      <c r="B781" s="1393"/>
      <c r="C781" s="1324"/>
      <c r="D781" s="1324"/>
      <c r="E781" s="1364"/>
      <c r="F781" s="1364"/>
      <c r="G781" s="1364"/>
      <c r="H781" s="1374"/>
    </row>
    <row r="782" spans="1:8">
      <c r="A782" s="1751"/>
      <c r="B782" s="1393"/>
      <c r="C782" s="1324"/>
      <c r="D782" s="1324"/>
      <c r="E782" s="1364"/>
      <c r="F782" s="1364"/>
      <c r="G782" s="1364"/>
      <c r="H782" s="1374"/>
    </row>
    <row r="783" spans="1:8">
      <c r="A783" s="1751"/>
      <c r="B783" s="1393"/>
      <c r="C783" s="1324"/>
      <c r="D783" s="1324"/>
      <c r="E783" s="1364"/>
      <c r="F783" s="1364"/>
      <c r="G783" s="1364"/>
      <c r="H783" s="1374"/>
    </row>
    <row r="784" spans="1:8">
      <c r="A784" s="1751"/>
      <c r="B784" s="1393"/>
      <c r="C784" s="1324"/>
      <c r="D784" s="1324"/>
      <c r="E784" s="1364"/>
      <c r="F784" s="1364"/>
      <c r="G784" s="1364"/>
      <c r="H784" s="1374"/>
    </row>
    <row r="785" spans="1:8">
      <c r="A785" s="1751"/>
      <c r="B785" s="1393"/>
      <c r="C785" s="1324"/>
      <c r="D785" s="1324"/>
      <c r="E785" s="1364"/>
      <c r="F785" s="1364"/>
      <c r="G785" s="1364"/>
      <c r="H785" s="1374"/>
    </row>
    <row r="786" spans="1:8">
      <c r="A786" s="1751"/>
      <c r="B786" s="1416" t="str">
        <f>+$B$1</f>
        <v>RATES WITH REVENUE DEFICIENCY ADDITION</v>
      </c>
      <c r="C786" s="1324"/>
      <c r="D786" s="1324"/>
      <c r="E786" s="1336"/>
      <c r="F786" s="1329" t="s">
        <v>2173</v>
      </c>
      <c r="G786" s="1324"/>
      <c r="H786" s="1334" t="s">
        <v>5559</v>
      </c>
    </row>
    <row r="787" spans="1:8">
      <c r="A787" s="1751"/>
      <c r="B787" s="1416" t="str">
        <f>+$B$2</f>
        <v xml:space="preserve">PROD. CAP. ALLOC. METHOD: 12 CP </v>
      </c>
      <c r="C787" s="1324"/>
      <c r="D787" s="1324"/>
      <c r="E787" s="1324"/>
      <c r="F787" s="1336" t="s">
        <v>4768</v>
      </c>
      <c r="G787" s="1324"/>
      <c r="H787" s="1731" t="s">
        <v>4061</v>
      </c>
    </row>
    <row r="788" spans="1:8">
      <c r="A788" s="1751"/>
      <c r="B788" s="1416" t="str">
        <f>+$B$3</f>
        <v>PROJECTED CALENDAR YEAR 2025; FULLY ADJUSTED DATA</v>
      </c>
      <c r="C788" s="1324"/>
      <c r="D788" s="1324"/>
      <c r="E788" s="1324"/>
      <c r="F788" s="1336" t="s">
        <v>2181</v>
      </c>
      <c r="G788" s="1324"/>
      <c r="H788" s="1374"/>
    </row>
    <row r="789" spans="1:8">
      <c r="A789" s="1751"/>
      <c r="B789" s="1732">
        <f>+$B$4</f>
        <v>0</v>
      </c>
      <c r="C789" s="1364"/>
      <c r="D789" s="1324"/>
      <c r="E789" s="1324"/>
      <c r="F789" s="1324"/>
      <c r="G789" s="1324"/>
      <c r="H789" s="1374"/>
    </row>
    <row r="790" spans="1:8">
      <c r="A790" s="1751"/>
      <c r="B790" s="1732" t="str">
        <f>+$B$5</f>
        <v>Tampa Electric 2025 OB Budget</v>
      </c>
      <c r="C790" s="1324"/>
      <c r="D790" s="1324"/>
      <c r="E790" s="1329"/>
      <c r="F790" s="1336" t="s">
        <v>5494</v>
      </c>
      <c r="G790" s="1324"/>
      <c r="H790" s="1374"/>
    </row>
    <row r="791" spans="1:8">
      <c r="A791" s="1751"/>
      <c r="B791" s="1416"/>
      <c r="C791" s="1324"/>
      <c r="D791" s="1324"/>
      <c r="E791" s="1336"/>
      <c r="F791" s="1324"/>
      <c r="G791" s="1324"/>
      <c r="H791" s="1374"/>
    </row>
    <row r="792" spans="1:8">
      <c r="A792" s="1760"/>
      <c r="B792" s="1393"/>
      <c r="C792" s="1324"/>
      <c r="D792" s="1324"/>
      <c r="E792" s="1336"/>
      <c r="F792" s="1324"/>
      <c r="G792" s="1324"/>
      <c r="H792" s="1374"/>
    </row>
    <row r="793" spans="1:8" ht="28.2">
      <c r="A793" s="1760"/>
      <c r="B793" s="1737" t="s">
        <v>4297</v>
      </c>
      <c r="C793" s="1741"/>
      <c r="D793" s="1741"/>
      <c r="E793" s="1352" t="s">
        <v>5144</v>
      </c>
      <c r="F793" s="1352" t="s">
        <v>4956</v>
      </c>
      <c r="G793" s="1352" t="s">
        <v>4957</v>
      </c>
      <c r="H793" s="1742" t="s">
        <v>5145</v>
      </c>
    </row>
    <row r="794" spans="1:8">
      <c r="A794" s="1751"/>
      <c r="B794" s="1543"/>
      <c r="C794" s="1447"/>
      <c r="D794" s="1447"/>
      <c r="E794" s="1399"/>
      <c r="F794" s="1399"/>
      <c r="G794" s="1399"/>
      <c r="H794" s="1448"/>
    </row>
    <row r="795" spans="1:8">
      <c r="A795" s="1751"/>
      <c r="B795" s="1393">
        <v>39</v>
      </c>
      <c r="C795" s="1362" t="s">
        <v>5532</v>
      </c>
      <c r="D795" s="1324"/>
      <c r="E795" s="1324"/>
      <c r="F795" s="1324"/>
      <c r="G795" s="1324"/>
      <c r="H795" s="1374"/>
    </row>
    <row r="796" spans="1:8">
      <c r="A796" s="1751"/>
      <c r="B796" s="1393">
        <v>40</v>
      </c>
      <c r="C796" s="1324" t="s">
        <v>5265</v>
      </c>
      <c r="D796" s="1324" t="s">
        <v>4067</v>
      </c>
      <c r="E796" s="1537">
        <f>+IF(ISBLANK(REPORTS!F679),"",REPORTS!F679)</f>
        <v>0</v>
      </c>
      <c r="F796" s="1324">
        <f>+IF(ISBLANK(REPORTS!G679),"",REPORTS!G679)</f>
        <v>0</v>
      </c>
      <c r="G796" s="1324">
        <f>+IF(ISBLANK(REPORTS!H679),"",REPORTS!H679)</f>
        <v>0</v>
      </c>
      <c r="H796" s="1374">
        <f>+IF(ISBLANK(REPORTS!I679),"",REPORTS!I679)</f>
        <v>0</v>
      </c>
    </row>
    <row r="797" spans="1:8">
      <c r="A797" s="1751"/>
      <c r="B797" s="1393">
        <v>41</v>
      </c>
      <c r="C797" s="1324" t="s">
        <v>5265</v>
      </c>
      <c r="D797" s="1324" t="s">
        <v>2067</v>
      </c>
      <c r="E797" s="1537">
        <f>+IF(ISBLANK(REPORTS!F680),"",REPORTS!F680)</f>
        <v>0</v>
      </c>
      <c r="F797" s="1324">
        <f>+IF(ISBLANK(REPORTS!G680),"",REPORTS!G680)</f>
        <v>0</v>
      </c>
      <c r="G797" s="1324">
        <f>+IF(ISBLANK(REPORTS!H680),"",REPORTS!H680)</f>
        <v>0</v>
      </c>
      <c r="H797" s="1374">
        <f>+IF(ISBLANK(REPORTS!I680),"",REPORTS!I680)</f>
        <v>0</v>
      </c>
    </row>
    <row r="798" spans="1:8">
      <c r="A798" s="1751"/>
      <c r="B798" s="1393">
        <v>42</v>
      </c>
      <c r="C798" s="1324" t="s">
        <v>5268</v>
      </c>
      <c r="D798" s="1324" t="s">
        <v>4067</v>
      </c>
      <c r="E798" s="1537">
        <f>+IF(ISBLANK(REPORTS!F681),"",REPORTS!F681)</f>
        <v>0</v>
      </c>
      <c r="F798" s="1324">
        <f>+IF(ISBLANK(REPORTS!G681),"",REPORTS!G681)</f>
        <v>0</v>
      </c>
      <c r="G798" s="1324">
        <f>+IF(ISBLANK(REPORTS!H681),"",REPORTS!H681)</f>
        <v>0</v>
      </c>
      <c r="H798" s="1374">
        <f>+IF(ISBLANK(REPORTS!I681),"",REPORTS!I681)</f>
        <v>0</v>
      </c>
    </row>
    <row r="799" spans="1:8" ht="28.2">
      <c r="A799" s="1753" t="s">
        <v>5143</v>
      </c>
      <c r="B799" s="1393">
        <v>43</v>
      </c>
      <c r="C799" s="1324" t="s">
        <v>5239</v>
      </c>
      <c r="D799" s="1324" t="s">
        <v>4067</v>
      </c>
      <c r="E799" s="1537">
        <f>+IF(ISBLANK(REPORTS!F682),"",REPORTS!F682)</f>
        <v>0</v>
      </c>
      <c r="F799" s="1324">
        <f>+IF(ISBLANK(REPORTS!G682),"",REPORTS!G682)</f>
        <v>0</v>
      </c>
      <c r="G799" s="1324">
        <f>+IF(ISBLANK(REPORTS!H682),"",REPORTS!H682)</f>
        <v>0</v>
      </c>
      <c r="H799" s="1374">
        <f>+IF(ISBLANK(REPORTS!I682),"",REPORTS!I682)</f>
        <v>0</v>
      </c>
    </row>
    <row r="800" spans="1:8">
      <c r="A800" s="1753"/>
      <c r="B800" s="1393">
        <v>44</v>
      </c>
      <c r="C800" s="1324" t="s">
        <v>5240</v>
      </c>
      <c r="D800" s="1324" t="s">
        <v>4067</v>
      </c>
      <c r="E800" s="1537">
        <f>+IF(ISBLANK(REPORTS!F683),"",REPORTS!F683)</f>
        <v>0</v>
      </c>
      <c r="F800" s="1324">
        <f>+IF(ISBLANK(REPORTS!G683),"",REPORTS!G683)</f>
        <v>0</v>
      </c>
      <c r="G800" s="1324">
        <f>+IF(ISBLANK(REPORTS!H683),"",REPORTS!H683)</f>
        <v>0</v>
      </c>
      <c r="H800" s="1374">
        <f>+IF(ISBLANK(REPORTS!I683),"",REPORTS!I683)</f>
        <v>0</v>
      </c>
    </row>
    <row r="801" spans="1:8">
      <c r="A801" s="1751"/>
      <c r="B801" s="1393">
        <v>45</v>
      </c>
      <c r="C801" s="1324" t="s">
        <v>5241</v>
      </c>
      <c r="D801" s="1324" t="s">
        <v>4067</v>
      </c>
      <c r="E801" s="1537">
        <f>+IF(ISBLANK(REPORTS!F684),"",REPORTS!F684)</f>
        <v>0</v>
      </c>
      <c r="F801" s="1324">
        <f>+IF(ISBLANK(REPORTS!G684),"",REPORTS!G684)</f>
        <v>0</v>
      </c>
      <c r="G801" s="1324">
        <f>+IF(ISBLANK(REPORTS!H684),"",REPORTS!H684)</f>
        <v>0</v>
      </c>
      <c r="H801" s="1374">
        <f>+IF(ISBLANK(REPORTS!I684),"",REPORTS!I684)</f>
        <v>0</v>
      </c>
    </row>
    <row r="802" spans="1:8">
      <c r="A802" s="1751"/>
      <c r="B802" s="1393">
        <v>46</v>
      </c>
      <c r="C802" s="1324" t="s">
        <v>5242</v>
      </c>
      <c r="D802" s="1324" t="s">
        <v>4071</v>
      </c>
      <c r="E802" s="1537">
        <f>+IF(ISBLANK(REPORTS!F685),"",REPORTS!F685)</f>
        <v>0</v>
      </c>
      <c r="F802" s="1324">
        <f>+IF(ISBLANK(REPORTS!G685),"",REPORTS!G685)</f>
        <v>0</v>
      </c>
      <c r="G802" s="1324">
        <f>+IF(ISBLANK(REPORTS!H685),"",REPORTS!H685)</f>
        <v>0</v>
      </c>
      <c r="H802" s="1374">
        <f>+IF(ISBLANK(REPORTS!I685),"",REPORTS!I685)</f>
        <v>0</v>
      </c>
    </row>
    <row r="803" spans="1:8">
      <c r="A803" s="1751"/>
      <c r="B803" s="1393">
        <v>47</v>
      </c>
      <c r="C803" s="1324" t="s">
        <v>5244</v>
      </c>
      <c r="D803" s="1324" t="s">
        <v>4071</v>
      </c>
      <c r="E803" s="1537">
        <f>+IF(ISBLANK(REPORTS!F686),"",REPORTS!F686)</f>
        <v>0</v>
      </c>
      <c r="F803" s="1366">
        <f>+IF(ISBLANK(REPORTS!G686),"",REPORTS!G686)</f>
        <v>0</v>
      </c>
      <c r="G803" s="1366">
        <f>+IF(ISBLANK(REPORTS!H686),"",REPORTS!H686)</f>
        <v>0</v>
      </c>
      <c r="H803" s="1374">
        <f>+IF(ISBLANK(REPORTS!I686),"",REPORTS!I686)</f>
        <v>0</v>
      </c>
    </row>
    <row r="804" spans="1:8">
      <c r="A804" s="1751"/>
      <c r="B804" s="1393">
        <v>48</v>
      </c>
      <c r="C804" s="1324" t="s">
        <v>5533</v>
      </c>
      <c r="D804" s="1324"/>
      <c r="E804" s="1421">
        <f>+IF(ISBLANK(REPORTS!F687),"",REPORTS!F687)</f>
        <v>0</v>
      </c>
      <c r="F804" s="1421">
        <f>+IF(ISBLANK(REPORTS!G687),"",REPORTS!G687)</f>
        <v>0</v>
      </c>
      <c r="G804" s="1421">
        <f>+IF(ISBLANK(REPORTS!H687),"",REPORTS!H687)</f>
        <v>0</v>
      </c>
      <c r="H804" s="1374">
        <f>+IF(ISBLANK(REPORTS!I687),"",REPORTS!I687)</f>
        <v>0</v>
      </c>
    </row>
    <row r="805" spans="1:8">
      <c r="A805" s="1751"/>
      <c r="B805" s="1393">
        <v>49</v>
      </c>
      <c r="C805" s="1324"/>
      <c r="D805" s="1324"/>
      <c r="E805" s="1324" t="str">
        <f>+IF(ISBLANK(REPORTS!F688),"",REPORTS!F688)</f>
        <v/>
      </c>
      <c r="F805" s="1324" t="str">
        <f>+IF(ISBLANK(REPORTS!G688),"",REPORTS!G688)</f>
        <v/>
      </c>
      <c r="G805" s="1324" t="str">
        <f>+IF(ISBLANK(REPORTS!H688),"",REPORTS!H688)</f>
        <v/>
      </c>
      <c r="H805" s="1374" t="str">
        <f>+IF(ISBLANK(REPORTS!I688),"",REPORTS!I688)</f>
        <v/>
      </c>
    </row>
    <row r="806" spans="1:8">
      <c r="A806" s="1751"/>
      <c r="B806" s="1393">
        <v>50</v>
      </c>
      <c r="C806" s="1362" t="s">
        <v>5535</v>
      </c>
      <c r="D806" s="1324"/>
      <c r="E806" s="1324" t="str">
        <f>+IF(ISBLANK(REPORTS!F689),"",REPORTS!F689)</f>
        <v/>
      </c>
      <c r="F806" s="1324" t="str">
        <f>+IF(ISBLANK(REPORTS!G689),"",REPORTS!G689)</f>
        <v/>
      </c>
      <c r="G806" s="1324" t="str">
        <f>+IF(ISBLANK(REPORTS!H689),"",REPORTS!H689)</f>
        <v/>
      </c>
      <c r="H806" s="1374" t="str">
        <f>+IF(ISBLANK(REPORTS!I689),"",REPORTS!I689)</f>
        <v/>
      </c>
    </row>
    <row r="807" spans="1:8">
      <c r="A807" s="1751"/>
      <c r="B807" s="1393">
        <v>51</v>
      </c>
      <c r="C807" s="1324" t="s">
        <v>5265</v>
      </c>
      <c r="D807" s="1324" t="s">
        <v>4067</v>
      </c>
      <c r="E807" s="1324">
        <f>+IF(ISBLANK(REPORTS!F690),"",REPORTS!F690)</f>
        <v>51196.763326436805</v>
      </c>
      <c r="F807" s="1324">
        <f>+IF(ISBLANK(REPORTS!G690),"",REPORTS!G690)</f>
        <v>0</v>
      </c>
      <c r="G807" s="1324">
        <f>+IF(ISBLANK(REPORTS!H690),"",REPORTS!H690)</f>
        <v>51196.763326436805</v>
      </c>
      <c r="H807" s="1374">
        <f>+IF(ISBLANK(REPORTS!I690),"",REPORTS!I690)</f>
        <v>1</v>
      </c>
    </row>
    <row r="808" spans="1:8">
      <c r="A808" s="1751"/>
      <c r="B808" s="1393">
        <v>52</v>
      </c>
      <c r="C808" s="1324" t="s">
        <v>5265</v>
      </c>
      <c r="D808" s="1324" t="s">
        <v>2067</v>
      </c>
      <c r="E808" s="1324">
        <f>+IF(ISBLANK(REPORTS!F691),"",REPORTS!F691)</f>
        <v>5739.4427931324281</v>
      </c>
      <c r="F808" s="1324">
        <f>+IF(ISBLANK(REPORTS!G691),"",REPORTS!G691)</f>
        <v>0</v>
      </c>
      <c r="G808" s="1324">
        <f>+IF(ISBLANK(REPORTS!H691),"",REPORTS!H691)</f>
        <v>5739.4427931324281</v>
      </c>
      <c r="H808" s="1374">
        <f>+IF(ISBLANK(REPORTS!I691),"",REPORTS!I691)</f>
        <v>1</v>
      </c>
    </row>
    <row r="809" spans="1:8">
      <c r="A809" s="1751"/>
      <c r="B809" s="1393">
        <v>53</v>
      </c>
      <c r="C809" s="1324" t="s">
        <v>5268</v>
      </c>
      <c r="D809" s="1324" t="s">
        <v>4067</v>
      </c>
      <c r="E809" s="1324">
        <f>+IF(ISBLANK(REPORTS!F692),"",REPORTS!F692)</f>
        <v>3842.091768610097</v>
      </c>
      <c r="F809" s="1324">
        <f>+IF(ISBLANK(REPORTS!G692),"",REPORTS!G692)</f>
        <v>262.12206125588023</v>
      </c>
      <c r="G809" s="1324">
        <f>+IF(ISBLANK(REPORTS!H692),"",REPORTS!H692)</f>
        <v>3579.9638856632278</v>
      </c>
      <c r="H809" s="1374">
        <f>+IF(ISBLANK(REPORTS!I692),"",REPORTS!I692)</f>
        <v>0.93177469494912768</v>
      </c>
    </row>
    <row r="810" spans="1:8">
      <c r="A810" s="1751"/>
      <c r="B810" s="1393">
        <v>54</v>
      </c>
      <c r="C810" s="1324" t="s">
        <v>5239</v>
      </c>
      <c r="D810" s="1324" t="s">
        <v>4067</v>
      </c>
      <c r="E810" s="1324">
        <f>+IF(ISBLANK(REPORTS!F693),"",REPORTS!F693)</f>
        <v>4417.4526336091139</v>
      </c>
      <c r="F810" s="1324">
        <f>+IF(ISBLANK(REPORTS!G693),"",REPORTS!G693)</f>
        <v>299.83364528135036</v>
      </c>
      <c r="G810" s="1324">
        <f>+IF(ISBLANK(REPORTS!H693),"",REPORTS!H693)</f>
        <v>4117.6248100187522</v>
      </c>
      <c r="H810" s="1374">
        <f>+IF(ISBLANK(REPORTS!I693),"",REPORTS!I693)</f>
        <v>0.93212653344391416</v>
      </c>
    </row>
    <row r="811" spans="1:8">
      <c r="A811" s="1751"/>
      <c r="B811" s="1393">
        <v>55</v>
      </c>
      <c r="C811" s="1324" t="s">
        <v>5240</v>
      </c>
      <c r="D811" s="1324" t="s">
        <v>4067</v>
      </c>
      <c r="E811" s="1324">
        <f>+IF(ISBLANK(REPORTS!F694),"",REPORTS!F694)</f>
        <v>16853.009913513808</v>
      </c>
      <c r="F811" s="1324">
        <f>+IF(ISBLANK(REPORTS!G694),"",REPORTS!G694)</f>
        <v>0</v>
      </c>
      <c r="G811" s="1324">
        <f>+IF(ISBLANK(REPORTS!H694),"",REPORTS!H694)</f>
        <v>16853.009913513808</v>
      </c>
      <c r="H811" s="1374">
        <f>+IF(ISBLANK(REPORTS!I694),"",REPORTS!I694)</f>
        <v>1</v>
      </c>
    </row>
    <row r="812" spans="1:8">
      <c r="A812" s="1751"/>
      <c r="B812" s="1393">
        <v>56</v>
      </c>
      <c r="C812" s="1324" t="s">
        <v>5241</v>
      </c>
      <c r="D812" s="1324" t="s">
        <v>4067</v>
      </c>
      <c r="E812" s="1324">
        <f>+IF(ISBLANK(REPORTS!F695),"",REPORTS!F695)</f>
        <v>7339.7985679760041</v>
      </c>
      <c r="F812" s="1324">
        <f>+IF(ISBLANK(REPORTS!G695),"",REPORTS!G695)</f>
        <v>0</v>
      </c>
      <c r="G812" s="1324">
        <f>+IF(ISBLANK(REPORTS!H695),"",REPORTS!H695)</f>
        <v>7339.7985679760041</v>
      </c>
      <c r="H812" s="1374">
        <f>+IF(ISBLANK(REPORTS!I695),"",REPORTS!I695)</f>
        <v>1</v>
      </c>
    </row>
    <row r="813" spans="1:8">
      <c r="A813" s="1751"/>
      <c r="B813" s="1393">
        <v>57</v>
      </c>
      <c r="C813" s="1324" t="s">
        <v>5242</v>
      </c>
      <c r="D813" s="1324" t="s">
        <v>4071</v>
      </c>
      <c r="E813" s="1324">
        <f>+IF(ISBLANK(REPORTS!F696),"",REPORTS!F696)</f>
        <v>8437.1296707808851</v>
      </c>
      <c r="F813" s="1324">
        <f>+IF(ISBLANK(REPORTS!G696),"",REPORTS!G696)</f>
        <v>0</v>
      </c>
      <c r="G813" s="1324">
        <f>+IF(ISBLANK(REPORTS!H696),"",REPORTS!H696)</f>
        <v>8437.1296707808851</v>
      </c>
      <c r="H813" s="1374">
        <f>+IF(ISBLANK(REPORTS!I696),"",REPORTS!I696)</f>
        <v>1</v>
      </c>
    </row>
    <row r="814" spans="1:8">
      <c r="A814" s="1751"/>
      <c r="B814" s="1393">
        <v>58</v>
      </c>
      <c r="C814" s="1324" t="s">
        <v>5244</v>
      </c>
      <c r="D814" s="1324" t="s">
        <v>4071</v>
      </c>
      <c r="E814" s="1324">
        <f>+IF(ISBLANK(REPORTS!F697),"",REPORTS!F697)</f>
        <v>4328.749069178054</v>
      </c>
      <c r="F814" s="1324">
        <f>+IF(ISBLANK(REPORTS!G697),"",REPORTS!G697)</f>
        <v>0</v>
      </c>
      <c r="G814" s="1324">
        <f>+IF(ISBLANK(REPORTS!H697),"",REPORTS!H697)</f>
        <v>4328.749069178054</v>
      </c>
      <c r="H814" s="1374">
        <f>+IF(ISBLANK(REPORTS!I697),"",REPORTS!I697)</f>
        <v>1</v>
      </c>
    </row>
    <row r="815" spans="1:8">
      <c r="A815" s="1751"/>
      <c r="B815" s="1393">
        <v>59</v>
      </c>
      <c r="C815" s="1324" t="s">
        <v>5491</v>
      </c>
      <c r="D815" s="1324"/>
      <c r="E815" s="1421">
        <f>+IF(ISBLANK(REPORTS!F698),"",REPORTS!F698)</f>
        <v>102154.43774323718</v>
      </c>
      <c r="F815" s="1421">
        <f>+IF(ISBLANK(REPORTS!G698),"",REPORTS!G698)</f>
        <v>561.95570653723053</v>
      </c>
      <c r="G815" s="1421">
        <f>+IF(ISBLANK(REPORTS!H698),"",REPORTS!H698)</f>
        <v>101592.48203669996</v>
      </c>
      <c r="H815" s="1374">
        <f>+IF(ISBLANK(REPORTS!I698),"",REPORTS!I698)</f>
        <v>0.99449895942896105</v>
      </c>
    </row>
    <row r="816" spans="1:8">
      <c r="A816" s="1751"/>
      <c r="B816" s="1393">
        <v>60</v>
      </c>
      <c r="C816" s="1324"/>
      <c r="D816" s="1324"/>
      <c r="E816" s="1324" t="str">
        <f>+IF(ISBLANK(REPORTS!F699),"",REPORTS!F699)</f>
        <v/>
      </c>
      <c r="F816" s="1324" t="str">
        <f>+IF(ISBLANK(REPORTS!G699),"",REPORTS!G699)</f>
        <v/>
      </c>
      <c r="G816" s="1324" t="str">
        <f>+IF(ISBLANK(REPORTS!H699),"",REPORTS!H699)</f>
        <v/>
      </c>
      <c r="H816" s="1374" t="str">
        <f>+IF(ISBLANK(REPORTS!I699),"",REPORTS!I699)</f>
        <v/>
      </c>
    </row>
    <row r="817" spans="1:8">
      <c r="A817" s="1751"/>
      <c r="B817" s="1393">
        <v>61</v>
      </c>
      <c r="C817" s="1362" t="s">
        <v>5545</v>
      </c>
      <c r="D817" s="1324"/>
      <c r="E817" s="1324" t="str">
        <f>+IF(ISBLANK(REPORTS!F700),"",REPORTS!F700)</f>
        <v/>
      </c>
      <c r="F817" s="1324" t="str">
        <f>+IF(ISBLANK(REPORTS!G700),"",REPORTS!G700)</f>
        <v/>
      </c>
      <c r="G817" s="1324" t="str">
        <f>+IF(ISBLANK(REPORTS!H700),"",REPORTS!H700)</f>
        <v/>
      </c>
      <c r="H817" s="1374" t="str">
        <f>+IF(ISBLANK(REPORTS!I700),"",REPORTS!I700)</f>
        <v/>
      </c>
    </row>
    <row r="818" spans="1:8">
      <c r="A818" s="1751"/>
      <c r="B818" s="1393">
        <v>62</v>
      </c>
      <c r="C818" s="1324" t="s">
        <v>5265</v>
      </c>
      <c r="D818" s="1324" t="s">
        <v>4067</v>
      </c>
      <c r="E818" s="1324">
        <f>+IF(ISBLANK(REPORTS!F701),"",REPORTS!F701)</f>
        <v>0</v>
      </c>
      <c r="F818" s="1364">
        <f>+IF(ISBLANK(REPORTS!G701),"",REPORTS!G701)</f>
        <v>0</v>
      </c>
      <c r="G818" s="1364">
        <f>+IF(ISBLANK(REPORTS!H701),"",REPORTS!H701)</f>
        <v>0</v>
      </c>
      <c r="H818" s="1374">
        <f>+IF(ISBLANK(REPORTS!I701),"",REPORTS!I701)</f>
        <v>0</v>
      </c>
    </row>
    <row r="819" spans="1:8">
      <c r="A819" s="1751"/>
      <c r="B819" s="1393">
        <v>63</v>
      </c>
      <c r="C819" s="1324" t="s">
        <v>5265</v>
      </c>
      <c r="D819" s="1324" t="s">
        <v>2067</v>
      </c>
      <c r="E819" s="1324">
        <f>+IF(ISBLANK(REPORTS!F702),"",REPORTS!F702)</f>
        <v>0</v>
      </c>
      <c r="F819" s="1364">
        <f>+IF(ISBLANK(REPORTS!G702),"",REPORTS!G702)</f>
        <v>0</v>
      </c>
      <c r="G819" s="1364">
        <f>+IF(ISBLANK(REPORTS!H702),"",REPORTS!H702)</f>
        <v>0</v>
      </c>
      <c r="H819" s="1374">
        <f>+IF(ISBLANK(REPORTS!I702),"",REPORTS!I702)</f>
        <v>0</v>
      </c>
    </row>
    <row r="820" spans="1:8">
      <c r="A820" s="1751"/>
      <c r="B820" s="1393">
        <v>64</v>
      </c>
      <c r="C820" s="1324" t="s">
        <v>5268</v>
      </c>
      <c r="D820" s="1324" t="s">
        <v>4067</v>
      </c>
      <c r="E820" s="1324">
        <f>+IF(ISBLANK(REPORTS!F703),"",REPORTS!F703)</f>
        <v>0</v>
      </c>
      <c r="F820" s="1364">
        <f>+IF(ISBLANK(REPORTS!G703),"",REPORTS!G703)</f>
        <v>0</v>
      </c>
      <c r="G820" s="1364">
        <f>+IF(ISBLANK(REPORTS!H703),"",REPORTS!H703)</f>
        <v>0</v>
      </c>
      <c r="H820" s="1374">
        <f>+IF(ISBLANK(REPORTS!I703),"",REPORTS!I703)</f>
        <v>0</v>
      </c>
    </row>
    <row r="821" spans="1:8">
      <c r="A821" s="1751"/>
      <c r="B821" s="1393">
        <v>65</v>
      </c>
      <c r="C821" s="1324" t="s">
        <v>5239</v>
      </c>
      <c r="D821" s="1324" t="s">
        <v>4067</v>
      </c>
      <c r="E821" s="1324">
        <f>+IF(ISBLANK(REPORTS!F704),"",REPORTS!F704)</f>
        <v>0</v>
      </c>
      <c r="F821" s="1364">
        <f>+IF(ISBLANK(REPORTS!G704),"",REPORTS!G704)</f>
        <v>0</v>
      </c>
      <c r="G821" s="1364">
        <f>+IF(ISBLANK(REPORTS!H704),"",REPORTS!H704)</f>
        <v>0</v>
      </c>
      <c r="H821" s="1374">
        <f>+IF(ISBLANK(REPORTS!I704),"",REPORTS!I704)</f>
        <v>0</v>
      </c>
    </row>
    <row r="822" spans="1:8">
      <c r="A822" s="1751"/>
      <c r="B822" s="1393">
        <v>66</v>
      </c>
      <c r="C822" s="1324" t="s">
        <v>5240</v>
      </c>
      <c r="D822" s="1324" t="s">
        <v>4067</v>
      </c>
      <c r="E822" s="1324">
        <f>+IF(ISBLANK(REPORTS!F705),"",REPORTS!F705)</f>
        <v>0</v>
      </c>
      <c r="F822" s="1364">
        <f>+IF(ISBLANK(REPORTS!G705),"",REPORTS!G705)</f>
        <v>0</v>
      </c>
      <c r="G822" s="1364">
        <f>+IF(ISBLANK(REPORTS!H705),"",REPORTS!H705)</f>
        <v>0</v>
      </c>
      <c r="H822" s="1374">
        <f>+IF(ISBLANK(REPORTS!I705),"",REPORTS!I705)</f>
        <v>0</v>
      </c>
    </row>
    <row r="823" spans="1:8">
      <c r="A823" s="1751"/>
      <c r="B823" s="1393">
        <v>67</v>
      </c>
      <c r="C823" s="1324" t="s">
        <v>5241</v>
      </c>
      <c r="D823" s="1324" t="s">
        <v>4067</v>
      </c>
      <c r="E823" s="1324">
        <f>+IF(ISBLANK(REPORTS!F706),"",REPORTS!F706)</f>
        <v>0</v>
      </c>
      <c r="F823" s="1364">
        <f>+IF(ISBLANK(REPORTS!G706),"",REPORTS!G706)</f>
        <v>0</v>
      </c>
      <c r="G823" s="1364">
        <f>+IF(ISBLANK(REPORTS!H706),"",REPORTS!H706)</f>
        <v>0</v>
      </c>
      <c r="H823" s="1374">
        <f>+IF(ISBLANK(REPORTS!I706),"",REPORTS!I706)</f>
        <v>0</v>
      </c>
    </row>
    <row r="824" spans="1:8">
      <c r="A824" s="1751">
        <v>101</v>
      </c>
      <c r="B824" s="1393">
        <v>68</v>
      </c>
      <c r="C824" s="1324" t="s">
        <v>5242</v>
      </c>
      <c r="D824" s="1324" t="s">
        <v>4071</v>
      </c>
      <c r="E824" s="1324">
        <f>+IF(ISBLANK(REPORTS!F707),"",REPORTS!F707)</f>
        <v>0</v>
      </c>
      <c r="F824" s="1364">
        <f>+IF(ISBLANK(REPORTS!G707),"",REPORTS!G707)</f>
        <v>0</v>
      </c>
      <c r="G824" s="1364">
        <f>+IF(ISBLANK(REPORTS!H707),"",REPORTS!H707)</f>
        <v>0</v>
      </c>
      <c r="H824" s="1374">
        <f>+IF(ISBLANK(REPORTS!I707),"",REPORTS!I707)</f>
        <v>0</v>
      </c>
    </row>
    <row r="825" spans="1:8">
      <c r="A825" s="1751">
        <v>101</v>
      </c>
      <c r="B825" s="1393">
        <v>69</v>
      </c>
      <c r="C825" s="1324" t="s">
        <v>5244</v>
      </c>
      <c r="D825" s="1324" t="s">
        <v>4071</v>
      </c>
      <c r="E825" s="1324">
        <f>+IF(ISBLANK(REPORTS!F708),"",REPORTS!F708)</f>
        <v>0</v>
      </c>
      <c r="F825" s="1364">
        <f>+IF(ISBLANK(REPORTS!G708),"",REPORTS!G708)</f>
        <v>0</v>
      </c>
      <c r="G825" s="1364">
        <f>+IF(ISBLANK(REPORTS!H708),"",REPORTS!H708)</f>
        <v>0</v>
      </c>
      <c r="H825" s="1374">
        <f>+IF(ISBLANK(REPORTS!I708),"",REPORTS!I708)</f>
        <v>0</v>
      </c>
    </row>
    <row r="826" spans="1:8">
      <c r="A826" s="1751">
        <v>117</v>
      </c>
      <c r="B826" s="1393">
        <v>70</v>
      </c>
      <c r="C826" s="1324" t="s">
        <v>5546</v>
      </c>
      <c r="D826" s="1324"/>
      <c r="E826" s="1421">
        <f>+IF(ISBLANK(REPORTS!F709),"",REPORTS!F709)</f>
        <v>0</v>
      </c>
      <c r="F826" s="1421">
        <f>+IF(ISBLANK(REPORTS!G709),"",REPORTS!G709)</f>
        <v>0</v>
      </c>
      <c r="G826" s="1421">
        <f>+IF(ISBLANK(REPORTS!H709),"",REPORTS!H709)</f>
        <v>0</v>
      </c>
      <c r="H826" s="1374">
        <f>+IF(ISBLANK(REPORTS!I709),"",REPORTS!I709)</f>
        <v>0</v>
      </c>
    </row>
    <row r="827" spans="1:8">
      <c r="A827" s="1751">
        <v>117</v>
      </c>
      <c r="B827" s="1393">
        <v>71</v>
      </c>
      <c r="C827" s="1324"/>
      <c r="D827" s="1324"/>
      <c r="E827" s="1324" t="str">
        <f>+IF(ISBLANK(REPORTS!F710),"",REPORTS!F710)</f>
        <v/>
      </c>
      <c r="F827" s="1324" t="str">
        <f>+IF(ISBLANK(REPORTS!G710),"",REPORTS!G710)</f>
        <v/>
      </c>
      <c r="G827" s="1324" t="str">
        <f>+IF(ISBLANK(REPORTS!H710),"",REPORTS!H710)</f>
        <v/>
      </c>
      <c r="H827" s="1374" t="str">
        <f>+IF(ISBLANK(REPORTS!I710),"",REPORTS!I710)</f>
        <v/>
      </c>
    </row>
    <row r="828" spans="1:8">
      <c r="A828" s="1751">
        <v>105</v>
      </c>
      <c r="B828" s="1393">
        <v>72</v>
      </c>
      <c r="C828" s="1362" t="s">
        <v>5548</v>
      </c>
      <c r="D828" s="1324"/>
      <c r="E828" s="1324" t="str">
        <f>+IF(ISBLANK(REPORTS!F711),"",REPORTS!F711)</f>
        <v/>
      </c>
      <c r="F828" s="1324" t="str">
        <f>+IF(ISBLANK(REPORTS!G711),"",REPORTS!G711)</f>
        <v/>
      </c>
      <c r="G828" s="1324" t="str">
        <f>+IF(ISBLANK(REPORTS!H711),"",REPORTS!H711)</f>
        <v/>
      </c>
      <c r="H828" s="1374" t="str">
        <f>+IF(ISBLANK(REPORTS!I711),"",REPORTS!I711)</f>
        <v/>
      </c>
    </row>
    <row r="829" spans="1:8">
      <c r="A829" s="1751">
        <v>106</v>
      </c>
      <c r="B829" s="1393">
        <v>73</v>
      </c>
      <c r="C829" s="1324" t="s">
        <v>5354</v>
      </c>
      <c r="D829" s="1324" t="s">
        <v>4777</v>
      </c>
      <c r="E829" s="1324">
        <f>+IF(ISBLANK(REPORTS!F712),"",REPORTS!F712)</f>
        <v>1782281.2948316957</v>
      </c>
      <c r="F829" s="1324">
        <f>+IF(ISBLANK(REPORTS!G712),"",REPORTS!G712)</f>
        <v>7929.0305824175994</v>
      </c>
      <c r="G829" s="1324">
        <f>+IF(ISBLANK(REPORTS!H712),"",REPORTS!H712)</f>
        <v>1774352.2642492782</v>
      </c>
      <c r="H829" s="1374">
        <f>+IF(ISBLANK(REPORTS!I712),"",REPORTS!I712)</f>
        <v>0.99555119014859761</v>
      </c>
    </row>
    <row r="830" spans="1:8">
      <c r="A830" s="1751">
        <v>907</v>
      </c>
      <c r="B830" s="1393">
        <v>74</v>
      </c>
      <c r="C830" s="1324" t="s">
        <v>5265</v>
      </c>
      <c r="D830" s="1324" t="s">
        <v>4067</v>
      </c>
      <c r="E830" s="1324">
        <f>+IF(ISBLANK(REPORTS!F713),"",REPORTS!F713)</f>
        <v>-499519.65402862878</v>
      </c>
      <c r="F830" s="1324">
        <f>+IF(ISBLANK(REPORTS!G713),"",REPORTS!G713)</f>
        <v>0</v>
      </c>
      <c r="G830" s="1324">
        <f>+IF(ISBLANK(REPORTS!H713),"",REPORTS!H713)</f>
        <v>-499519.65402862878</v>
      </c>
      <c r="H830" s="1374">
        <f>+IF(ISBLANK(REPORTS!I713),"",REPORTS!I713)</f>
        <v>1</v>
      </c>
    </row>
    <row r="831" spans="1:8">
      <c r="A831" s="1751">
        <v>412</v>
      </c>
      <c r="B831" s="1393">
        <v>75</v>
      </c>
      <c r="C831" s="1324" t="s">
        <v>5265</v>
      </c>
      <c r="D831" s="1324" t="s">
        <v>2067</v>
      </c>
      <c r="E831" s="1324">
        <f>+IF(ISBLANK(REPORTS!F714),"",REPORTS!F714)</f>
        <v>-77921.073231477538</v>
      </c>
      <c r="F831" s="1324">
        <f>+IF(ISBLANK(REPORTS!G714),"",REPORTS!G714)</f>
        <v>-1.84900420208578E-3</v>
      </c>
      <c r="G831" s="1324">
        <f>+IF(ISBLANK(REPORTS!H714),"",REPORTS!H714)</f>
        <v>-77921.071382473339</v>
      </c>
      <c r="H831" s="1374">
        <f>+IF(ISBLANK(REPORTS!I714),"",REPORTS!I714)</f>
        <v>0.99999997627080683</v>
      </c>
    </row>
    <row r="832" spans="1:8">
      <c r="A832" s="1751"/>
      <c r="B832" s="1393">
        <v>76</v>
      </c>
      <c r="C832" s="1324" t="s">
        <v>5268</v>
      </c>
      <c r="D832" s="1324" t="s">
        <v>4067</v>
      </c>
      <c r="E832" s="1324">
        <f>+IF(ISBLANK(REPORTS!F715),"",REPORTS!F715)</f>
        <v>-22601.16803549571</v>
      </c>
      <c r="F832" s="1324">
        <f>+IF(ISBLANK(REPORTS!G715),"",REPORTS!G715)</f>
        <v>-1967.1157951283139</v>
      </c>
      <c r="G832" s="1324">
        <f>+IF(ISBLANK(REPORTS!H715),"",REPORTS!H715)</f>
        <v>-20633.910933757241</v>
      </c>
      <c r="H832" s="1374">
        <f>+IF(ISBLANK(REPORTS!I715),"",REPORTS!I715)</f>
        <v>0.91295772419156207</v>
      </c>
    </row>
    <row r="833" spans="1:8">
      <c r="A833" s="1751"/>
      <c r="B833" s="1393">
        <v>77</v>
      </c>
      <c r="C833" s="1324" t="s">
        <v>5239</v>
      </c>
      <c r="D833" s="1324" t="s">
        <v>4067</v>
      </c>
      <c r="E833" s="1324">
        <f>+IF(ISBLANK(REPORTS!F716),"",REPORTS!F716)</f>
        <v>-33151.095432460053</v>
      </c>
      <c r="F833" s="1324">
        <f>+IF(ISBLANK(REPORTS!G716),"",REPORTS!G716)</f>
        <v>-2647.4089273364266</v>
      </c>
      <c r="G833" s="1324">
        <f>+IF(ISBLANK(REPORTS!H716),"",REPORTS!H716)</f>
        <v>-30503.827811733776</v>
      </c>
      <c r="H833" s="1374">
        <f>+IF(ISBLANK(REPORTS!I716),"",REPORTS!I716)</f>
        <v>0.92014539531221062</v>
      </c>
    </row>
    <row r="834" spans="1:8">
      <c r="A834" s="1751"/>
      <c r="B834" s="1393">
        <v>78</v>
      </c>
      <c r="C834" s="1324" t="s">
        <v>5240</v>
      </c>
      <c r="D834" s="1324" t="s">
        <v>4067</v>
      </c>
      <c r="E834" s="1324">
        <f>+IF(ISBLANK(REPORTS!F717),"",REPORTS!F717)</f>
        <v>-137031.04722340967</v>
      </c>
      <c r="F834" s="1324">
        <f>+IF(ISBLANK(REPORTS!G717),"",REPORTS!G717)</f>
        <v>0</v>
      </c>
      <c r="G834" s="1324">
        <f>+IF(ISBLANK(REPORTS!H717),"",REPORTS!H717)</f>
        <v>-137031.04722340967</v>
      </c>
      <c r="H834" s="1374">
        <f>+IF(ISBLANK(REPORTS!I717),"",REPORTS!I717)</f>
        <v>1</v>
      </c>
    </row>
    <row r="835" spans="1:8">
      <c r="A835" s="1751"/>
      <c r="B835" s="1393">
        <v>79</v>
      </c>
      <c r="C835" s="1324" t="s">
        <v>5241</v>
      </c>
      <c r="D835" s="1324" t="s">
        <v>4067</v>
      </c>
      <c r="E835" s="1324">
        <f>+IF(ISBLANK(REPORTS!F718),"",REPORTS!F718)</f>
        <v>-60622.800739802347</v>
      </c>
      <c r="F835" s="1324">
        <f>+IF(ISBLANK(REPORTS!G718),"",REPORTS!G718)</f>
        <v>0</v>
      </c>
      <c r="G835" s="1324">
        <f>+IF(ISBLANK(REPORTS!H718),"",REPORTS!H718)</f>
        <v>-60622.800739802347</v>
      </c>
      <c r="H835" s="1374">
        <f>+IF(ISBLANK(REPORTS!I718),"",REPORTS!I718)</f>
        <v>1</v>
      </c>
    </row>
    <row r="836" spans="1:8">
      <c r="A836" s="1751"/>
      <c r="B836" s="1393">
        <v>80</v>
      </c>
      <c r="C836" s="1324" t="s">
        <v>5242</v>
      </c>
      <c r="D836" s="1324" t="s">
        <v>4071</v>
      </c>
      <c r="E836" s="1324">
        <f>+IF(ISBLANK(REPORTS!F719),"",REPORTS!F719)</f>
        <v>-94360.61880413859</v>
      </c>
      <c r="F836" s="1324">
        <f>+IF(ISBLANK(REPORTS!G719),"",REPORTS!G719)</f>
        <v>0</v>
      </c>
      <c r="G836" s="1324">
        <f>+IF(ISBLANK(REPORTS!H719),"",REPORTS!H719)</f>
        <v>-94360.61880413859</v>
      </c>
      <c r="H836" s="1374">
        <f>+IF(ISBLANK(REPORTS!I719),"",REPORTS!I719)</f>
        <v>1</v>
      </c>
    </row>
    <row r="837" spans="1:8">
      <c r="A837" s="1751"/>
      <c r="B837" s="1393">
        <v>81</v>
      </c>
      <c r="C837" s="1324" t="s">
        <v>5244</v>
      </c>
      <c r="D837" s="1324" t="s">
        <v>4071</v>
      </c>
      <c r="E837" s="1324">
        <f>+IF(ISBLANK(REPORTS!F720),"",REPORTS!F720)</f>
        <v>-64103.808387915196</v>
      </c>
      <c r="F837" s="1324">
        <f>+IF(ISBLANK(REPORTS!G720),"",REPORTS!G720)</f>
        <v>0</v>
      </c>
      <c r="G837" s="1324">
        <f>+IF(ISBLANK(REPORTS!H720),"",REPORTS!H720)</f>
        <v>-64103.808387915196</v>
      </c>
      <c r="H837" s="1374">
        <f>+IF(ISBLANK(REPORTS!I720),"",REPORTS!I720)</f>
        <v>1</v>
      </c>
    </row>
    <row r="838" spans="1:8">
      <c r="A838" s="1751"/>
      <c r="B838" s="1393">
        <v>82</v>
      </c>
      <c r="C838" s="1324" t="s">
        <v>5557</v>
      </c>
      <c r="D838" s="1324"/>
      <c r="E838" s="1421">
        <f>+IF(ISBLANK(REPORTS!F721),"",REPORTS!F721)</f>
        <v>792970.02894836781</v>
      </c>
      <c r="F838" s="1421">
        <f>+IF(ISBLANK(REPORTS!G721),"",REPORTS!G721)</f>
        <v>3314.5040109486567</v>
      </c>
      <c r="G838" s="1421">
        <f>+IF(ISBLANK(REPORTS!H721),"",REPORTS!H721)</f>
        <v>789655.52493741922</v>
      </c>
      <c r="H838" s="1374">
        <f>+IF(ISBLANK(REPORTS!I721),"",REPORTS!I721)</f>
        <v>0.99582013961442617</v>
      </c>
    </row>
    <row r="839" spans="1:8">
      <c r="A839" s="1751"/>
    </row>
    <row r="840" spans="1:8">
      <c r="A840" s="1751"/>
    </row>
    <row r="841" spans="1:8">
      <c r="A841" s="1751"/>
    </row>
    <row r="842" spans="1:8">
      <c r="A842" s="1751"/>
    </row>
    <row r="843" spans="1:8">
      <c r="A843" s="1751"/>
    </row>
    <row r="844" spans="1:8">
      <c r="A844" s="1751"/>
    </row>
    <row r="845" spans="1:8">
      <c r="A845" s="1751"/>
      <c r="B845" s="1393"/>
      <c r="C845" s="1324"/>
      <c r="D845" s="1324"/>
      <c r="E845" s="1364"/>
      <c r="F845" s="1364"/>
      <c r="G845" s="1364"/>
      <c r="H845" s="1374"/>
    </row>
    <row r="846" spans="1:8">
      <c r="A846" s="1751"/>
      <c r="B846" s="1416" t="str">
        <f>+$B$1</f>
        <v>RATES WITH REVENUE DEFICIENCY ADDITION</v>
      </c>
      <c r="C846" s="1324"/>
      <c r="D846" s="1324"/>
      <c r="E846" s="1336"/>
      <c r="F846" s="1329" t="s">
        <v>2173</v>
      </c>
      <c r="G846" s="1324"/>
      <c r="H846" s="1334" t="s">
        <v>5590</v>
      </c>
    </row>
    <row r="847" spans="1:8">
      <c r="A847" s="1751"/>
      <c r="B847" s="1416" t="str">
        <f>+$B$2</f>
        <v xml:space="preserve">PROD. CAP. ALLOC. METHOD: 12 CP </v>
      </c>
      <c r="C847" s="1324"/>
      <c r="D847" s="1324"/>
      <c r="E847" s="1324"/>
      <c r="F847" s="1336" t="s">
        <v>4768</v>
      </c>
      <c r="G847" s="1324"/>
      <c r="H847" s="1731" t="s">
        <v>4062</v>
      </c>
    </row>
    <row r="848" spans="1:8">
      <c r="A848" s="1751"/>
      <c r="B848" s="1416" t="str">
        <f>+$B$3</f>
        <v>PROJECTED CALENDAR YEAR 2025; FULLY ADJUSTED DATA</v>
      </c>
      <c r="C848" s="1324"/>
      <c r="D848" s="1324"/>
      <c r="E848" s="1324"/>
      <c r="F848" s="1336" t="s">
        <v>2181</v>
      </c>
      <c r="G848" s="1324"/>
      <c r="H848" s="1374"/>
    </row>
    <row r="849" spans="1:8">
      <c r="A849" s="1751"/>
      <c r="B849" s="1732">
        <f>+$B$4</f>
        <v>0</v>
      </c>
      <c r="C849" s="1364"/>
      <c r="D849" s="1324"/>
      <c r="E849" s="1324"/>
      <c r="F849" s="1324"/>
      <c r="G849" s="1324"/>
      <c r="H849" s="1374"/>
    </row>
    <row r="850" spans="1:8">
      <c r="A850" s="1751"/>
      <c r="B850" s="1732" t="str">
        <f>+$B$5</f>
        <v>Tampa Electric 2025 OB Budget</v>
      </c>
      <c r="C850" s="1324"/>
      <c r="D850" s="1324"/>
      <c r="E850" s="1329"/>
      <c r="F850" s="1336" t="s">
        <v>5494</v>
      </c>
      <c r="G850" s="1324"/>
      <c r="H850" s="1374"/>
    </row>
    <row r="851" spans="1:8">
      <c r="A851" s="1751"/>
      <c r="B851" s="1393"/>
      <c r="C851" s="1324"/>
      <c r="D851" s="1324"/>
      <c r="E851" s="1336"/>
      <c r="F851" s="1324"/>
      <c r="G851" s="1324"/>
      <c r="H851" s="1374"/>
    </row>
    <row r="852" spans="1:8">
      <c r="A852" s="1751"/>
      <c r="B852" s="1393"/>
      <c r="C852" s="1324"/>
      <c r="D852" s="1324"/>
      <c r="E852" s="1336"/>
      <c r="F852" s="1324"/>
      <c r="G852" s="1324"/>
      <c r="H852" s="1374"/>
    </row>
    <row r="853" spans="1:8">
      <c r="A853" s="1760"/>
      <c r="B853" s="1393"/>
      <c r="C853" s="1324"/>
      <c r="D853" s="1324"/>
      <c r="E853" s="1324"/>
      <c r="F853" s="1324"/>
      <c r="G853" s="1324"/>
      <c r="H853" s="1374"/>
    </row>
    <row r="854" spans="1:8">
      <c r="A854" s="1760"/>
      <c r="B854" s="1735"/>
      <c r="C854" s="1416"/>
      <c r="D854" s="1416"/>
      <c r="E854" s="1336"/>
      <c r="F854" s="1336"/>
      <c r="G854" s="1336"/>
      <c r="H854" s="1736"/>
    </row>
    <row r="855" spans="1:8" ht="28.2">
      <c r="A855" s="1751"/>
      <c r="B855" s="1737" t="s">
        <v>4297</v>
      </c>
      <c r="C855" s="1741"/>
      <c r="D855" s="1741"/>
      <c r="E855" s="1352" t="s">
        <v>5144</v>
      </c>
      <c r="F855" s="1352" t="s">
        <v>4956</v>
      </c>
      <c r="G855" s="1352" t="s">
        <v>4957</v>
      </c>
      <c r="H855" s="1742" t="s">
        <v>5145</v>
      </c>
    </row>
    <row r="856" spans="1:8">
      <c r="A856" s="1751"/>
      <c r="B856" s="1393"/>
      <c r="C856" s="1324"/>
      <c r="D856" s="1324"/>
      <c r="E856" s="1324"/>
      <c r="F856" s="1324"/>
      <c r="G856" s="1324"/>
      <c r="H856" s="1374"/>
    </row>
    <row r="857" spans="1:8">
      <c r="A857" s="1751"/>
      <c r="B857" s="1393">
        <v>83</v>
      </c>
      <c r="C857" s="1362" t="s">
        <v>5560</v>
      </c>
      <c r="D857" s="1324"/>
      <c r="E857" s="1324"/>
      <c r="F857" s="1324"/>
      <c r="G857" s="1324"/>
      <c r="H857" s="1374"/>
    </row>
    <row r="858" spans="1:8">
      <c r="A858" s="1751"/>
      <c r="B858" s="1393">
        <v>84</v>
      </c>
      <c r="C858" s="1324" t="s">
        <v>5265</v>
      </c>
      <c r="D858" s="1324" t="s">
        <v>4067</v>
      </c>
      <c r="E858" s="1324">
        <f>+IF(ISBLANK(REPORTS!F739),"",REPORTS!F739)</f>
        <v>101438.76376111731</v>
      </c>
      <c r="F858" s="1364">
        <f>+IF(ISBLANK(REPORTS!G739),"",REPORTS!G739)</f>
        <v>0</v>
      </c>
      <c r="G858" s="1364">
        <f>+IF(ISBLANK(REPORTS!H739),"",REPORTS!H739)</f>
        <v>101438.76376111731</v>
      </c>
      <c r="H858" s="1374">
        <f>+IF(ISBLANK(REPORTS!I739),"",REPORTS!I739)</f>
        <v>1</v>
      </c>
    </row>
    <row r="859" spans="1:8">
      <c r="A859" s="1751"/>
      <c r="B859" s="1393">
        <v>85</v>
      </c>
      <c r="C859" s="1324" t="s">
        <v>5265</v>
      </c>
      <c r="D859" s="1324" t="s">
        <v>2067</v>
      </c>
      <c r="E859" s="1324">
        <f>+IF(ISBLANK(REPORTS!F740),"",REPORTS!F740)</f>
        <v>7628.7877112605429</v>
      </c>
      <c r="F859" s="1364">
        <f>+IF(ISBLANK(REPORTS!G740),"",REPORTS!G740)</f>
        <v>0</v>
      </c>
      <c r="G859" s="1364">
        <f>+IF(ISBLANK(REPORTS!H740),"",REPORTS!H740)</f>
        <v>7628.7877112605429</v>
      </c>
      <c r="H859" s="1374">
        <f>+IF(ISBLANK(REPORTS!I740),"",REPORTS!I740)</f>
        <v>1</v>
      </c>
    </row>
    <row r="860" spans="1:8">
      <c r="A860" s="1751"/>
      <c r="B860" s="1393">
        <v>86</v>
      </c>
      <c r="C860" s="1324" t="s">
        <v>5268</v>
      </c>
      <c r="D860" s="1324" t="s">
        <v>4067</v>
      </c>
      <c r="E860" s="1324">
        <f>+IF(ISBLANK(REPORTS!F741),"",REPORTS!F741)</f>
        <v>8001.8674565720094</v>
      </c>
      <c r="F860" s="1364">
        <f>+IF(ISBLANK(REPORTS!G741),"",REPORTS!G741)</f>
        <v>518.41583438213763</v>
      </c>
      <c r="G860" s="1364">
        <f>+IF(ISBLANK(REPORTS!H741),"",REPORTS!H741)</f>
        <v>7483.4516221898712</v>
      </c>
      <c r="H860" s="1374">
        <f>+IF(ISBLANK(REPORTS!I741),"",REPORTS!I741)</f>
        <v>0.93521314403222733</v>
      </c>
    </row>
    <row r="861" spans="1:8">
      <c r="A861" s="1751"/>
      <c r="B861" s="1393">
        <v>87</v>
      </c>
      <c r="C861" s="1324" t="s">
        <v>5239</v>
      </c>
      <c r="D861" s="1324" t="s">
        <v>4067</v>
      </c>
      <c r="E861" s="1324">
        <f>+IF(ISBLANK(REPORTS!F742),"",REPORTS!F742)</f>
        <v>8686.2498613002645</v>
      </c>
      <c r="F861" s="1364">
        <f>+IF(ISBLANK(REPORTS!G742),"",REPORTS!G742)</f>
        <v>562.75481866414498</v>
      </c>
      <c r="G861" s="1364">
        <f>+IF(ISBLANK(REPORTS!H742),"",REPORTS!H742)</f>
        <v>8123.4950426361193</v>
      </c>
      <c r="H861" s="1374">
        <f>+IF(ISBLANK(REPORTS!I742),"",REPORTS!I742)</f>
        <v>0.93521314403222733</v>
      </c>
    </row>
    <row r="862" spans="1:8" ht="28.2">
      <c r="A862" s="1753" t="s">
        <v>5143</v>
      </c>
      <c r="B862" s="1393">
        <v>88</v>
      </c>
      <c r="C862" s="1324" t="s">
        <v>5240</v>
      </c>
      <c r="D862" s="1324" t="s">
        <v>4067</v>
      </c>
      <c r="E862" s="1324">
        <f>+IF(ISBLANK(REPORTS!F743),"",REPORTS!F743)</f>
        <v>28304.114763554495</v>
      </c>
      <c r="F862" s="1364">
        <f>+IF(ISBLANK(REPORTS!G743),"",REPORTS!G743)</f>
        <v>0</v>
      </c>
      <c r="G862" s="1364">
        <f>+IF(ISBLANK(REPORTS!H743),"",REPORTS!H743)</f>
        <v>28304.114763554495</v>
      </c>
      <c r="H862" s="1374">
        <f>+IF(ISBLANK(REPORTS!I743),"",REPORTS!I743)</f>
        <v>1</v>
      </c>
    </row>
    <row r="863" spans="1:8">
      <c r="A863" s="1751"/>
      <c r="B863" s="1393">
        <v>89</v>
      </c>
      <c r="C863" s="1324" t="s">
        <v>5241</v>
      </c>
      <c r="D863" s="1324" t="s">
        <v>4067</v>
      </c>
      <c r="E863" s="1324">
        <f>+IF(ISBLANK(REPORTS!F744),"",REPORTS!F744)</f>
        <v>12442.559437223341</v>
      </c>
      <c r="F863" s="1364">
        <f>+IF(ISBLANK(REPORTS!G744),"",REPORTS!G744)</f>
        <v>0</v>
      </c>
      <c r="G863" s="1364">
        <f>+IF(ISBLANK(REPORTS!H744),"",REPORTS!H744)</f>
        <v>12442.559437223341</v>
      </c>
      <c r="H863" s="1374">
        <f>+IF(ISBLANK(REPORTS!I744),"",REPORTS!I744)</f>
        <v>1</v>
      </c>
    </row>
    <row r="864" spans="1:8">
      <c r="A864" s="1751"/>
      <c r="B864" s="1393">
        <v>90</v>
      </c>
      <c r="C864" s="1324" t="s">
        <v>5242</v>
      </c>
      <c r="D864" s="1324" t="s">
        <v>4071</v>
      </c>
      <c r="E864" s="1324">
        <f>+IF(ISBLANK(REPORTS!F745),"",REPORTS!F745)</f>
        <v>12136.7048712376</v>
      </c>
      <c r="F864" s="1364">
        <f>+IF(ISBLANK(REPORTS!G745),"",REPORTS!G745)</f>
        <v>0</v>
      </c>
      <c r="G864" s="1364">
        <f>+IF(ISBLANK(REPORTS!H745),"",REPORTS!H745)</f>
        <v>12136.7048712376</v>
      </c>
      <c r="H864" s="1374">
        <f>+IF(ISBLANK(REPORTS!I745),"",REPORTS!I745)</f>
        <v>1</v>
      </c>
    </row>
    <row r="865" spans="1:8">
      <c r="A865" s="1751">
        <v>101</v>
      </c>
      <c r="B865" s="1393">
        <v>91</v>
      </c>
      <c r="C865" s="1324" t="s">
        <v>5244</v>
      </c>
      <c r="D865" s="1324" t="s">
        <v>4071</v>
      </c>
      <c r="E865" s="1324">
        <f>+IF(ISBLANK(REPORTS!F746),"",REPORTS!F746)</f>
        <v>3707.9041377343915</v>
      </c>
      <c r="F865" s="1364">
        <f>+IF(ISBLANK(REPORTS!G746),"",REPORTS!G746)</f>
        <v>0</v>
      </c>
      <c r="G865" s="1364">
        <f>+IF(ISBLANK(REPORTS!H746),"",REPORTS!H746)</f>
        <v>3707.9041377343915</v>
      </c>
      <c r="H865" s="1374">
        <f>+IF(ISBLANK(REPORTS!I746),"",REPORTS!I746)</f>
        <v>1</v>
      </c>
    </row>
    <row r="866" spans="1:8">
      <c r="A866" s="1751">
        <v>101</v>
      </c>
      <c r="B866" s="1393">
        <v>92</v>
      </c>
      <c r="C866" s="1324" t="s">
        <v>5561</v>
      </c>
      <c r="D866" s="1324"/>
      <c r="E866" s="1421">
        <f>+IF(ISBLANK(REPORTS!F747),"",REPORTS!F747)</f>
        <v>182346.95199999996</v>
      </c>
      <c r="F866" s="1421">
        <f>+IF(ISBLANK(REPORTS!G747),"",REPORTS!G747)</f>
        <v>1081.1706530462825</v>
      </c>
      <c r="G866" s="1421">
        <f>+IF(ISBLANK(REPORTS!H747),"",REPORTS!H747)</f>
        <v>181265.78134695365</v>
      </c>
      <c r="H866" s="1374">
        <f>+IF(ISBLANK(REPORTS!I747),"",REPORTS!I747)</f>
        <v>0.99407080490686617</v>
      </c>
    </row>
    <row r="867" spans="1:8">
      <c r="A867" s="1751">
        <v>117</v>
      </c>
      <c r="B867" s="1393">
        <v>93</v>
      </c>
      <c r="C867" s="1324"/>
      <c r="D867" s="1324"/>
      <c r="E867" s="1324" t="str">
        <f>+IF(ISBLANK(REPORTS!F748),"",REPORTS!F748)</f>
        <v/>
      </c>
      <c r="F867" s="1324" t="str">
        <f>+IF(ISBLANK(REPORTS!G748),"",REPORTS!G748)</f>
        <v/>
      </c>
      <c r="G867" s="1324" t="str">
        <f>+IF(ISBLANK(REPORTS!H748),"",REPORTS!H748)</f>
        <v/>
      </c>
      <c r="H867" s="1374" t="str">
        <f>+IF(ISBLANK(REPORTS!I748),"",REPORTS!I748)</f>
        <v/>
      </c>
    </row>
    <row r="868" spans="1:8">
      <c r="A868" s="1751">
        <v>117</v>
      </c>
      <c r="B868" s="1393">
        <v>94</v>
      </c>
      <c r="C868" s="1362" t="s">
        <v>5563</v>
      </c>
      <c r="D868" s="1324"/>
      <c r="E868" s="1324" t="str">
        <f>+IF(ISBLANK(REPORTS!F749),"",REPORTS!F749)</f>
        <v/>
      </c>
      <c r="F868" s="1324" t="str">
        <f>+IF(ISBLANK(REPORTS!G749),"",REPORTS!G749)</f>
        <v/>
      </c>
      <c r="G868" s="1324" t="str">
        <f>+IF(ISBLANK(REPORTS!H749),"",REPORTS!H749)</f>
        <v/>
      </c>
      <c r="H868" s="1374" t="str">
        <f>+IF(ISBLANK(REPORTS!I749),"",REPORTS!I749)</f>
        <v/>
      </c>
    </row>
    <row r="869" spans="1:8">
      <c r="A869" s="1751">
        <v>105</v>
      </c>
      <c r="B869" s="1393">
        <v>95</v>
      </c>
      <c r="C869" s="1324" t="s">
        <v>5265</v>
      </c>
      <c r="D869" s="1324" t="s">
        <v>4067</v>
      </c>
      <c r="E869" s="1324">
        <f>+IF(ISBLANK(REPORTS!F750),"",REPORTS!F750)</f>
        <v>4071.9547618950883</v>
      </c>
      <c r="F869" s="1364">
        <f>+IF(ISBLANK(REPORTS!G750),"",REPORTS!G750)</f>
        <v>0</v>
      </c>
      <c r="G869" s="1364">
        <f>+IF(ISBLANK(REPORTS!H750),"",REPORTS!H750)</f>
        <v>4071.9547618950883</v>
      </c>
      <c r="H869" s="1374">
        <f>+IF(ISBLANK(REPORTS!I750),"",REPORTS!I750)</f>
        <v>1</v>
      </c>
    </row>
    <row r="870" spans="1:8">
      <c r="A870" s="1751">
        <v>106</v>
      </c>
      <c r="B870" s="1393">
        <v>96</v>
      </c>
      <c r="C870" s="1324" t="s">
        <v>5265</v>
      </c>
      <c r="D870" s="1324" t="s">
        <v>2067</v>
      </c>
      <c r="E870" s="1324">
        <f>+IF(ISBLANK(REPORTS!F751),"",REPORTS!F751)</f>
        <v>306.23478931100033</v>
      </c>
      <c r="F870" s="1364">
        <f>+IF(ISBLANK(REPORTS!G751),"",REPORTS!G751)</f>
        <v>0</v>
      </c>
      <c r="G870" s="1364">
        <f>+IF(ISBLANK(REPORTS!H751),"",REPORTS!H751)</f>
        <v>306.23478931100033</v>
      </c>
      <c r="H870" s="1374">
        <f>+IF(ISBLANK(REPORTS!I751),"",REPORTS!I751)</f>
        <v>1</v>
      </c>
    </row>
    <row r="871" spans="1:8">
      <c r="A871" s="1751">
        <v>907</v>
      </c>
      <c r="B871" s="1393">
        <v>97</v>
      </c>
      <c r="C871" s="1324" t="s">
        <v>5268</v>
      </c>
      <c r="D871" s="1324" t="s">
        <v>4067</v>
      </c>
      <c r="E871" s="1324">
        <f>+IF(ISBLANK(REPORTS!F752),"",REPORTS!F752)</f>
        <v>321.21095610523673</v>
      </c>
      <c r="F871" s="1364">
        <f>+IF(ISBLANK(REPORTS!G752),"",REPORTS!G752)</f>
        <v>20.8102479484605</v>
      </c>
      <c r="G871" s="1364">
        <f>+IF(ISBLANK(REPORTS!H752),"",REPORTS!H752)</f>
        <v>300.4007081567762</v>
      </c>
      <c r="H871" s="1374">
        <f>+IF(ISBLANK(REPORTS!I752),"",REPORTS!I752)</f>
        <v>0.93521314403222733</v>
      </c>
    </row>
    <row r="872" spans="1:8">
      <c r="A872" s="1751">
        <v>412</v>
      </c>
      <c r="B872" s="1393">
        <v>98</v>
      </c>
      <c r="C872" s="1324" t="s">
        <v>5239</v>
      </c>
      <c r="D872" s="1324" t="s">
        <v>4067</v>
      </c>
      <c r="E872" s="1324">
        <f>+IF(ISBLANK(REPORTS!F753),"",REPORTS!F753)</f>
        <v>348.68343396836536</v>
      </c>
      <c r="F872" s="1364">
        <f>+IF(ISBLANK(REPORTS!G753),"",REPORTS!G753)</f>
        <v>22.590103414856834</v>
      </c>
      <c r="G872" s="1364">
        <f>+IF(ISBLANK(REPORTS!H753),"",REPORTS!H753)</f>
        <v>326.09333055350851</v>
      </c>
      <c r="H872" s="1374">
        <f>+IF(ISBLANK(REPORTS!I753),"",REPORTS!I753)</f>
        <v>0.93521314403222733</v>
      </c>
    </row>
    <row r="873" spans="1:8">
      <c r="A873" s="1751"/>
      <c r="B873" s="1393">
        <v>99</v>
      </c>
      <c r="C873" s="1324" t="s">
        <v>5240</v>
      </c>
      <c r="D873" s="1324" t="s">
        <v>4067</v>
      </c>
      <c r="E873" s="1324">
        <f>+IF(ISBLANK(REPORTS!F754),"",REPORTS!F754)</f>
        <v>1136.1837488881017</v>
      </c>
      <c r="F873" s="1364">
        <f>+IF(ISBLANK(REPORTS!G754),"",REPORTS!G754)</f>
        <v>0</v>
      </c>
      <c r="G873" s="1364">
        <f>+IF(ISBLANK(REPORTS!H754),"",REPORTS!H754)</f>
        <v>1136.1837488881017</v>
      </c>
      <c r="H873" s="1374">
        <f>+IF(ISBLANK(REPORTS!I754),"",REPORTS!I754)</f>
        <v>1</v>
      </c>
    </row>
    <row r="874" spans="1:8">
      <c r="A874" s="1752"/>
      <c r="B874" s="1393">
        <v>100</v>
      </c>
      <c r="C874" s="1324" t="s">
        <v>5241</v>
      </c>
      <c r="D874" s="1324" t="s">
        <v>4067</v>
      </c>
      <c r="E874" s="1324">
        <f>+IF(ISBLANK(REPORTS!F755),"",REPORTS!F755)</f>
        <v>499.46920952111361</v>
      </c>
      <c r="F874" s="1364">
        <f>+IF(ISBLANK(REPORTS!G755),"",REPORTS!G755)</f>
        <v>0</v>
      </c>
      <c r="G874" s="1364">
        <f>+IF(ISBLANK(REPORTS!H755),"",REPORTS!H755)</f>
        <v>499.46920952111361</v>
      </c>
      <c r="H874" s="1374">
        <f>+IF(ISBLANK(REPORTS!I755),"",REPORTS!I755)</f>
        <v>1</v>
      </c>
    </row>
    <row r="875" spans="1:8">
      <c r="A875" s="1751"/>
      <c r="B875" s="1393">
        <v>101</v>
      </c>
      <c r="C875" s="1324" t="s">
        <v>5242</v>
      </c>
      <c r="D875" s="1324" t="s">
        <v>4071</v>
      </c>
      <c r="E875" s="1324">
        <f>+IF(ISBLANK(REPORTS!F756),"",REPORTS!F756)</f>
        <v>487.19159581373538</v>
      </c>
      <c r="F875" s="1364">
        <f>+IF(ISBLANK(REPORTS!G756),"",REPORTS!G756)</f>
        <v>0</v>
      </c>
      <c r="G875" s="1364">
        <f>+IF(ISBLANK(REPORTS!H756),"",REPORTS!H756)</f>
        <v>487.19159581373538</v>
      </c>
      <c r="H875" s="1374">
        <f>+IF(ISBLANK(REPORTS!I756),"",REPORTS!I756)</f>
        <v>1</v>
      </c>
    </row>
    <row r="876" spans="1:8">
      <c r="A876" s="1751">
        <v>101</v>
      </c>
      <c r="B876" s="1393">
        <v>102</v>
      </c>
      <c r="C876" s="1324" t="s">
        <v>5244</v>
      </c>
      <c r="D876" s="1324" t="s">
        <v>4071</v>
      </c>
      <c r="E876" s="1324">
        <f>+IF(ISBLANK(REPORTS!F757),"",REPORTS!F757)</f>
        <v>148.84268449735839</v>
      </c>
      <c r="F876" s="1364">
        <f>+IF(ISBLANK(REPORTS!G757),"",REPORTS!G757)</f>
        <v>0</v>
      </c>
      <c r="G876" s="1364">
        <f>+IF(ISBLANK(REPORTS!H757),"",REPORTS!H757)</f>
        <v>148.84268449735839</v>
      </c>
      <c r="H876" s="1374">
        <f>+IF(ISBLANK(REPORTS!I757),"",REPORTS!I757)</f>
        <v>1</v>
      </c>
    </row>
    <row r="877" spans="1:8">
      <c r="A877" s="1751">
        <v>101</v>
      </c>
      <c r="B877" s="1393">
        <v>103</v>
      </c>
      <c r="C877" s="1324" t="s">
        <v>5564</v>
      </c>
      <c r="D877" s="1324"/>
      <c r="E877" s="1421">
        <f>+IF(ISBLANK(REPORTS!F758),"",REPORTS!F758)</f>
        <v>7319.7711799999997</v>
      </c>
      <c r="F877" s="1421">
        <f>+IF(ISBLANK(REPORTS!G758),"",REPORTS!G758)</f>
        <v>43.400351363317334</v>
      </c>
      <c r="G877" s="1421">
        <f>+IF(ISBLANK(REPORTS!H758),"",REPORTS!H758)</f>
        <v>7276.3708286366818</v>
      </c>
      <c r="H877" s="1374">
        <f>+IF(ISBLANK(REPORTS!I758),"",REPORTS!I758)</f>
        <v>0.99407080490686628</v>
      </c>
    </row>
    <row r="878" spans="1:8">
      <c r="A878" s="1751">
        <v>117</v>
      </c>
      <c r="B878" s="1393">
        <v>104</v>
      </c>
      <c r="C878" s="1324"/>
      <c r="D878" s="1324"/>
      <c r="E878" s="1324" t="str">
        <f>+IF(ISBLANK(REPORTS!F759),"",REPORTS!F759)</f>
        <v/>
      </c>
      <c r="F878" s="1324" t="str">
        <f>+IF(ISBLANK(REPORTS!G759),"",REPORTS!G759)</f>
        <v/>
      </c>
      <c r="G878" s="1324" t="str">
        <f>+IF(ISBLANK(REPORTS!H759),"",REPORTS!H759)</f>
        <v/>
      </c>
      <c r="H878" s="1324" t="str">
        <f>+IF(ISBLANK(REPORTS!I759),"",REPORTS!I759)</f>
        <v/>
      </c>
    </row>
    <row r="879" spans="1:8">
      <c r="A879" s="1751">
        <v>117</v>
      </c>
      <c r="B879" s="1393">
        <v>105</v>
      </c>
      <c r="C879" s="1362" t="s">
        <v>5566</v>
      </c>
      <c r="D879" s="1324"/>
      <c r="E879" s="1324" t="str">
        <f>+IF(ISBLANK(REPORTS!F760),"",REPORTS!F760)</f>
        <v/>
      </c>
      <c r="F879" s="1324" t="str">
        <f>+IF(ISBLANK(REPORTS!G760),"",REPORTS!G760)</f>
        <v/>
      </c>
      <c r="G879" s="1324" t="str">
        <f>+IF(ISBLANK(REPORTS!H760),"",REPORTS!H760)</f>
        <v/>
      </c>
      <c r="H879" s="1374" t="str">
        <f>+IF(ISBLANK(REPORTS!I760),"",REPORTS!I760)</f>
        <v/>
      </c>
    </row>
    <row r="880" spans="1:8">
      <c r="A880" s="1751">
        <v>105</v>
      </c>
      <c r="B880" s="1393">
        <v>106</v>
      </c>
      <c r="C880" s="1324" t="s">
        <v>5354</v>
      </c>
      <c r="D880" s="1324" t="s">
        <v>4777</v>
      </c>
      <c r="E880" s="1324">
        <f>+IF(ISBLANK(REPORTS!F761),"",REPORTS!F761)</f>
        <v>1782281.2948316957</v>
      </c>
      <c r="F880" s="1324">
        <f>+IF(ISBLANK(REPORTS!G761),"",REPORTS!G761)</f>
        <v>7929.0305824175994</v>
      </c>
      <c r="G880" s="1324">
        <f>+IF(ISBLANK(REPORTS!H761),"",REPORTS!H761)</f>
        <v>1774352.2642492782</v>
      </c>
      <c r="H880" s="1374">
        <f>+IF(ISBLANK(REPORTS!I761),"",REPORTS!I761)</f>
        <v>0.99555119014859761</v>
      </c>
    </row>
    <row r="881" spans="1:8">
      <c r="A881" s="1751">
        <v>106</v>
      </c>
      <c r="B881" s="1393">
        <v>107</v>
      </c>
      <c r="C881" s="1324" t="s">
        <v>5265</v>
      </c>
      <c r="D881" s="1324" t="s">
        <v>4067</v>
      </c>
      <c r="E881" s="1324">
        <f>+IF(ISBLANK(REPORTS!F762),"",REPORTS!F762)</f>
        <v>-596886.46302785096</v>
      </c>
      <c r="F881" s="1324">
        <f>+IF(ISBLANK(REPORTS!G762),"",REPORTS!G762)</f>
        <v>0</v>
      </c>
      <c r="G881" s="1324">
        <f>+IF(ISBLANK(REPORTS!H762),"",REPORTS!H762)</f>
        <v>-596886.46302785096</v>
      </c>
      <c r="H881" s="1374">
        <f>+IF(ISBLANK(REPORTS!I762),"",REPORTS!I762)</f>
        <v>1</v>
      </c>
    </row>
    <row r="882" spans="1:8">
      <c r="A882" s="1751">
        <v>907</v>
      </c>
      <c r="B882" s="1393">
        <v>108</v>
      </c>
      <c r="C882" s="1324" t="s">
        <v>5265</v>
      </c>
      <c r="D882" s="1324" t="s">
        <v>2067</v>
      </c>
      <c r="E882" s="1324">
        <f>+IF(ISBLANK(REPORTS!F763),"",REPORTS!F763)</f>
        <v>-85243.626153427089</v>
      </c>
      <c r="F882" s="1324">
        <f>+IF(ISBLANK(REPORTS!G763),"",REPORTS!G763)</f>
        <v>-1.84900420208578E-3</v>
      </c>
      <c r="G882" s="1324">
        <f>+IF(ISBLANK(REPORTS!H763),"",REPORTS!H763)</f>
        <v>-85243.62430442289</v>
      </c>
      <c r="H882" s="1374">
        <f>+IF(ISBLANK(REPORTS!I763),"",REPORTS!I763)</f>
        <v>0.99999997830917942</v>
      </c>
    </row>
    <row r="883" spans="1:8">
      <c r="A883" s="1751">
        <v>412</v>
      </c>
      <c r="B883" s="1393">
        <v>109</v>
      </c>
      <c r="C883" s="1324" t="s">
        <v>5268</v>
      </c>
      <c r="D883" s="1324" t="s">
        <v>4067</v>
      </c>
      <c r="E883" s="1324">
        <f>+IF(ISBLANK(REPORTS!F764),"",REPORTS!F764)</f>
        <v>-30281.824535962482</v>
      </c>
      <c r="F883" s="1324">
        <f>+IF(ISBLANK(REPORTS!G764),"",REPORTS!G764)</f>
        <v>-2464.7213815619912</v>
      </c>
      <c r="G883" s="1324">
        <f>+IF(ISBLANK(REPORTS!H764),"",REPORTS!H764)</f>
        <v>-27816.961847790335</v>
      </c>
      <c r="H883" s="1374">
        <f>+IF(ISBLANK(REPORTS!I764),"",REPORTS!I764)</f>
        <v>0.91860257015739277</v>
      </c>
    </row>
    <row r="884" spans="1:8">
      <c r="A884" s="1751"/>
      <c r="B884" s="1393">
        <v>110</v>
      </c>
      <c r="C884" s="1324" t="s">
        <v>5239</v>
      </c>
      <c r="D884" s="1324" t="s">
        <v>4067</v>
      </c>
      <c r="E884" s="1324">
        <f>+IF(ISBLANK(REPORTS!F765),"",REPORTS!F765)</f>
        <v>-41488.661859791951</v>
      </c>
      <c r="F884" s="1324">
        <f>+IF(ISBLANK(REPORTS!G765),"",REPORTS!G765)</f>
        <v>-3187.5736425857144</v>
      </c>
      <c r="G884" s="1324">
        <f>+IF(ISBLANK(REPORTS!H765),"",REPORTS!H765)</f>
        <v>-38301.229523816386</v>
      </c>
      <c r="H884" s="1374">
        <f>+IF(ISBLANK(REPORTS!I765),"",REPORTS!I765)</f>
        <v>0.92317341188907776</v>
      </c>
    </row>
    <row r="885" spans="1:8">
      <c r="A885" s="1751"/>
      <c r="B885" s="1393">
        <v>111</v>
      </c>
      <c r="C885" s="1324" t="s">
        <v>5240</v>
      </c>
      <c r="D885" s="1324" t="s">
        <v>4067</v>
      </c>
      <c r="E885" s="1324">
        <f>+IF(ISBLANK(REPORTS!F766),"",REPORTS!F766)</f>
        <v>-164198.97823807606</v>
      </c>
      <c r="F885" s="1324">
        <f>+IF(ISBLANK(REPORTS!G766),"",REPORTS!G766)</f>
        <v>0</v>
      </c>
      <c r="G885" s="1324">
        <f>+IF(ISBLANK(REPORTS!H766),"",REPORTS!H766)</f>
        <v>-164198.97823807606</v>
      </c>
      <c r="H885" s="1374">
        <f>+IF(ISBLANK(REPORTS!I766),"",REPORTS!I766)</f>
        <v>1</v>
      </c>
    </row>
    <row r="886" spans="1:8">
      <c r="A886" s="1751"/>
      <c r="B886" s="1393">
        <v>112</v>
      </c>
      <c r="C886" s="1324" t="s">
        <v>5241</v>
      </c>
      <c r="D886" s="1324" t="s">
        <v>4067</v>
      </c>
      <c r="E886" s="1324">
        <f>+IF(ISBLANK(REPORTS!F767),"",REPORTS!F767)</f>
        <v>-72565.890967504587</v>
      </c>
      <c r="F886" s="1324">
        <f>+IF(ISBLANK(REPORTS!G767),"",REPORTS!G767)</f>
        <v>0</v>
      </c>
      <c r="G886" s="1324">
        <f>+IF(ISBLANK(REPORTS!H767),"",REPORTS!H767)</f>
        <v>-72565.890967504587</v>
      </c>
      <c r="H886" s="1374">
        <f>+IF(ISBLANK(REPORTS!I767),"",REPORTS!I767)</f>
        <v>1</v>
      </c>
    </row>
    <row r="887" spans="1:8">
      <c r="A887" s="1751"/>
      <c r="B887" s="1393">
        <v>113</v>
      </c>
      <c r="C887" s="1324" t="s">
        <v>5242</v>
      </c>
      <c r="D887" s="1324" t="s">
        <v>4071</v>
      </c>
      <c r="E887" s="1324">
        <f>+IF(ISBLANK(REPORTS!F768),"",REPORTS!F768)</f>
        <v>-106010.13207956245</v>
      </c>
      <c r="F887" s="1324">
        <f>+IF(ISBLANK(REPORTS!G768),"",REPORTS!G768)</f>
        <v>0</v>
      </c>
      <c r="G887" s="1324">
        <f>+IF(ISBLANK(REPORTS!H768),"",REPORTS!H768)</f>
        <v>-106010.13207956245</v>
      </c>
      <c r="H887" s="1374">
        <f>+IF(ISBLANK(REPORTS!I768),"",REPORTS!I768)</f>
        <v>1</v>
      </c>
    </row>
    <row r="888" spans="1:8">
      <c r="A888" s="1751"/>
      <c r="B888" s="1393">
        <v>114</v>
      </c>
      <c r="C888" s="1324" t="s">
        <v>5244</v>
      </c>
      <c r="D888" s="1324" t="s">
        <v>4071</v>
      </c>
      <c r="E888" s="1324">
        <f>+IF(ISBLANK(REPORTS!F769),"",REPORTS!F769)</f>
        <v>-67662.869841152235</v>
      </c>
      <c r="F888" s="1324">
        <f>+IF(ISBLANK(REPORTS!G769),"",REPORTS!G769)</f>
        <v>0</v>
      </c>
      <c r="G888" s="1324">
        <f>+IF(ISBLANK(REPORTS!H769),"",REPORTS!H769)</f>
        <v>-67662.869841152235</v>
      </c>
      <c r="H888" s="1374">
        <f>+IF(ISBLANK(REPORTS!I769),"",REPORTS!I769)</f>
        <v>1</v>
      </c>
    </row>
    <row r="889" spans="1:8">
      <c r="A889" s="1751"/>
      <c r="B889" s="1393">
        <v>115</v>
      </c>
      <c r="C889" s="1324" t="s">
        <v>5576</v>
      </c>
      <c r="D889" s="1324"/>
      <c r="E889" s="1421">
        <f>+IF(ISBLANK(REPORTS!F770),"",REPORTS!F770)</f>
        <v>617942.84812836791</v>
      </c>
      <c r="F889" s="1421">
        <f>+IF(ISBLANK(REPORTS!G770),"",REPORTS!G770)</f>
        <v>2276.7337092656921</v>
      </c>
      <c r="G889" s="1421">
        <f>+IF(ISBLANK(REPORTS!H770),"",REPORTS!H770)</f>
        <v>615666.11441910244</v>
      </c>
      <c r="H889" s="1374">
        <f>+IF(ISBLANK(REPORTS!I770),"",REPORTS!I770)</f>
        <v>0.99631562414524044</v>
      </c>
    </row>
    <row r="890" spans="1:8">
      <c r="A890" s="1751"/>
      <c r="B890" s="1393">
        <v>116</v>
      </c>
      <c r="C890" s="1324"/>
      <c r="D890" s="1324"/>
      <c r="E890" s="1364" t="str">
        <f>+IF(ISBLANK(REPORTS!F771),"",REPORTS!F771)</f>
        <v/>
      </c>
      <c r="F890" s="1364" t="str">
        <f>+IF(ISBLANK(REPORTS!G771),"",REPORTS!G771)</f>
        <v/>
      </c>
      <c r="G890" s="1364" t="str">
        <f>+IF(ISBLANK(REPORTS!H771),"",REPORTS!H771)</f>
        <v/>
      </c>
      <c r="H890" s="1374" t="str">
        <f>+IF(ISBLANK(REPORTS!I771),"",REPORTS!I771)</f>
        <v/>
      </c>
    </row>
    <row r="891" spans="1:8">
      <c r="A891" s="1751"/>
      <c r="B891" s="1393">
        <v>117</v>
      </c>
      <c r="C891" s="1362" t="s">
        <v>5578</v>
      </c>
      <c r="D891" s="1744"/>
      <c r="E891" s="1324" t="str">
        <f>+IF(ISBLANK(REPORTS!F772),"",REPORTS!F772)</f>
        <v/>
      </c>
      <c r="F891" s="1324" t="str">
        <f>+IF(ISBLANK(REPORTS!G772),"",REPORTS!G772)</f>
        <v/>
      </c>
      <c r="G891" s="1324" t="str">
        <f>+IF(ISBLANK(REPORTS!H772),"",REPORTS!H772)</f>
        <v/>
      </c>
      <c r="H891" s="1374" t="str">
        <f>+IF(ISBLANK(REPORTS!I772),"",REPORTS!I772)</f>
        <v/>
      </c>
    </row>
    <row r="892" spans="1:8">
      <c r="A892" s="1751"/>
      <c r="B892" s="1393">
        <v>118</v>
      </c>
      <c r="C892" s="1324" t="s">
        <v>5354</v>
      </c>
      <c r="D892" s="1324" t="s">
        <v>4777</v>
      </c>
      <c r="E892" s="1324">
        <f>+IF(ISBLANK(REPORTS!F773),"",REPORTS!F773)</f>
        <v>98025.471215743266</v>
      </c>
      <c r="F892" s="1324">
        <f>+IF(ISBLANK(REPORTS!G773),"",REPORTS!G773)</f>
        <v>436.09668203296798</v>
      </c>
      <c r="G892" s="1324">
        <f>+IF(ISBLANK(REPORTS!H773),"",REPORTS!H773)</f>
        <v>97589.374533710303</v>
      </c>
      <c r="H892" s="1374">
        <f>+IF(ISBLANK(REPORTS!I773),"",REPORTS!I773)</f>
        <v>0.99555119014859761</v>
      </c>
    </row>
    <row r="893" spans="1:8">
      <c r="A893" s="1751"/>
      <c r="B893" s="1393">
        <v>119</v>
      </c>
      <c r="C893" s="1324" t="s">
        <v>5265</v>
      </c>
      <c r="D893" s="1324" t="s">
        <v>4067</v>
      </c>
      <c r="E893" s="1324">
        <f>+IF(ISBLANK(REPORTS!F774),"",REPORTS!F774)</f>
        <v>-32828.755466531802</v>
      </c>
      <c r="F893" s="1324">
        <f>+IF(ISBLANK(REPORTS!G774),"",REPORTS!G774)</f>
        <v>0</v>
      </c>
      <c r="G893" s="1324">
        <f>+IF(ISBLANK(REPORTS!H774),"",REPORTS!H774)</f>
        <v>-32828.755466531802</v>
      </c>
      <c r="H893" s="1374">
        <f>+IF(ISBLANK(REPORTS!I774),"",REPORTS!I774)</f>
        <v>1</v>
      </c>
    </row>
    <row r="894" spans="1:8">
      <c r="A894" s="1751"/>
      <c r="B894" s="1393">
        <v>120</v>
      </c>
      <c r="C894" s="1324" t="s">
        <v>5265</v>
      </c>
      <c r="D894" s="1324" t="s">
        <v>2067</v>
      </c>
      <c r="E894" s="1324">
        <f>+IF(ISBLANK(REPORTS!F775),"",REPORTS!F775)</f>
        <v>-4688.3994384384896</v>
      </c>
      <c r="F894" s="1324">
        <f>+IF(ISBLANK(REPORTS!G775),"",REPORTS!G775)</f>
        <v>-1.0169523111471789E-4</v>
      </c>
      <c r="G894" s="1324">
        <f>+IF(ISBLANK(REPORTS!H775),"",REPORTS!H775)</f>
        <v>-4688.3993367432586</v>
      </c>
      <c r="H894" s="1374">
        <f>+IF(ISBLANK(REPORTS!I775),"",REPORTS!I775)</f>
        <v>0.99999997830917942</v>
      </c>
    </row>
    <row r="895" spans="1:8">
      <c r="A895" s="1751"/>
      <c r="B895" s="1393">
        <v>121</v>
      </c>
      <c r="C895" s="1324" t="s">
        <v>5268</v>
      </c>
      <c r="D895" s="1324" t="s">
        <v>4067</v>
      </c>
      <c r="E895" s="1324">
        <f>+IF(ISBLANK(REPORTS!F776),"",REPORTS!F776)</f>
        <v>-1665.5003494779364</v>
      </c>
      <c r="F895" s="1324">
        <f>+IF(ISBLANK(REPORTS!G776),"",REPORTS!G776)</f>
        <v>-135.55967598590951</v>
      </c>
      <c r="G895" s="1324">
        <f>+IF(ISBLANK(REPORTS!H776),"",REPORTS!H776)</f>
        <v>-1529.9329016284685</v>
      </c>
      <c r="H895" s="1374">
        <f>+IF(ISBLANK(REPORTS!I776),"",REPORTS!I776)</f>
        <v>0.91860257015739288</v>
      </c>
    </row>
    <row r="896" spans="1:8">
      <c r="A896" s="1751"/>
      <c r="B896" s="1393">
        <v>122</v>
      </c>
      <c r="C896" s="1324" t="s">
        <v>5239</v>
      </c>
      <c r="D896" s="1324" t="s">
        <v>4067</v>
      </c>
      <c r="E896" s="1324">
        <f>+IF(ISBLANK(REPORTS!F777),"",REPORTS!F777)</f>
        <v>-2281.8764022885575</v>
      </c>
      <c r="F896" s="1324">
        <f>+IF(ISBLANK(REPORTS!G777),"",REPORTS!G777)</f>
        <v>-175.3165503422143</v>
      </c>
      <c r="G896" s="1324">
        <f>+IF(ISBLANK(REPORTS!H777),"",REPORTS!H777)</f>
        <v>-2106.5676238099013</v>
      </c>
      <c r="H896" s="1374">
        <f>+IF(ISBLANK(REPORTS!I777),"",REPORTS!I777)</f>
        <v>0.92317341188907776</v>
      </c>
    </row>
    <row r="897" spans="1:8">
      <c r="A897" s="1751"/>
      <c r="B897" s="1393">
        <v>123</v>
      </c>
      <c r="C897" s="1324" t="s">
        <v>5240</v>
      </c>
      <c r="D897" s="1324" t="s">
        <v>4067</v>
      </c>
      <c r="E897" s="1324">
        <f>+IF(ISBLANK(REPORTS!F778),"",REPORTS!F778)</f>
        <v>-9030.9438030941837</v>
      </c>
      <c r="F897" s="1324">
        <f>+IF(ISBLANK(REPORTS!G778),"",REPORTS!G778)</f>
        <v>0</v>
      </c>
      <c r="G897" s="1324">
        <f>+IF(ISBLANK(REPORTS!H778),"",REPORTS!H778)</f>
        <v>-9030.9438030941837</v>
      </c>
      <c r="H897" s="1374">
        <f>+IF(ISBLANK(REPORTS!I778),"",REPORTS!I778)</f>
        <v>1</v>
      </c>
    </row>
    <row r="898" spans="1:8">
      <c r="A898" s="1751"/>
      <c r="B898" s="1393">
        <v>124</v>
      </c>
      <c r="C898" s="1324" t="s">
        <v>5241</v>
      </c>
      <c r="D898" s="1324" t="s">
        <v>4067</v>
      </c>
      <c r="E898" s="1324">
        <f>+IF(ISBLANK(REPORTS!F779),"",REPORTS!F779)</f>
        <v>-3991.1240032127521</v>
      </c>
      <c r="F898" s="1324">
        <f>+IF(ISBLANK(REPORTS!G779),"",REPORTS!G779)</f>
        <v>0</v>
      </c>
      <c r="G898" s="1324">
        <f>+IF(ISBLANK(REPORTS!H779),"",REPORTS!H779)</f>
        <v>-3991.1240032127521</v>
      </c>
      <c r="H898" s="1374">
        <f>+IF(ISBLANK(REPORTS!I779),"",REPORTS!I779)</f>
        <v>1</v>
      </c>
    </row>
    <row r="899" spans="1:8">
      <c r="A899" s="1751"/>
      <c r="B899" s="1393">
        <v>125</v>
      </c>
      <c r="C899" s="1324" t="s">
        <v>5242</v>
      </c>
      <c r="D899" s="1324" t="s">
        <v>4071</v>
      </c>
      <c r="E899" s="1324">
        <f>+IF(ISBLANK(REPORTS!F780),"",REPORTS!F780)</f>
        <v>-5830.5572643759351</v>
      </c>
      <c r="F899" s="1324">
        <f>+IF(ISBLANK(REPORTS!G780),"",REPORTS!G780)</f>
        <v>0</v>
      </c>
      <c r="G899" s="1324">
        <f>+IF(ISBLANK(REPORTS!H780),"",REPORTS!H780)</f>
        <v>-5830.5572643759351</v>
      </c>
      <c r="H899" s="1374">
        <f>+IF(ISBLANK(REPORTS!I780),"",REPORTS!I780)</f>
        <v>1</v>
      </c>
    </row>
    <row r="900" spans="1:8">
      <c r="A900" s="1751"/>
      <c r="B900" s="1393">
        <v>126</v>
      </c>
      <c r="C900" s="1324" t="s">
        <v>5244</v>
      </c>
      <c r="D900" s="1324" t="s">
        <v>4071</v>
      </c>
      <c r="E900" s="1324">
        <f>+IF(ISBLANK(REPORTS!F781),"",REPORTS!F781)</f>
        <v>-3721.4578412633728</v>
      </c>
      <c r="F900" s="1324">
        <f>+IF(ISBLANK(REPORTS!G781),"",REPORTS!G781)</f>
        <v>0</v>
      </c>
      <c r="G900" s="1324">
        <f>+IF(ISBLANK(REPORTS!H781),"",REPORTS!H781)</f>
        <v>-3721.4578412633728</v>
      </c>
      <c r="H900" s="1374">
        <f>+IF(ISBLANK(REPORTS!I781),"",REPORTS!I781)</f>
        <v>1</v>
      </c>
    </row>
    <row r="901" spans="1:8">
      <c r="A901" s="1751"/>
      <c r="B901" s="1393">
        <v>127</v>
      </c>
      <c r="C901" s="1324" t="s">
        <v>5588</v>
      </c>
      <c r="D901" s="1324"/>
      <c r="E901" s="1421">
        <f>+IF(ISBLANK(REPORTS!F782),"",REPORTS!F782)</f>
        <v>33986.856647060238</v>
      </c>
      <c r="F901" s="1421">
        <f>+IF(ISBLANK(REPORTS!G782),"",REPORTS!G782)</f>
        <v>125.22035400961303</v>
      </c>
      <c r="G901" s="1421">
        <f>+IF(ISBLANK(REPORTS!H782),"",REPORTS!H782)</f>
        <v>33861.636293050629</v>
      </c>
      <c r="H901" s="1374">
        <f>+IF(ISBLANK(REPORTS!I782),"",REPORTS!I782)</f>
        <v>0.99631562414524022</v>
      </c>
    </row>
    <row r="902" spans="1:8">
      <c r="A902" s="1751"/>
    </row>
    <row r="903" spans="1:8">
      <c r="A903" s="1751"/>
    </row>
    <row r="904" spans="1:8">
      <c r="A904" s="1751"/>
    </row>
    <row r="905" spans="1:8">
      <c r="A905" s="1751"/>
    </row>
    <row r="906" spans="1:8">
      <c r="A906" s="1751"/>
      <c r="B906" s="1416" t="str">
        <f>+$B$1</f>
        <v>RATES WITH REVENUE DEFICIENCY ADDITION</v>
      </c>
      <c r="C906" s="1324"/>
      <c r="D906" s="1324"/>
      <c r="E906" s="1336"/>
      <c r="F906" s="1329" t="s">
        <v>2173</v>
      </c>
      <c r="G906" s="1324"/>
      <c r="H906" s="1334" t="s">
        <v>5630</v>
      </c>
    </row>
    <row r="907" spans="1:8">
      <c r="A907" s="1751"/>
      <c r="B907" s="1416" t="str">
        <f>+$B$2</f>
        <v xml:space="preserve">PROD. CAP. ALLOC. METHOD: 12 CP </v>
      </c>
      <c r="C907" s="1324"/>
      <c r="D907" s="1324"/>
      <c r="E907" s="1324"/>
      <c r="F907" s="1336" t="s">
        <v>4768</v>
      </c>
      <c r="G907" s="1324"/>
      <c r="H907" s="1731" t="s">
        <v>4063</v>
      </c>
    </row>
    <row r="908" spans="1:8">
      <c r="A908" s="1751"/>
      <c r="B908" s="1416" t="str">
        <f>+$B$3</f>
        <v>PROJECTED CALENDAR YEAR 2025; FULLY ADJUSTED DATA</v>
      </c>
      <c r="C908" s="1324"/>
      <c r="D908" s="1324"/>
      <c r="E908" s="1324"/>
      <c r="F908" s="1336" t="s">
        <v>2181</v>
      </c>
      <c r="G908" s="1324"/>
      <c r="H908" s="1374"/>
    </row>
    <row r="909" spans="1:8">
      <c r="A909" s="1751"/>
      <c r="B909" s="1732">
        <f>+$B$4</f>
        <v>0</v>
      </c>
      <c r="C909" s="1364"/>
      <c r="D909" s="1324"/>
      <c r="E909" s="1324"/>
      <c r="F909" s="1324"/>
      <c r="G909" s="1324"/>
      <c r="H909" s="1374"/>
    </row>
    <row r="910" spans="1:8">
      <c r="A910" s="1751"/>
      <c r="B910" s="1732" t="str">
        <f>+$B$5</f>
        <v>Tampa Electric 2025 OB Budget</v>
      </c>
      <c r="C910" s="1324"/>
      <c r="D910" s="1324"/>
      <c r="E910" s="1329"/>
      <c r="F910" s="1336" t="s">
        <v>5494</v>
      </c>
      <c r="G910" s="1324"/>
      <c r="H910" s="1374"/>
    </row>
    <row r="911" spans="1:8">
      <c r="A911" s="1751"/>
      <c r="B911" s="1416"/>
      <c r="C911" s="1324"/>
      <c r="D911" s="1324"/>
      <c r="E911" s="1336"/>
      <c r="F911" s="1324"/>
      <c r="G911" s="1324"/>
      <c r="H911" s="1374"/>
    </row>
    <row r="912" spans="1:8">
      <c r="A912" s="1751"/>
      <c r="B912" s="1416"/>
      <c r="C912" s="1324"/>
      <c r="D912" s="1324"/>
      <c r="E912" s="1336"/>
      <c r="F912" s="1324"/>
      <c r="G912" s="1324"/>
      <c r="H912" s="1374"/>
    </row>
    <row r="913" spans="1:8">
      <c r="A913" s="1751"/>
      <c r="B913" s="1393"/>
      <c r="C913" s="1324"/>
      <c r="D913" s="1324"/>
      <c r="E913" s="1324"/>
      <c r="F913" s="1324"/>
      <c r="G913" s="1324"/>
      <c r="H913" s="1374"/>
    </row>
    <row r="914" spans="1:8">
      <c r="A914" s="1760"/>
      <c r="B914" s="1735"/>
      <c r="C914" s="1416"/>
      <c r="D914" s="1416"/>
      <c r="E914" s="1336"/>
      <c r="F914" s="1336"/>
      <c r="G914" s="1336"/>
      <c r="H914" s="1736"/>
    </row>
    <row r="915" spans="1:8" ht="28.2">
      <c r="A915" s="1760"/>
      <c r="B915" s="1737" t="s">
        <v>4297</v>
      </c>
      <c r="C915" s="1741"/>
      <c r="D915" s="1741"/>
      <c r="E915" s="1352" t="s">
        <v>5144</v>
      </c>
      <c r="F915" s="1352" t="s">
        <v>4956</v>
      </c>
      <c r="G915" s="1352" t="s">
        <v>4957</v>
      </c>
      <c r="H915" s="1742" t="s">
        <v>5145</v>
      </c>
    </row>
    <row r="916" spans="1:8">
      <c r="A916" s="1751"/>
      <c r="B916" s="1393"/>
      <c r="C916" s="1324"/>
      <c r="D916" s="1324"/>
      <c r="E916" s="1324"/>
      <c r="F916" s="1324"/>
      <c r="G916" s="1324"/>
      <c r="H916" s="1374"/>
    </row>
    <row r="917" spans="1:8">
      <c r="A917" s="1751"/>
      <c r="B917" s="1393">
        <v>128</v>
      </c>
      <c r="C917" s="1362" t="s">
        <v>5591</v>
      </c>
      <c r="D917" s="1324"/>
      <c r="E917" s="1324"/>
      <c r="F917" s="1324"/>
      <c r="G917" s="1324"/>
      <c r="H917" s="1374"/>
    </row>
    <row r="918" spans="1:8">
      <c r="A918" s="1751"/>
      <c r="B918" s="1393">
        <v>129</v>
      </c>
      <c r="C918" s="1324" t="s">
        <v>5354</v>
      </c>
      <c r="D918" s="1324" t="s">
        <v>4777</v>
      </c>
      <c r="E918" s="1324">
        <f>+IF(ISBLANK(REPORTS!F800),"",REPORTS!F800)</f>
        <v>1684255.8236159524</v>
      </c>
      <c r="F918" s="1324">
        <f>+IF(ISBLANK(REPORTS!G800),"",REPORTS!G800)</f>
        <v>7492.9339003846317</v>
      </c>
      <c r="G918" s="1324">
        <f>+IF(ISBLANK(REPORTS!H800),"",REPORTS!H800)</f>
        <v>1676762.8897155679</v>
      </c>
      <c r="H918" s="1374">
        <f>+IF(ISBLANK(REPORTS!I800),"",REPORTS!I800)</f>
        <v>0.99555119014859761</v>
      </c>
    </row>
    <row r="919" spans="1:8">
      <c r="A919" s="1751"/>
      <c r="B919" s="1393">
        <v>130</v>
      </c>
      <c r="C919" s="1324" t="s">
        <v>5265</v>
      </c>
      <c r="D919" s="1324" t="s">
        <v>4067</v>
      </c>
      <c r="E919" s="1324">
        <f>+IF(ISBLANK(REPORTS!F801),"",REPORTS!F801)</f>
        <v>-564057.70756131911</v>
      </c>
      <c r="F919" s="1324">
        <f>+IF(ISBLANK(REPORTS!G801),"",REPORTS!G801)</f>
        <v>0</v>
      </c>
      <c r="G919" s="1324">
        <f>+IF(ISBLANK(REPORTS!H801),"",REPORTS!H801)</f>
        <v>-564057.70756131911</v>
      </c>
      <c r="H919" s="1374">
        <f>+IF(ISBLANK(REPORTS!I801),"",REPORTS!I801)</f>
        <v>1</v>
      </c>
    </row>
    <row r="920" spans="1:8">
      <c r="A920" s="1751"/>
      <c r="B920" s="1393">
        <v>131</v>
      </c>
      <c r="C920" s="1324" t="s">
        <v>5265</v>
      </c>
      <c r="D920" s="1324" t="s">
        <v>2067</v>
      </c>
      <c r="E920" s="1324">
        <f>+IF(ISBLANK(REPORTS!F802),"",REPORTS!F802)</f>
        <v>-80555.226714988603</v>
      </c>
      <c r="F920" s="1324">
        <f>+IF(ISBLANK(REPORTS!G802),"",REPORTS!G802)</f>
        <v>-1.7473089709710622E-3</v>
      </c>
      <c r="G920" s="1324">
        <f>+IF(ISBLANK(REPORTS!H802),"",REPORTS!H802)</f>
        <v>-80555.224967679635</v>
      </c>
      <c r="H920" s="1374">
        <f>+IF(ISBLANK(REPORTS!I802),"",REPORTS!I802)</f>
        <v>0.99999997830917942</v>
      </c>
    </row>
    <row r="921" spans="1:8">
      <c r="A921" s="1751"/>
      <c r="B921" s="1393">
        <v>132</v>
      </c>
      <c r="C921" s="1324" t="s">
        <v>5268</v>
      </c>
      <c r="D921" s="1324" t="s">
        <v>4067</v>
      </c>
      <c r="E921" s="1324">
        <f>+IF(ISBLANK(REPORTS!F803),"",REPORTS!F803)</f>
        <v>-28616.324186484544</v>
      </c>
      <c r="F921" s="1324">
        <f>+IF(ISBLANK(REPORTS!G803),"",REPORTS!G803)</f>
        <v>-2329.1617055760817</v>
      </c>
      <c r="G921" s="1324">
        <f>+IF(ISBLANK(REPORTS!H803),"",REPORTS!H803)</f>
        <v>-26287.028946161867</v>
      </c>
      <c r="H921" s="1374">
        <f>+IF(ISBLANK(REPORTS!I803),"",REPORTS!I803)</f>
        <v>0.91860257015739288</v>
      </c>
    </row>
    <row r="922" spans="1:8">
      <c r="A922" s="1751"/>
      <c r="B922" s="1393">
        <v>133</v>
      </c>
      <c r="C922" s="1324" t="s">
        <v>5239</v>
      </c>
      <c r="D922" s="1324" t="s">
        <v>4067</v>
      </c>
      <c r="E922" s="1324">
        <f>+IF(ISBLANK(REPORTS!F804),"",REPORTS!F804)</f>
        <v>-39206.785457503393</v>
      </c>
      <c r="F922" s="1324">
        <f>+IF(ISBLANK(REPORTS!G804),"",REPORTS!G804)</f>
        <v>-3012.2570922435002</v>
      </c>
      <c r="G922" s="1324">
        <f>+IF(ISBLANK(REPORTS!H804),"",REPORTS!H804)</f>
        <v>-36194.661900006482</v>
      </c>
      <c r="H922" s="1374">
        <f>+IF(ISBLANK(REPORTS!I804),"",REPORTS!I804)</f>
        <v>0.92317341188907776</v>
      </c>
    </row>
    <row r="923" spans="1:8" ht="13.5" customHeight="1">
      <c r="A923" s="1753" t="s">
        <v>5143</v>
      </c>
      <c r="B923" s="1393">
        <v>134</v>
      </c>
      <c r="C923" s="1324" t="s">
        <v>5240</v>
      </c>
      <c r="D923" s="1324" t="s">
        <v>4067</v>
      </c>
      <c r="E923" s="1324">
        <f>+IF(ISBLANK(REPORTS!F805),"",REPORTS!F805)</f>
        <v>-155168.03443498188</v>
      </c>
      <c r="F923" s="1324">
        <f>+IF(ISBLANK(REPORTS!G805),"",REPORTS!G805)</f>
        <v>0</v>
      </c>
      <c r="G923" s="1324">
        <f>+IF(ISBLANK(REPORTS!H805),"",REPORTS!H805)</f>
        <v>-155168.03443498188</v>
      </c>
      <c r="H923" s="1374">
        <f>+IF(ISBLANK(REPORTS!I805),"",REPORTS!I805)</f>
        <v>1</v>
      </c>
    </row>
    <row r="924" spans="1:8">
      <c r="A924" s="1751"/>
      <c r="B924" s="1393">
        <v>135</v>
      </c>
      <c r="C924" s="1324" t="s">
        <v>5241</v>
      </c>
      <c r="D924" s="1324" t="s">
        <v>4067</v>
      </c>
      <c r="E924" s="1324">
        <f>+IF(ISBLANK(REPORTS!F806),"",REPORTS!F806)</f>
        <v>-68574.766964291834</v>
      </c>
      <c r="F924" s="1324">
        <f>+IF(ISBLANK(REPORTS!G806),"",REPORTS!G806)</f>
        <v>0</v>
      </c>
      <c r="G924" s="1324">
        <f>+IF(ISBLANK(REPORTS!H806),"",REPORTS!H806)</f>
        <v>-68574.766964291834</v>
      </c>
      <c r="H924" s="1374">
        <f>+IF(ISBLANK(REPORTS!I806),"",REPORTS!I806)</f>
        <v>1</v>
      </c>
    </row>
    <row r="925" spans="1:8">
      <c r="A925" s="1751"/>
      <c r="B925" s="1393">
        <v>136</v>
      </c>
      <c r="C925" s="1324" t="s">
        <v>5242</v>
      </c>
      <c r="D925" s="1324" t="s">
        <v>4071</v>
      </c>
      <c r="E925" s="1324">
        <f>+IF(ISBLANK(REPORTS!F807),"",REPORTS!F807)</f>
        <v>-100179.57481518651</v>
      </c>
      <c r="F925" s="1324">
        <f>+IF(ISBLANK(REPORTS!G807),"",REPORTS!G807)</f>
        <v>0</v>
      </c>
      <c r="G925" s="1324">
        <f>+IF(ISBLANK(REPORTS!H807),"",REPORTS!H807)</f>
        <v>-100179.57481518651</v>
      </c>
      <c r="H925" s="1374">
        <f>+IF(ISBLANK(REPORTS!I807),"",REPORTS!I807)</f>
        <v>1</v>
      </c>
    </row>
    <row r="926" spans="1:8">
      <c r="A926" s="1751"/>
      <c r="B926" s="1393">
        <v>137</v>
      </c>
      <c r="C926" s="1324" t="s">
        <v>5244</v>
      </c>
      <c r="D926" s="1324" t="s">
        <v>4071</v>
      </c>
      <c r="E926" s="1324">
        <f>+IF(ISBLANK(REPORTS!F808),"",REPORTS!F808)</f>
        <v>-63941.411999888864</v>
      </c>
      <c r="F926" s="1324">
        <f>+IF(ISBLANK(REPORTS!G808),"",REPORTS!G808)</f>
        <v>0</v>
      </c>
      <c r="G926" s="1324">
        <f>+IF(ISBLANK(REPORTS!H808),"",REPORTS!H808)</f>
        <v>-63941.411999888864</v>
      </c>
      <c r="H926" s="1374">
        <f>+IF(ISBLANK(REPORTS!I808),"",REPORTS!I808)</f>
        <v>1</v>
      </c>
    </row>
    <row r="927" spans="1:8">
      <c r="A927" s="1751"/>
      <c r="B927" s="1393">
        <v>138</v>
      </c>
      <c r="C927" s="1324" t="s">
        <v>5601</v>
      </c>
      <c r="D927" s="1324"/>
      <c r="E927" s="1421">
        <f>+IF(ISBLANK(REPORTS!F809),"",REPORTS!F809)</f>
        <v>583955.99148130754</v>
      </c>
      <c r="F927" s="1421">
        <f>+IF(ISBLANK(REPORTS!G809),"",REPORTS!G809)</f>
        <v>2151.5133552560787</v>
      </c>
      <c r="G927" s="1421">
        <f>+IF(ISBLANK(REPORTS!H809),"",REPORTS!H809)</f>
        <v>581804.47812605195</v>
      </c>
      <c r="H927" s="1374">
        <f>+IF(ISBLANK(REPORTS!I809),"",REPORTS!I809)</f>
        <v>0.996315624145241</v>
      </c>
    </row>
    <row r="928" spans="1:8">
      <c r="A928" s="1751"/>
      <c r="B928" s="1393">
        <v>139</v>
      </c>
      <c r="C928" s="1324"/>
      <c r="D928" s="1324"/>
      <c r="E928" s="1324" t="str">
        <f>+IF(ISBLANK(REPORTS!F810),"",REPORTS!F810)</f>
        <v/>
      </c>
      <c r="F928" s="1324" t="str">
        <f>+IF(ISBLANK(REPORTS!G810),"",REPORTS!G810)</f>
        <v/>
      </c>
      <c r="G928" s="1324" t="str">
        <f>+IF(ISBLANK(REPORTS!H810),"",REPORTS!H810)</f>
        <v/>
      </c>
      <c r="H928" s="1324" t="str">
        <f>+IF(ISBLANK(REPORTS!I810),"",REPORTS!I810)</f>
        <v/>
      </c>
    </row>
    <row r="929" spans="1:8">
      <c r="A929" s="1751"/>
      <c r="B929" s="1393">
        <v>140</v>
      </c>
      <c r="C929" s="1362" t="s">
        <v>5603</v>
      </c>
      <c r="D929" s="1744"/>
      <c r="E929" s="1324" t="str">
        <f>+IF(ISBLANK(REPORTS!F811),"",REPORTS!F811)</f>
        <v/>
      </c>
      <c r="F929" s="1324" t="str">
        <f>+IF(ISBLANK(REPORTS!G811),"",REPORTS!G811)</f>
        <v/>
      </c>
      <c r="G929" s="1324" t="str">
        <f>+IF(ISBLANK(REPORTS!H811),"",REPORTS!H811)</f>
        <v/>
      </c>
      <c r="H929" s="1374" t="str">
        <f>+IF(ISBLANK(REPORTS!I811),"",REPORTS!I811)</f>
        <v/>
      </c>
    </row>
    <row r="930" spans="1:8">
      <c r="A930" s="1751"/>
      <c r="B930" s="1393">
        <v>141</v>
      </c>
      <c r="C930" s="1324" t="s">
        <v>5354</v>
      </c>
      <c r="D930" s="1324" t="s">
        <v>4777</v>
      </c>
      <c r="E930" s="1324">
        <f>+IF(ISBLANK(REPORTS!F812),"",REPORTS!F812)</f>
        <v>353693.72295935004</v>
      </c>
      <c r="F930" s="1324">
        <f>+IF(ISBLANK(REPORTS!G812),"",REPORTS!G812)</f>
        <v>1573.5161190807726</v>
      </c>
      <c r="G930" s="1324">
        <f>+IF(ISBLANK(REPORTS!H812),"",REPORTS!H812)</f>
        <v>352120.20684026927</v>
      </c>
      <c r="H930" s="1374">
        <f>+IF(ISBLANK(REPORTS!I812),"",REPORTS!I812)</f>
        <v>0.9955511901485975</v>
      </c>
    </row>
    <row r="931" spans="1:8">
      <c r="A931" s="1751"/>
      <c r="B931" s="1393">
        <v>142</v>
      </c>
      <c r="C931" s="1324" t="s">
        <v>5265</v>
      </c>
      <c r="D931" s="1324" t="s">
        <v>4067</v>
      </c>
      <c r="E931" s="1324">
        <f>+IF(ISBLANK(REPORTS!F813),"",REPORTS!F813)</f>
        <v>-118452.118587877</v>
      </c>
      <c r="F931" s="1324">
        <f>+IF(ISBLANK(REPORTS!G813),"",REPORTS!G813)</f>
        <v>0</v>
      </c>
      <c r="G931" s="1324">
        <f>+IF(ISBLANK(REPORTS!H813),"",REPORTS!H813)</f>
        <v>-118452.118587877</v>
      </c>
      <c r="H931" s="1374">
        <f>+IF(ISBLANK(REPORTS!I813),"",REPORTS!I813)</f>
        <v>1</v>
      </c>
    </row>
    <row r="932" spans="1:8">
      <c r="A932" s="1751"/>
      <c r="B932" s="1393">
        <v>143</v>
      </c>
      <c r="C932" s="1324" t="s">
        <v>5265</v>
      </c>
      <c r="D932" s="1324" t="s">
        <v>2067</v>
      </c>
      <c r="E932" s="1324">
        <f>+IF(ISBLANK(REPORTS!F814),"",REPORTS!F814)</f>
        <v>-16916.597610147608</v>
      </c>
      <c r="F932" s="1324">
        <f>+IF(ISBLANK(REPORTS!G814),"",REPORTS!G814)</f>
        <v>-3.6693488390392306E-4</v>
      </c>
      <c r="G932" s="1324">
        <f>+IF(ISBLANK(REPORTS!H814),"",REPORTS!H814)</f>
        <v>-16916.597243212724</v>
      </c>
      <c r="H932" s="1374">
        <f>+IF(ISBLANK(REPORTS!I814),"",REPORTS!I814)</f>
        <v>0.99999997830917942</v>
      </c>
    </row>
    <row r="933" spans="1:8">
      <c r="A933" s="1751"/>
      <c r="B933" s="1393">
        <v>144</v>
      </c>
      <c r="C933" s="1324" t="s">
        <v>5268</v>
      </c>
      <c r="D933" s="1324" t="s">
        <v>4067</v>
      </c>
      <c r="E933" s="1324">
        <f>+IF(ISBLANK(REPORTS!F815),"",REPORTS!F815)</f>
        <v>-6009.4000368649686</v>
      </c>
      <c r="F933" s="1324">
        <f>+IF(ISBLANK(REPORTS!G815),"",REPORTS!G815)</f>
        <v>-489.12395817097712</v>
      </c>
      <c r="G933" s="1324">
        <f>+IF(ISBLANK(REPORTS!H815),"",REPORTS!H815)</f>
        <v>-5520.2760786939916</v>
      </c>
      <c r="H933" s="1374">
        <f>+IF(ISBLANK(REPORTS!I815),"",REPORTS!I815)</f>
        <v>0.91860685672938713</v>
      </c>
    </row>
    <row r="934" spans="1:8">
      <c r="A934" s="1751"/>
      <c r="B934" s="1393">
        <v>145</v>
      </c>
      <c r="C934" s="1324" t="s">
        <v>5239</v>
      </c>
      <c r="D934" s="1324" t="s">
        <v>4067</v>
      </c>
      <c r="E934" s="1324">
        <f>+IF(ISBLANK(REPORTS!F816),"",REPORTS!F816)</f>
        <v>-8233.4529883724954</v>
      </c>
      <c r="F934" s="1324">
        <f>+IF(ISBLANK(REPORTS!G816),"",REPORTS!G816)</f>
        <v>-632.57398937113499</v>
      </c>
      <c r="G934" s="1324">
        <f>+IF(ISBLANK(REPORTS!H816),"",REPORTS!H816)</f>
        <v>-7600.8789990013611</v>
      </c>
      <c r="H934" s="1374">
        <f>+IF(ISBLANK(REPORTS!I816),"",REPORTS!I816)</f>
        <v>0.92317026765508081</v>
      </c>
    </row>
    <row r="935" spans="1:8">
      <c r="A935" s="1751"/>
      <c r="B935" s="1393">
        <v>146</v>
      </c>
      <c r="C935" s="1324" t="s">
        <v>5240</v>
      </c>
      <c r="D935" s="1324" t="s">
        <v>4067</v>
      </c>
      <c r="E935" s="1324">
        <f>+IF(ISBLANK(REPORTS!F817),"",REPORTS!F817)</f>
        <v>-32585.287231346192</v>
      </c>
      <c r="F935" s="1324">
        <f>+IF(ISBLANK(REPORTS!G817),"",REPORTS!G817)</f>
        <v>0</v>
      </c>
      <c r="G935" s="1324">
        <f>+IF(ISBLANK(REPORTS!H817),"",REPORTS!H817)</f>
        <v>-32585.287231346192</v>
      </c>
      <c r="H935" s="1374">
        <f>+IF(ISBLANK(REPORTS!I817),"",REPORTS!I817)</f>
        <v>1</v>
      </c>
    </row>
    <row r="936" spans="1:8">
      <c r="A936" s="1751"/>
      <c r="B936" s="1393">
        <v>147</v>
      </c>
      <c r="C936" s="1324" t="s">
        <v>5241</v>
      </c>
      <c r="D936" s="1324" t="s">
        <v>4067</v>
      </c>
      <c r="E936" s="1324">
        <f>+IF(ISBLANK(REPORTS!F818),"",REPORTS!F818)</f>
        <v>-14400.701062501284</v>
      </c>
      <c r="F936" s="1324">
        <f>+IF(ISBLANK(REPORTS!G818),"",REPORTS!G818)</f>
        <v>0</v>
      </c>
      <c r="G936" s="1324">
        <f>+IF(ISBLANK(REPORTS!H818),"",REPORTS!H818)</f>
        <v>-14400.701062501284</v>
      </c>
      <c r="H936" s="1374">
        <f>+IF(ISBLANK(REPORTS!I818),"",REPORTS!I818)</f>
        <v>1</v>
      </c>
    </row>
    <row r="937" spans="1:8">
      <c r="A937" s="1751"/>
      <c r="B937" s="1393">
        <v>148</v>
      </c>
      <c r="C937" s="1324" t="s">
        <v>5242</v>
      </c>
      <c r="D937" s="1324" t="s">
        <v>4071</v>
      </c>
      <c r="E937" s="1324">
        <f>+IF(ISBLANK(REPORTS!F819),"",REPORTS!F819)</f>
        <v>-21037.710711189167</v>
      </c>
      <c r="F937" s="1324">
        <f>+IF(ISBLANK(REPORTS!G819),"",REPORTS!G819)</f>
        <v>0</v>
      </c>
      <c r="G937" s="1324">
        <f>+IF(ISBLANK(REPORTS!H819),"",REPORTS!H819)</f>
        <v>-21037.710711189167</v>
      </c>
      <c r="H937" s="1374">
        <f>+IF(ISBLANK(REPORTS!I819),"",REPORTS!I819)</f>
        <v>1</v>
      </c>
    </row>
    <row r="938" spans="1:8">
      <c r="A938" s="1751"/>
      <c r="B938" s="1393">
        <v>149</v>
      </c>
      <c r="C938" s="1324" t="s">
        <v>5244</v>
      </c>
      <c r="D938" s="1324" t="s">
        <v>4071</v>
      </c>
      <c r="E938" s="1324">
        <f>+IF(ISBLANK(REPORTS!F820),"",REPORTS!F820)</f>
        <v>-13427.69651997666</v>
      </c>
      <c r="F938" s="1324">
        <f>+IF(ISBLANK(REPORTS!G820),"",REPORTS!G820)</f>
        <v>0</v>
      </c>
      <c r="G938" s="1324">
        <f>+IF(ISBLANK(REPORTS!H820),"",REPORTS!H820)</f>
        <v>-13427.69651997666</v>
      </c>
      <c r="H938" s="1374">
        <f>+IF(ISBLANK(REPORTS!I820),"",REPORTS!I820)</f>
        <v>1</v>
      </c>
    </row>
    <row r="939" spans="1:8">
      <c r="A939" s="1751"/>
      <c r="B939" s="1393">
        <v>150</v>
      </c>
      <c r="C939" s="1324" t="s">
        <v>5613</v>
      </c>
      <c r="D939" s="1324"/>
      <c r="E939" s="1421">
        <f>+IF(ISBLANK(REPORTS!F821),"",REPORTS!F821)</f>
        <v>122630.75821107463</v>
      </c>
      <c r="F939" s="1421">
        <f>+IF(ISBLANK(REPORTS!G821),"",REPORTS!G821)</f>
        <v>451.81780460377649</v>
      </c>
      <c r="G939" s="1421">
        <f>+IF(ISBLANK(REPORTS!H821),"",REPORTS!H821)</f>
        <v>122178.94040647088</v>
      </c>
      <c r="H939" s="1374">
        <f>+IF(ISBLANK(REPORTS!I821),"",REPORTS!I821)</f>
        <v>0.99631562414524033</v>
      </c>
    </row>
    <row r="940" spans="1:8">
      <c r="A940" s="1751"/>
      <c r="B940" s="1393">
        <v>151</v>
      </c>
      <c r="C940" s="1324"/>
      <c r="D940" s="1324"/>
      <c r="E940" s="1324" t="str">
        <f>+IF(ISBLANK(REPORTS!F822),"",REPORTS!F822)</f>
        <v/>
      </c>
      <c r="F940" s="1324" t="str">
        <f>+IF(ISBLANK(REPORTS!G822),"",REPORTS!G822)</f>
        <v/>
      </c>
      <c r="G940" s="1324" t="str">
        <f>+IF(ISBLANK(REPORTS!H822),"",REPORTS!H822)</f>
        <v/>
      </c>
      <c r="H940" s="1324" t="str">
        <f>+IF(ISBLANK(REPORTS!I822),"",REPORTS!I822)</f>
        <v/>
      </c>
    </row>
    <row r="941" spans="1:8">
      <c r="A941" s="1751"/>
      <c r="B941" s="1393">
        <v>152</v>
      </c>
      <c r="C941" s="1362" t="s">
        <v>5615</v>
      </c>
      <c r="D941" s="1324"/>
      <c r="E941" s="1324" t="str">
        <f>+IF(ISBLANK(REPORTS!F823),"",REPORTS!F823)</f>
        <v/>
      </c>
      <c r="F941" s="1324" t="str">
        <f>+IF(ISBLANK(REPORTS!G823),"",REPORTS!G823)</f>
        <v/>
      </c>
      <c r="G941" s="1324" t="str">
        <f>+IF(ISBLANK(REPORTS!H823),"",REPORTS!H823)</f>
        <v/>
      </c>
      <c r="H941" s="1374" t="str">
        <f>+IF(ISBLANK(REPORTS!I823),"",REPORTS!I823)</f>
        <v/>
      </c>
    </row>
    <row r="942" spans="1:8">
      <c r="A942" s="1751"/>
      <c r="B942" s="1393">
        <v>153</v>
      </c>
      <c r="C942" s="1324" t="s">
        <v>5265</v>
      </c>
      <c r="D942" s="1324" t="s">
        <v>4067</v>
      </c>
      <c r="E942" s="1324">
        <f>+IF(ISBLANK(REPORTS!F824),"",REPORTS!F824)</f>
        <v>-68582.838555723458</v>
      </c>
      <c r="F942" s="1364">
        <f>+IF(ISBLANK(REPORTS!G824),"",REPORTS!G824)</f>
        <v>0</v>
      </c>
      <c r="G942" s="1364">
        <f>+IF(ISBLANK(REPORTS!H824),"",REPORTS!H824)</f>
        <v>-68582.838555723458</v>
      </c>
      <c r="H942" s="1374">
        <f>+IF(ISBLANK(REPORTS!I824),"",REPORTS!I824)</f>
        <v>1</v>
      </c>
    </row>
    <row r="943" spans="1:8">
      <c r="A943" s="1751"/>
      <c r="B943" s="1393">
        <v>154</v>
      </c>
      <c r="C943" s="1324" t="s">
        <v>5265</v>
      </c>
      <c r="D943" s="1324" t="s">
        <v>2067</v>
      </c>
      <c r="E943" s="1324">
        <f>+IF(ISBLANK(REPORTS!F825),"",REPORTS!F825)</f>
        <v>-4743.2198332172475</v>
      </c>
      <c r="F943" s="1364">
        <f>+IF(ISBLANK(REPORTS!G825),"",REPORTS!G825)</f>
        <v>0</v>
      </c>
      <c r="G943" s="1364">
        <f>+IF(ISBLANK(REPORTS!H825),"",REPORTS!H825)</f>
        <v>-4743.2198332172475</v>
      </c>
      <c r="H943" s="1374">
        <f>+IF(ISBLANK(REPORTS!I825),"",REPORTS!I825)</f>
        <v>1</v>
      </c>
    </row>
    <row r="944" spans="1:8">
      <c r="A944" s="1751"/>
      <c r="B944" s="1393">
        <v>155</v>
      </c>
      <c r="C944" s="1324" t="s">
        <v>5268</v>
      </c>
      <c r="D944" s="1324" t="s">
        <v>4067</v>
      </c>
      <c r="E944" s="1324">
        <f>+IF(ISBLANK(REPORTS!F826),"",REPORTS!F826)</f>
        <v>-1523.2640792379241</v>
      </c>
      <c r="F944" s="1364">
        <f>+IF(ISBLANK(REPORTS!G826),"",REPORTS!G826)</f>
        <v>-127.38067232065096</v>
      </c>
      <c r="G944" s="1364">
        <f>+IF(ISBLANK(REPORTS!H826),"",REPORTS!H826)</f>
        <v>-1395.9742265307304</v>
      </c>
      <c r="H944" s="1374">
        <f>+IF(ISBLANK(REPORTS!I826),"",REPORTS!I826)</f>
        <v>0.91643612263812091</v>
      </c>
    </row>
    <row r="945" spans="1:8">
      <c r="A945" s="1751"/>
      <c r="B945" s="1393">
        <v>156</v>
      </c>
      <c r="C945" s="1324" t="s">
        <v>5239</v>
      </c>
      <c r="D945" s="1324" t="s">
        <v>4067</v>
      </c>
      <c r="E945" s="1324">
        <f>+IF(ISBLANK(REPORTS!F827),"",REPORTS!F827)</f>
        <v>-1138.8649161845626</v>
      </c>
      <c r="F945" s="1364">
        <f>+IF(ISBLANK(REPORTS!G827),"",REPORTS!G827)</f>
        <v>-95.090295473416859</v>
      </c>
      <c r="G945" s="1364">
        <f>+IF(ISBLANK(REPORTS!H827),"",REPORTS!H827)</f>
        <v>-1043.7034861370585</v>
      </c>
      <c r="H945" s="1374">
        <f>+IF(ISBLANK(REPORTS!I827),"",REPORTS!I827)</f>
        <v>0.91644186356507051</v>
      </c>
    </row>
    <row r="946" spans="1:8">
      <c r="A946" s="1751"/>
      <c r="B946" s="1393">
        <v>157</v>
      </c>
      <c r="C946" s="1324" t="s">
        <v>5240</v>
      </c>
      <c r="D946" s="1324" t="s">
        <v>4067</v>
      </c>
      <c r="E946" s="1324">
        <f>+IF(ISBLANK(REPORTS!F828),"",REPORTS!F828)</f>
        <v>-4001.5462141957942</v>
      </c>
      <c r="F946" s="1364">
        <f>+IF(ISBLANK(REPORTS!G828),"",REPORTS!G828)</f>
        <v>0</v>
      </c>
      <c r="G946" s="1364">
        <f>+IF(ISBLANK(REPORTS!H828),"",REPORTS!H828)</f>
        <v>-4001.5462141957942</v>
      </c>
      <c r="H946" s="1374">
        <f>+IF(ISBLANK(REPORTS!I828),"",REPORTS!I828)</f>
        <v>1</v>
      </c>
    </row>
    <row r="947" spans="1:8">
      <c r="A947" s="1751"/>
      <c r="B947" s="1393">
        <v>158</v>
      </c>
      <c r="C947" s="1324" t="s">
        <v>5241</v>
      </c>
      <c r="D947" s="1324" t="s">
        <v>4067</v>
      </c>
      <c r="E947" s="1324">
        <f>+IF(ISBLANK(REPORTS!F829),"",REPORTS!F829)</f>
        <v>-1260.2703284984882</v>
      </c>
      <c r="F947" s="1364">
        <f>+IF(ISBLANK(REPORTS!G829),"",REPORTS!G829)</f>
        <v>0</v>
      </c>
      <c r="G947" s="1364">
        <f>+IF(ISBLANK(REPORTS!H829),"",REPORTS!H829)</f>
        <v>-1260.2703284984882</v>
      </c>
      <c r="H947" s="1374">
        <f>+IF(ISBLANK(REPORTS!I829),"",REPORTS!I829)</f>
        <v>1</v>
      </c>
    </row>
    <row r="948" spans="1:8">
      <c r="A948" s="1751"/>
      <c r="B948" s="1393">
        <v>159</v>
      </c>
      <c r="C948" s="1324" t="s">
        <v>5242</v>
      </c>
      <c r="D948" s="1324" t="s">
        <v>4071</v>
      </c>
      <c r="E948" s="1324">
        <f>+IF(ISBLANK(REPORTS!F830),"",REPORTS!F830)</f>
        <v>-7111.1672368342252</v>
      </c>
      <c r="F948" s="1364">
        <f>+IF(ISBLANK(REPORTS!G830),"",REPORTS!G830)</f>
        <v>0</v>
      </c>
      <c r="G948" s="1364">
        <f>+IF(ISBLANK(REPORTS!H830),"",REPORTS!H830)</f>
        <v>-7111.1672368342252</v>
      </c>
      <c r="H948" s="1374">
        <f>+IF(ISBLANK(REPORTS!I830),"",REPORTS!I830)</f>
        <v>1</v>
      </c>
    </row>
    <row r="949" spans="1:8">
      <c r="A949" s="1751"/>
      <c r="B949" s="1393">
        <v>160</v>
      </c>
      <c r="C949" s="1324" t="s">
        <v>5244</v>
      </c>
      <c r="D949" s="1324" t="s">
        <v>4071</v>
      </c>
      <c r="E949" s="1324">
        <f>+IF(ISBLANK(REPORTS!F831),"",REPORTS!F831)</f>
        <v>-841.51367610829675</v>
      </c>
      <c r="F949" s="1364">
        <f>+IF(ISBLANK(REPORTS!G831),"",REPORTS!G831)</f>
        <v>0</v>
      </c>
      <c r="G949" s="1364">
        <f>+IF(ISBLANK(REPORTS!H831),"",REPORTS!H831)</f>
        <v>-841.51367610829675</v>
      </c>
      <c r="H949" s="1374">
        <f>+IF(ISBLANK(REPORTS!I831),"",REPORTS!I831)</f>
        <v>1</v>
      </c>
    </row>
    <row r="950" spans="1:8">
      <c r="A950" s="1752">
        <v>101</v>
      </c>
      <c r="B950" s="1393">
        <v>161</v>
      </c>
      <c r="C950" s="1324" t="s">
        <v>5616</v>
      </c>
      <c r="D950" s="1324"/>
      <c r="E950" s="1421">
        <f>+IF(ISBLANK(REPORTS!F832),"",REPORTS!F832)</f>
        <v>-89202.684840000002</v>
      </c>
      <c r="F950" s="1421">
        <f>+IF(ISBLANK(REPORTS!G832),"",REPORTS!G832)</f>
        <v>-222.4709677940678</v>
      </c>
      <c r="G950" s="1421">
        <f>+IF(ISBLANK(REPORTS!H832),"",REPORTS!H832)</f>
        <v>-88980.233557245301</v>
      </c>
      <c r="H950" s="1374">
        <f>+IF(ISBLANK(REPORTS!I832),"",REPORTS!I832)</f>
        <v>0.99750622659896726</v>
      </c>
    </row>
    <row r="951" spans="1:8">
      <c r="A951" s="1752">
        <v>101</v>
      </c>
      <c r="B951" s="1393">
        <v>162</v>
      </c>
      <c r="C951" s="1324"/>
      <c r="D951" s="1324"/>
      <c r="E951" s="1324" t="str">
        <f>+IF(ISBLANK(REPORTS!F833),"",REPORTS!F833)</f>
        <v/>
      </c>
      <c r="F951" s="1324" t="str">
        <f>+IF(ISBLANK(REPORTS!G833),"",REPORTS!G833)</f>
        <v/>
      </c>
      <c r="G951" s="1324" t="str">
        <f>+IF(ISBLANK(REPORTS!H833),"",REPORTS!H833)</f>
        <v/>
      </c>
      <c r="H951" s="1374" t="str">
        <f>+IF(ISBLANK(REPORTS!I833),"",REPORTS!I833)</f>
        <v/>
      </c>
    </row>
    <row r="952" spans="1:8">
      <c r="A952" s="1752">
        <v>117</v>
      </c>
      <c r="B952" s="1393">
        <v>163</v>
      </c>
      <c r="C952" s="1362" t="s">
        <v>5618</v>
      </c>
      <c r="D952" s="1324"/>
      <c r="E952" s="1324" t="str">
        <f>+IF(ISBLANK(REPORTS!F834),"",REPORTS!F834)</f>
        <v/>
      </c>
      <c r="F952" s="1324" t="str">
        <f>+IF(ISBLANK(REPORTS!G834),"",REPORTS!G834)</f>
        <v/>
      </c>
      <c r="G952" s="1324" t="str">
        <f>+IF(ISBLANK(REPORTS!H834),"",REPORTS!H834)</f>
        <v/>
      </c>
      <c r="H952" s="1374" t="str">
        <f>+IF(ISBLANK(REPORTS!I834),"",REPORTS!I834)</f>
        <v/>
      </c>
    </row>
    <row r="953" spans="1:8">
      <c r="A953" s="1752">
        <v>117</v>
      </c>
      <c r="B953" s="1393">
        <v>164</v>
      </c>
      <c r="C953" s="1324" t="s">
        <v>5354</v>
      </c>
      <c r="D953" s="1324" t="s">
        <v>4777</v>
      </c>
      <c r="E953" s="1324">
        <f>+IF(ISBLANK(REPORTS!F835),"",REPORTS!F835)</f>
        <v>451719.19417509332</v>
      </c>
      <c r="F953" s="1324">
        <f>+IF(ISBLANK(REPORTS!G835),"",REPORTS!G835)</f>
        <v>2009.6128011137405</v>
      </c>
      <c r="G953" s="1324">
        <f>+IF(ISBLANK(REPORTS!H835),"",REPORTS!H835)</f>
        <v>449709.58137397957</v>
      </c>
      <c r="H953" s="1374">
        <f>+IF(ISBLANK(REPORTS!I835),"",REPORTS!I835)</f>
        <v>0.9955511901485975</v>
      </c>
    </row>
    <row r="954" spans="1:8">
      <c r="A954" s="1752">
        <v>105</v>
      </c>
      <c r="B954" s="1393">
        <v>165</v>
      </c>
      <c r="C954" s="1324" t="s">
        <v>5265</v>
      </c>
      <c r="D954" s="1324" t="s">
        <v>4067</v>
      </c>
      <c r="E954" s="1324">
        <f>+IF(ISBLANK(REPORTS!F836),"",REPORTS!F836)</f>
        <v>-219863.71261013226</v>
      </c>
      <c r="F954" s="1324">
        <f>+IF(ISBLANK(REPORTS!G836),"",REPORTS!G836)</f>
        <v>0</v>
      </c>
      <c r="G954" s="1324">
        <f>+IF(ISBLANK(REPORTS!H836),"",REPORTS!H836)</f>
        <v>-219863.71261013226</v>
      </c>
      <c r="H954" s="1374">
        <f>+IF(ISBLANK(REPORTS!I836),"",REPORTS!I836)</f>
        <v>1</v>
      </c>
    </row>
    <row r="955" spans="1:8">
      <c r="A955" s="1752">
        <v>106</v>
      </c>
      <c r="B955" s="1393">
        <v>166</v>
      </c>
      <c r="C955" s="1324" t="s">
        <v>5265</v>
      </c>
      <c r="D955" s="1324" t="s">
        <v>2067</v>
      </c>
      <c r="E955" s="1324">
        <f>+IF(ISBLANK(REPORTS!F837),"",REPORTS!F837)</f>
        <v>-26348.216881803346</v>
      </c>
      <c r="F955" s="1324">
        <f>+IF(ISBLANK(REPORTS!G837),"",REPORTS!G837)</f>
        <v>-4.6863011501864092E-4</v>
      </c>
      <c r="G955" s="1324">
        <f>+IF(ISBLANK(REPORTS!H837),"",REPORTS!H837)</f>
        <v>-26348.216413173232</v>
      </c>
      <c r="H955" s="1374">
        <f>+IF(ISBLANK(REPORTS!I837),"",REPORTS!I837)</f>
        <v>0.99999998221397235</v>
      </c>
    </row>
    <row r="956" spans="1:8">
      <c r="A956" s="1752">
        <v>907</v>
      </c>
      <c r="B956" s="1393">
        <v>167</v>
      </c>
      <c r="C956" s="1324" t="s">
        <v>5268</v>
      </c>
      <c r="D956" s="1324" t="s">
        <v>4067</v>
      </c>
      <c r="E956" s="1324">
        <f>+IF(ISBLANK(REPORTS!F838),"",REPORTS!F838)</f>
        <v>-9198.1644655808286</v>
      </c>
      <c r="F956" s="1324">
        <f>+IF(ISBLANK(REPORTS!G838),"",REPORTS!G838)</f>
        <v>-752.06430647753768</v>
      </c>
      <c r="G956" s="1324">
        <f>+IF(ISBLANK(REPORTS!H838),"",REPORTS!H838)</f>
        <v>-8446.1832068531912</v>
      </c>
      <c r="H956" s="1374">
        <f>+IF(ISBLANK(REPORTS!I838),"",REPORTS!I838)</f>
        <v>0.91824659566139288</v>
      </c>
    </row>
    <row r="957" spans="1:8">
      <c r="A957" s="1751">
        <v>412</v>
      </c>
      <c r="B957" s="1393">
        <v>168</v>
      </c>
      <c r="C957" s="1324" t="s">
        <v>5239</v>
      </c>
      <c r="D957" s="1324" t="s">
        <v>4067</v>
      </c>
      <c r="E957" s="1324">
        <f>+IF(ISBLANK(REPORTS!F839),"",REPORTS!F839)</f>
        <v>-11654.194306845615</v>
      </c>
      <c r="F957" s="1324">
        <f>+IF(ISBLANK(REPORTS!G839),"",REPORTS!G839)</f>
        <v>-902.98083518676617</v>
      </c>
      <c r="G957" s="1324">
        <f>+IF(ISBLANK(REPORTS!H839),"",REPORTS!H839)</f>
        <v>-10751.150108948321</v>
      </c>
      <c r="H957" s="1374">
        <f>+IF(ISBLANK(REPORTS!I839),"",REPORTS!I839)</f>
        <v>0.92251337380166643</v>
      </c>
    </row>
    <row r="958" spans="1:8">
      <c r="A958" s="1751"/>
      <c r="B958" s="1393">
        <v>169</v>
      </c>
      <c r="C958" s="1324" t="s">
        <v>5240</v>
      </c>
      <c r="D958" s="1324" t="s">
        <v>4067</v>
      </c>
      <c r="E958" s="1324">
        <f>+IF(ISBLANK(REPORTS!F840),"",REPORTS!F840)</f>
        <v>-45617.777248636165</v>
      </c>
      <c r="F958" s="1324">
        <f>+IF(ISBLANK(REPORTS!G840),"",REPORTS!G840)</f>
        <v>0</v>
      </c>
      <c r="G958" s="1324">
        <f>+IF(ISBLANK(REPORTS!H840),"",REPORTS!H840)</f>
        <v>-45617.777248636165</v>
      </c>
      <c r="H958" s="1374">
        <f>+IF(ISBLANK(REPORTS!I840),"",REPORTS!I840)</f>
        <v>1</v>
      </c>
    </row>
    <row r="959" spans="1:8">
      <c r="A959" s="1751"/>
      <c r="B959" s="1393">
        <v>170</v>
      </c>
      <c r="C959" s="1324" t="s">
        <v>5241</v>
      </c>
      <c r="D959" s="1324" t="s">
        <v>4067</v>
      </c>
      <c r="E959" s="1324">
        <f>+IF(ISBLANK(REPORTS!F841),"",REPORTS!F841)</f>
        <v>-19652.095394212527</v>
      </c>
      <c r="F959" s="1324">
        <f>+IF(ISBLANK(REPORTS!G841),"",REPORTS!G841)</f>
        <v>0</v>
      </c>
      <c r="G959" s="1324">
        <f>+IF(ISBLANK(REPORTS!H841),"",REPORTS!H841)</f>
        <v>-19652.095394212527</v>
      </c>
      <c r="H959" s="1374">
        <f>+IF(ISBLANK(REPORTS!I841),"",REPORTS!I841)</f>
        <v>1</v>
      </c>
    </row>
    <row r="960" spans="1:8">
      <c r="A960" s="1751"/>
      <c r="B960" s="1393">
        <v>171</v>
      </c>
      <c r="C960" s="1324" t="s">
        <v>5242</v>
      </c>
      <c r="D960" s="1324" t="s">
        <v>4071</v>
      </c>
      <c r="E960" s="1324">
        <f>+IF(ISBLANK(REPORTS!F842),"",REPORTS!F842)</f>
        <v>-33979.43521239933</v>
      </c>
      <c r="F960" s="1324">
        <f>+IF(ISBLANK(REPORTS!G842),"",REPORTS!G842)</f>
        <v>0</v>
      </c>
      <c r="G960" s="1324">
        <f>+IF(ISBLANK(REPORTS!H842),"",REPORTS!H842)</f>
        <v>-33978.43521239933</v>
      </c>
      <c r="H960" s="1374">
        <f>+IF(ISBLANK(REPORTS!I842),"",REPORTS!I842)</f>
        <v>0.99997057043491899</v>
      </c>
    </row>
    <row r="961" spans="1:8">
      <c r="A961" s="1751"/>
      <c r="B961" s="1393">
        <v>172</v>
      </c>
      <c r="C961" s="1324" t="s">
        <v>5244</v>
      </c>
      <c r="D961" s="1324" t="s">
        <v>4071</v>
      </c>
      <c r="E961" s="1366">
        <f>+IF(ISBLANK(REPORTS!F843),"",REPORTS!F843)</f>
        <v>-17990.668037348332</v>
      </c>
      <c r="F961" s="1366">
        <f>+IF(ISBLANK(REPORTS!G843),"",REPORTS!G843)</f>
        <v>0</v>
      </c>
      <c r="G961" s="1366">
        <f>+IF(ISBLANK(REPORTS!H843),"",REPORTS!H843)</f>
        <v>-17990.668037348332</v>
      </c>
      <c r="H961" s="1374">
        <f>+IF(ISBLANK(REPORTS!I843),"",REPORTS!I843)</f>
        <v>1</v>
      </c>
    </row>
    <row r="962" spans="1:8">
      <c r="A962" s="1751"/>
      <c r="B962" s="1393">
        <v>173</v>
      </c>
      <c r="C962" s="1324" t="s">
        <v>5628</v>
      </c>
      <c r="D962" s="1324"/>
      <c r="E962" s="1364">
        <f>+IF(ISBLANK(REPORTS!F845),"",REPORTS!F845)</f>
        <v>67414.930018134939</v>
      </c>
      <c r="F962" s="1364">
        <f>+IF(ISBLANK(REPORTS!G845),"",REPORTS!G845)</f>
        <v>354.5671908193217</v>
      </c>
      <c r="G962" s="1364">
        <f>+IF(ISBLANK(REPORTS!H845),"",REPORTS!H845)</f>
        <v>67060.343142276222</v>
      </c>
      <c r="H962" s="1440">
        <f>+IF(ISBLANK(REPORTS!I845),"",REPORTS!I845)</f>
        <v>0.99474023223396757</v>
      </c>
    </row>
    <row r="963" spans="1:8">
      <c r="A963" s="1751"/>
      <c r="B963" s="1393">
        <v>174</v>
      </c>
      <c r="E963" s="1364" t="str">
        <f>+IF(ISBLANK(REPORTS!F846),"",REPORTS!F846)</f>
        <v/>
      </c>
      <c r="F963" s="1364" t="str">
        <f>+IF(ISBLANK(REPORTS!G846),"",REPORTS!G846)</f>
        <v/>
      </c>
      <c r="G963" s="1364" t="str">
        <f>+IF(ISBLANK(REPORTS!H846),"",REPORTS!H846)</f>
        <v/>
      </c>
      <c r="H963" s="1440" t="str">
        <f>+IF(ISBLANK(REPORTS!I846),"",REPORTS!I846)</f>
        <v/>
      </c>
    </row>
    <row r="964" spans="1:8">
      <c r="A964" s="1751"/>
      <c r="B964" s="1393">
        <v>175</v>
      </c>
      <c r="C964" s="1320" t="s">
        <v>9453</v>
      </c>
      <c r="D964" s="1324"/>
      <c r="E964" s="1364">
        <f>+IF(ISBLANK(REPORTS!F847),"",REPORTS!F847)</f>
        <v>-38562.941758134948</v>
      </c>
      <c r="F964" s="1364">
        <f>+IF(ISBLANK(REPORTS!G847),"",REPORTS!G847)</f>
        <v>0</v>
      </c>
      <c r="G964" s="1364">
        <f>+IF(ISBLANK(REPORTS!H847),"",REPORTS!H847)</f>
        <v>-38562.941758134948</v>
      </c>
      <c r="H964" s="1440" t="str">
        <f>+IF(ISBLANK(REPORTS!I847),"",REPORTS!I847)</f>
        <v/>
      </c>
    </row>
    <row r="965" spans="1:8">
      <c r="A965" s="1751"/>
      <c r="B965" s="1393">
        <v>176</v>
      </c>
      <c r="E965" s="1364" t="str">
        <f>+IF(ISBLANK(REPORTS!F848),"",REPORTS!F848)</f>
        <v/>
      </c>
      <c r="F965" s="1364" t="str">
        <f>+IF(ISBLANK(REPORTS!G848),"",REPORTS!G848)</f>
        <v/>
      </c>
      <c r="G965" s="1364" t="str">
        <f>+IF(ISBLANK(REPORTS!H848),"",REPORTS!H848)</f>
        <v/>
      </c>
      <c r="H965" s="1440" t="str">
        <f>+IF(ISBLANK(REPORTS!I848),"",REPORTS!I848)</f>
        <v/>
      </c>
    </row>
    <row r="966" spans="1:8">
      <c r="A966" s="1751"/>
      <c r="B966" s="1393">
        <v>177</v>
      </c>
      <c r="C966" s="1320" t="s">
        <v>9441</v>
      </c>
      <c r="E966" s="1366">
        <f>+IF(ISBLANK(REPORTS!F849),"",REPORTS!F849)</f>
        <v>28851.988259999991</v>
      </c>
      <c r="F966" s="1366">
        <f>+IF(ISBLANK(REPORTS!G849),"",REPORTS!G849)</f>
        <v>354.5671908193217</v>
      </c>
      <c r="G966" s="1366">
        <f>+IF(ISBLANK(REPORTS!H849),"",REPORTS!H849)</f>
        <v>28497.401384141274</v>
      </c>
      <c r="H966" s="1955">
        <f>+IF(ISBLANK(REPORTS!I849),"",REPORTS!I849)</f>
        <v>0.98771014071323771</v>
      </c>
    </row>
    <row r="967" spans="1:8">
      <c r="A967" s="1751"/>
      <c r="B967" s="1416" t="str">
        <f>+$B$1</f>
        <v>RATES WITH REVENUE DEFICIENCY ADDITION</v>
      </c>
      <c r="C967" s="1324"/>
      <c r="D967" s="1324"/>
      <c r="E967" s="1336"/>
      <c r="F967" s="1329" t="s">
        <v>2173</v>
      </c>
      <c r="G967" s="1324"/>
      <c r="H967" s="1334" t="s">
        <v>5636</v>
      </c>
    </row>
    <row r="968" spans="1:8">
      <c r="A968" s="1751"/>
      <c r="B968" s="1416" t="str">
        <f>+$B$2</f>
        <v xml:space="preserve">PROD. CAP. ALLOC. METHOD: 12 CP </v>
      </c>
      <c r="C968" s="1324"/>
      <c r="D968" s="1324"/>
      <c r="E968" s="1324"/>
      <c r="F968" s="1336" t="s">
        <v>4768</v>
      </c>
      <c r="G968" s="1324"/>
      <c r="H968" s="1731" t="s">
        <v>4064</v>
      </c>
    </row>
    <row r="969" spans="1:8">
      <c r="A969" s="1751"/>
      <c r="B969" s="1416" t="str">
        <f>+$B$3</f>
        <v>PROJECTED CALENDAR YEAR 2025; FULLY ADJUSTED DATA</v>
      </c>
      <c r="C969" s="1324"/>
      <c r="D969" s="1324"/>
      <c r="E969" s="1336"/>
      <c r="F969" s="1336" t="s">
        <v>2181</v>
      </c>
      <c r="G969" s="1324"/>
      <c r="H969" s="1374"/>
    </row>
    <row r="970" spans="1:8">
      <c r="A970" s="1751"/>
      <c r="B970" s="1732">
        <f>+$B$4</f>
        <v>0</v>
      </c>
      <c r="C970" s="1364"/>
      <c r="D970" s="1324"/>
      <c r="E970" s="1324"/>
      <c r="F970" s="1324"/>
      <c r="G970" s="1324"/>
      <c r="H970" s="1374"/>
    </row>
    <row r="971" spans="1:8">
      <c r="A971" s="1751"/>
      <c r="B971" s="1732" t="str">
        <f>+$B$5</f>
        <v>Tampa Electric 2025 OB Budget</v>
      </c>
      <c r="C971" s="1324"/>
      <c r="D971" s="1324"/>
      <c r="E971" s="1329"/>
      <c r="F971" s="1336" t="s">
        <v>5631</v>
      </c>
      <c r="G971" s="1324"/>
      <c r="H971" s="1374"/>
    </row>
    <row r="972" spans="1:8">
      <c r="A972" s="1751"/>
      <c r="B972" s="1393"/>
      <c r="C972" s="1324"/>
      <c r="D972" s="1324"/>
      <c r="E972" s="1336"/>
      <c r="F972" s="1324"/>
      <c r="G972" s="1324"/>
      <c r="H972" s="1374"/>
    </row>
    <row r="973" spans="1:8">
      <c r="A973" s="1751"/>
      <c r="B973" s="1393"/>
      <c r="C973" s="1324"/>
      <c r="D973" s="1324"/>
      <c r="E973" s="1336"/>
      <c r="F973" s="1324"/>
      <c r="G973" s="1324"/>
      <c r="H973" s="1374"/>
    </row>
    <row r="974" spans="1:8">
      <c r="A974" s="1751"/>
      <c r="B974" s="1393"/>
      <c r="C974" s="1324"/>
      <c r="D974" s="1324"/>
      <c r="E974" s="1324"/>
      <c r="F974" s="1324"/>
      <c r="G974" s="1324"/>
      <c r="H974" s="1374"/>
    </row>
    <row r="975" spans="1:8">
      <c r="A975" s="1751"/>
      <c r="B975" s="1735"/>
      <c r="C975" s="1416"/>
      <c r="D975" s="1416"/>
      <c r="E975" s="1336"/>
      <c r="F975" s="1336"/>
      <c r="G975" s="1336"/>
      <c r="H975" s="1736"/>
    </row>
    <row r="976" spans="1:8" ht="28.2">
      <c r="A976" s="1760"/>
      <c r="B976" s="1737" t="s">
        <v>4297</v>
      </c>
      <c r="C976" s="1741"/>
      <c r="D976" s="1741"/>
      <c r="E976" s="1352" t="s">
        <v>5144</v>
      </c>
      <c r="F976" s="1352" t="s">
        <v>4956</v>
      </c>
      <c r="G976" s="1352" t="s">
        <v>4957</v>
      </c>
      <c r="H976" s="1742" t="s">
        <v>5145</v>
      </c>
    </row>
    <row r="977" spans="1:8">
      <c r="A977" s="1760"/>
      <c r="B977" s="1393"/>
      <c r="C977" s="1324"/>
      <c r="D977" s="1324"/>
      <c r="E977" s="1324"/>
      <c r="F977" s="1324"/>
      <c r="G977" s="1324"/>
      <c r="H977" s="1374"/>
    </row>
    <row r="978" spans="1:8">
      <c r="A978" s="1751"/>
      <c r="B978" s="1393">
        <v>1</v>
      </c>
      <c r="C978" s="1362" t="s">
        <v>5632</v>
      </c>
      <c r="D978" s="1324"/>
      <c r="E978" s="1324"/>
      <c r="F978" s="1324"/>
      <c r="G978" s="1324"/>
      <c r="H978" s="1374"/>
    </row>
    <row r="979" spans="1:8">
      <c r="A979" s="1751"/>
      <c r="B979" s="1393">
        <v>2</v>
      </c>
      <c r="C979" s="1324" t="s">
        <v>4813</v>
      </c>
      <c r="D979" s="1324" t="s">
        <v>4067</v>
      </c>
      <c r="E979" s="1324">
        <f>+IF(ISBLANK(REPORTS!F865),"",REPORTS!F865)</f>
        <v>4493529.4146559993</v>
      </c>
      <c r="F979" s="1364">
        <f>+IF(ISBLANK(REPORTS!G865),"",REPORTS!G865)</f>
        <v>0</v>
      </c>
      <c r="G979" s="1364">
        <f>+IF(ISBLANK(REPORTS!H865),"",REPORTS!H865)</f>
        <v>4493529.4146559993</v>
      </c>
      <c r="H979" s="1374">
        <f>+IF(ISBLANK(REPORTS!I865),"",REPORTS!I865)</f>
        <v>1</v>
      </c>
    </row>
    <row r="980" spans="1:8">
      <c r="A980" s="1751"/>
      <c r="B980" s="1393">
        <v>3</v>
      </c>
      <c r="C980" s="1324" t="s">
        <v>5393</v>
      </c>
      <c r="D980" s="1324" t="s">
        <v>4067</v>
      </c>
      <c r="E980" s="1324">
        <f>+IF(ISBLANK(REPORTS!F866),"",REPORTS!F866)</f>
        <v>2068978.4465800002</v>
      </c>
      <c r="F980" s="1364">
        <f>+IF(ISBLANK(REPORTS!G866),"",REPORTS!G866)</f>
        <v>0</v>
      </c>
      <c r="G980" s="1364">
        <f>+IF(ISBLANK(REPORTS!H866),"",REPORTS!H866)</f>
        <v>2068978.4465800002</v>
      </c>
      <c r="H980" s="1374">
        <f>+IF(ISBLANK(REPORTS!I866),"",REPORTS!I866)</f>
        <v>1</v>
      </c>
    </row>
    <row r="981" spans="1:8">
      <c r="A981" s="1751"/>
      <c r="B981" s="1393">
        <v>4</v>
      </c>
      <c r="C981" s="1324" t="s">
        <v>4814</v>
      </c>
      <c r="D981" s="1324" t="s">
        <v>2067</v>
      </c>
      <c r="E981" s="1366">
        <f>+IF(ISBLANK(REPORTS!F867),"",REPORTS!F867)</f>
        <v>570339.73520400003</v>
      </c>
      <c r="F981" s="1364">
        <f>+IF(ISBLANK(REPORTS!G867),"",REPORTS!G867)</f>
        <v>0</v>
      </c>
      <c r="G981" s="1364">
        <f>+IF(ISBLANK(REPORTS!H867),"",REPORTS!H867)</f>
        <v>570339.73520400003</v>
      </c>
      <c r="H981" s="1374">
        <f>+IF(ISBLANK(REPORTS!I867),"",REPORTS!I867)</f>
        <v>1</v>
      </c>
    </row>
    <row r="982" spans="1:8">
      <c r="A982" s="1751"/>
      <c r="B982" s="1393">
        <v>5</v>
      </c>
      <c r="C982" s="1324" t="s">
        <v>5633</v>
      </c>
      <c r="D982" s="1324"/>
      <c r="E982" s="1421">
        <f>+IF(ISBLANK(REPORTS!F868),"",REPORTS!F868)</f>
        <v>7132847.5964399995</v>
      </c>
      <c r="F982" s="1421">
        <f>+IF(ISBLANK(REPORTS!G868),"",REPORTS!G868)</f>
        <v>0</v>
      </c>
      <c r="G982" s="1421">
        <f>+IF(ISBLANK(REPORTS!H868),"",REPORTS!H868)</f>
        <v>7132847.5964399995</v>
      </c>
      <c r="H982" s="1374">
        <f>+IF(ISBLANK(REPORTS!I868),"",REPORTS!I868)</f>
        <v>1</v>
      </c>
    </row>
    <row r="983" spans="1:8">
      <c r="A983" s="1751"/>
      <c r="B983" s="1393">
        <v>6</v>
      </c>
      <c r="C983" s="1324"/>
      <c r="D983" s="1324"/>
      <c r="E983" s="1324" t="str">
        <f>+IF(ISBLANK(REPORTS!F869),"",REPORTS!F869)</f>
        <v/>
      </c>
      <c r="F983" s="1324" t="str">
        <f>+IF(ISBLANK(REPORTS!G869),"",REPORTS!G869)</f>
        <v/>
      </c>
      <c r="G983" s="1324" t="str">
        <f>+IF(ISBLANK(REPORTS!H869),"",REPORTS!H869)</f>
        <v/>
      </c>
      <c r="H983" s="1374" t="str">
        <f>+IF(ISBLANK(REPORTS!I869),"",REPORTS!I869)</f>
        <v/>
      </c>
    </row>
    <row r="984" spans="1:8">
      <c r="A984" s="1751"/>
      <c r="B984" s="1393">
        <v>7</v>
      </c>
      <c r="C984" s="1324"/>
      <c r="D984" s="1324"/>
      <c r="E984" s="1324" t="str">
        <f>+IF(ISBLANK(REPORTS!F870),"",REPORTS!F870)</f>
        <v/>
      </c>
      <c r="F984" s="1324" t="str">
        <f>+IF(ISBLANK(REPORTS!G870),"",REPORTS!G870)</f>
        <v/>
      </c>
      <c r="G984" s="1324" t="str">
        <f>+IF(ISBLANK(REPORTS!H870),"",REPORTS!H870)</f>
        <v/>
      </c>
      <c r="H984" s="1374" t="str">
        <f>+IF(ISBLANK(REPORTS!I870),"",REPORTS!I870)</f>
        <v/>
      </c>
    </row>
    <row r="985" spans="1:8" ht="28.2">
      <c r="A985" s="1753" t="s">
        <v>5143</v>
      </c>
      <c r="B985" s="1393">
        <v>8</v>
      </c>
      <c r="C985" s="1362" t="s">
        <v>2531</v>
      </c>
      <c r="D985" s="1324"/>
      <c r="E985" s="1324" t="str">
        <f>+IF(ISBLANK(REPORTS!F871),"",REPORTS!F871)</f>
        <v/>
      </c>
      <c r="F985" s="1324" t="str">
        <f>+IF(ISBLANK(REPORTS!G871),"",REPORTS!G871)</f>
        <v/>
      </c>
      <c r="G985" s="1324" t="str">
        <f>+IF(ISBLANK(REPORTS!H871),"",REPORTS!H871)</f>
        <v/>
      </c>
      <c r="H985" s="1374" t="str">
        <f>+IF(ISBLANK(REPORTS!I871),"",REPORTS!I871)</f>
        <v/>
      </c>
    </row>
    <row r="986" spans="1:8">
      <c r="A986" s="1751"/>
      <c r="B986" s="1393">
        <v>9</v>
      </c>
      <c r="C986" s="1324" t="s">
        <v>5397</v>
      </c>
      <c r="D986" s="1324" t="s">
        <v>4067</v>
      </c>
      <c r="E986" s="1364">
        <f>+IF(ISBLANK(REPORTS!F872),"",REPORTS!F872)</f>
        <v>191967.04717290375</v>
      </c>
      <c r="F986" s="1364">
        <f>+IF(ISBLANK(REPORTS!G872),"",REPORTS!G872)</f>
        <v>0</v>
      </c>
      <c r="G986" s="1364">
        <f>+IF(ISBLANK(REPORTS!H872),"",REPORTS!H872)</f>
        <v>191967.04717290375</v>
      </c>
      <c r="H986" s="1374">
        <f>+IF(ISBLANK(REPORTS!I872),"",REPORTS!I872)</f>
        <v>1</v>
      </c>
    </row>
    <row r="987" spans="1:8">
      <c r="A987" s="1752"/>
      <c r="B987" s="1393">
        <v>10</v>
      </c>
      <c r="C987" s="1364" t="s">
        <v>5398</v>
      </c>
      <c r="D987" s="1324" t="s">
        <v>4067</v>
      </c>
      <c r="E987" s="1366">
        <f>+IF(ISBLANK(REPORTS!F873),"",REPORTS!F873)</f>
        <v>0</v>
      </c>
      <c r="F987" s="1366">
        <f>+IF(ISBLANK(REPORTS!G873),"",REPORTS!G873)</f>
        <v>0</v>
      </c>
      <c r="G987" s="1366">
        <f>+IF(ISBLANK(REPORTS!H873),"",REPORTS!H873)</f>
        <v>0</v>
      </c>
      <c r="H987" s="1374">
        <f>+IF(ISBLANK(REPORTS!I873),"",REPORTS!I873)</f>
        <v>0</v>
      </c>
    </row>
    <row r="988" spans="1:8">
      <c r="A988" s="1751">
        <v>101</v>
      </c>
      <c r="B988" s="1439">
        <v>11</v>
      </c>
      <c r="C988" s="1364" t="s">
        <v>5399</v>
      </c>
      <c r="D988" s="1364"/>
      <c r="E988" s="1421">
        <f>+IF(ISBLANK(REPORTS!F874),"",REPORTS!F874)</f>
        <v>191967.04717290375</v>
      </c>
      <c r="F988" s="1421">
        <f>+IF(ISBLANK(REPORTS!G874),"",REPORTS!G874)</f>
        <v>0</v>
      </c>
      <c r="G988" s="1421">
        <f>+IF(ISBLANK(REPORTS!H874),"",REPORTS!H874)</f>
        <v>191967.04717290375</v>
      </c>
      <c r="H988" s="1374">
        <f>+IF(ISBLANK(REPORTS!I874),"",REPORTS!I874)</f>
        <v>1</v>
      </c>
    </row>
    <row r="989" spans="1:8">
      <c r="A989" s="1751">
        <v>101</v>
      </c>
      <c r="B989" s="1393">
        <v>12</v>
      </c>
      <c r="C989" s="1324"/>
      <c r="D989" s="1324"/>
      <c r="E989" s="1324" t="str">
        <f>+IF(ISBLANK(REPORTS!F875),"",REPORTS!F875)</f>
        <v/>
      </c>
      <c r="F989" s="1324" t="str">
        <f>+IF(ISBLANK(REPORTS!G875),"",REPORTS!G875)</f>
        <v/>
      </c>
      <c r="G989" s="1324" t="str">
        <f>+IF(ISBLANK(REPORTS!H875),"",REPORTS!H875)</f>
        <v/>
      </c>
      <c r="H989" s="1374" t="str">
        <f>+IF(ISBLANK(REPORTS!I875),"",REPORTS!I875)</f>
        <v/>
      </c>
    </row>
    <row r="990" spans="1:8">
      <c r="A990" s="1751">
        <v>101</v>
      </c>
      <c r="B990" s="1393">
        <v>13</v>
      </c>
      <c r="C990" s="1324" t="s">
        <v>5635</v>
      </c>
      <c r="D990" s="1324" t="s">
        <v>4067</v>
      </c>
      <c r="E990" s="1366">
        <f>+IF(ISBLANK(REPORTS!F876),"",REPORTS!F876)</f>
        <v>534187.1509608163</v>
      </c>
      <c r="F990" s="1366">
        <f>+IF(ISBLANK(REPORTS!G876),"",REPORTS!G876)</f>
        <v>34608.306009133208</v>
      </c>
      <c r="G990" s="1366">
        <f>+IF(ISBLANK(REPORTS!H876),"",REPORTS!H876)</f>
        <v>499578.84495168307</v>
      </c>
      <c r="H990" s="1374">
        <f>+IF(ISBLANK(REPORTS!I876),"",REPORTS!I876)</f>
        <v>0.93521314403222733</v>
      </c>
    </row>
    <row r="991" spans="1:8">
      <c r="A991" s="1751"/>
      <c r="B991" s="1393">
        <v>14</v>
      </c>
      <c r="C991" s="1324"/>
      <c r="D991" s="1324"/>
      <c r="E991" s="1324" t="str">
        <f>+IF(ISBLANK(REPORTS!F877),"",REPORTS!F877)</f>
        <v/>
      </c>
      <c r="F991" s="1324" t="str">
        <f>+IF(ISBLANK(REPORTS!G877),"",REPORTS!G877)</f>
        <v/>
      </c>
      <c r="G991" s="1324" t="str">
        <f>+IF(ISBLANK(REPORTS!H877),"",REPORTS!H877)</f>
        <v/>
      </c>
      <c r="H991" s="1374" t="str">
        <f>+IF(ISBLANK(REPORTS!I877),"",REPORTS!I877)</f>
        <v/>
      </c>
    </row>
    <row r="992" spans="1:8">
      <c r="A992" s="1752"/>
      <c r="B992" s="1393">
        <v>15</v>
      </c>
      <c r="C992" s="1324" t="s">
        <v>1953</v>
      </c>
      <c r="D992" s="1324"/>
      <c r="E992" s="1324" t="str">
        <f>+IF(ISBLANK(REPORTS!F878),"",REPORTS!F878)</f>
        <v/>
      </c>
      <c r="F992" s="1324" t="str">
        <f>+IF(ISBLANK(REPORTS!G878),"",REPORTS!G878)</f>
        <v/>
      </c>
      <c r="G992" s="1324" t="str">
        <f>+IF(ISBLANK(REPORTS!H878),"",REPORTS!H878)</f>
        <v/>
      </c>
      <c r="H992" s="1374" t="str">
        <f>+IF(ISBLANK(REPORTS!I878),"",REPORTS!I878)</f>
        <v/>
      </c>
    </row>
    <row r="993" spans="1:8">
      <c r="A993" s="1752"/>
      <c r="B993" s="1393">
        <v>16</v>
      </c>
      <c r="C993" s="1324" t="s">
        <v>5293</v>
      </c>
      <c r="D993" s="1324" t="s">
        <v>4067</v>
      </c>
      <c r="E993" s="1324">
        <f>+IF(ISBLANK(REPORTS!F879),"",REPORTS!F879)</f>
        <v>240918.39991450205</v>
      </c>
      <c r="F993" s="1364">
        <f>+IF(ISBLANK(REPORTS!G879),"",REPORTS!G879)</f>
        <v>15608.345675247083</v>
      </c>
      <c r="G993" s="1364">
        <f>+IF(ISBLANK(REPORTS!H879),"",REPORTS!H879)</f>
        <v>225310.05423925494</v>
      </c>
      <c r="H993" s="1374">
        <f>+IF(ISBLANK(REPORTS!I879),"",REPORTS!I879)</f>
        <v>0.93521314403222733</v>
      </c>
    </row>
    <row r="994" spans="1:8">
      <c r="A994" s="1752"/>
      <c r="B994" s="1393">
        <v>17</v>
      </c>
      <c r="C994" s="1324" t="s">
        <v>5294</v>
      </c>
      <c r="D994" s="1324" t="s">
        <v>4067</v>
      </c>
      <c r="E994" s="1324">
        <f>+IF(ISBLANK(REPORTS!F880),"",REPORTS!F880)</f>
        <v>284079.64594177791</v>
      </c>
      <c r="F994" s="1364">
        <f>+IF(ISBLANK(REPORTS!G880),"",REPORTS!G880)</f>
        <v>18404.627105005802</v>
      </c>
      <c r="G994" s="1364">
        <f>+IF(ISBLANK(REPORTS!H880),"",REPORTS!H880)</f>
        <v>265675.01883677207</v>
      </c>
      <c r="H994" s="1374">
        <f>+IF(ISBLANK(REPORTS!I880),"",REPORTS!I880)</f>
        <v>0.93521314403222722</v>
      </c>
    </row>
    <row r="995" spans="1:8">
      <c r="A995" s="1751">
        <v>101</v>
      </c>
      <c r="B995" s="1393">
        <v>18</v>
      </c>
      <c r="C995" s="1324" t="s">
        <v>1953</v>
      </c>
      <c r="D995" s="1324"/>
      <c r="E995" s="1421">
        <f>+IF(ISBLANK(REPORTS!F881),"",REPORTS!F881)</f>
        <v>524998.04585628002</v>
      </c>
      <c r="F995" s="1421">
        <f>+IF(ISBLANK(REPORTS!G881),"",REPORTS!G881)</f>
        <v>34012.972780252887</v>
      </c>
      <c r="G995" s="1421">
        <f>+IF(ISBLANK(REPORTS!H881),"",REPORTS!H881)</f>
        <v>490985.07307602698</v>
      </c>
      <c r="H995" s="1374">
        <f>+IF(ISBLANK(REPORTS!I881),"",REPORTS!I881)</f>
        <v>0.93521314403222711</v>
      </c>
    </row>
    <row r="996" spans="1:8">
      <c r="A996" s="1751">
        <v>101</v>
      </c>
      <c r="B996" s="1393">
        <v>19</v>
      </c>
      <c r="C996" s="1324"/>
      <c r="D996" s="1324"/>
      <c r="E996" s="1324" t="str">
        <f>+IF(ISBLANK(REPORTS!F882),"",REPORTS!F882)</f>
        <v/>
      </c>
      <c r="F996" s="1324" t="str">
        <f>+IF(ISBLANK(REPORTS!G882),"",REPORTS!G882)</f>
        <v/>
      </c>
      <c r="G996" s="1324" t="str">
        <f>+IF(ISBLANK(REPORTS!H882),"",REPORTS!H882)</f>
        <v/>
      </c>
      <c r="H996" s="1374" t="str">
        <f>+IF(ISBLANK(REPORTS!I882),"",REPORTS!I882)</f>
        <v/>
      </c>
    </row>
    <row r="997" spans="1:8">
      <c r="A997" s="1751"/>
      <c r="B997" s="1393">
        <v>20</v>
      </c>
      <c r="C997" s="1324" t="s">
        <v>2456</v>
      </c>
      <c r="D997" s="1324"/>
      <c r="E997" s="1366">
        <f>+IF(ISBLANK(REPORTS!F883),"",REPORTS!F883)</f>
        <v>1251152.2439900001</v>
      </c>
      <c r="F997" s="1366">
        <f>+IF(ISBLANK(REPORTS!G883),"",REPORTS!G883)</f>
        <v>68621.278789386095</v>
      </c>
      <c r="G997" s="1366">
        <f>+IF(ISBLANK(REPORTS!H883),"",REPORTS!H883)</f>
        <v>1182530.9652006137</v>
      </c>
      <c r="H997" s="1374">
        <f>+IF(ISBLANK(REPORTS!I883),"",REPORTS!I883)</f>
        <v>0.94515353417698478</v>
      </c>
    </row>
    <row r="998" spans="1:8">
      <c r="A998" s="1752"/>
    </row>
    <row r="999" spans="1:8">
      <c r="A999" s="1751">
        <v>117</v>
      </c>
    </row>
    <row r="1000" spans="1:8">
      <c r="A1000" s="1752"/>
    </row>
    <row r="1001" spans="1:8">
      <c r="A1001" s="1752"/>
    </row>
    <row r="1002" spans="1:8">
      <c r="A1002" s="1751">
        <v>117</v>
      </c>
    </row>
    <row r="1003" spans="1:8">
      <c r="A1003" s="1751">
        <v>117</v>
      </c>
    </row>
    <row r="1004" spans="1:8">
      <c r="A1004" s="1752"/>
    </row>
    <row r="1005" spans="1:8">
      <c r="A1005" s="1752"/>
    </row>
    <row r="1006" spans="1:8">
      <c r="A1006" s="1752"/>
    </row>
    <row r="1007" spans="1:8">
      <c r="A1007" s="1752"/>
      <c r="B1007" s="1393"/>
      <c r="C1007" s="1324"/>
      <c r="D1007" s="1324"/>
      <c r="E1007" s="1324"/>
      <c r="F1007" s="1324"/>
      <c r="G1007" s="1324"/>
      <c r="H1007" s="1374"/>
    </row>
    <row r="1008" spans="1:8">
      <c r="A1008" s="1752"/>
      <c r="B1008" s="1393"/>
      <c r="C1008" s="1324"/>
      <c r="D1008" s="1324"/>
      <c r="E1008" s="1324"/>
      <c r="F1008" s="1324"/>
      <c r="G1008" s="1324"/>
      <c r="H1008" s="1374"/>
    </row>
    <row r="1009" spans="1:8">
      <c r="A1009" s="1751"/>
      <c r="B1009" s="1393"/>
      <c r="C1009" s="1324"/>
      <c r="D1009" s="1324"/>
      <c r="E1009" s="1387"/>
      <c r="F1009" s="1387"/>
      <c r="G1009" s="1324"/>
      <c r="H1009" s="1374"/>
    </row>
    <row r="1010" spans="1:8">
      <c r="A1010" s="1751"/>
      <c r="B1010" s="1393"/>
      <c r="C1010" s="1324"/>
      <c r="D1010" s="1324"/>
      <c r="E1010" s="1324"/>
      <c r="F1010" s="1324"/>
      <c r="G1010" s="1324"/>
      <c r="H1010" s="1374"/>
    </row>
    <row r="1011" spans="1:8">
      <c r="A1011" s="1751"/>
      <c r="B1011" s="1393"/>
      <c r="C1011" s="1324"/>
      <c r="D1011" s="1324"/>
      <c r="E1011" s="1324"/>
      <c r="F1011" s="1324"/>
      <c r="G1011" s="1324"/>
      <c r="H1011" s="1374"/>
    </row>
    <row r="1012" spans="1:8">
      <c r="A1012" s="1751"/>
      <c r="B1012" s="1393"/>
      <c r="C1012" s="1324"/>
      <c r="D1012" s="1324"/>
      <c r="E1012" s="1324"/>
      <c r="F1012" s="1324"/>
      <c r="G1012" s="1324"/>
      <c r="H1012" s="1374"/>
    </row>
    <row r="1013" spans="1:8">
      <c r="A1013" s="1751"/>
      <c r="B1013" s="1393"/>
      <c r="C1013" s="1324"/>
      <c r="D1013" s="1324"/>
      <c r="E1013" s="1324"/>
      <c r="F1013" s="1324"/>
      <c r="G1013" s="1324"/>
      <c r="H1013" s="1374"/>
    </row>
    <row r="1014" spans="1:8">
      <c r="A1014" s="1751"/>
      <c r="B1014" s="1393"/>
      <c r="C1014" s="1324"/>
      <c r="D1014" s="1324"/>
      <c r="E1014" s="1324"/>
      <c r="F1014" s="1324"/>
      <c r="G1014" s="1324"/>
      <c r="H1014" s="1374"/>
    </row>
    <row r="1015" spans="1:8">
      <c r="A1015" s="1751"/>
      <c r="B1015" s="1393"/>
      <c r="C1015" s="1324"/>
      <c r="D1015" s="1324"/>
      <c r="E1015" s="1324"/>
      <c r="F1015" s="1324"/>
      <c r="G1015" s="1324"/>
      <c r="H1015" s="1374"/>
    </row>
    <row r="1016" spans="1:8">
      <c r="A1016" s="1751"/>
      <c r="B1016" s="1393"/>
      <c r="C1016" s="1324"/>
      <c r="D1016" s="1324"/>
      <c r="E1016" s="1324"/>
      <c r="F1016" s="1324"/>
      <c r="G1016" s="1324"/>
      <c r="H1016" s="1374"/>
    </row>
    <row r="1017" spans="1:8">
      <c r="A1017" s="1751"/>
      <c r="B1017" s="1393"/>
      <c r="C1017" s="1324"/>
      <c r="D1017" s="1324"/>
      <c r="E1017" s="1324"/>
      <c r="F1017" s="1324"/>
      <c r="G1017" s="1324"/>
      <c r="H1017" s="1374"/>
    </row>
    <row r="1018" spans="1:8">
      <c r="A1018" s="1751"/>
      <c r="B1018" s="1393"/>
      <c r="C1018" s="1324"/>
      <c r="D1018" s="1324"/>
      <c r="E1018" s="1324"/>
      <c r="F1018" s="1324"/>
      <c r="G1018" s="1324"/>
      <c r="H1018" s="1374"/>
    </row>
    <row r="1019" spans="1:8">
      <c r="A1019" s="1751"/>
      <c r="B1019" s="1393"/>
      <c r="C1019" s="1324"/>
      <c r="D1019" s="1324"/>
      <c r="E1019" s="1324"/>
      <c r="F1019" s="1324"/>
      <c r="G1019" s="1324"/>
      <c r="H1019" s="1374"/>
    </row>
    <row r="1020" spans="1:8">
      <c r="A1020" s="1751"/>
      <c r="B1020" s="1393"/>
      <c r="C1020" s="1324"/>
      <c r="D1020" s="1324"/>
      <c r="E1020" s="1324"/>
      <c r="F1020" s="1324"/>
      <c r="G1020" s="1324"/>
      <c r="H1020" s="1374"/>
    </row>
    <row r="1021" spans="1:8">
      <c r="A1021" s="1751"/>
      <c r="B1021" s="1393"/>
      <c r="C1021" s="1324"/>
      <c r="D1021" s="1324"/>
      <c r="E1021" s="1324"/>
      <c r="F1021" s="1324"/>
      <c r="G1021" s="1324"/>
      <c r="H1021" s="1374"/>
    </row>
    <row r="1022" spans="1:8">
      <c r="A1022" s="1751"/>
      <c r="B1022" s="1393"/>
      <c r="C1022" s="1324"/>
      <c r="D1022" s="1324"/>
      <c r="E1022" s="1324"/>
      <c r="F1022" s="1324"/>
      <c r="G1022" s="1324"/>
      <c r="H1022" s="1374"/>
    </row>
    <row r="1023" spans="1:8">
      <c r="A1023" s="1751"/>
      <c r="B1023" s="1393"/>
      <c r="C1023" s="1324"/>
      <c r="D1023" s="1324"/>
      <c r="E1023" s="1324"/>
      <c r="F1023" s="1324"/>
      <c r="G1023" s="1324"/>
      <c r="H1023" s="1374"/>
    </row>
    <row r="1024" spans="1:8">
      <c r="A1024" s="1751"/>
      <c r="B1024" s="1393"/>
      <c r="C1024" s="1324"/>
      <c r="D1024" s="1324"/>
      <c r="E1024" s="1324"/>
      <c r="F1024" s="1324"/>
      <c r="G1024" s="1324"/>
      <c r="H1024" s="1374"/>
    </row>
    <row r="1025" spans="1:8">
      <c r="A1025" s="1751"/>
      <c r="B1025" s="1393"/>
      <c r="C1025" s="1324"/>
      <c r="D1025" s="1324"/>
      <c r="E1025" s="1324"/>
      <c r="F1025" s="1324"/>
      <c r="G1025" s="1324"/>
      <c r="H1025" s="1374"/>
    </row>
    <row r="1026" spans="1:8">
      <c r="A1026" s="1751"/>
      <c r="B1026" s="1393"/>
      <c r="C1026" s="1324"/>
      <c r="D1026" s="1324"/>
      <c r="E1026" s="1324"/>
      <c r="F1026" s="1324"/>
      <c r="G1026" s="1324"/>
      <c r="H1026" s="1374"/>
    </row>
    <row r="1027" spans="1:8">
      <c r="A1027" s="1751"/>
      <c r="B1027" s="1416" t="str">
        <f>+$B$1</f>
        <v>RATES WITH REVENUE DEFICIENCY ADDITION</v>
      </c>
      <c r="C1027" s="1324"/>
      <c r="D1027" s="1324"/>
      <c r="E1027" s="1336"/>
      <c r="F1027" s="1329" t="s">
        <v>2173</v>
      </c>
      <c r="G1027" s="1324"/>
      <c r="H1027" s="1334" t="s">
        <v>5647</v>
      </c>
    </row>
    <row r="1028" spans="1:8">
      <c r="A1028" s="1751"/>
      <c r="B1028" s="1416" t="str">
        <f>+$B$2</f>
        <v xml:space="preserve">PROD. CAP. ALLOC. METHOD: 12 CP </v>
      </c>
      <c r="C1028" s="1324"/>
      <c r="D1028" s="1324"/>
      <c r="E1028" s="1324"/>
      <c r="F1028" s="1336" t="s">
        <v>4768</v>
      </c>
      <c r="G1028" s="1324"/>
      <c r="H1028" s="1731" t="s">
        <v>4065</v>
      </c>
    </row>
    <row r="1029" spans="1:8">
      <c r="A1029" s="1751"/>
      <c r="B1029" s="1416" t="str">
        <f>+$B$3</f>
        <v>PROJECTED CALENDAR YEAR 2025; FULLY ADJUSTED DATA</v>
      </c>
      <c r="C1029" s="1324"/>
      <c r="D1029" s="1324"/>
      <c r="E1029" s="1324"/>
      <c r="F1029" s="1336" t="s">
        <v>2181</v>
      </c>
      <c r="G1029" s="1324"/>
      <c r="H1029" s="1374"/>
    </row>
    <row r="1030" spans="1:8">
      <c r="A1030" s="1751"/>
      <c r="B1030" s="1732">
        <f>+$B$4</f>
        <v>0</v>
      </c>
      <c r="C1030" s="1364"/>
      <c r="D1030" s="1324"/>
      <c r="E1030" s="1324"/>
      <c r="F1030" s="1324"/>
      <c r="G1030" s="1324"/>
      <c r="H1030" s="1374"/>
    </row>
    <row r="1031" spans="1:8">
      <c r="A1031" s="1751"/>
      <c r="B1031" s="1732" t="str">
        <f>+$B$5</f>
        <v>Tampa Electric 2025 OB Budget</v>
      </c>
      <c r="C1031" s="1324"/>
      <c r="D1031" s="1324"/>
      <c r="E1031" s="1329"/>
      <c r="F1031" s="1336" t="s">
        <v>5631</v>
      </c>
      <c r="G1031" s="1324"/>
      <c r="H1031" s="1374"/>
    </row>
    <row r="1032" spans="1:8">
      <c r="A1032" s="1751"/>
      <c r="B1032" s="1393"/>
      <c r="C1032" s="1324"/>
      <c r="D1032" s="1324"/>
      <c r="E1032" s="1336"/>
      <c r="F1032" s="1324"/>
      <c r="G1032" s="1324"/>
      <c r="H1032" s="1374"/>
    </row>
    <row r="1033" spans="1:8">
      <c r="A1033" s="1751"/>
      <c r="B1033" s="1393"/>
      <c r="C1033" s="1324"/>
      <c r="D1033" s="1324"/>
      <c r="E1033" s="1336"/>
      <c r="F1033" s="1324"/>
      <c r="G1033" s="1324"/>
      <c r="H1033" s="1374"/>
    </row>
    <row r="1034" spans="1:8">
      <c r="A1034" s="1751"/>
      <c r="B1034" s="1393"/>
      <c r="C1034" s="1324"/>
      <c r="D1034" s="1324"/>
      <c r="E1034" s="1324"/>
      <c r="F1034" s="1324"/>
      <c r="G1034" s="1324"/>
      <c r="H1034" s="1374"/>
    </row>
    <row r="1035" spans="1:8">
      <c r="A1035" s="1751"/>
      <c r="B1035" s="1735"/>
      <c r="C1035" s="1416"/>
      <c r="D1035" s="1416"/>
      <c r="E1035" s="1336"/>
      <c r="F1035" s="1336"/>
      <c r="G1035" s="1336"/>
      <c r="H1035" s="1736"/>
    </row>
    <row r="1036" spans="1:8" ht="28.2">
      <c r="A1036" s="1751"/>
      <c r="B1036" s="1737" t="s">
        <v>4297</v>
      </c>
      <c r="C1036" s="1741"/>
      <c r="D1036" s="1741"/>
      <c r="E1036" s="1352" t="s">
        <v>5144</v>
      </c>
      <c r="F1036" s="1352" t="s">
        <v>4956</v>
      </c>
      <c r="G1036" s="1352" t="s">
        <v>4957</v>
      </c>
      <c r="H1036" s="1742" t="s">
        <v>5145</v>
      </c>
    </row>
    <row r="1037" spans="1:8">
      <c r="A1037" s="1760"/>
      <c r="B1037" s="1543"/>
      <c r="C1037" s="1447"/>
      <c r="D1037" s="1447"/>
      <c r="E1037" s="1399"/>
      <c r="F1037" s="1399"/>
      <c r="G1037" s="1399"/>
      <c r="H1037" s="1448"/>
    </row>
    <row r="1038" spans="1:8">
      <c r="A1038" s="1760"/>
      <c r="B1038" s="1393">
        <v>21</v>
      </c>
      <c r="C1038" s="1362" t="s">
        <v>2543</v>
      </c>
      <c r="D1038" s="1324"/>
      <c r="E1038" s="1324"/>
      <c r="F1038" s="1324"/>
      <c r="G1038" s="1324"/>
      <c r="H1038" s="1374"/>
    </row>
    <row r="1039" spans="1:8">
      <c r="A1039" s="1752"/>
      <c r="B1039" s="1393">
        <v>22</v>
      </c>
      <c r="C1039" s="1324" t="s">
        <v>5293</v>
      </c>
      <c r="D1039" s="1324" t="s">
        <v>4067</v>
      </c>
      <c r="E1039" s="1324">
        <f>+IF(ISBLANK(REPORTS!F901),"",REPORTS!F901)</f>
        <v>368438.48759000003</v>
      </c>
      <c r="F1039" s="1364">
        <f>+IF(ISBLANK(REPORTS!G901),"",REPORTS!G901)</f>
        <v>0</v>
      </c>
      <c r="G1039" s="1364">
        <f>+IF(ISBLANK(REPORTS!H901),"",REPORTS!H901)</f>
        <v>368438.48759000003</v>
      </c>
      <c r="H1039" s="1374">
        <f>+IF(ISBLANK(REPORTS!I901),"",REPORTS!I901)</f>
        <v>1</v>
      </c>
    </row>
    <row r="1040" spans="1:8">
      <c r="A1040" s="1752"/>
      <c r="B1040" s="1393">
        <v>23</v>
      </c>
      <c r="C1040" s="1324"/>
      <c r="D1040" s="1324"/>
      <c r="E1040" s="1324" t="str">
        <f>+IF(ISBLANK(REPORTS!F902),"",REPORTS!F902)</f>
        <v/>
      </c>
      <c r="F1040" s="1324" t="str">
        <f>+IF(ISBLANK(REPORTS!G902),"",REPORTS!G902)</f>
        <v/>
      </c>
      <c r="G1040" s="1324" t="str">
        <f>+IF(ISBLANK(REPORTS!H902),"",REPORTS!H902)</f>
        <v/>
      </c>
      <c r="H1040" s="1374" t="str">
        <f>+IF(ISBLANK(REPORTS!I902),"",REPORTS!I902)</f>
        <v/>
      </c>
    </row>
    <row r="1041" spans="1:8">
      <c r="A1041" s="1752"/>
      <c r="B1041" s="1393">
        <v>24</v>
      </c>
      <c r="C1041" s="1324" t="s">
        <v>5405</v>
      </c>
      <c r="D1041" s="1324" t="s">
        <v>4071</v>
      </c>
      <c r="E1041" s="1324">
        <f>+IF(ISBLANK(REPORTS!F903),"",REPORTS!F903)</f>
        <v>32074.434089827188</v>
      </c>
      <c r="F1041" s="1364">
        <f>+IF(ISBLANK(REPORTS!G903),"",REPORTS!G903)</f>
        <v>0</v>
      </c>
      <c r="G1041" s="1364">
        <f>+IF(ISBLANK(REPORTS!H903),"",REPORTS!H903)</f>
        <v>32074.434089827188</v>
      </c>
      <c r="H1041" s="1374">
        <f>+IF(ISBLANK(REPORTS!I903),"",REPORTS!I903)</f>
        <v>1</v>
      </c>
    </row>
    <row r="1042" spans="1:8">
      <c r="A1042" s="1752"/>
      <c r="B1042" s="1393">
        <v>25</v>
      </c>
      <c r="C1042" s="1324" t="s">
        <v>5406</v>
      </c>
      <c r="D1042" s="1324" t="s">
        <v>4067</v>
      </c>
      <c r="E1042" s="1324">
        <f>+IF(ISBLANK(REPORTS!F904),"",REPORTS!F904)</f>
        <v>300991.26661087415</v>
      </c>
      <c r="F1042" s="1364">
        <f>+IF(ISBLANK(REPORTS!G904),"",REPORTS!G904)</f>
        <v>0</v>
      </c>
      <c r="G1042" s="1364">
        <f>+IF(ISBLANK(REPORTS!H904),"",REPORTS!H904)</f>
        <v>300991.26661087415</v>
      </c>
      <c r="H1042" s="1374">
        <f>+IF(ISBLANK(REPORTS!I904),"",REPORTS!I904)</f>
        <v>1</v>
      </c>
    </row>
    <row r="1043" spans="1:8">
      <c r="A1043" s="1752"/>
      <c r="B1043" s="1393">
        <v>26</v>
      </c>
      <c r="C1043" s="1324" t="s">
        <v>5407</v>
      </c>
      <c r="D1043" s="1324" t="s">
        <v>4071</v>
      </c>
      <c r="E1043" s="1324">
        <f>+IF(ISBLANK(REPORTS!F905),"",REPORTS!F905)</f>
        <v>0</v>
      </c>
      <c r="F1043" s="1364">
        <f>+IF(ISBLANK(REPORTS!G905),"",REPORTS!G905)</f>
        <v>0</v>
      </c>
      <c r="G1043" s="1364">
        <f>+IF(ISBLANK(REPORTS!H905),"",REPORTS!H905)</f>
        <v>0</v>
      </c>
      <c r="H1043" s="1374">
        <f>+IF(ISBLANK(REPORTS!I905),"",REPORTS!I905)</f>
        <v>0</v>
      </c>
    </row>
    <row r="1044" spans="1:8">
      <c r="A1044" s="1752"/>
      <c r="B1044" s="1393">
        <v>27</v>
      </c>
      <c r="C1044" s="1324" t="s">
        <v>5408</v>
      </c>
      <c r="D1044" s="1324" t="s">
        <v>4067</v>
      </c>
      <c r="E1044" s="1324">
        <f>+IF(ISBLANK(REPORTS!F906),"",REPORTS!F906)</f>
        <v>90395.647783701817</v>
      </c>
      <c r="F1044" s="1364">
        <f>+IF(ISBLANK(REPORTS!G906),"",REPORTS!G906)</f>
        <v>0</v>
      </c>
      <c r="G1044" s="1364">
        <f>+IF(ISBLANK(REPORTS!H906),"",REPORTS!H906)</f>
        <v>90395.647783701817</v>
      </c>
      <c r="H1044" s="1374">
        <f>+IF(ISBLANK(REPORTS!I906),"",REPORTS!I906)</f>
        <v>1</v>
      </c>
    </row>
    <row r="1045" spans="1:8">
      <c r="A1045" s="1752"/>
      <c r="B1045" s="1393">
        <v>28</v>
      </c>
      <c r="C1045" s="1324" t="s">
        <v>5409</v>
      </c>
      <c r="D1045" s="1324" t="s">
        <v>4071</v>
      </c>
      <c r="E1045" s="1324">
        <f>+IF(ISBLANK(REPORTS!F907),"",REPORTS!F907)</f>
        <v>0</v>
      </c>
      <c r="F1045" s="1364">
        <f>+IF(ISBLANK(REPORTS!G907),"",REPORTS!G907)</f>
        <v>0</v>
      </c>
      <c r="G1045" s="1364">
        <f>+IF(ISBLANK(REPORTS!H907),"",REPORTS!H907)</f>
        <v>0</v>
      </c>
      <c r="H1045" s="1374">
        <f>+IF(ISBLANK(REPORTS!I907),"",REPORTS!I907)</f>
        <v>0</v>
      </c>
    </row>
    <row r="1046" spans="1:8" ht="28.2">
      <c r="A1046" s="1753" t="s">
        <v>5143</v>
      </c>
      <c r="B1046" s="1393">
        <v>29</v>
      </c>
      <c r="C1046" s="1324" t="s">
        <v>5637</v>
      </c>
      <c r="D1046" s="1324"/>
      <c r="E1046" s="1421">
        <f>+IF(ISBLANK(REPORTS!F908),"",REPORTS!F908)</f>
        <v>423461.34848440316</v>
      </c>
      <c r="F1046" s="1421">
        <f>+IF(ISBLANK(REPORTS!G908),"",REPORTS!G908)</f>
        <v>0</v>
      </c>
      <c r="G1046" s="1421">
        <f>+IF(ISBLANK(REPORTS!H908),"",REPORTS!H908)</f>
        <v>423461.34848440316</v>
      </c>
      <c r="H1046" s="1374">
        <f>+IF(ISBLANK(REPORTS!I908),"",REPORTS!I908)</f>
        <v>1</v>
      </c>
    </row>
    <row r="1047" spans="1:8">
      <c r="A1047" s="1753"/>
      <c r="B1047" s="1393">
        <v>30</v>
      </c>
      <c r="C1047" s="1324"/>
      <c r="D1047" s="1324"/>
      <c r="E1047" s="1324" t="str">
        <f>+IF(ISBLANK(REPORTS!F909),"",REPORTS!F909)</f>
        <v/>
      </c>
      <c r="F1047" s="1324" t="str">
        <f>+IF(ISBLANK(REPORTS!G909),"",REPORTS!G909)</f>
        <v/>
      </c>
      <c r="G1047" s="1324" t="str">
        <f>+IF(ISBLANK(REPORTS!H909),"",REPORTS!H909)</f>
        <v/>
      </c>
      <c r="H1047" s="1374" t="str">
        <f>+IF(ISBLANK(REPORTS!I909),"",REPORTS!I909)</f>
        <v/>
      </c>
    </row>
    <row r="1048" spans="1:8">
      <c r="A1048" s="1752"/>
      <c r="B1048" s="1393">
        <v>31</v>
      </c>
      <c r="C1048" s="1324" t="s">
        <v>5301</v>
      </c>
      <c r="D1048" s="1324" t="s">
        <v>4071</v>
      </c>
      <c r="E1048" s="1324">
        <f>+IF(ISBLANK(REPORTS!F910),"",REPORTS!F910)</f>
        <v>4542.9060069542402</v>
      </c>
      <c r="F1048" s="1364">
        <f>+IF(ISBLANK(REPORTS!G910),"",REPORTS!G910)</f>
        <v>0</v>
      </c>
      <c r="G1048" s="1364">
        <f>+IF(ISBLANK(REPORTS!H910),"",REPORTS!H910)</f>
        <v>4542.9060069542402</v>
      </c>
      <c r="H1048" s="1374">
        <f>+IF(ISBLANK(REPORTS!I910),"",REPORTS!I910)</f>
        <v>1</v>
      </c>
    </row>
    <row r="1049" spans="1:8">
      <c r="A1049" s="1751">
        <v>105</v>
      </c>
      <c r="B1049" s="1393">
        <v>32</v>
      </c>
      <c r="C1049" s="1324" t="s">
        <v>5303</v>
      </c>
      <c r="D1049" s="1324" t="s">
        <v>4067</v>
      </c>
      <c r="E1049" s="1324">
        <f>+IF(ISBLANK(REPORTS!F911),"",REPORTS!F911)</f>
        <v>251746.69790571451</v>
      </c>
      <c r="F1049" s="1364">
        <f>+IF(ISBLANK(REPORTS!G911),"",REPORTS!G911)</f>
        <v>0</v>
      </c>
      <c r="G1049" s="1364">
        <f>+IF(ISBLANK(REPORTS!H911),"",REPORTS!H911)</f>
        <v>251746.69790571451</v>
      </c>
      <c r="H1049" s="1374">
        <f>+IF(ISBLANK(REPORTS!I911),"",REPORTS!I911)</f>
        <v>1</v>
      </c>
    </row>
    <row r="1050" spans="1:8">
      <c r="A1050" s="1752"/>
      <c r="B1050" s="1393">
        <v>33</v>
      </c>
      <c r="C1050" s="1324" t="s">
        <v>5304</v>
      </c>
      <c r="D1050" s="1324" t="s">
        <v>4071</v>
      </c>
      <c r="E1050" s="1324">
        <f>+IF(ISBLANK(REPORTS!F912),"",REPORTS!F912)</f>
        <v>0</v>
      </c>
      <c r="F1050" s="1364">
        <f>+IF(ISBLANK(REPORTS!G912),"",REPORTS!G912)</f>
        <v>0</v>
      </c>
      <c r="G1050" s="1364">
        <f>+IF(ISBLANK(REPORTS!H912),"",REPORTS!H912)</f>
        <v>0</v>
      </c>
      <c r="H1050" s="1374">
        <f>+IF(ISBLANK(REPORTS!I912),"",REPORTS!I912)</f>
        <v>0</v>
      </c>
    </row>
    <row r="1051" spans="1:8">
      <c r="A1051" s="1751">
        <v>310</v>
      </c>
      <c r="B1051" s="1393">
        <v>34</v>
      </c>
      <c r="C1051" s="1324" t="s">
        <v>5306</v>
      </c>
      <c r="D1051" s="1324" t="s">
        <v>4067</v>
      </c>
      <c r="E1051" s="1324">
        <f>+IF(ISBLANK(REPORTS!F913),"",REPORTS!F913)</f>
        <v>38297.820125838523</v>
      </c>
      <c r="F1051" s="1364">
        <f>+IF(ISBLANK(REPORTS!G913),"",REPORTS!G913)</f>
        <v>0</v>
      </c>
      <c r="G1051" s="1364">
        <f>+IF(ISBLANK(REPORTS!H913),"",REPORTS!H913)</f>
        <v>38297.820125838523</v>
      </c>
      <c r="H1051" s="1374">
        <f>+IF(ISBLANK(REPORTS!I913),"",REPORTS!I913)</f>
        <v>1</v>
      </c>
    </row>
    <row r="1052" spans="1:8">
      <c r="A1052" s="1751">
        <v>105</v>
      </c>
      <c r="B1052" s="1393">
        <v>35</v>
      </c>
      <c r="C1052" s="1324" t="s">
        <v>5307</v>
      </c>
      <c r="D1052" s="1324" t="s">
        <v>4071</v>
      </c>
      <c r="E1052" s="1324">
        <f>+IF(ISBLANK(REPORTS!F914),"",REPORTS!F914)</f>
        <v>0</v>
      </c>
      <c r="F1052" s="1364">
        <f>+IF(ISBLANK(REPORTS!G914),"",REPORTS!G914)</f>
        <v>0</v>
      </c>
      <c r="G1052" s="1364">
        <f>+IF(ISBLANK(REPORTS!H914),"",REPORTS!H914)</f>
        <v>0</v>
      </c>
      <c r="H1052" s="1374">
        <f>+IF(ISBLANK(REPORTS!I914),"",REPORTS!I914)</f>
        <v>0</v>
      </c>
    </row>
    <row r="1053" spans="1:8">
      <c r="A1053" s="1751">
        <v>418</v>
      </c>
      <c r="B1053" s="1393">
        <v>36</v>
      </c>
      <c r="C1053" s="1324" t="s">
        <v>5308</v>
      </c>
      <c r="D1053" s="1324"/>
      <c r="E1053" s="1421">
        <f>+IF(ISBLANK(REPORTS!F915),"",REPORTS!F915)</f>
        <v>294587.42403850728</v>
      </c>
      <c r="F1053" s="1421">
        <f>+IF(ISBLANK(REPORTS!G915),"",REPORTS!G915)</f>
        <v>0</v>
      </c>
      <c r="G1053" s="1421">
        <f>+IF(ISBLANK(REPORTS!H915),"",REPORTS!H915)</f>
        <v>294587.42403850728</v>
      </c>
      <c r="H1053" s="1374">
        <f>+IF(ISBLANK(REPORTS!I915),"",REPORTS!I915)</f>
        <v>1</v>
      </c>
    </row>
    <row r="1054" spans="1:8">
      <c r="A1054" s="1751">
        <v>106</v>
      </c>
      <c r="B1054" s="1393">
        <v>37</v>
      </c>
      <c r="C1054" s="1324"/>
      <c r="D1054" s="1324"/>
      <c r="E1054" s="1324" t="str">
        <f>+IF(ISBLANK(REPORTS!F916),"",REPORTS!F916)</f>
        <v/>
      </c>
      <c r="F1054" s="1324" t="str">
        <f>+IF(ISBLANK(REPORTS!G916),"",REPORTS!G916)</f>
        <v/>
      </c>
      <c r="G1054" s="1324" t="str">
        <f>+IF(ISBLANK(REPORTS!H916),"",REPORTS!H916)</f>
        <v/>
      </c>
      <c r="H1054" s="1374" t="str">
        <f>+IF(ISBLANK(REPORTS!I916),"",REPORTS!I916)</f>
        <v/>
      </c>
    </row>
    <row r="1055" spans="1:8">
      <c r="A1055" s="1751">
        <v>420</v>
      </c>
      <c r="B1055" s="1393">
        <v>38</v>
      </c>
      <c r="C1055" s="1324" t="s">
        <v>5310</v>
      </c>
      <c r="D1055" s="1324" t="s">
        <v>4071</v>
      </c>
      <c r="E1055" s="1324">
        <f>+IF(ISBLANK(REPORTS!F917),"",REPORTS!F917)</f>
        <v>385.73180000000002</v>
      </c>
      <c r="F1055" s="1364">
        <f>+IF(ISBLANK(REPORTS!G917),"",REPORTS!G917)</f>
        <v>0</v>
      </c>
      <c r="G1055" s="1364">
        <f>+IF(ISBLANK(REPORTS!H917),"",REPORTS!H917)</f>
        <v>385.73180000000002</v>
      </c>
      <c r="H1055" s="1374">
        <f>+IF(ISBLANK(REPORTS!I917),"",REPORTS!I917)</f>
        <v>1</v>
      </c>
    </row>
    <row r="1056" spans="1:8">
      <c r="A1056" s="1752"/>
      <c r="B1056" s="1393">
        <v>39</v>
      </c>
      <c r="C1056" s="1324" t="s">
        <v>5311</v>
      </c>
      <c r="D1056" s="1324" t="s">
        <v>4067</v>
      </c>
      <c r="E1056" s="1324">
        <f>+IF(ISBLANK(REPORTS!F918),"",REPORTS!F918)</f>
        <v>753246.56163162598</v>
      </c>
      <c r="F1056" s="1364">
        <f>+IF(ISBLANK(REPORTS!G918),"",REPORTS!G918)</f>
        <v>0</v>
      </c>
      <c r="G1056" s="1364">
        <f>+IF(ISBLANK(REPORTS!H918),"",REPORTS!H918)</f>
        <v>753246.56163162598</v>
      </c>
      <c r="H1056" s="1374">
        <f>+IF(ISBLANK(REPORTS!I918),"",REPORTS!I918)</f>
        <v>1</v>
      </c>
    </row>
    <row r="1057" spans="1:8">
      <c r="A1057" s="1752"/>
      <c r="B1057" s="1393">
        <v>40</v>
      </c>
      <c r="C1057" s="1324" t="s">
        <v>5312</v>
      </c>
      <c r="D1057" s="1324" t="s">
        <v>4071</v>
      </c>
      <c r="E1057" s="1324">
        <f>+IF(ISBLANK(REPORTS!F919),"",REPORTS!F919)</f>
        <v>0</v>
      </c>
      <c r="F1057" s="1364">
        <f>+IF(ISBLANK(REPORTS!G919),"",REPORTS!G919)</f>
        <v>0</v>
      </c>
      <c r="G1057" s="1364">
        <f>+IF(ISBLANK(REPORTS!H919),"",REPORTS!H919)</f>
        <v>0</v>
      </c>
      <c r="H1057" s="1374">
        <f>+IF(ISBLANK(REPORTS!I919),"",REPORTS!I919)</f>
        <v>0</v>
      </c>
    </row>
    <row r="1058" spans="1:8">
      <c r="A1058" s="1751">
        <v>310</v>
      </c>
      <c r="B1058" s="1393">
        <v>41</v>
      </c>
      <c r="C1058" s="1324" t="s">
        <v>5313</v>
      </c>
      <c r="D1058" s="1324" t="s">
        <v>4067</v>
      </c>
      <c r="E1058" s="1324">
        <f>+IF(ISBLANK(REPORTS!F920),"",REPORTS!F920)</f>
        <v>57432.267938374134</v>
      </c>
      <c r="F1058" s="1364">
        <f>+IF(ISBLANK(REPORTS!G920),"",REPORTS!G920)</f>
        <v>0</v>
      </c>
      <c r="G1058" s="1364">
        <f>+IF(ISBLANK(REPORTS!H920),"",REPORTS!H920)</f>
        <v>57432.267938374134</v>
      </c>
      <c r="H1058" s="1374">
        <f>+IF(ISBLANK(REPORTS!I920),"",REPORTS!I920)</f>
        <v>1</v>
      </c>
    </row>
    <row r="1059" spans="1:8">
      <c r="A1059" s="1751">
        <v>105</v>
      </c>
      <c r="B1059" s="1393">
        <v>42</v>
      </c>
      <c r="C1059" s="1324" t="s">
        <v>5314</v>
      </c>
      <c r="D1059" s="1324" t="s">
        <v>4071</v>
      </c>
      <c r="E1059" s="1324">
        <f>+IF(ISBLANK(REPORTS!F921),"",REPORTS!F921)</f>
        <v>0</v>
      </c>
      <c r="F1059" s="1364">
        <f>+IF(ISBLANK(REPORTS!G921),"",REPORTS!G921)</f>
        <v>0</v>
      </c>
      <c r="G1059" s="1364">
        <f>+IF(ISBLANK(REPORTS!H921),"",REPORTS!H921)</f>
        <v>0</v>
      </c>
      <c r="H1059" s="1374">
        <f>+IF(ISBLANK(REPORTS!I921),"",REPORTS!I921)</f>
        <v>0</v>
      </c>
    </row>
    <row r="1060" spans="1:8">
      <c r="A1060" s="1751">
        <v>418</v>
      </c>
      <c r="B1060" s="1393">
        <v>43</v>
      </c>
      <c r="C1060" s="1324" t="s">
        <v>5638</v>
      </c>
      <c r="D1060" s="1324"/>
      <c r="E1060" s="1421">
        <f>+IF(ISBLANK(REPORTS!F922),"",REPORTS!F922)</f>
        <v>811064.56137000001</v>
      </c>
      <c r="F1060" s="1421">
        <f>+IF(ISBLANK(REPORTS!G922),"",REPORTS!G922)</f>
        <v>0</v>
      </c>
      <c r="G1060" s="1421">
        <f>+IF(ISBLANK(REPORTS!H922),"",REPORTS!H922)</f>
        <v>811064.56137000001</v>
      </c>
      <c r="H1060" s="1374">
        <f>+IF(ISBLANK(REPORTS!I922),"",REPORTS!I922)</f>
        <v>1</v>
      </c>
    </row>
    <row r="1061" spans="1:8">
      <c r="A1061" s="1751">
        <v>106</v>
      </c>
      <c r="B1061" s="1393">
        <v>44</v>
      </c>
      <c r="C1061" s="1324"/>
      <c r="D1061" s="1324"/>
      <c r="E1061" s="1324" t="str">
        <f>+IF(ISBLANK(REPORTS!F923),"",REPORTS!F923)</f>
        <v/>
      </c>
      <c r="F1061" s="1324" t="str">
        <f>+IF(ISBLANK(REPORTS!G923),"",REPORTS!G923)</f>
        <v/>
      </c>
      <c r="G1061" s="1324" t="str">
        <f>+IF(ISBLANK(REPORTS!H923),"",REPORTS!H923)</f>
        <v/>
      </c>
      <c r="H1061" s="1374" t="str">
        <f>+IF(ISBLANK(REPORTS!I923),"",REPORTS!I923)</f>
        <v/>
      </c>
    </row>
    <row r="1062" spans="1:8">
      <c r="A1062" s="1751">
        <v>420</v>
      </c>
      <c r="B1062" s="1393">
        <v>45</v>
      </c>
      <c r="C1062" s="1324" t="s">
        <v>5317</v>
      </c>
      <c r="D1062" s="1324" t="s">
        <v>4071</v>
      </c>
      <c r="E1062" s="1324">
        <f>+IF(ISBLANK(REPORTS!F924),"",REPORTS!F924)</f>
        <v>0</v>
      </c>
      <c r="F1062" s="1364">
        <f>+IF(ISBLANK(REPORTS!G924),"",REPORTS!G924)</f>
        <v>0</v>
      </c>
      <c r="G1062" s="1364">
        <f>+IF(ISBLANK(REPORTS!H924),"",REPORTS!H924)</f>
        <v>0</v>
      </c>
      <c r="H1062" s="1374">
        <f>+IF(ISBLANK(REPORTS!I924),"",REPORTS!I924)</f>
        <v>0</v>
      </c>
    </row>
    <row r="1063" spans="1:8">
      <c r="A1063" s="1752"/>
      <c r="B1063" s="1393">
        <v>46</v>
      </c>
      <c r="C1063" s="1324" t="s">
        <v>5318</v>
      </c>
      <c r="D1063" s="1324" t="s">
        <v>4067</v>
      </c>
      <c r="E1063" s="1324">
        <f>+IF(ISBLANK(REPORTS!F925),"",REPORTS!F925)</f>
        <v>164150.18467445605</v>
      </c>
      <c r="F1063" s="1364">
        <f>+IF(ISBLANK(REPORTS!G925),"",REPORTS!G925)</f>
        <v>0</v>
      </c>
      <c r="G1063" s="1364">
        <f>+IF(ISBLANK(REPORTS!H925),"",REPORTS!H925)</f>
        <v>164150.18467445605</v>
      </c>
      <c r="H1063" s="1374">
        <f>+IF(ISBLANK(REPORTS!I925),"",REPORTS!I925)</f>
        <v>1</v>
      </c>
    </row>
    <row r="1064" spans="1:8">
      <c r="A1064" s="1752"/>
      <c r="B1064" s="1393">
        <v>47</v>
      </c>
      <c r="C1064" s="1324" t="s">
        <v>5319</v>
      </c>
      <c r="D1064" s="1324" t="s">
        <v>4071</v>
      </c>
      <c r="E1064" s="1324">
        <f>+IF(ISBLANK(REPORTS!F926),"",REPORTS!F926)</f>
        <v>0</v>
      </c>
      <c r="F1064" s="1364">
        <f>+IF(ISBLANK(REPORTS!G926),"",REPORTS!G926)</f>
        <v>0</v>
      </c>
      <c r="G1064" s="1364">
        <f>+IF(ISBLANK(REPORTS!H926),"",REPORTS!H926)</f>
        <v>0</v>
      </c>
      <c r="H1064" s="1374">
        <f>+IF(ISBLANK(REPORTS!I926),"",REPORTS!I926)</f>
        <v>0</v>
      </c>
    </row>
    <row r="1065" spans="1:8">
      <c r="A1065" s="1751">
        <v>310</v>
      </c>
      <c r="B1065" s="1393">
        <v>48</v>
      </c>
      <c r="C1065" s="1324" t="s">
        <v>5320</v>
      </c>
      <c r="D1065" s="1324" t="s">
        <v>4067</v>
      </c>
      <c r="E1065" s="1324">
        <f>+IF(ISBLANK(REPORTS!F927),"",REPORTS!F927)</f>
        <v>833929.36636874522</v>
      </c>
      <c r="F1065" s="1364">
        <f>+IF(ISBLANK(REPORTS!G927),"",REPORTS!G927)</f>
        <v>0</v>
      </c>
      <c r="G1065" s="1364">
        <f>+IF(ISBLANK(REPORTS!H927),"",REPORTS!H927)</f>
        <v>833929.36636874522</v>
      </c>
      <c r="H1065" s="1374">
        <f>+IF(ISBLANK(REPORTS!I927),"",REPORTS!I927)</f>
        <v>1</v>
      </c>
    </row>
    <row r="1066" spans="1:8">
      <c r="A1066" s="1751">
        <v>105</v>
      </c>
      <c r="B1066" s="1393">
        <v>49</v>
      </c>
      <c r="C1066" s="1324" t="s">
        <v>5321</v>
      </c>
      <c r="D1066" s="1324" t="s">
        <v>4071</v>
      </c>
      <c r="E1066" s="1324">
        <f>+IF(ISBLANK(REPORTS!F928),"",REPORTS!F928)</f>
        <v>0</v>
      </c>
      <c r="F1066" s="1364">
        <f>+IF(ISBLANK(REPORTS!G928),"",REPORTS!G928)</f>
        <v>0</v>
      </c>
      <c r="G1066" s="1364">
        <f>+IF(ISBLANK(REPORTS!H928),"",REPORTS!H928)</f>
        <v>0</v>
      </c>
      <c r="H1066" s="1374">
        <f>+IF(ISBLANK(REPORTS!I928),"",REPORTS!I928)</f>
        <v>0</v>
      </c>
    </row>
    <row r="1067" spans="1:8">
      <c r="A1067" s="1751">
        <v>418</v>
      </c>
      <c r="B1067" s="1393">
        <v>50</v>
      </c>
      <c r="C1067" s="1324" t="s">
        <v>5322</v>
      </c>
      <c r="D1067" s="1324"/>
      <c r="E1067" s="1421">
        <f>+IF(ISBLANK(REPORTS!F929),"",REPORTS!F929)</f>
        <v>998079.55104320124</v>
      </c>
      <c r="F1067" s="1421">
        <f>+IF(ISBLANK(REPORTS!G929),"",REPORTS!G929)</f>
        <v>0</v>
      </c>
      <c r="G1067" s="1421">
        <f>+IF(ISBLANK(REPORTS!H929),"",REPORTS!H929)</f>
        <v>998079.55104320124</v>
      </c>
      <c r="H1067" s="1374">
        <f>+IF(ISBLANK(REPORTS!I929),"",REPORTS!I929)</f>
        <v>1</v>
      </c>
    </row>
    <row r="1068" spans="1:8">
      <c r="A1068" s="1751">
        <v>106</v>
      </c>
      <c r="B1068" s="1393">
        <v>51</v>
      </c>
      <c r="C1068" s="1324"/>
      <c r="D1068" s="1324"/>
      <c r="E1068" s="1324" t="str">
        <f>+IF(ISBLANK(REPORTS!F930),"",REPORTS!F930)</f>
        <v/>
      </c>
      <c r="F1068" s="1324" t="str">
        <f>+IF(ISBLANK(REPORTS!G930),"",REPORTS!G930)</f>
        <v/>
      </c>
      <c r="G1068" s="1324" t="str">
        <f>+IF(ISBLANK(REPORTS!H930),"",REPORTS!H930)</f>
        <v/>
      </c>
      <c r="H1068" s="1374" t="str">
        <f>+IF(ISBLANK(REPORTS!I930),"",REPORTS!I930)</f>
        <v/>
      </c>
    </row>
    <row r="1069" spans="1:8">
      <c r="A1069" s="1751">
        <v>420</v>
      </c>
      <c r="B1069" s="1393">
        <v>52</v>
      </c>
      <c r="C1069" s="1324" t="s">
        <v>5324</v>
      </c>
      <c r="D1069" s="1324" t="s">
        <v>4071</v>
      </c>
      <c r="E1069" s="1324">
        <f>+IF(ISBLANK(REPORTS!F931),"",REPORTS!F931)</f>
        <v>228413.06716999999</v>
      </c>
      <c r="F1069" s="1364">
        <f>+IF(ISBLANK(REPORTS!G931),"",REPORTS!G931)</f>
        <v>0</v>
      </c>
      <c r="G1069" s="1364">
        <f>+IF(ISBLANK(REPORTS!H931),"",REPORTS!H931)</f>
        <v>228413.06716999999</v>
      </c>
      <c r="H1069" s="1374">
        <f>+IF(ISBLANK(REPORTS!I931),"",REPORTS!I931)</f>
        <v>1</v>
      </c>
    </row>
    <row r="1070" spans="1:8">
      <c r="A1070" s="1752"/>
      <c r="B1070" s="1393">
        <v>53</v>
      </c>
      <c r="C1070" s="1324" t="s">
        <v>5325</v>
      </c>
      <c r="D1070" s="1324" t="s">
        <v>4071</v>
      </c>
      <c r="E1070" s="1324">
        <f>+IF(ISBLANK(REPORTS!F932),"",REPORTS!F932)</f>
        <v>149851.91621000002</v>
      </c>
      <c r="F1070" s="1364">
        <f>+IF(ISBLANK(REPORTS!G932),"",REPORTS!G932)</f>
        <v>0</v>
      </c>
      <c r="G1070" s="1364">
        <f>+IF(ISBLANK(REPORTS!H932),"",REPORTS!H932)</f>
        <v>149851.91621000002</v>
      </c>
      <c r="H1070" s="1374">
        <f>+IF(ISBLANK(REPORTS!I932),"",REPORTS!I932)</f>
        <v>1</v>
      </c>
    </row>
    <row r="1071" spans="1:8">
      <c r="A1071" s="1752"/>
      <c r="B1071" s="1393">
        <v>54</v>
      </c>
      <c r="C1071" s="1364" t="s">
        <v>5416</v>
      </c>
      <c r="D1071" s="1324" t="s">
        <v>4071</v>
      </c>
      <c r="E1071" s="1324">
        <f>+IF(ISBLANK(REPORTS!F933),"",REPORTS!F933)</f>
        <v>0</v>
      </c>
      <c r="F1071" s="1364">
        <f>+IF(ISBLANK(REPORTS!G933),"",REPORTS!G933)</f>
        <v>0</v>
      </c>
      <c r="G1071" s="1364">
        <f>+IF(ISBLANK(REPORTS!H933),"",REPORTS!H933)</f>
        <v>0</v>
      </c>
      <c r="H1071" s="1374">
        <f>+IF(ISBLANK(REPORTS!I933),"",REPORTS!I933)</f>
        <v>0</v>
      </c>
    </row>
    <row r="1072" spans="1:8">
      <c r="A1072" s="1751">
        <v>310</v>
      </c>
      <c r="B1072" s="1393">
        <v>55</v>
      </c>
      <c r="C1072" s="1324" t="s">
        <v>5329</v>
      </c>
      <c r="D1072" s="1324" t="s">
        <v>4071</v>
      </c>
      <c r="E1072" s="1366">
        <f>+IF(ISBLANK(REPORTS!F934),"",REPORTS!F934)</f>
        <v>414978.62154999998</v>
      </c>
      <c r="F1072" s="1366">
        <f>+IF(ISBLANK(REPORTS!G934),"",REPORTS!G934)</f>
        <v>0</v>
      </c>
      <c r="G1072" s="1366">
        <f>+IF(ISBLANK(REPORTS!H934),"",REPORTS!H934)</f>
        <v>414978.62154999998</v>
      </c>
      <c r="H1072" s="1374">
        <f>+IF(ISBLANK(REPORTS!I934),"",REPORTS!I934)</f>
        <v>1</v>
      </c>
    </row>
    <row r="1073" spans="1:8">
      <c r="A1073" s="1751">
        <v>105</v>
      </c>
      <c r="B1073" s="1393">
        <v>56</v>
      </c>
      <c r="C1073" s="1324"/>
      <c r="D1073" s="1324"/>
      <c r="E1073" s="1324" t="str">
        <f>+IF(ISBLANK(REPORTS!F935),"",REPORTS!F935)</f>
        <v/>
      </c>
      <c r="F1073" s="1324" t="str">
        <f>+IF(ISBLANK(REPORTS!G935),"",REPORTS!G935)</f>
        <v/>
      </c>
      <c r="G1073" s="1324" t="str">
        <f>+IF(ISBLANK(REPORTS!H935),"",REPORTS!H935)</f>
        <v/>
      </c>
      <c r="H1073" s="1374" t="str">
        <f>+IF(ISBLANK(REPORTS!I935),"",REPORTS!I935)</f>
        <v/>
      </c>
    </row>
    <row r="1074" spans="1:8">
      <c r="A1074" s="1751">
        <v>418</v>
      </c>
      <c r="B1074" s="1393">
        <v>57</v>
      </c>
      <c r="C1074" s="1324" t="s">
        <v>5639</v>
      </c>
      <c r="D1074" s="1324" t="s">
        <v>4067</v>
      </c>
      <c r="E1074" s="1364">
        <f>+IF(ISBLANK(REPORTS!F936),"",REPORTS!F936)</f>
        <v>2858628.3006293303</v>
      </c>
      <c r="F1074" s="1364">
        <f>+IF(ISBLANK(REPORTS!G936),"",REPORTS!G936)</f>
        <v>0</v>
      </c>
      <c r="G1074" s="1364">
        <f>+IF(ISBLANK(REPORTS!H936),"",REPORTS!H936)</f>
        <v>2858628.3006293303</v>
      </c>
      <c r="H1074" s="1374">
        <f>+IF(ISBLANK(REPORTS!I936),"",REPORTS!I936)</f>
        <v>1</v>
      </c>
    </row>
    <row r="1075" spans="1:8">
      <c r="A1075" s="1751">
        <v>106</v>
      </c>
      <c r="B1075" s="1393">
        <v>58</v>
      </c>
      <c r="C1075" s="1324" t="s">
        <v>5639</v>
      </c>
      <c r="D1075" s="1324" t="s">
        <v>4071</v>
      </c>
      <c r="E1075" s="1366">
        <f>+IF(ISBLANK(REPORTS!F937),"",REPORTS!F937)</f>
        <v>830246.67682678136</v>
      </c>
      <c r="F1075" s="1366">
        <f>+IF(ISBLANK(REPORTS!G937),"",REPORTS!G937)</f>
        <v>0</v>
      </c>
      <c r="G1075" s="1366">
        <f>+IF(ISBLANK(REPORTS!H937),"",REPORTS!H937)</f>
        <v>830246.67682678136</v>
      </c>
      <c r="H1075" s="1374">
        <f>+IF(ISBLANK(REPORTS!I937),"",REPORTS!I937)</f>
        <v>1</v>
      </c>
    </row>
    <row r="1076" spans="1:8">
      <c r="A1076" s="1751">
        <v>420</v>
      </c>
      <c r="B1076" s="1393">
        <v>59</v>
      </c>
      <c r="C1076" s="1324"/>
      <c r="D1076" s="1324"/>
      <c r="E1076" s="1364" t="str">
        <f>+IF(ISBLANK(REPORTS!F938),"",REPORTS!F938)</f>
        <v/>
      </c>
      <c r="F1076" s="1364" t="str">
        <f>+IF(ISBLANK(REPORTS!G938),"",REPORTS!G938)</f>
        <v/>
      </c>
      <c r="G1076" s="1364" t="str">
        <f>+IF(ISBLANK(REPORTS!H938),"",REPORTS!H938)</f>
        <v/>
      </c>
      <c r="H1076" s="1374" t="str">
        <f>+IF(ISBLANK(REPORTS!I938),"",REPORTS!I938)</f>
        <v/>
      </c>
    </row>
    <row r="1077" spans="1:8">
      <c r="A1077" s="1752"/>
      <c r="B1077" s="1393">
        <v>60</v>
      </c>
      <c r="C1077" s="1324" t="s">
        <v>2458</v>
      </c>
      <c r="D1077" s="1324"/>
      <c r="E1077" s="1366">
        <f>+IF(ISBLANK(REPORTS!F939),"",REPORTS!F939)</f>
        <v>3688874.9774561115</v>
      </c>
      <c r="F1077" s="1366">
        <f>+IF(ISBLANK(REPORTS!G939),"",REPORTS!G939)</f>
        <v>0</v>
      </c>
      <c r="G1077" s="1366">
        <f>+IF(ISBLANK(REPORTS!H939),"",REPORTS!H939)</f>
        <v>3688874.9774561115</v>
      </c>
      <c r="H1077" s="1374">
        <f>+IF(ISBLANK(REPORTS!I939),"",REPORTS!I939)</f>
        <v>1</v>
      </c>
    </row>
    <row r="1078" spans="1:8">
      <c r="A1078" s="1752"/>
      <c r="B1078" s="1393">
        <v>61</v>
      </c>
      <c r="C1078" s="1324"/>
      <c r="D1078" s="1324"/>
      <c r="E1078" s="1411" t="str">
        <f>+IF(ISBLANK(REPORTS!F940),"",REPORTS!F940)</f>
        <v/>
      </c>
      <c r="F1078" s="1324" t="str">
        <f>+IF(ISBLANK(REPORTS!G940),"",REPORTS!G940)</f>
        <v/>
      </c>
      <c r="G1078" s="1324" t="str">
        <f>+IF(ISBLANK(REPORTS!H940),"",REPORTS!H940)</f>
        <v/>
      </c>
      <c r="H1078" s="1374" t="str">
        <f>+IF(ISBLANK(REPORTS!I940),"",REPORTS!I940)</f>
        <v/>
      </c>
    </row>
    <row r="1079" spans="1:8">
      <c r="A1079" s="1751">
        <v>420</v>
      </c>
      <c r="B1079" s="1393">
        <v>62</v>
      </c>
      <c r="C1079" s="1324"/>
      <c r="D1079" s="1324"/>
      <c r="E1079" s="1324" t="str">
        <f>+IF(ISBLANK(REPORTS!F941),"",REPORTS!F941)</f>
        <v/>
      </c>
      <c r="F1079" s="1324" t="str">
        <f>+IF(ISBLANK(REPORTS!G941),"",REPORTS!G941)</f>
        <v/>
      </c>
      <c r="G1079" s="1324" t="str">
        <f>+IF(ISBLANK(REPORTS!H941),"",REPORTS!H941)</f>
        <v/>
      </c>
      <c r="H1079" s="1374" t="str">
        <f>+IF(ISBLANK(REPORTS!I941),"",REPORTS!I941)</f>
        <v/>
      </c>
    </row>
    <row r="1080" spans="1:8">
      <c r="A1080" s="1751">
        <v>308</v>
      </c>
      <c r="B1080" s="1393">
        <v>63</v>
      </c>
      <c r="C1080" s="1362" t="s">
        <v>5641</v>
      </c>
      <c r="D1080" s="1324"/>
      <c r="E1080" s="1324" t="str">
        <f>+IF(ISBLANK(REPORTS!F942),"",REPORTS!F942)</f>
        <v/>
      </c>
      <c r="F1080" s="1324" t="str">
        <f>+IF(ISBLANK(REPORTS!G942),"",REPORTS!G942)</f>
        <v/>
      </c>
      <c r="G1080" s="1324" t="str">
        <f>+IF(ISBLANK(REPORTS!H942),"",REPORTS!H942)</f>
        <v/>
      </c>
      <c r="H1080" s="1374" t="str">
        <f>+IF(ISBLANK(REPORTS!I942),"",REPORTS!I942)</f>
        <v/>
      </c>
    </row>
    <row r="1081" spans="1:8">
      <c r="A1081" s="1751">
        <v>412</v>
      </c>
      <c r="B1081" s="1393">
        <v>64</v>
      </c>
      <c r="C1081" s="1324" t="s">
        <v>5265</v>
      </c>
      <c r="D1081" s="1324" t="s">
        <v>4067</v>
      </c>
      <c r="E1081" s="1324">
        <f>+IF(ISBLANK(REPORTS!F943),"",REPORTS!F943)</f>
        <v>6754474.9084089035</v>
      </c>
      <c r="F1081" s="1324">
        <f>+IF(ISBLANK(REPORTS!G943),"",REPORTS!G943)</f>
        <v>0</v>
      </c>
      <c r="G1081" s="1324">
        <f>+IF(ISBLANK(REPORTS!H943),"",REPORTS!H943)</f>
        <v>6754474.9084089035</v>
      </c>
      <c r="H1081" s="1374">
        <f>+IF(ISBLANK(REPORTS!I943),"",REPORTS!I943)</f>
        <v>1</v>
      </c>
    </row>
    <row r="1082" spans="1:8">
      <c r="A1082" s="1751">
        <v>310</v>
      </c>
      <c r="B1082" s="1393">
        <v>65</v>
      </c>
      <c r="C1082" s="1324" t="s">
        <v>5265</v>
      </c>
      <c r="D1082" s="1324" t="s">
        <v>2067</v>
      </c>
      <c r="E1082" s="1324">
        <f>+IF(ISBLANK(REPORTS!F944),"",REPORTS!F944)</f>
        <v>570339.73520400003</v>
      </c>
      <c r="F1082" s="1324">
        <f>+IF(ISBLANK(REPORTS!G944),"",REPORTS!G944)</f>
        <v>0</v>
      </c>
      <c r="G1082" s="1324">
        <f>+IF(ISBLANK(REPORTS!H944),"",REPORTS!H944)</f>
        <v>570339.73520400003</v>
      </c>
      <c r="H1082" s="1374">
        <f>+IF(ISBLANK(REPORTS!I944),"",REPORTS!I944)</f>
        <v>1</v>
      </c>
    </row>
    <row r="1083" spans="1:8">
      <c r="A1083" s="1752"/>
      <c r="B1083" s="1393">
        <v>66</v>
      </c>
      <c r="C1083" s="1324" t="s">
        <v>5268</v>
      </c>
      <c r="D1083" s="1324" t="s">
        <v>4067</v>
      </c>
      <c r="E1083" s="1324">
        <f>+IF(ISBLANK(REPORTS!F945),"",REPORTS!F945)</f>
        <v>534187.1509608163</v>
      </c>
      <c r="F1083" s="1324">
        <f>+IF(ISBLANK(REPORTS!G945),"",REPORTS!G945)</f>
        <v>34608.306009133208</v>
      </c>
      <c r="G1083" s="1324">
        <f>+IF(ISBLANK(REPORTS!H945),"",REPORTS!H945)</f>
        <v>499578.84495168307</v>
      </c>
      <c r="H1083" s="1374">
        <f>+IF(ISBLANK(REPORTS!I945),"",REPORTS!I945)</f>
        <v>0.93521314403222733</v>
      </c>
    </row>
    <row r="1084" spans="1:8">
      <c r="A1084" s="1752"/>
      <c r="B1084" s="1393">
        <v>67</v>
      </c>
      <c r="C1084" s="1324" t="s">
        <v>5239</v>
      </c>
      <c r="D1084" s="1324" t="s">
        <v>4067</v>
      </c>
      <c r="E1084" s="1324">
        <f>+IF(ISBLANK(REPORTS!F946),"",REPORTS!F946)</f>
        <v>524998.04585628002</v>
      </c>
      <c r="F1084" s="1324">
        <f>+IF(ISBLANK(REPORTS!G946),"",REPORTS!G946)</f>
        <v>34012.972780252887</v>
      </c>
      <c r="G1084" s="1324">
        <f>+IF(ISBLANK(REPORTS!H946),"",REPORTS!H946)</f>
        <v>490985.07307602698</v>
      </c>
      <c r="H1084" s="1374">
        <f>+IF(ISBLANK(REPORTS!I946),"",REPORTS!I946)</f>
        <v>0.93521314403222711</v>
      </c>
    </row>
    <row r="1085" spans="1:8">
      <c r="A1085" s="1752"/>
      <c r="B1085" s="1393">
        <v>68</v>
      </c>
      <c r="C1085" s="1324" t="s">
        <v>5240</v>
      </c>
      <c r="D1085" s="1324" t="s">
        <v>4067</v>
      </c>
      <c r="E1085" s="1324">
        <f>+IF(ISBLANK(REPORTS!F947),"",REPORTS!F947)</f>
        <v>1838573.1984126705</v>
      </c>
      <c r="F1085" s="1324">
        <f>+IF(ISBLANK(REPORTS!G947),"",REPORTS!G947)</f>
        <v>0</v>
      </c>
      <c r="G1085" s="1324">
        <f>+IF(ISBLANK(REPORTS!H947),"",REPORTS!H947)</f>
        <v>1838573.1984126705</v>
      </c>
      <c r="H1085" s="1374">
        <f>+IF(ISBLANK(REPORTS!I947),"",REPORTS!I947)</f>
        <v>1</v>
      </c>
    </row>
    <row r="1086" spans="1:8">
      <c r="A1086" s="1752"/>
    </row>
    <row r="1087" spans="1:8">
      <c r="A1087" s="1752"/>
      <c r="B1087" s="1416" t="str">
        <f>+$B$1</f>
        <v>RATES WITH REVENUE DEFICIENCY ADDITION</v>
      </c>
      <c r="C1087" s="1324"/>
      <c r="D1087" s="1324"/>
      <c r="E1087" s="1336"/>
      <c r="F1087" s="1329" t="s">
        <v>2173</v>
      </c>
      <c r="G1087" s="1324"/>
      <c r="H1087" s="1334" t="s">
        <v>5669</v>
      </c>
    </row>
    <row r="1088" spans="1:8">
      <c r="A1088" s="1752"/>
      <c r="B1088" s="1416" t="str">
        <f>+$B$2</f>
        <v xml:space="preserve">PROD. CAP. ALLOC. METHOD: 12 CP </v>
      </c>
      <c r="C1088" s="1324"/>
      <c r="D1088" s="1324"/>
      <c r="E1088" s="1324"/>
      <c r="F1088" s="1336" t="s">
        <v>4768</v>
      </c>
      <c r="G1088" s="1324"/>
      <c r="H1088" s="1731" t="s">
        <v>4065</v>
      </c>
    </row>
    <row r="1089" spans="1:8">
      <c r="A1089" s="1752"/>
      <c r="B1089" s="1416" t="str">
        <f>+$B$3</f>
        <v>PROJECTED CALENDAR YEAR 2025; FULLY ADJUSTED DATA</v>
      </c>
      <c r="C1089" s="1324"/>
      <c r="D1089" s="1324"/>
      <c r="E1089" s="1324"/>
      <c r="F1089" s="1336" t="s">
        <v>2181</v>
      </c>
      <c r="G1089" s="1324"/>
      <c r="H1089" s="1374"/>
    </row>
    <row r="1090" spans="1:8">
      <c r="A1090" s="1752"/>
      <c r="B1090" s="1732">
        <f>+$B$4</f>
        <v>0</v>
      </c>
      <c r="C1090" s="1364"/>
      <c r="D1090" s="1324"/>
      <c r="E1090" s="1324"/>
      <c r="F1090" s="1324"/>
      <c r="G1090" s="1324"/>
      <c r="H1090" s="1374"/>
    </row>
    <row r="1091" spans="1:8">
      <c r="A1091" s="1752"/>
      <c r="B1091" s="1732" t="str">
        <f>+$B$5</f>
        <v>Tampa Electric 2025 OB Budget</v>
      </c>
      <c r="C1091" s="1324"/>
      <c r="D1091" s="1324"/>
      <c r="E1091" s="1329"/>
      <c r="F1091" s="1336" t="s">
        <v>5631</v>
      </c>
      <c r="G1091" s="1324"/>
      <c r="H1091" s="1374"/>
    </row>
    <row r="1092" spans="1:8">
      <c r="A1092" s="1752"/>
      <c r="B1092" s="1393"/>
      <c r="C1092" s="1324"/>
      <c r="D1092" s="1324"/>
      <c r="E1092" s="1336"/>
      <c r="F1092" s="1324"/>
      <c r="G1092" s="1324"/>
      <c r="H1092" s="1374"/>
    </row>
    <row r="1093" spans="1:8">
      <c r="A1093" s="1752"/>
      <c r="B1093" s="1393"/>
      <c r="C1093" s="1324"/>
      <c r="D1093" s="1324"/>
      <c r="E1093" s="1336"/>
      <c r="F1093" s="1324"/>
      <c r="G1093" s="1324"/>
      <c r="H1093" s="1374"/>
    </row>
    <row r="1094" spans="1:8">
      <c r="A1094" s="1752"/>
      <c r="B1094" s="1393"/>
      <c r="C1094" s="1324"/>
      <c r="D1094" s="1324"/>
      <c r="E1094" s="1324"/>
      <c r="F1094" s="1324"/>
      <c r="G1094" s="1324"/>
      <c r="H1094" s="1374"/>
    </row>
    <row r="1095" spans="1:8">
      <c r="A1095" s="1752"/>
      <c r="B1095" s="1735"/>
      <c r="C1095" s="1416"/>
      <c r="D1095" s="1416"/>
      <c r="E1095" s="1336"/>
      <c r="F1095" s="1336"/>
      <c r="G1095" s="1336"/>
      <c r="H1095" s="1736"/>
    </row>
    <row r="1096" spans="1:8" ht="28.2">
      <c r="A1096" s="1752"/>
      <c r="B1096" s="1737" t="s">
        <v>4297</v>
      </c>
      <c r="C1096" s="1741"/>
      <c r="D1096" s="1741"/>
      <c r="E1096" s="1352" t="s">
        <v>5144</v>
      </c>
      <c r="F1096" s="1352" t="s">
        <v>4956</v>
      </c>
      <c r="G1096" s="1352" t="s">
        <v>4957</v>
      </c>
      <c r="H1096" s="1742" t="s">
        <v>5145</v>
      </c>
    </row>
    <row r="1097" spans="1:8">
      <c r="A1097" s="1752"/>
      <c r="B1097" s="1393">
        <v>69</v>
      </c>
      <c r="C1097" s="1324" t="s">
        <v>5241</v>
      </c>
      <c r="D1097" s="1324" t="s">
        <v>4067</v>
      </c>
      <c r="E1097" s="1324">
        <f>+IF(ISBLANK(REPORTS!F948),"",REPORTS!F948)</f>
        <v>1020055.1022166597</v>
      </c>
      <c r="F1097" s="1324">
        <f>+IF(ISBLANK(REPORTS!G948),"",REPORTS!G948)</f>
        <v>0</v>
      </c>
      <c r="G1097" s="1324">
        <f>+IF(ISBLANK(REPORTS!H948),"",REPORTS!H948)</f>
        <v>1020055.1022166597</v>
      </c>
      <c r="H1097" s="1374">
        <f>+IF(ISBLANK(REPORTS!I948),"",REPORTS!I948)</f>
        <v>1</v>
      </c>
    </row>
    <row r="1098" spans="1:8">
      <c r="A1098" s="1751"/>
      <c r="B1098" s="1393">
        <v>70</v>
      </c>
      <c r="C1098" s="1324" t="s">
        <v>5242</v>
      </c>
      <c r="D1098" s="1324" t="s">
        <v>4071</v>
      </c>
      <c r="E1098" s="1324">
        <f>+IF(ISBLANK(REPORTS!F949),"",REPORTS!F949)</f>
        <v>830246.67682678136</v>
      </c>
      <c r="F1098" s="1324">
        <f>+IF(ISBLANK(REPORTS!G949),"",REPORTS!G949)</f>
        <v>0</v>
      </c>
      <c r="G1098" s="1324">
        <f>+IF(ISBLANK(REPORTS!H949),"",REPORTS!H949)</f>
        <v>830246.67682678136</v>
      </c>
      <c r="H1098" s="1374">
        <f>+IF(ISBLANK(REPORTS!I949),"",REPORTS!I949)</f>
        <v>1</v>
      </c>
    </row>
    <row r="1099" spans="1:8">
      <c r="A1099" s="1752"/>
      <c r="B1099" s="1393">
        <v>71</v>
      </c>
      <c r="C1099" s="1324" t="s">
        <v>5244</v>
      </c>
      <c r="D1099" s="1324" t="s">
        <v>4071</v>
      </c>
      <c r="E1099" s="1745">
        <f>+IF(ISBLANK(REPORTS!F950),"",REPORTS!F950)</f>
        <v>0</v>
      </c>
      <c r="F1099" s="1366">
        <f>+IF(ISBLANK(REPORTS!G950),"",REPORTS!G950)</f>
        <v>0</v>
      </c>
      <c r="G1099" s="1366">
        <f>+IF(ISBLANK(REPORTS!H950),"",REPORTS!H950)</f>
        <v>0</v>
      </c>
      <c r="H1099" s="1374">
        <f>+IF(ISBLANK(REPORTS!I950),"",REPORTS!I950)</f>
        <v>0</v>
      </c>
    </row>
    <row r="1100" spans="1:8">
      <c r="A1100" s="1752"/>
      <c r="B1100" s="1393">
        <v>72</v>
      </c>
      <c r="C1100" s="1324" t="s">
        <v>5646</v>
      </c>
      <c r="D1100" s="1324"/>
      <c r="E1100" s="1366">
        <f>+IF(ISBLANK(REPORTS!F951),"",REPORTS!F951)</f>
        <v>12072874.81788611</v>
      </c>
      <c r="F1100" s="1366">
        <f>+IF(ISBLANK(REPORTS!G951),"",REPORTS!G951)</f>
        <v>68621.278789386095</v>
      </c>
      <c r="G1100" s="1366">
        <f>+IF(ISBLANK(REPORTS!H951),"",REPORTS!H951)</f>
        <v>12004253.539096722</v>
      </c>
      <c r="H1100" s="1374">
        <f>+IF(ISBLANK(REPORTS!I951),"",REPORTS!I951)</f>
        <v>0.99431607799927446</v>
      </c>
    </row>
    <row r="1101" spans="1:8">
      <c r="A1101" s="1752"/>
    </row>
    <row r="1102" spans="1:8">
      <c r="A1102" s="1752"/>
    </row>
    <row r="1103" spans="1:8">
      <c r="A1103" s="1752"/>
    </row>
    <row r="1104" spans="1:8">
      <c r="A1104" s="1752"/>
    </row>
    <row r="1105" spans="1:8">
      <c r="A1105" s="1752"/>
    </row>
    <row r="1106" spans="1:8">
      <c r="A1106" s="1752"/>
    </row>
    <row r="1107" spans="1:8">
      <c r="A1107" s="1752"/>
    </row>
    <row r="1108" spans="1:8">
      <c r="A1108" s="1752"/>
    </row>
    <row r="1109" spans="1:8">
      <c r="A1109" s="1752"/>
    </row>
    <row r="1110" spans="1:8">
      <c r="A1110" s="1752"/>
    </row>
    <row r="1111" spans="1:8">
      <c r="A1111" s="1752"/>
    </row>
    <row r="1112" spans="1:8">
      <c r="A1112" s="1752"/>
      <c r="B1112" s="1393"/>
      <c r="C1112" s="1324"/>
      <c r="D1112" s="1324"/>
      <c r="E1112" s="1324"/>
      <c r="F1112" s="1324"/>
      <c r="G1112" s="1324"/>
      <c r="H1112" s="1374"/>
    </row>
    <row r="1113" spans="1:8">
      <c r="A1113" s="1752"/>
      <c r="B1113" s="1393"/>
      <c r="C1113" s="1324"/>
      <c r="D1113" s="1324"/>
      <c r="E1113" s="1324"/>
      <c r="F1113" s="1324"/>
      <c r="G1113" s="1324"/>
      <c r="H1113" s="1374"/>
    </row>
    <row r="1114" spans="1:8">
      <c r="A1114" s="1752"/>
      <c r="B1114" s="1393"/>
      <c r="C1114" s="1324"/>
      <c r="D1114" s="1324"/>
      <c r="E1114" s="1324"/>
      <c r="F1114" s="1324"/>
      <c r="G1114" s="1324"/>
      <c r="H1114" s="1374"/>
    </row>
    <row r="1115" spans="1:8">
      <c r="A1115" s="1752"/>
      <c r="B1115" s="1393"/>
      <c r="C1115" s="1324"/>
      <c r="D1115" s="1324"/>
      <c r="E1115" s="1324"/>
      <c r="F1115" s="1324"/>
      <c r="G1115" s="1324"/>
      <c r="H1115" s="1374"/>
    </row>
    <row r="1116" spans="1:8">
      <c r="A1116" s="1752"/>
    </row>
    <row r="1117" spans="1:8">
      <c r="A1117" s="1752"/>
    </row>
    <row r="1118" spans="1:8">
      <c r="A1118" s="1752"/>
    </row>
    <row r="1119" spans="1:8">
      <c r="A1119" s="1752"/>
    </row>
    <row r="1120" spans="1:8">
      <c r="A1120" s="1752"/>
    </row>
    <row r="1121" spans="1:8">
      <c r="A1121" s="1752"/>
    </row>
    <row r="1122" spans="1:8">
      <c r="A1122" s="1752"/>
      <c r="B1122" s="1393"/>
      <c r="C1122" s="1324"/>
      <c r="D1122" s="1324"/>
      <c r="E1122" s="1324"/>
      <c r="F1122" s="1324"/>
      <c r="G1122" s="1324"/>
      <c r="H1122" s="1374"/>
    </row>
    <row r="1123" spans="1:8">
      <c r="A1123" s="1752"/>
      <c r="B1123" s="1393"/>
      <c r="C1123" s="1324"/>
      <c r="D1123" s="1324"/>
      <c r="E1123" s="1324"/>
      <c r="F1123" s="1324"/>
      <c r="G1123" s="1324"/>
      <c r="H1123" s="1374"/>
    </row>
    <row r="1124" spans="1:8">
      <c r="A1124" s="1752"/>
      <c r="B1124" s="1393"/>
      <c r="C1124" s="1324"/>
      <c r="D1124" s="1324"/>
      <c r="E1124" s="1324"/>
      <c r="F1124" s="1324"/>
      <c r="G1124" s="1324"/>
      <c r="H1124" s="1374"/>
    </row>
    <row r="1125" spans="1:8">
      <c r="A1125" s="1752"/>
      <c r="B1125" s="1393"/>
      <c r="C1125" s="1324"/>
      <c r="D1125" s="1324"/>
      <c r="E1125" s="1324"/>
      <c r="F1125" s="1324"/>
      <c r="G1125" s="1324"/>
      <c r="H1125" s="1374"/>
    </row>
    <row r="1126" spans="1:8">
      <c r="A1126" s="1752"/>
      <c r="B1126" s="1393"/>
      <c r="C1126" s="1324"/>
      <c r="D1126" s="1324"/>
      <c r="E1126" s="1324"/>
      <c r="F1126" s="1324"/>
      <c r="G1126" s="1324"/>
      <c r="H1126" s="1374"/>
    </row>
    <row r="1127" spans="1:8">
      <c r="A1127" s="1752"/>
      <c r="B1127" s="1393"/>
      <c r="C1127" s="1324"/>
      <c r="D1127" s="1324"/>
      <c r="E1127" s="1324"/>
      <c r="F1127" s="1324"/>
      <c r="G1127" s="1324"/>
      <c r="H1127" s="1374"/>
    </row>
    <row r="1128" spans="1:8">
      <c r="A1128" s="1752"/>
      <c r="B1128" s="1393"/>
      <c r="C1128" s="1324"/>
      <c r="D1128" s="1324"/>
      <c r="E1128" s="1324"/>
      <c r="F1128" s="1324"/>
      <c r="G1128" s="1324"/>
      <c r="H1128" s="1374"/>
    </row>
    <row r="1129" spans="1:8">
      <c r="A1129" s="1752"/>
      <c r="B1129" s="1393"/>
      <c r="C1129" s="1324"/>
      <c r="D1129" s="1324"/>
      <c r="E1129" s="1324"/>
      <c r="F1129" s="1324"/>
      <c r="G1129" s="1324"/>
      <c r="H1129" s="1374"/>
    </row>
    <row r="1130" spans="1:8">
      <c r="A1130" s="1752"/>
      <c r="B1130" s="1393"/>
      <c r="C1130" s="1324"/>
      <c r="D1130" s="1324"/>
      <c r="E1130" s="1324"/>
      <c r="F1130" s="1324"/>
      <c r="G1130" s="1324"/>
      <c r="H1130" s="1374"/>
    </row>
    <row r="1131" spans="1:8">
      <c r="A1131" s="1752"/>
      <c r="B1131" s="1393"/>
      <c r="C1131" s="1324"/>
      <c r="D1131" s="1324"/>
      <c r="E1131" s="1324"/>
      <c r="F1131" s="1324"/>
      <c r="G1131" s="1324"/>
      <c r="H1131" s="1374"/>
    </row>
    <row r="1132" spans="1:8">
      <c r="A1132" s="1752"/>
      <c r="B1132" s="1393"/>
      <c r="C1132" s="1324"/>
      <c r="D1132" s="1324"/>
      <c r="E1132" s="1324"/>
      <c r="F1132" s="1324"/>
      <c r="G1132" s="1324"/>
      <c r="H1132" s="1374"/>
    </row>
    <row r="1133" spans="1:8">
      <c r="A1133" s="1752"/>
      <c r="B1133" s="1393"/>
      <c r="C1133" s="1324"/>
      <c r="D1133" s="1324"/>
      <c r="E1133" s="1324"/>
      <c r="F1133" s="1324"/>
      <c r="G1133" s="1324"/>
      <c r="H1133" s="1374"/>
    </row>
    <row r="1134" spans="1:8">
      <c r="A1134" s="1752"/>
      <c r="B1134" s="1393"/>
      <c r="C1134" s="1324"/>
      <c r="D1134" s="1324"/>
      <c r="E1134" s="1324"/>
      <c r="F1134" s="1324"/>
      <c r="G1134" s="1324"/>
      <c r="H1134" s="1374"/>
    </row>
    <row r="1135" spans="1:8">
      <c r="A1135" s="1752"/>
      <c r="B1135" s="1393"/>
      <c r="C1135" s="1324"/>
      <c r="D1135" s="1324"/>
      <c r="E1135" s="1324"/>
      <c r="F1135" s="1324"/>
      <c r="G1135" s="1324"/>
      <c r="H1135" s="1374"/>
    </row>
    <row r="1136" spans="1:8">
      <c r="A1136" s="1752"/>
      <c r="B1136" s="1393"/>
      <c r="C1136" s="1324"/>
      <c r="D1136" s="1324"/>
      <c r="E1136" s="1324"/>
      <c r="F1136" s="1324"/>
      <c r="G1136" s="1324"/>
      <c r="H1136" s="1374"/>
    </row>
    <row r="1137" spans="1:8">
      <c r="A1137" s="1752"/>
      <c r="B1137" s="1393"/>
      <c r="C1137" s="1324"/>
      <c r="D1137" s="1324"/>
      <c r="E1137" s="1324"/>
      <c r="F1137" s="1324"/>
      <c r="G1137" s="1324"/>
      <c r="H1137" s="1374"/>
    </row>
    <row r="1138" spans="1:8">
      <c r="A1138" s="1752"/>
      <c r="B1138" s="1393"/>
      <c r="C1138" s="1324"/>
      <c r="D1138" s="1324"/>
      <c r="E1138" s="1324"/>
      <c r="F1138" s="1324"/>
      <c r="G1138" s="1324"/>
      <c r="H1138" s="1374"/>
    </row>
    <row r="1139" spans="1:8">
      <c r="A1139" s="1752"/>
      <c r="B1139" s="1393"/>
      <c r="C1139" s="1324"/>
      <c r="D1139" s="1324"/>
      <c r="E1139" s="1324"/>
      <c r="F1139" s="1324"/>
      <c r="G1139" s="1324"/>
      <c r="H1139" s="1374"/>
    </row>
    <row r="1140" spans="1:8">
      <c r="A1140" s="1752"/>
      <c r="B1140" s="1393"/>
      <c r="C1140" s="1324"/>
      <c r="D1140" s="1324"/>
      <c r="E1140" s="1324"/>
      <c r="F1140" s="1324"/>
      <c r="G1140" s="1324"/>
      <c r="H1140" s="1374"/>
    </row>
    <row r="1141" spans="1:8">
      <c r="A1141" s="1752"/>
      <c r="B1141" s="1393"/>
      <c r="C1141" s="1324"/>
      <c r="D1141" s="1324"/>
      <c r="E1141" s="1324"/>
      <c r="F1141" s="1324"/>
      <c r="G1141" s="1324"/>
      <c r="H1141" s="1374"/>
    </row>
    <row r="1142" spans="1:8">
      <c r="A1142" s="1752"/>
      <c r="B1142" s="1393"/>
      <c r="C1142" s="1324"/>
      <c r="D1142" s="1324"/>
      <c r="E1142" s="1324"/>
      <c r="F1142" s="1324"/>
      <c r="G1142" s="1324"/>
      <c r="H1142" s="1374"/>
    </row>
    <row r="1143" spans="1:8">
      <c r="A1143" s="1752"/>
      <c r="B1143" s="1393"/>
      <c r="C1143" s="1324"/>
      <c r="D1143" s="1324"/>
      <c r="E1143" s="1324"/>
      <c r="F1143" s="1324"/>
      <c r="G1143" s="1324"/>
      <c r="H1143" s="1374"/>
    </row>
    <row r="1144" spans="1:8">
      <c r="A1144" s="1752"/>
      <c r="B1144" s="1393"/>
      <c r="C1144" s="1324"/>
      <c r="D1144" s="1324"/>
      <c r="E1144" s="1324"/>
      <c r="F1144" s="1324"/>
      <c r="G1144" s="1324"/>
      <c r="H1144" s="1374"/>
    </row>
    <row r="1145" spans="1:8">
      <c r="A1145" s="1752"/>
      <c r="B1145" s="1393"/>
      <c r="C1145" s="1324"/>
      <c r="D1145" s="1324"/>
      <c r="E1145" s="1324"/>
      <c r="F1145" s="1324"/>
      <c r="G1145" s="1324"/>
      <c r="H1145" s="1374"/>
    </row>
    <row r="1146" spans="1:8">
      <c r="A1146" s="1752"/>
      <c r="B1146" s="1393"/>
      <c r="C1146" s="1324"/>
      <c r="D1146" s="1324"/>
      <c r="E1146" s="1324"/>
      <c r="F1146" s="1324"/>
      <c r="G1146" s="1324"/>
      <c r="H1146" s="1374"/>
    </row>
    <row r="1147" spans="1:8">
      <c r="A1147" s="1752"/>
      <c r="B1147" s="1393"/>
      <c r="C1147" s="1324"/>
      <c r="D1147" s="1324"/>
      <c r="E1147" s="1324"/>
      <c r="F1147" s="1324"/>
      <c r="G1147" s="1324"/>
      <c r="H1147" s="1374"/>
    </row>
    <row r="1148" spans="1:8">
      <c r="A1148" s="1752"/>
      <c r="B1148" s="1416" t="str">
        <f>+$B$1</f>
        <v>RATES WITH REVENUE DEFICIENCY ADDITION</v>
      </c>
      <c r="C1148" s="1324"/>
      <c r="D1148" s="1324"/>
      <c r="E1148" s="1336"/>
      <c r="F1148" s="1329" t="s">
        <v>2173</v>
      </c>
      <c r="G1148" s="1324"/>
      <c r="H1148" s="1334" t="s">
        <v>5673</v>
      </c>
    </row>
    <row r="1149" spans="1:8">
      <c r="A1149" s="1752"/>
      <c r="B1149" s="1416" t="str">
        <f>+$B$2</f>
        <v xml:space="preserve">PROD. CAP. ALLOC. METHOD: 12 CP </v>
      </c>
      <c r="C1149" s="1324"/>
      <c r="D1149" s="1324"/>
      <c r="E1149" s="1324"/>
      <c r="F1149" s="1336" t="s">
        <v>4768</v>
      </c>
      <c r="G1149" s="1324"/>
      <c r="H1149" s="1731" t="s">
        <v>4178</v>
      </c>
    </row>
    <row r="1150" spans="1:8">
      <c r="A1150" s="1752"/>
      <c r="B1150" s="1416" t="str">
        <f>+$B$3</f>
        <v>PROJECTED CALENDAR YEAR 2025; FULLY ADJUSTED DATA</v>
      </c>
      <c r="C1150" s="1324"/>
      <c r="D1150" s="1324"/>
      <c r="E1150" s="1324"/>
      <c r="F1150" s="1336" t="s">
        <v>2181</v>
      </c>
      <c r="G1150" s="1324"/>
      <c r="H1150" s="1374"/>
    </row>
    <row r="1151" spans="1:8">
      <c r="A1151" s="1752"/>
      <c r="B1151" s="1732">
        <f>+$B$4</f>
        <v>0</v>
      </c>
      <c r="C1151" s="1364"/>
      <c r="D1151" s="1324"/>
      <c r="E1151" s="1324"/>
      <c r="F1151" s="1324"/>
      <c r="G1151" s="1324"/>
      <c r="H1151" s="1374"/>
    </row>
    <row r="1152" spans="1:8">
      <c r="A1152" s="1752"/>
      <c r="B1152" s="1732" t="str">
        <f>+$B$5</f>
        <v>Tampa Electric 2025 OB Budget</v>
      </c>
      <c r="C1152" s="1324"/>
      <c r="D1152" s="1324"/>
      <c r="E1152" s="1329"/>
      <c r="F1152" s="1336" t="s">
        <v>5631</v>
      </c>
      <c r="G1152" s="1324"/>
      <c r="H1152" s="1374"/>
    </row>
    <row r="1153" spans="1:8">
      <c r="A1153" s="1752"/>
      <c r="B1153" s="1393"/>
      <c r="C1153" s="1324"/>
      <c r="D1153" s="1324"/>
      <c r="E1153" s="1336"/>
      <c r="F1153" s="1324"/>
      <c r="G1153" s="1324"/>
      <c r="H1153" s="1374"/>
    </row>
    <row r="1154" spans="1:8">
      <c r="A1154" s="1752"/>
      <c r="B1154" s="1393"/>
      <c r="C1154" s="1324"/>
      <c r="D1154" s="1324"/>
      <c r="E1154" s="1336"/>
      <c r="F1154" s="1324"/>
      <c r="G1154" s="1324"/>
      <c r="H1154" s="1374"/>
    </row>
    <row r="1155" spans="1:8">
      <c r="A1155" s="1752"/>
      <c r="B1155" s="1393"/>
      <c r="C1155" s="1324"/>
      <c r="D1155" s="1324"/>
      <c r="E1155" s="1324"/>
      <c r="F1155" s="1324"/>
      <c r="G1155" s="1324"/>
      <c r="H1155" s="1374"/>
    </row>
    <row r="1156" spans="1:8">
      <c r="A1156" s="1752"/>
      <c r="B1156" s="1735"/>
      <c r="C1156" s="1416"/>
      <c r="D1156" s="1416"/>
      <c r="E1156" s="1336"/>
      <c r="F1156" s="1336"/>
      <c r="G1156" s="1336"/>
      <c r="H1156" s="1736"/>
    </row>
    <row r="1157" spans="1:8" ht="28.2">
      <c r="A1157" s="1752"/>
      <c r="B1157" s="1737" t="s">
        <v>4297</v>
      </c>
      <c r="C1157" s="1741"/>
      <c r="D1157" s="1741"/>
      <c r="E1157" s="1352" t="s">
        <v>5144</v>
      </c>
      <c r="F1157" s="1352" t="s">
        <v>4956</v>
      </c>
      <c r="G1157" s="1352" t="s">
        <v>4957</v>
      </c>
      <c r="H1157" s="1742" t="s">
        <v>5145</v>
      </c>
    </row>
    <row r="1158" spans="1:8">
      <c r="A1158" s="1752"/>
      <c r="B1158" s="1393"/>
      <c r="C1158" s="1324"/>
      <c r="D1158" s="1324"/>
      <c r="E1158" s="1324"/>
      <c r="F1158" s="1324"/>
      <c r="G1158" s="1324"/>
      <c r="H1158" s="1374"/>
    </row>
    <row r="1159" spans="1:8">
      <c r="A1159" s="1752"/>
      <c r="B1159" s="1393">
        <v>73</v>
      </c>
      <c r="C1159" s="1362" t="s">
        <v>5648</v>
      </c>
      <c r="D1159" s="1324"/>
      <c r="E1159" s="1324"/>
      <c r="F1159" s="1324"/>
      <c r="G1159" s="1324"/>
      <c r="H1159" s="1374"/>
    </row>
    <row r="1160" spans="1:8">
      <c r="A1160" s="1760"/>
      <c r="B1160" s="1393">
        <v>74</v>
      </c>
      <c r="C1160" s="1324" t="s">
        <v>5265</v>
      </c>
      <c r="D1160" s="1324" t="s">
        <v>4067</v>
      </c>
      <c r="E1160" s="1324">
        <f>+IF(ISBLANK(REPORTS!F969),"",REPORTS!F969)</f>
        <v>30059.679439906377</v>
      </c>
      <c r="F1160" s="1364">
        <f>+IF(ISBLANK(REPORTS!G969),"",REPORTS!G969)</f>
        <v>0</v>
      </c>
      <c r="G1160" s="1364">
        <f>+IF(ISBLANK(REPORTS!H969),"",REPORTS!H969)</f>
        <v>30059.679439906377</v>
      </c>
      <c r="H1160" s="1374">
        <f>+IF(ISBLANK(REPORTS!I969),"",REPORTS!I969)</f>
        <v>1</v>
      </c>
    </row>
    <row r="1161" spans="1:8">
      <c r="A1161" s="1760"/>
      <c r="B1161" s="1393">
        <v>75</v>
      </c>
      <c r="C1161" s="1324" t="s">
        <v>5265</v>
      </c>
      <c r="D1161" s="1324" t="s">
        <v>2067</v>
      </c>
      <c r="E1161" s="1324">
        <f>+IF(ISBLANK(REPORTS!F970),"",REPORTS!F970)</f>
        <v>7468.8413095182732</v>
      </c>
      <c r="F1161" s="1364">
        <f>+IF(ISBLANK(REPORTS!G970),"",REPORTS!G970)</f>
        <v>0</v>
      </c>
      <c r="G1161" s="1364">
        <f>+IF(ISBLANK(REPORTS!H970),"",REPORTS!H970)</f>
        <v>7468.8413095182732</v>
      </c>
      <c r="H1161" s="1374">
        <f>+IF(ISBLANK(REPORTS!I970),"",REPORTS!I970)</f>
        <v>1</v>
      </c>
    </row>
    <row r="1162" spans="1:8">
      <c r="A1162" s="1752"/>
      <c r="B1162" s="1393">
        <v>76</v>
      </c>
      <c r="C1162" s="1324" t="s">
        <v>5268</v>
      </c>
      <c r="D1162" s="1324" t="s">
        <v>4067</v>
      </c>
      <c r="E1162" s="1324">
        <f>+IF(ISBLANK(REPORTS!F971),"",REPORTS!F971)</f>
        <v>5665.6180738662224</v>
      </c>
      <c r="F1162" s="1364">
        <f>+IF(ISBLANK(REPORTS!G971),"",REPORTS!G971)</f>
        <v>367.05758211998017</v>
      </c>
      <c r="G1162" s="1364">
        <f>+IF(ISBLANK(REPORTS!H971),"",REPORTS!H971)</f>
        <v>5298.5604917462415</v>
      </c>
      <c r="H1162" s="1374">
        <f>+IF(ISBLANK(REPORTS!I971),"",REPORTS!I971)</f>
        <v>0.93521314403222722</v>
      </c>
    </row>
    <row r="1163" spans="1:8">
      <c r="A1163" s="1752"/>
      <c r="B1163" s="1393">
        <v>77</v>
      </c>
      <c r="C1163" s="1324" t="s">
        <v>5239</v>
      </c>
      <c r="D1163" s="1324" t="s">
        <v>4067</v>
      </c>
      <c r="E1163" s="1324">
        <f>+IF(ISBLANK(REPORTS!F972),"",REPORTS!F972)</f>
        <v>4560.829886980322</v>
      </c>
      <c r="F1163" s="1364">
        <f>+IF(ISBLANK(REPORTS!G972),"",REPORTS!G972)</f>
        <v>295.48182898130671</v>
      </c>
      <c r="G1163" s="1364">
        <f>+IF(ISBLANK(REPORTS!H972),"",REPORTS!H972)</f>
        <v>4265.3480579990146</v>
      </c>
      <c r="H1163" s="1374">
        <f>+IF(ISBLANK(REPORTS!I972),"",REPORTS!I972)</f>
        <v>0.93521314403222722</v>
      </c>
    </row>
    <row r="1164" spans="1:8">
      <c r="A1164" s="1752"/>
      <c r="B1164" s="1393">
        <v>78</v>
      </c>
      <c r="C1164" s="1324" t="s">
        <v>5240</v>
      </c>
      <c r="D1164" s="1324" t="s">
        <v>4067</v>
      </c>
      <c r="E1164" s="1324">
        <f>+IF(ISBLANK(REPORTS!F973),"",REPORTS!F973)</f>
        <v>27530.836064149807</v>
      </c>
      <c r="F1164" s="1364">
        <f>+IF(ISBLANK(REPORTS!G973),"",REPORTS!G973)</f>
        <v>0</v>
      </c>
      <c r="G1164" s="1364">
        <f>+IF(ISBLANK(REPORTS!H973),"",REPORTS!H973)</f>
        <v>27530.836064149807</v>
      </c>
      <c r="H1164" s="1374">
        <f>+IF(ISBLANK(REPORTS!I973),"",REPORTS!I973)</f>
        <v>1</v>
      </c>
    </row>
    <row r="1165" spans="1:8">
      <c r="A1165" s="1752"/>
      <c r="B1165" s="1393">
        <v>79</v>
      </c>
      <c r="C1165" s="1324" t="s">
        <v>5241</v>
      </c>
      <c r="D1165" s="1324" t="s">
        <v>4067</v>
      </c>
      <c r="E1165" s="1324">
        <f>+IF(ISBLANK(REPORTS!F974),"",REPORTS!F974)</f>
        <v>8946.5182861578378</v>
      </c>
      <c r="F1165" s="1364">
        <f>+IF(ISBLANK(REPORTS!G974),"",REPORTS!G974)</f>
        <v>0</v>
      </c>
      <c r="G1165" s="1364">
        <f>+IF(ISBLANK(REPORTS!H974),"",REPORTS!H974)</f>
        <v>8946.5182861578378</v>
      </c>
      <c r="H1165" s="1374">
        <f>+IF(ISBLANK(REPORTS!I974),"",REPORTS!I974)</f>
        <v>1</v>
      </c>
    </row>
    <row r="1166" spans="1:8">
      <c r="A1166" s="1752"/>
      <c r="B1166" s="1393">
        <v>80</v>
      </c>
      <c r="C1166" s="1324" t="s">
        <v>5242</v>
      </c>
      <c r="D1166" s="1324" t="s">
        <v>4071</v>
      </c>
      <c r="E1166" s="1324">
        <f>+IF(ISBLANK(REPORTS!F975),"",REPORTS!F975)</f>
        <v>10609.961743436423</v>
      </c>
      <c r="F1166" s="1364">
        <f>+IF(ISBLANK(REPORTS!G975),"",REPORTS!G975)</f>
        <v>0</v>
      </c>
      <c r="G1166" s="1364">
        <f>+IF(ISBLANK(REPORTS!H975),"",REPORTS!H975)</f>
        <v>10609.961743436423</v>
      </c>
      <c r="H1166" s="1374">
        <f>+IF(ISBLANK(REPORTS!I975),"",REPORTS!I975)</f>
        <v>1</v>
      </c>
    </row>
    <row r="1167" spans="1:8">
      <c r="A1167" s="1752"/>
      <c r="B1167" s="1393">
        <v>81</v>
      </c>
      <c r="C1167" s="1324" t="s">
        <v>5244</v>
      </c>
      <c r="D1167" s="1324" t="s">
        <v>4071</v>
      </c>
      <c r="E1167" s="1324">
        <f>+IF(ISBLANK(REPORTS!F976),"",REPORTS!F976)</f>
        <v>14371.441015984727</v>
      </c>
      <c r="F1167" s="1364">
        <f>+IF(ISBLANK(REPORTS!G976),"",REPORTS!G976)</f>
        <v>0</v>
      </c>
      <c r="G1167" s="1364">
        <f>+IF(ISBLANK(REPORTS!H976),"",REPORTS!H976)</f>
        <v>14371.441015984727</v>
      </c>
      <c r="H1167" s="1374">
        <f>+IF(ISBLANK(REPORTS!I976),"",REPORTS!I976)</f>
        <v>1</v>
      </c>
    </row>
    <row r="1168" spans="1:8">
      <c r="A1168" s="1752"/>
      <c r="B1168" s="1393">
        <v>82</v>
      </c>
      <c r="C1168" s="1324" t="s">
        <v>5649</v>
      </c>
      <c r="D1168" s="1324"/>
      <c r="E1168" s="1421">
        <f>+IF(ISBLANK(REPORTS!F977),"",REPORTS!F977)</f>
        <v>109213.72581999999</v>
      </c>
      <c r="F1168" s="1421">
        <f>+IF(ISBLANK(REPORTS!G977),"",REPORTS!G977)</f>
        <v>662.53941110128687</v>
      </c>
      <c r="G1168" s="1421">
        <f>+IF(ISBLANK(REPORTS!H977),"",REPORTS!H977)</f>
        <v>108551.18640889871</v>
      </c>
      <c r="H1168" s="1374">
        <f>+IF(ISBLANK(REPORTS!I977),"",REPORTS!I977)</f>
        <v>0.99393355179372556</v>
      </c>
    </row>
    <row r="1169" spans="1:8" ht="28.2">
      <c r="A1169" s="1753" t="s">
        <v>5143</v>
      </c>
      <c r="B1169" s="1393">
        <v>83</v>
      </c>
      <c r="C1169" s="1324"/>
      <c r="D1169" s="1324"/>
      <c r="E1169" s="1324" t="str">
        <f>+IF(ISBLANK(REPORTS!F978),"",REPORTS!F978)</f>
        <v/>
      </c>
      <c r="F1169" s="1324" t="str">
        <f>+IF(ISBLANK(REPORTS!G978),"",REPORTS!G978)</f>
        <v/>
      </c>
      <c r="G1169" s="1324" t="str">
        <f>+IF(ISBLANK(REPORTS!H978),"",REPORTS!H978)</f>
        <v/>
      </c>
      <c r="H1169" s="1374" t="str">
        <f>+IF(ISBLANK(REPORTS!I978),"",REPORTS!I978)</f>
        <v/>
      </c>
    </row>
    <row r="1170" spans="1:8">
      <c r="A1170" s="1752"/>
      <c r="B1170" s="1393">
        <v>84</v>
      </c>
      <c r="C1170" s="1362" t="s">
        <v>5651</v>
      </c>
      <c r="D1170" s="1324"/>
      <c r="E1170" s="1324" t="str">
        <f>+IF(ISBLANK(REPORTS!F979),"",REPORTS!F979)</f>
        <v/>
      </c>
      <c r="F1170" s="1324" t="str">
        <f>+IF(ISBLANK(REPORTS!G979),"",REPORTS!G979)</f>
        <v/>
      </c>
      <c r="G1170" s="1324" t="str">
        <f>+IF(ISBLANK(REPORTS!H979),"",REPORTS!H979)</f>
        <v/>
      </c>
      <c r="H1170" s="1374" t="str">
        <f>+IF(ISBLANK(REPORTS!I979),"",REPORTS!I979)</f>
        <v/>
      </c>
    </row>
    <row r="1171" spans="1:8">
      <c r="A1171" s="1752"/>
      <c r="B1171" s="1393">
        <v>85</v>
      </c>
      <c r="C1171" s="1324" t="s">
        <v>5265</v>
      </c>
      <c r="D1171" s="1324" t="s">
        <v>4067</v>
      </c>
      <c r="E1171" s="1364">
        <f>+IF(ISBLANK(REPORTS!F980),"",REPORTS!F980)</f>
        <v>7482.8857100000005</v>
      </c>
      <c r="F1171" s="1364">
        <f>+IF(ISBLANK(REPORTS!G980),"",REPORTS!G980)</f>
        <v>0</v>
      </c>
      <c r="G1171" s="1364">
        <f>+IF(ISBLANK(REPORTS!H980),"",REPORTS!H980)</f>
        <v>7482.8857100000005</v>
      </c>
      <c r="H1171" s="1374">
        <f>+IF(ISBLANK(REPORTS!I980),"",REPORTS!I980)</f>
        <v>1</v>
      </c>
    </row>
    <row r="1172" spans="1:8">
      <c r="A1172" s="1751">
        <v>101</v>
      </c>
      <c r="B1172" s="1393">
        <v>86</v>
      </c>
      <c r="C1172" s="1324" t="s">
        <v>5265</v>
      </c>
      <c r="D1172" s="1324" t="s">
        <v>2067</v>
      </c>
      <c r="E1172" s="1746" t="str">
        <f>+IF(ISBLANK(REPORTS!F981),"",REPORTS!F981)</f>
        <v/>
      </c>
      <c r="F1172" s="1364">
        <f>+IF(ISBLANK(REPORTS!G981),"",REPORTS!G981)</f>
        <v>0</v>
      </c>
      <c r="G1172" s="1364">
        <f>+IF(ISBLANK(REPORTS!H981),"",REPORTS!H981)</f>
        <v>0</v>
      </c>
      <c r="H1172" s="1374">
        <f>+IF(ISBLANK(REPORTS!I981),"",REPORTS!I981)</f>
        <v>0</v>
      </c>
    </row>
    <row r="1173" spans="1:8">
      <c r="A1173" s="1751">
        <v>201</v>
      </c>
      <c r="B1173" s="1393">
        <v>87</v>
      </c>
      <c r="C1173" s="1324" t="s">
        <v>5268</v>
      </c>
      <c r="D1173" s="1324" t="s">
        <v>4067</v>
      </c>
      <c r="E1173" s="1364">
        <f>+IF(ISBLANK(REPORTS!F982),"",REPORTS!F982)</f>
        <v>2737.0403635800221</v>
      </c>
      <c r="F1173" s="1364">
        <f>+IF(ISBLANK(REPORTS!G982),"",REPORTS!G982)</f>
        <v>177.32423981323885</v>
      </c>
      <c r="G1173" s="1364">
        <f>+IF(ISBLANK(REPORTS!H982),"",REPORTS!H982)</f>
        <v>2559.7161237667833</v>
      </c>
      <c r="H1173" s="1374">
        <f>+IF(ISBLANK(REPORTS!I982),"",REPORTS!I982)</f>
        <v>0.93521314403222744</v>
      </c>
    </row>
    <row r="1174" spans="1:8">
      <c r="A1174" s="1751">
        <v>117</v>
      </c>
      <c r="B1174" s="1393">
        <v>88</v>
      </c>
      <c r="C1174" s="1324" t="s">
        <v>5239</v>
      </c>
      <c r="D1174" s="1324" t="s">
        <v>4067</v>
      </c>
      <c r="E1174" s="1364">
        <f>+IF(ISBLANK(REPORTS!F983),"",REPORTS!F983)</f>
        <v>7695.2794371510481</v>
      </c>
      <c r="F1174" s="1364">
        <f>+IF(ISBLANK(REPORTS!G983),"",REPORTS!G983)</f>
        <v>498.55296052646719</v>
      </c>
      <c r="G1174" s="1364">
        <f>+IF(ISBLANK(REPORTS!H983),"",REPORTS!H983)</f>
        <v>7196.7264766245808</v>
      </c>
      <c r="H1174" s="1374">
        <f>+IF(ISBLANK(REPORTS!I983),"",REPORTS!I983)</f>
        <v>0.93521314403222733</v>
      </c>
    </row>
    <row r="1175" spans="1:8">
      <c r="A1175" s="1751">
        <v>117</v>
      </c>
      <c r="B1175" s="1393">
        <v>89</v>
      </c>
      <c r="C1175" s="1324" t="s">
        <v>5240</v>
      </c>
      <c r="D1175" s="1324" t="s">
        <v>4067</v>
      </c>
      <c r="E1175" s="1364">
        <f>+IF(ISBLANK(REPORTS!F984),"",REPORTS!F984)</f>
        <v>37791.254617096231</v>
      </c>
      <c r="F1175" s="1364">
        <f>+IF(ISBLANK(REPORTS!G984),"",REPORTS!G984)</f>
        <v>0</v>
      </c>
      <c r="G1175" s="1364">
        <f>+IF(ISBLANK(REPORTS!H984),"",REPORTS!H984)</f>
        <v>37791.254617096231</v>
      </c>
      <c r="H1175" s="1374">
        <f>+IF(ISBLANK(REPORTS!I984),"",REPORTS!I984)</f>
        <v>1</v>
      </c>
    </row>
    <row r="1176" spans="1:8">
      <c r="A1176" s="1751">
        <v>105</v>
      </c>
      <c r="B1176" s="1393">
        <v>90</v>
      </c>
      <c r="C1176" s="1324" t="s">
        <v>5241</v>
      </c>
      <c r="D1176" s="1324" t="s">
        <v>4067</v>
      </c>
      <c r="E1176" s="1364">
        <f>+IF(ISBLANK(REPORTS!F985),"",REPORTS!F985)</f>
        <v>6519.2699460607055</v>
      </c>
      <c r="F1176" s="1364">
        <f>+IF(ISBLANK(REPORTS!G985),"",REPORTS!G985)</f>
        <v>0</v>
      </c>
      <c r="G1176" s="1364">
        <f>+IF(ISBLANK(REPORTS!H985),"",REPORTS!H985)</f>
        <v>6519.2699460607055</v>
      </c>
      <c r="H1176" s="1374">
        <f>+IF(ISBLANK(REPORTS!I985),"",REPORTS!I985)</f>
        <v>1</v>
      </c>
    </row>
    <row r="1177" spans="1:8">
      <c r="A1177" s="1751">
        <v>106</v>
      </c>
      <c r="B1177" s="1393">
        <v>91</v>
      </c>
      <c r="C1177" s="1324" t="s">
        <v>5242</v>
      </c>
      <c r="D1177" s="1324" t="s">
        <v>4071</v>
      </c>
      <c r="E1177" s="1364">
        <f>+IF(ISBLANK(REPORTS!F986),"",REPORTS!F986)</f>
        <v>24224.606503181003</v>
      </c>
      <c r="F1177" s="1364">
        <f>+IF(ISBLANK(REPORTS!G986),"",REPORTS!G986)</f>
        <v>0</v>
      </c>
      <c r="G1177" s="1364">
        <f>+IF(ISBLANK(REPORTS!H986),"",REPORTS!H986)</f>
        <v>24224.606503181003</v>
      </c>
      <c r="H1177" s="1374">
        <f>+IF(ISBLANK(REPORTS!I986),"",REPORTS!I986)</f>
        <v>1</v>
      </c>
    </row>
    <row r="1178" spans="1:8">
      <c r="A1178" s="1751">
        <v>907</v>
      </c>
      <c r="B1178" s="1393">
        <v>92</v>
      </c>
      <c r="C1178" s="1324" t="s">
        <v>5244</v>
      </c>
      <c r="D1178" s="1324" t="s">
        <v>4071</v>
      </c>
      <c r="E1178" s="1364">
        <f>+IF(ISBLANK(REPORTS!F987),"",REPORTS!F987)</f>
        <v>32812.795362930985</v>
      </c>
      <c r="F1178" s="1364">
        <f>+IF(ISBLANK(REPORTS!G987),"",REPORTS!G987)</f>
        <v>0</v>
      </c>
      <c r="G1178" s="1364">
        <f>+IF(ISBLANK(REPORTS!H987),"",REPORTS!H987)</f>
        <v>32812.795362930985</v>
      </c>
      <c r="H1178" s="1374">
        <f>+IF(ISBLANK(REPORTS!I987),"",REPORTS!I987)</f>
        <v>1</v>
      </c>
    </row>
    <row r="1179" spans="1:8">
      <c r="A1179" s="1751">
        <v>412</v>
      </c>
      <c r="B1179" s="1393">
        <v>93</v>
      </c>
      <c r="C1179" s="1324" t="s">
        <v>5652</v>
      </c>
      <c r="D1179" s="1324"/>
      <c r="E1179" s="1421">
        <f>+IF(ISBLANK(REPORTS!F988),"",REPORTS!F988)</f>
        <v>119263.13193999999</v>
      </c>
      <c r="F1179" s="1421">
        <f>+IF(ISBLANK(REPORTS!G988),"",REPORTS!G988)</f>
        <v>675.87720033970606</v>
      </c>
      <c r="G1179" s="1421">
        <f>+IF(ISBLANK(REPORTS!H988),"",REPORTS!H988)</f>
        <v>118587.25473966027</v>
      </c>
      <c r="H1179" s="1374">
        <f>+IF(ISBLANK(REPORTS!I988),"",REPORTS!I988)</f>
        <v>0.99433289073206843</v>
      </c>
    </row>
    <row r="1180" spans="1:8">
      <c r="A1180" s="1752"/>
      <c r="B1180" s="1393">
        <v>94</v>
      </c>
      <c r="C1180" s="1324"/>
      <c r="D1180" s="1324"/>
      <c r="E1180" s="1324" t="str">
        <f>+IF(ISBLANK(REPORTS!F989),"",REPORTS!F989)</f>
        <v/>
      </c>
      <c r="F1180" s="1324" t="str">
        <f>+IF(ISBLANK(REPORTS!G989),"",REPORTS!G989)</f>
        <v/>
      </c>
      <c r="G1180" s="1324" t="str">
        <f>+IF(ISBLANK(REPORTS!H989),"",REPORTS!H989)</f>
        <v/>
      </c>
      <c r="H1180" s="1374" t="str">
        <f>+IF(ISBLANK(REPORTS!I989),"",REPORTS!I989)</f>
        <v/>
      </c>
    </row>
    <row r="1181" spans="1:8">
      <c r="A1181" s="1752"/>
      <c r="B1181" s="1393">
        <v>95</v>
      </c>
      <c r="C1181" s="1362" t="s">
        <v>5654</v>
      </c>
      <c r="D1181" s="1324"/>
      <c r="E1181" s="1324" t="str">
        <f>+IF(ISBLANK(REPORTS!F990),"",REPORTS!F990)</f>
        <v/>
      </c>
      <c r="F1181" s="1324" t="str">
        <f>+IF(ISBLANK(REPORTS!G990),"",REPORTS!G990)</f>
        <v/>
      </c>
      <c r="G1181" s="1324" t="str">
        <f>+IF(ISBLANK(REPORTS!H990),"",REPORTS!H990)</f>
        <v/>
      </c>
      <c r="H1181" s="1374" t="str">
        <f>+IF(ISBLANK(REPORTS!I990),"",REPORTS!I990)</f>
        <v/>
      </c>
    </row>
    <row r="1182" spans="1:8">
      <c r="A1182" s="1752"/>
      <c r="B1182" s="1393">
        <v>96</v>
      </c>
      <c r="C1182" s="1324" t="s">
        <v>5265</v>
      </c>
      <c r="D1182" s="1324" t="s">
        <v>4067</v>
      </c>
      <c r="E1182" s="1364">
        <f>+IF(ISBLANK(REPORTS!F991),"",REPORTS!F991)</f>
        <v>402515.95441074861</v>
      </c>
      <c r="F1182" s="1364">
        <f>+IF(ISBLANK(REPORTS!G991),"",REPORTS!G991)</f>
        <v>0</v>
      </c>
      <c r="G1182" s="1364">
        <f>+IF(ISBLANK(REPORTS!H991),"",REPORTS!H991)</f>
        <v>402515.95441074861</v>
      </c>
      <c r="H1182" s="1374">
        <f>+IF(ISBLANK(REPORTS!I991),"",REPORTS!I991)</f>
        <v>1</v>
      </c>
    </row>
    <row r="1183" spans="1:8">
      <c r="A1183" s="1751">
        <v>101</v>
      </c>
      <c r="B1183" s="1393">
        <v>97</v>
      </c>
      <c r="C1183" s="1324" t="s">
        <v>5458</v>
      </c>
      <c r="D1183" s="1324" t="s">
        <v>4067</v>
      </c>
      <c r="E1183" s="1364">
        <f>+IF(ISBLANK(REPORTS!F992),"",REPORTS!F992)</f>
        <v>4620.0860300000004</v>
      </c>
      <c r="F1183" s="1364">
        <f>+IF(ISBLANK(REPORTS!G992),"",REPORTS!G992)</f>
        <v>0</v>
      </c>
      <c r="G1183" s="1364">
        <f>+IF(ISBLANK(REPORTS!H992),"",REPORTS!H992)</f>
        <v>4620.0860300000004</v>
      </c>
      <c r="H1183" s="1374">
        <f>+IF(ISBLANK(REPORTS!I992),"",REPORTS!I992)</f>
        <v>1</v>
      </c>
    </row>
    <row r="1184" spans="1:8">
      <c r="A1184" s="1751">
        <v>201</v>
      </c>
      <c r="B1184" s="1393">
        <v>98</v>
      </c>
      <c r="C1184" s="1324" t="s">
        <v>5265</v>
      </c>
      <c r="D1184" s="1324" t="s">
        <v>2067</v>
      </c>
      <c r="E1184" s="1364">
        <f>+IF(ISBLANK(REPORTS!F993),"",REPORTS!F993)</f>
        <v>102739.773617499</v>
      </c>
      <c r="F1184" s="1364">
        <f>+IF(ISBLANK(REPORTS!G993),"",REPORTS!G993)</f>
        <v>0</v>
      </c>
      <c r="G1184" s="1364">
        <f>+IF(ISBLANK(REPORTS!H993),"",REPORTS!H993)</f>
        <v>102739.773617499</v>
      </c>
      <c r="H1184" s="1374">
        <f>+IF(ISBLANK(REPORTS!I993),"",REPORTS!I993)</f>
        <v>1</v>
      </c>
    </row>
    <row r="1185" spans="1:8">
      <c r="A1185" s="1751">
        <v>117</v>
      </c>
      <c r="B1185" s="1393">
        <v>99</v>
      </c>
      <c r="C1185" s="1324" t="s">
        <v>5268</v>
      </c>
      <c r="D1185" s="1324" t="s">
        <v>4067</v>
      </c>
      <c r="E1185" s="1364">
        <f>+IF(ISBLANK(REPORTS!F994),"",REPORTS!F994)</f>
        <v>16490.11411829697</v>
      </c>
      <c r="F1185" s="1364">
        <f>+IF(ISBLANK(REPORTS!G994),"",REPORTS!G994)</f>
        <v>1068.3426482742393</v>
      </c>
      <c r="G1185" s="1364">
        <f>+IF(ISBLANK(REPORTS!H994),"",REPORTS!H994)</f>
        <v>15421.77147002273</v>
      </c>
      <c r="H1185" s="1374">
        <f>+IF(ISBLANK(REPORTS!I994),"",REPORTS!I994)</f>
        <v>0.93521314403222733</v>
      </c>
    </row>
    <row r="1186" spans="1:8">
      <c r="A1186" s="1751">
        <v>117</v>
      </c>
      <c r="B1186" s="1393">
        <v>100</v>
      </c>
      <c r="C1186" s="1324" t="s">
        <v>5239</v>
      </c>
      <c r="D1186" s="1324" t="s">
        <v>4067</v>
      </c>
      <c r="E1186" s="1364">
        <f>+IF(ISBLANK(REPORTS!F995),"",REPORTS!F995)</f>
        <v>46362.50081632923</v>
      </c>
      <c r="F1186" s="1364">
        <f>+IF(ISBLANK(REPORTS!G995),"",REPORTS!G995)</f>
        <v>3003.6806626932616</v>
      </c>
      <c r="G1186" s="1364">
        <f>+IF(ISBLANK(REPORTS!H995),"",REPORTS!H995)</f>
        <v>43358.820153635963</v>
      </c>
      <c r="H1186" s="1374">
        <f>+IF(ISBLANK(REPORTS!I995),"",REPORTS!I995)</f>
        <v>0.93521314403222733</v>
      </c>
    </row>
    <row r="1187" spans="1:8">
      <c r="A1187" s="1751">
        <v>105</v>
      </c>
      <c r="B1187" s="1393">
        <v>101</v>
      </c>
      <c r="C1187" s="1324" t="s">
        <v>5240</v>
      </c>
      <c r="D1187" s="1324" t="s">
        <v>4067</v>
      </c>
      <c r="E1187" s="1364">
        <f>+IF(ISBLANK(REPORTS!F996),"",REPORTS!F996)</f>
        <v>234844.84106218806</v>
      </c>
      <c r="F1187" s="1364">
        <f>+IF(ISBLANK(REPORTS!G996),"",REPORTS!G996)</f>
        <v>0</v>
      </c>
      <c r="G1187" s="1364">
        <f>+IF(ISBLANK(REPORTS!H996),"",REPORTS!H996)</f>
        <v>234844.84106218806</v>
      </c>
      <c r="H1187" s="1374">
        <f>+IF(ISBLANK(REPORTS!I996),"",REPORTS!I996)</f>
        <v>1</v>
      </c>
    </row>
    <row r="1188" spans="1:8">
      <c r="A1188" s="1751">
        <v>106</v>
      </c>
      <c r="B1188" s="1393">
        <v>102</v>
      </c>
      <c r="C1188" s="1324" t="s">
        <v>5241</v>
      </c>
      <c r="D1188" s="1324" t="s">
        <v>4067</v>
      </c>
      <c r="E1188" s="1364">
        <f>+IF(ISBLANK(REPORTS!F997),"",REPORTS!F997)</f>
        <v>39277.281697779275</v>
      </c>
      <c r="F1188" s="1364">
        <f>+IF(ISBLANK(REPORTS!G997),"",REPORTS!G997)</f>
        <v>0</v>
      </c>
      <c r="G1188" s="1364">
        <f>+IF(ISBLANK(REPORTS!H997),"",REPORTS!H997)</f>
        <v>39277.281697779275</v>
      </c>
      <c r="H1188" s="1374">
        <f>+IF(ISBLANK(REPORTS!I997),"",REPORTS!I997)</f>
        <v>1</v>
      </c>
    </row>
    <row r="1189" spans="1:8">
      <c r="A1189" s="1751">
        <v>907</v>
      </c>
      <c r="B1189" s="1393">
        <v>103</v>
      </c>
      <c r="C1189" s="1324" t="s">
        <v>5242</v>
      </c>
      <c r="D1189" s="1324" t="s">
        <v>4071</v>
      </c>
      <c r="E1189" s="1364">
        <f>+IF(ISBLANK(REPORTS!F998),"",REPORTS!F998)</f>
        <v>145948.3502778144</v>
      </c>
      <c r="F1189" s="1364">
        <f>+IF(ISBLANK(REPORTS!G998),"",REPORTS!G998)</f>
        <v>0</v>
      </c>
      <c r="G1189" s="1364">
        <f>+IF(ISBLANK(REPORTS!H998),"",REPORTS!H998)</f>
        <v>145948.3502778144</v>
      </c>
      <c r="H1189" s="1374">
        <f>+IF(ISBLANK(REPORTS!I998),"",REPORTS!I998)</f>
        <v>1</v>
      </c>
    </row>
    <row r="1190" spans="1:8">
      <c r="A1190" s="1751">
        <v>412</v>
      </c>
      <c r="B1190" s="1393">
        <v>104</v>
      </c>
      <c r="C1190" s="1324" t="s">
        <v>5244</v>
      </c>
      <c r="D1190" s="1324" t="s">
        <v>4071</v>
      </c>
      <c r="E1190" s="1364">
        <f>+IF(ISBLANK(REPORTS!F999),"",REPORTS!F999)</f>
        <v>197959.63711934417</v>
      </c>
      <c r="F1190" s="1364">
        <f>+IF(ISBLANK(REPORTS!G999),"",REPORTS!G999)</f>
        <v>0</v>
      </c>
      <c r="G1190" s="1364">
        <f>+IF(ISBLANK(REPORTS!H999),"",REPORTS!H999)</f>
        <v>197959.63711934417</v>
      </c>
      <c r="H1190" s="1374">
        <f>+IF(ISBLANK(REPORTS!I999),"",REPORTS!I999)</f>
        <v>1</v>
      </c>
    </row>
    <row r="1191" spans="1:8">
      <c r="A1191" s="1752"/>
      <c r="B1191" s="1393">
        <v>105</v>
      </c>
      <c r="C1191" s="1324" t="s">
        <v>5655</v>
      </c>
      <c r="D1191" s="1324"/>
      <c r="E1191" s="1421">
        <f>+IF(ISBLANK(REPORTS!F1000),"",REPORTS!F1000)</f>
        <v>1190758.5391499999</v>
      </c>
      <c r="F1191" s="1421">
        <f>+IF(ISBLANK(REPORTS!G1000),"",REPORTS!G1000)</f>
        <v>4072.0233109675009</v>
      </c>
      <c r="G1191" s="1421">
        <f>+IF(ISBLANK(REPORTS!H1000),"",REPORTS!H1000)</f>
        <v>1186686.5158390321</v>
      </c>
      <c r="H1191" s="1374">
        <f>+IF(ISBLANK(REPORTS!I1000),"",REPORTS!I1000)</f>
        <v>0.99658031147618353</v>
      </c>
    </row>
    <row r="1192" spans="1:8">
      <c r="A1192" s="1752"/>
      <c r="B1192" s="1393">
        <v>106</v>
      </c>
      <c r="C1192" s="1324"/>
      <c r="D1192" s="1324"/>
      <c r="E1192" s="1364" t="str">
        <f>+IF(ISBLANK(REPORTS!F1001),"",REPORTS!F1001)</f>
        <v/>
      </c>
      <c r="F1192" s="1364" t="str">
        <f>+IF(ISBLANK(REPORTS!G1001),"",REPORTS!G1001)</f>
        <v/>
      </c>
      <c r="G1192" s="1364" t="str">
        <f>+IF(ISBLANK(REPORTS!H1001),"",REPORTS!H1001)</f>
        <v/>
      </c>
      <c r="H1192" s="1374" t="str">
        <f>+IF(ISBLANK(REPORTS!I1001),"",REPORTS!I1001)</f>
        <v/>
      </c>
    </row>
    <row r="1193" spans="1:8">
      <c r="A1193" s="1752"/>
      <c r="B1193" s="1393">
        <v>107</v>
      </c>
      <c r="C1193" s="1362" t="s">
        <v>5657</v>
      </c>
      <c r="D1193" s="1324"/>
      <c r="E1193" s="1364" t="str">
        <f>+IF(ISBLANK(REPORTS!F1002),"",REPORTS!F1002)</f>
        <v/>
      </c>
      <c r="F1193" s="1364" t="str">
        <f>+IF(ISBLANK(REPORTS!G1002),"",REPORTS!G1002)</f>
        <v/>
      </c>
      <c r="G1193" s="1364" t="str">
        <f>+IF(ISBLANK(REPORTS!H1002),"",REPORTS!H1002)</f>
        <v/>
      </c>
      <c r="H1193" s="1374" t="str">
        <f>+IF(ISBLANK(REPORTS!I1002),"",REPORTS!I1002)</f>
        <v/>
      </c>
    </row>
    <row r="1194" spans="1:8">
      <c r="A1194" s="1751">
        <v>101</v>
      </c>
      <c r="B1194" s="1393">
        <v>108</v>
      </c>
      <c r="C1194" s="1324" t="s">
        <v>5265</v>
      </c>
      <c r="D1194" s="1324" t="s">
        <v>4067</v>
      </c>
      <c r="E1194" s="1421">
        <f>+IF(ISBLANK(REPORTS!F1003),"",REPORTS!F1003)</f>
        <v>-5.1984228193759919E-6</v>
      </c>
      <c r="F1194" s="1421">
        <f>+IF(ISBLANK(REPORTS!G1003),"",REPORTS!G1003)</f>
        <v>0</v>
      </c>
      <c r="G1194" s="1421">
        <f>+IF(ISBLANK(REPORTS!H1003),"",REPORTS!H1003)</f>
        <v>-5.1984228193759919E-6</v>
      </c>
      <c r="H1194" s="1440">
        <f>+IF(ISBLANK(REPORTS!I1003),"",REPORTS!I1003)</f>
        <v>1</v>
      </c>
    </row>
    <row r="1195" spans="1:8">
      <c r="A1195" s="1751">
        <v>101</v>
      </c>
      <c r="B1195" s="1393">
        <v>109</v>
      </c>
      <c r="C1195" s="1324"/>
      <c r="D1195" s="1324"/>
      <c r="E1195" s="1364" t="str">
        <f>+IF(ISBLANK(REPORTS!F1004),"",REPORTS!F1004)</f>
        <v/>
      </c>
      <c r="F1195" s="1364" t="str">
        <f>+IF(ISBLANK(REPORTS!G1004),"",REPORTS!G1004)</f>
        <v/>
      </c>
      <c r="G1195" s="1364" t="str">
        <f>+IF(ISBLANK(REPORTS!H1004),"",REPORTS!H1004)</f>
        <v/>
      </c>
      <c r="H1195" s="1374" t="str">
        <f>+IF(ISBLANK(REPORTS!I1004),"",REPORTS!I1004)</f>
        <v/>
      </c>
    </row>
    <row r="1196" spans="1:8">
      <c r="A1196" s="1751">
        <v>201</v>
      </c>
      <c r="B1196" s="1393">
        <v>110</v>
      </c>
      <c r="C1196" s="1362" t="s">
        <v>5658</v>
      </c>
      <c r="D1196" s="1324"/>
      <c r="E1196" s="1324" t="str">
        <f>+IF(ISBLANK(REPORTS!F1005),"",REPORTS!F1005)</f>
        <v/>
      </c>
      <c r="F1196" s="1324" t="str">
        <f>+IF(ISBLANK(REPORTS!G1005),"",REPORTS!G1005)</f>
        <v/>
      </c>
      <c r="G1196" s="1324" t="str">
        <f>+IF(ISBLANK(REPORTS!H1005),"",REPORTS!H1005)</f>
        <v/>
      </c>
      <c r="H1196" s="1374" t="str">
        <f>+IF(ISBLANK(REPORTS!I1005),"",REPORTS!I1005)</f>
        <v/>
      </c>
    </row>
    <row r="1197" spans="1:8">
      <c r="A1197" s="1751">
        <v>117</v>
      </c>
      <c r="B1197" s="1393">
        <v>111</v>
      </c>
      <c r="C1197" s="1324" t="s">
        <v>5265</v>
      </c>
      <c r="D1197" s="1324" t="s">
        <v>4067</v>
      </c>
      <c r="E1197" s="1324">
        <f>+IF(ISBLANK(REPORTS!F1006),"",REPORTS!F1006)</f>
        <v>7199153.5139943594</v>
      </c>
      <c r="F1197" s="1324">
        <f>+IF(ISBLANK(REPORTS!G1006),"",REPORTS!G1006)</f>
        <v>0</v>
      </c>
      <c r="G1197" s="1324">
        <f>+IF(ISBLANK(REPORTS!H1006),"",REPORTS!H1006)</f>
        <v>7199153.5139943594</v>
      </c>
      <c r="H1197" s="1374">
        <f>+IF(ISBLANK(REPORTS!I1006),"",REPORTS!I1006)</f>
        <v>1</v>
      </c>
    </row>
    <row r="1198" spans="1:8">
      <c r="A1198" s="1751">
        <v>117</v>
      </c>
      <c r="B1198" s="1393">
        <v>112</v>
      </c>
      <c r="C1198" s="1324" t="s">
        <v>5265</v>
      </c>
      <c r="D1198" s="1324" t="s">
        <v>2067</v>
      </c>
      <c r="E1198" s="1364">
        <f>+IF(ISBLANK(REPORTS!F1007),"",REPORTS!F1007)</f>
        <v>680548.35013101739</v>
      </c>
      <c r="F1198" s="1364">
        <f>+IF(ISBLANK(REPORTS!G1007),"",REPORTS!G1007)</f>
        <v>0</v>
      </c>
      <c r="G1198" s="1364">
        <f>+IF(ISBLANK(REPORTS!H1007),"",REPORTS!H1007)</f>
        <v>680548.35013101739</v>
      </c>
      <c r="H1198" s="1374">
        <f>+IF(ISBLANK(REPORTS!I1007),"",REPORTS!I1007)</f>
        <v>1</v>
      </c>
    </row>
    <row r="1199" spans="1:8">
      <c r="A1199" s="1751">
        <v>105</v>
      </c>
      <c r="B1199" s="1393">
        <v>113</v>
      </c>
      <c r="C1199" s="1324" t="s">
        <v>5268</v>
      </c>
      <c r="D1199" s="1324" t="s">
        <v>4067</v>
      </c>
      <c r="E1199" s="1364">
        <f>+IF(ISBLANK(REPORTS!F1008),"",REPORTS!F1008)</f>
        <v>559079.92351655953</v>
      </c>
      <c r="F1199" s="1364">
        <f>+IF(ISBLANK(REPORTS!G1008),"",REPORTS!G1008)</f>
        <v>36221.030479340669</v>
      </c>
      <c r="G1199" s="1364">
        <f>+IF(ISBLANK(REPORTS!H1008),"",REPORTS!H1008)</f>
        <v>522858.89303721883</v>
      </c>
      <c r="H1199" s="1374">
        <f>+IF(ISBLANK(REPORTS!I1008),"",REPORTS!I1008)</f>
        <v>0.93521314403222733</v>
      </c>
    </row>
    <row r="1200" spans="1:8">
      <c r="A1200" s="1751">
        <v>106</v>
      </c>
      <c r="B1200" s="1393">
        <v>114</v>
      </c>
      <c r="C1200" s="1324" t="s">
        <v>5239</v>
      </c>
      <c r="D1200" s="1324" t="s">
        <v>4067</v>
      </c>
      <c r="E1200" s="1364">
        <f>+IF(ISBLANK(REPORTS!F1009),"",REPORTS!F1009)</f>
        <v>583616.65599674068</v>
      </c>
      <c r="F1200" s="1364">
        <f>+IF(ISBLANK(REPORTS!G1009),"",REPORTS!G1009)</f>
        <v>37810.688232453918</v>
      </c>
      <c r="G1200" s="1364">
        <f>+IF(ISBLANK(REPORTS!H1009),"",REPORTS!H1009)</f>
        <v>545805.96776428656</v>
      </c>
      <c r="H1200" s="1374">
        <f>+IF(ISBLANK(REPORTS!I1009),"",REPORTS!I1009)</f>
        <v>0.93521314403222711</v>
      </c>
    </row>
    <row r="1201" spans="1:8">
      <c r="A1201" s="1751">
        <v>907</v>
      </c>
      <c r="B1201" s="1393">
        <v>115</v>
      </c>
      <c r="C1201" s="1324" t="s">
        <v>5240</v>
      </c>
      <c r="D1201" s="1324" t="s">
        <v>4067</v>
      </c>
      <c r="E1201" s="1364">
        <f>+IF(ISBLANK(REPORTS!F1010),"",REPORTS!F1010)</f>
        <v>2138740.1301561045</v>
      </c>
      <c r="F1201" s="1364">
        <f>+IF(ISBLANK(REPORTS!G1010),"",REPORTS!G1010)</f>
        <v>0</v>
      </c>
      <c r="G1201" s="1364">
        <f>+IF(ISBLANK(REPORTS!H1010),"",REPORTS!H1010)</f>
        <v>2138740.1301561045</v>
      </c>
      <c r="H1201" s="1374">
        <f>+IF(ISBLANK(REPORTS!I1010),"",REPORTS!I1010)</f>
        <v>1</v>
      </c>
    </row>
    <row r="1202" spans="1:8">
      <c r="A1202" s="1751">
        <v>412</v>
      </c>
      <c r="B1202" s="1393">
        <v>116</v>
      </c>
      <c r="C1202" s="1324" t="s">
        <v>5241</v>
      </c>
      <c r="D1202" s="1324" t="s">
        <v>4067</v>
      </c>
      <c r="E1202" s="1364">
        <f>+IF(ISBLANK(REPORTS!F1011),"",REPORTS!F1011)</f>
        <v>1074798.1721466575</v>
      </c>
      <c r="F1202" s="1364">
        <f>+IF(ISBLANK(REPORTS!G1011),"",REPORTS!G1011)</f>
        <v>0</v>
      </c>
      <c r="G1202" s="1364">
        <f>+IF(ISBLANK(REPORTS!H1011),"",REPORTS!H1011)</f>
        <v>1074798.1721466575</v>
      </c>
      <c r="H1202" s="1374">
        <f>+IF(ISBLANK(REPORTS!I1011),"",REPORTS!I1011)</f>
        <v>1</v>
      </c>
    </row>
    <row r="1203" spans="1:8">
      <c r="A1203" s="1752"/>
      <c r="B1203" s="1393">
        <v>117</v>
      </c>
      <c r="C1203" s="1324" t="s">
        <v>5242</v>
      </c>
      <c r="D1203" s="1324" t="s">
        <v>4071</v>
      </c>
      <c r="E1203" s="1364">
        <f>+IF(ISBLANK(REPORTS!F1012),"",REPORTS!F1012)</f>
        <v>1011029.5953512132</v>
      </c>
      <c r="F1203" s="1364">
        <f>+IF(ISBLANK(REPORTS!G1012),"",REPORTS!G1012)</f>
        <v>0</v>
      </c>
      <c r="G1203" s="1364">
        <f>+IF(ISBLANK(REPORTS!H1012),"",REPORTS!H1012)</f>
        <v>1011029.5953512132</v>
      </c>
      <c r="H1203" s="1374">
        <f>+IF(ISBLANK(REPORTS!I1012),"",REPORTS!I1012)</f>
        <v>1</v>
      </c>
    </row>
    <row r="1204" spans="1:8">
      <c r="A1204" s="1752"/>
      <c r="B1204" s="1393">
        <v>118</v>
      </c>
      <c r="C1204" s="1324" t="s">
        <v>5244</v>
      </c>
      <c r="D1204" s="1324" t="s">
        <v>4071</v>
      </c>
      <c r="E1204" s="1366">
        <f>+IF(ISBLANK(REPORTS!F1013),"",REPORTS!F1013)</f>
        <v>245143.87349825987</v>
      </c>
      <c r="F1204" s="1366">
        <f>+IF(ISBLANK(REPORTS!G1013),"",REPORTS!G1013)</f>
        <v>0</v>
      </c>
      <c r="G1204" s="1366">
        <f>+IF(ISBLANK(REPORTS!H1013),"",REPORTS!H1013)</f>
        <v>245143.87349825987</v>
      </c>
      <c r="H1204" s="1374">
        <f>+IF(ISBLANK(REPORTS!I1013),"",REPORTS!I1013)</f>
        <v>1</v>
      </c>
    </row>
    <row r="1205" spans="1:8">
      <c r="A1205" s="1752"/>
      <c r="B1205" s="1393">
        <v>119</v>
      </c>
      <c r="C1205" s="1324"/>
      <c r="D1205" s="1324"/>
      <c r="E1205" s="1364" t="str">
        <f>+IF(ISBLANK(REPORTS!F1014),"",REPORTS!F1014)</f>
        <v/>
      </c>
      <c r="F1205" s="1364" t="str">
        <f>+IF(ISBLANK(REPORTS!G1014),"",REPORTS!G1014)</f>
        <v/>
      </c>
      <c r="G1205" s="1364" t="str">
        <f>+IF(ISBLANK(REPORTS!H1014),"",REPORTS!H1014)</f>
        <v/>
      </c>
      <c r="H1205" s="1374" t="str">
        <f>+IF(ISBLANK(REPORTS!I1014),"",REPORTS!I1014)</f>
        <v/>
      </c>
    </row>
    <row r="1206" spans="1:8" ht="15" thickBot="1">
      <c r="A1206" s="1751">
        <v>101</v>
      </c>
      <c r="B1206" s="1393">
        <v>120</v>
      </c>
      <c r="C1206" s="1324" t="s">
        <v>5667</v>
      </c>
      <c r="D1206" s="1324"/>
      <c r="E1206" s="1380">
        <f>+IF(ISBLANK(REPORTS!F1015),"",REPORTS!F1015)</f>
        <v>13492110.214790912</v>
      </c>
      <c r="F1206" s="1380">
        <f>+IF(ISBLANK(REPORTS!G1015),"",REPORTS!G1015)</f>
        <v>74031.718711794587</v>
      </c>
      <c r="G1206" s="1380">
        <f>+IF(ISBLANK(REPORTS!H1015),"",REPORTS!H1015)</f>
        <v>13418078.496079115</v>
      </c>
      <c r="H1206" s="1374">
        <f>+IF(ISBLANK(REPORTS!I1015),"",REPORTS!I1015)</f>
        <v>0.99451296220285546</v>
      </c>
    </row>
    <row r="1207" spans="1:8" ht="15" thickTop="1">
      <c r="A1207" s="1752"/>
    </row>
    <row r="1208" spans="1:8">
      <c r="A1208" s="1752"/>
      <c r="B1208" s="1416" t="str">
        <f>+$B$1</f>
        <v>RATES WITH REVENUE DEFICIENCY ADDITION</v>
      </c>
      <c r="C1208" s="1324"/>
      <c r="D1208" s="1324"/>
      <c r="E1208" s="1336"/>
      <c r="F1208" s="1329" t="s">
        <v>2173</v>
      </c>
      <c r="G1208" s="1324"/>
      <c r="H1208" s="1334" t="s">
        <v>5680</v>
      </c>
    </row>
    <row r="1209" spans="1:8">
      <c r="A1209" s="1752"/>
      <c r="B1209" s="1416" t="str">
        <f>+$B$2</f>
        <v xml:space="preserve">PROD. CAP. ALLOC. METHOD: 12 CP </v>
      </c>
      <c r="C1209" s="1324"/>
      <c r="D1209" s="1324"/>
      <c r="E1209" s="1324"/>
      <c r="F1209" s="1336" t="s">
        <v>4768</v>
      </c>
      <c r="G1209" s="1324"/>
      <c r="H1209" s="1731" t="s">
        <v>4306</v>
      </c>
    </row>
    <row r="1210" spans="1:8">
      <c r="A1210" s="1752"/>
      <c r="B1210" s="1416" t="str">
        <f>+$B$3</f>
        <v>PROJECTED CALENDAR YEAR 2025; FULLY ADJUSTED DATA</v>
      </c>
      <c r="C1210" s="1324"/>
      <c r="D1210" s="1324"/>
      <c r="E1210" s="1324"/>
      <c r="F1210" s="1336" t="s">
        <v>2181</v>
      </c>
      <c r="G1210" s="1324"/>
      <c r="H1210" s="1374"/>
    </row>
    <row r="1211" spans="1:8">
      <c r="A1211" s="1752"/>
      <c r="B1211" s="1732">
        <f>+$B$4</f>
        <v>0</v>
      </c>
      <c r="C1211" s="1364"/>
      <c r="D1211" s="1324"/>
      <c r="E1211" s="1324"/>
      <c r="F1211" s="1324"/>
      <c r="G1211" s="1324"/>
      <c r="H1211" s="1374"/>
    </row>
    <row r="1212" spans="1:8">
      <c r="A1212" s="1752"/>
      <c r="B1212" s="1732" t="str">
        <f>+$B$5</f>
        <v>Tampa Electric 2025 OB Budget</v>
      </c>
      <c r="C1212" s="1324"/>
      <c r="D1212" s="1324"/>
      <c r="E1212" s="1329"/>
      <c r="F1212" s="1336" t="s">
        <v>5670</v>
      </c>
      <c r="G1212" s="1324"/>
      <c r="H1212" s="1374"/>
    </row>
    <row r="1213" spans="1:8">
      <c r="A1213" s="1752"/>
      <c r="B1213" s="1393"/>
      <c r="C1213" s="1324"/>
      <c r="D1213" s="1324"/>
      <c r="E1213" s="1336"/>
      <c r="F1213" s="1324"/>
      <c r="G1213" s="1324"/>
      <c r="H1213" s="1374"/>
    </row>
    <row r="1214" spans="1:8">
      <c r="A1214" s="1752"/>
      <c r="B1214" s="1393"/>
      <c r="C1214" s="1324"/>
      <c r="D1214" s="1324"/>
      <c r="E1214" s="1336"/>
      <c r="F1214" s="1324"/>
      <c r="G1214" s="1324"/>
      <c r="H1214" s="1374"/>
    </row>
    <row r="1215" spans="1:8">
      <c r="A1215" s="1752"/>
      <c r="B1215" s="1393"/>
      <c r="C1215" s="1324"/>
      <c r="D1215" s="1324"/>
      <c r="E1215" s="1324"/>
      <c r="F1215" s="1324"/>
      <c r="G1215" s="1324"/>
      <c r="H1215" s="1374"/>
    </row>
    <row r="1216" spans="1:8">
      <c r="A1216" s="1752"/>
      <c r="B1216" s="1735"/>
      <c r="C1216" s="1416"/>
      <c r="D1216" s="1416"/>
      <c r="E1216" s="1336"/>
      <c r="F1216" s="1336"/>
      <c r="G1216" s="1336"/>
      <c r="H1216" s="1736"/>
    </row>
    <row r="1217" spans="1:8" ht="28.2">
      <c r="A1217" s="1752"/>
      <c r="B1217" s="1737" t="s">
        <v>4297</v>
      </c>
      <c r="C1217" s="1741"/>
      <c r="D1217" s="1741"/>
      <c r="E1217" s="1352" t="s">
        <v>5144</v>
      </c>
      <c r="F1217" s="1352" t="s">
        <v>4956</v>
      </c>
      <c r="G1217" s="1352" t="s">
        <v>4957</v>
      </c>
      <c r="H1217" s="1742" t="s">
        <v>5145</v>
      </c>
    </row>
    <row r="1218" spans="1:8">
      <c r="A1218" s="1751"/>
      <c r="B1218" s="1393"/>
      <c r="C1218" s="1324"/>
      <c r="D1218" s="1324"/>
      <c r="E1218" s="1324"/>
      <c r="F1218" s="1324"/>
      <c r="G1218" s="1324"/>
      <c r="H1218" s="1374"/>
    </row>
    <row r="1219" spans="1:8">
      <c r="A1219" s="1751"/>
      <c r="B1219" s="1393">
        <v>1</v>
      </c>
      <c r="C1219" s="1362" t="s">
        <v>5671</v>
      </c>
      <c r="D1219" s="1324"/>
      <c r="E1219" s="1324"/>
      <c r="F1219" s="1324"/>
      <c r="G1219" s="1324"/>
      <c r="H1219" s="1374"/>
    </row>
    <row r="1220" spans="1:8">
      <c r="A1220" s="1751"/>
      <c r="B1220" s="1393">
        <v>2</v>
      </c>
      <c r="C1220" s="1324" t="s">
        <v>5265</v>
      </c>
      <c r="D1220" s="1324" t="s">
        <v>4067</v>
      </c>
      <c r="E1220" s="1364">
        <f>+IF(ISBLANK(REPORTS!F1033),"",REPORTS!F1033)</f>
        <v>26353.446</v>
      </c>
      <c r="F1220" s="1364">
        <f>+IF(ISBLANK(REPORTS!G1033),"",REPORTS!G1033)</f>
        <v>0</v>
      </c>
      <c r="G1220" s="1364">
        <f>+IF(ISBLANK(REPORTS!H1033),"",REPORTS!H1033)</f>
        <v>26353.446</v>
      </c>
      <c r="H1220" s="1374" t="str">
        <f>+IF(ISBLANK(REPORTS!I1033),"",REPORTS!I1033)</f>
        <v/>
      </c>
    </row>
    <row r="1221" spans="1:8">
      <c r="A1221" s="1760"/>
      <c r="B1221" s="1393">
        <v>3</v>
      </c>
      <c r="C1221" s="1324" t="s">
        <v>5358</v>
      </c>
      <c r="D1221" s="1324" t="s">
        <v>4067</v>
      </c>
      <c r="E1221" s="1364">
        <f>+IF(ISBLANK(REPORTS!F1034),"",REPORTS!F1034)</f>
        <v>0</v>
      </c>
      <c r="F1221" s="1364">
        <f>+IF(ISBLANK(REPORTS!G1034),"",REPORTS!G1034)</f>
        <v>0</v>
      </c>
      <c r="G1221" s="1364">
        <f>+IF(ISBLANK(REPORTS!H1034),"",REPORTS!H1034)</f>
        <v>0</v>
      </c>
      <c r="H1221" s="1374" t="str">
        <f>+IF(ISBLANK(REPORTS!I1034),"",REPORTS!I1034)</f>
        <v/>
      </c>
    </row>
    <row r="1222" spans="1:8">
      <c r="A1222" s="1760"/>
      <c r="B1222" s="1393">
        <v>4</v>
      </c>
      <c r="C1222" s="1324" t="s">
        <v>5265</v>
      </c>
      <c r="D1222" s="1324" t="s">
        <v>2067</v>
      </c>
      <c r="E1222" s="1746">
        <f>+IF(ISBLANK(REPORTS!F1035),"",REPORTS!F1035)</f>
        <v>0</v>
      </c>
      <c r="F1222" s="1364">
        <f>+IF(ISBLANK(REPORTS!G1035),"",REPORTS!G1035)</f>
        <v>0</v>
      </c>
      <c r="G1222" s="1364">
        <f>+IF(ISBLANK(REPORTS!H1035),"",REPORTS!H1035)</f>
        <v>0</v>
      </c>
      <c r="H1222" s="1374" t="str">
        <f>+IF(ISBLANK(REPORTS!I1035),"",REPORTS!I1035)</f>
        <v/>
      </c>
    </row>
    <row r="1223" spans="1:8">
      <c r="A1223" s="1751"/>
      <c r="B1223" s="1393">
        <v>5</v>
      </c>
      <c r="C1223" s="1324" t="s">
        <v>5268</v>
      </c>
      <c r="D1223" s="1324" t="s">
        <v>4067</v>
      </c>
      <c r="E1223" s="1364">
        <f>+IF(ISBLANK(REPORTS!F1036),"",REPORTS!F1036)</f>
        <v>11373.125945033229</v>
      </c>
      <c r="F1223" s="1364">
        <f>+IF(ISBLANK(REPORTS!G1036),"",REPORTS!G1036)</f>
        <v>736.82907250420544</v>
      </c>
      <c r="G1223" s="1364">
        <f>+IF(ISBLANK(REPORTS!H1036),"",REPORTS!H1036)</f>
        <v>10636.296872529023</v>
      </c>
      <c r="H1223" s="1374" t="str">
        <f>+IF(ISBLANK(REPORTS!I1036),"",REPORTS!I1036)</f>
        <v/>
      </c>
    </row>
    <row r="1224" spans="1:8">
      <c r="A1224" s="1751"/>
      <c r="B1224" s="1393">
        <v>6</v>
      </c>
      <c r="C1224" s="1324" t="s">
        <v>5239</v>
      </c>
      <c r="D1224" s="1324" t="s">
        <v>4067</v>
      </c>
      <c r="E1224" s="1364">
        <f>+IF(ISBLANK(REPORTS!F1037),"",REPORTS!F1037)</f>
        <v>11177.485054966772</v>
      </c>
      <c r="F1224" s="1364">
        <f>+IF(ISBLANK(REPORTS!G1037),"",REPORTS!G1037)</f>
        <v>724.1541143380631</v>
      </c>
      <c r="G1224" s="1364">
        <f>+IF(ISBLANK(REPORTS!H1037),"",REPORTS!H1037)</f>
        <v>10453.330940628708</v>
      </c>
      <c r="H1224" s="1374" t="str">
        <f>+IF(ISBLANK(REPORTS!I1037),"",REPORTS!I1037)</f>
        <v/>
      </c>
    </row>
    <row r="1225" spans="1:8">
      <c r="A1225" s="1751"/>
      <c r="B1225" s="1393">
        <v>7</v>
      </c>
      <c r="C1225" s="1324" t="s">
        <v>5240</v>
      </c>
      <c r="D1225" s="1324" t="s">
        <v>4067</v>
      </c>
      <c r="E1225" s="1364">
        <f>+IF(ISBLANK(REPORTS!F1038),"",REPORTS!F1038)</f>
        <v>20590.486000000001</v>
      </c>
      <c r="F1225" s="1364">
        <f>+IF(ISBLANK(REPORTS!G1038),"",REPORTS!G1038)</f>
        <v>0</v>
      </c>
      <c r="G1225" s="1364">
        <f>+IF(ISBLANK(REPORTS!H1038),"",REPORTS!H1038)</f>
        <v>20590.486000000001</v>
      </c>
      <c r="H1225" s="1374" t="str">
        <f>+IF(ISBLANK(REPORTS!I1038),"",REPORTS!I1038)</f>
        <v/>
      </c>
    </row>
    <row r="1226" spans="1:8">
      <c r="A1226" s="1751"/>
      <c r="B1226" s="1393">
        <v>8</v>
      </c>
      <c r="C1226" s="1324" t="s">
        <v>5241</v>
      </c>
      <c r="D1226" s="1324" t="s">
        <v>4067</v>
      </c>
      <c r="E1226" s="1364">
        <f>+IF(ISBLANK(REPORTS!F1039),"",REPORTS!F1039)</f>
        <v>0</v>
      </c>
      <c r="F1226" s="1364">
        <f>+IF(ISBLANK(REPORTS!G1039),"",REPORTS!G1039)</f>
        <v>0</v>
      </c>
      <c r="G1226" s="1364">
        <f>+IF(ISBLANK(REPORTS!H1039),"",REPORTS!H1039)</f>
        <v>0</v>
      </c>
      <c r="H1226" s="1374" t="str">
        <f>+IF(ISBLANK(REPORTS!I1039),"",REPORTS!I1039)</f>
        <v/>
      </c>
    </row>
    <row r="1227" spans="1:8">
      <c r="A1227" s="1751"/>
      <c r="B1227" s="1393">
        <v>9</v>
      </c>
      <c r="C1227" s="1324" t="s">
        <v>5242</v>
      </c>
      <c r="D1227" s="1324" t="s">
        <v>4071</v>
      </c>
      <c r="E1227" s="1364">
        <f>+IF(ISBLANK(REPORTS!F1040),"",REPORTS!F1040)</f>
        <v>0</v>
      </c>
      <c r="F1227" s="1364">
        <f>+IF(ISBLANK(REPORTS!G1040),"",REPORTS!G1040)</f>
        <v>0</v>
      </c>
      <c r="G1227" s="1364">
        <f>+IF(ISBLANK(REPORTS!H1040),"",REPORTS!H1040)</f>
        <v>0</v>
      </c>
      <c r="H1227" s="1374" t="str">
        <f>+IF(ISBLANK(REPORTS!I1040),"",REPORTS!I1040)</f>
        <v/>
      </c>
    </row>
    <row r="1228" spans="1:8">
      <c r="A1228" s="1751"/>
      <c r="B1228" s="1393">
        <v>10</v>
      </c>
      <c r="C1228" s="1324" t="s">
        <v>5244</v>
      </c>
      <c r="D1228" s="1324" t="s">
        <v>4071</v>
      </c>
      <c r="E1228" s="1366">
        <f>+IF(ISBLANK(REPORTS!F1041),"",REPORTS!F1041)</f>
        <v>0</v>
      </c>
      <c r="F1228" s="1366">
        <f>+IF(ISBLANK(REPORTS!G1041),"",REPORTS!G1041)</f>
        <v>0</v>
      </c>
      <c r="G1228" s="1366">
        <f>+IF(ISBLANK(REPORTS!H1041),"",REPORTS!H1041)</f>
        <v>0</v>
      </c>
      <c r="H1228" s="1374" t="str">
        <f>+IF(ISBLANK(REPORTS!I1041),"",REPORTS!I1041)</f>
        <v/>
      </c>
    </row>
    <row r="1229" spans="1:8">
      <c r="A1229" s="1751"/>
      <c r="B1229" s="1393">
        <v>11</v>
      </c>
      <c r="C1229" s="1324"/>
      <c r="D1229" s="1324"/>
      <c r="E1229" s="1364" t="str">
        <f>+IF(ISBLANK(REPORTS!F1042),"",REPORTS!F1042)</f>
        <v/>
      </c>
      <c r="F1229" s="1364" t="str">
        <f>+IF(ISBLANK(REPORTS!G1042),"",REPORTS!G1042)</f>
        <v/>
      </c>
      <c r="G1229" s="1364" t="str">
        <f>+IF(ISBLANK(REPORTS!H1042),"",REPORTS!H1042)</f>
        <v/>
      </c>
      <c r="H1229" s="1374" t="str">
        <f>+IF(ISBLANK(REPORTS!I1042),"",REPORTS!I1042)</f>
        <v/>
      </c>
    </row>
    <row r="1230" spans="1:8" ht="28.8" thickBot="1">
      <c r="A1230" s="1753" t="s">
        <v>5143</v>
      </c>
      <c r="B1230" s="1393">
        <v>12</v>
      </c>
      <c r="C1230" s="1324" t="s">
        <v>5672</v>
      </c>
      <c r="D1230" s="1324"/>
      <c r="E1230" s="1380">
        <f>+IF(ISBLANK(REPORTS!F1043),"",REPORTS!F1043)</f>
        <v>69494.543000000005</v>
      </c>
      <c r="F1230" s="1380">
        <f>+IF(ISBLANK(REPORTS!G1043),"",REPORTS!G1043)</f>
        <v>1460.9831868422684</v>
      </c>
      <c r="G1230" s="1380">
        <f>+IF(ISBLANK(REPORTS!H1043),"",REPORTS!H1043)</f>
        <v>68033.559813157728</v>
      </c>
      <c r="H1230" s="1374" t="str">
        <f>+IF(ISBLANK(REPORTS!I1043),"",REPORTS!I1043)</f>
        <v/>
      </c>
    </row>
    <row r="1231" spans="1:8" ht="15" thickTop="1">
      <c r="A1231" s="1751"/>
    </row>
    <row r="1232" spans="1:8">
      <c r="A1232" s="1752"/>
    </row>
    <row r="1233" spans="1:8">
      <c r="A1233" s="1751">
        <v>101</v>
      </c>
    </row>
    <row r="1234" spans="1:8">
      <c r="A1234" s="1751">
        <v>101</v>
      </c>
    </row>
    <row r="1235" spans="1:8">
      <c r="A1235" s="1751">
        <v>101</v>
      </c>
    </row>
    <row r="1236" spans="1:8">
      <c r="A1236" s="1751">
        <v>117</v>
      </c>
    </row>
    <row r="1237" spans="1:8">
      <c r="A1237" s="1751">
        <v>117</v>
      </c>
    </row>
    <row r="1238" spans="1:8">
      <c r="A1238" s="1751">
        <v>105</v>
      </c>
    </row>
    <row r="1239" spans="1:8">
      <c r="A1239" s="1751">
        <v>106</v>
      </c>
    </row>
    <row r="1240" spans="1:8">
      <c r="A1240" s="1751">
        <v>907</v>
      </c>
    </row>
    <row r="1241" spans="1:8">
      <c r="A1241" s="1751">
        <v>412</v>
      </c>
    </row>
    <row r="1242" spans="1:8">
      <c r="A1242" s="1752"/>
      <c r="B1242" s="1393"/>
      <c r="C1242" s="1324"/>
      <c r="D1242" s="1324"/>
      <c r="E1242" s="1324"/>
      <c r="F1242" s="1324"/>
      <c r="G1242" s="1324"/>
      <c r="H1242" s="1374"/>
    </row>
    <row r="1243" spans="1:8">
      <c r="A1243" s="1751"/>
      <c r="B1243" s="1393"/>
      <c r="C1243" s="1324"/>
      <c r="D1243" s="1324"/>
      <c r="E1243" s="1324"/>
      <c r="F1243" s="1324"/>
      <c r="G1243" s="1324"/>
      <c r="H1243" s="1374"/>
    </row>
    <row r="1244" spans="1:8">
      <c r="A1244" s="1751"/>
      <c r="B1244" s="1393"/>
      <c r="C1244" s="1324"/>
      <c r="D1244" s="1324"/>
      <c r="E1244" s="1324"/>
      <c r="F1244" s="1324"/>
      <c r="G1244" s="1324"/>
      <c r="H1244" s="1374"/>
    </row>
    <row r="1245" spans="1:8">
      <c r="A1245" s="1751"/>
      <c r="B1245" s="1393"/>
      <c r="C1245" s="1324"/>
      <c r="D1245" s="1324"/>
      <c r="E1245" s="1324"/>
      <c r="F1245" s="1324"/>
      <c r="G1245" s="1324"/>
      <c r="H1245" s="1374"/>
    </row>
    <row r="1246" spans="1:8">
      <c r="A1246" s="1751"/>
      <c r="B1246" s="1393"/>
      <c r="C1246" s="1324"/>
      <c r="D1246" s="1324"/>
      <c r="E1246" s="1324"/>
      <c r="F1246" s="1324"/>
      <c r="G1246" s="1324"/>
      <c r="H1246" s="1374"/>
    </row>
    <row r="1247" spans="1:8">
      <c r="A1247" s="1751"/>
      <c r="B1247" s="1393"/>
      <c r="C1247" s="1324"/>
      <c r="D1247" s="1324"/>
      <c r="E1247" s="1324"/>
      <c r="F1247" s="1324"/>
      <c r="G1247" s="1324"/>
      <c r="H1247" s="1374"/>
    </row>
    <row r="1248" spans="1:8">
      <c r="A1248" s="1751"/>
      <c r="B1248" s="1393"/>
      <c r="C1248" s="1324"/>
      <c r="D1248" s="1324"/>
      <c r="E1248" s="1324"/>
      <c r="F1248" s="1324"/>
      <c r="G1248" s="1324"/>
      <c r="H1248" s="1374"/>
    </row>
    <row r="1249" spans="1:8">
      <c r="A1249" s="1751"/>
    </row>
    <row r="1250" spans="1:8">
      <c r="A1250" s="1751"/>
    </row>
    <row r="1251" spans="1:8">
      <c r="A1251" s="1751"/>
      <c r="B1251" s="1393"/>
      <c r="C1251" s="1324"/>
      <c r="D1251" s="1324"/>
      <c r="E1251" s="1324"/>
      <c r="F1251" s="1324"/>
      <c r="G1251" s="1324"/>
      <c r="H1251" s="1374"/>
    </row>
    <row r="1252" spans="1:8">
      <c r="A1252" s="1751"/>
      <c r="B1252" s="1393"/>
      <c r="C1252" s="1324"/>
      <c r="D1252" s="1324"/>
      <c r="E1252" s="1324"/>
      <c r="F1252" s="1324"/>
      <c r="G1252" s="1324"/>
      <c r="H1252" s="1374"/>
    </row>
    <row r="1253" spans="1:8">
      <c r="A1253" s="1751"/>
      <c r="B1253" s="1393"/>
      <c r="C1253" s="1324"/>
      <c r="D1253" s="1324"/>
      <c r="E1253" s="1324"/>
      <c r="F1253" s="1324"/>
      <c r="G1253" s="1324"/>
      <c r="H1253" s="1374"/>
    </row>
    <row r="1254" spans="1:8">
      <c r="A1254" s="1751"/>
      <c r="B1254" s="1393"/>
      <c r="C1254" s="1324"/>
      <c r="D1254" s="1324"/>
      <c r="E1254" s="1324"/>
      <c r="F1254" s="1324"/>
      <c r="G1254" s="1324"/>
      <c r="H1254" s="1374"/>
    </row>
    <row r="1255" spans="1:8">
      <c r="A1255" s="1751"/>
      <c r="B1255" s="1393"/>
      <c r="C1255" s="1324"/>
      <c r="D1255" s="1324"/>
      <c r="E1255" s="1324"/>
      <c r="F1255" s="1324"/>
      <c r="G1255" s="1324"/>
      <c r="H1255" s="1374"/>
    </row>
    <row r="1256" spans="1:8">
      <c r="A1256" s="1751"/>
      <c r="B1256" s="1393"/>
      <c r="C1256" s="1324"/>
      <c r="D1256" s="1324"/>
      <c r="E1256" s="1324"/>
      <c r="F1256" s="1324"/>
      <c r="G1256" s="1324"/>
      <c r="H1256" s="1374"/>
    </row>
    <row r="1257" spans="1:8">
      <c r="A1257" s="1751"/>
      <c r="B1257" s="1393"/>
      <c r="C1257" s="1324"/>
      <c r="D1257" s="1324"/>
      <c r="E1257" s="1324"/>
      <c r="F1257" s="1324"/>
      <c r="G1257" s="1324"/>
      <c r="H1257" s="1374"/>
    </row>
    <row r="1258" spans="1:8">
      <c r="A1258" s="1751"/>
      <c r="B1258" s="1393"/>
      <c r="C1258" s="1324"/>
      <c r="D1258" s="1324"/>
      <c r="E1258" s="1324"/>
      <c r="F1258" s="1324"/>
      <c r="G1258" s="1324"/>
      <c r="H1258" s="1374"/>
    </row>
    <row r="1259" spans="1:8">
      <c r="A1259" s="1751"/>
      <c r="B1259" s="1393"/>
      <c r="C1259" s="1324"/>
      <c r="D1259" s="1324"/>
      <c r="E1259" s="1324"/>
      <c r="F1259" s="1324"/>
      <c r="G1259" s="1324"/>
      <c r="H1259" s="1374"/>
    </row>
    <row r="1260" spans="1:8">
      <c r="A1260" s="1751"/>
      <c r="B1260" s="1393"/>
      <c r="C1260" s="1324"/>
      <c r="D1260" s="1324"/>
      <c r="E1260" s="1324"/>
      <c r="F1260" s="1324"/>
      <c r="G1260" s="1324"/>
      <c r="H1260" s="1374"/>
    </row>
    <row r="1261" spans="1:8">
      <c r="A1261" s="1751"/>
      <c r="B1261" s="1393"/>
      <c r="C1261" s="1324"/>
      <c r="D1261" s="1324"/>
      <c r="E1261" s="1324"/>
      <c r="F1261" s="1324"/>
      <c r="G1261" s="1324"/>
      <c r="H1261" s="1374"/>
    </row>
    <row r="1262" spans="1:8">
      <c r="A1262" s="1751"/>
      <c r="B1262" s="1393"/>
      <c r="C1262" s="1324"/>
      <c r="D1262" s="1324"/>
      <c r="E1262" s="1324"/>
      <c r="F1262" s="1324"/>
      <c r="G1262" s="1324"/>
      <c r="H1262" s="1374"/>
    </row>
    <row r="1263" spans="1:8">
      <c r="A1263" s="1751"/>
      <c r="B1263" s="1393"/>
      <c r="C1263" s="1324"/>
      <c r="D1263" s="1324"/>
      <c r="E1263" s="1324"/>
      <c r="F1263" s="1324"/>
      <c r="G1263" s="1324"/>
      <c r="H1263" s="1374"/>
    </row>
    <row r="1264" spans="1:8">
      <c r="A1264" s="1751"/>
      <c r="B1264" s="1393"/>
      <c r="C1264" s="1324"/>
      <c r="D1264" s="1324"/>
      <c r="E1264" s="1324"/>
      <c r="F1264" s="1324"/>
      <c r="G1264" s="1324"/>
      <c r="H1264" s="1374"/>
    </row>
    <row r="1265" spans="1:8">
      <c r="A1265" s="1751"/>
      <c r="B1265" s="1393"/>
      <c r="C1265" s="1324"/>
      <c r="D1265" s="1324"/>
      <c r="E1265" s="1324"/>
      <c r="F1265" s="1324"/>
      <c r="G1265" s="1324"/>
      <c r="H1265" s="1374"/>
    </row>
    <row r="1266" spans="1:8">
      <c r="A1266" s="1751"/>
      <c r="B1266" s="1393"/>
      <c r="C1266" s="1324"/>
      <c r="D1266" s="1324"/>
      <c r="E1266" s="1324"/>
      <c r="F1266" s="1324"/>
      <c r="G1266" s="1324"/>
      <c r="H1266" s="1374"/>
    </row>
    <row r="1267" spans="1:8">
      <c r="A1267" s="1751"/>
      <c r="B1267" s="1393"/>
      <c r="C1267" s="1324"/>
      <c r="D1267" s="1324"/>
      <c r="E1267" s="1324"/>
      <c r="F1267" s="1324"/>
      <c r="G1267" s="1324"/>
      <c r="H1267" s="1374"/>
    </row>
    <row r="1268" spans="1:8">
      <c r="A1268" s="1751"/>
      <c r="B1268" s="1416" t="str">
        <f>+$B$1</f>
        <v>RATES WITH REVENUE DEFICIENCY ADDITION</v>
      </c>
      <c r="C1268" s="1364"/>
      <c r="D1268" s="1324"/>
      <c r="E1268" s="1336"/>
      <c r="F1268" s="1329" t="s">
        <v>2173</v>
      </c>
      <c r="G1268" s="1364"/>
      <c r="H1268" s="1334" t="s">
        <v>5686</v>
      </c>
    </row>
    <row r="1269" spans="1:8">
      <c r="A1269" s="1751"/>
      <c r="B1269" s="1416" t="str">
        <f>+$B$2</f>
        <v xml:space="preserve">PROD. CAP. ALLOC. METHOD: 12 CP </v>
      </c>
      <c r="C1269" s="1364"/>
      <c r="D1269" s="1324"/>
      <c r="E1269" s="1324"/>
      <c r="F1269" s="1336" t="s">
        <v>4768</v>
      </c>
      <c r="G1269" s="1324"/>
      <c r="H1269" s="1731" t="s">
        <v>4307</v>
      </c>
    </row>
    <row r="1270" spans="1:8">
      <c r="A1270" s="1751"/>
      <c r="B1270" s="1416" t="str">
        <f>+$B$3</f>
        <v>PROJECTED CALENDAR YEAR 2025; FULLY ADJUSTED DATA</v>
      </c>
      <c r="C1270" s="1364"/>
      <c r="D1270" s="1324"/>
      <c r="E1270" s="1324"/>
      <c r="F1270" s="1336" t="s">
        <v>2181</v>
      </c>
      <c r="G1270" s="1324"/>
      <c r="H1270" s="1374"/>
    </row>
    <row r="1271" spans="1:8">
      <c r="A1271" s="1751"/>
      <c r="B1271" s="1732">
        <f>+$B$4</f>
        <v>0</v>
      </c>
      <c r="C1271" s="1364"/>
      <c r="D1271" s="1324"/>
      <c r="E1271" s="1324"/>
      <c r="F1271" s="1364"/>
      <c r="G1271" s="1364"/>
      <c r="H1271" s="1440"/>
    </row>
    <row r="1272" spans="1:8">
      <c r="A1272" s="1751"/>
      <c r="B1272" s="1732" t="str">
        <f>+$B$5</f>
        <v>Tampa Electric 2025 OB Budget</v>
      </c>
      <c r="C1272" s="1364"/>
      <c r="D1272" s="1324"/>
      <c r="E1272" s="1329"/>
      <c r="F1272" s="1336" t="s">
        <v>5674</v>
      </c>
      <c r="G1272" s="1364"/>
      <c r="H1272" s="1440"/>
    </row>
    <row r="1273" spans="1:8">
      <c r="A1273" s="1751"/>
      <c r="B1273" s="1439"/>
      <c r="C1273" s="1364"/>
      <c r="D1273" s="1324"/>
      <c r="E1273" s="1336"/>
      <c r="F1273" s="1364"/>
      <c r="G1273" s="1364"/>
      <c r="H1273" s="1440"/>
    </row>
    <row r="1274" spans="1:8">
      <c r="A1274" s="1751"/>
      <c r="B1274" s="1439"/>
      <c r="C1274" s="1364"/>
      <c r="D1274" s="1364"/>
      <c r="E1274" s="1336"/>
      <c r="F1274" s="1364"/>
      <c r="G1274" s="1364"/>
      <c r="H1274" s="1440"/>
    </row>
    <row r="1275" spans="1:8">
      <c r="A1275" s="1751"/>
      <c r="B1275" s="1439"/>
      <c r="C1275" s="1364"/>
      <c r="D1275" s="1364"/>
      <c r="E1275" s="1324"/>
      <c r="F1275" s="1364"/>
      <c r="G1275" s="1364"/>
      <c r="H1275" s="1440"/>
    </row>
    <row r="1276" spans="1:8">
      <c r="A1276" s="1751"/>
      <c r="B1276" s="1439"/>
      <c r="C1276" s="1364"/>
      <c r="D1276" s="1364"/>
      <c r="E1276" s="1364"/>
      <c r="F1276" s="1364"/>
      <c r="G1276" s="1364"/>
      <c r="H1276" s="1440"/>
    </row>
    <row r="1277" spans="1:8" ht="28.2">
      <c r="A1277" s="1751"/>
      <c r="B1277" s="1737" t="s">
        <v>4297</v>
      </c>
      <c r="C1277" s="1741"/>
      <c r="D1277" s="1741"/>
      <c r="E1277" s="1352" t="s">
        <v>5144</v>
      </c>
      <c r="F1277" s="1352" t="s">
        <v>4956</v>
      </c>
      <c r="G1277" s="1352" t="s">
        <v>4957</v>
      </c>
      <c r="H1277" s="1742" t="s">
        <v>5145</v>
      </c>
    </row>
    <row r="1278" spans="1:8">
      <c r="A1278" s="1751"/>
      <c r="B1278" s="1439"/>
      <c r="C1278" s="1364"/>
      <c r="D1278" s="1364"/>
      <c r="E1278" s="1364"/>
      <c r="F1278" s="1364"/>
      <c r="G1278" s="1364"/>
      <c r="H1278" s="1440"/>
    </row>
    <row r="1279" spans="1:8">
      <c r="A1279" s="1751"/>
      <c r="B1279" s="1439">
        <v>1</v>
      </c>
      <c r="C1279" s="1450" t="s">
        <v>5675</v>
      </c>
      <c r="D1279" s="1364"/>
      <c r="E1279" s="1364"/>
      <c r="F1279" s="1364"/>
      <c r="G1279" s="1364"/>
      <c r="H1279" s="1440"/>
    </row>
    <row r="1280" spans="1:8">
      <c r="A1280" s="1751"/>
      <c r="B1280" s="1439">
        <v>2</v>
      </c>
      <c r="C1280" s="1364" t="s">
        <v>4813</v>
      </c>
      <c r="D1280" s="1364" t="s">
        <v>4067</v>
      </c>
      <c r="E1280" s="1364">
        <f>+IF(ISBLANK(REPORTS!F1061),"",REPORTS!F1061)</f>
        <v>1542784.9571961607</v>
      </c>
      <c r="F1280" s="1364">
        <f>+IF(ISBLANK(REPORTS!G1061),"",REPORTS!G1061)</f>
        <v>0</v>
      </c>
      <c r="G1280" s="1364">
        <f>+IF(ISBLANK(REPORTS!H1061),"",REPORTS!H1061)</f>
        <v>1542784.9571961607</v>
      </c>
      <c r="H1280" s="1374">
        <f>+IF(ISBLANK(REPORTS!I1061),"",REPORTS!I1061)</f>
        <v>1</v>
      </c>
    </row>
    <row r="1281" spans="1:8">
      <c r="A1281" s="1751"/>
      <c r="B1281" s="1439">
        <v>3</v>
      </c>
      <c r="C1281" s="1364" t="s">
        <v>5393</v>
      </c>
      <c r="D1281" s="1364" t="s">
        <v>4067</v>
      </c>
      <c r="E1281" s="1364">
        <f>+IF(ISBLANK(REPORTS!F1062),"",REPORTS!F1062)</f>
        <v>222985.51598999996</v>
      </c>
      <c r="F1281" s="1364">
        <f>+IF(ISBLANK(REPORTS!G1062),"",REPORTS!G1062)</f>
        <v>0</v>
      </c>
      <c r="G1281" s="1364">
        <f>+IF(ISBLANK(REPORTS!H1062),"",REPORTS!H1062)</f>
        <v>222985.51598999996</v>
      </c>
      <c r="H1281" s="1374">
        <f>+IF(ISBLANK(REPORTS!I1062),"",REPORTS!I1062)</f>
        <v>1</v>
      </c>
    </row>
    <row r="1282" spans="1:8">
      <c r="A1282" s="1760"/>
      <c r="B1282" s="1439">
        <v>4</v>
      </c>
      <c r="C1282" s="1364" t="s">
        <v>4814</v>
      </c>
      <c r="D1282" s="1364" t="s">
        <v>2067</v>
      </c>
      <c r="E1282" s="1366">
        <f>+IF(ISBLANK(REPORTS!F1063),"",REPORTS!F1063)</f>
        <v>293748.25699691643</v>
      </c>
      <c r="F1282" s="1364">
        <f>+IF(ISBLANK(REPORTS!G1063),"",REPORTS!G1063)</f>
        <v>0</v>
      </c>
      <c r="G1282" s="1364">
        <f>+IF(ISBLANK(REPORTS!H1063),"",REPORTS!H1063)</f>
        <v>293748.25699691643</v>
      </c>
      <c r="H1282" s="1374">
        <f>+IF(ISBLANK(REPORTS!I1063),"",REPORTS!I1063)</f>
        <v>1</v>
      </c>
    </row>
    <row r="1283" spans="1:8">
      <c r="A1283" s="1760"/>
      <c r="B1283" s="1439">
        <v>5</v>
      </c>
      <c r="C1283" s="1364" t="s">
        <v>5676</v>
      </c>
      <c r="D1283" s="1324"/>
      <c r="E1283" s="1421">
        <f>+IF(ISBLANK(REPORTS!F1064),"",REPORTS!F1064)</f>
        <v>2059518.730183077</v>
      </c>
      <c r="F1283" s="1421">
        <f>+IF(ISBLANK(REPORTS!G1064),"",REPORTS!G1064)</f>
        <v>0</v>
      </c>
      <c r="G1283" s="1421">
        <f>+IF(ISBLANK(REPORTS!H1064),"",REPORTS!H1064)</f>
        <v>2059518.730183077</v>
      </c>
      <c r="H1283" s="1374">
        <f>+IF(ISBLANK(REPORTS!I1064),"",REPORTS!I1064)</f>
        <v>1</v>
      </c>
    </row>
    <row r="1284" spans="1:8">
      <c r="A1284" s="1751"/>
      <c r="B1284" s="1439">
        <v>6</v>
      </c>
      <c r="C1284" s="1364"/>
      <c r="D1284" s="1364"/>
      <c r="E1284" s="1364" t="str">
        <f>+IF(ISBLANK(REPORTS!F1065),"",REPORTS!F1065)</f>
        <v/>
      </c>
      <c r="F1284" s="1747" t="str">
        <f>+IF(ISBLANK(REPORTS!G1065),"",REPORTS!G1065)</f>
        <v/>
      </c>
      <c r="G1284" s="1364" t="str">
        <f>+IF(ISBLANK(REPORTS!H1065),"",REPORTS!H1065)</f>
        <v/>
      </c>
      <c r="H1284" s="1440" t="str">
        <f>+IF(ISBLANK(REPORTS!I1065),"",REPORTS!I1065)</f>
        <v/>
      </c>
    </row>
    <row r="1285" spans="1:8">
      <c r="A1285" s="1751"/>
      <c r="B1285" s="1439">
        <v>7</v>
      </c>
      <c r="C1285" s="1364"/>
      <c r="D1285" s="1364"/>
      <c r="E1285" s="1364" t="str">
        <f>+IF(ISBLANK(REPORTS!F1066),"",REPORTS!F1066)</f>
        <v/>
      </c>
      <c r="F1285" s="1364" t="str">
        <f>+IF(ISBLANK(REPORTS!G1066),"",REPORTS!G1066)</f>
        <v/>
      </c>
      <c r="G1285" s="1364" t="str">
        <f>+IF(ISBLANK(REPORTS!H1066),"",REPORTS!H1066)</f>
        <v/>
      </c>
      <c r="H1285" s="1440" t="str">
        <f>+IF(ISBLANK(REPORTS!I1066),"",REPORTS!I1066)</f>
        <v/>
      </c>
    </row>
    <row r="1286" spans="1:8">
      <c r="A1286" s="1751"/>
      <c r="B1286" s="1439">
        <v>8</v>
      </c>
      <c r="C1286" s="1450" t="s">
        <v>5677</v>
      </c>
      <c r="D1286" s="1364"/>
      <c r="E1286" s="1364" t="str">
        <f>+IF(ISBLANK(REPORTS!F1067),"",REPORTS!F1067)</f>
        <v/>
      </c>
      <c r="F1286" s="1364" t="str">
        <f>+IF(ISBLANK(REPORTS!G1067),"",REPORTS!G1067)</f>
        <v/>
      </c>
      <c r="G1286" s="1364" t="str">
        <f>+IF(ISBLANK(REPORTS!H1067),"",REPORTS!H1067)</f>
        <v/>
      </c>
      <c r="H1286" s="1440" t="str">
        <f>+IF(ISBLANK(REPORTS!I1067),"",REPORTS!I1067)</f>
        <v/>
      </c>
    </row>
    <row r="1287" spans="1:8">
      <c r="A1287" s="1751"/>
      <c r="B1287" s="1439">
        <v>9</v>
      </c>
      <c r="C1287" s="1364" t="s">
        <v>5397</v>
      </c>
      <c r="D1287" s="1364" t="s">
        <v>4067</v>
      </c>
      <c r="E1287" s="1364">
        <f>+IF(ISBLANK(REPORTS!F1068),"",REPORTS!F1068)</f>
        <v>46015.61165400179</v>
      </c>
      <c r="F1287" s="1364">
        <f>+IF(ISBLANK(REPORTS!G1068),"",REPORTS!G1068)</f>
        <v>0</v>
      </c>
      <c r="G1287" s="1364">
        <f>+IF(ISBLANK(REPORTS!H1068),"",REPORTS!H1068)</f>
        <v>46015.61165400179</v>
      </c>
      <c r="H1287" s="1374">
        <f>+IF(ISBLANK(REPORTS!I1068),"",REPORTS!I1068)</f>
        <v>1</v>
      </c>
    </row>
    <row r="1288" spans="1:8">
      <c r="A1288" s="1751"/>
      <c r="B1288" s="1439">
        <v>10</v>
      </c>
      <c r="C1288" s="1364" t="s">
        <v>5398</v>
      </c>
      <c r="D1288" s="1364" t="s">
        <v>4067</v>
      </c>
      <c r="E1288" s="1366">
        <f>+IF(ISBLANK(REPORTS!F1069),"",REPORTS!F1069)</f>
        <v>0</v>
      </c>
      <c r="F1288" s="1366">
        <f>+IF(ISBLANK(REPORTS!G1069),"",REPORTS!G1069)</f>
        <v>0</v>
      </c>
      <c r="G1288" s="1366">
        <f>+IF(ISBLANK(REPORTS!H1069),"",REPORTS!H1069)</f>
        <v>0</v>
      </c>
      <c r="H1288" s="1374">
        <f>+IF(ISBLANK(REPORTS!I1069),"",REPORTS!I1069)</f>
        <v>0</v>
      </c>
    </row>
    <row r="1289" spans="1:8">
      <c r="A1289" s="1751"/>
      <c r="B1289" s="1439">
        <v>11</v>
      </c>
      <c r="C1289" s="1364" t="s">
        <v>5399</v>
      </c>
      <c r="D1289" s="1364"/>
      <c r="E1289" s="1421">
        <f>+IF(ISBLANK(REPORTS!F1070),"",REPORTS!F1070)</f>
        <v>46015.61165400179</v>
      </c>
      <c r="F1289" s="1421">
        <f>+IF(ISBLANK(REPORTS!G1070),"",REPORTS!G1070)</f>
        <v>0</v>
      </c>
      <c r="G1289" s="1421">
        <f>+IF(ISBLANK(REPORTS!H1070),"",REPORTS!H1070)</f>
        <v>46015.61165400179</v>
      </c>
      <c r="H1289" s="1374">
        <f>+IF(ISBLANK(REPORTS!I1070),"",REPORTS!I1070)</f>
        <v>1</v>
      </c>
    </row>
    <row r="1290" spans="1:8">
      <c r="A1290" s="1751"/>
      <c r="B1290" s="1439">
        <v>12</v>
      </c>
      <c r="C1290" s="1364"/>
      <c r="D1290" s="1364"/>
      <c r="E1290" s="1364" t="str">
        <f>+IF(ISBLANK(REPORTS!F1071),"",REPORTS!F1071)</f>
        <v/>
      </c>
      <c r="F1290" s="1324" t="str">
        <f>+IF(ISBLANK(REPORTS!G1071),"",REPORTS!G1071)</f>
        <v/>
      </c>
      <c r="G1290" s="1324" t="str">
        <f>+IF(ISBLANK(REPORTS!H1071),"",REPORTS!H1071)</f>
        <v/>
      </c>
      <c r="H1290" s="1440" t="str">
        <f>+IF(ISBLANK(REPORTS!I1071),"",REPORTS!I1071)</f>
        <v/>
      </c>
    </row>
    <row r="1291" spans="1:8" ht="28.2">
      <c r="A1291" s="1753" t="s">
        <v>5143</v>
      </c>
      <c r="B1291" s="1439">
        <v>13</v>
      </c>
      <c r="C1291" s="1364" t="s">
        <v>5678</v>
      </c>
      <c r="D1291" s="1364" t="s">
        <v>4067</v>
      </c>
      <c r="E1291" s="1366">
        <f>+IF(ISBLANK(REPORTS!F1072),"",REPORTS!F1072)</f>
        <v>142075.10412521986</v>
      </c>
      <c r="F1291" s="1366">
        <f>+IF(ISBLANK(REPORTS!G1072),"",REPORTS!G1072)</f>
        <v>9204.5993075669139</v>
      </c>
      <c r="G1291" s="1366">
        <f>+IF(ISBLANK(REPORTS!H1072),"",REPORTS!H1072)</f>
        <v>132870.50481765295</v>
      </c>
      <c r="H1291" s="1374">
        <f>+IF(ISBLANK(REPORTS!I1072),"",REPORTS!I1072)</f>
        <v>0.93521314403222744</v>
      </c>
    </row>
    <row r="1292" spans="1:8">
      <c r="A1292" s="1751"/>
      <c r="B1292" s="1439">
        <v>14</v>
      </c>
      <c r="C1292" s="1364"/>
      <c r="D1292" s="1364"/>
      <c r="E1292" s="1364" t="str">
        <f>+IF(ISBLANK(REPORTS!F1073),"",REPORTS!F1073)</f>
        <v/>
      </c>
      <c r="F1292" s="1324" t="str">
        <f>+IF(ISBLANK(REPORTS!G1073),"",REPORTS!G1073)</f>
        <v/>
      </c>
      <c r="G1292" s="1324" t="str">
        <f>+IF(ISBLANK(REPORTS!H1073),"",REPORTS!H1073)</f>
        <v/>
      </c>
      <c r="H1292" s="1440" t="str">
        <f>+IF(ISBLANK(REPORTS!I1073),"",REPORTS!I1073)</f>
        <v/>
      </c>
    </row>
    <row r="1293" spans="1:8">
      <c r="A1293" s="1752"/>
      <c r="B1293" s="1439">
        <v>15</v>
      </c>
      <c r="C1293" s="1364" t="s">
        <v>1953</v>
      </c>
      <c r="D1293" s="1364"/>
      <c r="E1293" s="1364" t="str">
        <f>+IF(ISBLANK(REPORTS!F1074),"",REPORTS!F1074)</f>
        <v/>
      </c>
      <c r="F1293" s="1324" t="str">
        <f>+IF(ISBLANK(REPORTS!G1074),"",REPORTS!G1074)</f>
        <v/>
      </c>
      <c r="G1293" s="1324" t="str">
        <f>+IF(ISBLANK(REPORTS!H1074),"",REPORTS!H1074)</f>
        <v/>
      </c>
      <c r="H1293" s="1440" t="str">
        <f>+IF(ISBLANK(REPORTS!I1074),"",REPORTS!I1074)</f>
        <v/>
      </c>
    </row>
    <row r="1294" spans="1:8">
      <c r="A1294" s="1751">
        <v>101</v>
      </c>
      <c r="B1294" s="1439">
        <v>16</v>
      </c>
      <c r="C1294" s="1364" t="s">
        <v>5293</v>
      </c>
      <c r="D1294" s="1364" t="s">
        <v>4067</v>
      </c>
      <c r="E1294" s="1364">
        <f>+IF(ISBLANK(REPORTS!F1075),"",REPORTS!F1075)</f>
        <v>46668.032578042963</v>
      </c>
      <c r="F1294" s="1364">
        <f>+IF(ISBLANK(REPORTS!G1075),"",REPORTS!G1075)</f>
        <v>3023.4751049329889</v>
      </c>
      <c r="G1294" s="1364">
        <f>+IF(ISBLANK(REPORTS!H1075),"",REPORTS!H1075)</f>
        <v>43644.55747310997</v>
      </c>
      <c r="H1294" s="1374">
        <f>+IF(ISBLANK(REPORTS!I1075),"",REPORTS!I1075)</f>
        <v>0.93521314403222733</v>
      </c>
    </row>
    <row r="1295" spans="1:8">
      <c r="A1295" s="1751">
        <v>101</v>
      </c>
      <c r="B1295" s="1439">
        <v>17</v>
      </c>
      <c r="C1295" s="1364" t="s">
        <v>5294</v>
      </c>
      <c r="D1295" s="1364" t="s">
        <v>4067</v>
      </c>
      <c r="E1295" s="1366">
        <f>+IF(ISBLANK(REPORTS!F1076),"",REPORTS!F1076)</f>
        <v>77381.677112735357</v>
      </c>
      <c r="F1295" s="1366">
        <f>+IF(ISBLANK(REPORTS!G1076),"",REPORTS!G1076)</f>
        <v>5013.3155696474714</v>
      </c>
      <c r="G1295" s="1366">
        <f>+IF(ISBLANK(REPORTS!H1076),"",REPORTS!H1076)</f>
        <v>72368.361543087885</v>
      </c>
      <c r="H1295" s="1374">
        <f>+IF(ISBLANK(REPORTS!I1076),"",REPORTS!I1076)</f>
        <v>0.93521314403222744</v>
      </c>
    </row>
    <row r="1296" spans="1:8">
      <c r="A1296" s="1751">
        <v>101</v>
      </c>
      <c r="B1296" s="1439">
        <v>18</v>
      </c>
      <c r="C1296" s="1364" t="s">
        <v>1953</v>
      </c>
      <c r="D1296" s="1364"/>
      <c r="E1296" s="1366">
        <f>+IF(ISBLANK(REPORTS!F1077),"",REPORTS!F1077)</f>
        <v>124049.70969077831</v>
      </c>
      <c r="F1296" s="1366">
        <f>+IF(ISBLANK(REPORTS!G1077),"",REPORTS!G1077)</f>
        <v>8036.7906745804603</v>
      </c>
      <c r="G1296" s="1366">
        <f>+IF(ISBLANK(REPORTS!H1077),"",REPORTS!H1077)</f>
        <v>116012.91901619785</v>
      </c>
      <c r="H1296" s="1374">
        <f>+IF(ISBLANK(REPORTS!I1077),"",REPORTS!I1077)</f>
        <v>0.93521314403222733</v>
      </c>
    </row>
    <row r="1297" spans="1:8">
      <c r="A1297" s="1751"/>
      <c r="B1297" s="1439">
        <v>19</v>
      </c>
      <c r="C1297" s="1364"/>
      <c r="D1297" s="1364"/>
      <c r="E1297" s="1364" t="str">
        <f>+IF(ISBLANK(REPORTS!F1078),"",REPORTS!F1078)</f>
        <v/>
      </c>
      <c r="F1297" s="1364" t="str">
        <f>+IF(ISBLANK(REPORTS!G1078),"",REPORTS!G1078)</f>
        <v/>
      </c>
      <c r="G1297" s="1364" t="str">
        <f>+IF(ISBLANK(REPORTS!H1078),"",REPORTS!H1078)</f>
        <v/>
      </c>
      <c r="H1297" s="1440" t="str">
        <f>+IF(ISBLANK(REPORTS!I1078),"",REPORTS!I1078)</f>
        <v/>
      </c>
    </row>
    <row r="1298" spans="1:8">
      <c r="A1298" s="1752"/>
      <c r="B1298" s="1439">
        <v>20</v>
      </c>
      <c r="C1298" s="1364" t="s">
        <v>5679</v>
      </c>
      <c r="D1298" s="1364"/>
      <c r="E1298" s="1366">
        <f>+IF(ISBLANK(REPORTS!F1079),"",REPORTS!F1079)</f>
        <v>312140.42546999996</v>
      </c>
      <c r="F1298" s="1366">
        <f>+IF(ISBLANK(REPORTS!G1079),"",REPORTS!G1079)</f>
        <v>17241.389982147375</v>
      </c>
      <c r="G1298" s="1366">
        <f>+IF(ISBLANK(REPORTS!H1079),"",REPORTS!H1079)</f>
        <v>294899.03548785258</v>
      </c>
      <c r="H1298" s="1374">
        <f>+IF(ISBLANK(REPORTS!I1079),"",REPORTS!I1079)</f>
        <v>0.94476399538385181</v>
      </c>
    </row>
    <row r="1299" spans="1:8">
      <c r="A1299" s="1752"/>
    </row>
    <row r="1300" spans="1:8">
      <c r="A1300" s="1752"/>
    </row>
    <row r="1301" spans="1:8">
      <c r="A1301" s="1751">
        <v>101</v>
      </c>
    </row>
    <row r="1302" spans="1:8">
      <c r="A1302" s="1751">
        <v>101</v>
      </c>
    </row>
    <row r="1303" spans="1:8">
      <c r="A1303" s="1751"/>
    </row>
    <row r="1304" spans="1:8">
      <c r="A1304" s="1752"/>
    </row>
    <row r="1305" spans="1:8">
      <c r="A1305" s="1751">
        <v>117</v>
      </c>
    </row>
    <row r="1306" spans="1:8">
      <c r="A1306" s="1752"/>
    </row>
    <row r="1307" spans="1:8">
      <c r="A1307" s="1752"/>
    </row>
    <row r="1308" spans="1:8">
      <c r="A1308" s="1751">
        <v>117</v>
      </c>
    </row>
    <row r="1309" spans="1:8">
      <c r="A1309" s="1751">
        <v>117</v>
      </c>
    </row>
    <row r="1310" spans="1:8">
      <c r="A1310" s="1751"/>
    </row>
    <row r="1311" spans="1:8">
      <c r="A1311" s="1752"/>
    </row>
    <row r="1312" spans="1:8">
      <c r="A1312" s="1752"/>
    </row>
    <row r="1313" spans="1:8">
      <c r="A1313" s="1752"/>
      <c r="B1313" s="1439"/>
      <c r="C1313" s="1364"/>
      <c r="D1313" s="1364"/>
      <c r="E1313" s="1364"/>
      <c r="F1313" s="1747"/>
      <c r="G1313" s="1364"/>
      <c r="H1313" s="1374"/>
    </row>
    <row r="1314" spans="1:8">
      <c r="A1314" s="1752"/>
      <c r="B1314" s="1439"/>
      <c r="C1314" s="1364"/>
      <c r="D1314" s="1364"/>
      <c r="E1314" s="1364"/>
      <c r="F1314" s="1364"/>
      <c r="G1314" s="1364"/>
      <c r="H1314" s="1440"/>
    </row>
    <row r="1315" spans="1:8">
      <c r="A1315" s="1752"/>
      <c r="B1315" s="1439"/>
      <c r="C1315" s="1364"/>
      <c r="D1315" s="1364"/>
      <c r="E1315" s="1364"/>
      <c r="F1315" s="1364"/>
      <c r="G1315" s="1364"/>
      <c r="H1315" s="1440"/>
    </row>
    <row r="1316" spans="1:8">
      <c r="A1316" s="1752"/>
      <c r="B1316" s="1439"/>
      <c r="C1316" s="1364"/>
      <c r="D1316" s="1364"/>
      <c r="E1316" s="1364"/>
      <c r="F1316" s="1364"/>
      <c r="G1316" s="1364"/>
      <c r="H1316" s="1440"/>
    </row>
    <row r="1317" spans="1:8">
      <c r="A1317" s="1752"/>
      <c r="B1317" s="1439"/>
      <c r="C1317" s="1364"/>
      <c r="D1317" s="1364"/>
      <c r="E1317" s="1364"/>
      <c r="F1317" s="1364"/>
      <c r="G1317" s="1364"/>
      <c r="H1317" s="1440"/>
    </row>
    <row r="1318" spans="1:8">
      <c r="A1318" s="1752"/>
      <c r="B1318" s="1439"/>
      <c r="C1318" s="1364"/>
      <c r="D1318" s="1364"/>
      <c r="E1318" s="1364"/>
      <c r="F1318" s="1364"/>
      <c r="G1318" s="1364"/>
      <c r="H1318" s="1440"/>
    </row>
    <row r="1319" spans="1:8">
      <c r="A1319" s="1752"/>
      <c r="B1319" s="1439"/>
      <c r="C1319" s="1364"/>
      <c r="D1319" s="1364"/>
      <c r="E1319" s="1364"/>
      <c r="F1319" s="1364"/>
      <c r="G1319" s="1364"/>
      <c r="H1319" s="1440"/>
    </row>
    <row r="1320" spans="1:8">
      <c r="A1320" s="1752"/>
      <c r="B1320" s="1439"/>
      <c r="C1320" s="1364"/>
      <c r="D1320" s="1364"/>
      <c r="E1320" s="1364"/>
      <c r="F1320" s="1364"/>
      <c r="G1320" s="1364"/>
      <c r="H1320" s="1440"/>
    </row>
    <row r="1321" spans="1:8">
      <c r="A1321" s="1752"/>
      <c r="B1321" s="1439"/>
      <c r="C1321" s="1364"/>
      <c r="D1321" s="1364"/>
      <c r="E1321" s="1364"/>
      <c r="F1321" s="1364"/>
      <c r="G1321" s="1364"/>
      <c r="H1321" s="1440"/>
    </row>
    <row r="1322" spans="1:8">
      <c r="A1322" s="1752"/>
      <c r="B1322" s="1439"/>
      <c r="C1322" s="1364"/>
      <c r="D1322" s="1364"/>
      <c r="E1322" s="1364"/>
      <c r="F1322" s="1364"/>
      <c r="G1322" s="1364"/>
      <c r="H1322" s="1440"/>
    </row>
    <row r="1323" spans="1:8">
      <c r="A1323" s="1752"/>
      <c r="B1323" s="1439"/>
      <c r="C1323" s="1364"/>
      <c r="D1323" s="1364"/>
      <c r="E1323" s="1364"/>
      <c r="F1323" s="1364"/>
      <c r="G1323" s="1364"/>
      <c r="H1323" s="1440"/>
    </row>
    <row r="1324" spans="1:8">
      <c r="A1324" s="1752"/>
      <c r="B1324" s="1439"/>
      <c r="C1324" s="1364"/>
      <c r="D1324" s="1364"/>
      <c r="E1324" s="1364"/>
      <c r="F1324" s="1364"/>
      <c r="G1324" s="1364"/>
      <c r="H1324" s="1440"/>
    </row>
    <row r="1325" spans="1:8">
      <c r="A1325" s="1752"/>
      <c r="B1325" s="1439"/>
      <c r="C1325" s="1364"/>
      <c r="D1325" s="1364"/>
      <c r="E1325" s="1364"/>
      <c r="F1325" s="1364"/>
      <c r="G1325" s="1364"/>
      <c r="H1325" s="1440"/>
    </row>
    <row r="1326" spans="1:8">
      <c r="A1326" s="1752"/>
      <c r="B1326" s="1439"/>
      <c r="C1326" s="1364"/>
      <c r="D1326" s="1364"/>
      <c r="E1326" s="1364"/>
      <c r="F1326" s="1364"/>
      <c r="G1326" s="1364"/>
      <c r="H1326" s="1440"/>
    </row>
    <row r="1327" spans="1:8">
      <c r="A1327" s="1752"/>
      <c r="B1327" s="1439"/>
      <c r="C1327" s="1364"/>
      <c r="D1327" s="1364"/>
      <c r="E1327" s="1364"/>
      <c r="F1327" s="1364"/>
      <c r="G1327" s="1364"/>
      <c r="H1327" s="1440"/>
    </row>
    <row r="1328" spans="1:8">
      <c r="A1328" s="1752"/>
      <c r="B1328" s="1416" t="str">
        <f>+$B$1</f>
        <v>RATES WITH REVENUE DEFICIENCY ADDITION</v>
      </c>
      <c r="C1328" s="1364"/>
      <c r="D1328" s="1324"/>
      <c r="E1328" s="1336"/>
      <c r="F1328" s="1329" t="s">
        <v>2173</v>
      </c>
      <c r="G1328" s="1364"/>
      <c r="H1328" s="1334" t="s">
        <v>5702</v>
      </c>
    </row>
    <row r="1329" spans="1:8">
      <c r="A1329" s="1752"/>
      <c r="B1329" s="1416" t="str">
        <f>+$B$2</f>
        <v xml:space="preserve">PROD. CAP. ALLOC. METHOD: 12 CP </v>
      </c>
      <c r="C1329" s="1364"/>
      <c r="D1329" s="1324"/>
      <c r="E1329" s="1324"/>
      <c r="F1329" s="1336" t="s">
        <v>4768</v>
      </c>
      <c r="G1329" s="1324"/>
      <c r="H1329" s="1731" t="s">
        <v>4308</v>
      </c>
    </row>
    <row r="1330" spans="1:8">
      <c r="A1330" s="1752"/>
      <c r="B1330" s="1416" t="str">
        <f>+$B$3</f>
        <v>PROJECTED CALENDAR YEAR 2025; FULLY ADJUSTED DATA</v>
      </c>
      <c r="C1330" s="1364"/>
      <c r="D1330" s="1324"/>
      <c r="E1330" s="1324"/>
      <c r="F1330" s="1336" t="s">
        <v>2181</v>
      </c>
      <c r="G1330" s="1324"/>
      <c r="H1330" s="1374"/>
    </row>
    <row r="1331" spans="1:8">
      <c r="A1331" s="1752"/>
      <c r="B1331" s="1732">
        <f>+$B$4</f>
        <v>0</v>
      </c>
      <c r="C1331" s="1364"/>
      <c r="D1331" s="1324"/>
      <c r="E1331" s="1324"/>
      <c r="F1331" s="1364"/>
      <c r="G1331" s="1364"/>
      <c r="H1331" s="1440"/>
    </row>
    <row r="1332" spans="1:8">
      <c r="A1332" s="1752"/>
      <c r="B1332" s="1732" t="str">
        <f>+$B$5</f>
        <v>Tampa Electric 2025 OB Budget</v>
      </c>
      <c r="C1332" s="1364"/>
      <c r="D1332" s="1324"/>
      <c r="E1332" s="1329"/>
      <c r="F1332" s="1336" t="s">
        <v>5674</v>
      </c>
      <c r="G1332" s="1364"/>
      <c r="H1332" s="1440"/>
    </row>
    <row r="1333" spans="1:8">
      <c r="A1333" s="1752"/>
      <c r="B1333" s="1439"/>
      <c r="C1333" s="1364"/>
      <c r="D1333" s="1324"/>
      <c r="E1333" s="1336"/>
      <c r="F1333" s="1364"/>
      <c r="G1333" s="1364"/>
      <c r="H1333" s="1440"/>
    </row>
    <row r="1334" spans="1:8">
      <c r="A1334" s="1752"/>
      <c r="B1334" s="1439"/>
      <c r="C1334" s="1364"/>
      <c r="D1334" s="1364"/>
      <c r="E1334" s="1336"/>
      <c r="F1334" s="1364"/>
      <c r="G1334" s="1364"/>
      <c r="H1334" s="1440"/>
    </row>
    <row r="1335" spans="1:8">
      <c r="A1335" s="1752"/>
      <c r="B1335" s="1439"/>
      <c r="C1335" s="1364"/>
      <c r="D1335" s="1364"/>
      <c r="E1335" s="1364"/>
      <c r="F1335" s="1364"/>
      <c r="G1335" s="1364"/>
      <c r="H1335" s="1440"/>
    </row>
    <row r="1336" spans="1:8">
      <c r="A1336" s="1752"/>
      <c r="B1336" s="1735"/>
      <c r="C1336" s="1416"/>
      <c r="D1336" s="1416"/>
      <c r="E1336" s="1336"/>
      <c r="F1336" s="1336"/>
      <c r="G1336" s="1336"/>
      <c r="H1336" s="1736"/>
    </row>
    <row r="1337" spans="1:8" ht="28.2">
      <c r="A1337" s="1752"/>
      <c r="B1337" s="1737" t="s">
        <v>4297</v>
      </c>
      <c r="C1337" s="1741"/>
      <c r="D1337" s="1741"/>
      <c r="E1337" s="1352" t="s">
        <v>5144</v>
      </c>
      <c r="F1337" s="1352" t="s">
        <v>4956</v>
      </c>
      <c r="G1337" s="1352" t="s">
        <v>4957</v>
      </c>
      <c r="H1337" s="1742" t="s">
        <v>5145</v>
      </c>
    </row>
    <row r="1338" spans="1:8">
      <c r="A1338" s="1752"/>
      <c r="B1338" s="1543"/>
      <c r="C1338" s="1447"/>
      <c r="D1338" s="1447"/>
      <c r="E1338" s="1399"/>
      <c r="F1338" s="1399"/>
      <c r="G1338" s="1399"/>
      <c r="H1338" s="1448"/>
    </row>
    <row r="1339" spans="1:8">
      <c r="A1339" s="1752"/>
      <c r="B1339" s="1439">
        <v>21</v>
      </c>
      <c r="C1339" s="1450" t="s">
        <v>5681</v>
      </c>
      <c r="D1339" s="1364"/>
      <c r="E1339" s="1364"/>
      <c r="F1339" s="1364"/>
      <c r="G1339" s="1364"/>
      <c r="H1339" s="1440"/>
    </row>
    <row r="1340" spans="1:8">
      <c r="A1340" s="1752"/>
      <c r="B1340" s="1439">
        <v>22</v>
      </c>
      <c r="C1340" s="1364" t="s">
        <v>5293</v>
      </c>
      <c r="D1340" s="1364" t="s">
        <v>4067</v>
      </c>
      <c r="E1340" s="1364">
        <f>+IF(ISBLANK(REPORTS!F1097),"",REPORTS!F1097)</f>
        <v>92545.866450000001</v>
      </c>
      <c r="F1340" s="1364">
        <f>+IF(ISBLANK(REPORTS!G1097),"",REPORTS!G1097)</f>
        <v>0</v>
      </c>
      <c r="G1340" s="1364">
        <f>+IF(ISBLANK(REPORTS!H1097),"",REPORTS!H1097)</f>
        <v>92545.866450000001</v>
      </c>
      <c r="H1340" s="1374">
        <f>+IF(ISBLANK(REPORTS!I1097),"",REPORTS!I1097)</f>
        <v>1</v>
      </c>
    </row>
    <row r="1341" spans="1:8">
      <c r="A1341" s="1752"/>
      <c r="B1341" s="1439">
        <v>23</v>
      </c>
      <c r="C1341" s="1364"/>
      <c r="D1341" s="1364"/>
      <c r="E1341" s="1364" t="str">
        <f>+IF(ISBLANK(REPORTS!F1098),"",REPORTS!F1098)</f>
        <v/>
      </c>
      <c r="F1341" s="1324" t="str">
        <f>+IF(ISBLANK(REPORTS!G1098),"",REPORTS!G1098)</f>
        <v/>
      </c>
      <c r="G1341" s="1324" t="str">
        <f>+IF(ISBLANK(REPORTS!H1098),"",REPORTS!H1098)</f>
        <v/>
      </c>
      <c r="H1341" s="1440" t="str">
        <f>+IF(ISBLANK(REPORTS!I1098),"",REPORTS!I1098)</f>
        <v/>
      </c>
    </row>
    <row r="1342" spans="1:8">
      <c r="A1342" s="1752"/>
      <c r="B1342" s="1439">
        <v>24</v>
      </c>
      <c r="C1342" s="1364" t="s">
        <v>5405</v>
      </c>
      <c r="D1342" s="1364" t="s">
        <v>4071</v>
      </c>
      <c r="E1342" s="1364">
        <f>+IF(ISBLANK(REPORTS!F1099),"",REPORTS!F1099)</f>
        <v>14631.668475942406</v>
      </c>
      <c r="F1342" s="1364">
        <f>+IF(ISBLANK(REPORTS!G1099),"",REPORTS!G1099)</f>
        <v>0</v>
      </c>
      <c r="G1342" s="1364">
        <f>+IF(ISBLANK(REPORTS!H1099),"",REPORTS!H1099)</f>
        <v>14631.668475942406</v>
      </c>
      <c r="H1342" s="1374">
        <f>+IF(ISBLANK(REPORTS!I1099),"",REPORTS!I1099)</f>
        <v>1</v>
      </c>
    </row>
    <row r="1343" spans="1:8">
      <c r="A1343" s="1760"/>
      <c r="B1343" s="1439">
        <v>25</v>
      </c>
      <c r="C1343" s="1364" t="s">
        <v>5406</v>
      </c>
      <c r="D1343" s="1364" t="s">
        <v>4067</v>
      </c>
      <c r="E1343" s="1364">
        <f>+IF(ISBLANK(REPORTS!F1100),"",REPORTS!F1100)</f>
        <v>137305.75619418611</v>
      </c>
      <c r="F1343" s="1364">
        <f>+IF(ISBLANK(REPORTS!G1100),"",REPORTS!G1100)</f>
        <v>0</v>
      </c>
      <c r="G1343" s="1364">
        <f>+IF(ISBLANK(REPORTS!H1100),"",REPORTS!H1100)</f>
        <v>137305.75619418611</v>
      </c>
      <c r="H1343" s="1374">
        <f>+IF(ISBLANK(REPORTS!I1100),"",REPORTS!I1100)</f>
        <v>1</v>
      </c>
    </row>
    <row r="1344" spans="1:8">
      <c r="A1344" s="1760"/>
      <c r="B1344" s="1439">
        <v>26</v>
      </c>
      <c r="C1344" s="1364" t="s">
        <v>5407</v>
      </c>
      <c r="D1344" s="1364" t="s">
        <v>4071</v>
      </c>
      <c r="E1344" s="1364">
        <f>+IF(ISBLANK(REPORTS!F1101),"",REPORTS!F1101)</f>
        <v>0</v>
      </c>
      <c r="F1344" s="1364">
        <f>+IF(ISBLANK(REPORTS!G1101),"",REPORTS!G1101)</f>
        <v>0</v>
      </c>
      <c r="G1344" s="1364">
        <f>+IF(ISBLANK(REPORTS!H1101),"",REPORTS!H1101)</f>
        <v>0</v>
      </c>
      <c r="H1344" s="1374">
        <f>+IF(ISBLANK(REPORTS!I1101),"",REPORTS!I1101)</f>
        <v>0</v>
      </c>
    </row>
    <row r="1345" spans="1:8">
      <c r="A1345" s="1752"/>
      <c r="B1345" s="1439">
        <v>27</v>
      </c>
      <c r="C1345" s="1364" t="s">
        <v>5408</v>
      </c>
      <c r="D1345" s="1364" t="s">
        <v>4067</v>
      </c>
      <c r="E1345" s="1364">
        <f>+IF(ISBLANK(REPORTS!F1102),"",REPORTS!F1102)</f>
        <v>41236.554519871468</v>
      </c>
      <c r="F1345" s="1364">
        <f>+IF(ISBLANK(REPORTS!G1102),"",REPORTS!G1102)</f>
        <v>0</v>
      </c>
      <c r="G1345" s="1364">
        <f>+IF(ISBLANK(REPORTS!H1102),"",REPORTS!H1102)</f>
        <v>41236.554519871468</v>
      </c>
      <c r="H1345" s="1374">
        <f>+IF(ISBLANK(REPORTS!I1102),"",REPORTS!I1102)</f>
        <v>1</v>
      </c>
    </row>
    <row r="1346" spans="1:8">
      <c r="A1346" s="1752"/>
      <c r="B1346" s="1439">
        <v>28</v>
      </c>
      <c r="C1346" s="1364" t="s">
        <v>5409</v>
      </c>
      <c r="D1346" s="1364" t="s">
        <v>4071</v>
      </c>
      <c r="E1346" s="1364">
        <f>+IF(ISBLANK(REPORTS!F1103),"",REPORTS!F1103)</f>
        <v>0</v>
      </c>
      <c r="F1346" s="1364">
        <f>+IF(ISBLANK(REPORTS!G1103),"",REPORTS!G1103)</f>
        <v>0</v>
      </c>
      <c r="G1346" s="1364">
        <f>+IF(ISBLANK(REPORTS!H1103),"",REPORTS!H1103)</f>
        <v>0</v>
      </c>
      <c r="H1346" s="1374">
        <f>+IF(ISBLANK(REPORTS!I1103),"",REPORTS!I1103)</f>
        <v>0</v>
      </c>
    </row>
    <row r="1347" spans="1:8">
      <c r="A1347" s="1752"/>
      <c r="B1347" s="1439">
        <v>29</v>
      </c>
      <c r="C1347" s="1364" t="s">
        <v>5637</v>
      </c>
      <c r="D1347" s="1364"/>
      <c r="E1347" s="1421">
        <f>+IF(ISBLANK(REPORTS!F1104),"",REPORTS!F1104)</f>
        <v>193173.97918999998</v>
      </c>
      <c r="F1347" s="1421">
        <f>+IF(ISBLANK(REPORTS!G1104),"",REPORTS!G1104)</f>
        <v>0</v>
      </c>
      <c r="G1347" s="1421">
        <f>+IF(ISBLANK(REPORTS!H1104),"",REPORTS!H1104)</f>
        <v>193173.97918999998</v>
      </c>
      <c r="H1347" s="1374">
        <f>+IF(ISBLANK(REPORTS!I1104),"",REPORTS!I1104)</f>
        <v>1</v>
      </c>
    </row>
    <row r="1348" spans="1:8">
      <c r="A1348" s="1752"/>
      <c r="B1348" s="1439">
        <v>30</v>
      </c>
      <c r="C1348" s="1364"/>
      <c r="D1348" s="1364"/>
      <c r="E1348" s="1364" t="str">
        <f>+IF(ISBLANK(REPORTS!F1105),"",REPORTS!F1105)</f>
        <v/>
      </c>
      <c r="F1348" s="1324" t="str">
        <f>+IF(ISBLANK(REPORTS!G1105),"",REPORTS!G1105)</f>
        <v/>
      </c>
      <c r="G1348" s="1324" t="str">
        <f>+IF(ISBLANK(REPORTS!H1105),"",REPORTS!H1105)</f>
        <v/>
      </c>
      <c r="H1348" s="1440" t="str">
        <f>+IF(ISBLANK(REPORTS!I1105),"",REPORTS!I1105)</f>
        <v/>
      </c>
    </row>
    <row r="1349" spans="1:8">
      <c r="A1349" s="1752"/>
      <c r="B1349" s="1439">
        <v>31</v>
      </c>
      <c r="C1349" s="1364" t="s">
        <v>5301</v>
      </c>
      <c r="D1349" s="1364" t="s">
        <v>4071</v>
      </c>
      <c r="E1349" s="1364">
        <f>+IF(ISBLANK(REPORTS!F1106),"",REPORTS!F1106)</f>
        <v>2332.0188410518558</v>
      </c>
      <c r="F1349" s="1364">
        <f>+IF(ISBLANK(REPORTS!G1106),"",REPORTS!G1106)</f>
        <v>0</v>
      </c>
      <c r="G1349" s="1364">
        <f>+IF(ISBLANK(REPORTS!H1106),"",REPORTS!H1106)</f>
        <v>2332.0188410518558</v>
      </c>
      <c r="H1349" s="1374">
        <f>+IF(ISBLANK(REPORTS!I1106),"",REPORTS!I1106)</f>
        <v>1</v>
      </c>
    </row>
    <row r="1350" spans="1:8">
      <c r="A1350" s="1752"/>
      <c r="B1350" s="1439">
        <v>32</v>
      </c>
      <c r="C1350" s="1364" t="s">
        <v>5303</v>
      </c>
      <c r="D1350" s="1364" t="s">
        <v>4067</v>
      </c>
      <c r="E1350" s="1364">
        <f>+IF(ISBLANK(REPORTS!F1107),"",REPORTS!F1107)</f>
        <v>129229.6256603201</v>
      </c>
      <c r="F1350" s="1364">
        <f>+IF(ISBLANK(REPORTS!G1107),"",REPORTS!G1107)</f>
        <v>0</v>
      </c>
      <c r="G1350" s="1364">
        <f>+IF(ISBLANK(REPORTS!H1107),"",REPORTS!H1107)</f>
        <v>129229.6256603201</v>
      </c>
      <c r="H1350" s="1374">
        <f>+IF(ISBLANK(REPORTS!I1107),"",REPORTS!I1107)</f>
        <v>1</v>
      </c>
    </row>
    <row r="1351" spans="1:8">
      <c r="A1351" s="1752"/>
      <c r="B1351" s="1439">
        <v>33</v>
      </c>
      <c r="C1351" s="1364" t="s">
        <v>5304</v>
      </c>
      <c r="D1351" s="1364" t="s">
        <v>4071</v>
      </c>
      <c r="E1351" s="1364">
        <f>+IF(ISBLANK(REPORTS!F1108),"",REPORTS!F1108)</f>
        <v>0</v>
      </c>
      <c r="F1351" s="1364">
        <f>+IF(ISBLANK(REPORTS!G1108),"",REPORTS!G1108)</f>
        <v>0</v>
      </c>
      <c r="G1351" s="1364">
        <f>+IF(ISBLANK(REPORTS!H1108),"",REPORTS!H1108)</f>
        <v>0</v>
      </c>
      <c r="H1351" s="1374">
        <f>+IF(ISBLANK(REPORTS!I1108),"",REPORTS!I1108)</f>
        <v>0</v>
      </c>
    </row>
    <row r="1352" spans="1:8" ht="28.2">
      <c r="A1352" s="1753" t="s">
        <v>5143</v>
      </c>
      <c r="B1352" s="1439">
        <v>34</v>
      </c>
      <c r="C1352" s="1364" t="s">
        <v>5306</v>
      </c>
      <c r="D1352" s="1364" t="s">
        <v>4067</v>
      </c>
      <c r="E1352" s="1364">
        <f>+IF(ISBLANK(REPORTS!F1109),"",REPORTS!F1109)</f>
        <v>19659.49503862804</v>
      </c>
      <c r="F1352" s="1364">
        <f>+IF(ISBLANK(REPORTS!G1109),"",REPORTS!G1109)</f>
        <v>0</v>
      </c>
      <c r="G1352" s="1364">
        <f>+IF(ISBLANK(REPORTS!H1109),"",REPORTS!H1109)</f>
        <v>19659.49503862804</v>
      </c>
      <c r="H1352" s="1374">
        <f>+IF(ISBLANK(REPORTS!I1109),"",REPORTS!I1109)</f>
        <v>1</v>
      </c>
    </row>
    <row r="1353" spans="1:8">
      <c r="A1353" s="1753"/>
      <c r="B1353" s="1439">
        <v>35</v>
      </c>
      <c r="C1353" s="1364" t="s">
        <v>5307</v>
      </c>
      <c r="D1353" s="1364" t="s">
        <v>4071</v>
      </c>
      <c r="E1353" s="1364">
        <f>+IF(ISBLANK(REPORTS!F1110),"",REPORTS!F1110)</f>
        <v>0</v>
      </c>
      <c r="F1353" s="1364">
        <f>+IF(ISBLANK(REPORTS!G1110),"",REPORTS!G1110)</f>
        <v>0</v>
      </c>
      <c r="G1353" s="1364">
        <f>+IF(ISBLANK(REPORTS!H1110),"",REPORTS!H1110)</f>
        <v>0</v>
      </c>
      <c r="H1353" s="1374">
        <f>+IF(ISBLANK(REPORTS!I1110),"",REPORTS!I1110)</f>
        <v>0</v>
      </c>
    </row>
    <row r="1354" spans="1:8">
      <c r="A1354" s="1752"/>
      <c r="B1354" s="1439">
        <v>36</v>
      </c>
      <c r="C1354" s="1364" t="s">
        <v>5308</v>
      </c>
      <c r="D1354" s="1364"/>
      <c r="E1354" s="1421">
        <f>+IF(ISBLANK(REPORTS!F1111),"",REPORTS!F1111)</f>
        <v>151221.13954</v>
      </c>
      <c r="F1354" s="1421">
        <f>+IF(ISBLANK(REPORTS!G1111),"",REPORTS!G1111)</f>
        <v>0</v>
      </c>
      <c r="G1354" s="1421">
        <f>+IF(ISBLANK(REPORTS!H1111),"",REPORTS!H1111)</f>
        <v>151221.13954</v>
      </c>
      <c r="H1354" s="1374">
        <f>+IF(ISBLANK(REPORTS!I1111),"",REPORTS!I1111)</f>
        <v>1</v>
      </c>
    </row>
    <row r="1355" spans="1:8">
      <c r="A1355" s="1751">
        <v>105</v>
      </c>
      <c r="B1355" s="1439">
        <v>37</v>
      </c>
      <c r="C1355" s="1447"/>
      <c r="D1355" s="1447"/>
      <c r="E1355" s="1399" t="str">
        <f>+IF(ISBLANK(REPORTS!F1112),"",REPORTS!F1112)</f>
        <v/>
      </c>
      <c r="F1355" s="1399" t="str">
        <f>+IF(ISBLANK(REPORTS!G1112),"",REPORTS!G1112)</f>
        <v/>
      </c>
      <c r="G1355" s="1399" t="str">
        <f>+IF(ISBLANK(REPORTS!H1112),"",REPORTS!H1112)</f>
        <v/>
      </c>
      <c r="H1355" s="1448" t="str">
        <f>+IF(ISBLANK(REPORTS!I1112),"",REPORTS!I1112)</f>
        <v/>
      </c>
    </row>
    <row r="1356" spans="1:8">
      <c r="A1356" s="1752"/>
      <c r="B1356" s="1439">
        <v>38</v>
      </c>
      <c r="C1356" s="1364" t="s">
        <v>5310</v>
      </c>
      <c r="D1356" s="1364" t="s">
        <v>4071</v>
      </c>
      <c r="E1356" s="1364">
        <f>+IF(ISBLANK(REPORTS!F1113),"",REPORTS!F1113)</f>
        <v>72.255280302396912</v>
      </c>
      <c r="F1356" s="1364">
        <f>+IF(ISBLANK(REPORTS!G1113),"",REPORTS!G1113)</f>
        <v>0</v>
      </c>
      <c r="G1356" s="1364">
        <f>+IF(ISBLANK(REPORTS!H1113),"",REPORTS!H1113)</f>
        <v>72.255280302396912</v>
      </c>
      <c r="H1356" s="1374">
        <f>+IF(ISBLANK(REPORTS!I1113),"",REPORTS!I1113)</f>
        <v>1</v>
      </c>
    </row>
    <row r="1357" spans="1:8">
      <c r="A1357" s="1751">
        <v>310</v>
      </c>
      <c r="B1357" s="1439">
        <v>39</v>
      </c>
      <c r="C1357" s="1364" t="s">
        <v>5311</v>
      </c>
      <c r="D1357" s="1364" t="s">
        <v>4067</v>
      </c>
      <c r="E1357" s="1364">
        <f>+IF(ISBLANK(REPORTS!F1114),"",REPORTS!F1114)</f>
        <v>141098.14499999696</v>
      </c>
      <c r="F1357" s="1364">
        <f>+IF(ISBLANK(REPORTS!G1114),"",REPORTS!G1114)</f>
        <v>0</v>
      </c>
      <c r="G1357" s="1364">
        <f>+IF(ISBLANK(REPORTS!H1114),"",REPORTS!H1114)</f>
        <v>141098.14499999696</v>
      </c>
      <c r="H1357" s="1374">
        <f>+IF(ISBLANK(REPORTS!I1114),"",REPORTS!I1114)</f>
        <v>1</v>
      </c>
    </row>
    <row r="1358" spans="1:8">
      <c r="A1358" s="1751">
        <v>105</v>
      </c>
      <c r="B1358" s="1439">
        <v>40</v>
      </c>
      <c r="C1358" s="1364" t="s">
        <v>5312</v>
      </c>
      <c r="D1358" s="1364" t="s">
        <v>4071</v>
      </c>
      <c r="E1358" s="1364">
        <f>+IF(ISBLANK(REPORTS!F1115),"",REPORTS!F1115)</f>
        <v>0</v>
      </c>
      <c r="F1358" s="1364">
        <f>+IF(ISBLANK(REPORTS!G1115),"",REPORTS!G1115)</f>
        <v>0</v>
      </c>
      <c r="G1358" s="1364">
        <f>+IF(ISBLANK(REPORTS!H1115),"",REPORTS!H1115)</f>
        <v>0</v>
      </c>
      <c r="H1358" s="1374">
        <f>+IF(ISBLANK(REPORTS!I1115),"",REPORTS!I1115)</f>
        <v>0</v>
      </c>
    </row>
    <row r="1359" spans="1:8">
      <c r="A1359" s="1751">
        <v>418</v>
      </c>
      <c r="B1359" s="1439">
        <v>41</v>
      </c>
      <c r="C1359" s="1364" t="s">
        <v>5313</v>
      </c>
      <c r="D1359" s="1364" t="s">
        <v>4067</v>
      </c>
      <c r="E1359" s="1364">
        <f>+IF(ISBLANK(REPORTS!F1116),"",REPORTS!F1116)</f>
        <v>10758.21235970067</v>
      </c>
      <c r="F1359" s="1364">
        <f>+IF(ISBLANK(REPORTS!G1116),"",REPORTS!G1116)</f>
        <v>0</v>
      </c>
      <c r="G1359" s="1364">
        <f>+IF(ISBLANK(REPORTS!H1116),"",REPORTS!H1116)</f>
        <v>10758.21235970067</v>
      </c>
      <c r="H1359" s="1374">
        <f>+IF(ISBLANK(REPORTS!I1116),"",REPORTS!I1116)</f>
        <v>1</v>
      </c>
    </row>
    <row r="1360" spans="1:8">
      <c r="A1360" s="1751">
        <v>106</v>
      </c>
      <c r="B1360" s="1439">
        <v>42</v>
      </c>
      <c r="C1360" s="1364" t="s">
        <v>5314</v>
      </c>
      <c r="D1360" s="1364" t="s">
        <v>4071</v>
      </c>
      <c r="E1360" s="1364">
        <f>+IF(ISBLANK(REPORTS!F1117),"",REPORTS!F1117)</f>
        <v>0</v>
      </c>
      <c r="F1360" s="1364">
        <f>+IF(ISBLANK(REPORTS!G1117),"",REPORTS!G1117)</f>
        <v>0</v>
      </c>
      <c r="G1360" s="1364">
        <f>+IF(ISBLANK(REPORTS!H1117),"",REPORTS!H1117)</f>
        <v>0</v>
      </c>
      <c r="H1360" s="1374">
        <f>+IF(ISBLANK(REPORTS!I1117),"",REPORTS!I1117)</f>
        <v>0</v>
      </c>
    </row>
    <row r="1361" spans="1:8">
      <c r="A1361" s="1751">
        <v>420</v>
      </c>
      <c r="B1361" s="1439">
        <v>43</v>
      </c>
      <c r="C1361" s="1364" t="s">
        <v>5315</v>
      </c>
      <c r="D1361" s="1364"/>
      <c r="E1361" s="1421">
        <f>+IF(ISBLANK(REPORTS!F1118),"",REPORTS!F1118)</f>
        <v>151928.61264000004</v>
      </c>
      <c r="F1361" s="1421">
        <f>+IF(ISBLANK(REPORTS!G1118),"",REPORTS!G1118)</f>
        <v>0</v>
      </c>
      <c r="G1361" s="1421">
        <f>+IF(ISBLANK(REPORTS!H1118),"",REPORTS!H1118)</f>
        <v>151928.61264000004</v>
      </c>
      <c r="H1361" s="1374">
        <f>+IF(ISBLANK(REPORTS!I1118),"",REPORTS!I1118)</f>
        <v>1</v>
      </c>
    </row>
    <row r="1362" spans="1:8">
      <c r="A1362" s="1752"/>
      <c r="B1362" s="1439">
        <v>44</v>
      </c>
      <c r="C1362" s="1364"/>
      <c r="D1362" s="1364"/>
      <c r="E1362" s="1364" t="str">
        <f>+IF(ISBLANK(REPORTS!F1119),"",REPORTS!F1119)</f>
        <v/>
      </c>
      <c r="F1362" s="1324" t="str">
        <f>+IF(ISBLANK(REPORTS!G1119),"",REPORTS!G1119)</f>
        <v/>
      </c>
      <c r="G1362" s="1324" t="str">
        <f>+IF(ISBLANK(REPORTS!H1119),"",REPORTS!H1119)</f>
        <v/>
      </c>
      <c r="H1362" s="1440" t="str">
        <f>+IF(ISBLANK(REPORTS!I1119),"",REPORTS!I1119)</f>
        <v/>
      </c>
    </row>
    <row r="1363" spans="1:8">
      <c r="A1363" s="1752"/>
      <c r="B1363" s="1439">
        <v>45</v>
      </c>
      <c r="C1363" s="1324" t="s">
        <v>5317</v>
      </c>
      <c r="D1363" s="1364" t="s">
        <v>4071</v>
      </c>
      <c r="E1363" s="1364">
        <f>+IF(ISBLANK(REPORTS!F1120),"",REPORTS!F1120)</f>
        <v>0</v>
      </c>
      <c r="F1363" s="1364">
        <f>+IF(ISBLANK(REPORTS!G1120),"",REPORTS!G1120)</f>
        <v>0</v>
      </c>
      <c r="G1363" s="1364">
        <f>+IF(ISBLANK(REPORTS!H1120),"",REPORTS!H1120)</f>
        <v>0</v>
      </c>
      <c r="H1363" s="1374">
        <f>+IF(ISBLANK(REPORTS!I1120),"",REPORTS!I1120)</f>
        <v>0</v>
      </c>
    </row>
    <row r="1364" spans="1:8">
      <c r="A1364" s="1751">
        <v>310</v>
      </c>
      <c r="B1364" s="1439">
        <v>46</v>
      </c>
      <c r="C1364" s="1324" t="s">
        <v>5318</v>
      </c>
      <c r="D1364" s="1364" t="s">
        <v>4067</v>
      </c>
      <c r="E1364" s="1364">
        <f>+IF(ISBLANK(REPORTS!F1121),"",REPORTS!F1121)</f>
        <v>61807.293146566983</v>
      </c>
      <c r="F1364" s="1364">
        <f>+IF(ISBLANK(REPORTS!G1121),"",REPORTS!G1121)</f>
        <v>0</v>
      </c>
      <c r="G1364" s="1364">
        <f>+IF(ISBLANK(REPORTS!H1121),"",REPORTS!H1121)</f>
        <v>61807.293146566983</v>
      </c>
      <c r="H1364" s="1374">
        <f>+IF(ISBLANK(REPORTS!I1121),"",REPORTS!I1121)</f>
        <v>1</v>
      </c>
    </row>
    <row r="1365" spans="1:8">
      <c r="A1365" s="1751">
        <v>105</v>
      </c>
      <c r="B1365" s="1439">
        <v>47</v>
      </c>
      <c r="C1365" s="1324" t="s">
        <v>5319</v>
      </c>
      <c r="D1365" s="1364" t="s">
        <v>4071</v>
      </c>
      <c r="E1365" s="1364">
        <f>+IF(ISBLANK(REPORTS!F1122),"",REPORTS!F1122)</f>
        <v>0</v>
      </c>
      <c r="F1365" s="1364">
        <f>+IF(ISBLANK(REPORTS!G1122),"",REPORTS!G1122)</f>
        <v>0</v>
      </c>
      <c r="G1365" s="1364">
        <f>+IF(ISBLANK(REPORTS!H1122),"",REPORTS!H1122)</f>
        <v>0</v>
      </c>
      <c r="H1365" s="1374">
        <f>+IF(ISBLANK(REPORTS!I1122),"",REPORTS!I1122)</f>
        <v>0</v>
      </c>
    </row>
    <row r="1366" spans="1:8">
      <c r="A1366" s="1751">
        <v>418</v>
      </c>
      <c r="B1366" s="1439">
        <v>48</v>
      </c>
      <c r="C1366" s="1324" t="s">
        <v>5320</v>
      </c>
      <c r="D1366" s="1364" t="s">
        <v>4067</v>
      </c>
      <c r="E1366" s="1364">
        <f>+IF(ISBLANK(REPORTS!F1123),"",REPORTS!F1123)</f>
        <v>313998.53075343295</v>
      </c>
      <c r="F1366" s="1364">
        <f>+IF(ISBLANK(REPORTS!G1123),"",REPORTS!G1123)</f>
        <v>0</v>
      </c>
      <c r="G1366" s="1364">
        <f>+IF(ISBLANK(REPORTS!H1123),"",REPORTS!H1123)</f>
        <v>313998.53075343295</v>
      </c>
      <c r="H1366" s="1374">
        <f>+IF(ISBLANK(REPORTS!I1123),"",REPORTS!I1123)</f>
        <v>1</v>
      </c>
    </row>
    <row r="1367" spans="1:8">
      <c r="A1367" s="1751">
        <v>106</v>
      </c>
      <c r="B1367" s="1439">
        <v>49</v>
      </c>
      <c r="C1367" s="1324" t="s">
        <v>5321</v>
      </c>
      <c r="D1367" s="1364" t="s">
        <v>4071</v>
      </c>
      <c r="E1367" s="1364">
        <f>+IF(ISBLANK(REPORTS!F1124),"",REPORTS!F1124)</f>
        <v>0</v>
      </c>
      <c r="F1367" s="1364">
        <f>+IF(ISBLANK(REPORTS!G1124),"",REPORTS!G1124)</f>
        <v>0</v>
      </c>
      <c r="G1367" s="1364">
        <f>+IF(ISBLANK(REPORTS!H1124),"",REPORTS!H1124)</f>
        <v>0</v>
      </c>
      <c r="H1367" s="1374">
        <f>+IF(ISBLANK(REPORTS!I1124),"",REPORTS!I1124)</f>
        <v>0</v>
      </c>
    </row>
    <row r="1368" spans="1:8">
      <c r="A1368" s="1751">
        <v>420</v>
      </c>
      <c r="B1368" s="1439">
        <v>50</v>
      </c>
      <c r="C1368" s="1324" t="s">
        <v>5322</v>
      </c>
      <c r="D1368" s="1364"/>
      <c r="E1368" s="1421">
        <f>+IF(ISBLANK(REPORTS!F1125),"",REPORTS!F1125)</f>
        <v>375805.82389999996</v>
      </c>
      <c r="F1368" s="1421">
        <f>+IF(ISBLANK(REPORTS!G1125),"",REPORTS!G1125)</f>
        <v>0</v>
      </c>
      <c r="G1368" s="1421">
        <f>+IF(ISBLANK(REPORTS!H1125),"",REPORTS!H1125)</f>
        <v>375805.82389999996</v>
      </c>
      <c r="H1368" s="1374">
        <f>+IF(ISBLANK(REPORTS!I1125),"",REPORTS!I1125)</f>
        <v>1</v>
      </c>
    </row>
    <row r="1369" spans="1:8">
      <c r="A1369" s="1752"/>
      <c r="B1369" s="1439">
        <v>51</v>
      </c>
      <c r="C1369" s="1364"/>
      <c r="D1369" s="1364"/>
      <c r="E1369" s="1364" t="str">
        <f>+IF(ISBLANK(REPORTS!F1126),"",REPORTS!F1126)</f>
        <v/>
      </c>
      <c r="F1369" s="1324" t="str">
        <f>+IF(ISBLANK(REPORTS!G1126),"",REPORTS!G1126)</f>
        <v/>
      </c>
      <c r="G1369" s="1324" t="str">
        <f>+IF(ISBLANK(REPORTS!H1126),"",REPORTS!H1126)</f>
        <v/>
      </c>
      <c r="H1369" s="1440" t="str">
        <f>+IF(ISBLANK(REPORTS!I1126),"",REPORTS!I1126)</f>
        <v/>
      </c>
    </row>
    <row r="1370" spans="1:8">
      <c r="A1370" s="1753"/>
      <c r="B1370" s="1439">
        <v>52</v>
      </c>
      <c r="C1370" s="1364" t="s">
        <v>5324</v>
      </c>
      <c r="D1370" s="1364" t="s">
        <v>4071</v>
      </c>
      <c r="E1370" s="1364">
        <f>+IF(ISBLANK(REPORTS!F1127),"",REPORTS!F1127)</f>
        <v>143574.07361000002</v>
      </c>
      <c r="F1370" s="1364">
        <f>+IF(ISBLANK(REPORTS!G1127),"",REPORTS!G1127)</f>
        <v>0</v>
      </c>
      <c r="G1370" s="1364">
        <f>+IF(ISBLANK(REPORTS!H1127),"",REPORTS!H1127)</f>
        <v>143574.07361000002</v>
      </c>
      <c r="H1370" s="1374">
        <f>+IF(ISBLANK(REPORTS!I1127),"",REPORTS!I1127)</f>
        <v>1</v>
      </c>
    </row>
    <row r="1371" spans="1:8">
      <c r="A1371" s="1751">
        <v>310</v>
      </c>
      <c r="B1371" s="1439">
        <v>53</v>
      </c>
      <c r="C1371" s="1364" t="s">
        <v>5325</v>
      </c>
      <c r="D1371" s="1364" t="s">
        <v>4071</v>
      </c>
      <c r="E1371" s="1364">
        <f>+IF(ISBLANK(REPORTS!F1128),"",REPORTS!F1128)</f>
        <v>25380.59634</v>
      </c>
      <c r="F1371" s="1364">
        <f>+IF(ISBLANK(REPORTS!G1128),"",REPORTS!G1128)</f>
        <v>0</v>
      </c>
      <c r="G1371" s="1364">
        <f>+IF(ISBLANK(REPORTS!H1128),"",REPORTS!H1128)</f>
        <v>25380.59634</v>
      </c>
      <c r="H1371" s="1374">
        <f>+IF(ISBLANK(REPORTS!I1128),"",REPORTS!I1128)</f>
        <v>1</v>
      </c>
    </row>
    <row r="1372" spans="1:8">
      <c r="A1372" s="1751">
        <v>105</v>
      </c>
      <c r="B1372" s="1439">
        <v>54</v>
      </c>
      <c r="C1372" s="1364" t="s">
        <v>5416</v>
      </c>
      <c r="D1372" s="1364" t="s">
        <v>4071</v>
      </c>
      <c r="E1372" s="1364">
        <f>+IF(ISBLANK(REPORTS!F1129),"",REPORTS!F1129)</f>
        <v>0</v>
      </c>
      <c r="F1372" s="1364">
        <f>+IF(ISBLANK(REPORTS!G1129),"",REPORTS!G1129)</f>
        <v>0</v>
      </c>
      <c r="G1372" s="1364">
        <f>+IF(ISBLANK(REPORTS!H1129),"",REPORTS!H1129)</f>
        <v>0</v>
      </c>
      <c r="H1372" s="1374">
        <f>+IF(ISBLANK(REPORTS!I1129),"",REPORTS!I1129)</f>
        <v>0</v>
      </c>
    </row>
    <row r="1373" spans="1:8">
      <c r="A1373" s="1751">
        <v>418</v>
      </c>
      <c r="B1373" s="1439">
        <v>55</v>
      </c>
      <c r="C1373" s="1364" t="s">
        <v>5329</v>
      </c>
      <c r="D1373" s="1364" t="s">
        <v>4071</v>
      </c>
      <c r="E1373" s="1364">
        <f>+IF(ISBLANK(REPORTS!F1130),"",REPORTS!F1130)</f>
        <v>132134.3505</v>
      </c>
      <c r="F1373" s="1366">
        <f>+IF(ISBLANK(REPORTS!G1130),"",REPORTS!G1130)</f>
        <v>0</v>
      </c>
      <c r="G1373" s="1366">
        <f>+IF(ISBLANK(REPORTS!H1130),"",REPORTS!H1130)</f>
        <v>132134.3505</v>
      </c>
      <c r="H1373" s="1374">
        <f>+IF(ISBLANK(REPORTS!I1130),"",REPORTS!I1130)</f>
        <v>1</v>
      </c>
    </row>
    <row r="1374" spans="1:8">
      <c r="A1374" s="1751">
        <v>106</v>
      </c>
      <c r="B1374" s="1439">
        <v>56</v>
      </c>
      <c r="C1374" s="1364"/>
      <c r="D1374" s="1364"/>
      <c r="E1374" s="1375" t="str">
        <f>+IF(ISBLANK(REPORTS!F1131),"",REPORTS!F1131)</f>
        <v/>
      </c>
      <c r="F1374" s="1364" t="str">
        <f>+IF(ISBLANK(REPORTS!G1131),"",REPORTS!G1131)</f>
        <v/>
      </c>
      <c r="G1374" s="1364" t="str">
        <f>+IF(ISBLANK(REPORTS!H1131),"",REPORTS!H1131)</f>
        <v/>
      </c>
      <c r="H1374" s="1440" t="str">
        <f>+IF(ISBLANK(REPORTS!I1131),"",REPORTS!I1131)</f>
        <v/>
      </c>
    </row>
    <row r="1375" spans="1:8">
      <c r="A1375" s="1751">
        <v>420</v>
      </c>
      <c r="B1375" s="1439">
        <v>57</v>
      </c>
      <c r="C1375" s="1364" t="s">
        <v>5682</v>
      </c>
      <c r="D1375" s="1364" t="s">
        <v>4067</v>
      </c>
      <c r="E1375" s="1364">
        <f>+IF(ISBLANK(REPORTS!F1132),"",REPORTS!F1132)</f>
        <v>947639.4791227032</v>
      </c>
      <c r="F1375" s="1364">
        <f>+IF(ISBLANK(REPORTS!G1132),"",REPORTS!G1132)</f>
        <v>0</v>
      </c>
      <c r="G1375" s="1364">
        <f>+IF(ISBLANK(REPORTS!H1132),"",REPORTS!H1132)</f>
        <v>947639.4791227032</v>
      </c>
      <c r="H1375" s="1374">
        <f>+IF(ISBLANK(REPORTS!I1132),"",REPORTS!I1132)</f>
        <v>1</v>
      </c>
    </row>
    <row r="1376" spans="1:8">
      <c r="A1376" s="1752"/>
      <c r="B1376" s="1439">
        <v>58</v>
      </c>
      <c r="C1376" s="1364" t="s">
        <v>5682</v>
      </c>
      <c r="D1376" s="1364" t="s">
        <v>4071</v>
      </c>
      <c r="E1376" s="1366">
        <f>+IF(ISBLANK(REPORTS!F1133),"",REPORTS!F1133)</f>
        <v>318124.96304729668</v>
      </c>
      <c r="F1376" s="1366">
        <f>+IF(ISBLANK(REPORTS!G1133),"",REPORTS!G1133)</f>
        <v>0</v>
      </c>
      <c r="G1376" s="1366">
        <f>+IF(ISBLANK(REPORTS!H1133),"",REPORTS!H1133)</f>
        <v>318124.96304729668</v>
      </c>
      <c r="H1376" s="1374">
        <f>+IF(ISBLANK(REPORTS!I1133),"",REPORTS!I1133)</f>
        <v>1</v>
      </c>
    </row>
    <row r="1377" spans="1:8">
      <c r="A1377" s="1752"/>
      <c r="B1377" s="1439">
        <v>59</v>
      </c>
      <c r="C1377" s="1364"/>
      <c r="D1377" s="1364"/>
      <c r="E1377" s="1364" t="str">
        <f>+IF(ISBLANK(REPORTS!F1134),"",REPORTS!F1134)</f>
        <v/>
      </c>
      <c r="F1377" s="1364" t="str">
        <f>+IF(ISBLANK(REPORTS!G1134),"",REPORTS!G1134)</f>
        <v/>
      </c>
      <c r="G1377" s="1364" t="str">
        <f>+IF(ISBLANK(REPORTS!H1134),"",REPORTS!H1134)</f>
        <v/>
      </c>
      <c r="H1377" s="1440" t="str">
        <f>+IF(ISBLANK(REPORTS!I1134),"",REPORTS!I1134)</f>
        <v/>
      </c>
    </row>
    <row r="1378" spans="1:8">
      <c r="A1378" s="1751">
        <v>310</v>
      </c>
      <c r="B1378" s="1439">
        <v>60</v>
      </c>
      <c r="C1378" s="1364" t="s">
        <v>5683</v>
      </c>
      <c r="D1378" s="1364"/>
      <c r="E1378" s="1366">
        <f>+IF(ISBLANK(REPORTS!F1135),"",REPORTS!F1135)</f>
        <v>1265764.4421699999</v>
      </c>
      <c r="F1378" s="1366">
        <f>+IF(ISBLANK(REPORTS!G1135),"",REPORTS!G1135)</f>
        <v>0</v>
      </c>
      <c r="G1378" s="1366">
        <f>+IF(ISBLANK(REPORTS!H1135),"",REPORTS!H1135)</f>
        <v>1265764.4421699999</v>
      </c>
      <c r="H1378" s="1374">
        <f>+IF(ISBLANK(REPORTS!I1135),"",REPORTS!I1135)</f>
        <v>1</v>
      </c>
    </row>
    <row r="1379" spans="1:8">
      <c r="A1379" s="1751">
        <v>105</v>
      </c>
      <c r="B1379" s="1439">
        <v>61</v>
      </c>
      <c r="C1379" s="1364"/>
      <c r="D1379" s="1364"/>
      <c r="E1379" s="1364" t="str">
        <f>+IF(ISBLANK(REPORTS!F1136),"",REPORTS!F1136)</f>
        <v/>
      </c>
      <c r="F1379" s="1364" t="str">
        <f>+IF(ISBLANK(REPORTS!G1136),"",REPORTS!G1136)</f>
        <v/>
      </c>
      <c r="G1379" s="1364" t="str">
        <f>+IF(ISBLANK(REPORTS!H1136),"",REPORTS!H1136)</f>
        <v/>
      </c>
      <c r="H1379" s="1440" t="str">
        <f>+IF(ISBLANK(REPORTS!I1136),"",REPORTS!I1136)</f>
        <v/>
      </c>
    </row>
    <row r="1380" spans="1:8">
      <c r="A1380" s="1751">
        <v>418</v>
      </c>
      <c r="B1380" s="1439">
        <v>62</v>
      </c>
      <c r="C1380" s="1364"/>
      <c r="D1380" s="1364"/>
      <c r="E1380" s="1364" t="str">
        <f>+IF(ISBLANK(REPORTS!F1137),"",REPORTS!F1137)</f>
        <v/>
      </c>
      <c r="F1380" s="1364" t="str">
        <f>+IF(ISBLANK(REPORTS!G1137),"",REPORTS!G1137)</f>
        <v/>
      </c>
      <c r="G1380" s="1364" t="str">
        <f>+IF(ISBLANK(REPORTS!H1137),"",REPORTS!H1137)</f>
        <v/>
      </c>
      <c r="H1380" s="1440" t="str">
        <f>+IF(ISBLANK(REPORTS!I1137),"",REPORTS!I1137)</f>
        <v/>
      </c>
    </row>
    <row r="1381" spans="1:8">
      <c r="A1381" s="1751">
        <v>106</v>
      </c>
    </row>
    <row r="1382" spans="1:8">
      <c r="A1382" s="1751">
        <v>420</v>
      </c>
    </row>
    <row r="1383" spans="1:8">
      <c r="A1383" s="1752"/>
    </row>
    <row r="1384" spans="1:8">
      <c r="A1384" s="1752"/>
    </row>
    <row r="1385" spans="1:8">
      <c r="A1385" s="1751">
        <v>420</v>
      </c>
    </row>
    <row r="1386" spans="1:8">
      <c r="A1386" s="1751">
        <v>308</v>
      </c>
    </row>
    <row r="1387" spans="1:8">
      <c r="A1387" s="1751">
        <v>412</v>
      </c>
    </row>
    <row r="1388" spans="1:8">
      <c r="A1388" s="1751">
        <v>310</v>
      </c>
      <c r="B1388" s="1416" t="str">
        <f>+$B$1</f>
        <v>RATES WITH REVENUE DEFICIENCY ADDITION</v>
      </c>
      <c r="C1388" s="1364"/>
      <c r="D1388" s="1324"/>
      <c r="E1388" s="1336"/>
      <c r="F1388" s="1329" t="s">
        <v>2173</v>
      </c>
      <c r="G1388" s="1364"/>
      <c r="H1388" s="1334" t="s">
        <v>5714</v>
      </c>
    </row>
    <row r="1389" spans="1:8">
      <c r="A1389" s="1752"/>
      <c r="B1389" s="1416" t="str">
        <f>+$B$2</f>
        <v xml:space="preserve">PROD. CAP. ALLOC. METHOD: 12 CP </v>
      </c>
      <c r="C1389" s="1364"/>
      <c r="D1389" s="1324"/>
      <c r="E1389" s="1324"/>
      <c r="F1389" s="1336" t="s">
        <v>4768</v>
      </c>
      <c r="G1389" s="1324"/>
      <c r="H1389" s="1731" t="s">
        <v>4308</v>
      </c>
    </row>
    <row r="1390" spans="1:8">
      <c r="A1390" s="1752"/>
      <c r="B1390" s="1416" t="str">
        <f>+$B$3</f>
        <v>PROJECTED CALENDAR YEAR 2025; FULLY ADJUSTED DATA</v>
      </c>
      <c r="C1390" s="1364"/>
      <c r="D1390" s="1324"/>
      <c r="E1390" s="1324"/>
      <c r="F1390" s="1336" t="s">
        <v>2181</v>
      </c>
      <c r="G1390" s="1324"/>
      <c r="H1390" s="1374"/>
    </row>
    <row r="1391" spans="1:8">
      <c r="A1391" s="1752"/>
      <c r="B1391" s="1732">
        <f>+$B$4</f>
        <v>0</v>
      </c>
      <c r="C1391" s="1364"/>
      <c r="D1391" s="1324"/>
      <c r="E1391" s="1324"/>
      <c r="F1391" s="1364"/>
      <c r="G1391" s="1364"/>
      <c r="H1391" s="1440"/>
    </row>
    <row r="1392" spans="1:8">
      <c r="A1392" s="1752"/>
      <c r="B1392" s="1732" t="str">
        <f>+$B$5</f>
        <v>Tampa Electric 2025 OB Budget</v>
      </c>
      <c r="C1392" s="1364"/>
      <c r="D1392" s="1324"/>
      <c r="E1392" s="1329"/>
      <c r="F1392" s="1336" t="s">
        <v>5674</v>
      </c>
      <c r="G1392" s="1364"/>
      <c r="H1392" s="1440"/>
    </row>
    <row r="1393" spans="1:8">
      <c r="A1393" s="1752"/>
      <c r="B1393" s="1439"/>
      <c r="C1393" s="1364"/>
      <c r="D1393" s="1324"/>
      <c r="E1393" s="1336"/>
      <c r="F1393" s="1364"/>
      <c r="G1393" s="1364"/>
      <c r="H1393" s="1440"/>
    </row>
    <row r="1394" spans="1:8">
      <c r="A1394" s="1752"/>
      <c r="B1394" s="1439"/>
      <c r="C1394" s="1364"/>
      <c r="D1394" s="1364"/>
      <c r="E1394" s="1336"/>
      <c r="F1394" s="1364"/>
      <c r="G1394" s="1364"/>
      <c r="H1394" s="1440"/>
    </row>
    <row r="1395" spans="1:8">
      <c r="A1395" s="1752"/>
      <c r="B1395" s="1439"/>
      <c r="C1395" s="1364"/>
      <c r="D1395" s="1364"/>
      <c r="E1395" s="1364"/>
      <c r="F1395" s="1364"/>
      <c r="G1395" s="1364"/>
      <c r="H1395" s="1440"/>
    </row>
    <row r="1396" spans="1:8">
      <c r="A1396" s="1752"/>
      <c r="B1396" s="1735"/>
      <c r="C1396" s="1416"/>
      <c r="D1396" s="1416"/>
      <c r="E1396" s="1336"/>
      <c r="F1396" s="1336"/>
      <c r="G1396" s="1336"/>
      <c r="H1396" s="1736"/>
    </row>
    <row r="1397" spans="1:8" ht="28.2">
      <c r="A1397" s="1752"/>
      <c r="B1397" s="1737" t="s">
        <v>4297</v>
      </c>
      <c r="C1397" s="1741"/>
      <c r="D1397" s="1741"/>
      <c r="E1397" s="1352" t="s">
        <v>5144</v>
      </c>
      <c r="F1397" s="1352" t="s">
        <v>4956</v>
      </c>
      <c r="G1397" s="1352" t="s">
        <v>4957</v>
      </c>
      <c r="H1397" s="1742" t="s">
        <v>5145</v>
      </c>
    </row>
    <row r="1398" spans="1:8">
      <c r="A1398" s="1752"/>
      <c r="B1398" s="1439">
        <v>63</v>
      </c>
      <c r="C1398" s="1450" t="s">
        <v>5684</v>
      </c>
      <c r="D1398" s="1364"/>
      <c r="E1398" s="1364" t="str">
        <f>+IF(ISBLANK(REPORTS!F1138),"",REPORTS!F1138)</f>
        <v/>
      </c>
      <c r="F1398" s="1364" t="str">
        <f>+IF(ISBLANK(REPORTS!G1138),"",REPORTS!G1138)</f>
        <v/>
      </c>
      <c r="G1398" s="1364" t="str">
        <f>+IF(ISBLANK(REPORTS!H1138),"",REPORTS!H1138)</f>
        <v/>
      </c>
      <c r="H1398" s="1440" t="str">
        <f>+IF(ISBLANK(REPORTS!I1138),"",REPORTS!I1138)</f>
        <v/>
      </c>
    </row>
    <row r="1399" spans="1:8">
      <c r="A1399" s="1752"/>
      <c r="B1399" s="1439">
        <v>64</v>
      </c>
      <c r="C1399" s="1364" t="s">
        <v>5265</v>
      </c>
      <c r="D1399" s="1364" t="s">
        <v>4067</v>
      </c>
      <c r="E1399" s="1364">
        <f>+IF(ISBLANK(REPORTS!F1139),"",REPORTS!F1139)</f>
        <v>1811786.0848401624</v>
      </c>
      <c r="F1399" s="1364">
        <f>+IF(ISBLANK(REPORTS!G1139),"",REPORTS!G1139)</f>
        <v>0</v>
      </c>
      <c r="G1399" s="1364">
        <f>+IF(ISBLANK(REPORTS!H1139),"",REPORTS!H1139)</f>
        <v>1811786.0848401624</v>
      </c>
      <c r="H1399" s="1374">
        <f>+IF(ISBLANK(REPORTS!I1139),"",REPORTS!I1139)</f>
        <v>1</v>
      </c>
    </row>
    <row r="1400" spans="1:8">
      <c r="A1400" s="1752"/>
      <c r="B1400" s="1439">
        <v>65</v>
      </c>
      <c r="C1400" s="1364" t="s">
        <v>5265</v>
      </c>
      <c r="D1400" s="1364" t="s">
        <v>2067</v>
      </c>
      <c r="E1400" s="1364">
        <f>+IF(ISBLANK(REPORTS!F1140),"",REPORTS!F1140)</f>
        <v>293748.25699691643</v>
      </c>
      <c r="F1400" s="1364">
        <f>+IF(ISBLANK(REPORTS!G1140),"",REPORTS!G1140)</f>
        <v>0</v>
      </c>
      <c r="G1400" s="1364">
        <f>+IF(ISBLANK(REPORTS!H1140),"",REPORTS!H1140)</f>
        <v>293748.25699691643</v>
      </c>
      <c r="H1400" s="1374">
        <f>+IF(ISBLANK(REPORTS!I1140),"",REPORTS!I1140)</f>
        <v>1</v>
      </c>
    </row>
    <row r="1401" spans="1:8">
      <c r="A1401" s="1752"/>
      <c r="B1401" s="1439">
        <v>66</v>
      </c>
      <c r="C1401" s="1364" t="s">
        <v>5268</v>
      </c>
      <c r="D1401" s="1364" t="s">
        <v>4067</v>
      </c>
      <c r="E1401" s="1364">
        <f>+IF(ISBLANK(REPORTS!F1141),"",REPORTS!F1141)</f>
        <v>142075.10412521986</v>
      </c>
      <c r="F1401" s="1364">
        <f>+IF(ISBLANK(REPORTS!G1141),"",REPORTS!G1141)</f>
        <v>9204.5993075669139</v>
      </c>
      <c r="G1401" s="1364">
        <f>+IF(ISBLANK(REPORTS!H1141),"",REPORTS!H1141)</f>
        <v>132870.50481765295</v>
      </c>
      <c r="H1401" s="1374">
        <f>+IF(ISBLANK(REPORTS!I1141),"",REPORTS!I1141)</f>
        <v>0.93521314403222744</v>
      </c>
    </row>
    <row r="1402" spans="1:8">
      <c r="A1402" s="1752"/>
      <c r="B1402" s="1439">
        <v>67</v>
      </c>
      <c r="C1402" s="1364" t="s">
        <v>5239</v>
      </c>
      <c r="D1402" s="1364" t="s">
        <v>4067</v>
      </c>
      <c r="E1402" s="1364">
        <f>+IF(ISBLANK(REPORTS!F1142),"",REPORTS!F1142)</f>
        <v>124049.70969077831</v>
      </c>
      <c r="F1402" s="1364">
        <f>+IF(ISBLANK(REPORTS!G1142),"",REPORTS!G1142)</f>
        <v>8036.7906745804603</v>
      </c>
      <c r="G1402" s="1364">
        <f>+IF(ISBLANK(REPORTS!H1142),"",REPORTS!H1142)</f>
        <v>116012.91901619785</v>
      </c>
      <c r="H1402" s="1374">
        <f>+IF(ISBLANK(REPORTS!I1142),"",REPORTS!I1142)</f>
        <v>0.93521314403222733</v>
      </c>
    </row>
    <row r="1403" spans="1:8">
      <c r="A1403" s="1752"/>
      <c r="B1403" s="1439">
        <v>68</v>
      </c>
      <c r="C1403" s="1364" t="s">
        <v>5240</v>
      </c>
      <c r="D1403" s="1364" t="s">
        <v>4067</v>
      </c>
      <c r="E1403" s="1364">
        <f>+IF(ISBLANK(REPORTS!F1143),"",REPORTS!F1143)</f>
        <v>561986.68645107013</v>
      </c>
      <c r="F1403" s="1364">
        <f>+IF(ISBLANK(REPORTS!G1143),"",REPORTS!G1143)</f>
        <v>0</v>
      </c>
      <c r="G1403" s="1364">
        <f>+IF(ISBLANK(REPORTS!H1143),"",REPORTS!H1143)</f>
        <v>561986.68645107013</v>
      </c>
      <c r="H1403" s="1374">
        <f>+IF(ISBLANK(REPORTS!I1143),"",REPORTS!I1143)</f>
        <v>1</v>
      </c>
    </row>
    <row r="1404" spans="1:8">
      <c r="A1404" s="1751"/>
      <c r="B1404" s="1439">
        <v>69</v>
      </c>
      <c r="C1404" s="1364" t="s">
        <v>5241</v>
      </c>
      <c r="D1404" s="1364" t="s">
        <v>4067</v>
      </c>
      <c r="E1404" s="1364">
        <f>+IF(ISBLANK(REPORTS!F1144),"",REPORTS!F1144)</f>
        <v>385652.79267163313</v>
      </c>
      <c r="F1404" s="1364">
        <f>+IF(ISBLANK(REPORTS!G1144),"",REPORTS!G1144)</f>
        <v>0</v>
      </c>
      <c r="G1404" s="1364">
        <f>+IF(ISBLANK(REPORTS!H1144),"",REPORTS!H1144)</f>
        <v>385652.79267163313</v>
      </c>
      <c r="H1404" s="1374">
        <f>+IF(ISBLANK(REPORTS!I1144),"",REPORTS!I1144)</f>
        <v>1</v>
      </c>
    </row>
    <row r="1405" spans="1:8">
      <c r="A1405" s="1752"/>
      <c r="B1405" s="1439">
        <v>70</v>
      </c>
      <c r="C1405" s="1364" t="s">
        <v>5242</v>
      </c>
      <c r="D1405" s="1364" t="s">
        <v>4071</v>
      </c>
      <c r="E1405" s="1364">
        <f>+IF(ISBLANK(REPORTS!F1145),"",REPORTS!F1145)</f>
        <v>318124.96304729668</v>
      </c>
      <c r="F1405" s="1364">
        <f>+IF(ISBLANK(REPORTS!G1145),"",REPORTS!G1145)</f>
        <v>0</v>
      </c>
      <c r="G1405" s="1364">
        <f>+IF(ISBLANK(REPORTS!H1145),"",REPORTS!H1145)</f>
        <v>318124.96304729668</v>
      </c>
      <c r="H1405" s="1374">
        <f>+IF(ISBLANK(REPORTS!I1145),"",REPORTS!I1145)</f>
        <v>1</v>
      </c>
    </row>
    <row r="1406" spans="1:8">
      <c r="A1406" s="1752"/>
      <c r="B1406" s="1439">
        <v>71</v>
      </c>
      <c r="C1406" s="1364" t="s">
        <v>5244</v>
      </c>
      <c r="D1406" s="1364" t="s">
        <v>4071</v>
      </c>
      <c r="E1406" s="1745">
        <f>+IF(ISBLANK(REPORTS!F1146),"",REPORTS!F1146)</f>
        <v>0</v>
      </c>
      <c r="F1406" s="1366">
        <f>+IF(ISBLANK(REPORTS!G1146),"",REPORTS!G1146)</f>
        <v>0</v>
      </c>
      <c r="G1406" s="1366">
        <f>+IF(ISBLANK(REPORTS!H1146),"",REPORTS!H1146)</f>
        <v>0</v>
      </c>
      <c r="H1406" s="1374">
        <f>+IF(ISBLANK(REPORTS!I1146),"",REPORTS!I1146)</f>
        <v>0</v>
      </c>
    </row>
    <row r="1407" spans="1:8">
      <c r="A1407" s="1752"/>
      <c r="B1407" s="1439">
        <v>72</v>
      </c>
      <c r="C1407" s="1364"/>
      <c r="D1407" s="1364"/>
      <c r="E1407" s="1364" t="str">
        <f>+IF(ISBLANK(REPORTS!F1147),"",REPORTS!F1147)</f>
        <v/>
      </c>
      <c r="F1407" s="1364" t="str">
        <f>+IF(ISBLANK(REPORTS!G1147),"",REPORTS!G1147)</f>
        <v/>
      </c>
      <c r="G1407" s="1364" t="str">
        <f>+IF(ISBLANK(REPORTS!H1147),"",REPORTS!H1147)</f>
        <v/>
      </c>
      <c r="H1407" s="1440" t="str">
        <f>+IF(ISBLANK(REPORTS!I1147),"",REPORTS!I1147)</f>
        <v/>
      </c>
    </row>
    <row r="1408" spans="1:8">
      <c r="A1408" s="1752"/>
      <c r="B1408" s="1439">
        <v>73</v>
      </c>
      <c r="C1408" s="1364" t="s">
        <v>5685</v>
      </c>
      <c r="D1408" s="1364"/>
      <c r="E1408" s="1366">
        <f>+IF(ISBLANK(REPORTS!F1148),"",REPORTS!F1148)</f>
        <v>3637423.5978230769</v>
      </c>
      <c r="F1408" s="1366">
        <f>+IF(ISBLANK(REPORTS!G1148),"",REPORTS!G1148)</f>
        <v>17241.389982147375</v>
      </c>
      <c r="G1408" s="1366">
        <f>+IF(ISBLANK(REPORTS!H1148),"",REPORTS!H1148)</f>
        <v>3620182.2078409293</v>
      </c>
      <c r="H1408" s="1374">
        <f>+IF(ISBLANK(REPORTS!I1148),"",REPORTS!I1148)</f>
        <v>0.99525999941484233</v>
      </c>
    </row>
    <row r="1409" spans="1:8">
      <c r="A1409" s="1752"/>
      <c r="B1409" s="1439"/>
      <c r="C1409" s="1364"/>
      <c r="D1409" s="1364"/>
      <c r="E1409" s="1364"/>
      <c r="F1409" s="1364"/>
      <c r="G1409" s="1364"/>
      <c r="H1409" s="1440"/>
    </row>
    <row r="1410" spans="1:8">
      <c r="A1410" s="1752"/>
    </row>
    <row r="1411" spans="1:8">
      <c r="A1411" s="1752"/>
    </row>
    <row r="1412" spans="1:8">
      <c r="A1412" s="1752"/>
    </row>
    <row r="1413" spans="1:8">
      <c r="A1413" s="1752"/>
    </row>
    <row r="1414" spans="1:8">
      <c r="A1414" s="1752"/>
    </row>
    <row r="1415" spans="1:8">
      <c r="A1415" s="1752"/>
    </row>
    <row r="1416" spans="1:8">
      <c r="A1416" s="1752"/>
    </row>
    <row r="1417" spans="1:8">
      <c r="A1417" s="1752"/>
    </row>
    <row r="1418" spans="1:8">
      <c r="A1418" s="1752"/>
    </row>
    <row r="1419" spans="1:8">
      <c r="A1419" s="1752"/>
    </row>
    <row r="1420" spans="1:8">
      <c r="A1420" s="1752"/>
    </row>
    <row r="1421" spans="1:8">
      <c r="A1421" s="1752"/>
    </row>
    <row r="1422" spans="1:8">
      <c r="A1422" s="1752"/>
    </row>
    <row r="1423" spans="1:8">
      <c r="A1423" s="1752"/>
    </row>
    <row r="1424" spans="1:8">
      <c r="A1424" s="1752"/>
    </row>
    <row r="1425" spans="1:8">
      <c r="A1425" s="1752"/>
      <c r="B1425" s="1439"/>
      <c r="C1425" s="1364"/>
      <c r="D1425" s="1364"/>
      <c r="E1425" s="1364"/>
      <c r="F1425" s="1364"/>
      <c r="G1425" s="1364"/>
      <c r="H1425" s="1440"/>
    </row>
    <row r="1426" spans="1:8">
      <c r="A1426" s="1752"/>
      <c r="B1426" s="1439"/>
      <c r="C1426" s="1364"/>
      <c r="D1426" s="1364"/>
      <c r="E1426" s="1364"/>
      <c r="F1426" s="1364"/>
      <c r="G1426" s="1364"/>
      <c r="H1426" s="1440"/>
    </row>
    <row r="1427" spans="1:8">
      <c r="A1427" s="1752"/>
      <c r="B1427" s="1439"/>
      <c r="C1427" s="1364"/>
      <c r="D1427" s="1364"/>
      <c r="E1427" s="1364"/>
      <c r="F1427" s="1364"/>
      <c r="G1427" s="1364"/>
      <c r="H1427" s="1440"/>
    </row>
    <row r="1428" spans="1:8">
      <c r="A1428" s="1752"/>
      <c r="B1428" s="1439"/>
      <c r="C1428" s="1364"/>
      <c r="D1428" s="1364"/>
      <c r="E1428" s="1364"/>
      <c r="F1428" s="1364"/>
      <c r="G1428" s="1364"/>
      <c r="H1428" s="1440"/>
    </row>
    <row r="1429" spans="1:8">
      <c r="A1429" s="1752"/>
    </row>
    <row r="1430" spans="1:8">
      <c r="A1430" s="1752"/>
    </row>
    <row r="1431" spans="1:8">
      <c r="A1431" s="1752"/>
    </row>
    <row r="1432" spans="1:8">
      <c r="A1432" s="1752"/>
    </row>
    <row r="1433" spans="1:8">
      <c r="A1433" s="1752"/>
    </row>
    <row r="1434" spans="1:8">
      <c r="A1434" s="1752"/>
    </row>
    <row r="1435" spans="1:8">
      <c r="A1435" s="1752"/>
    </row>
    <row r="1436" spans="1:8">
      <c r="A1436" s="1752"/>
      <c r="B1436" s="1439"/>
      <c r="C1436" s="1364"/>
      <c r="D1436" s="1364"/>
      <c r="E1436" s="1364"/>
      <c r="F1436" s="1364"/>
      <c r="G1436" s="1364"/>
      <c r="H1436" s="1440"/>
    </row>
    <row r="1437" spans="1:8">
      <c r="A1437" s="1752"/>
      <c r="B1437" s="1439"/>
      <c r="C1437" s="1364"/>
      <c r="D1437" s="1364"/>
      <c r="E1437" s="1364"/>
      <c r="F1437" s="1364"/>
      <c r="G1437" s="1364"/>
      <c r="H1437" s="1440"/>
    </row>
    <row r="1438" spans="1:8">
      <c r="A1438" s="1752"/>
      <c r="B1438" s="1439"/>
      <c r="C1438" s="1364"/>
      <c r="D1438" s="1364"/>
      <c r="E1438" s="1364"/>
      <c r="F1438" s="1364"/>
      <c r="G1438" s="1364"/>
      <c r="H1438" s="1440"/>
    </row>
    <row r="1439" spans="1:8">
      <c r="A1439" s="1752"/>
      <c r="B1439" s="1439"/>
      <c r="C1439" s="1364"/>
      <c r="D1439" s="1364"/>
      <c r="E1439" s="1364"/>
      <c r="F1439" s="1364"/>
      <c r="G1439" s="1364"/>
      <c r="H1439" s="1440"/>
    </row>
    <row r="1440" spans="1:8">
      <c r="A1440" s="1752"/>
      <c r="B1440" s="1439"/>
      <c r="C1440" s="1364"/>
      <c r="D1440" s="1364"/>
      <c r="E1440" s="1364"/>
      <c r="F1440" s="1364"/>
      <c r="G1440" s="1364"/>
      <c r="H1440" s="1440"/>
    </row>
    <row r="1441" spans="1:8">
      <c r="A1441" s="1752"/>
      <c r="B1441" s="1439"/>
      <c r="C1441" s="1364"/>
      <c r="D1441" s="1364"/>
      <c r="E1441" s="1364"/>
      <c r="F1441" s="1364"/>
      <c r="G1441" s="1364"/>
      <c r="H1441" s="1440"/>
    </row>
    <row r="1442" spans="1:8">
      <c r="A1442" s="1752"/>
      <c r="B1442" s="1439"/>
      <c r="C1442" s="1364"/>
      <c r="D1442" s="1364"/>
      <c r="E1442" s="1364"/>
      <c r="F1442" s="1364"/>
      <c r="G1442" s="1364"/>
      <c r="H1442" s="1440"/>
    </row>
    <row r="1443" spans="1:8">
      <c r="A1443" s="1752"/>
      <c r="B1443" s="1439"/>
      <c r="C1443" s="1364"/>
      <c r="D1443" s="1364"/>
      <c r="E1443" s="1364"/>
      <c r="F1443" s="1364"/>
      <c r="G1443" s="1364"/>
      <c r="H1443" s="1440"/>
    </row>
    <row r="1444" spans="1:8">
      <c r="A1444" s="1752"/>
      <c r="B1444" s="1439"/>
      <c r="C1444" s="1364"/>
      <c r="D1444" s="1364"/>
      <c r="E1444" s="1364"/>
      <c r="F1444" s="1364"/>
      <c r="G1444" s="1364"/>
      <c r="H1444" s="1440"/>
    </row>
    <row r="1445" spans="1:8">
      <c r="A1445" s="1752"/>
      <c r="B1445" s="1439"/>
      <c r="C1445" s="1364"/>
      <c r="D1445" s="1364"/>
      <c r="E1445" s="1364"/>
      <c r="F1445" s="1364"/>
      <c r="G1445" s="1364"/>
      <c r="H1445" s="1440"/>
    </row>
    <row r="1446" spans="1:8">
      <c r="A1446" s="1752"/>
      <c r="B1446" s="1439"/>
      <c r="C1446" s="1364"/>
      <c r="D1446" s="1364"/>
      <c r="E1446" s="1364"/>
      <c r="F1446" s="1364"/>
      <c r="G1446" s="1364"/>
      <c r="H1446" s="1440"/>
    </row>
    <row r="1447" spans="1:8">
      <c r="A1447" s="1752"/>
      <c r="B1447" s="1439"/>
      <c r="C1447" s="1364"/>
      <c r="D1447" s="1364"/>
      <c r="E1447" s="1364"/>
      <c r="F1447" s="1364"/>
      <c r="G1447" s="1364"/>
      <c r="H1447" s="1440"/>
    </row>
    <row r="1448" spans="1:8">
      <c r="A1448" s="1752"/>
      <c r="B1448" s="1439"/>
      <c r="C1448" s="1364"/>
      <c r="D1448" s="1364"/>
      <c r="E1448" s="1364"/>
      <c r="F1448" s="1364"/>
      <c r="G1448" s="1364"/>
      <c r="H1448" s="1440"/>
    </row>
    <row r="1449" spans="1:8">
      <c r="A1449" s="1752"/>
      <c r="B1449" s="1416" t="str">
        <f>+$B$1</f>
        <v>RATES WITH REVENUE DEFICIENCY ADDITION</v>
      </c>
      <c r="C1449" s="1364"/>
      <c r="D1449" s="1324"/>
      <c r="E1449" s="1336"/>
      <c r="F1449" s="1329" t="s">
        <v>2173</v>
      </c>
      <c r="G1449" s="1364"/>
      <c r="H1449" s="1334" t="s">
        <v>5731</v>
      </c>
    </row>
    <row r="1450" spans="1:8">
      <c r="A1450" s="1752"/>
      <c r="B1450" s="1416" t="str">
        <f>+$B$2</f>
        <v xml:space="preserve">PROD. CAP. ALLOC. METHOD: 12 CP </v>
      </c>
      <c r="C1450" s="1364"/>
      <c r="D1450" s="1324"/>
      <c r="E1450" s="1324"/>
      <c r="F1450" s="1336" t="s">
        <v>4768</v>
      </c>
      <c r="G1450" s="1324"/>
      <c r="H1450" s="1731" t="s">
        <v>4309</v>
      </c>
    </row>
    <row r="1451" spans="1:8">
      <c r="A1451" s="1752"/>
      <c r="B1451" s="1416" t="str">
        <f>+$B$3</f>
        <v>PROJECTED CALENDAR YEAR 2025; FULLY ADJUSTED DATA</v>
      </c>
      <c r="C1451" s="1364"/>
      <c r="D1451" s="1324"/>
      <c r="E1451" s="1324"/>
      <c r="F1451" s="1336" t="s">
        <v>2181</v>
      </c>
      <c r="G1451" s="1324"/>
      <c r="H1451" s="1374"/>
    </row>
    <row r="1452" spans="1:8">
      <c r="A1452" s="1752"/>
      <c r="B1452" s="1732">
        <f>+$B$4</f>
        <v>0</v>
      </c>
      <c r="C1452" s="1364"/>
      <c r="D1452" s="1324"/>
      <c r="E1452" s="1324"/>
      <c r="F1452" s="1364"/>
      <c r="G1452" s="1364"/>
      <c r="H1452" s="1440"/>
    </row>
    <row r="1453" spans="1:8">
      <c r="A1453" s="1752"/>
      <c r="B1453" s="1732" t="str">
        <f>+$B$5</f>
        <v>Tampa Electric 2025 OB Budget</v>
      </c>
      <c r="C1453" s="1364"/>
      <c r="D1453" s="1324"/>
      <c r="E1453" s="1329"/>
      <c r="F1453" s="1336" t="s">
        <v>5674</v>
      </c>
      <c r="G1453" s="1364"/>
      <c r="H1453" s="1440"/>
    </row>
    <row r="1454" spans="1:8">
      <c r="A1454" s="1752"/>
      <c r="B1454" s="1439"/>
      <c r="C1454" s="1364"/>
      <c r="D1454" s="1324"/>
      <c r="E1454" s="1336"/>
      <c r="F1454" s="1364"/>
      <c r="G1454" s="1364"/>
      <c r="H1454" s="1440"/>
    </row>
    <row r="1455" spans="1:8">
      <c r="A1455" s="1752"/>
      <c r="B1455" s="1439"/>
      <c r="C1455" s="1364"/>
      <c r="D1455" s="1364"/>
      <c r="E1455" s="1336"/>
      <c r="F1455" s="1364"/>
      <c r="G1455" s="1364"/>
      <c r="H1455" s="1440"/>
    </row>
    <row r="1456" spans="1:8">
      <c r="A1456" s="1752"/>
      <c r="B1456" s="1439"/>
      <c r="C1456" s="1364"/>
      <c r="D1456" s="1364"/>
      <c r="E1456" s="1364"/>
      <c r="F1456" s="1364"/>
      <c r="G1456" s="1364"/>
      <c r="H1456" s="1440"/>
    </row>
    <row r="1457" spans="1:8">
      <c r="A1457" s="1752"/>
      <c r="B1457" s="1735"/>
      <c r="C1457" s="1416"/>
      <c r="D1457" s="1416"/>
      <c r="E1457" s="1336"/>
      <c r="F1457" s="1336"/>
      <c r="G1457" s="1336"/>
      <c r="H1457" s="1736"/>
    </row>
    <row r="1458" spans="1:8" ht="28.2">
      <c r="A1458" s="1752"/>
      <c r="B1458" s="1737" t="s">
        <v>4297</v>
      </c>
      <c r="C1458" s="1741"/>
      <c r="D1458" s="1741"/>
      <c r="E1458" s="1352" t="s">
        <v>5144</v>
      </c>
      <c r="F1458" s="1352" t="s">
        <v>4956</v>
      </c>
      <c r="G1458" s="1352" t="s">
        <v>4957</v>
      </c>
      <c r="H1458" s="1742" t="s">
        <v>5145</v>
      </c>
    </row>
    <row r="1459" spans="1:8">
      <c r="A1459" s="1752"/>
      <c r="B1459" s="1439"/>
      <c r="C1459" s="1364"/>
      <c r="D1459" s="1364"/>
      <c r="E1459" s="1364"/>
      <c r="F1459" s="1364"/>
      <c r="G1459" s="1364"/>
      <c r="H1459" s="1440"/>
    </row>
    <row r="1460" spans="1:8">
      <c r="A1460" s="1752"/>
      <c r="B1460" s="1439">
        <v>74</v>
      </c>
      <c r="C1460" s="1362" t="s">
        <v>5648</v>
      </c>
      <c r="D1460" s="1364"/>
      <c r="E1460" s="1364"/>
      <c r="F1460" s="1364"/>
      <c r="G1460" s="1364"/>
      <c r="H1460" s="1440"/>
    </row>
    <row r="1461" spans="1:8">
      <c r="A1461" s="1752"/>
      <c r="B1461" s="1439">
        <v>75</v>
      </c>
      <c r="C1461" s="1324" t="s">
        <v>5265</v>
      </c>
      <c r="D1461" s="1364" t="s">
        <v>4067</v>
      </c>
      <c r="E1461" s="1364">
        <f>+IF(ISBLANK(REPORTS!F1166),"",REPORTS!F1166)</f>
        <v>13815.640279301399</v>
      </c>
      <c r="F1461" s="1364">
        <f>+IF(ISBLANK(REPORTS!G1166),"",REPORTS!G1166)</f>
        <v>0</v>
      </c>
      <c r="G1461" s="1364">
        <f>+IF(ISBLANK(REPORTS!H1166),"",REPORTS!H1166)</f>
        <v>13815.640279301399</v>
      </c>
      <c r="H1461" s="1374">
        <f>+IF(ISBLANK(REPORTS!I1166),"",REPORTS!I1166)</f>
        <v>1</v>
      </c>
    </row>
    <row r="1462" spans="1:8">
      <c r="A1462" s="1752"/>
      <c r="B1462" s="1439">
        <v>76</v>
      </c>
      <c r="C1462" s="1324" t="s">
        <v>5265</v>
      </c>
      <c r="D1462" s="1364" t="s">
        <v>2067</v>
      </c>
      <c r="E1462" s="1364">
        <f>+IF(ISBLANK(REPORTS!F1167),"",REPORTS!F1167)</f>
        <v>3432.7320436592199</v>
      </c>
      <c r="F1462" s="1364">
        <f>+IF(ISBLANK(REPORTS!G1167),"",REPORTS!G1167)</f>
        <v>0</v>
      </c>
      <c r="G1462" s="1364">
        <f>+IF(ISBLANK(REPORTS!H1167),"",REPORTS!H1167)</f>
        <v>3432.7320436592199</v>
      </c>
      <c r="H1462" s="1374">
        <f>+IF(ISBLANK(REPORTS!I1167),"",REPORTS!I1167)</f>
        <v>1</v>
      </c>
    </row>
    <row r="1463" spans="1:8">
      <c r="A1463" s="1752"/>
      <c r="B1463" s="1439">
        <v>77</v>
      </c>
      <c r="C1463" s="1324" t="s">
        <v>5268</v>
      </c>
      <c r="D1463" s="1364" t="s">
        <v>4067</v>
      </c>
      <c r="E1463" s="1364">
        <f>+IF(ISBLANK(REPORTS!F1168),"",REPORTS!F1168)</f>
        <v>2603.9579505471925</v>
      </c>
      <c r="F1463" s="1364">
        <f>+IF(ISBLANK(REPORTS!G1168),"",REPORTS!G1168)</f>
        <v>168.70224868823729</v>
      </c>
      <c r="G1463" s="1364">
        <f>+IF(ISBLANK(REPORTS!H1168),"",REPORTS!H1168)</f>
        <v>2435.255701858955</v>
      </c>
      <c r="H1463" s="1374">
        <f>+IF(ISBLANK(REPORTS!I1168),"",REPORTS!I1168)</f>
        <v>0.93521314403222733</v>
      </c>
    </row>
    <row r="1464" spans="1:8">
      <c r="A1464" s="1752"/>
      <c r="B1464" s="1439">
        <v>78</v>
      </c>
      <c r="C1464" s="1324" t="s">
        <v>5239</v>
      </c>
      <c r="D1464" s="1364" t="s">
        <v>4067</v>
      </c>
      <c r="E1464" s="1364">
        <f>+IF(ISBLANK(REPORTS!F1169),"",REPORTS!F1169)</f>
        <v>2096.1895225654221</v>
      </c>
      <c r="F1464" s="1364">
        <f>+IF(ISBLANK(REPORTS!G1169),"",REPORTS!G1169)</f>
        <v>135.80552867960003</v>
      </c>
      <c r="G1464" s="1364">
        <f>+IF(ISBLANK(REPORTS!H1169),"",REPORTS!H1169)</f>
        <v>1960.3839938858218</v>
      </c>
      <c r="H1464" s="1374">
        <f>+IF(ISBLANK(REPORTS!I1169),"",REPORTS!I1169)</f>
        <v>0.93521314403222733</v>
      </c>
    </row>
    <row r="1465" spans="1:8">
      <c r="A1465" s="1752"/>
      <c r="B1465" s="1439">
        <v>79</v>
      </c>
      <c r="C1465" s="1324" t="s">
        <v>5240</v>
      </c>
      <c r="D1465" s="1364" t="s">
        <v>4067</v>
      </c>
      <c r="E1465" s="1364">
        <f>+IF(ISBLANK(REPORTS!F1170),"",REPORTS!F1170)</f>
        <v>12653.366061707286</v>
      </c>
      <c r="F1465" s="1364">
        <f>+IF(ISBLANK(REPORTS!G1170),"",REPORTS!G1170)</f>
        <v>0</v>
      </c>
      <c r="G1465" s="1364">
        <f>+IF(ISBLANK(REPORTS!H1170),"",REPORTS!H1170)</f>
        <v>12653.366061707286</v>
      </c>
      <c r="H1465" s="1374">
        <f>+IF(ISBLANK(REPORTS!I1170),"",REPORTS!I1170)</f>
        <v>1</v>
      </c>
    </row>
    <row r="1466" spans="1:8">
      <c r="A1466" s="1760"/>
      <c r="B1466" s="1439">
        <v>80</v>
      </c>
      <c r="C1466" s="1324" t="s">
        <v>5241</v>
      </c>
      <c r="D1466" s="1364" t="s">
        <v>4067</v>
      </c>
      <c r="E1466" s="1364">
        <f>+IF(ISBLANK(REPORTS!F1171),"",REPORTS!F1171)</f>
        <v>4111.8827844071548</v>
      </c>
      <c r="F1466" s="1364">
        <f>+IF(ISBLANK(REPORTS!G1171),"",REPORTS!G1171)</f>
        <v>0</v>
      </c>
      <c r="G1466" s="1364">
        <f>+IF(ISBLANK(REPORTS!H1171),"",REPORTS!H1171)</f>
        <v>4111.8827844071548</v>
      </c>
      <c r="H1466" s="1374">
        <f>+IF(ISBLANK(REPORTS!I1171),"",REPORTS!I1171)</f>
        <v>1</v>
      </c>
    </row>
    <row r="1467" spans="1:8">
      <c r="A1467" s="1760"/>
      <c r="B1467" s="1439">
        <v>81</v>
      </c>
      <c r="C1467" s="1324" t="s">
        <v>5242</v>
      </c>
      <c r="D1467" s="1364" t="s">
        <v>4071</v>
      </c>
      <c r="E1467" s="1364">
        <f>+IF(ISBLANK(REPORTS!F1172),"",REPORTS!F1172)</f>
        <v>4876.4131073822145</v>
      </c>
      <c r="F1467" s="1364">
        <f>+IF(ISBLANK(REPORTS!G1172),"",REPORTS!G1172)</f>
        <v>0</v>
      </c>
      <c r="G1467" s="1364">
        <f>+IF(ISBLANK(REPORTS!H1172),"",REPORTS!H1172)</f>
        <v>4876.4131073822145</v>
      </c>
      <c r="H1467" s="1374">
        <f>+IF(ISBLANK(REPORTS!I1172),"",REPORTS!I1172)</f>
        <v>1</v>
      </c>
    </row>
    <row r="1468" spans="1:8">
      <c r="A1468" s="1752"/>
      <c r="B1468" s="1439">
        <v>82</v>
      </c>
      <c r="C1468" s="1324" t="s">
        <v>5244</v>
      </c>
      <c r="D1468" s="1364" t="s">
        <v>4071</v>
      </c>
      <c r="E1468" s="1364">
        <f>+IF(ISBLANK(REPORTS!F1173),"",REPORTS!F1173)</f>
        <v>6605.2154604301122</v>
      </c>
      <c r="F1468" s="1364">
        <f>+IF(ISBLANK(REPORTS!G1173),"",REPORTS!G1173)</f>
        <v>0</v>
      </c>
      <c r="G1468" s="1364">
        <f>+IF(ISBLANK(REPORTS!H1173),"",REPORTS!H1173)</f>
        <v>6605.2154604301122</v>
      </c>
      <c r="H1468" s="1374">
        <f>+IF(ISBLANK(REPORTS!I1173),"",REPORTS!I1173)</f>
        <v>1</v>
      </c>
    </row>
    <row r="1469" spans="1:8">
      <c r="A1469" s="1752"/>
      <c r="B1469" s="1439">
        <v>83</v>
      </c>
      <c r="C1469" s="1324" t="s">
        <v>5687</v>
      </c>
      <c r="D1469" s="1364"/>
      <c r="E1469" s="1421">
        <f>+IF(ISBLANK(REPORTS!F1174),"",REPORTS!F1174)</f>
        <v>50195.397210000003</v>
      </c>
      <c r="F1469" s="1421">
        <f>+IF(ISBLANK(REPORTS!G1174),"",REPORTS!G1174)</f>
        <v>304.50777736783732</v>
      </c>
      <c r="G1469" s="1421">
        <f>+IF(ISBLANK(REPORTS!H1174),"",REPORTS!H1174)</f>
        <v>49890.889432632161</v>
      </c>
      <c r="H1469" s="1374">
        <f>+IF(ISBLANK(REPORTS!I1174),"",REPORTS!I1174)</f>
        <v>0.99393355179372544</v>
      </c>
    </row>
    <row r="1470" spans="1:8">
      <c r="A1470" s="1752"/>
      <c r="B1470" s="1439">
        <v>84</v>
      </c>
      <c r="C1470" s="1324"/>
      <c r="D1470" s="1364"/>
      <c r="E1470" s="1364" t="str">
        <f>+IF(ISBLANK(REPORTS!F1175),"",REPORTS!F1175)</f>
        <v/>
      </c>
      <c r="F1470" s="1324" t="str">
        <f>+IF(ISBLANK(REPORTS!G1175),"",REPORTS!G1175)</f>
        <v/>
      </c>
      <c r="G1470" s="1324" t="str">
        <f>+IF(ISBLANK(REPORTS!H1175),"",REPORTS!H1175)</f>
        <v/>
      </c>
      <c r="H1470" s="1440" t="str">
        <f>+IF(ISBLANK(REPORTS!I1175),"",REPORTS!I1175)</f>
        <v/>
      </c>
    </row>
    <row r="1471" spans="1:8">
      <c r="A1471" s="1752"/>
      <c r="B1471" s="1439">
        <v>85</v>
      </c>
      <c r="C1471" s="1362" t="s">
        <v>5651</v>
      </c>
      <c r="D1471" s="1364"/>
      <c r="E1471" s="1364" t="str">
        <f>+IF(ISBLANK(REPORTS!F1176),"",REPORTS!F1176)</f>
        <v/>
      </c>
      <c r="F1471" s="1324" t="str">
        <f>+IF(ISBLANK(REPORTS!G1176),"",REPORTS!G1176)</f>
        <v/>
      </c>
      <c r="G1471" s="1324" t="str">
        <f>+IF(ISBLANK(REPORTS!H1176),"",REPORTS!H1176)</f>
        <v/>
      </c>
      <c r="H1471" s="1440" t="str">
        <f>+IF(ISBLANK(REPORTS!I1176),"",REPORTS!I1176)</f>
        <v/>
      </c>
    </row>
    <row r="1472" spans="1:8">
      <c r="A1472" s="1752"/>
      <c r="B1472" s="1439">
        <v>86</v>
      </c>
      <c r="C1472" s="1324" t="s">
        <v>5265</v>
      </c>
      <c r="D1472" s="1364" t="s">
        <v>4067</v>
      </c>
      <c r="E1472" s="1364">
        <f>+IF(ISBLANK(REPORTS!F1177),"",REPORTS!F1177)</f>
        <v>2680.6932400000001</v>
      </c>
      <c r="F1472" s="1364">
        <f>+IF(ISBLANK(REPORTS!G1177),"",REPORTS!G1177)</f>
        <v>0</v>
      </c>
      <c r="G1472" s="1364">
        <f>+IF(ISBLANK(REPORTS!H1177),"",REPORTS!H1177)</f>
        <v>2680.6932400000001</v>
      </c>
      <c r="H1472" s="1374">
        <f>+IF(ISBLANK(REPORTS!I1177),"",REPORTS!I1177)</f>
        <v>1</v>
      </c>
    </row>
    <row r="1473" spans="1:8">
      <c r="A1473" s="1752"/>
      <c r="B1473" s="1439">
        <v>87</v>
      </c>
      <c r="C1473" s="1324" t="s">
        <v>5265</v>
      </c>
      <c r="D1473" s="1364" t="s">
        <v>2067</v>
      </c>
      <c r="E1473" s="1746" t="str">
        <f>+IF(ISBLANK(REPORTS!F1178),"",REPORTS!F1178)</f>
        <v/>
      </c>
      <c r="F1473" s="1364">
        <f>+IF(ISBLANK(REPORTS!G1178),"",REPORTS!G1178)</f>
        <v>0</v>
      </c>
      <c r="G1473" s="1364">
        <f>+IF(ISBLANK(REPORTS!H1178),"",REPORTS!H1178)</f>
        <v>0</v>
      </c>
      <c r="H1473" s="1374">
        <f>+IF(ISBLANK(REPORTS!I1178),"",REPORTS!I1178)</f>
        <v>0</v>
      </c>
    </row>
    <row r="1474" spans="1:8">
      <c r="A1474" s="1752"/>
      <c r="B1474" s="1439">
        <v>88</v>
      </c>
      <c r="C1474" s="1324" t="s">
        <v>5268</v>
      </c>
      <c r="D1474" s="1364" t="s">
        <v>4067</v>
      </c>
      <c r="E1474" s="1364">
        <f>+IF(ISBLANK(REPORTS!F1179),"",REPORTS!F1179)</f>
        <v>952.85927294629903</v>
      </c>
      <c r="F1474" s="1364">
        <f>+IF(ISBLANK(REPORTS!G1179),"",REPORTS!G1179)</f>
        <v>61.732756473928397</v>
      </c>
      <c r="G1474" s="1364">
        <f>+IF(ISBLANK(REPORTS!H1179),"",REPORTS!H1179)</f>
        <v>891.12651647237055</v>
      </c>
      <c r="H1474" s="1374">
        <f>+IF(ISBLANK(REPORTS!I1179),"",REPORTS!I1179)</f>
        <v>0.93521314403222733</v>
      </c>
    </row>
    <row r="1475" spans="1:8" ht="28.2">
      <c r="A1475" s="1753" t="s">
        <v>5143</v>
      </c>
      <c r="B1475" s="1439">
        <v>89</v>
      </c>
      <c r="C1475" s="1324" t="s">
        <v>5239</v>
      </c>
      <c r="D1475" s="1364" t="s">
        <v>4067</v>
      </c>
      <c r="E1475" s="1364">
        <f>+IF(ISBLANK(REPORTS!F1180),"",REPORTS!F1180)</f>
        <v>2678.9953364120252</v>
      </c>
      <c r="F1475" s="1364">
        <f>+IF(ISBLANK(REPORTS!G1180),"",REPORTS!G1180)</f>
        <v>173.56368499846039</v>
      </c>
      <c r="G1475" s="1364">
        <f>+IF(ISBLANK(REPORTS!H1180),"",REPORTS!H1180)</f>
        <v>2505.4316514135644</v>
      </c>
      <c r="H1475" s="1374">
        <f>+IF(ISBLANK(REPORTS!I1180),"",REPORTS!I1180)</f>
        <v>0.93521314403222722</v>
      </c>
    </row>
    <row r="1476" spans="1:8">
      <c r="A1476" s="1752"/>
      <c r="B1476" s="1439">
        <v>90</v>
      </c>
      <c r="C1476" s="1324" t="s">
        <v>5240</v>
      </c>
      <c r="D1476" s="1364" t="s">
        <v>4067</v>
      </c>
      <c r="E1476" s="1364">
        <f>+IF(ISBLANK(REPORTS!F1181),"",REPORTS!F1181)</f>
        <v>13156.454642515533</v>
      </c>
      <c r="F1476" s="1364">
        <f>+IF(ISBLANK(REPORTS!G1181),"",REPORTS!G1181)</f>
        <v>0</v>
      </c>
      <c r="G1476" s="1364">
        <f>+IF(ISBLANK(REPORTS!H1181),"",REPORTS!H1181)</f>
        <v>13156.454642515533</v>
      </c>
      <c r="H1476" s="1374">
        <f>+IF(ISBLANK(REPORTS!I1181),"",REPORTS!I1181)</f>
        <v>1</v>
      </c>
    </row>
    <row r="1477" spans="1:8">
      <c r="A1477" s="1752"/>
      <c r="B1477" s="1439">
        <v>91</v>
      </c>
      <c r="C1477" s="1324" t="s">
        <v>5241</v>
      </c>
      <c r="D1477" s="1364" t="s">
        <v>4067</v>
      </c>
      <c r="E1477" s="1364">
        <f>+IF(ISBLANK(REPORTS!F1182),"",REPORTS!F1182)</f>
        <v>2269.5853899717054</v>
      </c>
      <c r="F1477" s="1364">
        <f>+IF(ISBLANK(REPORTS!G1182),"",REPORTS!G1182)</f>
        <v>0</v>
      </c>
      <c r="G1477" s="1364">
        <f>+IF(ISBLANK(REPORTS!H1182),"",REPORTS!H1182)</f>
        <v>2269.5853899717054</v>
      </c>
      <c r="H1477" s="1374">
        <f>+IF(ISBLANK(REPORTS!I1182),"",REPORTS!I1182)</f>
        <v>1</v>
      </c>
    </row>
    <row r="1478" spans="1:8">
      <c r="A1478" s="1751">
        <v>101</v>
      </c>
      <c r="B1478" s="1439">
        <v>92</v>
      </c>
      <c r="C1478" s="1324" t="s">
        <v>5242</v>
      </c>
      <c r="D1478" s="1364" t="s">
        <v>4071</v>
      </c>
      <c r="E1478" s="1364">
        <f>+IF(ISBLANK(REPORTS!F1183),"",REPORTS!F1183)</f>
        <v>8433.4309596513831</v>
      </c>
      <c r="F1478" s="1364">
        <f>+IF(ISBLANK(REPORTS!G1183),"",REPORTS!G1183)</f>
        <v>0</v>
      </c>
      <c r="G1478" s="1364">
        <f>+IF(ISBLANK(REPORTS!H1183),"",REPORTS!H1183)</f>
        <v>8433.4309596513831</v>
      </c>
      <c r="H1478" s="1374">
        <f>+IF(ISBLANK(REPORTS!I1183),"",REPORTS!I1183)</f>
        <v>1</v>
      </c>
    </row>
    <row r="1479" spans="1:8">
      <c r="A1479" s="1751">
        <v>201</v>
      </c>
      <c r="B1479" s="1439">
        <v>93</v>
      </c>
      <c r="C1479" s="1324" t="s">
        <v>5244</v>
      </c>
      <c r="D1479" s="1364" t="s">
        <v>4071</v>
      </c>
      <c r="E1479" s="1364">
        <f>+IF(ISBLANK(REPORTS!F1184),"",REPORTS!F1184)</f>
        <v>11423.279228503052</v>
      </c>
      <c r="F1479" s="1364">
        <f>+IF(ISBLANK(REPORTS!G1184),"",REPORTS!G1184)</f>
        <v>0</v>
      </c>
      <c r="G1479" s="1364">
        <f>+IF(ISBLANK(REPORTS!H1184),"",REPORTS!H1184)</f>
        <v>11423.279228503052</v>
      </c>
      <c r="H1479" s="1374">
        <f>+IF(ISBLANK(REPORTS!I1184),"",REPORTS!I1184)</f>
        <v>1</v>
      </c>
    </row>
    <row r="1480" spans="1:8">
      <c r="A1480" s="1751">
        <v>117</v>
      </c>
      <c r="B1480" s="1439">
        <v>94</v>
      </c>
      <c r="C1480" s="1324" t="s">
        <v>5688</v>
      </c>
      <c r="D1480" s="1364"/>
      <c r="E1480" s="1421">
        <f>+IF(ISBLANK(REPORTS!F1185),"",REPORTS!F1185)</f>
        <v>41595.298069999997</v>
      </c>
      <c r="F1480" s="1421">
        <f>+IF(ISBLANK(REPORTS!G1185),"",REPORTS!G1185)</f>
        <v>235.29644147238878</v>
      </c>
      <c r="G1480" s="1421">
        <f>+IF(ISBLANK(REPORTS!H1185),"",REPORTS!H1185)</f>
        <v>41360.001628527607</v>
      </c>
      <c r="H1480" s="1374">
        <f>+IF(ISBLANK(REPORTS!I1185),"",REPORTS!I1185)</f>
        <v>0.99434319616903777</v>
      </c>
    </row>
    <row r="1481" spans="1:8">
      <c r="A1481" s="1751">
        <v>117</v>
      </c>
      <c r="B1481" s="1439">
        <v>95</v>
      </c>
      <c r="C1481" s="1324"/>
      <c r="D1481" s="1364"/>
      <c r="E1481" s="1364" t="str">
        <f>+IF(ISBLANK(REPORTS!F1186),"",REPORTS!F1186)</f>
        <v/>
      </c>
      <c r="F1481" s="1324" t="str">
        <f>+IF(ISBLANK(REPORTS!G1186),"",REPORTS!G1186)</f>
        <v/>
      </c>
      <c r="G1481" s="1324" t="str">
        <f>+IF(ISBLANK(REPORTS!H1186),"",REPORTS!H1186)</f>
        <v/>
      </c>
      <c r="H1481" s="1440" t="str">
        <f>+IF(ISBLANK(REPORTS!I1186),"",REPORTS!I1186)</f>
        <v/>
      </c>
    </row>
    <row r="1482" spans="1:8">
      <c r="A1482" s="1751">
        <v>105</v>
      </c>
      <c r="B1482" s="1439">
        <v>96</v>
      </c>
      <c r="C1482" s="1362" t="s">
        <v>5654</v>
      </c>
      <c r="D1482" s="1364"/>
      <c r="E1482" s="1364" t="str">
        <f>+IF(ISBLANK(REPORTS!F1187),"",REPORTS!F1187)</f>
        <v/>
      </c>
      <c r="F1482" s="1324" t="str">
        <f>+IF(ISBLANK(REPORTS!G1187),"",REPORTS!G1187)</f>
        <v/>
      </c>
      <c r="G1482" s="1324" t="str">
        <f>+IF(ISBLANK(REPORTS!H1187),"",REPORTS!H1187)</f>
        <v/>
      </c>
      <c r="H1482" s="1440" t="str">
        <f>+IF(ISBLANK(REPORTS!I1187),"",REPORTS!I1187)</f>
        <v/>
      </c>
    </row>
    <row r="1483" spans="1:8">
      <c r="A1483" s="1751">
        <v>106</v>
      </c>
      <c r="B1483" s="1439">
        <v>97</v>
      </c>
      <c r="C1483" s="1324" t="s">
        <v>5265</v>
      </c>
      <c r="D1483" s="1364" t="s">
        <v>4067</v>
      </c>
      <c r="E1483" s="1364">
        <f>+IF(ISBLANK(REPORTS!F1188),"",REPORTS!F1188)</f>
        <v>99691.257924697406</v>
      </c>
      <c r="F1483" s="1364">
        <f>+IF(ISBLANK(REPORTS!G1188),"",REPORTS!G1188)</f>
        <v>0</v>
      </c>
      <c r="G1483" s="1364">
        <f>+IF(ISBLANK(REPORTS!H1188),"",REPORTS!H1188)</f>
        <v>99691.257924697406</v>
      </c>
      <c r="H1483" s="1374">
        <f>+IF(ISBLANK(REPORTS!I1188),"",REPORTS!I1188)</f>
        <v>1</v>
      </c>
    </row>
    <row r="1484" spans="1:8">
      <c r="A1484" s="1751">
        <v>907</v>
      </c>
      <c r="B1484" s="1439">
        <v>98</v>
      </c>
      <c r="C1484" s="1324" t="s">
        <v>5358</v>
      </c>
      <c r="D1484" s="1364" t="s">
        <v>4067</v>
      </c>
      <c r="E1484" s="1364">
        <f>+IF(ISBLANK(REPORTS!F1189),"",REPORTS!F1189)</f>
        <v>439.12268</v>
      </c>
      <c r="F1484" s="1364">
        <f>+IF(ISBLANK(REPORTS!G1189),"",REPORTS!G1189)</f>
        <v>0</v>
      </c>
      <c r="G1484" s="1364">
        <f>+IF(ISBLANK(REPORTS!H1189),"",REPORTS!H1189)</f>
        <v>439.12268</v>
      </c>
      <c r="H1484" s="1374">
        <f>+IF(ISBLANK(REPORTS!I1189),"",REPORTS!I1189)</f>
        <v>1</v>
      </c>
    </row>
    <row r="1485" spans="1:8">
      <c r="A1485" s="1751">
        <v>412</v>
      </c>
      <c r="B1485" s="1439">
        <v>99</v>
      </c>
      <c r="C1485" s="1324" t="s">
        <v>5265</v>
      </c>
      <c r="D1485" s="1364" t="s">
        <v>2067</v>
      </c>
      <c r="E1485" s="1364">
        <f>+IF(ISBLANK(REPORTS!F1190),"",REPORTS!F1190)</f>
        <v>25438.678738913521</v>
      </c>
      <c r="F1485" s="1364">
        <f>+IF(ISBLANK(REPORTS!G1190),"",REPORTS!G1190)</f>
        <v>0</v>
      </c>
      <c r="G1485" s="1364">
        <f>+IF(ISBLANK(REPORTS!H1190),"",REPORTS!H1190)</f>
        <v>25438.678738913521</v>
      </c>
      <c r="H1485" s="1374">
        <f>+IF(ISBLANK(REPORTS!I1190),"",REPORTS!I1190)</f>
        <v>1</v>
      </c>
    </row>
    <row r="1486" spans="1:8">
      <c r="A1486" s="1752"/>
      <c r="B1486" s="1439">
        <v>100</v>
      </c>
      <c r="C1486" s="1324" t="s">
        <v>5268</v>
      </c>
      <c r="D1486" s="1364" t="s">
        <v>4067</v>
      </c>
      <c r="E1486" s="1364">
        <f>+IF(ISBLANK(REPORTS!F1191),"",REPORTS!F1191)</f>
        <v>4083.0021388321447</v>
      </c>
      <c r="F1486" s="1364">
        <f>+IF(ISBLANK(REPORTS!G1191),"",REPORTS!G1191)</f>
        <v>264.52487148462563</v>
      </c>
      <c r="G1486" s="1364">
        <f>+IF(ISBLANK(REPORTS!H1191),"",REPORTS!H1191)</f>
        <v>3818.4772673475186</v>
      </c>
      <c r="H1486" s="1374">
        <f>+IF(ISBLANK(REPORTS!I1191),"",REPORTS!I1191)</f>
        <v>0.93521314403222722</v>
      </c>
    </row>
    <row r="1487" spans="1:8">
      <c r="A1487" s="1752"/>
      <c r="B1487" s="1439">
        <v>101</v>
      </c>
      <c r="C1487" s="1324" t="s">
        <v>5239</v>
      </c>
      <c r="D1487" s="1364" t="s">
        <v>4067</v>
      </c>
      <c r="E1487" s="1364">
        <f>+IF(ISBLANK(REPORTS!F1192),"",REPORTS!F1192)</f>
        <v>11479.495450224891</v>
      </c>
      <c r="F1487" s="1364">
        <f>+IF(ISBLANK(REPORTS!G1192),"",REPORTS!G1192)</f>
        <v>743.72041831642093</v>
      </c>
      <c r="G1487" s="1364">
        <f>+IF(ISBLANK(REPORTS!H1192),"",REPORTS!H1192)</f>
        <v>10735.77503190847</v>
      </c>
      <c r="H1487" s="1374">
        <f>+IF(ISBLANK(REPORTS!I1192),"",REPORTS!I1192)</f>
        <v>0.93521314403222733</v>
      </c>
    </row>
    <row r="1488" spans="1:8">
      <c r="A1488" s="1752"/>
      <c r="B1488" s="1439">
        <v>102</v>
      </c>
      <c r="C1488" s="1324" t="s">
        <v>5240</v>
      </c>
      <c r="D1488" s="1364" t="s">
        <v>4067</v>
      </c>
      <c r="E1488" s="1364">
        <f>+IF(ISBLANK(REPORTS!F1193),"",REPORTS!F1193)</f>
        <v>58292.843823061834</v>
      </c>
      <c r="F1488" s="1364">
        <f>+IF(ISBLANK(REPORTS!G1193),"",REPORTS!G1193)</f>
        <v>0</v>
      </c>
      <c r="G1488" s="1364">
        <f>+IF(ISBLANK(REPORTS!H1193),"",REPORTS!H1193)</f>
        <v>58292.843823061834</v>
      </c>
      <c r="H1488" s="1374">
        <f>+IF(ISBLANK(REPORTS!I1193),"",REPORTS!I1193)</f>
        <v>1</v>
      </c>
    </row>
    <row r="1489" spans="1:8">
      <c r="A1489" s="1751">
        <v>101</v>
      </c>
      <c r="B1489" s="1439">
        <v>103</v>
      </c>
      <c r="C1489" s="1324" t="s">
        <v>5241</v>
      </c>
      <c r="D1489" s="1364" t="s">
        <v>4067</v>
      </c>
      <c r="E1489" s="1364">
        <f>+IF(ISBLANK(REPORTS!F1194),"",REPORTS!F1194)</f>
        <v>9725.1737634492329</v>
      </c>
      <c r="F1489" s="1364">
        <f>+IF(ISBLANK(REPORTS!G1194),"",REPORTS!G1194)</f>
        <v>0</v>
      </c>
      <c r="G1489" s="1364">
        <f>+IF(ISBLANK(REPORTS!H1194),"",REPORTS!H1194)</f>
        <v>9725.1737634492329</v>
      </c>
      <c r="H1489" s="1374">
        <f>+IF(ISBLANK(REPORTS!I1194),"",REPORTS!I1194)</f>
        <v>1</v>
      </c>
    </row>
    <row r="1490" spans="1:8">
      <c r="A1490" s="1751">
        <v>201</v>
      </c>
      <c r="B1490" s="1439">
        <v>104</v>
      </c>
      <c r="C1490" s="1324" t="s">
        <v>5242</v>
      </c>
      <c r="D1490" s="1364" t="s">
        <v>4071</v>
      </c>
      <c r="E1490" s="1364">
        <f>+IF(ISBLANK(REPORTS!F1195),"",REPORTS!F1195)</f>
        <v>36137.253027384279</v>
      </c>
      <c r="F1490" s="1364">
        <f>+IF(ISBLANK(REPORTS!G1195),"",REPORTS!G1195)</f>
        <v>0</v>
      </c>
      <c r="G1490" s="1364">
        <f>+IF(ISBLANK(REPORTS!H1195),"",REPORTS!H1195)</f>
        <v>36137.253027384279</v>
      </c>
      <c r="H1490" s="1374">
        <f>+IF(ISBLANK(REPORTS!I1195),"",REPORTS!I1195)</f>
        <v>1</v>
      </c>
    </row>
    <row r="1491" spans="1:8">
      <c r="A1491" s="1751">
        <v>117</v>
      </c>
      <c r="B1491" s="1439">
        <v>105</v>
      </c>
      <c r="C1491" s="1324" t="s">
        <v>5244</v>
      </c>
      <c r="D1491" s="1364" t="s">
        <v>4071</v>
      </c>
      <c r="E1491" s="1364">
        <f>+IF(ISBLANK(REPORTS!F1196),"",REPORTS!F1196)</f>
        <v>49095.376013436653</v>
      </c>
      <c r="F1491" s="1364">
        <f>+IF(ISBLANK(REPORTS!G1196),"",REPORTS!G1196)</f>
        <v>0</v>
      </c>
      <c r="G1491" s="1364">
        <f>+IF(ISBLANK(REPORTS!H1196),"",REPORTS!H1196)</f>
        <v>49095.376013436653</v>
      </c>
      <c r="H1491" s="1374">
        <f>+IF(ISBLANK(REPORTS!I1196),"",REPORTS!I1196)</f>
        <v>1</v>
      </c>
    </row>
    <row r="1492" spans="1:8">
      <c r="A1492" s="1751">
        <v>117</v>
      </c>
      <c r="B1492" s="1439">
        <v>106</v>
      </c>
      <c r="C1492" s="1324" t="s">
        <v>5655</v>
      </c>
      <c r="D1492" s="1364"/>
      <c r="E1492" s="1421">
        <f>+IF(ISBLANK(REPORTS!F1197),"",REPORTS!F1197)</f>
        <v>294382.20355999999</v>
      </c>
      <c r="F1492" s="1421">
        <f>+IF(ISBLANK(REPORTS!G1197),"",REPORTS!G1197)</f>
        <v>1008.2452898010465</v>
      </c>
      <c r="G1492" s="1421">
        <f>+IF(ISBLANK(REPORTS!H1197),"",REPORTS!H1197)</f>
        <v>293373.9582701989</v>
      </c>
      <c r="H1492" s="1374">
        <f>+IF(ISBLANK(REPORTS!I1197),"",REPORTS!I1197)</f>
        <v>0.99657504673309638</v>
      </c>
    </row>
    <row r="1493" spans="1:8">
      <c r="A1493" s="1751">
        <v>105</v>
      </c>
      <c r="B1493" s="1439">
        <v>107</v>
      </c>
      <c r="C1493" s="1364"/>
      <c r="D1493" s="1364"/>
      <c r="E1493" s="1364" t="str">
        <f>+IF(ISBLANK(REPORTS!F1198),"",REPORTS!F1198)</f>
        <v/>
      </c>
      <c r="F1493" s="1364" t="str">
        <f>+IF(ISBLANK(REPORTS!G1198),"",REPORTS!G1198)</f>
        <v/>
      </c>
      <c r="G1493" s="1364" t="str">
        <f>+IF(ISBLANK(REPORTS!H1198),"",REPORTS!H1198)</f>
        <v/>
      </c>
      <c r="H1493" s="1440" t="str">
        <f>+IF(ISBLANK(REPORTS!I1198),"",REPORTS!I1198)</f>
        <v/>
      </c>
    </row>
    <row r="1494" spans="1:8">
      <c r="A1494" s="1751">
        <v>106</v>
      </c>
      <c r="B1494" s="1439">
        <v>108</v>
      </c>
      <c r="C1494" s="1362" t="s">
        <v>5691</v>
      </c>
      <c r="D1494" s="1364"/>
      <c r="E1494" s="1364" t="str">
        <f>+IF(ISBLANK(REPORTS!F1199),"",REPORTS!F1199)</f>
        <v/>
      </c>
      <c r="F1494" s="1364" t="str">
        <f>+IF(ISBLANK(REPORTS!G1199),"",REPORTS!G1199)</f>
        <v/>
      </c>
      <c r="G1494" s="1364" t="str">
        <f>+IF(ISBLANK(REPORTS!H1199),"",REPORTS!H1199)</f>
        <v/>
      </c>
      <c r="H1494" s="1440" t="str">
        <f>+IF(ISBLANK(REPORTS!I1199),"",REPORTS!I1199)</f>
        <v/>
      </c>
    </row>
    <row r="1495" spans="1:8">
      <c r="A1495" s="1751">
        <v>907</v>
      </c>
      <c r="B1495" s="1439">
        <v>109</v>
      </c>
      <c r="C1495" s="1364" t="s">
        <v>5265</v>
      </c>
      <c r="D1495" s="1364" t="s">
        <v>4067</v>
      </c>
      <c r="E1495" s="1364">
        <f>+IF(ISBLANK(REPORTS!F1200),"",REPORTS!F1200)</f>
        <v>1928412.7989641612</v>
      </c>
      <c r="F1495" s="1364">
        <f>+IF(ISBLANK(REPORTS!G1200),"",REPORTS!G1200)</f>
        <v>0</v>
      </c>
      <c r="G1495" s="1364">
        <f>+IF(ISBLANK(REPORTS!H1200),"",REPORTS!H1200)</f>
        <v>1928412.7989641612</v>
      </c>
      <c r="H1495" s="1374">
        <f>+IF(ISBLANK(REPORTS!I1200),"",REPORTS!I1200)</f>
        <v>1</v>
      </c>
    </row>
    <row r="1496" spans="1:8">
      <c r="A1496" s="1751">
        <v>412</v>
      </c>
      <c r="B1496" s="1439">
        <v>110</v>
      </c>
      <c r="C1496" s="1364" t="s">
        <v>5265</v>
      </c>
      <c r="D1496" s="1364" t="s">
        <v>2067</v>
      </c>
      <c r="E1496" s="1364">
        <f>+IF(ISBLANK(REPORTS!F1201),"",REPORTS!F1201)</f>
        <v>322619.66777948913</v>
      </c>
      <c r="F1496" s="1364">
        <f>+IF(ISBLANK(REPORTS!G1201),"",REPORTS!G1201)</f>
        <v>0</v>
      </c>
      <c r="G1496" s="1364">
        <f>+IF(ISBLANK(REPORTS!H1201),"",REPORTS!H1201)</f>
        <v>322619.66777948913</v>
      </c>
      <c r="H1496" s="1374">
        <f>+IF(ISBLANK(REPORTS!I1201),"",REPORTS!I1201)</f>
        <v>1</v>
      </c>
    </row>
    <row r="1497" spans="1:8">
      <c r="A1497" s="1752"/>
      <c r="B1497" s="1439">
        <v>111</v>
      </c>
      <c r="C1497" s="1364" t="s">
        <v>5268</v>
      </c>
      <c r="D1497" s="1364" t="s">
        <v>4067</v>
      </c>
      <c r="E1497" s="1364">
        <f>+IF(ISBLANK(REPORTS!F1202),"",REPORTS!F1202)</f>
        <v>149714.92348754551</v>
      </c>
      <c r="F1497" s="1364">
        <f>+IF(ISBLANK(REPORTS!G1202),"",REPORTS!G1202)</f>
        <v>9699.5591842137055</v>
      </c>
      <c r="G1497" s="1364">
        <f>+IF(ISBLANK(REPORTS!H1202),"",REPORTS!H1202)</f>
        <v>140015.36430333179</v>
      </c>
      <c r="H1497" s="1374">
        <f>+IF(ISBLANK(REPORTS!I1202),"",REPORTS!I1202)</f>
        <v>0.93521314403222733</v>
      </c>
    </row>
    <row r="1498" spans="1:8">
      <c r="A1498" s="1752"/>
      <c r="B1498" s="1439">
        <v>112</v>
      </c>
      <c r="C1498" s="1364" t="s">
        <v>5239</v>
      </c>
      <c r="D1498" s="1364" t="s">
        <v>4067</v>
      </c>
      <c r="E1498" s="1364">
        <f>+IF(ISBLANK(REPORTS!F1203),"",REPORTS!F1203)</f>
        <v>140304.38999998066</v>
      </c>
      <c r="F1498" s="1364">
        <f>+IF(ISBLANK(REPORTS!G1203),"",REPORTS!G1203)</f>
        <v>9089.8803065749416</v>
      </c>
      <c r="G1498" s="1364">
        <f>+IF(ISBLANK(REPORTS!H1203),"",REPORTS!H1203)</f>
        <v>131214.50969340571</v>
      </c>
      <c r="H1498" s="1374">
        <f>+IF(ISBLANK(REPORTS!I1203),"",REPORTS!I1203)</f>
        <v>0.93521314403222733</v>
      </c>
    </row>
    <row r="1499" spans="1:8">
      <c r="A1499" s="1752"/>
      <c r="B1499" s="1439">
        <v>113</v>
      </c>
      <c r="C1499" s="1364" t="s">
        <v>5240</v>
      </c>
      <c r="D1499" s="1364" t="s">
        <v>4067</v>
      </c>
      <c r="E1499" s="1364">
        <f>+IF(ISBLANK(REPORTS!F1204),"",REPORTS!F1204)</f>
        <v>646089.35097835469</v>
      </c>
      <c r="F1499" s="1364">
        <f>+IF(ISBLANK(REPORTS!G1204),"",REPORTS!G1204)</f>
        <v>0</v>
      </c>
      <c r="G1499" s="1364">
        <f>+IF(ISBLANK(REPORTS!H1204),"",REPORTS!H1204)</f>
        <v>646089.35097835469</v>
      </c>
      <c r="H1499" s="1374">
        <f>+IF(ISBLANK(REPORTS!I1204),"",REPORTS!I1204)</f>
        <v>1</v>
      </c>
    </row>
    <row r="1500" spans="1:8">
      <c r="A1500" s="1751">
        <v>101</v>
      </c>
      <c r="B1500" s="1439">
        <v>114</v>
      </c>
      <c r="C1500" s="1364" t="s">
        <v>5241</v>
      </c>
      <c r="D1500" s="1364" t="s">
        <v>4067</v>
      </c>
      <c r="E1500" s="1364">
        <f>+IF(ISBLANK(REPORTS!F1205),"",REPORTS!F1205)</f>
        <v>401759.43460946128</v>
      </c>
      <c r="F1500" s="1364">
        <f>+IF(ISBLANK(REPORTS!G1205),"",REPORTS!G1205)</f>
        <v>0</v>
      </c>
      <c r="G1500" s="1364">
        <f>+IF(ISBLANK(REPORTS!H1205),"",REPORTS!H1205)</f>
        <v>401759.43460946128</v>
      </c>
      <c r="H1500" s="1374">
        <f>+IF(ISBLANK(REPORTS!I1205),"",REPORTS!I1205)</f>
        <v>1</v>
      </c>
    </row>
    <row r="1501" spans="1:8">
      <c r="A1501" s="1751">
        <v>101</v>
      </c>
      <c r="B1501" s="1439">
        <v>115</v>
      </c>
      <c r="C1501" s="1364" t="s">
        <v>5242</v>
      </c>
      <c r="D1501" s="1364" t="s">
        <v>4071</v>
      </c>
      <c r="E1501" s="1364">
        <f>+IF(ISBLANK(REPORTS!F1206),"",REPORTS!F1206)</f>
        <v>367572.06014171452</v>
      </c>
      <c r="F1501" s="1364">
        <f>+IF(ISBLANK(REPORTS!G1206),"",REPORTS!G1206)</f>
        <v>0</v>
      </c>
      <c r="G1501" s="1364">
        <f>+IF(ISBLANK(REPORTS!H1206),"",REPORTS!H1206)</f>
        <v>367572.06014171452</v>
      </c>
      <c r="H1501" s="1374">
        <f>+IF(ISBLANK(REPORTS!I1206),"",REPORTS!I1206)</f>
        <v>1</v>
      </c>
    </row>
    <row r="1502" spans="1:8">
      <c r="A1502" s="1751">
        <v>201</v>
      </c>
      <c r="B1502" s="1439">
        <v>116</v>
      </c>
      <c r="C1502" s="1364" t="s">
        <v>5244</v>
      </c>
      <c r="D1502" s="1364" t="s">
        <v>4071</v>
      </c>
      <c r="E1502" s="1366">
        <f>+IF(ISBLANK(REPORTS!F1207),"",REPORTS!F1207)</f>
        <v>67123.870702369808</v>
      </c>
      <c r="F1502" s="1366">
        <f>+IF(ISBLANK(REPORTS!G1207),"",REPORTS!G1207)</f>
        <v>0</v>
      </c>
      <c r="G1502" s="1366">
        <f>+IF(ISBLANK(REPORTS!H1207),"",REPORTS!H1207)</f>
        <v>67123.870702369808</v>
      </c>
      <c r="H1502" s="1374">
        <f>+IF(ISBLANK(REPORTS!I1207),"",REPORTS!I1207)</f>
        <v>1</v>
      </c>
    </row>
    <row r="1503" spans="1:8">
      <c r="A1503" s="1751">
        <v>117</v>
      </c>
      <c r="B1503" s="1439">
        <v>117</v>
      </c>
      <c r="C1503" s="1364"/>
      <c r="D1503" s="1364"/>
      <c r="E1503" s="1364" t="str">
        <f>+IF(ISBLANK(REPORTS!F1208),"",REPORTS!F1208)</f>
        <v/>
      </c>
      <c r="F1503" s="1364" t="str">
        <f>+IF(ISBLANK(REPORTS!G1208),"",REPORTS!G1208)</f>
        <v/>
      </c>
      <c r="G1503" s="1364" t="str">
        <f>+IF(ISBLANK(REPORTS!H1208),"",REPORTS!H1208)</f>
        <v/>
      </c>
      <c r="H1503" s="1374" t="str">
        <f>+IF(ISBLANK(REPORTS!I1208),"",REPORTS!I1208)</f>
        <v/>
      </c>
    </row>
    <row r="1504" spans="1:8" ht="15" thickBot="1">
      <c r="A1504" s="1751">
        <v>117</v>
      </c>
      <c r="B1504" s="1439">
        <v>118</v>
      </c>
      <c r="C1504" s="1324" t="s">
        <v>5700</v>
      </c>
      <c r="D1504" s="1364"/>
      <c r="E1504" s="1380">
        <f>+IF(ISBLANK(REPORTS!F1209),"",REPORTS!F1209)</f>
        <v>4023596.4966630763</v>
      </c>
      <c r="F1504" s="1380">
        <f>+IF(ISBLANK(REPORTS!G1209),"",REPORTS!G1209)</f>
        <v>18789.439490788645</v>
      </c>
      <c r="G1504" s="1380">
        <f>+IF(ISBLANK(REPORTS!H1209),"",REPORTS!H1209)</f>
        <v>4004807.0571722877</v>
      </c>
      <c r="H1504" s="1374">
        <f>+IF(ISBLANK(REPORTS!I1209),"",REPORTS!I1209)</f>
        <v>0.99533018792854322</v>
      </c>
    </row>
    <row r="1505" spans="1:8" ht="15" thickTop="1">
      <c r="A1505" s="1751">
        <v>105</v>
      </c>
    </row>
    <row r="1506" spans="1:8">
      <c r="A1506" s="1751">
        <v>106</v>
      </c>
    </row>
    <row r="1507" spans="1:8">
      <c r="A1507" s="1751">
        <v>907</v>
      </c>
    </row>
    <row r="1508" spans="1:8">
      <c r="A1508" s="1751">
        <v>412</v>
      </c>
    </row>
    <row r="1509" spans="1:8">
      <c r="A1509" s="1752"/>
      <c r="B1509" s="1416" t="str">
        <f>+$B$1</f>
        <v>RATES WITH REVENUE DEFICIENCY ADDITION</v>
      </c>
      <c r="C1509" s="1364"/>
      <c r="D1509" s="1324"/>
      <c r="E1509" s="1336"/>
      <c r="F1509" s="1329" t="s">
        <v>2173</v>
      </c>
      <c r="G1509" s="1324"/>
      <c r="H1509" s="1334" t="s">
        <v>5750</v>
      </c>
    </row>
    <row r="1510" spans="1:8">
      <c r="A1510" s="1752"/>
      <c r="B1510" s="1416" t="str">
        <f>+$B$2</f>
        <v xml:space="preserve">PROD. CAP. ALLOC. METHOD: 12 CP </v>
      </c>
      <c r="C1510" s="1364"/>
      <c r="D1510" s="1324"/>
      <c r="E1510" s="1324"/>
      <c r="F1510" s="1336" t="s">
        <v>4768</v>
      </c>
      <c r="G1510" s="1324"/>
      <c r="H1510" s="1731" t="s">
        <v>4310</v>
      </c>
    </row>
    <row r="1511" spans="1:8">
      <c r="A1511" s="1752"/>
      <c r="B1511" s="1416" t="str">
        <f>+$B$3</f>
        <v>PROJECTED CALENDAR YEAR 2025; FULLY ADJUSTED DATA</v>
      </c>
      <c r="C1511" s="1364"/>
      <c r="D1511" s="1324"/>
      <c r="E1511" s="1324"/>
      <c r="F1511" s="1336" t="s">
        <v>2181</v>
      </c>
      <c r="G1511" s="1324"/>
      <c r="H1511" s="1374"/>
    </row>
    <row r="1512" spans="1:8">
      <c r="A1512" s="1752"/>
      <c r="B1512" s="1732">
        <f>+$B$4</f>
        <v>0</v>
      </c>
      <c r="C1512" s="1364"/>
      <c r="D1512" s="1324"/>
      <c r="E1512" s="1324"/>
      <c r="F1512" s="1364"/>
      <c r="G1512" s="1324"/>
      <c r="H1512" s="1374"/>
    </row>
    <row r="1513" spans="1:8">
      <c r="A1513" s="1752"/>
      <c r="B1513" s="1732" t="str">
        <f>+$B$5</f>
        <v>Tampa Electric 2025 OB Budget</v>
      </c>
      <c r="C1513" s="1364"/>
      <c r="D1513" s="1324"/>
      <c r="E1513" s="1329"/>
      <c r="F1513" s="1336" t="s">
        <v>5703</v>
      </c>
      <c r="G1513" s="1324"/>
      <c r="H1513" s="1374"/>
    </row>
    <row r="1514" spans="1:8">
      <c r="A1514" s="1752"/>
      <c r="B1514" s="1393"/>
      <c r="C1514" s="1364"/>
      <c r="D1514" s="1324"/>
      <c r="E1514" s="1336"/>
      <c r="F1514" s="1364"/>
      <c r="G1514" s="1324"/>
      <c r="H1514" s="1374"/>
    </row>
    <row r="1515" spans="1:8">
      <c r="A1515" s="1752"/>
      <c r="B1515" s="1393"/>
      <c r="C1515" s="1364"/>
      <c r="D1515" s="1364"/>
      <c r="E1515" s="1336"/>
      <c r="F1515" s="1364"/>
      <c r="G1515" s="1324"/>
      <c r="H1515" s="1374"/>
    </row>
    <row r="1516" spans="1:8">
      <c r="A1516" s="1752"/>
      <c r="B1516" s="1393"/>
      <c r="C1516" s="1324"/>
      <c r="D1516" s="1324"/>
      <c r="E1516" s="1324"/>
      <c r="F1516" s="1324"/>
      <c r="G1516" s="1324"/>
      <c r="H1516" s="1374"/>
    </row>
    <row r="1517" spans="1:8">
      <c r="A1517" s="1752"/>
      <c r="B1517" s="1735"/>
      <c r="C1517" s="1416"/>
      <c r="D1517" s="1416"/>
      <c r="E1517" s="1336"/>
      <c r="F1517" s="1336"/>
      <c r="G1517" s="1336"/>
      <c r="H1517" s="1736"/>
    </row>
    <row r="1518" spans="1:8" ht="28.2">
      <c r="A1518" s="1752"/>
      <c r="B1518" s="1737" t="s">
        <v>4297</v>
      </c>
      <c r="C1518" s="1741"/>
      <c r="D1518" s="1741"/>
      <c r="E1518" s="1352" t="s">
        <v>5144</v>
      </c>
      <c r="F1518" s="1352" t="s">
        <v>4956</v>
      </c>
      <c r="G1518" s="1352" t="s">
        <v>4957</v>
      </c>
      <c r="H1518" s="1742" t="s">
        <v>5145</v>
      </c>
    </row>
    <row r="1519" spans="1:8">
      <c r="A1519" s="1752"/>
      <c r="B1519" s="1393"/>
      <c r="C1519" s="1324"/>
      <c r="D1519" s="1324"/>
      <c r="E1519" s="1324"/>
      <c r="F1519" s="1324"/>
      <c r="G1519" s="1324"/>
      <c r="H1519" s="1374"/>
    </row>
    <row r="1520" spans="1:8">
      <c r="A1520" s="1752"/>
      <c r="B1520" s="1393">
        <v>1</v>
      </c>
      <c r="C1520" s="1362" t="s">
        <v>5084</v>
      </c>
      <c r="D1520" s="1324"/>
      <c r="E1520" s="1324"/>
      <c r="F1520" s="1324"/>
      <c r="G1520" s="1324"/>
      <c r="H1520" s="1374"/>
    </row>
    <row r="1521" spans="1:8">
      <c r="A1521" s="1751"/>
      <c r="B1521" s="1393">
        <v>2</v>
      </c>
      <c r="C1521" s="1324" t="s">
        <v>5265</v>
      </c>
      <c r="D1521" s="1324" t="s">
        <v>4067</v>
      </c>
      <c r="E1521" s="1324">
        <f>+IF(ISBLANK(REPORTS!F1227),"",REPORTS!F1227)</f>
        <v>91094.96646804089</v>
      </c>
      <c r="F1521" s="1364">
        <f>+IF(ISBLANK(REPORTS!G1227),"",REPORTS!G1227)</f>
        <v>0</v>
      </c>
      <c r="G1521" s="1364">
        <f>+IF(ISBLANK(REPORTS!H1227),"",REPORTS!H1227)</f>
        <v>91094.96646804089</v>
      </c>
      <c r="H1521" s="1374">
        <f>+IF(ISBLANK(REPORTS!I1227),"",REPORTS!I1227)</f>
        <v>1</v>
      </c>
    </row>
    <row r="1522" spans="1:8">
      <c r="A1522" s="1751"/>
      <c r="B1522" s="1393">
        <v>3</v>
      </c>
      <c r="C1522" s="1324" t="s">
        <v>5265</v>
      </c>
      <c r="D1522" s="1324" t="s">
        <v>2067</v>
      </c>
      <c r="E1522" s="1324">
        <f>+IF(ISBLANK(REPORTS!F1228),"",REPORTS!F1228)</f>
        <v>7691.9493755345575</v>
      </c>
      <c r="F1522" s="1364">
        <f>+IF(ISBLANK(REPORTS!G1228),"",REPORTS!G1228)</f>
        <v>0</v>
      </c>
      <c r="G1522" s="1364">
        <f>+IF(ISBLANK(REPORTS!H1228),"",REPORTS!H1228)</f>
        <v>7691.9493755345575</v>
      </c>
      <c r="H1522" s="1374">
        <f>+IF(ISBLANK(REPORTS!I1228),"",REPORTS!I1228)</f>
        <v>1</v>
      </c>
    </row>
    <row r="1523" spans="1:8">
      <c r="A1523" s="1751"/>
      <c r="B1523" s="1393">
        <v>4</v>
      </c>
      <c r="C1523" s="1324" t="s">
        <v>5268</v>
      </c>
      <c r="D1523" s="1324" t="s">
        <v>4067</v>
      </c>
      <c r="E1523" s="1324">
        <f>+IF(ISBLANK(REPORTS!F1229),"",REPORTS!F1229)</f>
        <v>7204.3735840743111</v>
      </c>
      <c r="F1523" s="1364">
        <f>+IF(ISBLANK(REPORTS!G1229),"",REPORTS!G1229)</f>
        <v>466.74871372944807</v>
      </c>
      <c r="G1523" s="1364">
        <f>+IF(ISBLANK(REPORTS!H1229),"",REPORTS!H1229)</f>
        <v>6737.6248703448628</v>
      </c>
      <c r="H1523" s="1374">
        <f>+IF(ISBLANK(REPORTS!I1229),"",REPORTS!I1229)</f>
        <v>0.93521314403222733</v>
      </c>
    </row>
    <row r="1524" spans="1:8">
      <c r="A1524" s="1751"/>
      <c r="B1524" s="1393">
        <v>5</v>
      </c>
      <c r="C1524" s="1324" t="s">
        <v>5239</v>
      </c>
      <c r="D1524" s="1324" t="s">
        <v>4067</v>
      </c>
      <c r="E1524" s="1324">
        <f>+IF(ISBLANK(REPORTS!F1230),"",REPORTS!F1230)</f>
        <v>7080.443710513463</v>
      </c>
      <c r="F1524" s="1364">
        <f>+IF(ISBLANK(REPORTS!G1230),"",REPORTS!G1230)</f>
        <v>458.71968686095715</v>
      </c>
      <c r="G1524" s="1364">
        <f>+IF(ISBLANK(REPORTS!H1230),"",REPORTS!H1230)</f>
        <v>6621.7240236525049</v>
      </c>
      <c r="H1524" s="1374">
        <f>+IF(ISBLANK(REPORTS!I1230),"",REPORTS!I1230)</f>
        <v>0.93521314403222722</v>
      </c>
    </row>
    <row r="1525" spans="1:8">
      <c r="A1525" s="1751"/>
      <c r="B1525" s="1393">
        <v>6</v>
      </c>
      <c r="C1525" s="1324" t="s">
        <v>5240</v>
      </c>
      <c r="D1525" s="1324" t="s">
        <v>4067</v>
      </c>
      <c r="E1525" s="1324">
        <f>+IF(ISBLANK(REPORTS!F1231),"",REPORTS!F1231)</f>
        <v>24796.119036571257</v>
      </c>
      <c r="F1525" s="1364">
        <f>+IF(ISBLANK(REPORTS!G1231),"",REPORTS!G1231)</f>
        <v>0</v>
      </c>
      <c r="G1525" s="1364">
        <f>+IF(ISBLANK(REPORTS!H1231),"",REPORTS!H1231)</f>
        <v>24796.119036571257</v>
      </c>
      <c r="H1525" s="1374">
        <f>+IF(ISBLANK(REPORTS!I1231),"",REPORTS!I1231)</f>
        <v>1</v>
      </c>
    </row>
    <row r="1526" spans="1:8">
      <c r="A1526" s="1751"/>
      <c r="B1526" s="1393">
        <v>7</v>
      </c>
      <c r="C1526" s="1324" t="s">
        <v>5241</v>
      </c>
      <c r="D1526" s="1324" t="s">
        <v>4067</v>
      </c>
      <c r="E1526" s="1324">
        <f>+IF(ISBLANK(REPORTS!F1232),"",REPORTS!F1232)</f>
        <v>13757.084983215889</v>
      </c>
      <c r="F1526" s="1364">
        <f>+IF(ISBLANK(REPORTS!G1232),"",REPORTS!G1232)</f>
        <v>0</v>
      </c>
      <c r="G1526" s="1364">
        <f>+IF(ISBLANK(REPORTS!H1232),"",REPORTS!H1232)</f>
        <v>13757.084983215889</v>
      </c>
      <c r="H1526" s="1374">
        <f>+IF(ISBLANK(REPORTS!I1232),"",REPORTS!I1232)</f>
        <v>1</v>
      </c>
    </row>
    <row r="1527" spans="1:8">
      <c r="A1527" s="1760"/>
      <c r="B1527" s="1393">
        <v>8</v>
      </c>
      <c r="C1527" s="1324" t="s">
        <v>5242</v>
      </c>
      <c r="D1527" s="1324" t="s">
        <v>4071</v>
      </c>
      <c r="E1527" s="1324">
        <f>+IF(ISBLANK(REPORTS!F1233),"",REPORTS!F1233)</f>
        <v>11197.212842049608</v>
      </c>
      <c r="F1527" s="1364">
        <f>+IF(ISBLANK(REPORTS!G1233),"",REPORTS!G1233)</f>
        <v>0</v>
      </c>
      <c r="G1527" s="1364">
        <f>+IF(ISBLANK(REPORTS!H1233),"",REPORTS!H1233)</f>
        <v>11197.212842049608</v>
      </c>
      <c r="H1527" s="1374">
        <f>+IF(ISBLANK(REPORTS!I1233),"",REPORTS!I1233)</f>
        <v>1</v>
      </c>
    </row>
    <row r="1528" spans="1:8">
      <c r="A1528" s="1760"/>
      <c r="B1528" s="1393">
        <v>9</v>
      </c>
      <c r="C1528" s="1324" t="s">
        <v>5244</v>
      </c>
      <c r="D1528" s="1324" t="s">
        <v>4071</v>
      </c>
      <c r="E1528" s="1324">
        <f>+IF(ISBLANK(REPORTS!F1234),"",REPORTS!F1234)</f>
        <v>0</v>
      </c>
      <c r="F1528" s="1364">
        <f>+IF(ISBLANK(REPORTS!G1234),"",REPORTS!G1234)</f>
        <v>0</v>
      </c>
      <c r="G1528" s="1364">
        <f>+IF(ISBLANK(REPORTS!H1234),"",REPORTS!H1234)</f>
        <v>0</v>
      </c>
      <c r="H1528" s="1374">
        <f>+IF(ISBLANK(REPORTS!I1234),"",REPORTS!I1234)</f>
        <v>0</v>
      </c>
    </row>
    <row r="1529" spans="1:8">
      <c r="A1529" s="1751"/>
      <c r="B1529" s="1393">
        <v>10</v>
      </c>
      <c r="C1529" s="1324" t="s">
        <v>5088</v>
      </c>
      <c r="D1529" s="1324"/>
      <c r="E1529" s="1421">
        <f>+IF(ISBLANK(REPORTS!F1235),"",REPORTS!F1235)</f>
        <v>162822.15</v>
      </c>
      <c r="F1529" s="1421">
        <f>+IF(ISBLANK(REPORTS!G1235),"",REPORTS!G1235)</f>
        <v>925.46840059040528</v>
      </c>
      <c r="G1529" s="1421">
        <f>+IF(ISBLANK(REPORTS!H1235),"",REPORTS!H1235)</f>
        <v>161896.68159940958</v>
      </c>
      <c r="H1529" s="1374">
        <f>+IF(ISBLANK(REPORTS!I1235),"",REPORTS!I1235)</f>
        <v>0.99431607799927457</v>
      </c>
    </row>
    <row r="1530" spans="1:8">
      <c r="A1530" s="1751"/>
      <c r="B1530" s="1393">
        <v>11</v>
      </c>
      <c r="C1530" s="1324"/>
      <c r="D1530" s="1324"/>
      <c r="E1530" s="1324" t="str">
        <f>+IF(ISBLANK(REPORTS!F1236),"",REPORTS!F1236)</f>
        <v/>
      </c>
      <c r="F1530" s="1324" t="str">
        <f>+IF(ISBLANK(REPORTS!G1236),"",REPORTS!G1236)</f>
        <v/>
      </c>
      <c r="G1530" s="1324" t="str">
        <f>+IF(ISBLANK(REPORTS!H1236),"",REPORTS!H1236)</f>
        <v/>
      </c>
      <c r="H1530" s="1374" t="str">
        <f>+IF(ISBLANK(REPORTS!I1236),"",REPORTS!I1236)</f>
        <v/>
      </c>
    </row>
    <row r="1531" spans="1:8">
      <c r="A1531" s="1751"/>
      <c r="B1531" s="1393">
        <v>12</v>
      </c>
      <c r="C1531" s="1362" t="s">
        <v>5705</v>
      </c>
      <c r="D1531" s="1324"/>
      <c r="E1531" s="1324" t="str">
        <f>+IF(ISBLANK(REPORTS!F1237),"",REPORTS!F1237)</f>
        <v/>
      </c>
      <c r="F1531" s="1324" t="str">
        <f>+IF(ISBLANK(REPORTS!G1237),"",REPORTS!G1237)</f>
        <v/>
      </c>
      <c r="G1531" s="1324" t="str">
        <f>+IF(ISBLANK(REPORTS!H1237),"",REPORTS!H1237)</f>
        <v/>
      </c>
      <c r="H1531" s="1374" t="str">
        <f>+IF(ISBLANK(REPORTS!I1237),"",REPORTS!I1237)</f>
        <v/>
      </c>
    </row>
    <row r="1532" spans="1:8">
      <c r="A1532" s="1751"/>
      <c r="B1532" s="1393">
        <v>13</v>
      </c>
      <c r="C1532" s="1324" t="s">
        <v>5265</v>
      </c>
      <c r="D1532" s="1324" t="s">
        <v>4067</v>
      </c>
      <c r="E1532" s="1324">
        <f>+IF(ISBLANK(REPORTS!F1238),"",REPORTS!F1238)</f>
        <v>-276877.79085390217</v>
      </c>
      <c r="F1532" s="1364">
        <f>+IF(ISBLANK(REPORTS!G1238),"",REPORTS!G1238)</f>
        <v>0</v>
      </c>
      <c r="G1532" s="1364">
        <f>+IF(ISBLANK(REPORTS!H1238),"",REPORTS!H1238)</f>
        <v>-276877.79085390217</v>
      </c>
      <c r="H1532" s="1374">
        <f>+IF(ISBLANK(REPORTS!I1238),"",REPORTS!I1238)</f>
        <v>1</v>
      </c>
    </row>
    <row r="1533" spans="1:8">
      <c r="A1533" s="1751"/>
      <c r="B1533" s="1393">
        <v>14</v>
      </c>
      <c r="C1533" s="1324" t="s">
        <v>5265</v>
      </c>
      <c r="D1533" s="1324" t="s">
        <v>2067</v>
      </c>
      <c r="E1533" s="1324">
        <f>+IF(ISBLANK(REPORTS!F1239),"",REPORTS!F1239)</f>
        <v>-26078.27032716485</v>
      </c>
      <c r="F1533" s="1364">
        <f>+IF(ISBLANK(REPORTS!G1239),"",REPORTS!G1239)</f>
        <v>0</v>
      </c>
      <c r="G1533" s="1364">
        <f>+IF(ISBLANK(REPORTS!H1239),"",REPORTS!H1239)</f>
        <v>-26078.27032716485</v>
      </c>
      <c r="H1533" s="1374">
        <f>+IF(ISBLANK(REPORTS!I1239),"",REPORTS!I1239)</f>
        <v>1</v>
      </c>
    </row>
    <row r="1534" spans="1:8">
      <c r="A1534" s="1751"/>
      <c r="B1534" s="1393">
        <v>15</v>
      </c>
      <c r="C1534" s="1324" t="s">
        <v>5268</v>
      </c>
      <c r="D1534" s="1324" t="s">
        <v>4067</v>
      </c>
      <c r="E1534" s="1324">
        <f>+IF(ISBLANK(REPORTS!F1240),"",REPORTS!F1240)</f>
        <v>-21859.473805132271</v>
      </c>
      <c r="F1534" s="1364">
        <f>+IF(ISBLANK(REPORTS!G1240),"",REPORTS!G1240)</f>
        <v>-1416.2065809444025</v>
      </c>
      <c r="G1534" s="1364">
        <f>+IF(ISBLANK(REPORTS!H1240),"",REPORTS!H1240)</f>
        <v>-20443.267224187868</v>
      </c>
      <c r="H1534" s="1374">
        <f>+IF(ISBLANK(REPORTS!I1240),"",REPORTS!I1240)</f>
        <v>0.93521314403222733</v>
      </c>
    </row>
    <row r="1535" spans="1:8">
      <c r="A1535" s="1751"/>
      <c r="B1535" s="1393">
        <v>16</v>
      </c>
      <c r="C1535" s="1324" t="s">
        <v>5239</v>
      </c>
      <c r="D1535" s="1324" t="s">
        <v>4067</v>
      </c>
      <c r="E1535" s="1324">
        <f>+IF(ISBLANK(REPORTS!F1241),"",REPORTS!F1241)</f>
        <v>-22792.212186502355</v>
      </c>
      <c r="F1535" s="1364">
        <f>+IF(ISBLANK(REPORTS!G1241),"",REPORTS!G1241)</f>
        <v>-1476.6357681138395</v>
      </c>
      <c r="G1535" s="1364">
        <f>+IF(ISBLANK(REPORTS!H1241),"",REPORTS!H1241)</f>
        <v>-21315.576418388515</v>
      </c>
      <c r="H1535" s="1374">
        <f>+IF(ISBLANK(REPORTS!I1241),"",REPORTS!I1241)</f>
        <v>0.93521314403222744</v>
      </c>
    </row>
    <row r="1536" spans="1:8" ht="28.2">
      <c r="A1536" s="1753" t="s">
        <v>5143</v>
      </c>
      <c r="B1536" s="1393">
        <v>17</v>
      </c>
      <c r="C1536" s="1324" t="s">
        <v>5240</v>
      </c>
      <c r="D1536" s="1324" t="s">
        <v>4067</v>
      </c>
      <c r="E1536" s="1324">
        <f>+IF(ISBLANK(REPORTS!F1242),"",REPORTS!F1242)</f>
        <v>-82744.462642516693</v>
      </c>
      <c r="F1536" s="1364">
        <f>+IF(ISBLANK(REPORTS!G1242),"",REPORTS!G1242)</f>
        <v>0</v>
      </c>
      <c r="G1536" s="1364">
        <f>+IF(ISBLANK(REPORTS!H1242),"",REPORTS!H1242)</f>
        <v>-82744.462642516693</v>
      </c>
      <c r="H1536" s="1374">
        <f>+IF(ISBLANK(REPORTS!I1242),"",REPORTS!I1242)</f>
        <v>1</v>
      </c>
    </row>
    <row r="1537" spans="1:8">
      <c r="A1537" s="1751"/>
      <c r="B1537" s="1393">
        <v>18</v>
      </c>
      <c r="C1537" s="1324" t="s">
        <v>5241</v>
      </c>
      <c r="D1537" s="1324" t="s">
        <v>4067</v>
      </c>
      <c r="E1537" s="1324">
        <f>+IF(ISBLANK(REPORTS!F1243),"",REPORTS!F1243)</f>
        <v>-41185.725121495263</v>
      </c>
      <c r="F1537" s="1364">
        <f>+IF(ISBLANK(REPORTS!G1243),"",REPORTS!G1243)</f>
        <v>0</v>
      </c>
      <c r="G1537" s="1364">
        <f>+IF(ISBLANK(REPORTS!H1243),"",REPORTS!H1243)</f>
        <v>-41185.725121495263</v>
      </c>
      <c r="H1537" s="1374">
        <f>+IF(ISBLANK(REPORTS!I1243),"",REPORTS!I1243)</f>
        <v>1</v>
      </c>
    </row>
    <row r="1538" spans="1:8">
      <c r="A1538" s="1752"/>
      <c r="B1538" s="1393">
        <v>19</v>
      </c>
      <c r="C1538" s="1324" t="s">
        <v>5242</v>
      </c>
      <c r="D1538" s="1324" t="s">
        <v>4071</v>
      </c>
      <c r="E1538" s="1324">
        <f>+IF(ISBLANK(REPORTS!F1244),"",REPORTS!F1244)</f>
        <v>-38742.145346847341</v>
      </c>
      <c r="F1538" s="1364">
        <f>+IF(ISBLANK(REPORTS!G1244),"",REPORTS!G1244)</f>
        <v>0</v>
      </c>
      <c r="G1538" s="1364">
        <f>+IF(ISBLANK(REPORTS!H1244),"",REPORTS!H1244)</f>
        <v>-38742.145346847341</v>
      </c>
      <c r="H1538" s="1374">
        <f>+IF(ISBLANK(REPORTS!I1244),"",REPORTS!I1244)</f>
        <v>1</v>
      </c>
    </row>
    <row r="1539" spans="1:8">
      <c r="A1539" s="1751">
        <v>101</v>
      </c>
      <c r="B1539" s="1393">
        <v>20</v>
      </c>
      <c r="C1539" s="1324" t="s">
        <v>5244</v>
      </c>
      <c r="D1539" s="1324" t="s">
        <v>4071</v>
      </c>
      <c r="E1539" s="1324">
        <f>+IF(ISBLANK(REPORTS!F1245),"",REPORTS!F1245)</f>
        <v>-9393.7898768032774</v>
      </c>
      <c r="F1539" s="1364">
        <f>+IF(ISBLANK(REPORTS!G1245),"",REPORTS!G1245)</f>
        <v>0</v>
      </c>
      <c r="G1539" s="1364">
        <f>+IF(ISBLANK(REPORTS!H1245),"",REPORTS!H1245)</f>
        <v>-9393.7898768032774</v>
      </c>
      <c r="H1539" s="1374">
        <f>+IF(ISBLANK(REPORTS!I1245),"",REPORTS!I1245)</f>
        <v>1</v>
      </c>
    </row>
    <row r="1540" spans="1:8">
      <c r="A1540" s="1751">
        <v>101</v>
      </c>
      <c r="B1540" s="1393">
        <v>21</v>
      </c>
      <c r="C1540" s="1324" t="s">
        <v>5706</v>
      </c>
      <c r="D1540" s="1324"/>
      <c r="E1540" s="1421">
        <f>+IF(ISBLANK(REPORTS!F1246),"",REPORTS!F1246)</f>
        <v>-519673.87016036425</v>
      </c>
      <c r="F1540" s="1421">
        <f>+IF(ISBLANK(REPORTS!G1246),"",REPORTS!G1246)</f>
        <v>-2892.8423490582418</v>
      </c>
      <c r="G1540" s="1421">
        <f>+IF(ISBLANK(REPORTS!H1246),"",REPORTS!H1246)</f>
        <v>-516781.027811306</v>
      </c>
      <c r="H1540" s="1374">
        <f>+IF(ISBLANK(REPORTS!I1246),"",REPORTS!I1246)</f>
        <v>0.99443335038537617</v>
      </c>
    </row>
    <row r="1541" spans="1:8">
      <c r="A1541" s="1751">
        <v>117</v>
      </c>
      <c r="B1541" s="1393">
        <v>22</v>
      </c>
      <c r="C1541" s="1324"/>
      <c r="D1541" s="1324"/>
      <c r="E1541" s="1324" t="str">
        <f>+IF(ISBLANK(REPORTS!F1247),"",REPORTS!F1247)</f>
        <v/>
      </c>
      <c r="F1541" s="1324" t="str">
        <f>+IF(ISBLANK(REPORTS!G1247),"",REPORTS!G1247)</f>
        <v/>
      </c>
      <c r="G1541" s="1324" t="str">
        <f>+IF(ISBLANK(REPORTS!H1247),"",REPORTS!H1247)</f>
        <v/>
      </c>
      <c r="H1541" s="1374" t="str">
        <f>+IF(ISBLANK(REPORTS!I1247),"",REPORTS!I1247)</f>
        <v/>
      </c>
    </row>
    <row r="1542" spans="1:8">
      <c r="A1542" s="1751">
        <v>117</v>
      </c>
      <c r="B1542" s="1393">
        <v>23</v>
      </c>
      <c r="C1542" s="1362" t="s">
        <v>5708</v>
      </c>
      <c r="D1542" s="1324"/>
      <c r="E1542" s="1324" t="str">
        <f>+IF(ISBLANK(REPORTS!F1248),"",REPORTS!F1248)</f>
        <v/>
      </c>
      <c r="F1542" s="1324" t="str">
        <f>+IF(ISBLANK(REPORTS!G1248),"",REPORTS!G1248)</f>
        <v/>
      </c>
      <c r="G1542" s="1324" t="str">
        <f>+IF(ISBLANK(REPORTS!H1248),"",REPORTS!H1248)</f>
        <v/>
      </c>
      <c r="H1542" s="1374" t="str">
        <f>+IF(ISBLANK(REPORTS!I1248),"",REPORTS!I1248)</f>
        <v/>
      </c>
    </row>
    <row r="1543" spans="1:8">
      <c r="A1543" s="1751">
        <v>105</v>
      </c>
      <c r="B1543" s="1393">
        <v>24</v>
      </c>
      <c r="C1543" s="1324" t="s">
        <v>5265</v>
      </c>
      <c r="D1543" s="1324" t="s">
        <v>4067</v>
      </c>
      <c r="E1543" s="1364">
        <f>+IF(ISBLANK(REPORTS!F1249),"",REPORTS!F1249)</f>
        <v>600863.57050653605</v>
      </c>
      <c r="F1543" s="1364">
        <f>+IF(ISBLANK(REPORTS!G1249),"",REPORTS!G1249)</f>
        <v>0</v>
      </c>
      <c r="G1543" s="1364">
        <f>+IF(ISBLANK(REPORTS!H1249),"",REPORTS!H1249)</f>
        <v>600863.57050653605</v>
      </c>
      <c r="H1543" s="1374">
        <f>+IF(ISBLANK(REPORTS!I1249),"",REPORTS!I1249)</f>
        <v>1</v>
      </c>
    </row>
    <row r="1544" spans="1:8">
      <c r="A1544" s="1751">
        <v>106</v>
      </c>
      <c r="B1544" s="1393">
        <v>25</v>
      </c>
      <c r="C1544" s="1324" t="s">
        <v>5265</v>
      </c>
      <c r="D1544" s="1324" t="s">
        <v>2067</v>
      </c>
      <c r="E1544" s="1364">
        <f>+IF(ISBLANK(REPORTS!F1250),"",REPORTS!F1250)</f>
        <v>56593.497705574773</v>
      </c>
      <c r="F1544" s="1364">
        <f>+IF(ISBLANK(REPORTS!G1250),"",REPORTS!G1250)</f>
        <v>0</v>
      </c>
      <c r="G1544" s="1364">
        <f>+IF(ISBLANK(REPORTS!H1250),"",REPORTS!H1250)</f>
        <v>56593.497705574773</v>
      </c>
      <c r="H1544" s="1374">
        <f>+IF(ISBLANK(REPORTS!I1250),"",REPORTS!I1250)</f>
        <v>1</v>
      </c>
    </row>
    <row r="1545" spans="1:8">
      <c r="A1545" s="1751">
        <v>907</v>
      </c>
      <c r="B1545" s="1393">
        <v>26</v>
      </c>
      <c r="C1545" s="1324" t="s">
        <v>5268</v>
      </c>
      <c r="D1545" s="1324" t="s">
        <v>4067</v>
      </c>
      <c r="E1545" s="1364">
        <f>+IF(ISBLANK(REPORTS!F1251),"",REPORTS!F1251)</f>
        <v>47438.118598961511</v>
      </c>
      <c r="F1545" s="1364">
        <f>+IF(ISBLANK(REPORTS!G1251),"",REPORTS!G1251)</f>
        <v>3073.3665570530343</v>
      </c>
      <c r="G1545" s="1364">
        <f>+IF(ISBLANK(REPORTS!H1251),"",REPORTS!H1251)</f>
        <v>44364.752041908476</v>
      </c>
      <c r="H1545" s="1374">
        <f>+IF(ISBLANK(REPORTS!I1251),"",REPORTS!I1251)</f>
        <v>0.93521314403222733</v>
      </c>
    </row>
    <row r="1546" spans="1:8">
      <c r="A1546" s="1751">
        <v>412</v>
      </c>
      <c r="B1546" s="1393">
        <v>27</v>
      </c>
      <c r="C1546" s="1324" t="s">
        <v>5239</v>
      </c>
      <c r="D1546" s="1324" t="s">
        <v>4067</v>
      </c>
      <c r="E1546" s="1364">
        <f>+IF(ISBLANK(REPORTS!F1252),"",REPORTS!F1252)</f>
        <v>49462.291474835991</v>
      </c>
      <c r="F1546" s="1364">
        <f>+IF(ISBLANK(REPORTS!G1252),"",REPORTS!G1252)</f>
        <v>3204.5063536161861</v>
      </c>
      <c r="G1546" s="1364">
        <f>+IF(ISBLANK(REPORTS!H1252),"",REPORTS!H1252)</f>
        <v>46257.7851212198</v>
      </c>
      <c r="H1546" s="1374">
        <f>+IF(ISBLANK(REPORTS!I1252),"",REPORTS!I1252)</f>
        <v>0.93521314403222733</v>
      </c>
    </row>
    <row r="1547" spans="1:8">
      <c r="A1547" s="1751"/>
      <c r="B1547" s="1393">
        <v>28</v>
      </c>
      <c r="C1547" s="1324" t="s">
        <v>5240</v>
      </c>
      <c r="D1547" s="1324" t="s">
        <v>4067</v>
      </c>
      <c r="E1547" s="1364">
        <f>+IF(ISBLANK(REPORTS!F1253),"",REPORTS!F1253)</f>
        <v>179567.06859620108</v>
      </c>
      <c r="F1547" s="1364">
        <f>+IF(ISBLANK(REPORTS!G1253),"",REPORTS!G1253)</f>
        <v>0</v>
      </c>
      <c r="G1547" s="1364">
        <f>+IF(ISBLANK(REPORTS!H1253),"",REPORTS!H1253)</f>
        <v>179567.06859620108</v>
      </c>
      <c r="H1547" s="1374">
        <f>+IF(ISBLANK(REPORTS!I1253),"",REPORTS!I1253)</f>
        <v>1</v>
      </c>
    </row>
    <row r="1548" spans="1:8">
      <c r="A1548" s="1751"/>
      <c r="B1548" s="1393">
        <v>29</v>
      </c>
      <c r="C1548" s="1324" t="s">
        <v>5241</v>
      </c>
      <c r="D1548" s="1324" t="s">
        <v>4067</v>
      </c>
      <c r="E1548" s="1364">
        <f>+IF(ISBLANK(REPORTS!F1254),"",REPORTS!F1254)</f>
        <v>89378.789732761303</v>
      </c>
      <c r="F1548" s="1364">
        <f>+IF(ISBLANK(REPORTS!G1254),"",REPORTS!G1254)</f>
        <v>0</v>
      </c>
      <c r="G1548" s="1364">
        <f>+IF(ISBLANK(REPORTS!H1254),"",REPORTS!H1254)</f>
        <v>89378.789732761303</v>
      </c>
      <c r="H1548" s="1374">
        <f>+IF(ISBLANK(REPORTS!I1254),"",REPORTS!I1254)</f>
        <v>1</v>
      </c>
    </row>
    <row r="1549" spans="1:8">
      <c r="A1549" s="1751"/>
      <c r="B1549" s="1393">
        <v>30</v>
      </c>
      <c r="C1549" s="1324" t="s">
        <v>5242</v>
      </c>
      <c r="D1549" s="1324" t="s">
        <v>4071</v>
      </c>
      <c r="E1549" s="1364">
        <f>+IF(ISBLANK(REPORTS!F1255),"",REPORTS!F1255)</f>
        <v>84075.879507696518</v>
      </c>
      <c r="F1549" s="1364">
        <f>+IF(ISBLANK(REPORTS!G1255),"",REPORTS!G1255)</f>
        <v>0</v>
      </c>
      <c r="G1549" s="1364">
        <f>+IF(ISBLANK(REPORTS!H1255),"",REPORTS!H1255)</f>
        <v>84075.879507696518</v>
      </c>
      <c r="H1549" s="1374">
        <f>+IF(ISBLANK(REPORTS!I1255),"",REPORTS!I1255)</f>
        <v>1</v>
      </c>
    </row>
    <row r="1550" spans="1:8">
      <c r="A1550" s="1751">
        <v>101</v>
      </c>
      <c r="B1550" s="1393">
        <v>31</v>
      </c>
      <c r="C1550" s="1324" t="s">
        <v>5244</v>
      </c>
      <c r="D1550" s="1324" t="s">
        <v>4071</v>
      </c>
      <c r="E1550" s="1364">
        <f>+IF(ISBLANK(REPORTS!F1256),"",REPORTS!F1256)</f>
        <v>20385.839212876766</v>
      </c>
      <c r="F1550" s="1364">
        <f>+IF(ISBLANK(REPORTS!G1256),"",REPORTS!G1256)</f>
        <v>0</v>
      </c>
      <c r="G1550" s="1364">
        <f>+IF(ISBLANK(REPORTS!H1256),"",REPORTS!H1256)</f>
        <v>20385.839212876766</v>
      </c>
      <c r="H1550" s="1374">
        <f>+IF(ISBLANK(REPORTS!I1256),"",REPORTS!I1256)</f>
        <v>1</v>
      </c>
    </row>
    <row r="1551" spans="1:8">
      <c r="A1551" s="1751">
        <v>101</v>
      </c>
      <c r="B1551" s="1393">
        <v>32</v>
      </c>
      <c r="C1551" s="1324" t="s">
        <v>5709</v>
      </c>
      <c r="D1551" s="1324"/>
      <c r="E1551" s="1421">
        <f>+IF(ISBLANK(REPORTS!F1257),"",REPORTS!F1257)</f>
        <v>1127765.0553354439</v>
      </c>
      <c r="F1551" s="1421">
        <f>+IF(ISBLANK(REPORTS!G1257),"",REPORTS!G1257)</f>
        <v>6277.8729106692208</v>
      </c>
      <c r="G1551" s="1421">
        <f>+IF(ISBLANK(REPORTS!H1257),"",REPORTS!H1257)</f>
        <v>1121487.1824247749</v>
      </c>
      <c r="H1551" s="1374">
        <f>+IF(ISBLANK(REPORTS!I1257),"",REPORTS!I1257)</f>
        <v>0.99443335038537639</v>
      </c>
    </row>
    <row r="1552" spans="1:8">
      <c r="A1552" s="1751">
        <v>117</v>
      </c>
      <c r="B1552" s="1393">
        <v>33</v>
      </c>
      <c r="C1552" s="1324"/>
      <c r="D1552" s="1324"/>
      <c r="E1552" s="1324" t="str">
        <f>+IF(ISBLANK(REPORTS!F1258),"",REPORTS!F1258)</f>
        <v/>
      </c>
      <c r="F1552" s="1324" t="str">
        <f>+IF(ISBLANK(REPORTS!G1258),"",REPORTS!G1258)</f>
        <v/>
      </c>
      <c r="G1552" s="1324" t="str">
        <f>+IF(ISBLANK(REPORTS!H1258),"",REPORTS!H1258)</f>
        <v/>
      </c>
      <c r="H1552" s="1374" t="str">
        <f>+IF(ISBLANK(REPORTS!I1258),"",REPORTS!I1258)</f>
        <v/>
      </c>
    </row>
    <row r="1553" spans="1:8">
      <c r="A1553" s="1751">
        <v>117</v>
      </c>
      <c r="B1553" s="1393">
        <v>34</v>
      </c>
      <c r="C1553" s="1362" t="s">
        <v>5711</v>
      </c>
      <c r="D1553" s="1324"/>
      <c r="E1553" s="1324" t="str">
        <f>+IF(ISBLANK(REPORTS!F1259),"",REPORTS!F1259)</f>
        <v/>
      </c>
      <c r="F1553" s="1324" t="str">
        <f>+IF(ISBLANK(REPORTS!G1259),"",REPORTS!G1259)</f>
        <v/>
      </c>
      <c r="G1553" s="1324" t="str">
        <f>+IF(ISBLANK(REPORTS!H1259),"",REPORTS!H1259)</f>
        <v/>
      </c>
      <c r="H1553" s="1374" t="str">
        <f>+IF(ISBLANK(REPORTS!I1259),"",REPORTS!I1259)</f>
        <v/>
      </c>
    </row>
    <row r="1554" spans="1:8">
      <c r="A1554" s="1751">
        <v>105</v>
      </c>
      <c r="B1554" s="1393">
        <v>35</v>
      </c>
      <c r="C1554" s="1324" t="s">
        <v>5265</v>
      </c>
      <c r="D1554" s="1324" t="s">
        <v>4067</v>
      </c>
      <c r="E1554" s="1364">
        <f>+IF(ISBLANK(REPORTS!F1260),"",REPORTS!F1260)</f>
        <v>383917.97310275974</v>
      </c>
      <c r="F1554" s="1364">
        <f>+IF(ISBLANK(REPORTS!G1260),"",REPORTS!G1260)</f>
        <v>0</v>
      </c>
      <c r="G1554" s="1364">
        <f>+IF(ISBLANK(REPORTS!H1260),"",REPORTS!H1260)</f>
        <v>383917.97310275974</v>
      </c>
      <c r="H1554" s="1374">
        <f>+IF(ISBLANK(REPORTS!I1260),"",REPORTS!I1260)</f>
        <v>1</v>
      </c>
    </row>
    <row r="1555" spans="1:8">
      <c r="A1555" s="1751">
        <v>106</v>
      </c>
      <c r="B1555" s="1393">
        <v>36</v>
      </c>
      <c r="C1555" s="1324" t="s">
        <v>5265</v>
      </c>
      <c r="D1555" s="1324" t="s">
        <v>2067</v>
      </c>
      <c r="E1555" s="1364">
        <f>+IF(ISBLANK(REPORTS!F1261),"",REPORTS!F1261)</f>
        <v>36160.056952035855</v>
      </c>
      <c r="F1555" s="1364">
        <f>+IF(ISBLANK(REPORTS!G1261),"",REPORTS!G1261)</f>
        <v>0</v>
      </c>
      <c r="G1555" s="1364">
        <f>+IF(ISBLANK(REPORTS!H1261),"",REPORTS!H1261)</f>
        <v>36160.056952035855</v>
      </c>
      <c r="H1555" s="1374">
        <f>+IF(ISBLANK(REPORTS!I1261),"",REPORTS!I1261)</f>
        <v>1</v>
      </c>
    </row>
    <row r="1556" spans="1:8">
      <c r="A1556" s="1751">
        <v>907</v>
      </c>
      <c r="B1556" s="1393">
        <v>37</v>
      </c>
      <c r="C1556" s="1324" t="s">
        <v>5268</v>
      </c>
      <c r="D1556" s="1324" t="s">
        <v>4067</v>
      </c>
      <c r="E1556" s="1364">
        <f>+IF(ISBLANK(REPORTS!F1262),"",REPORTS!F1262)</f>
        <v>30310.285452932985</v>
      </c>
      <c r="F1556" s="1364">
        <f>+IF(ISBLANK(REPORTS!G1262),"",REPORTS!G1262)</f>
        <v>1963.7080979812424</v>
      </c>
      <c r="G1556" s="1364">
        <f>+IF(ISBLANK(REPORTS!H1262),"",REPORTS!H1262)</f>
        <v>28346.57735495174</v>
      </c>
      <c r="H1556" s="1374">
        <f>+IF(ISBLANK(REPORTS!I1262),"",REPORTS!I1262)</f>
        <v>0.93521314403222733</v>
      </c>
    </row>
    <row r="1557" spans="1:8">
      <c r="A1557" s="1751">
        <v>412</v>
      </c>
      <c r="B1557" s="1393">
        <v>38</v>
      </c>
      <c r="C1557" s="1324" t="s">
        <v>5239</v>
      </c>
      <c r="D1557" s="1324" t="s">
        <v>4067</v>
      </c>
      <c r="E1557" s="1364">
        <f>+IF(ISBLANK(REPORTS!F1263),"",REPORTS!F1263)</f>
        <v>31603.61789287471</v>
      </c>
      <c r="F1557" s="1364">
        <f>+IF(ISBLANK(REPORTS!G1263),"",REPORTS!G1263)</f>
        <v>2047.4990404861949</v>
      </c>
      <c r="G1557" s="1364">
        <f>+IF(ISBLANK(REPORTS!H1263),"",REPORTS!H1263)</f>
        <v>29556.118852388514</v>
      </c>
      <c r="H1557" s="1374">
        <f>+IF(ISBLANK(REPORTS!I1263),"",REPORTS!I1263)</f>
        <v>0.93521314403222733</v>
      </c>
    </row>
    <row r="1558" spans="1:8">
      <c r="A1558" s="1751"/>
      <c r="B1558" s="1393">
        <v>39</v>
      </c>
      <c r="C1558" s="1324" t="s">
        <v>5240</v>
      </c>
      <c r="D1558" s="1324" t="s">
        <v>4067</v>
      </c>
      <c r="E1558" s="1364">
        <f>+IF(ISBLANK(REPORTS!F1264),"",REPORTS!F1264)</f>
        <v>114733.24128028135</v>
      </c>
      <c r="F1558" s="1364">
        <f>+IF(ISBLANK(REPORTS!G1264),"",REPORTS!G1264)</f>
        <v>0</v>
      </c>
      <c r="G1558" s="1364">
        <f>+IF(ISBLANK(REPORTS!H1264),"",REPORTS!H1264)</f>
        <v>114733.24128028135</v>
      </c>
      <c r="H1558" s="1374">
        <f>+IF(ISBLANK(REPORTS!I1264),"",REPORTS!I1264)</f>
        <v>1</v>
      </c>
    </row>
    <row r="1559" spans="1:8">
      <c r="A1559" s="1751"/>
      <c r="B1559" s="1393">
        <v>40</v>
      </c>
      <c r="C1559" s="1324" t="s">
        <v>5241</v>
      </c>
      <c r="D1559" s="1324" t="s">
        <v>4067</v>
      </c>
      <c r="E1559" s="1364">
        <f>+IF(ISBLANK(REPORTS!F1265),"",REPORTS!F1265)</f>
        <v>57108.011663366793</v>
      </c>
      <c r="F1559" s="1364">
        <f>+IF(ISBLANK(REPORTS!G1265),"",REPORTS!G1265)</f>
        <v>0</v>
      </c>
      <c r="G1559" s="1364">
        <f>+IF(ISBLANK(REPORTS!H1265),"",REPORTS!H1265)</f>
        <v>57108.011663366793</v>
      </c>
      <c r="H1559" s="1374">
        <f>+IF(ISBLANK(REPORTS!I1265),"",REPORTS!I1265)</f>
        <v>1</v>
      </c>
    </row>
    <row r="1560" spans="1:8">
      <c r="A1560" s="1751"/>
      <c r="B1560" s="1393">
        <v>41</v>
      </c>
      <c r="C1560" s="1324" t="s">
        <v>5242</v>
      </c>
      <c r="D1560" s="1324" t="s">
        <v>4071</v>
      </c>
      <c r="E1560" s="1364">
        <f>+IF(ISBLANK(REPORTS!F1266),"",REPORTS!F1266)</f>
        <v>53719.750758422109</v>
      </c>
      <c r="F1560" s="1364">
        <f>+IF(ISBLANK(REPORTS!G1266),"",REPORTS!G1266)</f>
        <v>0</v>
      </c>
      <c r="G1560" s="1364">
        <f>+IF(ISBLANK(REPORTS!H1266),"",REPORTS!H1266)</f>
        <v>53719.750758422109</v>
      </c>
      <c r="H1560" s="1374">
        <f>+IF(ISBLANK(REPORTS!I1266),"",REPORTS!I1266)</f>
        <v>1</v>
      </c>
    </row>
    <row r="1561" spans="1:8">
      <c r="A1561" s="1751">
        <v>101</v>
      </c>
      <c r="B1561" s="1393">
        <v>42</v>
      </c>
      <c r="C1561" s="1324" t="s">
        <v>5244</v>
      </c>
      <c r="D1561" s="1324" t="s">
        <v>4071</v>
      </c>
      <c r="E1561" s="1364">
        <f>+IF(ISBLANK(REPORTS!F1267),"",REPORTS!F1267)</f>
        <v>13025.402861432542</v>
      </c>
      <c r="F1561" s="1364">
        <f>+IF(ISBLANK(REPORTS!G1267),"",REPORTS!G1267)</f>
        <v>0</v>
      </c>
      <c r="G1561" s="1364">
        <f>+IF(ISBLANK(REPORTS!H1267),"",REPORTS!H1267)</f>
        <v>13025.402861432542</v>
      </c>
      <c r="H1561" s="1374">
        <f>+IF(ISBLANK(REPORTS!I1267),"",REPORTS!I1267)</f>
        <v>1</v>
      </c>
    </row>
    <row r="1562" spans="1:8">
      <c r="A1562" s="1751">
        <v>101</v>
      </c>
      <c r="B1562" s="1393">
        <v>43</v>
      </c>
      <c r="C1562" s="1324" t="s">
        <v>5712</v>
      </c>
      <c r="D1562" s="1324"/>
      <c r="E1562" s="1421">
        <f>+IF(ISBLANK(REPORTS!F1268),"",REPORTS!F1268)</f>
        <v>720578.3399641061</v>
      </c>
      <c r="F1562" s="1421">
        <f>+IF(ISBLANK(REPORTS!G1268),"",REPORTS!G1268)</f>
        <v>4011.2071384674373</v>
      </c>
      <c r="G1562" s="1421">
        <f>+IF(ISBLANK(REPORTS!H1268),"",REPORTS!H1268)</f>
        <v>716567.13282563863</v>
      </c>
      <c r="H1562" s="1374">
        <f>+IF(ISBLANK(REPORTS!I1268),"",REPORTS!I1268)</f>
        <v>0.99443335038537617</v>
      </c>
    </row>
    <row r="1563" spans="1:8">
      <c r="A1563" s="1751">
        <v>117</v>
      </c>
    </row>
    <row r="1564" spans="1:8">
      <c r="A1564" s="1751">
        <v>117</v>
      </c>
    </row>
    <row r="1565" spans="1:8">
      <c r="A1565" s="1751">
        <v>105</v>
      </c>
    </row>
    <row r="1566" spans="1:8">
      <c r="A1566" s="1751">
        <v>106</v>
      </c>
    </row>
    <row r="1567" spans="1:8">
      <c r="A1567" s="1751">
        <v>907</v>
      </c>
    </row>
    <row r="1568" spans="1:8">
      <c r="A1568" s="1751">
        <v>412</v>
      </c>
    </row>
    <row r="1569" spans="1:8">
      <c r="A1569" s="1751"/>
      <c r="B1569" s="1416" t="str">
        <f>+$B$1</f>
        <v>RATES WITH REVENUE DEFICIENCY ADDITION</v>
      </c>
      <c r="C1569" s="1324"/>
      <c r="D1569" s="1324"/>
      <c r="E1569" s="1336"/>
      <c r="F1569" s="1329" t="s">
        <v>2173</v>
      </c>
      <c r="G1569" s="1364"/>
      <c r="H1569" s="1334" t="s">
        <v>5765</v>
      </c>
    </row>
    <row r="1570" spans="1:8">
      <c r="A1570" s="1751"/>
      <c r="B1570" s="1416" t="str">
        <f>+$B$2</f>
        <v xml:space="preserve">PROD. CAP. ALLOC. METHOD: 12 CP </v>
      </c>
      <c r="C1570" s="1324"/>
      <c r="D1570" s="1324"/>
      <c r="E1570" s="1324"/>
      <c r="F1570" s="1336" t="s">
        <v>4768</v>
      </c>
      <c r="G1570" s="1324"/>
      <c r="H1570" s="1731" t="s">
        <v>4311</v>
      </c>
    </row>
    <row r="1571" spans="1:8">
      <c r="A1571" s="1751"/>
      <c r="B1571" s="1416" t="str">
        <f>+$B$3</f>
        <v>PROJECTED CALENDAR YEAR 2025; FULLY ADJUSTED DATA</v>
      </c>
      <c r="C1571" s="1324"/>
      <c r="D1571" s="1324"/>
      <c r="E1571" s="1324"/>
      <c r="F1571" s="1336" t="s">
        <v>2181</v>
      </c>
      <c r="G1571" s="1324"/>
      <c r="H1571" s="1374"/>
    </row>
    <row r="1572" spans="1:8">
      <c r="A1572" s="1751">
        <v>101</v>
      </c>
      <c r="B1572" s="1732">
        <f>+$B$4</f>
        <v>0</v>
      </c>
      <c r="C1572" s="1324"/>
      <c r="D1572" s="1324"/>
      <c r="E1572" s="1324"/>
      <c r="F1572" s="1364"/>
      <c r="G1572" s="1364"/>
      <c r="H1572" s="1374"/>
    </row>
    <row r="1573" spans="1:8">
      <c r="A1573" s="1751">
        <v>101</v>
      </c>
      <c r="B1573" s="1732" t="str">
        <f>+$B$5</f>
        <v>Tampa Electric 2025 OB Budget</v>
      </c>
      <c r="C1573" s="1324"/>
      <c r="D1573" s="1324"/>
      <c r="E1573" s="1329"/>
      <c r="F1573" s="1336" t="s">
        <v>5703</v>
      </c>
      <c r="G1573" s="1364"/>
      <c r="H1573" s="1374"/>
    </row>
    <row r="1574" spans="1:8">
      <c r="A1574" s="1751">
        <v>117</v>
      </c>
      <c r="B1574" s="1393"/>
      <c r="C1574" s="1324"/>
      <c r="D1574" s="1324"/>
      <c r="E1574" s="1336"/>
      <c r="F1574" s="1364"/>
      <c r="G1574" s="1364"/>
      <c r="H1574" s="1374"/>
    </row>
    <row r="1575" spans="1:8">
      <c r="A1575" s="1751">
        <v>117</v>
      </c>
      <c r="B1575" s="1393"/>
      <c r="C1575" s="1324"/>
      <c r="D1575" s="1324"/>
      <c r="E1575" s="1336"/>
      <c r="F1575" s="1364"/>
      <c r="G1575" s="1364"/>
      <c r="H1575" s="1374"/>
    </row>
    <row r="1576" spans="1:8">
      <c r="A1576" s="1751">
        <v>105</v>
      </c>
      <c r="B1576" s="1393"/>
      <c r="C1576" s="1324"/>
      <c r="D1576" s="1324"/>
      <c r="E1576" s="1324"/>
      <c r="F1576" s="1364"/>
      <c r="G1576" s="1364"/>
      <c r="H1576" s="1374"/>
    </row>
    <row r="1577" spans="1:8">
      <c r="A1577" s="1751">
        <v>106</v>
      </c>
      <c r="B1577" s="1393"/>
      <c r="C1577" s="1324"/>
      <c r="D1577" s="1324"/>
      <c r="E1577" s="1364"/>
      <c r="F1577" s="1364"/>
      <c r="G1577" s="1364"/>
      <c r="H1577" s="1374"/>
    </row>
    <row r="1578" spans="1:8" ht="28.2">
      <c r="A1578" s="1751">
        <v>907</v>
      </c>
      <c r="B1578" s="1737" t="s">
        <v>4297</v>
      </c>
      <c r="C1578" s="1741"/>
      <c r="D1578" s="1741"/>
      <c r="E1578" s="1352" t="s">
        <v>5144</v>
      </c>
      <c r="F1578" s="1352" t="s">
        <v>4956</v>
      </c>
      <c r="G1578" s="1352" t="s">
        <v>4957</v>
      </c>
      <c r="H1578" s="1742" t="s">
        <v>5145</v>
      </c>
    </row>
    <row r="1579" spans="1:8">
      <c r="A1579" s="1751">
        <v>412</v>
      </c>
      <c r="B1579" s="1543"/>
      <c r="C1579" s="1447"/>
      <c r="D1579" s="1447"/>
      <c r="E1579" s="1399"/>
      <c r="F1579" s="1399"/>
      <c r="G1579" s="1399"/>
      <c r="H1579" s="1448"/>
    </row>
    <row r="1580" spans="1:8">
      <c r="A1580" s="1751"/>
      <c r="B1580" s="1543"/>
      <c r="C1580" s="1447"/>
      <c r="D1580" s="1447"/>
      <c r="E1580" s="1399"/>
      <c r="F1580" s="1399"/>
      <c r="G1580" s="1399"/>
      <c r="H1580" s="1448"/>
    </row>
    <row r="1581" spans="1:8">
      <c r="A1581" s="1751"/>
      <c r="B1581" s="1543"/>
      <c r="C1581" s="1447"/>
      <c r="D1581" s="1447"/>
      <c r="E1581" s="1399" t="str">
        <f>+IF(ISBLANK(REPORTS!F1299),"",REPORTS!F1299)</f>
        <v/>
      </c>
      <c r="F1581" s="1399" t="str">
        <f>+IF(ISBLANK(REPORTS!G1299),"",REPORTS!G1299)</f>
        <v/>
      </c>
      <c r="G1581" s="1399" t="str">
        <f>+IF(ISBLANK(REPORTS!H1299),"",REPORTS!H1299)</f>
        <v/>
      </c>
      <c r="H1581" s="1448" t="str">
        <f>+IF(ISBLANK(REPORTS!I1299),"",REPORTS!I1299)</f>
        <v/>
      </c>
    </row>
    <row r="1582" spans="1:8">
      <c r="A1582" s="1751"/>
      <c r="B1582" s="1393">
        <v>44</v>
      </c>
      <c r="C1582" s="1362" t="s">
        <v>5718</v>
      </c>
      <c r="D1582" s="1324"/>
      <c r="E1582" s="1324" t="str">
        <f>+IF(ISBLANK(REPORTS!F1300),"",REPORTS!F1300)</f>
        <v/>
      </c>
      <c r="F1582" s="1324" t="str">
        <f>+IF(ISBLANK(REPORTS!G1300),"",REPORTS!G1300)</f>
        <v/>
      </c>
      <c r="G1582" s="1324" t="str">
        <f>+IF(ISBLANK(REPORTS!H1300),"",REPORTS!H1300)</f>
        <v/>
      </c>
      <c r="H1582" s="1374" t="str">
        <f>+IF(ISBLANK(REPORTS!I1300),"",REPORTS!I1300)</f>
        <v/>
      </c>
    </row>
    <row r="1583" spans="1:8">
      <c r="A1583" s="1751"/>
      <c r="B1583" s="1393">
        <v>45</v>
      </c>
      <c r="C1583" s="1324" t="s">
        <v>5265</v>
      </c>
      <c r="D1583" s="1324" t="s">
        <v>2067</v>
      </c>
      <c r="E1583" s="1366">
        <f>+IF(ISBLANK(REPORTS!F1301),"",REPORTS!F1301)</f>
        <v>36634.816307692308</v>
      </c>
      <c r="F1583" s="1364">
        <f>+IF(ISBLANK(REPORTS!G1301),"",REPORTS!G1301)</f>
        <v>0</v>
      </c>
      <c r="G1583" s="1364">
        <f>+IF(ISBLANK(REPORTS!H1301),"",REPORTS!H1301)</f>
        <v>36634.816307692308</v>
      </c>
      <c r="H1583" s="1374">
        <f>+IF(ISBLANK(REPORTS!I1301),"",REPORTS!I1301)</f>
        <v>1</v>
      </c>
    </row>
    <row r="1584" spans="1:8">
      <c r="A1584" s="1751"/>
      <c r="B1584" s="1393">
        <v>46</v>
      </c>
      <c r="C1584" s="1324" t="s">
        <v>5719</v>
      </c>
      <c r="D1584" s="1324"/>
      <c r="E1584" s="1421">
        <f>+IF(ISBLANK(REPORTS!F1302),"",REPORTS!F1302)</f>
        <v>36634.816307692308</v>
      </c>
      <c r="F1584" s="1421">
        <f>+IF(ISBLANK(REPORTS!G1302),"",REPORTS!G1302)</f>
        <v>0</v>
      </c>
      <c r="G1584" s="1421">
        <f>+IF(ISBLANK(REPORTS!H1302),"",REPORTS!H1302)</f>
        <v>36634.816307692308</v>
      </c>
      <c r="H1584" s="1374">
        <f>+IF(ISBLANK(REPORTS!I1302),"",REPORTS!I1302)</f>
        <v>1</v>
      </c>
    </row>
    <row r="1585" spans="1:8">
      <c r="A1585" s="1751"/>
      <c r="B1585" s="1393">
        <v>47</v>
      </c>
      <c r="C1585" s="1324"/>
      <c r="D1585" s="1324"/>
      <c r="E1585" s="1324" t="str">
        <f>+IF(ISBLANK(REPORTS!F1303),"",REPORTS!F1303)</f>
        <v/>
      </c>
      <c r="F1585" s="1324" t="str">
        <f>+IF(ISBLANK(REPORTS!G1303),"",REPORTS!G1303)</f>
        <v/>
      </c>
      <c r="G1585" s="1324" t="str">
        <f>+IF(ISBLANK(REPORTS!H1303),"",REPORTS!H1303)</f>
        <v/>
      </c>
      <c r="H1585" s="1374" t="str">
        <f>+IF(ISBLANK(REPORTS!I1303),"",REPORTS!I1303)</f>
        <v/>
      </c>
    </row>
    <row r="1586" spans="1:8">
      <c r="A1586" s="1751"/>
      <c r="B1586" s="1393">
        <v>48</v>
      </c>
      <c r="C1586" s="1362" t="s">
        <v>5721</v>
      </c>
      <c r="D1586" s="1324"/>
      <c r="E1586" s="1324" t="str">
        <f>+IF(ISBLANK(REPORTS!F1304),"",REPORTS!F1304)</f>
        <v/>
      </c>
      <c r="F1586" s="1324" t="str">
        <f>+IF(ISBLANK(REPORTS!G1304),"",REPORTS!G1304)</f>
        <v/>
      </c>
      <c r="G1586" s="1324" t="str">
        <f>+IF(ISBLANK(REPORTS!H1304),"",REPORTS!H1304)</f>
        <v/>
      </c>
      <c r="H1586" s="1374" t="str">
        <f>+IF(ISBLANK(REPORTS!I1304),"",REPORTS!I1304)</f>
        <v/>
      </c>
    </row>
    <row r="1587" spans="1:8">
      <c r="A1587" s="1751"/>
      <c r="B1587" s="1393">
        <v>49</v>
      </c>
      <c r="C1587" s="1324" t="s">
        <v>5265</v>
      </c>
      <c r="D1587" s="1324" t="s">
        <v>4067</v>
      </c>
      <c r="E1587" s="1324">
        <f>+IF(ISBLANK(REPORTS!F1305),"",REPORTS!F1305)</f>
        <v>31162.773017915024</v>
      </c>
      <c r="F1587" s="1324">
        <f>+IF(ISBLANK(REPORTS!G1305),"",REPORTS!G1305)</f>
        <v>0</v>
      </c>
      <c r="G1587" s="1324">
        <f>+IF(ISBLANK(REPORTS!H1305),"",REPORTS!H1305)</f>
        <v>31162.773017915024</v>
      </c>
      <c r="H1587" s="1374">
        <f>+IF(ISBLANK(REPORTS!I1305),"",REPORTS!I1305)</f>
        <v>1</v>
      </c>
    </row>
    <row r="1588" spans="1:8">
      <c r="A1588" s="1760"/>
      <c r="B1588" s="1393">
        <v>50</v>
      </c>
      <c r="C1588" s="1324" t="s">
        <v>5265</v>
      </c>
      <c r="D1588" s="1324" t="s">
        <v>2067</v>
      </c>
      <c r="E1588" s="1324">
        <f>+IF(ISBLANK(REPORTS!F1306),"",REPORTS!F1306)</f>
        <v>38681.936109600938</v>
      </c>
      <c r="F1588" s="1324">
        <f>+IF(ISBLANK(REPORTS!G1306),"",REPORTS!G1306)</f>
        <v>0</v>
      </c>
      <c r="G1588" s="1324">
        <f>+IF(ISBLANK(REPORTS!H1306),"",REPORTS!H1306)</f>
        <v>38681.936109600938</v>
      </c>
      <c r="H1588" s="1374">
        <f>+IF(ISBLANK(REPORTS!I1306),"",REPORTS!I1306)</f>
        <v>1</v>
      </c>
    </row>
    <row r="1589" spans="1:8">
      <c r="A1589" s="1760"/>
      <c r="B1589" s="1393">
        <v>51</v>
      </c>
      <c r="C1589" s="1324" t="s">
        <v>5268</v>
      </c>
      <c r="D1589" s="1324" t="s">
        <v>4067</v>
      </c>
      <c r="E1589" s="1364">
        <f>+IF(ISBLANK(REPORTS!F1307),"",REPORTS!F1307)</f>
        <v>2472.7329249705654</v>
      </c>
      <c r="F1589" s="1364">
        <f>+IF(ISBLANK(REPORTS!G1307),"",REPORTS!G1307)</f>
        <v>160.20059185683772</v>
      </c>
      <c r="G1589" s="1364">
        <f>+IF(ISBLANK(REPORTS!H1307),"",REPORTS!H1307)</f>
        <v>2312.5323331137297</v>
      </c>
      <c r="H1589" s="1374">
        <f>+IF(ISBLANK(REPORTS!I1307),"",REPORTS!I1307)</f>
        <v>0.93521314403222799</v>
      </c>
    </row>
    <row r="1590" spans="1:8">
      <c r="A1590" s="1751"/>
      <c r="B1590" s="1393">
        <v>52</v>
      </c>
      <c r="C1590" s="1324" t="s">
        <v>5239</v>
      </c>
      <c r="D1590" s="1324" t="s">
        <v>4067</v>
      </c>
      <c r="E1590" s="1364">
        <f>+IF(ISBLANK(REPORTS!F1308),"",REPORTS!F1308)</f>
        <v>2146.9051059723861</v>
      </c>
      <c r="F1590" s="1364">
        <f>+IF(ISBLANK(REPORTS!G1308),"",REPORTS!G1308)</f>
        <v>139.09123187710861</v>
      </c>
      <c r="G1590" s="1364">
        <f>+IF(ISBLANK(REPORTS!H1308),"",REPORTS!H1308)</f>
        <v>2007.8138740952782</v>
      </c>
      <c r="H1590" s="1374">
        <f>+IF(ISBLANK(REPORTS!I1308),"",REPORTS!I1308)</f>
        <v>0.93521314403222766</v>
      </c>
    </row>
    <row r="1591" spans="1:8">
      <c r="A1591" s="1751"/>
      <c r="B1591" s="1393">
        <v>53</v>
      </c>
      <c r="C1591" s="1324" t="s">
        <v>5240</v>
      </c>
      <c r="D1591" s="1324" t="s">
        <v>4067</v>
      </c>
      <c r="E1591" s="1364">
        <f>+IF(ISBLANK(REPORTS!F1309),"",REPORTS!F1309)</f>
        <v>6885.4837099742872</v>
      </c>
      <c r="F1591" s="1364">
        <f>+IF(ISBLANK(REPORTS!G1309),"",REPORTS!G1309)</f>
        <v>0</v>
      </c>
      <c r="G1591" s="1364">
        <f>+IF(ISBLANK(REPORTS!H1309),"",REPORTS!H1309)</f>
        <v>6885.4837099742872</v>
      </c>
      <c r="H1591" s="1374">
        <f>+IF(ISBLANK(REPORTS!I1309),"",REPORTS!I1309)</f>
        <v>1</v>
      </c>
    </row>
    <row r="1592" spans="1:8">
      <c r="A1592" s="1751"/>
      <c r="B1592" s="1393">
        <v>54</v>
      </c>
      <c r="C1592" s="1324" t="s">
        <v>5241</v>
      </c>
      <c r="D1592" s="1324" t="s">
        <v>4067</v>
      </c>
      <c r="E1592" s="1364">
        <f>+IF(ISBLANK(REPORTS!F1310),"",REPORTS!F1310)</f>
        <v>4842.1379311151395</v>
      </c>
      <c r="F1592" s="1364">
        <f>+IF(ISBLANK(REPORTS!G1310),"",REPORTS!G1310)</f>
        <v>0</v>
      </c>
      <c r="G1592" s="1364">
        <f>+IF(ISBLANK(REPORTS!H1310),"",REPORTS!H1310)</f>
        <v>4842.1379311151395</v>
      </c>
      <c r="H1592" s="1374">
        <f>+IF(ISBLANK(REPORTS!I1310),"",REPORTS!I1310)</f>
        <v>1</v>
      </c>
    </row>
    <row r="1593" spans="1:8">
      <c r="A1593" s="1751"/>
      <c r="B1593" s="1393">
        <v>55</v>
      </c>
      <c r="C1593" s="1324" t="s">
        <v>5242</v>
      </c>
      <c r="D1593" s="1324" t="s">
        <v>4071</v>
      </c>
      <c r="E1593" s="1364">
        <f>+IF(ISBLANK(REPORTS!F1311),"",REPORTS!F1311)</f>
        <v>2811.1962444766759</v>
      </c>
      <c r="F1593" s="1364">
        <f>+IF(ISBLANK(REPORTS!G1311),"",REPORTS!G1311)</f>
        <v>0</v>
      </c>
      <c r="G1593" s="1364">
        <f>+IF(ISBLANK(REPORTS!H1311),"",REPORTS!H1311)</f>
        <v>2811.1962444766759</v>
      </c>
      <c r="H1593" s="1374">
        <f>+IF(ISBLANK(REPORTS!I1311),"",REPORTS!I1311)</f>
        <v>1</v>
      </c>
    </row>
    <row r="1594" spans="1:8">
      <c r="A1594" s="1751"/>
      <c r="B1594" s="1393">
        <v>56</v>
      </c>
      <c r="C1594" s="1324" t="s">
        <v>5244</v>
      </c>
      <c r="D1594" s="1324" t="s">
        <v>4071</v>
      </c>
      <c r="E1594" s="1366">
        <f>+IF(ISBLANK(REPORTS!F1312),"",REPORTS!F1312)</f>
        <v>-2033.3535253590526</v>
      </c>
      <c r="F1594" s="1366">
        <f>+IF(ISBLANK(REPORTS!G1312),"",REPORTS!G1312)</f>
        <v>0</v>
      </c>
      <c r="G1594" s="1366">
        <f>+IF(ISBLANK(REPORTS!H1312),"",REPORTS!H1312)</f>
        <v>-2033.3535253590526</v>
      </c>
      <c r="H1594" s="1374">
        <f>+IF(ISBLANK(REPORTS!I1312),"",REPORTS!I1312)</f>
        <v>1</v>
      </c>
    </row>
    <row r="1595" spans="1:8">
      <c r="A1595" s="1751"/>
      <c r="B1595" s="1393">
        <v>57</v>
      </c>
      <c r="C1595" s="1324"/>
      <c r="D1595" s="1324"/>
      <c r="E1595" s="1364" t="str">
        <f>+IF(ISBLANK(REPORTS!F1313),"",REPORTS!F1313)</f>
        <v/>
      </c>
      <c r="F1595" s="1364" t="str">
        <f>+IF(ISBLANK(REPORTS!G1313),"",REPORTS!G1313)</f>
        <v/>
      </c>
      <c r="G1595" s="1364" t="str">
        <f>+IF(ISBLANK(REPORTS!H1313),"",REPORTS!H1313)</f>
        <v/>
      </c>
      <c r="H1595" s="1374" t="str">
        <f>+IF(ISBLANK(REPORTS!I1313),"",REPORTS!I1313)</f>
        <v/>
      </c>
    </row>
    <row r="1596" spans="1:8" ht="15" thickBot="1">
      <c r="A1596" s="1751"/>
      <c r="B1596" s="1393">
        <v>58</v>
      </c>
      <c r="C1596" s="1324" t="s">
        <v>5095</v>
      </c>
      <c r="D1596" s="1324"/>
      <c r="E1596" s="1380">
        <f>+IF(ISBLANK(REPORTS!F1314),"",REPORTS!F1314)</f>
        <v>86969.811518665971</v>
      </c>
      <c r="F1596" s="1380">
        <f>+IF(ISBLANK(REPORTS!G1314),"",REPORTS!G1314)</f>
        <v>299.29182373394633</v>
      </c>
      <c r="G1596" s="1380">
        <f>+IF(ISBLANK(REPORTS!H1314),"",REPORTS!H1314)</f>
        <v>86670.519694932023</v>
      </c>
      <c r="H1596" s="1374">
        <f>+IF(ISBLANK(REPORTS!I1314),"",REPORTS!I1314)</f>
        <v>0.99655866997400921</v>
      </c>
    </row>
    <row r="1597" spans="1:8" ht="28.8" thickTop="1">
      <c r="A1597" s="1753" t="s">
        <v>5143</v>
      </c>
    </row>
    <row r="1598" spans="1:8">
      <c r="A1598" s="1753"/>
    </row>
    <row r="1599" spans="1:8">
      <c r="A1599" s="1753"/>
    </row>
    <row r="1600" spans="1:8">
      <c r="A1600" s="1753"/>
    </row>
    <row r="1601" spans="1:8">
      <c r="A1601" s="1751"/>
    </row>
    <row r="1602" spans="1:8">
      <c r="A1602" s="1751">
        <v>201</v>
      </c>
    </row>
    <row r="1603" spans="1:8">
      <c r="A1603" s="1751"/>
    </row>
    <row r="1604" spans="1:8">
      <c r="A1604" s="1751"/>
    </row>
    <row r="1605" spans="1:8">
      <c r="A1605" s="1751"/>
    </row>
    <row r="1606" spans="1:8">
      <c r="A1606" s="1751"/>
    </row>
    <row r="1607" spans="1:8">
      <c r="A1607" s="1751"/>
      <c r="B1607" s="1393"/>
      <c r="C1607" s="1324"/>
      <c r="D1607" s="1324"/>
      <c r="E1607" s="1324"/>
      <c r="F1607" s="1324"/>
      <c r="G1607" s="1324"/>
      <c r="H1607" s="1374"/>
    </row>
    <row r="1608" spans="1:8">
      <c r="A1608" s="1751"/>
      <c r="B1608" s="1324"/>
      <c r="C1608" s="1324"/>
      <c r="D1608" s="1324"/>
      <c r="E1608" s="1324"/>
      <c r="F1608" s="1324"/>
      <c r="G1608" s="1324"/>
      <c r="H1608" s="1395"/>
    </row>
    <row r="1609" spans="1:8">
      <c r="A1609" s="1751"/>
      <c r="B1609" s="1324"/>
      <c r="C1609" s="1324"/>
      <c r="D1609" s="1324"/>
      <c r="E1609" s="1324"/>
      <c r="F1609" s="1324"/>
      <c r="G1609" s="1324"/>
      <c r="H1609" s="1395"/>
    </row>
    <row r="1610" spans="1:8">
      <c r="A1610" s="1751"/>
    </row>
    <row r="1611" spans="1:8">
      <c r="A1611" s="1751"/>
    </row>
    <row r="1612" spans="1:8">
      <c r="A1612" s="1751"/>
    </row>
    <row r="1613" spans="1:8">
      <c r="A1613" s="1751"/>
    </row>
    <row r="1614" spans="1:8">
      <c r="A1614" s="1751"/>
    </row>
    <row r="1615" spans="1:8">
      <c r="A1615" s="1751"/>
    </row>
    <row r="1616" spans="1:8">
      <c r="A1616" s="1751"/>
    </row>
    <row r="1617" spans="1:8">
      <c r="A1617" s="1751"/>
    </row>
    <row r="1618" spans="1:8">
      <c r="A1618" s="1751"/>
    </row>
    <row r="1619" spans="1:8">
      <c r="A1619" s="1751"/>
      <c r="B1619" s="1393"/>
      <c r="C1619" s="1324"/>
      <c r="D1619" s="1324"/>
      <c r="E1619" s="1324"/>
      <c r="F1619" s="1324"/>
      <c r="G1619" s="1324"/>
      <c r="H1619" s="1374"/>
    </row>
    <row r="1620" spans="1:8">
      <c r="A1620" s="1751"/>
      <c r="B1620" s="1393"/>
      <c r="C1620" s="1324"/>
      <c r="D1620" s="1324"/>
      <c r="E1620" s="1324"/>
      <c r="F1620" s="1324"/>
      <c r="G1620" s="1324"/>
      <c r="H1620" s="1374"/>
    </row>
    <row r="1621" spans="1:8">
      <c r="A1621" s="1751"/>
      <c r="B1621" s="1393"/>
      <c r="C1621" s="1324"/>
      <c r="D1621" s="1324"/>
      <c r="E1621" s="1324"/>
      <c r="F1621" s="1324"/>
      <c r="G1621" s="1324"/>
      <c r="H1621" s="1374"/>
    </row>
    <row r="1622" spans="1:8">
      <c r="A1622" s="1751"/>
      <c r="B1622" s="1393"/>
      <c r="C1622" s="1324"/>
      <c r="D1622" s="1324"/>
      <c r="E1622" s="1324"/>
      <c r="F1622" s="1324"/>
      <c r="G1622" s="1324"/>
      <c r="H1622" s="1374"/>
    </row>
    <row r="1623" spans="1:8">
      <c r="A1623" s="1751"/>
      <c r="B1623" s="1393"/>
      <c r="C1623" s="1324"/>
      <c r="D1623" s="1324"/>
      <c r="E1623" s="1324"/>
      <c r="F1623" s="1324"/>
      <c r="G1623" s="1324"/>
      <c r="H1623" s="1374"/>
    </row>
    <row r="1624" spans="1:8">
      <c r="A1624" s="1751"/>
      <c r="B1624" s="1393"/>
      <c r="C1624" s="1324"/>
      <c r="D1624" s="1324"/>
      <c r="E1624" s="1324"/>
      <c r="F1624" s="1324"/>
      <c r="G1624" s="1324"/>
      <c r="H1624" s="1374"/>
    </row>
    <row r="1625" spans="1:8">
      <c r="A1625" s="1751"/>
      <c r="B1625" s="1393"/>
      <c r="C1625" s="1324"/>
      <c r="D1625" s="1324"/>
      <c r="E1625" s="1324"/>
      <c r="F1625" s="1324"/>
      <c r="G1625" s="1324"/>
      <c r="H1625" s="1374"/>
    </row>
    <row r="1626" spans="1:8">
      <c r="A1626" s="1751"/>
      <c r="B1626" s="1393"/>
      <c r="C1626" s="1324"/>
      <c r="D1626" s="1324"/>
      <c r="E1626" s="1324"/>
      <c r="F1626" s="1324"/>
      <c r="G1626" s="1324"/>
      <c r="H1626" s="1374"/>
    </row>
    <row r="1627" spans="1:8">
      <c r="A1627" s="1751"/>
      <c r="B1627" s="1393"/>
      <c r="C1627" s="1324"/>
      <c r="D1627" s="1324"/>
      <c r="E1627" s="1324"/>
      <c r="F1627" s="1324"/>
      <c r="G1627" s="1324"/>
      <c r="H1627" s="1374"/>
    </row>
    <row r="1628" spans="1:8">
      <c r="A1628" s="1751"/>
      <c r="B1628" s="1393"/>
      <c r="C1628" s="1324"/>
      <c r="D1628" s="1324"/>
      <c r="E1628" s="1324"/>
      <c r="F1628" s="1324"/>
      <c r="G1628" s="1324"/>
      <c r="H1628" s="1374"/>
    </row>
    <row r="1629" spans="1:8">
      <c r="A1629" s="1751"/>
      <c r="B1629" s="1416" t="str">
        <f>+$B$1</f>
        <v>RATES WITH REVENUE DEFICIENCY ADDITION</v>
      </c>
      <c r="C1629" s="1324"/>
      <c r="D1629" s="1324"/>
      <c r="E1629" s="1336"/>
      <c r="F1629" s="1329" t="s">
        <v>2173</v>
      </c>
      <c r="G1629" s="1324"/>
      <c r="H1629" s="1334" t="s">
        <v>5805</v>
      </c>
    </row>
    <row r="1630" spans="1:8">
      <c r="A1630" s="1751"/>
      <c r="B1630" s="1416" t="str">
        <f>+$B$2</f>
        <v xml:space="preserve">PROD. CAP. ALLOC. METHOD: 12 CP </v>
      </c>
      <c r="C1630" s="1324"/>
      <c r="D1630" s="1324"/>
      <c r="E1630" s="1324"/>
      <c r="F1630" s="1336" t="s">
        <v>4768</v>
      </c>
      <c r="G1630" s="1324"/>
      <c r="H1630" s="1731" t="s">
        <v>4312</v>
      </c>
    </row>
    <row r="1631" spans="1:8">
      <c r="A1631" s="1751"/>
      <c r="B1631" s="1416" t="str">
        <f>+$B$3</f>
        <v>PROJECTED CALENDAR YEAR 2025; FULLY ADJUSTED DATA</v>
      </c>
      <c r="C1631" s="1324"/>
      <c r="D1631" s="1324"/>
      <c r="E1631" s="1324"/>
      <c r="F1631" s="1336" t="s">
        <v>2181</v>
      </c>
      <c r="G1631" s="1324"/>
      <c r="H1631" s="1374"/>
    </row>
    <row r="1632" spans="1:8">
      <c r="A1632" s="1751"/>
      <c r="B1632" s="1732">
        <f>+$B$4</f>
        <v>0</v>
      </c>
      <c r="C1632" s="1364"/>
      <c r="D1632" s="1324"/>
      <c r="E1632" s="1324"/>
      <c r="F1632" s="1324"/>
      <c r="G1632" s="1324"/>
      <c r="H1632" s="1374"/>
    </row>
    <row r="1633" spans="1:8">
      <c r="A1633" s="1751"/>
      <c r="B1633" s="1732" t="str">
        <f>+$B$5</f>
        <v>Tampa Electric 2025 OB Budget</v>
      </c>
      <c r="C1633" s="1324"/>
      <c r="D1633" s="1324"/>
      <c r="E1633" s="1329"/>
      <c r="F1633" s="1336" t="s">
        <v>5732</v>
      </c>
      <c r="G1633" s="1324"/>
      <c r="H1633" s="1374"/>
    </row>
    <row r="1634" spans="1:8">
      <c r="A1634" s="1751"/>
      <c r="B1634" s="1393"/>
      <c r="C1634" s="1324"/>
      <c r="D1634" s="1324"/>
      <c r="E1634" s="1336"/>
      <c r="F1634" s="1324"/>
      <c r="G1634" s="1324"/>
      <c r="H1634" s="1374"/>
    </row>
    <row r="1635" spans="1:8">
      <c r="A1635" s="1751"/>
      <c r="B1635" s="1393"/>
      <c r="C1635" s="1324"/>
      <c r="D1635" s="1324"/>
      <c r="E1635" s="1336"/>
      <c r="F1635" s="1324"/>
      <c r="G1635" s="1324"/>
      <c r="H1635" s="1374"/>
    </row>
    <row r="1636" spans="1:8">
      <c r="A1636" s="1751"/>
      <c r="B1636" s="1393"/>
      <c r="C1636" s="1324"/>
      <c r="D1636" s="1324"/>
      <c r="E1636" s="1324"/>
      <c r="F1636" s="1324"/>
      <c r="G1636" s="1324"/>
      <c r="H1636" s="1374"/>
    </row>
    <row r="1637" spans="1:8">
      <c r="A1637" s="1751"/>
      <c r="B1637" s="1735"/>
      <c r="C1637" s="1416"/>
      <c r="D1637" s="1416"/>
      <c r="E1637" s="1336"/>
      <c r="F1637" s="1336"/>
      <c r="G1637" s="1336"/>
      <c r="H1637" s="1736"/>
    </row>
    <row r="1638" spans="1:8" ht="28.2">
      <c r="A1638" s="1751"/>
      <c r="B1638" s="1737" t="s">
        <v>4297</v>
      </c>
      <c r="C1638" s="1741"/>
      <c r="D1638" s="1741"/>
      <c r="E1638" s="1352" t="s">
        <v>5144</v>
      </c>
      <c r="F1638" s="1352" t="s">
        <v>4956</v>
      </c>
      <c r="G1638" s="1352" t="s">
        <v>4957</v>
      </c>
      <c r="H1638" s="1742" t="s">
        <v>5145</v>
      </c>
    </row>
    <row r="1639" spans="1:8">
      <c r="A1639" s="1751"/>
      <c r="B1639" s="1393"/>
      <c r="C1639" s="1324"/>
      <c r="D1639" s="1324"/>
      <c r="E1639" s="1324"/>
      <c r="F1639" s="1324"/>
      <c r="G1639" s="1324"/>
      <c r="H1639" s="1374"/>
    </row>
    <row r="1640" spans="1:8">
      <c r="A1640" s="1751"/>
      <c r="B1640" s="1393">
        <v>1</v>
      </c>
      <c r="C1640" s="1362" t="s">
        <v>5733</v>
      </c>
      <c r="D1640" s="1324"/>
      <c r="E1640" s="1324"/>
      <c r="F1640" s="1324"/>
      <c r="G1640" s="1324"/>
      <c r="H1640" s="1374"/>
    </row>
    <row r="1641" spans="1:8">
      <c r="A1641" s="1751"/>
      <c r="B1641" s="1393">
        <v>2</v>
      </c>
      <c r="C1641" s="1324" t="s">
        <v>4813</v>
      </c>
      <c r="D1641" s="1324" t="s">
        <v>4067</v>
      </c>
      <c r="E1641" s="1324">
        <f>+IF(ISBLANK(REPORTS!F1332),"",REPORTS!F1332)</f>
        <v>106807.76069412462</v>
      </c>
      <c r="F1641" s="1364">
        <f>+IF(ISBLANK(REPORTS!G1332),"",REPORTS!G1332)</f>
        <v>0</v>
      </c>
      <c r="G1641" s="1364">
        <f>+IF(ISBLANK(REPORTS!H1332),"",REPORTS!H1332)</f>
        <v>106807.76069412462</v>
      </c>
      <c r="H1641" s="1374">
        <f>+IF(ISBLANK(REPORTS!I1332),"",REPORTS!I1332)</f>
        <v>1</v>
      </c>
    </row>
    <row r="1642" spans="1:8">
      <c r="A1642" s="1751"/>
      <c r="B1642" s="1393">
        <v>3</v>
      </c>
      <c r="C1642" s="1324" t="s">
        <v>5286</v>
      </c>
      <c r="D1642" s="1324" t="s">
        <v>4067</v>
      </c>
      <c r="E1642" s="1324">
        <f>+IF(ISBLANK(REPORTS!F1333),"",REPORTS!F1333)</f>
        <v>0</v>
      </c>
      <c r="F1642" s="1364">
        <f>+IF(ISBLANK(REPORTS!G1333),"",REPORTS!G1333)</f>
        <v>0</v>
      </c>
      <c r="G1642" s="1364">
        <f>+IF(ISBLANK(REPORTS!H1333),"",REPORTS!H1333)</f>
        <v>0</v>
      </c>
      <c r="H1642" s="1374">
        <f>+IF(ISBLANK(REPORTS!I1333),"",REPORTS!I1333)</f>
        <v>0</v>
      </c>
    </row>
    <row r="1643" spans="1:8">
      <c r="A1643" s="1751"/>
      <c r="B1643" s="1393">
        <v>4</v>
      </c>
      <c r="C1643" s="1324" t="s">
        <v>4814</v>
      </c>
      <c r="D1643" s="1324" t="s">
        <v>2067</v>
      </c>
      <c r="E1643" s="1366">
        <f>+IF(ISBLANK(REPORTS!F1334),"",REPORTS!F1334)</f>
        <v>3054.4984588409338</v>
      </c>
      <c r="F1643" s="1364">
        <f>+IF(ISBLANK(REPORTS!G1334),"",REPORTS!G1334)</f>
        <v>0</v>
      </c>
      <c r="G1643" s="1364">
        <f>+IF(ISBLANK(REPORTS!H1334),"",REPORTS!H1334)</f>
        <v>3054.4984588409338</v>
      </c>
      <c r="H1643" s="1374">
        <f>+IF(ISBLANK(REPORTS!I1334),"",REPORTS!I1334)</f>
        <v>1</v>
      </c>
    </row>
    <row r="1644" spans="1:8">
      <c r="A1644" s="1751"/>
      <c r="B1644" s="1393">
        <v>5</v>
      </c>
      <c r="C1644" s="1324" t="s">
        <v>5734</v>
      </c>
      <c r="D1644" s="1324"/>
      <c r="E1644" s="1421">
        <f>+IF(ISBLANK(REPORTS!F1335),"",REPORTS!F1335)</f>
        <v>109862.25915296555</v>
      </c>
      <c r="F1644" s="1421">
        <f>+IF(ISBLANK(REPORTS!G1335),"",REPORTS!G1335)</f>
        <v>0</v>
      </c>
      <c r="G1644" s="1421">
        <f>+IF(ISBLANK(REPORTS!H1335),"",REPORTS!H1335)</f>
        <v>109862.25915296555</v>
      </c>
      <c r="H1644" s="1374">
        <f>+IF(ISBLANK(REPORTS!I1335),"",REPORTS!I1335)</f>
        <v>1</v>
      </c>
    </row>
    <row r="1645" spans="1:8">
      <c r="A1645" s="1751"/>
      <c r="B1645" s="1393">
        <v>6</v>
      </c>
      <c r="C1645" s="1324"/>
      <c r="D1645" s="1324"/>
      <c r="E1645" s="1324" t="str">
        <f>+IF(ISBLANK(REPORTS!F1336),"",REPORTS!F1336)</f>
        <v/>
      </c>
      <c r="F1645" s="1324" t="str">
        <f>+IF(ISBLANK(REPORTS!G1336),"",REPORTS!G1336)</f>
        <v/>
      </c>
      <c r="G1645" s="1324" t="str">
        <f>+IF(ISBLANK(REPORTS!H1336),"",REPORTS!H1336)</f>
        <v/>
      </c>
      <c r="H1645" s="1374" t="str">
        <f>+IF(ISBLANK(REPORTS!I1336),"",REPORTS!I1336)</f>
        <v/>
      </c>
    </row>
    <row r="1646" spans="1:8">
      <c r="A1646" s="1751"/>
      <c r="B1646" s="1393">
        <v>7</v>
      </c>
      <c r="C1646" s="1324"/>
      <c r="D1646" s="1324"/>
      <c r="E1646" s="1324" t="str">
        <f>+IF(ISBLANK(REPORTS!F1337),"",REPORTS!F1337)</f>
        <v/>
      </c>
      <c r="F1646" s="1324" t="str">
        <f>+IF(ISBLANK(REPORTS!G1337),"",REPORTS!G1337)</f>
        <v/>
      </c>
      <c r="G1646" s="1324" t="str">
        <f>+IF(ISBLANK(REPORTS!H1337),"",REPORTS!H1337)</f>
        <v/>
      </c>
      <c r="H1646" s="1374" t="str">
        <f>+IF(ISBLANK(REPORTS!I1337),"",REPORTS!I1337)</f>
        <v/>
      </c>
    </row>
    <row r="1647" spans="1:8">
      <c r="A1647" s="1751"/>
      <c r="B1647" s="1393">
        <v>8</v>
      </c>
      <c r="C1647" s="1362" t="s">
        <v>5735</v>
      </c>
      <c r="D1647" s="1324"/>
      <c r="E1647" s="1324" t="str">
        <f>+IF(ISBLANK(REPORTS!F1338),"",REPORTS!F1338)</f>
        <v/>
      </c>
      <c r="F1647" s="1324" t="str">
        <f>+IF(ISBLANK(REPORTS!G1338),"",REPORTS!G1338)</f>
        <v/>
      </c>
      <c r="G1647" s="1324" t="str">
        <f>+IF(ISBLANK(REPORTS!H1338),"",REPORTS!H1338)</f>
        <v/>
      </c>
      <c r="H1647" s="1374" t="str">
        <f>+IF(ISBLANK(REPORTS!I1338),"",REPORTS!I1338)</f>
        <v/>
      </c>
    </row>
    <row r="1648" spans="1:8">
      <c r="A1648" s="1751"/>
      <c r="B1648" s="1393">
        <v>9</v>
      </c>
      <c r="C1648" s="1324" t="s">
        <v>5397</v>
      </c>
      <c r="D1648" s="1324" t="s">
        <v>4067</v>
      </c>
      <c r="E1648" s="1324">
        <f>+IF(ISBLANK(REPORTS!F1339),"",REPORTS!F1339)</f>
        <v>0</v>
      </c>
      <c r="F1648" s="1364">
        <f>+IF(ISBLANK(REPORTS!G1339),"",REPORTS!G1339)</f>
        <v>0</v>
      </c>
      <c r="G1648" s="1364">
        <f>+IF(ISBLANK(REPORTS!H1339),"",REPORTS!H1339)</f>
        <v>0</v>
      </c>
      <c r="H1648" s="1374">
        <f>+IF(ISBLANK(REPORTS!I1339),"",REPORTS!I1339)</f>
        <v>0</v>
      </c>
    </row>
    <row r="1649" spans="1:8">
      <c r="A1649" s="1760"/>
      <c r="B1649" s="1393">
        <v>10</v>
      </c>
      <c r="C1649" s="1324" t="s">
        <v>5736</v>
      </c>
      <c r="D1649" s="1324" t="s">
        <v>4067</v>
      </c>
      <c r="E1649" s="1324">
        <f>+IF(ISBLANK(REPORTS!F1340),"",REPORTS!F1340)</f>
        <v>7283.8333454800486</v>
      </c>
      <c r="F1649" s="1364">
        <f>+IF(ISBLANK(REPORTS!G1340),"",REPORTS!G1340)</f>
        <v>471.89666184687519</v>
      </c>
      <c r="G1649" s="1364">
        <f>+IF(ISBLANK(REPORTS!H1340),"",REPORTS!H1340)</f>
        <v>6811.9366836331728</v>
      </c>
      <c r="H1649" s="1374">
        <f>+IF(ISBLANK(REPORTS!I1340),"",REPORTS!I1340)</f>
        <v>0.93521314403222733</v>
      </c>
    </row>
    <row r="1650" spans="1:8">
      <c r="A1650" s="1760"/>
      <c r="B1650" s="1393">
        <v>11</v>
      </c>
      <c r="C1650" s="1324" t="s">
        <v>5737</v>
      </c>
      <c r="D1650" s="1324" t="s">
        <v>4067</v>
      </c>
      <c r="E1650" s="1324">
        <f>+IF(ISBLANK(REPORTS!F1341),"",REPORTS!F1341)</f>
        <v>7158.5366024656287</v>
      </c>
      <c r="F1650" s="1364">
        <f>+IF(ISBLANK(REPORTS!G1341),"",REPORTS!G1341)</f>
        <v>463.7790798039689</v>
      </c>
      <c r="G1650" s="1364">
        <f>+IF(ISBLANK(REPORTS!H1341),"",REPORTS!H1341)</f>
        <v>6694.7575226616591</v>
      </c>
      <c r="H1650" s="1374">
        <f>+IF(ISBLANK(REPORTS!I1341),"",REPORTS!I1341)</f>
        <v>0.93521314403222733</v>
      </c>
    </row>
    <row r="1651" spans="1:8">
      <c r="A1651" s="1751"/>
      <c r="B1651" s="1393">
        <v>12</v>
      </c>
      <c r="C1651" s="1324" t="s">
        <v>5738</v>
      </c>
      <c r="D1651" s="1324"/>
      <c r="E1651" s="1421">
        <f>+IF(ISBLANK(REPORTS!F1342),"",REPORTS!F1342)</f>
        <v>14442.369947945677</v>
      </c>
      <c r="F1651" s="1421">
        <f>+IF(ISBLANK(REPORTS!G1342),"",REPORTS!G1342)</f>
        <v>935.67574165084409</v>
      </c>
      <c r="G1651" s="1421">
        <f>+IF(ISBLANK(REPORTS!H1342),"",REPORTS!H1342)</f>
        <v>13506.694206294833</v>
      </c>
      <c r="H1651" s="1374">
        <f>+IF(ISBLANK(REPORTS!I1342),"",REPORTS!I1342)</f>
        <v>0.93521314403222733</v>
      </c>
    </row>
    <row r="1652" spans="1:8">
      <c r="A1652" s="1751"/>
      <c r="B1652" s="1393">
        <v>13</v>
      </c>
      <c r="C1652" s="1324"/>
      <c r="D1652" s="1324"/>
      <c r="E1652" s="1364" t="str">
        <f>+IF(ISBLANK(REPORTS!F1343),"",REPORTS!F1343)</f>
        <v/>
      </c>
      <c r="F1652" s="1364" t="str">
        <f>+IF(ISBLANK(REPORTS!G1343),"",REPORTS!G1343)</f>
        <v/>
      </c>
      <c r="G1652" s="1364" t="str">
        <f>+IF(ISBLANK(REPORTS!H1343),"",REPORTS!H1343)</f>
        <v/>
      </c>
      <c r="H1652" s="1374" t="str">
        <f>+IF(ISBLANK(REPORTS!I1343),"",REPORTS!I1343)</f>
        <v/>
      </c>
    </row>
    <row r="1653" spans="1:8">
      <c r="A1653" s="1751"/>
      <c r="B1653" s="1393">
        <v>14</v>
      </c>
      <c r="C1653" s="1324"/>
      <c r="D1653" s="1324"/>
      <c r="E1653" s="1324" t="str">
        <f>+IF(ISBLANK(REPORTS!F1344),"",REPORTS!F1344)</f>
        <v/>
      </c>
      <c r="F1653" s="1324" t="str">
        <f>+IF(ISBLANK(REPORTS!G1344),"",REPORTS!G1344)</f>
        <v/>
      </c>
      <c r="G1653" s="1324" t="str">
        <f>+IF(ISBLANK(REPORTS!H1344),"",REPORTS!H1344)</f>
        <v/>
      </c>
      <c r="H1653" s="1374" t="str">
        <f>+IF(ISBLANK(REPORTS!I1344),"",REPORTS!I1344)</f>
        <v/>
      </c>
    </row>
    <row r="1654" spans="1:8">
      <c r="A1654" s="1751"/>
      <c r="B1654" s="1393">
        <v>15</v>
      </c>
      <c r="C1654" s="1362" t="s">
        <v>5740</v>
      </c>
      <c r="D1654" s="1324"/>
      <c r="E1654" s="1324" t="str">
        <f>+IF(ISBLANK(REPORTS!F1345),"",REPORTS!F1345)</f>
        <v/>
      </c>
      <c r="F1654" s="1324" t="str">
        <f>+IF(ISBLANK(REPORTS!G1345),"",REPORTS!G1345)</f>
        <v/>
      </c>
      <c r="G1654" s="1324" t="str">
        <f>+IF(ISBLANK(REPORTS!H1345),"",REPORTS!H1345)</f>
        <v/>
      </c>
      <c r="H1654" s="1374" t="str">
        <f>+IF(ISBLANK(REPORTS!I1345),"",REPORTS!I1345)</f>
        <v/>
      </c>
    </row>
    <row r="1655" spans="1:8">
      <c r="A1655" s="1751"/>
      <c r="B1655" s="1393">
        <v>16</v>
      </c>
      <c r="C1655" s="1324" t="s">
        <v>5240</v>
      </c>
      <c r="D1655" s="1324" t="s">
        <v>4067</v>
      </c>
      <c r="E1655" s="1324">
        <f>+IF(ISBLANK(REPORTS!F1346),"",REPORTS!F1346)</f>
        <v>-18323.405026623215</v>
      </c>
      <c r="F1655" s="1364">
        <f>+IF(ISBLANK(REPORTS!G1346),"",REPORTS!G1346)</f>
        <v>0</v>
      </c>
      <c r="G1655" s="1364">
        <f>+IF(ISBLANK(REPORTS!H1346),"",REPORTS!H1346)</f>
        <v>-18323.405026623215</v>
      </c>
      <c r="H1655" s="1374">
        <f>+IF(ISBLANK(REPORTS!I1346),"",REPORTS!I1346)</f>
        <v>1</v>
      </c>
    </row>
    <row r="1656" spans="1:8">
      <c r="A1656" s="1751"/>
      <c r="B1656" s="1393">
        <v>17</v>
      </c>
      <c r="C1656" s="1324" t="s">
        <v>5241</v>
      </c>
      <c r="D1656" s="1324" t="s">
        <v>4067</v>
      </c>
      <c r="E1656" s="1324">
        <f>+IF(ISBLANK(REPORTS!F1347),"",REPORTS!F1347)</f>
        <v>-10165.971528099151</v>
      </c>
      <c r="F1656" s="1364">
        <f>+IF(ISBLANK(REPORTS!G1347),"",REPORTS!G1347)</f>
        <v>0</v>
      </c>
      <c r="G1656" s="1364">
        <f>+IF(ISBLANK(REPORTS!H1347),"",REPORTS!H1347)</f>
        <v>-10165.971528099151</v>
      </c>
      <c r="H1656" s="1374">
        <f>+IF(ISBLANK(REPORTS!I1347),"",REPORTS!I1347)</f>
        <v>1</v>
      </c>
    </row>
    <row r="1657" spans="1:8">
      <c r="A1657" s="1751"/>
      <c r="B1657" s="1393">
        <v>18</v>
      </c>
      <c r="C1657" s="1324" t="s">
        <v>5242</v>
      </c>
      <c r="D1657" s="1324" t="s">
        <v>4071</v>
      </c>
      <c r="E1657" s="1324">
        <f>+IF(ISBLANK(REPORTS!F1348),"",REPORTS!F1348)</f>
        <v>-8274.3217102474555</v>
      </c>
      <c r="F1657" s="1748">
        <f>+IF(ISBLANK(REPORTS!G1348),"",REPORTS!G1348)</f>
        <v>0</v>
      </c>
      <c r="G1657" s="1364">
        <f>+IF(ISBLANK(REPORTS!H1348),"",REPORTS!H1348)</f>
        <v>-8274.3217102474555</v>
      </c>
      <c r="H1657" s="1374">
        <f>+IF(ISBLANK(REPORTS!I1348),"",REPORTS!I1348)</f>
        <v>1</v>
      </c>
    </row>
    <row r="1658" spans="1:8" ht="28.2">
      <c r="A1658" s="1753" t="s">
        <v>5143</v>
      </c>
      <c r="B1658" s="1393">
        <v>19</v>
      </c>
      <c r="C1658" s="1324" t="s">
        <v>5741</v>
      </c>
      <c r="D1658" s="1324"/>
      <c r="E1658" s="1421">
        <f>+IF(ISBLANK(REPORTS!F1349),"",REPORTS!F1349)</f>
        <v>-36763.698264969818</v>
      </c>
      <c r="F1658" s="1421">
        <f>+IF(ISBLANK(REPORTS!G1349),"",REPORTS!G1349)</f>
        <v>0</v>
      </c>
      <c r="G1658" s="1421">
        <f>+IF(ISBLANK(REPORTS!H1349),"",REPORTS!H1349)</f>
        <v>-36763.698264969818</v>
      </c>
      <c r="H1658" s="1374">
        <f>+IF(ISBLANK(REPORTS!I1349),"",REPORTS!I1349)</f>
        <v>1</v>
      </c>
    </row>
    <row r="1659" spans="1:8">
      <c r="A1659" s="1751"/>
      <c r="B1659" s="1393">
        <v>20</v>
      </c>
      <c r="C1659" s="1324"/>
      <c r="D1659" s="1324"/>
      <c r="E1659" s="1324" t="str">
        <f>+IF(ISBLANK(REPORTS!F1350),"",REPORTS!F1350)</f>
        <v/>
      </c>
      <c r="F1659" s="1324" t="str">
        <f>+IF(ISBLANK(REPORTS!G1350),"",REPORTS!G1350)</f>
        <v/>
      </c>
      <c r="G1659" s="1324" t="str">
        <f>+IF(ISBLANK(REPORTS!H1350),"",REPORTS!H1350)</f>
        <v/>
      </c>
      <c r="H1659" s="1374" t="str">
        <f>+IF(ISBLANK(REPORTS!I1350),"",REPORTS!I1350)</f>
        <v/>
      </c>
    </row>
    <row r="1660" spans="1:8">
      <c r="A1660" s="1752"/>
      <c r="B1660" s="1393">
        <v>21</v>
      </c>
      <c r="C1660" s="1324"/>
      <c r="D1660" s="1324"/>
      <c r="E1660" s="1324" t="str">
        <f>+IF(ISBLANK(REPORTS!F1351),"",REPORTS!F1351)</f>
        <v/>
      </c>
      <c r="F1660" s="1324" t="str">
        <f>+IF(ISBLANK(REPORTS!G1351),"",REPORTS!G1351)</f>
        <v/>
      </c>
      <c r="G1660" s="1324" t="str">
        <f>+IF(ISBLANK(REPORTS!H1351),"",REPORTS!H1351)</f>
        <v/>
      </c>
      <c r="H1660" s="1374" t="str">
        <f>+IF(ISBLANK(REPORTS!I1351),"",REPORTS!I1351)</f>
        <v/>
      </c>
    </row>
    <row r="1661" spans="1:8">
      <c r="A1661" s="1751">
        <v>101</v>
      </c>
      <c r="B1661" s="1393">
        <v>22</v>
      </c>
      <c r="C1661" s="1362" t="s">
        <v>5743</v>
      </c>
      <c r="D1661" s="1387"/>
      <c r="E1661" s="1324" t="str">
        <f>+IF(ISBLANK(REPORTS!F1352),"",REPORTS!F1352)</f>
        <v/>
      </c>
      <c r="F1661" s="1324" t="str">
        <f>+IF(ISBLANK(REPORTS!G1352),"",REPORTS!G1352)</f>
        <v/>
      </c>
      <c r="G1661" s="1324" t="str">
        <f>+IF(ISBLANK(REPORTS!H1352),"",REPORTS!H1352)</f>
        <v/>
      </c>
      <c r="H1661" s="1374" t="str">
        <f>+IF(ISBLANK(REPORTS!I1352),"",REPORTS!I1352)</f>
        <v/>
      </c>
    </row>
    <row r="1662" spans="1:8">
      <c r="A1662" s="1751">
        <v>101</v>
      </c>
      <c r="B1662" s="1393">
        <v>23</v>
      </c>
      <c r="C1662" s="1324" t="s">
        <v>5265</v>
      </c>
      <c r="D1662" s="1324" t="s">
        <v>4067</v>
      </c>
      <c r="E1662" s="1324">
        <f>+IF(ISBLANK(REPORTS!F1353),"",REPORTS!F1353)</f>
        <v>106807.76069412462</v>
      </c>
      <c r="F1662" s="1324">
        <f>+IF(ISBLANK(REPORTS!G1353),"",REPORTS!G1353)</f>
        <v>0</v>
      </c>
      <c r="G1662" s="1324">
        <f>+IF(ISBLANK(REPORTS!H1353),"",REPORTS!H1353)</f>
        <v>106807.76069412462</v>
      </c>
      <c r="H1662" s="1374">
        <f>+IF(ISBLANK(REPORTS!I1353),"",REPORTS!I1353)</f>
        <v>1</v>
      </c>
    </row>
    <row r="1663" spans="1:8">
      <c r="A1663" s="1751">
        <v>101</v>
      </c>
      <c r="B1663" s="1393">
        <v>24</v>
      </c>
      <c r="C1663" s="1324" t="s">
        <v>5265</v>
      </c>
      <c r="D1663" s="1324" t="s">
        <v>2067</v>
      </c>
      <c r="E1663" s="1324">
        <f>+IF(ISBLANK(REPORTS!F1354),"",REPORTS!F1354)</f>
        <v>3054.4984588409338</v>
      </c>
      <c r="F1663" s="1324">
        <f>+IF(ISBLANK(REPORTS!G1354),"",REPORTS!G1354)</f>
        <v>0</v>
      </c>
      <c r="G1663" s="1324">
        <f>+IF(ISBLANK(REPORTS!H1354),"",REPORTS!H1354)</f>
        <v>3054.4984588409338</v>
      </c>
      <c r="H1663" s="1374">
        <f>+IF(ISBLANK(REPORTS!I1354),"",REPORTS!I1354)</f>
        <v>1</v>
      </c>
    </row>
    <row r="1664" spans="1:8">
      <c r="A1664" s="1751"/>
      <c r="B1664" s="1393">
        <v>25</v>
      </c>
      <c r="C1664" s="1324" t="s">
        <v>5268</v>
      </c>
      <c r="D1664" s="1324" t="s">
        <v>4067</v>
      </c>
      <c r="E1664" s="1324">
        <f>+IF(ISBLANK(REPORTS!F1355),"",REPORTS!F1355)</f>
        <v>7283.8333454800486</v>
      </c>
      <c r="F1664" s="1324">
        <f>+IF(ISBLANK(REPORTS!G1355),"",REPORTS!G1355)</f>
        <v>471.89666184687519</v>
      </c>
      <c r="G1664" s="1324">
        <f>+IF(ISBLANK(REPORTS!H1355),"",REPORTS!H1355)</f>
        <v>6811.9366836331728</v>
      </c>
      <c r="H1664" s="1374">
        <f>+IF(ISBLANK(REPORTS!I1355),"",REPORTS!I1355)</f>
        <v>0.93521314403222733</v>
      </c>
    </row>
    <row r="1665" spans="1:8">
      <c r="A1665" s="1752"/>
      <c r="B1665" s="1393">
        <v>26</v>
      </c>
      <c r="C1665" s="1324" t="s">
        <v>5239</v>
      </c>
      <c r="D1665" s="1324" t="s">
        <v>4067</v>
      </c>
      <c r="E1665" s="1324">
        <f>+IF(ISBLANK(REPORTS!F1356),"",REPORTS!F1356)</f>
        <v>7158.5366024656287</v>
      </c>
      <c r="F1665" s="1324">
        <f>+IF(ISBLANK(REPORTS!G1356),"",REPORTS!G1356)</f>
        <v>463.7790798039689</v>
      </c>
      <c r="G1665" s="1324">
        <f>+IF(ISBLANK(REPORTS!H1356),"",REPORTS!H1356)</f>
        <v>6694.7575226616591</v>
      </c>
      <c r="H1665" s="1374">
        <f>+IF(ISBLANK(REPORTS!I1356),"",REPORTS!I1356)</f>
        <v>0.93521314403222733</v>
      </c>
    </row>
    <row r="1666" spans="1:8">
      <c r="A1666" s="1751"/>
      <c r="B1666" s="1393">
        <v>27</v>
      </c>
      <c r="C1666" s="1324" t="s">
        <v>5240</v>
      </c>
      <c r="D1666" s="1324" t="s">
        <v>4067</v>
      </c>
      <c r="E1666" s="1324">
        <f>+IF(ISBLANK(REPORTS!F1357),"",REPORTS!F1357)</f>
        <v>-18323.405026623215</v>
      </c>
      <c r="F1666" s="1324">
        <f>+IF(ISBLANK(REPORTS!G1357),"",REPORTS!G1357)</f>
        <v>0</v>
      </c>
      <c r="G1666" s="1324">
        <f>+IF(ISBLANK(REPORTS!H1357),"",REPORTS!H1357)</f>
        <v>-18323.405026623215</v>
      </c>
      <c r="H1666" s="1374">
        <f>+IF(ISBLANK(REPORTS!I1357),"",REPORTS!I1357)</f>
        <v>1</v>
      </c>
    </row>
    <row r="1667" spans="1:8">
      <c r="A1667" s="1751"/>
      <c r="B1667" s="1393">
        <v>28</v>
      </c>
      <c r="C1667" s="1324" t="s">
        <v>5241</v>
      </c>
      <c r="D1667" s="1324" t="s">
        <v>4067</v>
      </c>
      <c r="E1667" s="1324">
        <f>+IF(ISBLANK(REPORTS!F1358),"",REPORTS!F1358)</f>
        <v>-10165.971528099151</v>
      </c>
      <c r="F1667" s="1324">
        <f>+IF(ISBLANK(REPORTS!G1358),"",REPORTS!G1358)</f>
        <v>0</v>
      </c>
      <c r="G1667" s="1324">
        <f>+IF(ISBLANK(REPORTS!H1358),"",REPORTS!H1358)</f>
        <v>-10165.971528099151</v>
      </c>
      <c r="H1667" s="1374">
        <f>+IF(ISBLANK(REPORTS!I1358),"",REPORTS!I1358)</f>
        <v>1</v>
      </c>
    </row>
    <row r="1668" spans="1:8">
      <c r="A1668" s="1751">
        <v>101</v>
      </c>
      <c r="B1668" s="1393">
        <v>29</v>
      </c>
      <c r="C1668" s="1324" t="s">
        <v>5242</v>
      </c>
      <c r="D1668" s="1324" t="s">
        <v>4071</v>
      </c>
      <c r="E1668" s="1324">
        <f>+IF(ISBLANK(REPORTS!F1359),"",REPORTS!F1359)</f>
        <v>-8274.3217102474555</v>
      </c>
      <c r="F1668" s="1749">
        <f>+IF(ISBLANK(REPORTS!G1359),"",REPORTS!G1359)</f>
        <v>0</v>
      </c>
      <c r="G1668" s="1324">
        <f>+IF(ISBLANK(REPORTS!H1359),"",REPORTS!H1359)</f>
        <v>-8274.3217102474555</v>
      </c>
      <c r="H1668" s="1374">
        <f>+IF(ISBLANK(REPORTS!I1359),"",REPORTS!I1359)</f>
        <v>1</v>
      </c>
    </row>
    <row r="1669" spans="1:8">
      <c r="A1669" s="1751">
        <v>117</v>
      </c>
      <c r="B1669" s="1393">
        <v>30</v>
      </c>
      <c r="C1669" s="1324" t="s">
        <v>5244</v>
      </c>
      <c r="D1669" s="1324" t="s">
        <v>4071</v>
      </c>
      <c r="E1669" s="1745">
        <f>+IF(ISBLANK(REPORTS!F1360),"",REPORTS!F1360)</f>
        <v>0</v>
      </c>
      <c r="F1669" s="1366">
        <f>+IF(ISBLANK(REPORTS!G1360),"",REPORTS!G1360)</f>
        <v>0</v>
      </c>
      <c r="G1669" s="1366">
        <f>+IF(ISBLANK(REPORTS!H1360),"",REPORTS!H1360)</f>
        <v>0</v>
      </c>
      <c r="H1669" s="1374">
        <f>+IF(ISBLANK(REPORTS!I1360),"",REPORTS!I1360)</f>
        <v>0</v>
      </c>
    </row>
    <row r="1670" spans="1:8">
      <c r="A1670" s="1751">
        <v>117</v>
      </c>
      <c r="B1670" s="1393">
        <v>31</v>
      </c>
      <c r="C1670" s="1324" t="s">
        <v>5748</v>
      </c>
      <c r="D1670" s="1324"/>
      <c r="E1670" s="1366">
        <f>+IF(ISBLANK(REPORTS!F1361),"",REPORTS!F1361)</f>
        <v>87540.930835941399</v>
      </c>
      <c r="F1670" s="1366">
        <f>+IF(ISBLANK(REPORTS!G1361),"",REPORTS!G1361)</f>
        <v>935.67574165084409</v>
      </c>
      <c r="G1670" s="1366">
        <f>+IF(ISBLANK(REPORTS!H1361),"",REPORTS!H1361)</f>
        <v>86605.255094290565</v>
      </c>
      <c r="H1670" s="1374">
        <f>+IF(ISBLANK(REPORTS!I1361),"",REPORTS!I1361)</f>
        <v>0.98931156280021326</v>
      </c>
    </row>
    <row r="1671" spans="1:8">
      <c r="A1671" s="1751"/>
    </row>
    <row r="1672" spans="1:8">
      <c r="A1672" s="1751"/>
    </row>
    <row r="1673" spans="1:8">
      <c r="A1673" s="1751"/>
    </row>
    <row r="1674" spans="1:8">
      <c r="A1674" s="1751"/>
    </row>
    <row r="1675" spans="1:8">
      <c r="A1675" s="1751">
        <v>105</v>
      </c>
    </row>
    <row r="1676" spans="1:8">
      <c r="A1676" s="1751">
        <v>106</v>
      </c>
    </row>
    <row r="1677" spans="1:8">
      <c r="A1677" s="1751">
        <v>907</v>
      </c>
    </row>
    <row r="1678" spans="1:8">
      <c r="A1678" s="1751"/>
    </row>
    <row r="1679" spans="1:8">
      <c r="A1679" s="1751"/>
    </row>
    <row r="1680" spans="1:8">
      <c r="A1680" s="1751"/>
    </row>
    <row r="1681" spans="1:8">
      <c r="A1681" s="1751"/>
    </row>
    <row r="1682" spans="1:8">
      <c r="A1682" s="1751"/>
    </row>
    <row r="1683" spans="1:8">
      <c r="A1683" s="1751"/>
    </row>
    <row r="1684" spans="1:8">
      <c r="A1684" s="1751"/>
    </row>
    <row r="1685" spans="1:8">
      <c r="A1685" s="1751"/>
    </row>
    <row r="1686" spans="1:8">
      <c r="A1686" s="1751"/>
    </row>
    <row r="1687" spans="1:8">
      <c r="A1687" s="1751"/>
    </row>
    <row r="1688" spans="1:8">
      <c r="A1688" s="1751"/>
    </row>
    <row r="1689" spans="1:8">
      <c r="A1689" s="1752"/>
      <c r="B1689" s="1416" t="str">
        <f>+$B$1</f>
        <v>RATES WITH REVENUE DEFICIENCY ADDITION</v>
      </c>
      <c r="C1689" s="1324"/>
      <c r="D1689" s="1324"/>
      <c r="E1689" s="1336"/>
      <c r="F1689" s="1329" t="s">
        <v>2173</v>
      </c>
      <c r="G1689" s="1364"/>
      <c r="H1689" s="1334" t="s">
        <v>5848</v>
      </c>
    </row>
    <row r="1690" spans="1:8">
      <c r="A1690" s="1751"/>
      <c r="B1690" s="1416" t="str">
        <f>+$B$2</f>
        <v xml:space="preserve">PROD. CAP. ALLOC. METHOD: 12 CP </v>
      </c>
      <c r="C1690" s="1324"/>
      <c r="D1690" s="1324"/>
      <c r="E1690" s="1324"/>
      <c r="F1690" s="1336" t="s">
        <v>4768</v>
      </c>
      <c r="G1690" s="1324"/>
      <c r="H1690" s="1731" t="s">
        <v>4313</v>
      </c>
    </row>
    <row r="1691" spans="1:8">
      <c r="A1691" s="1751"/>
      <c r="B1691" s="1416" t="str">
        <f>+$B$3</f>
        <v>PROJECTED CALENDAR YEAR 2025; FULLY ADJUSTED DATA</v>
      </c>
      <c r="C1691" s="1324"/>
      <c r="D1691" s="1324"/>
      <c r="E1691" s="1324"/>
      <c r="F1691" s="1336" t="s">
        <v>2181</v>
      </c>
      <c r="G1691" s="1324"/>
      <c r="H1691" s="1374"/>
    </row>
    <row r="1692" spans="1:8">
      <c r="A1692" s="1751"/>
      <c r="B1692" s="1732">
        <f>+$B$4</f>
        <v>0</v>
      </c>
      <c r="C1692" s="1324"/>
      <c r="D1692" s="1324"/>
      <c r="E1692" s="1324"/>
      <c r="F1692" s="1364"/>
      <c r="G1692" s="1364"/>
      <c r="H1692" s="1374"/>
    </row>
    <row r="1693" spans="1:8">
      <c r="A1693" s="1751"/>
      <c r="B1693" s="1732" t="str">
        <f>+$B$5</f>
        <v>Tampa Electric 2025 OB Budget</v>
      </c>
      <c r="C1693" s="1324"/>
      <c r="D1693" s="1324"/>
      <c r="E1693" s="1329"/>
      <c r="F1693" s="1336" t="s">
        <v>5732</v>
      </c>
      <c r="G1693" s="1364"/>
      <c r="H1693" s="1374"/>
    </row>
    <row r="1694" spans="1:8">
      <c r="A1694" s="1751"/>
      <c r="B1694" s="1393"/>
      <c r="C1694" s="1324"/>
      <c r="D1694" s="1324"/>
      <c r="E1694" s="1336"/>
      <c r="F1694" s="1364"/>
      <c r="G1694" s="1364"/>
      <c r="H1694" s="1374"/>
    </row>
    <row r="1695" spans="1:8">
      <c r="A1695" s="1751"/>
      <c r="B1695" s="1393"/>
      <c r="C1695" s="1324"/>
      <c r="D1695" s="1324"/>
      <c r="E1695" s="1336"/>
      <c r="F1695" s="1364"/>
      <c r="G1695" s="1364"/>
      <c r="H1695" s="1374"/>
    </row>
    <row r="1696" spans="1:8">
      <c r="A1696" s="1751"/>
      <c r="B1696" s="1393"/>
      <c r="C1696" s="1324"/>
      <c r="D1696" s="1324"/>
      <c r="E1696" s="1364"/>
      <c r="F1696" s="1364"/>
      <c r="G1696" s="1364"/>
      <c r="H1696" s="1374"/>
    </row>
    <row r="1697" spans="1:8">
      <c r="A1697" s="1751"/>
      <c r="B1697" s="1393"/>
      <c r="C1697" s="1324"/>
      <c r="D1697" s="1324"/>
      <c r="E1697" s="1364"/>
      <c r="F1697" s="1364"/>
      <c r="G1697" s="1364"/>
      <c r="H1697" s="1374"/>
    </row>
    <row r="1698" spans="1:8" ht="28.2">
      <c r="A1698" s="1751"/>
      <c r="B1698" s="1737" t="s">
        <v>4297</v>
      </c>
      <c r="C1698" s="1741"/>
      <c r="D1698" s="1741"/>
      <c r="E1698" s="1352" t="s">
        <v>5144</v>
      </c>
      <c r="F1698" s="1352" t="s">
        <v>4956</v>
      </c>
      <c r="G1698" s="1352" t="s">
        <v>4957</v>
      </c>
      <c r="H1698" s="1742" t="s">
        <v>5145</v>
      </c>
    </row>
    <row r="1699" spans="1:8">
      <c r="A1699" s="1751"/>
      <c r="B1699" s="1393"/>
      <c r="C1699" s="1324"/>
      <c r="D1699" s="1324"/>
      <c r="E1699" s="1324"/>
      <c r="F1699" s="1324"/>
      <c r="G1699" s="1324"/>
      <c r="H1699" s="1374"/>
    </row>
    <row r="1700" spans="1:8">
      <c r="A1700" s="1751"/>
      <c r="B1700" s="1393">
        <v>32</v>
      </c>
      <c r="C1700" s="1362" t="s">
        <v>5751</v>
      </c>
      <c r="D1700" s="1324"/>
      <c r="E1700" s="1324"/>
      <c r="F1700" s="1324"/>
      <c r="G1700" s="1324"/>
      <c r="H1700" s="1374"/>
    </row>
    <row r="1701" spans="1:8">
      <c r="A1701" s="1751"/>
      <c r="B1701" s="1393">
        <v>33</v>
      </c>
      <c r="C1701" s="1324" t="s">
        <v>5265</v>
      </c>
      <c r="D1701" s="1324" t="s">
        <v>4067</v>
      </c>
      <c r="E1701" s="1364">
        <f>+IF(ISBLANK(REPORTS!F1379),"",REPORTS!F1379)</f>
        <v>48111.724254037937</v>
      </c>
      <c r="F1701" s="1364">
        <f>+IF(ISBLANK(REPORTS!G1379),"",REPORTS!G1379)</f>
        <v>0</v>
      </c>
      <c r="G1701" s="1364">
        <f>+IF(ISBLANK(REPORTS!H1379),"",REPORTS!H1379)</f>
        <v>48111.724254037937</v>
      </c>
      <c r="H1701" s="1374">
        <f>+IF(ISBLANK(REPORTS!I1379),"",REPORTS!I1379)</f>
        <v>1</v>
      </c>
    </row>
    <row r="1702" spans="1:8">
      <c r="A1702" s="1751"/>
      <c r="B1702" s="1393">
        <v>34</v>
      </c>
      <c r="C1702" s="1324" t="s">
        <v>5265</v>
      </c>
      <c r="D1702" s="1324" t="s">
        <v>2067</v>
      </c>
      <c r="E1702" s="1364">
        <f>+IF(ISBLANK(REPORTS!F1380),"",REPORTS!F1380)</f>
        <v>12701.786352034356</v>
      </c>
      <c r="F1702" s="1364">
        <f>+IF(ISBLANK(REPORTS!G1380),"",REPORTS!G1380)</f>
        <v>0</v>
      </c>
      <c r="G1702" s="1364">
        <f>+IF(ISBLANK(REPORTS!H1380),"",REPORTS!H1380)</f>
        <v>12701.786352034356</v>
      </c>
      <c r="H1702" s="1374">
        <f>+IF(ISBLANK(REPORTS!I1380),"",REPORTS!I1380)</f>
        <v>1</v>
      </c>
    </row>
    <row r="1703" spans="1:8">
      <c r="A1703" s="1751"/>
      <c r="B1703" s="1393">
        <v>35</v>
      </c>
      <c r="C1703" s="1324" t="s">
        <v>5268</v>
      </c>
      <c r="D1703" s="1324" t="s">
        <v>4067</v>
      </c>
      <c r="E1703" s="1364">
        <f>+IF(ISBLANK(REPORTS!F1381),"",REPORTS!F1381)</f>
        <v>2038.6837451197048</v>
      </c>
      <c r="F1703" s="1364">
        <f>+IF(ISBLANK(REPORTS!G1381),"",REPORTS!G1381)</f>
        <v>132.07991015890954</v>
      </c>
      <c r="G1703" s="1364">
        <f>+IF(ISBLANK(REPORTS!H1381),"",REPORTS!H1381)</f>
        <v>1906.603834960795</v>
      </c>
      <c r="H1703" s="1374">
        <f>+IF(ISBLANK(REPORTS!I1381),"",REPORTS!I1381)</f>
        <v>0.93521314403222733</v>
      </c>
    </row>
    <row r="1704" spans="1:8">
      <c r="A1704" s="1751"/>
      <c r="B1704" s="1393">
        <v>36</v>
      </c>
      <c r="C1704" s="1324" t="s">
        <v>5239</v>
      </c>
      <c r="D1704" s="1324" t="s">
        <v>4067</v>
      </c>
      <c r="E1704" s="1364">
        <f>+IF(ISBLANK(REPORTS!F1382),"",REPORTS!F1382)</f>
        <v>5731.826724745003</v>
      </c>
      <c r="F1704" s="1364">
        <f>+IF(ISBLANK(REPORTS!G1382),"",REPORTS!G1382)</f>
        <v>371.34703244828427</v>
      </c>
      <c r="G1704" s="1364">
        <f>+IF(ISBLANK(REPORTS!H1382),"",REPORTS!H1382)</f>
        <v>5360.479692296718</v>
      </c>
      <c r="H1704" s="1374">
        <f>+IF(ISBLANK(REPORTS!I1382),"",REPORTS!I1382)</f>
        <v>0.93521314403222722</v>
      </c>
    </row>
    <row r="1705" spans="1:8">
      <c r="A1705" s="1751"/>
      <c r="B1705" s="1393">
        <v>37</v>
      </c>
      <c r="C1705" s="1324" t="s">
        <v>5240</v>
      </c>
      <c r="D1705" s="1324" t="s">
        <v>4067</v>
      </c>
      <c r="E1705" s="1364">
        <f>+IF(ISBLANK(REPORTS!F1383),"",REPORTS!F1383)</f>
        <v>28148.805374130741</v>
      </c>
      <c r="F1705" s="1364">
        <f>+IF(ISBLANK(REPORTS!G1383),"",REPORTS!G1383)</f>
        <v>0</v>
      </c>
      <c r="G1705" s="1364">
        <f>+IF(ISBLANK(REPORTS!H1383),"",REPORTS!H1383)</f>
        <v>28148.805374130741</v>
      </c>
      <c r="H1705" s="1374">
        <f>+IF(ISBLANK(REPORTS!I1383),"",REPORTS!I1383)</f>
        <v>1</v>
      </c>
    </row>
    <row r="1706" spans="1:8">
      <c r="A1706" s="1751"/>
      <c r="B1706" s="1393">
        <v>38</v>
      </c>
      <c r="C1706" s="1324" t="s">
        <v>5241</v>
      </c>
      <c r="D1706" s="1324" t="s">
        <v>4067</v>
      </c>
      <c r="E1706" s="1364">
        <f>+IF(ISBLANK(REPORTS!F1384),"",REPORTS!F1384)</f>
        <v>4855.8763860161816</v>
      </c>
      <c r="F1706" s="1364">
        <f>+IF(ISBLANK(REPORTS!G1384),"",REPORTS!G1384)</f>
        <v>0</v>
      </c>
      <c r="G1706" s="1364">
        <f>+IF(ISBLANK(REPORTS!H1384),"",REPORTS!H1384)</f>
        <v>4855.8763860161816</v>
      </c>
      <c r="H1706" s="1374">
        <f>+IF(ISBLANK(REPORTS!I1384),"",REPORTS!I1384)</f>
        <v>1</v>
      </c>
    </row>
    <row r="1707" spans="1:8">
      <c r="A1707" s="1751"/>
      <c r="B1707" s="1393">
        <v>39</v>
      </c>
      <c r="C1707" s="1324" t="s">
        <v>5242</v>
      </c>
      <c r="D1707" s="1324" t="s">
        <v>4071</v>
      </c>
      <c r="E1707" s="1364">
        <f>+IF(ISBLANK(REPORTS!F1385),"",REPORTS!F1385)</f>
        <v>18043.691341606445</v>
      </c>
      <c r="F1707" s="1364">
        <f>+IF(ISBLANK(REPORTS!G1385),"",REPORTS!G1385)</f>
        <v>0</v>
      </c>
      <c r="G1707" s="1364">
        <f>+IF(ISBLANK(REPORTS!H1385),"",REPORTS!H1385)</f>
        <v>18043.691341606445</v>
      </c>
      <c r="H1707" s="1374">
        <f>+IF(ISBLANK(REPORTS!I1385),"",REPORTS!I1385)</f>
        <v>1</v>
      </c>
    </row>
    <row r="1708" spans="1:8">
      <c r="A1708" s="1751"/>
      <c r="B1708" s="1393">
        <v>40</v>
      </c>
      <c r="C1708" s="1324" t="s">
        <v>5244</v>
      </c>
      <c r="D1708" s="1324" t="s">
        <v>4071</v>
      </c>
      <c r="E1708" s="1364">
        <f>+IF(ISBLANK(REPORTS!F1386),"",REPORTS!F1386)</f>
        <v>24440.601398676023</v>
      </c>
      <c r="F1708" s="1364">
        <f>+IF(ISBLANK(REPORTS!G1386),"",REPORTS!G1386)</f>
        <v>0</v>
      </c>
      <c r="G1708" s="1364">
        <f>+IF(ISBLANK(REPORTS!H1386),"",REPORTS!H1386)</f>
        <v>24440.601398676023</v>
      </c>
      <c r="H1708" s="1374">
        <f>+IF(ISBLANK(REPORTS!I1386),"",REPORTS!I1386)</f>
        <v>1</v>
      </c>
    </row>
    <row r="1709" spans="1:8">
      <c r="A1709" s="1751"/>
      <c r="B1709" s="1393">
        <v>41</v>
      </c>
      <c r="C1709" s="1324" t="s">
        <v>5752</v>
      </c>
      <c r="D1709" s="1324"/>
      <c r="E1709" s="1421">
        <f>+IF(ISBLANK(REPORTS!F1387),"",REPORTS!F1387)</f>
        <v>144072.99557636637</v>
      </c>
      <c r="F1709" s="1421">
        <f>+IF(ISBLANK(REPORTS!G1387),"",REPORTS!G1387)</f>
        <v>503.42694260719384</v>
      </c>
      <c r="G1709" s="1421">
        <f>+IF(ISBLANK(REPORTS!H1387),"",REPORTS!H1387)</f>
        <v>143569.56863375919</v>
      </c>
      <c r="H1709" s="1374">
        <f>+IF(ISBLANK(REPORTS!I1387),"",REPORTS!I1387)</f>
        <v>0.9965057508480808</v>
      </c>
    </row>
    <row r="1710" spans="1:8">
      <c r="A1710" s="1760"/>
      <c r="B1710" s="1393">
        <v>42</v>
      </c>
      <c r="C1710" s="1324"/>
      <c r="D1710" s="1324"/>
      <c r="E1710" s="1324" t="str">
        <f>+IF(ISBLANK(REPORTS!F1388),"",REPORTS!F1388)</f>
        <v/>
      </c>
      <c r="F1710" s="1324" t="str">
        <f>+IF(ISBLANK(REPORTS!G1388),"",REPORTS!G1388)</f>
        <v/>
      </c>
      <c r="G1710" s="1324" t="str">
        <f>+IF(ISBLANK(REPORTS!H1388),"",REPORTS!H1388)</f>
        <v/>
      </c>
      <c r="H1710" s="1374" t="str">
        <f>+IF(ISBLANK(REPORTS!I1388),"",REPORTS!I1388)</f>
        <v/>
      </c>
    </row>
    <row r="1711" spans="1:8">
      <c r="A1711" s="1760"/>
      <c r="B1711" s="1393">
        <v>43</v>
      </c>
      <c r="C1711" s="1362" t="s">
        <v>5754</v>
      </c>
      <c r="D1711" s="1324"/>
      <c r="E1711" s="1324" t="str">
        <f>+IF(ISBLANK(REPORTS!F1389),"",REPORTS!F1389)</f>
        <v/>
      </c>
      <c r="F1711" s="1324" t="str">
        <f>+IF(ISBLANK(REPORTS!G1389),"",REPORTS!G1389)</f>
        <v/>
      </c>
      <c r="G1711" s="1324" t="str">
        <f>+IF(ISBLANK(REPORTS!H1389),"",REPORTS!H1389)</f>
        <v/>
      </c>
      <c r="H1711" s="1374" t="str">
        <f>+IF(ISBLANK(REPORTS!I1389),"",REPORTS!I1389)</f>
        <v/>
      </c>
    </row>
    <row r="1712" spans="1:8">
      <c r="A1712" s="1751"/>
      <c r="B1712" s="1393">
        <v>44</v>
      </c>
      <c r="C1712" s="1324" t="s">
        <v>5265</v>
      </c>
      <c r="D1712" s="1324" t="s">
        <v>4067</v>
      </c>
      <c r="E1712" s="1324">
        <f>+IF(ISBLANK(REPORTS!F1390),"",REPORTS!F1390)</f>
        <v>154919.48494816257</v>
      </c>
      <c r="F1712" s="1324">
        <f>+IF(ISBLANK(REPORTS!G1390),"",REPORTS!G1390)</f>
        <v>0</v>
      </c>
      <c r="G1712" s="1324">
        <f>+IF(ISBLANK(REPORTS!H1390),"",REPORTS!H1390)</f>
        <v>154919.48494816257</v>
      </c>
      <c r="H1712" s="1374">
        <f>+IF(ISBLANK(REPORTS!I1390),"",REPORTS!I1390)</f>
        <v>1</v>
      </c>
    </row>
    <row r="1713" spans="1:8">
      <c r="A1713" s="1751"/>
      <c r="B1713" s="1393">
        <v>45</v>
      </c>
      <c r="C1713" s="1324" t="s">
        <v>5265</v>
      </c>
      <c r="D1713" s="1324" t="s">
        <v>2067</v>
      </c>
      <c r="E1713" s="1324">
        <f>+IF(ISBLANK(REPORTS!F1391),"",REPORTS!F1391)</f>
        <v>15756.28481087529</v>
      </c>
      <c r="F1713" s="1364">
        <f>+IF(ISBLANK(REPORTS!G1391),"",REPORTS!G1391)</f>
        <v>0</v>
      </c>
      <c r="G1713" s="1364">
        <f>+IF(ISBLANK(REPORTS!H1391),"",REPORTS!H1391)</f>
        <v>15756.28481087529</v>
      </c>
      <c r="H1713" s="1374">
        <f>+IF(ISBLANK(REPORTS!I1391),"",REPORTS!I1391)</f>
        <v>1</v>
      </c>
    </row>
    <row r="1714" spans="1:8">
      <c r="A1714" s="1751"/>
      <c r="B1714" s="1393">
        <v>46</v>
      </c>
      <c r="C1714" s="1324" t="s">
        <v>5268</v>
      </c>
      <c r="D1714" s="1324" t="s">
        <v>4067</v>
      </c>
      <c r="E1714" s="1324">
        <f>+IF(ISBLANK(REPORTS!F1392),"",REPORTS!F1392)</f>
        <v>9322.5170905997529</v>
      </c>
      <c r="F1714" s="1364">
        <f>+IF(ISBLANK(REPORTS!G1392),"",REPORTS!G1392)</f>
        <v>603.97657200578476</v>
      </c>
      <c r="G1714" s="1364">
        <f>+IF(ISBLANK(REPORTS!H1392),"",REPORTS!H1392)</f>
        <v>8718.5405185939671</v>
      </c>
      <c r="H1714" s="1374">
        <f>+IF(ISBLANK(REPORTS!I1392),"",REPORTS!I1392)</f>
        <v>0.93521314403222733</v>
      </c>
    </row>
    <row r="1715" spans="1:8">
      <c r="A1715" s="1751"/>
      <c r="B1715" s="1393">
        <v>47</v>
      </c>
      <c r="C1715" s="1324" t="s">
        <v>5239</v>
      </c>
      <c r="D1715" s="1324" t="s">
        <v>4067</v>
      </c>
      <c r="E1715" s="1324">
        <f>+IF(ISBLANK(REPORTS!F1393),"",REPORTS!F1393)</f>
        <v>12890.363327210631</v>
      </c>
      <c r="F1715" s="1364">
        <f>+IF(ISBLANK(REPORTS!G1393),"",REPORTS!G1393)</f>
        <v>835.12611225225317</v>
      </c>
      <c r="G1715" s="1364">
        <f>+IF(ISBLANK(REPORTS!H1393),"",REPORTS!H1393)</f>
        <v>12055.237214958377</v>
      </c>
      <c r="H1715" s="1374">
        <f>+IF(ISBLANK(REPORTS!I1393),"",REPORTS!I1393)</f>
        <v>0.93521314403222733</v>
      </c>
    </row>
    <row r="1716" spans="1:8">
      <c r="A1716" s="1751"/>
      <c r="B1716" s="1393">
        <v>48</v>
      </c>
      <c r="C1716" s="1324" t="s">
        <v>5240</v>
      </c>
      <c r="D1716" s="1324" t="s">
        <v>4067</v>
      </c>
      <c r="E1716" s="1324">
        <f>+IF(ISBLANK(REPORTS!F1394),"",REPORTS!F1394)</f>
        <v>9825.400347507526</v>
      </c>
      <c r="F1716" s="1364">
        <f>+IF(ISBLANK(REPORTS!G1394),"",REPORTS!G1394)</f>
        <v>0</v>
      </c>
      <c r="G1716" s="1364">
        <f>+IF(ISBLANK(REPORTS!H1394),"",REPORTS!H1394)</f>
        <v>9825.400347507526</v>
      </c>
      <c r="H1716" s="1374">
        <f>+IF(ISBLANK(REPORTS!I1394),"",REPORTS!I1394)</f>
        <v>1</v>
      </c>
    </row>
    <row r="1717" spans="1:8">
      <c r="A1717" s="1751"/>
      <c r="B1717" s="1393">
        <v>49</v>
      </c>
      <c r="C1717" s="1324" t="s">
        <v>5241</v>
      </c>
      <c r="D1717" s="1324" t="s">
        <v>4067</v>
      </c>
      <c r="E1717" s="1324">
        <f>+IF(ISBLANK(REPORTS!F1395),"",REPORTS!F1395)</f>
        <v>-5310.0951420829697</v>
      </c>
      <c r="F1717" s="1364">
        <f>+IF(ISBLANK(REPORTS!G1395),"",REPORTS!G1395)</f>
        <v>0</v>
      </c>
      <c r="G1717" s="1364">
        <f>+IF(ISBLANK(REPORTS!H1395),"",REPORTS!H1395)</f>
        <v>-5310.0951420829697</v>
      </c>
      <c r="H1717" s="1374">
        <f>+IF(ISBLANK(REPORTS!I1395),"",REPORTS!I1395)</f>
        <v>1</v>
      </c>
    </row>
    <row r="1718" spans="1:8">
      <c r="A1718" s="1751"/>
      <c r="B1718" s="1393">
        <v>50</v>
      </c>
      <c r="C1718" s="1324" t="s">
        <v>5242</v>
      </c>
      <c r="D1718" s="1324" t="s">
        <v>4071</v>
      </c>
      <c r="E1718" s="1324">
        <f>+IF(ISBLANK(REPORTS!F1396),"",REPORTS!F1396)</f>
        <v>9769.3696313589899</v>
      </c>
      <c r="F1718" s="1364">
        <f>+IF(ISBLANK(REPORTS!G1396),"",REPORTS!G1396)</f>
        <v>0</v>
      </c>
      <c r="G1718" s="1364">
        <f>+IF(ISBLANK(REPORTS!H1396),"",REPORTS!H1396)</f>
        <v>9769.3696313589899</v>
      </c>
      <c r="H1718" s="1374">
        <f>+IF(ISBLANK(REPORTS!I1396),"",REPORTS!I1396)</f>
        <v>1</v>
      </c>
    </row>
    <row r="1719" spans="1:8" ht="28.2">
      <c r="A1719" s="1753" t="s">
        <v>5143</v>
      </c>
      <c r="B1719" s="1393">
        <v>51</v>
      </c>
      <c r="C1719" s="1324" t="s">
        <v>5244</v>
      </c>
      <c r="D1719" s="1324" t="s">
        <v>4071</v>
      </c>
      <c r="E1719" s="1366">
        <f>+IF(ISBLANK(REPORTS!F1397),"",REPORTS!F1397)</f>
        <v>24440.601398676023</v>
      </c>
      <c r="F1719" s="1366">
        <f>+IF(ISBLANK(REPORTS!G1397),"",REPORTS!G1397)</f>
        <v>0</v>
      </c>
      <c r="G1719" s="1366">
        <f>+IF(ISBLANK(REPORTS!H1397),"",REPORTS!H1397)</f>
        <v>24440.601398676023</v>
      </c>
      <c r="H1719" s="1374">
        <f>+IF(ISBLANK(REPORTS!I1397),"",REPORTS!I1397)</f>
        <v>1</v>
      </c>
    </row>
    <row r="1720" spans="1:8">
      <c r="A1720" s="1751"/>
      <c r="B1720" s="1393">
        <v>52</v>
      </c>
      <c r="C1720" s="1324"/>
      <c r="D1720" s="1324"/>
      <c r="E1720" s="1364" t="str">
        <f>+IF(ISBLANK(REPORTS!F1398),"",REPORTS!F1398)</f>
        <v/>
      </c>
      <c r="F1720" s="1364" t="str">
        <f>+IF(ISBLANK(REPORTS!G1398),"",REPORTS!G1398)</f>
        <v/>
      </c>
      <c r="G1720" s="1364" t="str">
        <f>+IF(ISBLANK(REPORTS!H1398),"",REPORTS!H1398)</f>
        <v/>
      </c>
      <c r="H1720" s="1374" t="str">
        <f>+IF(ISBLANK(REPORTS!I1398),"",REPORTS!I1398)</f>
        <v/>
      </c>
    </row>
    <row r="1721" spans="1:8" ht="15" thickBot="1">
      <c r="A1721" s="1751"/>
      <c r="B1721" s="1393">
        <v>53</v>
      </c>
      <c r="C1721" s="1324" t="s">
        <v>5763</v>
      </c>
      <c r="D1721" s="1324"/>
      <c r="E1721" s="1380">
        <f>+IF(ISBLANK(REPORTS!F1399),"",REPORTS!F1399)</f>
        <v>231613.9264123078</v>
      </c>
      <c r="F1721" s="1380">
        <f>+IF(ISBLANK(REPORTS!G1399),"",REPORTS!G1399)</f>
        <v>1439.1026842580379</v>
      </c>
      <c r="G1721" s="1380">
        <f>+IF(ISBLANK(REPORTS!H1399),"",REPORTS!H1399)</f>
        <v>230174.82372804979</v>
      </c>
      <c r="H1721" s="1374">
        <f>+IF(ISBLANK(REPORTS!I1399),"",REPORTS!I1399)</f>
        <v>0.99378663145800572</v>
      </c>
    </row>
    <row r="1722" spans="1:8" ht="15" thickTop="1">
      <c r="A1722" s="1751">
        <v>101</v>
      </c>
    </row>
    <row r="1723" spans="1:8">
      <c r="A1723" s="1751">
        <v>201</v>
      </c>
    </row>
    <row r="1724" spans="1:8">
      <c r="A1724" s="1751">
        <v>117</v>
      </c>
    </row>
    <row r="1725" spans="1:8">
      <c r="A1725" s="1751">
        <v>117</v>
      </c>
    </row>
    <row r="1726" spans="1:8">
      <c r="A1726" s="1751">
        <v>105</v>
      </c>
    </row>
    <row r="1727" spans="1:8">
      <c r="A1727" s="1751">
        <v>106</v>
      </c>
    </row>
    <row r="1728" spans="1:8">
      <c r="A1728" s="1751">
        <v>907</v>
      </c>
    </row>
    <row r="1729" spans="1:8">
      <c r="A1729" s="1751">
        <v>412</v>
      </c>
    </row>
    <row r="1730" spans="1:8">
      <c r="A1730" s="1751"/>
    </row>
    <row r="1731" spans="1:8">
      <c r="A1731" s="1751"/>
    </row>
    <row r="1732" spans="1:8">
      <c r="A1732" s="1751"/>
    </row>
    <row r="1733" spans="1:8">
      <c r="A1733" s="1751"/>
    </row>
    <row r="1734" spans="1:8">
      <c r="A1734" s="1751"/>
    </row>
    <row r="1735" spans="1:8">
      <c r="A1735" s="1751"/>
    </row>
    <row r="1736" spans="1:8">
      <c r="A1736" s="1751"/>
    </row>
    <row r="1737" spans="1:8">
      <c r="A1737" s="1751"/>
    </row>
    <row r="1738" spans="1:8">
      <c r="A1738" s="1751"/>
    </row>
    <row r="1739" spans="1:8">
      <c r="A1739" s="1751"/>
    </row>
    <row r="1740" spans="1:8">
      <c r="A1740" s="1751"/>
    </row>
    <row r="1741" spans="1:8">
      <c r="A1741" s="1751"/>
    </row>
    <row r="1742" spans="1:8">
      <c r="A1742" s="1751"/>
    </row>
    <row r="1743" spans="1:8">
      <c r="A1743" s="1751"/>
      <c r="B1743" s="1393"/>
      <c r="C1743" s="1324"/>
      <c r="D1743" s="1324"/>
      <c r="E1743" s="1364"/>
      <c r="F1743" s="1364"/>
      <c r="G1743" s="1364"/>
      <c r="H1743" s="1374"/>
    </row>
    <row r="1744" spans="1:8">
      <c r="A1744" s="1751"/>
      <c r="B1744" s="1393"/>
      <c r="C1744" s="1324"/>
      <c r="D1744" s="1324"/>
      <c r="E1744" s="1364"/>
      <c r="F1744" s="1364"/>
      <c r="G1744" s="1364"/>
      <c r="H1744" s="1374"/>
    </row>
    <row r="1745" spans="1:8">
      <c r="A1745" s="1751"/>
      <c r="B1745" s="1393"/>
      <c r="C1745" s="1324"/>
      <c r="D1745" s="1324"/>
      <c r="E1745" s="1364"/>
      <c r="F1745" s="1364"/>
      <c r="G1745" s="1364"/>
      <c r="H1745" s="1374"/>
    </row>
    <row r="1746" spans="1:8">
      <c r="A1746" s="1751"/>
      <c r="B1746" s="1393"/>
      <c r="C1746" s="1324"/>
      <c r="D1746" s="1324"/>
      <c r="E1746" s="1364"/>
      <c r="F1746" s="1364"/>
      <c r="G1746" s="1364"/>
      <c r="H1746" s="1374"/>
    </row>
    <row r="1747" spans="1:8">
      <c r="A1747" s="1751"/>
      <c r="B1747" s="1393"/>
      <c r="C1747" s="1324"/>
      <c r="D1747" s="1324"/>
      <c r="E1747" s="1364"/>
      <c r="F1747" s="1364"/>
      <c r="G1747" s="1364"/>
      <c r="H1747" s="1374"/>
    </row>
    <row r="1748" spans="1:8">
      <c r="A1748" s="1751"/>
      <c r="B1748" s="1393"/>
      <c r="C1748" s="1324"/>
      <c r="D1748" s="1324"/>
      <c r="E1748" s="1364"/>
      <c r="F1748" s="1364"/>
      <c r="G1748" s="1364"/>
      <c r="H1748" s="1374"/>
    </row>
    <row r="1749" spans="1:8">
      <c r="A1749" s="1751"/>
      <c r="B1749" s="1416" t="str">
        <f>+$B$1</f>
        <v>RATES WITH REVENUE DEFICIENCY ADDITION</v>
      </c>
      <c r="C1749" s="1324"/>
      <c r="D1749" s="1324"/>
      <c r="E1749" s="1336"/>
      <c r="F1749" s="1329" t="s">
        <v>2173</v>
      </c>
      <c r="G1749" s="1324"/>
      <c r="H1749" s="1334" t="s">
        <v>5911</v>
      </c>
    </row>
    <row r="1750" spans="1:8">
      <c r="A1750" s="1751"/>
      <c r="B1750" s="1416" t="str">
        <f>+$B$2</f>
        <v xml:space="preserve">PROD. CAP. ALLOC. METHOD: 12 CP </v>
      </c>
      <c r="C1750" s="1324"/>
      <c r="D1750" s="1324"/>
      <c r="E1750" s="1324"/>
      <c r="F1750" s="1336" t="s">
        <v>4768</v>
      </c>
      <c r="G1750" s="1324"/>
      <c r="H1750" s="1731" t="s">
        <v>4958</v>
      </c>
    </row>
    <row r="1751" spans="1:8">
      <c r="A1751" s="1751"/>
      <c r="B1751" s="1416" t="str">
        <f>+$B$3</f>
        <v>PROJECTED CALENDAR YEAR 2025; FULLY ADJUSTED DATA</v>
      </c>
      <c r="C1751" s="1324"/>
      <c r="D1751" s="1324"/>
      <c r="E1751" s="1324"/>
      <c r="F1751" s="1336" t="s">
        <v>2181</v>
      </c>
      <c r="G1751" s="1324"/>
      <c r="H1751" s="1374"/>
    </row>
    <row r="1752" spans="1:8">
      <c r="A1752" s="1751"/>
      <c r="B1752" s="1732">
        <f>+$B$4</f>
        <v>0</v>
      </c>
      <c r="C1752" s="1364"/>
      <c r="D1752" s="1324"/>
      <c r="E1752" s="1324"/>
      <c r="F1752" s="1324"/>
      <c r="G1752" s="1324"/>
      <c r="H1752" s="1374"/>
    </row>
    <row r="1753" spans="1:8">
      <c r="A1753" s="1751"/>
      <c r="B1753" s="1732" t="str">
        <f>+$B$5</f>
        <v>Tampa Electric 2025 OB Budget</v>
      </c>
      <c r="C1753" s="1324"/>
      <c r="D1753" s="1324"/>
      <c r="E1753" s="1329"/>
      <c r="F1753" s="1336" t="s">
        <v>5766</v>
      </c>
      <c r="G1753" s="1324"/>
      <c r="H1753" s="1374"/>
    </row>
    <row r="1754" spans="1:8">
      <c r="A1754" s="1751"/>
      <c r="B1754" s="1393"/>
      <c r="C1754" s="1324"/>
      <c r="D1754" s="1324"/>
      <c r="E1754" s="1336"/>
      <c r="F1754" s="1324"/>
      <c r="G1754" s="1324"/>
      <c r="H1754" s="1374"/>
    </row>
    <row r="1755" spans="1:8">
      <c r="A1755" s="1751"/>
      <c r="B1755" s="1393"/>
      <c r="C1755" s="1324"/>
      <c r="D1755" s="1324"/>
      <c r="E1755" s="1336"/>
      <c r="F1755" s="1324"/>
      <c r="G1755" s="1324"/>
      <c r="H1755" s="1374"/>
    </row>
    <row r="1756" spans="1:8">
      <c r="A1756" s="1751"/>
      <c r="B1756" s="1393"/>
      <c r="C1756" s="1324"/>
      <c r="D1756" s="1324"/>
      <c r="E1756" s="1324"/>
      <c r="F1756" s="1324"/>
      <c r="G1756" s="1324"/>
      <c r="H1756" s="1374"/>
    </row>
    <row r="1757" spans="1:8">
      <c r="A1757" s="1751"/>
      <c r="B1757" s="1735"/>
      <c r="C1757" s="1416"/>
      <c r="D1757" s="1416"/>
      <c r="E1757" s="1336"/>
      <c r="F1757" s="1336"/>
      <c r="G1757" s="1336"/>
      <c r="H1757" s="1736"/>
    </row>
    <row r="1758" spans="1:8" ht="28.2">
      <c r="A1758" s="1751"/>
      <c r="B1758" s="1737" t="s">
        <v>4297</v>
      </c>
      <c r="C1758" s="1741"/>
      <c r="D1758" s="1741"/>
      <c r="E1758" s="1352" t="s">
        <v>5144</v>
      </c>
      <c r="F1758" s="1352" t="s">
        <v>4956</v>
      </c>
      <c r="G1758" s="1352" t="s">
        <v>4957</v>
      </c>
      <c r="H1758" s="1742" t="s">
        <v>5145</v>
      </c>
    </row>
    <row r="1759" spans="1:8">
      <c r="A1759" s="1751"/>
      <c r="B1759" s="1393"/>
      <c r="C1759" s="1324"/>
      <c r="D1759" s="1324"/>
      <c r="E1759" s="1324"/>
      <c r="F1759" s="1324"/>
      <c r="G1759" s="1324"/>
      <c r="H1759" s="1374"/>
    </row>
    <row r="1760" spans="1:8">
      <c r="A1760" s="1751"/>
      <c r="B1760" s="1393">
        <v>1</v>
      </c>
      <c r="C1760" s="1362" t="s">
        <v>5768</v>
      </c>
      <c r="D1760" s="1324"/>
      <c r="E1760" s="1324"/>
      <c r="F1760" s="1324"/>
      <c r="G1760" s="1324"/>
      <c r="H1760" s="1374"/>
    </row>
    <row r="1761" spans="1:8">
      <c r="A1761" s="1751"/>
      <c r="B1761" s="1393">
        <v>2</v>
      </c>
      <c r="C1761" s="1324" t="s">
        <v>5265</v>
      </c>
      <c r="D1761" s="1324" t="s">
        <v>4067</v>
      </c>
      <c r="E1761" s="1324">
        <f>+IF(ISBLANK(REPORTS!F1417),"",REPORTS!F1417)</f>
        <v>7199153.5139943594</v>
      </c>
      <c r="F1761" s="1324">
        <f>+IF(ISBLANK(REPORTS!G1417),"",REPORTS!G1417)</f>
        <v>0</v>
      </c>
      <c r="G1761" s="1324">
        <f>+IF(ISBLANK(REPORTS!H1417),"",REPORTS!H1417)</f>
        <v>7199153.5139943594</v>
      </c>
      <c r="H1761" s="1374">
        <f>+IF(ISBLANK(REPORTS!I1417),"",REPORTS!I1417)</f>
        <v>1</v>
      </c>
    </row>
    <row r="1762" spans="1:8">
      <c r="A1762" s="1751"/>
      <c r="B1762" s="1393">
        <v>3</v>
      </c>
      <c r="C1762" s="1324" t="s">
        <v>5265</v>
      </c>
      <c r="D1762" s="1324" t="s">
        <v>2067</v>
      </c>
      <c r="E1762" s="1324">
        <f>+IF(ISBLANK(REPORTS!F1418),"",REPORTS!F1418)</f>
        <v>680548.35013101739</v>
      </c>
      <c r="F1762" s="1324">
        <f>+IF(ISBLANK(REPORTS!G1418),"",REPORTS!G1418)</f>
        <v>0</v>
      </c>
      <c r="G1762" s="1324">
        <f>+IF(ISBLANK(REPORTS!H1418),"",REPORTS!H1418)</f>
        <v>680548.35013101739</v>
      </c>
      <c r="H1762" s="1374">
        <f>+IF(ISBLANK(REPORTS!I1418),"",REPORTS!I1418)</f>
        <v>1</v>
      </c>
    </row>
    <row r="1763" spans="1:8">
      <c r="A1763" s="1751"/>
      <c r="B1763" s="1393">
        <v>4</v>
      </c>
      <c r="C1763" s="1324" t="s">
        <v>5268</v>
      </c>
      <c r="D1763" s="1324" t="s">
        <v>4067</v>
      </c>
      <c r="E1763" s="1324">
        <f>+IF(ISBLANK(REPORTS!F1419),"",REPORTS!F1419)</f>
        <v>559079.92351655953</v>
      </c>
      <c r="F1763" s="1324">
        <f>+IF(ISBLANK(REPORTS!G1419),"",REPORTS!G1419)</f>
        <v>36221.030479340669</v>
      </c>
      <c r="G1763" s="1324">
        <f>+IF(ISBLANK(REPORTS!H1419),"",REPORTS!H1419)</f>
        <v>522858.89303721883</v>
      </c>
      <c r="H1763" s="1374">
        <f>+IF(ISBLANK(REPORTS!I1419),"",REPORTS!I1419)</f>
        <v>0.93521314403222733</v>
      </c>
    </row>
    <row r="1764" spans="1:8">
      <c r="A1764" s="1751"/>
      <c r="B1764" s="1393">
        <v>5</v>
      </c>
      <c r="C1764" s="1324" t="s">
        <v>5239</v>
      </c>
      <c r="D1764" s="1324" t="s">
        <v>4067</v>
      </c>
      <c r="E1764" s="1324">
        <f>+IF(ISBLANK(REPORTS!F1420),"",REPORTS!F1420)</f>
        <v>583616.65599674068</v>
      </c>
      <c r="F1764" s="1324">
        <f>+IF(ISBLANK(REPORTS!G1420),"",REPORTS!G1420)</f>
        <v>37810.688232453918</v>
      </c>
      <c r="G1764" s="1324">
        <f>+IF(ISBLANK(REPORTS!H1420),"",REPORTS!H1420)</f>
        <v>545805.96776428656</v>
      </c>
      <c r="H1764" s="1374">
        <f>+IF(ISBLANK(REPORTS!I1420),"",REPORTS!I1420)</f>
        <v>0.93521314403222711</v>
      </c>
    </row>
    <row r="1765" spans="1:8">
      <c r="A1765" s="1751"/>
      <c r="B1765" s="1393">
        <v>6</v>
      </c>
      <c r="C1765" s="1324" t="s">
        <v>5240</v>
      </c>
      <c r="D1765" s="1324" t="s">
        <v>4067</v>
      </c>
      <c r="E1765" s="1324">
        <f>+IF(ISBLANK(REPORTS!F1421),"",REPORTS!F1421)</f>
        <v>2138740.1301561045</v>
      </c>
      <c r="F1765" s="1324">
        <f>+IF(ISBLANK(REPORTS!G1421),"",REPORTS!G1421)</f>
        <v>0</v>
      </c>
      <c r="G1765" s="1324">
        <f>+IF(ISBLANK(REPORTS!H1421),"",REPORTS!H1421)</f>
        <v>2138740.1301561045</v>
      </c>
      <c r="H1765" s="1374">
        <f>+IF(ISBLANK(REPORTS!I1421),"",REPORTS!I1421)</f>
        <v>1</v>
      </c>
    </row>
    <row r="1766" spans="1:8">
      <c r="A1766" s="1751"/>
      <c r="B1766" s="1393">
        <v>7</v>
      </c>
      <c r="C1766" s="1324" t="s">
        <v>5241</v>
      </c>
      <c r="D1766" s="1324" t="s">
        <v>4067</v>
      </c>
      <c r="E1766" s="1324">
        <f>+IF(ISBLANK(REPORTS!F1422),"",REPORTS!F1422)</f>
        <v>1074798.1721466575</v>
      </c>
      <c r="F1766" s="1324">
        <f>+IF(ISBLANK(REPORTS!G1422),"",REPORTS!G1422)</f>
        <v>0</v>
      </c>
      <c r="G1766" s="1324">
        <f>+IF(ISBLANK(REPORTS!H1422),"",REPORTS!H1422)</f>
        <v>1074798.1721466575</v>
      </c>
      <c r="H1766" s="1374">
        <f>+IF(ISBLANK(REPORTS!I1422),"",REPORTS!I1422)</f>
        <v>1</v>
      </c>
    </row>
    <row r="1767" spans="1:8">
      <c r="A1767" s="1751"/>
      <c r="B1767" s="1393">
        <v>8</v>
      </c>
      <c r="C1767" s="1324" t="s">
        <v>5242</v>
      </c>
      <c r="D1767" s="1324" t="s">
        <v>4071</v>
      </c>
      <c r="E1767" s="1324">
        <f>+IF(ISBLANK(REPORTS!F1423),"",REPORTS!F1423)</f>
        <v>1011029.5953512132</v>
      </c>
      <c r="F1767" s="1324">
        <f>+IF(ISBLANK(REPORTS!G1423),"",REPORTS!G1423)</f>
        <v>0</v>
      </c>
      <c r="G1767" s="1324">
        <f>+IF(ISBLANK(REPORTS!H1423),"",REPORTS!H1423)</f>
        <v>1011029.5953512132</v>
      </c>
      <c r="H1767" s="1374">
        <f>+IF(ISBLANK(REPORTS!I1423),"",REPORTS!I1423)</f>
        <v>1</v>
      </c>
    </row>
    <row r="1768" spans="1:8">
      <c r="A1768" s="1751"/>
      <c r="B1768" s="1393">
        <v>9</v>
      </c>
      <c r="C1768" s="1324" t="s">
        <v>5244</v>
      </c>
      <c r="D1768" s="1324" t="s">
        <v>4071</v>
      </c>
      <c r="E1768" s="1324">
        <f>+IF(ISBLANK(REPORTS!F1424),"",REPORTS!F1424)</f>
        <v>245143.87349825987</v>
      </c>
      <c r="F1768" s="1366">
        <f>+IF(ISBLANK(REPORTS!G1424),"",REPORTS!G1424)</f>
        <v>0</v>
      </c>
      <c r="G1768" s="1366">
        <f>+IF(ISBLANK(REPORTS!H1424),"",REPORTS!H1424)</f>
        <v>245143.87349825987</v>
      </c>
      <c r="H1768" s="1374">
        <f>+IF(ISBLANK(REPORTS!I1424),"",REPORTS!I1424)</f>
        <v>1</v>
      </c>
    </row>
    <row r="1769" spans="1:8">
      <c r="A1769" s="1751"/>
      <c r="B1769" s="1393">
        <v>10</v>
      </c>
      <c r="C1769" s="1324" t="s">
        <v>5667</v>
      </c>
      <c r="D1769" s="1324"/>
      <c r="E1769" s="1421">
        <f>+IF(ISBLANK(REPORTS!F1425),"",REPORTS!F1425)</f>
        <v>13492110.214790912</v>
      </c>
      <c r="F1769" s="1421">
        <f>+IF(ISBLANK(REPORTS!G1425),"",REPORTS!G1425)</f>
        <v>74031.718711794587</v>
      </c>
      <c r="G1769" s="1421">
        <f>+IF(ISBLANK(REPORTS!H1425),"",REPORTS!H1425)</f>
        <v>13418078.496079115</v>
      </c>
      <c r="H1769" s="1374">
        <f>+IF(ISBLANK(REPORTS!I1425),"",REPORTS!I1425)</f>
        <v>0.99451296220285546</v>
      </c>
    </row>
    <row r="1770" spans="1:8">
      <c r="A1770" s="1751"/>
      <c r="B1770" s="1393">
        <v>11</v>
      </c>
      <c r="C1770" s="1324"/>
      <c r="D1770" s="1324"/>
      <c r="E1770" s="1324" t="str">
        <f>+IF(ISBLANK(REPORTS!F1426),"",REPORTS!F1426)</f>
        <v/>
      </c>
      <c r="F1770" s="1324" t="str">
        <f>+IF(ISBLANK(REPORTS!G1426),"",REPORTS!G1426)</f>
        <v/>
      </c>
      <c r="G1770" s="1324" t="str">
        <f>+IF(ISBLANK(REPORTS!H1426),"",REPORTS!H1426)</f>
        <v/>
      </c>
      <c r="H1770" s="1374" t="str">
        <f>+IF(ISBLANK(REPORTS!I1426),"",REPORTS!I1426)</f>
        <v/>
      </c>
    </row>
    <row r="1771" spans="1:8">
      <c r="A1771" s="1760"/>
      <c r="B1771" s="1393">
        <v>12</v>
      </c>
      <c r="C1771" s="1362" t="s">
        <v>5777</v>
      </c>
      <c r="D1771" s="1324"/>
      <c r="E1771" s="1324" t="str">
        <f>+IF(ISBLANK(REPORTS!F1427),"",REPORTS!F1427)</f>
        <v/>
      </c>
      <c r="F1771" s="1324" t="str">
        <f>+IF(ISBLANK(REPORTS!G1427),"",REPORTS!G1427)</f>
        <v/>
      </c>
      <c r="G1771" s="1324" t="str">
        <f>+IF(ISBLANK(REPORTS!H1427),"",REPORTS!H1427)</f>
        <v/>
      </c>
      <c r="H1771" s="1374" t="str">
        <f>+IF(ISBLANK(REPORTS!I1427),"",REPORTS!I1427)</f>
        <v/>
      </c>
    </row>
    <row r="1772" spans="1:8">
      <c r="A1772" s="1760"/>
      <c r="B1772" s="1393">
        <v>13</v>
      </c>
      <c r="C1772" s="1324" t="s">
        <v>5265</v>
      </c>
      <c r="D1772" s="1324" t="s">
        <v>4067</v>
      </c>
      <c r="E1772" s="1324">
        <f>+IF(ISBLANK(REPORTS!F1428),"",REPORTS!F1428)</f>
        <v>26353.446</v>
      </c>
      <c r="F1772" s="1324">
        <f>+IF(ISBLANK(REPORTS!G1428),"",REPORTS!G1428)</f>
        <v>0</v>
      </c>
      <c r="G1772" s="1324">
        <f>+IF(ISBLANK(REPORTS!H1428),"",REPORTS!H1428)</f>
        <v>26353.446</v>
      </c>
      <c r="H1772" s="1374">
        <f>+IF(ISBLANK(REPORTS!I1428),"",REPORTS!I1428)</f>
        <v>1</v>
      </c>
    </row>
    <row r="1773" spans="1:8">
      <c r="A1773" s="1752"/>
      <c r="B1773" s="1393">
        <v>14</v>
      </c>
      <c r="C1773" s="1324" t="s">
        <v>5265</v>
      </c>
      <c r="D1773" s="1324" t="s">
        <v>2067</v>
      </c>
      <c r="E1773" s="1364">
        <f>+IF(ISBLANK(REPORTS!F1429),"",REPORTS!F1429)</f>
        <v>0</v>
      </c>
      <c r="F1773" s="1364">
        <f>+IF(ISBLANK(REPORTS!G1429),"",REPORTS!G1429)</f>
        <v>0</v>
      </c>
      <c r="G1773" s="1364">
        <f>+IF(ISBLANK(REPORTS!H1429),"",REPORTS!H1429)</f>
        <v>0</v>
      </c>
      <c r="H1773" s="1374">
        <f>+IF(ISBLANK(REPORTS!I1429),"",REPORTS!I1429)</f>
        <v>0</v>
      </c>
    </row>
    <row r="1774" spans="1:8">
      <c r="A1774" s="1752"/>
      <c r="B1774" s="1393">
        <v>15</v>
      </c>
      <c r="C1774" s="1324" t="s">
        <v>5268</v>
      </c>
      <c r="D1774" s="1324" t="s">
        <v>4067</v>
      </c>
      <c r="E1774" s="1364">
        <f>+IF(ISBLANK(REPORTS!F1430),"",REPORTS!F1430)</f>
        <v>11373.125945033229</v>
      </c>
      <c r="F1774" s="1364">
        <f>+IF(ISBLANK(REPORTS!G1430),"",REPORTS!G1430)</f>
        <v>736.82907250420544</v>
      </c>
      <c r="G1774" s="1364">
        <f>+IF(ISBLANK(REPORTS!H1430),"",REPORTS!H1430)</f>
        <v>10636.296872529023</v>
      </c>
      <c r="H1774" s="1374">
        <f>+IF(ISBLANK(REPORTS!I1430),"",REPORTS!I1430)</f>
        <v>0.93521314403222733</v>
      </c>
    </row>
    <row r="1775" spans="1:8">
      <c r="A1775" s="1752"/>
      <c r="B1775" s="1393">
        <v>16</v>
      </c>
      <c r="C1775" s="1324" t="s">
        <v>5239</v>
      </c>
      <c r="D1775" s="1324" t="s">
        <v>4067</v>
      </c>
      <c r="E1775" s="1364">
        <f>+IF(ISBLANK(REPORTS!F1431),"",REPORTS!F1431)</f>
        <v>11177.485054966772</v>
      </c>
      <c r="F1775" s="1364">
        <f>+IF(ISBLANK(REPORTS!G1431),"",REPORTS!G1431)</f>
        <v>724.1541143380631</v>
      </c>
      <c r="G1775" s="1364">
        <f>+IF(ISBLANK(REPORTS!H1431),"",REPORTS!H1431)</f>
        <v>10453.330940628708</v>
      </c>
      <c r="H1775" s="1374">
        <f>+IF(ISBLANK(REPORTS!I1431),"",REPORTS!I1431)</f>
        <v>0.93521314403222733</v>
      </c>
    </row>
    <row r="1776" spans="1:8">
      <c r="A1776" s="1752"/>
      <c r="B1776" s="1393">
        <v>17</v>
      </c>
      <c r="C1776" s="1324" t="s">
        <v>5240</v>
      </c>
      <c r="D1776" s="1324" t="s">
        <v>4067</v>
      </c>
      <c r="E1776" s="1364">
        <f>+IF(ISBLANK(REPORTS!F1432),"",REPORTS!F1432)</f>
        <v>20590.486000000001</v>
      </c>
      <c r="F1776" s="1364">
        <f>+IF(ISBLANK(REPORTS!G1432),"",REPORTS!G1432)</f>
        <v>0</v>
      </c>
      <c r="G1776" s="1364">
        <f>+IF(ISBLANK(REPORTS!H1432),"",REPORTS!H1432)</f>
        <v>20590.486000000001</v>
      </c>
      <c r="H1776" s="1374">
        <f>+IF(ISBLANK(REPORTS!I1432),"",REPORTS!I1432)</f>
        <v>1</v>
      </c>
    </row>
    <row r="1777" spans="1:8">
      <c r="A1777" s="1752"/>
      <c r="B1777" s="1393">
        <v>18</v>
      </c>
      <c r="C1777" s="1324" t="s">
        <v>5241</v>
      </c>
      <c r="D1777" s="1324" t="s">
        <v>4067</v>
      </c>
      <c r="E1777" s="1364">
        <f>+IF(ISBLANK(REPORTS!F1433),"",REPORTS!F1433)</f>
        <v>0</v>
      </c>
      <c r="F1777" s="1364">
        <f>+IF(ISBLANK(REPORTS!G1433),"",REPORTS!G1433)</f>
        <v>0</v>
      </c>
      <c r="G1777" s="1364">
        <f>+IF(ISBLANK(REPORTS!H1433),"",REPORTS!H1433)</f>
        <v>0</v>
      </c>
      <c r="H1777" s="1374">
        <f>+IF(ISBLANK(REPORTS!I1433),"",REPORTS!I1433)</f>
        <v>0</v>
      </c>
    </row>
    <row r="1778" spans="1:8">
      <c r="A1778" s="1752"/>
      <c r="B1778" s="1393">
        <v>19</v>
      </c>
      <c r="C1778" s="1324" t="s">
        <v>5242</v>
      </c>
      <c r="D1778" s="1324" t="s">
        <v>4071</v>
      </c>
      <c r="E1778" s="1364">
        <f>+IF(ISBLANK(REPORTS!F1434),"",REPORTS!F1434)</f>
        <v>0</v>
      </c>
      <c r="F1778" s="1364">
        <f>+IF(ISBLANK(REPORTS!G1434),"",REPORTS!G1434)</f>
        <v>0</v>
      </c>
      <c r="G1778" s="1364">
        <f>+IF(ISBLANK(REPORTS!H1434),"",REPORTS!H1434)</f>
        <v>0</v>
      </c>
      <c r="H1778" s="1374">
        <f>+IF(ISBLANK(REPORTS!I1434),"",REPORTS!I1434)</f>
        <v>0</v>
      </c>
    </row>
    <row r="1779" spans="1:8">
      <c r="A1779" s="1752"/>
      <c r="B1779" s="1393">
        <v>20</v>
      </c>
      <c r="C1779" s="1324" t="s">
        <v>5244</v>
      </c>
      <c r="D1779" s="1324" t="s">
        <v>4071</v>
      </c>
      <c r="E1779" s="1364">
        <f>+IF(ISBLANK(REPORTS!F1435),"",REPORTS!F1435)</f>
        <v>0</v>
      </c>
      <c r="F1779" s="1366">
        <f>+IF(ISBLANK(REPORTS!G1435),"",REPORTS!G1435)</f>
        <v>0</v>
      </c>
      <c r="G1779" s="1366">
        <f>+IF(ISBLANK(REPORTS!H1435),"",REPORTS!H1435)</f>
        <v>0</v>
      </c>
      <c r="H1779" s="1374">
        <f>+IF(ISBLANK(REPORTS!I1435),"",REPORTS!I1435)</f>
        <v>0</v>
      </c>
    </row>
    <row r="1780" spans="1:8" ht="28.2">
      <c r="A1780" s="1753" t="s">
        <v>5143</v>
      </c>
      <c r="B1780" s="1393">
        <v>21</v>
      </c>
      <c r="C1780" s="1324" t="s">
        <v>5672</v>
      </c>
      <c r="D1780" s="1324"/>
      <c r="E1780" s="1421">
        <f>+IF(ISBLANK(REPORTS!F1436),"",REPORTS!F1436)</f>
        <v>69494.543000000005</v>
      </c>
      <c r="F1780" s="1421">
        <f>+IF(ISBLANK(REPORTS!G1436),"",REPORTS!G1436)</f>
        <v>1460.9831868422684</v>
      </c>
      <c r="G1780" s="1421">
        <f>+IF(ISBLANK(REPORTS!H1436),"",REPORTS!H1436)</f>
        <v>68033.559813157728</v>
      </c>
      <c r="H1780" s="1374">
        <f>+IF(ISBLANK(REPORTS!I1436),"",REPORTS!I1436)</f>
        <v>0.97897700849918134</v>
      </c>
    </row>
    <row r="1781" spans="1:8">
      <c r="A1781" s="1752"/>
      <c r="B1781" s="1393">
        <v>22</v>
      </c>
      <c r="C1781" s="1324"/>
      <c r="D1781" s="1324"/>
      <c r="E1781" s="1324" t="str">
        <f>+IF(ISBLANK(REPORTS!F1437),"",REPORTS!F1437)</f>
        <v/>
      </c>
      <c r="F1781" s="1324" t="str">
        <f>+IF(ISBLANK(REPORTS!G1437),"",REPORTS!G1437)</f>
        <v/>
      </c>
      <c r="G1781" s="1324" t="str">
        <f>+IF(ISBLANK(REPORTS!H1437),"",REPORTS!H1437)</f>
        <v/>
      </c>
      <c r="H1781" s="1374" t="str">
        <f>+IF(ISBLANK(REPORTS!I1437),"",REPORTS!I1437)</f>
        <v/>
      </c>
    </row>
    <row r="1782" spans="1:8">
      <c r="A1782" s="1752"/>
      <c r="B1782" s="1393">
        <v>23</v>
      </c>
      <c r="C1782" s="1362" t="s">
        <v>5786</v>
      </c>
      <c r="D1782" s="1324"/>
      <c r="E1782" s="1324" t="str">
        <f>+IF(ISBLANK(REPORTS!F1438),"",REPORTS!F1438)</f>
        <v/>
      </c>
      <c r="F1782" s="1324" t="str">
        <f>+IF(ISBLANK(REPORTS!G1438),"",REPORTS!G1438)</f>
        <v/>
      </c>
      <c r="G1782" s="1324" t="str">
        <f>+IF(ISBLANK(REPORTS!H1438),"",REPORTS!H1438)</f>
        <v/>
      </c>
      <c r="H1782" s="1374" t="str">
        <f>+IF(ISBLANK(REPORTS!I1438),"",REPORTS!I1438)</f>
        <v/>
      </c>
    </row>
    <row r="1783" spans="1:8">
      <c r="A1783" s="1752"/>
      <c r="B1783" s="1393">
        <v>24</v>
      </c>
      <c r="C1783" s="1324" t="s">
        <v>5265</v>
      </c>
      <c r="D1783" s="1324" t="s">
        <v>4067</v>
      </c>
      <c r="E1783" s="1324">
        <f>+IF(ISBLANK(REPORTS!F1439),"",REPORTS!F1439)</f>
        <v>7225506.9599943599</v>
      </c>
      <c r="F1783" s="1324">
        <f>+IF(ISBLANK(REPORTS!G1439),"",REPORTS!G1439)</f>
        <v>0</v>
      </c>
      <c r="G1783" s="1324">
        <f>+IF(ISBLANK(REPORTS!H1439),"",REPORTS!H1439)</f>
        <v>7225506.9599943599</v>
      </c>
      <c r="H1783" s="1374">
        <f>+IF(ISBLANK(REPORTS!I1439),"",REPORTS!I1439)</f>
        <v>1</v>
      </c>
    </row>
    <row r="1784" spans="1:8">
      <c r="A1784" s="1752"/>
      <c r="B1784" s="1393">
        <v>25</v>
      </c>
      <c r="C1784" s="1324" t="s">
        <v>5265</v>
      </c>
      <c r="D1784" s="1324" t="s">
        <v>2067</v>
      </c>
      <c r="E1784" s="1324">
        <f>+IF(ISBLANK(REPORTS!F1440),"",REPORTS!F1440)</f>
        <v>680548.35013101739</v>
      </c>
      <c r="F1784" s="1324">
        <f>+IF(ISBLANK(REPORTS!G1440),"",REPORTS!G1440)</f>
        <v>0</v>
      </c>
      <c r="G1784" s="1324">
        <f>+IF(ISBLANK(REPORTS!H1440),"",REPORTS!H1440)</f>
        <v>680548.35013101739</v>
      </c>
      <c r="H1784" s="1374">
        <f>+IF(ISBLANK(REPORTS!I1440),"",REPORTS!I1440)</f>
        <v>1</v>
      </c>
    </row>
    <row r="1785" spans="1:8">
      <c r="A1785" s="1752"/>
      <c r="B1785" s="1393">
        <v>26</v>
      </c>
      <c r="C1785" s="1324" t="s">
        <v>5268</v>
      </c>
      <c r="D1785" s="1324" t="s">
        <v>4067</v>
      </c>
      <c r="E1785" s="1324">
        <f>+IF(ISBLANK(REPORTS!F1441),"",REPORTS!F1441)</f>
        <v>570453.0494615928</v>
      </c>
      <c r="F1785" s="1324">
        <f>+IF(ISBLANK(REPORTS!G1441),"",REPORTS!G1441)</f>
        <v>36957.859551844871</v>
      </c>
      <c r="G1785" s="1324">
        <f>+IF(ISBLANK(REPORTS!H1441),"",REPORTS!H1441)</f>
        <v>533495.1899097478</v>
      </c>
      <c r="H1785" s="1374">
        <f>+IF(ISBLANK(REPORTS!I1441),"",REPORTS!I1441)</f>
        <v>0.93521314403222722</v>
      </c>
    </row>
    <row r="1786" spans="1:8">
      <c r="A1786" s="1752"/>
      <c r="B1786" s="1393">
        <v>27</v>
      </c>
      <c r="C1786" s="1324" t="s">
        <v>5239</v>
      </c>
      <c r="D1786" s="1324" t="s">
        <v>4067</v>
      </c>
      <c r="E1786" s="1324">
        <f>+IF(ISBLANK(REPORTS!F1442),"",REPORTS!F1442)</f>
        <v>594794.14105170744</v>
      </c>
      <c r="F1786" s="1324">
        <f>+IF(ISBLANK(REPORTS!G1442),"",REPORTS!G1442)</f>
        <v>38534.842346791978</v>
      </c>
      <c r="G1786" s="1324">
        <f>+IF(ISBLANK(REPORTS!H1442),"",REPORTS!H1442)</f>
        <v>556259.29870491521</v>
      </c>
      <c r="H1786" s="1374">
        <f>+IF(ISBLANK(REPORTS!I1442),"",REPORTS!I1442)</f>
        <v>0.935213144032227</v>
      </c>
    </row>
    <row r="1787" spans="1:8">
      <c r="A1787" s="1752"/>
      <c r="B1787" s="1393">
        <v>28</v>
      </c>
      <c r="C1787" s="1324" t="s">
        <v>5240</v>
      </c>
      <c r="D1787" s="1324" t="s">
        <v>4067</v>
      </c>
      <c r="E1787" s="1324">
        <f>+IF(ISBLANK(REPORTS!F1443),"",REPORTS!F1443)</f>
        <v>2159330.6161561045</v>
      </c>
      <c r="F1787" s="1324">
        <f>+IF(ISBLANK(REPORTS!G1443),"",REPORTS!G1443)</f>
        <v>0</v>
      </c>
      <c r="G1787" s="1324">
        <f>+IF(ISBLANK(REPORTS!H1443),"",REPORTS!H1443)</f>
        <v>2159330.6161561045</v>
      </c>
      <c r="H1787" s="1374">
        <f>+IF(ISBLANK(REPORTS!I1443),"",REPORTS!I1443)</f>
        <v>1</v>
      </c>
    </row>
    <row r="1788" spans="1:8">
      <c r="A1788" s="1752"/>
      <c r="B1788" s="1393">
        <v>29</v>
      </c>
      <c r="C1788" s="1324" t="s">
        <v>5241</v>
      </c>
      <c r="D1788" s="1324" t="s">
        <v>4067</v>
      </c>
      <c r="E1788" s="1324">
        <f>+IF(ISBLANK(REPORTS!F1444),"",REPORTS!F1444)</f>
        <v>1074798.1721466575</v>
      </c>
      <c r="F1788" s="1324">
        <f>+IF(ISBLANK(REPORTS!G1444),"",REPORTS!G1444)</f>
        <v>0</v>
      </c>
      <c r="G1788" s="1324">
        <f>+IF(ISBLANK(REPORTS!H1444),"",REPORTS!H1444)</f>
        <v>1074798.1721466575</v>
      </c>
      <c r="H1788" s="1374">
        <f>+IF(ISBLANK(REPORTS!I1444),"",REPORTS!I1444)</f>
        <v>1</v>
      </c>
    </row>
    <row r="1789" spans="1:8">
      <c r="A1789" s="1752"/>
      <c r="B1789" s="1393">
        <v>30</v>
      </c>
      <c r="C1789" s="1324" t="s">
        <v>5242</v>
      </c>
      <c r="D1789" s="1324" t="s">
        <v>4071</v>
      </c>
      <c r="E1789" s="1324">
        <f>+IF(ISBLANK(REPORTS!F1445),"",REPORTS!F1445)</f>
        <v>1011029.5953512132</v>
      </c>
      <c r="F1789" s="1324">
        <f>+IF(ISBLANK(REPORTS!G1445),"",REPORTS!G1445)</f>
        <v>0</v>
      </c>
      <c r="G1789" s="1324">
        <f>+IF(ISBLANK(REPORTS!H1445),"",REPORTS!H1445)</f>
        <v>1011029.5953512132</v>
      </c>
      <c r="H1789" s="1374">
        <f>+IF(ISBLANK(REPORTS!I1445),"",REPORTS!I1445)</f>
        <v>1</v>
      </c>
    </row>
    <row r="1790" spans="1:8">
      <c r="A1790" s="1752"/>
      <c r="B1790" s="1393">
        <v>31</v>
      </c>
      <c r="C1790" s="1324" t="s">
        <v>5244</v>
      </c>
      <c r="D1790" s="1324" t="s">
        <v>4071</v>
      </c>
      <c r="E1790" s="1324">
        <f>+IF(ISBLANK(REPORTS!F1446),"",REPORTS!F1446)</f>
        <v>245143.87349825987</v>
      </c>
      <c r="F1790" s="1324">
        <f>+IF(ISBLANK(REPORTS!G1446),"",REPORTS!G1446)</f>
        <v>0</v>
      </c>
      <c r="G1790" s="1324">
        <f>+IF(ISBLANK(REPORTS!H1446),"",REPORTS!H1446)</f>
        <v>245143.87349825987</v>
      </c>
      <c r="H1790" s="1374">
        <f>+IF(ISBLANK(REPORTS!I1446),"",REPORTS!I1446)</f>
        <v>1</v>
      </c>
    </row>
    <row r="1791" spans="1:8">
      <c r="A1791" s="1752"/>
      <c r="B1791" s="1393">
        <v>32</v>
      </c>
      <c r="C1791" s="1324" t="s">
        <v>4187</v>
      </c>
      <c r="D1791" s="1324"/>
      <c r="E1791" s="1421">
        <f>+IF(ISBLANK(REPORTS!F1447),"",REPORTS!F1447)</f>
        <v>13561604.757790912</v>
      </c>
      <c r="F1791" s="1421">
        <f>+IF(ISBLANK(REPORTS!G1447),"",REPORTS!G1447)</f>
        <v>75492.701898636849</v>
      </c>
      <c r="G1791" s="1421">
        <f>+IF(ISBLANK(REPORTS!H1447),"",REPORTS!H1447)</f>
        <v>13486112.055892276</v>
      </c>
      <c r="H1791" s="1374">
        <f>+IF(ISBLANK(REPORTS!I1447),"",REPORTS!I1447)</f>
        <v>0.99443335038537628</v>
      </c>
    </row>
    <row r="1792" spans="1:8">
      <c r="A1792" s="1752"/>
      <c r="B1792" s="1393">
        <v>33</v>
      </c>
      <c r="C1792" s="1324"/>
      <c r="D1792" s="1324"/>
      <c r="E1792" s="1324" t="str">
        <f>+IF(ISBLANK(REPORTS!F1448),"",REPORTS!F1448)</f>
        <v/>
      </c>
      <c r="F1792" s="1324" t="str">
        <f>+IF(ISBLANK(REPORTS!G1448),"",REPORTS!G1448)</f>
        <v/>
      </c>
      <c r="G1792" s="1324" t="str">
        <f>+IF(ISBLANK(REPORTS!H1448),"",REPORTS!H1448)</f>
        <v/>
      </c>
      <c r="H1792" s="1374" t="str">
        <f>+IF(ISBLANK(REPORTS!I1448),"",REPORTS!I1448)</f>
        <v/>
      </c>
    </row>
    <row r="1793" spans="1:8">
      <c r="A1793" s="1752"/>
      <c r="B1793" s="1393">
        <v>34</v>
      </c>
      <c r="C1793" s="1362" t="s">
        <v>5795</v>
      </c>
      <c r="D1793" s="1324"/>
      <c r="E1793" s="1324" t="str">
        <f>+IF(ISBLANK(REPORTS!F1449),"",REPORTS!F1449)</f>
        <v/>
      </c>
      <c r="F1793" s="1324" t="str">
        <f>+IF(ISBLANK(REPORTS!G1449),"",REPORTS!G1449)</f>
        <v/>
      </c>
      <c r="G1793" s="1324" t="str">
        <f>+IF(ISBLANK(REPORTS!H1449),"",REPORTS!H1449)</f>
        <v/>
      </c>
      <c r="H1793" s="1374" t="str">
        <f>+IF(ISBLANK(REPORTS!I1449),"",REPORTS!I1449)</f>
        <v/>
      </c>
    </row>
    <row r="1794" spans="1:8">
      <c r="A1794" s="1752"/>
      <c r="B1794" s="1393">
        <v>35</v>
      </c>
      <c r="C1794" s="1324" t="s">
        <v>5265</v>
      </c>
      <c r="D1794" s="1324" t="s">
        <v>4067</v>
      </c>
      <c r="E1794" s="1324">
        <f>+IF(ISBLANK(REPORTS!F1450),"",REPORTS!F1450)</f>
        <v>1928412.7989641612</v>
      </c>
      <c r="F1794" s="1324">
        <f>+IF(ISBLANK(REPORTS!G1450),"",REPORTS!G1450)</f>
        <v>0</v>
      </c>
      <c r="G1794" s="1324">
        <f>+IF(ISBLANK(REPORTS!H1450),"",REPORTS!H1450)</f>
        <v>1928412.7989641612</v>
      </c>
      <c r="H1794" s="1374">
        <f>+IF(ISBLANK(REPORTS!I1450),"",REPORTS!I1450)</f>
        <v>1</v>
      </c>
    </row>
    <row r="1795" spans="1:8">
      <c r="A1795" s="1752"/>
      <c r="B1795" s="1393">
        <v>36</v>
      </c>
      <c r="C1795" s="1324" t="s">
        <v>5265</v>
      </c>
      <c r="D1795" s="1324" t="s">
        <v>2067</v>
      </c>
      <c r="E1795" s="1324">
        <f>+IF(ISBLANK(REPORTS!F1451),"",REPORTS!F1451)</f>
        <v>322619.66777948913</v>
      </c>
      <c r="F1795" s="1324">
        <f>+IF(ISBLANK(REPORTS!G1451),"",REPORTS!G1451)</f>
        <v>0</v>
      </c>
      <c r="G1795" s="1324">
        <f>+IF(ISBLANK(REPORTS!H1451),"",REPORTS!H1451)</f>
        <v>322619.66777948913</v>
      </c>
      <c r="H1795" s="1374">
        <f>+IF(ISBLANK(REPORTS!I1451),"",REPORTS!I1451)</f>
        <v>1</v>
      </c>
    </row>
    <row r="1796" spans="1:8">
      <c r="A1796" s="1752"/>
      <c r="B1796" s="1393">
        <v>37</v>
      </c>
      <c r="C1796" s="1324" t="s">
        <v>5268</v>
      </c>
      <c r="D1796" s="1324" t="s">
        <v>4067</v>
      </c>
      <c r="E1796" s="1324">
        <f>+IF(ISBLANK(REPORTS!F1452),"",REPORTS!F1452)</f>
        <v>149714.92348754551</v>
      </c>
      <c r="F1796" s="1324">
        <f>+IF(ISBLANK(REPORTS!G1452),"",REPORTS!G1452)</f>
        <v>9699.5591842137055</v>
      </c>
      <c r="G1796" s="1324">
        <f>+IF(ISBLANK(REPORTS!H1452),"",REPORTS!H1452)</f>
        <v>140015.36430333179</v>
      </c>
      <c r="H1796" s="1374">
        <f>+IF(ISBLANK(REPORTS!I1452),"",REPORTS!I1452)</f>
        <v>0.93521314403222733</v>
      </c>
    </row>
    <row r="1797" spans="1:8">
      <c r="A1797" s="1752"/>
      <c r="B1797" s="1393">
        <v>38</v>
      </c>
      <c r="C1797" s="1324" t="s">
        <v>5239</v>
      </c>
      <c r="D1797" s="1324" t="s">
        <v>4067</v>
      </c>
      <c r="E1797" s="1324">
        <f>+IF(ISBLANK(REPORTS!F1453),"",REPORTS!F1453)</f>
        <v>140304.38999998066</v>
      </c>
      <c r="F1797" s="1324">
        <f>+IF(ISBLANK(REPORTS!G1453),"",REPORTS!G1453)</f>
        <v>9089.8803065749416</v>
      </c>
      <c r="G1797" s="1324">
        <f>+IF(ISBLANK(REPORTS!H1453),"",REPORTS!H1453)</f>
        <v>131214.50969340571</v>
      </c>
      <c r="H1797" s="1374">
        <f>+IF(ISBLANK(REPORTS!I1453),"",REPORTS!I1453)</f>
        <v>0.93521314403222733</v>
      </c>
    </row>
    <row r="1798" spans="1:8">
      <c r="A1798" s="1752"/>
      <c r="B1798" s="1393">
        <v>39</v>
      </c>
      <c r="C1798" s="1324" t="s">
        <v>5240</v>
      </c>
      <c r="D1798" s="1324" t="s">
        <v>4067</v>
      </c>
      <c r="E1798" s="1324">
        <f>+IF(ISBLANK(REPORTS!F1454),"",REPORTS!F1454)</f>
        <v>646089.35097835469</v>
      </c>
      <c r="F1798" s="1324">
        <f>+IF(ISBLANK(REPORTS!G1454),"",REPORTS!G1454)</f>
        <v>0</v>
      </c>
      <c r="G1798" s="1324">
        <f>+IF(ISBLANK(REPORTS!H1454),"",REPORTS!H1454)</f>
        <v>646089.35097835469</v>
      </c>
      <c r="H1798" s="1374">
        <f>+IF(ISBLANK(REPORTS!I1454),"",REPORTS!I1454)</f>
        <v>1</v>
      </c>
    </row>
    <row r="1799" spans="1:8">
      <c r="A1799" s="1752"/>
      <c r="B1799" s="1393">
        <v>40</v>
      </c>
      <c r="C1799" s="1324" t="s">
        <v>5241</v>
      </c>
      <c r="D1799" s="1324" t="s">
        <v>4067</v>
      </c>
      <c r="E1799" s="1324">
        <f>+IF(ISBLANK(REPORTS!F1455),"",REPORTS!F1455)</f>
        <v>401759.43460946128</v>
      </c>
      <c r="F1799" s="1324">
        <f>+IF(ISBLANK(REPORTS!G1455),"",REPORTS!G1455)</f>
        <v>0</v>
      </c>
      <c r="G1799" s="1324">
        <f>+IF(ISBLANK(REPORTS!H1455),"",REPORTS!H1455)</f>
        <v>401759.43460946128</v>
      </c>
      <c r="H1799" s="1374">
        <f>+IF(ISBLANK(REPORTS!I1455),"",REPORTS!I1455)</f>
        <v>1</v>
      </c>
    </row>
    <row r="1800" spans="1:8">
      <c r="A1800" s="1752"/>
      <c r="B1800" s="1393">
        <v>41</v>
      </c>
      <c r="C1800" s="1324" t="s">
        <v>5242</v>
      </c>
      <c r="D1800" s="1324" t="s">
        <v>4071</v>
      </c>
      <c r="E1800" s="1324">
        <f>+IF(ISBLANK(REPORTS!F1456),"",REPORTS!F1456)</f>
        <v>367572.06014171452</v>
      </c>
      <c r="F1800" s="1324">
        <f>+IF(ISBLANK(REPORTS!G1456),"",REPORTS!G1456)</f>
        <v>0</v>
      </c>
      <c r="G1800" s="1324">
        <f>+IF(ISBLANK(REPORTS!H1456),"",REPORTS!H1456)</f>
        <v>367572.06014171452</v>
      </c>
      <c r="H1800" s="1374">
        <f>+IF(ISBLANK(REPORTS!I1456),"",REPORTS!I1456)</f>
        <v>1</v>
      </c>
    </row>
    <row r="1801" spans="1:8">
      <c r="A1801" s="1752"/>
      <c r="B1801" s="1393">
        <v>42</v>
      </c>
      <c r="C1801" s="1324" t="s">
        <v>5244</v>
      </c>
      <c r="D1801" s="1324" t="s">
        <v>4071</v>
      </c>
      <c r="E1801" s="1324">
        <f>+IF(ISBLANK(REPORTS!F1457),"",REPORTS!F1457)</f>
        <v>67123.870702369808</v>
      </c>
      <c r="F1801" s="1366">
        <f>+IF(ISBLANK(REPORTS!G1457),"",REPORTS!G1457)</f>
        <v>0</v>
      </c>
      <c r="G1801" s="1366">
        <f>+IF(ISBLANK(REPORTS!H1457),"",REPORTS!H1457)</f>
        <v>67123.870702369808</v>
      </c>
      <c r="H1801" s="1374">
        <f>+IF(ISBLANK(REPORTS!I1457),"",REPORTS!I1457)</f>
        <v>1</v>
      </c>
    </row>
    <row r="1802" spans="1:8">
      <c r="A1802" s="1752"/>
      <c r="B1802" s="1393">
        <v>43</v>
      </c>
      <c r="C1802" s="1324" t="s">
        <v>5804</v>
      </c>
      <c r="D1802" s="1324"/>
      <c r="E1802" s="1421">
        <f>+IF(ISBLANK(REPORTS!F1458),"",REPORTS!F1458)</f>
        <v>4023596.4966630763</v>
      </c>
      <c r="F1802" s="1421">
        <f>+IF(ISBLANK(REPORTS!G1458),"",REPORTS!G1458)</f>
        <v>18789.439490788645</v>
      </c>
      <c r="G1802" s="1421">
        <f>+IF(ISBLANK(REPORTS!H1458),"",REPORTS!H1458)</f>
        <v>4004807.0571722877</v>
      </c>
      <c r="H1802" s="1374">
        <f>+IF(ISBLANK(REPORTS!I1458),"",REPORTS!I1458)</f>
        <v>0.99533018792854322</v>
      </c>
    </row>
    <row r="1803" spans="1:8">
      <c r="A1803" s="1752"/>
    </row>
    <row r="1804" spans="1:8">
      <c r="A1804" s="1752"/>
    </row>
    <row r="1805" spans="1:8">
      <c r="A1805" s="1751"/>
    </row>
    <row r="1806" spans="1:8">
      <c r="A1806" s="1751"/>
    </row>
    <row r="1807" spans="1:8">
      <c r="A1807" s="1751"/>
    </row>
    <row r="1808" spans="1:8">
      <c r="A1808" s="1751"/>
    </row>
    <row r="1809" spans="1:8">
      <c r="A1809" s="1752"/>
      <c r="B1809" s="1416" t="str">
        <f>+$B$1</f>
        <v>RATES WITH REVENUE DEFICIENCY ADDITION</v>
      </c>
      <c r="C1809" s="1324"/>
      <c r="D1809" s="1324"/>
      <c r="E1809" s="1336"/>
      <c r="F1809" s="1329" t="s">
        <v>2173</v>
      </c>
      <c r="G1809" s="1324"/>
      <c r="H1809" s="1334" t="s">
        <v>5956</v>
      </c>
    </row>
    <row r="1810" spans="1:8">
      <c r="A1810" s="1752"/>
      <c r="B1810" s="1416" t="str">
        <f>+$B$2</f>
        <v xml:space="preserve">PROD. CAP. ALLOC. METHOD: 12 CP </v>
      </c>
      <c r="C1810" s="1324"/>
      <c r="D1810" s="1324"/>
      <c r="E1810" s="1324"/>
      <c r="F1810" s="1336" t="s">
        <v>4768</v>
      </c>
      <c r="G1810" s="1324"/>
      <c r="H1810" s="1731" t="s">
        <v>4959</v>
      </c>
    </row>
    <row r="1811" spans="1:8">
      <c r="A1811" s="1752"/>
      <c r="B1811" s="1416" t="str">
        <f>+$B$3</f>
        <v>PROJECTED CALENDAR YEAR 2025; FULLY ADJUSTED DATA</v>
      </c>
      <c r="C1811" s="1324"/>
      <c r="D1811" s="1324"/>
      <c r="E1811" s="1324"/>
      <c r="F1811" s="1336" t="s">
        <v>2181</v>
      </c>
      <c r="G1811" s="1324"/>
      <c r="H1811" s="1374"/>
    </row>
    <row r="1812" spans="1:8">
      <c r="A1812" s="1752"/>
      <c r="B1812" s="1732">
        <f>+$B$4</f>
        <v>0</v>
      </c>
      <c r="C1812" s="1364"/>
      <c r="D1812" s="1324"/>
      <c r="E1812" s="1324"/>
      <c r="F1812" s="1324"/>
      <c r="G1812" s="1324"/>
      <c r="H1812" s="1374"/>
    </row>
    <row r="1813" spans="1:8">
      <c r="A1813" s="1752"/>
      <c r="B1813" s="1732" t="str">
        <f>+$B$5</f>
        <v>Tampa Electric 2025 OB Budget</v>
      </c>
      <c r="C1813" s="1324"/>
      <c r="D1813" s="1324"/>
      <c r="E1813" s="1329"/>
      <c r="F1813" s="1336" t="s">
        <v>5766</v>
      </c>
      <c r="G1813" s="1324"/>
      <c r="H1813" s="1374"/>
    </row>
    <row r="1814" spans="1:8">
      <c r="A1814" s="1751"/>
      <c r="B1814" s="1393"/>
      <c r="C1814" s="1324"/>
      <c r="D1814" s="1324"/>
      <c r="E1814" s="1336"/>
      <c r="F1814" s="1324"/>
      <c r="G1814" s="1324"/>
      <c r="H1814" s="1374"/>
    </row>
    <row r="1815" spans="1:8">
      <c r="A1815" s="1751"/>
      <c r="B1815" s="1393"/>
      <c r="C1815" s="1324"/>
      <c r="D1815" s="1324"/>
      <c r="E1815" s="1336"/>
      <c r="F1815" s="1324"/>
      <c r="G1815" s="1324"/>
      <c r="H1815" s="1374"/>
    </row>
    <row r="1816" spans="1:8">
      <c r="A1816" s="1751"/>
      <c r="B1816" s="1393"/>
      <c r="C1816" s="1324"/>
      <c r="D1816" s="1324"/>
      <c r="E1816" s="1324"/>
      <c r="F1816" s="1324"/>
      <c r="G1816" s="1324"/>
      <c r="H1816" s="1374"/>
    </row>
    <row r="1817" spans="1:8">
      <c r="A1817" s="1751"/>
      <c r="B1817" s="1735"/>
      <c r="C1817" s="1416"/>
      <c r="D1817" s="1416"/>
      <c r="E1817" s="1336"/>
      <c r="F1817" s="1336"/>
      <c r="G1817" s="1336"/>
      <c r="H1817" s="1736"/>
    </row>
    <row r="1818" spans="1:8" ht="28.2">
      <c r="A1818" s="1751"/>
      <c r="B1818" s="1737" t="s">
        <v>4297</v>
      </c>
      <c r="C1818" s="1741"/>
      <c r="D1818" s="1741"/>
      <c r="E1818" s="1352" t="s">
        <v>5144</v>
      </c>
      <c r="F1818" s="1352" t="s">
        <v>4956</v>
      </c>
      <c r="G1818" s="1352" t="s">
        <v>4957</v>
      </c>
      <c r="H1818" s="1742" t="s">
        <v>5145</v>
      </c>
    </row>
    <row r="1819" spans="1:8">
      <c r="A1819" s="1751"/>
      <c r="B1819" s="1393"/>
      <c r="C1819" s="1324"/>
      <c r="D1819" s="1324"/>
      <c r="E1819" s="1324"/>
      <c r="F1819" s="1324"/>
      <c r="G1819" s="1324"/>
      <c r="H1819" s="1374"/>
    </row>
    <row r="1820" spans="1:8">
      <c r="A1820" s="1751"/>
      <c r="B1820" s="1393">
        <v>44</v>
      </c>
      <c r="C1820" s="1362" t="s">
        <v>5806</v>
      </c>
      <c r="D1820" s="1324"/>
      <c r="E1820" s="1324"/>
      <c r="F1820" s="1324"/>
      <c r="G1820" s="1324"/>
      <c r="H1820" s="1374"/>
    </row>
    <row r="1821" spans="1:8">
      <c r="A1821" s="1751"/>
      <c r="B1821" s="1393">
        <v>45</v>
      </c>
      <c r="C1821" s="1324" t="s">
        <v>5265</v>
      </c>
      <c r="D1821" s="1324" t="s">
        <v>4067</v>
      </c>
      <c r="E1821" s="1324">
        <f>+IF(ISBLANK(REPORTS!F1476),"",REPORTS!F1476)</f>
        <v>5297094.1610301984</v>
      </c>
      <c r="F1821" s="1324">
        <f>+IF(ISBLANK(REPORTS!G1476),"",REPORTS!G1476)</f>
        <v>0</v>
      </c>
      <c r="G1821" s="1324">
        <f>+IF(ISBLANK(REPORTS!H1476),"",REPORTS!H1476)</f>
        <v>5297094.1610301984</v>
      </c>
      <c r="H1821" s="1374">
        <f>+IF(ISBLANK(REPORTS!I1476),"",REPORTS!I1476)</f>
        <v>1</v>
      </c>
    </row>
    <row r="1822" spans="1:8">
      <c r="A1822" s="1760"/>
      <c r="B1822" s="1393">
        <v>46</v>
      </c>
      <c r="C1822" s="1324" t="s">
        <v>5265</v>
      </c>
      <c r="D1822" s="1324" t="s">
        <v>2067</v>
      </c>
      <c r="E1822" s="1324">
        <f>+IF(ISBLANK(REPORTS!F1477),"",REPORTS!F1477)</f>
        <v>357928.68235152826</v>
      </c>
      <c r="F1822" s="1324">
        <f>+IF(ISBLANK(REPORTS!G1477),"",REPORTS!G1477)</f>
        <v>0</v>
      </c>
      <c r="G1822" s="1324">
        <f>+IF(ISBLANK(REPORTS!H1477),"",REPORTS!H1477)</f>
        <v>357928.68235152826</v>
      </c>
      <c r="H1822" s="1374">
        <f>+IF(ISBLANK(REPORTS!I1477),"",REPORTS!I1477)</f>
        <v>1</v>
      </c>
    </row>
    <row r="1823" spans="1:8">
      <c r="A1823" s="1760"/>
      <c r="B1823" s="1393">
        <v>47</v>
      </c>
      <c r="C1823" s="1324" t="s">
        <v>5268</v>
      </c>
      <c r="D1823" s="1324" t="s">
        <v>4067</v>
      </c>
      <c r="E1823" s="1324">
        <f>+IF(ISBLANK(REPORTS!F1478),"",REPORTS!F1478)</f>
        <v>420738.12597404729</v>
      </c>
      <c r="F1823" s="1324">
        <f>+IF(ISBLANK(REPORTS!G1478),"",REPORTS!G1478)</f>
        <v>27258.300367631164</v>
      </c>
      <c r="G1823" s="1324">
        <f>+IF(ISBLANK(REPORTS!H1478),"",REPORTS!H1478)</f>
        <v>393479.82560641598</v>
      </c>
      <c r="H1823" s="1374">
        <f>+IF(ISBLANK(REPORTS!I1478),"",REPORTS!I1478)</f>
        <v>0.93521314403222711</v>
      </c>
    </row>
    <row r="1824" spans="1:8">
      <c r="A1824" s="1752"/>
      <c r="B1824" s="1393">
        <v>48</v>
      </c>
      <c r="C1824" s="1324" t="s">
        <v>5239</v>
      </c>
      <c r="D1824" s="1324" t="s">
        <v>4067</v>
      </c>
      <c r="E1824" s="1324">
        <f>+IF(ISBLANK(REPORTS!F1479),"",REPORTS!F1479)</f>
        <v>454489.75105172675</v>
      </c>
      <c r="F1824" s="1324">
        <f>+IF(ISBLANK(REPORTS!G1479),"",REPORTS!G1479)</f>
        <v>29444.962040217037</v>
      </c>
      <c r="G1824" s="1324">
        <f>+IF(ISBLANK(REPORTS!H1479),"",REPORTS!H1479)</f>
        <v>425044.78901150951</v>
      </c>
      <c r="H1824" s="1374">
        <f>+IF(ISBLANK(REPORTS!I1479),"",REPORTS!I1479)</f>
        <v>0.935213144032227</v>
      </c>
    </row>
    <row r="1825" spans="1:8">
      <c r="A1825" s="1752"/>
      <c r="B1825" s="1393">
        <v>49</v>
      </c>
      <c r="C1825" s="1324" t="s">
        <v>5240</v>
      </c>
      <c r="D1825" s="1324" t="s">
        <v>4067</v>
      </c>
      <c r="E1825" s="1324">
        <f>+IF(ISBLANK(REPORTS!F1480),"",REPORTS!F1480)</f>
        <v>1513241.2651777498</v>
      </c>
      <c r="F1825" s="1324">
        <f>+IF(ISBLANK(REPORTS!G1480),"",REPORTS!G1480)</f>
        <v>0</v>
      </c>
      <c r="G1825" s="1324">
        <f>+IF(ISBLANK(REPORTS!H1480),"",REPORTS!H1480)</f>
        <v>1513241.2651777498</v>
      </c>
      <c r="H1825" s="1374">
        <f>+IF(ISBLANK(REPORTS!I1480),"",REPORTS!I1480)</f>
        <v>1</v>
      </c>
    </row>
    <row r="1826" spans="1:8">
      <c r="A1826" s="1752"/>
      <c r="B1826" s="1393">
        <v>50</v>
      </c>
      <c r="C1826" s="1324" t="s">
        <v>5241</v>
      </c>
      <c r="D1826" s="1324" t="s">
        <v>4067</v>
      </c>
      <c r="E1826" s="1324">
        <f>+IF(ISBLANK(REPORTS!F1481),"",REPORTS!F1481)</f>
        <v>673038.73753719614</v>
      </c>
      <c r="F1826" s="1324">
        <f>+IF(ISBLANK(REPORTS!G1481),"",REPORTS!G1481)</f>
        <v>0</v>
      </c>
      <c r="G1826" s="1324">
        <f>+IF(ISBLANK(REPORTS!H1481),"",REPORTS!H1481)</f>
        <v>673038.73753719614</v>
      </c>
      <c r="H1826" s="1374">
        <f>+IF(ISBLANK(REPORTS!I1481),"",REPORTS!I1481)</f>
        <v>1</v>
      </c>
    </row>
    <row r="1827" spans="1:8">
      <c r="A1827" s="1752"/>
      <c r="B1827" s="1393">
        <v>51</v>
      </c>
      <c r="C1827" s="1324" t="s">
        <v>5242</v>
      </c>
      <c r="D1827" s="1324" t="s">
        <v>4071</v>
      </c>
      <c r="E1827" s="1324">
        <f>+IF(ISBLANK(REPORTS!F1482),"",REPORTS!F1482)</f>
        <v>643457.53520949872</v>
      </c>
      <c r="F1827" s="1324">
        <f>+IF(ISBLANK(REPORTS!G1482),"",REPORTS!G1482)</f>
        <v>0</v>
      </c>
      <c r="G1827" s="1324">
        <f>+IF(ISBLANK(REPORTS!H1482),"",REPORTS!H1482)</f>
        <v>643457.53520949872</v>
      </c>
      <c r="H1827" s="1374">
        <f>+IF(ISBLANK(REPORTS!I1482),"",REPORTS!I1482)</f>
        <v>1</v>
      </c>
    </row>
    <row r="1828" spans="1:8">
      <c r="A1828" s="1752"/>
      <c r="B1828" s="1393">
        <v>52</v>
      </c>
      <c r="C1828" s="1324" t="s">
        <v>5244</v>
      </c>
      <c r="D1828" s="1324" t="s">
        <v>4071</v>
      </c>
      <c r="E1828" s="1324">
        <f>+IF(ISBLANK(REPORTS!F1483),"",REPORTS!F1483)</f>
        <v>178020.00279589006</v>
      </c>
      <c r="F1828" s="1324">
        <f>+IF(ISBLANK(REPORTS!G1483),"",REPORTS!G1483)</f>
        <v>0</v>
      </c>
      <c r="G1828" s="1324">
        <f>+IF(ISBLANK(REPORTS!H1483),"",REPORTS!H1483)</f>
        <v>178020.00279589006</v>
      </c>
      <c r="H1828" s="1374">
        <f>+IF(ISBLANK(REPORTS!I1483),"",REPORTS!I1483)</f>
        <v>1</v>
      </c>
    </row>
    <row r="1829" spans="1:8">
      <c r="A1829" s="1752"/>
      <c r="B1829" s="1393">
        <v>53</v>
      </c>
      <c r="C1829" s="1324" t="s">
        <v>5815</v>
      </c>
      <c r="D1829" s="1324"/>
      <c r="E1829" s="1421">
        <f>+IF(ISBLANK(REPORTS!F1484),"",REPORTS!F1484)</f>
        <v>9538008.261127837</v>
      </c>
      <c r="F1829" s="1421">
        <f>+IF(ISBLANK(REPORTS!G1484),"",REPORTS!G1484)</f>
        <v>56703.262407848204</v>
      </c>
      <c r="G1829" s="1421">
        <f>+IF(ISBLANK(REPORTS!H1484),"",REPORTS!H1484)</f>
        <v>9481304.9987199884</v>
      </c>
      <c r="H1829" s="1374">
        <f>+IF(ISBLANK(REPORTS!I1484),"",REPORTS!I1484)</f>
        <v>0.99405502062323192</v>
      </c>
    </row>
    <row r="1830" spans="1:8">
      <c r="A1830" s="1752"/>
      <c r="B1830" s="1393">
        <v>54</v>
      </c>
      <c r="C1830" s="1324"/>
      <c r="D1830" s="1324"/>
      <c r="E1830" s="1324" t="str">
        <f>+IF(ISBLANK(REPORTS!F1485),"",REPORTS!F1485)</f>
        <v/>
      </c>
      <c r="F1830" s="1324" t="str">
        <f>+IF(ISBLANK(REPORTS!G1485),"",REPORTS!G1485)</f>
        <v/>
      </c>
      <c r="G1830" s="1324" t="str">
        <f>+IF(ISBLANK(REPORTS!H1485),"",REPORTS!H1485)</f>
        <v/>
      </c>
      <c r="H1830" s="1374" t="str">
        <f>+IF(ISBLANK(REPORTS!I1485),"",REPORTS!I1485)</f>
        <v/>
      </c>
    </row>
    <row r="1831" spans="1:8" ht="28.2">
      <c r="A1831" s="1753" t="s">
        <v>5143</v>
      </c>
      <c r="B1831" s="1393">
        <v>55</v>
      </c>
      <c r="C1831" s="1362" t="s">
        <v>5817</v>
      </c>
      <c r="D1831" s="1324"/>
      <c r="E1831" s="1324" t="str">
        <f>+IF(ISBLANK(REPORTS!F1486),"",REPORTS!F1486)</f>
        <v/>
      </c>
      <c r="F1831" s="1324" t="str">
        <f>+IF(ISBLANK(REPORTS!G1486),"",REPORTS!G1486)</f>
        <v/>
      </c>
      <c r="G1831" s="1324" t="str">
        <f>+IF(ISBLANK(REPORTS!H1486),"",REPORTS!H1486)</f>
        <v/>
      </c>
      <c r="H1831" s="1374" t="str">
        <f>+IF(ISBLANK(REPORTS!I1486),"",REPORTS!I1486)</f>
        <v/>
      </c>
    </row>
    <row r="1832" spans="1:8">
      <c r="A1832" s="1752"/>
      <c r="B1832" s="1393">
        <v>56</v>
      </c>
      <c r="C1832" s="1324" t="s">
        <v>5265</v>
      </c>
      <c r="D1832" s="1324" t="s">
        <v>4067</v>
      </c>
      <c r="E1832" s="1324">
        <f>+IF(ISBLANK(REPORTS!F1487),"",REPORTS!F1487)</f>
        <v>31162.773017915024</v>
      </c>
      <c r="F1832" s="1324">
        <f>+IF(ISBLANK(REPORTS!G1487),"",REPORTS!G1487)</f>
        <v>0</v>
      </c>
      <c r="G1832" s="1324">
        <f>+IF(ISBLANK(REPORTS!H1487),"",REPORTS!H1487)</f>
        <v>31162.773017915024</v>
      </c>
      <c r="H1832" s="1374">
        <f>+IF(ISBLANK(REPORTS!I1487),"",REPORTS!I1487)</f>
        <v>1</v>
      </c>
    </row>
    <row r="1833" spans="1:8">
      <c r="A1833" s="1752"/>
      <c r="B1833" s="1393">
        <v>57</v>
      </c>
      <c r="C1833" s="1324" t="s">
        <v>5265</v>
      </c>
      <c r="D1833" s="1324" t="s">
        <v>2067</v>
      </c>
      <c r="E1833" s="1324">
        <f>+IF(ISBLANK(REPORTS!F1488),"",REPORTS!F1488)</f>
        <v>38681.936109600938</v>
      </c>
      <c r="F1833" s="1324">
        <f>+IF(ISBLANK(REPORTS!G1488),"",REPORTS!G1488)</f>
        <v>0</v>
      </c>
      <c r="G1833" s="1324">
        <f>+IF(ISBLANK(REPORTS!H1488),"",REPORTS!H1488)</f>
        <v>38681.936109600938</v>
      </c>
      <c r="H1833" s="1374">
        <f>+IF(ISBLANK(REPORTS!I1488),"",REPORTS!I1488)</f>
        <v>1</v>
      </c>
    </row>
    <row r="1834" spans="1:8">
      <c r="A1834" s="1752"/>
      <c r="B1834" s="1393">
        <v>58</v>
      </c>
      <c r="C1834" s="1324" t="s">
        <v>5268</v>
      </c>
      <c r="D1834" s="1324" t="s">
        <v>4067</v>
      </c>
      <c r="E1834" s="1324">
        <f>+IF(ISBLANK(REPORTS!F1489),"",REPORTS!F1489)</f>
        <v>2472.7329249705654</v>
      </c>
      <c r="F1834" s="1324">
        <f>+IF(ISBLANK(REPORTS!G1489),"",REPORTS!G1489)</f>
        <v>160.20059185683772</v>
      </c>
      <c r="G1834" s="1324">
        <f>+IF(ISBLANK(REPORTS!H1489),"",REPORTS!H1489)</f>
        <v>2312.5323331137297</v>
      </c>
      <c r="H1834" s="1374">
        <f>+IF(ISBLANK(REPORTS!I1489),"",REPORTS!I1489)</f>
        <v>0.93521314403222799</v>
      </c>
    </row>
    <row r="1835" spans="1:8">
      <c r="A1835" s="1752"/>
      <c r="B1835" s="1393">
        <v>59</v>
      </c>
      <c r="C1835" s="1324" t="s">
        <v>5239</v>
      </c>
      <c r="D1835" s="1324" t="s">
        <v>4067</v>
      </c>
      <c r="E1835" s="1324">
        <f>+IF(ISBLANK(REPORTS!F1490),"",REPORTS!F1490)</f>
        <v>2146.9051059723861</v>
      </c>
      <c r="F1835" s="1324">
        <f>+IF(ISBLANK(REPORTS!G1490),"",REPORTS!G1490)</f>
        <v>139.09123187710861</v>
      </c>
      <c r="G1835" s="1324">
        <f>+IF(ISBLANK(REPORTS!H1490),"",REPORTS!H1490)</f>
        <v>2007.8138740952782</v>
      </c>
      <c r="H1835" s="1374">
        <f>+IF(ISBLANK(REPORTS!I1490),"",REPORTS!I1490)</f>
        <v>0.93521314403222766</v>
      </c>
    </row>
    <row r="1836" spans="1:8">
      <c r="A1836" s="1752"/>
      <c r="B1836" s="1393">
        <v>60</v>
      </c>
      <c r="C1836" s="1324" t="s">
        <v>5240</v>
      </c>
      <c r="D1836" s="1324" t="s">
        <v>4067</v>
      </c>
      <c r="E1836" s="1324">
        <f>+IF(ISBLANK(REPORTS!F1491),"",REPORTS!F1491)</f>
        <v>6885.4837099742872</v>
      </c>
      <c r="F1836" s="1324">
        <f>+IF(ISBLANK(REPORTS!G1491),"",REPORTS!G1491)</f>
        <v>0</v>
      </c>
      <c r="G1836" s="1324">
        <f>+IF(ISBLANK(REPORTS!H1491),"",REPORTS!H1491)</f>
        <v>6885.4837099742872</v>
      </c>
      <c r="H1836" s="1374">
        <f>+IF(ISBLANK(REPORTS!I1491),"",REPORTS!I1491)</f>
        <v>1</v>
      </c>
    </row>
    <row r="1837" spans="1:8">
      <c r="A1837" s="1752"/>
      <c r="B1837" s="1393">
        <v>61</v>
      </c>
      <c r="C1837" s="1324" t="s">
        <v>5241</v>
      </c>
      <c r="D1837" s="1324" t="s">
        <v>4067</v>
      </c>
      <c r="E1837" s="1324">
        <f>+IF(ISBLANK(REPORTS!F1492),"",REPORTS!F1492)</f>
        <v>4842.1379311151395</v>
      </c>
      <c r="F1837" s="1324">
        <f>+IF(ISBLANK(REPORTS!G1492),"",REPORTS!G1492)</f>
        <v>0</v>
      </c>
      <c r="G1837" s="1324">
        <f>+IF(ISBLANK(REPORTS!H1492),"",REPORTS!H1492)</f>
        <v>4842.1379311151395</v>
      </c>
      <c r="H1837" s="1374">
        <f>+IF(ISBLANK(REPORTS!I1492),"",REPORTS!I1492)</f>
        <v>1</v>
      </c>
    </row>
    <row r="1838" spans="1:8">
      <c r="A1838" s="1752"/>
      <c r="B1838" s="1393">
        <v>62</v>
      </c>
      <c r="C1838" s="1324" t="s">
        <v>5242</v>
      </c>
      <c r="D1838" s="1324" t="s">
        <v>4071</v>
      </c>
      <c r="E1838" s="1324">
        <f>+IF(ISBLANK(REPORTS!F1493),"",REPORTS!F1493)</f>
        <v>2811.1962444766759</v>
      </c>
      <c r="F1838" s="1324">
        <f>+IF(ISBLANK(REPORTS!G1493),"",REPORTS!G1493)</f>
        <v>0</v>
      </c>
      <c r="G1838" s="1324">
        <f>+IF(ISBLANK(REPORTS!H1493),"",REPORTS!H1493)</f>
        <v>2811.1962444766759</v>
      </c>
      <c r="H1838" s="1374">
        <f>+IF(ISBLANK(REPORTS!I1493),"",REPORTS!I1493)</f>
        <v>1</v>
      </c>
    </row>
    <row r="1839" spans="1:8">
      <c r="A1839" s="1752"/>
      <c r="B1839" s="1393">
        <v>63</v>
      </c>
      <c r="C1839" s="1324" t="s">
        <v>5244</v>
      </c>
      <c r="D1839" s="1324" t="s">
        <v>4071</v>
      </c>
      <c r="E1839" s="1324">
        <f>+IF(ISBLANK(REPORTS!F1494),"",REPORTS!F1494)</f>
        <v>-2033.3535253590526</v>
      </c>
      <c r="F1839" s="1324">
        <f>+IF(ISBLANK(REPORTS!G1494),"",REPORTS!G1494)</f>
        <v>0</v>
      </c>
      <c r="G1839" s="1324">
        <f>+IF(ISBLANK(REPORTS!H1494),"",REPORTS!H1494)</f>
        <v>-2033.3535253590526</v>
      </c>
      <c r="H1839" s="1374">
        <f>+IF(ISBLANK(REPORTS!I1494),"",REPORTS!I1494)</f>
        <v>1</v>
      </c>
    </row>
    <row r="1840" spans="1:8">
      <c r="A1840" s="1752"/>
      <c r="B1840" s="1393">
        <v>64</v>
      </c>
      <c r="C1840" s="1324" t="s">
        <v>5095</v>
      </c>
      <c r="D1840" s="1324"/>
      <c r="E1840" s="1421">
        <f>+IF(ISBLANK(REPORTS!F1495),"",REPORTS!F1495)</f>
        <v>86969.811518665971</v>
      </c>
      <c r="F1840" s="1421">
        <f>+IF(ISBLANK(REPORTS!G1495),"",REPORTS!G1495)</f>
        <v>299.29182373394633</v>
      </c>
      <c r="G1840" s="1421">
        <f>+IF(ISBLANK(REPORTS!H1495),"",REPORTS!H1495)</f>
        <v>86670.519694932023</v>
      </c>
      <c r="H1840" s="1374">
        <f>+IF(ISBLANK(REPORTS!I1495),"",REPORTS!I1495)</f>
        <v>0.99655866997400921</v>
      </c>
    </row>
    <row r="1841" spans="1:8">
      <c r="A1841" s="1752"/>
      <c r="B1841" s="1393">
        <v>65</v>
      </c>
      <c r="C1841" s="1324"/>
      <c r="D1841" s="1324"/>
      <c r="E1841" s="1324" t="str">
        <f>+IF(ISBLANK(REPORTS!F1496),"",REPORTS!F1496)</f>
        <v/>
      </c>
      <c r="F1841" s="1324" t="str">
        <f>+IF(ISBLANK(REPORTS!G1496),"",REPORTS!G1496)</f>
        <v/>
      </c>
      <c r="G1841" s="1324" t="str">
        <f>+IF(ISBLANK(REPORTS!H1496),"",REPORTS!H1496)</f>
        <v/>
      </c>
      <c r="H1841" s="1374" t="str">
        <f>+IF(ISBLANK(REPORTS!I1496),"",REPORTS!I1496)</f>
        <v/>
      </c>
    </row>
    <row r="1842" spans="1:8">
      <c r="A1842" s="1752"/>
      <c r="B1842" s="1393">
        <v>66</v>
      </c>
      <c r="C1842" s="1362" t="s">
        <v>5827</v>
      </c>
      <c r="D1842" s="1324"/>
      <c r="E1842" s="1324" t="str">
        <f>+IF(ISBLANK(REPORTS!F1497),"",REPORTS!F1497)</f>
        <v/>
      </c>
      <c r="F1842" s="1324" t="str">
        <f>+IF(ISBLANK(REPORTS!G1497),"",REPORTS!G1497)</f>
        <v/>
      </c>
      <c r="G1842" s="1324" t="str">
        <f>+IF(ISBLANK(REPORTS!H1497),"",REPORTS!H1497)</f>
        <v/>
      </c>
      <c r="H1842" s="1374" t="str">
        <f>+IF(ISBLANK(REPORTS!I1497),"",REPORTS!I1497)</f>
        <v/>
      </c>
    </row>
    <row r="1843" spans="1:8">
      <c r="A1843" s="1752"/>
      <c r="B1843" s="1393">
        <v>67</v>
      </c>
      <c r="C1843" s="1324" t="s">
        <v>5265</v>
      </c>
      <c r="D1843" s="1324" t="s">
        <v>4067</v>
      </c>
      <c r="E1843" s="1324">
        <f>+IF(ISBLANK(REPORTS!F1498),"",REPORTS!F1498)</f>
        <v>154919.48494816257</v>
      </c>
      <c r="F1843" s="1324">
        <f>+IF(ISBLANK(REPORTS!G1498),"",REPORTS!G1498)</f>
        <v>0</v>
      </c>
      <c r="G1843" s="1324">
        <f>+IF(ISBLANK(REPORTS!H1498),"",REPORTS!H1498)</f>
        <v>154919.48494816257</v>
      </c>
      <c r="H1843" s="1374">
        <f>+IF(ISBLANK(REPORTS!I1498),"",REPORTS!I1498)</f>
        <v>1</v>
      </c>
    </row>
    <row r="1844" spans="1:8">
      <c r="A1844" s="1752"/>
      <c r="B1844" s="1393">
        <v>68</v>
      </c>
      <c r="C1844" s="1324" t="s">
        <v>5265</v>
      </c>
      <c r="D1844" s="1324" t="s">
        <v>2067</v>
      </c>
      <c r="E1844" s="1324">
        <f>+IF(ISBLANK(REPORTS!F1499),"",REPORTS!F1499)</f>
        <v>15756.28481087529</v>
      </c>
      <c r="F1844" s="1324">
        <f>+IF(ISBLANK(REPORTS!G1499),"",REPORTS!G1499)</f>
        <v>0</v>
      </c>
      <c r="G1844" s="1324">
        <f>+IF(ISBLANK(REPORTS!H1499),"",REPORTS!H1499)</f>
        <v>15756.28481087529</v>
      </c>
      <c r="H1844" s="1374">
        <f>+IF(ISBLANK(REPORTS!I1499),"",REPORTS!I1499)</f>
        <v>1</v>
      </c>
    </row>
    <row r="1845" spans="1:8">
      <c r="A1845" s="1752"/>
      <c r="B1845" s="1393">
        <v>69</v>
      </c>
      <c r="C1845" s="1324" t="s">
        <v>5268</v>
      </c>
      <c r="D1845" s="1324" t="s">
        <v>4067</v>
      </c>
      <c r="E1845" s="1324">
        <f>+IF(ISBLANK(REPORTS!F1500),"",REPORTS!F1500)</f>
        <v>9322.5170905997529</v>
      </c>
      <c r="F1845" s="1324">
        <f>+IF(ISBLANK(REPORTS!G1500),"",REPORTS!G1500)</f>
        <v>603.97657200578476</v>
      </c>
      <c r="G1845" s="1324">
        <f>+IF(ISBLANK(REPORTS!H1500),"",REPORTS!H1500)</f>
        <v>8718.5405185939671</v>
      </c>
      <c r="H1845" s="1374">
        <f>+IF(ISBLANK(REPORTS!I1500),"",REPORTS!I1500)</f>
        <v>0.93521314403222733</v>
      </c>
    </row>
    <row r="1846" spans="1:8">
      <c r="A1846" s="1752"/>
      <c r="B1846" s="1393">
        <v>70</v>
      </c>
      <c r="C1846" s="1324" t="s">
        <v>5239</v>
      </c>
      <c r="D1846" s="1324" t="s">
        <v>4067</v>
      </c>
      <c r="E1846" s="1324">
        <f>+IF(ISBLANK(REPORTS!F1501),"",REPORTS!F1501)</f>
        <v>12890.363327210631</v>
      </c>
      <c r="F1846" s="1324">
        <f>+IF(ISBLANK(REPORTS!G1501),"",REPORTS!G1501)</f>
        <v>835.12611225225317</v>
      </c>
      <c r="G1846" s="1324">
        <f>+IF(ISBLANK(REPORTS!H1501),"",REPORTS!H1501)</f>
        <v>12055.237214958377</v>
      </c>
      <c r="H1846" s="1374">
        <f>+IF(ISBLANK(REPORTS!I1501),"",REPORTS!I1501)</f>
        <v>0.93521314403222733</v>
      </c>
    </row>
    <row r="1847" spans="1:8">
      <c r="A1847" s="1752"/>
      <c r="B1847" s="1393">
        <v>71</v>
      </c>
      <c r="C1847" s="1324" t="s">
        <v>5240</v>
      </c>
      <c r="D1847" s="1324" t="s">
        <v>4067</v>
      </c>
      <c r="E1847" s="1324">
        <f>+IF(ISBLANK(REPORTS!F1502),"",REPORTS!F1502)</f>
        <v>9825.400347507526</v>
      </c>
      <c r="F1847" s="1324">
        <f>+IF(ISBLANK(REPORTS!G1502),"",REPORTS!G1502)</f>
        <v>0</v>
      </c>
      <c r="G1847" s="1324">
        <f>+IF(ISBLANK(REPORTS!H1502),"",REPORTS!H1502)</f>
        <v>9825.400347507526</v>
      </c>
      <c r="H1847" s="1374">
        <f>+IF(ISBLANK(REPORTS!I1502),"",REPORTS!I1502)</f>
        <v>1</v>
      </c>
    </row>
    <row r="1848" spans="1:8">
      <c r="A1848" s="1752"/>
      <c r="B1848" s="1393">
        <v>72</v>
      </c>
      <c r="C1848" s="1324" t="s">
        <v>5241</v>
      </c>
      <c r="D1848" s="1324" t="s">
        <v>4067</v>
      </c>
      <c r="E1848" s="1324">
        <f>+IF(ISBLANK(REPORTS!F1503),"",REPORTS!F1503)</f>
        <v>-5310.0951420829697</v>
      </c>
      <c r="F1848" s="1324">
        <f>+IF(ISBLANK(REPORTS!G1503),"",REPORTS!G1503)</f>
        <v>0</v>
      </c>
      <c r="G1848" s="1324">
        <f>+IF(ISBLANK(REPORTS!H1503),"",REPORTS!H1503)</f>
        <v>-5310.0951420829697</v>
      </c>
      <c r="H1848" s="1374">
        <f>+IF(ISBLANK(REPORTS!I1503),"",REPORTS!I1503)</f>
        <v>1</v>
      </c>
    </row>
    <row r="1849" spans="1:8">
      <c r="A1849" s="1752"/>
      <c r="B1849" s="1393">
        <v>73</v>
      </c>
      <c r="C1849" s="1324" t="s">
        <v>5242</v>
      </c>
      <c r="D1849" s="1324" t="s">
        <v>4071</v>
      </c>
      <c r="E1849" s="1324">
        <f>+IF(ISBLANK(REPORTS!F1504),"",REPORTS!F1504)</f>
        <v>9769.3696313589899</v>
      </c>
      <c r="F1849" s="1324">
        <f>+IF(ISBLANK(REPORTS!G1504),"",REPORTS!G1504)</f>
        <v>0</v>
      </c>
      <c r="G1849" s="1324">
        <f>+IF(ISBLANK(REPORTS!H1504),"",REPORTS!H1504)</f>
        <v>9769.3696313589899</v>
      </c>
      <c r="H1849" s="1374">
        <f>+IF(ISBLANK(REPORTS!I1504),"",REPORTS!I1504)</f>
        <v>1</v>
      </c>
    </row>
    <row r="1850" spans="1:8">
      <c r="A1850" s="1752"/>
      <c r="B1850" s="1393">
        <v>74</v>
      </c>
      <c r="C1850" s="1324" t="s">
        <v>5244</v>
      </c>
      <c r="D1850" s="1324" t="s">
        <v>4071</v>
      </c>
      <c r="E1850" s="1324">
        <f>+IF(ISBLANK(REPORTS!F1505),"",REPORTS!F1505)</f>
        <v>24440.601398676023</v>
      </c>
      <c r="F1850" s="1324">
        <f>+IF(ISBLANK(REPORTS!G1505),"",REPORTS!G1505)</f>
        <v>0</v>
      </c>
      <c r="G1850" s="1324">
        <f>+IF(ISBLANK(REPORTS!H1505),"",REPORTS!H1505)</f>
        <v>24440.601398676023</v>
      </c>
      <c r="H1850" s="1374">
        <f>+IF(ISBLANK(REPORTS!I1505),"",REPORTS!I1505)</f>
        <v>1</v>
      </c>
    </row>
    <row r="1851" spans="1:8">
      <c r="A1851" s="1752"/>
      <c r="B1851" s="1393">
        <v>75</v>
      </c>
      <c r="C1851" s="1324" t="s">
        <v>5763</v>
      </c>
      <c r="D1851" s="1324"/>
      <c r="E1851" s="1421">
        <f>+IF(ISBLANK(REPORTS!F1506),"",REPORTS!F1506)</f>
        <v>231613.9264123078</v>
      </c>
      <c r="F1851" s="1421">
        <f>+IF(ISBLANK(REPORTS!G1506),"",REPORTS!G1506)</f>
        <v>1439.1026842580379</v>
      </c>
      <c r="G1851" s="1421">
        <f>+IF(ISBLANK(REPORTS!H1506),"",REPORTS!H1506)</f>
        <v>230174.82372804979</v>
      </c>
      <c r="H1851" s="1374">
        <f>+IF(ISBLANK(REPORTS!I1506),"",REPORTS!I1506)</f>
        <v>0.99378663145800572</v>
      </c>
    </row>
    <row r="1852" spans="1:8">
      <c r="A1852" s="1752"/>
      <c r="B1852" s="1393">
        <v>76</v>
      </c>
      <c r="C1852" s="1324"/>
      <c r="D1852" s="1324"/>
      <c r="E1852" s="1324" t="str">
        <f>+IF(ISBLANK(REPORTS!F1507),"",REPORTS!F1507)</f>
        <v/>
      </c>
      <c r="F1852" s="1324" t="str">
        <f>+IF(ISBLANK(REPORTS!G1507),"",REPORTS!G1507)</f>
        <v/>
      </c>
      <c r="G1852" s="1324" t="str">
        <f>+IF(ISBLANK(REPORTS!H1507),"",REPORTS!H1507)</f>
        <v/>
      </c>
      <c r="H1852" s="1374" t="str">
        <f>+IF(ISBLANK(REPORTS!I1507),"",REPORTS!I1507)</f>
        <v/>
      </c>
    </row>
    <row r="1853" spans="1:8">
      <c r="A1853" s="1752"/>
      <c r="B1853" s="1393">
        <v>77</v>
      </c>
      <c r="C1853" s="1362" t="s">
        <v>5837</v>
      </c>
      <c r="D1853" s="1324"/>
      <c r="E1853" s="1324" t="str">
        <f>+IF(ISBLANK(REPORTS!F1508),"",REPORTS!F1508)</f>
        <v/>
      </c>
      <c r="F1853" s="1324" t="str">
        <f>+IF(ISBLANK(REPORTS!G1508),"",REPORTS!G1508)</f>
        <v/>
      </c>
      <c r="G1853" s="1324" t="str">
        <f>+IF(ISBLANK(REPORTS!H1508),"",REPORTS!H1508)</f>
        <v/>
      </c>
      <c r="H1853" s="1374" t="str">
        <f>+IF(ISBLANK(REPORTS!I1508),"",REPORTS!I1508)</f>
        <v/>
      </c>
    </row>
    <row r="1854" spans="1:8">
      <c r="A1854" s="1752"/>
      <c r="B1854" s="1393">
        <v>78</v>
      </c>
      <c r="C1854" s="1324" t="s">
        <v>5265</v>
      </c>
      <c r="D1854" s="1324" t="s">
        <v>4067</v>
      </c>
      <c r="E1854" s="1324">
        <f>+IF(ISBLANK(REPORTS!F1509),"",REPORTS!F1509)</f>
        <v>5483176.4189962763</v>
      </c>
      <c r="F1854" s="1324">
        <f>+IF(ISBLANK(REPORTS!G1509),"",REPORTS!G1509)</f>
        <v>0</v>
      </c>
      <c r="G1854" s="1324">
        <f>+IF(ISBLANK(REPORTS!H1509),"",REPORTS!H1509)</f>
        <v>5483176.4189962763</v>
      </c>
      <c r="H1854" s="1374">
        <f>+IF(ISBLANK(REPORTS!I1509),"",REPORTS!I1509)</f>
        <v>1</v>
      </c>
    </row>
    <row r="1855" spans="1:8">
      <c r="A1855" s="1752"/>
      <c r="B1855" s="1393">
        <v>79</v>
      </c>
      <c r="C1855" s="1324" t="s">
        <v>5265</v>
      </c>
      <c r="D1855" s="1324" t="s">
        <v>2067</v>
      </c>
      <c r="E1855" s="1324">
        <f>+IF(ISBLANK(REPORTS!F1510),"",REPORTS!F1510)</f>
        <v>412366.90327200451</v>
      </c>
      <c r="F1855" s="1324">
        <f>+IF(ISBLANK(REPORTS!G1510),"",REPORTS!G1510)</f>
        <v>0</v>
      </c>
      <c r="G1855" s="1324">
        <f>+IF(ISBLANK(REPORTS!H1510),"",REPORTS!H1510)</f>
        <v>412366.90327200451</v>
      </c>
      <c r="H1855" s="1374">
        <f>+IF(ISBLANK(REPORTS!I1510),"",REPORTS!I1510)</f>
        <v>1</v>
      </c>
    </row>
    <row r="1856" spans="1:8">
      <c r="A1856" s="1751"/>
      <c r="B1856" s="1393">
        <v>80</v>
      </c>
      <c r="C1856" s="1324" t="s">
        <v>5268</v>
      </c>
      <c r="D1856" s="1324" t="s">
        <v>4067</v>
      </c>
      <c r="E1856" s="1324">
        <f>+IF(ISBLANK(REPORTS!F1511),"",REPORTS!F1511)</f>
        <v>432533.37598961761</v>
      </c>
      <c r="F1856" s="1324">
        <f>+IF(ISBLANK(REPORTS!G1511),"",REPORTS!G1511)</f>
        <v>28022.477531493787</v>
      </c>
      <c r="G1856" s="1324">
        <f>+IF(ISBLANK(REPORTS!H1511),"",REPORTS!H1511)</f>
        <v>404510.89845812367</v>
      </c>
      <c r="H1856" s="1374">
        <f>+IF(ISBLANK(REPORTS!I1511),"",REPORTS!I1511)</f>
        <v>0.93521314403222711</v>
      </c>
    </row>
    <row r="1857" spans="1:8">
      <c r="A1857" s="1751"/>
      <c r="B1857" s="1393">
        <v>81</v>
      </c>
      <c r="C1857" s="1324" t="s">
        <v>5239</v>
      </c>
      <c r="D1857" s="1324" t="s">
        <v>4067</v>
      </c>
      <c r="E1857" s="1324">
        <f>+IF(ISBLANK(REPORTS!F1512),"",REPORTS!F1512)</f>
        <v>469527.01948490978</v>
      </c>
      <c r="F1857" s="1324">
        <f>+IF(ISBLANK(REPORTS!G1512),"",REPORTS!G1512)</f>
        <v>30419.179384346397</v>
      </c>
      <c r="G1857" s="1324">
        <f>+IF(ISBLANK(REPORTS!H1512),"",REPORTS!H1512)</f>
        <v>439107.84010056313</v>
      </c>
      <c r="H1857" s="1374">
        <f>+IF(ISBLANK(REPORTS!I1512),"",REPORTS!I1512)</f>
        <v>0.93521314403222688</v>
      </c>
    </row>
    <row r="1858" spans="1:8">
      <c r="A1858" s="1751"/>
      <c r="B1858" s="1393">
        <v>82</v>
      </c>
      <c r="C1858" s="1324" t="s">
        <v>5240</v>
      </c>
      <c r="D1858" s="1324" t="s">
        <v>4067</v>
      </c>
      <c r="E1858" s="1324">
        <f>+IF(ISBLANK(REPORTS!F1513),"",REPORTS!F1513)</f>
        <v>1529952.1492352316</v>
      </c>
      <c r="F1858" s="1324">
        <f>+IF(ISBLANK(REPORTS!G1513),"",REPORTS!G1513)</f>
        <v>0</v>
      </c>
      <c r="G1858" s="1324">
        <f>+IF(ISBLANK(REPORTS!H1513),"",REPORTS!H1513)</f>
        <v>1529952.1492352316</v>
      </c>
      <c r="H1858" s="1374">
        <f>+IF(ISBLANK(REPORTS!I1513),"",REPORTS!I1513)</f>
        <v>1</v>
      </c>
    </row>
    <row r="1859" spans="1:8">
      <c r="A1859" s="1751"/>
      <c r="B1859" s="1393">
        <v>83</v>
      </c>
      <c r="C1859" s="1324" t="s">
        <v>5241</v>
      </c>
      <c r="D1859" s="1324" t="s">
        <v>4067</v>
      </c>
      <c r="E1859" s="1324">
        <f>+IF(ISBLANK(REPORTS!F1514),"",REPORTS!F1514)</f>
        <v>672570.78032622824</v>
      </c>
      <c r="F1859" s="1324">
        <f>+IF(ISBLANK(REPORTS!G1514),"",REPORTS!G1514)</f>
        <v>0</v>
      </c>
      <c r="G1859" s="1324">
        <f>+IF(ISBLANK(REPORTS!H1514),"",REPORTS!H1514)</f>
        <v>672570.78032622824</v>
      </c>
      <c r="H1859" s="1374">
        <f>+IF(ISBLANK(REPORTS!I1514),"",REPORTS!I1514)</f>
        <v>1</v>
      </c>
    </row>
    <row r="1860" spans="1:8">
      <c r="A1860" s="1751"/>
      <c r="B1860" s="1393">
        <v>84</v>
      </c>
      <c r="C1860" s="1324" t="s">
        <v>5242</v>
      </c>
      <c r="D1860" s="1324" t="s">
        <v>4071</v>
      </c>
      <c r="E1860" s="1324">
        <f>+IF(ISBLANK(REPORTS!F1515),"",REPORTS!F1515)</f>
        <v>656038.10108533443</v>
      </c>
      <c r="F1860" s="1324">
        <f>+IF(ISBLANK(REPORTS!G1515),"",REPORTS!G1515)</f>
        <v>0</v>
      </c>
      <c r="G1860" s="1324">
        <f>+IF(ISBLANK(REPORTS!H1515),"",REPORTS!H1515)</f>
        <v>656038.10108533443</v>
      </c>
      <c r="H1860" s="1374">
        <f>+IF(ISBLANK(REPORTS!I1515),"",REPORTS!I1515)</f>
        <v>1</v>
      </c>
    </row>
    <row r="1861" spans="1:8">
      <c r="A1861" s="1751"/>
      <c r="B1861" s="1393">
        <v>85</v>
      </c>
      <c r="C1861" s="1324" t="s">
        <v>5244</v>
      </c>
      <c r="D1861" s="1324" t="s">
        <v>4071</v>
      </c>
      <c r="E1861" s="1324">
        <f>+IF(ISBLANK(REPORTS!F1516),"",REPORTS!F1516)</f>
        <v>200427.25066920705</v>
      </c>
      <c r="F1861" s="1324">
        <f>+IF(ISBLANK(REPORTS!G1516),"",REPORTS!G1516)</f>
        <v>0</v>
      </c>
      <c r="G1861" s="1324">
        <f>+IF(ISBLANK(REPORTS!H1516),"",REPORTS!H1516)</f>
        <v>200427.25066920705</v>
      </c>
      <c r="H1861" s="1374">
        <f>+IF(ISBLANK(REPORTS!I1516),"",REPORTS!I1516)</f>
        <v>1</v>
      </c>
    </row>
    <row r="1862" spans="1:8" ht="15" thickBot="1">
      <c r="A1862" s="1751"/>
      <c r="B1862" s="1393">
        <v>86</v>
      </c>
      <c r="C1862" s="1324" t="s">
        <v>5182</v>
      </c>
      <c r="D1862" s="1324"/>
      <c r="E1862" s="1483">
        <f>+IF(ISBLANK(REPORTS!F1517),"",REPORTS!F1517)</f>
        <v>9856591.999058811</v>
      </c>
      <c r="F1862" s="1483">
        <f>+IF(ISBLANK(REPORTS!G1517),"",REPORTS!G1517)</f>
        <v>58441.656915840184</v>
      </c>
      <c r="G1862" s="1483">
        <f>+IF(ISBLANK(REPORTS!H1517),"",REPORTS!H1517)</f>
        <v>9798150.3421429694</v>
      </c>
      <c r="H1862" s="1374">
        <f>+IF(ISBLANK(REPORTS!I1517),"",REPORTS!I1517)</f>
        <v>0.99407080490686617</v>
      </c>
    </row>
    <row r="1863" spans="1:8" ht="15" thickTop="1">
      <c r="A1863" s="1751"/>
    </row>
    <row r="1864" spans="1:8">
      <c r="A1864" s="1752"/>
    </row>
    <row r="1865" spans="1:8">
      <c r="A1865" s="1752"/>
    </row>
    <row r="1866" spans="1:8">
      <c r="A1866" s="1752"/>
    </row>
    <row r="1867" spans="1:8">
      <c r="A1867" s="1751"/>
      <c r="B1867" s="1416" t="str">
        <f>+$B$1</f>
        <v>RATES WITH REVENUE DEFICIENCY ADDITION</v>
      </c>
      <c r="C1867" s="1326"/>
      <c r="D1867" s="1324"/>
      <c r="E1867" s="1324"/>
      <c r="F1867" s="1329" t="s">
        <v>2173</v>
      </c>
      <c r="G1867" s="1324"/>
      <c r="H1867" s="1750" t="s">
        <v>4767</v>
      </c>
    </row>
    <row r="1868" spans="1:8">
      <c r="A1868" s="1751"/>
      <c r="B1868" s="1416" t="str">
        <f>+$B$2</f>
        <v xml:space="preserve">PROD. CAP. ALLOC. METHOD: 12 CP </v>
      </c>
      <c r="C1868" s="1326"/>
      <c r="D1868" s="1324"/>
      <c r="E1868" s="1324"/>
      <c r="F1868" s="1336" t="s">
        <v>4768</v>
      </c>
      <c r="G1868" s="1324"/>
      <c r="H1868" s="1374"/>
    </row>
    <row r="1869" spans="1:8">
      <c r="A1869" s="1751"/>
      <c r="B1869" s="1416" t="str">
        <f>+$B$3</f>
        <v>PROJECTED CALENDAR YEAR 2025; FULLY ADJUSTED DATA</v>
      </c>
      <c r="C1869" s="1324"/>
      <c r="D1869" s="1324"/>
      <c r="E1869" s="1324"/>
      <c r="F1869" s="1324"/>
      <c r="G1869" s="1324"/>
      <c r="H1869" s="1374"/>
    </row>
    <row r="1870" spans="1:8">
      <c r="A1870" s="1751"/>
      <c r="B1870" s="1732">
        <f>+$B$4</f>
        <v>0</v>
      </c>
      <c r="C1870" s="1324"/>
      <c r="D1870" s="1324"/>
      <c r="E1870" s="1324"/>
      <c r="F1870" s="1324"/>
      <c r="G1870" s="1324"/>
      <c r="H1870" s="1374"/>
    </row>
    <row r="1871" spans="1:8">
      <c r="A1871" s="1751"/>
      <c r="B1871" s="1732" t="str">
        <f>+$B$5</f>
        <v>Tampa Electric 2025 OB Budget</v>
      </c>
      <c r="C1871" s="1324"/>
      <c r="D1871" s="1324"/>
      <c r="E1871" s="1324"/>
      <c r="F1871" s="1336" t="s">
        <v>6112</v>
      </c>
      <c r="G1871" s="1324"/>
      <c r="H1871" s="1374"/>
    </row>
    <row r="1872" spans="1:8">
      <c r="A1872" s="1751"/>
      <c r="B1872" s="1393"/>
      <c r="C1872" s="1324"/>
      <c r="D1872" s="1324"/>
      <c r="E1872" s="1324"/>
      <c r="F1872" s="1324"/>
      <c r="G1872" s="1324"/>
      <c r="H1872" s="1374"/>
    </row>
    <row r="1873" spans="1:8">
      <c r="A1873" s="1751"/>
      <c r="B1873" s="1393"/>
      <c r="C1873" s="1324"/>
      <c r="D1873" s="1324"/>
      <c r="E1873" s="1344"/>
      <c r="F1873" s="1324"/>
      <c r="G1873" s="1324"/>
      <c r="H1873" s="1374"/>
    </row>
    <row r="1874" spans="1:8" ht="28.2">
      <c r="A1874" s="1754" t="s">
        <v>4297</v>
      </c>
      <c r="B1874" s="1737" t="s">
        <v>6113</v>
      </c>
      <c r="C1874" s="1353"/>
      <c r="D1874" s="1353" t="s">
        <v>6114</v>
      </c>
      <c r="E1874" s="1352" t="s">
        <v>5144</v>
      </c>
      <c r="F1874" s="1352" t="s">
        <v>4956</v>
      </c>
      <c r="G1874" s="1352" t="s">
        <v>4957</v>
      </c>
      <c r="H1874" s="1536"/>
    </row>
    <row r="1875" spans="1:8">
      <c r="A1875" s="1751"/>
      <c r="B1875" s="1393"/>
      <c r="C1875" s="1324"/>
      <c r="D1875" s="1324"/>
      <c r="E1875" s="1324"/>
      <c r="F1875" s="1324"/>
      <c r="G1875" s="1324"/>
      <c r="H1875" s="1374"/>
    </row>
    <row r="1876" spans="1:8">
      <c r="A1876" s="1758">
        <v>1</v>
      </c>
      <c r="B1876" s="1393">
        <v>101</v>
      </c>
      <c r="C1876" s="1324" t="s">
        <v>9332</v>
      </c>
      <c r="D1876" s="1344" t="s">
        <v>6115</v>
      </c>
      <c r="E1876" s="1324">
        <f>+IF(ISBLANK(REPORTS!F1932),"",REPORTS!F1932)</f>
        <v>3929693.4213738362</v>
      </c>
      <c r="F1876" s="1324">
        <f>+IF(ISBLANK(REPORTS!G1932),"",REPORTS!G1932)</f>
        <v>0</v>
      </c>
      <c r="G1876" s="1324">
        <f>+IF(ISBLANK(REPORTS!H1932),"",REPORTS!H1932)</f>
        <v>3929693.4213738362</v>
      </c>
      <c r="H1876" s="1395"/>
    </row>
    <row r="1877" spans="1:8">
      <c r="A1877" s="1751">
        <v>2</v>
      </c>
      <c r="B1877" s="1541">
        <v>101</v>
      </c>
      <c r="C1877" s="1324" t="s">
        <v>6117</v>
      </c>
      <c r="D1877" s="1344" t="s">
        <v>3179</v>
      </c>
      <c r="E1877" s="1374">
        <f>+IF(ISBLANK(REPORTS!F1933),"",REPORTS!F1933)</f>
        <v>1</v>
      </c>
      <c r="F1877" s="1374">
        <f>+IF(ISBLANK(REPORTS!G1933),"",REPORTS!G1933)</f>
        <v>0</v>
      </c>
      <c r="G1877" s="1374">
        <f>+IF(ISBLANK(REPORTS!H1933),"",REPORTS!H1933)</f>
        <v>1</v>
      </c>
      <c r="H1877" s="1374"/>
    </row>
    <row r="1878" spans="1:8">
      <c r="A1878" s="1751">
        <v>3</v>
      </c>
      <c r="B1878" s="1393"/>
      <c r="C1878" s="1324"/>
      <c r="D1878" s="1344"/>
      <c r="E1878" s="1324" t="str">
        <f>+IF(ISBLANK(REPORTS!F1934),"",REPORTS!F1934)</f>
        <v/>
      </c>
      <c r="F1878" s="1324" t="str">
        <f>+IF(ISBLANK(REPORTS!G1934),"",REPORTS!G1934)</f>
        <v/>
      </c>
      <c r="G1878" s="1324" t="str">
        <f>+IF(ISBLANK(REPORTS!H1934),"",REPORTS!H1934)</f>
        <v/>
      </c>
      <c r="H1878" s="1527"/>
    </row>
    <row r="1879" spans="1:8">
      <c r="A1879" s="1751">
        <v>4</v>
      </c>
      <c r="B1879" s="1393">
        <v>105</v>
      </c>
      <c r="C1879" s="1324" t="s">
        <v>4786</v>
      </c>
      <c r="D1879" s="1344" t="s">
        <v>6115</v>
      </c>
      <c r="E1879" s="1324">
        <f>+IF(ISBLANK(REPORTS!F1935),"",REPORTS!F1935)</f>
        <v>4697937.6521934383</v>
      </c>
      <c r="F1879" s="1324">
        <f>+IF(ISBLANK(REPORTS!G1935),"",REPORTS!G1935)</f>
        <v>0</v>
      </c>
      <c r="G1879" s="1324">
        <f>+IF(ISBLANK(REPORTS!H1935),"",REPORTS!H1935)</f>
        <v>4697937.6521934383</v>
      </c>
      <c r="H1879" s="1527"/>
    </row>
    <row r="1880" spans="1:8">
      <c r="A1880" s="1751">
        <v>5</v>
      </c>
      <c r="B1880" s="1541">
        <v>105</v>
      </c>
      <c r="C1880" s="1324" t="s">
        <v>6117</v>
      </c>
      <c r="D1880" s="1344" t="s">
        <v>3179</v>
      </c>
      <c r="E1880" s="1374">
        <f>+IF(ISBLANK(REPORTS!F1936),"",REPORTS!F1936)</f>
        <v>1</v>
      </c>
      <c r="F1880" s="1374">
        <f>+IF(ISBLANK(REPORTS!G1936),"",REPORTS!G1936)</f>
        <v>0</v>
      </c>
      <c r="G1880" s="1374">
        <f>+IF(ISBLANK(REPORTS!H1936),"",REPORTS!H1936)</f>
        <v>1</v>
      </c>
      <c r="H1880" s="1374"/>
    </row>
    <row r="1881" spans="1:8">
      <c r="A1881" s="1751">
        <v>6</v>
      </c>
      <c r="B1881" s="1393"/>
      <c r="C1881" s="1324"/>
      <c r="D1881" s="1344"/>
      <c r="E1881" s="1324" t="str">
        <f>+IF(ISBLANK(REPORTS!F1937),"",REPORTS!F1937)</f>
        <v/>
      </c>
      <c r="F1881" s="1324" t="str">
        <f>+IF(ISBLANK(REPORTS!G1937),"",REPORTS!G1937)</f>
        <v/>
      </c>
      <c r="G1881" s="1324" t="str">
        <f>+IF(ISBLANK(REPORTS!H1937),"",REPORTS!H1937)</f>
        <v/>
      </c>
      <c r="H1881" s="1527"/>
    </row>
    <row r="1882" spans="1:8">
      <c r="A1882" s="1751">
        <v>7</v>
      </c>
      <c r="B1882" s="1393">
        <v>106</v>
      </c>
      <c r="C1882" s="1324" t="s">
        <v>4788</v>
      </c>
      <c r="D1882" s="1344" t="s">
        <v>6115</v>
      </c>
      <c r="E1882" s="1324">
        <f>+IF(ISBLANK(REPORTS!F1938),"",REPORTS!F1938)</f>
        <v>7187229.5482128784</v>
      </c>
      <c r="F1882" s="1324">
        <f>+IF(ISBLANK(REPORTS!G1938),"",REPORTS!G1938)</f>
        <v>0</v>
      </c>
      <c r="G1882" s="1324">
        <f>+IF(ISBLANK(REPORTS!H1938),"",REPORTS!H1938)</f>
        <v>7187229.5482128784</v>
      </c>
      <c r="H1882" s="1527"/>
    </row>
    <row r="1883" spans="1:8">
      <c r="A1883" s="1751">
        <v>8</v>
      </c>
      <c r="B1883" s="1541">
        <v>106</v>
      </c>
      <c r="C1883" s="1324" t="s">
        <v>6117</v>
      </c>
      <c r="D1883" s="1344" t="s">
        <v>3179</v>
      </c>
      <c r="E1883" s="1374">
        <f>+IF(ISBLANK(REPORTS!F1939),"",REPORTS!F1939)</f>
        <v>1</v>
      </c>
      <c r="F1883" s="1374">
        <f>+IF(ISBLANK(REPORTS!G1939),"",REPORTS!G1939)</f>
        <v>0</v>
      </c>
      <c r="G1883" s="1374">
        <f>+IF(ISBLANK(REPORTS!H1939),"",REPORTS!H1939)</f>
        <v>1</v>
      </c>
      <c r="H1883" s="1374"/>
    </row>
    <row r="1884" spans="1:8">
      <c r="A1884" s="1751">
        <v>9</v>
      </c>
      <c r="B1884" s="1393"/>
      <c r="C1884" s="1324"/>
      <c r="D1884" s="1344"/>
      <c r="E1884" s="1324" t="str">
        <f>+IF(ISBLANK(REPORTS!F1940),"",REPORTS!F1940)</f>
        <v/>
      </c>
      <c r="F1884" s="1324" t="str">
        <f>+IF(ISBLANK(REPORTS!G1940),"",REPORTS!G1940)</f>
        <v/>
      </c>
      <c r="G1884" s="1324" t="str">
        <f>+IF(ISBLANK(REPORTS!H1940),"",REPORTS!H1940)</f>
        <v/>
      </c>
      <c r="H1884" s="1527"/>
    </row>
    <row r="1885" spans="1:8">
      <c r="A1885" s="1751">
        <v>10</v>
      </c>
      <c r="B1885" s="1393">
        <v>117</v>
      </c>
      <c r="C1885" s="1324" t="s">
        <v>9327</v>
      </c>
      <c r="D1885" s="1344" t="s">
        <v>6115</v>
      </c>
      <c r="E1885" s="1324">
        <f>+IF(ISBLANK(REPORTS!F1941),"",REPORTS!F1941)</f>
        <v>4249833.2296028445</v>
      </c>
      <c r="F1885" s="1324">
        <f>+IF(ISBLANK(REPORTS!G1941),"",REPORTS!G1941)</f>
        <v>275333.33333333337</v>
      </c>
      <c r="G1885" s="1324">
        <f>+IF(ISBLANK(REPORTS!H1941),"",REPORTS!H1941)</f>
        <v>3974499.896269511</v>
      </c>
      <c r="H1885" s="1527"/>
    </row>
    <row r="1886" spans="1:8">
      <c r="A1886" s="1751">
        <v>11</v>
      </c>
      <c r="B1886" s="1541">
        <v>117</v>
      </c>
      <c r="C1886" s="1324" t="s">
        <v>6117</v>
      </c>
      <c r="D1886" s="1344" t="s">
        <v>3179</v>
      </c>
      <c r="E1886" s="1374">
        <f>+IF(ISBLANK(REPORTS!F1942),"",REPORTS!F1942)</f>
        <v>0.99999999999999989</v>
      </c>
      <c r="F1886" s="1374">
        <f>+IF(ISBLANK(REPORTS!G1942),"",REPORTS!G1942)</f>
        <v>6.4786855967772602E-2</v>
      </c>
      <c r="G1886" s="1374">
        <f>+IF(ISBLANK(REPORTS!H1942),"",REPORTS!H1942)</f>
        <v>0.93521314403222733</v>
      </c>
      <c r="H1886" s="1374"/>
    </row>
    <row r="1887" spans="1:8">
      <c r="A1887" s="1751">
        <v>12</v>
      </c>
      <c r="B1887" s="1393"/>
      <c r="C1887" s="1324"/>
      <c r="D1887" s="1344"/>
      <c r="E1887" s="1374" t="str">
        <f>+IF(ISBLANK(REPORTS!F1943),"",REPORTS!F1943)</f>
        <v/>
      </c>
      <c r="F1887" s="1374" t="str">
        <f>+IF(ISBLANK(REPORTS!G1943),"",REPORTS!G1943)</f>
        <v/>
      </c>
      <c r="G1887" s="1374" t="str">
        <f>+IF(ISBLANK(REPORTS!H1943),"",REPORTS!H1943)</f>
        <v/>
      </c>
      <c r="H1887" s="1527"/>
    </row>
    <row r="1888" spans="1:8">
      <c r="A1888" s="1751">
        <v>13</v>
      </c>
      <c r="B1888" s="1393">
        <v>118</v>
      </c>
      <c r="C1888" s="1324" t="s">
        <v>9327</v>
      </c>
      <c r="D1888" s="1344" t="s">
        <v>6115</v>
      </c>
      <c r="E1888" s="1324">
        <f>+IF(ISBLANK(REPORTS!F1944),"",REPORTS!F1944)</f>
        <v>4249833.2296028445</v>
      </c>
      <c r="F1888" s="1324">
        <f>+IF(ISBLANK(REPORTS!G1944),"",REPORTS!G1944)</f>
        <v>275333.33333333337</v>
      </c>
      <c r="G1888" s="1324">
        <f>+IF(ISBLANK(REPORTS!H1944),"",REPORTS!H1944)</f>
        <v>3974499.896269511</v>
      </c>
      <c r="H1888" s="1527"/>
    </row>
    <row r="1889" spans="1:8">
      <c r="A1889" s="1751">
        <v>14</v>
      </c>
      <c r="C1889" s="1324" t="s">
        <v>6117</v>
      </c>
      <c r="D1889" s="1344" t="s">
        <v>3179</v>
      </c>
      <c r="E1889" s="1374">
        <f>+IF(ISBLANK(REPORTS!F1945),"",REPORTS!F1945)</f>
        <v>0.99999999999999989</v>
      </c>
      <c r="F1889" s="1374">
        <f>+IF(ISBLANK(REPORTS!G1945),"",REPORTS!G1945)</f>
        <v>6.4786855967772602E-2</v>
      </c>
      <c r="G1889" s="1374">
        <f>+IF(ISBLANK(REPORTS!H1945),"",REPORTS!H1945)</f>
        <v>0.93521314403222733</v>
      </c>
      <c r="H1889" s="1374"/>
    </row>
    <row r="1890" spans="1:8">
      <c r="A1890" s="1751">
        <v>15</v>
      </c>
      <c r="E1890" s="1374" t="str">
        <f>+IF(ISBLANK(REPORTS!F1946),"",REPORTS!F1946)</f>
        <v/>
      </c>
      <c r="F1890" s="1374" t="str">
        <f>+IF(ISBLANK(REPORTS!G1946),"",REPORTS!G1946)</f>
        <v/>
      </c>
      <c r="G1890" s="1374" t="str">
        <f>+IF(ISBLANK(REPORTS!H1946),"",REPORTS!H1946)</f>
        <v/>
      </c>
      <c r="H1890" s="1527"/>
    </row>
    <row r="1891" spans="1:8">
      <c r="A1891" s="1751">
        <v>16</v>
      </c>
      <c r="B1891" s="1393">
        <v>121</v>
      </c>
      <c r="C1891" s="1324" t="s">
        <v>9469</v>
      </c>
      <c r="D1891" s="1344" t="s">
        <v>3179</v>
      </c>
      <c r="E1891" s="1374">
        <f>+IF(ISBLANK(REPORTS!F1947),"",REPORTS!F1947)</f>
        <v>1</v>
      </c>
      <c r="F1891" s="1374">
        <f>+IF(ISBLANK(REPORTS!G1947),"",REPORTS!G1947)</f>
        <v>0</v>
      </c>
      <c r="G1891" s="1374">
        <f>+IF(ISBLANK(REPORTS!H1947),"",REPORTS!H1947)</f>
        <v>1</v>
      </c>
      <c r="H1891" s="1527"/>
    </row>
    <row r="1892" spans="1:8">
      <c r="A1892" s="1751">
        <v>17</v>
      </c>
      <c r="B1892" s="1541">
        <v>121</v>
      </c>
      <c r="C1892" s="1324" t="s">
        <v>6117</v>
      </c>
      <c r="D1892" s="1344" t="s">
        <v>3179</v>
      </c>
      <c r="E1892" s="1374">
        <f>+IF(ISBLANK(REPORTS!F1948),"",REPORTS!F1948)</f>
        <v>1</v>
      </c>
      <c r="F1892" s="1374">
        <f>+IF(ISBLANK(REPORTS!G1948),"",REPORTS!G1948)</f>
        <v>0</v>
      </c>
      <c r="G1892" s="1374">
        <f>+IF(ISBLANK(REPORTS!H1948),"",REPORTS!H1948)</f>
        <v>1</v>
      </c>
      <c r="H1892" s="1374"/>
    </row>
    <row r="1893" spans="1:8">
      <c r="A1893" s="1751">
        <v>18</v>
      </c>
      <c r="B1893" s="1393"/>
      <c r="C1893" s="1324"/>
      <c r="D1893" s="1502"/>
      <c r="E1893" s="1324" t="str">
        <f>+IF(ISBLANK(REPORTS!F1949),"",REPORTS!F1949)</f>
        <v/>
      </c>
      <c r="F1893" s="1324" t="str">
        <f>+IF(ISBLANK(REPORTS!G1949),"",REPORTS!G1949)</f>
        <v/>
      </c>
      <c r="G1893" s="1324" t="str">
        <f>+IF(ISBLANK(REPORTS!H1949),"",REPORTS!H1949)</f>
        <v/>
      </c>
      <c r="H1893" s="1527"/>
    </row>
    <row r="1894" spans="1:8">
      <c r="A1894" s="1751">
        <v>19</v>
      </c>
      <c r="B1894" s="1393">
        <v>122</v>
      </c>
      <c r="C1894" s="1324" t="s">
        <v>9461</v>
      </c>
      <c r="D1894" s="1344" t="s">
        <v>3179</v>
      </c>
      <c r="E1894" s="1374">
        <f>+IF(ISBLANK(REPORTS!F1950),"",REPORTS!F1950)</f>
        <v>1</v>
      </c>
      <c r="F1894" s="1374">
        <f>+IF(ISBLANK(REPORTS!G1950),"",REPORTS!G1950)</f>
        <v>0</v>
      </c>
      <c r="G1894" s="1374">
        <f>+IF(ISBLANK(REPORTS!H1950),"",REPORTS!H1950)</f>
        <v>1</v>
      </c>
      <c r="H1894" s="1527"/>
    </row>
    <row r="1895" spans="1:8">
      <c r="A1895" s="1751">
        <v>20</v>
      </c>
      <c r="B1895" s="1541">
        <v>122</v>
      </c>
      <c r="C1895" s="1324" t="s">
        <v>6117</v>
      </c>
      <c r="D1895" s="1344" t="s">
        <v>3179</v>
      </c>
      <c r="E1895" s="1374">
        <f>+IF(ISBLANK(REPORTS!F1951),"",REPORTS!F1951)</f>
        <v>1</v>
      </c>
      <c r="F1895" s="1374">
        <f>+IF(ISBLANK(REPORTS!G1951),"",REPORTS!G1951)</f>
        <v>0</v>
      </c>
      <c r="G1895" s="1374">
        <f>+IF(ISBLANK(REPORTS!H1951),"",REPORTS!H1951)</f>
        <v>1</v>
      </c>
      <c r="H1895" s="1527"/>
    </row>
    <row r="1896" spans="1:8">
      <c r="A1896" s="1751">
        <v>21</v>
      </c>
      <c r="B1896" s="1393"/>
      <c r="C1896" s="1324"/>
      <c r="D1896" s="1502"/>
      <c r="E1896" s="1324" t="str">
        <f>+IF(ISBLANK(REPORTS!F1952),"",REPORTS!F1952)</f>
        <v/>
      </c>
      <c r="F1896" s="1324" t="str">
        <f>+IF(ISBLANK(REPORTS!G1952),"",REPORTS!G1952)</f>
        <v/>
      </c>
      <c r="G1896" s="1324" t="str">
        <f>+IF(ISBLANK(REPORTS!H1952),"",REPORTS!H1952)</f>
        <v/>
      </c>
      <c r="H1896" s="1527"/>
    </row>
    <row r="1897" spans="1:8">
      <c r="A1897" s="1751">
        <v>22</v>
      </c>
      <c r="B1897" s="1393">
        <v>123</v>
      </c>
      <c r="C1897" s="1324" t="s">
        <v>9461</v>
      </c>
      <c r="D1897" s="1344" t="s">
        <v>3179</v>
      </c>
      <c r="E1897" s="1374">
        <f>+IF(ISBLANK(REPORTS!F1953),"",REPORTS!F1953)</f>
        <v>1</v>
      </c>
      <c r="F1897" s="1374">
        <f>+IF(ISBLANK(REPORTS!G1953),"",REPORTS!G1953)</f>
        <v>0</v>
      </c>
      <c r="G1897" s="1374">
        <f>+IF(ISBLANK(REPORTS!H1953),"",REPORTS!H1953)</f>
        <v>1</v>
      </c>
      <c r="H1897" s="1527"/>
    </row>
    <row r="1898" spans="1:8">
      <c r="A1898" s="1751">
        <v>23</v>
      </c>
      <c r="B1898" s="1541"/>
      <c r="C1898" s="1324" t="s">
        <v>6117</v>
      </c>
      <c r="D1898" s="1344" t="s">
        <v>3179</v>
      </c>
      <c r="E1898" s="1374">
        <f>+IF(ISBLANK(REPORTS!F1954),"",REPORTS!F1954)</f>
        <v>1</v>
      </c>
      <c r="F1898" s="1374">
        <f>+IF(ISBLANK(REPORTS!G1954),"",REPORTS!G1954)</f>
        <v>0</v>
      </c>
      <c r="G1898" s="1374">
        <f>+IF(ISBLANK(REPORTS!H1954),"",REPORTS!H1954)</f>
        <v>1</v>
      </c>
      <c r="H1898" s="1527"/>
    </row>
    <row r="1899" spans="1:8">
      <c r="A1899" s="1751">
        <v>24</v>
      </c>
      <c r="H1899" s="1527"/>
    </row>
    <row r="1900" spans="1:8">
      <c r="A1900" s="1751">
        <v>25</v>
      </c>
      <c r="B1900" s="1393">
        <v>124</v>
      </c>
      <c r="C1900" s="1324" t="s">
        <v>6118</v>
      </c>
      <c r="D1900" s="1502" t="s">
        <v>3179</v>
      </c>
      <c r="E1900" s="1374">
        <f>+IF(ISBLANK(REPORTS!F1956),"",REPORTS!F1956)</f>
        <v>0</v>
      </c>
      <c r="F1900" s="1374">
        <f>+IF(ISBLANK(REPORTS!G1956),"",REPORTS!G1956)</f>
        <v>0</v>
      </c>
      <c r="G1900" s="1374">
        <f>+IF(ISBLANK(REPORTS!H1956),"",REPORTS!H1956)</f>
        <v>0</v>
      </c>
      <c r="H1900" s="1527"/>
    </row>
    <row r="1901" spans="1:8">
      <c r="A1901" s="1751">
        <v>26</v>
      </c>
      <c r="B1901" s="1541">
        <v>124</v>
      </c>
      <c r="C1901" s="1324" t="s">
        <v>6117</v>
      </c>
      <c r="D1901" s="1344" t="s">
        <v>3179</v>
      </c>
      <c r="E1901" s="1374">
        <f>+IF(ISBLANK(REPORTS!F1957),"",REPORTS!F1957)</f>
        <v>0</v>
      </c>
      <c r="F1901" s="1374">
        <f>+IF(ISBLANK(REPORTS!G1957),"",REPORTS!G1957)</f>
        <v>0</v>
      </c>
      <c r="G1901" s="1374">
        <f>+IF(ISBLANK(REPORTS!H1957),"",REPORTS!H1957)</f>
        <v>0</v>
      </c>
      <c r="H1901" s="1527"/>
    </row>
    <row r="1902" spans="1:8">
      <c r="A1902" s="1751">
        <v>27</v>
      </c>
      <c r="B1902" s="1393"/>
      <c r="C1902" s="1324"/>
      <c r="D1902" s="1502"/>
      <c r="E1902" s="1374" t="str">
        <f>+IF(ISBLANK(REPORTS!F1958),"",REPORTS!F1958)</f>
        <v/>
      </c>
      <c r="F1902" s="1374" t="str">
        <f>+IF(ISBLANK(REPORTS!G1958),"",REPORTS!G1958)</f>
        <v/>
      </c>
      <c r="G1902" s="1374" t="str">
        <f>+IF(ISBLANK(REPORTS!H1958),"",REPORTS!H1958)</f>
        <v/>
      </c>
      <c r="H1902" s="1527"/>
    </row>
    <row r="1903" spans="1:8">
      <c r="A1903" s="1751">
        <v>28</v>
      </c>
      <c r="B1903" s="1393">
        <v>125</v>
      </c>
      <c r="C1903" s="1324" t="s">
        <v>6119</v>
      </c>
      <c r="D1903" s="1502" t="s">
        <v>3179</v>
      </c>
      <c r="E1903" s="1374">
        <f>+IF(ISBLANK(REPORTS!F1959),"",REPORTS!F1959)</f>
        <v>0</v>
      </c>
      <c r="F1903" s="1374">
        <f>+IF(ISBLANK(REPORTS!G1959),"",REPORTS!G1959)</f>
        <v>0</v>
      </c>
      <c r="G1903" s="1374">
        <f>+IF(ISBLANK(REPORTS!H1959),"",REPORTS!H1959)</f>
        <v>0</v>
      </c>
      <c r="H1903" s="1527"/>
    </row>
    <row r="1904" spans="1:8">
      <c r="A1904" s="1751">
        <v>29</v>
      </c>
      <c r="B1904" s="1541">
        <v>125</v>
      </c>
      <c r="C1904" s="1324" t="s">
        <v>6117</v>
      </c>
      <c r="D1904" s="1344" t="s">
        <v>3179</v>
      </c>
      <c r="E1904" s="1374">
        <f>+IF(ISBLANK(REPORTS!F1960),"",REPORTS!F1960)</f>
        <v>0</v>
      </c>
      <c r="F1904" s="1374">
        <f>+IF(ISBLANK(REPORTS!G1960),"",REPORTS!G1960)</f>
        <v>0</v>
      </c>
      <c r="G1904" s="1374">
        <f>+IF(ISBLANK(REPORTS!H1960),"",REPORTS!H1960)</f>
        <v>0</v>
      </c>
      <c r="H1904" s="1527"/>
    </row>
    <row r="1905" spans="1:8">
      <c r="A1905" s="1751">
        <v>30</v>
      </c>
      <c r="B1905" s="1393"/>
      <c r="C1905" s="1324"/>
      <c r="D1905" s="1502"/>
      <c r="E1905" s="1374" t="str">
        <f>+IF(ISBLANK(REPORTS!F1961),"",REPORTS!F1961)</f>
        <v/>
      </c>
      <c r="F1905" s="1374" t="str">
        <f>+IF(ISBLANK(REPORTS!G1961),"",REPORTS!G1961)</f>
        <v/>
      </c>
      <c r="G1905" s="1374" t="str">
        <f>+IF(ISBLANK(REPORTS!H1961),"",REPORTS!H1961)</f>
        <v/>
      </c>
      <c r="H1905" s="1527"/>
    </row>
    <row r="1906" spans="1:8">
      <c r="A1906" s="1751">
        <v>31</v>
      </c>
      <c r="B1906" s="1393">
        <v>126</v>
      </c>
      <c r="C1906" s="1324" t="s">
        <v>6120</v>
      </c>
      <c r="D1906" s="1502" t="s">
        <v>3179</v>
      </c>
      <c r="E1906" s="1374">
        <f>+IF(ISBLANK(REPORTS!F1962),"",REPORTS!F1962)</f>
        <v>0</v>
      </c>
      <c r="F1906" s="1374">
        <f>+IF(ISBLANK(REPORTS!G1962),"",REPORTS!G1962)</f>
        <v>0</v>
      </c>
      <c r="G1906" s="1374">
        <f>+IF(ISBLANK(REPORTS!H1962),"",REPORTS!H1962)</f>
        <v>0</v>
      </c>
      <c r="H1906" s="1527"/>
    </row>
    <row r="1907" spans="1:8">
      <c r="A1907" s="1751">
        <v>32</v>
      </c>
      <c r="B1907" s="1541">
        <v>126</v>
      </c>
      <c r="C1907" s="1324" t="s">
        <v>6117</v>
      </c>
      <c r="D1907" s="1344" t="s">
        <v>3179</v>
      </c>
      <c r="E1907" s="1374">
        <f>+IF(ISBLANK(REPORTS!F1963),"",REPORTS!F1963)</f>
        <v>0</v>
      </c>
      <c r="F1907" s="1374">
        <f>+IF(ISBLANK(REPORTS!G1963),"",REPORTS!G1963)</f>
        <v>0</v>
      </c>
      <c r="G1907" s="1374">
        <f>+IF(ISBLANK(REPORTS!H1963),"",REPORTS!H1963)</f>
        <v>0</v>
      </c>
      <c r="H1907" s="1374"/>
    </row>
    <row r="1908" spans="1:8">
      <c r="A1908" s="1751">
        <v>33</v>
      </c>
      <c r="B1908" s="1393"/>
      <c r="C1908" s="1324"/>
      <c r="D1908" s="1502"/>
      <c r="E1908" s="1374" t="str">
        <f>+IF(ISBLANK(REPORTS!F1964),"",REPORTS!F1964)</f>
        <v/>
      </c>
      <c r="F1908" s="1374" t="str">
        <f>+IF(ISBLANK(REPORTS!G1964),"",REPORTS!G1964)</f>
        <v/>
      </c>
      <c r="G1908" s="1374" t="str">
        <f>+IF(ISBLANK(REPORTS!H1964),"",REPORTS!H1964)</f>
        <v/>
      </c>
      <c r="H1908" s="1527"/>
    </row>
    <row r="1909" spans="1:8">
      <c r="A1909" s="1751">
        <v>34</v>
      </c>
      <c r="B1909" s="1393">
        <v>128</v>
      </c>
      <c r="C1909" s="1324" t="s">
        <v>6121</v>
      </c>
      <c r="D1909" s="1502" t="s">
        <v>3179</v>
      </c>
      <c r="E1909" s="1374">
        <f>+IF(ISBLANK(REPORTS!F1965),"",REPORTS!F1965)</f>
        <v>0</v>
      </c>
      <c r="F1909" s="1374">
        <f>+IF(ISBLANK(REPORTS!G1965),"",REPORTS!G1965)</f>
        <v>0</v>
      </c>
      <c r="G1909" s="1374">
        <f>+IF(ISBLANK(REPORTS!H1965),"",REPORTS!H1965)</f>
        <v>0</v>
      </c>
      <c r="H1909" s="1527"/>
    </row>
    <row r="1910" spans="1:8">
      <c r="A1910" s="1751">
        <v>35</v>
      </c>
      <c r="B1910" s="1541">
        <v>128</v>
      </c>
      <c r="C1910" s="1324" t="s">
        <v>6117</v>
      </c>
      <c r="D1910" s="1344" t="s">
        <v>3179</v>
      </c>
      <c r="E1910" s="1374">
        <f>+IF(ISBLANK(REPORTS!F1966),"",REPORTS!F1966)</f>
        <v>0</v>
      </c>
      <c r="F1910" s="1374">
        <f>+IF(ISBLANK(REPORTS!G1966),"",REPORTS!G1966)</f>
        <v>0</v>
      </c>
      <c r="G1910" s="1374">
        <f>+IF(ISBLANK(REPORTS!H1966),"",REPORTS!H1966)</f>
        <v>0</v>
      </c>
      <c r="H1910" s="1374"/>
    </row>
    <row r="1911" spans="1:8">
      <c r="A1911" s="1751">
        <v>36</v>
      </c>
      <c r="B1911" s="1393"/>
      <c r="C1911" s="1324"/>
      <c r="D1911" s="1344"/>
      <c r="E1911" s="1324" t="str">
        <f>+IF(ISBLANK(REPORTS!F1967),"",REPORTS!F1967)</f>
        <v/>
      </c>
      <c r="F1911" s="1324" t="str">
        <f>+IF(ISBLANK(REPORTS!G1967),"",REPORTS!G1967)</f>
        <v/>
      </c>
      <c r="G1911" s="1324" t="str">
        <f>+IF(ISBLANK(REPORTS!H1967),"",REPORTS!H1967)</f>
        <v/>
      </c>
      <c r="H1911" s="1527"/>
    </row>
    <row r="1912" spans="1:8">
      <c r="A1912" s="1751">
        <v>37</v>
      </c>
      <c r="B1912" s="1393">
        <v>201</v>
      </c>
      <c r="C1912" s="1324" t="s">
        <v>4790</v>
      </c>
      <c r="D1912" s="1344" t="s">
        <v>6122</v>
      </c>
      <c r="E1912" s="1324">
        <f>+IF(ISBLANK(REPORTS!F1968),"",REPORTS!F1968)</f>
        <v>21513101.492999993</v>
      </c>
      <c r="F1912" s="1324">
        <f>+IF(ISBLANK(REPORTS!G1968),"",REPORTS!G1968)</f>
        <v>0</v>
      </c>
      <c r="G1912" s="1324">
        <f>+IF(ISBLANK(REPORTS!H1968),"",REPORTS!H1968)</f>
        <v>21513101.492999993</v>
      </c>
      <c r="H1912" s="1527"/>
    </row>
    <row r="1913" spans="1:8">
      <c r="A1913" s="1751">
        <v>38</v>
      </c>
      <c r="B1913" s="1541">
        <v>201</v>
      </c>
      <c r="C1913" s="1324" t="s">
        <v>6117</v>
      </c>
      <c r="D1913" s="1344" t="s">
        <v>3179</v>
      </c>
      <c r="E1913" s="1374">
        <f>+IF(ISBLANK(REPORTS!F1969),"",REPORTS!F1969)</f>
        <v>1</v>
      </c>
      <c r="F1913" s="1374">
        <f>+IF(ISBLANK(REPORTS!G1969),"",REPORTS!G1969)</f>
        <v>0</v>
      </c>
      <c r="G1913" s="1374">
        <f>+IF(ISBLANK(REPORTS!H1969),"",REPORTS!H1969)</f>
        <v>1</v>
      </c>
      <c r="H1913" s="1374"/>
    </row>
    <row r="1914" spans="1:8">
      <c r="A1914" s="1751">
        <v>39</v>
      </c>
      <c r="B1914" s="1393"/>
      <c r="C1914" s="1324"/>
      <c r="D1914" s="1344"/>
      <c r="E1914" s="1324" t="str">
        <f>+IF(ISBLANK(REPORTS!F1970),"",REPORTS!F1970)</f>
        <v/>
      </c>
      <c r="F1914" s="1324" t="str">
        <f>+IF(ISBLANK(REPORTS!G1970),"",REPORTS!G1970)</f>
        <v/>
      </c>
      <c r="G1914" s="1324" t="str">
        <f>+IF(ISBLANK(REPORTS!H1970),"",REPORTS!H1970)</f>
        <v/>
      </c>
      <c r="H1914" s="1527"/>
    </row>
    <row r="1915" spans="1:8">
      <c r="A1915" s="1751">
        <v>40</v>
      </c>
      <c r="B1915" s="1393">
        <v>202</v>
      </c>
      <c r="C1915" s="1324" t="s">
        <v>4792</v>
      </c>
      <c r="D1915" s="1344" t="s">
        <v>3179</v>
      </c>
      <c r="E1915" s="1374">
        <f>+IF(ISBLANK(REPORTS!F1971),"",REPORTS!F1971)</f>
        <v>1</v>
      </c>
      <c r="F1915" s="1374">
        <f>+IF(ISBLANK(REPORTS!G1971),"",REPORTS!G1971)</f>
        <v>1</v>
      </c>
      <c r="G1915" s="1374">
        <f>+IF(ISBLANK(REPORTS!H1971),"",REPORTS!H1971)</f>
        <v>0</v>
      </c>
      <c r="H1915" s="1527"/>
    </row>
    <row r="1916" spans="1:8">
      <c r="A1916" s="1751">
        <v>41</v>
      </c>
      <c r="B1916" s="1541">
        <v>202</v>
      </c>
      <c r="C1916" s="1324" t="s">
        <v>6117</v>
      </c>
      <c r="D1916" s="1344" t="s">
        <v>3179</v>
      </c>
      <c r="E1916" s="1374">
        <f>+IF(ISBLANK(REPORTS!F1972),"",REPORTS!F1972)</f>
        <v>1</v>
      </c>
      <c r="F1916" s="1374">
        <f>+IF(ISBLANK(REPORTS!G1972),"",REPORTS!G1972)</f>
        <v>1</v>
      </c>
      <c r="G1916" s="1374">
        <f>+IF(ISBLANK(REPORTS!H1972),"",REPORTS!H1972)</f>
        <v>0</v>
      </c>
      <c r="H1916" s="1374"/>
    </row>
    <row r="1917" spans="1:8">
      <c r="A1917" s="1751"/>
      <c r="B1917" s="1393"/>
      <c r="C1917" s="1324"/>
      <c r="D1917" s="1344"/>
      <c r="E1917" s="1324" t="str">
        <f>+IF(ISBLANK(REPORTS!F1973),"",REPORTS!F1973)</f>
        <v/>
      </c>
      <c r="F1917" s="1324" t="str">
        <f>+IF(ISBLANK(REPORTS!G1973),"",REPORTS!G1973)</f>
        <v/>
      </c>
      <c r="G1917" s="1324" t="str">
        <f>+IF(ISBLANK(REPORTS!H1973),"",REPORTS!H1973)</f>
        <v/>
      </c>
      <c r="H1917" s="1542"/>
    </row>
    <row r="1918" spans="1:8">
      <c r="A1918" s="1751"/>
      <c r="B1918" s="1393">
        <v>204</v>
      </c>
      <c r="C1918" s="1324" t="s">
        <v>4800</v>
      </c>
      <c r="D1918" s="1344" t="s">
        <v>6122</v>
      </c>
      <c r="E1918" s="1324">
        <f>+IF(ISBLANK(REPORTS!F1974),"",REPORTS!F1974)</f>
        <v>21513101.492999993</v>
      </c>
      <c r="F1918" s="1324">
        <f>+IF(ISBLANK(REPORTS!G1974),"",REPORTS!G1974)</f>
        <v>0</v>
      </c>
      <c r="G1918" s="1324">
        <f>+IF(ISBLANK(REPORTS!H1974),"",REPORTS!H1974)</f>
        <v>21513101.492999993</v>
      </c>
      <c r="H1918" s="1542"/>
    </row>
    <row r="1919" spans="1:8">
      <c r="A1919" s="1751"/>
      <c r="B1919" s="1541">
        <v>204</v>
      </c>
      <c r="C1919" s="1324" t="s">
        <v>6117</v>
      </c>
      <c r="D1919" s="1344" t="s">
        <v>3179</v>
      </c>
      <c r="E1919" s="1374">
        <f>+IF(ISBLANK(REPORTS!F1975),"",REPORTS!F1975)</f>
        <v>1</v>
      </c>
      <c r="F1919" s="1374">
        <f>+IF(ISBLANK(REPORTS!G1975),"",REPORTS!G1975)</f>
        <v>0</v>
      </c>
      <c r="G1919" s="1374">
        <f>+IF(ISBLANK(REPORTS!H1975),"",REPORTS!H1975)</f>
        <v>1</v>
      </c>
      <c r="H1919" s="1527"/>
    </row>
    <row r="1920" spans="1:8">
      <c r="A1920" s="1751"/>
      <c r="B1920" s="1393"/>
      <c r="C1920" s="1324"/>
      <c r="D1920" s="1344"/>
      <c r="E1920" s="1324" t="str">
        <f>+IF(ISBLANK(REPORTS!F1976),"",REPORTS!F1976)</f>
        <v/>
      </c>
      <c r="F1920" s="1324" t="str">
        <f>+IF(ISBLANK(REPORTS!G1976),"",REPORTS!G1976)</f>
        <v/>
      </c>
      <c r="G1920" s="1324" t="str">
        <f>+IF(ISBLANK(REPORTS!H1976),"",REPORTS!H1976)</f>
        <v/>
      </c>
      <c r="H1920" s="1527"/>
    </row>
    <row r="1921" spans="1:8">
      <c r="A1921" s="1751"/>
      <c r="B1921" s="1393">
        <v>205</v>
      </c>
      <c r="C1921" s="1324" t="s">
        <v>4810</v>
      </c>
      <c r="D1921" s="1344" t="s">
        <v>3179</v>
      </c>
      <c r="E1921" s="1374">
        <f>+IF(ISBLANK(REPORTS!F1977),"",REPORTS!F1977)</f>
        <v>1</v>
      </c>
      <c r="F1921" s="1374">
        <f>+IF(ISBLANK(REPORTS!G1977),"",REPORTS!G1977)</f>
        <v>0</v>
      </c>
      <c r="G1921" s="1374">
        <f>+IF(ISBLANK(REPORTS!H1977),"",REPORTS!H1977)</f>
        <v>1</v>
      </c>
      <c r="H1921" s="1527"/>
    </row>
    <row r="1922" spans="1:8">
      <c r="A1922" s="1751"/>
      <c r="B1922" s="1541">
        <v>205</v>
      </c>
      <c r="C1922" s="1324" t="s">
        <v>6117</v>
      </c>
      <c r="D1922" s="1344" t="s">
        <v>3179</v>
      </c>
      <c r="E1922" s="1374">
        <f>+IF(ISBLANK(REPORTS!F1978),"",REPORTS!F1978)</f>
        <v>1</v>
      </c>
      <c r="F1922" s="1374">
        <f>+IF(ISBLANK(REPORTS!G1978),"",REPORTS!G1978)</f>
        <v>0</v>
      </c>
      <c r="G1922" s="1374">
        <f>+IF(ISBLANK(REPORTS!H1978),"",REPORTS!H1978)</f>
        <v>1</v>
      </c>
      <c r="H1922" s="1527"/>
    </row>
    <row r="1923" spans="1:8">
      <c r="A1923" s="1751"/>
      <c r="B1923" s="1393"/>
      <c r="C1923" s="1324"/>
      <c r="D1923" s="1324"/>
      <c r="E1923" s="1324"/>
      <c r="F1923" s="1324"/>
      <c r="G1923" s="1324"/>
      <c r="H1923" s="1527"/>
    </row>
    <row r="1924" spans="1:8">
      <c r="A1924" s="1751"/>
      <c r="B1924" s="1393"/>
      <c r="C1924" s="1324"/>
      <c r="D1924" s="1324"/>
      <c r="E1924" s="1324"/>
      <c r="F1924" s="1324"/>
      <c r="G1924" s="1324"/>
      <c r="H1924" s="1527"/>
    </row>
    <row r="1925" spans="1:8">
      <c r="A1925" s="1751"/>
      <c r="B1925" s="1393"/>
      <c r="C1925" s="1324"/>
      <c r="D1925" s="1324"/>
      <c r="E1925" s="1324"/>
      <c r="F1925" s="1324"/>
      <c r="G1925" s="1324"/>
      <c r="H1925" s="1527"/>
    </row>
    <row r="1926" spans="1:8">
      <c r="A1926" s="1751"/>
      <c r="B1926" s="1393"/>
      <c r="C1926" s="1324"/>
      <c r="D1926" s="1324"/>
      <c r="E1926" s="1324"/>
      <c r="F1926" s="1324"/>
      <c r="G1926" s="1324"/>
      <c r="H1926" s="1527"/>
    </row>
    <row r="1927" spans="1:8">
      <c r="A1927" s="1751"/>
      <c r="B1927" s="1393"/>
      <c r="C1927" s="1324"/>
      <c r="D1927" s="1324"/>
      <c r="E1927" s="1324"/>
      <c r="F1927" s="1324"/>
      <c r="G1927" s="1324"/>
      <c r="H1927" s="1527"/>
    </row>
    <row r="1928" spans="1:8">
      <c r="A1928" s="1751"/>
      <c r="B1928" s="1416" t="str">
        <f>+$B$1</f>
        <v>RATES WITH REVENUE DEFICIENCY ADDITION</v>
      </c>
      <c r="C1928" s="1326"/>
      <c r="D1928" s="1324"/>
      <c r="E1928" s="1324"/>
      <c r="F1928" s="1329" t="s">
        <v>2173</v>
      </c>
      <c r="G1928" s="1324"/>
      <c r="H1928" s="1750" t="s">
        <v>4851</v>
      </c>
    </row>
    <row r="1929" spans="1:8">
      <c r="A1929" s="1751"/>
      <c r="B1929" s="1416" t="str">
        <f>+$B$2</f>
        <v xml:space="preserve">PROD. CAP. ALLOC. METHOD: 12 CP </v>
      </c>
      <c r="C1929" s="1326"/>
      <c r="D1929" s="1324"/>
      <c r="E1929" s="1324"/>
      <c r="F1929" s="1336" t="s">
        <v>4768</v>
      </c>
      <c r="G1929" s="1324"/>
      <c r="H1929" s="1374"/>
    </row>
    <row r="1930" spans="1:8">
      <c r="A1930" s="1751"/>
      <c r="B1930" s="1416" t="str">
        <f>+$B$3</f>
        <v>PROJECTED CALENDAR YEAR 2025; FULLY ADJUSTED DATA</v>
      </c>
      <c r="C1930" s="1324"/>
      <c r="D1930" s="1324"/>
      <c r="E1930" s="1324"/>
      <c r="F1930" s="1324"/>
      <c r="G1930" s="1324"/>
      <c r="H1930" s="1374"/>
    </row>
    <row r="1931" spans="1:8">
      <c r="A1931" s="1751"/>
      <c r="B1931" s="1732">
        <f>+$B$4</f>
        <v>0</v>
      </c>
      <c r="C1931" s="1324"/>
      <c r="D1931" s="1324"/>
      <c r="E1931" s="1324"/>
      <c r="F1931" s="1324"/>
      <c r="G1931" s="1324"/>
      <c r="H1931" s="1374"/>
    </row>
    <row r="1932" spans="1:8">
      <c r="A1932" s="1751"/>
      <c r="B1932" s="1732" t="str">
        <f>+$B$5</f>
        <v>Tampa Electric 2025 OB Budget</v>
      </c>
      <c r="C1932" s="1324"/>
      <c r="D1932" s="1324"/>
      <c r="E1932" s="1324"/>
      <c r="F1932" s="1336" t="s">
        <v>6112</v>
      </c>
      <c r="G1932" s="1324"/>
      <c r="H1932" s="1374"/>
    </row>
    <row r="1933" spans="1:8">
      <c r="A1933" s="1751"/>
      <c r="B1933" s="1393"/>
      <c r="C1933" s="1324"/>
      <c r="D1933" s="1324"/>
      <c r="E1933" s="1324"/>
      <c r="F1933" s="1324"/>
      <c r="G1933" s="1324"/>
      <c r="H1933" s="1527"/>
    </row>
    <row r="1934" spans="1:8">
      <c r="A1934" s="1751"/>
      <c r="B1934" s="1393"/>
      <c r="C1934" s="1324"/>
      <c r="D1934" s="1324"/>
      <c r="E1934" s="1344"/>
      <c r="F1934" s="1324"/>
      <c r="G1934" s="1324"/>
      <c r="H1934" s="1527"/>
    </row>
    <row r="1935" spans="1:8" ht="28.2">
      <c r="A1935" s="1754" t="s">
        <v>4297</v>
      </c>
      <c r="B1935" s="1737" t="s">
        <v>6113</v>
      </c>
      <c r="C1935" s="1353"/>
      <c r="D1935" s="1353" t="s">
        <v>6114</v>
      </c>
      <c r="E1935" s="1352" t="s">
        <v>5144</v>
      </c>
      <c r="F1935" s="1352" t="s">
        <v>4956</v>
      </c>
      <c r="G1935" s="1352" t="s">
        <v>4957</v>
      </c>
      <c r="H1935" s="1536"/>
    </row>
    <row r="1936" spans="1:8">
      <c r="A1936" s="1751"/>
      <c r="B1936" s="1393"/>
      <c r="C1936" s="1324"/>
      <c r="D1936" s="1324"/>
      <c r="E1936" s="1324"/>
      <c r="F1936" s="1324"/>
      <c r="G1936" s="1324"/>
      <c r="H1936" s="1527"/>
    </row>
    <row r="1937" spans="1:8">
      <c r="A1937" s="1751">
        <v>42</v>
      </c>
      <c r="B1937" s="1393">
        <v>308</v>
      </c>
      <c r="C1937" s="1324" t="s">
        <v>4837</v>
      </c>
      <c r="D1937" s="1344" t="s">
        <v>6125</v>
      </c>
      <c r="E1937" s="1324">
        <f>+IF(ISBLANK(REPORTS!F1990),"",REPORTS!F1990)</f>
        <v>255853086.6769709</v>
      </c>
      <c r="F1937" s="1324">
        <f>+IF(ISBLANK(REPORTS!G1990),"",REPORTS!G1990)</f>
        <v>0</v>
      </c>
      <c r="G1937" s="1324">
        <f>+IF(ISBLANK(REPORTS!H1990),"",REPORTS!H1990)</f>
        <v>255853086.6769709</v>
      </c>
      <c r="H1937" s="1527"/>
    </row>
    <row r="1938" spans="1:8">
      <c r="A1938" s="1751">
        <v>43</v>
      </c>
      <c r="B1938" s="1541">
        <v>308</v>
      </c>
      <c r="C1938" s="1324" t="s">
        <v>6117</v>
      </c>
      <c r="D1938" s="1344" t="s">
        <v>3179</v>
      </c>
      <c r="E1938" s="1374">
        <f>+IF(ISBLANK(REPORTS!F1991),"",REPORTS!F1991)</f>
        <v>1</v>
      </c>
      <c r="F1938" s="1374">
        <f>+IF(ISBLANK(REPORTS!G1991),"",REPORTS!G1991)</f>
        <v>0</v>
      </c>
      <c r="G1938" s="1374">
        <f>+IF(ISBLANK(REPORTS!H1991),"",REPORTS!H1991)</f>
        <v>1</v>
      </c>
      <c r="H1938" s="1374"/>
    </row>
    <row r="1939" spans="1:8">
      <c r="A1939" s="1751">
        <v>44</v>
      </c>
      <c r="B1939" s="1393"/>
      <c r="C1939" s="1324"/>
      <c r="D1939" s="1324"/>
      <c r="E1939" s="1324" t="str">
        <f>+IF(ISBLANK(REPORTS!F1992),"",REPORTS!F1992)</f>
        <v/>
      </c>
      <c r="F1939" s="1324" t="str">
        <f>+IF(ISBLANK(REPORTS!G1992),"",REPORTS!G1992)</f>
        <v/>
      </c>
      <c r="G1939" s="1324" t="str">
        <f>+IF(ISBLANK(REPORTS!H1992),"",REPORTS!H1992)</f>
        <v/>
      </c>
      <c r="H1939" s="1527"/>
    </row>
    <row r="1940" spans="1:8">
      <c r="A1940" s="1751">
        <v>45</v>
      </c>
      <c r="B1940" s="1393">
        <v>309</v>
      </c>
      <c r="C1940" s="1324" t="s">
        <v>4839</v>
      </c>
      <c r="D1940" s="1344" t="s">
        <v>3179</v>
      </c>
      <c r="E1940" s="1374">
        <f>+IF(ISBLANK(REPORTS!F1993),"",REPORTS!F1993)</f>
        <v>1</v>
      </c>
      <c r="F1940" s="1374">
        <f>+IF(ISBLANK(REPORTS!G1993),"",REPORTS!G1993)</f>
        <v>0</v>
      </c>
      <c r="G1940" s="1374">
        <f>+IF(ISBLANK(REPORTS!H1993),"",REPORTS!H1993)</f>
        <v>1</v>
      </c>
      <c r="H1940" s="1527"/>
    </row>
    <row r="1941" spans="1:8">
      <c r="A1941" s="1751">
        <v>46</v>
      </c>
      <c r="B1941" s="1541">
        <v>309</v>
      </c>
      <c r="C1941" s="1324" t="s">
        <v>6117</v>
      </c>
      <c r="D1941" s="1344" t="s">
        <v>3179</v>
      </c>
      <c r="E1941" s="1374">
        <f>+IF(ISBLANK(REPORTS!F1994),"",REPORTS!F1994)</f>
        <v>1</v>
      </c>
      <c r="F1941" s="1374">
        <f>+IF(ISBLANK(REPORTS!G1994),"",REPORTS!G1994)</f>
        <v>0</v>
      </c>
      <c r="G1941" s="1374">
        <f>+IF(ISBLANK(REPORTS!H1994),"",REPORTS!H1994)</f>
        <v>1</v>
      </c>
      <c r="H1941" s="1527"/>
    </row>
    <row r="1942" spans="1:8">
      <c r="A1942" s="1751">
        <v>47</v>
      </c>
      <c r="B1942" s="1393"/>
      <c r="C1942" s="1324"/>
      <c r="D1942" s="1324"/>
      <c r="E1942" s="1324" t="str">
        <f>+IF(ISBLANK(REPORTS!F1995),"",REPORTS!F1995)</f>
        <v/>
      </c>
      <c r="F1942" s="1324" t="str">
        <f>+IF(ISBLANK(REPORTS!G1995),"",REPORTS!G1995)</f>
        <v/>
      </c>
      <c r="G1942" s="1324" t="str">
        <f>+IF(ISBLANK(REPORTS!H1995),"",REPORTS!H1995)</f>
        <v/>
      </c>
      <c r="H1942" s="1527"/>
    </row>
    <row r="1943" spans="1:8">
      <c r="A1943" s="1751">
        <v>48</v>
      </c>
      <c r="B1943" s="1393">
        <v>310</v>
      </c>
      <c r="C1943" s="1324" t="s">
        <v>4821</v>
      </c>
      <c r="D1943" s="1344" t="s">
        <v>3179</v>
      </c>
      <c r="E1943" s="1374">
        <f>+IF(ISBLANK(REPORTS!F1996),"",REPORTS!F1996)</f>
        <v>1</v>
      </c>
      <c r="F1943" s="1374">
        <f>+IF(ISBLANK(REPORTS!G1996),"",REPORTS!G1996)</f>
        <v>0</v>
      </c>
      <c r="G1943" s="1374">
        <f>+IF(ISBLANK(REPORTS!H1996),"",REPORTS!H1996)</f>
        <v>1</v>
      </c>
      <c r="H1943" s="1527"/>
    </row>
    <row r="1944" spans="1:8">
      <c r="A1944" s="1751">
        <v>49</v>
      </c>
      <c r="B1944" s="1541">
        <v>310</v>
      </c>
      <c r="C1944" s="1324" t="s">
        <v>6117</v>
      </c>
      <c r="D1944" s="1344" t="s">
        <v>3179</v>
      </c>
      <c r="E1944" s="1374">
        <f>+IF(ISBLANK(REPORTS!F1997),"",REPORTS!F1997)</f>
        <v>1</v>
      </c>
      <c r="F1944" s="1374">
        <f>+IF(ISBLANK(REPORTS!G1997),"",REPORTS!G1997)</f>
        <v>0</v>
      </c>
      <c r="G1944" s="1374">
        <f>+IF(ISBLANK(REPORTS!H1997),"",REPORTS!H1997)</f>
        <v>1</v>
      </c>
      <c r="H1944" s="1374"/>
    </row>
    <row r="1945" spans="1:8">
      <c r="A1945" s="1751">
        <v>50</v>
      </c>
      <c r="B1945" s="1393"/>
      <c r="C1945" s="1324"/>
      <c r="D1945" s="1324"/>
      <c r="E1945" s="1324" t="str">
        <f>+IF(ISBLANK(REPORTS!F1998),"",REPORTS!F1998)</f>
        <v/>
      </c>
      <c r="F1945" s="1324" t="str">
        <f>+IF(ISBLANK(REPORTS!G1998),"",REPORTS!G1998)</f>
        <v/>
      </c>
      <c r="G1945" s="1324" t="str">
        <f>+IF(ISBLANK(REPORTS!H1998),"",REPORTS!H1998)</f>
        <v/>
      </c>
      <c r="H1945" s="1527"/>
    </row>
    <row r="1946" spans="1:8">
      <c r="A1946" s="1751">
        <v>51</v>
      </c>
      <c r="B1946" s="1393">
        <v>311</v>
      </c>
      <c r="C1946" s="1324" t="s">
        <v>4843</v>
      </c>
      <c r="D1946" s="1344" t="s">
        <v>2334</v>
      </c>
      <c r="E1946" s="1324">
        <f>+IF(ISBLANK(REPORTS!F1999),"",REPORTS!F1999)</f>
        <v>57640822.250094414</v>
      </c>
      <c r="F1946" s="1324">
        <f>+IF(ISBLANK(REPORTS!G1999),"",REPORTS!G1999)</f>
        <v>0</v>
      </c>
      <c r="G1946" s="1324">
        <f>+IF(ISBLANK(REPORTS!H1999),"",REPORTS!H1999)</f>
        <v>57640822.250094414</v>
      </c>
      <c r="H1946" s="1527"/>
    </row>
    <row r="1947" spans="1:8">
      <c r="A1947" s="1751">
        <v>52</v>
      </c>
      <c r="B1947" s="1541">
        <v>311</v>
      </c>
      <c r="C1947" s="1324" t="s">
        <v>6117</v>
      </c>
      <c r="D1947" s="1344" t="s">
        <v>3179</v>
      </c>
      <c r="E1947" s="1374">
        <f>+IF(ISBLANK(REPORTS!F2000),"",REPORTS!F2000)</f>
        <v>1</v>
      </c>
      <c r="F1947" s="1374">
        <f>+IF(ISBLANK(REPORTS!G2000),"",REPORTS!G2000)</f>
        <v>0</v>
      </c>
      <c r="G1947" s="1374">
        <f>+IF(ISBLANK(REPORTS!H2000),"",REPORTS!H2000)</f>
        <v>1</v>
      </c>
      <c r="H1947" s="1527"/>
    </row>
    <row r="1948" spans="1:8">
      <c r="A1948" s="1751">
        <v>53</v>
      </c>
      <c r="B1948" s="1393"/>
      <c r="C1948" s="1324"/>
      <c r="D1948" s="1324"/>
      <c r="E1948" s="1324" t="str">
        <f>+IF(ISBLANK(REPORTS!F2001),"",REPORTS!F2001)</f>
        <v/>
      </c>
      <c r="F1948" s="1324" t="str">
        <f>+IF(ISBLANK(REPORTS!G2001),"",REPORTS!G2001)</f>
        <v/>
      </c>
      <c r="G1948" s="1324" t="str">
        <f>+IF(ISBLANK(REPORTS!H2001),"",REPORTS!H2001)</f>
        <v/>
      </c>
      <c r="H1948" s="1527"/>
    </row>
    <row r="1949" spans="1:8">
      <c r="A1949" s="1751">
        <v>54</v>
      </c>
      <c r="B1949" s="1393">
        <v>401</v>
      </c>
      <c r="C1949" s="1324" t="s">
        <v>6130</v>
      </c>
      <c r="D1949" s="1502" t="s">
        <v>6115</v>
      </c>
      <c r="E1949" s="1324">
        <f>+IF(ISBLANK(REPORTS!F2002),"",REPORTS!F2002)</f>
        <v>35356244.437981486</v>
      </c>
      <c r="F1949" s="1324">
        <f>+IF(ISBLANK(REPORTS!G2002),"",REPORTS!G2002)</f>
        <v>0</v>
      </c>
      <c r="G1949" s="1324">
        <f>+IF(ISBLANK(REPORTS!H2002),"",REPORTS!H2002)</f>
        <v>35356244.437981486</v>
      </c>
      <c r="H1949" s="1527"/>
    </row>
    <row r="1950" spans="1:8">
      <c r="A1950" s="1751">
        <v>55</v>
      </c>
      <c r="B1950" s="1541">
        <v>401</v>
      </c>
      <c r="C1950" s="1324" t="s">
        <v>6117</v>
      </c>
      <c r="D1950" s="1502"/>
      <c r="E1950" s="1374">
        <f>+IF(ISBLANK(REPORTS!F2003),"",REPORTS!F2003)</f>
        <v>1</v>
      </c>
      <c r="F1950" s="1374">
        <f>+IF(ISBLANK(REPORTS!G2003),"",REPORTS!G2003)</f>
        <v>0</v>
      </c>
      <c r="G1950" s="1374">
        <f>+IF(ISBLANK(REPORTS!H2003),"",REPORTS!H2003)</f>
        <v>1</v>
      </c>
      <c r="H1950" s="1527"/>
    </row>
    <row r="1951" spans="1:8">
      <c r="A1951" s="1751">
        <v>56</v>
      </c>
      <c r="B1951" s="1393"/>
      <c r="C1951" s="1324"/>
      <c r="D1951" s="907"/>
      <c r="E1951" s="1324" t="str">
        <f>+IF(ISBLANK(REPORTS!F2004),"",REPORTS!F2004)</f>
        <v/>
      </c>
      <c r="F1951" s="1324" t="str">
        <f>+IF(ISBLANK(REPORTS!G2004),"",REPORTS!G2004)</f>
        <v/>
      </c>
      <c r="G1951" s="1324" t="str">
        <f>+IF(ISBLANK(REPORTS!H2004),"",REPORTS!H2004)</f>
        <v/>
      </c>
      <c r="H1951" s="1527"/>
    </row>
    <row r="1952" spans="1:8">
      <c r="A1952" s="1751">
        <v>57</v>
      </c>
      <c r="B1952" s="1393">
        <v>402</v>
      </c>
      <c r="C1952" s="1324" t="s">
        <v>6131</v>
      </c>
      <c r="D1952" s="1502" t="s">
        <v>6115</v>
      </c>
      <c r="E1952" s="1324">
        <f>+IF(ISBLANK(REPORTS!F2005),"",REPORTS!F2005)</f>
        <v>32150017.252903681</v>
      </c>
      <c r="F1952" s="1324">
        <f>+IF(ISBLANK(REPORTS!G2005),"",REPORTS!G2005)</f>
        <v>0</v>
      </c>
      <c r="G1952" s="1324">
        <f>+IF(ISBLANK(REPORTS!H2005),"",REPORTS!H2005)</f>
        <v>32150017.252903681</v>
      </c>
      <c r="H1952" s="1527"/>
    </row>
    <row r="1953" spans="1:8">
      <c r="A1953" s="1751">
        <v>58</v>
      </c>
      <c r="B1953" s="1541">
        <v>402</v>
      </c>
      <c r="C1953" s="1324" t="s">
        <v>6117</v>
      </c>
      <c r="D1953" s="1502"/>
      <c r="E1953" s="1374">
        <f>+IF(ISBLANK(REPORTS!F2006),"",REPORTS!F2006)</f>
        <v>1</v>
      </c>
      <c r="F1953" s="1374">
        <f>+IF(ISBLANK(REPORTS!G2006),"",REPORTS!G2006)</f>
        <v>0</v>
      </c>
      <c r="G1953" s="1374">
        <f>+IF(ISBLANK(REPORTS!H2006),"",REPORTS!H2006)</f>
        <v>1</v>
      </c>
      <c r="H1953" s="1527"/>
    </row>
    <row r="1954" spans="1:8">
      <c r="A1954" s="1751">
        <v>59</v>
      </c>
      <c r="B1954" s="1393"/>
      <c r="C1954" s="1324"/>
      <c r="D1954" s="1324"/>
      <c r="E1954" s="1324" t="str">
        <f>+IF(ISBLANK(REPORTS!F2007),"",REPORTS!F2007)</f>
        <v/>
      </c>
      <c r="F1954" s="1324" t="str">
        <f>+IF(ISBLANK(REPORTS!G2007),"",REPORTS!G2007)</f>
        <v/>
      </c>
      <c r="G1954" s="1324" t="str">
        <f>+IF(ISBLANK(REPORTS!H2007),"",REPORTS!H2007)</f>
        <v/>
      </c>
      <c r="H1954" s="1527"/>
    </row>
    <row r="1955" spans="1:8">
      <c r="A1955" s="1751">
        <v>60</v>
      </c>
      <c r="B1955" s="1393">
        <v>403</v>
      </c>
      <c r="C1955" s="1324" t="s">
        <v>6132</v>
      </c>
      <c r="D1955" s="1502" t="s">
        <v>6115</v>
      </c>
      <c r="E1955" s="1324">
        <f>+IF(ISBLANK(REPORTS!F2008),"",REPORTS!F2008)</f>
        <v>29287373.041316651</v>
      </c>
      <c r="F1955" s="1324">
        <f>+IF(ISBLANK(REPORTS!G2008),"",REPORTS!G2008)</f>
        <v>0</v>
      </c>
      <c r="G1955" s="1324">
        <f>+IF(ISBLANK(REPORTS!H2008),"",REPORTS!H2008)</f>
        <v>29287373.041316651</v>
      </c>
      <c r="H1955" s="1527"/>
    </row>
    <row r="1956" spans="1:8">
      <c r="A1956" s="1751">
        <v>61</v>
      </c>
      <c r="B1956" s="1541">
        <v>403</v>
      </c>
      <c r="C1956" s="1324" t="s">
        <v>6117</v>
      </c>
      <c r="D1956" s="1502"/>
      <c r="E1956" s="1374">
        <f>+IF(ISBLANK(REPORTS!F2009),"",REPORTS!F2009)</f>
        <v>1</v>
      </c>
      <c r="F1956" s="1374">
        <f>+IF(ISBLANK(REPORTS!G2009),"",REPORTS!G2009)</f>
        <v>0</v>
      </c>
      <c r="G1956" s="1374">
        <f>+IF(ISBLANK(REPORTS!H2009),"",REPORTS!H2009)</f>
        <v>1</v>
      </c>
      <c r="H1956" s="1527"/>
    </row>
    <row r="1957" spans="1:8">
      <c r="A1957" s="1751">
        <v>62</v>
      </c>
      <c r="B1957" s="1393"/>
      <c r="C1957" s="1324"/>
      <c r="D1957" s="1324"/>
      <c r="E1957" s="1324" t="str">
        <f>+IF(ISBLANK(REPORTS!F2010),"",REPORTS!F2010)</f>
        <v/>
      </c>
      <c r="F1957" s="1324" t="str">
        <f>+IF(ISBLANK(REPORTS!G2010),"",REPORTS!G2010)</f>
        <v/>
      </c>
      <c r="G1957" s="1324" t="str">
        <f>+IF(ISBLANK(REPORTS!H2010),"",REPORTS!H2010)</f>
        <v/>
      </c>
      <c r="H1957" s="1527"/>
    </row>
    <row r="1958" spans="1:8">
      <c r="A1958" s="1751">
        <v>63</v>
      </c>
      <c r="B1958" s="1393">
        <v>404</v>
      </c>
      <c r="C1958" s="1324" t="s">
        <v>6133</v>
      </c>
      <c r="D1958" s="1344" t="s">
        <v>6122</v>
      </c>
      <c r="E1958" s="1324">
        <f>+IF(ISBLANK(REPORTS!F2011),"",REPORTS!F2011)</f>
        <v>20434223.836788256</v>
      </c>
      <c r="F1958" s="1324">
        <f>+IF(ISBLANK(REPORTS!G2011),"",REPORTS!G2011)</f>
        <v>0</v>
      </c>
      <c r="G1958" s="1324">
        <f>+IF(ISBLANK(REPORTS!H2011),"",REPORTS!H2011)</f>
        <v>20434223.836788256</v>
      </c>
      <c r="H1958" s="1527"/>
    </row>
    <row r="1959" spans="1:8">
      <c r="A1959" s="1751">
        <v>64</v>
      </c>
      <c r="B1959" s="1541">
        <v>404</v>
      </c>
      <c r="C1959" s="1324" t="s">
        <v>6117</v>
      </c>
      <c r="D1959" s="1502"/>
      <c r="E1959" s="1374">
        <f>+IF(ISBLANK(REPORTS!F2012),"",REPORTS!F2012)</f>
        <v>1</v>
      </c>
      <c r="F1959" s="1374">
        <f>+IF(ISBLANK(REPORTS!G2012),"",REPORTS!G2012)</f>
        <v>0</v>
      </c>
      <c r="G1959" s="1374">
        <f>+IF(ISBLANK(REPORTS!H2012),"",REPORTS!H2012)</f>
        <v>1</v>
      </c>
      <c r="H1959" s="1527"/>
    </row>
    <row r="1960" spans="1:8">
      <c r="A1960" s="1751">
        <v>65</v>
      </c>
      <c r="B1960" s="1393"/>
      <c r="C1960" s="1324"/>
      <c r="D1960" s="1324"/>
      <c r="E1960" s="1324" t="str">
        <f>+IF(ISBLANK(REPORTS!F2013),"",REPORTS!F2013)</f>
        <v/>
      </c>
      <c r="F1960" s="1324" t="str">
        <f>+IF(ISBLANK(REPORTS!G2013),"",REPORTS!G2013)</f>
        <v/>
      </c>
      <c r="G1960" s="1324" t="str">
        <f>+IF(ISBLANK(REPORTS!H2013),"",REPORTS!H2013)</f>
        <v/>
      </c>
      <c r="H1960" s="1527"/>
    </row>
    <row r="1961" spans="1:8">
      <c r="A1961" s="1751">
        <v>66</v>
      </c>
      <c r="B1961" s="1393">
        <v>405</v>
      </c>
      <c r="C1961" s="1324" t="s">
        <v>6134</v>
      </c>
      <c r="D1961" s="1344" t="s">
        <v>6122</v>
      </c>
      <c r="E1961" s="1324">
        <f>+IF(ISBLANK(REPORTS!F2014),"",REPORTS!F2014)</f>
        <v>19585405.539539233</v>
      </c>
      <c r="F1961" s="1324">
        <f>+IF(ISBLANK(REPORTS!G2014),"",REPORTS!G2014)</f>
        <v>0</v>
      </c>
      <c r="G1961" s="1324">
        <f>+IF(ISBLANK(REPORTS!H2014),"",REPORTS!H2014)</f>
        <v>19585405.539539233</v>
      </c>
      <c r="H1961" s="1527"/>
    </row>
    <row r="1962" spans="1:8">
      <c r="A1962" s="1751">
        <v>67</v>
      </c>
      <c r="B1962" s="1541">
        <v>405</v>
      </c>
      <c r="C1962" s="1324" t="s">
        <v>6117</v>
      </c>
      <c r="D1962" s="1502"/>
      <c r="E1962" s="1374">
        <f>+IF(ISBLANK(REPORTS!F2015),"",REPORTS!F2015)</f>
        <v>1</v>
      </c>
      <c r="F1962" s="1374">
        <f>+IF(ISBLANK(REPORTS!G2015),"",REPORTS!G2015)</f>
        <v>0</v>
      </c>
      <c r="G1962" s="1374">
        <f>+IF(ISBLANK(REPORTS!H2015),"",REPORTS!H2015)</f>
        <v>1</v>
      </c>
      <c r="H1962" s="1527"/>
    </row>
    <row r="1963" spans="1:8">
      <c r="A1963" s="1751">
        <v>68</v>
      </c>
      <c r="B1963" s="1393"/>
      <c r="C1963" s="1324"/>
      <c r="D1963" s="1324"/>
      <c r="E1963" s="1374" t="str">
        <f>+IF(ISBLANK(REPORTS!F2016),"",REPORTS!F2016)</f>
        <v/>
      </c>
      <c r="F1963" s="1374" t="str">
        <f>+IF(ISBLANK(REPORTS!G2016),"",REPORTS!G2016)</f>
        <v/>
      </c>
      <c r="G1963" s="1374" t="str">
        <f>+IF(ISBLANK(REPORTS!H2016),"",REPORTS!H2016)</f>
        <v/>
      </c>
      <c r="H1963" s="1527"/>
    </row>
    <row r="1964" spans="1:8">
      <c r="A1964" s="1751">
        <v>69</v>
      </c>
      <c r="B1964" s="1393">
        <v>406</v>
      </c>
      <c r="C1964" s="1324" t="s">
        <v>6135</v>
      </c>
      <c r="D1964" s="1344" t="s">
        <v>6122</v>
      </c>
      <c r="E1964" s="1324">
        <f>+IF(ISBLANK(REPORTS!F2017),"",REPORTS!F2017)</f>
        <v>18353841.420239165</v>
      </c>
      <c r="F1964" s="1324">
        <f>+IF(ISBLANK(REPORTS!G2017),"",REPORTS!G2017)</f>
        <v>0</v>
      </c>
      <c r="G1964" s="1324">
        <f>+IF(ISBLANK(REPORTS!H2017),"",REPORTS!H2017)</f>
        <v>18353841.420239165</v>
      </c>
      <c r="H1964" s="1527"/>
    </row>
    <row r="1965" spans="1:8">
      <c r="A1965" s="1751">
        <v>70</v>
      </c>
      <c r="B1965" s="1541">
        <v>406</v>
      </c>
      <c r="C1965" s="1324" t="s">
        <v>6117</v>
      </c>
      <c r="D1965" s="1502"/>
      <c r="E1965" s="1374">
        <f>+IF(ISBLANK(REPORTS!F2018),"",REPORTS!F2018)</f>
        <v>1</v>
      </c>
      <c r="F1965" s="1374">
        <f>+IF(ISBLANK(REPORTS!G2018),"",REPORTS!G2018)</f>
        <v>0</v>
      </c>
      <c r="G1965" s="1374">
        <f>+IF(ISBLANK(REPORTS!H2018),"",REPORTS!H2018)</f>
        <v>1</v>
      </c>
      <c r="H1965" s="1527"/>
    </row>
    <row r="1966" spans="1:8">
      <c r="A1966" s="1751">
        <v>71</v>
      </c>
      <c r="B1966" s="1393"/>
      <c r="C1966" s="1324"/>
      <c r="D1966" s="1502"/>
      <c r="E1966" s="1374" t="str">
        <f>+IF(ISBLANK(REPORTS!F2019),"",REPORTS!F2019)</f>
        <v/>
      </c>
      <c r="F1966" s="1374" t="str">
        <f>+IF(ISBLANK(REPORTS!G2019),"",REPORTS!G2019)</f>
        <v/>
      </c>
      <c r="G1966" s="1374" t="str">
        <f>+IF(ISBLANK(REPORTS!H2019),"",REPORTS!H2019)</f>
        <v/>
      </c>
      <c r="H1966" s="1527"/>
    </row>
    <row r="1967" spans="1:8">
      <c r="A1967" s="1751">
        <v>72</v>
      </c>
      <c r="B1967" s="1393">
        <v>412</v>
      </c>
      <c r="C1967" s="1324" t="s">
        <v>4795</v>
      </c>
      <c r="D1967" s="1344" t="s">
        <v>6136</v>
      </c>
      <c r="E1967" s="1324">
        <f>+IF(ISBLANK(REPORTS!F2020),"",REPORTS!F2020)</f>
        <v>10348044</v>
      </c>
      <c r="F1967" s="1324">
        <f>+IF(ISBLANK(REPORTS!G2020),"",REPORTS!G2020)</f>
        <v>0</v>
      </c>
      <c r="G1967" s="1324">
        <f>+IF(ISBLANK(REPORTS!H2020),"",REPORTS!H2020)</f>
        <v>10348044</v>
      </c>
      <c r="H1967" s="1527"/>
    </row>
    <row r="1968" spans="1:8">
      <c r="A1968" s="1751">
        <v>73</v>
      </c>
      <c r="B1968" s="1541">
        <v>412</v>
      </c>
      <c r="C1968" s="1324" t="s">
        <v>6117</v>
      </c>
      <c r="D1968" s="1502"/>
      <c r="E1968" s="1374">
        <f>+IF(ISBLANK(REPORTS!F2021),"",REPORTS!F2021)</f>
        <v>1</v>
      </c>
      <c r="F1968" s="1374">
        <f>+IF(ISBLANK(REPORTS!G2021),"",REPORTS!G2021)</f>
        <v>0</v>
      </c>
      <c r="G1968" s="1374">
        <f>+IF(ISBLANK(REPORTS!H2021),"",REPORTS!H2021)</f>
        <v>1</v>
      </c>
      <c r="H1968" s="1527"/>
    </row>
    <row r="1969" spans="1:8">
      <c r="A1969" s="1751">
        <v>74</v>
      </c>
      <c r="B1969" s="1543"/>
      <c r="C1969" s="1360"/>
      <c r="D1969" s="1447"/>
      <c r="E1969" s="1399" t="str">
        <f>+IF(ISBLANK(REPORTS!F2022),"",REPORTS!F2022)</f>
        <v/>
      </c>
      <c r="F1969" s="1399" t="str">
        <f>+IF(ISBLANK(REPORTS!G2022),"",REPORTS!G2022)</f>
        <v/>
      </c>
      <c r="G1969" s="1399" t="str">
        <f>+IF(ISBLANK(REPORTS!H2022),"",REPORTS!H2022)</f>
        <v/>
      </c>
      <c r="H1969" s="1527"/>
    </row>
    <row r="1970" spans="1:8">
      <c r="A1970" s="1751">
        <v>75</v>
      </c>
      <c r="B1970" s="1544">
        <v>418</v>
      </c>
      <c r="C1970" s="1324" t="s">
        <v>4824</v>
      </c>
      <c r="D1970" s="1511" t="s">
        <v>6137</v>
      </c>
      <c r="E1970" s="1324">
        <f>+IF(ISBLANK(REPORTS!F2023),"",REPORTS!F2023)</f>
        <v>862322</v>
      </c>
      <c r="F1970" s="1324">
        <f>+IF(ISBLANK(REPORTS!G2023),"",REPORTS!G2023)</f>
        <v>0</v>
      </c>
      <c r="G1970" s="1324">
        <f>+IF(ISBLANK(REPORTS!H2023),"",REPORTS!H2023)</f>
        <v>862322</v>
      </c>
      <c r="H1970" s="1527"/>
    </row>
    <row r="1971" spans="1:8">
      <c r="A1971" s="1751">
        <v>76</v>
      </c>
      <c r="B1971" s="1541">
        <v>418</v>
      </c>
      <c r="C1971" s="1324" t="s">
        <v>6117</v>
      </c>
      <c r="D1971" s="1502" t="s">
        <v>3179</v>
      </c>
      <c r="E1971" s="1374">
        <f>+IF(ISBLANK(REPORTS!F2024),"",REPORTS!F2024)</f>
        <v>1</v>
      </c>
      <c r="F1971" s="1374">
        <f>+IF(ISBLANK(REPORTS!G2024),"",REPORTS!G2024)</f>
        <v>0</v>
      </c>
      <c r="G1971" s="1374">
        <f>+IF(ISBLANK(REPORTS!H2024),"",REPORTS!H2024)</f>
        <v>1</v>
      </c>
      <c r="H1971" s="1527"/>
    </row>
    <row r="1972" spans="1:8">
      <c r="A1972" s="1751">
        <v>77</v>
      </c>
      <c r="B1972" s="1543"/>
      <c r="C1972" s="1360"/>
      <c r="D1972" s="1447"/>
      <c r="E1972" s="1399" t="str">
        <f>+IF(ISBLANK(REPORTS!F2025),"",REPORTS!F2025)</f>
        <v/>
      </c>
      <c r="F1972" s="1399" t="str">
        <f>+IF(ISBLANK(REPORTS!G2025),"",REPORTS!G2025)</f>
        <v/>
      </c>
      <c r="G1972" s="1399" t="str">
        <f>+IF(ISBLANK(REPORTS!H2025),"",REPORTS!H2025)</f>
        <v/>
      </c>
      <c r="H1972" s="1527"/>
    </row>
    <row r="1973" spans="1:8">
      <c r="A1973" s="1751">
        <v>78</v>
      </c>
      <c r="B1973" s="1544">
        <v>420</v>
      </c>
      <c r="C1973" s="1324" t="s">
        <v>4781</v>
      </c>
      <c r="D1973" s="1511" t="s">
        <v>6137</v>
      </c>
      <c r="E1973" s="1324">
        <f>+IF(ISBLANK(REPORTS!F2026),"",REPORTS!F2026)</f>
        <v>862093</v>
      </c>
      <c r="F1973" s="1324">
        <f>+IF(ISBLANK(REPORTS!G2026),"",REPORTS!G2026)</f>
        <v>0</v>
      </c>
      <c r="G1973" s="1324">
        <f>+IF(ISBLANK(REPORTS!H2026),"",REPORTS!H2026)</f>
        <v>862093</v>
      </c>
      <c r="H1973" s="1527"/>
    </row>
    <row r="1974" spans="1:8">
      <c r="A1974" s="1751">
        <v>79</v>
      </c>
      <c r="B1974" s="1541">
        <v>420</v>
      </c>
      <c r="C1974" s="1324" t="s">
        <v>6117</v>
      </c>
      <c r="D1974" s="1502" t="s">
        <v>3179</v>
      </c>
      <c r="E1974" s="1374">
        <f>+IF(ISBLANK(REPORTS!F2027),"",REPORTS!F2027)</f>
        <v>1</v>
      </c>
      <c r="F1974" s="1374">
        <f>+IF(ISBLANK(REPORTS!G2027),"",REPORTS!G2027)</f>
        <v>0</v>
      </c>
      <c r="G1974" s="1374">
        <f>+IF(ISBLANK(REPORTS!H2027),"",REPORTS!H2027)</f>
        <v>1</v>
      </c>
      <c r="H1974" s="1527"/>
    </row>
    <row r="1975" spans="1:8">
      <c r="A1975" s="1751"/>
      <c r="B1975" s="1324"/>
      <c r="C1975" s="1324"/>
      <c r="D1975" s="1324"/>
      <c r="E1975" s="1324"/>
      <c r="F1975" s="1324"/>
      <c r="G1975" s="1324"/>
      <c r="H1975" s="1324"/>
    </row>
    <row r="1976" spans="1:8">
      <c r="A1976" s="1751"/>
      <c r="B1976" s="1324"/>
      <c r="C1976" s="1324"/>
      <c r="D1976" s="1324"/>
      <c r="E1976" s="1324"/>
      <c r="F1976" s="1324"/>
      <c r="G1976" s="1324"/>
      <c r="H1976" s="1324"/>
    </row>
    <row r="1977" spans="1:8">
      <c r="A1977" s="1751"/>
      <c r="B1977" s="1324"/>
      <c r="C1977" s="1324"/>
      <c r="D1977" s="1324"/>
      <c r="E1977" s="1324"/>
      <c r="F1977" s="1324"/>
      <c r="G1977" s="1324"/>
      <c r="H1977" s="1324"/>
    </row>
    <row r="1978" spans="1:8">
      <c r="A1978" s="1751"/>
      <c r="B1978" s="1393"/>
      <c r="C1978" s="1324"/>
      <c r="D1978" s="1324"/>
      <c r="E1978" s="1324"/>
      <c r="F1978" s="1324"/>
      <c r="G1978" s="1324"/>
      <c r="H1978" s="1527"/>
    </row>
    <row r="1979" spans="1:8">
      <c r="A1979" s="1751"/>
      <c r="B1979" s="1393"/>
      <c r="C1979" s="1324"/>
      <c r="D1979" s="1324"/>
      <c r="E1979" s="1324"/>
      <c r="F1979" s="1324"/>
      <c r="G1979" s="1324"/>
      <c r="H1979" s="1527"/>
    </row>
    <row r="1980" spans="1:8">
      <c r="A1980" s="1751"/>
      <c r="B1980" s="1393"/>
      <c r="C1980" s="1324"/>
      <c r="D1980" s="1324"/>
      <c r="E1980" s="1324"/>
      <c r="F1980" s="1324"/>
      <c r="G1980" s="1324"/>
      <c r="H1980" s="1527"/>
    </row>
    <row r="1981" spans="1:8">
      <c r="A1981" s="1751"/>
      <c r="B1981" s="1393"/>
      <c r="C1981" s="1324"/>
      <c r="D1981" s="1324"/>
      <c r="E1981" s="1324"/>
      <c r="F1981" s="1324"/>
      <c r="G1981" s="1324"/>
      <c r="H1981" s="1527"/>
    </row>
    <row r="1982" spans="1:8">
      <c r="A1982" s="1751"/>
      <c r="B1982" s="1393"/>
      <c r="C1982" s="1324"/>
      <c r="D1982" s="1324"/>
      <c r="E1982" s="1324"/>
      <c r="F1982" s="1324"/>
      <c r="G1982" s="1324"/>
      <c r="H1982" s="1527"/>
    </row>
    <row r="1983" spans="1:8">
      <c r="A1983" s="1751"/>
      <c r="B1983" s="1393"/>
      <c r="C1983" s="1324"/>
      <c r="D1983" s="1324"/>
      <c r="E1983" s="1324"/>
      <c r="F1983" s="1324"/>
      <c r="G1983" s="1324"/>
      <c r="H1983" s="1527"/>
    </row>
    <row r="1984" spans="1:8">
      <c r="A1984" s="1751"/>
      <c r="B1984" s="1393"/>
      <c r="C1984" s="1324"/>
      <c r="D1984" s="1324"/>
      <c r="E1984" s="1324"/>
      <c r="F1984" s="1324"/>
      <c r="G1984" s="1324"/>
      <c r="H1984" s="1527"/>
    </row>
    <row r="1985" spans="1:8">
      <c r="A1985" s="1751"/>
      <c r="B1985" s="1393"/>
      <c r="C1985" s="1324"/>
      <c r="D1985" s="1324"/>
      <c r="E1985" s="1324"/>
      <c r="F1985" s="1324"/>
      <c r="G1985" s="1324"/>
      <c r="H1985" s="1527"/>
    </row>
    <row r="1986" spans="1:8">
      <c r="A1986" s="1751"/>
      <c r="B1986" s="1393"/>
      <c r="C1986" s="1324"/>
      <c r="D1986" s="1324"/>
      <c r="E1986" s="1324"/>
      <c r="F1986" s="1324"/>
      <c r="G1986" s="1324"/>
      <c r="H1986" s="1527"/>
    </row>
    <row r="1987" spans="1:8">
      <c r="A1987" s="1751"/>
      <c r="B1987" s="1393"/>
      <c r="C1987" s="1324"/>
      <c r="D1987" s="1324"/>
      <c r="E1987" s="1324"/>
      <c r="F1987" s="1324"/>
      <c r="G1987" s="1324"/>
      <c r="H1987" s="1527"/>
    </row>
    <row r="1988" spans="1:8">
      <c r="A1988" s="1751"/>
      <c r="B1988" s="1393"/>
      <c r="C1988" s="1324"/>
      <c r="D1988" s="1324"/>
      <c r="E1988" s="1324"/>
      <c r="F1988" s="1324"/>
      <c r="G1988" s="1324"/>
      <c r="H1988" s="1527"/>
    </row>
    <row r="1989" spans="1:8">
      <c r="A1989" s="1751"/>
      <c r="B1989" s="1416" t="str">
        <f>+$B$1</f>
        <v>RATES WITH REVENUE DEFICIENCY ADDITION</v>
      </c>
      <c r="C1989" s="1326"/>
      <c r="D1989" s="1324"/>
      <c r="E1989" s="1324"/>
      <c r="F1989" s="1329" t="s">
        <v>2173</v>
      </c>
      <c r="G1989" s="1324"/>
      <c r="H1989" s="1750" t="s">
        <v>4867</v>
      </c>
    </row>
    <row r="1990" spans="1:8">
      <c r="A1990" s="1751"/>
      <c r="B1990" s="1416" t="str">
        <f>+$B$2</f>
        <v xml:space="preserve">PROD. CAP. ALLOC. METHOD: 12 CP </v>
      </c>
      <c r="C1990" s="1326"/>
      <c r="D1990" s="1324"/>
      <c r="E1990" s="1324"/>
      <c r="F1990" s="1336" t="s">
        <v>4768</v>
      </c>
      <c r="G1990" s="1324"/>
      <c r="H1990" s="1374"/>
    </row>
    <row r="1991" spans="1:8">
      <c r="A1991" s="1751"/>
      <c r="B1991" s="1416" t="str">
        <f>+$B$3</f>
        <v>PROJECTED CALENDAR YEAR 2025; FULLY ADJUSTED DATA</v>
      </c>
      <c r="C1991" s="1324"/>
      <c r="D1991" s="1324"/>
      <c r="E1991" s="1324"/>
      <c r="F1991" s="1324"/>
      <c r="G1991" s="1324"/>
      <c r="H1991" s="1374"/>
    </row>
    <row r="1992" spans="1:8">
      <c r="A1992" s="1751"/>
      <c r="B1992" s="1732">
        <f>+$B$4</f>
        <v>0</v>
      </c>
      <c r="C1992" s="1324"/>
      <c r="D1992" s="1324"/>
      <c r="E1992" s="1324"/>
      <c r="F1992" s="1324"/>
      <c r="G1992" s="1324"/>
      <c r="H1992" s="1374"/>
    </row>
    <row r="1993" spans="1:8">
      <c r="A1993" s="1751"/>
      <c r="B1993" s="1732" t="str">
        <f>+$B$5</f>
        <v>Tampa Electric 2025 OB Budget</v>
      </c>
      <c r="C1993" s="1324"/>
      <c r="D1993" s="1324"/>
      <c r="E1993" s="1324"/>
      <c r="F1993" s="1336" t="s">
        <v>6112</v>
      </c>
      <c r="G1993" s="1324"/>
      <c r="H1993" s="1374"/>
    </row>
    <row r="1994" spans="1:8">
      <c r="A1994" s="1751"/>
      <c r="B1994" s="1733"/>
      <c r="C1994" s="1324"/>
      <c r="D1994" s="1324"/>
      <c r="E1994" s="1324"/>
      <c r="F1994" s="1336"/>
      <c r="G1994" s="1324"/>
      <c r="H1994" s="1374"/>
    </row>
    <row r="1995" spans="1:8">
      <c r="A1995" s="1751"/>
      <c r="B1995" s="1393"/>
      <c r="C1995" s="1324"/>
      <c r="D1995" s="1324"/>
      <c r="E1995" s="1324"/>
      <c r="F1995" s="1324"/>
      <c r="G1995" s="1324"/>
      <c r="H1995" s="1527"/>
    </row>
    <row r="1996" spans="1:8" ht="28.2">
      <c r="A1996" s="1754" t="s">
        <v>4297</v>
      </c>
      <c r="B1996" s="1737" t="s">
        <v>6113</v>
      </c>
      <c r="C1996" s="1353"/>
      <c r="D1996" s="1353" t="s">
        <v>6114</v>
      </c>
      <c r="E1996" s="1352" t="s">
        <v>5144</v>
      </c>
      <c r="F1996" s="1352" t="s">
        <v>4956</v>
      </c>
      <c r="G1996" s="1352" t="s">
        <v>4957</v>
      </c>
      <c r="H1996" s="1536"/>
    </row>
    <row r="1997" spans="1:8">
      <c r="A1997" s="1754"/>
      <c r="B1997" s="1543"/>
      <c r="C1997" s="1360"/>
      <c r="D1997" s="1447"/>
      <c r="E1997" s="1399"/>
      <c r="F1997" s="1399"/>
      <c r="G1997" s="1399"/>
      <c r="H1997" s="1536"/>
    </row>
    <row r="1998" spans="1:8">
      <c r="A1998" s="1755">
        <v>80</v>
      </c>
      <c r="B1998" s="1393">
        <v>501</v>
      </c>
      <c r="C1998" s="1324" t="s">
        <v>4778</v>
      </c>
      <c r="D1998" s="1344" t="s">
        <v>6125</v>
      </c>
      <c r="E1998" s="1324">
        <f>+IF(ISBLANK(REPORTS!F2042),"",REPORTS!F2042)</f>
        <v>1774352.2642492782</v>
      </c>
      <c r="F1998" s="1324">
        <f>+IF(ISBLANK(REPORTS!G2042),"",REPORTS!G2042)</f>
        <v>0</v>
      </c>
      <c r="G1998" s="1324">
        <f>+IF(ISBLANK(REPORTS!H2042),"",REPORTS!H2042)</f>
        <v>1774352.2642492782</v>
      </c>
      <c r="H1998" s="1364"/>
    </row>
    <row r="1999" spans="1:8">
      <c r="A1999" s="1755">
        <v>81</v>
      </c>
      <c r="B1999" s="1541">
        <v>501</v>
      </c>
      <c r="C1999" s="1324" t="s">
        <v>6117</v>
      </c>
      <c r="D1999" s="1502" t="s">
        <v>3179</v>
      </c>
      <c r="E1999" s="1374">
        <f>+IF(ISBLANK(REPORTS!F2043),"",REPORTS!F2043)</f>
        <v>1</v>
      </c>
      <c r="F1999" s="1374">
        <f>+IF(ISBLANK(REPORTS!G2043),"",REPORTS!G2043)</f>
        <v>0</v>
      </c>
      <c r="G1999" s="1374">
        <f>+IF(ISBLANK(REPORTS!H2043),"",REPORTS!H2043)</f>
        <v>1</v>
      </c>
      <c r="H1999" s="1527"/>
    </row>
    <row r="2000" spans="1:8">
      <c r="A2000" s="1755">
        <v>82</v>
      </c>
      <c r="B2000" s="1393"/>
      <c r="C2000" s="1324"/>
      <c r="D2000" s="1324"/>
      <c r="E2000" s="1324" t="str">
        <f>+IF(ISBLANK(REPORTS!F2044),"",REPORTS!F2044)</f>
        <v/>
      </c>
      <c r="F2000" s="1324" t="str">
        <f>+IF(ISBLANK(REPORTS!G2044),"",REPORTS!G2044)</f>
        <v/>
      </c>
      <c r="G2000" s="1324" t="str">
        <f>+IF(ISBLANK(REPORTS!H2044),"",REPORTS!H2044)</f>
        <v/>
      </c>
      <c r="H2000" s="1536"/>
    </row>
    <row r="2001" spans="1:8">
      <c r="A2001" s="1755">
        <v>83</v>
      </c>
      <c r="B2001" s="1393">
        <v>507</v>
      </c>
      <c r="C2001" s="1324" t="s">
        <v>4842</v>
      </c>
      <c r="D2001" s="1344" t="s">
        <v>6125</v>
      </c>
      <c r="E2001" s="1324">
        <f>+IF(ISBLANK(REPORTS!F2045),"",REPORTS!F2045)</f>
        <v>1774352.2642492782</v>
      </c>
      <c r="F2001" s="1324">
        <f>+IF(ISBLANK(REPORTS!G2045),"",REPORTS!G2045)</f>
        <v>0</v>
      </c>
      <c r="G2001" s="1324">
        <f>+IF(ISBLANK(REPORTS!H2045),"",REPORTS!H2045)</f>
        <v>1774352.2642492782</v>
      </c>
      <c r="H2001" s="1536"/>
    </row>
    <row r="2002" spans="1:8">
      <c r="A2002" s="1755">
        <v>84</v>
      </c>
      <c r="B2002" s="1541">
        <v>507</v>
      </c>
      <c r="C2002" s="1324" t="s">
        <v>6117</v>
      </c>
      <c r="D2002" s="1344" t="s">
        <v>3179</v>
      </c>
      <c r="E2002" s="1374">
        <f>+IF(ISBLANK(REPORTS!F2046),"",REPORTS!F2046)</f>
        <v>1</v>
      </c>
      <c r="F2002" s="1374">
        <f>+IF(ISBLANK(REPORTS!G2046),"",REPORTS!G2046)</f>
        <v>0</v>
      </c>
      <c r="G2002" s="1374">
        <f>+IF(ISBLANK(REPORTS!H2046),"",REPORTS!H2046)</f>
        <v>1</v>
      </c>
      <c r="H2002" s="1527"/>
    </row>
    <row r="2003" spans="1:8">
      <c r="A2003" s="1755">
        <v>85</v>
      </c>
      <c r="B2003" s="1393"/>
      <c r="C2003" s="1324"/>
      <c r="D2003" s="1324"/>
      <c r="E2003" s="1324" t="str">
        <f>+IF(ISBLANK(REPORTS!F2047),"",REPORTS!F2047)</f>
        <v/>
      </c>
      <c r="F2003" s="1324" t="str">
        <f>+IF(ISBLANK(REPORTS!G2047),"",REPORTS!G2047)</f>
        <v/>
      </c>
      <c r="G2003" s="1324" t="str">
        <f>+IF(ISBLANK(REPORTS!H2047),"",REPORTS!H2047)</f>
        <v/>
      </c>
      <c r="H2003" s="1536"/>
    </row>
    <row r="2004" spans="1:8">
      <c r="A2004" s="1755">
        <v>86</v>
      </c>
      <c r="B2004" s="1393">
        <v>508</v>
      </c>
      <c r="C2004" s="1324" t="s">
        <v>4802</v>
      </c>
      <c r="D2004" s="1344" t="s">
        <v>6125</v>
      </c>
      <c r="E2004" s="1410">
        <f>+IF(ISBLANK(REPORTS!F2048),"",REPORTS!F2048)</f>
        <v>-70.099129249415967</v>
      </c>
      <c r="F2004" s="1410">
        <f>+IF(ISBLANK(REPORTS!G2048),"",REPORTS!G2048)</f>
        <v>0</v>
      </c>
      <c r="G2004" s="1410">
        <f>+IF(ISBLANK(REPORTS!H2048),"",REPORTS!H2048)</f>
        <v>-70.099129249415967</v>
      </c>
      <c r="H2004" s="1536"/>
    </row>
    <row r="2005" spans="1:8">
      <c r="A2005" s="1755">
        <v>87</v>
      </c>
      <c r="B2005" s="1541">
        <v>508</v>
      </c>
      <c r="C2005" s="1324" t="s">
        <v>6117</v>
      </c>
      <c r="D2005" s="1502" t="s">
        <v>3179</v>
      </c>
      <c r="E2005" s="1374">
        <f>+IF(ISBLANK(REPORTS!F2049),"",REPORTS!F2049)</f>
        <v>1</v>
      </c>
      <c r="F2005" s="1374">
        <f>+IF(ISBLANK(REPORTS!G2049),"",REPORTS!G2049)</f>
        <v>0</v>
      </c>
      <c r="G2005" s="1374">
        <f>+IF(ISBLANK(REPORTS!H2049),"",REPORTS!H2049)</f>
        <v>1</v>
      </c>
      <c r="H2005" s="1527"/>
    </row>
    <row r="2006" spans="1:8">
      <c r="A2006" s="1755">
        <v>88</v>
      </c>
      <c r="B2006" s="1393"/>
      <c r="C2006" s="1324"/>
      <c r="D2006" s="1324"/>
      <c r="E2006" s="1324" t="str">
        <f>+IF(ISBLANK(REPORTS!F2050),"",REPORTS!F2050)</f>
        <v/>
      </c>
      <c r="F2006" s="1324" t="str">
        <f>+IF(ISBLANK(REPORTS!G2050),"",REPORTS!G2050)</f>
        <v/>
      </c>
      <c r="G2006" s="1324" t="str">
        <f>+IF(ISBLANK(REPORTS!H2050),"",REPORTS!H2050)</f>
        <v/>
      </c>
      <c r="H2006" s="1536"/>
    </row>
    <row r="2007" spans="1:8">
      <c r="A2007" s="1755">
        <v>89</v>
      </c>
      <c r="B2007" s="1393">
        <v>607</v>
      </c>
      <c r="C2007" s="1324" t="s">
        <v>6142</v>
      </c>
      <c r="D2007" s="1344" t="s">
        <v>6125</v>
      </c>
      <c r="E2007" s="1324">
        <f>+IF(ISBLANK(REPORTS!F2051),"",REPORTS!F2051)</f>
        <v>18434.779499890956</v>
      </c>
      <c r="F2007" s="1324">
        <f>+IF(ISBLANK(REPORTS!G2051),"",REPORTS!G2051)</f>
        <v>0</v>
      </c>
      <c r="G2007" s="1324">
        <f>+IF(ISBLANK(REPORTS!H2051),"",REPORTS!H2051)</f>
        <v>18434.779499890956</v>
      </c>
      <c r="H2007" s="1527"/>
    </row>
    <row r="2008" spans="1:8">
      <c r="A2008" s="1755">
        <v>90</v>
      </c>
      <c r="B2008" s="1541">
        <v>607</v>
      </c>
      <c r="C2008" s="1324" t="s">
        <v>6117</v>
      </c>
      <c r="D2008" s="1502" t="s">
        <v>3179</v>
      </c>
      <c r="E2008" s="1374">
        <f>+IF(ISBLANK(REPORTS!F2052),"",REPORTS!F2052)</f>
        <v>1</v>
      </c>
      <c r="F2008" s="1374">
        <f>+IF(ISBLANK(REPORTS!G2052),"",REPORTS!G2052)</f>
        <v>0</v>
      </c>
      <c r="G2008" s="1374">
        <f>+IF(ISBLANK(REPORTS!H2052),"",REPORTS!H2052)</f>
        <v>1</v>
      </c>
      <c r="H2008" s="1527"/>
    </row>
    <row r="2009" spans="1:8">
      <c r="A2009" s="1755">
        <v>91</v>
      </c>
      <c r="B2009" s="1393"/>
      <c r="C2009" s="1324"/>
      <c r="D2009" s="1324"/>
      <c r="E2009" s="1324" t="str">
        <f>+IF(ISBLANK(REPORTS!F2053),"",REPORTS!F2053)</f>
        <v/>
      </c>
      <c r="F2009" s="1324" t="str">
        <f>+IF(ISBLANK(REPORTS!G2053),"",REPORTS!G2053)</f>
        <v/>
      </c>
      <c r="G2009" s="1324" t="str">
        <f>+IF(ISBLANK(REPORTS!H2053),"",REPORTS!H2053)</f>
        <v/>
      </c>
      <c r="H2009" s="1527"/>
    </row>
    <row r="2010" spans="1:8">
      <c r="A2010" s="1755">
        <v>92</v>
      </c>
      <c r="B2010" s="1393">
        <v>907</v>
      </c>
      <c r="C2010" s="1324" t="s">
        <v>6144</v>
      </c>
      <c r="D2010" s="1344" t="s">
        <v>6125</v>
      </c>
      <c r="E2010" s="1324">
        <f>+IF(ISBLANK(REPORTS!F2054),"",REPORTS!F2054)</f>
        <v>830246.67682678136</v>
      </c>
      <c r="F2010" s="1324">
        <f>+IF(ISBLANK(REPORTS!G2054),"",REPORTS!G2054)</f>
        <v>0</v>
      </c>
      <c r="G2010" s="1324">
        <f>+IF(ISBLANK(REPORTS!H2054),"",REPORTS!H2054)</f>
        <v>830246.67682678136</v>
      </c>
      <c r="H2010" s="1527"/>
    </row>
    <row r="2011" spans="1:8">
      <c r="A2011" s="1755">
        <v>93</v>
      </c>
      <c r="B2011" s="1541">
        <v>907</v>
      </c>
      <c r="C2011" s="1324" t="s">
        <v>6117</v>
      </c>
      <c r="D2011" s="1502" t="s">
        <v>3179</v>
      </c>
      <c r="E2011" s="1374">
        <f>+IF(ISBLANK(REPORTS!F2055),"",REPORTS!F2055)</f>
        <v>1</v>
      </c>
      <c r="F2011" s="1374">
        <f>+IF(ISBLANK(REPORTS!G2055),"",REPORTS!G2055)</f>
        <v>0</v>
      </c>
      <c r="G2011" s="1374">
        <f>+IF(ISBLANK(REPORTS!H2055),"",REPORTS!H2055)</f>
        <v>1</v>
      </c>
      <c r="H2011" s="1527"/>
    </row>
    <row r="2012" spans="1:8">
      <c r="A2012" s="1755">
        <v>94</v>
      </c>
      <c r="B2012" s="1393"/>
      <c r="C2012" s="1324"/>
      <c r="D2012" s="1324"/>
      <c r="E2012" s="1324" t="str">
        <f>+IF(ISBLANK(REPORTS!F2056),"",REPORTS!F2056)</f>
        <v/>
      </c>
      <c r="F2012" s="1324" t="str">
        <f>+IF(ISBLANK(REPORTS!G2056),"",REPORTS!G2056)</f>
        <v/>
      </c>
      <c r="G2012" s="1324" t="str">
        <f>+IF(ISBLANK(REPORTS!H2056),"",REPORTS!H2056)</f>
        <v/>
      </c>
      <c r="H2012" s="1527"/>
    </row>
    <row r="2013" spans="1:8">
      <c r="A2013" s="1755">
        <v>95</v>
      </c>
      <c r="B2013" s="1393">
        <v>817</v>
      </c>
      <c r="C2013" s="1324" t="s">
        <v>6146</v>
      </c>
      <c r="D2013" s="1344" t="s">
        <v>6115</v>
      </c>
      <c r="E2013" s="1324">
        <f>+IF(ISBLANK(REPORTS!F2057),"",REPORTS!F2057)</f>
        <v>3974499.896269511</v>
      </c>
      <c r="F2013" s="1324">
        <f>+IF(ISBLANK(REPORTS!G2057),"",REPORTS!G2057)</f>
        <v>0</v>
      </c>
      <c r="G2013" s="1324">
        <f>+IF(ISBLANK(REPORTS!H2057),"",REPORTS!H2057)</f>
        <v>3974499.896269511</v>
      </c>
      <c r="H2013" s="1527"/>
    </row>
    <row r="2014" spans="1:8">
      <c r="A2014" s="1755">
        <v>96</v>
      </c>
      <c r="B2014" s="1541">
        <v>817</v>
      </c>
      <c r="C2014" s="1324" t="s">
        <v>6117</v>
      </c>
      <c r="D2014" s="1344" t="s">
        <v>3179</v>
      </c>
      <c r="E2014" s="1374">
        <f>+IF(ISBLANK(REPORTS!F2058),"",REPORTS!F2058)</f>
        <v>1</v>
      </c>
      <c r="F2014" s="1374">
        <f>+IF(ISBLANK(REPORTS!G2058),"",REPORTS!G2058)</f>
        <v>0</v>
      </c>
      <c r="G2014" s="1374">
        <f>+IF(ISBLANK(REPORTS!H2058),"",REPORTS!H2058)</f>
        <v>1</v>
      </c>
      <c r="H2014" s="1527"/>
    </row>
  </sheetData>
  <printOptions headings="1" gridLines="1"/>
  <pageMargins left="0.7" right="0.7" top="1.25" bottom="0.5" header="1.05" footer="0.3"/>
  <pageSetup scale="75" fitToWidth="0" fitToHeight="0" orientation="landscape" r:id="rId1"/>
  <headerFooter>
    <oddHeader>&amp;A</oddHeader>
  </headerFooter>
  <rowBreaks count="6" manualBreakCount="6">
    <brk id="364" min="1" max="10" man="1"/>
    <brk id="424" min="1" max="10" man="1"/>
    <brk id="484" min="1" max="10" man="1"/>
    <brk id="545" min="1" max="10" man="1"/>
    <brk id="905" min="1" max="10" man="1"/>
    <brk id="1866" max="10" man="1"/>
  </rowBreaks>
  <customProperties>
    <customPr name="_pios_id" r:id="rId2"/>
    <customPr name="EpmWorksheetKeyString_GUID" r:id="rId3"/>
  </customPropertie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9"/>
  </sheetPr>
  <dimension ref="A1:M2553"/>
  <sheetViews>
    <sheetView tabSelected="1" showOutlineSymbols="0" view="pageBreakPreview" zoomScale="60" zoomScaleNormal="100" workbookViewId="0"/>
  </sheetViews>
  <sheetFormatPr defaultRowHeight="14.4"/>
  <cols>
    <col min="1" max="1" width="10.88671875" style="1393" customWidth="1"/>
    <col min="2" max="2" width="53.6640625" style="1324" customWidth="1"/>
    <col min="3" max="3" width="13.5546875" style="1324" customWidth="1"/>
    <col min="4" max="4" width="17.44140625" style="1324" bestFit="1" customWidth="1"/>
    <col min="5" max="5" width="14" style="1324" bestFit="1" customWidth="1"/>
    <col min="6" max="11" width="12.44140625" style="1324" customWidth="1"/>
    <col min="12" max="12" width="12.44140625" style="1320" customWidth="1"/>
    <col min="13" max="13" width="15.44140625" style="1320" customWidth="1"/>
  </cols>
  <sheetData>
    <row r="1" spans="1:13">
      <c r="A1" s="1732" t="str">
        <f>+'MFR HEADERS'!A8</f>
        <v>RATES WITH REVENUE DEFICIENCY ADDITION</v>
      </c>
      <c r="F1" s="1329" t="s">
        <v>2173</v>
      </c>
      <c r="G1" s="1329"/>
      <c r="H1" s="1329"/>
      <c r="I1" s="1329"/>
      <c r="L1" s="1331"/>
      <c r="M1" s="1332" t="s">
        <v>4767</v>
      </c>
    </row>
    <row r="2" spans="1:13">
      <c r="A2" s="1732" t="str">
        <f>+'MFR HEADERS'!A9</f>
        <v>PROD. CAP. ALLOC. METHOD: 12 CP &amp; 1/13th AD</v>
      </c>
      <c r="F2" s="1336" t="s">
        <v>5141</v>
      </c>
      <c r="G2" s="1336"/>
      <c r="H2" s="1336"/>
      <c r="I2" s="1336"/>
      <c r="M2" s="1409"/>
    </row>
    <row r="3" spans="1:13">
      <c r="A3" s="1732" t="str">
        <f>+'MFR HEADERS'!A10</f>
        <v>PROJECTED CALENDAR YEAR 2025; FULLY ADJUSTED DATA</v>
      </c>
      <c r="F3" s="1336" t="s">
        <v>2181</v>
      </c>
      <c r="G3" s="1336"/>
      <c r="H3" s="1336"/>
      <c r="I3" s="1336"/>
    </row>
    <row r="4" spans="1:13">
      <c r="A4" s="1732" t="str">
        <f>+'MFR HEADERS'!A11</f>
        <v>MINIMUM DISTRIBUTION SYSTEM (MDS) NOT EMPLOYED</v>
      </c>
      <c r="M4" s="1332"/>
    </row>
    <row r="5" spans="1:13">
      <c r="A5" s="1732" t="str">
        <f>+'MFR HEADERS'!A12</f>
        <v>Tampa Electric 2025 OB Budget</v>
      </c>
      <c r="B5" s="1732"/>
      <c r="C5" s="1732"/>
      <c r="F5" s="1336" t="s">
        <v>5142</v>
      </c>
      <c r="G5" s="1336"/>
      <c r="H5" s="1336"/>
      <c r="I5" s="1336"/>
    </row>
    <row r="6" spans="1:13">
      <c r="A6" s="1734"/>
      <c r="F6" s="1336"/>
      <c r="G6" s="1336"/>
      <c r="H6" s="1336"/>
      <c r="I6" s="1336"/>
    </row>
    <row r="7" spans="1:13">
      <c r="B7" s="907"/>
      <c r="C7" s="907"/>
      <c r="F7" s="1336"/>
      <c r="G7" s="1336"/>
      <c r="H7" s="1336"/>
      <c r="I7" s="1336"/>
    </row>
    <row r="9" spans="1:13">
      <c r="A9" s="1735"/>
      <c r="E9" s="1344"/>
      <c r="J9" s="1345"/>
      <c r="K9" s="1345"/>
      <c r="L9" s="1346"/>
    </row>
    <row r="10" spans="1:13" ht="28.2">
      <c r="A10" s="1737" t="s">
        <v>4297</v>
      </c>
      <c r="B10" s="1366"/>
      <c r="C10" s="1366"/>
      <c r="D10" s="1352" t="s">
        <v>4957</v>
      </c>
      <c r="E10" s="1353" t="s">
        <v>1949</v>
      </c>
      <c r="F10" s="1353" t="s">
        <v>1950</v>
      </c>
      <c r="G10" s="1353" t="s">
        <v>1934</v>
      </c>
      <c r="H10" s="1353" t="s">
        <v>1971</v>
      </c>
      <c r="I10" s="1353" t="s">
        <v>1972</v>
      </c>
      <c r="J10" s="1352" t="s">
        <v>5146</v>
      </c>
      <c r="K10" s="1352" t="s">
        <v>5147</v>
      </c>
      <c r="L10" s="1355"/>
      <c r="M10" s="1348" t="s">
        <v>5143</v>
      </c>
    </row>
    <row r="11" spans="1:13">
      <c r="A11" s="1739"/>
      <c r="B11" s="1364"/>
      <c r="C11" s="1364"/>
      <c r="D11" s="1360"/>
      <c r="E11" s="1360"/>
      <c r="F11" s="1360"/>
      <c r="G11" s="1360"/>
      <c r="H11" s="1360"/>
      <c r="I11" s="1360"/>
      <c r="J11" s="1360"/>
      <c r="K11" s="1360"/>
      <c r="L11" s="1346"/>
      <c r="M11" s="1356"/>
    </row>
    <row r="12" spans="1:13">
      <c r="A12" s="1393">
        <v>1</v>
      </c>
      <c r="B12" s="1362" t="s">
        <v>5149</v>
      </c>
      <c r="C12" s="1362"/>
    </row>
    <row r="13" spans="1:13">
      <c r="A13" s="1393">
        <v>2</v>
      </c>
      <c r="B13" s="1324" t="s">
        <v>4776</v>
      </c>
      <c r="D13" s="1364">
        <f>+IF(ISBLANK(REPORTS!J14),"",REPORTS!J14)</f>
        <v>1774352.2642492782</v>
      </c>
      <c r="E13" s="1364">
        <f>+IF(ISBLANK(REPORTS!K14),"",REPORTS!K14)</f>
        <v>1031095.7438643834</v>
      </c>
      <c r="F13" s="1364">
        <f>+IF(ISBLANK(REPORTS!L14),"",REPORTS!L14)</f>
        <v>95215.926359999998</v>
      </c>
      <c r="G13" s="1364">
        <f>+IF(ISBLANK(REPORTS!M14),"",REPORTS!M14)</f>
        <v>472409.06597747206</v>
      </c>
      <c r="H13" s="1364">
        <f>+IF(ISBLANK(REPORTS!N14),"",REPORTS!N14)</f>
        <v>56248.638876056888</v>
      </c>
      <c r="I13" s="1364">
        <f>+IF(ISBLANK(REPORTS!O14),"",REPORTS!O14)</f>
        <v>33101.5829713657</v>
      </c>
      <c r="J13" s="1364">
        <f>+IF(ISBLANK(REPORTS!P14),"",REPORTS!P14)</f>
        <v>3573.4600599999999</v>
      </c>
      <c r="K13" s="1364">
        <f>+IF(ISBLANK(REPORTS!Q14),"",REPORTS!Q14)</f>
        <v>82707.846140000009</v>
      </c>
      <c r="L13" s="1358"/>
      <c r="M13" s="1324"/>
    </row>
    <row r="14" spans="1:13">
      <c r="A14" s="1393">
        <v>3</v>
      </c>
      <c r="B14" s="1324" t="s">
        <v>5151</v>
      </c>
      <c r="D14" s="1366">
        <f>+IF(ISBLANK(REPORTS!J15),"",REPORTS!J15)</f>
        <v>40729.386446632147</v>
      </c>
      <c r="E14" s="1366">
        <f>+IF(ISBLANK(REPORTS!K15),"",REPORTS!K15)</f>
        <v>30798.593599985277</v>
      </c>
      <c r="F14" s="1366">
        <f>+IF(ISBLANK(REPORTS!L15),"",REPORTS!L15)</f>
        <v>2731.1221004361505</v>
      </c>
      <c r="G14" s="1366">
        <f>+IF(ISBLANK(REPORTS!M15),"",REPORTS!M15)</f>
        <v>6219.6828355399766</v>
      </c>
      <c r="H14" s="1366">
        <f>+IF(ISBLANK(REPORTS!N15),"",REPORTS!N15)</f>
        <v>644.88730209589937</v>
      </c>
      <c r="I14" s="1366">
        <f>+IF(ISBLANK(REPORTS!O15),"",REPORTS!O15)</f>
        <v>118.12635451814252</v>
      </c>
      <c r="J14" s="1366">
        <f>+IF(ISBLANK(REPORTS!P15),"",REPORTS!P15)</f>
        <v>99.333348273601672</v>
      </c>
      <c r="K14" s="1366">
        <f>+IF(ISBLANK(REPORTS!Q15),"",REPORTS!Q15)</f>
        <v>117.64090578310908</v>
      </c>
      <c r="L14" s="1358"/>
      <c r="M14" s="1324"/>
    </row>
    <row r="15" spans="1:13">
      <c r="A15" s="1393">
        <v>4</v>
      </c>
      <c r="D15" s="1364" t="str">
        <f>+IF(ISBLANK(REPORTS!J16),"",REPORTS!J16)</f>
        <v/>
      </c>
      <c r="E15" s="1364" t="str">
        <f>+IF(ISBLANK(REPORTS!K16),"",REPORTS!K16)</f>
        <v/>
      </c>
      <c r="F15" s="1364" t="str">
        <f>+IF(ISBLANK(REPORTS!L16),"",REPORTS!L16)</f>
        <v/>
      </c>
      <c r="G15" s="1364" t="str">
        <f>+IF(ISBLANK(REPORTS!M16),"",REPORTS!M16)</f>
        <v/>
      </c>
      <c r="H15" s="1364" t="str">
        <f>+IF(ISBLANK(REPORTS!N16),"",REPORTS!N16)</f>
        <v/>
      </c>
      <c r="I15" s="1364" t="str">
        <f>+IF(ISBLANK(REPORTS!O16),"",REPORTS!O16)</f>
        <v/>
      </c>
      <c r="J15" s="1364" t="str">
        <f>+IF(ISBLANK(REPORTS!P16),"",REPORTS!P16)</f>
        <v/>
      </c>
      <c r="K15" s="1364" t="str">
        <f>+IF(ISBLANK(REPORTS!Q16),"",REPORTS!Q16)</f>
        <v/>
      </c>
      <c r="L15" s="1358"/>
      <c r="M15" s="1324"/>
    </row>
    <row r="16" spans="1:13">
      <c r="A16" s="1393">
        <v>5</v>
      </c>
      <c r="B16" s="1324" t="s">
        <v>5153</v>
      </c>
      <c r="D16" s="1364">
        <f>+IF(ISBLANK(REPORTS!J17),"",REPORTS!J17)</f>
        <v>1815081.6506959104</v>
      </c>
      <c r="E16" s="1364">
        <f>+IF(ISBLANK(REPORTS!K17),"",REPORTS!K17)</f>
        <v>1061894.3374643687</v>
      </c>
      <c r="F16" s="1364">
        <f>+IF(ISBLANK(REPORTS!L17),"",REPORTS!L17)</f>
        <v>97947.048460436141</v>
      </c>
      <c r="G16" s="1364">
        <f>+IF(ISBLANK(REPORTS!M17),"",REPORTS!M17)</f>
        <v>478628.74881301203</v>
      </c>
      <c r="H16" s="1364">
        <f>+IF(ISBLANK(REPORTS!N17),"",REPORTS!N17)</f>
        <v>56893.526178152788</v>
      </c>
      <c r="I16" s="1364">
        <f>+IF(ISBLANK(REPORTS!O17),"",REPORTS!O17)</f>
        <v>33219.709325883843</v>
      </c>
      <c r="J16" s="1364">
        <f>+IF(ISBLANK(REPORTS!P17),"",REPORTS!P17)</f>
        <v>3672.7934082736015</v>
      </c>
      <c r="K16" s="1364">
        <f>+IF(ISBLANK(REPORTS!Q17),"",REPORTS!Q17)</f>
        <v>82825.487045783113</v>
      </c>
      <c r="L16" s="1358"/>
      <c r="M16" s="1324"/>
    </row>
    <row r="17" spans="1:13">
      <c r="A17" s="1393">
        <v>6</v>
      </c>
      <c r="D17" s="1324" t="str">
        <f>+IF(ISBLANK(REPORTS!J18),"",REPORTS!J18)</f>
        <v/>
      </c>
      <c r="E17" s="1364" t="str">
        <f>+IF(ISBLANK(REPORTS!K18),"",REPORTS!K18)</f>
        <v/>
      </c>
      <c r="F17" s="1364" t="str">
        <f>+IF(ISBLANK(REPORTS!L18),"",REPORTS!L18)</f>
        <v/>
      </c>
      <c r="G17" s="1364" t="str">
        <f>+IF(ISBLANK(REPORTS!M18),"",REPORTS!M18)</f>
        <v/>
      </c>
      <c r="H17" s="1364" t="str">
        <f>+IF(ISBLANK(REPORTS!N18),"",REPORTS!N18)</f>
        <v/>
      </c>
      <c r="I17" s="1364" t="str">
        <f>+IF(ISBLANK(REPORTS!O18),"",REPORTS!O18)</f>
        <v/>
      </c>
      <c r="J17" s="1364" t="str">
        <f>+IF(ISBLANK(REPORTS!P18),"",REPORTS!P18)</f>
        <v/>
      </c>
      <c r="K17" s="1364" t="str">
        <f>+IF(ISBLANK(REPORTS!Q18),"",REPORTS!Q18)</f>
        <v/>
      </c>
    </row>
    <row r="18" spans="1:13">
      <c r="A18" s="1393">
        <v>7</v>
      </c>
      <c r="D18" s="1445" t="str">
        <f>+IF(ISBLANK(REPORTS!J19),"",REPORTS!J19)</f>
        <v/>
      </c>
      <c r="E18" s="1445" t="str">
        <f>+IF(ISBLANK(REPORTS!K19),"",REPORTS!K19)</f>
        <v/>
      </c>
      <c r="F18" s="1445" t="str">
        <f>+IF(ISBLANK(REPORTS!L19),"",REPORTS!L19)</f>
        <v/>
      </c>
      <c r="G18" s="1445" t="str">
        <f>+IF(ISBLANK(REPORTS!M19),"",REPORTS!M19)</f>
        <v/>
      </c>
      <c r="H18" s="1445" t="str">
        <f>+IF(ISBLANK(REPORTS!N19),"",REPORTS!N19)</f>
        <v/>
      </c>
      <c r="I18" s="1445" t="str">
        <f>+IF(ISBLANK(REPORTS!O19),"",REPORTS!O19)</f>
        <v/>
      </c>
      <c r="J18" s="1445" t="str">
        <f>+IF(ISBLANK(REPORTS!P19),"",REPORTS!P19)</f>
        <v/>
      </c>
      <c r="K18" s="1445" t="str">
        <f>+IF(ISBLANK(REPORTS!Q19),"",REPORTS!Q19)</f>
        <v/>
      </c>
      <c r="L18" s="1371"/>
      <c r="M18" s="1371"/>
    </row>
    <row r="19" spans="1:13">
      <c r="A19" s="1393">
        <v>8</v>
      </c>
      <c r="B19" s="1362" t="s">
        <v>5155</v>
      </c>
      <c r="C19" s="1362"/>
      <c r="D19" s="1324" t="str">
        <f>+IF(ISBLANK(REPORTS!J20),"",REPORTS!J20)</f>
        <v/>
      </c>
      <c r="E19" s="1324" t="str">
        <f>+IF(ISBLANK(REPORTS!K20),"",REPORTS!K20)</f>
        <v/>
      </c>
      <c r="F19" s="1324" t="str">
        <f>+IF(ISBLANK(REPORTS!L20),"",REPORTS!L20)</f>
        <v/>
      </c>
      <c r="G19" s="1324" t="str">
        <f>+IF(ISBLANK(REPORTS!M20),"",REPORTS!M20)</f>
        <v/>
      </c>
      <c r="H19" s="1324" t="str">
        <f>+IF(ISBLANK(REPORTS!N20),"",REPORTS!N20)</f>
        <v/>
      </c>
      <c r="I19" s="1324" t="str">
        <f>+IF(ISBLANK(REPORTS!O20),"",REPORTS!O20)</f>
        <v/>
      </c>
      <c r="J19" s="1324" t="str">
        <f>+IF(ISBLANK(REPORTS!P20),"",REPORTS!P20)</f>
        <v/>
      </c>
      <c r="K19" s="1324" t="str">
        <f>+IF(ISBLANK(REPORTS!Q20),"",REPORTS!Q20)</f>
        <v/>
      </c>
      <c r="M19" s="1339"/>
    </row>
    <row r="20" spans="1:13">
      <c r="A20" s="1393">
        <v>9</v>
      </c>
      <c r="B20" s="1324" t="s">
        <v>5156</v>
      </c>
      <c r="D20" s="1324">
        <f>+IF(ISBLANK(REPORTS!J21),"",REPORTS!J21)</f>
        <v>626.46090775325297</v>
      </c>
      <c r="E20" s="1324">
        <f>+IF(ISBLANK(REPORTS!K21),"",REPORTS!K21)</f>
        <v>316.13358975594224</v>
      </c>
      <c r="F20" s="1324">
        <f>+IF(ISBLANK(REPORTS!L21),"",REPORTS!L21)</f>
        <v>29.214444451259041</v>
      </c>
      <c r="G20" s="1324">
        <f>+IF(ISBLANK(REPORTS!M21),"",REPORTS!M21)</f>
        <v>217.63626389760336</v>
      </c>
      <c r="H20" s="1324">
        <f>+IF(ISBLANK(REPORTS!N21),"",REPORTS!N21)</f>
        <v>34.64419389080566</v>
      </c>
      <c r="I20" s="1324">
        <f>+IF(ISBLANK(REPORTS!O21),"",REPORTS!O21)</f>
        <v>25.522788671559834</v>
      </c>
      <c r="J20" s="1324">
        <f>+IF(ISBLANK(REPORTS!P21),"",REPORTS!P21)</f>
        <v>3.3096270860828403</v>
      </c>
      <c r="K20" s="1324">
        <f>+IF(ISBLANK(REPORTS!Q21),"",REPORTS!Q21)</f>
        <v>0</v>
      </c>
      <c r="M20" s="1324"/>
    </row>
    <row r="21" spans="1:13">
      <c r="A21" s="1393">
        <v>10</v>
      </c>
      <c r="B21" s="1324" t="s">
        <v>5158</v>
      </c>
      <c r="D21" s="1324">
        <f>+IF(ISBLANK(REPORTS!J22),"",REPORTS!J22)</f>
        <v>391771.10540050903</v>
      </c>
      <c r="E21" s="1324">
        <f>+IF(ISBLANK(REPORTS!K22),"",REPORTS!K22)</f>
        <v>246053.44580808264</v>
      </c>
      <c r="F21" s="1324">
        <f>+IF(ISBLANK(REPORTS!L22),"",REPORTS!L22)</f>
        <v>23394.766335585584</v>
      </c>
      <c r="G21" s="1324">
        <f>+IF(ISBLANK(REPORTS!M22),"",REPORTS!M22)</f>
        <v>93062.933578015887</v>
      </c>
      <c r="H21" s="1324">
        <f>+IF(ISBLANK(REPORTS!N22),"",REPORTS!N22)</f>
        <v>11372.030588118128</v>
      </c>
      <c r="I21" s="1324">
        <f>+IF(ISBLANK(REPORTS!O22),"",REPORTS!O22)</f>
        <v>6943.6197799122192</v>
      </c>
      <c r="J21" s="1324">
        <f>+IF(ISBLANK(REPORTS!P22),"",REPORTS!P22)</f>
        <v>844.06435559400143</v>
      </c>
      <c r="K21" s="1324">
        <f>+IF(ISBLANK(REPORTS!Q22),"",REPORTS!Q22)</f>
        <v>10100.244955200616</v>
      </c>
      <c r="L21" s="1324"/>
      <c r="M21" s="1324"/>
    </row>
    <row r="22" spans="1:13">
      <c r="A22" s="1393">
        <v>11</v>
      </c>
      <c r="B22" s="1324" t="s">
        <v>5160</v>
      </c>
      <c r="D22" s="1324">
        <f>+IF(ISBLANK(REPORTS!J23),"",REPORTS!J23)</f>
        <v>531436.07741352892</v>
      </c>
      <c r="E22" s="1324">
        <f>+IF(ISBLANK(REPORTS!K23),"",REPORTS!K23)</f>
        <v>309279.76690012234</v>
      </c>
      <c r="F22" s="1324">
        <f>+IF(ISBLANK(REPORTS!L23),"",REPORTS!L23)</f>
        <v>27518.260183406866</v>
      </c>
      <c r="G22" s="1324">
        <f>+IF(ISBLANK(REPORTS!M23),"",REPORTS!M23)</f>
        <v>143759.10248502731</v>
      </c>
      <c r="H22" s="1324">
        <f>+IF(ISBLANK(REPORTS!N23),"",REPORTS!N23)</f>
        <v>16855.832265664412</v>
      </c>
      <c r="I22" s="1324">
        <f>+IF(ISBLANK(REPORTS!O23),"",REPORTS!O23)</f>
        <v>10505.316813270758</v>
      </c>
      <c r="J22" s="1324">
        <f>+IF(ISBLANK(REPORTS!P23),"",REPORTS!P23)</f>
        <v>1128.1637939884699</v>
      </c>
      <c r="K22" s="1324">
        <f>+IF(ISBLANK(REPORTS!Q23),"",REPORTS!Q23)</f>
        <v>22389.634972048774</v>
      </c>
      <c r="M22" s="1324"/>
    </row>
    <row r="23" spans="1:13">
      <c r="A23" s="1393">
        <v>12</v>
      </c>
      <c r="B23" s="1324" t="s">
        <v>5162</v>
      </c>
      <c r="D23" s="1324">
        <f>+IF(ISBLANK(REPORTS!J24),"",REPORTS!J24)</f>
        <v>101592.48203669996</v>
      </c>
      <c r="E23" s="1324">
        <f>+IF(ISBLANK(REPORTS!K24),"",REPORTS!K24)</f>
        <v>59575.056414847582</v>
      </c>
      <c r="F23" s="1324">
        <f>+IF(ISBLANK(REPORTS!L24),"",REPORTS!L24)</f>
        <v>5104.0288563173726</v>
      </c>
      <c r="G23" s="1324">
        <f>+IF(ISBLANK(REPORTS!M24),"",REPORTS!M24)</f>
        <v>27011.987438899236</v>
      </c>
      <c r="H23" s="1324">
        <f>+IF(ISBLANK(REPORTS!N24),"",REPORTS!N24)</f>
        <v>3173.8626610955725</v>
      </c>
      <c r="I23" s="1324">
        <f>+IF(ISBLANK(REPORTS!O24),"",REPORTS!O24)</f>
        <v>1916.1794873947651</v>
      </c>
      <c r="J23" s="1324">
        <f>+IF(ISBLANK(REPORTS!P24),"",REPORTS!P24)</f>
        <v>218.24050523345159</v>
      </c>
      <c r="K23" s="1324">
        <f>+IF(ISBLANK(REPORTS!Q24),"",REPORTS!Q24)</f>
        <v>4593.1266729119889</v>
      </c>
      <c r="M23" s="1324"/>
    </row>
    <row r="24" spans="1:13">
      <c r="A24" s="1393">
        <v>13</v>
      </c>
      <c r="B24" s="1324" t="s">
        <v>5164</v>
      </c>
      <c r="D24" s="1324">
        <f>+IF(ISBLANK(REPORTS!J25),"",REPORTS!J25)</f>
        <v>67060.343142276222</v>
      </c>
      <c r="E24" s="1324">
        <f>+IF(ISBLANK(REPORTS!K25),"",REPORTS!K25)</f>
        <v>37539.953376545156</v>
      </c>
      <c r="F24" s="1324">
        <f>+IF(ISBLANK(REPORTS!L25),"",REPORTS!L25)</f>
        <v>4112.8966001316348</v>
      </c>
      <c r="G24" s="1324">
        <f>+IF(ISBLANK(REPORTS!M25),"",REPORTS!M25)</f>
        <v>16935.519168368515</v>
      </c>
      <c r="H24" s="1324">
        <f>+IF(ISBLANK(REPORTS!N25),"",REPORTS!N25)</f>
        <v>1808.3984234116497</v>
      </c>
      <c r="I24" s="1324">
        <f>+IF(ISBLANK(REPORTS!O25),"",REPORTS!O25)</f>
        <v>395.01180232226437</v>
      </c>
      <c r="J24" s="1324">
        <f>+IF(ISBLANK(REPORTS!P25),"",REPORTS!P25)</f>
        <v>153.77445886313348</v>
      </c>
      <c r="K24" s="1324">
        <f>+IF(ISBLANK(REPORTS!Q25),"",REPORTS!Q25)</f>
        <v>6114.7893126336876</v>
      </c>
      <c r="M24" s="1324"/>
    </row>
    <row r="25" spans="1:13">
      <c r="A25" s="1393">
        <v>14</v>
      </c>
      <c r="B25" s="1324" t="s">
        <v>5166</v>
      </c>
      <c r="D25" s="1324">
        <f>+IF(ISBLANK(REPORTS!J26),"",REPORTS!J26)</f>
        <v>0</v>
      </c>
      <c r="E25" s="1324">
        <f>+IF(ISBLANK(REPORTS!K26),"",REPORTS!K26)</f>
        <v>0</v>
      </c>
      <c r="F25" s="1324">
        <f>+IF(ISBLANK(REPORTS!L26),"",REPORTS!L26)</f>
        <v>0</v>
      </c>
      <c r="G25" s="1324">
        <f>+IF(ISBLANK(REPORTS!M26),"",REPORTS!M26)</f>
        <v>0</v>
      </c>
      <c r="H25" s="1324">
        <f>+IF(ISBLANK(REPORTS!N26),"",REPORTS!N26)</f>
        <v>0</v>
      </c>
      <c r="I25" s="1324">
        <f>+IF(ISBLANK(REPORTS!O26),"",REPORTS!O26)</f>
        <v>0</v>
      </c>
      <c r="J25" s="1324">
        <f>+IF(ISBLANK(REPORTS!P26),"",REPORTS!P26)</f>
        <v>0</v>
      </c>
      <c r="K25" s="1366">
        <f>+IF(ISBLANK(REPORTS!Q26),"",REPORTS!Q26)</f>
        <v>0</v>
      </c>
      <c r="L25" s="1364"/>
      <c r="M25" s="1324"/>
    </row>
    <row r="26" spans="1:13">
      <c r="A26" s="1393">
        <v>15</v>
      </c>
      <c r="D26" s="1375" t="str">
        <f>+IF(ISBLANK(REPORTS!J27),"",REPORTS!J27)</f>
        <v/>
      </c>
      <c r="E26" s="1375" t="str">
        <f>+IF(ISBLANK(REPORTS!K27),"",REPORTS!K27)</f>
        <v/>
      </c>
      <c r="F26" s="1375" t="str">
        <f>+IF(ISBLANK(REPORTS!L27),"",REPORTS!L27)</f>
        <v/>
      </c>
      <c r="G26" s="1375" t="str">
        <f>+IF(ISBLANK(REPORTS!M27),"",REPORTS!M27)</f>
        <v/>
      </c>
      <c r="H26" s="1375" t="str">
        <f>+IF(ISBLANK(REPORTS!N27),"",REPORTS!N27)</f>
        <v/>
      </c>
      <c r="I26" s="1375" t="str">
        <f>+IF(ISBLANK(REPORTS!O27),"",REPORTS!O27)</f>
        <v/>
      </c>
      <c r="J26" s="1375" t="str">
        <f>+IF(ISBLANK(REPORTS!P27),"",REPORTS!P27)</f>
        <v/>
      </c>
      <c r="K26" s="1364" t="str">
        <f>+IF(ISBLANK(REPORTS!Q27),"",REPORTS!Q27)</f>
        <v/>
      </c>
      <c r="L26" s="1358"/>
      <c r="M26" s="1324"/>
    </row>
    <row r="27" spans="1:13">
      <c r="A27" s="1393">
        <v>16</v>
      </c>
      <c r="B27" s="1324" t="s">
        <v>5168</v>
      </c>
      <c r="D27" s="1366">
        <f>+IF(ISBLANK(REPORTS!J28),"",REPORTS!J28)</f>
        <v>1092486.4689007674</v>
      </c>
      <c r="E27" s="1366">
        <f>+IF(ISBLANK(REPORTS!K28),"",REPORTS!K28)</f>
        <v>652764.35608935368</v>
      </c>
      <c r="F27" s="1366">
        <f>+IF(ISBLANK(REPORTS!L28),"",REPORTS!L28)</f>
        <v>60159.166419892717</v>
      </c>
      <c r="G27" s="1366">
        <f>+IF(ISBLANK(REPORTS!M28),"",REPORTS!M28)</f>
        <v>280987.17893420858</v>
      </c>
      <c r="H27" s="1366">
        <f>+IF(ISBLANK(REPORTS!N28),"",REPORTS!N28)</f>
        <v>33244.768132180565</v>
      </c>
      <c r="I27" s="1366">
        <f>+IF(ISBLANK(REPORTS!O28),"",REPORTS!O28)</f>
        <v>19785.650671571566</v>
      </c>
      <c r="J27" s="1366">
        <f>+IF(ISBLANK(REPORTS!P28),"",REPORTS!P28)</f>
        <v>2347.5527407651393</v>
      </c>
      <c r="K27" s="1366">
        <f>+IF(ISBLANK(REPORTS!Q28),"",REPORTS!Q28)</f>
        <v>43197.795912795067</v>
      </c>
      <c r="M27" s="1324"/>
    </row>
    <row r="28" spans="1:13">
      <c r="A28" s="1393">
        <v>17</v>
      </c>
      <c r="D28" s="1364" t="str">
        <f>+IF(ISBLANK(REPORTS!J29),"",REPORTS!J29)</f>
        <v/>
      </c>
      <c r="E28" s="1364" t="str">
        <f>+IF(ISBLANK(REPORTS!K29),"",REPORTS!K29)</f>
        <v/>
      </c>
      <c r="F28" s="1364" t="str">
        <f>+IF(ISBLANK(REPORTS!L29),"",REPORTS!L29)</f>
        <v/>
      </c>
      <c r="G28" s="1364" t="str">
        <f>+IF(ISBLANK(REPORTS!M29),"",REPORTS!M29)</f>
        <v/>
      </c>
      <c r="H28" s="1364" t="str">
        <f>+IF(ISBLANK(REPORTS!N29),"",REPORTS!N29)</f>
        <v/>
      </c>
      <c r="I28" s="1364" t="str">
        <f>+IF(ISBLANK(REPORTS!O29),"",REPORTS!O29)</f>
        <v/>
      </c>
      <c r="J28" s="1364" t="str">
        <f>+IF(ISBLANK(REPORTS!P29),"",REPORTS!P29)</f>
        <v/>
      </c>
      <c r="K28" s="1364" t="str">
        <f>+IF(ISBLANK(REPORTS!Q29),"",REPORTS!Q29)</f>
        <v/>
      </c>
      <c r="M28" s="1324"/>
    </row>
    <row r="29" spans="1:13">
      <c r="A29" s="1393">
        <v>18</v>
      </c>
      <c r="D29" s="1364" t="str">
        <f>+IF(ISBLANK(REPORTS!J30),"",REPORTS!J30)</f>
        <v/>
      </c>
      <c r="E29" s="1364" t="str">
        <f>+IF(ISBLANK(REPORTS!K30),"",REPORTS!K30)</f>
        <v/>
      </c>
      <c r="F29" s="1364" t="str">
        <f>+IF(ISBLANK(REPORTS!L30),"",REPORTS!L30)</f>
        <v/>
      </c>
      <c r="G29" s="1364" t="str">
        <f>+IF(ISBLANK(REPORTS!M30),"",REPORTS!M30)</f>
        <v/>
      </c>
      <c r="H29" s="1364" t="str">
        <f>+IF(ISBLANK(REPORTS!N30),"",REPORTS!N30)</f>
        <v/>
      </c>
      <c r="I29" s="1364" t="str">
        <f>+IF(ISBLANK(REPORTS!O30),"",REPORTS!O30)</f>
        <v/>
      </c>
      <c r="J29" s="1364" t="str">
        <f>+IF(ISBLANK(REPORTS!P30),"",REPORTS!P30)</f>
        <v/>
      </c>
      <c r="K29" s="1364" t="str">
        <f>+IF(ISBLANK(REPORTS!Q30),"",REPORTS!Q30)</f>
        <v/>
      </c>
      <c r="L29" s="1358"/>
      <c r="M29" s="1324"/>
    </row>
    <row r="30" spans="1:13" ht="15" thickBot="1">
      <c r="A30" s="1393">
        <v>19</v>
      </c>
      <c r="B30" s="1324" t="s">
        <v>5170</v>
      </c>
      <c r="D30" s="1324">
        <f>+IF(ISBLANK(REPORTS!J31),"",REPORTS!J31)</f>
        <v>722595.18179514306</v>
      </c>
      <c r="E30" s="1380">
        <f>+IF(ISBLANK(REPORTS!K31),"",REPORTS!K31)</f>
        <v>409129.98137501499</v>
      </c>
      <c r="F30" s="1324">
        <f>+IF(ISBLANK(REPORTS!L31),"",REPORTS!L31)</f>
        <v>37787.882040543423</v>
      </c>
      <c r="G30" s="1324">
        <f>+IF(ISBLANK(REPORTS!M31),"",REPORTS!M31)</f>
        <v>197641.56987880345</v>
      </c>
      <c r="H30" s="1324">
        <f>+IF(ISBLANK(REPORTS!N31),"",REPORTS!N31)</f>
        <v>23648.758045972223</v>
      </c>
      <c r="I30" s="1324">
        <f>+IF(ISBLANK(REPORTS!O31),"",REPORTS!O31)</f>
        <v>13434.058654312277</v>
      </c>
      <c r="J30" s="1324">
        <f>+IF(ISBLANK(REPORTS!P31),"",REPORTS!P31)</f>
        <v>1325.2406675084621</v>
      </c>
      <c r="K30" s="1324">
        <f>+IF(ISBLANK(REPORTS!Q31),"",REPORTS!Q31)</f>
        <v>39627.691132988046</v>
      </c>
      <c r="M30" s="1324"/>
    </row>
    <row r="31" spans="1:13" ht="15" thickTop="1">
      <c r="A31" s="1393">
        <v>20</v>
      </c>
      <c r="D31" s="1381" t="str">
        <f>+IF(ISBLANK(REPORTS!J32),"",REPORTS!J32)</f>
        <v/>
      </c>
      <c r="E31" s="1382" t="str">
        <f>+IF(ISBLANK(REPORTS!K32),"",REPORTS!K32)</f>
        <v/>
      </c>
      <c r="F31" s="1381" t="str">
        <f>+IF(ISBLANK(REPORTS!L32),"",REPORTS!L32)</f>
        <v/>
      </c>
      <c r="G31" s="1381" t="str">
        <f>+IF(ISBLANK(REPORTS!M32),"",REPORTS!M32)</f>
        <v/>
      </c>
      <c r="H31" s="1381" t="str">
        <f>+IF(ISBLANK(REPORTS!N32),"",REPORTS!N32)</f>
        <v/>
      </c>
      <c r="I31" s="1381" t="str">
        <f>+IF(ISBLANK(REPORTS!O32),"",REPORTS!O32)</f>
        <v/>
      </c>
      <c r="J31" s="1381" t="str">
        <f>+IF(ISBLANK(REPORTS!P32),"",REPORTS!P32)</f>
        <v/>
      </c>
      <c r="K31" s="1381" t="str">
        <f>+IF(ISBLANK(REPORTS!Q32),"",REPORTS!Q32)</f>
        <v/>
      </c>
      <c r="L31" s="1364"/>
      <c r="M31" s="1324"/>
    </row>
    <row r="32" spans="1:13">
      <c r="A32" s="1393">
        <v>21</v>
      </c>
      <c r="D32" s="1324" t="str">
        <f>+IF(ISBLANK(REPORTS!J33),"",REPORTS!J33)</f>
        <v/>
      </c>
      <c r="E32" s="1324" t="str">
        <f>+IF(ISBLANK(REPORTS!K33),"",REPORTS!K33)</f>
        <v/>
      </c>
      <c r="F32" s="1324" t="str">
        <f>+IF(ISBLANK(REPORTS!L33),"",REPORTS!L33)</f>
        <v/>
      </c>
      <c r="G32" s="1324" t="str">
        <f>+IF(ISBLANK(REPORTS!M33),"",REPORTS!M33)</f>
        <v/>
      </c>
      <c r="H32" s="1324" t="str">
        <f>+IF(ISBLANK(REPORTS!N33),"",REPORTS!N33)</f>
        <v/>
      </c>
      <c r="I32" s="1324" t="str">
        <f>+IF(ISBLANK(REPORTS!O33),"",REPORTS!O33)</f>
        <v/>
      </c>
      <c r="J32" s="1324" t="str">
        <f>+IF(ISBLANK(REPORTS!P33),"",REPORTS!P33)</f>
        <v/>
      </c>
      <c r="K32" s="1324" t="str">
        <f>+IF(ISBLANK(REPORTS!Q33),"",REPORTS!Q33)</f>
        <v/>
      </c>
      <c r="M32" s="1324"/>
    </row>
    <row r="33" spans="1:13">
      <c r="A33" s="1393">
        <v>22</v>
      </c>
      <c r="B33" s="1362" t="s">
        <v>2305</v>
      </c>
      <c r="C33" s="1362"/>
      <c r="D33" s="1324" t="str">
        <f>+IF(ISBLANK(REPORTS!J34),"",REPORTS!J34)</f>
        <v/>
      </c>
      <c r="E33" s="1382" t="str">
        <f>+IF(ISBLANK(REPORTS!K34),"",REPORTS!K34)</f>
        <v/>
      </c>
      <c r="F33" s="1324" t="str">
        <f>+IF(ISBLANK(REPORTS!L34),"",REPORTS!L34)</f>
        <v/>
      </c>
      <c r="G33" s="1324" t="str">
        <f>+IF(ISBLANK(REPORTS!M34),"",REPORTS!M34)</f>
        <v/>
      </c>
      <c r="H33" s="1324" t="str">
        <f>+IF(ISBLANK(REPORTS!N34),"",REPORTS!N34)</f>
        <v/>
      </c>
      <c r="I33" s="1324" t="str">
        <f>+IF(ISBLANK(REPORTS!O34),"",REPORTS!O34)</f>
        <v/>
      </c>
      <c r="J33" s="1324" t="str">
        <f>+IF(ISBLANK(REPORTS!P34),"",REPORTS!P34)</f>
        <v/>
      </c>
      <c r="K33" s="1324" t="str">
        <f>+IF(ISBLANK(REPORTS!Q34),"",REPORTS!Q34)</f>
        <v/>
      </c>
      <c r="M33" s="1324"/>
    </row>
    <row r="34" spans="1:13">
      <c r="A34" s="1393">
        <v>23</v>
      </c>
      <c r="B34" s="1324" t="s">
        <v>5172</v>
      </c>
      <c r="D34" s="1324">
        <f>+IF(ISBLANK(REPORTS!J35),"",REPORTS!J35)</f>
        <v>13418078.496079115</v>
      </c>
      <c r="E34" s="1324">
        <f>+IF(ISBLANK(REPORTS!K35),"",REPORTS!K35)</f>
        <v>7803885.0947677484</v>
      </c>
      <c r="F34" s="1324">
        <f>+IF(ISBLANK(REPORTS!L35),"",REPORTS!L35)</f>
        <v>662195.73843000806</v>
      </c>
      <c r="G34" s="1324">
        <f>+IF(ISBLANK(REPORTS!M35),"",REPORTS!M35)</f>
        <v>3678113.1537560457</v>
      </c>
      <c r="H34" s="1324">
        <f>+IF(ISBLANK(REPORTS!N35),"",REPORTS!N35)</f>
        <v>431243.51533000369</v>
      </c>
      <c r="I34" s="1324">
        <f>+IF(ISBLANK(REPORTS!O35),"",REPORTS!O35)</f>
        <v>263579.70031578641</v>
      </c>
      <c r="J34" s="1324">
        <f>+IF(ISBLANK(REPORTS!P35),"",REPORTS!P35)</f>
        <v>28662.380257504039</v>
      </c>
      <c r="K34" s="1324">
        <f>+IF(ISBLANK(REPORTS!Q35),"",REPORTS!Q35)</f>
        <v>550398.91322202166</v>
      </c>
      <c r="M34" s="1324"/>
    </row>
    <row r="35" spans="1:13">
      <c r="A35" s="1393">
        <v>24</v>
      </c>
      <c r="B35" s="1324" t="s">
        <v>5174</v>
      </c>
      <c r="D35" s="1324">
        <f>+IF(ISBLANK(REPORTS!J36),"",REPORTS!J36)</f>
        <v>68033.559813157728</v>
      </c>
      <c r="E35" s="1324">
        <f>+IF(ISBLANK(REPORTS!K36),"",REPORTS!K36)</f>
        <v>40180.642536318162</v>
      </c>
      <c r="F35" s="1324">
        <f>+IF(ISBLANK(REPORTS!L36),"",REPORTS!L36)</f>
        <v>3178.9646627556954</v>
      </c>
      <c r="G35" s="1324">
        <f>+IF(ISBLANK(REPORTS!M36),"",REPORTS!M36)</f>
        <v>20697.758064849604</v>
      </c>
      <c r="H35" s="1324">
        <f>+IF(ISBLANK(REPORTS!N36),"",REPORTS!N36)</f>
        <v>2488.0635873788915</v>
      </c>
      <c r="I35" s="1324">
        <f>+IF(ISBLANK(REPORTS!O36),"",REPORTS!O36)</f>
        <v>1327.0255328166152</v>
      </c>
      <c r="J35" s="1324">
        <f>+IF(ISBLANK(REPORTS!P36),"",REPORTS!P36)</f>
        <v>161.10542903876782</v>
      </c>
      <c r="K35" s="1324">
        <f>+IF(ISBLANK(REPORTS!Q36),"",REPORTS!Q36)</f>
        <v>0</v>
      </c>
      <c r="M35" s="1324"/>
    </row>
    <row r="36" spans="1:13">
      <c r="A36" s="1393">
        <v>25</v>
      </c>
      <c r="B36" s="1324" t="s">
        <v>5176</v>
      </c>
      <c r="D36" s="1324">
        <f>+IF(ISBLANK(REPORTS!J37),"",REPORTS!J37)</f>
        <v>86670.519694932023</v>
      </c>
      <c r="E36" s="1324">
        <f>+IF(ISBLANK(REPORTS!K37),"",REPORTS!K37)</f>
        <v>46961.671164550789</v>
      </c>
      <c r="F36" s="1324">
        <f>+IF(ISBLANK(REPORTS!L37),"",REPORTS!L37)</f>
        <v>4069.3712673520058</v>
      </c>
      <c r="G36" s="1324">
        <f>+IF(ISBLANK(REPORTS!M37),"",REPORTS!M37)</f>
        <v>27470.989961796167</v>
      </c>
      <c r="H36" s="1324">
        <f>+IF(ISBLANK(REPORTS!N37),"",REPORTS!N37)</f>
        <v>3754.3974951654727</v>
      </c>
      <c r="I36" s="1324">
        <f>+IF(ISBLANK(REPORTS!O37),"",REPORTS!O37)</f>
        <v>2585.5014929854365</v>
      </c>
      <c r="J36" s="1324">
        <f>+IF(ISBLANK(REPORTS!P37),"",REPORTS!P37)</f>
        <v>298.18864434022998</v>
      </c>
      <c r="K36" s="1324">
        <f>+IF(ISBLANK(REPORTS!Q37),"",REPORTS!Q37)</f>
        <v>1530.3996687419349</v>
      </c>
      <c r="M36" s="1324"/>
    </row>
    <row r="37" spans="1:13">
      <c r="A37" s="1393">
        <v>26</v>
      </c>
      <c r="B37" s="1324" t="s">
        <v>5178</v>
      </c>
      <c r="D37" s="1324">
        <f>+IF(ISBLANK(REPORTS!J38),"",REPORTS!J38)</f>
        <v>230174.82372804979</v>
      </c>
      <c r="E37" s="1324">
        <f>+IF(ISBLANK(REPORTS!K38),"",REPORTS!K38)</f>
        <v>136598.12070567469</v>
      </c>
      <c r="F37" s="1324">
        <f>+IF(ISBLANK(REPORTS!L38),"",REPORTS!L38)</f>
        <v>11908.863082430367</v>
      </c>
      <c r="G37" s="1324">
        <f>+IF(ISBLANK(REPORTS!M38),"",REPORTS!M38)</f>
        <v>62296.490361404241</v>
      </c>
      <c r="H37" s="1324">
        <f>+IF(ISBLANK(REPORTS!N38),"",REPORTS!N38)</f>
        <v>8108.6202811530047</v>
      </c>
      <c r="I37" s="1324">
        <f>+IF(ISBLANK(REPORTS!O38),"",REPORTS!O38)</f>
        <v>5633.8910264736023</v>
      </c>
      <c r="J37" s="1324">
        <f>+IF(ISBLANK(REPORTS!P38),"",REPORTS!P38)</f>
        <v>310.44754062437738</v>
      </c>
      <c r="K37" s="1324">
        <f>+IF(ISBLANK(REPORTS!Q38),"",REPORTS!Q38)</f>
        <v>5318.390730289474</v>
      </c>
      <c r="M37" s="1324"/>
    </row>
    <row r="38" spans="1:13">
      <c r="A38" s="1393">
        <v>27</v>
      </c>
      <c r="B38" s="1324" t="s">
        <v>5180</v>
      </c>
      <c r="D38" s="1366">
        <f>+IF(ISBLANK(REPORTS!J39),"",REPORTS!J39)</f>
        <v>4004807.0571722877</v>
      </c>
      <c r="E38" s="1366">
        <f>+IF(ISBLANK(REPORTS!K39),"",REPORTS!K39)</f>
        <v>2346228.6899014795</v>
      </c>
      <c r="F38" s="1366">
        <f>+IF(ISBLANK(REPORTS!L39),"",REPORTS!L39)</f>
        <v>197813.16002971848</v>
      </c>
      <c r="G38" s="1366">
        <f>+IF(ISBLANK(REPORTS!M39),"",REPORTS!M39)</f>
        <v>1074844.2684083157</v>
      </c>
      <c r="H38" s="1366">
        <f>+IF(ISBLANK(REPORTS!N39),"",REPORTS!N39)</f>
        <v>124843.5281460183</v>
      </c>
      <c r="I38" s="1366">
        <f>+IF(ISBLANK(REPORTS!O39),"",REPORTS!O39)</f>
        <v>75756.22072527741</v>
      </c>
      <c r="J38" s="1366">
        <f>+IF(ISBLANK(REPORTS!P39),"",REPORTS!P39)</f>
        <v>9232.1710149190094</v>
      </c>
      <c r="K38" s="1366">
        <f>+IF(ISBLANK(REPORTS!Q39),"",REPORTS!Q39)</f>
        <v>176089.01894656042</v>
      </c>
      <c r="L38" s="1358"/>
      <c r="M38" s="1324"/>
    </row>
    <row r="39" spans="1:13">
      <c r="A39" s="1393">
        <v>28</v>
      </c>
      <c r="D39" s="1375" t="str">
        <f>+IF(ISBLANK(REPORTS!J40),"",REPORTS!J40)</f>
        <v/>
      </c>
      <c r="E39" s="1375" t="str">
        <f>+IF(ISBLANK(REPORTS!K40),"",REPORTS!K40)</f>
        <v/>
      </c>
      <c r="F39" s="1375" t="str">
        <f>+IF(ISBLANK(REPORTS!L40),"",REPORTS!L40)</f>
        <v/>
      </c>
      <c r="G39" s="1375" t="str">
        <f>+IF(ISBLANK(REPORTS!M40),"",REPORTS!M40)</f>
        <v/>
      </c>
      <c r="H39" s="1375" t="str">
        <f>+IF(ISBLANK(REPORTS!N40),"",REPORTS!N40)</f>
        <v/>
      </c>
      <c r="I39" s="1375" t="str">
        <f>+IF(ISBLANK(REPORTS!O40),"",REPORTS!O40)</f>
        <v/>
      </c>
      <c r="J39" s="1375" t="str">
        <f>+IF(ISBLANK(REPORTS!P40),"",REPORTS!P40)</f>
        <v/>
      </c>
      <c r="K39" s="1375" t="str">
        <f>+IF(ISBLANK(REPORTS!Q40),"",REPORTS!Q40)</f>
        <v/>
      </c>
      <c r="L39" s="1364"/>
      <c r="M39" s="1324"/>
    </row>
    <row r="40" spans="1:13" ht="15" thickBot="1">
      <c r="A40" s="1393">
        <v>29</v>
      </c>
      <c r="B40" s="1324" t="s">
        <v>5182</v>
      </c>
      <c r="D40" s="1324">
        <f>+IF(ISBLANK(REPORTS!J41),"",REPORTS!J41)</f>
        <v>9798150.3421429675</v>
      </c>
      <c r="E40" s="1324">
        <f>+IF(ISBLANK(REPORTS!K41),"",REPORTS!K41)</f>
        <v>5681396.839272812</v>
      </c>
      <c r="F40" s="1324">
        <f>+IF(ISBLANK(REPORTS!L41),"",REPORTS!L41)</f>
        <v>483539.77741282765</v>
      </c>
      <c r="G40" s="1324">
        <f>+IF(ISBLANK(REPORTS!M41),"",REPORTS!M41)</f>
        <v>2713734.1237357799</v>
      </c>
      <c r="H40" s="1324">
        <f>+IF(ISBLANK(REPORTS!N41),"",REPORTS!N41)</f>
        <v>320751.06854768272</v>
      </c>
      <c r="I40" s="1324">
        <f>+IF(ISBLANK(REPORTS!O41),"",REPORTS!O41)</f>
        <v>197369.89764278461</v>
      </c>
      <c r="J40" s="1324">
        <f>+IF(ISBLANK(REPORTS!P41),"",REPORTS!P41)</f>
        <v>20199.950856588403</v>
      </c>
      <c r="K40" s="1324">
        <f>+IF(ISBLANK(REPORTS!Q41),"",REPORTS!Q41)</f>
        <v>381158.68467449269</v>
      </c>
      <c r="M40" s="1324"/>
    </row>
    <row r="41" spans="1:13" ht="15" thickTop="1">
      <c r="A41" s="1393">
        <v>30</v>
      </c>
      <c r="D41" s="1381" t="str">
        <f>+IF(ISBLANK(REPORTS!J42),"",REPORTS!J42)</f>
        <v/>
      </c>
      <c r="E41" s="1381" t="str">
        <f>+IF(ISBLANK(REPORTS!K42),"",REPORTS!K42)</f>
        <v/>
      </c>
      <c r="F41" s="1381" t="str">
        <f>+IF(ISBLANK(REPORTS!L42),"",REPORTS!L42)</f>
        <v/>
      </c>
      <c r="G41" s="1381" t="str">
        <f>+IF(ISBLANK(REPORTS!M42),"",REPORTS!M42)</f>
        <v/>
      </c>
      <c r="H41" s="1381" t="str">
        <f>+IF(ISBLANK(REPORTS!N42),"",REPORTS!N42)</f>
        <v/>
      </c>
      <c r="I41" s="1381" t="str">
        <f>+IF(ISBLANK(REPORTS!O42),"",REPORTS!O42)</f>
        <v/>
      </c>
      <c r="J41" s="1381" t="str">
        <f>+IF(ISBLANK(REPORTS!P42),"",REPORTS!P42)</f>
        <v/>
      </c>
      <c r="K41" s="1381" t="str">
        <f>+IF(ISBLANK(REPORTS!Q42),"",REPORTS!Q42)</f>
        <v/>
      </c>
      <c r="L41" s="1364"/>
      <c r="M41" s="1324"/>
    </row>
    <row r="42" spans="1:13">
      <c r="A42" s="1393">
        <v>31</v>
      </c>
      <c r="D42" s="1324" t="str">
        <f>+IF(ISBLANK(REPORTS!J43),"",REPORTS!J43)</f>
        <v/>
      </c>
      <c r="E42" s="1324" t="str">
        <f>+IF(ISBLANK(REPORTS!K43),"",REPORTS!K43)</f>
        <v/>
      </c>
      <c r="F42" s="1324" t="str">
        <f>+IF(ISBLANK(REPORTS!L43),"",REPORTS!L43)</f>
        <v/>
      </c>
      <c r="G42" s="1324" t="str">
        <f>+IF(ISBLANK(REPORTS!M43),"",REPORTS!M43)</f>
        <v/>
      </c>
      <c r="H42" s="1324" t="str">
        <f>+IF(ISBLANK(REPORTS!N43),"",REPORTS!N43)</f>
        <v/>
      </c>
      <c r="I42" s="1324" t="str">
        <f>+IF(ISBLANK(REPORTS!O43),"",REPORTS!O43)</f>
        <v/>
      </c>
      <c r="J42" s="1324" t="str">
        <f>+IF(ISBLANK(REPORTS!P43),"",REPORTS!P43)</f>
        <v/>
      </c>
      <c r="K42" s="1324" t="str">
        <f>+IF(ISBLANK(REPORTS!Q43),"",REPORTS!Q43)</f>
        <v/>
      </c>
      <c r="M42" s="1324"/>
    </row>
    <row r="43" spans="1:13">
      <c r="A43" s="1393">
        <v>32</v>
      </c>
      <c r="B43" s="907"/>
      <c r="C43" s="907"/>
      <c r="D43" s="1387" t="str">
        <f>+IF(ISBLANK(REPORTS!J44),"",REPORTS!J44)</f>
        <v/>
      </c>
      <c r="E43" s="1324" t="str">
        <f>+IF(ISBLANK(REPORTS!K44),"",REPORTS!K44)</f>
        <v/>
      </c>
      <c r="F43" s="1324" t="str">
        <f>+IF(ISBLANK(REPORTS!L44),"",REPORTS!L44)</f>
        <v/>
      </c>
      <c r="G43" s="1324" t="str">
        <f>+IF(ISBLANK(REPORTS!M44),"",REPORTS!M44)</f>
        <v/>
      </c>
      <c r="H43" s="1324" t="str">
        <f>+IF(ISBLANK(REPORTS!N44),"",REPORTS!N44)</f>
        <v/>
      </c>
      <c r="I43" s="1324" t="str">
        <f>+IF(ISBLANK(REPORTS!O44),"",REPORTS!O44)</f>
        <v/>
      </c>
      <c r="J43" s="1324" t="str">
        <f>+IF(ISBLANK(REPORTS!P44),"",REPORTS!P44)</f>
        <v/>
      </c>
      <c r="K43" s="1324" t="str">
        <f>+IF(ISBLANK(REPORTS!Q44),"",REPORTS!Q44)</f>
        <v/>
      </c>
      <c r="M43" s="1324"/>
    </row>
    <row r="44" spans="1:13">
      <c r="A44" s="1393">
        <v>33</v>
      </c>
      <c r="B44" s="1324" t="s">
        <v>5184</v>
      </c>
      <c r="D44" s="1389">
        <f>+IF(ISBLANK(REPORTS!J45),"",REPORTS!J45)</f>
        <v>7.3747999999999996</v>
      </c>
      <c r="E44" s="1389">
        <f>+IF(ISBLANK(REPORTS!K45),"",REPORTS!K45)</f>
        <v>7.2012</v>
      </c>
      <c r="F44" s="1389">
        <f>+IF(ISBLANK(REPORTS!L45),"",REPORTS!L45)</f>
        <v>7.8148</v>
      </c>
      <c r="G44" s="1389">
        <f>+IF(ISBLANK(REPORTS!M45),"",REPORTS!M45)</f>
        <v>7.2830000000000004</v>
      </c>
      <c r="H44" s="1389">
        <f>+IF(ISBLANK(REPORTS!N45),"",REPORTS!N45)</f>
        <v>7.3728999999999996</v>
      </c>
      <c r="I44" s="1389">
        <f>+IF(ISBLANK(REPORTS!O45),"",REPORTS!O45)</f>
        <v>6.8064999999999998</v>
      </c>
      <c r="J44" s="1389">
        <f>+IF(ISBLANK(REPORTS!P45),"",REPORTS!P45)</f>
        <v>6.5606</v>
      </c>
      <c r="K44" s="1389">
        <f>+IF(ISBLANK(REPORTS!Q45),"",REPORTS!Q45)</f>
        <v>10.396599999999999</v>
      </c>
      <c r="L44" s="1388"/>
      <c r="M44" s="1391"/>
    </row>
    <row r="45" spans="1:13">
      <c r="A45" s="1393">
        <v>34</v>
      </c>
      <c r="D45" s="1387" t="str">
        <f>+IF(ISBLANK(REPORTS!J46),"",REPORTS!J46)</f>
        <v/>
      </c>
      <c r="E45" s="1324" t="str">
        <f>+IF(ISBLANK(REPORTS!K46),"",REPORTS!K46)</f>
        <v/>
      </c>
      <c r="F45" s="1324" t="str">
        <f>+IF(ISBLANK(REPORTS!L46),"",REPORTS!L46)</f>
        <v/>
      </c>
      <c r="G45" s="1324" t="str">
        <f>+IF(ISBLANK(REPORTS!M46),"",REPORTS!M46)</f>
        <v/>
      </c>
      <c r="H45" s="1324" t="str">
        <f>+IF(ISBLANK(REPORTS!N46),"",REPORTS!N46)</f>
        <v/>
      </c>
      <c r="I45" s="1324" t="str">
        <f>+IF(ISBLANK(REPORTS!O46),"",REPORTS!O46)</f>
        <v/>
      </c>
      <c r="J45" s="1324" t="str">
        <f>+IF(ISBLANK(REPORTS!P46),"",REPORTS!P46)</f>
        <v/>
      </c>
      <c r="K45" s="1324" t="str">
        <f>+IF(ISBLANK(REPORTS!Q46),"",REPORTS!Q46)</f>
        <v/>
      </c>
    </row>
    <row r="46" spans="1:13">
      <c r="A46" s="1393">
        <v>35</v>
      </c>
      <c r="B46" s="1324" t="s">
        <v>5186</v>
      </c>
      <c r="D46" s="1389">
        <f>+IF(ISBLANK(REPORTS!J47),"",REPORTS!J47)</f>
        <v>1</v>
      </c>
      <c r="E46" s="1389">
        <f>+IF(ISBLANK(REPORTS!K47),"",REPORTS!K47)</f>
        <v>0.976460378586538</v>
      </c>
      <c r="F46" s="1389">
        <f>+IF(ISBLANK(REPORTS!L47),"",REPORTS!L47)</f>
        <v>1.0596626349189131</v>
      </c>
      <c r="G46" s="1389">
        <f>+IF(ISBLANK(REPORTS!M47),"",REPORTS!M47)</f>
        <v>0.98755220480555417</v>
      </c>
      <c r="H46" s="1389">
        <f>+IF(ISBLANK(REPORTS!N47),"",REPORTS!N47)</f>
        <v>0.99974236589466836</v>
      </c>
      <c r="I46" s="1389">
        <f>+IF(ISBLANK(REPORTS!O47),"",REPORTS!O47)</f>
        <v>0.92294028312632204</v>
      </c>
      <c r="J46" s="1389">
        <f>+IF(ISBLANK(REPORTS!P47),"",REPORTS!P47)</f>
        <v>0.88959700602050229</v>
      </c>
      <c r="K46" s="1389">
        <f>+IF(ISBLANK(REPORTS!Q47),"",REPORTS!Q47)</f>
        <v>1.4097467049953898</v>
      </c>
      <c r="L46" s="1389"/>
      <c r="M46" s="1324"/>
    </row>
    <row r="61" spans="1:13">
      <c r="A61" s="1732" t="str">
        <f>+$A$1</f>
        <v>RATES WITH REVENUE DEFICIENCY ADDITION</v>
      </c>
      <c r="F61" s="1329" t="s">
        <v>2173</v>
      </c>
      <c r="G61" s="1329"/>
      <c r="H61" s="1329"/>
      <c r="I61" s="1329"/>
      <c r="L61" s="1331"/>
      <c r="M61" s="1332" t="s">
        <v>4851</v>
      </c>
    </row>
    <row r="62" spans="1:13">
      <c r="A62" s="1732" t="str">
        <f>+$A$2</f>
        <v>PROD. CAP. ALLOC. METHOD: 12 CP &amp; 1/13th AD</v>
      </c>
      <c r="F62" s="1336" t="s">
        <v>5141</v>
      </c>
      <c r="G62" s="1336"/>
      <c r="H62" s="1336"/>
      <c r="I62" s="1336"/>
      <c r="M62" s="1409"/>
    </row>
    <row r="63" spans="1:13">
      <c r="A63" s="1732" t="str">
        <f>+$A$3</f>
        <v>PROJECTED CALENDAR YEAR 2025; FULLY ADJUSTED DATA</v>
      </c>
      <c r="F63" s="1336" t="s">
        <v>2181</v>
      </c>
      <c r="G63" s="1336"/>
      <c r="H63" s="1336"/>
      <c r="I63" s="1336"/>
    </row>
    <row r="64" spans="1:13">
      <c r="A64" s="1732" t="str">
        <f>+$A$4</f>
        <v>MINIMUM DISTRIBUTION SYSTEM (MDS) NOT EMPLOYED</v>
      </c>
      <c r="M64" s="1332"/>
    </row>
    <row r="65" spans="1:13">
      <c r="A65" s="1732" t="str">
        <f>+$A$5</f>
        <v>Tampa Electric 2025 OB Budget</v>
      </c>
      <c r="B65" s="1732"/>
      <c r="C65" s="1732"/>
      <c r="F65" s="1336" t="s">
        <v>5190</v>
      </c>
      <c r="G65" s="1336"/>
      <c r="H65" s="1336"/>
      <c r="I65" s="1336"/>
    </row>
    <row r="66" spans="1:13">
      <c r="F66" s="1336"/>
      <c r="G66" s="1336"/>
      <c r="H66" s="1336"/>
      <c r="I66" s="1336"/>
    </row>
    <row r="67" spans="1:13">
      <c r="B67" s="907"/>
      <c r="C67" s="907"/>
      <c r="F67" s="1336"/>
      <c r="G67" s="1336"/>
      <c r="H67" s="1336"/>
      <c r="I67" s="1336"/>
    </row>
    <row r="69" spans="1:13" ht="28.8" thickBot="1">
      <c r="A69" s="1737" t="s">
        <v>4297</v>
      </c>
      <c r="B69" s="1366"/>
      <c r="C69" s="1366"/>
      <c r="D69" s="1352" t="s">
        <v>4957</v>
      </c>
      <c r="E69" s="1352" t="s">
        <v>1949</v>
      </c>
      <c r="F69" s="1352" t="s">
        <v>1950</v>
      </c>
      <c r="G69" s="1352" t="s">
        <v>1934</v>
      </c>
      <c r="H69" s="1352" t="s">
        <v>1971</v>
      </c>
      <c r="I69" s="1352" t="s">
        <v>1972</v>
      </c>
      <c r="J69" s="1352" t="s">
        <v>5146</v>
      </c>
      <c r="K69" s="1352" t="s">
        <v>5147</v>
      </c>
      <c r="L69" s="1355"/>
      <c r="M69" s="1348" t="s">
        <v>5143</v>
      </c>
    </row>
    <row r="70" spans="1:13" ht="15" thickTop="1">
      <c r="D70" s="1381" t="str">
        <f>+IF(ISBLANK(REPORTS!J77),"",REPORTS!J77)</f>
        <v/>
      </c>
      <c r="E70" s="1381" t="str">
        <f>+IF(ISBLANK(REPORTS!K77),"",REPORTS!K77)</f>
        <v/>
      </c>
      <c r="F70" s="1381" t="str">
        <f>+IF(ISBLANK(REPORTS!L77),"",REPORTS!L77)</f>
        <v/>
      </c>
      <c r="G70" s="1381" t="str">
        <f>+IF(ISBLANK(REPORTS!M77),"",REPORTS!M77)</f>
        <v/>
      </c>
      <c r="H70" s="1381" t="str">
        <f>+IF(ISBLANK(REPORTS!N77),"",REPORTS!N77)</f>
        <v/>
      </c>
      <c r="I70" s="1381" t="str">
        <f>+IF(ISBLANK(REPORTS!O77),"",REPORTS!O77)</f>
        <v/>
      </c>
      <c r="J70" s="1381" t="str">
        <f>+IF(ISBLANK(REPORTS!P77),"",REPORTS!P77)</f>
        <v/>
      </c>
      <c r="K70" s="1381" t="str">
        <f>+IF(ISBLANK(REPORTS!Q77),"",REPORTS!Q77)</f>
        <v/>
      </c>
      <c r="L70" s="1364"/>
    </row>
    <row r="71" spans="1:13" ht="15.6">
      <c r="A71" s="1393">
        <v>36</v>
      </c>
      <c r="B71" s="1405" t="s">
        <v>5195</v>
      </c>
      <c r="C71" s="1405"/>
      <c r="D71" s="1324" t="str">
        <f>+IF(ISBLANK(REPORTS!J78),"",REPORTS!J78)</f>
        <v/>
      </c>
      <c r="E71" s="1324" t="str">
        <f>+IF(ISBLANK(REPORTS!K78),"",REPORTS!K78)</f>
        <v/>
      </c>
      <c r="F71" s="1324" t="str">
        <f>+IF(ISBLANK(REPORTS!L78),"",REPORTS!L78)</f>
        <v/>
      </c>
      <c r="G71" s="1324" t="str">
        <f>+IF(ISBLANK(REPORTS!M78),"",REPORTS!M78)</f>
        <v/>
      </c>
      <c r="H71" s="1324" t="str">
        <f>+IF(ISBLANK(REPORTS!N78),"",REPORTS!N78)</f>
        <v/>
      </c>
      <c r="I71" s="1324" t="str">
        <f>+IF(ISBLANK(REPORTS!O78),"",REPORTS!O78)</f>
        <v/>
      </c>
      <c r="J71" s="1324" t="str">
        <f>+IF(ISBLANK(REPORTS!P78),"",REPORTS!P78)</f>
        <v/>
      </c>
      <c r="K71" s="1324" t="str">
        <f>+IF(ISBLANK(REPORTS!Q78),"",REPORTS!Q78)</f>
        <v/>
      </c>
      <c r="L71" s="1324"/>
    </row>
    <row r="72" spans="1:13">
      <c r="A72" s="1393">
        <v>37</v>
      </c>
      <c r="B72" s="1324" t="s">
        <v>5196</v>
      </c>
      <c r="D72" s="1324">
        <f>+IF(ISBLANK(REPORTS!J79),"",REPORTS!J79)</f>
        <v>9798150.3421429675</v>
      </c>
      <c r="E72" s="1324">
        <f>+IF(ISBLANK(REPORTS!K79),"",REPORTS!K79)</f>
        <v>5681396.839272812</v>
      </c>
      <c r="F72" s="1324">
        <f>+IF(ISBLANK(REPORTS!L79),"",REPORTS!L79)</f>
        <v>483539.77741282765</v>
      </c>
      <c r="G72" s="1324">
        <f>+IF(ISBLANK(REPORTS!M79),"",REPORTS!M79)</f>
        <v>2713734.1237357799</v>
      </c>
      <c r="H72" s="1324">
        <f>+IF(ISBLANK(REPORTS!N79),"",REPORTS!N79)</f>
        <v>320751.06854768272</v>
      </c>
      <c r="I72" s="1324">
        <f>+IF(ISBLANK(REPORTS!O79),"",REPORTS!O79)</f>
        <v>197369.89764278461</v>
      </c>
      <c r="J72" s="1324">
        <f>+IF(ISBLANK(REPORTS!P79),"",REPORTS!P79)</f>
        <v>20199.950856588403</v>
      </c>
      <c r="K72" s="1324">
        <f>+IF(ISBLANK(REPORTS!Q79),"",REPORTS!Q79)</f>
        <v>381158.68467449269</v>
      </c>
      <c r="L72" s="1324"/>
      <c r="M72" s="1324"/>
    </row>
    <row r="73" spans="1:13">
      <c r="A73" s="1393">
        <v>38</v>
      </c>
      <c r="B73" s="1324" t="s">
        <v>5198</v>
      </c>
      <c r="D73" s="1400">
        <f>+IF(ISBLANK(REPORTS!J80),"",REPORTS!J80)</f>
        <v>7.3700000000000002E-2</v>
      </c>
      <c r="E73" s="1400">
        <f>+IF(ISBLANK(REPORTS!K80),"",REPORTS!K80)</f>
        <v>7.3700000000000002E-2</v>
      </c>
      <c r="F73" s="1400">
        <f>+IF(ISBLANK(REPORTS!L80),"",REPORTS!L80)</f>
        <v>7.3700000000000002E-2</v>
      </c>
      <c r="G73" s="1400">
        <f>+IF(ISBLANK(REPORTS!M80),"",REPORTS!M80)</f>
        <v>7.3700000000000002E-2</v>
      </c>
      <c r="H73" s="1400">
        <f>+IF(ISBLANK(REPORTS!N80),"",REPORTS!N80)</f>
        <v>7.3700000000000002E-2</v>
      </c>
      <c r="I73" s="1400">
        <f>+IF(ISBLANK(REPORTS!O80),"",REPORTS!O80)</f>
        <v>7.3700000000000002E-2</v>
      </c>
      <c r="J73" s="1400">
        <f>+IF(ISBLANK(REPORTS!P80),"",REPORTS!P80)</f>
        <v>7.3700000000000002E-2</v>
      </c>
      <c r="K73" s="1400">
        <f>+IF(ISBLANK(REPORTS!Q80),"",REPORTS!Q80)</f>
        <v>7.3700000000000002E-2</v>
      </c>
      <c r="L73" s="1400"/>
      <c r="M73" s="1324"/>
    </row>
    <row r="74" spans="1:13">
      <c r="A74" s="1393">
        <v>39</v>
      </c>
      <c r="B74" s="1373" t="s">
        <v>9479</v>
      </c>
      <c r="C74" s="1373"/>
      <c r="D74" s="1324" t="str">
        <f>+IF(ISBLANK(REPORTS!J81),"",REPORTS!J81)</f>
        <v/>
      </c>
      <c r="E74" s="1324" t="str">
        <f>+IF(ISBLANK(REPORTS!K81),"",REPORTS!K81)</f>
        <v/>
      </c>
      <c r="F74" s="1324" t="str">
        <f>+IF(ISBLANK(REPORTS!L81),"",REPORTS!L81)</f>
        <v/>
      </c>
      <c r="G74" s="1324" t="str">
        <f>+IF(ISBLANK(REPORTS!M81),"",REPORTS!M81)</f>
        <v/>
      </c>
      <c r="H74" s="1324" t="str">
        <f>+IF(ISBLANK(REPORTS!N81),"",REPORTS!N81)</f>
        <v/>
      </c>
      <c r="I74" s="1324" t="str">
        <f>+IF(ISBLANK(REPORTS!O81),"",REPORTS!O81)</f>
        <v/>
      </c>
      <c r="J74" s="1324" t="str">
        <f>+IF(ISBLANK(REPORTS!P81),"",REPORTS!P81)</f>
        <v/>
      </c>
      <c r="K74" s="1324" t="str">
        <f>+IF(ISBLANK(REPORTS!Q81),"",REPORTS!Q81)</f>
        <v/>
      </c>
      <c r="L74" s="1324"/>
      <c r="M74" s="1324"/>
    </row>
    <row r="75" spans="1:13">
      <c r="A75" s="1393">
        <v>40</v>
      </c>
      <c r="B75" s="1324" t="s">
        <v>5200</v>
      </c>
      <c r="D75" s="1324">
        <f>+IF(ISBLANK(REPORTS!J82),"",REPORTS!J82)</f>
        <v>722123.68021593674</v>
      </c>
      <c r="E75" s="1324">
        <f>+IF(ISBLANK(REPORTS!K82),"",REPORTS!K82)</f>
        <v>418718.94705440628</v>
      </c>
      <c r="F75" s="1324">
        <f>+IF(ISBLANK(REPORTS!L82),"",REPORTS!L82)</f>
        <v>35636.881595325402</v>
      </c>
      <c r="G75" s="1324">
        <f>+IF(ISBLANK(REPORTS!M82),"",REPORTS!M82)</f>
        <v>200002.20491932699</v>
      </c>
      <c r="H75" s="1324">
        <f>+IF(ISBLANK(REPORTS!N82),"",REPORTS!N82)</f>
        <v>23639.353751964216</v>
      </c>
      <c r="I75" s="1324">
        <f>+IF(ISBLANK(REPORTS!O82),"",REPORTS!O82)</f>
        <v>14546.161456273227</v>
      </c>
      <c r="J75" s="1324">
        <f>+IF(ISBLANK(REPORTS!P82),"",REPORTS!P82)</f>
        <v>1488.7363781305653</v>
      </c>
      <c r="K75" s="1324">
        <f>+IF(ISBLANK(REPORTS!Q82),"",REPORTS!Q82)</f>
        <v>28091.395060510113</v>
      </c>
      <c r="L75" s="1324"/>
      <c r="M75" s="1324"/>
    </row>
    <row r="76" spans="1:13">
      <c r="A76" s="1393">
        <v>41</v>
      </c>
      <c r="D76" s="1324" t="str">
        <f>+IF(ISBLANK(REPORTS!J83),"",REPORTS!J83)</f>
        <v/>
      </c>
      <c r="E76" s="1324" t="str">
        <f>+IF(ISBLANK(REPORTS!K83),"",REPORTS!K83)</f>
        <v/>
      </c>
      <c r="F76" s="1324" t="str">
        <f>+IF(ISBLANK(REPORTS!L83),"",REPORTS!L83)</f>
        <v/>
      </c>
      <c r="G76" s="1324" t="str">
        <f>+IF(ISBLANK(REPORTS!M83),"",REPORTS!M83)</f>
        <v/>
      </c>
      <c r="H76" s="1324" t="str">
        <f>+IF(ISBLANK(REPORTS!N83),"",REPORTS!N83)</f>
        <v/>
      </c>
      <c r="I76" s="1324" t="str">
        <f>+IF(ISBLANK(REPORTS!O83),"",REPORTS!O83)</f>
        <v/>
      </c>
      <c r="J76" s="1324" t="str">
        <f>+IF(ISBLANK(REPORTS!P83),"",REPORTS!P83)</f>
        <v/>
      </c>
      <c r="K76" s="1324" t="str">
        <f>+IF(ISBLANK(REPORTS!Q83),"",REPORTS!Q83)</f>
        <v/>
      </c>
      <c r="L76" s="1324"/>
      <c r="M76" s="1324"/>
    </row>
    <row r="77" spans="1:13">
      <c r="A77" s="1393">
        <v>42</v>
      </c>
      <c r="B77" s="1324" t="s">
        <v>5202</v>
      </c>
      <c r="D77" s="1324">
        <f>+IF(ISBLANK(REPORTS!J84),"",REPORTS!J84)</f>
        <v>722595.18179514306</v>
      </c>
      <c r="E77" s="1324">
        <f>+IF(ISBLANK(REPORTS!K84),"",REPORTS!K84)</f>
        <v>409129.98137501499</v>
      </c>
      <c r="F77" s="1324">
        <f>+IF(ISBLANK(REPORTS!L84),"",REPORTS!L84)</f>
        <v>37787.882040543423</v>
      </c>
      <c r="G77" s="1324">
        <f>+IF(ISBLANK(REPORTS!M84),"",REPORTS!M84)</f>
        <v>197641.56987880345</v>
      </c>
      <c r="H77" s="1324">
        <f>+IF(ISBLANK(REPORTS!N84),"",REPORTS!N84)</f>
        <v>23648.758045972223</v>
      </c>
      <c r="I77" s="1324">
        <f>+IF(ISBLANK(REPORTS!O84),"",REPORTS!O84)</f>
        <v>13434.058654312277</v>
      </c>
      <c r="J77" s="1324">
        <f>+IF(ISBLANK(REPORTS!P84),"",REPORTS!P84)</f>
        <v>1325.2406675084621</v>
      </c>
      <c r="K77" s="1324">
        <f>+IF(ISBLANK(REPORTS!Q84),"",REPORTS!Q84)</f>
        <v>39627.691132988046</v>
      </c>
      <c r="L77" s="1324"/>
      <c r="M77" s="1324"/>
    </row>
    <row r="78" spans="1:13">
      <c r="A78" s="1393">
        <v>43</v>
      </c>
      <c r="D78" s="1375" t="str">
        <f>+IF(ISBLANK(REPORTS!J85),"",REPORTS!J85)</f>
        <v/>
      </c>
      <c r="E78" s="1375" t="str">
        <f>+IF(ISBLANK(REPORTS!K85),"",REPORTS!K85)</f>
        <v/>
      </c>
      <c r="F78" s="1375" t="str">
        <f>+IF(ISBLANK(REPORTS!L85),"",REPORTS!L85)</f>
        <v/>
      </c>
      <c r="G78" s="1375" t="str">
        <f>+IF(ISBLANK(REPORTS!M85),"",REPORTS!M85)</f>
        <v/>
      </c>
      <c r="H78" s="1375" t="str">
        <f>+IF(ISBLANK(REPORTS!N85),"",REPORTS!N85)</f>
        <v/>
      </c>
      <c r="I78" s="1375" t="str">
        <f>+IF(ISBLANK(REPORTS!O85),"",REPORTS!O85)</f>
        <v/>
      </c>
      <c r="J78" s="1375" t="str">
        <f>+IF(ISBLANK(REPORTS!P85),"",REPORTS!P85)</f>
        <v/>
      </c>
      <c r="K78" s="1375" t="str">
        <f>+IF(ISBLANK(REPORTS!Q85),"",REPORTS!Q85)</f>
        <v/>
      </c>
      <c r="L78" s="1364"/>
      <c r="M78" s="1324"/>
    </row>
    <row r="79" spans="1:13">
      <c r="A79" s="1393">
        <v>44</v>
      </c>
      <c r="B79" s="1324" t="s">
        <v>5204</v>
      </c>
      <c r="D79" s="1324">
        <f>+IF(ISBLANK(REPORTS!J86),"",REPORTS!J86)</f>
        <v>-471.50157920632046</v>
      </c>
      <c r="E79" s="1324">
        <f>+IF(ISBLANK(REPORTS!K86),"",REPORTS!K86)</f>
        <v>9588.9656793912873</v>
      </c>
      <c r="F79" s="1324">
        <f>+IF(ISBLANK(REPORTS!L86),"",REPORTS!L86)</f>
        <v>-2151.0004452180219</v>
      </c>
      <c r="G79" s="1324">
        <f>+IF(ISBLANK(REPORTS!M86),"",REPORTS!M86)</f>
        <v>2360.6350405235426</v>
      </c>
      <c r="H79" s="1324">
        <f>+IF(ISBLANK(REPORTS!N86),"",REPORTS!N86)</f>
        <v>-9.4042940080071276</v>
      </c>
      <c r="I79" s="1324">
        <f>+IF(ISBLANK(REPORTS!O86),"",REPORTS!O86)</f>
        <v>1112.1028019609494</v>
      </c>
      <c r="J79" s="1324">
        <f>+IF(ISBLANK(REPORTS!P86),"",REPORTS!P86)</f>
        <v>163.49571062210316</v>
      </c>
      <c r="K79" s="1324">
        <f>+IF(ISBLANK(REPORTS!Q86),"",REPORTS!Q86)</f>
        <v>-11536.296072477933</v>
      </c>
      <c r="L79" s="1324"/>
      <c r="M79" s="1324"/>
    </row>
    <row r="80" spans="1:13">
      <c r="A80" s="1393">
        <v>45</v>
      </c>
      <c r="B80" s="1324" t="s">
        <v>5206</v>
      </c>
      <c r="D80" s="1411">
        <f>+IF(ISBLANK(REPORTS!J87),"",REPORTS!J87)</f>
        <v>1.3436401402136453</v>
      </c>
      <c r="E80" s="1411">
        <f>+IF(ISBLANK(REPORTS!K87),"",REPORTS!K87)</f>
        <v>1.3436401402136453</v>
      </c>
      <c r="F80" s="1411">
        <f>+IF(ISBLANK(REPORTS!L87),"",REPORTS!L87)</f>
        <v>1.3436401402136453</v>
      </c>
      <c r="G80" s="1411">
        <f>+IF(ISBLANK(REPORTS!M87),"",REPORTS!M87)</f>
        <v>1.3436401402136453</v>
      </c>
      <c r="H80" s="1411">
        <f>+IF(ISBLANK(REPORTS!N87),"",REPORTS!N87)</f>
        <v>1.3436401402136453</v>
      </c>
      <c r="I80" s="1411">
        <f>+IF(ISBLANK(REPORTS!O87),"",REPORTS!O87)</f>
        <v>1.3436401402136453</v>
      </c>
      <c r="J80" s="1411">
        <f>+IF(ISBLANK(REPORTS!P87),"",REPORTS!P87)</f>
        <v>1.3436401402136453</v>
      </c>
      <c r="K80" s="1411">
        <f>+IF(ISBLANK(REPORTS!Q87),"",REPORTS!Q87)</f>
        <v>1.3436401402136453</v>
      </c>
      <c r="L80" s="1411"/>
      <c r="M80" s="1324"/>
    </row>
    <row r="81" spans="1:13">
      <c r="A81" s="1393">
        <v>46</v>
      </c>
      <c r="D81" s="1375" t="str">
        <f>+IF(ISBLANK(REPORTS!J88),"",REPORTS!J88)</f>
        <v/>
      </c>
      <c r="E81" s="1375" t="str">
        <f>+IF(ISBLANK(REPORTS!K88),"",REPORTS!K88)</f>
        <v/>
      </c>
      <c r="F81" s="1375" t="str">
        <f>+IF(ISBLANK(REPORTS!L88),"",REPORTS!L88)</f>
        <v/>
      </c>
      <c r="G81" s="1375" t="str">
        <f>+IF(ISBLANK(REPORTS!M88),"",REPORTS!M88)</f>
        <v/>
      </c>
      <c r="H81" s="1375" t="str">
        <f>+IF(ISBLANK(REPORTS!N88),"",REPORTS!N88)</f>
        <v/>
      </c>
      <c r="I81" s="1375" t="str">
        <f>+IF(ISBLANK(REPORTS!O88),"",REPORTS!O88)</f>
        <v/>
      </c>
      <c r="J81" s="1375" t="str">
        <f>+IF(ISBLANK(REPORTS!P88),"",REPORTS!P88)</f>
        <v/>
      </c>
      <c r="K81" s="1375" t="str">
        <f>+IF(ISBLANK(REPORTS!Q88),"",REPORTS!Q88)</f>
        <v/>
      </c>
      <c r="L81" s="1364"/>
      <c r="M81" s="1324"/>
    </row>
    <row r="82" spans="1:13" ht="15" thickBot="1">
      <c r="A82" s="1393">
        <v>47</v>
      </c>
      <c r="B82" s="1324" t="s">
        <v>5207</v>
      </c>
      <c r="D82" s="1324">
        <f>+IF(ISBLANK(REPORTS!J89),"",REPORTS!J89)</f>
        <v>-633.02844799573563</v>
      </c>
      <c r="E82" s="1324">
        <f>+IF(ISBLANK(REPORTS!K89),"",REPORTS!K89)</f>
        <v>12884.119189961142</v>
      </c>
      <c r="F82" s="1324">
        <f>+IF(ISBLANK(REPORTS!L89),"",REPORTS!L89)</f>
        <v>-2890.1705398123563</v>
      </c>
      <c r="G82" s="1324">
        <f>+IF(ISBLANK(REPORTS!M89),"",REPORTS!M89)</f>
        <v>3171.8439968422972</v>
      </c>
      <c r="H82" s="1324">
        <f>+IF(ISBLANK(REPORTS!N89),"",REPORTS!N89)</f>
        <v>-12.63598691952904</v>
      </c>
      <c r="I82" s="1324">
        <f>+IF(ISBLANK(REPORTS!O89),"",REPORTS!O89)</f>
        <v>1494.2659647587977</v>
      </c>
      <c r="J82" s="1324">
        <f>+IF(ISBLANK(REPORTS!P89),"",REPORTS!P89)</f>
        <v>219.67939954461227</v>
      </c>
      <c r="K82" s="1324">
        <f>+IF(ISBLANK(REPORTS!Q89),"",REPORTS!Q89)</f>
        <v>-15499.630472370376</v>
      </c>
      <c r="L82" s="1324"/>
      <c r="M82" s="1324"/>
    </row>
    <row r="83" spans="1:13" ht="15" thickTop="1">
      <c r="A83" s="1393">
        <v>48</v>
      </c>
      <c r="D83" s="1381" t="str">
        <f>+IF(ISBLANK(REPORTS!J90),"",REPORTS!J90)</f>
        <v/>
      </c>
      <c r="E83" s="1381" t="str">
        <f>+IF(ISBLANK(REPORTS!K90),"",REPORTS!K90)</f>
        <v/>
      </c>
      <c r="F83" s="1381" t="str">
        <f>+IF(ISBLANK(REPORTS!L90),"",REPORTS!L90)</f>
        <v/>
      </c>
      <c r="G83" s="1381" t="str">
        <f>+IF(ISBLANK(REPORTS!M90),"",REPORTS!M90)</f>
        <v/>
      </c>
      <c r="H83" s="1381" t="str">
        <f>+IF(ISBLANK(REPORTS!N90),"",REPORTS!N90)</f>
        <v/>
      </c>
      <c r="I83" s="1381" t="str">
        <f>+IF(ISBLANK(REPORTS!O90),"",REPORTS!O90)</f>
        <v/>
      </c>
      <c r="J83" s="1381" t="str">
        <f>+IF(ISBLANK(REPORTS!P90),"",REPORTS!P90)</f>
        <v/>
      </c>
      <c r="K83" s="1381" t="str">
        <f>+IF(ISBLANK(REPORTS!Q90),"",REPORTS!Q90)</f>
        <v/>
      </c>
      <c r="L83" s="1364"/>
      <c r="M83" s="1324"/>
    </row>
    <row r="84" spans="1:13">
      <c r="A84" s="1393">
        <v>49</v>
      </c>
      <c r="B84" s="1324" t="s">
        <v>5209</v>
      </c>
      <c r="D84" s="1364">
        <f>+IF(ISBLANK(REPORTS!J91),"",REPORTS!J91)</f>
        <v>1815081.6506959104</v>
      </c>
      <c r="E84" s="1364">
        <f>+IF(ISBLANK(REPORTS!K91),"",REPORTS!K91)</f>
        <v>1061894.3374643687</v>
      </c>
      <c r="F84" s="1364">
        <f>+IF(ISBLANK(REPORTS!L91),"",REPORTS!L91)</f>
        <v>97947.048460436141</v>
      </c>
      <c r="G84" s="1364">
        <f>+IF(ISBLANK(REPORTS!M91),"",REPORTS!M91)</f>
        <v>478628.74881301203</v>
      </c>
      <c r="H84" s="1364">
        <f>+IF(ISBLANK(REPORTS!N91),"",REPORTS!N91)</f>
        <v>56893.526178152788</v>
      </c>
      <c r="I84" s="1364">
        <f>+IF(ISBLANK(REPORTS!O91),"",REPORTS!O91)</f>
        <v>33219.709325883843</v>
      </c>
      <c r="J84" s="1364">
        <f>+IF(ISBLANK(REPORTS!P91),"",REPORTS!P91)</f>
        <v>3672.7934082736015</v>
      </c>
      <c r="K84" s="1364">
        <f>+IF(ISBLANK(REPORTS!Q91),"",REPORTS!Q91)</f>
        <v>82825.487045783113</v>
      </c>
      <c r="L84" s="1364"/>
      <c r="M84" s="1324"/>
    </row>
    <row r="85" spans="1:13">
      <c r="A85" s="1393">
        <v>50</v>
      </c>
      <c r="D85" s="1364" t="str">
        <f>+IF(ISBLANK(REPORTS!J92),"",REPORTS!J92)</f>
        <v/>
      </c>
      <c r="E85" s="1364" t="str">
        <f>+IF(ISBLANK(REPORTS!K92),"",REPORTS!K92)</f>
        <v/>
      </c>
      <c r="F85" s="1364" t="str">
        <f>+IF(ISBLANK(REPORTS!L92),"",REPORTS!L92)</f>
        <v/>
      </c>
      <c r="G85" s="1364" t="str">
        <f>+IF(ISBLANK(REPORTS!M92),"",REPORTS!M92)</f>
        <v/>
      </c>
      <c r="H85" s="1364" t="str">
        <f>+IF(ISBLANK(REPORTS!N92),"",REPORTS!N92)</f>
        <v/>
      </c>
      <c r="I85" s="1364" t="str">
        <f>+IF(ISBLANK(REPORTS!O92),"",REPORTS!O92)</f>
        <v/>
      </c>
      <c r="J85" s="1364" t="str">
        <f>+IF(ISBLANK(REPORTS!P92),"",REPORTS!P92)</f>
        <v/>
      </c>
      <c r="K85" s="1364" t="str">
        <f>+IF(ISBLANK(REPORTS!Q92),"",REPORTS!Q92)</f>
        <v/>
      </c>
      <c r="L85" s="1364"/>
      <c r="M85" s="1324"/>
    </row>
    <row r="86" spans="1:13">
      <c r="A86" s="1393">
        <v>51</v>
      </c>
      <c r="B86" s="1324" t="s">
        <v>5211</v>
      </c>
      <c r="D86" s="1324">
        <f>+IF(ISBLANK(REPORTS!J93),"",REPORTS!J93)</f>
        <v>1814448.6222479148</v>
      </c>
      <c r="E86" s="1324">
        <f>+IF(ISBLANK(REPORTS!K93),"",REPORTS!K93)</f>
        <v>1074778.4566543298</v>
      </c>
      <c r="F86" s="1324">
        <f>+IF(ISBLANK(REPORTS!L93),"",REPORTS!L93)</f>
        <v>95056.877920623781</v>
      </c>
      <c r="G86" s="1324">
        <f>+IF(ISBLANK(REPORTS!M93),"",REPORTS!M93)</f>
        <v>481800.59280985431</v>
      </c>
      <c r="H86" s="1324">
        <f>+IF(ISBLANK(REPORTS!N93),"",REPORTS!N93)</f>
        <v>56880.890191233259</v>
      </c>
      <c r="I86" s="1324">
        <f>+IF(ISBLANK(REPORTS!O93),"",REPORTS!O93)</f>
        <v>34713.975290642644</v>
      </c>
      <c r="J86" s="1324">
        <f>+IF(ISBLANK(REPORTS!P93),"",REPORTS!P93)</f>
        <v>3892.4728078182138</v>
      </c>
      <c r="K86" s="1324">
        <f>+IF(ISBLANK(REPORTS!Q93),"",REPORTS!Q93)</f>
        <v>67325.856573412733</v>
      </c>
      <c r="L86" s="1324"/>
    </row>
    <row r="87" spans="1:13">
      <c r="A87" s="1393">
        <v>52</v>
      </c>
      <c r="B87" s="1324" t="s">
        <v>5213</v>
      </c>
      <c r="D87" s="1366">
        <f>+IF(ISBLANK(REPORTS!J94),"",REPORTS!J94)</f>
        <v>-40729.386446632147</v>
      </c>
      <c r="E87" s="1366">
        <f>+IF(ISBLANK(REPORTS!K94),"",REPORTS!K94)</f>
        <v>-30798.593599985277</v>
      </c>
      <c r="F87" s="1366">
        <f>+IF(ISBLANK(REPORTS!L94),"",REPORTS!L94)</f>
        <v>-2731.1221004361505</v>
      </c>
      <c r="G87" s="1366">
        <f>+IF(ISBLANK(REPORTS!M94),"",REPORTS!M94)</f>
        <v>-6219.6828355399766</v>
      </c>
      <c r="H87" s="1366">
        <f>+IF(ISBLANK(REPORTS!N94),"",REPORTS!N94)</f>
        <v>-644.88730209589937</v>
      </c>
      <c r="I87" s="1366">
        <f>+IF(ISBLANK(REPORTS!O94),"",REPORTS!O94)</f>
        <v>-118.12635451814252</v>
      </c>
      <c r="J87" s="1366">
        <f>+IF(ISBLANK(REPORTS!P94),"",REPORTS!P94)</f>
        <v>-99.333348273601672</v>
      </c>
      <c r="K87" s="1366">
        <f>+IF(ISBLANK(REPORTS!Q94),"",REPORTS!Q94)</f>
        <v>-117.64090578310908</v>
      </c>
      <c r="L87" s="1364"/>
      <c r="M87" s="1324"/>
    </row>
    <row r="88" spans="1:13">
      <c r="A88" s="1393">
        <v>53</v>
      </c>
      <c r="D88" s="1364" t="str">
        <f>+IF(ISBLANK(REPORTS!J95),"",REPORTS!J95)</f>
        <v/>
      </c>
      <c r="E88" s="1364" t="str">
        <f>+IF(ISBLANK(REPORTS!K95),"",REPORTS!K95)</f>
        <v/>
      </c>
      <c r="F88" s="1364" t="str">
        <f>+IF(ISBLANK(REPORTS!L95),"",REPORTS!L95)</f>
        <v/>
      </c>
      <c r="G88" s="1364" t="str">
        <f>+IF(ISBLANK(REPORTS!M95),"",REPORTS!M95)</f>
        <v/>
      </c>
      <c r="H88" s="1364" t="str">
        <f>+IF(ISBLANK(REPORTS!N95),"",REPORTS!N95)</f>
        <v/>
      </c>
      <c r="I88" s="1364" t="str">
        <f>+IF(ISBLANK(REPORTS!O95),"",REPORTS!O95)</f>
        <v/>
      </c>
      <c r="J88" s="1364" t="str">
        <f>+IF(ISBLANK(REPORTS!P95),"",REPORTS!P95)</f>
        <v/>
      </c>
      <c r="K88" s="1364" t="str">
        <f>+IF(ISBLANK(REPORTS!Q95),"",REPORTS!Q95)</f>
        <v/>
      </c>
      <c r="L88" s="1364"/>
      <c r="M88" s="1324"/>
    </row>
    <row r="89" spans="1:13">
      <c r="A89" s="1393">
        <v>54</v>
      </c>
      <c r="B89" s="1324" t="s">
        <v>5215</v>
      </c>
      <c r="D89" s="1324">
        <f>+IF(ISBLANK(REPORTS!J96),"",REPORTS!J96)</f>
        <v>1773719.2358012826</v>
      </c>
      <c r="E89" s="1324">
        <f>+IF(ISBLANK(REPORTS!K96),"",REPORTS!K96)</f>
        <v>1043979.8630543445</v>
      </c>
      <c r="F89" s="1324">
        <f>+IF(ISBLANK(REPORTS!L96),"",REPORTS!L96)</f>
        <v>92325.755820187624</v>
      </c>
      <c r="G89" s="1324">
        <f>+IF(ISBLANK(REPORTS!M96),"",REPORTS!M96)</f>
        <v>475580.90997431433</v>
      </c>
      <c r="H89" s="1324">
        <f>+IF(ISBLANK(REPORTS!N96),"",REPORTS!N96)</f>
        <v>56236.002889137359</v>
      </c>
      <c r="I89" s="1324">
        <f>+IF(ISBLANK(REPORTS!O96),"",REPORTS!O96)</f>
        <v>34595.848936124501</v>
      </c>
      <c r="J89" s="1324">
        <f>+IF(ISBLANK(REPORTS!P96),"",REPORTS!P96)</f>
        <v>3793.1394595446122</v>
      </c>
      <c r="K89" s="1324">
        <f>+IF(ISBLANK(REPORTS!Q96),"",REPORTS!Q96)</f>
        <v>67208.215667629629</v>
      </c>
      <c r="L89" s="1324"/>
      <c r="M89" s="1324"/>
    </row>
    <row r="90" spans="1:13">
      <c r="A90" s="1393">
        <v>55</v>
      </c>
      <c r="D90" s="1324" t="str">
        <f>+IF(ISBLANK(REPORTS!J97),"",REPORTS!J97)</f>
        <v/>
      </c>
      <c r="E90" s="1324" t="str">
        <f>+IF(ISBLANK(REPORTS!K97),"",REPORTS!K97)</f>
        <v/>
      </c>
      <c r="F90" s="1324" t="str">
        <f>+IF(ISBLANK(REPORTS!L97),"",REPORTS!L97)</f>
        <v/>
      </c>
      <c r="G90" s="1324" t="str">
        <f>+IF(ISBLANK(REPORTS!M97),"",REPORTS!M97)</f>
        <v/>
      </c>
      <c r="H90" s="1324" t="str">
        <f>+IF(ISBLANK(REPORTS!N97),"",REPORTS!N97)</f>
        <v/>
      </c>
      <c r="I90" s="1324" t="str">
        <f>+IF(ISBLANK(REPORTS!O97),"",REPORTS!O97)</f>
        <v/>
      </c>
      <c r="J90" s="1324" t="str">
        <f>+IF(ISBLANK(REPORTS!P97),"",REPORTS!P97)</f>
        <v/>
      </c>
      <c r="K90" s="1324" t="str">
        <f>+IF(ISBLANK(REPORTS!Q97),"",REPORTS!Q97)</f>
        <v/>
      </c>
      <c r="L90" s="1324"/>
      <c r="M90" s="1324"/>
    </row>
    <row r="91" spans="1:13">
      <c r="A91" s="1393">
        <v>56</v>
      </c>
      <c r="B91" s="1324" t="s">
        <v>5217</v>
      </c>
      <c r="D91" s="1389">
        <f>+IF(ISBLANK(REPORTS!J98),"",REPORTS!J98)</f>
        <v>1.0003568932642881</v>
      </c>
      <c r="E91" s="1389">
        <f>+IF(ISBLANK(REPORTS!K98),"",REPORTS!K98)</f>
        <v>0.98765865162162569</v>
      </c>
      <c r="F91" s="1389">
        <f>+IF(ISBLANK(REPORTS!L98),"",REPORTS!L98)</f>
        <v>1.03130405501842</v>
      </c>
      <c r="G91" s="1389">
        <f>+IF(ISBLANK(REPORTS!M98),"",REPORTS!M98)</f>
        <v>0.99333059016810921</v>
      </c>
      <c r="H91" s="1389">
        <f>+IF(ISBLANK(REPORTS!N98),"",REPORTS!N98)</f>
        <v>1.0002246956801755</v>
      </c>
      <c r="I91" s="1389">
        <f>+IF(ISBLANK(REPORTS!O98),"",REPORTS!O98)</f>
        <v>0.95680794052726625</v>
      </c>
      <c r="J91" s="1389">
        <f>+IF(ISBLANK(REPORTS!P98),"",REPORTS!P98)</f>
        <v>0.94208507177561407</v>
      </c>
      <c r="K91" s="1389">
        <f>+IF(ISBLANK(REPORTS!Q98),"",REPORTS!Q98)</f>
        <v>1.230621067951305</v>
      </c>
      <c r="L91" s="1389"/>
    </row>
    <row r="93" spans="1:13">
      <c r="E93" s="1389"/>
    </row>
    <row r="121" spans="1:13">
      <c r="A121" s="1732" t="str">
        <f>+$A$1</f>
        <v>RATES WITH REVENUE DEFICIENCY ADDITION</v>
      </c>
      <c r="F121" s="1329" t="s">
        <v>2173</v>
      </c>
      <c r="G121" s="1329"/>
      <c r="H121" s="1329"/>
      <c r="I121" s="1329"/>
      <c r="M121" s="1334" t="s">
        <v>4867</v>
      </c>
    </row>
    <row r="122" spans="1:13">
      <c r="A122" s="1732" t="str">
        <f>+$A$2</f>
        <v>PROD. CAP. ALLOC. METHOD: 12 CP &amp; 1/13th AD</v>
      </c>
      <c r="F122" s="1336" t="s">
        <v>5219</v>
      </c>
      <c r="G122" s="1336"/>
      <c r="H122" s="1336"/>
      <c r="I122" s="1336"/>
      <c r="L122" s="1331"/>
      <c r="M122" s="1409"/>
    </row>
    <row r="123" spans="1:13">
      <c r="A123" s="1732" t="str">
        <f>+$A$3</f>
        <v>PROJECTED CALENDAR YEAR 2025; FULLY ADJUSTED DATA</v>
      </c>
      <c r="F123" s="1336" t="s">
        <v>2181</v>
      </c>
    </row>
    <row r="124" spans="1:13">
      <c r="A124" s="1732" t="str">
        <f>+$A$4</f>
        <v>MINIMUM DISTRIBUTION SYSTEM (MDS) NOT EMPLOYED</v>
      </c>
    </row>
    <row r="125" spans="1:13">
      <c r="A125" s="1732" t="str">
        <f>+$A$5</f>
        <v>Tampa Electric 2025 OB Budget</v>
      </c>
      <c r="B125" s="1364"/>
      <c r="C125" s="1364"/>
      <c r="F125" s="1336" t="s">
        <v>5221</v>
      </c>
      <c r="G125" s="1336"/>
      <c r="H125" s="1336"/>
      <c r="I125" s="1336"/>
    </row>
    <row r="126" spans="1:13">
      <c r="F126" s="1336"/>
      <c r="G126" s="1336"/>
      <c r="H126" s="1336"/>
      <c r="I126" s="1336"/>
    </row>
    <row r="127" spans="1:13">
      <c r="F127" s="1336"/>
      <c r="G127" s="1336"/>
      <c r="H127" s="1336"/>
      <c r="I127" s="1336"/>
    </row>
    <row r="128" spans="1:13">
      <c r="A128" s="1735"/>
      <c r="D128" s="1416"/>
      <c r="E128" s="1416"/>
      <c r="F128" s="1416"/>
      <c r="G128" s="1416"/>
      <c r="H128" s="1416"/>
      <c r="I128" s="1416"/>
      <c r="J128" s="1416"/>
      <c r="K128" s="1416"/>
      <c r="L128" s="1331"/>
    </row>
    <row r="129" spans="1:13">
      <c r="A129" s="1735"/>
      <c r="D129" s="1416"/>
      <c r="E129" s="1336"/>
      <c r="F129" s="1416"/>
      <c r="G129" s="1416"/>
      <c r="H129" s="1416"/>
      <c r="I129" s="1416"/>
      <c r="J129" s="3164"/>
      <c r="K129" s="3164"/>
      <c r="L129" s="1333"/>
    </row>
    <row r="130" spans="1:13" ht="28.2">
      <c r="A130" s="1737" t="s">
        <v>4297</v>
      </c>
      <c r="B130" s="1366"/>
      <c r="C130" s="1366"/>
      <c r="D130" s="1352" t="s">
        <v>4957</v>
      </c>
      <c r="E130" s="1353" t="s">
        <v>1949</v>
      </c>
      <c r="F130" s="1353" t="s">
        <v>1950</v>
      </c>
      <c r="G130" s="1353" t="s">
        <v>1934</v>
      </c>
      <c r="H130" s="1353" t="s">
        <v>1971</v>
      </c>
      <c r="I130" s="1353" t="s">
        <v>1972</v>
      </c>
      <c r="J130" s="1352" t="s">
        <v>5146</v>
      </c>
      <c r="K130" s="1352" t="s">
        <v>5147</v>
      </c>
      <c r="L130" s="1355"/>
      <c r="M130" s="1348" t="s">
        <v>5143</v>
      </c>
    </row>
    <row r="132" spans="1:13">
      <c r="A132" s="1393">
        <v>1</v>
      </c>
      <c r="B132" s="1362" t="s">
        <v>5222</v>
      </c>
      <c r="C132" s="1324" t="s">
        <v>4777</v>
      </c>
      <c r="D132" s="1366">
        <f>+IF(ISBLANK(REPORTS!J115),"",REPORTS!J115)</f>
        <v>1774352.2642492782</v>
      </c>
      <c r="E132" s="1366">
        <f>+IF(ISBLANK(REPORTS!K115),"",REPORTS!K115)</f>
        <v>1031095.7438643834</v>
      </c>
      <c r="F132" s="1366">
        <f>+IF(ISBLANK(REPORTS!L115),"",REPORTS!L115)</f>
        <v>95215.926359999998</v>
      </c>
      <c r="G132" s="1366">
        <f>+IF(ISBLANK(REPORTS!M115),"",REPORTS!M115)</f>
        <v>472409.06597747206</v>
      </c>
      <c r="H132" s="1366">
        <f>+IF(ISBLANK(REPORTS!N115),"",REPORTS!N115)</f>
        <v>56248.638876056888</v>
      </c>
      <c r="I132" s="1366">
        <f>+IF(ISBLANK(REPORTS!O115),"",REPORTS!O115)</f>
        <v>33101.5829713657</v>
      </c>
      <c r="J132" s="1366">
        <f>+IF(ISBLANK(REPORTS!P115),"",REPORTS!P115)</f>
        <v>3573.4600599999999</v>
      </c>
      <c r="K132" s="1366">
        <f>+IF(ISBLANK(REPORTS!Q115),"",REPORTS!Q115)</f>
        <v>82707.846140000009</v>
      </c>
      <c r="L132" s="1358"/>
      <c r="M132" s="1320">
        <v>501</v>
      </c>
    </row>
    <row r="133" spans="1:13">
      <c r="A133" s="1393">
        <v>2</v>
      </c>
      <c r="D133" s="1324" t="str">
        <f>+IF(ISBLANK(REPORTS!J116),"",REPORTS!J116)</f>
        <v/>
      </c>
      <c r="E133" s="1324" t="str">
        <f>+IF(ISBLANK(REPORTS!K116),"",REPORTS!K116)</f>
        <v/>
      </c>
      <c r="F133" s="1324" t="str">
        <f>+IF(ISBLANK(REPORTS!L116),"",REPORTS!L116)</f>
        <v/>
      </c>
      <c r="G133" s="1324" t="str">
        <f>+IF(ISBLANK(REPORTS!M116),"",REPORTS!M116)</f>
        <v/>
      </c>
      <c r="H133" s="1324" t="str">
        <f>+IF(ISBLANK(REPORTS!N116),"",REPORTS!N116)</f>
        <v/>
      </c>
      <c r="I133" s="1324" t="str">
        <f>+IF(ISBLANK(REPORTS!O116),"",REPORTS!O116)</f>
        <v/>
      </c>
      <c r="J133" s="1324" t="str">
        <f>+IF(ISBLANK(REPORTS!P116),"",REPORTS!P116)</f>
        <v/>
      </c>
      <c r="K133" s="1324" t="str">
        <f>+IF(ISBLANK(REPORTS!Q116),"",REPORTS!Q116)</f>
        <v/>
      </c>
    </row>
    <row r="134" spans="1:13">
      <c r="A134" s="1393">
        <v>3</v>
      </c>
      <c r="B134" s="1362" t="s">
        <v>5224</v>
      </c>
      <c r="C134" s="1324" t="s">
        <v>4071</v>
      </c>
      <c r="D134" s="1366">
        <f>+IF(ISBLANK(REPORTS!J117),"",REPORTS!J117)</f>
        <v>21444.731936121014</v>
      </c>
      <c r="E134" s="1366">
        <f>+IF(ISBLANK(REPORTS!K117),"",REPORTS!K117)</f>
        <v>19131.687004991603</v>
      </c>
      <c r="F134" s="1366">
        <f>+IF(ISBLANK(REPORTS!L117),"",REPORTS!L117)</f>
        <v>1854.1721992714524</v>
      </c>
      <c r="G134" s="1366">
        <f>+IF(ISBLANK(REPORTS!M117),"",REPORTS!M117)</f>
        <v>453.44993923341212</v>
      </c>
      <c r="H134" s="1366">
        <f>+IF(ISBLANK(REPORTS!N117),"",REPORTS!N117)</f>
        <v>0</v>
      </c>
      <c r="I134" s="1366">
        <f>+IF(ISBLANK(REPORTS!O117),"",REPORTS!O117)</f>
        <v>0</v>
      </c>
      <c r="J134" s="1366">
        <f>+IF(ISBLANK(REPORTS!P117),"",REPORTS!P117)</f>
        <v>5.4227926245479097</v>
      </c>
      <c r="K134" s="1366">
        <f>+IF(ISBLANK(REPORTS!Q117),"",REPORTS!Q117)</f>
        <v>0</v>
      </c>
      <c r="L134" s="1364"/>
      <c r="M134" s="1324">
        <v>420</v>
      </c>
    </row>
    <row r="135" spans="1:13">
      <c r="A135" s="1393">
        <v>4</v>
      </c>
      <c r="D135" s="1324" t="str">
        <f>+IF(ISBLANK(REPORTS!J118),"",REPORTS!J118)</f>
        <v/>
      </c>
      <c r="E135" s="1419" t="str">
        <f>+IF(ISBLANK(REPORTS!K118),"",REPORTS!K118)</f>
        <v/>
      </c>
      <c r="F135" s="1419" t="str">
        <f>+IF(ISBLANK(REPORTS!L118),"",REPORTS!L118)</f>
        <v/>
      </c>
      <c r="G135" s="1419" t="str">
        <f>+IF(ISBLANK(REPORTS!M118),"",REPORTS!M118)</f>
        <v/>
      </c>
      <c r="H135" s="1419" t="str">
        <f>+IF(ISBLANK(REPORTS!N118),"",REPORTS!N118)</f>
        <v/>
      </c>
      <c r="I135" s="1419" t="str">
        <f>+IF(ISBLANK(REPORTS!O118),"",REPORTS!O118)</f>
        <v/>
      </c>
      <c r="J135" s="1419" t="str">
        <f>+IF(ISBLANK(REPORTS!P118),"",REPORTS!P118)</f>
        <v/>
      </c>
      <c r="K135" s="1419" t="str">
        <f>+IF(ISBLANK(REPORTS!Q118),"",REPORTS!Q118)</f>
        <v/>
      </c>
    </row>
    <row r="136" spans="1:13">
      <c r="A136" s="1393">
        <v>5</v>
      </c>
      <c r="B136" s="1362" t="s">
        <v>5226</v>
      </c>
      <c r="D136" s="1324" t="str">
        <f>+IF(ISBLANK(REPORTS!J119),"",REPORTS!J119)</f>
        <v/>
      </c>
      <c r="E136" s="1324" t="str">
        <f>+IF(ISBLANK(REPORTS!K119),"",REPORTS!K119)</f>
        <v/>
      </c>
      <c r="F136" s="1324" t="str">
        <f>+IF(ISBLANK(REPORTS!L119),"",REPORTS!L119)</f>
        <v/>
      </c>
      <c r="G136" s="1324" t="str">
        <f>+IF(ISBLANK(REPORTS!M119),"",REPORTS!M119)</f>
        <v/>
      </c>
      <c r="H136" s="1324" t="str">
        <f>+IF(ISBLANK(REPORTS!N119),"",REPORTS!N119)</f>
        <v/>
      </c>
      <c r="I136" s="1324" t="str">
        <f>+IF(ISBLANK(REPORTS!O119),"",REPORTS!O119)</f>
        <v/>
      </c>
      <c r="J136" s="1324" t="str">
        <f>+IF(ISBLANK(REPORTS!P119),"",REPORTS!P119)</f>
        <v/>
      </c>
      <c r="K136" s="1324" t="str">
        <f>+IF(ISBLANK(REPORTS!Q119),"",REPORTS!Q119)</f>
        <v/>
      </c>
      <c r="M136" s="1321"/>
    </row>
    <row r="137" spans="1:13">
      <c r="A137" s="1393">
        <v>6</v>
      </c>
      <c r="B137" s="1324" t="s">
        <v>1528</v>
      </c>
      <c r="C137" s="1324" t="s">
        <v>4067</v>
      </c>
      <c r="D137" s="1324">
        <f>+IF(ISBLANK(REPORTS!J120),"",REPORTS!J120)</f>
        <v>312.20800000000003</v>
      </c>
      <c r="E137" s="1324">
        <f>+IF(ISBLANK(REPORTS!K120),"",REPORTS!K120)</f>
        <v>179.27441265156605</v>
      </c>
      <c r="F137" s="1324">
        <f>+IF(ISBLANK(REPORTS!L120),"",REPORTS!L120)</f>
        <v>14.908575913128811</v>
      </c>
      <c r="G137" s="1324">
        <f>+IF(ISBLANK(REPORTS!M120),"",REPORTS!M120)</f>
        <v>96.486966256247186</v>
      </c>
      <c r="H137" s="1324">
        <f>+IF(ISBLANK(REPORTS!N120),"",REPORTS!N120)</f>
        <v>12.331687303665962</v>
      </c>
      <c r="I137" s="1324">
        <f>+IF(ISBLANK(REPORTS!O120),"",REPORTS!O120)</f>
        <v>8.8751540419379271</v>
      </c>
      <c r="J137" s="1324">
        <f>+IF(ISBLANK(REPORTS!P120),"",REPORTS!P120)</f>
        <v>0.33120383345410209</v>
      </c>
      <c r="K137" s="1324">
        <f>+IF(ISBLANK(REPORTS!Q120),"",REPORTS!Q120)</f>
        <v>0</v>
      </c>
      <c r="L137" s="1324"/>
      <c r="M137" s="1324">
        <v>122</v>
      </c>
    </row>
    <row r="138" spans="1:13">
      <c r="A138" s="1393">
        <v>7</v>
      </c>
      <c r="B138" s="1324" t="s">
        <v>1529</v>
      </c>
      <c r="C138" s="1324" t="s">
        <v>4067</v>
      </c>
      <c r="D138" s="1324">
        <f>+IF(ISBLANK(REPORTS!J121),"",REPORTS!J121)</f>
        <v>706.76956455261927</v>
      </c>
      <c r="E138" s="1324">
        <f>+IF(ISBLANK(REPORTS!K121),"",REPORTS!K121)</f>
        <v>409.93556380307996</v>
      </c>
      <c r="F138" s="1324">
        <f>+IF(ISBLANK(REPORTS!L121),"",REPORTS!L121)</f>
        <v>33.815549176103147</v>
      </c>
      <c r="G138" s="1324">
        <f>+IF(ISBLANK(REPORTS!M121),"",REPORTS!M121)</f>
        <v>216.16581736906315</v>
      </c>
      <c r="H138" s="1324">
        <f>+IF(ISBLANK(REPORTS!N121),"",REPORTS!N121)</f>
        <v>26.985436134801954</v>
      </c>
      <c r="I138" s="1324">
        <f>+IF(ISBLANK(REPORTS!O121),"",REPORTS!O121)</f>
        <v>19.366103672467986</v>
      </c>
      <c r="J138" s="1324">
        <f>+IF(ISBLANK(REPORTS!P121),"",REPORTS!P121)</f>
        <v>0.50109439710309511</v>
      </c>
      <c r="K138" s="1324">
        <f>+IF(ISBLANK(REPORTS!Q121),"",REPORTS!Q121)</f>
        <v>0</v>
      </c>
      <c r="L138" s="1324"/>
      <c r="M138" s="1324">
        <v>117</v>
      </c>
    </row>
    <row r="139" spans="1:13">
      <c r="A139" s="1393">
        <v>8</v>
      </c>
      <c r="B139" s="1324" t="s">
        <v>1953</v>
      </c>
      <c r="C139" s="1324" t="s">
        <v>4067</v>
      </c>
      <c r="D139" s="1324">
        <f>+IF(ISBLANK(REPORTS!J122),"",REPORTS!J122)</f>
        <v>138.9987937063018</v>
      </c>
      <c r="E139" s="1324">
        <f>+IF(ISBLANK(REPORTS!K122),"",REPORTS!K122)</f>
        <v>80.621112911121415</v>
      </c>
      <c r="F139" s="1324">
        <f>+IF(ISBLANK(REPORTS!L122),"",REPORTS!L122)</f>
        <v>6.6504286258700729</v>
      </c>
      <c r="G139" s="1324">
        <f>+IF(ISBLANK(REPORTS!M122),"",REPORTS!M122)</f>
        <v>42.512849112080751</v>
      </c>
      <c r="H139" s="1324">
        <f>+IF(ISBLANK(REPORTS!N122),"",REPORTS!N122)</f>
        <v>5.3071655296167748</v>
      </c>
      <c r="I139" s="1324">
        <f>+IF(ISBLANK(REPORTS!O122),"",REPORTS!O122)</f>
        <v>3.8086884102998479</v>
      </c>
      <c r="J139" s="1324">
        <f>+IF(ISBLANK(REPORTS!P122),"",REPORTS!P122)</f>
        <v>9.854911731294734E-2</v>
      </c>
      <c r="K139" s="1324">
        <f>+IF(ISBLANK(REPORTS!Q122),"",REPORTS!Q122)</f>
        <v>0</v>
      </c>
      <c r="L139" s="1324"/>
      <c r="M139" s="1324">
        <v>117</v>
      </c>
    </row>
    <row r="140" spans="1:13">
      <c r="A140" s="1393">
        <v>9</v>
      </c>
      <c r="B140" s="1324" t="s">
        <v>2040</v>
      </c>
      <c r="C140" s="1324" t="s">
        <v>4067</v>
      </c>
      <c r="D140" s="1324">
        <f>+IF(ISBLANK(REPORTS!J123),"",REPORTS!J123)</f>
        <v>14488.425089886799</v>
      </c>
      <c r="E140" s="1364">
        <f>+IF(ISBLANK(REPORTS!K123),"",REPORTS!K123)</f>
        <v>9017.8277657234448</v>
      </c>
      <c r="F140" s="1364">
        <f>+IF(ISBLANK(REPORTS!L123),"",REPORTS!L123)</f>
        <v>641.370527945802</v>
      </c>
      <c r="G140" s="1364">
        <f>+IF(ISBLANK(REPORTS!M123),"",REPORTS!M123)</f>
        <v>4294.3761396151367</v>
      </c>
      <c r="H140" s="1364">
        <f>+IF(ISBLANK(REPORTS!N123),"",REPORTS!N123)</f>
        <v>451.68202677441025</v>
      </c>
      <c r="I140" s="1364">
        <f>+IF(ISBLANK(REPORTS!O123),"",REPORTS!O123)</f>
        <v>3.0839968859787322E-4</v>
      </c>
      <c r="J140" s="1364">
        <f>+IF(ISBLANK(REPORTS!P123),"",REPORTS!P123)</f>
        <v>83.168321428320098</v>
      </c>
      <c r="K140" s="1364">
        <f>+IF(ISBLANK(REPORTS!Q123),"",REPORTS!Q123)</f>
        <v>0</v>
      </c>
      <c r="L140" s="1364"/>
      <c r="M140" s="1420">
        <v>105</v>
      </c>
    </row>
    <row r="141" spans="1:13">
      <c r="A141" s="1393">
        <v>10</v>
      </c>
      <c r="B141" s="1324" t="s">
        <v>4787</v>
      </c>
      <c r="C141" s="1324" t="s">
        <v>4067</v>
      </c>
      <c r="D141" s="1324">
        <f>+IF(ISBLANK(REPORTS!J124),"",REPORTS!J124)</f>
        <v>118.96596000000004</v>
      </c>
      <c r="E141" s="1366">
        <f>+IF(ISBLANK(REPORTS!K124),"",REPORTS!K124)</f>
        <v>86.801521377676025</v>
      </c>
      <c r="F141" s="1366">
        <f>+IF(ISBLANK(REPORTS!L124),"",REPORTS!L124)</f>
        <v>6.989245154207822</v>
      </c>
      <c r="G141" s="1366">
        <f>+IF(ISBLANK(REPORTS!M124),"",REPORTS!M124)</f>
        <v>24.744842648841875</v>
      </c>
      <c r="H141" s="1366">
        <f>+IF(ISBLANK(REPORTS!N124),"",REPORTS!N124)</f>
        <v>0</v>
      </c>
      <c r="I141" s="1366">
        <f>+IF(ISBLANK(REPORTS!O124),"",REPORTS!O124)</f>
        <v>0</v>
      </c>
      <c r="J141" s="1366">
        <f>+IF(ISBLANK(REPORTS!P124),"",REPORTS!P124)</f>
        <v>0.43035081927430446</v>
      </c>
      <c r="K141" s="1366">
        <f>+IF(ISBLANK(REPORTS!Q124),"",REPORTS!Q124)</f>
        <v>0</v>
      </c>
      <c r="L141" s="1364"/>
      <c r="M141" s="1324">
        <v>106</v>
      </c>
    </row>
    <row r="142" spans="1:13">
      <c r="A142" s="1393">
        <v>11</v>
      </c>
      <c r="B142" s="1324" t="s">
        <v>5231</v>
      </c>
      <c r="D142" s="1421">
        <f>+IF(ISBLANK(REPORTS!J125),"",REPORTS!J125)</f>
        <v>15765.367408145719</v>
      </c>
      <c r="E142" s="1366">
        <f>+IF(ISBLANK(REPORTS!K125),"",REPORTS!K125)</f>
        <v>9774.4603764668882</v>
      </c>
      <c r="F142" s="1366">
        <f>+IF(ISBLANK(REPORTS!L125),"",REPORTS!L125)</f>
        <v>703.7343268151119</v>
      </c>
      <c r="G142" s="1366">
        <f>+IF(ISBLANK(REPORTS!M125),"",REPORTS!M125)</f>
        <v>4674.2866150013697</v>
      </c>
      <c r="H142" s="1366">
        <f>+IF(ISBLANK(REPORTS!N125),"",REPORTS!N125)</f>
        <v>496.30631574249492</v>
      </c>
      <c r="I142" s="1366">
        <f>+IF(ISBLANK(REPORTS!O125),"",REPORTS!O125)</f>
        <v>32.050254524394362</v>
      </c>
      <c r="J142" s="1366">
        <f>+IF(ISBLANK(REPORTS!P125),"",REPORTS!P125)</f>
        <v>84.529519595464549</v>
      </c>
      <c r="K142" s="1366">
        <f>+IF(ISBLANK(REPORTS!Q125),"",REPORTS!Q125)</f>
        <v>0</v>
      </c>
      <c r="L142" s="1364"/>
      <c r="M142" s="1364"/>
    </row>
    <row r="143" spans="1:13">
      <c r="A143" s="1393">
        <v>12</v>
      </c>
      <c r="D143" s="1324" t="str">
        <f>+IF(ISBLANK(REPORTS!J126),"",REPORTS!J126)</f>
        <v/>
      </c>
      <c r="E143" s="1324" t="str">
        <f>+IF(ISBLANK(REPORTS!K126),"",REPORTS!K126)</f>
        <v/>
      </c>
      <c r="F143" s="1324" t="str">
        <f>+IF(ISBLANK(REPORTS!L126),"",REPORTS!L126)</f>
        <v/>
      </c>
      <c r="G143" s="1324" t="str">
        <f>+IF(ISBLANK(REPORTS!M126),"",REPORTS!M126)</f>
        <v/>
      </c>
      <c r="H143" s="1324" t="str">
        <f>+IF(ISBLANK(REPORTS!N126),"",REPORTS!N126)</f>
        <v/>
      </c>
      <c r="I143" s="1324" t="str">
        <f>+IF(ISBLANK(REPORTS!O126),"",REPORTS!O126)</f>
        <v/>
      </c>
      <c r="J143" s="1324" t="str">
        <f>+IF(ISBLANK(REPORTS!P126),"",REPORTS!P126)</f>
        <v/>
      </c>
      <c r="K143" s="1324" t="str">
        <f>+IF(ISBLANK(REPORTS!Q126),"",REPORTS!Q126)</f>
        <v/>
      </c>
      <c r="L143" s="1324"/>
      <c r="M143" s="1324"/>
    </row>
    <row r="144" spans="1:13">
      <c r="A144" s="1393">
        <v>13</v>
      </c>
      <c r="B144" s="1362" t="s">
        <v>5233</v>
      </c>
      <c r="D144" s="1324" t="str">
        <f>+IF(ISBLANK(REPORTS!J127),"",REPORTS!J127)</f>
        <v/>
      </c>
      <c r="E144" s="1324" t="str">
        <f>+IF(ISBLANK(REPORTS!K127),"",REPORTS!K127)</f>
        <v/>
      </c>
      <c r="F144" s="1324" t="str">
        <f>+IF(ISBLANK(REPORTS!L127),"",REPORTS!L127)</f>
        <v/>
      </c>
      <c r="G144" s="1324" t="str">
        <f>+IF(ISBLANK(REPORTS!M127),"",REPORTS!M127)</f>
        <v/>
      </c>
      <c r="H144" s="1324" t="str">
        <f>+IF(ISBLANK(REPORTS!N127),"",REPORTS!N127)</f>
        <v/>
      </c>
      <c r="I144" s="1324" t="str">
        <f>+IF(ISBLANK(REPORTS!O127),"",REPORTS!O127)</f>
        <v/>
      </c>
      <c r="J144" s="1324" t="str">
        <f>+IF(ISBLANK(REPORTS!P127),"",REPORTS!P127)</f>
        <v/>
      </c>
      <c r="K144" s="1324" t="str">
        <f>+IF(ISBLANK(REPORTS!Q127),"",REPORTS!Q127)</f>
        <v/>
      </c>
      <c r="L144" s="1324"/>
      <c r="M144" s="1324"/>
    </row>
    <row r="145" spans="1:13">
      <c r="A145" s="1393">
        <v>14</v>
      </c>
      <c r="B145" s="1324" t="s">
        <v>5234</v>
      </c>
      <c r="C145" s="1324" t="s">
        <v>4067</v>
      </c>
      <c r="D145" s="1324">
        <f>+IF(ISBLANK(REPORTS!J128),"",REPORTS!J128)</f>
        <v>1538.7293105288484</v>
      </c>
      <c r="E145" s="1324">
        <f>+IF(ISBLANK(REPORTS!K128),"",REPORTS!K128)</f>
        <v>883.56093813998507</v>
      </c>
      <c r="F145" s="1324">
        <f>+IF(ISBLANK(REPORTS!L128),"",REPORTS!L128)</f>
        <v>73.4774981287337</v>
      </c>
      <c r="G145" s="1324">
        <f>+IF(ISBLANK(REPORTS!M128),"",REPORTS!M128)</f>
        <v>475.53977816870633</v>
      </c>
      <c r="H145" s="1324">
        <f>+IF(ISBLANK(REPORTS!N128),"",REPORTS!N128)</f>
        <v>60.777202065377182</v>
      </c>
      <c r="I145" s="1324">
        <f>+IF(ISBLANK(REPORTS!O128),"",REPORTS!O128)</f>
        <v>43.741543009110806</v>
      </c>
      <c r="J145" s="1324">
        <f>+IF(ISBLANK(REPORTS!P128),"",REPORTS!P128)</f>
        <v>1.6323510169353186</v>
      </c>
      <c r="K145" s="1324">
        <f>+IF(ISBLANK(REPORTS!Q128),"",REPORTS!Q128)</f>
        <v>0</v>
      </c>
      <c r="L145" s="1324"/>
      <c r="M145" s="1324">
        <v>122</v>
      </c>
    </row>
    <row r="146" spans="1:13">
      <c r="A146" s="1393">
        <v>15</v>
      </c>
      <c r="B146" s="1324" t="s">
        <v>5234</v>
      </c>
      <c r="C146" s="1324" t="s">
        <v>2067</v>
      </c>
      <c r="D146" s="1324">
        <f>+IF(ISBLANK(REPORTS!J129),"",REPORTS!J129)</f>
        <v>145.45872532694909</v>
      </c>
      <c r="E146" s="1324">
        <f>+IF(ISBLANK(REPORTS!K129),"",REPORTS!K129)</f>
        <v>73.403445338434565</v>
      </c>
      <c r="F146" s="1324">
        <f>+IF(ISBLANK(REPORTS!L129),"",REPORTS!L129)</f>
        <v>6.7833376327591521</v>
      </c>
      <c r="G146" s="1324">
        <f>+IF(ISBLANK(REPORTS!M129),"",REPORTS!M129)</f>
        <v>50.533230628867621</v>
      </c>
      <c r="H146" s="1324">
        <f>+IF(ISBLANK(REPORTS!N129),"",REPORTS!N129)</f>
        <v>8.044077804326653</v>
      </c>
      <c r="I146" s="1324">
        <f>+IF(ISBLANK(REPORTS!O129),"",REPORTS!O129)</f>
        <v>5.9261675565180738</v>
      </c>
      <c r="J146" s="1324">
        <f>+IF(ISBLANK(REPORTS!P129),"",REPORTS!P129)</f>
        <v>0.76846636604302143</v>
      </c>
      <c r="K146" s="1324">
        <f>+IF(ISBLANK(REPORTS!Q129),"",REPORTS!Q129)</f>
        <v>0</v>
      </c>
      <c r="L146" s="1324"/>
      <c r="M146" s="1324">
        <v>201</v>
      </c>
    </row>
    <row r="147" spans="1:13">
      <c r="A147" s="1393">
        <v>16</v>
      </c>
      <c r="B147" s="1324" t="s">
        <v>5236</v>
      </c>
      <c r="C147" s="1324" t="s">
        <v>4067</v>
      </c>
      <c r="D147" s="1324">
        <f>+IF(ISBLANK(REPORTS!J130),"",REPORTS!J130)</f>
        <v>225.10240287149082</v>
      </c>
      <c r="E147" s="1324">
        <f>+IF(ISBLANK(REPORTS!K130),"",REPORTS!K130)</f>
        <v>130.56232902864699</v>
      </c>
      <c r="F147" s="1324">
        <f>+IF(ISBLANK(REPORTS!L130),"",REPORTS!L130)</f>
        <v>10.770075220737901</v>
      </c>
      <c r="G147" s="1324">
        <f>+IF(ISBLANK(REPORTS!M130),"",REPORTS!M130)</f>
        <v>68.847680133562463</v>
      </c>
      <c r="H147" s="1324">
        <f>+IF(ISBLANK(REPORTS!N130),"",REPORTS!N130)</f>
        <v>8.594720006547238</v>
      </c>
      <c r="I147" s="1324">
        <f>+IF(ISBLANK(REPORTS!O130),"",REPORTS!O130)</f>
        <v>6.1680025422294351</v>
      </c>
      <c r="J147" s="1324">
        <f>+IF(ISBLANK(REPORTS!P130),"",REPORTS!P130)</f>
        <v>0.15959593976680059</v>
      </c>
      <c r="K147" s="1324">
        <f>+IF(ISBLANK(REPORTS!Q130),"",REPORTS!Q130)</f>
        <v>0</v>
      </c>
      <c r="L147" s="1324"/>
      <c r="M147" s="1324">
        <v>117</v>
      </c>
    </row>
    <row r="148" spans="1:13">
      <c r="A148" s="1393">
        <v>17</v>
      </c>
      <c r="B148" s="1324" t="s">
        <v>5237</v>
      </c>
      <c r="C148" s="1324" t="s">
        <v>4777</v>
      </c>
      <c r="D148" s="1324">
        <f>+IF(ISBLANK(REPORTS!J131),"",REPORTS!J131)</f>
        <v>0</v>
      </c>
      <c r="E148" s="1324">
        <f>+IF(ISBLANK(REPORTS!K131),"",REPORTS!K131)</f>
        <v>0</v>
      </c>
      <c r="F148" s="1324">
        <f>+IF(ISBLANK(REPORTS!L131),"",REPORTS!L131)</f>
        <v>0</v>
      </c>
      <c r="G148" s="1324">
        <f>+IF(ISBLANK(REPORTS!M131),"",REPORTS!M131)</f>
        <v>0</v>
      </c>
      <c r="H148" s="1324">
        <f>+IF(ISBLANK(REPORTS!N131),"",REPORTS!N131)</f>
        <v>0</v>
      </c>
      <c r="I148" s="1324">
        <f>+IF(ISBLANK(REPORTS!O131),"",REPORTS!O131)</f>
        <v>0</v>
      </c>
      <c r="J148" s="1324">
        <f>+IF(ISBLANK(REPORTS!P131),"",REPORTS!P131)</f>
        <v>0</v>
      </c>
      <c r="K148" s="1324">
        <f>+IF(ISBLANK(REPORTS!Q131),"",REPORTS!Q131)</f>
        <v>0</v>
      </c>
      <c r="L148" s="1324"/>
      <c r="M148" s="1324">
        <v>202</v>
      </c>
    </row>
    <row r="149" spans="1:13">
      <c r="A149" s="1393">
        <v>18</v>
      </c>
      <c r="B149" s="1324" t="s">
        <v>5239</v>
      </c>
      <c r="C149" s="1324" t="s">
        <v>4067</v>
      </c>
      <c r="D149" s="1324">
        <f>+IF(ISBLANK(REPORTS!J132),"",REPORTS!J132)</f>
        <v>116.65922095256072</v>
      </c>
      <c r="E149" s="1324">
        <f>+IF(ISBLANK(REPORTS!K132),"",REPORTS!K132)</f>
        <v>67.663869403159097</v>
      </c>
      <c r="F149" s="1324">
        <f>+IF(ISBLANK(REPORTS!L132),"",REPORTS!L132)</f>
        <v>5.5815867304137443</v>
      </c>
      <c r="G149" s="1324">
        <f>+IF(ISBLANK(REPORTS!M132),"",REPORTS!M132)</f>
        <v>35.680279847380092</v>
      </c>
      <c r="H149" s="1324">
        <f>+IF(ISBLANK(REPORTS!N132),"",REPORTS!N132)</f>
        <v>4.4542098506233856</v>
      </c>
      <c r="I149" s="1324">
        <f>+IF(ISBLANK(REPORTS!O132),"",REPORTS!O132)</f>
        <v>3.1965645956284514</v>
      </c>
      <c r="J149" s="1324">
        <f>+IF(ISBLANK(REPORTS!P132),"",REPORTS!P132)</f>
        <v>8.271052535594578E-2</v>
      </c>
      <c r="K149" s="1324">
        <f>+IF(ISBLANK(REPORTS!Q132),"",REPORTS!Q132)</f>
        <v>0</v>
      </c>
      <c r="L149" s="1324"/>
      <c r="M149" s="1324">
        <v>117</v>
      </c>
    </row>
    <row r="150" spans="1:13">
      <c r="A150" s="1393">
        <v>19</v>
      </c>
      <c r="B150" s="1324" t="s">
        <v>5240</v>
      </c>
      <c r="C150" s="1324" t="s">
        <v>4067</v>
      </c>
      <c r="D150" s="1324">
        <f>+IF(ISBLANK(REPORTS!J133),"",REPORTS!J133)</f>
        <v>457.1290387791085</v>
      </c>
      <c r="E150" s="1324">
        <f>+IF(ISBLANK(REPORTS!K133),"",REPORTS!K133)</f>
        <v>284.5244333214772</v>
      </c>
      <c r="F150" s="1324">
        <f>+IF(ISBLANK(REPORTS!L133),"",REPORTS!L133)</f>
        <v>20.236091301998414</v>
      </c>
      <c r="G150" s="1324">
        <f>+IF(ISBLANK(REPORTS!M133),"",REPORTS!M133)</f>
        <v>135.49326615412994</v>
      </c>
      <c r="H150" s="1324">
        <f>+IF(ISBLANK(REPORTS!N133),"",REPORTS!N133)</f>
        <v>14.251167359612509</v>
      </c>
      <c r="I150" s="1324">
        <f>+IF(ISBLANK(REPORTS!O133),"",REPORTS!O133)</f>
        <v>9.7304194440655839E-6</v>
      </c>
      <c r="J150" s="1324">
        <f>+IF(ISBLANK(REPORTS!P133),"",REPORTS!P133)</f>
        <v>2.6240709114710925</v>
      </c>
      <c r="K150" s="1324">
        <f>+IF(ISBLANK(REPORTS!Q133),"",REPORTS!Q133)</f>
        <v>0</v>
      </c>
      <c r="L150" s="1324"/>
      <c r="M150" s="1324">
        <v>105</v>
      </c>
    </row>
    <row r="151" spans="1:13">
      <c r="A151" s="1393">
        <v>20</v>
      </c>
      <c r="B151" s="1324" t="s">
        <v>5241</v>
      </c>
      <c r="C151" s="1324" t="s">
        <v>4067</v>
      </c>
      <c r="D151" s="1324">
        <f>+IF(ISBLANK(REPORTS!J134),"",REPORTS!J134)</f>
        <v>229.72470960232238</v>
      </c>
      <c r="E151" s="1324">
        <f>+IF(ISBLANK(REPORTS!K134),"",REPORTS!K134)</f>
        <v>167.61478906677505</v>
      </c>
      <c r="F151" s="1324">
        <f>+IF(ISBLANK(REPORTS!L134),"",REPORTS!L134)</f>
        <v>13.496317042201234</v>
      </c>
      <c r="G151" s="1324">
        <f>+IF(ISBLANK(REPORTS!M134),"",REPORTS!M134)</f>
        <v>47.782590849183748</v>
      </c>
      <c r="H151" s="1324">
        <f>+IF(ISBLANK(REPORTS!N134),"",REPORTS!N134)</f>
        <v>0</v>
      </c>
      <c r="I151" s="1324">
        <f>+IF(ISBLANK(REPORTS!O134),"",REPORTS!O134)</f>
        <v>0</v>
      </c>
      <c r="J151" s="1324">
        <f>+IF(ISBLANK(REPORTS!P134),"",REPORTS!P134)</f>
        <v>0.83101264416233922</v>
      </c>
      <c r="K151" s="1324">
        <f>+IF(ISBLANK(REPORTS!Q134),"",REPORTS!Q134)</f>
        <v>0</v>
      </c>
      <c r="L151" s="1324"/>
      <c r="M151" s="1324">
        <v>106</v>
      </c>
    </row>
    <row r="152" spans="1:13">
      <c r="A152" s="1393">
        <v>21</v>
      </c>
      <c r="B152" s="1324" t="s">
        <v>5242</v>
      </c>
      <c r="C152" s="1324" t="s">
        <v>4071</v>
      </c>
      <c r="D152" s="1324">
        <f>+IF(ISBLANK(REPORTS!J135),"",REPORTS!J135)</f>
        <v>216.09497132613194</v>
      </c>
      <c r="E152" s="1324">
        <f>+IF(ISBLANK(REPORTS!K135),"",REPORTS!K135)</f>
        <v>79.664863621095478</v>
      </c>
      <c r="F152" s="1324">
        <f>+IF(ISBLANK(REPORTS!L135),"",REPORTS!L135)</f>
        <v>12.084112331790104</v>
      </c>
      <c r="G152" s="1324">
        <f>+IF(ISBLANK(REPORTS!M135),"",REPORTS!M135)</f>
        <v>5.8257414082708596</v>
      </c>
      <c r="H152" s="1324">
        <f>+IF(ISBLANK(REPORTS!N135),"",REPORTS!N135)</f>
        <v>0.37555724350818143</v>
      </c>
      <c r="I152" s="1324">
        <f>+IF(ISBLANK(REPORTS!O135),"",REPORTS!O135)</f>
        <v>0.40974871785588124</v>
      </c>
      <c r="J152" s="1324">
        <f>+IF(ISBLANK(REPORTS!P135),"",REPORTS!P135)</f>
        <v>9.4042220502395357E-2</v>
      </c>
      <c r="K152" s="1324">
        <f>+IF(ISBLANK(REPORTS!Q135),"",REPORTS!Q135)</f>
        <v>117.64090578310908</v>
      </c>
      <c r="L152" s="1324"/>
      <c r="M152" s="1324">
        <v>907</v>
      </c>
    </row>
    <row r="153" spans="1:13">
      <c r="A153" s="1393">
        <v>22</v>
      </c>
      <c r="B153" s="1324" t="s">
        <v>5244</v>
      </c>
      <c r="C153" s="1324" t="s">
        <v>4071</v>
      </c>
      <c r="D153" s="1324">
        <f>+IF(ISBLANK(REPORTS!J136),"",REPORTS!J136)</f>
        <v>52.39644670933798</v>
      </c>
      <c r="E153" s="1324">
        <f>+IF(ISBLANK(REPORTS!K136),"",REPORTS!K136)</f>
        <v>46.731699949415137</v>
      </c>
      <c r="F153" s="1324">
        <f>+IF(ISBLANK(REPORTS!L136),"",REPORTS!L136)</f>
        <v>4.5302176222924695</v>
      </c>
      <c r="G153" s="1324">
        <f>+IF(ISBLANK(REPORTS!M136),"",REPORTS!M136)</f>
        <v>1.1157539928398914</v>
      </c>
      <c r="H153" s="1324">
        <f>+IF(ISBLANK(REPORTS!N136),"",REPORTS!N136)</f>
        <v>3.7671811553707593E-3</v>
      </c>
      <c r="I153" s="1324">
        <f>+IF(ISBLANK(REPORTS!O136),"",REPORTS!O136)</f>
        <v>6.683708501464251E-4</v>
      </c>
      <c r="J153" s="1324">
        <f>+IF(ISBLANK(REPORTS!P136),"",REPORTS!P136)</f>
        <v>1.4339592784959665E-2</v>
      </c>
      <c r="K153" s="1324">
        <f>+IF(ISBLANK(REPORTS!Q136),"",REPORTS!Q136)</f>
        <v>0</v>
      </c>
      <c r="L153" s="1324"/>
      <c r="M153" s="1324">
        <v>412</v>
      </c>
    </row>
    <row r="154" spans="1:13">
      <c r="A154" s="1393">
        <v>23</v>
      </c>
      <c r="B154" s="1324" t="s">
        <v>5246</v>
      </c>
      <c r="D154" s="1421">
        <f>+IF(ISBLANK(REPORTS!J137),"",REPORTS!J137)</f>
        <v>2981.2948260967496</v>
      </c>
      <c r="E154" s="1421">
        <f>+IF(ISBLANK(REPORTS!K137),"",REPORTS!K137)</f>
        <v>1733.7263678689887</v>
      </c>
      <c r="F154" s="1421">
        <f>+IF(ISBLANK(REPORTS!L137),"",REPORTS!L137)</f>
        <v>146.9592360109267</v>
      </c>
      <c r="G154" s="1421">
        <f>+IF(ISBLANK(REPORTS!M137),"",REPORTS!M137)</f>
        <v>820.81832118294108</v>
      </c>
      <c r="H154" s="1421">
        <f>+IF(ISBLANK(REPORTS!N137),"",REPORTS!N137)</f>
        <v>96.50070151115051</v>
      </c>
      <c r="I154" s="1421">
        <f>+IF(ISBLANK(REPORTS!O137),"",REPORTS!O137)</f>
        <v>59.442704522612246</v>
      </c>
      <c r="J154" s="1421">
        <f>+IF(ISBLANK(REPORTS!P137),"",REPORTS!P137)</f>
        <v>6.2065892170218726</v>
      </c>
      <c r="K154" s="1421">
        <f>+IF(ISBLANK(REPORTS!Q137),"",REPORTS!Q137)</f>
        <v>117.64090578310908</v>
      </c>
      <c r="L154" s="1364"/>
      <c r="M154" s="1364"/>
    </row>
    <row r="155" spans="1:13">
      <c r="A155" s="1393">
        <v>24</v>
      </c>
      <c r="D155" s="1364" t="str">
        <f>+IF(ISBLANK(REPORTS!J138),"",REPORTS!J138)</f>
        <v/>
      </c>
      <c r="E155" s="1364" t="str">
        <f>+IF(ISBLANK(REPORTS!K138),"",REPORTS!K138)</f>
        <v/>
      </c>
      <c r="F155" s="1364" t="str">
        <f>+IF(ISBLANK(REPORTS!L138),"",REPORTS!L138)</f>
        <v/>
      </c>
      <c r="G155" s="1364" t="str">
        <f>+IF(ISBLANK(REPORTS!M138),"",REPORTS!M138)</f>
        <v/>
      </c>
      <c r="H155" s="1364" t="str">
        <f>+IF(ISBLANK(REPORTS!N138),"",REPORTS!N138)</f>
        <v/>
      </c>
      <c r="I155" s="1364" t="str">
        <f>+IF(ISBLANK(REPORTS!O138),"",REPORTS!O138)</f>
        <v/>
      </c>
      <c r="J155" s="1364" t="str">
        <f>+IF(ISBLANK(REPORTS!P138),"",REPORTS!P138)</f>
        <v/>
      </c>
      <c r="K155" s="1364" t="str">
        <f>+IF(ISBLANK(REPORTS!Q138),"",REPORTS!Q138)</f>
        <v/>
      </c>
      <c r="L155" s="1364"/>
      <c r="M155" s="1324"/>
    </row>
    <row r="156" spans="1:13">
      <c r="A156" s="1393">
        <v>25</v>
      </c>
      <c r="B156" s="1362" t="s">
        <v>5248</v>
      </c>
      <c r="D156" s="1324" t="str">
        <f>+IF(ISBLANK(REPORTS!J139),"",REPORTS!J139)</f>
        <v/>
      </c>
      <c r="E156" s="1324" t="str">
        <f>+IF(ISBLANK(REPORTS!K139),"",REPORTS!K139)</f>
        <v/>
      </c>
      <c r="F156" s="1324" t="str">
        <f>+IF(ISBLANK(REPORTS!L139),"",REPORTS!L139)</f>
        <v/>
      </c>
      <c r="G156" s="1324" t="str">
        <f>+IF(ISBLANK(REPORTS!M139),"",REPORTS!M139)</f>
        <v/>
      </c>
      <c r="H156" s="1324" t="str">
        <f>+IF(ISBLANK(REPORTS!N139),"",REPORTS!N139)</f>
        <v/>
      </c>
      <c r="I156" s="1324" t="str">
        <f>+IF(ISBLANK(REPORTS!O139),"",REPORTS!O139)</f>
        <v/>
      </c>
      <c r="J156" s="1324" t="str">
        <f>+IF(ISBLANK(REPORTS!P139),"",REPORTS!P139)</f>
        <v/>
      </c>
      <c r="K156" s="1324" t="str">
        <f>+IF(ISBLANK(REPORTS!Q139),"",REPORTS!Q139)</f>
        <v/>
      </c>
      <c r="L156" s="1324"/>
      <c r="M156" s="1324"/>
    </row>
    <row r="157" spans="1:13">
      <c r="A157" s="1393">
        <v>26</v>
      </c>
      <c r="B157" s="1324" t="s">
        <v>5249</v>
      </c>
      <c r="C157" s="1324" t="s">
        <v>2067</v>
      </c>
      <c r="D157" s="1364">
        <f>+IF(ISBLANK(REPORTS!J140),"",REPORTS!J140)</f>
        <v>493.87339000000003</v>
      </c>
      <c r="E157" s="1364">
        <f>+IF(ISBLANK(REPORTS!K140),"",REPORTS!K140)</f>
        <v>249.22539576425109</v>
      </c>
      <c r="F157" s="1364">
        <f>+IF(ISBLANK(REPORTS!L140),"",REPORTS!L140)</f>
        <v>23.031344078364917</v>
      </c>
      <c r="G157" s="1364">
        <f>+IF(ISBLANK(REPORTS!M140),"",REPORTS!M140)</f>
        <v>171.57456771489325</v>
      </c>
      <c r="H157" s="1364">
        <f>+IF(ISBLANK(REPORTS!N140),"",REPORTS!N140)</f>
        <v>27.311912473569087</v>
      </c>
      <c r="I157" s="1364">
        <f>+IF(ISBLANK(REPORTS!O140),"",REPORTS!O140)</f>
        <v>20.12100995844046</v>
      </c>
      <c r="J157" s="1364">
        <f>+IF(ISBLANK(REPORTS!P140),"",REPORTS!P140)</f>
        <v>2.6091600104812236</v>
      </c>
      <c r="K157" s="1364">
        <f>+IF(ISBLANK(REPORTS!Q140),"",REPORTS!Q140)</f>
        <v>0</v>
      </c>
      <c r="L157" s="1364"/>
      <c r="M157" s="1324">
        <v>201</v>
      </c>
    </row>
    <row r="158" spans="1:13">
      <c r="A158" s="1393">
        <v>27</v>
      </c>
      <c r="B158" s="1324" t="s">
        <v>5250</v>
      </c>
      <c r="C158" s="1324" t="s">
        <v>2067</v>
      </c>
      <c r="D158" s="1366">
        <f>+IF(ISBLANK(REPORTS!J141),"",REPORTS!J141)</f>
        <v>0</v>
      </c>
      <c r="E158" s="1366">
        <f>+IF(ISBLANK(REPORTS!K141),"",REPORTS!K141)</f>
        <v>0</v>
      </c>
      <c r="F158" s="1366">
        <f>+IF(ISBLANK(REPORTS!L141),"",REPORTS!L141)</f>
        <v>0</v>
      </c>
      <c r="G158" s="1366">
        <f>+IF(ISBLANK(REPORTS!M141),"",REPORTS!M141)</f>
        <v>0</v>
      </c>
      <c r="H158" s="1366">
        <f>+IF(ISBLANK(REPORTS!N141),"",REPORTS!N141)</f>
        <v>0</v>
      </c>
      <c r="I158" s="1366">
        <f>+IF(ISBLANK(REPORTS!O141),"",REPORTS!O141)</f>
        <v>0</v>
      </c>
      <c r="J158" s="1366">
        <f>+IF(ISBLANK(REPORTS!P141),"",REPORTS!P141)</f>
        <v>0</v>
      </c>
      <c r="K158" s="1366">
        <f>+IF(ISBLANK(REPORTS!Q141),"",REPORTS!Q141)</f>
        <v>0</v>
      </c>
      <c r="L158" s="1364"/>
      <c r="M158" s="1324">
        <v>202</v>
      </c>
    </row>
    <row r="159" spans="1:13">
      <c r="A159" s="1393">
        <v>28</v>
      </c>
      <c r="B159" s="1324" t="s">
        <v>5251</v>
      </c>
      <c r="C159" s="1324" t="s">
        <v>4374</v>
      </c>
      <c r="D159" s="1366">
        <f>+IF(ISBLANK(REPORTS!J142),"",REPORTS!J142)</f>
        <v>493.87339000000003</v>
      </c>
      <c r="E159" s="1366">
        <f>+IF(ISBLANK(REPORTS!K142),"",REPORTS!K142)</f>
        <v>249.22539576425109</v>
      </c>
      <c r="F159" s="1366">
        <f>+IF(ISBLANK(REPORTS!L142),"",REPORTS!L142)</f>
        <v>23.031344078364917</v>
      </c>
      <c r="G159" s="1366">
        <f>+IF(ISBLANK(REPORTS!M142),"",REPORTS!M142)</f>
        <v>171.57456771489325</v>
      </c>
      <c r="H159" s="1366">
        <f>+IF(ISBLANK(REPORTS!N142),"",REPORTS!N142)</f>
        <v>27.311912473569087</v>
      </c>
      <c r="I159" s="1366">
        <f>+IF(ISBLANK(REPORTS!O142),"",REPORTS!O142)</f>
        <v>20.12100995844046</v>
      </c>
      <c r="J159" s="1366">
        <f>+IF(ISBLANK(REPORTS!P142),"",REPORTS!P142)</f>
        <v>2.6091600104812236</v>
      </c>
      <c r="K159" s="1366">
        <f>+IF(ISBLANK(REPORTS!Q142),"",REPORTS!Q142)</f>
        <v>0</v>
      </c>
      <c r="L159" s="1364"/>
      <c r="M159" s="1324"/>
    </row>
    <row r="160" spans="1:13">
      <c r="A160" s="1393">
        <v>29</v>
      </c>
      <c r="B160" s="1324" t="s">
        <v>5253</v>
      </c>
      <c r="C160" s="1324" t="s">
        <v>2067</v>
      </c>
      <c r="D160" s="1364">
        <f>+IF(ISBLANK(REPORTS!J143),"",REPORTS!J143)</f>
        <v>107</v>
      </c>
      <c r="E160" s="1364">
        <f>+IF(ISBLANK(REPORTS!K143),"",REPORTS!K143)</f>
        <v>53.995857818488389</v>
      </c>
      <c r="F160" s="1364">
        <f>+IF(ISBLANK(REPORTS!L143),"",REPORTS!L143)</f>
        <v>4.9898493546798415</v>
      </c>
      <c r="G160" s="1364">
        <f>+IF(ISBLANK(REPORTS!M143),"",REPORTS!M143)</f>
        <v>37.172439570987166</v>
      </c>
      <c r="H160" s="1364">
        <f>+IF(ISBLANK(REPORTS!N143),"",REPORTS!N143)</f>
        <v>5.9172546928918202</v>
      </c>
      <c r="I160" s="1364">
        <f>+IF(ISBLANK(REPORTS!O143),"",REPORTS!O143)</f>
        <v>4.3593117368666672</v>
      </c>
      <c r="J160" s="1364">
        <f>+IF(ISBLANK(REPORTS!P143),"",REPORTS!P143)</f>
        <v>0.56528682608611669</v>
      </c>
      <c r="K160" s="1364">
        <f>+IF(ISBLANK(REPORTS!Q143),"",REPORTS!Q143)</f>
        <v>0</v>
      </c>
      <c r="L160" s="1364"/>
      <c r="M160" s="1320">
        <v>204</v>
      </c>
    </row>
    <row r="161" spans="1:13">
      <c r="A161" s="1393">
        <v>30</v>
      </c>
      <c r="B161" s="1324" t="s">
        <v>5255</v>
      </c>
      <c r="C161" s="1324" t="s">
        <v>2067</v>
      </c>
      <c r="D161" s="1364">
        <f>+IF(ISBLANK(REPORTS!J144),"",REPORTS!J144)</f>
        <v>0</v>
      </c>
      <c r="E161" s="1364">
        <f>+IF(ISBLANK(REPORTS!K144),"",REPORTS!K144)</f>
        <v>0</v>
      </c>
      <c r="F161" s="1364">
        <f>+IF(ISBLANK(REPORTS!L144),"",REPORTS!L144)</f>
        <v>0</v>
      </c>
      <c r="G161" s="1364">
        <f>+IF(ISBLANK(REPORTS!M144),"",REPORTS!M144)</f>
        <v>0</v>
      </c>
      <c r="H161" s="1364">
        <f>+IF(ISBLANK(REPORTS!N144),"",REPORTS!N144)</f>
        <v>0</v>
      </c>
      <c r="I161" s="1364">
        <f>+IF(ISBLANK(REPORTS!O144),"",REPORTS!O144)</f>
        <v>0</v>
      </c>
      <c r="J161" s="1364">
        <f>+IF(ISBLANK(REPORTS!P144),"",REPORTS!P144)</f>
        <v>0</v>
      </c>
      <c r="K161" s="1364">
        <f>+IF(ISBLANK(REPORTS!Q144),"",REPORTS!Q144)</f>
        <v>0</v>
      </c>
      <c r="L161" s="1364"/>
      <c r="M161" s="1324">
        <v>201</v>
      </c>
    </row>
    <row r="162" spans="1:13">
      <c r="A162" s="1393">
        <v>31</v>
      </c>
      <c r="B162" s="1324" t="s">
        <v>5256</v>
      </c>
      <c r="C162" s="1324" t="s">
        <v>2067</v>
      </c>
      <c r="D162" s="1366">
        <f>+IF(ISBLANK(REPORTS!J145),"",REPORTS!J145)</f>
        <v>-62.881113731333144</v>
      </c>
      <c r="E162" s="1366">
        <f>+IF(ISBLANK(REPORTS!K145),"",REPORTS!K145)</f>
        <v>-144.50140292494311</v>
      </c>
      <c r="F162" s="1366">
        <f>+IF(ISBLANK(REPORTS!L145),"",REPORTS!L145)</f>
        <v>-1.7648550943851231</v>
      </c>
      <c r="G162" s="1366">
        <f>+IF(ISBLANK(REPORTS!M145),"",REPORTS!M145)</f>
        <v>62.380952836373247</v>
      </c>
      <c r="H162" s="1366">
        <f>+IF(ISBLANK(REPORTS!N145),"",REPORTS!N145)</f>
        <v>18.851117675793031</v>
      </c>
      <c r="I162" s="1366">
        <f>+IF(ISBLANK(REPORTS!O145),"",REPORTS!O145)</f>
        <v>2.1530737758287897</v>
      </c>
      <c r="J162" s="1366">
        <f>+IF(ISBLANK(REPORTS!P145),"",REPORTS!P145)</f>
        <v>0</v>
      </c>
      <c r="K162" s="1366">
        <f>+IF(ISBLANK(REPORTS!Q145),"",REPORTS!Q145)</f>
        <v>0</v>
      </c>
      <c r="L162" s="1364"/>
      <c r="M162" s="1324">
        <v>508</v>
      </c>
    </row>
    <row r="163" spans="1:13">
      <c r="A163" s="1393">
        <v>32</v>
      </c>
      <c r="B163" s="1324" t="s">
        <v>5258</v>
      </c>
      <c r="C163" s="1324" t="s">
        <v>4374</v>
      </c>
      <c r="D163" s="1366">
        <f>+IF(ISBLANK(REPORTS!J146),"",REPORTS!J146)</f>
        <v>44.118886268666856</v>
      </c>
      <c r="E163" s="1366">
        <f>+IF(ISBLANK(REPORTS!K146),"",REPORTS!K146)</f>
        <v>-90.505545106454719</v>
      </c>
      <c r="F163" s="1366">
        <f>+IF(ISBLANK(REPORTS!L146),"",REPORTS!L146)</f>
        <v>3.2249942602947184</v>
      </c>
      <c r="G163" s="1366">
        <f>+IF(ISBLANK(REPORTS!M146),"",REPORTS!M146)</f>
        <v>99.553392407360406</v>
      </c>
      <c r="H163" s="1366">
        <f>+IF(ISBLANK(REPORTS!N146),"",REPORTS!N146)</f>
        <v>24.768372368684851</v>
      </c>
      <c r="I163" s="1366">
        <f>+IF(ISBLANK(REPORTS!O146),"",REPORTS!O146)</f>
        <v>6.5123855126954568</v>
      </c>
      <c r="J163" s="1366">
        <f>+IF(ISBLANK(REPORTS!P146),"",REPORTS!P146)</f>
        <v>0.56528682608611669</v>
      </c>
      <c r="K163" s="1366">
        <f>+IF(ISBLANK(REPORTS!Q146),"",REPORTS!Q146)</f>
        <v>0</v>
      </c>
      <c r="L163" s="1358"/>
    </row>
    <row r="164" spans="1:13">
      <c r="A164" s="1393">
        <v>33</v>
      </c>
      <c r="B164" s="1324" t="s">
        <v>5260</v>
      </c>
      <c r="D164" s="1366">
        <f>+IF(ISBLANK(REPORTS!J147),"",REPORTS!J147)</f>
        <v>537.99227626866684</v>
      </c>
      <c r="E164" s="1366">
        <f>+IF(ISBLANK(REPORTS!K147),"",REPORTS!K147)</f>
        <v>158.71985065779637</v>
      </c>
      <c r="F164" s="1366">
        <f>+IF(ISBLANK(REPORTS!L147),"",REPORTS!L147)</f>
        <v>26.256338338659635</v>
      </c>
      <c r="G164" s="1366">
        <f>+IF(ISBLANK(REPORTS!M147),"",REPORTS!M147)</f>
        <v>271.12796012225363</v>
      </c>
      <c r="H164" s="1366">
        <f>+IF(ISBLANK(REPORTS!N147),"",REPORTS!N147)</f>
        <v>52.080284842253938</v>
      </c>
      <c r="I164" s="1366">
        <f>+IF(ISBLANK(REPORTS!O147),"",REPORTS!O147)</f>
        <v>26.633395471135916</v>
      </c>
      <c r="J164" s="1366">
        <f>+IF(ISBLANK(REPORTS!P147),"",REPORTS!P147)</f>
        <v>3.1744468365673404</v>
      </c>
      <c r="K164" s="1366">
        <f>+IF(ISBLANK(REPORTS!Q147),"",REPORTS!Q147)</f>
        <v>0</v>
      </c>
      <c r="L164" s="1358"/>
    </row>
    <row r="165" spans="1:13">
      <c r="A165" s="1393">
        <v>34</v>
      </c>
      <c r="D165" s="1324" t="str">
        <f>+IF(ISBLANK(REPORTS!J148),"",REPORTS!J148)</f>
        <v/>
      </c>
      <c r="E165" s="1324" t="str">
        <f>+IF(ISBLANK(REPORTS!K148),"",REPORTS!K148)</f>
        <v/>
      </c>
      <c r="F165" s="1324" t="str">
        <f>+IF(ISBLANK(REPORTS!L148),"",REPORTS!L148)</f>
        <v/>
      </c>
      <c r="G165" s="1324" t="str">
        <f>+IF(ISBLANK(REPORTS!M148),"",REPORTS!M148)</f>
        <v/>
      </c>
      <c r="H165" s="1324" t="str">
        <f>+IF(ISBLANK(REPORTS!N148),"",REPORTS!N148)</f>
        <v/>
      </c>
      <c r="I165" s="1324" t="str">
        <f>+IF(ISBLANK(REPORTS!O148),"",REPORTS!O148)</f>
        <v/>
      </c>
      <c r="J165" s="1324" t="str">
        <f>+IF(ISBLANK(REPORTS!P148),"",REPORTS!P148)</f>
        <v/>
      </c>
      <c r="K165" s="1324" t="str">
        <f>+IF(ISBLANK(REPORTS!Q148),"",REPORTS!Q148)</f>
        <v/>
      </c>
    </row>
    <row r="166" spans="1:13">
      <c r="A166" s="1393">
        <v>35</v>
      </c>
      <c r="B166" s="1362" t="s">
        <v>5262</v>
      </c>
      <c r="D166" s="1324" t="str">
        <f>+IF(ISBLANK(REPORTS!J149),"",REPORTS!J149)</f>
        <v/>
      </c>
      <c r="E166" s="1324" t="str">
        <f>+IF(ISBLANK(REPORTS!K149),"",REPORTS!K149)</f>
        <v/>
      </c>
      <c r="F166" s="1324" t="str">
        <f>+IF(ISBLANK(REPORTS!L149),"",REPORTS!L149)</f>
        <v/>
      </c>
      <c r="G166" s="1324" t="str">
        <f>+IF(ISBLANK(REPORTS!M149),"",REPORTS!M149)</f>
        <v/>
      </c>
      <c r="H166" s="1324" t="str">
        <f>+IF(ISBLANK(REPORTS!N149),"",REPORTS!N149)</f>
        <v/>
      </c>
      <c r="I166" s="1324" t="str">
        <f>+IF(ISBLANK(REPORTS!O149),"",REPORTS!O149)</f>
        <v/>
      </c>
      <c r="J166" s="1324" t="str">
        <f>+IF(ISBLANK(REPORTS!P149),"",REPORTS!P149)</f>
        <v/>
      </c>
      <c r="K166" s="1324" t="str">
        <f>+IF(ISBLANK(REPORTS!Q149),"",REPORTS!Q149)</f>
        <v/>
      </c>
    </row>
    <row r="167" spans="1:13">
      <c r="A167" s="1393">
        <v>36</v>
      </c>
      <c r="B167" s="1324" t="s">
        <v>5263</v>
      </c>
      <c r="C167" s="1324" t="s">
        <v>4777</v>
      </c>
      <c r="D167" s="1324">
        <f>+IF(ISBLANK(REPORTS!J150),"",REPORTS!J150)</f>
        <v>1774352.2642492782</v>
      </c>
      <c r="E167" s="1324">
        <f>+IF(ISBLANK(REPORTS!K150),"",REPORTS!K150)</f>
        <v>1031095.7438643834</v>
      </c>
      <c r="F167" s="1324">
        <f>+IF(ISBLANK(REPORTS!L150),"",REPORTS!L150)</f>
        <v>95215.926359999998</v>
      </c>
      <c r="G167" s="1324">
        <f>+IF(ISBLANK(REPORTS!M150),"",REPORTS!M150)</f>
        <v>472409.06597747206</v>
      </c>
      <c r="H167" s="1324">
        <f>+IF(ISBLANK(REPORTS!N150),"",REPORTS!N150)</f>
        <v>56248.638876056888</v>
      </c>
      <c r="I167" s="1324">
        <f>+IF(ISBLANK(REPORTS!O150),"",REPORTS!O150)</f>
        <v>33101.5829713657</v>
      </c>
      <c r="J167" s="1320">
        <f>+IF(ISBLANK(REPORTS!P150),"",REPORTS!P150)</f>
        <v>3573.4600599999999</v>
      </c>
      <c r="K167" s="1320">
        <f>+IF(ISBLANK(REPORTS!Q150),"",REPORTS!Q150)</f>
        <v>82707.846140000009</v>
      </c>
      <c r="M167" s="1321"/>
    </row>
    <row r="168" spans="1:13">
      <c r="A168" s="1393">
        <v>37</v>
      </c>
      <c r="B168" s="1324" t="s">
        <v>5265</v>
      </c>
      <c r="C168" s="1324" t="s">
        <v>4067</v>
      </c>
      <c r="D168" s="1324">
        <f>+IF(ISBLANK(REPORTS!J151),"",REPORTS!J151)</f>
        <v>1850.9373105288485</v>
      </c>
      <c r="E168" s="1324">
        <f>+IF(ISBLANK(REPORTS!K151),"",REPORTS!K151)</f>
        <v>1062.835350791551</v>
      </c>
      <c r="F168" s="1324">
        <f>+IF(ISBLANK(REPORTS!L151),"",REPORTS!L151)</f>
        <v>88.386074041862514</v>
      </c>
      <c r="G168" s="1324">
        <f>+IF(ISBLANK(REPORTS!M151),"",REPORTS!M151)</f>
        <v>572.02674442495356</v>
      </c>
      <c r="H168" s="1324">
        <f>+IF(ISBLANK(REPORTS!N151),"",REPORTS!N151)</f>
        <v>73.108889369043141</v>
      </c>
      <c r="I168" s="1324">
        <f>+IF(ISBLANK(REPORTS!O151),"",REPORTS!O151)</f>
        <v>52.616697051048732</v>
      </c>
      <c r="J168" s="1320">
        <f>+IF(ISBLANK(REPORTS!P151),"",REPORTS!P151)</f>
        <v>1.9635548503894207</v>
      </c>
      <c r="K168" s="1320">
        <f>+IF(ISBLANK(REPORTS!Q151),"",REPORTS!Q151)</f>
        <v>0</v>
      </c>
      <c r="M168" s="1321"/>
    </row>
    <row r="169" spans="1:13">
      <c r="A169" s="1393">
        <v>38</v>
      </c>
      <c r="B169" s="1324" t="s">
        <v>5265</v>
      </c>
      <c r="C169" s="1324" t="s">
        <v>2067</v>
      </c>
      <c r="D169" s="1324">
        <f>+IF(ISBLANK(REPORTS!J152),"",REPORTS!J152)</f>
        <v>683.45100159561605</v>
      </c>
      <c r="E169" s="1324">
        <f>+IF(ISBLANK(REPORTS!K152),"",REPORTS!K152)</f>
        <v>232.12329599623095</v>
      </c>
      <c r="F169" s="1324">
        <f>+IF(ISBLANK(REPORTS!L152),"",REPORTS!L152)</f>
        <v>33.039675971418788</v>
      </c>
      <c r="G169" s="1324">
        <f>+IF(ISBLANK(REPORTS!M152),"",REPORTS!M152)</f>
        <v>321.66119075112124</v>
      </c>
      <c r="H169" s="1324">
        <f>+IF(ISBLANK(REPORTS!N152),"",REPORTS!N152)</f>
        <v>60.124362646580593</v>
      </c>
      <c r="I169" s="1324">
        <f>+IF(ISBLANK(REPORTS!O152),"",REPORTS!O152)</f>
        <v>32.559563027653994</v>
      </c>
      <c r="J169" s="1320">
        <f>+IF(ISBLANK(REPORTS!P152),"",REPORTS!P152)</f>
        <v>3.9429132026103617</v>
      </c>
      <c r="K169" s="1320">
        <f>+IF(ISBLANK(REPORTS!Q152),"",REPORTS!Q152)</f>
        <v>0</v>
      </c>
      <c r="M169" s="1321"/>
    </row>
    <row r="170" spans="1:13">
      <c r="A170" s="1393">
        <v>39</v>
      </c>
      <c r="B170" s="1324" t="s">
        <v>5268</v>
      </c>
      <c r="C170" s="1324" t="s">
        <v>4067</v>
      </c>
      <c r="D170" s="1364">
        <f>+IF(ISBLANK(REPORTS!J153),"",REPORTS!J153)</f>
        <v>931.87196742411015</v>
      </c>
      <c r="E170" s="1364">
        <f>+IF(ISBLANK(REPORTS!K153),"",REPORTS!K153)</f>
        <v>540.49789283172697</v>
      </c>
      <c r="F170" s="1364">
        <f>+IF(ISBLANK(REPORTS!L153),"",REPORTS!L153)</f>
        <v>44.585624396841048</v>
      </c>
      <c r="G170" s="1364">
        <f>+IF(ISBLANK(REPORTS!M153),"",REPORTS!M153)</f>
        <v>285.01349750262563</v>
      </c>
      <c r="H170" s="1364">
        <f>+IF(ISBLANK(REPORTS!N153),"",REPORTS!N153)</f>
        <v>35.580156141349192</v>
      </c>
      <c r="I170" s="1364">
        <f>+IF(ISBLANK(REPORTS!O153),"",REPORTS!O153)</f>
        <v>25.53410621469742</v>
      </c>
      <c r="J170" s="1358">
        <f>+IF(ISBLANK(REPORTS!P153),"",REPORTS!P153)</f>
        <v>0.66069033686989576</v>
      </c>
      <c r="K170" s="1358">
        <f>+IF(ISBLANK(REPORTS!Q153),"",REPORTS!Q153)</f>
        <v>0</v>
      </c>
      <c r="L170" s="1358"/>
      <c r="M170" s="1321"/>
    </row>
    <row r="171" spans="1:13">
      <c r="A171" s="1393">
        <v>40</v>
      </c>
      <c r="B171" s="1324" t="s">
        <v>5239</v>
      </c>
      <c r="C171" s="1324" t="s">
        <v>4067</v>
      </c>
      <c r="D171" s="1364">
        <f>+IF(ISBLANK(REPORTS!J154),"",REPORTS!J154)</f>
        <v>255.6580146588625</v>
      </c>
      <c r="E171" s="1364">
        <f>+IF(ISBLANK(REPORTS!K154),"",REPORTS!K154)</f>
        <v>148.28498231428051</v>
      </c>
      <c r="F171" s="1364">
        <f>+IF(ISBLANK(REPORTS!L154),"",REPORTS!L154)</f>
        <v>12.232015356283817</v>
      </c>
      <c r="G171" s="1364">
        <f>+IF(ISBLANK(REPORTS!M154),"",REPORTS!M154)</f>
        <v>78.193128959460836</v>
      </c>
      <c r="H171" s="1364">
        <f>+IF(ISBLANK(REPORTS!N154),"",REPORTS!N154)</f>
        <v>9.7613753802401604</v>
      </c>
      <c r="I171" s="1364">
        <f>+IF(ISBLANK(REPORTS!O154),"",REPORTS!O154)</f>
        <v>7.0052530059282994</v>
      </c>
      <c r="J171" s="1358">
        <f>+IF(ISBLANK(REPORTS!P154),"",REPORTS!P154)</f>
        <v>0.18125964266889311</v>
      </c>
      <c r="K171" s="1358">
        <f>+IF(ISBLANK(REPORTS!Q154),"",REPORTS!Q154)</f>
        <v>0</v>
      </c>
      <c r="L171" s="1358"/>
      <c r="M171" s="1321"/>
    </row>
    <row r="172" spans="1:13">
      <c r="A172" s="1393">
        <v>41</v>
      </c>
      <c r="B172" s="1324" t="s">
        <v>5240</v>
      </c>
      <c r="C172" s="1324" t="s">
        <v>4067</v>
      </c>
      <c r="D172" s="1364">
        <f>+IF(ISBLANK(REPORTS!J155),"",REPORTS!J155)</f>
        <v>14945.554128665908</v>
      </c>
      <c r="E172" s="1364">
        <f>+IF(ISBLANK(REPORTS!K155),"",REPORTS!K155)</f>
        <v>9302.3521990449226</v>
      </c>
      <c r="F172" s="1364">
        <f>+IF(ISBLANK(REPORTS!L155),"",REPORTS!L155)</f>
        <v>661.60661924780038</v>
      </c>
      <c r="G172" s="1364">
        <f>+IF(ISBLANK(REPORTS!M155),"",REPORTS!M155)</f>
        <v>4429.8694057692665</v>
      </c>
      <c r="H172" s="1364">
        <f>+IF(ISBLANK(REPORTS!N155),"",REPORTS!N155)</f>
        <v>465.93319413402276</v>
      </c>
      <c r="I172" s="1364">
        <f>+IF(ISBLANK(REPORTS!O155),"",REPORTS!O155)</f>
        <v>3.181301080419388E-4</v>
      </c>
      <c r="J172" s="1358">
        <f>+IF(ISBLANK(REPORTS!P155),"",REPORTS!P155)</f>
        <v>85.792392339791192</v>
      </c>
      <c r="K172" s="1358">
        <f>+IF(ISBLANK(REPORTS!Q155),"",REPORTS!Q155)</f>
        <v>0</v>
      </c>
      <c r="L172" s="1358"/>
      <c r="M172" s="1321"/>
    </row>
    <row r="173" spans="1:13">
      <c r="A173" s="1393">
        <v>42</v>
      </c>
      <c r="B173" s="1324" t="s">
        <v>5241</v>
      </c>
      <c r="C173" s="1324" t="s">
        <v>4067</v>
      </c>
      <c r="D173" s="1364">
        <f>+IF(ISBLANK(REPORTS!J156),"",REPORTS!J156)</f>
        <v>348.69066960232243</v>
      </c>
      <c r="E173" s="1364">
        <f>+IF(ISBLANK(REPORTS!K156),"",REPORTS!K156)</f>
        <v>254.41631044445109</v>
      </c>
      <c r="F173" s="1364">
        <f>+IF(ISBLANK(REPORTS!L156),"",REPORTS!L156)</f>
        <v>20.485562196409056</v>
      </c>
      <c r="G173" s="1364">
        <f>+IF(ISBLANK(REPORTS!M156),"",REPORTS!M156)</f>
        <v>72.52743349802563</v>
      </c>
      <c r="H173" s="1364">
        <f>+IF(ISBLANK(REPORTS!N156),"",REPORTS!N156)</f>
        <v>0</v>
      </c>
      <c r="I173" s="1364">
        <f>+IF(ISBLANK(REPORTS!O156),"",REPORTS!O156)</f>
        <v>0</v>
      </c>
      <c r="J173" s="1358">
        <f>+IF(ISBLANK(REPORTS!P156),"",REPORTS!P156)</f>
        <v>1.2613634634366437</v>
      </c>
      <c r="K173" s="1358">
        <f>+IF(ISBLANK(REPORTS!Q156),"",REPORTS!Q156)</f>
        <v>0</v>
      </c>
      <c r="L173" s="1358"/>
      <c r="M173" s="1321"/>
    </row>
    <row r="174" spans="1:13">
      <c r="A174" s="1393">
        <v>43</v>
      </c>
      <c r="B174" s="1324" t="s">
        <v>5242</v>
      </c>
      <c r="C174" s="1324" t="s">
        <v>4071</v>
      </c>
      <c r="D174" s="1364">
        <f>+IF(ISBLANK(REPORTS!J157),"",REPORTS!J157)</f>
        <v>216.09497132613194</v>
      </c>
      <c r="E174" s="1364">
        <f>+IF(ISBLANK(REPORTS!K157),"",REPORTS!K157)</f>
        <v>79.664863621095478</v>
      </c>
      <c r="F174" s="1364">
        <f>+IF(ISBLANK(REPORTS!L157),"",REPORTS!L157)</f>
        <v>12.084112331790104</v>
      </c>
      <c r="G174" s="1364">
        <f>+IF(ISBLANK(REPORTS!M157),"",REPORTS!M157)</f>
        <v>5.8257414082708596</v>
      </c>
      <c r="H174" s="1364">
        <f>+IF(ISBLANK(REPORTS!N157),"",REPORTS!N157)</f>
        <v>0.37555724350818143</v>
      </c>
      <c r="I174" s="1364">
        <f>+IF(ISBLANK(REPORTS!O157),"",REPORTS!O157)</f>
        <v>0.40974871785588124</v>
      </c>
      <c r="J174" s="1358">
        <f>+IF(ISBLANK(REPORTS!P157),"",REPORTS!P157)</f>
        <v>9.4042220502395357E-2</v>
      </c>
      <c r="K174" s="1358">
        <f>+IF(ISBLANK(REPORTS!Q157),"",REPORTS!Q157)</f>
        <v>117.64090578310908</v>
      </c>
      <c r="L174" s="1358"/>
      <c r="M174" s="1321"/>
    </row>
    <row r="175" spans="1:13">
      <c r="A175" s="1393">
        <v>44</v>
      </c>
      <c r="B175" s="1324" t="s">
        <v>5244</v>
      </c>
      <c r="C175" s="1324" t="s">
        <v>4071</v>
      </c>
      <c r="D175" s="1366">
        <f>+IF(ISBLANK(REPORTS!J158),"",REPORTS!J158)</f>
        <v>21497.128382830353</v>
      </c>
      <c r="E175" s="1366">
        <f>+IF(ISBLANK(REPORTS!K158),"",REPORTS!K158)</f>
        <v>19178.418704941017</v>
      </c>
      <c r="F175" s="1366">
        <f>+IF(ISBLANK(REPORTS!L158),"",REPORTS!L158)</f>
        <v>1858.7024168937448</v>
      </c>
      <c r="G175" s="1366">
        <f>+IF(ISBLANK(REPORTS!M158),"",REPORTS!M158)</f>
        <v>454.56569322625199</v>
      </c>
      <c r="H175" s="1366">
        <f>+IF(ISBLANK(REPORTS!N158),"",REPORTS!N158)</f>
        <v>3.7671811553707593E-3</v>
      </c>
      <c r="I175" s="1366">
        <f>+IF(ISBLANK(REPORTS!O158),"",REPORTS!O158)</f>
        <v>6.683708501464251E-4</v>
      </c>
      <c r="J175" s="1350">
        <f>+IF(ISBLANK(REPORTS!P158),"",REPORTS!P158)</f>
        <v>5.4371322173328691</v>
      </c>
      <c r="K175" s="1350">
        <f>+IF(ISBLANK(REPORTS!Q158),"",REPORTS!Q158)</f>
        <v>0</v>
      </c>
      <c r="L175" s="1358"/>
      <c r="M175" s="1321"/>
    </row>
    <row r="176" spans="1:13">
      <c r="A176" s="1393">
        <v>45</v>
      </c>
      <c r="D176" s="1324" t="str">
        <f>+IF(ISBLANK(REPORTS!J159),"",REPORTS!J159)</f>
        <v/>
      </c>
      <c r="E176" s="1324" t="str">
        <f>+IF(ISBLANK(REPORTS!K159),"",REPORTS!K159)</f>
        <v/>
      </c>
      <c r="F176" s="1324" t="str">
        <f>+IF(ISBLANK(REPORTS!L159),"",REPORTS!L159)</f>
        <v/>
      </c>
      <c r="G176" s="1324" t="str">
        <f>+IF(ISBLANK(REPORTS!M159),"",REPORTS!M159)</f>
        <v/>
      </c>
      <c r="H176" s="1324" t="str">
        <f>+IF(ISBLANK(REPORTS!N159),"",REPORTS!N159)</f>
        <v/>
      </c>
      <c r="I176" s="1324" t="str">
        <f>+IF(ISBLANK(REPORTS!O159),"",REPORTS!O159)</f>
        <v/>
      </c>
      <c r="J176" s="1320" t="str">
        <f>+IF(ISBLANK(REPORTS!P159),"",REPORTS!P159)</f>
        <v/>
      </c>
      <c r="K176" s="1320" t="str">
        <f>+IF(ISBLANK(REPORTS!Q159),"",REPORTS!Q159)</f>
        <v/>
      </c>
    </row>
    <row r="177" spans="1:13" ht="15" thickBot="1">
      <c r="A177" s="1393">
        <v>46</v>
      </c>
      <c r="B177" s="1324" t="s">
        <v>5262</v>
      </c>
      <c r="D177" s="1380">
        <f>+IF(ISBLANK(REPORTS!J160),"",REPORTS!J160)</f>
        <v>1815081.6506959107</v>
      </c>
      <c r="E177" s="1380">
        <f>+IF(ISBLANK(REPORTS!K160),"",REPORTS!K160)</f>
        <v>1061894.3374643687</v>
      </c>
      <c r="F177" s="1380">
        <f>+IF(ISBLANK(REPORTS!L160),"",REPORTS!L160)</f>
        <v>97947.04846043617</v>
      </c>
      <c r="G177" s="1380">
        <f>+IF(ISBLANK(REPORTS!M160),"",REPORTS!M160)</f>
        <v>478628.74881301197</v>
      </c>
      <c r="H177" s="1380">
        <f>+IF(ISBLANK(REPORTS!N160),"",REPORTS!N160)</f>
        <v>56893.526178152795</v>
      </c>
      <c r="I177" s="1380">
        <f>+IF(ISBLANK(REPORTS!O160),"",REPORTS!O160)</f>
        <v>33219.709325883836</v>
      </c>
      <c r="J177" s="1423">
        <f>+IF(ISBLANK(REPORTS!P160),"",REPORTS!P160)</f>
        <v>3672.7934082736015</v>
      </c>
      <c r="K177" s="1423">
        <f>+IF(ISBLANK(REPORTS!Q160),"",REPORTS!Q160)</f>
        <v>82825.487045783113</v>
      </c>
      <c r="L177" s="1358"/>
    </row>
    <row r="178" spans="1:13" ht="15" thickTop="1">
      <c r="D178" s="328"/>
    </row>
    <row r="181" spans="1:13">
      <c r="A181" s="1732" t="str">
        <f>+$A$1</f>
        <v>RATES WITH REVENUE DEFICIENCY ADDITION</v>
      </c>
      <c r="F181" s="1329" t="s">
        <v>2173</v>
      </c>
      <c r="G181" s="1329"/>
      <c r="H181" s="1329"/>
      <c r="I181" s="1329"/>
      <c r="M181" s="1334" t="s">
        <v>4875</v>
      </c>
    </row>
    <row r="182" spans="1:13">
      <c r="A182" s="1732" t="str">
        <f>+$A$2</f>
        <v>PROD. CAP. ALLOC. METHOD: 12 CP &amp; 1/13th AD</v>
      </c>
      <c r="F182" s="1336" t="s">
        <v>5141</v>
      </c>
      <c r="G182" s="1336"/>
      <c r="H182" s="1336"/>
      <c r="I182" s="1336"/>
      <c r="L182" s="1331"/>
      <c r="M182" s="1409"/>
    </row>
    <row r="183" spans="1:13">
      <c r="A183" s="1732" t="str">
        <f>+$A$3</f>
        <v>PROJECTED CALENDAR YEAR 2025; FULLY ADJUSTED DATA</v>
      </c>
      <c r="F183" s="1336" t="s">
        <v>2181</v>
      </c>
    </row>
    <row r="184" spans="1:13">
      <c r="A184" s="1732" t="str">
        <f>+$A$4</f>
        <v>MINIMUM DISTRIBUTION SYSTEM (MDS) NOT EMPLOYED</v>
      </c>
      <c r="B184" s="1364"/>
      <c r="C184" s="1364"/>
      <c r="F184" s="1329"/>
      <c r="G184" s="1329"/>
      <c r="H184" s="1329"/>
      <c r="I184" s="1329"/>
    </row>
    <row r="185" spans="1:13">
      <c r="A185" s="1732" t="str">
        <f>+$A$5</f>
        <v>Tampa Electric 2025 OB Budget</v>
      </c>
      <c r="F185" s="1336" t="s">
        <v>5277</v>
      </c>
      <c r="G185" s="1336"/>
      <c r="H185" s="1336"/>
      <c r="I185" s="1336"/>
    </row>
    <row r="186" spans="1:13">
      <c r="F186" s="1336"/>
      <c r="G186" s="1336"/>
      <c r="H186" s="1336"/>
      <c r="I186" s="1336"/>
    </row>
    <row r="187" spans="1:13">
      <c r="F187" s="1336"/>
      <c r="G187" s="1336"/>
      <c r="H187" s="1336"/>
      <c r="I187" s="1336"/>
    </row>
    <row r="190" spans="1:13" ht="28.2">
      <c r="A190" s="1737" t="s">
        <v>4297</v>
      </c>
      <c r="B190" s="1741"/>
      <c r="C190" s="1741"/>
      <c r="D190" s="1352" t="s">
        <v>4957</v>
      </c>
      <c r="E190" s="1353" t="s">
        <v>1949</v>
      </c>
      <c r="F190" s="1353" t="s">
        <v>1950</v>
      </c>
      <c r="G190" s="1353" t="s">
        <v>1934</v>
      </c>
      <c r="H190" s="1353" t="s">
        <v>1971</v>
      </c>
      <c r="I190" s="1353" t="s">
        <v>1972</v>
      </c>
      <c r="J190" s="1352" t="s">
        <v>5146</v>
      </c>
      <c r="K190" s="1352" t="s">
        <v>5147</v>
      </c>
      <c r="L190" s="1355"/>
      <c r="M190" s="1348" t="s">
        <v>5143</v>
      </c>
    </row>
    <row r="192" spans="1:13">
      <c r="A192" s="1393">
        <v>1</v>
      </c>
      <c r="B192" s="1362" t="s">
        <v>5278</v>
      </c>
      <c r="M192" s="1321"/>
    </row>
    <row r="193" spans="1:13">
      <c r="A193" s="1393">
        <v>2</v>
      </c>
      <c r="B193" s="1324" t="s">
        <v>5279</v>
      </c>
      <c r="C193" s="1324" t="s">
        <v>4067</v>
      </c>
      <c r="D193" s="1364">
        <f>+IF(ISBLANK(REPORTS!J178),"",REPORTS!J178)</f>
        <v>0</v>
      </c>
      <c r="E193" s="1364">
        <f>+IF(ISBLANK(REPORTS!K178),"",REPORTS!K178)</f>
        <v>0</v>
      </c>
      <c r="F193" s="1364">
        <f>+IF(ISBLANK(REPORTS!L178),"",REPORTS!L178)</f>
        <v>0</v>
      </c>
      <c r="G193" s="1364">
        <f>+IF(ISBLANK(REPORTS!M178),"",REPORTS!M178)</f>
        <v>0</v>
      </c>
      <c r="H193" s="1364">
        <f>+IF(ISBLANK(REPORTS!N178),"",REPORTS!N178)</f>
        <v>0</v>
      </c>
      <c r="I193" s="1364">
        <f>+IF(ISBLANK(REPORTS!O178),"",REPORTS!O178)</f>
        <v>0</v>
      </c>
      <c r="J193" s="1364">
        <f>+IF(ISBLANK(REPORTS!P178),"",REPORTS!P178)</f>
        <v>0</v>
      </c>
      <c r="K193" s="1364">
        <f>+IF(ISBLANK(REPORTS!Q178),"",REPORTS!Q178)</f>
        <v>0</v>
      </c>
      <c r="L193" s="1358"/>
      <c r="M193" s="1320">
        <v>201</v>
      </c>
    </row>
    <row r="194" spans="1:13">
      <c r="A194" s="1393">
        <v>3</v>
      </c>
      <c r="B194" s="1324" t="s">
        <v>4805</v>
      </c>
      <c r="C194" s="1324" t="s">
        <v>2067</v>
      </c>
      <c r="D194" s="1364">
        <f>+IF(ISBLANK(REPORTS!J179),"",REPORTS!J179)</f>
        <v>0</v>
      </c>
      <c r="E194" s="1364">
        <f>+IF(ISBLANK(REPORTS!K179),"",REPORTS!K179)</f>
        <v>0</v>
      </c>
      <c r="F194" s="1364">
        <f>+IF(ISBLANK(REPORTS!L179),"",REPORTS!L179)</f>
        <v>0</v>
      </c>
      <c r="G194" s="1364">
        <f>+IF(ISBLANK(REPORTS!M179),"",REPORTS!M179)</f>
        <v>0</v>
      </c>
      <c r="H194" s="1364">
        <f>+IF(ISBLANK(REPORTS!N179),"",REPORTS!N179)</f>
        <v>0</v>
      </c>
      <c r="I194" s="1364">
        <f>+IF(ISBLANK(REPORTS!O179),"",REPORTS!O179)</f>
        <v>0</v>
      </c>
      <c r="J194" s="1364">
        <f>+IF(ISBLANK(REPORTS!P179),"",REPORTS!P179)</f>
        <v>0</v>
      </c>
      <c r="K194" s="1364">
        <f>+IF(ISBLANK(REPORTS!Q179),"",REPORTS!Q179)</f>
        <v>0</v>
      </c>
      <c r="L194" s="1358"/>
      <c r="M194" s="1320">
        <v>201</v>
      </c>
    </row>
    <row r="195" spans="1:13">
      <c r="A195" s="1393">
        <v>4</v>
      </c>
      <c r="B195" s="1324" t="s">
        <v>4808</v>
      </c>
      <c r="C195" s="1324" t="s">
        <v>2067</v>
      </c>
      <c r="D195" s="1364">
        <f>+IF(ISBLANK(REPORTS!J180),"",REPORTS!J180)</f>
        <v>0</v>
      </c>
      <c r="E195" s="1364">
        <f>+IF(ISBLANK(REPORTS!K180),"",REPORTS!K180)</f>
        <v>0</v>
      </c>
      <c r="F195" s="1364">
        <f>+IF(ISBLANK(REPORTS!L180),"",REPORTS!L180)</f>
        <v>0</v>
      </c>
      <c r="G195" s="1364">
        <f>+IF(ISBLANK(REPORTS!M180),"",REPORTS!M180)</f>
        <v>0</v>
      </c>
      <c r="H195" s="1364">
        <f>+IF(ISBLANK(REPORTS!N180),"",REPORTS!N180)</f>
        <v>0</v>
      </c>
      <c r="I195" s="1364">
        <f>+IF(ISBLANK(REPORTS!O180),"",REPORTS!O180)</f>
        <v>0</v>
      </c>
      <c r="J195" s="1364">
        <f>+IF(ISBLANK(REPORTS!P180),"",REPORTS!P180)</f>
        <v>0</v>
      </c>
      <c r="K195" s="1364">
        <f>+IF(ISBLANK(REPORTS!Q180),"",REPORTS!Q180)</f>
        <v>0</v>
      </c>
      <c r="L195" s="1358"/>
      <c r="M195" s="1320">
        <v>201</v>
      </c>
    </row>
    <row r="196" spans="1:13">
      <c r="A196" s="1393">
        <v>5</v>
      </c>
      <c r="D196" s="1324" t="str">
        <f>+IF(ISBLANK(REPORTS!J181),"",REPORTS!J181)</f>
        <v/>
      </c>
      <c r="E196" s="1324" t="str">
        <f>+IF(ISBLANK(REPORTS!K181),"",REPORTS!K181)</f>
        <v/>
      </c>
      <c r="F196" s="1324" t="str">
        <f>+IF(ISBLANK(REPORTS!L181),"",REPORTS!L181)</f>
        <v/>
      </c>
      <c r="G196" s="1324" t="str">
        <f>+IF(ISBLANK(REPORTS!M181),"",REPORTS!M181)</f>
        <v/>
      </c>
      <c r="H196" s="1324" t="str">
        <f>+IF(ISBLANK(REPORTS!N181),"",REPORTS!N181)</f>
        <v/>
      </c>
      <c r="I196" s="1324" t="str">
        <f>+IF(ISBLANK(REPORTS!O181),"",REPORTS!O181)</f>
        <v/>
      </c>
      <c r="J196" s="1324" t="str">
        <f>+IF(ISBLANK(REPORTS!P181),"",REPORTS!P181)</f>
        <v/>
      </c>
      <c r="K196" s="1324" t="str">
        <f>+IF(ISBLANK(REPORTS!Q181),"",REPORTS!Q181)</f>
        <v/>
      </c>
      <c r="M196" s="1321"/>
    </row>
    <row r="197" spans="1:13">
      <c r="A197" s="1393">
        <v>6</v>
      </c>
      <c r="B197" s="1324" t="s">
        <v>4811</v>
      </c>
      <c r="C197" s="1324" t="s">
        <v>4067</v>
      </c>
      <c r="D197" s="1324">
        <f>+IF(ISBLANK(REPORTS!J182),"",REPORTS!J182)</f>
        <v>0</v>
      </c>
      <c r="E197" s="1324">
        <f>+IF(ISBLANK(REPORTS!K182),"",REPORTS!K182)</f>
        <v>0</v>
      </c>
      <c r="F197" s="1324">
        <f>+IF(ISBLANK(REPORTS!L182),"",REPORTS!L182)</f>
        <v>0</v>
      </c>
      <c r="G197" s="1324">
        <f>+IF(ISBLANK(REPORTS!M182),"",REPORTS!M182)</f>
        <v>0</v>
      </c>
      <c r="H197" s="1324">
        <f>+IF(ISBLANK(REPORTS!N182),"",REPORTS!N182)</f>
        <v>0</v>
      </c>
      <c r="I197" s="1324">
        <f>+IF(ISBLANK(REPORTS!O182),"",REPORTS!O182)</f>
        <v>0</v>
      </c>
      <c r="J197" s="1324">
        <f>+IF(ISBLANK(REPORTS!P182),"",REPORTS!P182)</f>
        <v>0</v>
      </c>
      <c r="K197" s="1324">
        <f>+IF(ISBLANK(REPORTS!Q182),"",REPORTS!Q182)</f>
        <v>0</v>
      </c>
      <c r="L197" s="1324"/>
      <c r="M197" s="1324">
        <v>122</v>
      </c>
    </row>
    <row r="198" spans="1:13">
      <c r="A198" s="1393">
        <v>7</v>
      </c>
      <c r="B198" s="1324" t="s">
        <v>5280</v>
      </c>
      <c r="C198" s="1324" t="s">
        <v>2067</v>
      </c>
      <c r="D198" s="1324">
        <f>+IF(ISBLANK(REPORTS!J183),"",REPORTS!J183)</f>
        <v>626.46090775325297</v>
      </c>
      <c r="E198" s="1364">
        <f>+IF(ISBLANK(REPORTS!K183),"",REPORTS!K183)</f>
        <v>316.13358975594224</v>
      </c>
      <c r="F198" s="1364">
        <f>+IF(ISBLANK(REPORTS!L183),"",REPORTS!L183)</f>
        <v>29.214444451259041</v>
      </c>
      <c r="G198" s="1364">
        <f>+IF(ISBLANK(REPORTS!M183),"",REPORTS!M183)</f>
        <v>217.63626389760336</v>
      </c>
      <c r="H198" s="1364">
        <f>+IF(ISBLANK(REPORTS!N183),"",REPORTS!N183)</f>
        <v>34.64419389080566</v>
      </c>
      <c r="I198" s="1364">
        <f>+IF(ISBLANK(REPORTS!O183),"",REPORTS!O183)</f>
        <v>25.522788671559834</v>
      </c>
      <c r="J198" s="1364">
        <f>+IF(ISBLANK(REPORTS!P183),"",REPORTS!P183)</f>
        <v>3.3096270860828403</v>
      </c>
      <c r="K198" s="1364">
        <f>+IF(ISBLANK(REPORTS!Q183),"",REPORTS!Q183)</f>
        <v>0</v>
      </c>
      <c r="L198" s="1324"/>
      <c r="M198" s="1324">
        <v>201</v>
      </c>
    </row>
    <row r="199" spans="1:13">
      <c r="A199" s="1393">
        <v>8</v>
      </c>
      <c r="D199" s="1324" t="str">
        <f>+IF(ISBLANK(REPORTS!J184),"",REPORTS!J184)</f>
        <v/>
      </c>
      <c r="E199" s="1324" t="str">
        <f>+IF(ISBLANK(REPORTS!K184),"",REPORTS!K184)</f>
        <v/>
      </c>
      <c r="F199" s="1324" t="str">
        <f>+IF(ISBLANK(REPORTS!L184),"",REPORTS!L184)</f>
        <v/>
      </c>
      <c r="G199" s="1324" t="str">
        <f>+IF(ISBLANK(REPORTS!M184),"",REPORTS!M184)</f>
        <v/>
      </c>
      <c r="H199" s="1324" t="str">
        <f>+IF(ISBLANK(REPORTS!N184),"",REPORTS!N184)</f>
        <v/>
      </c>
      <c r="I199" s="1324" t="str">
        <f>+IF(ISBLANK(REPORTS!O184),"",REPORTS!O184)</f>
        <v/>
      </c>
      <c r="J199" s="1324" t="str">
        <f>+IF(ISBLANK(REPORTS!P184),"",REPORTS!P184)</f>
        <v/>
      </c>
      <c r="K199" s="1324" t="str">
        <f>+IF(ISBLANK(REPORTS!Q184),"",REPORTS!Q184)</f>
        <v/>
      </c>
      <c r="L199" s="1324"/>
      <c r="M199" s="1326"/>
    </row>
    <row r="200" spans="1:13">
      <c r="A200" s="1393">
        <v>9</v>
      </c>
      <c r="B200" s="1324" t="s">
        <v>4813</v>
      </c>
      <c r="C200" s="1324" t="s">
        <v>4067</v>
      </c>
      <c r="D200" s="1324">
        <f>+IF(ISBLANK(REPORTS!J185),"",REPORTS!J185)</f>
        <v>0</v>
      </c>
      <c r="E200" s="1324">
        <f>+IF(ISBLANK(REPORTS!K185),"",REPORTS!K185)</f>
        <v>0</v>
      </c>
      <c r="F200" s="1324">
        <f>+IF(ISBLANK(REPORTS!L185),"",REPORTS!L185)</f>
        <v>0</v>
      </c>
      <c r="G200" s="1324">
        <f>+IF(ISBLANK(REPORTS!M185),"",REPORTS!M185)</f>
        <v>0</v>
      </c>
      <c r="H200" s="1324">
        <f>+IF(ISBLANK(REPORTS!N185),"",REPORTS!N185)</f>
        <v>0</v>
      </c>
      <c r="I200" s="1324">
        <f>+IF(ISBLANK(REPORTS!O185),"",REPORTS!O185)</f>
        <v>0</v>
      </c>
      <c r="J200" s="1324">
        <f>+IF(ISBLANK(REPORTS!P185),"",REPORTS!P185)</f>
        <v>0</v>
      </c>
      <c r="K200" s="1324">
        <f>+IF(ISBLANK(REPORTS!Q185),"",REPORTS!Q185)</f>
        <v>0</v>
      </c>
      <c r="L200" s="1324"/>
      <c r="M200" s="1326"/>
    </row>
    <row r="201" spans="1:13">
      <c r="A201" s="1393">
        <v>10</v>
      </c>
      <c r="B201" s="1324" t="s">
        <v>4814</v>
      </c>
      <c r="C201" s="1324" t="s">
        <v>2067</v>
      </c>
      <c r="D201" s="1366">
        <f>+IF(ISBLANK(REPORTS!J186),"",REPORTS!J186)</f>
        <v>626.46090775325297</v>
      </c>
      <c r="E201" s="1366">
        <f>+IF(ISBLANK(REPORTS!K186),"",REPORTS!K186)</f>
        <v>316.13358975594224</v>
      </c>
      <c r="F201" s="1366">
        <f>+IF(ISBLANK(REPORTS!L186),"",REPORTS!L186)</f>
        <v>29.214444451259041</v>
      </c>
      <c r="G201" s="1366">
        <f>+IF(ISBLANK(REPORTS!M186),"",REPORTS!M186)</f>
        <v>217.63626389760336</v>
      </c>
      <c r="H201" s="1366">
        <f>+IF(ISBLANK(REPORTS!N186),"",REPORTS!N186)</f>
        <v>34.64419389080566</v>
      </c>
      <c r="I201" s="1366">
        <f>+IF(ISBLANK(REPORTS!O186),"",REPORTS!O186)</f>
        <v>25.522788671559834</v>
      </c>
      <c r="J201" s="1366">
        <f>+IF(ISBLANK(REPORTS!P186),"",REPORTS!P186)</f>
        <v>3.3096270860828403</v>
      </c>
      <c r="K201" s="1366">
        <f>+IF(ISBLANK(REPORTS!Q186),"",REPORTS!Q186)</f>
        <v>0</v>
      </c>
      <c r="L201" s="1364"/>
      <c r="M201" s="1326"/>
    </row>
    <row r="202" spans="1:13">
      <c r="A202" s="1393">
        <v>11</v>
      </c>
      <c r="B202" s="1324" t="s">
        <v>5283</v>
      </c>
      <c r="D202" s="1421">
        <f>+IF(ISBLANK(REPORTS!J187),"",REPORTS!J187)</f>
        <v>626.46090775325297</v>
      </c>
      <c r="E202" s="1421">
        <f>+IF(ISBLANK(REPORTS!K187),"",REPORTS!K187)</f>
        <v>316.13358975594224</v>
      </c>
      <c r="F202" s="1421">
        <f>+IF(ISBLANK(REPORTS!L187),"",REPORTS!L187)</f>
        <v>29.214444451259041</v>
      </c>
      <c r="G202" s="1421">
        <f>+IF(ISBLANK(REPORTS!M187),"",REPORTS!M187)</f>
        <v>217.63626389760336</v>
      </c>
      <c r="H202" s="1421">
        <f>+IF(ISBLANK(REPORTS!N187),"",REPORTS!N187)</f>
        <v>34.64419389080566</v>
      </c>
      <c r="I202" s="1421">
        <f>+IF(ISBLANK(REPORTS!O187),"",REPORTS!O187)</f>
        <v>25.522788671559834</v>
      </c>
      <c r="J202" s="1421">
        <f>+IF(ISBLANK(REPORTS!P187),"",REPORTS!P187)</f>
        <v>3.3096270860828403</v>
      </c>
      <c r="K202" s="1421">
        <f>+IF(ISBLANK(REPORTS!Q187),"",REPORTS!Q187)</f>
        <v>0</v>
      </c>
      <c r="L202" s="1364"/>
      <c r="M202" s="1326"/>
    </row>
    <row r="203" spans="1:13">
      <c r="A203" s="1393">
        <v>12</v>
      </c>
      <c r="D203" s="1324" t="str">
        <f>+IF(ISBLANK(REPORTS!J188),"",REPORTS!J188)</f>
        <v/>
      </c>
      <c r="E203" s="1324" t="str">
        <f>+IF(ISBLANK(REPORTS!K188),"",REPORTS!K188)</f>
        <v/>
      </c>
      <c r="F203" s="1324" t="str">
        <f>+IF(ISBLANK(REPORTS!L188),"",REPORTS!L188)</f>
        <v/>
      </c>
      <c r="G203" s="1324" t="str">
        <f>+IF(ISBLANK(REPORTS!M188),"",REPORTS!M188)</f>
        <v/>
      </c>
      <c r="H203" s="1324" t="str">
        <f>+IF(ISBLANK(REPORTS!N188),"",REPORTS!N188)</f>
        <v/>
      </c>
      <c r="I203" s="1324" t="str">
        <f>+IF(ISBLANK(REPORTS!O188),"",REPORTS!O188)</f>
        <v/>
      </c>
      <c r="J203" s="1324" t="str">
        <f>+IF(ISBLANK(REPORTS!P188),"",REPORTS!P188)</f>
        <v/>
      </c>
      <c r="K203" s="1324" t="str">
        <f>+IF(ISBLANK(REPORTS!Q188),"",REPORTS!Q188)</f>
        <v/>
      </c>
      <c r="L203" s="1324"/>
      <c r="M203" s="1326"/>
    </row>
    <row r="204" spans="1:13">
      <c r="A204" s="1393">
        <v>13</v>
      </c>
      <c r="D204" s="1324" t="str">
        <f>+IF(ISBLANK(REPORTS!J189),"",REPORTS!J189)</f>
        <v/>
      </c>
      <c r="E204" s="1324" t="str">
        <f>+IF(ISBLANK(REPORTS!K189),"",REPORTS!K189)</f>
        <v/>
      </c>
      <c r="F204" s="1324" t="str">
        <f>+IF(ISBLANK(REPORTS!L189),"",REPORTS!L189)</f>
        <v/>
      </c>
      <c r="G204" s="1324" t="str">
        <f>+IF(ISBLANK(REPORTS!M189),"",REPORTS!M189)</f>
        <v/>
      </c>
      <c r="H204" s="1324" t="str">
        <f>+IF(ISBLANK(REPORTS!N189),"",REPORTS!N189)</f>
        <v/>
      </c>
      <c r="I204" s="1324" t="str">
        <f>+IF(ISBLANK(REPORTS!O189),"",REPORTS!O189)</f>
        <v/>
      </c>
      <c r="J204" s="1324" t="str">
        <f>+IF(ISBLANK(REPORTS!P189),"",REPORTS!P189)</f>
        <v/>
      </c>
      <c r="K204" s="1324" t="str">
        <f>+IF(ISBLANK(REPORTS!Q189),"",REPORTS!Q189)</f>
        <v/>
      </c>
      <c r="L204" s="1324"/>
      <c r="M204" s="1326"/>
    </row>
    <row r="205" spans="1:13">
      <c r="A205" s="1393">
        <v>14</v>
      </c>
      <c r="B205" s="1362" t="s">
        <v>5285</v>
      </c>
      <c r="D205" s="1324" t="str">
        <f>+IF(ISBLANK(REPORTS!J190),"",REPORTS!J190)</f>
        <v/>
      </c>
      <c r="E205" s="1324" t="str">
        <f>+IF(ISBLANK(REPORTS!K190),"",REPORTS!K190)</f>
        <v/>
      </c>
      <c r="F205" s="1324" t="str">
        <f>+IF(ISBLANK(REPORTS!L190),"",REPORTS!L190)</f>
        <v/>
      </c>
      <c r="G205" s="1324" t="str">
        <f>+IF(ISBLANK(REPORTS!M190),"",REPORTS!M190)</f>
        <v/>
      </c>
      <c r="H205" s="1324" t="str">
        <f>+IF(ISBLANK(REPORTS!N190),"",REPORTS!N190)</f>
        <v/>
      </c>
      <c r="I205" s="1324" t="str">
        <f>+IF(ISBLANK(REPORTS!O190),"",REPORTS!O190)</f>
        <v/>
      </c>
      <c r="J205" s="1324" t="str">
        <f>+IF(ISBLANK(REPORTS!P190),"",REPORTS!P190)</f>
        <v/>
      </c>
      <c r="K205" s="1324" t="str">
        <f>+IF(ISBLANK(REPORTS!Q190),"",REPORTS!Q190)</f>
        <v/>
      </c>
      <c r="L205" s="1324"/>
      <c r="M205" s="1326"/>
    </row>
    <row r="206" spans="1:13">
      <c r="A206" s="1393">
        <v>15</v>
      </c>
      <c r="B206" s="1324" t="s">
        <v>4813</v>
      </c>
      <c r="C206" s="1324" t="s">
        <v>4067</v>
      </c>
      <c r="D206" s="1364">
        <f>+IF(ISBLANK(REPORTS!J191),"",REPORTS!J191)</f>
        <v>95092.072680275</v>
      </c>
      <c r="E206" s="1324">
        <f>+IF(ISBLANK(REPORTS!K191),"",REPORTS!K191)</f>
        <v>54603.262817020477</v>
      </c>
      <c r="F206" s="1324">
        <f>+IF(ISBLANK(REPORTS!L191),"",REPORTS!L191)</f>
        <v>4540.8425930489993</v>
      </c>
      <c r="G206" s="1324">
        <f>+IF(ISBLANK(REPORTS!M191),"",REPORTS!M191)</f>
        <v>29387.926023478893</v>
      </c>
      <c r="H206" s="1324">
        <f>+IF(ISBLANK(REPORTS!N191),"",REPORTS!N191)</f>
        <v>3755.9758409477913</v>
      </c>
      <c r="I206" s="1324">
        <f>+IF(ISBLANK(REPORTS!O191),"",REPORTS!O191)</f>
        <v>2703.1875967451115</v>
      </c>
      <c r="J206" s="1324">
        <f>+IF(ISBLANK(REPORTS!P191),"",REPORTS!P191)</f>
        <v>100.87780903373125</v>
      </c>
      <c r="K206" s="1324">
        <f>+IF(ISBLANK(REPORTS!Q191),"",REPORTS!Q191)</f>
        <v>0</v>
      </c>
      <c r="L206" s="1324"/>
      <c r="M206" s="1324">
        <v>122</v>
      </c>
    </row>
    <row r="207" spans="1:13">
      <c r="A207" s="1393">
        <v>16</v>
      </c>
      <c r="B207" s="1324" t="s">
        <v>5286</v>
      </c>
      <c r="C207" s="1324" t="s">
        <v>4067</v>
      </c>
      <c r="D207" s="1364">
        <f>+IF(ISBLANK(REPORTS!J192),"",REPORTS!J192)</f>
        <v>0</v>
      </c>
      <c r="E207" s="1324">
        <f>+IF(ISBLANK(REPORTS!K192),"",REPORTS!K192)</f>
        <v>0</v>
      </c>
      <c r="F207" s="1324">
        <f>+IF(ISBLANK(REPORTS!L192),"",REPORTS!L192)</f>
        <v>0</v>
      </c>
      <c r="G207" s="1324">
        <f>+IF(ISBLANK(REPORTS!M192),"",REPORTS!M192)</f>
        <v>0</v>
      </c>
      <c r="H207" s="1324">
        <f>+IF(ISBLANK(REPORTS!N192),"",REPORTS!N192)</f>
        <v>0</v>
      </c>
      <c r="I207" s="1324">
        <f>+IF(ISBLANK(REPORTS!O192),"",REPORTS!O192)</f>
        <v>0</v>
      </c>
      <c r="J207" s="1324">
        <f>+IF(ISBLANK(REPORTS!P192),"",REPORTS!P192)</f>
        <v>0</v>
      </c>
      <c r="K207" s="1324">
        <f>+IF(ISBLANK(REPORTS!Q192),"",REPORTS!Q192)</f>
        <v>0</v>
      </c>
      <c r="L207" s="1324"/>
      <c r="M207" s="1324">
        <v>121</v>
      </c>
    </row>
    <row r="208" spans="1:13">
      <c r="A208" s="1393">
        <v>17</v>
      </c>
      <c r="B208" s="1324" t="s">
        <v>4814</v>
      </c>
      <c r="C208" s="1324" t="s">
        <v>2067</v>
      </c>
      <c r="D208" s="1364">
        <f>+IF(ISBLANK(REPORTS!J193),"",REPORTS!J193)</f>
        <v>29310.186608764699</v>
      </c>
      <c r="E208" s="1364">
        <f>+IF(ISBLANK(REPORTS!K193),"",REPORTS!K193)</f>
        <v>14790.92213794599</v>
      </c>
      <c r="F208" s="1364">
        <f>+IF(ISBLANK(REPORTS!L193),"",REPORTS!L193)</f>
        <v>1366.8543526662643</v>
      </c>
      <c r="G208" s="1364">
        <f>+IF(ISBLANK(REPORTS!M193),"",REPORTS!M193)</f>
        <v>10182.534023632365</v>
      </c>
      <c r="H208" s="1364">
        <f>+IF(ISBLANK(REPORTS!N193),"",REPORTS!N193)</f>
        <v>1620.8956940210085</v>
      </c>
      <c r="I208" s="1364">
        <f>+IF(ISBLANK(REPORTS!O193),"",REPORTS!O193)</f>
        <v>1194.1330887228053</v>
      </c>
      <c r="J208" s="1364">
        <f>+IF(ISBLANK(REPORTS!P193),"",REPORTS!P193)</f>
        <v>154.8473117762654</v>
      </c>
      <c r="K208" s="1364">
        <f>+IF(ISBLANK(REPORTS!Q193),"",REPORTS!Q193)</f>
        <v>0</v>
      </c>
      <c r="L208" s="1364"/>
      <c r="M208" s="1324">
        <v>201</v>
      </c>
    </row>
    <row r="209" spans="1:13">
      <c r="A209" s="1393">
        <v>18</v>
      </c>
      <c r="B209" s="1324" t="s">
        <v>5288</v>
      </c>
      <c r="D209" s="1421">
        <f>+IF(ISBLANK(REPORTS!J194),"",REPORTS!J194)</f>
        <v>124402.25928903971</v>
      </c>
      <c r="E209" s="1421">
        <f>+IF(ISBLANK(REPORTS!K194),"",REPORTS!K194)</f>
        <v>69394.184954966462</v>
      </c>
      <c r="F209" s="1421">
        <f>+IF(ISBLANK(REPORTS!L194),"",REPORTS!L194)</f>
        <v>5907.6969457152636</v>
      </c>
      <c r="G209" s="1421">
        <f>+IF(ISBLANK(REPORTS!M194),"",REPORTS!M194)</f>
        <v>39570.460047111257</v>
      </c>
      <c r="H209" s="1421">
        <f>+IF(ISBLANK(REPORTS!N194),"",REPORTS!N194)</f>
        <v>5376.8715349688</v>
      </c>
      <c r="I209" s="1421">
        <f>+IF(ISBLANK(REPORTS!O194),"",REPORTS!O194)</f>
        <v>3897.3206854679165</v>
      </c>
      <c r="J209" s="1421">
        <f>+IF(ISBLANK(REPORTS!P194),"",REPORTS!P194)</f>
        <v>255.72512080999667</v>
      </c>
      <c r="K209" s="1421">
        <f>+IF(ISBLANK(REPORTS!Q194),"",REPORTS!Q194)</f>
        <v>0</v>
      </c>
      <c r="L209" s="1364"/>
      <c r="M209" s="1326"/>
    </row>
    <row r="210" spans="1:13">
      <c r="A210" s="1393">
        <v>19</v>
      </c>
      <c r="D210" s="1324" t="str">
        <f>+IF(ISBLANK(REPORTS!J195),"",REPORTS!J195)</f>
        <v/>
      </c>
      <c r="E210" s="1324" t="str">
        <f>+IF(ISBLANK(REPORTS!K195),"",REPORTS!K195)</f>
        <v/>
      </c>
      <c r="F210" s="1324" t="str">
        <f>+IF(ISBLANK(REPORTS!L195),"",REPORTS!L195)</f>
        <v/>
      </c>
      <c r="G210" s="1324" t="str">
        <f>+IF(ISBLANK(REPORTS!M195),"",REPORTS!M195)</f>
        <v/>
      </c>
      <c r="H210" s="1324" t="str">
        <f>+IF(ISBLANK(REPORTS!N195),"",REPORTS!N195)</f>
        <v/>
      </c>
      <c r="I210" s="1324" t="str">
        <f>+IF(ISBLANK(REPORTS!O195),"",REPORTS!O195)</f>
        <v/>
      </c>
      <c r="J210" s="1324" t="str">
        <f>+IF(ISBLANK(REPORTS!P195),"",REPORTS!P195)</f>
        <v/>
      </c>
      <c r="K210" s="1324" t="str">
        <f>+IF(ISBLANK(REPORTS!Q195),"",REPORTS!Q195)</f>
        <v/>
      </c>
      <c r="L210" s="1324"/>
      <c r="M210" s="1326"/>
    </row>
    <row r="211" spans="1:13">
      <c r="A211" s="1393">
        <v>20</v>
      </c>
      <c r="D211" s="1324" t="str">
        <f>+IF(ISBLANK(REPORTS!J196),"",REPORTS!J196)</f>
        <v/>
      </c>
      <c r="E211" s="1324" t="str">
        <f>+IF(ISBLANK(REPORTS!K196),"",REPORTS!K196)</f>
        <v/>
      </c>
      <c r="F211" s="1324" t="str">
        <f>+IF(ISBLANK(REPORTS!L196),"",REPORTS!L196)</f>
        <v/>
      </c>
      <c r="G211" s="1324" t="str">
        <f>+IF(ISBLANK(REPORTS!M196),"",REPORTS!M196)</f>
        <v/>
      </c>
      <c r="H211" s="1324" t="str">
        <f>+IF(ISBLANK(REPORTS!N196),"",REPORTS!N196)</f>
        <v/>
      </c>
      <c r="I211" s="1324" t="str">
        <f>+IF(ISBLANK(REPORTS!O196),"",REPORTS!O196)</f>
        <v/>
      </c>
      <c r="J211" s="1324" t="str">
        <f>+IF(ISBLANK(REPORTS!P196),"",REPORTS!P196)</f>
        <v/>
      </c>
      <c r="K211" s="1324" t="str">
        <f>+IF(ISBLANK(REPORTS!Q196),"",REPORTS!Q196)</f>
        <v/>
      </c>
      <c r="L211" s="1324"/>
      <c r="M211" s="1326"/>
    </row>
    <row r="212" spans="1:13">
      <c r="A212" s="1393">
        <v>21</v>
      </c>
      <c r="B212" s="1362" t="s">
        <v>5290</v>
      </c>
      <c r="D212" s="1324" t="str">
        <f>+IF(ISBLANK(REPORTS!J197),"",REPORTS!J197)</f>
        <v/>
      </c>
      <c r="E212" s="1324" t="str">
        <f>+IF(ISBLANK(REPORTS!K197),"",REPORTS!K197)</f>
        <v/>
      </c>
      <c r="F212" s="1324" t="str">
        <f>+IF(ISBLANK(REPORTS!L197),"",REPORTS!L197)</f>
        <v/>
      </c>
      <c r="G212" s="1324" t="str">
        <f>+IF(ISBLANK(REPORTS!M197),"",REPORTS!M197)</f>
        <v/>
      </c>
      <c r="H212" s="1324" t="str">
        <f>+IF(ISBLANK(REPORTS!N197),"",REPORTS!N197)</f>
        <v/>
      </c>
      <c r="I212" s="1324" t="str">
        <f>+IF(ISBLANK(REPORTS!O197),"",REPORTS!O197)</f>
        <v/>
      </c>
      <c r="J212" s="1324" t="str">
        <f>+IF(ISBLANK(REPORTS!P197),"",REPORTS!P197)</f>
        <v/>
      </c>
      <c r="K212" s="1324" t="str">
        <f>+IF(ISBLANK(REPORTS!Q197),"",REPORTS!Q197)</f>
        <v/>
      </c>
      <c r="L212" s="1324"/>
      <c r="M212" s="1326"/>
    </row>
    <row r="213" spans="1:13">
      <c r="A213" s="1393">
        <v>22</v>
      </c>
      <c r="B213" s="1324" t="s">
        <v>5291</v>
      </c>
      <c r="C213" s="1324" t="s">
        <v>4067</v>
      </c>
      <c r="D213" s="1366">
        <f>+IF(ISBLANK(REPORTS!J198),"",REPORTS!J198)</f>
        <v>3435.0487828274636</v>
      </c>
      <c r="E213" s="1366">
        <f>+IF(ISBLANK(REPORTS!K198),"",REPORTS!K198)</f>
        <v>1972.4553918249064</v>
      </c>
      <c r="F213" s="1366">
        <f>+IF(ISBLANK(REPORTS!L198),"",REPORTS!L198)</f>
        <v>164.03066399350419</v>
      </c>
      <c r="G213" s="1366">
        <f>+IF(ISBLANK(REPORTS!M198),"",REPORTS!M198)</f>
        <v>1061.5917465191039</v>
      </c>
      <c r="H213" s="1366">
        <f>+IF(ISBLANK(REPORTS!N198),"",REPORTS!N198)</f>
        <v>135.67860997369269</v>
      </c>
      <c r="I213" s="1366">
        <f>+IF(ISBLANK(REPORTS!O198),"",REPORTS!O198)</f>
        <v>97.648321276729348</v>
      </c>
      <c r="J213" s="1366">
        <f>+IF(ISBLANK(REPORTS!P198),"",REPORTS!P198)</f>
        <v>3.6440492395271846</v>
      </c>
      <c r="K213" s="1366">
        <f>+IF(ISBLANK(REPORTS!Q198),"",REPORTS!Q198)</f>
        <v>0</v>
      </c>
      <c r="L213" s="1324"/>
      <c r="M213" s="1324">
        <v>122</v>
      </c>
    </row>
    <row r="214" spans="1:13">
      <c r="A214" s="1393">
        <v>23</v>
      </c>
      <c r="D214" s="1324" t="str">
        <f>+IF(ISBLANK(REPORTS!J199),"",REPORTS!J199)</f>
        <v/>
      </c>
      <c r="E214" s="1324" t="str">
        <f>+IF(ISBLANK(REPORTS!K199),"",REPORTS!K199)</f>
        <v/>
      </c>
      <c r="F214" s="1324" t="str">
        <f>+IF(ISBLANK(REPORTS!L199),"",REPORTS!L199)</f>
        <v/>
      </c>
      <c r="G214" s="1324" t="str">
        <f>+IF(ISBLANK(REPORTS!M199),"",REPORTS!M199)</f>
        <v/>
      </c>
      <c r="H214" s="1324" t="str">
        <f>+IF(ISBLANK(REPORTS!N199),"",REPORTS!N199)</f>
        <v/>
      </c>
      <c r="I214" s="1324" t="str">
        <f>+IF(ISBLANK(REPORTS!O199),"",REPORTS!O199)</f>
        <v/>
      </c>
      <c r="J214" s="1324" t="str">
        <f>+IF(ISBLANK(REPORTS!P199),"",REPORTS!P199)</f>
        <v/>
      </c>
      <c r="K214" s="1324" t="str">
        <f>+IF(ISBLANK(REPORTS!Q199),"",REPORTS!Q199)</f>
        <v/>
      </c>
      <c r="L214" s="1324"/>
      <c r="M214" s="1326"/>
    </row>
    <row r="215" spans="1:13">
      <c r="A215" s="1393">
        <v>24</v>
      </c>
      <c r="B215" s="1324" t="s">
        <v>5292</v>
      </c>
      <c r="C215" s="1324" t="s">
        <v>4067</v>
      </c>
      <c r="D215" s="1366">
        <f>+IF(ISBLANK(REPORTS!J200),"",REPORTS!J200)</f>
        <v>1992.0144739157365</v>
      </c>
      <c r="E215" s="1366">
        <f>+IF(ISBLANK(REPORTS!K200),"",REPORTS!K200)</f>
        <v>1155.394370986312</v>
      </c>
      <c r="F215" s="1366">
        <f>+IF(ISBLANK(REPORTS!L200),"",REPORTS!L200)</f>
        <v>95.308381657387812</v>
      </c>
      <c r="G215" s="1366">
        <f>+IF(ISBLANK(REPORTS!M200),"",REPORTS!M200)</f>
        <v>609.25860218325909</v>
      </c>
      <c r="H215" s="1366">
        <f>+IF(ISBLANK(REPORTS!N200),"",REPORTS!N200)</f>
        <v>76.057858263154046</v>
      </c>
      <c r="I215" s="1366">
        <f>+IF(ISBLANK(REPORTS!O200),"",REPORTS!O200)</f>
        <v>54.582937287810743</v>
      </c>
      <c r="J215" s="1366">
        <f>+IF(ISBLANK(REPORTS!P200),"",REPORTS!P200)</f>
        <v>1.41232353781291</v>
      </c>
      <c r="K215" s="1366">
        <f>+IF(ISBLANK(REPORTS!Q200),"",REPORTS!Q200)</f>
        <v>0</v>
      </c>
      <c r="L215" s="1364"/>
      <c r="M215" s="1324">
        <v>117</v>
      </c>
    </row>
    <row r="216" spans="1:13">
      <c r="A216" s="1393">
        <v>25</v>
      </c>
      <c r="D216" s="1324" t="str">
        <f>+IF(ISBLANK(REPORTS!J201),"",REPORTS!J201)</f>
        <v/>
      </c>
      <c r="E216" s="1324" t="str">
        <f>+IF(ISBLANK(REPORTS!K201),"",REPORTS!K201)</f>
        <v/>
      </c>
      <c r="F216" s="1324" t="str">
        <f>+IF(ISBLANK(REPORTS!L201),"",REPORTS!L201)</f>
        <v/>
      </c>
      <c r="G216" s="1324" t="str">
        <f>+IF(ISBLANK(REPORTS!M201),"",REPORTS!M201)</f>
        <v/>
      </c>
      <c r="H216" s="1324" t="str">
        <f>+IF(ISBLANK(REPORTS!N201),"",REPORTS!N201)</f>
        <v/>
      </c>
      <c r="I216" s="1324" t="str">
        <f>+IF(ISBLANK(REPORTS!O201),"",REPORTS!O201)</f>
        <v/>
      </c>
      <c r="J216" s="1324" t="str">
        <f>+IF(ISBLANK(REPORTS!P201),"",REPORTS!P201)</f>
        <v/>
      </c>
      <c r="K216" s="1324" t="str">
        <f>+IF(ISBLANK(REPORTS!Q201),"",REPORTS!Q201)</f>
        <v/>
      </c>
      <c r="M216" s="1321"/>
    </row>
    <row r="217" spans="1:13">
      <c r="A217" s="1393">
        <v>26</v>
      </c>
      <c r="B217" s="1324" t="s">
        <v>1953</v>
      </c>
      <c r="D217" s="1324" t="str">
        <f>+IF(ISBLANK(REPORTS!J202),"",REPORTS!J202)</f>
        <v/>
      </c>
      <c r="E217" s="1324" t="str">
        <f>+IF(ISBLANK(REPORTS!K202),"",REPORTS!K202)</f>
        <v/>
      </c>
      <c r="F217" s="1324" t="str">
        <f>+IF(ISBLANK(REPORTS!L202),"",REPORTS!L202)</f>
        <v/>
      </c>
      <c r="G217" s="1324" t="str">
        <f>+IF(ISBLANK(REPORTS!M202),"",REPORTS!M202)</f>
        <v/>
      </c>
      <c r="H217" s="1324" t="str">
        <f>+IF(ISBLANK(REPORTS!N202),"",REPORTS!N202)</f>
        <v/>
      </c>
      <c r="I217" s="1324" t="str">
        <f>+IF(ISBLANK(REPORTS!O202),"",REPORTS!O202)</f>
        <v/>
      </c>
      <c r="J217" s="1324" t="str">
        <f>+IF(ISBLANK(REPORTS!P202),"",REPORTS!P202)</f>
        <v/>
      </c>
      <c r="K217" s="1324" t="str">
        <f>+IF(ISBLANK(REPORTS!Q202),"",REPORTS!Q202)</f>
        <v/>
      </c>
      <c r="M217" s="1321"/>
    </row>
    <row r="218" spans="1:13">
      <c r="A218" s="1393">
        <v>27</v>
      </c>
      <c r="B218" s="1324" t="s">
        <v>5293</v>
      </c>
      <c r="C218" s="1324" t="s">
        <v>4067</v>
      </c>
      <c r="D218" s="1364">
        <f>+IF(ISBLANK(REPORTS!J203),"",REPORTS!J203)</f>
        <v>4110.67998848758</v>
      </c>
      <c r="E218" s="1364">
        <f>+IF(ISBLANK(REPORTS!K203),"",REPORTS!K203)</f>
        <v>2384.247997098405</v>
      </c>
      <c r="F218" s="1364">
        <f>+IF(ISBLANK(REPORTS!L203),"",REPORTS!L203)</f>
        <v>196.67641091182827</v>
      </c>
      <c r="G218" s="1364">
        <f>+IF(ISBLANK(REPORTS!M203),"",REPORTS!M203)</f>
        <v>1257.2534871624528</v>
      </c>
      <c r="H218" s="1364">
        <f>+IF(ISBLANK(REPORTS!N203),"",REPORTS!N203)</f>
        <v>156.95142782521637</v>
      </c>
      <c r="I218" s="1364">
        <f>+IF(ISBLANK(REPORTS!O203),"",REPORTS!O203)</f>
        <v>112.6362237623818</v>
      </c>
      <c r="J218" s="1364">
        <f>+IF(ISBLANK(REPORTS!P203),"",REPORTS!P203)</f>
        <v>2.9144417272959493</v>
      </c>
      <c r="K218" s="1364">
        <f>+IF(ISBLANK(REPORTS!Q203),"",REPORTS!Q203)</f>
        <v>0</v>
      </c>
      <c r="L218" s="1358"/>
      <c r="M218" s="1320">
        <v>117</v>
      </c>
    </row>
    <row r="219" spans="1:13">
      <c r="A219" s="1393">
        <v>28</v>
      </c>
      <c r="B219" s="1324" t="s">
        <v>5294</v>
      </c>
      <c r="C219" s="1324" t="s">
        <v>4067</v>
      </c>
      <c r="D219" s="1364">
        <f>+IF(ISBLANK(REPORTS!J204),"",REPORTS!J204)</f>
        <v>1476.782011340088</v>
      </c>
      <c r="E219" s="1364">
        <f>+IF(ISBLANK(REPORTS!K204),"",REPORTS!K204)</f>
        <v>856.55282399738121</v>
      </c>
      <c r="F219" s="1364">
        <f>+IF(ISBLANK(REPORTS!L204),"",REPORTS!L204)</f>
        <v>70.65696831253031</v>
      </c>
      <c r="G219" s="1364">
        <f>+IF(ISBLANK(REPORTS!M204),"",REPORTS!M204)</f>
        <v>451.67450123482564</v>
      </c>
      <c r="H219" s="1364">
        <f>+IF(ISBLANK(REPORTS!N204),"",REPORTS!N204)</f>
        <v>56.385572682757136</v>
      </c>
      <c r="I219" s="1364">
        <f>+IF(ISBLANK(REPORTS!O204),"",REPORTS!O204)</f>
        <v>40.465117582349841</v>
      </c>
      <c r="J219" s="1364">
        <f>+IF(ISBLANK(REPORTS!P204),"",REPORTS!P204)</f>
        <v>1.0470275302440017</v>
      </c>
      <c r="K219" s="1364">
        <f>+IF(ISBLANK(REPORTS!Q204),"",REPORTS!Q204)</f>
        <v>0</v>
      </c>
      <c r="L219" s="1358"/>
      <c r="M219" s="1320">
        <v>117</v>
      </c>
    </row>
    <row r="220" spans="1:13">
      <c r="A220" s="1393">
        <v>29</v>
      </c>
      <c r="B220" s="1324" t="s">
        <v>1953</v>
      </c>
      <c r="D220" s="1421">
        <f>+IF(ISBLANK(REPORTS!J205),"",REPORTS!J205)</f>
        <v>5587.4619998276685</v>
      </c>
      <c r="E220" s="1421">
        <f>+IF(ISBLANK(REPORTS!K205),"",REPORTS!K205)</f>
        <v>3240.800821095786</v>
      </c>
      <c r="F220" s="1421">
        <f>+IF(ISBLANK(REPORTS!L205),"",REPORTS!L205)</f>
        <v>267.33337922435857</v>
      </c>
      <c r="G220" s="1421">
        <f>+IF(ISBLANK(REPORTS!M205),"",REPORTS!M205)</f>
        <v>1708.9279883972783</v>
      </c>
      <c r="H220" s="1421">
        <f>+IF(ISBLANK(REPORTS!N205),"",REPORTS!N205)</f>
        <v>213.3370005079735</v>
      </c>
      <c r="I220" s="1421">
        <f>+IF(ISBLANK(REPORTS!O205),"",REPORTS!O205)</f>
        <v>153.10134134473165</v>
      </c>
      <c r="J220" s="1421">
        <f>+IF(ISBLANK(REPORTS!P205),"",REPORTS!P205)</f>
        <v>3.9614692575399513</v>
      </c>
      <c r="K220" s="1421">
        <f>+IF(ISBLANK(REPORTS!Q205),"",REPORTS!Q205)</f>
        <v>0</v>
      </c>
      <c r="L220" s="1358"/>
      <c r="M220" s="1321"/>
    </row>
    <row r="221" spans="1:13">
      <c r="A221" s="1393">
        <v>30</v>
      </c>
      <c r="D221" s="1324" t="str">
        <f>+IF(ISBLANK(REPORTS!J206),"",REPORTS!J206)</f>
        <v/>
      </c>
      <c r="E221" s="1324" t="str">
        <f>+IF(ISBLANK(REPORTS!K206),"",REPORTS!K206)</f>
        <v/>
      </c>
      <c r="F221" s="1324" t="str">
        <f>+IF(ISBLANK(REPORTS!L206),"",REPORTS!L206)</f>
        <v/>
      </c>
      <c r="G221" s="1324" t="str">
        <f>+IF(ISBLANK(REPORTS!M206),"",REPORTS!M206)</f>
        <v/>
      </c>
      <c r="H221" s="1324" t="str">
        <f>+IF(ISBLANK(REPORTS!N206),"",REPORTS!N206)</f>
        <v/>
      </c>
      <c r="I221" s="1324" t="str">
        <f>+IF(ISBLANK(REPORTS!O206),"",REPORTS!O206)</f>
        <v/>
      </c>
      <c r="J221" s="1324" t="str">
        <f>+IF(ISBLANK(REPORTS!P206),"",REPORTS!P206)</f>
        <v/>
      </c>
      <c r="K221" s="1324" t="str">
        <f>+IF(ISBLANK(REPORTS!Q206),"",REPORTS!Q206)</f>
        <v/>
      </c>
    </row>
    <row r="222" spans="1:13">
      <c r="A222" s="1393">
        <v>31</v>
      </c>
      <c r="B222" s="1324" t="s">
        <v>5296</v>
      </c>
      <c r="D222" s="1366">
        <f>+IF(ISBLANK(REPORTS!J207),"",REPORTS!J207)</f>
        <v>11014.525256570869</v>
      </c>
      <c r="E222" s="1366">
        <f>+IF(ISBLANK(REPORTS!K207),"",REPORTS!K207)</f>
        <v>6368.6505839070041</v>
      </c>
      <c r="F222" s="1366">
        <f>+IF(ISBLANK(REPORTS!L207),"",REPORTS!L207)</f>
        <v>526.6724248752505</v>
      </c>
      <c r="G222" s="1366">
        <f>+IF(ISBLANK(REPORTS!M207),"",REPORTS!M207)</f>
        <v>3379.7783370996412</v>
      </c>
      <c r="H222" s="1366">
        <f>+IF(ISBLANK(REPORTS!N207),"",REPORTS!N207)</f>
        <v>425.07346874482027</v>
      </c>
      <c r="I222" s="1366">
        <f>+IF(ISBLANK(REPORTS!O207),"",REPORTS!O207)</f>
        <v>305.33259990927172</v>
      </c>
      <c r="J222" s="1366">
        <f>+IF(ISBLANK(REPORTS!P207),"",REPORTS!P207)</f>
        <v>9.0178420348800454</v>
      </c>
      <c r="K222" s="1366">
        <f>+IF(ISBLANK(REPORTS!Q207),"",REPORTS!Q207)</f>
        <v>0</v>
      </c>
    </row>
    <row r="241" spans="1:13">
      <c r="A241" s="1732" t="str">
        <f>+$A$1</f>
        <v>RATES WITH REVENUE DEFICIENCY ADDITION</v>
      </c>
      <c r="F241" s="1329" t="s">
        <v>2173</v>
      </c>
      <c r="G241" s="1329"/>
      <c r="H241" s="1329"/>
      <c r="I241" s="1329"/>
      <c r="M241" s="1334" t="s">
        <v>4882</v>
      </c>
    </row>
    <row r="242" spans="1:13">
      <c r="A242" s="1732" t="str">
        <f>+$A$2</f>
        <v>PROD. CAP. ALLOC. METHOD: 12 CP &amp; 1/13th AD</v>
      </c>
      <c r="F242" s="1336" t="s">
        <v>5141</v>
      </c>
      <c r="G242" s="1336"/>
      <c r="H242" s="1336"/>
      <c r="I242" s="1336"/>
      <c r="L242" s="1331"/>
      <c r="M242" s="1409"/>
    </row>
    <row r="243" spans="1:13">
      <c r="A243" s="1732" t="str">
        <f>+$A$3</f>
        <v>PROJECTED CALENDAR YEAR 2025; FULLY ADJUSTED DATA</v>
      </c>
      <c r="F243" s="1336" t="s">
        <v>2181</v>
      </c>
    </row>
    <row r="244" spans="1:13">
      <c r="A244" s="1732" t="str">
        <f>+$A$4</f>
        <v>MINIMUM DISTRIBUTION SYSTEM (MDS) NOT EMPLOYED</v>
      </c>
      <c r="B244" s="1364"/>
      <c r="C244" s="1364"/>
      <c r="F244" s="1336"/>
      <c r="G244" s="1336"/>
      <c r="H244" s="1336"/>
      <c r="I244" s="1336"/>
    </row>
    <row r="245" spans="1:13">
      <c r="A245" s="1732" t="str">
        <f>+$A$5</f>
        <v>Tampa Electric 2025 OB Budget</v>
      </c>
      <c r="F245" s="1336" t="s">
        <v>5277</v>
      </c>
      <c r="G245" s="1336"/>
      <c r="H245" s="1336"/>
      <c r="I245" s="1336"/>
    </row>
    <row r="246" spans="1:13">
      <c r="F246" s="1336"/>
      <c r="G246" s="1336"/>
      <c r="H246" s="1336"/>
      <c r="I246" s="1336"/>
    </row>
    <row r="247" spans="1:13">
      <c r="F247" s="1336"/>
      <c r="G247" s="1336"/>
      <c r="H247" s="1336"/>
      <c r="I247" s="1336"/>
    </row>
    <row r="249" spans="1:13">
      <c r="A249" s="1735"/>
      <c r="B249" s="1416"/>
      <c r="C249" s="1416"/>
      <c r="D249" s="1416"/>
      <c r="E249" s="1336"/>
      <c r="F249" s="1416"/>
      <c r="G249" s="1416"/>
      <c r="H249" s="1416"/>
      <c r="I249" s="1416"/>
      <c r="J249" s="3164"/>
      <c r="K249" s="3164"/>
      <c r="L249" s="1333"/>
    </row>
    <row r="250" spans="1:13" ht="28.2">
      <c r="A250" s="1737" t="s">
        <v>4297</v>
      </c>
      <c r="B250" s="1741"/>
      <c r="C250" s="1741"/>
      <c r="D250" s="1352" t="s">
        <v>4957</v>
      </c>
      <c r="E250" s="1353" t="s">
        <v>1949</v>
      </c>
      <c r="F250" s="1353" t="s">
        <v>1950</v>
      </c>
      <c r="G250" s="1353" t="s">
        <v>1934</v>
      </c>
      <c r="H250" s="1353" t="s">
        <v>1971</v>
      </c>
      <c r="I250" s="1353" t="s">
        <v>1972</v>
      </c>
      <c r="J250" s="1352" t="s">
        <v>5146</v>
      </c>
      <c r="K250" s="1352" t="s">
        <v>5147</v>
      </c>
      <c r="L250" s="1355"/>
      <c r="M250" s="1348" t="s">
        <v>5299</v>
      </c>
    </row>
    <row r="252" spans="1:13">
      <c r="A252" s="1393">
        <v>32</v>
      </c>
      <c r="B252" s="1362" t="s">
        <v>5300</v>
      </c>
      <c r="C252" s="1362"/>
      <c r="K252" s="1387"/>
      <c r="L252" s="1392"/>
      <c r="M252" s="1321"/>
    </row>
    <row r="253" spans="1:13">
      <c r="A253" s="1393">
        <v>33</v>
      </c>
      <c r="B253" s="1324" t="s">
        <v>5293</v>
      </c>
      <c r="C253" s="1324" t="s">
        <v>4067</v>
      </c>
      <c r="D253" s="1366">
        <f>+IF(ISBLANK(REPORTS!J225),"",REPORTS!J225)</f>
        <v>5220.568253917193</v>
      </c>
      <c r="E253" s="1366">
        <f>+IF(ISBLANK(REPORTS!K225),"",REPORTS!K225)</f>
        <v>3249.3652733788372</v>
      </c>
      <c r="F253" s="1366">
        <f>+IF(ISBLANK(REPORTS!L225),"",REPORTS!L225)</f>
        <v>231.10300784376869</v>
      </c>
      <c r="G253" s="1366">
        <f>+IF(ISBLANK(REPORTS!M225),"",REPORTS!M225)</f>
        <v>1547.3789322003815</v>
      </c>
      <c r="H253" s="1366">
        <f>+IF(ISBLANK(REPORTS!N225),"",REPORTS!N225)</f>
        <v>162.75315192742494</v>
      </c>
      <c r="I253" s="1366">
        <f>+IF(ISBLANK(REPORTS!O225),"",REPORTS!O225)</f>
        <v>1.1112468151806446E-4</v>
      </c>
      <c r="J253" s="1366">
        <f>+IF(ISBLANK(REPORTS!P225),"",REPORTS!P225)</f>
        <v>29.967777442100253</v>
      </c>
      <c r="K253" s="1366">
        <f>+IF(ISBLANK(REPORTS!Q225),"",REPORTS!Q225)</f>
        <v>0</v>
      </c>
      <c r="L253" s="1358"/>
      <c r="M253" s="1320">
        <v>105</v>
      </c>
    </row>
    <row r="254" spans="1:13">
      <c r="A254" s="1393">
        <v>34</v>
      </c>
      <c r="D254" s="1324" t="str">
        <f>+IF(ISBLANK(REPORTS!J226),"",REPORTS!J226)</f>
        <v/>
      </c>
      <c r="E254" s="1324" t="str">
        <f>+IF(ISBLANK(REPORTS!K226),"",REPORTS!K226)</f>
        <v/>
      </c>
      <c r="F254" s="1324" t="str">
        <f>+IF(ISBLANK(REPORTS!L226),"",REPORTS!L226)</f>
        <v/>
      </c>
      <c r="G254" s="1324" t="str">
        <f>+IF(ISBLANK(REPORTS!M226),"",REPORTS!M226)</f>
        <v/>
      </c>
      <c r="H254" s="1324" t="str">
        <f>+IF(ISBLANK(REPORTS!N226),"",REPORTS!N226)</f>
        <v/>
      </c>
      <c r="I254" s="1324" t="str">
        <f>+IF(ISBLANK(REPORTS!O226),"",REPORTS!O226)</f>
        <v/>
      </c>
      <c r="J254" s="1324" t="str">
        <f>+IF(ISBLANK(REPORTS!P226),"",REPORTS!P226)</f>
        <v/>
      </c>
      <c r="K254" s="1324" t="str">
        <f>+IF(ISBLANK(REPORTS!Q226),"",REPORTS!Q226)</f>
        <v/>
      </c>
      <c r="M254" s="1321"/>
    </row>
    <row r="255" spans="1:13">
      <c r="A255" s="1393">
        <v>35</v>
      </c>
      <c r="B255" s="1324" t="s">
        <v>5301</v>
      </c>
      <c r="C255" s="1324" t="s">
        <v>4071</v>
      </c>
      <c r="D255" s="1364">
        <f>+IF(ISBLANK(REPORTS!J227),"",REPORTS!J227)</f>
        <v>1266.5742759713339</v>
      </c>
      <c r="E255" s="1364">
        <f>+IF(ISBLANK(REPORTS!K227),"",REPORTS!K227)</f>
        <v>0</v>
      </c>
      <c r="F255" s="1364">
        <f>+IF(ISBLANK(REPORTS!L227),"",REPORTS!L227)</f>
        <v>0</v>
      </c>
      <c r="G255" s="1364">
        <f>+IF(ISBLANK(REPORTS!M227),"",REPORTS!M227)</f>
        <v>0</v>
      </c>
      <c r="H255" s="1364">
        <f>+IF(ISBLANK(REPORTS!N227),"",REPORTS!N227)</f>
        <v>0</v>
      </c>
      <c r="I255" s="1364">
        <f>+IF(ISBLANK(REPORTS!O227),"",REPORTS!O227)</f>
        <v>0</v>
      </c>
      <c r="J255" s="1364">
        <f>+IF(ISBLANK(REPORTS!P227),"",REPORTS!P227)</f>
        <v>0</v>
      </c>
      <c r="K255" s="1364">
        <f>+IF(ISBLANK(REPORTS!Q227),"",REPORTS!Q227)</f>
        <v>1266.5742759713339</v>
      </c>
      <c r="L255" s="1364"/>
      <c r="M255" s="1324">
        <v>310</v>
      </c>
    </row>
    <row r="256" spans="1:13">
      <c r="A256" s="1393">
        <v>36</v>
      </c>
      <c r="B256" s="1324" t="s">
        <v>5303</v>
      </c>
      <c r="C256" s="1324" t="s">
        <v>4067</v>
      </c>
      <c r="D256" s="1364">
        <f>+IF(ISBLANK(REPORTS!J228),"",REPORTS!J228)</f>
        <v>19118.911569194039</v>
      </c>
      <c r="E256" s="1364">
        <f>+IF(ISBLANK(REPORTS!K228),"",REPORTS!K228)</f>
        <v>11899.916694150246</v>
      </c>
      <c r="F256" s="1364">
        <f>+IF(ISBLANK(REPORTS!L228),"",REPORTS!L228)</f>
        <v>846.35192098569848</v>
      </c>
      <c r="G256" s="1364">
        <f>+IF(ISBLANK(REPORTS!M228),"",REPORTS!M228)</f>
        <v>5666.8545510490794</v>
      </c>
      <c r="H256" s="1364">
        <f>+IF(ISBLANK(REPORTS!N228),"",REPORTS!N228)</f>
        <v>596.03916048281519</v>
      </c>
      <c r="I256" s="1364">
        <f>+IF(ISBLANK(REPORTS!O228),"",REPORTS!O228)</f>
        <v>4.0696392725151509E-4</v>
      </c>
      <c r="J256" s="1364">
        <f>+IF(ISBLANK(REPORTS!P228),"",REPORTS!P228)</f>
        <v>109.74883556227721</v>
      </c>
      <c r="K256" s="1364">
        <f>+IF(ISBLANK(REPORTS!Q228),"",REPORTS!Q228)</f>
        <v>0</v>
      </c>
      <c r="L256" s="1364"/>
      <c r="M256" s="1324">
        <v>105</v>
      </c>
    </row>
    <row r="257" spans="1:13">
      <c r="A257" s="1393">
        <v>37</v>
      </c>
      <c r="B257" s="1324" t="s">
        <v>5304</v>
      </c>
      <c r="C257" s="1324" t="s">
        <v>4071</v>
      </c>
      <c r="D257" s="1364">
        <f>+IF(ISBLANK(REPORTS!J229),"",REPORTS!J229)</f>
        <v>0</v>
      </c>
      <c r="E257" s="1364">
        <f>+IF(ISBLANK(REPORTS!K229),"",REPORTS!K229)</f>
        <v>0</v>
      </c>
      <c r="F257" s="1364">
        <f>+IF(ISBLANK(REPORTS!L229),"",REPORTS!L229)</f>
        <v>0</v>
      </c>
      <c r="G257" s="1364">
        <f>+IF(ISBLANK(REPORTS!M229),"",REPORTS!M229)</f>
        <v>0</v>
      </c>
      <c r="H257" s="1364">
        <f>+IF(ISBLANK(REPORTS!N229),"",REPORTS!N229)</f>
        <v>0</v>
      </c>
      <c r="I257" s="1364">
        <f>+IF(ISBLANK(REPORTS!O229),"",REPORTS!O229)</f>
        <v>0</v>
      </c>
      <c r="J257" s="1364">
        <f>+IF(ISBLANK(REPORTS!P229),"",REPORTS!P229)</f>
        <v>0</v>
      </c>
      <c r="K257" s="1364">
        <f>+IF(ISBLANK(REPORTS!Q229),"",REPORTS!Q229)</f>
        <v>0</v>
      </c>
      <c r="L257" s="1364"/>
      <c r="M257" s="1324">
        <v>418</v>
      </c>
    </row>
    <row r="258" spans="1:13">
      <c r="A258" s="1393">
        <v>38</v>
      </c>
      <c r="B258" s="1324" t="s">
        <v>5306</v>
      </c>
      <c r="C258" s="1324" t="s">
        <v>4067</v>
      </c>
      <c r="D258" s="1364">
        <f>+IF(ISBLANK(REPORTS!J230),"",REPORTS!J230)</f>
        <v>4451.4384580897895</v>
      </c>
      <c r="E258" s="1364">
        <f>+IF(ISBLANK(REPORTS!K230),"",REPORTS!K230)</f>
        <v>3247.9175596220125</v>
      </c>
      <c r="F258" s="1364">
        <f>+IF(ISBLANK(REPORTS!L230),"",REPORTS!L230)</f>
        <v>261.52182248147614</v>
      </c>
      <c r="G258" s="1364">
        <f>+IF(ISBLANK(REPORTS!M230),"",REPORTS!M230)</f>
        <v>925.89631695011838</v>
      </c>
      <c r="H258" s="1364">
        <f>+IF(ISBLANK(REPORTS!N230),"",REPORTS!N230)</f>
        <v>0</v>
      </c>
      <c r="I258" s="1364">
        <f>+IF(ISBLANK(REPORTS!O230),"",REPORTS!O230)</f>
        <v>0</v>
      </c>
      <c r="J258" s="1364">
        <f>+IF(ISBLANK(REPORTS!P230),"",REPORTS!P230)</f>
        <v>16.102759036182171</v>
      </c>
      <c r="K258" s="1364">
        <f>+IF(ISBLANK(REPORTS!Q230),"",REPORTS!Q230)</f>
        <v>0</v>
      </c>
      <c r="L258" s="1364"/>
      <c r="M258" s="1324">
        <v>106</v>
      </c>
    </row>
    <row r="259" spans="1:13">
      <c r="A259" s="1393">
        <v>39</v>
      </c>
      <c r="B259" s="1324" t="s">
        <v>5307</v>
      </c>
      <c r="C259" s="1324" t="s">
        <v>4071</v>
      </c>
      <c r="D259" s="1364">
        <f>+IF(ISBLANK(REPORTS!J231),"",REPORTS!J231)</f>
        <v>0</v>
      </c>
      <c r="E259" s="1364">
        <f>+IF(ISBLANK(REPORTS!K231),"",REPORTS!K231)</f>
        <v>0</v>
      </c>
      <c r="F259" s="1364">
        <f>+IF(ISBLANK(REPORTS!L231),"",REPORTS!L231)</f>
        <v>0</v>
      </c>
      <c r="G259" s="1364">
        <f>+IF(ISBLANK(REPORTS!M231),"",REPORTS!M231)</f>
        <v>0</v>
      </c>
      <c r="H259" s="1364">
        <f>+IF(ISBLANK(REPORTS!N231),"",REPORTS!N231)</f>
        <v>0</v>
      </c>
      <c r="I259" s="1364">
        <f>+IF(ISBLANK(REPORTS!O231),"",REPORTS!O231)</f>
        <v>0</v>
      </c>
      <c r="J259" s="1364">
        <f>+IF(ISBLANK(REPORTS!P231),"",REPORTS!P231)</f>
        <v>0</v>
      </c>
      <c r="K259" s="1364">
        <f>+IF(ISBLANK(REPORTS!Q231),"",REPORTS!Q231)</f>
        <v>0</v>
      </c>
      <c r="L259" s="1364"/>
      <c r="M259" s="1324">
        <v>420</v>
      </c>
    </row>
    <row r="260" spans="1:13">
      <c r="A260" s="1393">
        <v>40</v>
      </c>
      <c r="B260" s="1324" t="s">
        <v>5308</v>
      </c>
      <c r="D260" s="1421">
        <f>+IF(ISBLANK(REPORTS!J232),"",REPORTS!J232)</f>
        <v>24836.92430325516</v>
      </c>
      <c r="E260" s="1421">
        <f>+IF(ISBLANK(REPORTS!K232),"",REPORTS!K232)</f>
        <v>15147.834253772258</v>
      </c>
      <c r="F260" s="1421">
        <f>+IF(ISBLANK(REPORTS!L232),"",REPORTS!L232)</f>
        <v>1107.8737434671746</v>
      </c>
      <c r="G260" s="1421">
        <f>+IF(ISBLANK(REPORTS!M232),"",REPORTS!M232)</f>
        <v>6592.7508679991979</v>
      </c>
      <c r="H260" s="1421">
        <f>+IF(ISBLANK(REPORTS!N232),"",REPORTS!N232)</f>
        <v>596.03916048281519</v>
      </c>
      <c r="I260" s="1421">
        <f>+IF(ISBLANK(REPORTS!O232),"",REPORTS!O232)</f>
        <v>4.0696392725151509E-4</v>
      </c>
      <c r="J260" s="1421">
        <f>+IF(ISBLANK(REPORTS!P232),"",REPORTS!P232)</f>
        <v>125.85159459845937</v>
      </c>
      <c r="K260" s="1421">
        <f>+IF(ISBLANK(REPORTS!Q232),"",REPORTS!Q232)</f>
        <v>1266.5742759713339</v>
      </c>
      <c r="L260" s="1364"/>
      <c r="M260" s="1326"/>
    </row>
    <row r="261" spans="1:13">
      <c r="A261" s="1393">
        <v>41</v>
      </c>
      <c r="D261" s="1324" t="str">
        <f>+IF(ISBLANK(REPORTS!J233),"",REPORTS!J233)</f>
        <v/>
      </c>
      <c r="E261" s="1324" t="str">
        <f>+IF(ISBLANK(REPORTS!K233),"",REPORTS!K233)</f>
        <v/>
      </c>
      <c r="F261" s="1324" t="str">
        <f>+IF(ISBLANK(REPORTS!L233),"",REPORTS!L233)</f>
        <v/>
      </c>
      <c r="G261" s="1324" t="str">
        <f>+IF(ISBLANK(REPORTS!M233),"",REPORTS!M233)</f>
        <v/>
      </c>
      <c r="H261" s="1324" t="str">
        <f>+IF(ISBLANK(REPORTS!N233),"",REPORTS!N233)</f>
        <v/>
      </c>
      <c r="I261" s="1324" t="str">
        <f>+IF(ISBLANK(REPORTS!O233),"",REPORTS!O233)</f>
        <v/>
      </c>
      <c r="J261" s="1324" t="str">
        <f>+IF(ISBLANK(REPORTS!P233),"",REPORTS!P233)</f>
        <v/>
      </c>
      <c r="K261" s="1324" t="str">
        <f>+IF(ISBLANK(REPORTS!Q233),"",REPORTS!Q233)</f>
        <v/>
      </c>
      <c r="L261" s="1324"/>
      <c r="M261" s="1326"/>
    </row>
    <row r="262" spans="1:13">
      <c r="A262" s="1393">
        <v>42</v>
      </c>
      <c r="B262" s="1324" t="s">
        <v>5310</v>
      </c>
      <c r="C262" s="1324" t="s">
        <v>4071</v>
      </c>
      <c r="D262" s="1364">
        <f>+IF(ISBLANK(REPORTS!J234),"",REPORTS!J234)</f>
        <v>3.1713748859914901</v>
      </c>
      <c r="E262" s="1364">
        <f>+IF(ISBLANK(REPORTS!K234),"",REPORTS!K234)</f>
        <v>0</v>
      </c>
      <c r="F262" s="1364">
        <f>+IF(ISBLANK(REPORTS!L234),"",REPORTS!L234)</f>
        <v>0</v>
      </c>
      <c r="G262" s="1364">
        <f>+IF(ISBLANK(REPORTS!M234),"",REPORTS!M234)</f>
        <v>0</v>
      </c>
      <c r="H262" s="1364">
        <f>+IF(ISBLANK(REPORTS!N234),"",REPORTS!N234)</f>
        <v>0</v>
      </c>
      <c r="I262" s="1364">
        <f>+IF(ISBLANK(REPORTS!O234),"",REPORTS!O234)</f>
        <v>0</v>
      </c>
      <c r="J262" s="1364">
        <f>+IF(ISBLANK(REPORTS!P234),"",REPORTS!P234)</f>
        <v>0</v>
      </c>
      <c r="K262" s="1364">
        <f>+IF(ISBLANK(REPORTS!Q234),"",REPORTS!Q234)</f>
        <v>3.1713748859914901</v>
      </c>
      <c r="L262" s="1364"/>
      <c r="M262" s="1324">
        <v>310</v>
      </c>
    </row>
    <row r="263" spans="1:13">
      <c r="A263" s="1393">
        <v>43</v>
      </c>
      <c r="B263" s="1324" t="s">
        <v>5311</v>
      </c>
      <c r="C263" s="1324" t="s">
        <v>4067</v>
      </c>
      <c r="D263" s="1364">
        <f>+IF(ISBLANK(REPORTS!J235),"",REPORTS!J235)</f>
        <v>6192.9745707198108</v>
      </c>
      <c r="E263" s="1364">
        <f>+IF(ISBLANK(REPORTS!K235),"",REPORTS!K235)</f>
        <v>3854.6065352015898</v>
      </c>
      <c r="F263" s="1364">
        <f>+IF(ISBLANK(REPORTS!L235),"",REPORTS!L235)</f>
        <v>274.14928436562911</v>
      </c>
      <c r="G263" s="1364">
        <f>+IF(ISBLANK(REPORTS!M235),"",REPORTS!M235)</f>
        <v>1835.6006304857972</v>
      </c>
      <c r="H263" s="1364">
        <f>+IF(ISBLANK(REPORTS!N235),"",REPORTS!N235)</f>
        <v>193.06827957564866</v>
      </c>
      <c r="I263" s="1364">
        <f>+IF(ISBLANK(REPORTS!O235),"",REPORTS!O235)</f>
        <v>1.3182326010283149E-4</v>
      </c>
      <c r="J263" s="1364">
        <f>+IF(ISBLANK(REPORTS!P235),"",REPORTS!P235)</f>
        <v>35.549709267887181</v>
      </c>
      <c r="K263" s="1364">
        <f>+IF(ISBLANK(REPORTS!Q235),"",REPORTS!Q235)</f>
        <v>0</v>
      </c>
      <c r="L263" s="1364"/>
      <c r="M263" s="1324">
        <v>105</v>
      </c>
    </row>
    <row r="264" spans="1:13">
      <c r="A264" s="1393">
        <v>44</v>
      </c>
      <c r="B264" s="1324" t="s">
        <v>5312</v>
      </c>
      <c r="C264" s="1324" t="s">
        <v>4071</v>
      </c>
      <c r="D264" s="1364">
        <f>+IF(ISBLANK(REPORTS!J236),"",REPORTS!J236)</f>
        <v>0</v>
      </c>
      <c r="E264" s="1364">
        <f>+IF(ISBLANK(REPORTS!K236),"",REPORTS!K236)</f>
        <v>0</v>
      </c>
      <c r="F264" s="1364">
        <f>+IF(ISBLANK(REPORTS!L236),"",REPORTS!L236)</f>
        <v>0</v>
      </c>
      <c r="G264" s="1364">
        <f>+IF(ISBLANK(REPORTS!M236),"",REPORTS!M236)</f>
        <v>0</v>
      </c>
      <c r="H264" s="1364">
        <f>+IF(ISBLANK(REPORTS!N236),"",REPORTS!N236)</f>
        <v>0</v>
      </c>
      <c r="I264" s="1364">
        <f>+IF(ISBLANK(REPORTS!O236),"",REPORTS!O236)</f>
        <v>0</v>
      </c>
      <c r="J264" s="1364">
        <f>+IF(ISBLANK(REPORTS!P236),"",REPORTS!P236)</f>
        <v>0</v>
      </c>
      <c r="K264" s="1364">
        <f>+IF(ISBLANK(REPORTS!Q236),"",REPORTS!Q236)</f>
        <v>0</v>
      </c>
      <c r="L264" s="1364"/>
      <c r="M264" s="1324">
        <v>418</v>
      </c>
    </row>
    <row r="265" spans="1:13">
      <c r="A265" s="1393">
        <v>45</v>
      </c>
      <c r="B265" s="1324" t="s">
        <v>5313</v>
      </c>
      <c r="C265" s="1324" t="s">
        <v>4067</v>
      </c>
      <c r="D265" s="1364">
        <f>+IF(ISBLANK(REPORTS!J237),"",REPORTS!J237)</f>
        <v>472.19143504708194</v>
      </c>
      <c r="E265" s="1364">
        <f>+IF(ISBLANK(REPORTS!K237),"",REPORTS!K237)</f>
        <v>344.52657670811709</v>
      </c>
      <c r="F265" s="1364">
        <f>+IF(ISBLANK(REPORTS!L237),"",REPORTS!L237)</f>
        <v>27.741226980064333</v>
      </c>
      <c r="G265" s="1364">
        <f>+IF(ISBLANK(REPORTS!M237),"",REPORTS!M237)</f>
        <v>98.215512743064295</v>
      </c>
      <c r="H265" s="1364">
        <f>+IF(ISBLANK(REPORTS!N237),"",REPORTS!N237)</f>
        <v>0</v>
      </c>
      <c r="I265" s="1364">
        <f>+IF(ISBLANK(REPORTS!O237),"",REPORTS!O237)</f>
        <v>0</v>
      </c>
      <c r="J265" s="1364">
        <f>+IF(ISBLANK(REPORTS!P237),"",REPORTS!P237)</f>
        <v>1.7081186158361701</v>
      </c>
      <c r="K265" s="1364">
        <f>+IF(ISBLANK(REPORTS!Q237),"",REPORTS!Q237)</f>
        <v>0</v>
      </c>
      <c r="L265" s="1364"/>
      <c r="M265" s="1324">
        <v>106</v>
      </c>
    </row>
    <row r="266" spans="1:13">
      <c r="A266" s="1393">
        <v>46</v>
      </c>
      <c r="B266" s="1324" t="s">
        <v>5314</v>
      </c>
      <c r="C266" s="1324" t="s">
        <v>4071</v>
      </c>
      <c r="D266" s="1364">
        <f>+IF(ISBLANK(REPORTS!J238),"",REPORTS!J238)</f>
        <v>0</v>
      </c>
      <c r="E266" s="1364">
        <f>+IF(ISBLANK(REPORTS!K238),"",REPORTS!K238)</f>
        <v>0</v>
      </c>
      <c r="F266" s="1364">
        <f>+IF(ISBLANK(REPORTS!L238),"",REPORTS!L238)</f>
        <v>0</v>
      </c>
      <c r="G266" s="1364">
        <f>+IF(ISBLANK(REPORTS!M238),"",REPORTS!M238)</f>
        <v>0</v>
      </c>
      <c r="H266" s="1364">
        <f>+IF(ISBLANK(REPORTS!N238),"",REPORTS!N238)</f>
        <v>0</v>
      </c>
      <c r="I266" s="1364">
        <f>+IF(ISBLANK(REPORTS!O238),"",REPORTS!O238)</f>
        <v>0</v>
      </c>
      <c r="J266" s="1364">
        <f>+IF(ISBLANK(REPORTS!P238),"",REPORTS!P238)</f>
        <v>0</v>
      </c>
      <c r="K266" s="1364">
        <f>+IF(ISBLANK(REPORTS!Q238),"",REPORTS!Q238)</f>
        <v>0</v>
      </c>
      <c r="L266" s="1364"/>
      <c r="M266" s="1324">
        <v>420</v>
      </c>
    </row>
    <row r="267" spans="1:13">
      <c r="A267" s="1393">
        <v>47</v>
      </c>
      <c r="B267" s="1324" t="s">
        <v>5315</v>
      </c>
      <c r="D267" s="1421">
        <f>+IF(ISBLANK(REPORTS!J239),"",REPORTS!J239)</f>
        <v>6668.3373806528834</v>
      </c>
      <c r="E267" s="1421">
        <f>+IF(ISBLANK(REPORTS!K239),"",REPORTS!K239)</f>
        <v>4199.1331119097067</v>
      </c>
      <c r="F267" s="1421">
        <f>+IF(ISBLANK(REPORTS!L239),"",REPORTS!L239)</f>
        <v>301.89051134569343</v>
      </c>
      <c r="G267" s="1421">
        <f>+IF(ISBLANK(REPORTS!M239),"",REPORTS!M239)</f>
        <v>1933.8161432288614</v>
      </c>
      <c r="H267" s="1421">
        <f>+IF(ISBLANK(REPORTS!N239),"",REPORTS!N239)</f>
        <v>193.06827957564866</v>
      </c>
      <c r="I267" s="1421">
        <f>+IF(ISBLANK(REPORTS!O239),"",REPORTS!O239)</f>
        <v>1.3182326010283149E-4</v>
      </c>
      <c r="J267" s="1421">
        <f>+IF(ISBLANK(REPORTS!P239),"",REPORTS!P239)</f>
        <v>37.257827883723351</v>
      </c>
      <c r="K267" s="1421">
        <f>+IF(ISBLANK(REPORTS!Q239),"",REPORTS!Q239)</f>
        <v>3.1713748859914901</v>
      </c>
      <c r="L267" s="1364"/>
      <c r="M267" s="1326"/>
    </row>
    <row r="268" spans="1:13">
      <c r="A268" s="1393">
        <v>48</v>
      </c>
      <c r="D268" s="1324" t="str">
        <f>+IF(ISBLANK(REPORTS!J240),"",REPORTS!J240)</f>
        <v/>
      </c>
      <c r="E268" s="1324" t="str">
        <f>+IF(ISBLANK(REPORTS!K240),"",REPORTS!K240)</f>
        <v/>
      </c>
      <c r="F268" s="1324" t="str">
        <f>+IF(ISBLANK(REPORTS!L240),"",REPORTS!L240)</f>
        <v/>
      </c>
      <c r="G268" s="1324" t="str">
        <f>+IF(ISBLANK(REPORTS!M240),"",REPORTS!M240)</f>
        <v/>
      </c>
      <c r="H268" s="1324" t="str">
        <f>+IF(ISBLANK(REPORTS!N240),"",REPORTS!N240)</f>
        <v/>
      </c>
      <c r="I268" s="1324" t="str">
        <f>+IF(ISBLANK(REPORTS!O240),"",REPORTS!O240)</f>
        <v/>
      </c>
      <c r="J268" s="1324" t="str">
        <f>+IF(ISBLANK(REPORTS!P240),"",REPORTS!P240)</f>
        <v/>
      </c>
      <c r="K268" s="1324" t="str">
        <f>+IF(ISBLANK(REPORTS!Q240),"",REPORTS!Q240)</f>
        <v/>
      </c>
      <c r="L268" s="1324"/>
      <c r="M268" s="1326"/>
    </row>
    <row r="269" spans="1:13">
      <c r="A269" s="1393">
        <v>49</v>
      </c>
      <c r="B269" s="1324" t="s">
        <v>5317</v>
      </c>
      <c r="C269" s="1324" t="s">
        <v>4071</v>
      </c>
      <c r="D269" s="1364">
        <f>+IF(ISBLANK(REPORTS!J241),"",REPORTS!J241)</f>
        <v>0</v>
      </c>
      <c r="E269" s="1364">
        <f>+IF(ISBLANK(REPORTS!K241),"",REPORTS!K241)</f>
        <v>0</v>
      </c>
      <c r="F269" s="1364">
        <f>+IF(ISBLANK(REPORTS!L241),"",REPORTS!L241)</f>
        <v>0</v>
      </c>
      <c r="G269" s="1364">
        <f>+IF(ISBLANK(REPORTS!M241),"",REPORTS!M241)</f>
        <v>0</v>
      </c>
      <c r="H269" s="1364">
        <f>+IF(ISBLANK(REPORTS!N241),"",REPORTS!N241)</f>
        <v>0</v>
      </c>
      <c r="I269" s="1364">
        <f>+IF(ISBLANK(REPORTS!O241),"",REPORTS!O241)</f>
        <v>0</v>
      </c>
      <c r="J269" s="1364">
        <f>+IF(ISBLANK(REPORTS!P241),"",REPORTS!P241)</f>
        <v>0</v>
      </c>
      <c r="K269" s="1364">
        <f>+IF(ISBLANK(REPORTS!Q241),"",REPORTS!Q241)</f>
        <v>0</v>
      </c>
      <c r="L269" s="1364"/>
      <c r="M269" s="1324">
        <v>310</v>
      </c>
    </row>
    <row r="270" spans="1:13">
      <c r="A270" s="1393">
        <v>50</v>
      </c>
      <c r="B270" s="1324" t="s">
        <v>5318</v>
      </c>
      <c r="C270" s="1324" t="s">
        <v>4067</v>
      </c>
      <c r="D270" s="1364">
        <f>+IF(ISBLANK(REPORTS!J242),"",REPORTS!J242)</f>
        <v>50.038320628456624</v>
      </c>
      <c r="E270" s="1364">
        <f>+IF(ISBLANK(REPORTS!K242),"",REPORTS!K242)</f>
        <v>31.144651976593401</v>
      </c>
      <c r="F270" s="1364">
        <f>+IF(ISBLANK(REPORTS!L242),"",REPORTS!L242)</f>
        <v>2.2150857612119723</v>
      </c>
      <c r="G270" s="1364">
        <f>+IF(ISBLANK(REPORTS!M242),"",REPORTS!M242)</f>
        <v>14.831382213050112</v>
      </c>
      <c r="H270" s="1364">
        <f>+IF(ISBLANK(REPORTS!N242),"",REPORTS!N242)</f>
        <v>1.5599632077074608</v>
      </c>
      <c r="I270" s="1364">
        <f>+IF(ISBLANK(REPORTS!O242),"",REPORTS!O242)</f>
        <v>1.0651124883510117E-6</v>
      </c>
      <c r="J270" s="1364">
        <f>+IF(ISBLANK(REPORTS!P242),"",REPORTS!P242)</f>
        <v>0.28723640478120016</v>
      </c>
      <c r="K270" s="1364">
        <f>+IF(ISBLANK(REPORTS!Q242),"",REPORTS!Q242)</f>
        <v>0</v>
      </c>
      <c r="L270" s="1364"/>
      <c r="M270" s="1324">
        <v>105</v>
      </c>
    </row>
    <row r="271" spans="1:13">
      <c r="A271" s="1393">
        <v>51</v>
      </c>
      <c r="B271" s="1324" t="s">
        <v>5319</v>
      </c>
      <c r="C271" s="1324" t="s">
        <v>4071</v>
      </c>
      <c r="D271" s="1364">
        <f>+IF(ISBLANK(REPORTS!J243),"",REPORTS!J243)</f>
        <v>0</v>
      </c>
      <c r="E271" s="1364">
        <f>+IF(ISBLANK(REPORTS!K243),"",REPORTS!K243)</f>
        <v>0</v>
      </c>
      <c r="F271" s="1364">
        <f>+IF(ISBLANK(REPORTS!L243),"",REPORTS!L243)</f>
        <v>0</v>
      </c>
      <c r="G271" s="1364">
        <f>+IF(ISBLANK(REPORTS!M243),"",REPORTS!M243)</f>
        <v>0</v>
      </c>
      <c r="H271" s="1364">
        <f>+IF(ISBLANK(REPORTS!N243),"",REPORTS!N243)</f>
        <v>0</v>
      </c>
      <c r="I271" s="1364">
        <f>+IF(ISBLANK(REPORTS!O243),"",REPORTS!O243)</f>
        <v>0</v>
      </c>
      <c r="J271" s="1364">
        <f>+IF(ISBLANK(REPORTS!P243),"",REPORTS!P243)</f>
        <v>0</v>
      </c>
      <c r="K271" s="1364">
        <f>+IF(ISBLANK(REPORTS!Q243),"",REPORTS!Q243)</f>
        <v>0</v>
      </c>
      <c r="L271" s="1364"/>
      <c r="M271" s="1324">
        <v>418</v>
      </c>
    </row>
    <row r="272" spans="1:13">
      <c r="A272" s="1393">
        <v>52</v>
      </c>
      <c r="B272" s="1324" t="s">
        <v>5320</v>
      </c>
      <c r="C272" s="1324" t="s">
        <v>4067</v>
      </c>
      <c r="D272" s="1364">
        <f>+IF(ISBLANK(REPORTS!J244),"",REPORTS!J244)</f>
        <v>254.20882162637275</v>
      </c>
      <c r="E272" s="1364">
        <f>+IF(ISBLANK(REPORTS!K244),"",REPORTS!K244)</f>
        <v>185.4792115727509</v>
      </c>
      <c r="F272" s="1364">
        <f>+IF(ISBLANK(REPORTS!L244),"",REPORTS!L244)</f>
        <v>14.934757595441637</v>
      </c>
      <c r="G272" s="1364">
        <f>+IF(ISBLANK(REPORTS!M244),"",REPORTS!M244)</f>
        <v>52.875270296579828</v>
      </c>
      <c r="H272" s="1364">
        <f>+IF(ISBLANK(REPORTS!N244),"",REPORTS!N244)</f>
        <v>0</v>
      </c>
      <c r="I272" s="1364">
        <f>+IF(ISBLANK(REPORTS!O244),"",REPORTS!O244)</f>
        <v>0</v>
      </c>
      <c r="J272" s="1364">
        <f>+IF(ISBLANK(REPORTS!P244),"",REPORTS!P244)</f>
        <v>0.91958216160038553</v>
      </c>
      <c r="K272" s="1364">
        <f>+IF(ISBLANK(REPORTS!Q244),"",REPORTS!Q244)</f>
        <v>0</v>
      </c>
      <c r="L272" s="1364"/>
      <c r="M272" s="1324">
        <v>106</v>
      </c>
    </row>
    <row r="273" spans="1:13">
      <c r="A273" s="1393">
        <v>53</v>
      </c>
      <c r="B273" s="1324" t="s">
        <v>5321</v>
      </c>
      <c r="C273" s="1324" t="s">
        <v>4071</v>
      </c>
      <c r="D273" s="1364">
        <f>+IF(ISBLANK(REPORTS!J245),"",REPORTS!J245)</f>
        <v>0</v>
      </c>
      <c r="E273" s="1364">
        <f>+IF(ISBLANK(REPORTS!K245),"",REPORTS!K245)</f>
        <v>0</v>
      </c>
      <c r="F273" s="1364">
        <f>+IF(ISBLANK(REPORTS!L245),"",REPORTS!L245)</f>
        <v>0</v>
      </c>
      <c r="G273" s="1364">
        <f>+IF(ISBLANK(REPORTS!M245),"",REPORTS!M245)</f>
        <v>0</v>
      </c>
      <c r="H273" s="1364">
        <f>+IF(ISBLANK(REPORTS!N245),"",REPORTS!N245)</f>
        <v>0</v>
      </c>
      <c r="I273" s="1364">
        <f>+IF(ISBLANK(REPORTS!O245),"",REPORTS!O245)</f>
        <v>0</v>
      </c>
      <c r="J273" s="1364">
        <f>+IF(ISBLANK(REPORTS!P245),"",REPORTS!P245)</f>
        <v>0</v>
      </c>
      <c r="K273" s="1364">
        <f>+IF(ISBLANK(REPORTS!Q245),"",REPORTS!Q245)</f>
        <v>0</v>
      </c>
      <c r="L273" s="1364"/>
      <c r="M273" s="1324">
        <v>420</v>
      </c>
    </row>
    <row r="274" spans="1:13">
      <c r="A274" s="1393">
        <v>54</v>
      </c>
      <c r="B274" s="1324" t="s">
        <v>5322</v>
      </c>
      <c r="D274" s="1421">
        <f>+IF(ISBLANK(REPORTS!J246),"",REPORTS!J246)</f>
        <v>304.24714225482938</v>
      </c>
      <c r="E274" s="1421">
        <f>+IF(ISBLANK(REPORTS!K246),"",REPORTS!K246)</f>
        <v>216.62386354934429</v>
      </c>
      <c r="F274" s="1421">
        <f>+IF(ISBLANK(REPORTS!L246),"",REPORTS!L246)</f>
        <v>17.149843356653609</v>
      </c>
      <c r="G274" s="1421">
        <f>+IF(ISBLANK(REPORTS!M246),"",REPORTS!M246)</f>
        <v>67.706652509629947</v>
      </c>
      <c r="H274" s="1421">
        <f>+IF(ISBLANK(REPORTS!N246),"",REPORTS!N246)</f>
        <v>1.5599632077074608</v>
      </c>
      <c r="I274" s="1421">
        <f>+IF(ISBLANK(REPORTS!O246),"",REPORTS!O246)</f>
        <v>1.0651124883510117E-6</v>
      </c>
      <c r="J274" s="1421">
        <f>+IF(ISBLANK(REPORTS!P246),"",REPORTS!P246)</f>
        <v>1.2068185663815858</v>
      </c>
      <c r="K274" s="1421">
        <f>+IF(ISBLANK(REPORTS!Q246),"",REPORTS!Q246)</f>
        <v>0</v>
      </c>
      <c r="L274" s="1364"/>
      <c r="M274" s="1326"/>
    </row>
    <row r="275" spans="1:13">
      <c r="A275" s="1393">
        <v>55</v>
      </c>
      <c r="D275" s="1324" t="str">
        <f>+IF(ISBLANK(REPORTS!J247),"",REPORTS!J247)</f>
        <v/>
      </c>
      <c r="E275" s="1324" t="str">
        <f>+IF(ISBLANK(REPORTS!K247),"",REPORTS!K247)</f>
        <v/>
      </c>
      <c r="F275" s="1324" t="str">
        <f>+IF(ISBLANK(REPORTS!L247),"",REPORTS!L247)</f>
        <v/>
      </c>
      <c r="G275" s="1324" t="str">
        <f>+IF(ISBLANK(REPORTS!M247),"",REPORTS!M247)</f>
        <v/>
      </c>
      <c r="H275" s="1324" t="str">
        <f>+IF(ISBLANK(REPORTS!N247),"",REPORTS!N247)</f>
        <v/>
      </c>
      <c r="I275" s="1324" t="str">
        <f>+IF(ISBLANK(REPORTS!O247),"",REPORTS!O247)</f>
        <v/>
      </c>
      <c r="J275" s="1324" t="str">
        <f>+IF(ISBLANK(REPORTS!P247),"",REPORTS!P247)</f>
        <v/>
      </c>
      <c r="K275" s="1324" t="str">
        <f>+IF(ISBLANK(REPORTS!Q247),"",REPORTS!Q247)</f>
        <v/>
      </c>
      <c r="L275" s="1324"/>
      <c r="M275" s="1326"/>
    </row>
    <row r="276" spans="1:13">
      <c r="A276" s="1393">
        <v>56</v>
      </c>
      <c r="B276" s="1324" t="s">
        <v>5324</v>
      </c>
      <c r="C276" s="1324" t="s">
        <v>4071</v>
      </c>
      <c r="D276" s="1364">
        <f>+IF(ISBLANK(REPORTS!J248),"",REPORTS!J248)</f>
        <v>4706.1347865526459</v>
      </c>
      <c r="E276" s="1364">
        <f>+IF(ISBLANK(REPORTS!K248),"",REPORTS!K248)</f>
        <v>4198.5275454981611</v>
      </c>
      <c r="F276" s="1364">
        <f>+IF(ISBLANK(REPORTS!L248),"",REPORTS!L248)</f>
        <v>406.90572925989153</v>
      </c>
      <c r="G276" s="1364">
        <f>+IF(ISBLANK(REPORTS!M248),"",REPORTS!M248)</f>
        <v>99.511457608480967</v>
      </c>
      <c r="H276" s="1364">
        <f>+IF(ISBLANK(REPORTS!N248),"",REPORTS!N248)</f>
        <v>0</v>
      </c>
      <c r="I276" s="1364">
        <f>+IF(ISBLANK(REPORTS!O248),"",REPORTS!O248)</f>
        <v>0</v>
      </c>
      <c r="J276" s="1364">
        <f>+IF(ISBLANK(REPORTS!P248),"",REPORTS!P248)</f>
        <v>1.1900541861127243</v>
      </c>
      <c r="K276" s="1364">
        <f>+IF(ISBLANK(REPORTS!Q248),"",REPORTS!Q248)</f>
        <v>0</v>
      </c>
      <c r="L276" s="1364"/>
      <c r="M276" s="1324">
        <v>420</v>
      </c>
    </row>
    <row r="277" spans="1:13">
      <c r="A277" s="1393">
        <v>57</v>
      </c>
      <c r="B277" s="1324" t="s">
        <v>5325</v>
      </c>
      <c r="C277" s="1324" t="s">
        <v>4071</v>
      </c>
      <c r="D277" s="1364">
        <f>+IF(ISBLANK(REPORTS!J249),"",REPORTS!J249)</f>
        <v>9007.3216782124982</v>
      </c>
      <c r="E277" s="1364">
        <f>+IF(ISBLANK(REPORTS!K249),"",REPORTS!K249)</f>
        <v>6149.0492277776802</v>
      </c>
      <c r="F277" s="1364">
        <f>+IF(ISBLANK(REPORTS!L249),"",REPORTS!L249)</f>
        <v>1603.5933575907416</v>
      </c>
      <c r="G277" s="1364">
        <f>+IF(ISBLANK(REPORTS!M249),"",REPORTS!M249)</f>
        <v>1055.0757846277622</v>
      </c>
      <c r="H277" s="1364">
        <f>+IF(ISBLANK(REPORTS!N249),"",REPORTS!N249)</f>
        <v>86.730529983003223</v>
      </c>
      <c r="I277" s="1364">
        <f>+IF(ISBLANK(REPORTS!O249),"",REPORTS!O249)</f>
        <v>94.626648996379828</v>
      </c>
      <c r="J277" s="1364">
        <f>+IF(ISBLANK(REPORTS!P249),"",REPORTS!P249)</f>
        <v>18.246129236931502</v>
      </c>
      <c r="K277" s="1364">
        <f>+IF(ISBLANK(REPORTS!Q249),"",REPORTS!Q249)</f>
        <v>0</v>
      </c>
      <c r="L277" s="1364"/>
      <c r="M277" s="1324">
        <v>308</v>
      </c>
    </row>
    <row r="278" spans="1:13">
      <c r="A278" s="1393">
        <v>58</v>
      </c>
      <c r="B278" s="1324" t="s">
        <v>5327</v>
      </c>
      <c r="C278" s="1324" t="s">
        <v>4071</v>
      </c>
      <c r="D278" s="1364">
        <f>+IF(ISBLANK(REPORTS!J250),"",REPORTS!J250)</f>
        <v>0</v>
      </c>
      <c r="E278" s="1364">
        <f>+IF(ISBLANK(REPORTS!K250),"",REPORTS!K250)</f>
        <v>0</v>
      </c>
      <c r="F278" s="1364">
        <f>+IF(ISBLANK(REPORTS!L250),"",REPORTS!L250)</f>
        <v>0</v>
      </c>
      <c r="G278" s="1364">
        <f>+IF(ISBLANK(REPORTS!M250),"",REPORTS!M250)</f>
        <v>0</v>
      </c>
      <c r="H278" s="1364">
        <f>+IF(ISBLANK(REPORTS!N250),"",REPORTS!N250)</f>
        <v>0</v>
      </c>
      <c r="I278" s="1364">
        <f>+IF(ISBLANK(REPORTS!O250),"",REPORTS!O250)</f>
        <v>0</v>
      </c>
      <c r="J278" s="1364">
        <f>+IF(ISBLANK(REPORTS!P250),"",REPORTS!P250)</f>
        <v>0</v>
      </c>
      <c r="K278" s="1364">
        <f>+IF(ISBLANK(REPORTS!Q250),"",REPORTS!Q250)</f>
        <v>0</v>
      </c>
      <c r="L278" s="1364"/>
      <c r="M278" s="1324">
        <v>309</v>
      </c>
    </row>
    <row r="279" spans="1:13">
      <c r="A279" s="1393">
        <v>59</v>
      </c>
      <c r="B279" s="1324" t="s">
        <v>5329</v>
      </c>
      <c r="C279" s="1324" t="s">
        <v>4071</v>
      </c>
      <c r="D279" s="1364">
        <f>+IF(ISBLANK(REPORTS!J251),"",REPORTS!J251)</f>
        <v>3451.5773842684866</v>
      </c>
      <c r="E279" s="1364">
        <f>+IF(ISBLANK(REPORTS!K251),"",REPORTS!K251)</f>
        <v>0</v>
      </c>
      <c r="F279" s="1364">
        <f>+IF(ISBLANK(REPORTS!L251),"",REPORTS!L251)</f>
        <v>0</v>
      </c>
      <c r="G279" s="1364">
        <f>+IF(ISBLANK(REPORTS!M251),"",REPORTS!M251)</f>
        <v>0</v>
      </c>
      <c r="H279" s="1364">
        <f>+IF(ISBLANK(REPORTS!N251),"",REPORTS!N251)</f>
        <v>0</v>
      </c>
      <c r="I279" s="1364">
        <f>+IF(ISBLANK(REPORTS!O251),"",REPORTS!O251)</f>
        <v>0</v>
      </c>
      <c r="J279" s="1364">
        <f>+IF(ISBLANK(REPORTS!P251),"",REPORTS!P251)</f>
        <v>0</v>
      </c>
      <c r="K279" s="1364">
        <f>+IF(ISBLANK(REPORTS!Q251),"",REPORTS!Q251)</f>
        <v>3451.5773842684866</v>
      </c>
      <c r="L279" s="1364"/>
      <c r="M279" s="1324">
        <v>310</v>
      </c>
    </row>
    <row r="280" spans="1:13">
      <c r="A280" s="1393">
        <v>60</v>
      </c>
      <c r="D280" s="1324" t="str">
        <f>+IF(ISBLANK(REPORTS!J252),"",REPORTS!J252)</f>
        <v/>
      </c>
      <c r="E280" s="1324" t="str">
        <f>+IF(ISBLANK(REPORTS!K252),"",REPORTS!K252)</f>
        <v/>
      </c>
      <c r="F280" s="1324" t="str">
        <f>+IF(ISBLANK(REPORTS!L252),"",REPORTS!L252)</f>
        <v/>
      </c>
      <c r="G280" s="1324" t="str">
        <f>+IF(ISBLANK(REPORTS!M252),"",REPORTS!M252)</f>
        <v/>
      </c>
      <c r="H280" s="1324" t="str">
        <f>+IF(ISBLANK(REPORTS!N252),"",REPORTS!N252)</f>
        <v/>
      </c>
      <c r="I280" s="1324" t="str">
        <f>+IF(ISBLANK(REPORTS!O252),"",REPORTS!O252)</f>
        <v/>
      </c>
      <c r="J280" s="1324" t="str">
        <f>+IF(ISBLANK(REPORTS!P252),"",REPORTS!P252)</f>
        <v/>
      </c>
      <c r="K280" s="1324" t="str">
        <f>+IF(ISBLANK(REPORTS!Q252),"",REPORTS!Q252)</f>
        <v/>
      </c>
      <c r="L280" s="1324"/>
      <c r="M280" s="1326"/>
    </row>
    <row r="281" spans="1:13">
      <c r="A281" s="1393">
        <v>61</v>
      </c>
      <c r="B281" s="1324" t="s">
        <v>5330</v>
      </c>
      <c r="C281" s="1324" t="s">
        <v>4067</v>
      </c>
      <c r="D281" s="1324">
        <f>+IF(ISBLANK(REPORTS!J253),"",REPORTS!J253)</f>
        <v>35760.331429222744</v>
      </c>
      <c r="E281" s="1324">
        <f>+IF(ISBLANK(REPORTS!K253),"",REPORTS!K253)</f>
        <v>22812.956502610148</v>
      </c>
      <c r="F281" s="1324">
        <f>+IF(ISBLANK(REPORTS!L253),"",REPORTS!L253)</f>
        <v>1658.0171060132902</v>
      </c>
      <c r="G281" s="1324">
        <f>+IF(ISBLANK(REPORTS!M253),"",REPORTS!M253)</f>
        <v>10141.652595938071</v>
      </c>
      <c r="H281" s="1324">
        <f>+IF(ISBLANK(REPORTS!N253),"",REPORTS!N253)</f>
        <v>953.42055519359621</v>
      </c>
      <c r="I281" s="1324">
        <f>+IF(ISBLANK(REPORTS!O253),"",REPORTS!O253)</f>
        <v>6.5097698136076213E-4</v>
      </c>
      <c r="J281" s="1324">
        <f>+IF(ISBLANK(REPORTS!P253),"",REPORTS!P253)</f>
        <v>194.28401849066452</v>
      </c>
      <c r="K281" s="1324">
        <f>+IF(ISBLANK(REPORTS!Q253),"",REPORTS!Q253)</f>
        <v>0</v>
      </c>
      <c r="M281" s="1321"/>
    </row>
    <row r="282" spans="1:13">
      <c r="A282" s="1393">
        <v>62</v>
      </c>
      <c r="B282" s="1324" t="s">
        <v>5330</v>
      </c>
      <c r="C282" s="1324" t="s">
        <v>4071</v>
      </c>
      <c r="D282" s="1324">
        <f>+IF(ISBLANK(REPORTS!J254),"",REPORTS!J254)</f>
        <v>18434.779499890956</v>
      </c>
      <c r="E282" s="1324">
        <f>+IF(ISBLANK(REPORTS!K254),"",REPORTS!K254)</f>
        <v>10347.576773275841</v>
      </c>
      <c r="F282" s="1324">
        <f>+IF(ISBLANK(REPORTS!L254),"",REPORTS!L254)</f>
        <v>2010.4990868506331</v>
      </c>
      <c r="G282" s="1364">
        <f>+IF(ISBLANK(REPORTS!M254),"",REPORTS!M254)</f>
        <v>1154.5872422362431</v>
      </c>
      <c r="H282" s="1324">
        <f>+IF(ISBLANK(REPORTS!N254),"",REPORTS!N254)</f>
        <v>86.730529983003223</v>
      </c>
      <c r="I282" s="1324">
        <f>+IF(ISBLANK(REPORTS!O254),"",REPORTS!O254)</f>
        <v>94.626648996379828</v>
      </c>
      <c r="J282" s="1324">
        <f>+IF(ISBLANK(REPORTS!P254),"",REPORTS!P254)</f>
        <v>19.436183423044227</v>
      </c>
      <c r="K282" s="1320">
        <f>+IF(ISBLANK(REPORTS!Q254),"",REPORTS!Q254)</f>
        <v>4721.3230351258117</v>
      </c>
      <c r="M282" s="1321"/>
    </row>
    <row r="283" spans="1:13">
      <c r="A283" s="1393">
        <v>63</v>
      </c>
      <c r="D283" s="1762" t="str">
        <f>+IF(ISBLANK(REPORTS!J255),"",REPORTS!J255)</f>
        <v/>
      </c>
      <c r="E283" s="1762" t="str">
        <f>+IF(ISBLANK(REPORTS!K255),"",REPORTS!K255)</f>
        <v/>
      </c>
      <c r="F283" s="1762" t="str">
        <f>+IF(ISBLANK(REPORTS!L255),"",REPORTS!L255)</f>
        <v/>
      </c>
      <c r="G283" s="1762" t="str">
        <f>+IF(ISBLANK(REPORTS!M255),"",REPORTS!M255)</f>
        <v/>
      </c>
      <c r="H283" s="1762" t="str">
        <f>+IF(ISBLANK(REPORTS!N255),"",REPORTS!N255)</f>
        <v/>
      </c>
      <c r="I283" s="1762" t="str">
        <f>+IF(ISBLANK(REPORTS!O255),"",REPORTS!O255)</f>
        <v/>
      </c>
      <c r="J283" s="1762" t="str">
        <f>+IF(ISBLANK(REPORTS!P255),"",REPORTS!P255)</f>
        <v/>
      </c>
      <c r="K283" s="1762" t="str">
        <f>+IF(ISBLANK(REPORTS!Q255),"",REPORTS!Q255)</f>
        <v/>
      </c>
      <c r="L283" s="1358"/>
      <c r="M283" s="1321"/>
    </row>
    <row r="284" spans="1:13">
      <c r="A284" s="1393">
        <v>64</v>
      </c>
      <c r="B284" s="1324" t="s">
        <v>5333</v>
      </c>
      <c r="D284" s="1366">
        <f>+IF(ISBLANK(REPORTS!J256),"",REPORTS!J256)</f>
        <v>54195.110929113696</v>
      </c>
      <c r="E284" s="1366">
        <f>+IF(ISBLANK(REPORTS!K256),"",REPORTS!K256)</f>
        <v>33160.533275885988</v>
      </c>
      <c r="F284" s="1366">
        <f>+IF(ISBLANK(REPORTS!L256),"",REPORTS!L256)</f>
        <v>3668.5161928639236</v>
      </c>
      <c r="G284" s="1366">
        <f>+IF(ISBLANK(REPORTS!M256),"",REPORTS!M256)</f>
        <v>11296.239838174313</v>
      </c>
      <c r="H284" s="1366">
        <f>+IF(ISBLANK(REPORTS!N256),"",REPORTS!N256)</f>
        <v>1040.1510851765995</v>
      </c>
      <c r="I284" s="1366">
        <f>+IF(ISBLANK(REPORTS!O256),"",REPORTS!O256)</f>
        <v>94.62729997336119</v>
      </c>
      <c r="J284" s="1366">
        <f>+IF(ISBLANK(REPORTS!P256),"",REPORTS!P256)</f>
        <v>213.72020191370876</v>
      </c>
      <c r="K284" s="1366">
        <f>+IF(ISBLANK(REPORTS!Q256),"",REPORTS!Q256)</f>
        <v>4721.3230351258117</v>
      </c>
      <c r="L284" s="1358"/>
      <c r="M284" s="1321"/>
    </row>
    <row r="285" spans="1:13">
      <c r="A285" s="1393">
        <v>65</v>
      </c>
      <c r="D285" s="1324" t="str">
        <f>+IF(ISBLANK(REPORTS!J257),"",REPORTS!J257)</f>
        <v/>
      </c>
      <c r="E285" s="1364" t="str">
        <f>+IF(ISBLANK(REPORTS!K257),"",REPORTS!K257)</f>
        <v/>
      </c>
      <c r="F285" s="1364" t="str">
        <f>+IF(ISBLANK(REPORTS!L257),"",REPORTS!L257)</f>
        <v/>
      </c>
      <c r="G285" s="1364" t="str">
        <f>+IF(ISBLANK(REPORTS!M257),"",REPORTS!M257)</f>
        <v/>
      </c>
      <c r="H285" s="1364" t="str">
        <f>+IF(ISBLANK(REPORTS!N257),"",REPORTS!N257)</f>
        <v/>
      </c>
      <c r="I285" s="1364" t="str">
        <f>+IF(ISBLANK(REPORTS!O257),"",REPORTS!O257)</f>
        <v/>
      </c>
      <c r="J285" s="1364" t="str">
        <f>+IF(ISBLANK(REPORTS!P257),"",REPORTS!P257)</f>
        <v/>
      </c>
      <c r="K285" s="1364" t="str">
        <f>+IF(ISBLANK(REPORTS!Q257),"",REPORTS!Q257)</f>
        <v/>
      </c>
      <c r="L285" s="1358"/>
      <c r="M285" s="1321"/>
    </row>
    <row r="286" spans="1:13">
      <c r="A286" s="1393">
        <v>66</v>
      </c>
      <c r="D286" s="1364" t="str">
        <f>+IF(ISBLANK(REPORTS!J258),"",REPORTS!J258)</f>
        <v/>
      </c>
      <c r="E286" s="1364" t="str">
        <f>+IF(ISBLANK(REPORTS!K258),"",REPORTS!K258)</f>
        <v/>
      </c>
      <c r="F286" s="1364" t="str">
        <f>+IF(ISBLANK(REPORTS!L258),"",REPORTS!L258)</f>
        <v/>
      </c>
      <c r="G286" s="1364" t="str">
        <f>+IF(ISBLANK(REPORTS!M258),"",REPORTS!M258)</f>
        <v/>
      </c>
      <c r="H286" s="1364" t="str">
        <f>+IF(ISBLANK(REPORTS!N258),"",REPORTS!N258)</f>
        <v/>
      </c>
      <c r="I286" s="1364" t="str">
        <f>+IF(ISBLANK(REPORTS!O258),"",REPORTS!O258)</f>
        <v/>
      </c>
      <c r="J286" s="1364" t="str">
        <f>+IF(ISBLANK(REPORTS!P258),"",REPORTS!P258)</f>
        <v/>
      </c>
      <c r="K286" s="1364" t="str">
        <f>+IF(ISBLANK(REPORTS!Q258),"",REPORTS!Q258)</f>
        <v/>
      </c>
      <c r="L286" s="1358"/>
      <c r="M286" s="1321"/>
    </row>
    <row r="287" spans="1:13">
      <c r="A287" s="1393">
        <v>67</v>
      </c>
      <c r="B287" s="1362" t="s">
        <v>5335</v>
      </c>
      <c r="D287" s="1324" t="str">
        <f>+IF(ISBLANK(REPORTS!J259),"",REPORTS!J259)</f>
        <v/>
      </c>
      <c r="E287" s="1324" t="str">
        <f>+IF(ISBLANK(REPORTS!K259),"",REPORTS!K259)</f>
        <v/>
      </c>
      <c r="F287" s="1324" t="str">
        <f>+IF(ISBLANK(REPORTS!L259),"",REPORTS!L259)</f>
        <v/>
      </c>
      <c r="G287" s="1324" t="str">
        <f>+IF(ISBLANK(REPORTS!M259),"",REPORTS!M259)</f>
        <v/>
      </c>
      <c r="H287" s="1324" t="str">
        <f>+IF(ISBLANK(REPORTS!N259),"",REPORTS!N259)</f>
        <v/>
      </c>
      <c r="I287" s="1324" t="str">
        <f>+IF(ISBLANK(REPORTS!O259),"",REPORTS!O259)</f>
        <v/>
      </c>
      <c r="J287" s="1324" t="str">
        <f>+IF(ISBLANK(REPORTS!P259),"",REPORTS!P259)</f>
        <v/>
      </c>
      <c r="K287" s="1324" t="str">
        <f>+IF(ISBLANK(REPORTS!Q259),"",REPORTS!Q259)</f>
        <v/>
      </c>
      <c r="M287" s="1321"/>
    </row>
    <row r="288" spans="1:13">
      <c r="A288" s="1393">
        <v>68</v>
      </c>
      <c r="B288" s="1324" t="s">
        <v>5265</v>
      </c>
      <c r="C288" s="1324" t="s">
        <v>4067</v>
      </c>
      <c r="D288" s="1324">
        <f>+IF(ISBLANK(REPORTS!J260),"",REPORTS!J260)</f>
        <v>98527.121463102463</v>
      </c>
      <c r="E288" s="1324">
        <f>+IF(ISBLANK(REPORTS!K260),"",REPORTS!K260)</f>
        <v>56575.718208845385</v>
      </c>
      <c r="F288" s="1324">
        <f>+IF(ISBLANK(REPORTS!L260),"",REPORTS!L260)</f>
        <v>4704.8732570425036</v>
      </c>
      <c r="G288" s="1324">
        <f>+IF(ISBLANK(REPORTS!M260),"",REPORTS!M260)</f>
        <v>30449.517769997998</v>
      </c>
      <c r="H288" s="1324">
        <f>+IF(ISBLANK(REPORTS!N260),"",REPORTS!N260)</f>
        <v>3891.6544509214841</v>
      </c>
      <c r="I288" s="1324">
        <f>+IF(ISBLANK(REPORTS!O260),"",REPORTS!O260)</f>
        <v>2800.8359180218408</v>
      </c>
      <c r="J288" s="1324">
        <f>+IF(ISBLANK(REPORTS!P260),"",REPORTS!P260)</f>
        <v>104.52185827325843</v>
      </c>
      <c r="K288" s="1324">
        <f>+IF(ISBLANK(REPORTS!Q260),"",REPORTS!Q260)</f>
        <v>0</v>
      </c>
      <c r="L288" s="1324"/>
      <c r="M288" s="1326"/>
    </row>
    <row r="289" spans="1:13">
      <c r="A289" s="1393">
        <v>69</v>
      </c>
      <c r="B289" s="1324" t="s">
        <v>5265</v>
      </c>
      <c r="C289" s="1324" t="s">
        <v>2067</v>
      </c>
      <c r="D289" s="1324">
        <f>+IF(ISBLANK(REPORTS!J261),"",REPORTS!J261)</f>
        <v>29310.186608764699</v>
      </c>
      <c r="E289" s="1324">
        <f>+IF(ISBLANK(REPORTS!K261),"",REPORTS!K261)</f>
        <v>14790.92213794599</v>
      </c>
      <c r="F289" s="1324">
        <f>+IF(ISBLANK(REPORTS!L261),"",REPORTS!L261)</f>
        <v>1366.8543526662643</v>
      </c>
      <c r="G289" s="1364">
        <f>+IF(ISBLANK(REPORTS!M261),"",REPORTS!M261)</f>
        <v>10182.534023632365</v>
      </c>
      <c r="H289" s="1324">
        <f>+IF(ISBLANK(REPORTS!N261),"",REPORTS!N261)</f>
        <v>1620.8956940210085</v>
      </c>
      <c r="I289" s="1324">
        <f>+IF(ISBLANK(REPORTS!O261),"",REPORTS!O261)</f>
        <v>1194.1330887228053</v>
      </c>
      <c r="J289" s="1324">
        <f>+IF(ISBLANK(REPORTS!P261),"",REPORTS!P261)</f>
        <v>154.8473117762654</v>
      </c>
      <c r="K289" s="1324">
        <f>+IF(ISBLANK(REPORTS!Q261),"",REPORTS!Q261)</f>
        <v>0</v>
      </c>
      <c r="L289" s="1324"/>
      <c r="M289" s="1326"/>
    </row>
    <row r="290" spans="1:13">
      <c r="A290" s="1393">
        <v>70</v>
      </c>
      <c r="B290" s="1324" t="s">
        <v>5268</v>
      </c>
      <c r="C290" s="1324" t="s">
        <v>4067</v>
      </c>
      <c r="D290" s="1324">
        <f>+IF(ISBLANK(REPORTS!J262),"",REPORTS!J262)</f>
        <v>1992.0144739157365</v>
      </c>
      <c r="E290" s="1324">
        <f>+IF(ISBLANK(REPORTS!K262),"",REPORTS!K262)</f>
        <v>1155.394370986312</v>
      </c>
      <c r="F290" s="1324">
        <f>+IF(ISBLANK(REPORTS!L262),"",REPORTS!L262)</f>
        <v>95.308381657387812</v>
      </c>
      <c r="G290" s="1364">
        <f>+IF(ISBLANK(REPORTS!M262),"",REPORTS!M262)</f>
        <v>609.25860218325909</v>
      </c>
      <c r="H290" s="1324">
        <f>+IF(ISBLANK(REPORTS!N262),"",REPORTS!N262)</f>
        <v>76.057858263154046</v>
      </c>
      <c r="I290" s="1324">
        <f>+IF(ISBLANK(REPORTS!O262),"",REPORTS!O262)</f>
        <v>54.582937287810743</v>
      </c>
      <c r="J290" s="1324">
        <f>+IF(ISBLANK(REPORTS!P262),"",REPORTS!P262)</f>
        <v>1.41232353781291</v>
      </c>
      <c r="K290" s="1324">
        <f>+IF(ISBLANK(REPORTS!Q262),"",REPORTS!Q262)</f>
        <v>0</v>
      </c>
      <c r="L290" s="1324"/>
      <c r="M290" s="1326"/>
    </row>
    <row r="291" spans="1:13">
      <c r="A291" s="1393">
        <v>71</v>
      </c>
      <c r="B291" s="1324" t="s">
        <v>5239</v>
      </c>
      <c r="C291" s="1324" t="s">
        <v>4067</v>
      </c>
      <c r="D291" s="1324">
        <f>+IF(ISBLANK(REPORTS!J263),"",REPORTS!J263)</f>
        <v>5587.4619998276685</v>
      </c>
      <c r="E291" s="1324">
        <f>+IF(ISBLANK(REPORTS!K263),"",REPORTS!K263)</f>
        <v>3240.800821095786</v>
      </c>
      <c r="F291" s="1324">
        <f>+IF(ISBLANK(REPORTS!L263),"",REPORTS!L263)</f>
        <v>267.33337922435857</v>
      </c>
      <c r="G291" s="1364">
        <f>+IF(ISBLANK(REPORTS!M263),"",REPORTS!M263)</f>
        <v>1708.9279883972783</v>
      </c>
      <c r="H291" s="1324">
        <f>+IF(ISBLANK(REPORTS!N263),"",REPORTS!N263)</f>
        <v>213.3370005079735</v>
      </c>
      <c r="I291" s="1324">
        <f>+IF(ISBLANK(REPORTS!O263),"",REPORTS!O263)</f>
        <v>153.10134134473165</v>
      </c>
      <c r="J291" s="1324">
        <f>+IF(ISBLANK(REPORTS!P263),"",REPORTS!P263)</f>
        <v>3.9614692575399513</v>
      </c>
      <c r="K291" s="1324">
        <f>+IF(ISBLANK(REPORTS!Q263),"",REPORTS!Q263)</f>
        <v>0</v>
      </c>
      <c r="L291" s="1324"/>
      <c r="M291" s="1326"/>
    </row>
    <row r="292" spans="1:13">
      <c r="A292" s="1393">
        <v>72</v>
      </c>
      <c r="B292" s="1324" t="s">
        <v>5240</v>
      </c>
      <c r="C292" s="1324" t="s">
        <v>4067</v>
      </c>
      <c r="D292" s="1324">
        <f>+IF(ISBLANK(REPORTS!J264),"",REPORTS!J264)</f>
        <v>30582.492714459502</v>
      </c>
      <c r="E292" s="1324">
        <f>+IF(ISBLANK(REPORTS!K264),"",REPORTS!K264)</f>
        <v>19035.033154707264</v>
      </c>
      <c r="F292" s="1324">
        <f>+IF(ISBLANK(REPORTS!L264),"",REPORTS!L264)</f>
        <v>1353.8192989563081</v>
      </c>
      <c r="G292" s="1324">
        <f>+IF(ISBLANK(REPORTS!M264),"",REPORTS!M264)</f>
        <v>9064.6654959483076</v>
      </c>
      <c r="H292" s="1324">
        <f>+IF(ISBLANK(REPORTS!N264),"",REPORTS!N264)</f>
        <v>953.42055519359621</v>
      </c>
      <c r="I292" s="1324">
        <f>+IF(ISBLANK(REPORTS!O264),"",REPORTS!O264)</f>
        <v>6.5097698136076213E-4</v>
      </c>
      <c r="J292" s="1324">
        <f>+IF(ISBLANK(REPORTS!P264),"",REPORTS!P264)</f>
        <v>175.55355867704583</v>
      </c>
      <c r="K292" s="1324">
        <f>+IF(ISBLANK(REPORTS!Q264),"",REPORTS!Q264)</f>
        <v>0</v>
      </c>
      <c r="L292" s="1324"/>
      <c r="M292" s="1326"/>
    </row>
    <row r="293" spans="1:13">
      <c r="A293" s="1393">
        <v>73</v>
      </c>
      <c r="B293" s="1324" t="s">
        <v>5241</v>
      </c>
      <c r="C293" s="1324" t="s">
        <v>4067</v>
      </c>
      <c r="D293" s="1324">
        <f>+IF(ISBLANK(REPORTS!J265),"",REPORTS!J265)</f>
        <v>5177.8387147632438</v>
      </c>
      <c r="E293" s="1324">
        <f>+IF(ISBLANK(REPORTS!K265),"",REPORTS!K265)</f>
        <v>3777.9233479028803</v>
      </c>
      <c r="F293" s="1324">
        <f>+IF(ISBLANK(REPORTS!L265),"",REPORTS!L265)</f>
        <v>304.19780705698207</v>
      </c>
      <c r="G293" s="1364">
        <f>+IF(ISBLANK(REPORTS!M265),"",REPORTS!M265)</f>
        <v>1076.9870999897626</v>
      </c>
      <c r="H293" s="1324">
        <f>+IF(ISBLANK(REPORTS!N265),"",REPORTS!N265)</f>
        <v>0</v>
      </c>
      <c r="I293" s="1324">
        <f>+IF(ISBLANK(REPORTS!O265),"",REPORTS!O265)</f>
        <v>0</v>
      </c>
      <c r="J293" s="1324">
        <f>+IF(ISBLANK(REPORTS!P265),"",REPORTS!P265)</f>
        <v>18.730459813618726</v>
      </c>
      <c r="K293" s="1324">
        <f>+IF(ISBLANK(REPORTS!Q265),"",REPORTS!Q265)</f>
        <v>0</v>
      </c>
      <c r="L293" s="1324"/>
      <c r="M293" s="1326"/>
    </row>
    <row r="294" spans="1:13">
      <c r="A294" s="1393">
        <v>74</v>
      </c>
      <c r="B294" s="1324" t="s">
        <v>5242</v>
      </c>
      <c r="C294" s="1324" t="s">
        <v>4071</v>
      </c>
      <c r="D294" s="1324">
        <f>+IF(ISBLANK(REPORTS!J266),"",REPORTS!J266)</f>
        <v>18434.779499890956</v>
      </c>
      <c r="E294" s="1324">
        <f>+IF(ISBLANK(REPORTS!K266),"",REPORTS!K266)</f>
        <v>10347.576773275841</v>
      </c>
      <c r="F294" s="1324">
        <f>+IF(ISBLANK(REPORTS!L266),"",REPORTS!L266)</f>
        <v>2010.4990868506331</v>
      </c>
      <c r="G294" s="1364">
        <f>+IF(ISBLANK(REPORTS!M266),"",REPORTS!M266)</f>
        <v>1154.5872422362431</v>
      </c>
      <c r="H294" s="1324">
        <f>+IF(ISBLANK(REPORTS!N266),"",REPORTS!N266)</f>
        <v>86.730529983003223</v>
      </c>
      <c r="I294" s="1324">
        <f>+IF(ISBLANK(REPORTS!O266),"",REPORTS!O266)</f>
        <v>94.626648996379828</v>
      </c>
      <c r="J294" s="1324">
        <f>+IF(ISBLANK(REPORTS!P266),"",REPORTS!P266)</f>
        <v>19.436183423044227</v>
      </c>
      <c r="K294" s="1324">
        <f>+IF(ISBLANK(REPORTS!Q266),"",REPORTS!Q266)</f>
        <v>4721.3230351258117</v>
      </c>
      <c r="L294" s="1324"/>
      <c r="M294" s="1326"/>
    </row>
    <row r="295" spans="1:13">
      <c r="A295" s="1393">
        <v>75</v>
      </c>
      <c r="B295" s="1324" t="s">
        <v>5244</v>
      </c>
      <c r="C295" s="1324" t="s">
        <v>4071</v>
      </c>
      <c r="D295" s="1366">
        <f>+IF(ISBLANK(REPORTS!J267),"",REPORTS!J267)</f>
        <v>0</v>
      </c>
      <c r="E295" s="1366">
        <f>+IF(ISBLANK(REPORTS!K267),"",REPORTS!K267)</f>
        <v>0</v>
      </c>
      <c r="F295" s="1366">
        <f>+IF(ISBLANK(REPORTS!L267),"",REPORTS!L267)</f>
        <v>0</v>
      </c>
      <c r="G295" s="1364">
        <f>+IF(ISBLANK(REPORTS!M267),"",REPORTS!M267)</f>
        <v>0</v>
      </c>
      <c r="H295" s="1366">
        <f>+IF(ISBLANK(REPORTS!N267),"",REPORTS!N267)</f>
        <v>0</v>
      </c>
      <c r="I295" s="1366">
        <f>+IF(ISBLANK(REPORTS!O267),"",REPORTS!O267)</f>
        <v>0</v>
      </c>
      <c r="J295" s="1366">
        <f>+IF(ISBLANK(REPORTS!P267),"",REPORTS!P267)</f>
        <v>0</v>
      </c>
      <c r="K295" s="1366">
        <f>+IF(ISBLANK(REPORTS!Q267),"",REPORTS!Q267)</f>
        <v>0</v>
      </c>
      <c r="L295" s="1416"/>
      <c r="M295" s="1326"/>
    </row>
    <row r="296" spans="1:13">
      <c r="A296" s="1393">
        <v>76</v>
      </c>
      <c r="B296" s="1324" t="s">
        <v>5344</v>
      </c>
      <c r="D296" s="1421">
        <f>+IF(ISBLANK(REPORTS!J268),"",REPORTS!J268)</f>
        <v>189611.89547472427</v>
      </c>
      <c r="E296" s="1421">
        <f>+IF(ISBLANK(REPORTS!K268),"",REPORTS!K268)</f>
        <v>108923.36881475945</v>
      </c>
      <c r="F296" s="1421">
        <f>+IF(ISBLANK(REPORTS!L268),"",REPORTS!L268)</f>
        <v>10102.885563454438</v>
      </c>
      <c r="G296" s="1421">
        <f>+IF(ISBLANK(REPORTS!M268),"",REPORTS!M268)</f>
        <v>54246.478222385216</v>
      </c>
      <c r="H296" s="1421">
        <f>+IF(ISBLANK(REPORTS!N268),"",REPORTS!N268)</f>
        <v>6842.09608889022</v>
      </c>
      <c r="I296" s="1421">
        <f>+IF(ISBLANK(REPORTS!O268),"",REPORTS!O268)</f>
        <v>4297.2805853505497</v>
      </c>
      <c r="J296" s="1421">
        <f>+IF(ISBLANK(REPORTS!P268),"",REPORTS!P268)</f>
        <v>478.46316475858549</v>
      </c>
      <c r="K296" s="1421">
        <f>+IF(ISBLANK(REPORTS!Q268),"",REPORTS!Q268)</f>
        <v>4721.3230351258117</v>
      </c>
      <c r="L296" s="1324"/>
      <c r="M296" s="1326"/>
    </row>
    <row r="297" spans="1:13">
      <c r="D297" s="1364"/>
      <c r="E297" s="1364"/>
      <c r="F297" s="1364"/>
      <c r="G297" s="1364"/>
      <c r="H297" s="1364"/>
      <c r="I297" s="1364"/>
      <c r="J297" s="1364"/>
      <c r="K297" s="1364"/>
      <c r="M297" s="1321"/>
    </row>
    <row r="298" spans="1:13">
      <c r="D298" s="1364"/>
      <c r="E298" s="1364"/>
      <c r="F298" s="1364"/>
      <c r="G298" s="1364"/>
      <c r="H298" s="1364"/>
      <c r="I298" s="1364"/>
      <c r="J298" s="1364"/>
      <c r="K298" s="1364"/>
      <c r="M298" s="1321"/>
    </row>
    <row r="299" spans="1:13">
      <c r="D299" s="1364"/>
      <c r="E299" s="1364"/>
      <c r="F299" s="1364"/>
      <c r="G299" s="1364"/>
      <c r="H299" s="1364"/>
      <c r="I299" s="1364"/>
      <c r="J299" s="1364"/>
      <c r="K299" s="1364"/>
      <c r="M299" s="1321"/>
    </row>
    <row r="300" spans="1:13">
      <c r="D300" s="1364"/>
      <c r="E300" s="1364"/>
      <c r="F300" s="1364"/>
      <c r="G300" s="1364"/>
      <c r="H300" s="1364"/>
      <c r="I300" s="1364"/>
      <c r="J300" s="1364"/>
      <c r="K300" s="1364"/>
      <c r="M300" s="1321"/>
    </row>
    <row r="301" spans="1:13">
      <c r="A301" s="1732" t="str">
        <f>+$A$1</f>
        <v>RATES WITH REVENUE DEFICIENCY ADDITION</v>
      </c>
      <c r="F301" s="1329" t="s">
        <v>2173</v>
      </c>
      <c r="G301" s="1329"/>
      <c r="H301" s="1329"/>
      <c r="I301" s="1329"/>
      <c r="M301" s="1334" t="s">
        <v>4889</v>
      </c>
    </row>
    <row r="302" spans="1:13">
      <c r="A302" s="1732" t="str">
        <f>+$A$2</f>
        <v>PROD. CAP. ALLOC. METHOD: 12 CP &amp; 1/13th AD</v>
      </c>
      <c r="B302" s="1364"/>
      <c r="C302" s="1364"/>
      <c r="F302" s="1336" t="s">
        <v>5141</v>
      </c>
      <c r="G302" s="1336"/>
      <c r="H302" s="1336"/>
      <c r="I302" s="1336"/>
      <c r="L302" s="1331"/>
      <c r="M302" s="1409"/>
    </row>
    <row r="303" spans="1:13">
      <c r="A303" s="1732" t="str">
        <f>+$A$3</f>
        <v>PROJECTED CALENDAR YEAR 2025; FULLY ADJUSTED DATA</v>
      </c>
      <c r="F303" s="1336" t="s">
        <v>2181</v>
      </c>
      <c r="M303" s="1321"/>
    </row>
    <row r="304" spans="1:13">
      <c r="A304" s="1732" t="str">
        <f>+$A$4</f>
        <v>MINIMUM DISTRIBUTION SYSTEM (MDS) NOT EMPLOYED</v>
      </c>
      <c r="F304" s="1336"/>
      <c r="G304" s="1336"/>
      <c r="H304" s="1336"/>
      <c r="I304" s="1336"/>
      <c r="M304" s="1321"/>
    </row>
    <row r="305" spans="1:13">
      <c r="A305" s="1732" t="str">
        <f>+$A$5</f>
        <v>Tampa Electric 2025 OB Budget</v>
      </c>
      <c r="F305" s="1336" t="s">
        <v>5277</v>
      </c>
      <c r="G305" s="1336"/>
      <c r="H305" s="1336"/>
      <c r="I305" s="1336"/>
      <c r="M305" s="1321"/>
    </row>
    <row r="306" spans="1:13">
      <c r="F306" s="1336"/>
      <c r="G306" s="1336"/>
      <c r="H306" s="1336"/>
      <c r="I306" s="1336"/>
      <c r="M306" s="1321"/>
    </row>
    <row r="307" spans="1:13">
      <c r="F307" s="1336"/>
      <c r="G307" s="1336"/>
      <c r="H307" s="1336"/>
      <c r="I307" s="1336"/>
      <c r="M307" s="1321"/>
    </row>
    <row r="308" spans="1:13">
      <c r="M308" s="1321"/>
    </row>
    <row r="309" spans="1:13">
      <c r="A309" s="1735"/>
      <c r="B309" s="1416"/>
      <c r="C309" s="1416"/>
      <c r="D309" s="1416"/>
      <c r="E309" s="1336"/>
      <c r="F309" s="1416"/>
      <c r="G309" s="1416"/>
      <c r="H309" s="1416"/>
      <c r="I309" s="1416"/>
      <c r="J309" s="3164"/>
      <c r="K309" s="3164"/>
      <c r="L309" s="1333"/>
      <c r="M309" s="1321"/>
    </row>
    <row r="310" spans="1:13" ht="28.2">
      <c r="A310" s="1737" t="s">
        <v>4297</v>
      </c>
      <c r="B310" s="1741"/>
      <c r="C310" s="1741"/>
      <c r="D310" s="1352" t="s">
        <v>4957</v>
      </c>
      <c r="E310" s="1353" t="s">
        <v>1949</v>
      </c>
      <c r="F310" s="1353" t="s">
        <v>1950</v>
      </c>
      <c r="G310" s="1353" t="s">
        <v>1934</v>
      </c>
      <c r="H310" s="1353" t="s">
        <v>1971</v>
      </c>
      <c r="I310" s="1353" t="s">
        <v>1972</v>
      </c>
      <c r="J310" s="1352" t="s">
        <v>5146</v>
      </c>
      <c r="K310" s="1352" t="s">
        <v>5147</v>
      </c>
      <c r="L310" s="1355"/>
      <c r="M310" s="1348" t="s">
        <v>5299</v>
      </c>
    </row>
    <row r="311" spans="1:13">
      <c r="M311" s="1321"/>
    </row>
    <row r="312" spans="1:13">
      <c r="A312" s="1393">
        <v>77</v>
      </c>
      <c r="B312" s="1362" t="s">
        <v>5347</v>
      </c>
      <c r="C312" s="1362"/>
      <c r="M312" s="1321"/>
    </row>
    <row r="313" spans="1:13">
      <c r="A313" s="1393">
        <v>78</v>
      </c>
      <c r="B313" s="1324" t="s">
        <v>5348</v>
      </c>
      <c r="C313" s="1324" t="s">
        <v>4071</v>
      </c>
      <c r="D313" s="1364">
        <f>+IF(ISBLANK(REPORTS!J286),"",REPORTS!J286)</f>
        <v>5796.7804260915</v>
      </c>
      <c r="E313" s="1364">
        <f>+IF(ISBLANK(REPORTS!K286),"",REPORTS!K286)</f>
        <v>3368.573279324652</v>
      </c>
      <c r="F313" s="1364">
        <f>+IF(ISBLANK(REPORTS!L286),"",REPORTS!L286)</f>
        <v>311.06890626892732</v>
      </c>
      <c r="G313" s="1364">
        <f>+IF(ISBLANK(REPORTS!M286),"",REPORTS!M286)</f>
        <v>1543.3528515968089</v>
      </c>
      <c r="H313" s="1364">
        <f>+IF(ISBLANK(REPORTS!N286),"",REPORTS!N286)</f>
        <v>183.76340222890926</v>
      </c>
      <c r="I313" s="1364">
        <f>+IF(ISBLANK(REPORTS!O286),"",REPORTS!O286)</f>
        <v>108.1423413530803</v>
      </c>
      <c r="J313" s="1364">
        <f>+IF(ISBLANK(REPORTS!P286),"",REPORTS!P286)</f>
        <v>11.674436777069186</v>
      </c>
      <c r="K313" s="1364">
        <f>+IF(ISBLANK(REPORTS!Q286),"",REPORTS!Q286)</f>
        <v>270.20520854205262</v>
      </c>
      <c r="L313" s="1364"/>
      <c r="M313" s="1324">
        <v>507</v>
      </c>
    </row>
    <row r="314" spans="1:13">
      <c r="A314" s="1393">
        <v>79</v>
      </c>
      <c r="B314" s="1324" t="s">
        <v>5350</v>
      </c>
      <c r="C314" s="1324" t="s">
        <v>4071</v>
      </c>
      <c r="D314" s="1364">
        <f>+IF(ISBLANK(REPORTS!J287),"",REPORTS!J287)</f>
        <v>29376.6058748381</v>
      </c>
      <c r="E314" s="1364">
        <f>+IF(ISBLANK(REPORTS!K287),"",REPORTS!K287)</f>
        <v>26200.607436047747</v>
      </c>
      <c r="F314" s="1364">
        <f>+IF(ISBLANK(REPORTS!L287),"",REPORTS!L287)</f>
        <v>2539.9130279881056</v>
      </c>
      <c r="G314" s="1364">
        <f>+IF(ISBLANK(REPORTS!M287),"",REPORTS!M287)</f>
        <v>625.55893308492159</v>
      </c>
      <c r="H314" s="1364">
        <f>+IF(ISBLANK(REPORTS!N287),"",REPORTS!N287)</f>
        <v>2.1121087976509902</v>
      </c>
      <c r="I314" s="1364">
        <f>+IF(ISBLANK(REPORTS!O287),"",REPORTS!O287)</f>
        <v>0.37472898022840156</v>
      </c>
      <c r="J314" s="1364">
        <f>+IF(ISBLANK(REPORTS!P287),"",REPORTS!P287)</f>
        <v>8.0396399394457045</v>
      </c>
      <c r="K314" s="1364">
        <f>+IF(ISBLANK(REPORTS!Q287),"",REPORTS!Q287)</f>
        <v>0</v>
      </c>
      <c r="L314" s="1358"/>
      <c r="M314" s="1320">
        <v>412</v>
      </c>
    </row>
    <row r="315" spans="1:13">
      <c r="A315" s="1393">
        <v>80</v>
      </c>
      <c r="B315" s="1324" t="s">
        <v>5351</v>
      </c>
      <c r="C315" s="1324" t="s">
        <v>4071</v>
      </c>
      <c r="D315" s="1364">
        <f>+IF(ISBLANK(REPORTS!J288),"",REPORTS!J288)</f>
        <v>4394.4262944155998</v>
      </c>
      <c r="E315" s="1364">
        <f>+IF(ISBLANK(REPORTS!K288),"",REPORTS!K288)</f>
        <v>3896.546152176621</v>
      </c>
      <c r="F315" s="1364">
        <f>+IF(ISBLANK(REPORTS!L288),"",REPORTS!L288)</f>
        <v>381.51978037516085</v>
      </c>
      <c r="G315" s="1364">
        <f>+IF(ISBLANK(REPORTS!M288),"",REPORTS!M288)</f>
        <v>110.63692992499695</v>
      </c>
      <c r="H315" s="1364">
        <f>+IF(ISBLANK(REPORTS!N288),"",REPORTS!N288)</f>
        <v>1.6615471157330242</v>
      </c>
      <c r="I315" s="1364">
        <f>+IF(ISBLANK(REPORTS!O288),"",REPORTS!O288)</f>
        <v>0.59598972629554137</v>
      </c>
      <c r="J315" s="1364">
        <f>+IF(ISBLANK(REPORTS!P288),"",REPORTS!P288)</f>
        <v>3.46589509679188</v>
      </c>
      <c r="K315" s="1364">
        <f>+IF(ISBLANK(REPORTS!Q288),"",REPORTS!Q288)</f>
        <v>0</v>
      </c>
      <c r="L315" s="1364"/>
      <c r="M315" s="1320">
        <v>311</v>
      </c>
    </row>
    <row r="316" spans="1:13">
      <c r="A316" s="1393">
        <v>81</v>
      </c>
      <c r="B316" s="1324" t="s">
        <v>5353</v>
      </c>
      <c r="C316" s="1324" t="s">
        <v>4071</v>
      </c>
      <c r="D316" s="1364">
        <f>+IF(ISBLANK(REPORTS!J289),"",REPORTS!J289)</f>
        <v>5164.9798171764114</v>
      </c>
      <c r="E316" s="1364">
        <f>+IF(ISBLANK(REPORTS!K289),"",REPORTS!K289)</f>
        <v>4606.5773963648762</v>
      </c>
      <c r="F316" s="1364">
        <f>+IF(ISBLANK(REPORTS!L289),"",REPORTS!L289)</f>
        <v>446.56620927669678</v>
      </c>
      <c r="G316" s="1364">
        <f>+IF(ISBLANK(REPORTS!M289),"",REPORTS!M289)</f>
        <v>109.98545160744634</v>
      </c>
      <c r="H316" s="1364">
        <f>+IF(ISBLANK(REPORTS!N289),"",REPORTS!N289)</f>
        <v>0.37134988834404353</v>
      </c>
      <c r="I316" s="1364">
        <f>+IF(ISBLANK(REPORTS!O289),"",REPORTS!O289)</f>
        <v>6.5884657609427091E-2</v>
      </c>
      <c r="J316" s="1364">
        <f>+IF(ISBLANK(REPORTS!P289),"",REPORTS!P289)</f>
        <v>1.4135253814386175</v>
      </c>
      <c r="K316" s="1364">
        <f>+IF(ISBLANK(REPORTS!Q289),"",REPORTS!Q289)</f>
        <v>0</v>
      </c>
      <c r="L316" s="1358"/>
      <c r="M316" s="1320">
        <v>412</v>
      </c>
    </row>
    <row r="317" spans="1:13">
      <c r="A317" s="1393">
        <v>82</v>
      </c>
      <c r="B317" s="1324" t="s">
        <v>5354</v>
      </c>
      <c r="C317" s="1324" t="s">
        <v>4071</v>
      </c>
      <c r="D317" s="1364">
        <f>+IF(ISBLANK(REPORTS!J290),"",REPORTS!J290)</f>
        <v>311.50189999999998</v>
      </c>
      <c r="E317" s="1364">
        <f>+IF(ISBLANK(REPORTS!K290),"",REPORTS!K290)</f>
        <v>277.8244373177771</v>
      </c>
      <c r="F317" s="1364">
        <f>+IF(ISBLANK(REPORTS!L290),"",REPORTS!L290)</f>
        <v>26.932578168627806</v>
      </c>
      <c r="G317" s="1364">
        <f>+IF(ISBLANK(REPORTS!M290),"",REPORTS!M290)</f>
        <v>6.6332644774606679</v>
      </c>
      <c r="H317" s="1364">
        <f>+IF(ISBLANK(REPORTS!N290),"",REPORTS!N290)</f>
        <v>2.2396253204953514E-2</v>
      </c>
      <c r="I317" s="1364">
        <f>+IF(ISBLANK(REPORTS!O290),"",REPORTS!O290)</f>
        <v>3.9735287944272363E-3</v>
      </c>
      <c r="J317" s="1364">
        <f>+IF(ISBLANK(REPORTS!P290),"",REPORTS!P290)</f>
        <v>8.5250254134984341E-2</v>
      </c>
      <c r="K317" s="1364">
        <f>+IF(ISBLANK(REPORTS!Q290),"",REPORTS!Q290)</f>
        <v>0</v>
      </c>
      <c r="L317" s="1358"/>
      <c r="M317" s="1320">
        <v>412</v>
      </c>
    </row>
    <row r="318" spans="1:13">
      <c r="A318" s="1393">
        <v>83</v>
      </c>
      <c r="B318" s="1324" t="s">
        <v>5355</v>
      </c>
      <c r="D318" s="1421">
        <f>+IF(ISBLANK(REPORTS!J291),"",REPORTS!J291)</f>
        <v>45044.294312521619</v>
      </c>
      <c r="E318" s="1421">
        <f>+IF(ISBLANK(REPORTS!K291),"",REPORTS!K291)</f>
        <v>38350.128701231675</v>
      </c>
      <c r="F318" s="1421">
        <f>+IF(ISBLANK(REPORTS!L291),"",REPORTS!L291)</f>
        <v>3706.0005020775184</v>
      </c>
      <c r="G318" s="1421">
        <f>+IF(ISBLANK(REPORTS!M291),"",REPORTS!M291)</f>
        <v>2396.1674306916348</v>
      </c>
      <c r="H318" s="1421">
        <f>+IF(ISBLANK(REPORTS!N291),"",REPORTS!N291)</f>
        <v>187.93080428384226</v>
      </c>
      <c r="I318" s="1421">
        <f>+IF(ISBLANK(REPORTS!O291),"",REPORTS!O291)</f>
        <v>109.1829182460081</v>
      </c>
      <c r="J318" s="1421">
        <f>+IF(ISBLANK(REPORTS!P291),"",REPORTS!P291)</f>
        <v>24.678747448880369</v>
      </c>
      <c r="K318" s="1421">
        <f>+IF(ISBLANK(REPORTS!Q291),"",REPORTS!Q291)</f>
        <v>270.20520854205262</v>
      </c>
      <c r="L318" s="1358"/>
      <c r="M318" s="1321"/>
    </row>
    <row r="319" spans="1:13">
      <c r="A319" s="1393">
        <v>84</v>
      </c>
      <c r="D319" s="1324" t="str">
        <f>+IF(ISBLANK(REPORTS!J292),"",REPORTS!J292)</f>
        <v/>
      </c>
      <c r="E319" s="1324" t="str">
        <f>+IF(ISBLANK(REPORTS!K292),"",REPORTS!K292)</f>
        <v/>
      </c>
      <c r="F319" s="1324" t="str">
        <f>+IF(ISBLANK(REPORTS!L292),"",REPORTS!L292)</f>
        <v/>
      </c>
      <c r="G319" s="1324" t="str">
        <f>+IF(ISBLANK(REPORTS!M292),"",REPORTS!M292)</f>
        <v/>
      </c>
      <c r="H319" s="1324" t="str">
        <f>+IF(ISBLANK(REPORTS!N292),"",REPORTS!N292)</f>
        <v/>
      </c>
      <c r="I319" s="1324" t="str">
        <f>+IF(ISBLANK(REPORTS!O292),"",REPORTS!O292)</f>
        <v/>
      </c>
      <c r="J319" s="1324" t="str">
        <f>+IF(ISBLANK(REPORTS!P292),"",REPORTS!P292)</f>
        <v/>
      </c>
      <c r="K319" s="1324" t="str">
        <f>+IF(ISBLANK(REPORTS!Q292),"",REPORTS!Q292)</f>
        <v/>
      </c>
      <c r="M319" s="1321"/>
    </row>
    <row r="320" spans="1:13">
      <c r="A320" s="1393">
        <v>85</v>
      </c>
      <c r="B320" s="1362" t="s">
        <v>5357</v>
      </c>
      <c r="D320" s="1324" t="str">
        <f>+IF(ISBLANK(REPORTS!J293),"",REPORTS!J293)</f>
        <v/>
      </c>
      <c r="E320" s="1324" t="str">
        <f>+IF(ISBLANK(REPORTS!K293),"",REPORTS!K293)</f>
        <v/>
      </c>
      <c r="F320" s="1324" t="str">
        <f>+IF(ISBLANK(REPORTS!L293),"",REPORTS!L293)</f>
        <v/>
      </c>
      <c r="G320" s="1324" t="str">
        <f>+IF(ISBLANK(REPORTS!M293),"",REPORTS!M293)</f>
        <v/>
      </c>
      <c r="H320" s="1324" t="str">
        <f>+IF(ISBLANK(REPORTS!N293),"",REPORTS!N293)</f>
        <v/>
      </c>
      <c r="I320" s="1324" t="str">
        <f>+IF(ISBLANK(REPORTS!O293),"",REPORTS!O293)</f>
        <v/>
      </c>
      <c r="J320" s="1324" t="str">
        <f>+IF(ISBLANK(REPORTS!P293),"",REPORTS!P293)</f>
        <v/>
      </c>
      <c r="K320" s="1324" t="str">
        <f>+IF(ISBLANK(REPORTS!Q293),"",REPORTS!Q293)</f>
        <v/>
      </c>
      <c r="M320" s="1321"/>
    </row>
    <row r="321" spans="1:13">
      <c r="A321" s="1393">
        <v>86</v>
      </c>
      <c r="B321" s="1324" t="s">
        <v>5265</v>
      </c>
      <c r="C321" s="1324" t="s">
        <v>4067</v>
      </c>
      <c r="D321" s="1364">
        <f>+IF(ISBLANK(REPORTS!J294),"",REPORTS!J294)</f>
        <v>57914.988842500505</v>
      </c>
      <c r="E321" s="1324">
        <f>+IF(ISBLANK(REPORTS!K294),"",REPORTS!K294)</f>
        <v>33255.63601336698</v>
      </c>
      <c r="F321" s="1324">
        <f>+IF(ISBLANK(REPORTS!L294),"",REPORTS!L294)</f>
        <v>2765.5601639497604</v>
      </c>
      <c r="G321" s="1324">
        <f>+IF(ISBLANK(REPORTS!M294),"",REPORTS!M294)</f>
        <v>17898.457355920662</v>
      </c>
      <c r="H321" s="1324">
        <f>+IF(ISBLANK(REPORTS!N294),"",REPORTS!N294)</f>
        <v>2287.5439854232413</v>
      </c>
      <c r="I321" s="1324">
        <f>+IF(ISBLANK(REPORTS!O294),"",REPORTS!O294)</f>
        <v>1646.3525832595842</v>
      </c>
      <c r="J321" s="1324">
        <f>+IF(ISBLANK(REPORTS!P294),"",REPORTS!P294)</f>
        <v>61.438740580278903</v>
      </c>
      <c r="K321" s="1324">
        <f>+IF(ISBLANK(REPORTS!Q294),"",REPORTS!Q294)</f>
        <v>0</v>
      </c>
      <c r="L321" s="1324"/>
      <c r="M321" s="1324">
        <v>122</v>
      </c>
    </row>
    <row r="322" spans="1:13">
      <c r="A322" s="1393">
        <v>87</v>
      </c>
      <c r="B322" s="1324" t="s">
        <v>5358</v>
      </c>
      <c r="C322" s="1324" t="s">
        <v>4067</v>
      </c>
      <c r="D322" s="1364">
        <f>+IF(ISBLANK(REPORTS!J295),"",REPORTS!J295)</f>
        <v>3179.9221784590645</v>
      </c>
      <c r="E322" s="1324">
        <f>+IF(ISBLANK(REPORTS!K295),"",REPORTS!K295)</f>
        <v>1825.9579537389725</v>
      </c>
      <c r="F322" s="1324">
        <f>+IF(ISBLANK(REPORTS!L295),"",REPORTS!L295)</f>
        <v>151.84784244926107</v>
      </c>
      <c r="G322" s="1324">
        <f>+IF(ISBLANK(REPORTS!M295),"",REPORTS!M295)</f>
        <v>982.74561808304645</v>
      </c>
      <c r="H322" s="1324">
        <f>+IF(ISBLANK(REPORTS!N295),"",REPORTS!N295)</f>
        <v>125.60154113523501</v>
      </c>
      <c r="I322" s="1324">
        <f>+IF(ISBLANK(REPORTS!O295),"",REPORTS!O295)</f>
        <v>90.395823217851628</v>
      </c>
      <c r="J322" s="1324">
        <f>+IF(ISBLANK(REPORTS!P295),"",REPORTS!P295)</f>
        <v>3.3733998346978979</v>
      </c>
      <c r="K322" s="1324">
        <f>+IF(ISBLANK(REPORTS!Q295),"",REPORTS!Q295)</f>
        <v>0</v>
      </c>
      <c r="L322" s="1324"/>
      <c r="M322" s="1324">
        <v>121</v>
      </c>
    </row>
    <row r="323" spans="1:13">
      <c r="A323" s="1393">
        <v>88</v>
      </c>
      <c r="B323" s="1324" t="s">
        <v>5265</v>
      </c>
      <c r="C323" s="1324" t="s">
        <v>2067</v>
      </c>
      <c r="D323" s="1364">
        <f>+IF(ISBLANK(REPORTS!J296),"",REPORTS!J296)</f>
        <v>12296.231975077957</v>
      </c>
      <c r="E323" s="1364">
        <f>+IF(ISBLANK(REPORTS!K296),"",REPORTS!K296)</f>
        <v>6205.0990040136448</v>
      </c>
      <c r="F323" s="1364">
        <f>+IF(ISBLANK(REPORTS!L296),"",REPORTS!L296)</f>
        <v>573.42378678351758</v>
      </c>
      <c r="G323" s="1364">
        <f>+IF(ISBLANK(REPORTS!M296),"",REPORTS!M296)</f>
        <v>4271.7844863965001</v>
      </c>
      <c r="H323" s="1364">
        <f>+IF(ISBLANK(REPORTS!N296),"",REPORTS!N296)</f>
        <v>679.99940522819156</v>
      </c>
      <c r="I323" s="1364">
        <f>+IF(ISBLANK(REPORTS!O296),"",REPORTS!O296)</f>
        <v>500.9636296092761</v>
      </c>
      <c r="J323" s="1364">
        <f>+IF(ISBLANK(REPORTS!P296),"",REPORTS!P296)</f>
        <v>64.961663046826544</v>
      </c>
      <c r="K323" s="1364">
        <f>+IF(ISBLANK(REPORTS!Q296),"",REPORTS!Q296)</f>
        <v>0</v>
      </c>
      <c r="L323" s="1358"/>
      <c r="M323" s="1320">
        <v>201</v>
      </c>
    </row>
    <row r="324" spans="1:13">
      <c r="A324" s="1393">
        <v>89</v>
      </c>
      <c r="B324" s="1324" t="s">
        <v>5268</v>
      </c>
      <c r="C324" s="1324" t="s">
        <v>4067</v>
      </c>
      <c r="D324" s="1364">
        <f>+IF(ISBLANK(REPORTS!J297),"",REPORTS!J297)</f>
        <v>1647.0791264124391</v>
      </c>
      <c r="E324" s="1364">
        <f>+IF(ISBLANK(REPORTS!K297),"",REPORTS!K297)</f>
        <v>955.32737143479392</v>
      </c>
      <c r="F324" s="1364">
        <f>+IF(ISBLANK(REPORTS!L297),"",REPORTS!L297)</f>
        <v>78.804872181201844</v>
      </c>
      <c r="G324" s="1364">
        <f>+IF(ISBLANK(REPORTS!M297),"",REPORTS!M297)</f>
        <v>503.75995726109102</v>
      </c>
      <c r="H324" s="1364">
        <f>+IF(ISBLANK(REPORTS!N297),"",REPORTS!N297)</f>
        <v>62.887751261478044</v>
      </c>
      <c r="I324" s="1364">
        <f>+IF(ISBLANK(REPORTS!O297),"",REPORTS!O297)</f>
        <v>45.131407347813884</v>
      </c>
      <c r="J324" s="1364">
        <f>+IF(ISBLANK(REPORTS!P297),"",REPORTS!P297)</f>
        <v>1.1677669260605048</v>
      </c>
      <c r="K324" s="1364">
        <f>+IF(ISBLANK(REPORTS!Q297),"",REPORTS!Q297)</f>
        <v>0</v>
      </c>
      <c r="L324" s="1358"/>
      <c r="M324" s="1320">
        <v>117</v>
      </c>
    </row>
    <row r="325" spans="1:13">
      <c r="A325" s="1393">
        <v>90</v>
      </c>
      <c r="B325" s="1324" t="s">
        <v>5239</v>
      </c>
      <c r="C325" s="1324" t="s">
        <v>4067</v>
      </c>
      <c r="D325" s="1364">
        <f>+IF(ISBLANK(REPORTS!J298),"",REPORTS!J298)</f>
        <v>5533.3173647069689</v>
      </c>
      <c r="E325" s="1364">
        <f>+IF(ISBLANK(REPORTS!K298),"",REPORTS!K298)</f>
        <v>3209.39622667304</v>
      </c>
      <c r="F325" s="1364">
        <f>+IF(ISBLANK(REPORTS!L298),"",REPORTS!L298)</f>
        <v>264.74281694865402</v>
      </c>
      <c r="G325" s="1364">
        <f>+IF(ISBLANK(REPORTS!M298),"",REPORTS!M298)</f>
        <v>1692.3678252351531</v>
      </c>
      <c r="H325" s="1364">
        <f>+IF(ISBLANK(REPORTS!N298),"",REPORTS!N298)</f>
        <v>211.26968371000603</v>
      </c>
      <c r="I325" s="1364">
        <f>+IF(ISBLANK(REPORTS!O298),"",REPORTS!O298)</f>
        <v>151.61773102866047</v>
      </c>
      <c r="J325" s="1364">
        <f>+IF(ISBLANK(REPORTS!P298),"",REPORTS!P298)</f>
        <v>3.9230811114553812</v>
      </c>
      <c r="K325" s="1364">
        <f>+IF(ISBLANK(REPORTS!Q298),"",REPORTS!Q298)</f>
        <v>0</v>
      </c>
      <c r="L325" s="1358"/>
      <c r="M325" s="1320">
        <v>117</v>
      </c>
    </row>
    <row r="326" spans="1:13">
      <c r="A326" s="1393">
        <v>91</v>
      </c>
      <c r="B326" s="1324" t="s">
        <v>5240</v>
      </c>
      <c r="C326" s="1324" t="s">
        <v>4067</v>
      </c>
      <c r="D326" s="1364">
        <f>+IF(ISBLANK(REPORTS!J299),"",REPORTS!J299)</f>
        <v>28199.935630517411</v>
      </c>
      <c r="E326" s="1364">
        <f>+IF(ISBLANK(REPORTS!K299),"",REPORTS!K299)</f>
        <v>17552.091475974266</v>
      </c>
      <c r="F326" s="1364">
        <f>+IF(ISBLANK(REPORTS!L299),"",REPORTS!L299)</f>
        <v>1248.348767459024</v>
      </c>
      <c r="G326" s="1364">
        <f>+IF(ISBLANK(REPORTS!M299),"",REPORTS!M299)</f>
        <v>8358.4744345268864</v>
      </c>
      <c r="H326" s="1364">
        <f>+IF(ISBLANK(REPORTS!N299),"",REPORTS!N299)</f>
        <v>879.14345427309172</v>
      </c>
      <c r="I326" s="1364">
        <f>+IF(ISBLANK(REPORTS!O299),"",REPORTS!O299)</f>
        <v>6.0026202385531947E-4</v>
      </c>
      <c r="J326" s="1364">
        <f>+IF(ISBLANK(REPORTS!P299),"",REPORTS!P299)</f>
        <v>161.87689802212543</v>
      </c>
      <c r="K326" s="1364">
        <f>+IF(ISBLANK(REPORTS!Q299),"",REPORTS!Q299)</f>
        <v>0</v>
      </c>
      <c r="L326" s="1358"/>
      <c r="M326" s="1320">
        <v>105</v>
      </c>
    </row>
    <row r="327" spans="1:13">
      <c r="A327" s="1393">
        <v>92</v>
      </c>
      <c r="B327" s="1324" t="s">
        <v>5241</v>
      </c>
      <c r="C327" s="1324" t="s">
        <v>4067</v>
      </c>
      <c r="D327" s="1364">
        <f>+IF(ISBLANK(REPORTS!J300),"",REPORTS!J300)</f>
        <v>4599.217048839866</v>
      </c>
      <c r="E327" s="1364">
        <f>+IF(ISBLANK(REPORTS!K300),"",REPORTS!K300)</f>
        <v>3355.7417347403034</v>
      </c>
      <c r="F327" s="1364">
        <f>+IF(ISBLANK(REPORTS!L300),"",REPORTS!L300)</f>
        <v>270.20380848230894</v>
      </c>
      <c r="G327" s="1364">
        <f>+IF(ISBLANK(REPORTS!M300),"",REPORTS!M300)</f>
        <v>956.63416813862852</v>
      </c>
      <c r="H327" s="1364">
        <f>+IF(ISBLANK(REPORTS!N300),"",REPORTS!N300)</f>
        <v>0</v>
      </c>
      <c r="I327" s="1364">
        <f>+IF(ISBLANK(REPORTS!O300),"",REPORTS!O300)</f>
        <v>0</v>
      </c>
      <c r="J327" s="1364">
        <f>+IF(ISBLANK(REPORTS!P300),"",REPORTS!P300)</f>
        <v>16.637337478624847</v>
      </c>
      <c r="K327" s="1364">
        <f>+IF(ISBLANK(REPORTS!Q300),"",REPORTS!Q300)</f>
        <v>0</v>
      </c>
      <c r="L327" s="1358"/>
      <c r="M327" s="1320">
        <v>106</v>
      </c>
    </row>
    <row r="328" spans="1:13">
      <c r="A328" s="1393">
        <v>93</v>
      </c>
      <c r="B328" s="1324" t="s">
        <v>5242</v>
      </c>
      <c r="C328" s="1324" t="s">
        <v>4071</v>
      </c>
      <c r="D328" s="1364">
        <f>+IF(ISBLANK(REPORTS!J301),"",REPORTS!J301)</f>
        <v>19947.388772987171</v>
      </c>
      <c r="E328" s="1364">
        <f>+IF(ISBLANK(REPORTS!K301),"",REPORTS!K301)</f>
        <v>11196.615438556577</v>
      </c>
      <c r="F328" s="1364">
        <f>+IF(ISBLANK(REPORTS!L301),"",REPORTS!L301)</f>
        <v>2175.4644211167538</v>
      </c>
      <c r="G328" s="1364">
        <f>+IF(ISBLANK(REPORTS!M301),"",REPORTS!M301)</f>
        <v>1249.3233560701763</v>
      </c>
      <c r="H328" s="1364">
        <f>+IF(ISBLANK(REPORTS!N301),"",REPORTS!N301)</f>
        <v>93.846937527428466</v>
      </c>
      <c r="I328" s="1364">
        <f>+IF(ISBLANK(REPORTS!O301),"",REPORTS!O301)</f>
        <v>102.39094836078456</v>
      </c>
      <c r="J328" s="1364">
        <f>+IF(ISBLANK(REPORTS!P301),"",REPORTS!P301)</f>
        <v>21.03095982270062</v>
      </c>
      <c r="K328" s="1364">
        <f>+IF(ISBLANK(REPORTS!Q301),"",REPORTS!Q301)</f>
        <v>5108.7167115327529</v>
      </c>
      <c r="L328" s="1364"/>
      <c r="M328" s="1324">
        <v>607</v>
      </c>
    </row>
    <row r="329" spans="1:13">
      <c r="A329" s="1393">
        <v>94</v>
      </c>
      <c r="B329" s="1324" t="s">
        <v>5244</v>
      </c>
      <c r="C329" s="1324" t="s">
        <v>4071</v>
      </c>
      <c r="D329" s="1364">
        <f>+IF(ISBLANK(REPORTS!J302),"",REPORTS!J302)</f>
        <v>23796.834673761768</v>
      </c>
      <c r="E329" s="1364">
        <f>+IF(ISBLANK(REPORTS!K302),"",REPORTS!K302)</f>
        <v>21224.083073592912</v>
      </c>
      <c r="F329" s="1364">
        <f>+IF(ISBLANK(REPORTS!L302),"",REPORTS!L302)</f>
        <v>2057.4837906831435</v>
      </c>
      <c r="G329" s="1364">
        <f>+IF(ISBLANK(REPORTS!M302),"",REPORTS!M302)</f>
        <v>506.74072330688278</v>
      </c>
      <c r="H329" s="1364">
        <f>+IF(ISBLANK(REPORTS!N302),"",REPORTS!N302)</f>
        <v>1.7109363853959989</v>
      </c>
      <c r="I329" s="1364">
        <f>+IF(ISBLANK(REPORTS!O302),"",REPORTS!O302)</f>
        <v>0.30355322966703208</v>
      </c>
      <c r="J329" s="1364">
        <f>+IF(ISBLANK(REPORTS!P302),"",REPORTS!P302)</f>
        <v>6.5125965637654151</v>
      </c>
      <c r="K329" s="1364">
        <f>+IF(ISBLANK(REPORTS!Q302),"",REPORTS!Q302)</f>
        <v>0</v>
      </c>
      <c r="L329" s="1358"/>
      <c r="M329" s="1320">
        <v>412</v>
      </c>
    </row>
    <row r="330" spans="1:13">
      <c r="A330" s="1393">
        <v>95</v>
      </c>
      <c r="B330" s="1324" t="s">
        <v>5360</v>
      </c>
      <c r="D330" s="1421">
        <f>+IF(ISBLANK(REPORTS!J303),"",REPORTS!J303)</f>
        <v>157114.91561326315</v>
      </c>
      <c r="E330" s="1421">
        <f>+IF(ISBLANK(REPORTS!K303),"",REPORTS!K303)</f>
        <v>98779.948292091489</v>
      </c>
      <c r="F330" s="1421">
        <f>+IF(ISBLANK(REPORTS!L303),"",REPORTS!L303)</f>
        <v>9585.8802700536253</v>
      </c>
      <c r="G330" s="1421">
        <f>+IF(ISBLANK(REPORTS!M303),"",REPORTS!M303)</f>
        <v>36420.287924939024</v>
      </c>
      <c r="H330" s="1421">
        <f>+IF(ISBLANK(REPORTS!N303),"",REPORTS!N303)</f>
        <v>4342.0036949440682</v>
      </c>
      <c r="I330" s="1421">
        <f>+IF(ISBLANK(REPORTS!O303),"",REPORTS!O303)</f>
        <v>2537.1562763156617</v>
      </c>
      <c r="J330" s="1421">
        <f>+IF(ISBLANK(REPORTS!P303),"",REPORTS!P303)</f>
        <v>340.92244338653552</v>
      </c>
      <c r="K330" s="1421">
        <f>+IF(ISBLANK(REPORTS!Q303),"",REPORTS!Q303)</f>
        <v>5108.7167115327529</v>
      </c>
      <c r="L330" s="1358"/>
    </row>
    <row r="331" spans="1:13">
      <c r="A331" s="1393">
        <v>96</v>
      </c>
      <c r="D331" s="1364" t="str">
        <f>+IF(ISBLANK(REPORTS!J304),"",REPORTS!J304)</f>
        <v/>
      </c>
      <c r="E331" s="1364" t="str">
        <f>+IF(ISBLANK(REPORTS!K304),"",REPORTS!K304)</f>
        <v/>
      </c>
      <c r="F331" s="1364" t="str">
        <f>+IF(ISBLANK(REPORTS!L304),"",REPORTS!L304)</f>
        <v/>
      </c>
      <c r="G331" s="1364" t="str">
        <f>+IF(ISBLANK(REPORTS!M304),"",REPORTS!M304)</f>
        <v/>
      </c>
      <c r="H331" s="1364" t="str">
        <f>+IF(ISBLANK(REPORTS!N304),"",REPORTS!N304)</f>
        <v/>
      </c>
      <c r="I331" s="1364" t="str">
        <f>+IF(ISBLANK(REPORTS!O304),"",REPORTS!O304)</f>
        <v/>
      </c>
      <c r="J331" s="1364" t="str">
        <f>+IF(ISBLANK(REPORTS!P304),"",REPORTS!P304)</f>
        <v/>
      </c>
      <c r="K331" s="1364" t="str">
        <f>+IF(ISBLANK(REPORTS!Q304),"",REPORTS!Q304)</f>
        <v/>
      </c>
      <c r="L331" s="1358"/>
    </row>
    <row r="332" spans="1:13">
      <c r="A332" s="1393">
        <v>97</v>
      </c>
      <c r="B332" s="1362" t="s">
        <v>5362</v>
      </c>
      <c r="D332" s="1364" t="str">
        <f>+IF(ISBLANK(REPORTS!J305),"",REPORTS!J305)</f>
        <v/>
      </c>
      <c r="E332" s="1364" t="str">
        <f>+IF(ISBLANK(REPORTS!K305),"",REPORTS!K305)</f>
        <v/>
      </c>
      <c r="F332" s="1364" t="str">
        <f>+IF(ISBLANK(REPORTS!L305),"",REPORTS!L305)</f>
        <v/>
      </c>
      <c r="G332" s="1364" t="str">
        <f>+IF(ISBLANK(REPORTS!M305),"",REPORTS!M305)</f>
        <v/>
      </c>
      <c r="H332" s="1364" t="str">
        <f>+IF(ISBLANK(REPORTS!N305),"",REPORTS!N305)</f>
        <v/>
      </c>
      <c r="I332" s="1364" t="str">
        <f>+IF(ISBLANK(REPORTS!O305),"",REPORTS!O305)</f>
        <v/>
      </c>
      <c r="J332" s="1364" t="str">
        <f>+IF(ISBLANK(REPORTS!P305),"",REPORTS!P305)</f>
        <v/>
      </c>
      <c r="K332" s="1364" t="str">
        <f>+IF(ISBLANK(REPORTS!Q305),"",REPORTS!Q305)</f>
        <v/>
      </c>
      <c r="L332" s="1358"/>
    </row>
    <row r="333" spans="1:13">
      <c r="A333" s="1393">
        <v>98</v>
      </c>
      <c r="B333" s="1324" t="s">
        <v>5265</v>
      </c>
      <c r="C333" s="1324" t="s">
        <v>4067</v>
      </c>
      <c r="D333" s="1364">
        <f>+IF(ISBLANK(REPORTS!J306),"",REPORTS!J306)</f>
        <v>0</v>
      </c>
      <c r="E333" s="1324">
        <f>+IF(ISBLANK(REPORTS!K306),"",REPORTS!K306)</f>
        <v>0</v>
      </c>
      <c r="F333" s="1324">
        <f>+IF(ISBLANK(REPORTS!L306),"",REPORTS!L306)</f>
        <v>0</v>
      </c>
      <c r="G333" s="1324">
        <f>+IF(ISBLANK(REPORTS!M306),"",REPORTS!M306)</f>
        <v>0</v>
      </c>
      <c r="H333" s="1324">
        <f>+IF(ISBLANK(REPORTS!N306),"",REPORTS!N306)</f>
        <v>0</v>
      </c>
      <c r="I333" s="1324">
        <f>+IF(ISBLANK(REPORTS!O306),"",REPORTS!O306)</f>
        <v>0</v>
      </c>
      <c r="J333" s="1324">
        <f>+IF(ISBLANK(REPORTS!P306),"",REPORTS!P306)</f>
        <v>0</v>
      </c>
      <c r="K333" s="1324">
        <f>+IF(ISBLANK(REPORTS!Q306),"",REPORTS!Q306)</f>
        <v>0</v>
      </c>
      <c r="L333" s="1324"/>
      <c r="M333" s="1324">
        <v>122</v>
      </c>
    </row>
    <row r="334" spans="1:13">
      <c r="A334" s="1393">
        <v>99</v>
      </c>
      <c r="B334" s="1324" t="s">
        <v>5265</v>
      </c>
      <c r="C334" s="1324" t="s">
        <v>2067</v>
      </c>
      <c r="D334" s="1364">
        <f>+IF(ISBLANK(REPORTS!J307),"",REPORTS!J307)</f>
        <v>0</v>
      </c>
      <c r="E334" s="1364">
        <f>+IF(ISBLANK(REPORTS!K307),"",REPORTS!K307)</f>
        <v>0</v>
      </c>
      <c r="F334" s="1364">
        <f>+IF(ISBLANK(REPORTS!L307),"",REPORTS!L307)</f>
        <v>0</v>
      </c>
      <c r="G334" s="1364">
        <f>+IF(ISBLANK(REPORTS!M307),"",REPORTS!M307)</f>
        <v>0</v>
      </c>
      <c r="H334" s="1364">
        <f>+IF(ISBLANK(REPORTS!N307),"",REPORTS!N307)</f>
        <v>0</v>
      </c>
      <c r="I334" s="1364">
        <f>+IF(ISBLANK(REPORTS!O307),"",REPORTS!O307)</f>
        <v>0</v>
      </c>
      <c r="J334" s="1364">
        <f>+IF(ISBLANK(REPORTS!P307),"",REPORTS!P307)</f>
        <v>0</v>
      </c>
      <c r="K334" s="1364">
        <f>+IF(ISBLANK(REPORTS!Q307),"",REPORTS!Q307)</f>
        <v>0</v>
      </c>
      <c r="L334" s="1364"/>
      <c r="M334" s="1324">
        <v>204</v>
      </c>
    </row>
    <row r="335" spans="1:13">
      <c r="A335" s="1393">
        <v>100</v>
      </c>
      <c r="B335" s="1324" t="s">
        <v>5268</v>
      </c>
      <c r="C335" s="1324" t="s">
        <v>4067</v>
      </c>
      <c r="D335" s="1364">
        <f>+IF(ISBLANK(REPORTS!J308),"",REPORTS!J308)</f>
        <v>0</v>
      </c>
      <c r="E335" s="1364">
        <f>+IF(ISBLANK(REPORTS!K308),"",REPORTS!K308)</f>
        <v>0</v>
      </c>
      <c r="F335" s="1364">
        <f>+IF(ISBLANK(REPORTS!L308),"",REPORTS!L308)</f>
        <v>0</v>
      </c>
      <c r="G335" s="1364">
        <f>+IF(ISBLANK(REPORTS!M308),"",REPORTS!M308)</f>
        <v>0</v>
      </c>
      <c r="H335" s="1364">
        <f>+IF(ISBLANK(REPORTS!N308),"",REPORTS!N308)</f>
        <v>0</v>
      </c>
      <c r="I335" s="1364">
        <f>+IF(ISBLANK(REPORTS!O308),"",REPORTS!O308)</f>
        <v>0</v>
      </c>
      <c r="J335" s="1364">
        <f>+IF(ISBLANK(REPORTS!P308),"",REPORTS!P308)</f>
        <v>0</v>
      </c>
      <c r="K335" s="1364">
        <f>+IF(ISBLANK(REPORTS!Q308),"",REPORTS!Q308)</f>
        <v>0</v>
      </c>
      <c r="L335" s="1364"/>
      <c r="M335" s="1324">
        <v>817</v>
      </c>
    </row>
    <row r="336" spans="1:13">
      <c r="A336" s="1393">
        <v>101</v>
      </c>
      <c r="B336" s="1324" t="s">
        <v>5239</v>
      </c>
      <c r="C336" s="1324" t="s">
        <v>4067</v>
      </c>
      <c r="D336" s="1364">
        <f>+IF(ISBLANK(REPORTS!J309),"",REPORTS!J309)</f>
        <v>0</v>
      </c>
      <c r="E336" s="1364">
        <f>+IF(ISBLANK(REPORTS!K309),"",REPORTS!K309)</f>
        <v>0</v>
      </c>
      <c r="F336" s="1364">
        <f>+IF(ISBLANK(REPORTS!L309),"",REPORTS!L309)</f>
        <v>0</v>
      </c>
      <c r="G336" s="1364">
        <f>+IF(ISBLANK(REPORTS!M309),"",REPORTS!M309)</f>
        <v>0</v>
      </c>
      <c r="H336" s="1364">
        <f>+IF(ISBLANK(REPORTS!N309),"",REPORTS!N309)</f>
        <v>0</v>
      </c>
      <c r="I336" s="1364">
        <f>+IF(ISBLANK(REPORTS!O309),"",REPORTS!O309)</f>
        <v>0</v>
      </c>
      <c r="J336" s="1364">
        <f>+IF(ISBLANK(REPORTS!P309),"",REPORTS!P309)</f>
        <v>0</v>
      </c>
      <c r="K336" s="1364">
        <f>+IF(ISBLANK(REPORTS!Q309),"",REPORTS!Q309)</f>
        <v>0</v>
      </c>
      <c r="L336" s="1364"/>
      <c r="M336" s="1324">
        <v>817</v>
      </c>
    </row>
    <row r="337" spans="1:13">
      <c r="A337" s="1393">
        <v>102</v>
      </c>
      <c r="B337" s="1324" t="s">
        <v>5240</v>
      </c>
      <c r="C337" s="1324" t="s">
        <v>4067</v>
      </c>
      <c r="D337" s="1364">
        <f>+IF(ISBLANK(REPORTS!J310),"",REPORTS!J310)</f>
        <v>0</v>
      </c>
      <c r="E337" s="1364">
        <f>+IF(ISBLANK(REPORTS!K310),"",REPORTS!K310)</f>
        <v>0</v>
      </c>
      <c r="F337" s="1364">
        <f>+IF(ISBLANK(REPORTS!L310),"",REPORTS!L310)</f>
        <v>0</v>
      </c>
      <c r="G337" s="1364">
        <f>+IF(ISBLANK(REPORTS!M310),"",REPORTS!M310)</f>
        <v>0</v>
      </c>
      <c r="H337" s="1364">
        <f>+IF(ISBLANK(REPORTS!N310),"",REPORTS!N310)</f>
        <v>0</v>
      </c>
      <c r="I337" s="1364">
        <f>+IF(ISBLANK(REPORTS!O310),"",REPORTS!O310)</f>
        <v>0</v>
      </c>
      <c r="J337" s="1364">
        <f>+IF(ISBLANK(REPORTS!P310),"",REPORTS!P310)</f>
        <v>0</v>
      </c>
      <c r="K337" s="1364">
        <f>+IF(ISBLANK(REPORTS!Q310),"",REPORTS!Q310)</f>
        <v>0</v>
      </c>
      <c r="L337" s="1358"/>
      <c r="M337" s="1320">
        <v>105</v>
      </c>
    </row>
    <row r="338" spans="1:13">
      <c r="A338" s="1393">
        <v>103</v>
      </c>
      <c r="B338" s="1324" t="s">
        <v>5241</v>
      </c>
      <c r="C338" s="1324" t="s">
        <v>4067</v>
      </c>
      <c r="D338" s="1364">
        <f>+IF(ISBLANK(REPORTS!J311),"",REPORTS!J311)</f>
        <v>0</v>
      </c>
      <c r="E338" s="1364">
        <f>+IF(ISBLANK(REPORTS!K311),"",REPORTS!K311)</f>
        <v>0</v>
      </c>
      <c r="F338" s="1364">
        <f>+IF(ISBLANK(REPORTS!L311),"",REPORTS!L311)</f>
        <v>0</v>
      </c>
      <c r="G338" s="1364">
        <f>+IF(ISBLANK(REPORTS!M311),"",REPORTS!M311)</f>
        <v>0</v>
      </c>
      <c r="H338" s="1364">
        <f>+IF(ISBLANK(REPORTS!N311),"",REPORTS!N311)</f>
        <v>0</v>
      </c>
      <c r="I338" s="1364">
        <f>+IF(ISBLANK(REPORTS!O311),"",REPORTS!O311)</f>
        <v>0</v>
      </c>
      <c r="J338" s="1364">
        <f>+IF(ISBLANK(REPORTS!P311),"",REPORTS!P311)</f>
        <v>0</v>
      </c>
      <c r="K338" s="1364">
        <f>+IF(ISBLANK(REPORTS!Q311),"",REPORTS!Q311)</f>
        <v>0</v>
      </c>
      <c r="L338" s="1358"/>
      <c r="M338" s="1320">
        <v>106</v>
      </c>
    </row>
    <row r="339" spans="1:13">
      <c r="A339" s="1393">
        <v>104</v>
      </c>
      <c r="B339" s="1324" t="s">
        <v>5242</v>
      </c>
      <c r="C339" s="1324" t="s">
        <v>4071</v>
      </c>
      <c r="D339" s="1364">
        <f>+IF(ISBLANK(REPORTS!J312),"",REPORTS!J312)</f>
        <v>0</v>
      </c>
      <c r="E339" s="1364">
        <f>+IF(ISBLANK(REPORTS!K312),"",REPORTS!K312)</f>
        <v>0</v>
      </c>
      <c r="F339" s="1364">
        <f>+IF(ISBLANK(REPORTS!L312),"",REPORTS!L312)</f>
        <v>0</v>
      </c>
      <c r="G339" s="1364">
        <f>+IF(ISBLANK(REPORTS!M312),"",REPORTS!M312)</f>
        <v>0</v>
      </c>
      <c r="H339" s="1364">
        <f>+IF(ISBLANK(REPORTS!N312),"",REPORTS!N312)</f>
        <v>0</v>
      </c>
      <c r="I339" s="1364">
        <f>+IF(ISBLANK(REPORTS!O312),"",REPORTS!O312)</f>
        <v>0</v>
      </c>
      <c r="J339" s="1364">
        <f>+IF(ISBLANK(REPORTS!P312),"",REPORTS!P312)</f>
        <v>0</v>
      </c>
      <c r="K339" s="1364">
        <f>+IF(ISBLANK(REPORTS!Q312),"",REPORTS!Q312)</f>
        <v>0</v>
      </c>
      <c r="L339" s="1358"/>
      <c r="M339" s="1320">
        <v>607</v>
      </c>
    </row>
    <row r="340" spans="1:13">
      <c r="A340" s="1393">
        <v>105</v>
      </c>
      <c r="B340" s="1324" t="s">
        <v>5244</v>
      </c>
      <c r="C340" s="1324" t="s">
        <v>4071</v>
      </c>
      <c r="D340" s="1364">
        <f>+IF(ISBLANK(REPORTS!J313),"",REPORTS!J313)</f>
        <v>0</v>
      </c>
      <c r="E340" s="1364">
        <f>+IF(ISBLANK(REPORTS!K313),"",REPORTS!K313)</f>
        <v>0</v>
      </c>
      <c r="F340" s="1364">
        <f>+IF(ISBLANK(REPORTS!L313),"",REPORTS!L313)</f>
        <v>0</v>
      </c>
      <c r="G340" s="1364">
        <f>+IF(ISBLANK(REPORTS!M313),"",REPORTS!M313)</f>
        <v>0</v>
      </c>
      <c r="H340" s="1364">
        <f>+IF(ISBLANK(REPORTS!N313),"",REPORTS!N313)</f>
        <v>0</v>
      </c>
      <c r="I340" s="1364">
        <f>+IF(ISBLANK(REPORTS!O313),"",REPORTS!O313)</f>
        <v>0</v>
      </c>
      <c r="J340" s="1364">
        <f>+IF(ISBLANK(REPORTS!P313),"",REPORTS!P313)</f>
        <v>0</v>
      </c>
      <c r="K340" s="1364">
        <f>+IF(ISBLANK(REPORTS!Q313),"",REPORTS!Q313)</f>
        <v>0</v>
      </c>
      <c r="L340" s="1358"/>
      <c r="M340" s="1320">
        <v>412</v>
      </c>
    </row>
    <row r="341" spans="1:13">
      <c r="A341" s="1393">
        <v>106</v>
      </c>
      <c r="B341" s="1324" t="s">
        <v>5364</v>
      </c>
      <c r="D341" s="1421">
        <f>+IF(ISBLANK(REPORTS!J314),"",REPORTS!J314)</f>
        <v>0</v>
      </c>
      <c r="E341" s="1421">
        <f>+IF(ISBLANK(REPORTS!K314),"",REPORTS!K314)</f>
        <v>0</v>
      </c>
      <c r="F341" s="1421">
        <f>+IF(ISBLANK(REPORTS!L314),"",REPORTS!L314)</f>
        <v>0</v>
      </c>
      <c r="G341" s="1421">
        <f>+IF(ISBLANK(REPORTS!M314),"",REPORTS!M314)</f>
        <v>0</v>
      </c>
      <c r="H341" s="1421">
        <f>+IF(ISBLANK(REPORTS!N314),"",REPORTS!N314)</f>
        <v>0</v>
      </c>
      <c r="I341" s="1421">
        <f>+IF(ISBLANK(REPORTS!O314),"",REPORTS!O314)</f>
        <v>0</v>
      </c>
      <c r="J341" s="1421">
        <f>+IF(ISBLANK(REPORTS!P314),"",REPORTS!P314)</f>
        <v>0</v>
      </c>
      <c r="K341" s="1421">
        <f>+IF(ISBLANK(REPORTS!Q314),"",REPORTS!Q314)</f>
        <v>0</v>
      </c>
      <c r="L341" s="1358"/>
    </row>
    <row r="342" spans="1:13">
      <c r="A342" s="1393">
        <v>107</v>
      </c>
      <c r="B342" s="1324" t="s">
        <v>5366</v>
      </c>
      <c r="D342" s="1421">
        <f>+IF(ISBLANK(REPORTS!J315),"",REPORTS!J315)</f>
        <v>157114.91561326315</v>
      </c>
      <c r="E342" s="1421">
        <f>+IF(ISBLANK(REPORTS!K315),"",REPORTS!K315)</f>
        <v>98779.948292091489</v>
      </c>
      <c r="F342" s="1421">
        <f>+IF(ISBLANK(REPORTS!L315),"",REPORTS!L315)</f>
        <v>9585.8802700536253</v>
      </c>
      <c r="G342" s="1421">
        <f>+IF(ISBLANK(REPORTS!M315),"",REPORTS!M315)</f>
        <v>36420.287924939024</v>
      </c>
      <c r="H342" s="1421">
        <f>+IF(ISBLANK(REPORTS!N315),"",REPORTS!N315)</f>
        <v>4342.0036949440682</v>
      </c>
      <c r="I342" s="1421">
        <f>+IF(ISBLANK(REPORTS!O315),"",REPORTS!O315)</f>
        <v>2537.1562763156617</v>
      </c>
      <c r="J342" s="1421">
        <f>+IF(ISBLANK(REPORTS!P315),"",REPORTS!P315)</f>
        <v>340.92244338653552</v>
      </c>
      <c r="K342" s="1421">
        <f>+IF(ISBLANK(REPORTS!Q315),"",REPORTS!Q315)</f>
        <v>5108.7167115327529</v>
      </c>
      <c r="L342" s="1358"/>
    </row>
    <row r="343" spans="1:13">
      <c r="A343" s="1393">
        <v>108</v>
      </c>
      <c r="D343" s="1364" t="str">
        <f>+IF(ISBLANK(REPORTS!J316),"",REPORTS!J316)</f>
        <v/>
      </c>
      <c r="E343" s="1364" t="str">
        <f>+IF(ISBLANK(REPORTS!K316),"",REPORTS!K316)</f>
        <v/>
      </c>
      <c r="F343" s="1364" t="str">
        <f>+IF(ISBLANK(REPORTS!L316),"",REPORTS!L316)</f>
        <v/>
      </c>
      <c r="G343" s="1364" t="str">
        <f>+IF(ISBLANK(REPORTS!M316),"",REPORTS!M316)</f>
        <v/>
      </c>
      <c r="H343" s="1364" t="str">
        <f>+IF(ISBLANK(REPORTS!N316),"",REPORTS!N316)</f>
        <v/>
      </c>
      <c r="I343" s="1364" t="str">
        <f>+IF(ISBLANK(REPORTS!O316),"",REPORTS!O316)</f>
        <v/>
      </c>
      <c r="J343" s="1364" t="str">
        <f>+IF(ISBLANK(REPORTS!P316),"",REPORTS!P316)</f>
        <v/>
      </c>
      <c r="K343" s="1364" t="str">
        <f>+IF(ISBLANK(REPORTS!Q316),"",REPORTS!Q316)</f>
        <v/>
      </c>
      <c r="L343" s="1358"/>
    </row>
    <row r="344" spans="1:13">
      <c r="A344" s="1393">
        <v>109</v>
      </c>
      <c r="B344" s="1362" t="s">
        <v>5368</v>
      </c>
      <c r="D344" s="1324" t="str">
        <f>+IF(ISBLANK(REPORTS!J317),"",REPORTS!J317)</f>
        <v/>
      </c>
      <c r="E344" s="1324" t="str">
        <f>+IF(ISBLANK(REPORTS!K317),"",REPORTS!K317)</f>
        <v/>
      </c>
      <c r="F344" s="1324" t="str">
        <f>+IF(ISBLANK(REPORTS!L317),"",REPORTS!L317)</f>
        <v/>
      </c>
      <c r="G344" s="1324" t="str">
        <f>+IF(ISBLANK(REPORTS!M317),"",REPORTS!M317)</f>
        <v/>
      </c>
      <c r="H344" s="1324" t="str">
        <f>+IF(ISBLANK(REPORTS!N317),"",REPORTS!N317)</f>
        <v/>
      </c>
      <c r="I344" s="1324" t="str">
        <f>+IF(ISBLANK(REPORTS!O317),"",REPORTS!O317)</f>
        <v/>
      </c>
      <c r="J344" s="1324" t="str">
        <f>+IF(ISBLANK(REPORTS!P317),"",REPORTS!P317)</f>
        <v/>
      </c>
      <c r="K344" s="1324" t="str">
        <f>+IF(ISBLANK(REPORTS!Q317),"",REPORTS!Q317)</f>
        <v/>
      </c>
    </row>
    <row r="345" spans="1:13">
      <c r="A345" s="1393">
        <v>110</v>
      </c>
      <c r="B345" s="1324" t="s">
        <v>5265</v>
      </c>
      <c r="C345" s="1324" t="s">
        <v>4067</v>
      </c>
      <c r="D345" s="1324">
        <f>+IF(ISBLANK(REPORTS!J318),"",REPORTS!J318)</f>
        <v>159622.03248406202</v>
      </c>
      <c r="E345" s="1324">
        <f>+IF(ISBLANK(REPORTS!K318),"",REPORTS!K318)</f>
        <v>91657.312175951331</v>
      </c>
      <c r="F345" s="1324">
        <f>+IF(ISBLANK(REPORTS!L318),"",REPORTS!L318)</f>
        <v>7622.281263441525</v>
      </c>
      <c r="G345" s="1324">
        <f>+IF(ISBLANK(REPORTS!M318),"",REPORTS!M318)</f>
        <v>49330.720744001708</v>
      </c>
      <c r="H345" s="1324">
        <f>+IF(ISBLANK(REPORTS!N318),"",REPORTS!N318)</f>
        <v>6304.79997747996</v>
      </c>
      <c r="I345" s="1324">
        <f>+IF(ISBLANK(REPORTS!O318),"",REPORTS!O318)</f>
        <v>4537.5843244992775</v>
      </c>
      <c r="J345" s="1324">
        <f>+IF(ISBLANK(REPORTS!P318),"",REPORTS!P318)</f>
        <v>169.33399868823523</v>
      </c>
      <c r="K345" s="1324">
        <f>+IF(ISBLANK(REPORTS!Q318),"",REPORTS!Q318)</f>
        <v>0</v>
      </c>
      <c r="L345" s="1324"/>
      <c r="M345" s="1324"/>
    </row>
    <row r="346" spans="1:13">
      <c r="A346" s="1393">
        <v>111</v>
      </c>
      <c r="B346" s="1324" t="s">
        <v>5265</v>
      </c>
      <c r="C346" s="1324" t="s">
        <v>2067</v>
      </c>
      <c r="D346" s="1364">
        <f>+IF(ISBLANK(REPORTS!J319),"",REPORTS!J319)</f>
        <v>41606.418583842657</v>
      </c>
      <c r="E346" s="1364">
        <f>+IF(ISBLANK(REPORTS!K319),"",REPORTS!K319)</f>
        <v>20996.021141959634</v>
      </c>
      <c r="F346" s="1364">
        <f>+IF(ISBLANK(REPORTS!L319),"",REPORTS!L319)</f>
        <v>1940.278139449782</v>
      </c>
      <c r="G346" s="1364">
        <f>+IF(ISBLANK(REPORTS!M319),"",REPORTS!M319)</f>
        <v>14454.318510028865</v>
      </c>
      <c r="H346" s="1364">
        <f>+IF(ISBLANK(REPORTS!N319),"",REPORTS!N319)</f>
        <v>2300.8950992492</v>
      </c>
      <c r="I346" s="1364">
        <f>+IF(ISBLANK(REPORTS!O319),"",REPORTS!O319)</f>
        <v>1695.0967183320813</v>
      </c>
      <c r="J346" s="1364">
        <f>+IF(ISBLANK(REPORTS!P319),"",REPORTS!P319)</f>
        <v>219.80897482309194</v>
      </c>
      <c r="K346" s="1364">
        <f>+IF(ISBLANK(REPORTS!Q319),"",REPORTS!Q319)</f>
        <v>0</v>
      </c>
      <c r="L346" s="1358"/>
    </row>
    <row r="347" spans="1:13">
      <c r="A347" s="1393">
        <v>112</v>
      </c>
      <c r="B347" s="1324" t="s">
        <v>5268</v>
      </c>
      <c r="C347" s="1324" t="s">
        <v>4067</v>
      </c>
      <c r="D347" s="1364">
        <f>+IF(ISBLANK(REPORTS!J320),"",REPORTS!J320)</f>
        <v>3639.0936003281759</v>
      </c>
      <c r="E347" s="1364">
        <f>+IF(ISBLANK(REPORTS!K320),"",REPORTS!K320)</f>
        <v>2110.7217424211058</v>
      </c>
      <c r="F347" s="1364">
        <f>+IF(ISBLANK(REPORTS!L320),"",REPORTS!L320)</f>
        <v>174.11325383858966</v>
      </c>
      <c r="G347" s="1364">
        <f>+IF(ISBLANK(REPORTS!M320),"",REPORTS!M320)</f>
        <v>1113.0185594443501</v>
      </c>
      <c r="H347" s="1364">
        <f>+IF(ISBLANK(REPORTS!N320),"",REPORTS!N320)</f>
        <v>138.94560952463209</v>
      </c>
      <c r="I347" s="1364">
        <f>+IF(ISBLANK(REPORTS!O320),"",REPORTS!O320)</f>
        <v>99.714344635624627</v>
      </c>
      <c r="J347" s="1364">
        <f>+IF(ISBLANK(REPORTS!P320),"",REPORTS!P320)</f>
        <v>2.5800904638734146</v>
      </c>
      <c r="K347" s="1364">
        <f>+IF(ISBLANK(REPORTS!Q320),"",REPORTS!Q320)</f>
        <v>0</v>
      </c>
      <c r="L347" s="1358"/>
    </row>
    <row r="348" spans="1:13">
      <c r="A348" s="1393">
        <v>113</v>
      </c>
      <c r="B348" s="1324" t="s">
        <v>5239</v>
      </c>
      <c r="C348" s="1324" t="s">
        <v>4067</v>
      </c>
      <c r="D348" s="1364">
        <f>+IF(ISBLANK(REPORTS!J321),"",REPORTS!J321)</f>
        <v>11120.779364534637</v>
      </c>
      <c r="E348" s="1364">
        <f>+IF(ISBLANK(REPORTS!K321),"",REPORTS!K321)</f>
        <v>6450.1970477688265</v>
      </c>
      <c r="F348" s="1364">
        <f>+IF(ISBLANK(REPORTS!L321),"",REPORTS!L321)</f>
        <v>532.07619617301259</v>
      </c>
      <c r="G348" s="1364">
        <f>+IF(ISBLANK(REPORTS!M321),"",REPORTS!M321)</f>
        <v>3401.2958136324314</v>
      </c>
      <c r="H348" s="1364">
        <f>+IF(ISBLANK(REPORTS!N321),"",REPORTS!N321)</f>
        <v>424.60668421797953</v>
      </c>
      <c r="I348" s="1364">
        <f>+IF(ISBLANK(REPORTS!O321),"",REPORTS!O321)</f>
        <v>304.71907237339212</v>
      </c>
      <c r="J348" s="1364">
        <f>+IF(ISBLANK(REPORTS!P321),"",REPORTS!P321)</f>
        <v>7.8845503689953329</v>
      </c>
      <c r="K348" s="1364">
        <f>+IF(ISBLANK(REPORTS!Q321),"",REPORTS!Q321)</f>
        <v>0</v>
      </c>
      <c r="L348" s="1358"/>
    </row>
    <row r="349" spans="1:13">
      <c r="A349" s="1393">
        <v>114</v>
      </c>
      <c r="B349" s="1324" t="s">
        <v>5240</v>
      </c>
      <c r="C349" s="1324" t="s">
        <v>4067</v>
      </c>
      <c r="D349" s="1364">
        <f>+IF(ISBLANK(REPORTS!J322),"",REPORTS!J322)</f>
        <v>58782.428344976914</v>
      </c>
      <c r="E349" s="1364">
        <f>+IF(ISBLANK(REPORTS!K322),"",REPORTS!K322)</f>
        <v>36587.12463068153</v>
      </c>
      <c r="F349" s="1364">
        <f>+IF(ISBLANK(REPORTS!L322),"",REPORTS!L322)</f>
        <v>2602.1680664153319</v>
      </c>
      <c r="G349" s="1364">
        <f>+IF(ISBLANK(REPORTS!M322),"",REPORTS!M322)</f>
        <v>17423.139930475194</v>
      </c>
      <c r="H349" s="1364">
        <f>+IF(ISBLANK(REPORTS!N322),"",REPORTS!N322)</f>
        <v>1832.5640094666878</v>
      </c>
      <c r="I349" s="1364">
        <f>+IF(ISBLANK(REPORTS!O322),"",REPORTS!O322)</f>
        <v>1.2512390052160816E-3</v>
      </c>
      <c r="J349" s="1364">
        <f>+IF(ISBLANK(REPORTS!P322),"",REPORTS!P322)</f>
        <v>337.43045669917126</v>
      </c>
      <c r="K349" s="1364">
        <f>+IF(ISBLANK(REPORTS!Q322),"",REPORTS!Q322)</f>
        <v>0</v>
      </c>
      <c r="L349" s="1358"/>
    </row>
    <row r="350" spans="1:13">
      <c r="A350" s="1393">
        <v>115</v>
      </c>
      <c r="B350" s="1324" t="s">
        <v>5241</v>
      </c>
      <c r="C350" s="1324" t="s">
        <v>4067</v>
      </c>
      <c r="D350" s="1364">
        <f>+IF(ISBLANK(REPORTS!J323),"",REPORTS!J323)</f>
        <v>9777.0557636031099</v>
      </c>
      <c r="E350" s="1364">
        <f>+IF(ISBLANK(REPORTS!K323),"",REPORTS!K323)</f>
        <v>7133.6650826431833</v>
      </c>
      <c r="F350" s="1364">
        <f>+IF(ISBLANK(REPORTS!L323),"",REPORTS!L323)</f>
        <v>574.40161553929102</v>
      </c>
      <c r="G350" s="1364">
        <f>+IF(ISBLANK(REPORTS!M323),"",REPORTS!M323)</f>
        <v>2033.621268128391</v>
      </c>
      <c r="H350" s="1364">
        <f>+IF(ISBLANK(REPORTS!N323),"",REPORTS!N323)</f>
        <v>0</v>
      </c>
      <c r="I350" s="1364">
        <f>+IF(ISBLANK(REPORTS!O323),"",REPORTS!O323)</f>
        <v>0</v>
      </c>
      <c r="J350" s="1364">
        <f>+IF(ISBLANK(REPORTS!P323),"",REPORTS!P323)</f>
        <v>35.367797292243573</v>
      </c>
      <c r="K350" s="1364">
        <f>+IF(ISBLANK(REPORTS!Q323),"",REPORTS!Q323)</f>
        <v>0</v>
      </c>
      <c r="L350" s="1358"/>
    </row>
    <row r="351" spans="1:13">
      <c r="A351" s="1393">
        <v>116</v>
      </c>
      <c r="B351" s="1324" t="s">
        <v>5242</v>
      </c>
      <c r="C351" s="1324" t="s">
        <v>4071</v>
      </c>
      <c r="D351" s="1364">
        <f>+IF(ISBLANK(REPORTS!J324),"",REPORTS!J324)</f>
        <v>38382.168272878131</v>
      </c>
      <c r="E351" s="1364">
        <f>+IF(ISBLANK(REPORTS!K324),"",REPORTS!K324)</f>
        <v>21544.192211832418</v>
      </c>
      <c r="F351" s="1364">
        <f>+IF(ISBLANK(REPORTS!L324),"",REPORTS!L324)</f>
        <v>4185.9635079673872</v>
      </c>
      <c r="G351" s="1364">
        <f>+IF(ISBLANK(REPORTS!M324),"",REPORTS!M324)</f>
        <v>2403.9105983064192</v>
      </c>
      <c r="H351" s="1364">
        <f>+IF(ISBLANK(REPORTS!N324),"",REPORTS!N324)</f>
        <v>180.57746751043169</v>
      </c>
      <c r="I351" s="1364">
        <f>+IF(ISBLANK(REPORTS!O324),"",REPORTS!O324)</f>
        <v>197.01759735716439</v>
      </c>
      <c r="J351" s="1364">
        <f>+IF(ISBLANK(REPORTS!P324),"",REPORTS!P324)</f>
        <v>40.46714324574485</v>
      </c>
      <c r="K351" s="1364">
        <f>+IF(ISBLANK(REPORTS!Q324),"",REPORTS!Q324)</f>
        <v>9830.0397466585637</v>
      </c>
      <c r="L351" s="1358"/>
    </row>
    <row r="352" spans="1:13">
      <c r="A352" s="1393">
        <v>117</v>
      </c>
      <c r="B352" s="1324" t="s">
        <v>5244</v>
      </c>
      <c r="C352" s="1324" t="s">
        <v>4071</v>
      </c>
      <c r="D352" s="1366">
        <f>+IF(ISBLANK(REPORTS!J325),"",REPORTS!J325)</f>
        <v>68841.12898628338</v>
      </c>
      <c r="E352" s="1366">
        <f>+IF(ISBLANK(REPORTS!K325),"",REPORTS!K325)</f>
        <v>59574.211774824587</v>
      </c>
      <c r="F352" s="1366">
        <f>+IF(ISBLANK(REPORTS!L325),"",REPORTS!L325)</f>
        <v>5763.4842927606624</v>
      </c>
      <c r="G352" s="1366">
        <f>+IF(ISBLANK(REPORTS!M325),"",REPORTS!M325)</f>
        <v>2902.9081539985177</v>
      </c>
      <c r="H352" s="1366">
        <f>+IF(ISBLANK(REPORTS!N325),"",REPORTS!N325)</f>
        <v>189.64174066923826</v>
      </c>
      <c r="I352" s="1366">
        <f>+IF(ISBLANK(REPORTS!O325),"",REPORTS!O325)</f>
        <v>109.48647147567513</v>
      </c>
      <c r="J352" s="1366">
        <f>+IF(ISBLANK(REPORTS!P325),"",REPORTS!P325)</f>
        <v>31.191344012645786</v>
      </c>
      <c r="K352" s="1366">
        <f>+IF(ISBLANK(REPORTS!Q325),"",REPORTS!Q325)</f>
        <v>270.20520854205262</v>
      </c>
      <c r="L352" s="1358"/>
    </row>
    <row r="353" spans="1:13">
      <c r="A353" s="1393">
        <v>118</v>
      </c>
      <c r="D353" s="1364" t="str">
        <f>+IF(ISBLANK(REPORTS!J326),"",REPORTS!J326)</f>
        <v/>
      </c>
      <c r="E353" s="1364" t="str">
        <f>+IF(ISBLANK(REPORTS!K326),"",REPORTS!K326)</f>
        <v/>
      </c>
      <c r="F353" s="1364" t="str">
        <f>+IF(ISBLANK(REPORTS!L326),"",REPORTS!L326)</f>
        <v/>
      </c>
      <c r="G353" s="1364" t="str">
        <f>+IF(ISBLANK(REPORTS!M326),"",REPORTS!M326)</f>
        <v/>
      </c>
      <c r="H353" s="1364" t="str">
        <f>+IF(ISBLANK(REPORTS!N326),"",REPORTS!N326)</f>
        <v/>
      </c>
      <c r="I353" s="1364" t="str">
        <f>+IF(ISBLANK(REPORTS!O326),"",REPORTS!O326)</f>
        <v/>
      </c>
      <c r="J353" s="1364" t="str">
        <f>+IF(ISBLANK(REPORTS!P326),"",REPORTS!P326)</f>
        <v/>
      </c>
      <c r="K353" s="1364" t="str">
        <f>+IF(ISBLANK(REPORTS!Q326),"",REPORTS!Q326)</f>
        <v/>
      </c>
      <c r="L353" s="1358"/>
    </row>
    <row r="354" spans="1:13" ht="15" thickBot="1">
      <c r="A354" s="1393">
        <v>119</v>
      </c>
      <c r="B354" s="1324" t="s">
        <v>5377</v>
      </c>
      <c r="D354" s="1380">
        <f>+IF(ISBLANK(REPORTS!J327),"",REPORTS!J327)</f>
        <v>391771.10540050903</v>
      </c>
      <c r="E354" s="1380">
        <f>+IF(ISBLANK(REPORTS!K327),"",REPORTS!K327)</f>
        <v>246053.44580808264</v>
      </c>
      <c r="F354" s="1380">
        <f>+IF(ISBLANK(REPORTS!L327),"",REPORTS!L327)</f>
        <v>23394.766335585584</v>
      </c>
      <c r="G354" s="1380">
        <f>+IF(ISBLANK(REPORTS!M327),"",REPORTS!M327)</f>
        <v>93062.933578015887</v>
      </c>
      <c r="H354" s="1380">
        <f>+IF(ISBLANK(REPORTS!N327),"",REPORTS!N327)</f>
        <v>11372.030588118128</v>
      </c>
      <c r="I354" s="1380">
        <f>+IF(ISBLANK(REPORTS!O327),"",REPORTS!O327)</f>
        <v>6943.6197799122192</v>
      </c>
      <c r="J354" s="1380">
        <f>+IF(ISBLANK(REPORTS!P327),"",REPORTS!P327)</f>
        <v>844.06435559400143</v>
      </c>
      <c r="K354" s="1380">
        <f>+IF(ISBLANK(REPORTS!Q327),"",REPORTS!Q327)</f>
        <v>10100.244955200616</v>
      </c>
      <c r="L354" s="1358"/>
    </row>
    <row r="355" spans="1:13" ht="15" thickTop="1">
      <c r="A355" s="1393">
        <v>120</v>
      </c>
      <c r="D355" s="1324" t="str">
        <f>+IF(ISBLANK(REPORTS!J328),"",REPORTS!J328)</f>
        <v/>
      </c>
      <c r="E355" s="1324" t="str">
        <f>+IF(ISBLANK(REPORTS!K328),"",REPORTS!K328)</f>
        <v/>
      </c>
      <c r="F355" s="1324" t="str">
        <f>+IF(ISBLANK(REPORTS!L328),"",REPORTS!L328)</f>
        <v/>
      </c>
      <c r="G355" s="1324" t="str">
        <f>+IF(ISBLANK(REPORTS!M328),"",REPORTS!M328)</f>
        <v/>
      </c>
      <c r="H355" s="1324" t="str">
        <f>+IF(ISBLANK(REPORTS!N328),"",REPORTS!N328)</f>
        <v/>
      </c>
      <c r="I355" s="1324" t="str">
        <f>+IF(ISBLANK(REPORTS!O328),"",REPORTS!O328)</f>
        <v/>
      </c>
      <c r="J355" s="1324" t="str">
        <f>+IF(ISBLANK(REPORTS!P328),"",REPORTS!P328)</f>
        <v/>
      </c>
      <c r="K355" s="1324" t="str">
        <f>+IF(ISBLANK(REPORTS!Q328),"",REPORTS!Q328)</f>
        <v/>
      </c>
    </row>
    <row r="356" spans="1:13">
      <c r="A356" s="1393">
        <v>121</v>
      </c>
      <c r="B356" s="1362" t="s">
        <v>5379</v>
      </c>
      <c r="D356" s="1324" t="str">
        <f>+IF(ISBLANK(REPORTS!J329),"",REPORTS!J329)</f>
        <v/>
      </c>
      <c r="E356" s="1324" t="str">
        <f>+IF(ISBLANK(REPORTS!K329),"",REPORTS!K329)</f>
        <v/>
      </c>
      <c r="F356" s="1324" t="str">
        <f>+IF(ISBLANK(REPORTS!L329),"",REPORTS!L329)</f>
        <v/>
      </c>
      <c r="G356" s="1324" t="str">
        <f>+IF(ISBLANK(REPORTS!M329),"",REPORTS!M329)</f>
        <v/>
      </c>
      <c r="H356" s="1324" t="str">
        <f>+IF(ISBLANK(REPORTS!N329),"",REPORTS!N329)</f>
        <v/>
      </c>
      <c r="I356" s="1324" t="str">
        <f>+IF(ISBLANK(REPORTS!O329),"",REPORTS!O329)</f>
        <v/>
      </c>
      <c r="J356" s="1324" t="str">
        <f>+IF(ISBLANK(REPORTS!P329),"",REPORTS!P329)</f>
        <v/>
      </c>
      <c r="K356" s="1324" t="str">
        <f>+IF(ISBLANK(REPORTS!Q329),"",REPORTS!Q329)</f>
        <v/>
      </c>
    </row>
    <row r="357" spans="1:13">
      <c r="A357" s="1393">
        <v>122</v>
      </c>
      <c r="B357" s="1324" t="s">
        <v>5265</v>
      </c>
      <c r="C357" s="1324" t="s">
        <v>4067</v>
      </c>
      <c r="D357" s="1324">
        <f>+IF(ISBLANK(REPORTS!J330),"",REPORTS!J330)</f>
        <v>159622.03248406202</v>
      </c>
      <c r="E357" s="1324">
        <f>+IF(ISBLANK(REPORTS!K330),"",REPORTS!K330)</f>
        <v>91657.312175951331</v>
      </c>
      <c r="F357" s="1324">
        <f>+IF(ISBLANK(REPORTS!L330),"",REPORTS!L330)</f>
        <v>7622.281263441525</v>
      </c>
      <c r="G357" s="1324">
        <f>+IF(ISBLANK(REPORTS!M330),"",REPORTS!M330)</f>
        <v>49330.720744001708</v>
      </c>
      <c r="H357" s="1324">
        <f>+IF(ISBLANK(REPORTS!N330),"",REPORTS!N330)</f>
        <v>6304.79997747996</v>
      </c>
      <c r="I357" s="1324">
        <f>+IF(ISBLANK(REPORTS!O330),"",REPORTS!O330)</f>
        <v>4537.5843244992775</v>
      </c>
      <c r="J357" s="1324">
        <f>+IF(ISBLANK(REPORTS!P330),"",REPORTS!P330)</f>
        <v>169.33399868823523</v>
      </c>
      <c r="K357" s="1324">
        <f>+IF(ISBLANK(REPORTS!Q330),"",REPORTS!Q330)</f>
        <v>0</v>
      </c>
      <c r="L357" s="1324"/>
      <c r="M357" s="1324"/>
    </row>
    <row r="358" spans="1:13">
      <c r="A358" s="1393">
        <v>123</v>
      </c>
      <c r="B358" s="1324" t="s">
        <v>5265</v>
      </c>
      <c r="C358" s="1324" t="s">
        <v>2067</v>
      </c>
      <c r="D358" s="1324">
        <f>+IF(ISBLANK(REPORTS!J331),"",REPORTS!J331)</f>
        <v>42232.879491595908</v>
      </c>
      <c r="E358" s="1324">
        <f>+IF(ISBLANK(REPORTS!K331),"",REPORTS!K331)</f>
        <v>21312.154731715578</v>
      </c>
      <c r="F358" s="1324">
        <f>+IF(ISBLANK(REPORTS!L331),"",REPORTS!L331)</f>
        <v>1969.4925839010409</v>
      </c>
      <c r="G358" s="1324">
        <f>+IF(ISBLANK(REPORTS!M331),"",REPORTS!M331)</f>
        <v>14671.954773926467</v>
      </c>
      <c r="H358" s="1324">
        <f>+IF(ISBLANK(REPORTS!N331),"",REPORTS!N331)</f>
        <v>2335.5392931400056</v>
      </c>
      <c r="I358" s="1324">
        <f>+IF(ISBLANK(REPORTS!O331),"",REPORTS!O331)</f>
        <v>1720.619507003641</v>
      </c>
      <c r="J358" s="1324">
        <f>+IF(ISBLANK(REPORTS!P331),"",REPORTS!P331)</f>
        <v>223.11860190917477</v>
      </c>
      <c r="K358" s="1324">
        <f>+IF(ISBLANK(REPORTS!Q331),"",REPORTS!Q331)</f>
        <v>0</v>
      </c>
      <c r="L358" s="1324"/>
      <c r="M358" s="1324"/>
    </row>
    <row r="359" spans="1:13">
      <c r="A359" s="1393">
        <v>124</v>
      </c>
      <c r="B359" s="1324" t="s">
        <v>5268</v>
      </c>
      <c r="C359" s="1324" t="s">
        <v>4067</v>
      </c>
      <c r="D359" s="1324">
        <f>+IF(ISBLANK(REPORTS!J332),"",REPORTS!J332)</f>
        <v>3639.0936003281759</v>
      </c>
      <c r="E359" s="1324">
        <f>+IF(ISBLANK(REPORTS!K332),"",REPORTS!K332)</f>
        <v>2110.7217424211058</v>
      </c>
      <c r="F359" s="1324">
        <f>+IF(ISBLANK(REPORTS!L332),"",REPORTS!L332)</f>
        <v>174.11325383858966</v>
      </c>
      <c r="G359" s="1324">
        <f>+IF(ISBLANK(REPORTS!M332),"",REPORTS!M332)</f>
        <v>1113.0185594443501</v>
      </c>
      <c r="H359" s="1324">
        <f>+IF(ISBLANK(REPORTS!N332),"",REPORTS!N332)</f>
        <v>138.94560952463209</v>
      </c>
      <c r="I359" s="1324">
        <f>+IF(ISBLANK(REPORTS!O332),"",REPORTS!O332)</f>
        <v>99.714344635624627</v>
      </c>
      <c r="J359" s="1324">
        <f>+IF(ISBLANK(REPORTS!P332),"",REPORTS!P332)</f>
        <v>2.5800904638734146</v>
      </c>
      <c r="K359" s="1324">
        <f>+IF(ISBLANK(REPORTS!Q332),"",REPORTS!Q332)</f>
        <v>0</v>
      </c>
      <c r="L359" s="1324"/>
      <c r="M359" s="1324"/>
    </row>
    <row r="360" spans="1:13">
      <c r="A360" s="1393">
        <v>125</v>
      </c>
      <c r="B360" s="1324" t="s">
        <v>5239</v>
      </c>
      <c r="C360" s="1324" t="s">
        <v>4067</v>
      </c>
      <c r="D360" s="1364">
        <f>+IF(ISBLANK(REPORTS!J333),"",REPORTS!J333)</f>
        <v>11120.779364534637</v>
      </c>
      <c r="E360" s="1364">
        <f>+IF(ISBLANK(REPORTS!K333),"",REPORTS!K333)</f>
        <v>6450.1970477688265</v>
      </c>
      <c r="F360" s="1364">
        <f>+IF(ISBLANK(REPORTS!L333),"",REPORTS!L333)</f>
        <v>532.07619617301259</v>
      </c>
      <c r="G360" s="1364">
        <f>+IF(ISBLANK(REPORTS!M333),"",REPORTS!M333)</f>
        <v>3401.2958136324314</v>
      </c>
      <c r="H360" s="1364">
        <f>+IF(ISBLANK(REPORTS!N333),"",REPORTS!N333)</f>
        <v>424.60668421797953</v>
      </c>
      <c r="I360" s="1364">
        <f>+IF(ISBLANK(REPORTS!O333),"",REPORTS!O333)</f>
        <v>304.71907237339212</v>
      </c>
      <c r="J360" s="1364">
        <f>+IF(ISBLANK(REPORTS!P333),"",REPORTS!P333)</f>
        <v>7.8845503689953329</v>
      </c>
      <c r="K360" s="1364">
        <f>+IF(ISBLANK(REPORTS!Q333),"",REPORTS!Q333)</f>
        <v>0</v>
      </c>
      <c r="L360" s="1364"/>
      <c r="M360" s="1324"/>
    </row>
    <row r="361" spans="1:13">
      <c r="A361" s="1393">
        <v>126</v>
      </c>
      <c r="B361" s="1324" t="s">
        <v>5240</v>
      </c>
      <c r="C361" s="1324" t="s">
        <v>4067</v>
      </c>
      <c r="D361" s="1364">
        <f>+IF(ISBLANK(REPORTS!J334),"",REPORTS!J334)</f>
        <v>58782.428344976914</v>
      </c>
      <c r="E361" s="1364">
        <f>+IF(ISBLANK(REPORTS!K334),"",REPORTS!K334)</f>
        <v>36587.12463068153</v>
      </c>
      <c r="F361" s="1364">
        <f>+IF(ISBLANK(REPORTS!L334),"",REPORTS!L334)</f>
        <v>2602.1680664153319</v>
      </c>
      <c r="G361" s="1364">
        <f>+IF(ISBLANK(REPORTS!M334),"",REPORTS!M334)</f>
        <v>17423.139930475194</v>
      </c>
      <c r="H361" s="1364">
        <f>+IF(ISBLANK(REPORTS!N334),"",REPORTS!N334)</f>
        <v>1832.5640094666878</v>
      </c>
      <c r="I361" s="1364">
        <f>+IF(ISBLANK(REPORTS!O334),"",REPORTS!O334)</f>
        <v>1.2512390052160816E-3</v>
      </c>
      <c r="J361" s="1364">
        <f>+IF(ISBLANK(REPORTS!P334),"",REPORTS!P334)</f>
        <v>337.43045669917126</v>
      </c>
      <c r="K361" s="1364">
        <f>+IF(ISBLANK(REPORTS!Q334),"",REPORTS!Q334)</f>
        <v>0</v>
      </c>
      <c r="L361" s="1364"/>
      <c r="M361" s="1326"/>
    </row>
    <row r="362" spans="1:13">
      <c r="A362" s="1732" t="str">
        <f>+$A$1</f>
        <v>RATES WITH REVENUE DEFICIENCY ADDITION</v>
      </c>
      <c r="F362" s="1329" t="s">
        <v>2173</v>
      </c>
      <c r="G362" s="1329"/>
      <c r="H362" s="1329"/>
      <c r="I362" s="1329"/>
      <c r="M362" s="1334" t="s">
        <v>4895</v>
      </c>
    </row>
    <row r="363" spans="1:13">
      <c r="A363" s="1732" t="str">
        <f>+$A$2</f>
        <v>PROD. CAP. ALLOC. METHOD: 12 CP &amp; 1/13th AD</v>
      </c>
      <c r="B363" s="1364"/>
      <c r="C363" s="1364"/>
      <c r="F363" s="1336" t="s">
        <v>5141</v>
      </c>
      <c r="G363" s="1336"/>
      <c r="H363" s="1336"/>
      <c r="I363" s="1336"/>
      <c r="L363" s="1331"/>
      <c r="M363" s="1409"/>
    </row>
    <row r="364" spans="1:13">
      <c r="A364" s="1732" t="str">
        <f>+$A$3</f>
        <v>PROJECTED CALENDAR YEAR 2025; FULLY ADJUSTED DATA</v>
      </c>
      <c r="F364" s="1336" t="s">
        <v>2181</v>
      </c>
      <c r="M364" s="1321"/>
    </row>
    <row r="365" spans="1:13">
      <c r="A365" s="1732" t="str">
        <f>+$A$4</f>
        <v>MINIMUM DISTRIBUTION SYSTEM (MDS) NOT EMPLOYED</v>
      </c>
      <c r="F365" s="1336"/>
      <c r="G365" s="1336"/>
      <c r="H365" s="1336"/>
      <c r="I365" s="1336"/>
      <c r="M365" s="1321"/>
    </row>
    <row r="366" spans="1:13">
      <c r="A366" s="1732" t="str">
        <f>+$A$5</f>
        <v>Tampa Electric 2025 OB Budget</v>
      </c>
      <c r="F366" s="1336" t="s">
        <v>5277</v>
      </c>
      <c r="G366" s="1336"/>
      <c r="H366" s="1336"/>
      <c r="I366" s="1336"/>
      <c r="M366" s="1321"/>
    </row>
    <row r="367" spans="1:13">
      <c r="F367" s="1336"/>
      <c r="G367" s="1336"/>
      <c r="H367" s="1336"/>
      <c r="I367" s="1336"/>
      <c r="M367" s="1321"/>
    </row>
    <row r="368" spans="1:13">
      <c r="F368" s="1336"/>
      <c r="G368" s="1336"/>
      <c r="H368" s="1336"/>
      <c r="I368" s="1336"/>
      <c r="M368" s="1321"/>
    </row>
    <row r="369" spans="1:13">
      <c r="M369" s="1321"/>
    </row>
    <row r="370" spans="1:13">
      <c r="A370" s="1735"/>
      <c r="B370" s="1416"/>
      <c r="C370" s="1416"/>
      <c r="D370" s="1416"/>
      <c r="E370" s="1336"/>
      <c r="F370" s="1416"/>
      <c r="G370" s="1416"/>
      <c r="H370" s="1416"/>
      <c r="I370" s="1416"/>
      <c r="J370" s="3164"/>
      <c r="K370" s="3164"/>
      <c r="L370" s="1333"/>
      <c r="M370" s="1321"/>
    </row>
    <row r="371" spans="1:13" ht="28.2">
      <c r="A371" s="1737" t="s">
        <v>4297</v>
      </c>
      <c r="B371" s="1741"/>
      <c r="C371" s="1741"/>
      <c r="D371" s="1352" t="s">
        <v>4957</v>
      </c>
      <c r="E371" s="1353" t="s">
        <v>1949</v>
      </c>
      <c r="F371" s="1353" t="s">
        <v>1950</v>
      </c>
      <c r="G371" s="1353" t="s">
        <v>1934</v>
      </c>
      <c r="H371" s="1353" t="s">
        <v>1971</v>
      </c>
      <c r="I371" s="1353" t="s">
        <v>1972</v>
      </c>
      <c r="J371" s="1352" t="s">
        <v>5146</v>
      </c>
      <c r="K371" s="1352" t="s">
        <v>5147</v>
      </c>
      <c r="L371" s="1355"/>
      <c r="M371" s="1348" t="s">
        <v>5299</v>
      </c>
    </row>
    <row r="373" spans="1:13">
      <c r="A373" s="1393">
        <v>127</v>
      </c>
      <c r="B373" s="1324" t="s">
        <v>5241</v>
      </c>
      <c r="C373" s="1324" t="s">
        <v>4067</v>
      </c>
      <c r="D373" s="1364">
        <f>+IF(ISBLANK(REPORTS!J335),"",REPORTS!J335)</f>
        <v>9777.0557636031099</v>
      </c>
      <c r="E373" s="1364">
        <f>+IF(ISBLANK(REPORTS!K335),"",REPORTS!K335)</f>
        <v>7133.6650826431833</v>
      </c>
      <c r="F373" s="1364">
        <f>+IF(ISBLANK(REPORTS!L335),"",REPORTS!L335)</f>
        <v>574.40161553929102</v>
      </c>
      <c r="G373" s="1364">
        <f>+IF(ISBLANK(REPORTS!M335),"",REPORTS!M335)</f>
        <v>2033.621268128391</v>
      </c>
      <c r="H373" s="1364">
        <f>+IF(ISBLANK(REPORTS!N335),"",REPORTS!N335)</f>
        <v>0</v>
      </c>
      <c r="I373" s="1364">
        <f>+IF(ISBLANK(REPORTS!O335),"",REPORTS!O335)</f>
        <v>0</v>
      </c>
      <c r="J373" s="1364">
        <f>+IF(ISBLANK(REPORTS!P335),"",REPORTS!P335)</f>
        <v>35.367797292243573</v>
      </c>
      <c r="K373" s="1364">
        <f>+IF(ISBLANK(REPORTS!Q335),"",REPORTS!Q335)</f>
        <v>0</v>
      </c>
    </row>
    <row r="374" spans="1:13">
      <c r="A374" s="1393">
        <v>128</v>
      </c>
      <c r="B374" s="1324" t="s">
        <v>5242</v>
      </c>
      <c r="C374" s="1324" t="s">
        <v>4071</v>
      </c>
      <c r="D374" s="1364">
        <f>+IF(ISBLANK(REPORTS!J336),"",REPORTS!J336)</f>
        <v>38382.168272878131</v>
      </c>
      <c r="E374" s="1364">
        <f>+IF(ISBLANK(REPORTS!K336),"",REPORTS!K336)</f>
        <v>21544.192211832418</v>
      </c>
      <c r="F374" s="1364">
        <f>+IF(ISBLANK(REPORTS!L336),"",REPORTS!L336)</f>
        <v>4185.9635079673872</v>
      </c>
      <c r="G374" s="1364">
        <f>+IF(ISBLANK(REPORTS!M336),"",REPORTS!M336)</f>
        <v>2403.9105983064192</v>
      </c>
      <c r="H374" s="1364">
        <f>+IF(ISBLANK(REPORTS!N336),"",REPORTS!N336)</f>
        <v>180.57746751043169</v>
      </c>
      <c r="I374" s="1364">
        <f>+IF(ISBLANK(REPORTS!O336),"",REPORTS!O336)</f>
        <v>197.01759735716439</v>
      </c>
      <c r="J374" s="1364">
        <f>+IF(ISBLANK(REPORTS!P336),"",REPORTS!P336)</f>
        <v>40.46714324574485</v>
      </c>
      <c r="K374" s="1364">
        <f>+IF(ISBLANK(REPORTS!Q336),"",REPORTS!Q336)</f>
        <v>9830.0397466585637</v>
      </c>
    </row>
    <row r="375" spans="1:13">
      <c r="A375" s="1393">
        <v>129</v>
      </c>
      <c r="B375" s="1324" t="s">
        <v>5244</v>
      </c>
      <c r="C375" s="1324" t="s">
        <v>4071</v>
      </c>
      <c r="D375" s="1366">
        <f>+IF(ISBLANK(REPORTS!J337),"",REPORTS!J337)</f>
        <v>68841.12898628338</v>
      </c>
      <c r="E375" s="1366">
        <f>+IF(ISBLANK(REPORTS!K337),"",REPORTS!K337)</f>
        <v>59574.211774824587</v>
      </c>
      <c r="F375" s="1366">
        <f>+IF(ISBLANK(REPORTS!L337),"",REPORTS!L337)</f>
        <v>5763.4842927606624</v>
      </c>
      <c r="G375" s="1366">
        <f>+IF(ISBLANK(REPORTS!M337),"",REPORTS!M337)</f>
        <v>2902.9081539985177</v>
      </c>
      <c r="H375" s="1366">
        <f>+IF(ISBLANK(REPORTS!N337),"",REPORTS!N337)</f>
        <v>189.64174066923826</v>
      </c>
      <c r="I375" s="1366">
        <f>+IF(ISBLANK(REPORTS!O337),"",REPORTS!O337)</f>
        <v>109.48647147567513</v>
      </c>
      <c r="J375" s="1366">
        <f>+IF(ISBLANK(REPORTS!P337),"",REPORTS!P337)</f>
        <v>31.191344012645786</v>
      </c>
      <c r="K375" s="1366">
        <f>+IF(ISBLANK(REPORTS!Q337),"",REPORTS!Q337)</f>
        <v>270.20520854205262</v>
      </c>
    </row>
    <row r="376" spans="1:13" ht="15" thickBot="1">
      <c r="A376" s="1393">
        <v>130</v>
      </c>
      <c r="B376" s="1324" t="s">
        <v>5388</v>
      </c>
      <c r="D376" s="1380">
        <f>+IF(ISBLANK(REPORTS!J338),"",REPORTS!J338)</f>
        <v>392397.56630826223</v>
      </c>
      <c r="E376" s="1380">
        <f>+IF(ISBLANK(REPORTS!K338),"",REPORTS!K338)</f>
        <v>246369.57939783856</v>
      </c>
      <c r="F376" s="1380">
        <f>+IF(ISBLANK(REPORTS!L338),"",REPORTS!L338)</f>
        <v>23423.98078003684</v>
      </c>
      <c r="G376" s="1380">
        <f>+IF(ISBLANK(REPORTS!M338),"",REPORTS!M338)</f>
        <v>93280.569841913486</v>
      </c>
      <c r="H376" s="1380">
        <f>+IF(ISBLANK(REPORTS!N338),"",REPORTS!N338)</f>
        <v>11406.674782008935</v>
      </c>
      <c r="I376" s="1380">
        <f>+IF(ISBLANK(REPORTS!O338),"",REPORTS!O338)</f>
        <v>6969.1425685837794</v>
      </c>
      <c r="J376" s="1380">
        <f>+IF(ISBLANK(REPORTS!P338),"",REPORTS!P338)</f>
        <v>847.37398268008428</v>
      </c>
      <c r="K376" s="1380">
        <f>+IF(ISBLANK(REPORTS!Q338),"",REPORTS!Q338)</f>
        <v>10100.244955200616</v>
      </c>
    </row>
    <row r="377" spans="1:13" ht="15" thickTop="1"/>
    <row r="395" spans="12:13">
      <c r="L395" s="1364"/>
      <c r="M395" s="1326"/>
    </row>
    <row r="396" spans="12:13">
      <c r="L396" s="1364"/>
      <c r="M396" s="1326"/>
    </row>
    <row r="397" spans="12:13">
      <c r="L397" s="1364"/>
      <c r="M397" s="1326"/>
    </row>
    <row r="398" spans="12:13">
      <c r="L398" s="1358"/>
    </row>
    <row r="422" spans="1:13">
      <c r="A422" s="1732" t="str">
        <f>+$A$1</f>
        <v>RATES WITH REVENUE DEFICIENCY ADDITION</v>
      </c>
      <c r="F422" s="1329" t="s">
        <v>2173</v>
      </c>
      <c r="G422" s="1329"/>
      <c r="H422" s="1329"/>
      <c r="I422" s="1329"/>
      <c r="M422" s="1334" t="s">
        <v>5403</v>
      </c>
    </row>
    <row r="423" spans="1:13">
      <c r="A423" s="1732" t="str">
        <f>+$A$2</f>
        <v>PROD. CAP. ALLOC. METHOD: 12 CP &amp; 1/13th AD</v>
      </c>
      <c r="B423" s="1364"/>
      <c r="F423" s="1336" t="s">
        <v>5141</v>
      </c>
      <c r="G423" s="1336"/>
      <c r="H423" s="1336"/>
      <c r="I423" s="1336"/>
      <c r="L423" s="1331"/>
      <c r="M423" s="1409"/>
    </row>
    <row r="424" spans="1:13">
      <c r="A424" s="1732" t="str">
        <f>+$A$3</f>
        <v>PROJECTED CALENDAR YEAR 2025; FULLY ADJUSTED DATA</v>
      </c>
      <c r="F424" s="1336" t="s">
        <v>2181</v>
      </c>
      <c r="M424" s="1358"/>
    </row>
    <row r="425" spans="1:13">
      <c r="A425" s="1732" t="str">
        <f>+$A$4</f>
        <v>MINIMUM DISTRIBUTION SYSTEM (MDS) NOT EMPLOYED</v>
      </c>
      <c r="E425" s="1364"/>
      <c r="F425" s="1336"/>
      <c r="G425" s="1336"/>
      <c r="H425" s="1336"/>
      <c r="I425" s="1336"/>
      <c r="M425" s="1358"/>
    </row>
    <row r="426" spans="1:13">
      <c r="A426" s="1732" t="str">
        <f>+$A$5</f>
        <v>Tampa Electric 2025 OB Budget</v>
      </c>
      <c r="E426" s="1364"/>
      <c r="F426" s="1336" t="s">
        <v>5391</v>
      </c>
      <c r="G426" s="1336"/>
      <c r="H426" s="1336"/>
      <c r="I426" s="1336"/>
      <c r="M426" s="1358"/>
    </row>
    <row r="427" spans="1:13">
      <c r="E427" s="1364"/>
      <c r="F427" s="1336"/>
      <c r="G427" s="1336"/>
      <c r="H427" s="1336"/>
      <c r="I427" s="1336"/>
      <c r="M427" s="1358"/>
    </row>
    <row r="428" spans="1:13">
      <c r="E428" s="1364"/>
      <c r="F428" s="1336"/>
      <c r="G428" s="1336"/>
      <c r="H428" s="1336"/>
      <c r="I428" s="1336"/>
      <c r="M428" s="1358"/>
    </row>
    <row r="429" spans="1:13">
      <c r="A429" s="1439"/>
      <c r="B429" s="1364"/>
      <c r="C429" s="1364"/>
      <c r="E429" s="1364"/>
      <c r="M429" s="1358"/>
    </row>
    <row r="430" spans="1:13">
      <c r="A430" s="1735"/>
      <c r="B430" s="1447"/>
      <c r="C430" s="1447"/>
      <c r="D430" s="1416"/>
      <c r="E430" s="1336"/>
      <c r="F430" s="1416"/>
      <c r="G430" s="1416"/>
      <c r="H430" s="1416"/>
      <c r="I430" s="1416"/>
      <c r="J430" s="1336"/>
      <c r="K430" s="1336"/>
      <c r="L430" s="1333"/>
      <c r="M430" s="1358"/>
    </row>
    <row r="431" spans="1:13" ht="28.2">
      <c r="A431" s="1737" t="s">
        <v>4297</v>
      </c>
      <c r="B431" s="1741"/>
      <c r="C431" s="1741"/>
      <c r="D431" s="1352" t="s">
        <v>4957</v>
      </c>
      <c r="E431" s="1353" t="s">
        <v>1949</v>
      </c>
      <c r="F431" s="1353" t="s">
        <v>1950</v>
      </c>
      <c r="G431" s="1353" t="s">
        <v>1934</v>
      </c>
      <c r="H431" s="1353" t="s">
        <v>1971</v>
      </c>
      <c r="I431" s="1353" t="s">
        <v>1972</v>
      </c>
      <c r="J431" s="1352" t="s">
        <v>5146</v>
      </c>
      <c r="K431" s="1352" t="s">
        <v>5147</v>
      </c>
      <c r="L431" s="1355"/>
      <c r="M431" s="1348" t="s">
        <v>5299</v>
      </c>
    </row>
    <row r="432" spans="1:13">
      <c r="A432" s="1439"/>
      <c r="B432" s="1364"/>
      <c r="C432" s="1364"/>
      <c r="E432" s="1364"/>
      <c r="M432" s="1358"/>
    </row>
    <row r="433" spans="1:13" ht="30" customHeight="1">
      <c r="A433" s="1439">
        <v>1</v>
      </c>
      <c r="B433" s="1450" t="s">
        <v>5392</v>
      </c>
      <c r="C433" s="1364"/>
      <c r="E433" s="1364"/>
      <c r="M433" s="1436"/>
    </row>
    <row r="434" spans="1:13">
      <c r="A434" s="1439">
        <v>2</v>
      </c>
      <c r="B434" s="1324" t="s">
        <v>4813</v>
      </c>
      <c r="C434" s="1364" t="s">
        <v>4067</v>
      </c>
      <c r="D434" s="1364">
        <f>+IF(ISBLANK(REPORTS!J356),"",REPORTS!J356)</f>
        <v>190419.46700762311</v>
      </c>
      <c r="E434" s="1324">
        <f>+IF(ISBLANK(REPORTS!K356),"",REPORTS!K356)</f>
        <v>109341.65077517518</v>
      </c>
      <c r="F434" s="1324">
        <f>+IF(ISBLANK(REPORTS!L356),"",REPORTS!L356)</f>
        <v>9092.9222800846746</v>
      </c>
      <c r="G434" s="1324">
        <f>+IF(ISBLANK(REPORTS!M356),"",REPORTS!M356)</f>
        <v>58848.577511457435</v>
      </c>
      <c r="H434" s="1324">
        <f>+IF(ISBLANK(REPORTS!N356),"",REPORTS!N356)</f>
        <v>7521.2464884588017</v>
      </c>
      <c r="I434" s="1324">
        <f>+IF(ISBLANK(REPORTS!O356),"",REPORTS!O356)</f>
        <v>5413.0646949353377</v>
      </c>
      <c r="J434" s="1324">
        <f>+IF(ISBLANK(REPORTS!P356),"",REPORTS!P356)</f>
        <v>202.00525751169633</v>
      </c>
      <c r="K434" s="1324">
        <f>+IF(ISBLANK(REPORTS!Q356),"",REPORTS!Q356)</f>
        <v>0</v>
      </c>
      <c r="L434" s="1324"/>
      <c r="M434" s="1324">
        <v>122</v>
      </c>
    </row>
    <row r="435" spans="1:13">
      <c r="A435" s="1439">
        <v>3</v>
      </c>
      <c r="B435" s="1324" t="s">
        <v>5393</v>
      </c>
      <c r="C435" s="1364" t="s">
        <v>4067</v>
      </c>
      <c r="D435" s="1364">
        <f>+IF(ISBLANK(REPORTS!J357),"",REPORTS!J357)</f>
        <v>70700.31160999999</v>
      </c>
      <c r="E435" s="1324">
        <f>+IF(ISBLANK(REPORTS!K357),"",REPORTS!K357)</f>
        <v>40597.155864569271</v>
      </c>
      <c r="F435" s="1324">
        <f>+IF(ISBLANK(REPORTS!L357),"",REPORTS!L357)</f>
        <v>3376.085695176123</v>
      </c>
      <c r="G435" s="1324">
        <f>+IF(ISBLANK(REPORTS!M357),"",REPORTS!M357)</f>
        <v>21849.723839940776</v>
      </c>
      <c r="H435" s="1324">
        <f>+IF(ISBLANK(REPORTS!N357),"",REPORTS!N357)</f>
        <v>2792.542583938477</v>
      </c>
      <c r="I435" s="1324">
        <f>+IF(ISBLANK(REPORTS!O357),"",REPORTS!O357)</f>
        <v>2009.8016589958052</v>
      </c>
      <c r="J435" s="1324">
        <f>+IF(ISBLANK(REPORTS!P357),"",REPORTS!P357)</f>
        <v>75.001967379540417</v>
      </c>
      <c r="K435" s="1324">
        <f>+IF(ISBLANK(REPORTS!Q357),"",REPORTS!Q357)</f>
        <v>0</v>
      </c>
      <c r="L435" s="1324"/>
      <c r="M435" s="1324">
        <v>121</v>
      </c>
    </row>
    <row r="436" spans="1:13">
      <c r="A436" s="1439">
        <v>4</v>
      </c>
      <c r="B436" s="1324" t="s">
        <v>4814</v>
      </c>
      <c r="C436" s="1364" t="s">
        <v>2067</v>
      </c>
      <c r="D436" s="1366">
        <f>+IF(ISBLANK(REPORTS!J358),"",REPORTS!J358)</f>
        <v>24171.775932376906</v>
      </c>
      <c r="E436" s="1366">
        <f>+IF(ISBLANK(REPORTS!K358),"",REPORTS!K358)</f>
        <v>12197.904452943767</v>
      </c>
      <c r="F436" s="1366">
        <f>+IF(ISBLANK(REPORTS!L358),"",REPORTS!L358)</f>
        <v>1127.2291639031462</v>
      </c>
      <c r="G436" s="1366">
        <f>+IF(ISBLANK(REPORTS!M358),"",REPORTS!M358)</f>
        <v>8397.4194408385283</v>
      </c>
      <c r="H436" s="1366">
        <f>+IF(ISBLANK(REPORTS!N358),"",REPORTS!N358)</f>
        <v>1336.7341548727738</v>
      </c>
      <c r="I436" s="1366">
        <f>+IF(ISBLANK(REPORTS!O358),"",REPORTS!O358)</f>
        <v>984.78791142917646</v>
      </c>
      <c r="J436" s="1366">
        <f>+IF(ISBLANK(REPORTS!P358),"",REPORTS!P358)</f>
        <v>127.70080838951519</v>
      </c>
      <c r="K436" s="1366">
        <f>+IF(ISBLANK(REPORTS!Q358),"",REPORTS!Q358)</f>
        <v>0</v>
      </c>
      <c r="L436" s="1364"/>
      <c r="M436" s="1324">
        <v>201</v>
      </c>
    </row>
    <row r="437" spans="1:13">
      <c r="A437" s="1439">
        <v>5</v>
      </c>
      <c r="B437" s="1364" t="s">
        <v>5394</v>
      </c>
      <c r="C437" s="1364"/>
      <c r="D437" s="1364">
        <f>+IF(ISBLANK(REPORTS!J359),"",REPORTS!J359)</f>
        <v>285291.55455</v>
      </c>
      <c r="E437" s="1364">
        <f>+IF(ISBLANK(REPORTS!K359),"",REPORTS!K359)</f>
        <v>162136.7110926882</v>
      </c>
      <c r="F437" s="1364">
        <f>+IF(ISBLANK(REPORTS!L359),"",REPORTS!L359)</f>
        <v>13596.237139163944</v>
      </c>
      <c r="G437" s="1364">
        <f>+IF(ISBLANK(REPORTS!M359),"",REPORTS!M359)</f>
        <v>89095.720792236738</v>
      </c>
      <c r="H437" s="1364">
        <f>+IF(ISBLANK(REPORTS!N359),"",REPORTS!N359)</f>
        <v>11650.523227270052</v>
      </c>
      <c r="I437" s="1364">
        <f>+IF(ISBLANK(REPORTS!O359),"",REPORTS!O359)</f>
        <v>8407.6542653603192</v>
      </c>
      <c r="J437" s="1364">
        <f>+IF(ISBLANK(REPORTS!P359),"",REPORTS!P359)</f>
        <v>404.70803328075198</v>
      </c>
      <c r="K437" s="1364">
        <f>+IF(ISBLANK(REPORTS!Q359),"",REPORTS!Q359)</f>
        <v>0</v>
      </c>
      <c r="L437" s="1364"/>
      <c r="M437" s="1324"/>
    </row>
    <row r="438" spans="1:13">
      <c r="A438" s="1439">
        <v>6</v>
      </c>
      <c r="B438" s="1364"/>
      <c r="C438" s="1364"/>
      <c r="D438" s="1364" t="str">
        <f>+IF(ISBLANK(REPORTS!J360),"",REPORTS!J360)</f>
        <v/>
      </c>
      <c r="E438" s="1364" t="str">
        <f>+IF(ISBLANK(REPORTS!K360),"",REPORTS!K360)</f>
        <v/>
      </c>
      <c r="F438" s="1364" t="str">
        <f>+IF(ISBLANK(REPORTS!L360),"",REPORTS!L360)</f>
        <v/>
      </c>
      <c r="G438" s="1364" t="str">
        <f>+IF(ISBLANK(REPORTS!M360),"",REPORTS!M360)</f>
        <v/>
      </c>
      <c r="H438" s="1364" t="str">
        <f>+IF(ISBLANK(REPORTS!N360),"",REPORTS!N360)</f>
        <v/>
      </c>
      <c r="I438" s="1364" t="str">
        <f>+IF(ISBLANK(REPORTS!O360),"",REPORTS!O360)</f>
        <v/>
      </c>
      <c r="J438" s="1364" t="str">
        <f>+IF(ISBLANK(REPORTS!P360),"",REPORTS!P360)</f>
        <v/>
      </c>
      <c r="K438" s="1364" t="str">
        <f>+IF(ISBLANK(REPORTS!Q360),"",REPORTS!Q360)</f>
        <v/>
      </c>
      <c r="L438" s="1364"/>
      <c r="M438" s="1324"/>
    </row>
    <row r="439" spans="1:13">
      <c r="A439" s="1439">
        <v>7</v>
      </c>
      <c r="B439" s="1364"/>
      <c r="C439" s="1364"/>
      <c r="D439" s="1364" t="str">
        <f>+IF(ISBLANK(REPORTS!J361),"",REPORTS!J361)</f>
        <v/>
      </c>
      <c r="E439" s="1364" t="str">
        <f>+IF(ISBLANK(REPORTS!K361),"",REPORTS!K361)</f>
        <v/>
      </c>
      <c r="F439" s="1364" t="str">
        <f>+IF(ISBLANK(REPORTS!L361),"",REPORTS!L361)</f>
        <v/>
      </c>
      <c r="G439" s="1364" t="str">
        <f>+IF(ISBLANK(REPORTS!M361),"",REPORTS!M361)</f>
        <v/>
      </c>
      <c r="H439" s="1364" t="str">
        <f>+IF(ISBLANK(REPORTS!N361),"",REPORTS!N361)</f>
        <v/>
      </c>
      <c r="I439" s="1364" t="str">
        <f>+IF(ISBLANK(REPORTS!O361),"",REPORTS!O361)</f>
        <v/>
      </c>
      <c r="J439" s="1364" t="str">
        <f>+IF(ISBLANK(REPORTS!P361),"",REPORTS!P361)</f>
        <v/>
      </c>
      <c r="K439" s="1364" t="str">
        <f>+IF(ISBLANK(REPORTS!Q361),"",REPORTS!Q361)</f>
        <v/>
      </c>
      <c r="L439" s="1364"/>
      <c r="M439" s="1324"/>
    </row>
    <row r="440" spans="1:13">
      <c r="A440" s="1439">
        <v>8</v>
      </c>
      <c r="B440" s="1450" t="s">
        <v>5396</v>
      </c>
      <c r="C440" s="1364"/>
      <c r="D440" s="1364" t="str">
        <f>+IF(ISBLANK(REPORTS!J362),"",REPORTS!J362)</f>
        <v/>
      </c>
      <c r="E440" s="1364" t="str">
        <f>+IF(ISBLANK(REPORTS!K362),"",REPORTS!K362)</f>
        <v/>
      </c>
      <c r="F440" s="1364" t="str">
        <f>+IF(ISBLANK(REPORTS!L362),"",REPORTS!L362)</f>
        <v/>
      </c>
      <c r="G440" s="1364" t="str">
        <f>+IF(ISBLANK(REPORTS!M362),"",REPORTS!M362)</f>
        <v/>
      </c>
      <c r="H440" s="1364" t="str">
        <f>+IF(ISBLANK(REPORTS!N362),"",REPORTS!N362)</f>
        <v/>
      </c>
      <c r="I440" s="1364" t="str">
        <f>+IF(ISBLANK(REPORTS!O362),"",REPORTS!O362)</f>
        <v/>
      </c>
      <c r="J440" s="1364" t="str">
        <f>+IF(ISBLANK(REPORTS!P362),"",REPORTS!P362)</f>
        <v/>
      </c>
      <c r="K440" s="1364" t="str">
        <f>+IF(ISBLANK(REPORTS!Q362),"",REPORTS!Q362)</f>
        <v/>
      </c>
      <c r="L440" s="1364"/>
      <c r="M440" s="1324"/>
    </row>
    <row r="441" spans="1:13">
      <c r="A441" s="1439">
        <v>9</v>
      </c>
      <c r="B441" s="1364" t="s">
        <v>5397</v>
      </c>
      <c r="C441" s="1364" t="s">
        <v>4067</v>
      </c>
      <c r="D441" s="1364">
        <f>+IF(ISBLANK(REPORTS!J363),"",REPORTS!J363)</f>
        <v>4399.5250740593683</v>
      </c>
      <c r="E441" s="1364">
        <f>+IF(ISBLANK(REPORTS!K363),"",REPORTS!K363)</f>
        <v>2526.2718239053156</v>
      </c>
      <c r="F441" s="1364">
        <f>+IF(ISBLANK(REPORTS!L363),"",REPORTS!L363)</f>
        <v>210.08639608314886</v>
      </c>
      <c r="G441" s="1364">
        <f>+IF(ISBLANK(REPORTS!M363),"",REPORTS!M363)</f>
        <v>1359.660314163249</v>
      </c>
      <c r="H441" s="1364">
        <f>+IF(ISBLANK(REPORTS!N363),"",REPORTS!N363)</f>
        <v>173.77379022298584</v>
      </c>
      <c r="I441" s="1364">
        <f>+IF(ISBLANK(REPORTS!O363),"",REPORTS!O363)</f>
        <v>125.0655420221303</v>
      </c>
      <c r="J441" s="1364">
        <f>+IF(ISBLANK(REPORTS!P363),"",REPORTS!P363)</f>
        <v>4.6672076625387726</v>
      </c>
      <c r="K441" s="1364">
        <f>+IF(ISBLANK(REPORTS!Q363),"",REPORTS!Q363)</f>
        <v>0</v>
      </c>
      <c r="L441" s="1324"/>
      <c r="M441" s="1324">
        <v>122</v>
      </c>
    </row>
    <row r="442" spans="1:13">
      <c r="A442" s="1439">
        <v>10</v>
      </c>
      <c r="B442" s="1364" t="s">
        <v>5398</v>
      </c>
      <c r="C442" s="1364" t="s">
        <v>4067</v>
      </c>
      <c r="D442" s="1366">
        <f>+IF(ISBLANK(REPORTS!J364),"",REPORTS!J364)</f>
        <v>0</v>
      </c>
      <c r="E442" s="1366">
        <f>+IF(ISBLANK(REPORTS!K364),"",REPORTS!K364)</f>
        <v>0</v>
      </c>
      <c r="F442" s="1366">
        <f>+IF(ISBLANK(REPORTS!L364),"",REPORTS!L364)</f>
        <v>0</v>
      </c>
      <c r="G442" s="1366">
        <f>+IF(ISBLANK(REPORTS!M364),"",REPORTS!M364)</f>
        <v>0</v>
      </c>
      <c r="H442" s="1366">
        <f>+IF(ISBLANK(REPORTS!N364),"",REPORTS!N364)</f>
        <v>0</v>
      </c>
      <c r="I442" s="1366">
        <f>+IF(ISBLANK(REPORTS!O364),"",REPORTS!O364)</f>
        <v>0</v>
      </c>
      <c r="J442" s="1366">
        <f>+IF(ISBLANK(REPORTS!P364),"",REPORTS!P364)</f>
        <v>0</v>
      </c>
      <c r="K442" s="1366">
        <f>+IF(ISBLANK(REPORTS!Q364),"",REPORTS!Q364)</f>
        <v>0</v>
      </c>
      <c r="L442" s="1324"/>
      <c r="M442" s="1324">
        <v>121</v>
      </c>
    </row>
    <row r="443" spans="1:13">
      <c r="A443" s="1439">
        <v>11</v>
      </c>
      <c r="B443" s="1364" t="s">
        <v>5399</v>
      </c>
      <c r="C443" s="1364"/>
      <c r="D443" s="1421">
        <f>+IF(ISBLANK(REPORTS!J365),"",REPORTS!J365)</f>
        <v>4399.5250740593683</v>
      </c>
      <c r="E443" s="1421">
        <f>+IF(ISBLANK(REPORTS!K365),"",REPORTS!K365)</f>
        <v>2526.2718239053156</v>
      </c>
      <c r="F443" s="1421">
        <f>+IF(ISBLANK(REPORTS!L365),"",REPORTS!L365)</f>
        <v>210.08639608314886</v>
      </c>
      <c r="G443" s="1421">
        <f>+IF(ISBLANK(REPORTS!M365),"",REPORTS!M365)</f>
        <v>1359.660314163249</v>
      </c>
      <c r="H443" s="1421">
        <f>+IF(ISBLANK(REPORTS!N365),"",REPORTS!N365)</f>
        <v>173.77379022298584</v>
      </c>
      <c r="I443" s="1421">
        <f>+IF(ISBLANK(REPORTS!O365),"",REPORTS!O365)</f>
        <v>125.0655420221303</v>
      </c>
      <c r="J443" s="1421">
        <f>+IF(ISBLANK(REPORTS!P365),"",REPORTS!P365)</f>
        <v>4.6672076625387726</v>
      </c>
      <c r="K443" s="1421">
        <f>+IF(ISBLANK(REPORTS!Q365),"",REPORTS!Q365)</f>
        <v>0</v>
      </c>
      <c r="L443" s="1324"/>
      <c r="M443" s="1324"/>
    </row>
    <row r="444" spans="1:13">
      <c r="A444" s="1439">
        <v>12</v>
      </c>
      <c r="B444" s="1364"/>
      <c r="C444" s="1364"/>
      <c r="D444" s="1364" t="str">
        <f>+IF(ISBLANK(REPORTS!J366),"",REPORTS!J366)</f>
        <v/>
      </c>
      <c r="E444" s="1364" t="str">
        <f>+IF(ISBLANK(REPORTS!K366),"",REPORTS!K366)</f>
        <v/>
      </c>
      <c r="F444" s="1364" t="str">
        <f>+IF(ISBLANK(REPORTS!L366),"",REPORTS!L366)</f>
        <v/>
      </c>
      <c r="G444" s="1364" t="str">
        <f>+IF(ISBLANK(REPORTS!M366),"",REPORTS!M366)</f>
        <v/>
      </c>
      <c r="H444" s="1364" t="str">
        <f>+IF(ISBLANK(REPORTS!N366),"",REPORTS!N366)</f>
        <v/>
      </c>
      <c r="I444" s="1364" t="str">
        <f>+IF(ISBLANK(REPORTS!O366),"",REPORTS!O366)</f>
        <v/>
      </c>
      <c r="J444" s="1364" t="str">
        <f>+IF(ISBLANK(REPORTS!P366),"",REPORTS!P366)</f>
        <v/>
      </c>
      <c r="K444" s="1364" t="str">
        <f>+IF(ISBLANK(REPORTS!Q366),"",REPORTS!Q366)</f>
        <v/>
      </c>
      <c r="L444" s="1364"/>
      <c r="M444" s="1324"/>
    </row>
    <row r="445" spans="1:13">
      <c r="A445" s="1439">
        <v>13</v>
      </c>
      <c r="B445" s="1364" t="s">
        <v>5292</v>
      </c>
      <c r="C445" s="1364" t="s">
        <v>4067</v>
      </c>
      <c r="D445" s="1366">
        <f>+IF(ISBLANK(REPORTS!J367),"",REPORTS!J367)</f>
        <v>13061.504586473768</v>
      </c>
      <c r="E445" s="1366">
        <f>+IF(ISBLANK(REPORTS!K367),"",REPORTS!K367)</f>
        <v>7575.842983790516</v>
      </c>
      <c r="F445" s="1366">
        <f>+IF(ISBLANK(REPORTS!L367),"",REPORTS!L367)</f>
        <v>624.93063200504741</v>
      </c>
      <c r="G445" s="1366">
        <f>+IF(ISBLANK(REPORTS!M367),"",REPORTS!M367)</f>
        <v>3994.8675729862475</v>
      </c>
      <c r="H445" s="1366">
        <f>+IF(ISBLANK(REPORTS!N367),"",REPORTS!N367)</f>
        <v>498.70624814726176</v>
      </c>
      <c r="I445" s="1366">
        <f>+IF(ISBLANK(REPORTS!O367),"",REPORTS!O367)</f>
        <v>357.89663933842866</v>
      </c>
      <c r="J445" s="1366">
        <f>+IF(ISBLANK(REPORTS!P367),"",REPORTS!P367)</f>
        <v>9.2605102062669573</v>
      </c>
      <c r="K445" s="1366">
        <f>+IF(ISBLANK(REPORTS!Q367),"",REPORTS!Q367)</f>
        <v>0</v>
      </c>
      <c r="L445" s="1364"/>
      <c r="M445" s="1324">
        <v>117</v>
      </c>
    </row>
    <row r="446" spans="1:13">
      <c r="A446" s="1439">
        <v>14</v>
      </c>
      <c r="B446" s="1364"/>
      <c r="C446" s="1364"/>
      <c r="D446" s="1364" t="str">
        <f>+IF(ISBLANK(REPORTS!J368),"",REPORTS!J368)</f>
        <v/>
      </c>
      <c r="E446" s="1364" t="str">
        <f>+IF(ISBLANK(REPORTS!K368),"",REPORTS!K368)</f>
        <v/>
      </c>
      <c r="F446" s="1324" t="str">
        <f>+IF(ISBLANK(REPORTS!L368),"",REPORTS!L368)</f>
        <v/>
      </c>
      <c r="G446" s="1324" t="str">
        <f>+IF(ISBLANK(REPORTS!M368),"",REPORTS!M368)</f>
        <v/>
      </c>
      <c r="H446" s="1324" t="str">
        <f>+IF(ISBLANK(REPORTS!N368),"",REPORTS!N368)</f>
        <v/>
      </c>
      <c r="I446" s="1324" t="str">
        <f>+IF(ISBLANK(REPORTS!O368),"",REPORTS!O368)</f>
        <v/>
      </c>
      <c r="J446" s="1324" t="str">
        <f>+IF(ISBLANK(REPORTS!P368),"",REPORTS!P368)</f>
        <v/>
      </c>
      <c r="K446" s="1324" t="str">
        <f>+IF(ISBLANK(REPORTS!Q368),"",REPORTS!Q368)</f>
        <v/>
      </c>
      <c r="L446" s="1324"/>
      <c r="M446" s="1324"/>
    </row>
    <row r="447" spans="1:13">
      <c r="A447" s="1439">
        <v>15</v>
      </c>
      <c r="B447" s="1364" t="s">
        <v>1953</v>
      </c>
      <c r="C447" s="1364"/>
      <c r="D447" s="1364" t="str">
        <f>+IF(ISBLANK(REPORTS!J369),"",REPORTS!J369)</f>
        <v/>
      </c>
      <c r="E447" s="1364" t="str">
        <f>+IF(ISBLANK(REPORTS!K369),"",REPORTS!K369)</f>
        <v/>
      </c>
      <c r="F447" s="1324" t="str">
        <f>+IF(ISBLANK(REPORTS!L369),"",REPORTS!L369)</f>
        <v/>
      </c>
      <c r="G447" s="1324" t="str">
        <f>+IF(ISBLANK(REPORTS!M369),"",REPORTS!M369)</f>
        <v/>
      </c>
      <c r="H447" s="1324" t="str">
        <f>+IF(ISBLANK(REPORTS!N369),"",REPORTS!N369)</f>
        <v/>
      </c>
      <c r="I447" s="1324" t="str">
        <f>+IF(ISBLANK(REPORTS!O369),"",REPORTS!O369)</f>
        <v/>
      </c>
      <c r="J447" s="1324" t="str">
        <f>+IF(ISBLANK(REPORTS!P369),"",REPORTS!P369)</f>
        <v/>
      </c>
      <c r="K447" s="1324" t="str">
        <f>+IF(ISBLANK(REPORTS!Q369),"",REPORTS!Q369)</f>
        <v/>
      </c>
      <c r="L447" s="1324"/>
      <c r="M447" s="1324"/>
    </row>
    <row r="448" spans="1:13">
      <c r="A448" s="1439">
        <v>16</v>
      </c>
      <c r="B448" s="1364" t="s">
        <v>5293</v>
      </c>
      <c r="C448" s="1364" t="s">
        <v>4067</v>
      </c>
      <c r="D448" s="1364">
        <f>+IF(ISBLANK(REPORTS!J370),"",REPORTS!J370)</f>
        <v>5099.1215445554908</v>
      </c>
      <c r="E448" s="1364">
        <f>+IF(ISBLANK(REPORTS!K370),"",REPORTS!K370)</f>
        <v>2957.5569890179709</v>
      </c>
      <c r="F448" s="1364">
        <f>+IF(ISBLANK(REPORTS!L370),"",REPORTS!L370)</f>
        <v>243.96862003245727</v>
      </c>
      <c r="G448" s="1364">
        <f>+IF(ISBLANK(REPORTS!M370),"",REPORTS!M370)</f>
        <v>1559.5688210495573</v>
      </c>
      <c r="H448" s="1364">
        <f>+IF(ISBLANK(REPORTS!N370),"",REPORTS!N370)</f>
        <v>194.69148883242605</v>
      </c>
      <c r="I448" s="1364">
        <f>+IF(ISBLANK(REPORTS!O370),"",REPORTS!O370)</f>
        <v>139.72038613870552</v>
      </c>
      <c r="J448" s="1364">
        <f>+IF(ISBLANK(REPORTS!P370),"",REPORTS!P370)</f>
        <v>3.6152394843739843</v>
      </c>
      <c r="K448" s="1364">
        <f>+IF(ISBLANK(REPORTS!Q370),"",REPORTS!Q370)</f>
        <v>0</v>
      </c>
      <c r="L448" s="1364"/>
      <c r="M448" s="1324">
        <v>117</v>
      </c>
    </row>
    <row r="449" spans="1:13">
      <c r="A449" s="1439">
        <v>17</v>
      </c>
      <c r="B449" s="1364" t="s">
        <v>5294</v>
      </c>
      <c r="C449" s="1364" t="s">
        <v>4067</v>
      </c>
      <c r="D449" s="1366">
        <f>+IF(ISBLANK(REPORTS!J371),"",REPORTS!J371)</f>
        <v>7611.4193975512253</v>
      </c>
      <c r="E449" s="1366">
        <f>+IF(ISBLANK(REPORTS!K371),"",REPORTS!K371)</f>
        <v>4414.7225044303123</v>
      </c>
      <c r="F449" s="1366">
        <f>+IF(ISBLANK(REPORTS!L371),"",REPORTS!L371)</f>
        <v>364.17007727371725</v>
      </c>
      <c r="G449" s="1366">
        <f>+IF(ISBLANK(REPORTS!M371),"",REPORTS!M371)</f>
        <v>2327.9563494671502</v>
      </c>
      <c r="H449" s="1366">
        <f>+IF(ISBLANK(REPORTS!N371),"",REPORTS!N371)</f>
        <v>290.61448362993201</v>
      </c>
      <c r="I449" s="1366">
        <f>+IF(ISBLANK(REPORTS!O371),"",REPORTS!O371)</f>
        <v>208.55954265789072</v>
      </c>
      <c r="J449" s="1366">
        <f>+IF(ISBLANK(REPORTS!P371),"",REPORTS!P371)</f>
        <v>5.3964400922229832</v>
      </c>
      <c r="K449" s="1366">
        <f>+IF(ISBLANK(REPORTS!Q371),"",REPORTS!Q371)</f>
        <v>0</v>
      </c>
      <c r="L449" s="1364"/>
      <c r="M449" s="1324">
        <v>117</v>
      </c>
    </row>
    <row r="450" spans="1:13">
      <c r="A450" s="1439">
        <v>18</v>
      </c>
      <c r="B450" s="1364" t="s">
        <v>1953</v>
      </c>
      <c r="C450" s="1364"/>
      <c r="D450" s="1366">
        <f>+IF(ISBLANK(REPORTS!J372),"",REPORTS!J372)</f>
        <v>12710.540942106716</v>
      </c>
      <c r="E450" s="1366">
        <f>+IF(ISBLANK(REPORTS!K372),"",REPORTS!K372)</f>
        <v>7372.2794934482827</v>
      </c>
      <c r="F450" s="1366">
        <f>+IF(ISBLANK(REPORTS!L372),"",REPORTS!L372)</f>
        <v>608.13869730617455</v>
      </c>
      <c r="G450" s="1366">
        <f>+IF(ISBLANK(REPORTS!M372),"",REPORTS!M372)</f>
        <v>3887.5251705167075</v>
      </c>
      <c r="H450" s="1366">
        <f>+IF(ISBLANK(REPORTS!N372),"",REPORTS!N372)</f>
        <v>485.30597246235806</v>
      </c>
      <c r="I450" s="1366">
        <f>+IF(ISBLANK(REPORTS!O372),"",REPORTS!O372)</f>
        <v>348.27992879659621</v>
      </c>
      <c r="J450" s="1366">
        <f>+IF(ISBLANK(REPORTS!P372),"",REPORTS!P372)</f>
        <v>9.0116795765969684</v>
      </c>
      <c r="K450" s="1366">
        <f>+IF(ISBLANK(REPORTS!Q372),"",REPORTS!Q372)</f>
        <v>0</v>
      </c>
      <c r="L450" s="1364"/>
      <c r="M450" s="1324"/>
    </row>
    <row r="451" spans="1:13">
      <c r="A451" s="1439">
        <v>19</v>
      </c>
      <c r="B451" s="1364"/>
      <c r="C451" s="1364"/>
      <c r="D451" s="1364" t="str">
        <f>+IF(ISBLANK(REPORTS!J373),"",REPORTS!J373)</f>
        <v/>
      </c>
      <c r="E451" s="1364" t="str">
        <f>+IF(ISBLANK(REPORTS!K373),"",REPORTS!K373)</f>
        <v/>
      </c>
      <c r="F451" s="1364" t="str">
        <f>+IF(ISBLANK(REPORTS!L373),"",REPORTS!L373)</f>
        <v/>
      </c>
      <c r="G451" s="1364" t="str">
        <f>+IF(ISBLANK(REPORTS!M373),"",REPORTS!M373)</f>
        <v/>
      </c>
      <c r="H451" s="1364" t="str">
        <f>+IF(ISBLANK(REPORTS!N373),"",REPORTS!N373)</f>
        <v/>
      </c>
      <c r="I451" s="1364" t="str">
        <f>+IF(ISBLANK(REPORTS!O373),"",REPORTS!O373)</f>
        <v/>
      </c>
      <c r="J451" s="1364" t="str">
        <f>+IF(ISBLANK(REPORTS!P373),"",REPORTS!P373)</f>
        <v/>
      </c>
      <c r="K451" s="1364" t="str">
        <f>+IF(ISBLANK(REPORTS!Q373),"",REPORTS!Q373)</f>
        <v/>
      </c>
      <c r="L451" s="1364"/>
      <c r="M451" s="1324"/>
    </row>
    <row r="452" spans="1:13">
      <c r="A452" s="1439">
        <v>20</v>
      </c>
      <c r="B452" s="1364" t="s">
        <v>5401</v>
      </c>
      <c r="C452" s="1364"/>
      <c r="D452" s="1366">
        <f>+IF(ISBLANK(REPORTS!J374),"",REPORTS!J374)</f>
        <v>30171.570602639851</v>
      </c>
      <c r="E452" s="1366">
        <f>+IF(ISBLANK(REPORTS!K374),"",REPORTS!K374)</f>
        <v>17474.394301144115</v>
      </c>
      <c r="F452" s="1366">
        <f>+IF(ISBLANK(REPORTS!L374),"",REPORTS!L374)</f>
        <v>1443.1557253943708</v>
      </c>
      <c r="G452" s="1366">
        <f>+IF(ISBLANK(REPORTS!M374),"",REPORTS!M374)</f>
        <v>9242.053057666204</v>
      </c>
      <c r="H452" s="1366">
        <f>+IF(ISBLANK(REPORTS!N374),"",REPORTS!N374)</f>
        <v>1157.7860108326056</v>
      </c>
      <c r="I452" s="1366">
        <f>+IF(ISBLANK(REPORTS!O374),"",REPORTS!O374)</f>
        <v>831.24211015715514</v>
      </c>
      <c r="J452" s="1366">
        <f>+IF(ISBLANK(REPORTS!P374),"",REPORTS!P374)</f>
        <v>22.939397445402697</v>
      </c>
      <c r="K452" s="1366">
        <f>+IF(ISBLANK(REPORTS!Q374),"",REPORTS!Q374)</f>
        <v>0</v>
      </c>
      <c r="L452" s="1364"/>
      <c r="M452" s="1324"/>
    </row>
    <row r="453" spans="1:13">
      <c r="A453" s="1439"/>
      <c r="B453" s="1364"/>
      <c r="C453" s="1364"/>
      <c r="D453" s="1364"/>
      <c r="E453" s="1364"/>
      <c r="L453" s="1324"/>
      <c r="M453" s="1324"/>
    </row>
    <row r="456" spans="1:13">
      <c r="A456" s="1439"/>
      <c r="B456" s="1364"/>
      <c r="C456" s="1364"/>
      <c r="D456" s="1364"/>
      <c r="E456" s="1364"/>
    </row>
    <row r="457" spans="1:13">
      <c r="A457" s="1439"/>
      <c r="B457" s="1364"/>
      <c r="C457" s="1364"/>
      <c r="D457" s="1364"/>
      <c r="E457" s="1364"/>
    </row>
    <row r="458" spans="1:13">
      <c r="A458" s="1439"/>
      <c r="B458" s="1364"/>
      <c r="C458" s="1364"/>
      <c r="D458" s="1364"/>
      <c r="E458" s="1364"/>
    </row>
    <row r="459" spans="1:13">
      <c r="A459" s="1439"/>
      <c r="B459" s="1364"/>
      <c r="C459" s="1364"/>
      <c r="D459" s="1364"/>
      <c r="E459" s="1364"/>
    </row>
    <row r="460" spans="1:13">
      <c r="A460" s="1439"/>
      <c r="B460" s="1364"/>
      <c r="C460" s="1364"/>
      <c r="D460" s="1364"/>
      <c r="E460" s="1364"/>
    </row>
    <row r="461" spans="1:13">
      <c r="A461" s="1439"/>
      <c r="B461" s="1364"/>
      <c r="C461" s="1364"/>
      <c r="D461" s="1364"/>
      <c r="E461" s="1364"/>
    </row>
    <row r="462" spans="1:13">
      <c r="A462" s="1439"/>
      <c r="B462" s="1364"/>
      <c r="C462" s="1364"/>
      <c r="D462" s="1364"/>
      <c r="E462" s="1364"/>
    </row>
    <row r="463" spans="1:13">
      <c r="A463" s="1439"/>
      <c r="B463" s="1364"/>
      <c r="C463" s="1364"/>
      <c r="D463" s="1364"/>
      <c r="E463" s="1364"/>
    </row>
    <row r="464" spans="1:13">
      <c r="A464" s="1439"/>
      <c r="B464" s="1364"/>
      <c r="C464" s="1364"/>
      <c r="D464" s="1364"/>
      <c r="E464" s="1364"/>
    </row>
    <row r="465" spans="1:5">
      <c r="A465" s="1439"/>
      <c r="B465" s="1364"/>
      <c r="C465" s="1364"/>
      <c r="D465" s="1364"/>
      <c r="E465" s="1364"/>
    </row>
    <row r="466" spans="1:5">
      <c r="A466" s="1439"/>
      <c r="B466" s="1364"/>
      <c r="C466" s="1364"/>
      <c r="D466" s="1364"/>
      <c r="E466" s="1364"/>
    </row>
    <row r="467" spans="1:5">
      <c r="A467" s="1439"/>
      <c r="B467" s="1364"/>
      <c r="C467" s="1364"/>
      <c r="D467" s="1364"/>
      <c r="E467" s="1364"/>
    </row>
    <row r="468" spans="1:5">
      <c r="A468" s="1439"/>
      <c r="B468" s="1364"/>
      <c r="C468" s="1364"/>
      <c r="D468" s="1364"/>
      <c r="E468" s="1364"/>
    </row>
    <row r="469" spans="1:5">
      <c r="A469" s="1439"/>
      <c r="B469" s="1364"/>
      <c r="C469" s="1364"/>
      <c r="D469" s="1364"/>
      <c r="E469" s="1364"/>
    </row>
    <row r="470" spans="1:5">
      <c r="A470" s="1439"/>
      <c r="B470" s="1364"/>
      <c r="C470" s="1364"/>
      <c r="D470" s="1364"/>
      <c r="E470" s="1364"/>
    </row>
    <row r="471" spans="1:5">
      <c r="A471" s="1439"/>
      <c r="B471" s="1364"/>
      <c r="C471" s="1364"/>
      <c r="D471" s="1364"/>
      <c r="E471" s="1364"/>
    </row>
    <row r="472" spans="1:5">
      <c r="A472" s="1439"/>
      <c r="B472" s="1364"/>
      <c r="C472" s="1364"/>
      <c r="D472" s="1364"/>
      <c r="E472" s="1364"/>
    </row>
    <row r="473" spans="1:5">
      <c r="A473" s="1439"/>
      <c r="B473" s="1364"/>
      <c r="C473" s="1364"/>
      <c r="D473" s="1364"/>
      <c r="E473" s="1364"/>
    </row>
    <row r="474" spans="1:5">
      <c r="A474" s="1439"/>
      <c r="B474" s="1364"/>
      <c r="C474" s="1364"/>
      <c r="D474" s="1364"/>
      <c r="E474" s="1364"/>
    </row>
    <row r="475" spans="1:5">
      <c r="A475" s="1439"/>
      <c r="B475" s="1364"/>
      <c r="C475" s="1364"/>
      <c r="D475" s="1364"/>
      <c r="E475" s="1364"/>
    </row>
    <row r="476" spans="1:5">
      <c r="A476" s="1439"/>
      <c r="B476" s="1364"/>
      <c r="C476" s="1364"/>
      <c r="D476" s="1364"/>
      <c r="E476" s="1364"/>
    </row>
    <row r="477" spans="1:5">
      <c r="A477" s="1439"/>
      <c r="B477" s="1364"/>
      <c r="C477" s="1364"/>
      <c r="D477" s="1364"/>
      <c r="E477" s="1364"/>
    </row>
    <row r="478" spans="1:5">
      <c r="A478" s="1439"/>
      <c r="B478" s="1364"/>
      <c r="C478" s="1364"/>
      <c r="D478" s="1364"/>
      <c r="E478" s="1364"/>
    </row>
    <row r="479" spans="1:5">
      <c r="A479" s="1439"/>
      <c r="B479" s="1364"/>
      <c r="C479" s="1364"/>
      <c r="D479" s="1364"/>
      <c r="E479" s="1364"/>
    </row>
    <row r="480" spans="1:5">
      <c r="A480" s="1439"/>
      <c r="B480" s="1364"/>
      <c r="C480" s="1364"/>
      <c r="D480" s="1364"/>
      <c r="E480" s="1364"/>
    </row>
    <row r="481" spans="1:13">
      <c r="A481" s="1732" t="str">
        <f>+$A$1</f>
        <v>RATES WITH REVENUE DEFICIENCY ADDITION</v>
      </c>
      <c r="F481" s="1329" t="s">
        <v>2173</v>
      </c>
      <c r="G481" s="1329"/>
      <c r="H481" s="1329"/>
      <c r="I481" s="1329"/>
      <c r="M481" s="1334" t="s">
        <v>5433</v>
      </c>
    </row>
    <row r="482" spans="1:13">
      <c r="A482" s="1732" t="str">
        <f>+$A$2</f>
        <v>PROD. CAP. ALLOC. METHOD: 12 CP &amp; 1/13th AD</v>
      </c>
      <c r="B482" s="1364"/>
      <c r="F482" s="1336" t="s">
        <v>5141</v>
      </c>
      <c r="G482" s="1336"/>
      <c r="H482" s="1336"/>
      <c r="I482" s="1336"/>
      <c r="L482" s="1331"/>
      <c r="M482" s="1409"/>
    </row>
    <row r="483" spans="1:13">
      <c r="A483" s="1732" t="str">
        <f>+$A$3</f>
        <v>PROJECTED CALENDAR YEAR 2025; FULLY ADJUSTED DATA</v>
      </c>
      <c r="F483" s="1336" t="s">
        <v>2181</v>
      </c>
    </row>
    <row r="484" spans="1:13">
      <c r="A484" s="1732" t="str">
        <f>+$A$4</f>
        <v>MINIMUM DISTRIBUTION SYSTEM (MDS) NOT EMPLOYED</v>
      </c>
      <c r="E484" s="1364"/>
      <c r="F484" s="1336"/>
      <c r="G484" s="1336"/>
      <c r="H484" s="1336"/>
      <c r="I484" s="1336"/>
    </row>
    <row r="485" spans="1:13">
      <c r="A485" s="1732" t="str">
        <f>+$A$5</f>
        <v>Tampa Electric 2025 OB Budget</v>
      </c>
      <c r="E485" s="1364"/>
      <c r="F485" s="1336" t="s">
        <v>5391</v>
      </c>
      <c r="G485" s="1336"/>
      <c r="H485" s="1336"/>
      <c r="I485" s="1336"/>
    </row>
    <row r="486" spans="1:13">
      <c r="E486" s="1364"/>
      <c r="F486" s="1336"/>
      <c r="G486" s="1336"/>
      <c r="H486" s="1336"/>
      <c r="I486" s="1336"/>
    </row>
    <row r="487" spans="1:13">
      <c r="E487" s="1364"/>
      <c r="F487" s="1336"/>
      <c r="G487" s="1336"/>
      <c r="H487" s="1336"/>
      <c r="I487" s="1336"/>
    </row>
    <row r="488" spans="1:13">
      <c r="A488" s="1439"/>
      <c r="B488" s="1364"/>
      <c r="C488" s="1364"/>
      <c r="E488" s="1364"/>
    </row>
    <row r="489" spans="1:13">
      <c r="A489" s="1439"/>
      <c r="B489" s="1364"/>
      <c r="C489" s="1364"/>
      <c r="E489" s="1364"/>
    </row>
    <row r="490" spans="1:13" ht="28.2">
      <c r="A490" s="1737" t="s">
        <v>4297</v>
      </c>
      <c r="B490" s="1741"/>
      <c r="C490" s="1741"/>
      <c r="D490" s="1352" t="s">
        <v>4957</v>
      </c>
      <c r="E490" s="1353" t="s">
        <v>1949</v>
      </c>
      <c r="F490" s="1353" t="s">
        <v>1950</v>
      </c>
      <c r="G490" s="1353" t="s">
        <v>1934</v>
      </c>
      <c r="H490" s="1353" t="s">
        <v>1971</v>
      </c>
      <c r="I490" s="1353" t="s">
        <v>1972</v>
      </c>
      <c r="J490" s="1352" t="s">
        <v>5146</v>
      </c>
      <c r="K490" s="1352" t="s">
        <v>5147</v>
      </c>
      <c r="L490" s="1355"/>
      <c r="M490" s="1348" t="s">
        <v>5299</v>
      </c>
    </row>
    <row r="491" spans="1:13">
      <c r="A491" s="1439"/>
      <c r="B491" s="1364"/>
      <c r="C491" s="1364"/>
      <c r="E491" s="1364"/>
    </row>
    <row r="492" spans="1:13">
      <c r="A492" s="1439">
        <v>21</v>
      </c>
      <c r="B492" s="1450" t="s">
        <v>4132</v>
      </c>
      <c r="C492" s="1364"/>
      <c r="E492" s="1364"/>
    </row>
    <row r="493" spans="1:13">
      <c r="A493" s="1439">
        <v>22</v>
      </c>
      <c r="B493" s="1364" t="s">
        <v>5293</v>
      </c>
      <c r="C493" s="1364" t="s">
        <v>4067</v>
      </c>
      <c r="D493" s="1364">
        <f>+IF(ISBLANK(REPORTS!J392),"",REPORTS!J392)</f>
        <v>9806.7207300000009</v>
      </c>
      <c r="E493" s="1364">
        <f>+IF(ISBLANK(REPORTS!K392),"",REPORTS!K392)</f>
        <v>6103.8600083192796</v>
      </c>
      <c r="F493" s="1364">
        <f>+IF(ISBLANK(REPORTS!L392),"",REPORTS!L392)</f>
        <v>434.12183263503931</v>
      </c>
      <c r="G493" s="1364">
        <f>+IF(ISBLANK(REPORTS!M392),"",REPORTS!M392)</f>
        <v>2906.7167238333827</v>
      </c>
      <c r="H493" s="1364">
        <f>+IF(ISBLANK(REPORTS!N392),"",REPORTS!N392)</f>
        <v>305.72815663925502</v>
      </c>
      <c r="I493" s="1364">
        <f>+IF(ISBLANK(REPORTS!O392),"",REPORTS!O392)</f>
        <v>2.087452294183024E-4</v>
      </c>
      <c r="J493" s="1364">
        <f>+IF(ISBLANK(REPORTS!P392),"",REPORTS!P392)</f>
        <v>56.293799827817068</v>
      </c>
      <c r="K493" s="1364">
        <f>+IF(ISBLANK(REPORTS!Q392),"",REPORTS!Q392)</f>
        <v>0</v>
      </c>
      <c r="L493" s="1358"/>
      <c r="M493" s="1320">
        <v>105</v>
      </c>
    </row>
    <row r="494" spans="1:13">
      <c r="A494" s="1439">
        <v>23</v>
      </c>
      <c r="B494" s="1364"/>
      <c r="C494" s="1364"/>
      <c r="D494" s="1324" t="str">
        <f>+IF(ISBLANK(REPORTS!J393),"",REPORTS!J393)</f>
        <v/>
      </c>
      <c r="E494" s="1364" t="str">
        <f>+IF(ISBLANK(REPORTS!K393),"",REPORTS!K393)</f>
        <v/>
      </c>
      <c r="F494" s="1364" t="str">
        <f>+IF(ISBLANK(REPORTS!L393),"",REPORTS!L393)</f>
        <v/>
      </c>
      <c r="G494" s="1364" t="str">
        <f>+IF(ISBLANK(REPORTS!M393),"",REPORTS!M393)</f>
        <v/>
      </c>
      <c r="H494" s="1364" t="str">
        <f>+IF(ISBLANK(REPORTS!N393),"",REPORTS!N393)</f>
        <v/>
      </c>
      <c r="I494" s="1364" t="str">
        <f>+IF(ISBLANK(REPORTS!O393),"",REPORTS!O393)</f>
        <v/>
      </c>
      <c r="J494" s="1364" t="str">
        <f>+IF(ISBLANK(REPORTS!P393),"",REPORTS!P393)</f>
        <v/>
      </c>
      <c r="K494" s="1364" t="str">
        <f>+IF(ISBLANK(REPORTS!Q393),"",REPORTS!Q393)</f>
        <v/>
      </c>
      <c r="L494" s="1358"/>
    </row>
    <row r="495" spans="1:13">
      <c r="A495" s="1439">
        <v>24</v>
      </c>
      <c r="B495" s="1364" t="s">
        <v>5405</v>
      </c>
      <c r="C495" s="1364" t="s">
        <v>4071</v>
      </c>
      <c r="D495" s="1364">
        <f>+IF(ISBLANK(REPORTS!J394),"",REPORTS!J394)</f>
        <v>2044.6598045826174</v>
      </c>
      <c r="E495" s="1364">
        <f>+IF(ISBLANK(REPORTS!K394),"",REPORTS!K394)</f>
        <v>0</v>
      </c>
      <c r="F495" s="1364">
        <f>+IF(ISBLANK(REPORTS!L394),"",REPORTS!L394)</f>
        <v>0</v>
      </c>
      <c r="G495" s="1364">
        <f>+IF(ISBLANK(REPORTS!M394),"",REPORTS!M394)</f>
        <v>0</v>
      </c>
      <c r="H495" s="1364">
        <f>+IF(ISBLANK(REPORTS!N394),"",REPORTS!N394)</f>
        <v>0</v>
      </c>
      <c r="I495" s="1364">
        <f>+IF(ISBLANK(REPORTS!O394),"",REPORTS!O394)</f>
        <v>0</v>
      </c>
      <c r="J495" s="1364">
        <f>+IF(ISBLANK(REPORTS!P394),"",REPORTS!P394)</f>
        <v>0</v>
      </c>
      <c r="K495" s="1364">
        <f>+IF(ISBLANK(REPORTS!Q394),"",REPORTS!Q394)</f>
        <v>2044.6598045826174</v>
      </c>
      <c r="L495" s="1358"/>
      <c r="M495" s="1320">
        <v>310</v>
      </c>
    </row>
    <row r="496" spans="1:13">
      <c r="A496" s="1439">
        <v>25</v>
      </c>
      <c r="B496" s="1364" t="s">
        <v>5406</v>
      </c>
      <c r="C496" s="1364" t="s">
        <v>4067</v>
      </c>
      <c r="D496" s="1364">
        <f>+IF(ISBLANK(REPORTS!J395),"",REPORTS!J395)</f>
        <v>19187.392134374531</v>
      </c>
      <c r="E496" s="1364">
        <f>+IF(ISBLANK(REPORTS!K395),"",REPORTS!K395)</f>
        <v>11942.540094434666</v>
      </c>
      <c r="F496" s="1364">
        <f>+IF(ISBLANK(REPORTS!L395),"",REPORTS!L395)</f>
        <v>849.3834041159455</v>
      </c>
      <c r="G496" s="1364">
        <f>+IF(ISBLANK(REPORTS!M395),"",REPORTS!M395)</f>
        <v>5687.1522233850292</v>
      </c>
      <c r="H496" s="1364">
        <f>+IF(ISBLANK(REPORTS!N395),"",REPORTS!N395)</f>
        <v>598.17406750573048</v>
      </c>
      <c r="I496" s="1364">
        <f>+IF(ISBLANK(REPORTS!O395),"",REPORTS!O395)</f>
        <v>4.0842160017632543E-4</v>
      </c>
      <c r="J496" s="1364">
        <f>+IF(ISBLANK(REPORTS!P395),"",REPORTS!P395)</f>
        <v>110.14193651156532</v>
      </c>
      <c r="K496" s="1364">
        <f>+IF(ISBLANK(REPORTS!Q395),"",REPORTS!Q395)</f>
        <v>0</v>
      </c>
      <c r="L496" s="1358"/>
      <c r="M496" s="1320">
        <v>105</v>
      </c>
    </row>
    <row r="497" spans="1:13">
      <c r="A497" s="1439">
        <v>26</v>
      </c>
      <c r="B497" s="1364" t="s">
        <v>5407</v>
      </c>
      <c r="C497" s="1364" t="s">
        <v>4071</v>
      </c>
      <c r="D497" s="1364">
        <f>+IF(ISBLANK(REPORTS!J396),"",REPORTS!J396)</f>
        <v>0</v>
      </c>
      <c r="E497" s="1364">
        <f>+IF(ISBLANK(REPORTS!K396),"",REPORTS!K396)</f>
        <v>0</v>
      </c>
      <c r="F497" s="1364">
        <f>+IF(ISBLANK(REPORTS!L396),"",REPORTS!L396)</f>
        <v>0</v>
      </c>
      <c r="G497" s="1364">
        <f>+IF(ISBLANK(REPORTS!M396),"",REPORTS!M396)</f>
        <v>0</v>
      </c>
      <c r="H497" s="1364">
        <f>+IF(ISBLANK(REPORTS!N396),"",REPORTS!N396)</f>
        <v>0</v>
      </c>
      <c r="I497" s="1364">
        <f>+IF(ISBLANK(REPORTS!O396),"",REPORTS!O396)</f>
        <v>0</v>
      </c>
      <c r="J497" s="1364">
        <f>+IF(ISBLANK(REPORTS!P396),"",REPORTS!P396)</f>
        <v>0</v>
      </c>
      <c r="K497" s="1364">
        <f>+IF(ISBLANK(REPORTS!Q396),"",REPORTS!Q396)</f>
        <v>0</v>
      </c>
      <c r="L497" s="1364"/>
      <c r="M497" s="1324">
        <v>418</v>
      </c>
    </row>
    <row r="498" spans="1:13">
      <c r="A498" s="1439">
        <v>27</v>
      </c>
      <c r="B498" s="1364" t="s">
        <v>5408</v>
      </c>
      <c r="C498" s="1364" t="s">
        <v>4067</v>
      </c>
      <c r="D498" s="1364">
        <f>+IF(ISBLANK(REPORTS!J397),"",REPORTS!J397)</f>
        <v>5762.4819510428561</v>
      </c>
      <c r="E498" s="1364">
        <f>+IF(ISBLANK(REPORTS!K397),"",REPORTS!K397)</f>
        <v>4204.4984990825833</v>
      </c>
      <c r="F498" s="1364">
        <f>+IF(ISBLANK(REPORTS!L397),"",REPORTS!L397)</f>
        <v>338.54557263721745</v>
      </c>
      <c r="G498" s="1364">
        <f>+IF(ISBLANK(REPORTS!M397),"",REPORTS!M397)</f>
        <v>1198.5925145759909</v>
      </c>
      <c r="H498" s="1364">
        <f>+IF(ISBLANK(REPORTS!N397),"",REPORTS!N397)</f>
        <v>0</v>
      </c>
      <c r="I498" s="1364">
        <f>+IF(ISBLANK(REPORTS!O397),"",REPORTS!O397)</f>
        <v>0</v>
      </c>
      <c r="J498" s="1364">
        <f>+IF(ISBLANK(REPORTS!P397),"",REPORTS!P397)</f>
        <v>20.845364747064494</v>
      </c>
      <c r="K498" s="1364">
        <f>+IF(ISBLANK(REPORTS!Q397),"",REPORTS!Q397)</f>
        <v>0</v>
      </c>
      <c r="L498" s="1364"/>
      <c r="M498" s="1324">
        <v>106</v>
      </c>
    </row>
    <row r="499" spans="1:13">
      <c r="A499" s="1439">
        <v>28</v>
      </c>
      <c r="B499" s="1364" t="s">
        <v>5409</v>
      </c>
      <c r="C499" s="1364" t="s">
        <v>4071</v>
      </c>
      <c r="D499" s="1364">
        <f>+IF(ISBLANK(REPORTS!J398),"",REPORTS!J398)</f>
        <v>0</v>
      </c>
      <c r="E499" s="1364">
        <f>+IF(ISBLANK(REPORTS!K398),"",REPORTS!K398)</f>
        <v>0</v>
      </c>
      <c r="F499" s="1364">
        <f>+IF(ISBLANK(REPORTS!L398),"",REPORTS!L398)</f>
        <v>0</v>
      </c>
      <c r="G499" s="1364">
        <f>+IF(ISBLANK(REPORTS!M398),"",REPORTS!M398)</f>
        <v>0</v>
      </c>
      <c r="H499" s="1364">
        <f>+IF(ISBLANK(REPORTS!N398),"",REPORTS!N398)</f>
        <v>0</v>
      </c>
      <c r="I499" s="1364">
        <f>+IF(ISBLANK(REPORTS!O398),"",REPORTS!O398)</f>
        <v>0</v>
      </c>
      <c r="J499" s="1364">
        <f>+IF(ISBLANK(REPORTS!P398),"",REPORTS!P398)</f>
        <v>0</v>
      </c>
      <c r="K499" s="1364">
        <f>+IF(ISBLANK(REPORTS!Q398),"",REPORTS!Q398)</f>
        <v>0</v>
      </c>
      <c r="L499" s="1364"/>
      <c r="M499" s="1324">
        <v>420</v>
      </c>
    </row>
    <row r="500" spans="1:13">
      <c r="A500" s="1439">
        <v>29</v>
      </c>
      <c r="B500" s="1364" t="s">
        <v>5410</v>
      </c>
      <c r="C500" s="1364"/>
      <c r="D500" s="1421">
        <f>+IF(ISBLANK(REPORTS!J399),"",REPORTS!J399)</f>
        <v>26994.533890000006</v>
      </c>
      <c r="E500" s="1421">
        <f>+IF(ISBLANK(REPORTS!K399),"",REPORTS!K399)</f>
        <v>16147.038593517249</v>
      </c>
      <c r="F500" s="1421">
        <f>+IF(ISBLANK(REPORTS!L399),"",REPORTS!L399)</f>
        <v>1187.9289767531629</v>
      </c>
      <c r="G500" s="1421">
        <f>+IF(ISBLANK(REPORTS!M399),"",REPORTS!M399)</f>
        <v>6885.7447379610203</v>
      </c>
      <c r="H500" s="1421">
        <f>+IF(ISBLANK(REPORTS!N399),"",REPORTS!N399)</f>
        <v>598.17406750573048</v>
      </c>
      <c r="I500" s="1421">
        <f>+IF(ISBLANK(REPORTS!O399),"",REPORTS!O399)</f>
        <v>4.0842160017632543E-4</v>
      </c>
      <c r="J500" s="1421">
        <f>+IF(ISBLANK(REPORTS!P399),"",REPORTS!P399)</f>
        <v>130.98730125862983</v>
      </c>
      <c r="K500" s="1421">
        <f>+IF(ISBLANK(REPORTS!Q399),"",REPORTS!Q399)</f>
        <v>2044.6598045826174</v>
      </c>
      <c r="L500" s="1364"/>
      <c r="M500" s="1324"/>
    </row>
    <row r="501" spans="1:13">
      <c r="A501" s="1439">
        <v>30</v>
      </c>
      <c r="B501" s="1364"/>
      <c r="C501" s="1364"/>
      <c r="D501" s="1324" t="str">
        <f>+IF(ISBLANK(REPORTS!J400),"",REPORTS!J400)</f>
        <v/>
      </c>
      <c r="E501" s="1364" t="str">
        <f>+IF(ISBLANK(REPORTS!K400),"",REPORTS!K400)</f>
        <v/>
      </c>
      <c r="F501" s="1364" t="str">
        <f>+IF(ISBLANK(REPORTS!L400),"",REPORTS!L400)</f>
        <v/>
      </c>
      <c r="G501" s="1364" t="str">
        <f>+IF(ISBLANK(REPORTS!M400),"",REPORTS!M400)</f>
        <v/>
      </c>
      <c r="H501" s="1364" t="str">
        <f>+IF(ISBLANK(REPORTS!N400),"",REPORTS!N400)</f>
        <v/>
      </c>
      <c r="I501" s="1364" t="str">
        <f>+IF(ISBLANK(REPORTS!O400),"",REPORTS!O400)</f>
        <v/>
      </c>
      <c r="J501" s="1364" t="str">
        <f>+IF(ISBLANK(REPORTS!P400),"",REPORTS!P400)</f>
        <v/>
      </c>
      <c r="K501" s="1364" t="str">
        <f>+IF(ISBLANK(REPORTS!Q400),"",REPORTS!Q400)</f>
        <v/>
      </c>
      <c r="L501" s="1364"/>
      <c r="M501" s="1324"/>
    </row>
    <row r="502" spans="1:13">
      <c r="A502" s="1439">
        <v>31</v>
      </c>
      <c r="B502" s="1364" t="s">
        <v>5301</v>
      </c>
      <c r="C502" s="1364" t="s">
        <v>4071</v>
      </c>
      <c r="D502" s="1364">
        <f>+IF(ISBLANK(REPORTS!J401),"",REPORTS!J401)</f>
        <v>107.01148424700513</v>
      </c>
      <c r="E502" s="1364">
        <f>+IF(ISBLANK(REPORTS!K401),"",REPORTS!K401)</f>
        <v>0</v>
      </c>
      <c r="F502" s="1364">
        <f>+IF(ISBLANK(REPORTS!L401),"",REPORTS!L401)</f>
        <v>0</v>
      </c>
      <c r="G502" s="1364">
        <f>+IF(ISBLANK(REPORTS!M401),"",REPORTS!M401)</f>
        <v>0</v>
      </c>
      <c r="H502" s="1364">
        <f>+IF(ISBLANK(REPORTS!N401),"",REPORTS!N401)</f>
        <v>0</v>
      </c>
      <c r="I502" s="1364">
        <f>+IF(ISBLANK(REPORTS!O401),"",REPORTS!O401)</f>
        <v>0</v>
      </c>
      <c r="J502" s="1364">
        <f>+IF(ISBLANK(REPORTS!P401),"",REPORTS!P401)</f>
        <v>0</v>
      </c>
      <c r="K502" s="1364">
        <f>+IF(ISBLANK(REPORTS!Q401),"",REPORTS!Q401)</f>
        <v>107.01148424700513</v>
      </c>
      <c r="L502" s="1364"/>
      <c r="M502" s="1324">
        <v>310</v>
      </c>
    </row>
    <row r="503" spans="1:13">
      <c r="A503" s="1439">
        <v>32</v>
      </c>
      <c r="B503" s="1364" t="s">
        <v>5303</v>
      </c>
      <c r="C503" s="1364" t="s">
        <v>4067</v>
      </c>
      <c r="D503" s="1364">
        <f>+IF(ISBLANK(REPORTS!J402),"",REPORTS!J402)</f>
        <v>5930.0781825408103</v>
      </c>
      <c r="E503" s="1364">
        <f>+IF(ISBLANK(REPORTS!K402),"",REPORTS!K402)</f>
        <v>3690.9756136817741</v>
      </c>
      <c r="F503" s="1364">
        <f>+IF(ISBLANK(REPORTS!L402),"",REPORTS!L402)</f>
        <v>262.51144283107158</v>
      </c>
      <c r="G503" s="1364">
        <f>+IF(ISBLANK(REPORTS!M402),"",REPORTS!M402)</f>
        <v>1757.678015047426</v>
      </c>
      <c r="H503" s="1364">
        <f>+IF(ISBLANK(REPORTS!N402),"",REPORTS!N402)</f>
        <v>184.87238715065007</v>
      </c>
      <c r="I503" s="1364">
        <f>+IF(ISBLANK(REPORTS!O402),"",REPORTS!O402)</f>
        <v>1.2622726442042273E-4</v>
      </c>
      <c r="J503" s="1364">
        <f>+IF(ISBLANK(REPORTS!P402),"",REPORTS!P402)</f>
        <v>34.040597602625688</v>
      </c>
      <c r="K503" s="1364">
        <f>+IF(ISBLANK(REPORTS!Q402),"",REPORTS!Q402)</f>
        <v>0</v>
      </c>
      <c r="L503" s="1364"/>
      <c r="M503" s="1324">
        <v>105</v>
      </c>
    </row>
    <row r="504" spans="1:13">
      <c r="A504" s="1439">
        <v>33</v>
      </c>
      <c r="B504" s="1364" t="s">
        <v>5304</v>
      </c>
      <c r="C504" s="1364" t="s">
        <v>4071</v>
      </c>
      <c r="D504" s="1364">
        <f>+IF(ISBLANK(REPORTS!J403),"",REPORTS!J403)</f>
        <v>0</v>
      </c>
      <c r="E504" s="1364">
        <f>+IF(ISBLANK(REPORTS!K403),"",REPORTS!K403)</f>
        <v>0</v>
      </c>
      <c r="F504" s="1364">
        <f>+IF(ISBLANK(REPORTS!L403),"",REPORTS!L403)</f>
        <v>0</v>
      </c>
      <c r="G504" s="1364">
        <f>+IF(ISBLANK(REPORTS!M403),"",REPORTS!M403)</f>
        <v>0</v>
      </c>
      <c r="H504" s="1364">
        <f>+IF(ISBLANK(REPORTS!N403),"",REPORTS!N403)</f>
        <v>0</v>
      </c>
      <c r="I504" s="1364">
        <f>+IF(ISBLANK(REPORTS!O403),"",REPORTS!O403)</f>
        <v>0</v>
      </c>
      <c r="J504" s="1364">
        <f>+IF(ISBLANK(REPORTS!P403),"",REPORTS!P403)</f>
        <v>0</v>
      </c>
      <c r="K504" s="1364">
        <f>+IF(ISBLANK(REPORTS!Q403),"",REPORTS!Q403)</f>
        <v>0</v>
      </c>
      <c r="L504" s="1364"/>
      <c r="M504" s="1324">
        <v>418</v>
      </c>
    </row>
    <row r="505" spans="1:13">
      <c r="A505" s="1439">
        <v>34</v>
      </c>
      <c r="B505" s="1364" t="s">
        <v>5306</v>
      </c>
      <c r="C505" s="1364" t="s">
        <v>4067</v>
      </c>
      <c r="D505" s="1364">
        <f>+IF(ISBLANK(REPORTS!J404),"",REPORTS!J404)</f>
        <v>902.13325321218497</v>
      </c>
      <c r="E505" s="1364">
        <f>+IF(ISBLANK(REPORTS!K404),"",REPORTS!K404)</f>
        <v>658.22642766224783</v>
      </c>
      <c r="F505" s="1364">
        <f>+IF(ISBLANK(REPORTS!L404),"",REPORTS!L404)</f>
        <v>53.000290742519965</v>
      </c>
      <c r="G505" s="1364">
        <f>+IF(ISBLANK(REPORTS!M404),"",REPORTS!M404)</f>
        <v>187.64313253155217</v>
      </c>
      <c r="H505" s="1364">
        <f>+IF(ISBLANK(REPORTS!N404),"",REPORTS!N404)</f>
        <v>0</v>
      </c>
      <c r="I505" s="1364">
        <f>+IF(ISBLANK(REPORTS!O404),"",REPORTS!O404)</f>
        <v>0</v>
      </c>
      <c r="J505" s="1364">
        <f>+IF(ISBLANK(REPORTS!P404),"",REPORTS!P404)</f>
        <v>3.2634022758649386</v>
      </c>
      <c r="K505" s="1364">
        <f>+IF(ISBLANK(REPORTS!Q404),"",REPORTS!Q404)</f>
        <v>0</v>
      </c>
      <c r="L505" s="1364"/>
      <c r="M505" s="1324">
        <v>106</v>
      </c>
    </row>
    <row r="506" spans="1:13">
      <c r="A506" s="1439">
        <v>35</v>
      </c>
      <c r="B506" s="1364" t="s">
        <v>5307</v>
      </c>
      <c r="C506" s="1364" t="s">
        <v>4071</v>
      </c>
      <c r="D506" s="1364">
        <f>+IF(ISBLANK(REPORTS!J405),"",REPORTS!J405)</f>
        <v>0</v>
      </c>
      <c r="E506" s="1364">
        <f>+IF(ISBLANK(REPORTS!K405),"",REPORTS!K405)</f>
        <v>0</v>
      </c>
      <c r="F506" s="1364">
        <f>+IF(ISBLANK(REPORTS!L405),"",REPORTS!L405)</f>
        <v>0</v>
      </c>
      <c r="G506" s="1364">
        <f>+IF(ISBLANK(REPORTS!M405),"",REPORTS!M405)</f>
        <v>0</v>
      </c>
      <c r="H506" s="1364">
        <f>+IF(ISBLANK(REPORTS!N405),"",REPORTS!N405)</f>
        <v>0</v>
      </c>
      <c r="I506" s="1364">
        <f>+IF(ISBLANK(REPORTS!O405),"",REPORTS!O405)</f>
        <v>0</v>
      </c>
      <c r="J506" s="1364">
        <f>+IF(ISBLANK(REPORTS!P405),"",REPORTS!P405)</f>
        <v>0</v>
      </c>
      <c r="K506" s="1364">
        <f>+IF(ISBLANK(REPORTS!Q405),"",REPORTS!Q405)</f>
        <v>0</v>
      </c>
      <c r="L506" s="1364"/>
      <c r="M506" s="1324">
        <v>420</v>
      </c>
    </row>
    <row r="507" spans="1:13">
      <c r="A507" s="1439">
        <v>36</v>
      </c>
      <c r="B507" s="1364" t="s">
        <v>5308</v>
      </c>
      <c r="C507" s="1364"/>
      <c r="D507" s="1421">
        <f>+IF(ISBLANK(REPORTS!J406),"",REPORTS!J406)</f>
        <v>6939.2229200000002</v>
      </c>
      <c r="E507" s="1421">
        <f>+IF(ISBLANK(REPORTS!K406),"",REPORTS!K406)</f>
        <v>4349.2020413440223</v>
      </c>
      <c r="F507" s="1421">
        <f>+IF(ISBLANK(REPORTS!L406),"",REPORTS!L406)</f>
        <v>315.51173357359153</v>
      </c>
      <c r="G507" s="1421">
        <f>+IF(ISBLANK(REPORTS!M406),"",REPORTS!M406)</f>
        <v>1945.3211475789781</v>
      </c>
      <c r="H507" s="1421">
        <f>+IF(ISBLANK(REPORTS!N406),"",REPORTS!N406)</f>
        <v>184.87238715065007</v>
      </c>
      <c r="I507" s="1421">
        <f>+IF(ISBLANK(REPORTS!O406),"",REPORTS!O406)</f>
        <v>1.2622726442042273E-4</v>
      </c>
      <c r="J507" s="1421">
        <f>+IF(ISBLANK(REPORTS!P406),"",REPORTS!P406)</f>
        <v>37.303999878490629</v>
      </c>
      <c r="K507" s="1421">
        <f>+IF(ISBLANK(REPORTS!Q406),"",REPORTS!Q406)</f>
        <v>107.01148424700513</v>
      </c>
      <c r="L507" s="1364"/>
      <c r="M507" s="1324"/>
    </row>
    <row r="508" spans="1:13">
      <c r="A508" s="1439">
        <v>37</v>
      </c>
      <c r="B508" s="1364"/>
      <c r="C508" s="1364"/>
      <c r="D508" s="1324" t="str">
        <f>+IF(ISBLANK(REPORTS!J407),"",REPORTS!J407)</f>
        <v/>
      </c>
      <c r="E508" s="1364" t="str">
        <f>+IF(ISBLANK(REPORTS!K407),"",REPORTS!K407)</f>
        <v/>
      </c>
      <c r="F508" s="1364" t="str">
        <f>+IF(ISBLANK(REPORTS!L407),"",REPORTS!L407)</f>
        <v/>
      </c>
      <c r="G508" s="1364" t="str">
        <f>+IF(ISBLANK(REPORTS!M407),"",REPORTS!M407)</f>
        <v/>
      </c>
      <c r="H508" s="1364" t="str">
        <f>+IF(ISBLANK(REPORTS!N407),"",REPORTS!N407)</f>
        <v/>
      </c>
      <c r="I508" s="1364" t="str">
        <f>+IF(ISBLANK(REPORTS!O407),"",REPORTS!O407)</f>
        <v/>
      </c>
      <c r="J508" s="1364" t="str">
        <f>+IF(ISBLANK(REPORTS!P407),"",REPORTS!P407)</f>
        <v/>
      </c>
      <c r="K508" s="1364" t="str">
        <f>+IF(ISBLANK(REPORTS!Q407),"",REPORTS!Q407)</f>
        <v/>
      </c>
      <c r="L508" s="1364"/>
      <c r="M508" s="1324"/>
    </row>
    <row r="509" spans="1:13">
      <c r="A509" s="1439">
        <v>38</v>
      </c>
      <c r="B509" s="1364" t="s">
        <v>5310</v>
      </c>
      <c r="C509" s="1364" t="s">
        <v>4071</v>
      </c>
      <c r="D509" s="1364">
        <f>+IF(ISBLANK(REPORTS!J408),"",REPORTS!J408)</f>
        <v>10.151967899116032</v>
      </c>
      <c r="E509" s="1364">
        <f>+IF(ISBLANK(REPORTS!K408),"",REPORTS!K408)</f>
        <v>0</v>
      </c>
      <c r="F509" s="1364">
        <f>+IF(ISBLANK(REPORTS!L408),"",REPORTS!L408)</f>
        <v>0</v>
      </c>
      <c r="G509" s="1364">
        <f>+IF(ISBLANK(REPORTS!M408),"",REPORTS!M408)</f>
        <v>0</v>
      </c>
      <c r="H509" s="1364">
        <f>+IF(ISBLANK(REPORTS!N408),"",REPORTS!N408)</f>
        <v>0</v>
      </c>
      <c r="I509" s="1364">
        <f>+IF(ISBLANK(REPORTS!O408),"",REPORTS!O408)</f>
        <v>0</v>
      </c>
      <c r="J509" s="1364">
        <f>+IF(ISBLANK(REPORTS!P408),"",REPORTS!P408)</f>
        <v>0</v>
      </c>
      <c r="K509" s="1364">
        <f>+IF(ISBLANK(REPORTS!Q408),"",REPORTS!Q408)</f>
        <v>10.151967899116032</v>
      </c>
      <c r="L509" s="1364"/>
      <c r="M509" s="1324">
        <v>310</v>
      </c>
    </row>
    <row r="510" spans="1:13">
      <c r="A510" s="1439">
        <v>39</v>
      </c>
      <c r="B510" s="1364" t="s">
        <v>5311</v>
      </c>
      <c r="C510" s="1364" t="s">
        <v>4067</v>
      </c>
      <c r="D510" s="1364">
        <f>+IF(ISBLANK(REPORTS!J409),"",REPORTS!J409)</f>
        <v>19824.48663502411</v>
      </c>
      <c r="E510" s="1364">
        <f>+IF(ISBLANK(REPORTS!K409),"",REPORTS!K409)</f>
        <v>12339.077912845154</v>
      </c>
      <c r="F510" s="1364">
        <f>+IF(ISBLANK(REPORTS!L409),"",REPORTS!L409)</f>
        <v>877.58616830169592</v>
      </c>
      <c r="G510" s="1364">
        <f>+IF(ISBLANK(REPORTS!M409),"",REPORTS!M409)</f>
        <v>5875.9873386784984</v>
      </c>
      <c r="H510" s="1364">
        <f>+IF(ISBLANK(REPORTS!N409),"",REPORTS!N409)</f>
        <v>618.03572489878263</v>
      </c>
      <c r="I510" s="1364">
        <f>+IF(ISBLANK(REPORTS!O409),"",REPORTS!O409)</f>
        <v>4.2198275291644582E-4</v>
      </c>
      <c r="J510" s="1364">
        <f>+IF(ISBLANK(REPORTS!P409),"",REPORTS!P409)</f>
        <v>113.79906831723166</v>
      </c>
      <c r="K510" s="1364">
        <f>+IF(ISBLANK(REPORTS!Q409),"",REPORTS!Q409)</f>
        <v>0</v>
      </c>
      <c r="L510" s="1364"/>
      <c r="M510" s="1324">
        <v>105</v>
      </c>
    </row>
    <row r="511" spans="1:13">
      <c r="A511" s="1439">
        <v>40</v>
      </c>
      <c r="B511" s="1364" t="s">
        <v>5312</v>
      </c>
      <c r="C511" s="1364" t="s">
        <v>4071</v>
      </c>
      <c r="D511" s="1364">
        <f>+IF(ISBLANK(REPORTS!J410),"",REPORTS!J410)</f>
        <v>0</v>
      </c>
      <c r="E511" s="1364">
        <f>+IF(ISBLANK(REPORTS!K410),"",REPORTS!K410)</f>
        <v>0</v>
      </c>
      <c r="F511" s="1364">
        <f>+IF(ISBLANK(REPORTS!L410),"",REPORTS!L410)</f>
        <v>0</v>
      </c>
      <c r="G511" s="1364">
        <f>+IF(ISBLANK(REPORTS!M410),"",REPORTS!M410)</f>
        <v>0</v>
      </c>
      <c r="H511" s="1364">
        <f>+IF(ISBLANK(REPORTS!N410),"",REPORTS!N410)</f>
        <v>0</v>
      </c>
      <c r="I511" s="1364">
        <f>+IF(ISBLANK(REPORTS!O410),"",REPORTS!O410)</f>
        <v>0</v>
      </c>
      <c r="J511" s="1364">
        <f>+IF(ISBLANK(REPORTS!P410),"",REPORTS!P410)</f>
        <v>0</v>
      </c>
      <c r="K511" s="1364">
        <f>+IF(ISBLANK(REPORTS!Q410),"",REPORTS!Q410)</f>
        <v>0</v>
      </c>
      <c r="L511" s="1364"/>
      <c r="M511" s="1324">
        <v>418</v>
      </c>
    </row>
    <row r="512" spans="1:13">
      <c r="A512" s="1439">
        <v>41</v>
      </c>
      <c r="B512" s="1364" t="s">
        <v>5313</v>
      </c>
      <c r="C512" s="1364" t="s">
        <v>4067</v>
      </c>
      <c r="D512" s="1364">
        <f>+IF(ISBLANK(REPORTS!J411),"",REPORTS!J411)</f>
        <v>1511.5438770767803</v>
      </c>
      <c r="E512" s="1364">
        <f>+IF(ISBLANK(REPORTS!K411),"",REPORTS!K411)</f>
        <v>1102.8726886192942</v>
      </c>
      <c r="F512" s="1364">
        <f>+IF(ISBLANK(REPORTS!L411),"",REPORTS!L411)</f>
        <v>88.803139303304803</v>
      </c>
      <c r="G512" s="1364">
        <f>+IF(ISBLANK(REPORTS!M411),"",REPORTS!M411)</f>
        <v>314.40014769842821</v>
      </c>
      <c r="H512" s="1364">
        <f>+IF(ISBLANK(REPORTS!N411),"",REPORTS!N411)</f>
        <v>0</v>
      </c>
      <c r="I512" s="1364">
        <f>+IF(ISBLANK(REPORTS!O411),"",REPORTS!O411)</f>
        <v>0</v>
      </c>
      <c r="J512" s="1364">
        <f>+IF(ISBLANK(REPORTS!P411),"",REPORTS!P411)</f>
        <v>5.4679014557529797</v>
      </c>
      <c r="K512" s="1364">
        <f>+IF(ISBLANK(REPORTS!Q411),"",REPORTS!Q411)</f>
        <v>0</v>
      </c>
      <c r="L512" s="1364"/>
      <c r="M512" s="1324">
        <v>106</v>
      </c>
    </row>
    <row r="513" spans="1:13">
      <c r="A513" s="1439">
        <v>42</v>
      </c>
      <c r="B513" s="1364" t="s">
        <v>5314</v>
      </c>
      <c r="C513" s="1364" t="s">
        <v>4071</v>
      </c>
      <c r="D513" s="1364">
        <f>+IF(ISBLANK(REPORTS!J412),"",REPORTS!J412)</f>
        <v>0</v>
      </c>
      <c r="E513" s="1364">
        <f>+IF(ISBLANK(REPORTS!K412),"",REPORTS!K412)</f>
        <v>0</v>
      </c>
      <c r="F513" s="1364">
        <f>+IF(ISBLANK(REPORTS!L412),"",REPORTS!L412)</f>
        <v>0</v>
      </c>
      <c r="G513" s="1364">
        <f>+IF(ISBLANK(REPORTS!M412),"",REPORTS!M412)</f>
        <v>0</v>
      </c>
      <c r="H513" s="1364">
        <f>+IF(ISBLANK(REPORTS!N412),"",REPORTS!N412)</f>
        <v>0</v>
      </c>
      <c r="I513" s="1364">
        <f>+IF(ISBLANK(REPORTS!O412),"",REPORTS!O412)</f>
        <v>0</v>
      </c>
      <c r="J513" s="1364">
        <f>+IF(ISBLANK(REPORTS!P412),"",REPORTS!P412)</f>
        <v>0</v>
      </c>
      <c r="K513" s="1364">
        <f>+IF(ISBLANK(REPORTS!Q412),"",REPORTS!Q412)</f>
        <v>0</v>
      </c>
      <c r="L513" s="1364"/>
      <c r="M513" s="1324">
        <v>420</v>
      </c>
    </row>
    <row r="514" spans="1:13">
      <c r="A514" s="1439">
        <v>43</v>
      </c>
      <c r="B514" s="1364" t="s">
        <v>5413</v>
      </c>
      <c r="C514" s="1364"/>
      <c r="D514" s="1421">
        <f>+IF(ISBLANK(REPORTS!J413),"",REPORTS!J413)</f>
        <v>21346.182480000007</v>
      </c>
      <c r="E514" s="1421">
        <f>+IF(ISBLANK(REPORTS!K413),"",REPORTS!K413)</f>
        <v>13441.950601464448</v>
      </c>
      <c r="F514" s="1421">
        <f>+IF(ISBLANK(REPORTS!L413),"",REPORTS!L413)</f>
        <v>966.38930760500068</v>
      </c>
      <c r="G514" s="1421">
        <f>+IF(ISBLANK(REPORTS!M413),"",REPORTS!M413)</f>
        <v>6190.387486376927</v>
      </c>
      <c r="H514" s="1421">
        <f>+IF(ISBLANK(REPORTS!N413),"",REPORTS!N413)</f>
        <v>618.03572489878263</v>
      </c>
      <c r="I514" s="1421">
        <f>+IF(ISBLANK(REPORTS!O413),"",REPORTS!O413)</f>
        <v>4.2198275291644582E-4</v>
      </c>
      <c r="J514" s="1421">
        <f>+IF(ISBLANK(REPORTS!P413),"",REPORTS!P413)</f>
        <v>119.26696977298464</v>
      </c>
      <c r="K514" s="1421">
        <f>+IF(ISBLANK(REPORTS!Q413),"",REPORTS!Q413)</f>
        <v>10.151967899116032</v>
      </c>
      <c r="L514" s="1364"/>
      <c r="M514" s="1324"/>
    </row>
    <row r="515" spans="1:13">
      <c r="A515" s="1439">
        <v>44</v>
      </c>
      <c r="B515" s="1364"/>
      <c r="C515" s="1364"/>
      <c r="D515" s="1324" t="str">
        <f>+IF(ISBLANK(REPORTS!J414),"",REPORTS!J414)</f>
        <v/>
      </c>
      <c r="E515" s="1364" t="str">
        <f>+IF(ISBLANK(REPORTS!K414),"",REPORTS!K414)</f>
        <v/>
      </c>
      <c r="F515" s="1364" t="str">
        <f>+IF(ISBLANK(REPORTS!L414),"",REPORTS!L414)</f>
        <v/>
      </c>
      <c r="G515" s="1364" t="str">
        <f>+IF(ISBLANK(REPORTS!M414),"",REPORTS!M414)</f>
        <v/>
      </c>
      <c r="H515" s="1364" t="str">
        <f>+IF(ISBLANK(REPORTS!N414),"",REPORTS!N414)</f>
        <v/>
      </c>
      <c r="I515" s="1364" t="str">
        <f>+IF(ISBLANK(REPORTS!O414),"",REPORTS!O414)</f>
        <v/>
      </c>
      <c r="J515" s="1364" t="str">
        <f>+IF(ISBLANK(REPORTS!P414),"",REPORTS!P414)</f>
        <v/>
      </c>
      <c r="K515" s="1364" t="str">
        <f>+IF(ISBLANK(REPORTS!Q414),"",REPORTS!Q414)</f>
        <v/>
      </c>
      <c r="L515" s="1364"/>
      <c r="M515" s="1324"/>
    </row>
    <row r="516" spans="1:13">
      <c r="A516" s="1439">
        <v>45</v>
      </c>
      <c r="B516" s="1324" t="s">
        <v>5317</v>
      </c>
      <c r="C516" s="1364" t="s">
        <v>4071</v>
      </c>
      <c r="D516" s="1364">
        <f>+IF(ISBLANK(REPORTS!J415),"",REPORTS!J415)</f>
        <v>0</v>
      </c>
      <c r="E516" s="1364">
        <f>+IF(ISBLANK(REPORTS!K415),"",REPORTS!K415)</f>
        <v>0</v>
      </c>
      <c r="F516" s="1364">
        <f>+IF(ISBLANK(REPORTS!L415),"",REPORTS!L415)</f>
        <v>0</v>
      </c>
      <c r="G516" s="1364">
        <f>+IF(ISBLANK(REPORTS!M415),"",REPORTS!M415)</f>
        <v>0</v>
      </c>
      <c r="H516" s="1364">
        <f>+IF(ISBLANK(REPORTS!N415),"",REPORTS!N415)</f>
        <v>0</v>
      </c>
      <c r="I516" s="1364">
        <f>+IF(ISBLANK(REPORTS!O415),"",REPORTS!O415)</f>
        <v>0</v>
      </c>
      <c r="J516" s="1364">
        <f>+IF(ISBLANK(REPORTS!P415),"",REPORTS!P415)</f>
        <v>0</v>
      </c>
      <c r="K516" s="1364">
        <f>+IF(ISBLANK(REPORTS!Q415),"",REPORTS!Q415)</f>
        <v>0</v>
      </c>
      <c r="L516" s="1364"/>
      <c r="M516" s="1324">
        <v>310</v>
      </c>
    </row>
    <row r="517" spans="1:13">
      <c r="A517" s="1439">
        <v>46</v>
      </c>
      <c r="B517" s="1324" t="s">
        <v>5318</v>
      </c>
      <c r="C517" s="1364" t="s">
        <v>4067</v>
      </c>
      <c r="D517" s="1364">
        <f>+IF(ISBLANK(REPORTS!J416),"",REPORTS!J416)</f>
        <v>6446.2285393647117</v>
      </c>
      <c r="E517" s="1364">
        <f>+IF(ISBLANK(REPORTS!K416),"",REPORTS!K416)</f>
        <v>4012.2358604082183</v>
      </c>
      <c r="F517" s="1364">
        <f>+IF(ISBLANK(REPORTS!L416),"",REPORTS!L416)</f>
        <v>285.36027731803279</v>
      </c>
      <c r="G517" s="1364">
        <f>+IF(ISBLANK(REPORTS!M416),"",REPORTS!M416)</f>
        <v>1910.6652281535344</v>
      </c>
      <c r="H517" s="1364">
        <f>+IF(ISBLANK(REPORTS!N416),"",REPORTS!N416)</f>
        <v>200.96356599473907</v>
      </c>
      <c r="I517" s="1364">
        <f>+IF(ISBLANK(REPORTS!O416),"",REPORTS!O416)</f>
        <v>1.3721400786055574E-4</v>
      </c>
      <c r="J517" s="1364">
        <f>+IF(ISBLANK(REPORTS!P416),"",REPORTS!P416)</f>
        <v>37.003470276180551</v>
      </c>
      <c r="K517" s="1364">
        <f>+IF(ISBLANK(REPORTS!Q416),"",REPORTS!Q416)</f>
        <v>0</v>
      </c>
      <c r="L517" s="1364"/>
      <c r="M517" s="1324">
        <v>105</v>
      </c>
    </row>
    <row r="518" spans="1:13">
      <c r="A518" s="1439">
        <v>47</v>
      </c>
      <c r="B518" s="1324" t="s">
        <v>5319</v>
      </c>
      <c r="C518" s="1364" t="s">
        <v>4071</v>
      </c>
      <c r="D518" s="1364">
        <f>+IF(ISBLANK(REPORTS!J417),"",REPORTS!J417)</f>
        <v>0</v>
      </c>
      <c r="E518" s="1364">
        <f>+IF(ISBLANK(REPORTS!K417),"",REPORTS!K417)</f>
        <v>0</v>
      </c>
      <c r="F518" s="1364">
        <f>+IF(ISBLANK(REPORTS!L417),"",REPORTS!L417)</f>
        <v>0</v>
      </c>
      <c r="G518" s="1364">
        <f>+IF(ISBLANK(REPORTS!M417),"",REPORTS!M417)</f>
        <v>0</v>
      </c>
      <c r="H518" s="1364">
        <f>+IF(ISBLANK(REPORTS!N417),"",REPORTS!N417)</f>
        <v>0</v>
      </c>
      <c r="I518" s="1364">
        <f>+IF(ISBLANK(REPORTS!O417),"",REPORTS!O417)</f>
        <v>0</v>
      </c>
      <c r="J518" s="1364">
        <f>+IF(ISBLANK(REPORTS!P417),"",REPORTS!P417)</f>
        <v>0</v>
      </c>
      <c r="K518" s="1364">
        <f>+IF(ISBLANK(REPORTS!Q417),"",REPORTS!Q417)</f>
        <v>0</v>
      </c>
      <c r="L518" s="1364"/>
      <c r="M518" s="1324">
        <v>418</v>
      </c>
    </row>
    <row r="519" spans="1:13">
      <c r="A519" s="1439">
        <v>48</v>
      </c>
      <c r="B519" s="1324" t="s">
        <v>5320</v>
      </c>
      <c r="C519" s="1364" t="s">
        <v>4067</v>
      </c>
      <c r="D519" s="1364">
        <f>+IF(ISBLANK(REPORTS!J418),"",REPORTS!J418)</f>
        <v>32748.664230635288</v>
      </c>
      <c r="E519" s="1364">
        <f>+IF(ISBLANK(REPORTS!K418),"",REPORTS!K418)</f>
        <v>23894.514685594288</v>
      </c>
      <c r="F519" s="1364">
        <f>+IF(ISBLANK(REPORTS!L418),"",REPORTS!L418)</f>
        <v>1923.98264832013</v>
      </c>
      <c r="G519" s="1364">
        <f>+IF(ISBLANK(REPORTS!M418),"",REPORTS!M418)</f>
        <v>6811.7009550196226</v>
      </c>
      <c r="H519" s="1364">
        <f>+IF(ISBLANK(REPORTS!N418),"",REPORTS!N418)</f>
        <v>0</v>
      </c>
      <c r="I519" s="1364">
        <f>+IF(ISBLANK(REPORTS!O418),"",REPORTS!O418)</f>
        <v>0</v>
      </c>
      <c r="J519" s="1364">
        <f>+IF(ISBLANK(REPORTS!P418),"",REPORTS!P418)</f>
        <v>118.465941701248</v>
      </c>
      <c r="K519" s="1364">
        <f>+IF(ISBLANK(REPORTS!Q418),"",REPORTS!Q418)</f>
        <v>0</v>
      </c>
      <c r="L519" s="1364"/>
      <c r="M519" s="1324">
        <v>106</v>
      </c>
    </row>
    <row r="520" spans="1:13">
      <c r="A520" s="1439">
        <v>49</v>
      </c>
      <c r="B520" s="1324" t="s">
        <v>5321</v>
      </c>
      <c r="C520" s="1364" t="s">
        <v>4071</v>
      </c>
      <c r="D520" s="1364">
        <f>+IF(ISBLANK(REPORTS!J419),"",REPORTS!J419)</f>
        <v>0</v>
      </c>
      <c r="E520" s="1364">
        <f>+IF(ISBLANK(REPORTS!K419),"",REPORTS!K419)</f>
        <v>0</v>
      </c>
      <c r="F520" s="1364">
        <f>+IF(ISBLANK(REPORTS!L419),"",REPORTS!L419)</f>
        <v>0</v>
      </c>
      <c r="G520" s="1364">
        <f>+IF(ISBLANK(REPORTS!M419),"",REPORTS!M419)</f>
        <v>0</v>
      </c>
      <c r="H520" s="1364">
        <f>+IF(ISBLANK(REPORTS!N419),"",REPORTS!N419)</f>
        <v>0</v>
      </c>
      <c r="I520" s="1364">
        <f>+IF(ISBLANK(REPORTS!O419),"",REPORTS!O419)</f>
        <v>0</v>
      </c>
      <c r="J520" s="1364">
        <f>+IF(ISBLANK(REPORTS!P419),"",REPORTS!P419)</f>
        <v>0</v>
      </c>
      <c r="K520" s="1364">
        <f>+IF(ISBLANK(REPORTS!Q419),"",REPORTS!Q419)</f>
        <v>0</v>
      </c>
      <c r="L520" s="1364"/>
      <c r="M520" s="1324">
        <v>420</v>
      </c>
    </row>
    <row r="521" spans="1:13">
      <c r="A521" s="1439">
        <v>50</v>
      </c>
      <c r="B521" s="1324" t="s">
        <v>5322</v>
      </c>
      <c r="C521" s="1364"/>
      <c r="D521" s="1421">
        <f>+IF(ISBLANK(REPORTS!J420),"",REPORTS!J420)</f>
        <v>39194.892769999999</v>
      </c>
      <c r="E521" s="1421">
        <f>+IF(ISBLANK(REPORTS!K420),"",REPORTS!K420)</f>
        <v>27906.750546002506</v>
      </c>
      <c r="F521" s="1421">
        <f>+IF(ISBLANK(REPORTS!L420),"",REPORTS!L420)</f>
        <v>2209.3429256381628</v>
      </c>
      <c r="G521" s="1421">
        <f>+IF(ISBLANK(REPORTS!M420),"",REPORTS!M420)</f>
        <v>8722.366183173157</v>
      </c>
      <c r="H521" s="1421">
        <f>+IF(ISBLANK(REPORTS!N420),"",REPORTS!N420)</f>
        <v>200.96356599473907</v>
      </c>
      <c r="I521" s="1421">
        <f>+IF(ISBLANK(REPORTS!O420),"",REPORTS!O420)</f>
        <v>1.3721400786055574E-4</v>
      </c>
      <c r="J521" s="1421">
        <f>+IF(ISBLANK(REPORTS!P420),"",REPORTS!P420)</f>
        <v>155.46941197742854</v>
      </c>
      <c r="K521" s="1421">
        <f>+IF(ISBLANK(REPORTS!Q420),"",REPORTS!Q420)</f>
        <v>0</v>
      </c>
      <c r="L521" s="1364"/>
      <c r="M521" s="1324"/>
    </row>
    <row r="522" spans="1:13">
      <c r="A522" s="1439">
        <v>51</v>
      </c>
      <c r="B522" s="1364"/>
      <c r="C522" s="1364"/>
      <c r="D522" s="1324" t="str">
        <f>+IF(ISBLANK(REPORTS!J421),"",REPORTS!J421)</f>
        <v/>
      </c>
      <c r="E522" s="1364" t="str">
        <f>+IF(ISBLANK(REPORTS!K421),"",REPORTS!K421)</f>
        <v/>
      </c>
      <c r="F522" s="1364" t="str">
        <f>+IF(ISBLANK(REPORTS!L421),"",REPORTS!L421)</f>
        <v/>
      </c>
      <c r="G522" s="1364" t="str">
        <f>+IF(ISBLANK(REPORTS!M421),"",REPORTS!M421)</f>
        <v/>
      </c>
      <c r="H522" s="1364" t="str">
        <f>+IF(ISBLANK(REPORTS!N421),"",REPORTS!N421)</f>
        <v/>
      </c>
      <c r="I522" s="1364" t="str">
        <f>+IF(ISBLANK(REPORTS!O421),"",REPORTS!O421)</f>
        <v/>
      </c>
      <c r="J522" s="1364" t="str">
        <f>+IF(ISBLANK(REPORTS!P421),"",REPORTS!P421)</f>
        <v/>
      </c>
      <c r="K522" s="1364" t="str">
        <f>+IF(ISBLANK(REPORTS!Q421),"",REPORTS!Q421)</f>
        <v/>
      </c>
      <c r="L522" s="1358"/>
    </row>
    <row r="523" spans="1:13">
      <c r="A523" s="1439">
        <v>52</v>
      </c>
      <c r="B523" s="1364" t="s">
        <v>5324</v>
      </c>
      <c r="C523" s="1364" t="s">
        <v>4071</v>
      </c>
      <c r="D523" s="1364">
        <f>+IF(ISBLANK(REPORTS!J422),"",REPORTS!J422)</f>
        <v>5782.6588400000001</v>
      </c>
      <c r="E523" s="1364">
        <f>+IF(ISBLANK(REPORTS!K422),"",REPORTS!K422)</f>
        <v>5158.9369040879346</v>
      </c>
      <c r="F523" s="1364">
        <f>+IF(ISBLANK(REPORTS!L422),"",REPORTS!L422)</f>
        <v>499.98504485567105</v>
      </c>
      <c r="G523" s="1364">
        <f>+IF(ISBLANK(REPORTS!M422),"",REPORTS!M422)</f>
        <v>122.27461305724557</v>
      </c>
      <c r="H523" s="1364">
        <f>+IF(ISBLANK(REPORTS!N422),"",REPORTS!N422)</f>
        <v>0</v>
      </c>
      <c r="I523" s="1364">
        <f>+IF(ISBLANK(REPORTS!O422),"",REPORTS!O422)</f>
        <v>0</v>
      </c>
      <c r="J523" s="1364">
        <f>+IF(ISBLANK(REPORTS!P422),"",REPORTS!P422)</f>
        <v>1.4622779991485837</v>
      </c>
      <c r="K523" s="1364">
        <f>+IF(ISBLANK(REPORTS!Q422),"",REPORTS!Q422)</f>
        <v>0</v>
      </c>
      <c r="L523" s="1358"/>
      <c r="M523" s="1320">
        <v>420</v>
      </c>
    </row>
    <row r="524" spans="1:13">
      <c r="A524" s="1439">
        <v>53</v>
      </c>
      <c r="B524" s="1364" t="s">
        <v>5325</v>
      </c>
      <c r="C524" s="1364" t="s">
        <v>4071</v>
      </c>
      <c r="D524" s="1364">
        <f>+IF(ISBLANK(REPORTS!J423),"",REPORTS!J423)</f>
        <v>15403.828909999998</v>
      </c>
      <c r="E524" s="1364">
        <f>+IF(ISBLANK(REPORTS!K423),"",REPORTS!K423)</f>
        <v>10515.767688520251</v>
      </c>
      <c r="F524" s="1364">
        <f>+IF(ISBLANK(REPORTS!L423),"",REPORTS!L423)</f>
        <v>2742.3776571996746</v>
      </c>
      <c r="G524" s="1364">
        <f>+IF(ISBLANK(REPORTS!M423),"",REPORTS!M423)</f>
        <v>1804.3329031760866</v>
      </c>
      <c r="H524" s="1364">
        <f>+IF(ISBLANK(REPORTS!N423),"",REPORTS!N423)</f>
        <v>148.32180895275098</v>
      </c>
      <c r="I524" s="1364">
        <f>+IF(ISBLANK(REPORTS!O423),"",REPORTS!O423)</f>
        <v>161.82531983870714</v>
      </c>
      <c r="J524" s="1364">
        <f>+IF(ISBLANK(REPORTS!P423),"",REPORTS!P423)</f>
        <v>31.203532312528452</v>
      </c>
      <c r="K524" s="1364">
        <f>+IF(ISBLANK(REPORTS!Q423),"",REPORTS!Q423)</f>
        <v>0</v>
      </c>
      <c r="L524" s="1364"/>
      <c r="M524" s="1320">
        <v>308</v>
      </c>
    </row>
    <row r="525" spans="1:13">
      <c r="A525" s="1439">
        <v>54</v>
      </c>
      <c r="B525" s="1364" t="s">
        <v>5416</v>
      </c>
      <c r="C525" s="1364" t="s">
        <v>4071</v>
      </c>
      <c r="D525" s="1364">
        <f>+IF(ISBLANK(REPORTS!J424),"",REPORTS!J424)</f>
        <v>0</v>
      </c>
      <c r="E525" s="1364">
        <f>+IF(ISBLANK(REPORTS!K424),"",REPORTS!K424)</f>
        <v>0</v>
      </c>
      <c r="F525" s="1364">
        <f>+IF(ISBLANK(REPORTS!L424),"",REPORTS!L424)</f>
        <v>0</v>
      </c>
      <c r="G525" s="1364">
        <f>+IF(ISBLANK(REPORTS!M424),"",REPORTS!M424)</f>
        <v>0</v>
      </c>
      <c r="H525" s="1364">
        <f>+IF(ISBLANK(REPORTS!N424),"",REPORTS!N424)</f>
        <v>0</v>
      </c>
      <c r="I525" s="1364">
        <f>+IF(ISBLANK(REPORTS!O424),"",REPORTS!O424)</f>
        <v>0</v>
      </c>
      <c r="J525" s="1364">
        <f>+IF(ISBLANK(REPORTS!P424),"",REPORTS!P424)</f>
        <v>0</v>
      </c>
      <c r="K525" s="1364">
        <f>+IF(ISBLANK(REPORTS!Q424),"",REPORTS!Q424)</f>
        <v>0</v>
      </c>
      <c r="L525" s="1358"/>
      <c r="M525" s="1320">
        <v>309</v>
      </c>
    </row>
    <row r="526" spans="1:13">
      <c r="A526" s="1439">
        <v>55</v>
      </c>
      <c r="B526" s="1364" t="s">
        <v>5329</v>
      </c>
      <c r="C526" s="1364" t="s">
        <v>4071</v>
      </c>
      <c r="D526" s="1366">
        <f>+IF(ISBLANK(REPORTS!J425),"",REPORTS!J425)</f>
        <v>15231.66345</v>
      </c>
      <c r="E526" s="1366">
        <f>+IF(ISBLANK(REPORTS!K425),"",REPORTS!K425)</f>
        <v>0</v>
      </c>
      <c r="F526" s="1366">
        <f>+IF(ISBLANK(REPORTS!L425),"",REPORTS!L425)</f>
        <v>0</v>
      </c>
      <c r="G526" s="1366">
        <f>+IF(ISBLANK(REPORTS!M425),"",REPORTS!M425)</f>
        <v>0</v>
      </c>
      <c r="H526" s="1366">
        <f>+IF(ISBLANK(REPORTS!N425),"",REPORTS!N425)</f>
        <v>0</v>
      </c>
      <c r="I526" s="1366">
        <f>+IF(ISBLANK(REPORTS!O425),"",REPORTS!O425)</f>
        <v>0</v>
      </c>
      <c r="J526" s="1366">
        <f>+IF(ISBLANK(REPORTS!P425),"",REPORTS!P425)</f>
        <v>0</v>
      </c>
      <c r="K526" s="1366">
        <f>+IF(ISBLANK(REPORTS!Q425),"",REPORTS!Q425)</f>
        <v>15231.66345</v>
      </c>
      <c r="L526" s="1358"/>
      <c r="M526" s="1320">
        <v>310</v>
      </c>
    </row>
    <row r="527" spans="1:13">
      <c r="A527" s="1439">
        <v>56</v>
      </c>
      <c r="B527" s="1364"/>
      <c r="C527" s="1364"/>
      <c r="D527" s="1324" t="str">
        <f>+IF(ISBLANK(REPORTS!J426),"",REPORTS!J426)</f>
        <v/>
      </c>
      <c r="E527" s="1364" t="str">
        <f>+IF(ISBLANK(REPORTS!K426),"",REPORTS!K426)</f>
        <v/>
      </c>
      <c r="F527" s="1364" t="str">
        <f>+IF(ISBLANK(REPORTS!L426),"",REPORTS!L426)</f>
        <v/>
      </c>
      <c r="G527" s="1364" t="str">
        <f>+IF(ISBLANK(REPORTS!M426),"",REPORTS!M426)</f>
        <v/>
      </c>
      <c r="H527" s="1364" t="str">
        <f>+IF(ISBLANK(REPORTS!N426),"",REPORTS!N426)</f>
        <v/>
      </c>
      <c r="I527" s="1364" t="str">
        <f>+IF(ISBLANK(REPORTS!O426),"",REPORTS!O426)</f>
        <v/>
      </c>
      <c r="J527" s="1364" t="str">
        <f>+IF(ISBLANK(REPORTS!P426),"",REPORTS!P426)</f>
        <v/>
      </c>
      <c r="K527" s="1364" t="str">
        <f>+IF(ISBLANK(REPORTS!Q426),"",REPORTS!Q426)</f>
        <v/>
      </c>
      <c r="L527" s="1358"/>
    </row>
    <row r="528" spans="1:13">
      <c r="A528" s="1439">
        <v>57</v>
      </c>
      <c r="B528" s="1364" t="s">
        <v>5417</v>
      </c>
      <c r="C528" s="1364"/>
      <c r="D528" s="1324" t="str">
        <f>+IF(ISBLANK(REPORTS!J427),"",REPORTS!J427)</f>
        <v/>
      </c>
      <c r="E528" s="1364" t="str">
        <f>+IF(ISBLANK(REPORTS!K427),"",REPORTS!K427)</f>
        <v/>
      </c>
      <c r="F528" s="1364" t="str">
        <f>+IF(ISBLANK(REPORTS!L427),"",REPORTS!L427)</f>
        <v/>
      </c>
      <c r="G528" s="1364" t="str">
        <f>+IF(ISBLANK(REPORTS!M427),"",REPORTS!M427)</f>
        <v/>
      </c>
      <c r="H528" s="1364" t="str">
        <f>+IF(ISBLANK(REPORTS!N427),"",REPORTS!N427)</f>
        <v/>
      </c>
      <c r="I528" s="1364" t="str">
        <f>+IF(ISBLANK(REPORTS!O427),"",REPORTS!O427)</f>
        <v/>
      </c>
      <c r="J528" s="1364" t="str">
        <f>+IF(ISBLANK(REPORTS!P427),"",REPORTS!P427)</f>
        <v/>
      </c>
      <c r="K528" s="1364" t="str">
        <f>+IF(ISBLANK(REPORTS!Q427),"",REPORTS!Q427)</f>
        <v/>
      </c>
      <c r="L528" s="1358"/>
    </row>
    <row r="529" spans="1:13">
      <c r="A529" s="1439">
        <v>58</v>
      </c>
      <c r="B529" s="1364" t="s">
        <v>5418</v>
      </c>
      <c r="C529" s="1364" t="s">
        <v>4067</v>
      </c>
      <c r="D529" s="1364">
        <f>+IF(ISBLANK(REPORTS!J428),"",REPORTS!J428)</f>
        <v>102119.72953327128</v>
      </c>
      <c r="E529" s="1364">
        <f>+IF(ISBLANK(REPORTS!K428),"",REPORTS!K428)</f>
        <v>67948.8017906475</v>
      </c>
      <c r="F529" s="1364">
        <f>+IF(ISBLANK(REPORTS!L428),"",REPORTS!L428)</f>
        <v>5113.2947762049571</v>
      </c>
      <c r="G529" s="1364">
        <f>+IF(ISBLANK(REPORTS!M428),"",REPORTS!M428)</f>
        <v>26650.536278923464</v>
      </c>
      <c r="H529" s="1364">
        <f>+IF(ISBLANK(REPORTS!N428),"",REPORTS!N428)</f>
        <v>1907.7739021891573</v>
      </c>
      <c r="I529" s="1364">
        <f>+IF(ISBLANK(REPORTS!O428),"",REPORTS!O428)</f>
        <v>1.3025908547920522E-3</v>
      </c>
      <c r="J529" s="1364">
        <f>+IF(ISBLANK(REPORTS!P428),"",REPORTS!P428)</f>
        <v>499.32148271535073</v>
      </c>
      <c r="K529" s="1364">
        <f>+IF(ISBLANK(REPORTS!Q428),"",REPORTS!Q428)</f>
        <v>0</v>
      </c>
      <c r="L529" s="1358"/>
    </row>
    <row r="530" spans="1:13">
      <c r="A530" s="1439">
        <v>59</v>
      </c>
      <c r="B530" s="1364" t="s">
        <v>5418</v>
      </c>
      <c r="C530" s="1364" t="s">
        <v>4071</v>
      </c>
      <c r="D530" s="1366">
        <f>+IF(ISBLANK(REPORTS!J429),"",REPORTS!J429)</f>
        <v>38579.974456728742</v>
      </c>
      <c r="E530" s="1366">
        <f>+IF(ISBLANK(REPORTS!K429),"",REPORTS!K429)</f>
        <v>15674.704592608185</v>
      </c>
      <c r="F530" s="1366">
        <f>+IF(ISBLANK(REPORTS!L429),"",REPORTS!L429)</f>
        <v>3242.3627020553458</v>
      </c>
      <c r="G530" s="1366">
        <f>+IF(ISBLANK(REPORTS!M429),"",REPORTS!M429)</f>
        <v>1926.6075162333323</v>
      </c>
      <c r="H530" s="1366">
        <f>+IF(ISBLANK(REPORTS!N429),"",REPORTS!N429)</f>
        <v>148.32180895275098</v>
      </c>
      <c r="I530" s="1366">
        <f>+IF(ISBLANK(REPORTS!O429),"",REPORTS!O429)</f>
        <v>161.82531983870714</v>
      </c>
      <c r="J530" s="1366">
        <f>+IF(ISBLANK(REPORTS!P429),"",REPORTS!P429)</f>
        <v>32.665810311677035</v>
      </c>
      <c r="K530" s="1366">
        <f>+IF(ISBLANK(REPORTS!Q429),"",REPORTS!Q429)</f>
        <v>17393.486706728738</v>
      </c>
      <c r="L530" s="1358"/>
    </row>
    <row r="531" spans="1:13">
      <c r="A531" s="1439">
        <v>60</v>
      </c>
      <c r="B531" s="1364"/>
      <c r="C531" s="1364"/>
      <c r="D531" s="1364" t="str">
        <f>+IF(ISBLANK(REPORTS!J430),"",REPORTS!J430)</f>
        <v/>
      </c>
      <c r="E531" s="1364" t="str">
        <f>+IF(ISBLANK(REPORTS!K430),"",REPORTS!K430)</f>
        <v/>
      </c>
      <c r="F531" s="1364" t="str">
        <f>+IF(ISBLANK(REPORTS!L430),"",REPORTS!L430)</f>
        <v/>
      </c>
      <c r="G531" s="1364" t="str">
        <f>+IF(ISBLANK(REPORTS!M430),"",REPORTS!M430)</f>
        <v/>
      </c>
      <c r="H531" s="1364" t="str">
        <f>+IF(ISBLANK(REPORTS!N430),"",REPORTS!N430)</f>
        <v/>
      </c>
      <c r="I531" s="1364" t="str">
        <f>+IF(ISBLANK(REPORTS!O430),"",REPORTS!O430)</f>
        <v/>
      </c>
      <c r="J531" s="1364" t="str">
        <f>+IF(ISBLANK(REPORTS!P430),"",REPORTS!P430)</f>
        <v/>
      </c>
      <c r="K531" s="1364" t="str">
        <f>+IF(ISBLANK(REPORTS!Q430),"",REPORTS!Q430)</f>
        <v/>
      </c>
      <c r="L531" s="1358"/>
    </row>
    <row r="532" spans="1:13">
      <c r="A532" s="1439">
        <v>61</v>
      </c>
      <c r="B532" s="1364" t="s">
        <v>5421</v>
      </c>
      <c r="C532" s="1364"/>
      <c r="D532" s="1366">
        <f>+IF(ISBLANK(REPORTS!J431),"",REPORTS!J431)</f>
        <v>140699.70399000001</v>
      </c>
      <c r="E532" s="1366">
        <f>+IF(ISBLANK(REPORTS!K431),"",REPORTS!K431)</f>
        <v>83623.506383255677</v>
      </c>
      <c r="F532" s="1366">
        <f>+IF(ISBLANK(REPORTS!L431),"",REPORTS!L431)</f>
        <v>8355.657478260302</v>
      </c>
      <c r="G532" s="1366">
        <f>+IF(ISBLANK(REPORTS!M431),"",REPORTS!M431)</f>
        <v>28577.143795156797</v>
      </c>
      <c r="H532" s="1366">
        <f>+IF(ISBLANK(REPORTS!N431),"",REPORTS!N431)</f>
        <v>2056.0957111419084</v>
      </c>
      <c r="I532" s="1366">
        <f>+IF(ISBLANK(REPORTS!O431),"",REPORTS!O431)</f>
        <v>161.82662242956195</v>
      </c>
      <c r="J532" s="1366">
        <f>+IF(ISBLANK(REPORTS!P431),"",REPORTS!P431)</f>
        <v>531.98729302702782</v>
      </c>
      <c r="K532" s="1366">
        <f>+IF(ISBLANK(REPORTS!Q431),"",REPORTS!Q431)</f>
        <v>17393.486706728738</v>
      </c>
      <c r="L532" s="1358"/>
    </row>
    <row r="533" spans="1:13">
      <c r="A533" s="1439">
        <v>62</v>
      </c>
      <c r="B533" s="1364"/>
      <c r="C533" s="1364"/>
      <c r="D533" s="1364" t="str">
        <f>+IF(ISBLANK(REPORTS!J432),"",REPORTS!J432)</f>
        <v/>
      </c>
      <c r="E533" s="1364" t="str">
        <f>+IF(ISBLANK(REPORTS!K432),"",REPORTS!K432)</f>
        <v/>
      </c>
      <c r="F533" s="1324" t="str">
        <f>+IF(ISBLANK(REPORTS!L432),"",REPORTS!L432)</f>
        <v/>
      </c>
      <c r="G533" s="1324" t="str">
        <f>+IF(ISBLANK(REPORTS!M432),"",REPORTS!M432)</f>
        <v/>
      </c>
      <c r="H533" s="1324" t="str">
        <f>+IF(ISBLANK(REPORTS!N432),"",REPORTS!N432)</f>
        <v/>
      </c>
      <c r="I533" s="1324" t="str">
        <f>+IF(ISBLANK(REPORTS!O432),"",REPORTS!O432)</f>
        <v/>
      </c>
      <c r="J533" s="1324" t="str">
        <f>+IF(ISBLANK(REPORTS!P432),"",REPORTS!P432)</f>
        <v/>
      </c>
      <c r="K533" s="1324" t="str">
        <f>+IF(ISBLANK(REPORTS!Q432),"",REPORTS!Q432)</f>
        <v/>
      </c>
    </row>
    <row r="535" spans="1:13">
      <c r="L535" s="1364"/>
      <c r="M535" s="1324"/>
    </row>
    <row r="536" spans="1:13">
      <c r="L536" s="1364"/>
      <c r="M536" s="1324"/>
    </row>
    <row r="537" spans="1:13">
      <c r="L537" s="1364"/>
      <c r="M537" s="1324"/>
    </row>
    <row r="538" spans="1:13">
      <c r="L538" s="1364"/>
      <c r="M538" s="1324"/>
    </row>
    <row r="539" spans="1:13">
      <c r="L539" s="1364"/>
      <c r="M539" s="1324"/>
    </row>
    <row r="540" spans="1:13">
      <c r="L540" s="1358"/>
    </row>
    <row r="541" spans="1:13">
      <c r="A541" s="1732" t="str">
        <f>+$A$1</f>
        <v>RATES WITH REVENUE DEFICIENCY ADDITION</v>
      </c>
      <c r="F541" s="1329" t="s">
        <v>2173</v>
      </c>
      <c r="G541" s="1329"/>
      <c r="H541" s="1329"/>
      <c r="I541" s="1329"/>
      <c r="M541" s="1334" t="s">
        <v>5455</v>
      </c>
    </row>
    <row r="542" spans="1:13">
      <c r="A542" s="1732" t="str">
        <f>+$A$2</f>
        <v>PROD. CAP. ALLOC. METHOD: 12 CP &amp; 1/13th AD</v>
      </c>
      <c r="B542" s="1364"/>
      <c r="F542" s="1336" t="s">
        <v>5141</v>
      </c>
      <c r="G542" s="1336"/>
      <c r="H542" s="1336"/>
      <c r="I542" s="1336"/>
      <c r="L542" s="1331"/>
      <c r="M542" s="1409"/>
    </row>
    <row r="543" spans="1:13">
      <c r="A543" s="1732" t="str">
        <f>+$A$3</f>
        <v>PROJECTED CALENDAR YEAR 2025; FULLY ADJUSTED DATA</v>
      </c>
      <c r="F543" s="1336" t="s">
        <v>2181</v>
      </c>
    </row>
    <row r="544" spans="1:13">
      <c r="A544" s="1732" t="str">
        <f>+$A$4</f>
        <v>MINIMUM DISTRIBUTION SYSTEM (MDS) NOT EMPLOYED</v>
      </c>
      <c r="E544" s="1364"/>
      <c r="F544" s="1336"/>
      <c r="G544" s="1336"/>
      <c r="H544" s="1336"/>
      <c r="I544" s="1336"/>
    </row>
    <row r="545" spans="1:13">
      <c r="A545" s="1732" t="str">
        <f>+$A$5</f>
        <v>Tampa Electric 2025 OB Budget</v>
      </c>
      <c r="E545" s="1364"/>
      <c r="F545" s="1336" t="s">
        <v>5391</v>
      </c>
      <c r="G545" s="1336"/>
      <c r="H545" s="1336"/>
      <c r="I545" s="1336"/>
    </row>
    <row r="546" spans="1:13">
      <c r="E546" s="1364"/>
      <c r="F546" s="1336"/>
      <c r="G546" s="1336"/>
      <c r="H546" s="1336"/>
      <c r="I546" s="1336"/>
    </row>
    <row r="547" spans="1:13">
      <c r="E547" s="1364"/>
      <c r="F547" s="1336"/>
      <c r="G547" s="1336"/>
      <c r="H547" s="1336"/>
      <c r="I547" s="1336"/>
    </row>
    <row r="548" spans="1:13">
      <c r="A548" s="1439"/>
      <c r="B548" s="1364"/>
      <c r="C548" s="1364"/>
      <c r="E548" s="1364"/>
    </row>
    <row r="549" spans="1:13">
      <c r="A549" s="1439"/>
      <c r="B549" s="1364"/>
      <c r="C549" s="1364"/>
      <c r="E549" s="1364"/>
    </row>
    <row r="550" spans="1:13" ht="28.2">
      <c r="A550" s="1737" t="s">
        <v>4297</v>
      </c>
      <c r="B550" s="1741"/>
      <c r="C550" s="1741"/>
      <c r="D550" s="1352" t="s">
        <v>4957</v>
      </c>
      <c r="E550" s="1353" t="s">
        <v>1949</v>
      </c>
      <c r="F550" s="1353" t="s">
        <v>1950</v>
      </c>
      <c r="G550" s="1353" t="s">
        <v>1934</v>
      </c>
      <c r="H550" s="1353" t="s">
        <v>1971</v>
      </c>
      <c r="I550" s="1353" t="s">
        <v>1972</v>
      </c>
      <c r="J550" s="1352" t="s">
        <v>5146</v>
      </c>
      <c r="K550" s="1352" t="s">
        <v>5147</v>
      </c>
      <c r="L550" s="1355"/>
      <c r="M550" s="1348" t="s">
        <v>5299</v>
      </c>
    </row>
    <row r="551" spans="1:13">
      <c r="A551" s="1439"/>
      <c r="B551" s="1364"/>
      <c r="C551" s="1364"/>
      <c r="E551" s="1364"/>
    </row>
    <row r="552" spans="1:13">
      <c r="A552" s="1439">
        <v>63</v>
      </c>
      <c r="B552" s="1450" t="s">
        <v>5423</v>
      </c>
      <c r="C552" s="1364"/>
      <c r="D552" s="1324" t="str">
        <f>+IF(ISBLANK(REPORTS!J433),"",REPORTS!J433)</f>
        <v/>
      </c>
      <c r="E552" s="1364" t="str">
        <f>+IF(ISBLANK(REPORTS!K433),"",REPORTS!K433)</f>
        <v/>
      </c>
      <c r="F552" s="1324" t="str">
        <f>+IF(ISBLANK(REPORTS!L433),"",REPORTS!L433)</f>
        <v/>
      </c>
      <c r="G552" s="1324" t="str">
        <f>+IF(ISBLANK(REPORTS!M433),"",REPORTS!M433)</f>
        <v/>
      </c>
      <c r="H552" s="1324" t="str">
        <f>+IF(ISBLANK(REPORTS!N433),"",REPORTS!N433)</f>
        <v/>
      </c>
      <c r="I552" s="1324" t="str">
        <f>+IF(ISBLANK(REPORTS!O433),"",REPORTS!O433)</f>
        <v/>
      </c>
      <c r="J552" s="1324" t="str">
        <f>+IF(ISBLANK(REPORTS!P433),"",REPORTS!P433)</f>
        <v/>
      </c>
      <c r="K552" s="1324" t="str">
        <f>+IF(ISBLANK(REPORTS!Q433),"",REPORTS!Q433)</f>
        <v/>
      </c>
    </row>
    <row r="553" spans="1:13">
      <c r="A553" s="1439">
        <v>64</v>
      </c>
      <c r="B553" s="1364" t="s">
        <v>5265</v>
      </c>
      <c r="C553" s="1364" t="s">
        <v>4067</v>
      </c>
      <c r="D553" s="1364">
        <f>+IF(ISBLANK(REPORTS!J434),"",REPORTS!J434)</f>
        <v>265519.30369168246</v>
      </c>
      <c r="E553" s="1364">
        <f>+IF(ISBLANK(REPORTS!K434),"",REPORTS!K434)</f>
        <v>152465.07846364976</v>
      </c>
      <c r="F553" s="1364">
        <f>+IF(ISBLANK(REPORTS!L434),"",REPORTS!L434)</f>
        <v>12679.094371343946</v>
      </c>
      <c r="G553" s="1364">
        <f>+IF(ISBLANK(REPORTS!M434),"",REPORTS!M434)</f>
        <v>82057.961665561466</v>
      </c>
      <c r="H553" s="1364">
        <f>+IF(ISBLANK(REPORTS!N434),"",REPORTS!N434)</f>
        <v>10487.562862620263</v>
      </c>
      <c r="I553" s="1364">
        <f>+IF(ISBLANK(REPORTS!O434),"",REPORTS!O434)</f>
        <v>7547.9318959532729</v>
      </c>
      <c r="J553" s="1364">
        <f>+IF(ISBLANK(REPORTS!P434),"",REPORTS!P434)</f>
        <v>281.67443255377555</v>
      </c>
      <c r="K553" s="1364">
        <f>+IF(ISBLANK(REPORTS!Q434),"",REPORTS!Q434)</f>
        <v>0</v>
      </c>
    </row>
    <row r="554" spans="1:13">
      <c r="A554" s="1439">
        <v>65</v>
      </c>
      <c r="B554" s="1364" t="s">
        <v>5265</v>
      </c>
      <c r="C554" s="1364" t="s">
        <v>2067</v>
      </c>
      <c r="D554" s="1364">
        <f>+IF(ISBLANK(REPORTS!J435),"",REPORTS!J435)</f>
        <v>24171.775932376906</v>
      </c>
      <c r="E554" s="1364">
        <f>+IF(ISBLANK(REPORTS!K435),"",REPORTS!K435)</f>
        <v>12197.904452943767</v>
      </c>
      <c r="F554" s="1364">
        <f>+IF(ISBLANK(REPORTS!L435),"",REPORTS!L435)</f>
        <v>1127.2291639031462</v>
      </c>
      <c r="G554" s="1364">
        <f>+IF(ISBLANK(REPORTS!M435),"",REPORTS!M435)</f>
        <v>8397.4194408385283</v>
      </c>
      <c r="H554" s="1364">
        <f>+IF(ISBLANK(REPORTS!N435),"",REPORTS!N435)</f>
        <v>1336.7341548727738</v>
      </c>
      <c r="I554" s="1364">
        <f>+IF(ISBLANK(REPORTS!O435),"",REPORTS!O435)</f>
        <v>984.78791142917646</v>
      </c>
      <c r="J554" s="1364">
        <f>+IF(ISBLANK(REPORTS!P435),"",REPORTS!P435)</f>
        <v>127.70080838951519</v>
      </c>
      <c r="K554" s="1364">
        <f>+IF(ISBLANK(REPORTS!Q435),"",REPORTS!Q435)</f>
        <v>0</v>
      </c>
    </row>
    <row r="555" spans="1:13">
      <c r="A555" s="1439">
        <v>66</v>
      </c>
      <c r="B555" s="1364" t="s">
        <v>5268</v>
      </c>
      <c r="C555" s="1364" t="s">
        <v>4067</v>
      </c>
      <c r="D555" s="1364">
        <f>+IF(ISBLANK(REPORTS!J436),"",REPORTS!J436)</f>
        <v>13061.504586473768</v>
      </c>
      <c r="E555" s="1364">
        <f>+IF(ISBLANK(REPORTS!K436),"",REPORTS!K436)</f>
        <v>7575.842983790516</v>
      </c>
      <c r="F555" s="1364">
        <f>+IF(ISBLANK(REPORTS!L436),"",REPORTS!L436)</f>
        <v>624.93063200504741</v>
      </c>
      <c r="G555" s="1364">
        <f>+IF(ISBLANK(REPORTS!M436),"",REPORTS!M436)</f>
        <v>3994.8675729862475</v>
      </c>
      <c r="H555" s="1364">
        <f>+IF(ISBLANK(REPORTS!N436),"",REPORTS!N436)</f>
        <v>498.70624814726176</v>
      </c>
      <c r="I555" s="1364">
        <f>+IF(ISBLANK(REPORTS!O436),"",REPORTS!O436)</f>
        <v>357.89663933842866</v>
      </c>
      <c r="J555" s="1364">
        <f>+IF(ISBLANK(REPORTS!P436),"",REPORTS!P436)</f>
        <v>9.2605102062669573</v>
      </c>
      <c r="K555" s="1364">
        <f>+IF(ISBLANK(REPORTS!Q436),"",REPORTS!Q436)</f>
        <v>0</v>
      </c>
    </row>
    <row r="556" spans="1:13">
      <c r="A556" s="1439">
        <v>67</v>
      </c>
      <c r="B556" s="1364" t="s">
        <v>5239</v>
      </c>
      <c r="C556" s="1364" t="s">
        <v>4067</v>
      </c>
      <c r="D556" s="1364">
        <f>+IF(ISBLANK(REPORTS!J437),"",REPORTS!J437)</f>
        <v>12710.540942106716</v>
      </c>
      <c r="E556" s="1364">
        <f>+IF(ISBLANK(REPORTS!K437),"",REPORTS!K437)</f>
        <v>7372.2794934482827</v>
      </c>
      <c r="F556" s="1364">
        <f>+IF(ISBLANK(REPORTS!L437),"",REPORTS!L437)</f>
        <v>608.13869730617455</v>
      </c>
      <c r="G556" s="1364">
        <f>+IF(ISBLANK(REPORTS!M437),"",REPORTS!M437)</f>
        <v>3887.5251705167075</v>
      </c>
      <c r="H556" s="1364">
        <f>+IF(ISBLANK(REPORTS!N437),"",REPORTS!N437)</f>
        <v>485.30597246235806</v>
      </c>
      <c r="I556" s="1364">
        <f>+IF(ISBLANK(REPORTS!O437),"",REPORTS!O437)</f>
        <v>348.27992879659621</v>
      </c>
      <c r="J556" s="1364">
        <f>+IF(ISBLANK(REPORTS!P437),"",REPORTS!P437)</f>
        <v>9.0116795765969684</v>
      </c>
      <c r="K556" s="1364">
        <f>+IF(ISBLANK(REPORTS!Q437),"",REPORTS!Q437)</f>
        <v>0</v>
      </c>
    </row>
    <row r="557" spans="1:13">
      <c r="A557" s="1439">
        <v>68</v>
      </c>
      <c r="B557" s="1364" t="s">
        <v>5240</v>
      </c>
      <c r="C557" s="1364" t="s">
        <v>4067</v>
      </c>
      <c r="D557" s="1364">
        <f>+IF(ISBLANK(REPORTS!J438),"",REPORTS!J438)</f>
        <v>61194.906221304169</v>
      </c>
      <c r="E557" s="1364">
        <f>+IF(ISBLANK(REPORTS!K438),"",REPORTS!K438)</f>
        <v>38088.689489689095</v>
      </c>
      <c r="F557" s="1364">
        <f>+IF(ISBLANK(REPORTS!L438),"",REPORTS!L438)</f>
        <v>2708.9631252017853</v>
      </c>
      <c r="G557" s="1364">
        <f>+IF(ISBLANK(REPORTS!M438),"",REPORTS!M438)</f>
        <v>18138.19952909787</v>
      </c>
      <c r="H557" s="1364">
        <f>+IF(ISBLANK(REPORTS!N438),"",REPORTS!N438)</f>
        <v>1907.7739021891573</v>
      </c>
      <c r="I557" s="1364">
        <f>+IF(ISBLANK(REPORTS!O438),"",REPORTS!O438)</f>
        <v>1.3025908547920522E-3</v>
      </c>
      <c r="J557" s="1364">
        <f>+IF(ISBLANK(REPORTS!P438),"",REPORTS!P438)</f>
        <v>351.27887253542031</v>
      </c>
      <c r="K557" s="1364">
        <f>+IF(ISBLANK(REPORTS!Q438),"",REPORTS!Q438)</f>
        <v>0</v>
      </c>
    </row>
    <row r="558" spans="1:13">
      <c r="A558" s="1439">
        <v>69</v>
      </c>
      <c r="B558" s="1364" t="s">
        <v>5241</v>
      </c>
      <c r="C558" s="1364" t="s">
        <v>4067</v>
      </c>
      <c r="D558" s="1364">
        <f>+IF(ISBLANK(REPORTS!J439),"",REPORTS!J439)</f>
        <v>40924.823311967106</v>
      </c>
      <c r="E558" s="1364">
        <f>+IF(ISBLANK(REPORTS!K439),"",REPORTS!K439)</f>
        <v>29860.112300958412</v>
      </c>
      <c r="F558" s="1364">
        <f>+IF(ISBLANK(REPORTS!L439),"",REPORTS!L439)</f>
        <v>2404.3316510031723</v>
      </c>
      <c r="G558" s="1364">
        <f>+IF(ISBLANK(REPORTS!M439),"",REPORTS!M439)</f>
        <v>8512.3367498255939</v>
      </c>
      <c r="H558" s="1364">
        <f>+IF(ISBLANK(REPORTS!N439),"",REPORTS!N439)</f>
        <v>0</v>
      </c>
      <c r="I558" s="1364">
        <f>+IF(ISBLANK(REPORTS!O439),"",REPORTS!O439)</f>
        <v>0</v>
      </c>
      <c r="J558" s="1364">
        <f>+IF(ISBLANK(REPORTS!P439),"",REPORTS!P439)</f>
        <v>148.04261017993042</v>
      </c>
      <c r="K558" s="1364">
        <f>+IF(ISBLANK(REPORTS!Q439),"",REPORTS!Q439)</f>
        <v>0</v>
      </c>
    </row>
    <row r="559" spans="1:13">
      <c r="A559" s="1439">
        <v>70</v>
      </c>
      <c r="B559" s="1364" t="s">
        <v>5242</v>
      </c>
      <c r="C559" s="1364" t="s">
        <v>4071</v>
      </c>
      <c r="D559" s="1364">
        <f>+IF(ISBLANK(REPORTS!J440),"",REPORTS!J440)</f>
        <v>38579.974456728742</v>
      </c>
      <c r="E559" s="1364">
        <f>+IF(ISBLANK(REPORTS!K440),"",REPORTS!K440)</f>
        <v>15674.704592608185</v>
      </c>
      <c r="F559" s="1364">
        <f>+IF(ISBLANK(REPORTS!L440),"",REPORTS!L440)</f>
        <v>3242.3627020553458</v>
      </c>
      <c r="G559" s="1364">
        <f>+IF(ISBLANK(REPORTS!M440),"",REPORTS!M440)</f>
        <v>1926.6075162333323</v>
      </c>
      <c r="H559" s="1364">
        <f>+IF(ISBLANK(REPORTS!N440),"",REPORTS!N440)</f>
        <v>148.32180895275098</v>
      </c>
      <c r="I559" s="1364">
        <f>+IF(ISBLANK(REPORTS!O440),"",REPORTS!O440)</f>
        <v>161.82531983870714</v>
      </c>
      <c r="J559" s="1364">
        <f>+IF(ISBLANK(REPORTS!P440),"",REPORTS!P440)</f>
        <v>32.665810311677035</v>
      </c>
      <c r="K559" s="1364">
        <f>+IF(ISBLANK(REPORTS!Q440),"",REPORTS!Q440)</f>
        <v>17393.486706728738</v>
      </c>
    </row>
    <row r="560" spans="1:13">
      <c r="A560" s="1439">
        <v>71</v>
      </c>
      <c r="B560" s="1364" t="s">
        <v>5244</v>
      </c>
      <c r="C560" s="1364" t="s">
        <v>4071</v>
      </c>
      <c r="D560" s="1366">
        <f>+IF(ISBLANK(REPORTS!J441),"",REPORTS!J441)</f>
        <v>0</v>
      </c>
      <c r="E560" s="1366">
        <f>+IF(ISBLANK(REPORTS!K441),"",REPORTS!K441)</f>
        <v>0</v>
      </c>
      <c r="F560" s="1366">
        <f>+IF(ISBLANK(REPORTS!L441),"",REPORTS!L441)</f>
        <v>0</v>
      </c>
      <c r="G560" s="1366">
        <f>+IF(ISBLANK(REPORTS!M441),"",REPORTS!M441)</f>
        <v>0</v>
      </c>
      <c r="H560" s="1366">
        <f>+IF(ISBLANK(REPORTS!N441),"",REPORTS!N441)</f>
        <v>0</v>
      </c>
      <c r="I560" s="1366">
        <f>+IF(ISBLANK(REPORTS!O441),"",REPORTS!O441)</f>
        <v>0</v>
      </c>
      <c r="J560" s="1366">
        <f>+IF(ISBLANK(REPORTS!P441),"",REPORTS!P441)</f>
        <v>0</v>
      </c>
      <c r="K560" s="1366">
        <f>+IF(ISBLANK(REPORTS!Q441),"",REPORTS!Q441)</f>
        <v>0</v>
      </c>
    </row>
    <row r="561" spans="1:11">
      <c r="A561" s="1439">
        <v>72</v>
      </c>
      <c r="B561" s="1364"/>
      <c r="C561" s="1364"/>
      <c r="D561" s="1364" t="str">
        <f>+IF(ISBLANK(REPORTS!J442),"",REPORTS!J442)</f>
        <v/>
      </c>
      <c r="E561" s="1364" t="str">
        <f>+IF(ISBLANK(REPORTS!K442),"",REPORTS!K442)</f>
        <v/>
      </c>
      <c r="F561" s="1364" t="str">
        <f>+IF(ISBLANK(REPORTS!L442),"",REPORTS!L442)</f>
        <v/>
      </c>
      <c r="G561" s="1364" t="str">
        <f>+IF(ISBLANK(REPORTS!M442),"",REPORTS!M442)</f>
        <v/>
      </c>
      <c r="H561" s="1364" t="str">
        <f>+IF(ISBLANK(REPORTS!N442),"",REPORTS!N442)</f>
        <v/>
      </c>
      <c r="I561" s="1364" t="str">
        <f>+IF(ISBLANK(REPORTS!O442),"",REPORTS!O442)</f>
        <v/>
      </c>
      <c r="J561" s="1364" t="str">
        <f>+IF(ISBLANK(REPORTS!P442),"",REPORTS!P442)</f>
        <v/>
      </c>
      <c r="K561" s="1364" t="str">
        <f>+IF(ISBLANK(REPORTS!Q442),"",REPORTS!Q442)</f>
        <v/>
      </c>
    </row>
    <row r="562" spans="1:11">
      <c r="A562" s="1439">
        <v>73</v>
      </c>
      <c r="B562" s="1364" t="s">
        <v>5431</v>
      </c>
      <c r="C562" s="1364"/>
      <c r="D562" s="1366">
        <f>+IF(ISBLANK(REPORTS!J443),"",REPORTS!J443)</f>
        <v>456162.82914263982</v>
      </c>
      <c r="E562" s="1366">
        <f>+IF(ISBLANK(REPORTS!K443),"",REPORTS!K443)</f>
        <v>263234.61177708808</v>
      </c>
      <c r="F562" s="1366">
        <f>+IF(ISBLANK(REPORTS!L443),"",REPORTS!L443)</f>
        <v>23395.05034281862</v>
      </c>
      <c r="G562" s="1366">
        <f>+IF(ISBLANK(REPORTS!M443),"",REPORTS!M443)</f>
        <v>126914.91764505973</v>
      </c>
      <c r="H562" s="1366">
        <f>+IF(ISBLANK(REPORTS!N443),"",REPORTS!N443)</f>
        <v>14864.404949244567</v>
      </c>
      <c r="I562" s="1366">
        <f>+IF(ISBLANK(REPORTS!O443),"",REPORTS!O443)</f>
        <v>9400.7229979470358</v>
      </c>
      <c r="J562" s="1366">
        <f>+IF(ISBLANK(REPORTS!P443),"",REPORTS!P443)</f>
        <v>959.63472375318247</v>
      </c>
      <c r="K562" s="1366">
        <f>+IF(ISBLANK(REPORTS!Q443),"",REPORTS!Q443)</f>
        <v>17393.486706728738</v>
      </c>
    </row>
    <row r="563" spans="1:11">
      <c r="A563" s="1439"/>
      <c r="B563" s="1364"/>
      <c r="C563" s="1364"/>
      <c r="E563" s="1364"/>
    </row>
    <row r="564" spans="1:11">
      <c r="A564" s="1439"/>
      <c r="B564" s="1364"/>
      <c r="C564" s="1364"/>
      <c r="E564" s="1364"/>
    </row>
    <row r="565" spans="1:11">
      <c r="A565" s="1439"/>
      <c r="B565" s="1364"/>
      <c r="C565" s="1364"/>
      <c r="E565" s="1364"/>
    </row>
    <row r="566" spans="1:11">
      <c r="A566" s="1439"/>
      <c r="B566" s="1364"/>
      <c r="C566" s="1364"/>
      <c r="E566" s="1364"/>
    </row>
    <row r="567" spans="1:11">
      <c r="A567" s="1439"/>
      <c r="B567" s="1364"/>
      <c r="C567" s="1364"/>
      <c r="E567" s="1364"/>
    </row>
    <row r="568" spans="1:11">
      <c r="A568" s="1439"/>
      <c r="B568" s="1364"/>
      <c r="C568" s="1364"/>
      <c r="E568" s="1364"/>
    </row>
    <row r="569" spans="1:11">
      <c r="A569" s="1439"/>
      <c r="B569" s="1364"/>
      <c r="C569" s="1364"/>
      <c r="E569" s="1364"/>
    </row>
    <row r="575" spans="1:11">
      <c r="A575" s="1439"/>
      <c r="B575" s="1364"/>
      <c r="C575" s="1364"/>
      <c r="E575" s="1364"/>
    </row>
    <row r="576" spans="1:11">
      <c r="A576" s="1439"/>
      <c r="B576" s="1364"/>
      <c r="C576" s="1364"/>
      <c r="E576" s="1364"/>
    </row>
    <row r="577" spans="1:5">
      <c r="A577" s="1439"/>
      <c r="B577" s="1364"/>
      <c r="C577" s="1364"/>
      <c r="E577" s="1364"/>
    </row>
    <row r="578" spans="1:5">
      <c r="A578" s="1439"/>
      <c r="B578" s="1364"/>
      <c r="C578" s="1364"/>
      <c r="E578" s="1364"/>
    </row>
    <row r="579" spans="1:5">
      <c r="A579" s="1439"/>
      <c r="B579" s="1364"/>
      <c r="C579" s="1364"/>
      <c r="E579" s="1364"/>
    </row>
    <row r="580" spans="1:5">
      <c r="A580" s="1439"/>
      <c r="B580" s="1364"/>
      <c r="C580" s="1364"/>
      <c r="E580" s="1364"/>
    </row>
    <row r="581" spans="1:5">
      <c r="A581" s="1439"/>
      <c r="B581" s="1364"/>
      <c r="C581" s="1364"/>
      <c r="E581" s="1364"/>
    </row>
    <row r="582" spans="1:5">
      <c r="A582" s="1439"/>
      <c r="B582" s="1364"/>
      <c r="C582" s="1364"/>
      <c r="E582" s="1364"/>
    </row>
    <row r="583" spans="1:5">
      <c r="A583" s="1439"/>
      <c r="B583" s="1364"/>
      <c r="C583" s="1364"/>
      <c r="E583" s="1364"/>
    </row>
    <row r="584" spans="1:5">
      <c r="A584" s="1439"/>
      <c r="B584" s="1364"/>
      <c r="C584" s="1364"/>
      <c r="E584" s="1364"/>
    </row>
    <row r="585" spans="1:5">
      <c r="A585" s="1439"/>
      <c r="B585" s="1364"/>
      <c r="C585" s="1364"/>
      <c r="E585" s="1364"/>
    </row>
    <row r="586" spans="1:5">
      <c r="A586" s="1439"/>
      <c r="B586" s="1364"/>
      <c r="C586" s="1364"/>
      <c r="E586" s="1364"/>
    </row>
    <row r="587" spans="1:5">
      <c r="A587" s="1439"/>
      <c r="B587" s="1364"/>
      <c r="C587" s="1364"/>
      <c r="E587" s="1364"/>
    </row>
    <row r="588" spans="1:5">
      <c r="A588" s="1439"/>
      <c r="B588" s="1364"/>
      <c r="C588" s="1364"/>
      <c r="E588" s="1364"/>
    </row>
    <row r="589" spans="1:5">
      <c r="A589" s="1439"/>
      <c r="B589" s="1364"/>
      <c r="C589" s="1364"/>
      <c r="E589" s="1364"/>
    </row>
    <row r="590" spans="1:5">
      <c r="A590" s="1439"/>
      <c r="B590" s="1364"/>
      <c r="C590" s="1364"/>
      <c r="E590" s="1364"/>
    </row>
    <row r="591" spans="1:5">
      <c r="A591" s="1439"/>
      <c r="B591" s="1364"/>
      <c r="C591" s="1364"/>
      <c r="E591" s="1364"/>
    </row>
    <row r="592" spans="1:5">
      <c r="A592" s="1439"/>
      <c r="B592" s="1364"/>
      <c r="C592" s="1364"/>
      <c r="E592" s="1364"/>
    </row>
    <row r="593" spans="1:13">
      <c r="A593" s="1439"/>
      <c r="B593" s="1364"/>
      <c r="C593" s="1364"/>
      <c r="E593" s="1364"/>
    </row>
    <row r="594" spans="1:13">
      <c r="A594" s="1439"/>
      <c r="B594" s="1364"/>
      <c r="C594" s="1364"/>
      <c r="E594" s="1364"/>
    </row>
    <row r="595" spans="1:13">
      <c r="A595" s="1439"/>
      <c r="B595" s="1364"/>
      <c r="C595" s="1364"/>
      <c r="E595" s="1364"/>
    </row>
    <row r="596" spans="1:13">
      <c r="A596" s="1439"/>
      <c r="B596" s="1364"/>
      <c r="C596" s="1364"/>
      <c r="E596" s="1364"/>
    </row>
    <row r="597" spans="1:13">
      <c r="A597" s="1439"/>
      <c r="B597" s="1364"/>
      <c r="C597" s="1364"/>
      <c r="E597" s="1364"/>
    </row>
    <row r="598" spans="1:13">
      <c r="A598" s="1439"/>
      <c r="B598" s="1364"/>
      <c r="C598" s="1364"/>
      <c r="E598" s="1364"/>
    </row>
    <row r="599" spans="1:13">
      <c r="A599" s="1439"/>
      <c r="B599" s="1364"/>
      <c r="C599" s="1364"/>
      <c r="E599" s="1364"/>
    </row>
    <row r="600" spans="1:13">
      <c r="A600" s="1439"/>
      <c r="B600" s="1364"/>
      <c r="C600" s="1364"/>
      <c r="E600" s="1364"/>
    </row>
    <row r="601" spans="1:13">
      <c r="A601" s="1732" t="str">
        <f>+$A$1</f>
        <v>RATES WITH REVENUE DEFICIENCY ADDITION</v>
      </c>
      <c r="F601" s="1329" t="s">
        <v>2173</v>
      </c>
      <c r="G601" s="1329"/>
      <c r="H601" s="1329"/>
      <c r="I601" s="1329"/>
      <c r="M601" s="1334" t="s">
        <v>5478</v>
      </c>
    </row>
    <row r="602" spans="1:13">
      <c r="A602" s="1732" t="str">
        <f>+$A$2</f>
        <v>PROD. CAP. ALLOC. METHOD: 12 CP &amp; 1/13th AD</v>
      </c>
      <c r="B602" s="1364"/>
      <c r="F602" s="1336" t="s">
        <v>5141</v>
      </c>
      <c r="G602" s="1336"/>
      <c r="H602" s="1336"/>
      <c r="I602" s="1336"/>
      <c r="L602" s="1331"/>
      <c r="M602" s="1409"/>
    </row>
    <row r="603" spans="1:13">
      <c r="A603" s="1732" t="str">
        <f>+$A$3</f>
        <v>PROJECTED CALENDAR YEAR 2025; FULLY ADJUSTED DATA</v>
      </c>
      <c r="F603" s="1336" t="s">
        <v>2181</v>
      </c>
    </row>
    <row r="604" spans="1:13">
      <c r="A604" s="1732" t="str">
        <f>+$A$4</f>
        <v>MINIMUM DISTRIBUTION SYSTEM (MDS) NOT EMPLOYED</v>
      </c>
      <c r="E604" s="1364"/>
      <c r="F604" s="1336"/>
      <c r="G604" s="1336"/>
      <c r="H604" s="1336"/>
      <c r="I604" s="1336"/>
    </row>
    <row r="605" spans="1:13">
      <c r="A605" s="1732" t="str">
        <f>+$A$5</f>
        <v>Tampa Electric 2025 OB Budget</v>
      </c>
      <c r="E605" s="1364"/>
      <c r="F605" s="1336" t="s">
        <v>5391</v>
      </c>
      <c r="G605" s="1336"/>
      <c r="H605" s="1336"/>
      <c r="I605" s="1336"/>
    </row>
    <row r="606" spans="1:13">
      <c r="E606" s="1364"/>
      <c r="F606" s="1336"/>
      <c r="G606" s="1336"/>
      <c r="H606" s="1336"/>
      <c r="I606" s="1336"/>
    </row>
    <row r="607" spans="1:13">
      <c r="E607" s="1364"/>
      <c r="F607" s="1336"/>
      <c r="G607" s="1336"/>
      <c r="H607" s="1336"/>
      <c r="I607" s="1336"/>
    </row>
    <row r="608" spans="1:13">
      <c r="A608" s="1439"/>
      <c r="B608" s="1364"/>
      <c r="C608" s="1364"/>
      <c r="E608" s="1364"/>
    </row>
    <row r="609" spans="1:13">
      <c r="A609" s="1735"/>
      <c r="B609" s="1447"/>
      <c r="C609" s="1447"/>
      <c r="D609" s="1416"/>
      <c r="E609" s="1336"/>
      <c r="F609" s="1416"/>
      <c r="G609" s="1416"/>
      <c r="H609" s="1416"/>
      <c r="I609" s="1416"/>
      <c r="J609" s="1336"/>
      <c r="K609" s="1336"/>
      <c r="L609" s="1333"/>
    </row>
    <row r="610" spans="1:13" ht="28.2">
      <c r="A610" s="1737" t="s">
        <v>4297</v>
      </c>
      <c r="B610" s="1741"/>
      <c r="C610" s="1741"/>
      <c r="D610" s="1352" t="s">
        <v>4957</v>
      </c>
      <c r="E610" s="1353" t="s">
        <v>1949</v>
      </c>
      <c r="F610" s="1353" t="s">
        <v>1950</v>
      </c>
      <c r="G610" s="1353" t="s">
        <v>1934</v>
      </c>
      <c r="H610" s="1353" t="s">
        <v>1971</v>
      </c>
      <c r="I610" s="1353" t="s">
        <v>1972</v>
      </c>
      <c r="J610" s="1352" t="s">
        <v>5146</v>
      </c>
      <c r="K610" s="1352" t="s">
        <v>5147</v>
      </c>
      <c r="L610" s="1355"/>
      <c r="M610" s="1348" t="s">
        <v>5299</v>
      </c>
    </row>
    <row r="611" spans="1:13">
      <c r="A611" s="1439"/>
      <c r="B611" s="1364"/>
      <c r="C611" s="1364"/>
      <c r="E611" s="1364"/>
    </row>
    <row r="612" spans="1:13">
      <c r="A612" s="1439">
        <v>74</v>
      </c>
      <c r="B612" s="1450" t="s">
        <v>5435</v>
      </c>
      <c r="C612" s="1364"/>
      <c r="E612" s="1364"/>
    </row>
    <row r="613" spans="1:13">
      <c r="A613" s="1439">
        <v>75</v>
      </c>
      <c r="B613" s="1364" t="s">
        <v>5265</v>
      </c>
      <c r="C613" s="1364" t="s">
        <v>4067</v>
      </c>
      <c r="D613" s="1364">
        <f>+IF(ISBLANK(REPORTS!J461),"",REPORTS!J461)</f>
        <v>2270.0840464485473</v>
      </c>
      <c r="E613" s="1324">
        <f>+IF(ISBLANK(REPORTS!K461),"",REPORTS!K461)</f>
        <v>1303.5155540433097</v>
      </c>
      <c r="F613" s="1324">
        <f>+IF(ISBLANK(REPORTS!L461),"",REPORTS!L461)</f>
        <v>108.4011951508635</v>
      </c>
      <c r="G613" s="1324">
        <f>+IF(ISBLANK(REPORTS!M461),"",REPORTS!M461)</f>
        <v>701.56281321595225</v>
      </c>
      <c r="H613" s="1324">
        <f>+IF(ISBLANK(REPORTS!N461),"",REPORTS!N461)</f>
        <v>89.664475650349132</v>
      </c>
      <c r="I613" s="1324">
        <f>+IF(ISBLANK(REPORTS!O461),"",REPORTS!O461)</f>
        <v>64.531804439273259</v>
      </c>
      <c r="J613" s="1324">
        <f>+IF(ISBLANK(REPORTS!P461),"",REPORTS!P461)</f>
        <v>2.408203948799386</v>
      </c>
      <c r="K613" s="1324">
        <f>+IF(ISBLANK(REPORTS!Q461),"",REPORTS!Q461)</f>
        <v>0</v>
      </c>
      <c r="L613" s="1324"/>
      <c r="M613" s="1324">
        <v>122</v>
      </c>
    </row>
    <row r="614" spans="1:13">
      <c r="A614" s="1439">
        <v>76</v>
      </c>
      <c r="B614" s="1364" t="s">
        <v>5265</v>
      </c>
      <c r="C614" s="1364" t="s">
        <v>2067</v>
      </c>
      <c r="D614" s="1364">
        <f>+IF(ISBLANK(REPORTS!J462),"",REPORTS!J462)</f>
        <v>564.04119465374163</v>
      </c>
      <c r="E614" s="1364">
        <f>+IF(ISBLANK(REPORTS!K462),"",REPORTS!K462)</f>
        <v>284.63446869433426</v>
      </c>
      <c r="F614" s="1364">
        <f>+IF(ISBLANK(REPORTS!L462),"",REPORTS!L462)</f>
        <v>26.303556926689904</v>
      </c>
      <c r="G614" s="1364">
        <f>+IF(ISBLANK(REPORTS!M462),"",REPORTS!M462)</f>
        <v>195.95128246554785</v>
      </c>
      <c r="H614" s="1364">
        <f>+IF(ISBLANK(REPORTS!N462),"",REPORTS!N462)</f>
        <v>31.192293514478145</v>
      </c>
      <c r="I614" s="1364">
        <f>+IF(ISBLANK(REPORTS!O462),"",REPORTS!O462)</f>
        <v>22.979732709629463</v>
      </c>
      <c r="J614" s="1364">
        <f>+IF(ISBLANK(REPORTS!P462),"",REPORTS!P462)</f>
        <v>2.9798603430620108</v>
      </c>
      <c r="K614" s="1364">
        <f>+IF(ISBLANK(REPORTS!Q462),"",REPORTS!Q462)</f>
        <v>0</v>
      </c>
      <c r="L614" s="1364"/>
      <c r="M614" s="1324">
        <v>201</v>
      </c>
    </row>
    <row r="615" spans="1:13">
      <c r="A615" s="1439">
        <v>77</v>
      </c>
      <c r="B615" s="1364" t="s">
        <v>5268</v>
      </c>
      <c r="C615" s="1364" t="s">
        <v>4067</v>
      </c>
      <c r="D615" s="1364">
        <f>+IF(ISBLANK(REPORTS!J463),"",REPORTS!J463)</f>
        <v>400.1432438925961</v>
      </c>
      <c r="E615" s="1364">
        <f>+IF(ISBLANK(REPORTS!K463),"",REPORTS!K463)</f>
        <v>232.08829937511041</v>
      </c>
      <c r="F615" s="1364">
        <f>+IF(ISBLANK(REPORTS!L463),"",REPORTS!L463)</f>
        <v>19.14494372702735</v>
      </c>
      <c r="G615" s="1364">
        <f>+IF(ISBLANK(REPORTS!M463),"",REPORTS!M463)</f>
        <v>122.3840070638917</v>
      </c>
      <c r="H615" s="1364">
        <f>+IF(ISBLANK(REPORTS!N463),"",REPORTS!N463)</f>
        <v>15.278020580401233</v>
      </c>
      <c r="I615" s="1364">
        <f>+IF(ISBLANK(REPORTS!O463),"",REPORTS!O463)</f>
        <v>10.964274543948228</v>
      </c>
      <c r="J615" s="1364">
        <f>+IF(ISBLANK(REPORTS!P463),"",REPORTS!P463)</f>
        <v>0.2836986022172</v>
      </c>
      <c r="K615" s="1364">
        <f>+IF(ISBLANK(REPORTS!Q463),"",REPORTS!Q463)</f>
        <v>0</v>
      </c>
      <c r="L615" s="1364"/>
      <c r="M615" s="1324">
        <v>117</v>
      </c>
    </row>
    <row r="616" spans="1:13">
      <c r="A616" s="1439">
        <v>78</v>
      </c>
      <c r="B616" s="1364" t="s">
        <v>5239</v>
      </c>
      <c r="C616" s="1364" t="s">
        <v>4067</v>
      </c>
      <c r="D616" s="1364">
        <f>+IF(ISBLANK(REPORTS!J464),"",REPORTS!J464)</f>
        <v>322.11582955736321</v>
      </c>
      <c r="E616" s="1364">
        <f>+IF(ISBLANK(REPORTS!K464),"",REPORTS!K464)</f>
        <v>186.83138157353912</v>
      </c>
      <c r="F616" s="1364">
        <f>+IF(ISBLANK(REPORTS!L464),"",REPORTS!L464)</f>
        <v>15.411704494792692</v>
      </c>
      <c r="G616" s="1364">
        <f>+IF(ISBLANK(REPORTS!M464),"",REPORTS!M464)</f>
        <v>98.519284185442928</v>
      </c>
      <c r="H616" s="1364">
        <f>+IF(ISBLANK(REPORTS!N464),"",REPORTS!N464)</f>
        <v>12.29882635372285</v>
      </c>
      <c r="I616" s="1364">
        <f>+IF(ISBLANK(REPORTS!O464),"",REPORTS!O464)</f>
        <v>8.8262552076639285</v>
      </c>
      <c r="J616" s="1364">
        <f>+IF(ISBLANK(REPORTS!P464),"",REPORTS!P464)</f>
        <v>0.22837774220170623</v>
      </c>
      <c r="K616" s="1364">
        <f>+IF(ISBLANK(REPORTS!Q464),"",REPORTS!Q464)</f>
        <v>0</v>
      </c>
      <c r="L616" s="1364"/>
      <c r="M616" s="1324">
        <v>117</v>
      </c>
    </row>
    <row r="617" spans="1:13" ht="30" customHeight="1">
      <c r="A617" s="1439">
        <v>79</v>
      </c>
      <c r="B617" s="1364" t="s">
        <v>5240</v>
      </c>
      <c r="C617" s="1364" t="s">
        <v>4067</v>
      </c>
      <c r="D617" s="1364">
        <f>+IF(ISBLANK(REPORTS!J465),"",REPORTS!J465)</f>
        <v>2079.1077250027865</v>
      </c>
      <c r="E617" s="1364">
        <f>+IF(ISBLANK(REPORTS!K465),"",REPORTS!K465)</f>
        <v>1294.069938874683</v>
      </c>
      <c r="F617" s="1364">
        <f>+IF(ISBLANK(REPORTS!L465),"",REPORTS!L465)</f>
        <v>92.037499657021129</v>
      </c>
      <c r="G617" s="1364">
        <f>+IF(ISBLANK(REPORTS!M465),"",REPORTS!M465)</f>
        <v>616.24852601637986</v>
      </c>
      <c r="H617" s="1364">
        <f>+IF(ISBLANK(REPORTS!N465),"",REPORTS!N465)</f>
        <v>64.816954588604574</v>
      </c>
      <c r="I617" s="1364">
        <f>+IF(ISBLANK(REPORTS!O465),"",REPORTS!O465)</f>
        <v>4.4255753884517051E-5</v>
      </c>
      <c r="J617" s="1364">
        <f>+IF(ISBLANK(REPORTS!P465),"",REPORTS!P465)</f>
        <v>11.934761610344644</v>
      </c>
      <c r="K617" s="1364">
        <f>+IF(ISBLANK(REPORTS!Q465),"",REPORTS!Q465)</f>
        <v>0</v>
      </c>
      <c r="L617" s="1364"/>
      <c r="M617" s="1324">
        <v>105</v>
      </c>
    </row>
    <row r="618" spans="1:13">
      <c r="A618" s="1439">
        <v>80</v>
      </c>
      <c r="B618" s="1364" t="s">
        <v>5241</v>
      </c>
      <c r="C618" s="1364" t="s">
        <v>4067</v>
      </c>
      <c r="D618" s="1364">
        <f>+IF(ISBLANK(REPORTS!J466),"",REPORTS!J466)</f>
        <v>675.63423200398438</v>
      </c>
      <c r="E618" s="1364">
        <f>+IF(ISBLANK(REPORTS!K466),"",REPORTS!K466)</f>
        <v>492.96520813839152</v>
      </c>
      <c r="F618" s="1364">
        <f>+IF(ISBLANK(REPORTS!L466),"",REPORTS!L466)</f>
        <v>39.69348275801557</v>
      </c>
      <c r="G618" s="1364">
        <f>+IF(ISBLANK(REPORTS!M466),"",REPORTS!M466)</f>
        <v>140.53148277969356</v>
      </c>
      <c r="H618" s="1364">
        <f>+IF(ISBLANK(REPORTS!N466),"",REPORTS!N466)</f>
        <v>0</v>
      </c>
      <c r="I618" s="1364">
        <f>+IF(ISBLANK(REPORTS!O466),"",REPORTS!O466)</f>
        <v>0</v>
      </c>
      <c r="J618" s="1364">
        <f>+IF(ISBLANK(REPORTS!P466),"",REPORTS!P466)</f>
        <v>2.4440583278837078</v>
      </c>
      <c r="K618" s="1364">
        <f>+IF(ISBLANK(REPORTS!Q466),"",REPORTS!Q466)</f>
        <v>0</v>
      </c>
      <c r="L618" s="1364"/>
      <c r="M618" s="1324">
        <v>106</v>
      </c>
    </row>
    <row r="619" spans="1:13">
      <c r="A619" s="1439">
        <v>81</v>
      </c>
      <c r="B619" s="1364" t="s">
        <v>5242</v>
      </c>
      <c r="C619" s="1364" t="s">
        <v>4071</v>
      </c>
      <c r="D619" s="1364">
        <f>+IF(ISBLANK(REPORTS!J467),"",REPORTS!J467)</f>
        <v>801.25621217467824</v>
      </c>
      <c r="E619" s="1364">
        <f>+IF(ISBLANK(REPORTS!K467),"",REPORTS!K467)</f>
        <v>295.38848811116321</v>
      </c>
      <c r="F619" s="1364">
        <f>+IF(ISBLANK(REPORTS!L467),"",REPORTS!L467)</f>
        <v>44.806549708417833</v>
      </c>
      <c r="G619" s="1364">
        <f>+IF(ISBLANK(REPORTS!M467),"",REPORTS!M467)</f>
        <v>21.601203698791501</v>
      </c>
      <c r="H619" s="1364">
        <f>+IF(ISBLANK(REPORTS!N467),"",REPORTS!N467)</f>
        <v>1.3925246503491373</v>
      </c>
      <c r="I619" s="1364">
        <f>+IF(ISBLANK(REPORTS!O467),"",REPORTS!O467)</f>
        <v>1.5193028491030509</v>
      </c>
      <c r="J619" s="1364">
        <f>+IF(ISBLANK(REPORTS!P467),"",REPORTS!P467)</f>
        <v>0.34869813453698356</v>
      </c>
      <c r="K619" s="1364">
        <f>+IF(ISBLANK(REPORTS!Q467),"",REPORTS!Q467)</f>
        <v>436.19944502231664</v>
      </c>
      <c r="L619" s="1364"/>
      <c r="M619" s="1324">
        <v>907</v>
      </c>
    </row>
    <row r="620" spans="1:13">
      <c r="A620" s="1439">
        <v>82</v>
      </c>
      <c r="B620" s="1364" t="s">
        <v>5244</v>
      </c>
      <c r="C620" s="1364" t="s">
        <v>4071</v>
      </c>
      <c r="D620" s="1366">
        <f>+IF(ISBLANK(REPORTS!J468),"",REPORTS!J468)</f>
        <v>1085.3202556628742</v>
      </c>
      <c r="E620" s="1366">
        <f>+IF(ISBLANK(REPORTS!K468),"",REPORTS!K468)</f>
        <v>967.98282559151016</v>
      </c>
      <c r="F620" s="1366">
        <f>+IF(ISBLANK(REPORTS!L468),"",REPORTS!L468)</f>
        <v>93.837220972441827</v>
      </c>
      <c r="G620" s="1366">
        <f>+IF(ISBLANK(REPORTS!M468),"",REPORTS!M468)</f>
        <v>23.111307823666802</v>
      </c>
      <c r="H620" s="1366">
        <f>+IF(ISBLANK(REPORTS!N468),"",REPORTS!N468)</f>
        <v>7.8031971086823596E-2</v>
      </c>
      <c r="I620" s="1366">
        <f>+IF(ISBLANK(REPORTS!O468),"",REPORTS!O468)</f>
        <v>1.3844381967017089E-2</v>
      </c>
      <c r="J620" s="1366">
        <f>+IF(ISBLANK(REPORTS!P468),"",REPORTS!P468)</f>
        <v>0.29702492220145754</v>
      </c>
      <c r="K620" s="1366">
        <f>+IF(ISBLANK(REPORTS!Q468),"",REPORTS!Q468)</f>
        <v>0</v>
      </c>
      <c r="L620" s="1364"/>
      <c r="M620" s="1324">
        <v>412</v>
      </c>
    </row>
    <row r="621" spans="1:13">
      <c r="A621" s="1439">
        <v>83</v>
      </c>
      <c r="B621" s="1364"/>
      <c r="C621" s="1364"/>
      <c r="D621" s="1364" t="str">
        <f>+IF(ISBLANK(REPORTS!J469),"",REPORTS!J469)</f>
        <v/>
      </c>
      <c r="E621" s="1364" t="str">
        <f>+IF(ISBLANK(REPORTS!K469),"",REPORTS!K469)</f>
        <v/>
      </c>
      <c r="F621" s="1364" t="str">
        <f>+IF(ISBLANK(REPORTS!L469),"",REPORTS!L469)</f>
        <v/>
      </c>
      <c r="G621" s="1364" t="str">
        <f>+IF(ISBLANK(REPORTS!M469),"",REPORTS!M469)</f>
        <v/>
      </c>
      <c r="H621" s="1364" t="str">
        <f>+IF(ISBLANK(REPORTS!N469),"",REPORTS!N469)</f>
        <v/>
      </c>
      <c r="I621" s="1364" t="str">
        <f>+IF(ISBLANK(REPORTS!O469),"",REPORTS!O469)</f>
        <v/>
      </c>
      <c r="J621" s="1364" t="str">
        <f>+IF(ISBLANK(REPORTS!P469),"",REPORTS!P469)</f>
        <v/>
      </c>
      <c r="K621" s="1364" t="str">
        <f>+IF(ISBLANK(REPORTS!Q469),"",REPORTS!Q469)</f>
        <v/>
      </c>
      <c r="L621" s="1364"/>
      <c r="M621" s="1324"/>
    </row>
    <row r="622" spans="1:13">
      <c r="A622" s="1439">
        <v>84</v>
      </c>
      <c r="B622" s="1364" t="s">
        <v>5436</v>
      </c>
      <c r="C622" s="1364"/>
      <c r="D622" s="1366">
        <f>+IF(ISBLANK(REPORTS!J470),"",REPORTS!J470)</f>
        <v>8197.7027393965709</v>
      </c>
      <c r="E622" s="1366">
        <f>+IF(ISBLANK(REPORTS!K470),"",REPORTS!K470)</f>
        <v>5057.4761644020409</v>
      </c>
      <c r="F622" s="1366">
        <f>+IF(ISBLANK(REPORTS!L470),"",REPORTS!L470)</f>
        <v>439.63615339526984</v>
      </c>
      <c r="G622" s="1366">
        <f>+IF(ISBLANK(REPORTS!M470),"",REPORTS!M470)</f>
        <v>1919.9099072493664</v>
      </c>
      <c r="H622" s="1366">
        <f>+IF(ISBLANK(REPORTS!N470),"",REPORTS!N470)</f>
        <v>214.72112730899192</v>
      </c>
      <c r="I622" s="1366">
        <f>+IF(ISBLANK(REPORTS!O470),"",REPORTS!O470)</f>
        <v>108.83525838733884</v>
      </c>
      <c r="J622" s="1366">
        <f>+IF(ISBLANK(REPORTS!P470),"",REPORTS!P470)</f>
        <v>20.924683631247103</v>
      </c>
      <c r="K622" s="1366">
        <f>+IF(ISBLANK(REPORTS!Q470),"",REPORTS!Q470)</f>
        <v>436.19944502231664</v>
      </c>
      <c r="L622" s="1364"/>
      <c r="M622" s="1324"/>
    </row>
    <row r="623" spans="1:13">
      <c r="A623" s="1439">
        <v>85</v>
      </c>
      <c r="B623" s="1364"/>
      <c r="C623" s="1364"/>
      <c r="D623" s="1364" t="str">
        <f>+IF(ISBLANK(REPORTS!J471),"",REPORTS!J471)</f>
        <v/>
      </c>
      <c r="E623" s="1364" t="str">
        <f>+IF(ISBLANK(REPORTS!K471),"",REPORTS!K471)</f>
        <v/>
      </c>
      <c r="F623" s="1364" t="str">
        <f>+IF(ISBLANK(REPORTS!L471),"",REPORTS!L471)</f>
        <v/>
      </c>
      <c r="G623" s="1364" t="str">
        <f>+IF(ISBLANK(REPORTS!M471),"",REPORTS!M471)</f>
        <v/>
      </c>
      <c r="H623" s="1364" t="str">
        <f>+IF(ISBLANK(REPORTS!N471),"",REPORTS!N471)</f>
        <v/>
      </c>
      <c r="I623" s="1364" t="str">
        <f>+IF(ISBLANK(REPORTS!O471),"",REPORTS!O471)</f>
        <v/>
      </c>
      <c r="J623" s="1364" t="str">
        <f>+IF(ISBLANK(REPORTS!P471),"",REPORTS!P471)</f>
        <v/>
      </c>
      <c r="K623" s="1364" t="str">
        <f>+IF(ISBLANK(REPORTS!Q471),"",REPORTS!Q471)</f>
        <v/>
      </c>
      <c r="L623" s="1364"/>
      <c r="M623" s="1324"/>
    </row>
    <row r="624" spans="1:13">
      <c r="A624" s="1439">
        <v>86</v>
      </c>
      <c r="B624" s="1450" t="s">
        <v>5438</v>
      </c>
      <c r="C624" s="1364"/>
      <c r="D624" s="1364" t="str">
        <f>+IF(ISBLANK(REPORTS!J472),"",REPORTS!J472)</f>
        <v/>
      </c>
      <c r="E624" s="1364" t="str">
        <f>+IF(ISBLANK(REPORTS!K472),"",REPORTS!K472)</f>
        <v/>
      </c>
      <c r="F624" s="1364" t="str">
        <f>+IF(ISBLANK(REPORTS!L472),"",REPORTS!L472)</f>
        <v/>
      </c>
      <c r="G624" s="1364" t="str">
        <f>+IF(ISBLANK(REPORTS!M472),"",REPORTS!M472)</f>
        <v/>
      </c>
      <c r="H624" s="1364" t="str">
        <f>+IF(ISBLANK(REPORTS!N472),"",REPORTS!N472)</f>
        <v/>
      </c>
      <c r="I624" s="1364" t="str">
        <f>+IF(ISBLANK(REPORTS!O472),"",REPORTS!O472)</f>
        <v/>
      </c>
      <c r="J624" s="1364" t="str">
        <f>+IF(ISBLANK(REPORTS!P472),"",REPORTS!P472)</f>
        <v/>
      </c>
      <c r="K624" s="1364" t="str">
        <f>+IF(ISBLANK(REPORTS!Q472),"",REPORTS!Q472)</f>
        <v/>
      </c>
      <c r="L624" s="1364"/>
      <c r="M624" s="1324"/>
    </row>
    <row r="625" spans="1:13">
      <c r="A625" s="1439">
        <v>87</v>
      </c>
      <c r="B625" s="1364" t="s">
        <v>5265</v>
      </c>
      <c r="C625" s="1364" t="s">
        <v>4067</v>
      </c>
      <c r="D625" s="1364">
        <f>+IF(ISBLANK(REPORTS!J473),"",REPORTS!J473)</f>
        <v>428.13576</v>
      </c>
      <c r="E625" s="1324">
        <f>+IF(ISBLANK(REPORTS!K473),"",REPORTS!K473)</f>
        <v>245.84183271771332</v>
      </c>
      <c r="F625" s="1324">
        <f>+IF(ISBLANK(REPORTS!L473),"",REPORTS!L473)</f>
        <v>20.444365548240587</v>
      </c>
      <c r="G625" s="1324">
        <f>+IF(ISBLANK(REPORTS!M473),"",REPORTS!M473)</f>
        <v>132.31410030560633</v>
      </c>
      <c r="H625" s="1324">
        <f>+IF(ISBLANK(REPORTS!N473),"",REPORTS!N473)</f>
        <v>16.910637510369298</v>
      </c>
      <c r="I625" s="1324">
        <f>+IF(ISBLANK(REPORTS!O473),"",REPORTS!O473)</f>
        <v>12.170638871720667</v>
      </c>
      <c r="J625" s="1324">
        <f>+IF(ISBLANK(REPORTS!P473),"",REPORTS!P473)</f>
        <v>0.4541850463498226</v>
      </c>
      <c r="K625" s="1324">
        <f>+IF(ISBLANK(REPORTS!Q473),"",REPORTS!Q473)</f>
        <v>0</v>
      </c>
      <c r="L625" s="1324"/>
      <c r="M625" s="1324">
        <v>122</v>
      </c>
    </row>
    <row r="626" spans="1:13">
      <c r="A626" s="1439">
        <v>88</v>
      </c>
      <c r="B626" s="1364" t="s">
        <v>5265</v>
      </c>
      <c r="C626" s="1364" t="s">
        <v>2067</v>
      </c>
      <c r="D626" s="1364">
        <f>+IF(ISBLANK(REPORTS!J474),"",REPORTS!J474)</f>
        <v>0</v>
      </c>
      <c r="E626" s="1364">
        <f>+IF(ISBLANK(REPORTS!K474),"",REPORTS!K474)</f>
        <v>0</v>
      </c>
      <c r="F626" s="1364">
        <f>+IF(ISBLANK(REPORTS!L474),"",REPORTS!L474)</f>
        <v>0</v>
      </c>
      <c r="G626" s="1364">
        <f>+IF(ISBLANK(REPORTS!M474),"",REPORTS!M474)</f>
        <v>0</v>
      </c>
      <c r="H626" s="1364">
        <f>+IF(ISBLANK(REPORTS!N474),"",REPORTS!N474)</f>
        <v>0</v>
      </c>
      <c r="I626" s="1364">
        <f>+IF(ISBLANK(REPORTS!O474),"",REPORTS!O474)</f>
        <v>0</v>
      </c>
      <c r="J626" s="1364">
        <f>+IF(ISBLANK(REPORTS!P474),"",REPORTS!P474)</f>
        <v>0</v>
      </c>
      <c r="K626" s="1364">
        <f>+IF(ISBLANK(REPORTS!Q474),"",REPORTS!Q474)</f>
        <v>0</v>
      </c>
      <c r="L626" s="1364"/>
      <c r="M626" s="1324">
        <v>201</v>
      </c>
    </row>
    <row r="627" spans="1:13">
      <c r="A627" s="1439">
        <v>89</v>
      </c>
      <c r="B627" s="1364" t="s">
        <v>5268</v>
      </c>
      <c r="C627" s="1364" t="s">
        <v>4067</v>
      </c>
      <c r="D627" s="1364">
        <f>+IF(ISBLANK(REPORTS!J475),"",REPORTS!J475)</f>
        <v>0</v>
      </c>
      <c r="E627" s="1364">
        <f>+IF(ISBLANK(REPORTS!K475),"",REPORTS!K475)</f>
        <v>0</v>
      </c>
      <c r="F627" s="1364">
        <f>+IF(ISBLANK(REPORTS!L475),"",REPORTS!L475)</f>
        <v>0</v>
      </c>
      <c r="G627" s="1364">
        <f>+IF(ISBLANK(REPORTS!M475),"",REPORTS!M475)</f>
        <v>0</v>
      </c>
      <c r="H627" s="1364">
        <f>+IF(ISBLANK(REPORTS!N475),"",REPORTS!N475)</f>
        <v>0</v>
      </c>
      <c r="I627" s="1364">
        <f>+IF(ISBLANK(REPORTS!O475),"",REPORTS!O475)</f>
        <v>0</v>
      </c>
      <c r="J627" s="1364">
        <f>+IF(ISBLANK(REPORTS!P475),"",REPORTS!P475)</f>
        <v>0</v>
      </c>
      <c r="K627" s="1364">
        <f>+IF(ISBLANK(REPORTS!Q475),"",REPORTS!Q475)</f>
        <v>0</v>
      </c>
      <c r="L627" s="1364"/>
      <c r="M627" s="1324">
        <v>117</v>
      </c>
    </row>
    <row r="628" spans="1:13">
      <c r="A628" s="1439">
        <v>90</v>
      </c>
      <c r="B628" s="1364" t="s">
        <v>5239</v>
      </c>
      <c r="C628" s="1364" t="s">
        <v>4067</v>
      </c>
      <c r="D628" s="1364">
        <f>+IF(ISBLANK(REPORTS!J476),"",REPORTS!J476)</f>
        <v>0</v>
      </c>
      <c r="E628" s="1364">
        <f>+IF(ISBLANK(REPORTS!K476),"",REPORTS!K476)</f>
        <v>0</v>
      </c>
      <c r="F628" s="1364">
        <f>+IF(ISBLANK(REPORTS!L476),"",REPORTS!L476)</f>
        <v>0</v>
      </c>
      <c r="G628" s="1364">
        <f>+IF(ISBLANK(REPORTS!M476),"",REPORTS!M476)</f>
        <v>0</v>
      </c>
      <c r="H628" s="1364">
        <f>+IF(ISBLANK(REPORTS!N476),"",REPORTS!N476)</f>
        <v>0</v>
      </c>
      <c r="I628" s="1364">
        <f>+IF(ISBLANK(REPORTS!O476),"",REPORTS!O476)</f>
        <v>0</v>
      </c>
      <c r="J628" s="1364">
        <f>+IF(ISBLANK(REPORTS!P476),"",REPORTS!P476)</f>
        <v>0</v>
      </c>
      <c r="K628" s="1364">
        <f>+IF(ISBLANK(REPORTS!Q476),"",REPORTS!Q476)</f>
        <v>0</v>
      </c>
      <c r="L628" s="1364"/>
      <c r="M628" s="1324">
        <v>117</v>
      </c>
    </row>
    <row r="629" spans="1:13">
      <c r="A629" s="1439">
        <v>91</v>
      </c>
      <c r="B629" s="1364" t="s">
        <v>5240</v>
      </c>
      <c r="C629" s="1364" t="s">
        <v>4067</v>
      </c>
      <c r="D629" s="1364">
        <f>+IF(ISBLANK(REPORTS!J477),"",REPORTS!J477)</f>
        <v>0</v>
      </c>
      <c r="E629" s="1364">
        <f>+IF(ISBLANK(REPORTS!K477),"",REPORTS!K477)</f>
        <v>0</v>
      </c>
      <c r="F629" s="1364">
        <f>+IF(ISBLANK(REPORTS!L477),"",REPORTS!L477)</f>
        <v>0</v>
      </c>
      <c r="G629" s="1364">
        <f>+IF(ISBLANK(REPORTS!M477),"",REPORTS!M477)</f>
        <v>0</v>
      </c>
      <c r="H629" s="1364">
        <f>+IF(ISBLANK(REPORTS!N477),"",REPORTS!N477)</f>
        <v>0</v>
      </c>
      <c r="I629" s="1364">
        <f>+IF(ISBLANK(REPORTS!O477),"",REPORTS!O477)</f>
        <v>0</v>
      </c>
      <c r="J629" s="1364">
        <f>+IF(ISBLANK(REPORTS!P477),"",REPORTS!P477)</f>
        <v>0</v>
      </c>
      <c r="K629" s="1364">
        <f>+IF(ISBLANK(REPORTS!Q477),"",REPORTS!Q477)</f>
        <v>0</v>
      </c>
      <c r="L629" s="1364"/>
      <c r="M629" s="1324">
        <v>105</v>
      </c>
    </row>
    <row r="630" spans="1:13">
      <c r="A630" s="1439">
        <v>92</v>
      </c>
      <c r="B630" s="1364" t="s">
        <v>5241</v>
      </c>
      <c r="C630" s="1364" t="s">
        <v>4067</v>
      </c>
      <c r="D630" s="1364">
        <f>+IF(ISBLANK(REPORTS!J478),"",REPORTS!J478)</f>
        <v>0</v>
      </c>
      <c r="E630" s="1364">
        <f>+IF(ISBLANK(REPORTS!K478),"",REPORTS!K478)</f>
        <v>0</v>
      </c>
      <c r="F630" s="1364">
        <f>+IF(ISBLANK(REPORTS!L478),"",REPORTS!L478)</f>
        <v>0</v>
      </c>
      <c r="G630" s="1364">
        <f>+IF(ISBLANK(REPORTS!M478),"",REPORTS!M478)</f>
        <v>0</v>
      </c>
      <c r="H630" s="1364">
        <f>+IF(ISBLANK(REPORTS!N478),"",REPORTS!N478)</f>
        <v>0</v>
      </c>
      <c r="I630" s="1364">
        <f>+IF(ISBLANK(REPORTS!O478),"",REPORTS!O478)</f>
        <v>0</v>
      </c>
      <c r="J630" s="1364">
        <f>+IF(ISBLANK(REPORTS!P478),"",REPORTS!P478)</f>
        <v>0</v>
      </c>
      <c r="K630" s="1364">
        <f>+IF(ISBLANK(REPORTS!Q478),"",REPORTS!Q478)</f>
        <v>0</v>
      </c>
      <c r="L630" s="1364"/>
      <c r="M630" s="1324">
        <v>106</v>
      </c>
    </row>
    <row r="631" spans="1:13">
      <c r="A631" s="1439">
        <v>93</v>
      </c>
      <c r="B631" s="1364" t="s">
        <v>5242</v>
      </c>
      <c r="C631" s="1364" t="s">
        <v>4071</v>
      </c>
      <c r="D631" s="1364">
        <f>+IF(ISBLANK(REPORTS!J479),"",REPORTS!J479)</f>
        <v>0</v>
      </c>
      <c r="E631" s="1364">
        <f>+IF(ISBLANK(REPORTS!K479),"",REPORTS!K479)</f>
        <v>0</v>
      </c>
      <c r="F631" s="1364">
        <f>+IF(ISBLANK(REPORTS!L479),"",REPORTS!L479)</f>
        <v>0</v>
      </c>
      <c r="G631" s="1364">
        <f>+IF(ISBLANK(REPORTS!M479),"",REPORTS!M479)</f>
        <v>0</v>
      </c>
      <c r="H631" s="1364">
        <f>+IF(ISBLANK(REPORTS!N479),"",REPORTS!N479)</f>
        <v>0</v>
      </c>
      <c r="I631" s="1364">
        <f>+IF(ISBLANK(REPORTS!O479),"",REPORTS!O479)</f>
        <v>0</v>
      </c>
      <c r="J631" s="1364">
        <f>+IF(ISBLANK(REPORTS!P479),"",REPORTS!P479)</f>
        <v>0</v>
      </c>
      <c r="K631" s="1364">
        <f>+IF(ISBLANK(REPORTS!Q479),"",REPORTS!Q479)</f>
        <v>0</v>
      </c>
      <c r="L631" s="1364"/>
      <c r="M631" s="1324">
        <v>907</v>
      </c>
    </row>
    <row r="632" spans="1:13">
      <c r="A632" s="1439">
        <v>94</v>
      </c>
      <c r="B632" s="1364" t="s">
        <v>5244</v>
      </c>
      <c r="C632" s="1364" t="s">
        <v>4071</v>
      </c>
      <c r="D632" s="1366">
        <f>+IF(ISBLANK(REPORTS!J480),"",REPORTS!J480)</f>
        <v>0</v>
      </c>
      <c r="E632" s="1366">
        <f>+IF(ISBLANK(REPORTS!K480),"",REPORTS!K480)</f>
        <v>0</v>
      </c>
      <c r="F632" s="1366">
        <f>+IF(ISBLANK(REPORTS!L480),"",REPORTS!L480)</f>
        <v>0</v>
      </c>
      <c r="G632" s="1366">
        <f>+IF(ISBLANK(REPORTS!M480),"",REPORTS!M480)</f>
        <v>0</v>
      </c>
      <c r="H632" s="1366">
        <f>+IF(ISBLANK(REPORTS!N480),"",REPORTS!N480)</f>
        <v>0</v>
      </c>
      <c r="I632" s="1366">
        <f>+IF(ISBLANK(REPORTS!O480),"",REPORTS!O480)</f>
        <v>0</v>
      </c>
      <c r="J632" s="1366">
        <f>+IF(ISBLANK(REPORTS!P480),"",REPORTS!P480)</f>
        <v>0</v>
      </c>
      <c r="K632" s="1366">
        <f>+IF(ISBLANK(REPORTS!Q480),"",REPORTS!Q480)</f>
        <v>0</v>
      </c>
      <c r="L632" s="1364"/>
      <c r="M632" s="1324">
        <v>412</v>
      </c>
    </row>
    <row r="633" spans="1:13">
      <c r="A633" s="1439">
        <v>95</v>
      </c>
      <c r="B633" s="1364"/>
      <c r="C633" s="1364"/>
      <c r="D633" s="1364" t="str">
        <f>+IF(ISBLANK(REPORTS!J481),"",REPORTS!J481)</f>
        <v/>
      </c>
      <c r="E633" s="1364" t="str">
        <f>+IF(ISBLANK(REPORTS!K481),"",REPORTS!K481)</f>
        <v/>
      </c>
      <c r="F633" s="1364" t="str">
        <f>+IF(ISBLANK(REPORTS!L481),"",REPORTS!L481)</f>
        <v/>
      </c>
      <c r="G633" s="1364" t="str">
        <f>+IF(ISBLANK(REPORTS!M481),"",REPORTS!M481)</f>
        <v/>
      </c>
      <c r="H633" s="1364" t="str">
        <f>+IF(ISBLANK(REPORTS!N481),"",REPORTS!N481)</f>
        <v/>
      </c>
      <c r="I633" s="1364" t="str">
        <f>+IF(ISBLANK(REPORTS!O481),"",REPORTS!O481)</f>
        <v/>
      </c>
      <c r="J633" s="1364" t="str">
        <f>+IF(ISBLANK(REPORTS!P481),"",REPORTS!P481)</f>
        <v/>
      </c>
      <c r="K633" s="1364" t="str">
        <f>+IF(ISBLANK(REPORTS!Q481),"",REPORTS!Q481)</f>
        <v/>
      </c>
      <c r="L633" s="1364"/>
      <c r="M633" s="1324"/>
    </row>
    <row r="634" spans="1:13">
      <c r="A634" s="1439">
        <v>96</v>
      </c>
      <c r="B634" s="1364" t="s">
        <v>5439</v>
      </c>
      <c r="C634" s="1364"/>
      <c r="D634" s="1366">
        <f>+IF(ISBLANK(REPORTS!J482),"",REPORTS!J482)</f>
        <v>428.13576</v>
      </c>
      <c r="E634" s="1366">
        <f>+IF(ISBLANK(REPORTS!K482),"",REPORTS!K482)</f>
        <v>245.84183271771332</v>
      </c>
      <c r="F634" s="1366">
        <f>+IF(ISBLANK(REPORTS!L482),"",REPORTS!L482)</f>
        <v>20.444365548240587</v>
      </c>
      <c r="G634" s="1366">
        <f>+IF(ISBLANK(REPORTS!M482),"",REPORTS!M482)</f>
        <v>132.31410030560633</v>
      </c>
      <c r="H634" s="1366">
        <f>+IF(ISBLANK(REPORTS!N482),"",REPORTS!N482)</f>
        <v>16.910637510369298</v>
      </c>
      <c r="I634" s="1366">
        <f>+IF(ISBLANK(REPORTS!O482),"",REPORTS!O482)</f>
        <v>12.170638871720667</v>
      </c>
      <c r="J634" s="1366">
        <f>+IF(ISBLANK(REPORTS!P482),"",REPORTS!P482)</f>
        <v>0.4541850463498226</v>
      </c>
      <c r="K634" s="1366">
        <f>+IF(ISBLANK(REPORTS!Q482),"",REPORTS!Q482)</f>
        <v>0</v>
      </c>
      <c r="L634" s="1364"/>
      <c r="M634" s="1324"/>
    </row>
    <row r="635" spans="1:13">
      <c r="A635" s="1439">
        <v>97</v>
      </c>
      <c r="B635" s="1364"/>
      <c r="C635" s="1364"/>
      <c r="D635" s="1364" t="str">
        <f>+IF(ISBLANK(REPORTS!J483),"",REPORTS!J483)</f>
        <v/>
      </c>
      <c r="E635" s="1364" t="str">
        <f>+IF(ISBLANK(REPORTS!K483),"",REPORTS!K483)</f>
        <v/>
      </c>
      <c r="F635" s="1364" t="str">
        <f>+IF(ISBLANK(REPORTS!L483),"",REPORTS!L483)</f>
        <v/>
      </c>
      <c r="G635" s="1364" t="str">
        <f>+IF(ISBLANK(REPORTS!M483),"",REPORTS!M483)</f>
        <v/>
      </c>
      <c r="H635" s="1364" t="str">
        <f>+IF(ISBLANK(REPORTS!N483),"",REPORTS!N483)</f>
        <v/>
      </c>
      <c r="I635" s="1364" t="str">
        <f>+IF(ISBLANK(REPORTS!O483),"",REPORTS!O483)</f>
        <v/>
      </c>
      <c r="J635" s="1364" t="str">
        <f>+IF(ISBLANK(REPORTS!P483),"",REPORTS!P483)</f>
        <v/>
      </c>
      <c r="K635" s="1364" t="str">
        <f>+IF(ISBLANK(REPORTS!Q483),"",REPORTS!Q483)</f>
        <v/>
      </c>
      <c r="L635" s="1364"/>
      <c r="M635" s="1324"/>
    </row>
    <row r="636" spans="1:13">
      <c r="A636" s="1439">
        <v>98</v>
      </c>
      <c r="B636" s="1450" t="s">
        <v>5441</v>
      </c>
      <c r="C636" s="1364"/>
      <c r="D636" s="1364" t="str">
        <f>+IF(ISBLANK(REPORTS!J484),"",REPORTS!J484)</f>
        <v/>
      </c>
      <c r="E636" s="1364" t="str">
        <f>+IF(ISBLANK(REPORTS!K484),"",REPORTS!K484)</f>
        <v/>
      </c>
      <c r="F636" s="1364" t="str">
        <f>+IF(ISBLANK(REPORTS!L484),"",REPORTS!L484)</f>
        <v/>
      </c>
      <c r="G636" s="1364" t="str">
        <f>+IF(ISBLANK(REPORTS!M484),"",REPORTS!M484)</f>
        <v/>
      </c>
      <c r="H636" s="1364" t="str">
        <f>+IF(ISBLANK(REPORTS!N484),"",REPORTS!N484)</f>
        <v/>
      </c>
      <c r="I636" s="1364" t="str">
        <f>+IF(ISBLANK(REPORTS!O484),"",REPORTS!O484)</f>
        <v/>
      </c>
      <c r="J636" s="1364" t="str">
        <f>+IF(ISBLANK(REPORTS!P484),"",REPORTS!P484)</f>
        <v/>
      </c>
      <c r="K636" s="1364" t="str">
        <f>+IF(ISBLANK(REPORTS!Q484),"",REPORTS!Q484)</f>
        <v/>
      </c>
      <c r="L636" s="1364"/>
      <c r="M636" s="1324"/>
    </row>
    <row r="637" spans="1:13">
      <c r="A637" s="1439">
        <v>99</v>
      </c>
      <c r="B637" s="1364" t="s">
        <v>5265</v>
      </c>
      <c r="C637" s="1364" t="s">
        <v>4067</v>
      </c>
      <c r="D637" s="1364">
        <f>+IF(ISBLANK(REPORTS!J485),"",REPORTS!J485)</f>
        <v>22181.809150527879</v>
      </c>
      <c r="E637" s="1324">
        <f>+IF(ISBLANK(REPORTS!K485),"",REPORTS!K485)</f>
        <v>12737.120147497881</v>
      </c>
      <c r="F637" s="1324">
        <f>+IF(ISBLANK(REPORTS!L485),"",REPORTS!L485)</f>
        <v>1059.2271357914601</v>
      </c>
      <c r="G637" s="1324">
        <f>+IF(ISBLANK(REPORTS!M485),"",REPORTS!M485)</f>
        <v>6855.2230276274095</v>
      </c>
      <c r="H637" s="1324">
        <f>+IF(ISBLANK(REPORTS!N485),"",REPORTS!N485)</f>
        <v>876.14389853529087</v>
      </c>
      <c r="I637" s="1324">
        <f>+IF(ISBLANK(REPORTS!O485),"",REPORTS!O485)</f>
        <v>630.56351259353755</v>
      </c>
      <c r="J637" s="1324">
        <f>+IF(ISBLANK(REPORTS!P485),"",REPORTS!P485)</f>
        <v>23.531428482300623</v>
      </c>
      <c r="K637" s="1324">
        <f>+IF(ISBLANK(REPORTS!Q485),"",REPORTS!Q485)</f>
        <v>0</v>
      </c>
      <c r="L637" s="1324"/>
      <c r="M637" s="1324">
        <v>122</v>
      </c>
    </row>
    <row r="638" spans="1:13">
      <c r="A638" s="1439">
        <v>100</v>
      </c>
      <c r="B638" s="1364" t="s">
        <v>5358</v>
      </c>
      <c r="C638" s="1364" t="s">
        <v>4067</v>
      </c>
      <c r="D638" s="1364">
        <f>+IF(ISBLANK(REPORTS!J486),"",REPORTS!J486)</f>
        <v>152.46288000000001</v>
      </c>
      <c r="E638" s="1324">
        <f>+IF(ISBLANK(REPORTS!K486),"",REPORTS!K486)</f>
        <v>87.546421818679207</v>
      </c>
      <c r="F638" s="1324">
        <f>+IF(ISBLANK(REPORTS!L486),"",REPORTS!L486)</f>
        <v>7.2804169669395025</v>
      </c>
      <c r="G638" s="1324">
        <f>+IF(ISBLANK(REPORTS!M486),"",REPORTS!M486)</f>
        <v>47.118205676633089</v>
      </c>
      <c r="H638" s="1324">
        <f>+IF(ISBLANK(REPORTS!N486),"",REPORTS!N486)</f>
        <v>6.0220255777441549</v>
      </c>
      <c r="I638" s="1324">
        <f>+IF(ISBLANK(REPORTS!O486),"",REPORTS!O486)</f>
        <v>4.3340707018317826</v>
      </c>
      <c r="J638" s="1324">
        <f>+IF(ISBLANK(REPORTS!P486),"",REPORTS!P486)</f>
        <v>0.16173925817228499</v>
      </c>
      <c r="K638" s="1324">
        <f>+IF(ISBLANK(REPORTS!Q486),"",REPORTS!Q486)</f>
        <v>0</v>
      </c>
      <c r="L638" s="1324"/>
      <c r="M638" s="1324">
        <v>121</v>
      </c>
    </row>
    <row r="639" spans="1:13">
      <c r="A639" s="1439">
        <v>101</v>
      </c>
      <c r="B639" s="1364" t="s">
        <v>5265</v>
      </c>
      <c r="C639" s="1364" t="s">
        <v>2067</v>
      </c>
      <c r="D639" s="1364">
        <f>+IF(ISBLANK(REPORTS!J487),"",REPORTS!J487)</f>
        <v>5896.3829723099661</v>
      </c>
      <c r="E639" s="1364">
        <f>+IF(ISBLANK(REPORTS!K487),"",REPORTS!K487)</f>
        <v>2975.5164169738773</v>
      </c>
      <c r="F639" s="1364">
        <f>+IF(ISBLANK(REPORTS!L487),"",REPORTS!L487)</f>
        <v>274.97254924603823</v>
      </c>
      <c r="G639" s="1364">
        <f>+IF(ISBLANK(REPORTS!M487),"",REPORTS!M487)</f>
        <v>2048.4386890242045</v>
      </c>
      <c r="H639" s="1364">
        <f>+IF(ISBLANK(REPORTS!N487),"",REPORTS!N487)</f>
        <v>326.07850293447262</v>
      </c>
      <c r="I639" s="1364">
        <f>+IF(ISBLANK(REPORTS!O487),"",REPORTS!O487)</f>
        <v>240.22590183412711</v>
      </c>
      <c r="J639" s="1364">
        <f>+IF(ISBLANK(REPORTS!P487),"",REPORTS!P487)</f>
        <v>31.150912297246016</v>
      </c>
      <c r="K639" s="1364">
        <f>+IF(ISBLANK(REPORTS!Q487),"",REPORTS!Q487)</f>
        <v>0</v>
      </c>
      <c r="L639" s="1364"/>
      <c r="M639" s="1324">
        <v>201</v>
      </c>
    </row>
    <row r="640" spans="1:13">
      <c r="A640" s="1439">
        <v>102</v>
      </c>
      <c r="B640" s="1364" t="s">
        <v>5268</v>
      </c>
      <c r="C640" s="1364" t="s">
        <v>4067</v>
      </c>
      <c r="D640" s="1364">
        <f>+IF(ISBLANK(REPORTS!J488),"",REPORTS!J488)</f>
        <v>885.0775848235827</v>
      </c>
      <c r="E640" s="1364">
        <f>+IF(ISBLANK(REPORTS!K488),"",REPORTS!K488)</f>
        <v>513.35654071888268</v>
      </c>
      <c r="F640" s="1364">
        <f>+IF(ISBLANK(REPORTS!L488),"",REPORTS!L488)</f>
        <v>42.346736610274924</v>
      </c>
      <c r="G640" s="1364">
        <f>+IF(ISBLANK(REPORTS!M488),"",REPORTS!M488)</f>
        <v>270.70141267264768</v>
      </c>
      <c r="H640" s="1364">
        <f>+IF(ISBLANK(REPORTS!N488),"",REPORTS!N488)</f>
        <v>33.793482115659728</v>
      </c>
      <c r="I640" s="1364">
        <f>+IF(ISBLANK(REPORTS!O488),"",REPORTS!O488)</f>
        <v>24.251899240625779</v>
      </c>
      <c r="J640" s="1364">
        <f>+IF(ISBLANK(REPORTS!P488),"",REPORTS!P488)</f>
        <v>0.62751346549193032</v>
      </c>
      <c r="K640" s="1364">
        <f>+IF(ISBLANK(REPORTS!Q488),"",REPORTS!Q488)</f>
        <v>0</v>
      </c>
      <c r="L640" s="1364"/>
      <c r="M640" s="1324">
        <v>117</v>
      </c>
    </row>
    <row r="641" spans="1:13">
      <c r="A641" s="1439">
        <v>103</v>
      </c>
      <c r="B641" s="1364" t="s">
        <v>5239</v>
      </c>
      <c r="C641" s="1364" t="s">
        <v>4067</v>
      </c>
      <c r="D641" s="1364">
        <f>+IF(ISBLANK(REPORTS!J489),"",REPORTS!J489)</f>
        <v>2488.4248801751723</v>
      </c>
      <c r="E641" s="1364">
        <f>+IF(ISBLANK(REPORTS!K489),"",REPORTS!K489)</f>
        <v>1443.3188798698966</v>
      </c>
      <c r="F641" s="1364">
        <f>+IF(ISBLANK(REPORTS!L489),"",REPORTS!L489)</f>
        <v>119.0592494738606</v>
      </c>
      <c r="G641" s="1364">
        <f>+IF(ISBLANK(REPORTS!M489),"",REPORTS!M489)</f>
        <v>761.08596799166685</v>
      </c>
      <c r="H641" s="1364">
        <f>+IF(ISBLANK(REPORTS!N489),"",REPORTS!N489)</f>
        <v>95.011491790433325</v>
      </c>
      <c r="I641" s="1364">
        <f>+IF(ISBLANK(REPORTS!O489),"",REPORTS!O489)</f>
        <v>68.185016202736136</v>
      </c>
      <c r="J641" s="1364">
        <f>+IF(ISBLANK(REPORTS!P489),"",REPORTS!P489)</f>
        <v>1.764274846578916</v>
      </c>
      <c r="K641" s="1364">
        <f>+IF(ISBLANK(REPORTS!Q489),"",REPORTS!Q489)</f>
        <v>0</v>
      </c>
      <c r="L641" s="1364"/>
      <c r="M641" s="1324">
        <v>117</v>
      </c>
    </row>
    <row r="642" spans="1:13">
      <c r="A642" s="1439">
        <v>104</v>
      </c>
      <c r="B642" s="1364" t="s">
        <v>5240</v>
      </c>
      <c r="C642" s="1364" t="s">
        <v>4067</v>
      </c>
      <c r="D642" s="1364">
        <f>+IF(ISBLANK(REPORTS!J490),"",REPORTS!J490)</f>
        <v>13067.149147277894</v>
      </c>
      <c r="E642" s="1364">
        <f>+IF(ISBLANK(REPORTS!K490),"",REPORTS!K490)</f>
        <v>8133.2028614638548</v>
      </c>
      <c r="F642" s="1364">
        <f>+IF(ISBLANK(REPORTS!L490),"",REPORTS!L490)</f>
        <v>578.45378606306758</v>
      </c>
      <c r="G642" s="1364">
        <f>+IF(ISBLANK(REPORTS!M490),"",REPORTS!M490)</f>
        <v>3873.1092691387144</v>
      </c>
      <c r="H642" s="1364">
        <f>+IF(ISBLANK(REPORTS!N490),"",REPORTS!N490)</f>
        <v>407.37322202989702</v>
      </c>
      <c r="I642" s="1364">
        <f>+IF(ISBLANK(REPORTS!O490),"",REPORTS!O490)</f>
        <v>2.7814649990463207E-4</v>
      </c>
      <c r="J642" s="1364">
        <f>+IF(ISBLANK(REPORTS!P490),"",REPORTS!P490)</f>
        <v>75.009730435863261</v>
      </c>
      <c r="K642" s="1364">
        <f>+IF(ISBLANK(REPORTS!Q490),"",REPORTS!Q490)</f>
        <v>0</v>
      </c>
      <c r="L642" s="1364"/>
      <c r="M642" s="1324">
        <v>105</v>
      </c>
    </row>
    <row r="643" spans="1:13">
      <c r="A643" s="1439">
        <v>105</v>
      </c>
      <c r="B643" s="1364" t="s">
        <v>5241</v>
      </c>
      <c r="C643" s="1364" t="s">
        <v>4067</v>
      </c>
      <c r="D643" s="1364">
        <f>+IF(ISBLANK(REPORTS!J491),"",REPORTS!J491)</f>
        <v>2254.1795338544694</v>
      </c>
      <c r="E643" s="1364">
        <f>+IF(ISBLANK(REPORTS!K491),"",REPORTS!K491)</f>
        <v>1644.7243648266146</v>
      </c>
      <c r="F643" s="1364">
        <f>+IF(ISBLANK(REPORTS!L491),"",REPORTS!L491)</f>
        <v>132.43295295315394</v>
      </c>
      <c r="G643" s="1364">
        <f>+IF(ISBLANK(REPORTS!M491),"",REPORTS!M491)</f>
        <v>468.86788344723612</v>
      </c>
      <c r="H643" s="1364">
        <f>+IF(ISBLANK(REPORTS!N491),"",REPORTS!N491)</f>
        <v>0</v>
      </c>
      <c r="I643" s="1364">
        <f>+IF(ISBLANK(REPORTS!O491),"",REPORTS!O491)</f>
        <v>0</v>
      </c>
      <c r="J643" s="1364">
        <f>+IF(ISBLANK(REPORTS!P491),"",REPORTS!P491)</f>
        <v>8.1543326274645302</v>
      </c>
      <c r="K643" s="1364">
        <f>+IF(ISBLANK(REPORTS!Q491),"",REPORTS!Q491)</f>
        <v>0</v>
      </c>
      <c r="L643" s="1364"/>
      <c r="M643" s="1324">
        <v>106</v>
      </c>
    </row>
    <row r="644" spans="1:13">
      <c r="A644" s="1439">
        <v>106</v>
      </c>
      <c r="B644" s="1364" t="s">
        <v>5242</v>
      </c>
      <c r="C644" s="1364" t="s">
        <v>4071</v>
      </c>
      <c r="D644" s="1364">
        <f>+IF(ISBLANK(REPORTS!J492),"",REPORTS!J492)</f>
        <v>8376.1851629022913</v>
      </c>
      <c r="E644" s="1364">
        <f>+IF(ISBLANK(REPORTS!K492),"",REPORTS!K492)</f>
        <v>3087.9369592575085</v>
      </c>
      <c r="F644" s="1364">
        <f>+IF(ISBLANK(REPORTS!L492),"",REPORTS!L492)</f>
        <v>468.39943474494305</v>
      </c>
      <c r="G644" s="1364">
        <f>+IF(ISBLANK(REPORTS!M492),"",REPORTS!M492)</f>
        <v>225.81501294270467</v>
      </c>
      <c r="H644" s="1364">
        <f>+IF(ISBLANK(REPORTS!N492),"",REPORTS!N492)</f>
        <v>14.557196734329118</v>
      </c>
      <c r="I644" s="1364">
        <f>+IF(ISBLANK(REPORTS!O492),"",REPORTS!O492)</f>
        <v>15.882512720959502</v>
      </c>
      <c r="J644" s="1364">
        <f>+IF(ISBLANK(REPORTS!P492),"",REPORTS!P492)</f>
        <v>3.6452262041291323</v>
      </c>
      <c r="K644" s="1364">
        <f>+IF(ISBLANK(REPORTS!Q492),"",REPORTS!Q492)</f>
        <v>4559.9488202977182</v>
      </c>
      <c r="L644" s="1364"/>
      <c r="M644" s="1324">
        <v>907</v>
      </c>
    </row>
    <row r="645" spans="1:13">
      <c r="A645" s="1439">
        <v>107</v>
      </c>
      <c r="B645" s="1364" t="s">
        <v>5244</v>
      </c>
      <c r="C645" s="1364" t="s">
        <v>4071</v>
      </c>
      <c r="D645" s="1366">
        <f>+IF(ISBLANK(REPORTS!J493),"",REPORTS!J493)</f>
        <v>11345.738459621245</v>
      </c>
      <c r="E645" s="1366">
        <f>+IF(ISBLANK(REPORTS!K493),"",REPORTS!K493)</f>
        <v>10119.114533487391</v>
      </c>
      <c r="F645" s="1366">
        <f>+IF(ISBLANK(REPORTS!L493),"",REPORTS!L493)</f>
        <v>980.95705979499985</v>
      </c>
      <c r="G645" s="1366">
        <f>+IF(ISBLANK(REPORTS!M493),"",REPORTS!M493)</f>
        <v>241.6013638914078</v>
      </c>
      <c r="H645" s="1366">
        <f>+IF(ISBLANK(REPORTS!N493),"",REPORTS!N493)</f>
        <v>0.81573188265900354</v>
      </c>
      <c r="I645" s="1366">
        <f>+IF(ISBLANK(REPORTS!O493),"",REPORTS!O493)</f>
        <v>0.14472662434272646</v>
      </c>
      <c r="J645" s="1366">
        <f>+IF(ISBLANK(REPORTS!P493),"",REPORTS!P493)</f>
        <v>3.1050439404439492</v>
      </c>
      <c r="K645" s="1366">
        <f>+IF(ISBLANK(REPORTS!Q493),"",REPORTS!Q493)</f>
        <v>0</v>
      </c>
      <c r="L645" s="1364"/>
      <c r="M645" s="1324">
        <v>412</v>
      </c>
    </row>
    <row r="646" spans="1:13">
      <c r="A646" s="1439">
        <v>108</v>
      </c>
      <c r="B646" s="1364"/>
      <c r="C646" s="1364"/>
      <c r="D646" s="1364" t="str">
        <f>+IF(ISBLANK(REPORTS!J494),"",REPORTS!J494)</f>
        <v/>
      </c>
      <c r="E646" s="1364" t="str">
        <f>+IF(ISBLANK(REPORTS!K494),"",REPORTS!K494)</f>
        <v/>
      </c>
      <c r="F646" s="1364" t="str">
        <f>+IF(ISBLANK(REPORTS!L494),"",REPORTS!L494)</f>
        <v/>
      </c>
      <c r="G646" s="1364" t="str">
        <f>+IF(ISBLANK(REPORTS!M494),"",REPORTS!M494)</f>
        <v/>
      </c>
      <c r="H646" s="1364" t="str">
        <f>+IF(ISBLANK(REPORTS!N494),"",REPORTS!N494)</f>
        <v/>
      </c>
      <c r="I646" s="1364" t="str">
        <f>+IF(ISBLANK(REPORTS!O494),"",REPORTS!O494)</f>
        <v/>
      </c>
      <c r="J646" s="1364" t="str">
        <f>+IF(ISBLANK(REPORTS!P494),"",REPORTS!P494)</f>
        <v/>
      </c>
      <c r="K646" s="1364" t="str">
        <f>+IF(ISBLANK(REPORTS!Q494),"",REPORTS!Q494)</f>
        <v/>
      </c>
      <c r="L646" s="1364"/>
      <c r="M646" s="1324"/>
    </row>
    <row r="647" spans="1:13">
      <c r="A647" s="1439">
        <v>109</v>
      </c>
      <c r="B647" s="1364" t="s">
        <v>5442</v>
      </c>
      <c r="C647" s="1364"/>
      <c r="D647" s="1366">
        <f>+IF(ISBLANK(REPORTS!J495),"",REPORTS!J495)</f>
        <v>66647.409771492501</v>
      </c>
      <c r="E647" s="1366">
        <f>+IF(ISBLANK(REPORTS!K495),"",REPORTS!K495)</f>
        <v>40741.837125914593</v>
      </c>
      <c r="F647" s="1366">
        <f>+IF(ISBLANK(REPORTS!L495),"",REPORTS!L495)</f>
        <v>3663.1293216447375</v>
      </c>
      <c r="G647" s="1366">
        <f>+IF(ISBLANK(REPORTS!M495),"",REPORTS!M495)</f>
        <v>14791.960832412626</v>
      </c>
      <c r="H647" s="1366">
        <f>+IF(ISBLANK(REPORTS!N495),"",REPORTS!N495)</f>
        <v>1759.7955516004861</v>
      </c>
      <c r="I647" s="1366">
        <f>+IF(ISBLANK(REPORTS!O495),"",REPORTS!O495)</f>
        <v>983.58791806466058</v>
      </c>
      <c r="J647" s="1366">
        <f>+IF(ISBLANK(REPORTS!P495),"",REPORTS!P495)</f>
        <v>147.15020155769065</v>
      </c>
      <c r="K647" s="1366">
        <f>+IF(ISBLANK(REPORTS!Q495),"",REPORTS!Q495)</f>
        <v>4559.9488202977182</v>
      </c>
      <c r="L647" s="1364"/>
      <c r="M647" s="1324"/>
    </row>
    <row r="648" spans="1:13">
      <c r="A648" s="1439">
        <v>110</v>
      </c>
      <c r="B648" s="1364"/>
      <c r="C648" s="1364"/>
      <c r="D648" s="1364" t="str">
        <f>+IF(ISBLANK(REPORTS!J496),"",REPORTS!J496)</f>
        <v/>
      </c>
      <c r="E648" s="1364" t="str">
        <f>+IF(ISBLANK(REPORTS!K496),"",REPORTS!K496)</f>
        <v/>
      </c>
      <c r="F648" s="1324" t="str">
        <f>+IF(ISBLANK(REPORTS!L496),"",REPORTS!L496)</f>
        <v/>
      </c>
      <c r="G648" s="1324" t="str">
        <f>+IF(ISBLANK(REPORTS!M496),"",REPORTS!M496)</f>
        <v/>
      </c>
      <c r="H648" s="1324" t="str">
        <f>+IF(ISBLANK(REPORTS!N496),"",REPORTS!N496)</f>
        <v/>
      </c>
      <c r="I648" s="1324" t="str">
        <f>+IF(ISBLANK(REPORTS!O496),"",REPORTS!O496)</f>
        <v/>
      </c>
      <c r="J648" s="1324" t="str">
        <f>+IF(ISBLANK(REPORTS!P496),"",REPORTS!P496)</f>
        <v/>
      </c>
      <c r="K648" s="1324" t="str">
        <f>+IF(ISBLANK(REPORTS!Q496),"",REPORTS!Q496)</f>
        <v/>
      </c>
      <c r="L648" s="1324"/>
      <c r="M648" s="1324"/>
    </row>
    <row r="649" spans="1:13">
      <c r="A649" s="1439">
        <v>111</v>
      </c>
      <c r="B649" s="1362" t="s">
        <v>5444</v>
      </c>
      <c r="C649" s="1364"/>
      <c r="D649" s="1364" t="str">
        <f>+IF(ISBLANK(REPORTS!J497),"",REPORTS!J497)</f>
        <v/>
      </c>
      <c r="E649" s="1364" t="str">
        <f>+IF(ISBLANK(REPORTS!K497),"",REPORTS!K497)</f>
        <v/>
      </c>
      <c r="F649" s="1324" t="str">
        <f>+IF(ISBLANK(REPORTS!L497),"",REPORTS!L497)</f>
        <v/>
      </c>
      <c r="G649" s="1324" t="str">
        <f>+IF(ISBLANK(REPORTS!M497),"",REPORTS!M497)</f>
        <v/>
      </c>
      <c r="H649" s="1324" t="str">
        <f>+IF(ISBLANK(REPORTS!N497),"",REPORTS!N497)</f>
        <v/>
      </c>
      <c r="I649" s="1324" t="str">
        <f>+IF(ISBLANK(REPORTS!O497),"",REPORTS!O497)</f>
        <v/>
      </c>
      <c r="J649" s="1324" t="str">
        <f>+IF(ISBLANK(REPORTS!P497),"",REPORTS!P497)</f>
        <v/>
      </c>
      <c r="K649" s="1324" t="str">
        <f>+IF(ISBLANK(REPORTS!Q497),"",REPORTS!Q497)</f>
        <v/>
      </c>
      <c r="L649" s="1324"/>
      <c r="M649" s="1324"/>
    </row>
    <row r="650" spans="1:13">
      <c r="A650" s="1439">
        <v>112</v>
      </c>
      <c r="B650" s="1364" t="s">
        <v>5265</v>
      </c>
      <c r="C650" s="1364" t="s">
        <v>4067</v>
      </c>
      <c r="D650" s="1364">
        <f>+IF(ISBLANK(REPORTS!J498),"",REPORTS!J498)</f>
        <v>290551.79552865884</v>
      </c>
      <c r="E650" s="1364">
        <f>+IF(ISBLANK(REPORTS!K498),"",REPORTS!K498)</f>
        <v>166839.10241972734</v>
      </c>
      <c r="F650" s="1364">
        <f>+IF(ISBLANK(REPORTS!L498),"",REPORTS!L498)</f>
        <v>13874.447484801451</v>
      </c>
      <c r="G650" s="1364">
        <f>+IF(ISBLANK(REPORTS!M498),"",REPORTS!M498)</f>
        <v>89794.179812387054</v>
      </c>
      <c r="H650" s="1364">
        <f>+IF(ISBLANK(REPORTS!N498),"",REPORTS!N498)</f>
        <v>11476.303899894016</v>
      </c>
      <c r="I650" s="1364">
        <f>+IF(ISBLANK(REPORTS!O498),"",REPORTS!O498)</f>
        <v>8259.5319225596359</v>
      </c>
      <c r="J650" s="1364">
        <f>+IF(ISBLANK(REPORTS!P498),"",REPORTS!P498)</f>
        <v>308.22998928939768</v>
      </c>
      <c r="K650" s="1364">
        <f>+IF(ISBLANK(REPORTS!Q498),"",REPORTS!Q498)</f>
        <v>0</v>
      </c>
      <c r="L650" s="1364"/>
      <c r="M650" s="1324"/>
    </row>
    <row r="651" spans="1:13">
      <c r="A651" s="1439">
        <v>113</v>
      </c>
      <c r="B651" s="1364" t="s">
        <v>5265</v>
      </c>
      <c r="C651" s="1364" t="s">
        <v>2067</v>
      </c>
      <c r="D651" s="1364">
        <f>+IF(ISBLANK(REPORTS!J499),"",REPORTS!J499)</f>
        <v>30632.200099340615</v>
      </c>
      <c r="E651" s="1364">
        <f>+IF(ISBLANK(REPORTS!K499),"",REPORTS!K499)</f>
        <v>15458.055338611979</v>
      </c>
      <c r="F651" s="1364">
        <f>+IF(ISBLANK(REPORTS!L499),"",REPORTS!L499)</f>
        <v>1428.5052700758743</v>
      </c>
      <c r="G651" s="1364">
        <f>+IF(ISBLANK(REPORTS!M499),"",REPORTS!M499)</f>
        <v>10641.809412328281</v>
      </c>
      <c r="H651" s="1364">
        <f>+IF(ISBLANK(REPORTS!N499),"",REPORTS!N499)</f>
        <v>1694.0049513217248</v>
      </c>
      <c r="I651" s="1364">
        <f>+IF(ISBLANK(REPORTS!O499),"",REPORTS!O499)</f>
        <v>1247.9935459729331</v>
      </c>
      <c r="J651" s="1364">
        <f>+IF(ISBLANK(REPORTS!P499),"",REPORTS!P499)</f>
        <v>161.83158102982321</v>
      </c>
      <c r="K651" s="1364">
        <f>+IF(ISBLANK(REPORTS!Q499),"",REPORTS!Q499)</f>
        <v>0</v>
      </c>
      <c r="L651" s="1358"/>
    </row>
    <row r="652" spans="1:13">
      <c r="A652" s="1439">
        <v>114</v>
      </c>
      <c r="B652" s="1364" t="s">
        <v>5268</v>
      </c>
      <c r="C652" s="1364" t="s">
        <v>4067</v>
      </c>
      <c r="D652" s="1364">
        <f>+IF(ISBLANK(REPORTS!J500),"",REPORTS!J500)</f>
        <v>14346.725415189947</v>
      </c>
      <c r="E652" s="1364">
        <f>+IF(ISBLANK(REPORTS!K500),"",REPORTS!K500)</f>
        <v>8321.2878238845096</v>
      </c>
      <c r="F652" s="1364">
        <f>+IF(ISBLANK(REPORTS!L500),"",REPORTS!L500)</f>
        <v>686.42231234234964</v>
      </c>
      <c r="G652" s="1364">
        <f>+IF(ISBLANK(REPORTS!M500),"",REPORTS!M500)</f>
        <v>4387.9529927227877</v>
      </c>
      <c r="H652" s="1364">
        <f>+IF(ISBLANK(REPORTS!N500),"",REPORTS!N500)</f>
        <v>547.77775084332268</v>
      </c>
      <c r="I652" s="1364">
        <f>+IF(ISBLANK(REPORTS!O500),"",REPORTS!O500)</f>
        <v>393.1128131230027</v>
      </c>
      <c r="J652" s="1364">
        <f>+IF(ISBLANK(REPORTS!P500),"",REPORTS!P500)</f>
        <v>10.171722273976087</v>
      </c>
      <c r="K652" s="1364">
        <f>+IF(ISBLANK(REPORTS!Q500),"",REPORTS!Q500)</f>
        <v>0</v>
      </c>
      <c r="L652" s="1358"/>
    </row>
    <row r="653" spans="1:13">
      <c r="A653" s="1439">
        <v>115</v>
      </c>
      <c r="B653" s="1364" t="s">
        <v>5239</v>
      </c>
      <c r="C653" s="1364" t="s">
        <v>4067</v>
      </c>
      <c r="D653" s="1364">
        <f>+IF(ISBLANK(REPORTS!J501),"",REPORTS!J501)</f>
        <v>15521.081651839251</v>
      </c>
      <c r="E653" s="1364">
        <f>+IF(ISBLANK(REPORTS!K501),"",REPORTS!K501)</f>
        <v>9002.4297548917184</v>
      </c>
      <c r="F653" s="1364">
        <f>+IF(ISBLANK(REPORTS!L501),"",REPORTS!L501)</f>
        <v>742.60965127482791</v>
      </c>
      <c r="G653" s="1364">
        <f>+IF(ISBLANK(REPORTS!M501),"",REPORTS!M501)</f>
        <v>4747.1304226938173</v>
      </c>
      <c r="H653" s="1364">
        <f>+IF(ISBLANK(REPORTS!N501),"",REPORTS!N501)</f>
        <v>592.61629060651421</v>
      </c>
      <c r="I653" s="1364">
        <f>+IF(ISBLANK(REPORTS!O501),"",REPORTS!O501)</f>
        <v>425.29120020699622</v>
      </c>
      <c r="J653" s="1364">
        <f>+IF(ISBLANK(REPORTS!P501),"",REPORTS!P501)</f>
        <v>11.004332165377591</v>
      </c>
      <c r="K653" s="1364">
        <f>+IF(ISBLANK(REPORTS!Q501),"",REPORTS!Q501)</f>
        <v>0</v>
      </c>
      <c r="L653" s="1358"/>
    </row>
    <row r="654" spans="1:13">
      <c r="A654" s="1439">
        <v>116</v>
      </c>
      <c r="B654" s="1364" t="s">
        <v>5240</v>
      </c>
      <c r="C654" s="1364" t="s">
        <v>4067</v>
      </c>
      <c r="D654" s="1364">
        <f>+IF(ISBLANK(REPORTS!J502),"",REPORTS!J502)</f>
        <v>76341.163093584852</v>
      </c>
      <c r="E654" s="1364">
        <f>+IF(ISBLANK(REPORTS!K502),"",REPORTS!K502)</f>
        <v>47515.96229002763</v>
      </c>
      <c r="F654" s="1364">
        <f>+IF(ISBLANK(REPORTS!L502),"",REPORTS!L502)</f>
        <v>3379.4544109218741</v>
      </c>
      <c r="G654" s="1364">
        <f>+IF(ISBLANK(REPORTS!M502),"",REPORTS!M502)</f>
        <v>22627.557324252964</v>
      </c>
      <c r="H654" s="1364">
        <f>+IF(ISBLANK(REPORTS!N502),"",REPORTS!N502)</f>
        <v>2379.964078807659</v>
      </c>
      <c r="I654" s="1364">
        <f>+IF(ISBLANK(REPORTS!O502),"",REPORTS!O502)</f>
        <v>1.6249931085812012E-3</v>
      </c>
      <c r="J654" s="1364">
        <f>+IF(ISBLANK(REPORTS!P502),"",REPORTS!P502)</f>
        <v>438.22336458162823</v>
      </c>
      <c r="K654" s="1364">
        <f>+IF(ISBLANK(REPORTS!Q502),"",REPORTS!Q502)</f>
        <v>0</v>
      </c>
      <c r="L654" s="1358"/>
    </row>
    <row r="655" spans="1:13">
      <c r="A655" s="1439">
        <v>117</v>
      </c>
      <c r="B655" s="1364" t="s">
        <v>5241</v>
      </c>
      <c r="C655" s="1364" t="s">
        <v>4067</v>
      </c>
      <c r="D655" s="1364">
        <f>+IF(ISBLANK(REPORTS!J503),"",REPORTS!J503)</f>
        <v>43854.637077825559</v>
      </c>
      <c r="E655" s="1364">
        <f>+IF(ISBLANK(REPORTS!K503),"",REPORTS!K503)</f>
        <v>31997.801873923418</v>
      </c>
      <c r="F655" s="1364">
        <f>+IF(ISBLANK(REPORTS!L503),"",REPORTS!L503)</f>
        <v>2576.4580867143418</v>
      </c>
      <c r="G655" s="1364">
        <f>+IF(ISBLANK(REPORTS!M503),"",REPORTS!M503)</f>
        <v>9121.7361160525234</v>
      </c>
      <c r="H655" s="1364">
        <f>+IF(ISBLANK(REPORTS!N503),"",REPORTS!N503)</f>
        <v>0</v>
      </c>
      <c r="I655" s="1364">
        <f>+IF(ISBLANK(REPORTS!O503),"",REPORTS!O503)</f>
        <v>0</v>
      </c>
      <c r="J655" s="1364">
        <f>+IF(ISBLANK(REPORTS!P503),"",REPORTS!P503)</f>
        <v>158.64100113527866</v>
      </c>
      <c r="K655" s="1364">
        <f>+IF(ISBLANK(REPORTS!Q503),"",REPORTS!Q503)</f>
        <v>0</v>
      </c>
      <c r="L655" s="1358"/>
    </row>
    <row r="656" spans="1:13">
      <c r="A656" s="1439">
        <v>118</v>
      </c>
      <c r="B656" s="1364" t="s">
        <v>5242</v>
      </c>
      <c r="C656" s="1364" t="s">
        <v>4071</v>
      </c>
      <c r="D656" s="1364">
        <f>+IF(ISBLANK(REPORTS!J504),"",REPORTS!J504)</f>
        <v>47757.415831805716</v>
      </c>
      <c r="E656" s="1364">
        <f>+IF(ISBLANK(REPORTS!K504),"",REPORTS!K504)</f>
        <v>19058.030039976857</v>
      </c>
      <c r="F656" s="1364">
        <f>+IF(ISBLANK(REPORTS!L504),"",REPORTS!L504)</f>
        <v>3755.5686865087068</v>
      </c>
      <c r="G656" s="1364">
        <f>+IF(ISBLANK(REPORTS!M504),"",REPORTS!M504)</f>
        <v>2174.0237328748285</v>
      </c>
      <c r="H656" s="1364">
        <f>+IF(ISBLANK(REPORTS!N504),"",REPORTS!N504)</f>
        <v>164.27153033742925</v>
      </c>
      <c r="I656" s="1364">
        <f>+IF(ISBLANK(REPORTS!O504),"",REPORTS!O504)</f>
        <v>179.2271354087697</v>
      </c>
      <c r="J656" s="1364">
        <f>+IF(ISBLANK(REPORTS!P504),"",REPORTS!P504)</f>
        <v>36.659734650343147</v>
      </c>
      <c r="K656" s="1364">
        <f>+IF(ISBLANK(REPORTS!Q504),"",REPORTS!Q504)</f>
        <v>22389.634972048774</v>
      </c>
      <c r="L656" s="1358"/>
    </row>
    <row r="657" spans="1:13">
      <c r="A657" s="1439">
        <v>119</v>
      </c>
      <c r="B657" s="1364" t="s">
        <v>5244</v>
      </c>
      <c r="C657" s="1364" t="s">
        <v>4071</v>
      </c>
      <c r="D657" s="1366">
        <f>+IF(ISBLANK(REPORTS!J505),"",REPORTS!J505)</f>
        <v>12431.05871528412</v>
      </c>
      <c r="E657" s="1366">
        <f>+IF(ISBLANK(REPORTS!K505),"",REPORTS!K505)</f>
        <v>11087.097359078902</v>
      </c>
      <c r="F657" s="1366">
        <f>+IF(ISBLANK(REPORTS!L505),"",REPORTS!L505)</f>
        <v>1074.7942807674417</v>
      </c>
      <c r="G657" s="1366">
        <f>+IF(ISBLANK(REPORTS!M505),"",REPORTS!M505)</f>
        <v>264.71267171507458</v>
      </c>
      <c r="H657" s="1366">
        <f>+IF(ISBLANK(REPORTS!N505),"",REPORTS!N505)</f>
        <v>0.89376385374582712</v>
      </c>
      <c r="I657" s="1366">
        <f>+IF(ISBLANK(REPORTS!O505),"",REPORTS!O505)</f>
        <v>0.15857100630974355</v>
      </c>
      <c r="J657" s="1366">
        <f>+IF(ISBLANK(REPORTS!P505),"",REPORTS!P505)</f>
        <v>3.4020688626454065</v>
      </c>
      <c r="K657" s="1366">
        <f>+IF(ISBLANK(REPORTS!Q505),"",REPORTS!Q505)</f>
        <v>0</v>
      </c>
      <c r="L657" s="1358"/>
    </row>
    <row r="658" spans="1:13">
      <c r="A658" s="1439">
        <v>120</v>
      </c>
      <c r="B658" s="1364"/>
      <c r="C658" s="1364"/>
      <c r="D658" s="1364" t="str">
        <f>+IF(ISBLANK(REPORTS!J506),"",REPORTS!J506)</f>
        <v/>
      </c>
      <c r="E658" s="1364" t="str">
        <f>+IF(ISBLANK(REPORTS!K506),"",REPORTS!K506)</f>
        <v/>
      </c>
      <c r="F658" s="1364" t="str">
        <f>+IF(ISBLANK(REPORTS!L506),"",REPORTS!L506)</f>
        <v/>
      </c>
      <c r="G658" s="1364" t="str">
        <f>+IF(ISBLANK(REPORTS!M506),"",REPORTS!M506)</f>
        <v/>
      </c>
      <c r="H658" s="1364" t="str">
        <f>+IF(ISBLANK(REPORTS!N506),"",REPORTS!N506)</f>
        <v/>
      </c>
      <c r="I658" s="1364" t="str">
        <f>+IF(ISBLANK(REPORTS!O506),"",REPORTS!O506)</f>
        <v/>
      </c>
      <c r="J658" s="1364" t="str">
        <f>+IF(ISBLANK(REPORTS!P506),"",REPORTS!P506)</f>
        <v/>
      </c>
      <c r="K658" s="1364" t="str">
        <f>+IF(ISBLANK(REPORTS!Q506),"",REPORTS!Q506)</f>
        <v/>
      </c>
      <c r="L658" s="1358"/>
    </row>
    <row r="659" spans="1:13" ht="15" thickBot="1">
      <c r="A659" s="1439">
        <v>121</v>
      </c>
      <c r="B659" s="1324" t="s">
        <v>5453</v>
      </c>
      <c r="C659" s="1364"/>
      <c r="D659" s="1380">
        <f>+IF(ISBLANK(REPORTS!J507),"",REPORTS!J507)</f>
        <v>531436.07741352892</v>
      </c>
      <c r="E659" s="1380">
        <f>+IF(ISBLANK(REPORTS!K507),"",REPORTS!K507)</f>
        <v>309279.76690012234</v>
      </c>
      <c r="F659" s="1380">
        <f>+IF(ISBLANK(REPORTS!L507),"",REPORTS!L507)</f>
        <v>27518.260183406866</v>
      </c>
      <c r="G659" s="1380">
        <f>+IF(ISBLANK(REPORTS!M507),"",REPORTS!M507)</f>
        <v>143759.10248502731</v>
      </c>
      <c r="H659" s="1380">
        <f>+IF(ISBLANK(REPORTS!N507),"",REPORTS!N507)</f>
        <v>16855.832265664412</v>
      </c>
      <c r="I659" s="1380">
        <f>+IF(ISBLANK(REPORTS!O507),"",REPORTS!O507)</f>
        <v>10505.316813270758</v>
      </c>
      <c r="J659" s="1380">
        <f>+IF(ISBLANK(REPORTS!P507),"",REPORTS!P507)</f>
        <v>1128.1637939884699</v>
      </c>
      <c r="K659" s="1380">
        <f>+IF(ISBLANK(REPORTS!Q507),"",REPORTS!Q507)</f>
        <v>22389.634972048774</v>
      </c>
      <c r="L659" s="1358"/>
    </row>
    <row r="660" spans="1:13" ht="15" thickTop="1">
      <c r="A660" s="1732" t="str">
        <f>+$A$1</f>
        <v>RATES WITH REVENUE DEFICIENCY ADDITION</v>
      </c>
      <c r="F660" s="1329" t="s">
        <v>2173</v>
      </c>
      <c r="G660" s="1329"/>
      <c r="H660" s="1329"/>
      <c r="I660" s="1329"/>
      <c r="M660" s="1334" t="s">
        <v>5493</v>
      </c>
    </row>
    <row r="661" spans="1:13">
      <c r="A661" s="1732" t="str">
        <f>+$A$2</f>
        <v>PROD. CAP. ALLOC. METHOD: 12 CP &amp; 1/13th AD</v>
      </c>
      <c r="B661" s="1364"/>
      <c r="F661" s="1336" t="s">
        <v>5141</v>
      </c>
      <c r="G661" s="1336"/>
      <c r="H661" s="1336"/>
      <c r="I661" s="1336"/>
      <c r="L661" s="1331"/>
      <c r="M661" s="1409"/>
    </row>
    <row r="662" spans="1:13">
      <c r="A662" s="1732" t="str">
        <f>+$A$3</f>
        <v>PROJECTED CALENDAR YEAR 2025; FULLY ADJUSTED DATA</v>
      </c>
      <c r="F662" s="1336" t="s">
        <v>2181</v>
      </c>
    </row>
    <row r="663" spans="1:13">
      <c r="A663" s="1732" t="str">
        <f>+$A$4</f>
        <v>MINIMUM DISTRIBUTION SYSTEM (MDS) NOT EMPLOYED</v>
      </c>
      <c r="F663" s="1336"/>
      <c r="G663" s="1336"/>
      <c r="H663" s="1336"/>
      <c r="I663" s="1336"/>
    </row>
    <row r="664" spans="1:13">
      <c r="A664" s="1732" t="str">
        <f>+$A$5</f>
        <v>Tampa Electric 2025 OB Budget</v>
      </c>
      <c r="F664" s="1336" t="s">
        <v>5456</v>
      </c>
      <c r="G664" s="1336"/>
      <c r="H664" s="1336"/>
      <c r="I664" s="1336"/>
    </row>
    <row r="665" spans="1:13">
      <c r="F665" s="1336"/>
      <c r="G665" s="1336"/>
      <c r="H665" s="1336"/>
      <c r="I665" s="1336"/>
    </row>
    <row r="666" spans="1:13">
      <c r="F666" s="1336"/>
      <c r="G666" s="1336"/>
      <c r="H666" s="1336"/>
      <c r="I666" s="1336"/>
    </row>
    <row r="669" spans="1:13" ht="28.2">
      <c r="A669" s="1737" t="s">
        <v>4297</v>
      </c>
      <c r="B669" s="1741"/>
      <c r="C669" s="1741"/>
      <c r="D669" s="1352" t="s">
        <v>4957</v>
      </c>
      <c r="E669" s="1353" t="s">
        <v>1949</v>
      </c>
      <c r="F669" s="1353" t="s">
        <v>1950</v>
      </c>
      <c r="G669" s="1353" t="s">
        <v>1934</v>
      </c>
      <c r="H669" s="1353" t="s">
        <v>1971</v>
      </c>
      <c r="I669" s="1353" t="s">
        <v>1972</v>
      </c>
      <c r="J669" s="1352" t="s">
        <v>5146</v>
      </c>
      <c r="K669" s="1352" t="s">
        <v>5147</v>
      </c>
      <c r="L669" s="1355"/>
      <c r="M669" s="1348" t="s">
        <v>5299</v>
      </c>
    </row>
    <row r="671" spans="1:13">
      <c r="A671" s="1393">
        <v>1</v>
      </c>
      <c r="B671" s="1362" t="s">
        <v>5457</v>
      </c>
      <c r="M671" s="1321"/>
    </row>
    <row r="672" spans="1:13">
      <c r="A672" s="1393">
        <v>2</v>
      </c>
      <c r="B672" s="1324" t="s">
        <v>5265</v>
      </c>
      <c r="C672" s="1324" t="s">
        <v>4067</v>
      </c>
      <c r="D672" s="1364">
        <f>+IF(ISBLANK(REPORTS!J525),"",REPORTS!J525)</f>
        <v>5463.9974238223331</v>
      </c>
      <c r="E672" s="1324">
        <f>+IF(ISBLANK(REPORTS!K525),"",REPORTS!K525)</f>
        <v>3137.5074594034063</v>
      </c>
      <c r="F672" s="1324">
        <f>+IF(ISBLANK(REPORTS!L525),"",REPORTS!L525)</f>
        <v>260.91714620443901</v>
      </c>
      <c r="G672" s="1324">
        <f>+IF(ISBLANK(REPORTS!M525),"",REPORTS!M525)</f>
        <v>1688.6323702677926</v>
      </c>
      <c r="H672" s="1324">
        <f>+IF(ISBLANK(REPORTS!N525),"",REPORTS!N525)</f>
        <v>215.81864544987121</v>
      </c>
      <c r="I672" s="1324">
        <f>+IF(ISBLANK(REPORTS!O525),"",REPORTS!O525)</f>
        <v>155.32535624063186</v>
      </c>
      <c r="J672" s="1324">
        <f>+IF(ISBLANK(REPORTS!P525),"",REPORTS!P525)</f>
        <v>5.7964462561923291</v>
      </c>
      <c r="K672" s="1324">
        <f>+IF(ISBLANK(REPORTS!Q525),"",REPORTS!Q525)</f>
        <v>0</v>
      </c>
      <c r="L672" s="1324"/>
      <c r="M672" s="1324">
        <v>122</v>
      </c>
    </row>
    <row r="673" spans="1:13">
      <c r="A673" s="1393">
        <v>3</v>
      </c>
      <c r="B673" s="1324" t="s">
        <v>5458</v>
      </c>
      <c r="C673" s="1324" t="s">
        <v>4067</v>
      </c>
      <c r="D673" s="1364">
        <f>+IF(ISBLANK(REPORTS!J526),"",REPORTS!J526)</f>
        <v>0</v>
      </c>
      <c r="E673" s="1324">
        <f>+IF(ISBLANK(REPORTS!K526),"",REPORTS!K526)</f>
        <v>0</v>
      </c>
      <c r="F673" s="1324">
        <f>+IF(ISBLANK(REPORTS!L526),"",REPORTS!L526)</f>
        <v>0</v>
      </c>
      <c r="G673" s="1324">
        <f>+IF(ISBLANK(REPORTS!M526),"",REPORTS!M526)</f>
        <v>0</v>
      </c>
      <c r="H673" s="1324">
        <f>+IF(ISBLANK(REPORTS!N526),"",REPORTS!N526)</f>
        <v>0</v>
      </c>
      <c r="I673" s="1324">
        <f>+IF(ISBLANK(REPORTS!O526),"",REPORTS!O526)</f>
        <v>0</v>
      </c>
      <c r="J673" s="1324">
        <f>+IF(ISBLANK(REPORTS!P526),"",REPORTS!P526)</f>
        <v>0</v>
      </c>
      <c r="K673" s="1324">
        <f>+IF(ISBLANK(REPORTS!Q526),"",REPORTS!Q526)</f>
        <v>0</v>
      </c>
      <c r="L673" s="1324"/>
      <c r="M673" s="1324">
        <v>121</v>
      </c>
    </row>
    <row r="674" spans="1:13">
      <c r="A674" s="1393">
        <v>4</v>
      </c>
      <c r="B674" s="1324" t="s">
        <v>5265</v>
      </c>
      <c r="C674" s="1324" t="s">
        <v>2067</v>
      </c>
      <c r="D674" s="1364">
        <f>+IF(ISBLANK(REPORTS!J527),"",REPORTS!J527)</f>
        <v>1442.5283853681995</v>
      </c>
      <c r="E674" s="1364">
        <f>+IF(ISBLANK(REPORTS!K527),"",REPORTS!K527)</f>
        <v>727.94913640630773</v>
      </c>
      <c r="F674" s="1364">
        <f>+IF(ISBLANK(REPORTS!L527),"",REPORTS!L527)</f>
        <v>67.271021802213681</v>
      </c>
      <c r="G674" s="1364">
        <f>+IF(ISBLANK(REPORTS!M527),"",REPORTS!M527)</f>
        <v>501.14298350030913</v>
      </c>
      <c r="H674" s="1364">
        <f>+IF(ISBLANK(REPORTS!N527),"",REPORTS!N527)</f>
        <v>79.77390521448261</v>
      </c>
      <c r="I674" s="1364">
        <f>+IF(ISBLANK(REPORTS!O527),"",REPORTS!O527)</f>
        <v>58.770382440176775</v>
      </c>
      <c r="J674" s="1364">
        <f>+IF(ISBLANK(REPORTS!P527),"",REPORTS!P527)</f>
        <v>7.6209560047095337</v>
      </c>
      <c r="K674" s="1364">
        <f>+IF(ISBLANK(REPORTS!Q527),"",REPORTS!Q527)</f>
        <v>0</v>
      </c>
      <c r="L674" s="1364"/>
      <c r="M674" s="1324">
        <v>201</v>
      </c>
    </row>
    <row r="675" spans="1:13">
      <c r="A675" s="1393">
        <v>5</v>
      </c>
      <c r="B675" s="1324" t="s">
        <v>5268</v>
      </c>
      <c r="C675" s="1324" t="s">
        <v>4067</v>
      </c>
      <c r="D675" s="1364">
        <f>+IF(ISBLANK(REPORTS!J528),"",REPORTS!J528)</f>
        <v>216.53097252279886</v>
      </c>
      <c r="E675" s="1364">
        <f>+IF(ISBLANK(REPORTS!K528),"",REPORTS!K528)</f>
        <v>125.59078765389349</v>
      </c>
      <c r="F675" s="1364">
        <f>+IF(ISBLANK(REPORTS!L528),"",REPORTS!L528)</f>
        <v>10.359973203046735</v>
      </c>
      <c r="G675" s="1364">
        <f>+IF(ISBLANK(REPORTS!M528),"",REPORTS!M528)</f>
        <v>66.226103964645461</v>
      </c>
      <c r="H675" s="1364">
        <f>+IF(ISBLANK(REPORTS!N528),"",REPORTS!N528)</f>
        <v>8.2674509815929103</v>
      </c>
      <c r="I675" s="1364">
        <f>+IF(ISBLANK(REPORTS!O528),"",REPORTS!O528)</f>
        <v>5.9331378606140337</v>
      </c>
      <c r="J675" s="1364">
        <f>+IF(ISBLANK(REPORTS!P528),"",REPORTS!P528)</f>
        <v>0.15351885900624501</v>
      </c>
      <c r="K675" s="1364">
        <f>+IF(ISBLANK(REPORTS!Q528),"",REPORTS!Q528)</f>
        <v>0</v>
      </c>
      <c r="L675" s="1364"/>
      <c r="M675" s="1324">
        <v>117</v>
      </c>
    </row>
    <row r="676" spans="1:13">
      <c r="A676" s="1393">
        <v>6</v>
      </c>
      <c r="B676" s="1324" t="s">
        <v>5239</v>
      </c>
      <c r="C676" s="1324" t="s">
        <v>4067</v>
      </c>
      <c r="D676" s="1364">
        <f>+IF(ISBLANK(REPORTS!J529),"",REPORTS!J529)</f>
        <v>608.783985261201</v>
      </c>
      <c r="E676" s="1364">
        <f>+IF(ISBLANK(REPORTS!K529),"",REPORTS!K529)</f>
        <v>353.102650069981</v>
      </c>
      <c r="F676" s="1364">
        <f>+IF(ISBLANK(REPORTS!L529),"",REPORTS!L529)</f>
        <v>29.127407041438236</v>
      </c>
      <c r="G676" s="1364">
        <f>+IF(ISBLANK(REPORTS!M529),"",REPORTS!M529)</f>
        <v>186.19687996678817</v>
      </c>
      <c r="H676" s="1364">
        <f>+IF(ISBLANK(REPORTS!N529),"",REPORTS!N529)</f>
        <v>23.244211661201579</v>
      </c>
      <c r="I676" s="1364">
        <f>+IF(ISBLANK(REPORTS!O529),"",REPORTS!O529)</f>
        <v>16.681213176135412</v>
      </c>
      <c r="J676" s="1364">
        <f>+IF(ISBLANK(REPORTS!P529),"",REPORTS!P529)</f>
        <v>0.43162334565662996</v>
      </c>
      <c r="K676" s="1364">
        <f>+IF(ISBLANK(REPORTS!Q529),"",REPORTS!Q529)</f>
        <v>0</v>
      </c>
      <c r="L676" s="1364"/>
      <c r="M676" s="1324">
        <v>117</v>
      </c>
    </row>
    <row r="677" spans="1:13">
      <c r="A677" s="1393">
        <v>7</v>
      </c>
      <c r="B677" s="1324" t="s">
        <v>5240</v>
      </c>
      <c r="C677" s="1324" t="s">
        <v>4067</v>
      </c>
      <c r="D677" s="1364">
        <f>+IF(ISBLANK(REPORTS!J530),"",REPORTS!J530)</f>
        <v>3196.8299293496639</v>
      </c>
      <c r="E677" s="1364">
        <f>+IF(ISBLANK(REPORTS!K530),"",REPORTS!K530)</f>
        <v>1989.7581359141609</v>
      </c>
      <c r="F677" s="1364">
        <f>+IF(ISBLANK(REPORTS!L530),"",REPORTS!L530)</f>
        <v>141.5165890577797</v>
      </c>
      <c r="G677" s="1364">
        <f>+IF(ISBLANK(REPORTS!M530),"",REPORTS!M530)</f>
        <v>947.54192300648481</v>
      </c>
      <c r="H677" s="1364">
        <f>+IF(ISBLANK(REPORTS!N530),"",REPORTS!N530)</f>
        <v>99.662358937111549</v>
      </c>
      <c r="I677" s="1364">
        <f>+IF(ISBLANK(REPORTS!O530),"",REPORTS!O530)</f>
        <v>6.8047517145253806E-5</v>
      </c>
      <c r="J677" s="1364">
        <f>+IF(ISBLANK(REPORTS!P530),"",REPORTS!P530)</f>
        <v>18.350854386610493</v>
      </c>
      <c r="K677" s="1364">
        <f>+IF(ISBLANK(REPORTS!Q530),"",REPORTS!Q530)</f>
        <v>0</v>
      </c>
      <c r="L677" s="1364"/>
      <c r="M677" s="1324">
        <v>105</v>
      </c>
    </row>
    <row r="678" spans="1:13">
      <c r="A678" s="1393">
        <v>8</v>
      </c>
      <c r="B678" s="1324" t="s">
        <v>5241</v>
      </c>
      <c r="C678" s="1324" t="s">
        <v>4067</v>
      </c>
      <c r="D678" s="1364">
        <f>+IF(ISBLANK(REPORTS!J531),"",REPORTS!J531)</f>
        <v>551.47672370867667</v>
      </c>
      <c r="E678" s="1364">
        <f>+IF(ISBLANK(REPORTS!K531),"",REPORTS!K531)</f>
        <v>402.37576044684903</v>
      </c>
      <c r="F678" s="1364">
        <f>+IF(ISBLANK(REPORTS!L531),"",REPORTS!L531)</f>
        <v>32.399234359469496</v>
      </c>
      <c r="G678" s="1364">
        <f>+IF(ISBLANK(REPORTS!M531),"",REPORTS!M531)</f>
        <v>114.70680144698572</v>
      </c>
      <c r="H678" s="1364">
        <f>+IF(ISBLANK(REPORTS!N531),"",REPORTS!N531)</f>
        <v>0</v>
      </c>
      <c r="I678" s="1364">
        <f>+IF(ISBLANK(REPORTS!O531),"",REPORTS!O531)</f>
        <v>0</v>
      </c>
      <c r="J678" s="1364">
        <f>+IF(ISBLANK(REPORTS!P531),"",REPORTS!P531)</f>
        <v>1.994927455372429</v>
      </c>
      <c r="K678" s="1364">
        <f>+IF(ISBLANK(REPORTS!Q531),"",REPORTS!Q531)</f>
        <v>0</v>
      </c>
      <c r="L678" s="1364"/>
      <c r="M678" s="1324">
        <v>106</v>
      </c>
    </row>
    <row r="679" spans="1:13">
      <c r="A679" s="1393">
        <v>9</v>
      </c>
      <c r="B679" s="1324" t="s">
        <v>5242</v>
      </c>
      <c r="C679" s="1324" t="s">
        <v>4071</v>
      </c>
      <c r="D679" s="1364">
        <f>+IF(ISBLANK(REPORTS!J532),"",REPORTS!J532)</f>
        <v>2049.2028613692514</v>
      </c>
      <c r="E679" s="1364">
        <f>+IF(ISBLANK(REPORTS!K532),"",REPORTS!K532)</f>
        <v>755.45240817549086</v>
      </c>
      <c r="F679" s="1364">
        <f>+IF(ISBLANK(REPORTS!L532),"",REPORTS!L532)</f>
        <v>114.59219719666481</v>
      </c>
      <c r="G679" s="1364">
        <f>+IF(ISBLANK(REPORTS!M532),"",REPORTS!M532)</f>
        <v>55.244811529690253</v>
      </c>
      <c r="H679" s="1364">
        <f>+IF(ISBLANK(REPORTS!N532),"",REPORTS!N532)</f>
        <v>3.5613645855897285</v>
      </c>
      <c r="I679" s="1364">
        <f>+IF(ISBLANK(REPORTS!O532),"",REPORTS!O532)</f>
        <v>3.8855982622818011</v>
      </c>
      <c r="J679" s="1364">
        <f>+IF(ISBLANK(REPORTS!P532),"",REPORTS!P532)</f>
        <v>0.89179117015261333</v>
      </c>
      <c r="K679" s="1364">
        <f>+IF(ISBLANK(REPORTS!Q532),"",REPORTS!Q532)</f>
        <v>1115.5746904493815</v>
      </c>
      <c r="L679" s="1364"/>
      <c r="M679" s="1324">
        <v>907</v>
      </c>
    </row>
    <row r="680" spans="1:13">
      <c r="A680" s="1393">
        <v>10</v>
      </c>
      <c r="B680" s="1324" t="s">
        <v>5244</v>
      </c>
      <c r="C680" s="1324" t="s">
        <v>4071</v>
      </c>
      <c r="D680" s="1364">
        <f>+IF(ISBLANK(REPORTS!J533),"",REPORTS!J533)</f>
        <v>2775.6931423597071</v>
      </c>
      <c r="E680" s="1364">
        <f>+IF(ISBLANK(REPORTS!K533),"",REPORTS!K533)</f>
        <v>2475.6041149119742</v>
      </c>
      <c r="F680" s="1364">
        <f>+IF(ISBLANK(REPORTS!L533),"",REPORTS!L533)</f>
        <v>239.9875330735606</v>
      </c>
      <c r="G680" s="1364">
        <f>+IF(ISBLANK(REPORTS!M533),"",REPORTS!M533)</f>
        <v>59.106884168429865</v>
      </c>
      <c r="H680" s="1364">
        <f>+IF(ISBLANK(REPORTS!N533),"",REPORTS!N533)</f>
        <v>0.19956580179941466</v>
      </c>
      <c r="I680" s="1364">
        <f>+IF(ISBLANK(REPORTS!O533),"",REPORTS!O533)</f>
        <v>3.5406835803121955E-2</v>
      </c>
      <c r="J680" s="1364">
        <f>+IF(ISBLANK(REPORTS!P533),"",REPORTS!P533)</f>
        <v>0.7596375681397074</v>
      </c>
      <c r="K680" s="1364">
        <f>+IF(ISBLANK(REPORTS!Q533),"",REPORTS!Q533)</f>
        <v>0</v>
      </c>
      <c r="L680" s="1364"/>
      <c r="M680" s="1324">
        <v>412</v>
      </c>
    </row>
    <row r="681" spans="1:13">
      <c r="A681" s="1393">
        <v>11</v>
      </c>
      <c r="B681" s="1324" t="s">
        <v>5459</v>
      </c>
      <c r="D681" s="1421">
        <f>+IF(ISBLANK(REPORTS!J534),"",REPORTS!J534)</f>
        <v>16305.04342376183</v>
      </c>
      <c r="E681" s="1421">
        <f>+IF(ISBLANK(REPORTS!K534),"",REPORTS!K534)</f>
        <v>9967.3404529820637</v>
      </c>
      <c r="F681" s="1421">
        <f>+IF(ISBLANK(REPORTS!L534),"",REPORTS!L534)</f>
        <v>896.17110193861231</v>
      </c>
      <c r="G681" s="1421">
        <f>+IF(ISBLANK(REPORTS!M534),"",REPORTS!M534)</f>
        <v>3618.7987578511265</v>
      </c>
      <c r="H681" s="1421">
        <f>+IF(ISBLANK(REPORTS!N534),"",REPORTS!N534)</f>
        <v>430.52750263164899</v>
      </c>
      <c r="I681" s="1421">
        <f>+IF(ISBLANK(REPORTS!O534),"",REPORTS!O534)</f>
        <v>240.63116286316014</v>
      </c>
      <c r="J681" s="1421">
        <f>+IF(ISBLANK(REPORTS!P534),"",REPORTS!P534)</f>
        <v>35.999755045839983</v>
      </c>
      <c r="K681" s="1421">
        <f>+IF(ISBLANK(REPORTS!Q534),"",REPORTS!Q534)</f>
        <v>1115.5746904493815</v>
      </c>
      <c r="L681" s="1364"/>
      <c r="M681" s="1326"/>
    </row>
    <row r="682" spans="1:13">
      <c r="A682" s="1393">
        <v>12</v>
      </c>
      <c r="D682" s="1324" t="str">
        <f>+IF(ISBLANK(REPORTS!J535),"",REPORTS!J535)</f>
        <v/>
      </c>
      <c r="E682" s="1324" t="str">
        <f>+IF(ISBLANK(REPORTS!K535),"",REPORTS!K535)</f>
        <v/>
      </c>
      <c r="F682" s="1324" t="str">
        <f>+IF(ISBLANK(REPORTS!L535),"",REPORTS!L535)</f>
        <v/>
      </c>
      <c r="G682" s="1324" t="str">
        <f>+IF(ISBLANK(REPORTS!M535),"",REPORTS!M535)</f>
        <v/>
      </c>
      <c r="H682" s="1324" t="str">
        <f>+IF(ISBLANK(REPORTS!N535),"",REPORTS!N535)</f>
        <v/>
      </c>
      <c r="I682" s="1324" t="str">
        <f>+IF(ISBLANK(REPORTS!O535),"",REPORTS!O535)</f>
        <v/>
      </c>
      <c r="J682" s="1324" t="str">
        <f>+IF(ISBLANK(REPORTS!P535),"",REPORTS!P535)</f>
        <v/>
      </c>
      <c r="K682" s="1324" t="str">
        <f>+IF(ISBLANK(REPORTS!Q535),"",REPORTS!Q535)</f>
        <v/>
      </c>
      <c r="L682" s="1324"/>
      <c r="M682" s="1326"/>
    </row>
    <row r="683" spans="1:13">
      <c r="A683" s="1393">
        <v>13</v>
      </c>
      <c r="B683" s="1362" t="s">
        <v>5461</v>
      </c>
      <c r="D683" s="1324" t="str">
        <f>+IF(ISBLANK(REPORTS!J536),"",REPORTS!J536)</f>
        <v/>
      </c>
      <c r="E683" s="1324" t="str">
        <f>+IF(ISBLANK(REPORTS!K536),"",REPORTS!K536)</f>
        <v/>
      </c>
      <c r="F683" s="1324" t="str">
        <f>+IF(ISBLANK(REPORTS!L536),"",REPORTS!L536)</f>
        <v/>
      </c>
      <c r="G683" s="1324" t="str">
        <f>+IF(ISBLANK(REPORTS!M536),"",REPORTS!M536)</f>
        <v/>
      </c>
      <c r="H683" s="1324" t="str">
        <f>+IF(ISBLANK(REPORTS!N536),"",REPORTS!N536)</f>
        <v/>
      </c>
      <c r="I683" s="1324" t="str">
        <f>+IF(ISBLANK(REPORTS!O536),"",REPORTS!O536)</f>
        <v/>
      </c>
      <c r="J683" s="1324" t="str">
        <f>+IF(ISBLANK(REPORTS!P536),"",REPORTS!P536)</f>
        <v/>
      </c>
      <c r="K683" s="1324" t="str">
        <f>+IF(ISBLANK(REPORTS!Q536),"",REPORTS!Q536)</f>
        <v/>
      </c>
      <c r="L683" s="1324"/>
      <c r="M683" s="1324"/>
    </row>
    <row r="684" spans="1:13">
      <c r="A684" s="1393">
        <v>14</v>
      </c>
      <c r="B684" s="1324" t="s">
        <v>5265</v>
      </c>
      <c r="C684" s="1324" t="s">
        <v>4067</v>
      </c>
      <c r="D684" s="1364">
        <f>+IF(ISBLANK(REPORTS!J537),"",REPORTS!J537)</f>
        <v>45178.813847395977</v>
      </c>
      <c r="E684" s="1324">
        <f>+IF(ISBLANK(REPORTS!K537),"",REPORTS!K537)</f>
        <v>25942.337533908012</v>
      </c>
      <c r="F684" s="1324">
        <f>+IF(ISBLANK(REPORTS!L537),"",REPORTS!L537)</f>
        <v>2157.3815402200389</v>
      </c>
      <c r="G684" s="1324">
        <f>+IF(ISBLANK(REPORTS!M537),"",REPORTS!M537)</f>
        <v>13962.379846739892</v>
      </c>
      <c r="H684" s="1324">
        <f>+IF(ISBLANK(REPORTS!N537),"",REPORTS!N537)</f>
        <v>1784.4866406902479</v>
      </c>
      <c r="I684" s="1324">
        <f>+IF(ISBLANK(REPORTS!O537),"",REPORTS!O537)</f>
        <v>1284.3006339609412</v>
      </c>
      <c r="J684" s="1324">
        <f>+IF(ISBLANK(REPORTS!P537),"",REPORTS!P537)</f>
        <v>47.927651876847541</v>
      </c>
      <c r="K684" s="1324">
        <f>+IF(ISBLANK(REPORTS!Q537),"",REPORTS!Q537)</f>
        <v>0</v>
      </c>
      <c r="L684" s="1324"/>
      <c r="M684" s="1324">
        <v>122</v>
      </c>
    </row>
    <row r="685" spans="1:13">
      <c r="A685" s="1393">
        <v>15</v>
      </c>
      <c r="B685" s="1324" t="s">
        <v>5265</v>
      </c>
      <c r="C685" s="1324" t="s">
        <v>2067</v>
      </c>
      <c r="D685" s="1364">
        <f>+IF(ISBLANK(REPORTS!J538),"",REPORTS!J538)</f>
        <v>4255.2539766352529</v>
      </c>
      <c r="E685" s="1364">
        <f>+IF(ISBLANK(REPORTS!K538),"",REPORTS!K538)</f>
        <v>2147.3466234014431</v>
      </c>
      <c r="F685" s="1364">
        <f>+IF(ISBLANK(REPORTS!L538),"",REPORTS!L538)</f>
        <v>198.4399655075911</v>
      </c>
      <c r="G685" s="1364">
        <f>+IF(ISBLANK(REPORTS!M538),"",REPORTS!M538)</f>
        <v>1478.300666408194</v>
      </c>
      <c r="H685" s="1364">
        <f>+IF(ISBLANK(REPORTS!N538),"",REPORTS!N538)</f>
        <v>235.32169684758441</v>
      </c>
      <c r="I685" s="1364">
        <f>+IF(ISBLANK(REPORTS!O538),"",REPORTS!O538)</f>
        <v>173.36428601583754</v>
      </c>
      <c r="J685" s="1364">
        <f>+IF(ISBLANK(REPORTS!P538),"",REPORTS!P538)</f>
        <v>22.480738454602513</v>
      </c>
      <c r="K685" s="1364">
        <f>+IF(ISBLANK(REPORTS!Q538),"",REPORTS!Q538)</f>
        <v>0</v>
      </c>
      <c r="L685" s="1358"/>
      <c r="M685" s="1320">
        <v>201</v>
      </c>
    </row>
    <row r="686" spans="1:13">
      <c r="A686" s="1393">
        <v>16</v>
      </c>
      <c r="B686" s="1324" t="s">
        <v>5268</v>
      </c>
      <c r="C686" s="1324" t="s">
        <v>4067</v>
      </c>
      <c r="D686" s="1364">
        <f>+IF(ISBLANK(REPORTS!J539),"",REPORTS!J539)</f>
        <v>3319.3490565130601</v>
      </c>
      <c r="E686" s="1364">
        <f>+IF(ISBLANK(REPORTS!K539),"",REPORTS!K539)</f>
        <v>1925.2657374999299</v>
      </c>
      <c r="F686" s="1364">
        <f>+IF(ISBLANK(REPORTS!L539),"",REPORTS!L539)</f>
        <v>158.81500404480454</v>
      </c>
      <c r="G686" s="1364">
        <f>+IF(ISBLANK(REPORTS!M539),"",REPORTS!M539)</f>
        <v>1015.2245341642097</v>
      </c>
      <c r="H686" s="1364">
        <f>+IF(ISBLANK(REPORTS!N539),"",REPORTS!N539)</f>
        <v>126.73732212895747</v>
      </c>
      <c r="I686" s="1364">
        <f>+IF(ISBLANK(REPORTS!O539),"",REPORTS!O539)</f>
        <v>90.953064729423318</v>
      </c>
      <c r="J686" s="1364">
        <f>+IF(ISBLANK(REPORTS!P539),"",REPORTS!P539)</f>
        <v>2.3533939457353434</v>
      </c>
      <c r="K686" s="1364">
        <f>+IF(ISBLANK(REPORTS!Q539),"",REPORTS!Q539)</f>
        <v>0</v>
      </c>
      <c r="L686" s="1358"/>
      <c r="M686" s="1320">
        <v>117</v>
      </c>
    </row>
    <row r="687" spans="1:13">
      <c r="A687" s="1393">
        <v>17</v>
      </c>
      <c r="B687" s="1324" t="s">
        <v>5239</v>
      </c>
      <c r="C687" s="1324" t="s">
        <v>4067</v>
      </c>
      <c r="D687" s="1364">
        <f>+IF(ISBLANK(REPORTS!J540),"",REPORTS!J540)</f>
        <v>3460.9865712856863</v>
      </c>
      <c r="E687" s="1364">
        <f>+IF(ISBLANK(REPORTS!K540),"",REPORTS!K540)</f>
        <v>2007.4173430387686</v>
      </c>
      <c r="F687" s="1364">
        <f>+IF(ISBLANK(REPORTS!L540),"",REPORTS!L540)</f>
        <v>165.59168287506307</v>
      </c>
      <c r="G687" s="1364">
        <f>+IF(ISBLANK(REPORTS!M540),"",REPORTS!M540)</f>
        <v>1058.5444374064043</v>
      </c>
      <c r="H687" s="1364">
        <f>+IF(ISBLANK(REPORTS!N540),"",REPORTS!N540)</f>
        <v>132.14523766590926</v>
      </c>
      <c r="I687" s="1364">
        <f>+IF(ISBLANK(REPORTS!O540),"",REPORTS!O540)</f>
        <v>94.834056402761263</v>
      </c>
      <c r="J687" s="1364">
        <f>+IF(ISBLANK(REPORTS!P540),"",REPORTS!P540)</f>
        <v>2.453813896779919</v>
      </c>
      <c r="K687" s="1364">
        <f>+IF(ISBLANK(REPORTS!Q540),"",REPORTS!Q540)</f>
        <v>0</v>
      </c>
      <c r="L687" s="1358"/>
      <c r="M687" s="1320">
        <v>117</v>
      </c>
    </row>
    <row r="688" spans="1:13">
      <c r="A688" s="1393">
        <v>18</v>
      </c>
      <c r="B688" s="1324" t="s">
        <v>5240</v>
      </c>
      <c r="C688" s="1324" t="s">
        <v>4067</v>
      </c>
      <c r="D688" s="1364">
        <f>+IF(ISBLANK(REPORTS!J541),"",REPORTS!J541)</f>
        <v>13501.612617971328</v>
      </c>
      <c r="E688" s="1364">
        <f>+IF(ISBLANK(REPORTS!K541),"",REPORTS!K541)</f>
        <v>8403.6198822859878</v>
      </c>
      <c r="F688" s="1364">
        <f>+IF(ISBLANK(REPORTS!L541),"",REPORTS!L541)</f>
        <v>597.68652280588435</v>
      </c>
      <c r="G688" s="1364">
        <f>+IF(ISBLANK(REPORTS!M541),"",REPORTS!M541)</f>
        <v>4001.8844500507234</v>
      </c>
      <c r="H688" s="1364">
        <f>+IF(ISBLANK(REPORTS!N541),"",REPORTS!N541)</f>
        <v>420.91778189646482</v>
      </c>
      <c r="I688" s="1364">
        <f>+IF(ISBLANK(REPORTS!O541),"",REPORTS!O541)</f>
        <v>2.8739446151797077E-4</v>
      </c>
      <c r="J688" s="1364">
        <f>+IF(ISBLANK(REPORTS!P541),"",REPORTS!P541)</f>
        <v>77.503693537809866</v>
      </c>
      <c r="K688" s="1364">
        <f>+IF(ISBLANK(REPORTS!Q541),"",REPORTS!Q541)</f>
        <v>0</v>
      </c>
      <c r="L688" s="1358"/>
      <c r="M688" s="1320">
        <v>105</v>
      </c>
    </row>
    <row r="689" spans="1:13">
      <c r="A689" s="1393">
        <v>19</v>
      </c>
      <c r="B689" s="1324" t="s">
        <v>5241</v>
      </c>
      <c r="C689" s="1324" t="s">
        <v>4067</v>
      </c>
      <c r="D689" s="1364">
        <f>+IF(ISBLANK(REPORTS!J542),"",REPORTS!J542)</f>
        <v>6720.3736446159619</v>
      </c>
      <c r="E689" s="1364">
        <f>+IF(ISBLANK(REPORTS!K542),"",REPORTS!K542)</f>
        <v>4903.4081394299919</v>
      </c>
      <c r="F689" s="1364">
        <f>+IF(ISBLANK(REPORTS!L542),"",REPORTS!L542)</f>
        <v>394.82166940945172</v>
      </c>
      <c r="G689" s="1364">
        <f>+IF(ISBLANK(REPORTS!M542),"",REPORTS!M542)</f>
        <v>1397.833366598697</v>
      </c>
      <c r="H689" s="1364">
        <f>+IF(ISBLANK(REPORTS!N542),"",REPORTS!N542)</f>
        <v>0</v>
      </c>
      <c r="I689" s="1364">
        <f>+IF(ISBLANK(REPORTS!O542),"",REPORTS!O542)</f>
        <v>0</v>
      </c>
      <c r="J689" s="1364">
        <f>+IF(ISBLANK(REPORTS!P542),"",REPORTS!P542)</f>
        <v>24.3104691778213</v>
      </c>
      <c r="K689" s="1364">
        <f>+IF(ISBLANK(REPORTS!Q542),"",REPORTS!Q542)</f>
        <v>0</v>
      </c>
      <c r="L689" s="1358"/>
      <c r="M689" s="1320">
        <v>106</v>
      </c>
    </row>
    <row r="690" spans="1:13">
      <c r="A690" s="1393">
        <v>20</v>
      </c>
      <c r="B690" s="1324" t="s">
        <v>5242</v>
      </c>
      <c r="C690" s="1324" t="s">
        <v>4071</v>
      </c>
      <c r="D690" s="1364">
        <f>+IF(ISBLANK(REPORTS!J543),"",REPORTS!J543)</f>
        <v>6321.6488663677383</v>
      </c>
      <c r="E690" s="1364">
        <f>+IF(ISBLANK(REPORTS!K543),"",REPORTS!K543)</f>
        <v>2330.5183443606479</v>
      </c>
      <c r="F690" s="1364">
        <f>+IF(ISBLANK(REPORTS!L543),"",REPORTS!L543)</f>
        <v>353.50898984146534</v>
      </c>
      <c r="G690" s="1364">
        <f>+IF(ISBLANK(REPORTS!M543),"",REPORTS!M543)</f>
        <v>170.42641641931397</v>
      </c>
      <c r="H690" s="1364">
        <f>+IF(ISBLANK(REPORTS!N543),"",REPORTS!N543)</f>
        <v>10.986563028792645</v>
      </c>
      <c r="I690" s="1364">
        <f>+IF(ISBLANK(REPORTS!O543),"",REPORTS!O543)</f>
        <v>11.986801459715538</v>
      </c>
      <c r="J690" s="1364">
        <f>+IF(ISBLANK(REPORTS!P543),"",REPORTS!P543)</f>
        <v>2.7511139800307816</v>
      </c>
      <c r="K690" s="1364">
        <f>+IF(ISBLANK(REPORTS!Q543),"",REPORTS!Q543)</f>
        <v>3441.4706372777728</v>
      </c>
      <c r="L690" s="1358"/>
      <c r="M690" s="1320">
        <v>907</v>
      </c>
    </row>
    <row r="691" spans="1:13">
      <c r="A691" s="1393">
        <v>21</v>
      </c>
      <c r="B691" s="1324" t="s">
        <v>5244</v>
      </c>
      <c r="C691" s="1324" t="s">
        <v>4071</v>
      </c>
      <c r="D691" s="1364">
        <f>+IF(ISBLANK(REPORTS!J544),"",REPORTS!J544)</f>
        <v>1532.8072463189651</v>
      </c>
      <c r="E691" s="1364">
        <f>+IF(ISBLANK(REPORTS!K544),"",REPORTS!K544)</f>
        <v>1367.0905722410614</v>
      </c>
      <c r="F691" s="1364">
        <f>+IF(ISBLANK(REPORTS!L544),"",REPORTS!L544)</f>
        <v>132.52712416497192</v>
      </c>
      <c r="G691" s="1364">
        <f>+IF(ISBLANK(REPORTS!M544),"",REPORTS!M544)</f>
        <v>32.640301255953482</v>
      </c>
      <c r="H691" s="1364">
        <f>+IF(ISBLANK(REPORTS!N544),"",REPORTS!N544)</f>
        <v>0.11020523214448161</v>
      </c>
      <c r="I691" s="1364">
        <f>+IF(ISBLANK(REPORTS!O544),"",REPORTS!O544)</f>
        <v>1.9552541186924156E-2</v>
      </c>
      <c r="J691" s="1364">
        <f>+IF(ISBLANK(REPORTS!P544),"",REPORTS!P544)</f>
        <v>0.41949088364673642</v>
      </c>
      <c r="K691" s="1364">
        <f>+IF(ISBLANK(REPORTS!Q544),"",REPORTS!Q544)</f>
        <v>0</v>
      </c>
      <c r="L691" s="1358"/>
      <c r="M691" s="1320">
        <v>412</v>
      </c>
    </row>
    <row r="692" spans="1:13">
      <c r="A692" s="1393">
        <v>22</v>
      </c>
      <c r="B692" s="1324" t="s">
        <v>5462</v>
      </c>
      <c r="D692" s="1421">
        <f>+IF(ISBLANK(REPORTS!J545),"",REPORTS!J545)</f>
        <v>84290.845827103971</v>
      </c>
      <c r="E692" s="1421">
        <f>+IF(ISBLANK(REPORTS!K545),"",REPORTS!K545)</f>
        <v>49027.00417616585</v>
      </c>
      <c r="F692" s="1421">
        <f>+IF(ISBLANK(REPORTS!L545),"",REPORTS!L545)</f>
        <v>4158.7724988692707</v>
      </c>
      <c r="G692" s="1421">
        <f>+IF(ISBLANK(REPORTS!M545),"",REPORTS!M545)</f>
        <v>23117.234019043386</v>
      </c>
      <c r="H692" s="1421">
        <f>+IF(ISBLANK(REPORTS!N545),"",REPORTS!N545)</f>
        <v>2710.7054474901015</v>
      </c>
      <c r="I692" s="1421">
        <f>+IF(ISBLANK(REPORTS!O545),"",REPORTS!O545)</f>
        <v>1655.4586825043273</v>
      </c>
      <c r="J692" s="1421">
        <f>+IF(ISBLANK(REPORTS!P545),"",REPORTS!P545)</f>
        <v>180.20036575327401</v>
      </c>
      <c r="K692" s="1421">
        <f>+IF(ISBLANK(REPORTS!Q545),"",REPORTS!Q545)</f>
        <v>3441.4706372777728</v>
      </c>
      <c r="L692" s="1358"/>
      <c r="M692" s="1321"/>
    </row>
    <row r="693" spans="1:13">
      <c r="A693" s="1393">
        <v>23</v>
      </c>
      <c r="D693" s="1324" t="str">
        <f>+IF(ISBLANK(REPORTS!J546),"",REPORTS!J546)</f>
        <v/>
      </c>
      <c r="E693" s="1324" t="str">
        <f>+IF(ISBLANK(REPORTS!K546),"",REPORTS!K546)</f>
        <v/>
      </c>
      <c r="F693" s="1324" t="str">
        <f>+IF(ISBLANK(REPORTS!L546),"",REPORTS!L546)</f>
        <v/>
      </c>
      <c r="G693" s="1324" t="str">
        <f>+IF(ISBLANK(REPORTS!M546),"",REPORTS!M546)</f>
        <v/>
      </c>
      <c r="H693" s="1324" t="str">
        <f>+IF(ISBLANK(REPORTS!N546),"",REPORTS!N546)</f>
        <v/>
      </c>
      <c r="I693" s="1324" t="str">
        <f>+IF(ISBLANK(REPORTS!O546),"",REPORTS!O546)</f>
        <v/>
      </c>
      <c r="J693" s="1324" t="str">
        <f>+IF(ISBLANK(REPORTS!P546),"",REPORTS!P546)</f>
        <v/>
      </c>
      <c r="K693" s="1324" t="str">
        <f>+IF(ISBLANK(REPORTS!Q546),"",REPORTS!Q546)</f>
        <v/>
      </c>
      <c r="M693" s="1321"/>
    </row>
    <row r="694" spans="1:13">
      <c r="A694" s="1393">
        <v>24</v>
      </c>
      <c r="D694" s="1324" t="str">
        <f>+IF(ISBLANK(REPORTS!J547),"",REPORTS!J547)</f>
        <v/>
      </c>
      <c r="E694" s="1324" t="str">
        <f>+IF(ISBLANK(REPORTS!K547),"",REPORTS!K547)</f>
        <v/>
      </c>
      <c r="F694" s="1324" t="str">
        <f>+IF(ISBLANK(REPORTS!L547),"",REPORTS!L547)</f>
        <v/>
      </c>
      <c r="G694" s="1324" t="str">
        <f>+IF(ISBLANK(REPORTS!M547),"",REPORTS!M547)</f>
        <v/>
      </c>
      <c r="H694" s="1324" t="str">
        <f>+IF(ISBLANK(REPORTS!N547),"",REPORTS!N547)</f>
        <v/>
      </c>
      <c r="I694" s="1324" t="str">
        <f>+IF(ISBLANK(REPORTS!O547),"",REPORTS!O547)</f>
        <v/>
      </c>
      <c r="J694" s="1324" t="str">
        <f>+IF(ISBLANK(REPORTS!P547),"",REPORTS!P547)</f>
        <v/>
      </c>
      <c r="K694" s="1324" t="str">
        <f>+IF(ISBLANK(REPORTS!Q547),"",REPORTS!Q547)</f>
        <v/>
      </c>
      <c r="M694" s="1321"/>
    </row>
    <row r="695" spans="1:13">
      <c r="A695" s="1393">
        <v>25</v>
      </c>
      <c r="B695" s="1362" t="s">
        <v>5464</v>
      </c>
      <c r="D695" s="1324" t="str">
        <f>+IF(ISBLANK(REPORTS!J548),"",REPORTS!J548)</f>
        <v/>
      </c>
      <c r="E695" s="1324" t="str">
        <f>+IF(ISBLANK(REPORTS!K548),"",REPORTS!K548)</f>
        <v/>
      </c>
      <c r="F695" s="1324" t="str">
        <f>+IF(ISBLANK(REPORTS!L548),"",REPORTS!L548)</f>
        <v/>
      </c>
      <c r="G695" s="1324" t="str">
        <f>+IF(ISBLANK(REPORTS!M548),"",REPORTS!M548)</f>
        <v/>
      </c>
      <c r="H695" s="1324" t="str">
        <f>+IF(ISBLANK(REPORTS!N548),"",REPORTS!N548)</f>
        <v/>
      </c>
      <c r="I695" s="1324" t="str">
        <f>+IF(ISBLANK(REPORTS!O548),"",REPORTS!O548)</f>
        <v/>
      </c>
      <c r="J695" s="1324" t="str">
        <f>+IF(ISBLANK(REPORTS!P548),"",REPORTS!P548)</f>
        <v/>
      </c>
      <c r="K695" s="1324" t="str">
        <f>+IF(ISBLANK(REPORTS!Q548),"",REPORTS!Q548)</f>
        <v/>
      </c>
      <c r="M695" s="1321"/>
    </row>
    <row r="696" spans="1:13">
      <c r="A696" s="1393">
        <v>26</v>
      </c>
      <c r="B696" s="1324" t="s">
        <v>5265</v>
      </c>
      <c r="C696" s="1324" t="s">
        <v>4067</v>
      </c>
      <c r="D696" s="1364">
        <f>+IF(ISBLANK(REPORTS!J549),"",REPORTS!J549)</f>
        <v>-75.539735384829342</v>
      </c>
      <c r="E696" s="1324">
        <f>+IF(ISBLANK(REPORTS!K549),"",REPORTS!K549)</f>
        <v>-43.376023974305589</v>
      </c>
      <c r="F696" s="1324">
        <f>+IF(ISBLANK(REPORTS!L549),"",REPORTS!L549)</f>
        <v>-3.6071781614897462</v>
      </c>
      <c r="G696" s="1324">
        <f>+IF(ISBLANK(REPORTS!M549),"",REPORTS!M549)</f>
        <v>-23.345333556737398</v>
      </c>
      <c r="H696" s="1324">
        <f>+IF(ISBLANK(REPORTS!N549),"",REPORTS!N549)</f>
        <v>-2.9836916279127581</v>
      </c>
      <c r="I696" s="1324">
        <f>+IF(ISBLANK(REPORTS!O549),"",REPORTS!O549)</f>
        <v>-2.1473722256559395</v>
      </c>
      <c r="J696" s="1324">
        <f>+IF(ISBLANK(REPORTS!P549),"",REPORTS!P549)</f>
        <v>-8.0135838727912023E-2</v>
      </c>
      <c r="K696" s="1324">
        <f>+IF(ISBLANK(REPORTS!Q549),"",REPORTS!Q549)</f>
        <v>0</v>
      </c>
      <c r="L696" s="1324"/>
      <c r="M696" s="1324">
        <v>122</v>
      </c>
    </row>
    <row r="697" spans="1:13">
      <c r="A697" s="1393">
        <v>27</v>
      </c>
      <c r="B697" s="1324" t="s">
        <v>5265</v>
      </c>
      <c r="C697" s="1324" t="s">
        <v>2067</v>
      </c>
      <c r="D697" s="1364">
        <f>+IF(ISBLANK(REPORTS!J550),"",REPORTS!J550)</f>
        <v>-5.6810294570698723</v>
      </c>
      <c r="E697" s="1364">
        <f>+IF(ISBLANK(REPORTS!K550),"",REPORTS!K550)</f>
        <v>-2.8668416712765334</v>
      </c>
      <c r="F697" s="1364">
        <f>+IF(ISBLANK(REPORTS!L550),"",REPORTS!L550)</f>
        <v>-0.26492973056333902</v>
      </c>
      <c r="G697" s="1364">
        <f>+IF(ISBLANK(REPORTS!M550),"",REPORTS!M550)</f>
        <v>-1.9736235905974564</v>
      </c>
      <c r="H697" s="1364">
        <f>+IF(ISBLANK(REPORTS!N550),"",REPORTS!N550)</f>
        <v>-0.31416914219909692</v>
      </c>
      <c r="I697" s="1364">
        <f>+IF(ISBLANK(REPORTS!O550),"",REPORTS!O550)</f>
        <v>-0.23145213448308377</v>
      </c>
      <c r="J697" s="1364">
        <f>+IF(ISBLANK(REPORTS!P550),"",REPORTS!P550)</f>
        <v>-3.0013187950362272E-2</v>
      </c>
      <c r="K697" s="1364">
        <f>+IF(ISBLANK(REPORTS!Q550),"",REPORTS!Q550)</f>
        <v>0</v>
      </c>
      <c r="L697" s="1358"/>
      <c r="M697" s="1320">
        <v>201</v>
      </c>
    </row>
    <row r="698" spans="1:13">
      <c r="A698" s="1393">
        <v>28</v>
      </c>
      <c r="B698" s="1324" t="s">
        <v>5268</v>
      </c>
      <c r="C698" s="1324" t="s">
        <v>4067</v>
      </c>
      <c r="D698" s="1364">
        <f>+IF(ISBLANK(REPORTS!J551),"",REPORTS!J551)</f>
        <v>-5.5728001243847984</v>
      </c>
      <c r="E698" s="1364">
        <f>+IF(ISBLANK(REPORTS!K551),"",REPORTS!K551)</f>
        <v>-3.2322967421462523</v>
      </c>
      <c r="F698" s="1364">
        <f>+IF(ISBLANK(REPORTS!L551),"",REPORTS!L551)</f>
        <v>-0.26663187848788289</v>
      </c>
      <c r="G698" s="1364">
        <f>+IF(ISBLANK(REPORTS!M551),"",REPORTS!M551)</f>
        <v>-1.7044436466142849</v>
      </c>
      <c r="H698" s="1364">
        <f>+IF(ISBLANK(REPORTS!N551),"",REPORTS!N551)</f>
        <v>-0.2127771898946933</v>
      </c>
      <c r="I698" s="1364">
        <f>+IF(ISBLANK(REPORTS!O551),"",REPORTS!O551)</f>
        <v>-0.15269959314545944</v>
      </c>
      <c r="J698" s="1364">
        <f>+IF(ISBLANK(REPORTS!P551),"",REPORTS!P551)</f>
        <v>-3.9510740962258161E-3</v>
      </c>
      <c r="K698" s="1364">
        <f>+IF(ISBLANK(REPORTS!Q551),"",REPORTS!Q551)</f>
        <v>0</v>
      </c>
      <c r="L698" s="1358"/>
      <c r="M698" s="1320">
        <v>117</v>
      </c>
    </row>
    <row r="699" spans="1:13">
      <c r="A699" s="1393">
        <v>29</v>
      </c>
      <c r="B699" s="1324" t="s">
        <v>5239</v>
      </c>
      <c r="C699" s="1324" t="s">
        <v>4067</v>
      </c>
      <c r="D699" s="1364">
        <f>+IF(ISBLANK(REPORTS!J552),"",REPORTS!J552)</f>
        <v>-6.0494296575400837</v>
      </c>
      <c r="E699" s="1364">
        <f>+IF(ISBLANK(REPORTS!K552),"",REPORTS!K552)</f>
        <v>-3.5087480866843967</v>
      </c>
      <c r="F699" s="1364">
        <f>+IF(ISBLANK(REPORTS!L552),"",REPORTS!L552)</f>
        <v>-0.28943632597056124</v>
      </c>
      <c r="G699" s="1364">
        <f>+IF(ISBLANK(REPORTS!M552),"",REPORTS!M552)</f>
        <v>-1.8502210226986178</v>
      </c>
      <c r="H699" s="1364">
        <f>+IF(ISBLANK(REPORTS!N552),"",REPORTS!N552)</f>
        <v>-0.23097556242232758</v>
      </c>
      <c r="I699" s="1364">
        <f>+IF(ISBLANK(REPORTS!O552),"",REPORTS!O552)</f>
        <v>-0.16575965885200708</v>
      </c>
      <c r="J699" s="1364">
        <f>+IF(ISBLANK(REPORTS!P552),"",REPORTS!P552)</f>
        <v>-4.2890009121734716E-3</v>
      </c>
      <c r="K699" s="1364">
        <f>+IF(ISBLANK(REPORTS!Q552),"",REPORTS!Q552)</f>
        <v>0</v>
      </c>
      <c r="L699" s="1358"/>
      <c r="M699" s="1320">
        <v>117</v>
      </c>
    </row>
    <row r="700" spans="1:13">
      <c r="A700" s="1393">
        <v>30</v>
      </c>
      <c r="B700" s="1324" t="s">
        <v>5240</v>
      </c>
      <c r="C700" s="1324" t="s">
        <v>4067</v>
      </c>
      <c r="D700" s="1364">
        <f>+IF(ISBLANK(REPORTS!J553),"",REPORTS!J553)</f>
        <v>-21.077596574183623</v>
      </c>
      <c r="E700" s="1364">
        <f>+IF(ISBLANK(REPORTS!K553),"",REPORTS!K553)</f>
        <v>-13.119033603870848</v>
      </c>
      <c r="F700" s="1364">
        <f>+IF(ISBLANK(REPORTS!L553),"",REPORTS!L553)</f>
        <v>-0.93305857322263319</v>
      </c>
      <c r="G700" s="1364">
        <f>+IF(ISBLANK(REPORTS!M553),"",REPORTS!M553)</f>
        <v>-6.247409725145987</v>
      </c>
      <c r="H700" s="1364">
        <f>+IF(ISBLANK(REPORTS!N553),"",REPORTS!N553)</f>
        <v>-0.65710189210323677</v>
      </c>
      <c r="I700" s="1364">
        <f>+IF(ISBLANK(REPORTS!O553),"",REPORTS!O553)</f>
        <v>-4.4865637082992416E-7</v>
      </c>
      <c r="J700" s="1364">
        <f>+IF(ISBLANK(REPORTS!P553),"",REPORTS!P553)</f>
        <v>-0.12099233118455241</v>
      </c>
      <c r="K700" s="1364">
        <f>+IF(ISBLANK(REPORTS!Q553),"",REPORTS!Q553)</f>
        <v>0</v>
      </c>
      <c r="L700" s="1358"/>
      <c r="M700" s="1320">
        <v>105</v>
      </c>
    </row>
    <row r="701" spans="1:13">
      <c r="A701" s="1393">
        <v>31</v>
      </c>
      <c r="B701" s="1324" t="s">
        <v>5241</v>
      </c>
      <c r="C701" s="1324" t="s">
        <v>4067</v>
      </c>
      <c r="D701" s="1364">
        <f>+IF(ISBLANK(REPORTS!J554),"",REPORTS!J554)</f>
        <v>-9.2657640190814323</v>
      </c>
      <c r="E701" s="1364">
        <f>+IF(ISBLANK(REPORTS!K554),"",REPORTS!K554)</f>
        <v>-6.7606096196155443</v>
      </c>
      <c r="F701" s="1364">
        <f>+IF(ISBLANK(REPORTS!L554),"",REPORTS!L554)</f>
        <v>-0.54436324701955141</v>
      </c>
      <c r="G701" s="1364">
        <f>+IF(ISBLANK(REPORTS!M554),"",REPORTS!M554)</f>
        <v>-1.9272729163322908</v>
      </c>
      <c r="H701" s="1364">
        <f>+IF(ISBLANK(REPORTS!N554),"",REPORTS!N554)</f>
        <v>0</v>
      </c>
      <c r="I701" s="1364">
        <f>+IF(ISBLANK(REPORTS!O554),"",REPORTS!O554)</f>
        <v>0</v>
      </c>
      <c r="J701" s="1364">
        <f>+IF(ISBLANK(REPORTS!P554),"",REPORTS!P554)</f>
        <v>-3.3518236114045273E-2</v>
      </c>
      <c r="K701" s="1364">
        <f>+IF(ISBLANK(REPORTS!Q554),"",REPORTS!Q554)</f>
        <v>0</v>
      </c>
      <c r="L701" s="1358"/>
      <c r="M701" s="1320">
        <v>106</v>
      </c>
    </row>
    <row r="702" spans="1:13">
      <c r="A702" s="1393">
        <v>32</v>
      </c>
      <c r="B702" s="1324" t="s">
        <v>5242</v>
      </c>
      <c r="C702" s="1324" t="s">
        <v>4071</v>
      </c>
      <c r="D702" s="1364">
        <f>+IF(ISBLANK(REPORTS!J555),"",REPORTS!J555)</f>
        <v>-9.0379992857176283</v>
      </c>
      <c r="E702" s="1364">
        <f>+IF(ISBLANK(REPORTS!K555),"",REPORTS!K555)</f>
        <v>-3.3319191838925666</v>
      </c>
      <c r="F702" s="1364">
        <f>+IF(ISBLANK(REPORTS!L555),"",REPORTS!L555)</f>
        <v>-0.50540833020320841</v>
      </c>
      <c r="G702" s="1364">
        <f>+IF(ISBLANK(REPORTS!M555),"",REPORTS!M555)</f>
        <v>-0.24365697342981352</v>
      </c>
      <c r="H702" s="1364">
        <f>+IF(ISBLANK(REPORTS!N555),"",REPORTS!N555)</f>
        <v>-1.5707381239567792E-2</v>
      </c>
      <c r="I702" s="1364">
        <f>+IF(ISBLANK(REPORTS!O555),"",REPORTS!O555)</f>
        <v>-1.7137412298762433E-2</v>
      </c>
      <c r="J702" s="1364">
        <f>+IF(ISBLANK(REPORTS!P555),"",REPORTS!P555)</f>
        <v>-3.9332406326345907E-3</v>
      </c>
      <c r="K702" s="1364">
        <f>+IF(ISBLANK(REPORTS!Q555),"",REPORTS!Q555)</f>
        <v>-4.9202367640210758</v>
      </c>
      <c r="L702" s="1358"/>
      <c r="M702" s="1320">
        <v>907</v>
      </c>
    </row>
    <row r="703" spans="1:13">
      <c r="A703" s="1393">
        <v>33</v>
      </c>
      <c r="B703" s="1324" t="s">
        <v>5244</v>
      </c>
      <c r="C703" s="1324" t="s">
        <v>4071</v>
      </c>
      <c r="D703" s="1364">
        <f>+IF(ISBLANK(REPORTS!J556),"",REPORTS!J556)</f>
        <v>-2.7612136328512036</v>
      </c>
      <c r="E703" s="1364">
        <f>+IF(ISBLANK(REPORTS!K556),"",REPORTS!K556)</f>
        <v>-2.462690031300165</v>
      </c>
      <c r="F703" s="1364">
        <f>+IF(ISBLANK(REPORTS!L556),"",REPORTS!L556)</f>
        <v>-0.23873562892247466</v>
      </c>
      <c r="G703" s="1364">
        <f>+IF(ISBLANK(REPORTS!M556),"",REPORTS!M556)</f>
        <v>-5.8798550845025381E-2</v>
      </c>
      <c r="H703" s="1364">
        <f>+IF(ISBLANK(REPORTS!N556),"",REPORTS!N556)</f>
        <v>-1.9852475915654161E-4</v>
      </c>
      <c r="I703" s="1364">
        <f>+IF(ISBLANK(REPORTS!O556),"",REPORTS!O556)</f>
        <v>-3.5222134689063833E-5</v>
      </c>
      <c r="J703" s="1364">
        <f>+IF(ISBLANK(REPORTS!P556),"",REPORTS!P556)</f>
        <v>-7.5567488969264217E-4</v>
      </c>
      <c r="K703" s="1364">
        <f>+IF(ISBLANK(REPORTS!Q556),"",REPORTS!Q556)</f>
        <v>0</v>
      </c>
      <c r="L703" s="1358"/>
      <c r="M703" s="1320">
        <v>412</v>
      </c>
    </row>
    <row r="704" spans="1:13">
      <c r="A704" s="1393">
        <v>34</v>
      </c>
      <c r="B704" s="1324" t="s">
        <v>5465</v>
      </c>
      <c r="D704" s="1421">
        <f>+IF(ISBLANK(REPORTS!J557),"",REPORTS!J557)</f>
        <v>-134.98556813565796</v>
      </c>
      <c r="E704" s="1421">
        <f>+IF(ISBLANK(REPORTS!K557),"",REPORTS!K557)</f>
        <v>-78.658162913091914</v>
      </c>
      <c r="F704" s="1421">
        <f>+IF(ISBLANK(REPORTS!L557),"",REPORTS!L557)</f>
        <v>-6.6497418758793954</v>
      </c>
      <c r="G704" s="1421">
        <f>+IF(ISBLANK(REPORTS!M557),"",REPORTS!M557)</f>
        <v>-37.350759982400874</v>
      </c>
      <c r="H704" s="1421">
        <f>+IF(ISBLANK(REPORTS!N557),"",REPORTS!N557)</f>
        <v>-4.4146213205308369</v>
      </c>
      <c r="I704" s="1421">
        <f>+IF(ISBLANK(REPORTS!O557),"",REPORTS!O557)</f>
        <v>-2.7144566952263123</v>
      </c>
      <c r="J704" s="1421">
        <f>+IF(ISBLANK(REPORTS!P557),"",REPORTS!P557)</f>
        <v>-0.27758858450759849</v>
      </c>
      <c r="K704" s="1421">
        <f>+IF(ISBLANK(REPORTS!Q557),"",REPORTS!Q557)</f>
        <v>-4.9202367640210758</v>
      </c>
      <c r="L704" s="1358"/>
      <c r="M704" s="1321"/>
    </row>
    <row r="705" spans="1:13">
      <c r="A705" s="1393">
        <v>35</v>
      </c>
      <c r="D705" s="1364" t="str">
        <f>+IF(ISBLANK(REPORTS!J558),"",REPORTS!J558)</f>
        <v/>
      </c>
      <c r="E705" s="1364" t="str">
        <f>+IF(ISBLANK(REPORTS!K558),"",REPORTS!K558)</f>
        <v/>
      </c>
      <c r="F705" s="1364" t="str">
        <f>+IF(ISBLANK(REPORTS!L558),"",REPORTS!L558)</f>
        <v/>
      </c>
      <c r="G705" s="1364" t="str">
        <f>+IF(ISBLANK(REPORTS!M558),"",REPORTS!M558)</f>
        <v/>
      </c>
      <c r="H705" s="1364" t="str">
        <f>+IF(ISBLANK(REPORTS!N558),"",REPORTS!N558)</f>
        <v/>
      </c>
      <c r="I705" s="1364" t="str">
        <f>+IF(ISBLANK(REPORTS!O558),"",REPORTS!O558)</f>
        <v/>
      </c>
      <c r="J705" s="1364" t="str">
        <f>+IF(ISBLANK(REPORTS!P558),"",REPORTS!P558)</f>
        <v/>
      </c>
      <c r="K705" s="1364" t="str">
        <f>+IF(ISBLANK(REPORTS!Q558),"",REPORTS!Q558)</f>
        <v/>
      </c>
      <c r="L705" s="1358"/>
      <c r="M705" s="1321"/>
    </row>
    <row r="706" spans="1:13">
      <c r="A706" s="1393">
        <v>36</v>
      </c>
      <c r="B706" s="1362" t="s">
        <v>5467</v>
      </c>
      <c r="D706" s="1324" t="str">
        <f>+IF(ISBLANK(REPORTS!J559),"",REPORTS!J559)</f>
        <v/>
      </c>
      <c r="E706" s="1324" t="str">
        <f>+IF(ISBLANK(REPORTS!K559),"",REPORTS!K559)</f>
        <v/>
      </c>
      <c r="F706" s="1324" t="str">
        <f>+IF(ISBLANK(REPORTS!L559),"",REPORTS!L559)</f>
        <v/>
      </c>
      <c r="G706" s="1324" t="str">
        <f>+IF(ISBLANK(REPORTS!M559),"",REPORTS!M559)</f>
        <v/>
      </c>
      <c r="H706" s="1324" t="str">
        <f>+IF(ISBLANK(REPORTS!N559),"",REPORTS!N559)</f>
        <v/>
      </c>
      <c r="I706" s="1324" t="str">
        <f>+IF(ISBLANK(REPORTS!O559),"",REPORTS!O559)</f>
        <v/>
      </c>
      <c r="J706" s="1324" t="str">
        <f>+IF(ISBLANK(REPORTS!P559),"",REPORTS!P559)</f>
        <v/>
      </c>
      <c r="K706" s="1324" t="str">
        <f>+IF(ISBLANK(REPORTS!Q559),"",REPORTS!Q559)</f>
        <v/>
      </c>
      <c r="L706" s="1358"/>
      <c r="M706" s="1321"/>
    </row>
    <row r="707" spans="1:13">
      <c r="A707" s="1393">
        <v>37</v>
      </c>
      <c r="B707" s="1324" t="s">
        <v>5265</v>
      </c>
      <c r="C707" s="1324" t="s">
        <v>4067</v>
      </c>
      <c r="D707" s="1324">
        <f>+IF(ISBLANK(REPORTS!J560),"",REPORTS!J560)</f>
        <v>50567.271535833475</v>
      </c>
      <c r="E707" s="1324">
        <f>+IF(ISBLANK(REPORTS!K560),"",REPORTS!K560)</f>
        <v>29036.468969337111</v>
      </c>
      <c r="F707" s="1324">
        <f>+IF(ISBLANK(REPORTS!L560),"",REPORTS!L560)</f>
        <v>2414.6915082629885</v>
      </c>
      <c r="G707" s="1324">
        <f>+IF(ISBLANK(REPORTS!M560),"",REPORTS!M560)</f>
        <v>15627.666883450947</v>
      </c>
      <c r="H707" s="1324">
        <f>+IF(ISBLANK(REPORTS!N560),"",REPORTS!N560)</f>
        <v>1997.3215945122063</v>
      </c>
      <c r="I707" s="1324">
        <f>+IF(ISBLANK(REPORTS!O560),"",REPORTS!O560)</f>
        <v>1437.4786179759171</v>
      </c>
      <c r="J707" s="1324">
        <f>+IF(ISBLANK(REPORTS!P560),"",REPORTS!P560)</f>
        <v>53.643962294311962</v>
      </c>
      <c r="K707" s="1324">
        <f>+IF(ISBLANK(REPORTS!Q560),"",REPORTS!Q560)</f>
        <v>0</v>
      </c>
      <c r="L707" s="1364"/>
      <c r="M707" s="1326"/>
    </row>
    <row r="708" spans="1:13">
      <c r="A708" s="1393">
        <v>38</v>
      </c>
      <c r="B708" s="1324" t="s">
        <v>5265</v>
      </c>
      <c r="C708" s="1324" t="s">
        <v>2067</v>
      </c>
      <c r="D708" s="1324">
        <f>+IF(ISBLANK(REPORTS!J561),"",REPORTS!J561)</f>
        <v>5692.1013325463828</v>
      </c>
      <c r="E708" s="1324">
        <f>+IF(ISBLANK(REPORTS!K561),"",REPORTS!K561)</f>
        <v>2872.4289181364743</v>
      </c>
      <c r="F708" s="1324">
        <f>+IF(ISBLANK(REPORTS!L561),"",REPORTS!L561)</f>
        <v>265.44605757924143</v>
      </c>
      <c r="G708" s="1324">
        <f>+IF(ISBLANK(REPORTS!M561),"",REPORTS!M561)</f>
        <v>1977.4700263179056</v>
      </c>
      <c r="H708" s="1324">
        <f>+IF(ISBLANK(REPORTS!N561),"",REPORTS!N561)</f>
        <v>314.78143291986794</v>
      </c>
      <c r="I708" s="1324">
        <f>+IF(ISBLANK(REPORTS!O561),"",REPORTS!O561)</f>
        <v>231.90321632153123</v>
      </c>
      <c r="J708" s="1324">
        <f>+IF(ISBLANK(REPORTS!P561),"",REPORTS!P561)</f>
        <v>30.071681271361683</v>
      </c>
      <c r="K708" s="1320">
        <f>+IF(ISBLANK(REPORTS!Q561),"",REPORTS!Q561)</f>
        <v>0</v>
      </c>
      <c r="L708" s="1358"/>
      <c r="M708" s="1321"/>
    </row>
    <row r="709" spans="1:13">
      <c r="A709" s="1393">
        <v>39</v>
      </c>
      <c r="B709" s="1324" t="s">
        <v>5268</v>
      </c>
      <c r="C709" s="1324" t="s">
        <v>4067</v>
      </c>
      <c r="D709" s="1324">
        <f>+IF(ISBLANK(REPORTS!J562),"",REPORTS!J562)</f>
        <v>3530.3072289114743</v>
      </c>
      <c r="E709" s="1324">
        <f>+IF(ISBLANK(REPORTS!K562),"",REPORTS!K562)</f>
        <v>2047.6242284116772</v>
      </c>
      <c r="F709" s="1324">
        <f>+IF(ISBLANK(REPORTS!L562),"",REPORTS!L562)</f>
        <v>168.90834536936339</v>
      </c>
      <c r="G709" s="1324">
        <f>+IF(ISBLANK(REPORTS!M562),"",REPORTS!M562)</f>
        <v>1079.746194482241</v>
      </c>
      <c r="H709" s="1324">
        <f>+IF(ISBLANK(REPORTS!N562),"",REPORTS!N562)</f>
        <v>134.79199592065569</v>
      </c>
      <c r="I709" s="1324">
        <f>+IF(ISBLANK(REPORTS!O562),"",REPORTS!O562)</f>
        <v>96.7335029968919</v>
      </c>
      <c r="J709" s="1324">
        <f>+IF(ISBLANK(REPORTS!P562),"",REPORTS!P562)</f>
        <v>2.5029617306453624</v>
      </c>
      <c r="K709" s="1320">
        <f>+IF(ISBLANK(REPORTS!Q562),"",REPORTS!Q562)</f>
        <v>0</v>
      </c>
      <c r="L709" s="1358"/>
      <c r="M709" s="1321"/>
    </row>
    <row r="710" spans="1:13">
      <c r="A710" s="1393">
        <v>40</v>
      </c>
      <c r="B710" s="1324" t="s">
        <v>5239</v>
      </c>
      <c r="C710" s="1324" t="s">
        <v>4067</v>
      </c>
      <c r="D710" s="1324">
        <f>+IF(ISBLANK(REPORTS!J563),"",REPORTS!J563)</f>
        <v>4063.721126889347</v>
      </c>
      <c r="E710" s="1324">
        <f>+IF(ISBLANK(REPORTS!K563),"",REPORTS!K563)</f>
        <v>2357.0112450220649</v>
      </c>
      <c r="F710" s="1324">
        <f>+IF(ISBLANK(REPORTS!L563),"",REPORTS!L563)</f>
        <v>194.42965359053073</v>
      </c>
      <c r="G710" s="1324">
        <f>+IF(ISBLANK(REPORTS!M563),"",REPORTS!M563)</f>
        <v>1242.8910963504939</v>
      </c>
      <c r="H710" s="1324">
        <f>+IF(ISBLANK(REPORTS!N563),"",REPORTS!N563)</f>
        <v>155.15847376468852</v>
      </c>
      <c r="I710" s="1324">
        <f>+IF(ISBLANK(REPORTS!O563),"",REPORTS!O563)</f>
        <v>111.34950992004467</v>
      </c>
      <c r="J710" s="1324">
        <f>+IF(ISBLANK(REPORTS!P563),"",REPORTS!P563)</f>
        <v>2.8811482415243757</v>
      </c>
      <c r="K710" s="1320">
        <f>+IF(ISBLANK(REPORTS!Q563),"",REPORTS!Q563)</f>
        <v>0</v>
      </c>
      <c r="L710" s="1358"/>
      <c r="M710" s="1321"/>
    </row>
    <row r="711" spans="1:13">
      <c r="A711" s="1393">
        <v>41</v>
      </c>
      <c r="B711" s="1324" t="s">
        <v>5240</v>
      </c>
      <c r="C711" s="1324" t="s">
        <v>4067</v>
      </c>
      <c r="D711" s="1324">
        <f>+IF(ISBLANK(REPORTS!J564),"",REPORTS!J564)</f>
        <v>16677.364950746807</v>
      </c>
      <c r="E711" s="1324">
        <f>+IF(ISBLANK(REPORTS!K564),"",REPORTS!K564)</f>
        <v>10380.258984596278</v>
      </c>
      <c r="F711" s="1324">
        <f>+IF(ISBLANK(REPORTS!L564),"",REPORTS!L564)</f>
        <v>738.27005329044141</v>
      </c>
      <c r="G711" s="1324">
        <f>+IF(ISBLANK(REPORTS!M564),"",REPORTS!M564)</f>
        <v>4943.1789633320623</v>
      </c>
      <c r="H711" s="1324">
        <f>+IF(ISBLANK(REPORTS!N564),"",REPORTS!N564)</f>
        <v>519.92303894147312</v>
      </c>
      <c r="I711" s="1324">
        <f>+IF(ISBLANK(REPORTS!O564),"",REPORTS!O564)</f>
        <v>3.5499332229239466E-4</v>
      </c>
      <c r="J711" s="1324">
        <f>+IF(ISBLANK(REPORTS!P564),"",REPORTS!P564)</f>
        <v>95.733555593235806</v>
      </c>
      <c r="K711" s="1320">
        <f>+IF(ISBLANK(REPORTS!Q564),"",REPORTS!Q564)</f>
        <v>0</v>
      </c>
      <c r="L711" s="1358"/>
      <c r="M711" s="1321"/>
    </row>
    <row r="712" spans="1:13">
      <c r="A712" s="1393">
        <v>42</v>
      </c>
      <c r="B712" s="1324" t="s">
        <v>5241</v>
      </c>
      <c r="C712" s="1324" t="s">
        <v>4067</v>
      </c>
      <c r="D712" s="1324">
        <f>+IF(ISBLANK(REPORTS!J565),"",REPORTS!J565)</f>
        <v>7262.5846043055562</v>
      </c>
      <c r="E712" s="1324">
        <f>+IF(ISBLANK(REPORTS!K565),"",REPORTS!K565)</f>
        <v>5299.0232902572252</v>
      </c>
      <c r="F712" s="1324">
        <f>+IF(ISBLANK(REPORTS!L565),"",REPORTS!L565)</f>
        <v>426.6765405219017</v>
      </c>
      <c r="G712" s="1324">
        <f>+IF(ISBLANK(REPORTS!M565),"",REPORTS!M565)</f>
        <v>1510.6128951293506</v>
      </c>
      <c r="H712" s="1324">
        <f>+IF(ISBLANK(REPORTS!N565),"",REPORTS!N565)</f>
        <v>0</v>
      </c>
      <c r="I712" s="1324">
        <f>+IF(ISBLANK(REPORTS!O565),"",REPORTS!O565)</f>
        <v>0</v>
      </c>
      <c r="J712" s="1324">
        <f>+IF(ISBLANK(REPORTS!P565),"",REPORTS!P565)</f>
        <v>26.271878397079686</v>
      </c>
      <c r="K712" s="1320">
        <f>+IF(ISBLANK(REPORTS!Q565),"",REPORTS!Q565)</f>
        <v>0</v>
      </c>
      <c r="L712" s="1358"/>
      <c r="M712" s="1321"/>
    </row>
    <row r="713" spans="1:13">
      <c r="A713" s="1393">
        <v>43</v>
      </c>
      <c r="B713" s="1324" t="s">
        <v>5242</v>
      </c>
      <c r="C713" s="1324" t="s">
        <v>4071</v>
      </c>
      <c r="D713" s="1324">
        <f>+IF(ISBLANK(REPORTS!J566),"",REPORTS!J566)</f>
        <v>8361.8137284512723</v>
      </c>
      <c r="E713" s="1324">
        <f>+IF(ISBLANK(REPORTS!K566),"",REPORTS!K566)</f>
        <v>3082.6388333522459</v>
      </c>
      <c r="F713" s="1324">
        <f>+IF(ISBLANK(REPORTS!L566),"",REPORTS!L566)</f>
        <v>467.59577870792697</v>
      </c>
      <c r="G713" s="1324">
        <f>+IF(ISBLANK(REPORTS!M566),"",REPORTS!M566)</f>
        <v>225.42757097557441</v>
      </c>
      <c r="H713" s="1324">
        <f>+IF(ISBLANK(REPORTS!N566),"",REPORTS!N566)</f>
        <v>14.532220233142807</v>
      </c>
      <c r="I713" s="1324">
        <f>+IF(ISBLANK(REPORTS!O566),"",REPORTS!O566)</f>
        <v>15.855262309698578</v>
      </c>
      <c r="J713" s="1324">
        <f>+IF(ISBLANK(REPORTS!P566),"",REPORTS!P566)</f>
        <v>3.6389719095507602</v>
      </c>
      <c r="K713" s="1320">
        <f>+IF(ISBLANK(REPORTS!Q566),"",REPORTS!Q566)</f>
        <v>4552.1250909631335</v>
      </c>
      <c r="L713" s="1358"/>
      <c r="M713" s="1321"/>
    </row>
    <row r="714" spans="1:13">
      <c r="A714" s="1393">
        <v>44</v>
      </c>
      <c r="B714" s="1324" t="s">
        <v>5244</v>
      </c>
      <c r="C714" s="1324" t="s">
        <v>4071</v>
      </c>
      <c r="D714" s="1324">
        <f>+IF(ISBLANK(REPORTS!J567),"",REPORTS!J567)</f>
        <v>4305.739175045821</v>
      </c>
      <c r="E714" s="1324">
        <f>+IF(ISBLANK(REPORTS!K567),"",REPORTS!K567)</f>
        <v>3840.2319971217353</v>
      </c>
      <c r="F714" s="1324">
        <f>+IF(ISBLANK(REPORTS!L567),"",REPORTS!L567)</f>
        <v>372.27592160961007</v>
      </c>
      <c r="G714" s="1324">
        <f>+IF(ISBLANK(REPORTS!M567),"",REPORTS!M567)</f>
        <v>91.68838687353832</v>
      </c>
      <c r="H714" s="1324">
        <f>+IF(ISBLANK(REPORTS!N567),"",REPORTS!N567)</f>
        <v>0.30957250918473972</v>
      </c>
      <c r="I714" s="1324">
        <f>+IF(ISBLANK(REPORTS!O567),"",REPORTS!O567)</f>
        <v>5.4924154855357045E-2</v>
      </c>
      <c r="J714" s="1324">
        <f>+IF(ISBLANK(REPORTS!P567),"",REPORTS!P567)</f>
        <v>1.1783727768967511</v>
      </c>
      <c r="K714" s="1320">
        <f>+IF(ISBLANK(REPORTS!Q567),"",REPORTS!Q567)</f>
        <v>0</v>
      </c>
      <c r="L714" s="1358"/>
      <c r="M714" s="1321"/>
    </row>
    <row r="715" spans="1:13">
      <c r="A715" s="1393">
        <v>45</v>
      </c>
      <c r="B715" s="1324" t="s">
        <v>5476</v>
      </c>
      <c r="D715" s="1421">
        <f>+IF(ISBLANK(REPORTS!J568),"",REPORTS!J568)</f>
        <v>100460.90368273012</v>
      </c>
      <c r="E715" s="1421">
        <f>+IF(ISBLANK(REPORTS!K568),"",REPORTS!K568)</f>
        <v>58915.686466234809</v>
      </c>
      <c r="F715" s="1421">
        <f>+IF(ISBLANK(REPORTS!L568),"",REPORTS!L568)</f>
        <v>5048.2938589320038</v>
      </c>
      <c r="G715" s="1421">
        <f>+IF(ISBLANK(REPORTS!M568),"",REPORTS!M568)</f>
        <v>26698.682016912113</v>
      </c>
      <c r="H715" s="1421">
        <f>+IF(ISBLANK(REPORTS!N568),"",REPORTS!N568)</f>
        <v>3136.8183288012192</v>
      </c>
      <c r="I715" s="1421">
        <f>+IF(ISBLANK(REPORTS!O568),"",REPORTS!O568)</f>
        <v>1893.3753886722616</v>
      </c>
      <c r="J715" s="1421">
        <f>+IF(ISBLANK(REPORTS!P568),"",REPORTS!P568)</f>
        <v>215.92253221460641</v>
      </c>
      <c r="K715" s="1421">
        <f>+IF(ISBLANK(REPORTS!Q568),"",REPORTS!Q568)</f>
        <v>4552.1250909631335</v>
      </c>
      <c r="L715" s="1358"/>
      <c r="M715" s="1321"/>
    </row>
    <row r="720" spans="1:13">
      <c r="A720" s="1732" t="str">
        <f>+$A$1</f>
        <v>RATES WITH REVENUE DEFICIENCY ADDITION</v>
      </c>
      <c r="F720" s="1329" t="s">
        <v>2173</v>
      </c>
      <c r="G720" s="1329"/>
      <c r="H720" s="1329"/>
      <c r="I720" s="1329"/>
      <c r="M720" s="1334" t="s">
        <v>5531</v>
      </c>
    </row>
    <row r="721" spans="1:13">
      <c r="A721" s="1732" t="str">
        <f>+$A$2</f>
        <v>PROD. CAP. ALLOC. METHOD: 12 CP &amp; 1/13th AD</v>
      </c>
      <c r="F721" s="1336" t="s">
        <v>5141</v>
      </c>
      <c r="G721" s="1336"/>
      <c r="H721" s="1336"/>
      <c r="I721" s="1336"/>
      <c r="L721" s="1331"/>
      <c r="M721" s="1409"/>
    </row>
    <row r="722" spans="1:13">
      <c r="A722" s="1732" t="str">
        <f>+$A$3</f>
        <v>PROJECTED CALENDAR YEAR 2025; FULLY ADJUSTED DATA</v>
      </c>
      <c r="F722" s="1336" t="s">
        <v>2181</v>
      </c>
      <c r="M722" s="1321"/>
    </row>
    <row r="723" spans="1:13">
      <c r="A723" s="1732" t="str">
        <f>+$A$4</f>
        <v>MINIMUM DISTRIBUTION SYSTEM (MDS) NOT EMPLOYED</v>
      </c>
      <c r="B723" s="1364"/>
      <c r="F723" s="1336"/>
      <c r="G723" s="1336"/>
      <c r="H723" s="1336"/>
      <c r="I723" s="1336"/>
      <c r="M723" s="1321"/>
    </row>
    <row r="724" spans="1:13">
      <c r="A724" s="1732" t="str">
        <f>+$A$5</f>
        <v>Tampa Electric 2025 OB Budget</v>
      </c>
      <c r="F724" s="1336" t="s">
        <v>5456</v>
      </c>
      <c r="G724" s="1336"/>
      <c r="H724" s="1336"/>
      <c r="I724" s="1336"/>
      <c r="M724" s="1321"/>
    </row>
    <row r="725" spans="1:13">
      <c r="F725" s="1336"/>
      <c r="G725" s="1336"/>
      <c r="H725" s="1336"/>
      <c r="I725" s="1336"/>
      <c r="M725" s="1321"/>
    </row>
    <row r="726" spans="1:13">
      <c r="F726" s="1336"/>
      <c r="G726" s="1336"/>
      <c r="H726" s="1336"/>
      <c r="I726" s="1336"/>
      <c r="M726" s="1321"/>
    </row>
    <row r="727" spans="1:13">
      <c r="M727" s="1321"/>
    </row>
    <row r="728" spans="1:13">
      <c r="M728" s="1321"/>
    </row>
    <row r="729" spans="1:13" ht="28.2">
      <c r="A729" s="1737" t="s">
        <v>4297</v>
      </c>
      <c r="B729" s="1741"/>
      <c r="C729" s="1741"/>
      <c r="D729" s="1352" t="s">
        <v>4957</v>
      </c>
      <c r="E729" s="1353" t="s">
        <v>1949</v>
      </c>
      <c r="F729" s="1353" t="s">
        <v>1950</v>
      </c>
      <c r="G729" s="1353" t="s">
        <v>1934</v>
      </c>
      <c r="H729" s="1353" t="s">
        <v>1971</v>
      </c>
      <c r="I729" s="1353" t="s">
        <v>1972</v>
      </c>
      <c r="J729" s="1352" t="s">
        <v>5146</v>
      </c>
      <c r="K729" s="1352" t="s">
        <v>5147</v>
      </c>
      <c r="L729" s="1355"/>
      <c r="M729" s="1348" t="s">
        <v>5299</v>
      </c>
    </row>
    <row r="730" spans="1:13">
      <c r="M730" s="1321"/>
    </row>
    <row r="731" spans="1:13">
      <c r="A731" s="1393">
        <v>46</v>
      </c>
      <c r="B731" s="1362" t="s">
        <v>5479</v>
      </c>
    </row>
    <row r="732" spans="1:13">
      <c r="A732" s="1393">
        <v>47</v>
      </c>
      <c r="B732" s="1324" t="s">
        <v>5265</v>
      </c>
      <c r="C732" s="1324" t="s">
        <v>4067</v>
      </c>
      <c r="D732" s="1364">
        <f>+IF(ISBLANK(REPORTS!J586),"",REPORTS!J586)</f>
        <v>629.49179060332824</v>
      </c>
      <c r="E732" s="1324">
        <f>+IF(ISBLANK(REPORTS!K586),"",REPORTS!K586)</f>
        <v>361.46341871250661</v>
      </c>
      <c r="F732" s="1324">
        <f>+IF(ISBLANK(REPORTS!L586),"",REPORTS!L586)</f>
        <v>30.059531296126632</v>
      </c>
      <c r="G732" s="1324">
        <f>+IF(ISBLANK(REPORTS!M586),"",REPORTS!M586)</f>
        <v>194.54259070404328</v>
      </c>
      <c r="H732" s="1324">
        <f>+IF(ISBLANK(REPORTS!N586),"",REPORTS!N586)</f>
        <v>24.863859740765818</v>
      </c>
      <c r="I732" s="1324">
        <f>+IF(ISBLANK(REPORTS!O586),"",REPORTS!O586)</f>
        <v>17.89459786341116</v>
      </c>
      <c r="J732" s="1324">
        <f>+IF(ISBLANK(REPORTS!P586),"",REPORTS!P586)</f>
        <v>0.66779228647475142</v>
      </c>
      <c r="K732" s="1324">
        <f>+IF(ISBLANK(REPORTS!Q586),"",REPORTS!Q586)</f>
        <v>0</v>
      </c>
      <c r="L732" s="1324"/>
      <c r="M732" s="1324">
        <v>122</v>
      </c>
    </row>
    <row r="733" spans="1:13">
      <c r="A733" s="1393">
        <v>48</v>
      </c>
      <c r="B733" s="1324" t="s">
        <v>5265</v>
      </c>
      <c r="C733" s="1324" t="s">
        <v>2067</v>
      </c>
      <c r="D733" s="1364">
        <f>+IF(ISBLANK(REPORTS!J587),"",REPORTS!J587)</f>
        <v>47.341460586045002</v>
      </c>
      <c r="E733" s="1364">
        <f>+IF(ISBLANK(REPORTS!K587),"",REPORTS!K587)</f>
        <v>23.890119389940729</v>
      </c>
      <c r="F733" s="1364">
        <f>+IF(ISBLANK(REPORTS!L587),"",REPORTS!L587)</f>
        <v>2.207726696774559</v>
      </c>
      <c r="G733" s="1364">
        <f>+IF(ISBLANK(REPORTS!M587),"",REPORTS!M587)</f>
        <v>16.446706381654472</v>
      </c>
      <c r="H733" s="1364">
        <f>+IF(ISBLANK(REPORTS!N587),"",REPORTS!N587)</f>
        <v>2.6180512132815696</v>
      </c>
      <c r="I733" s="1364">
        <f>+IF(ISBLANK(REPORTS!O587),"",REPORTS!O587)</f>
        <v>1.9287493904033337</v>
      </c>
      <c r="J733" s="1364">
        <f>+IF(ISBLANK(REPORTS!P587),"",REPORTS!P587)</f>
        <v>0.25010751399033992</v>
      </c>
      <c r="K733" s="1364">
        <f>+IF(ISBLANK(REPORTS!Q587),"",REPORTS!Q587)</f>
        <v>0</v>
      </c>
      <c r="L733" s="1364"/>
      <c r="M733" s="1324">
        <v>204</v>
      </c>
    </row>
    <row r="734" spans="1:13">
      <c r="A734" s="1393">
        <v>49</v>
      </c>
      <c r="B734" s="1324" t="s">
        <v>5268</v>
      </c>
      <c r="C734" s="1324" t="s">
        <v>4067</v>
      </c>
      <c r="D734" s="1364">
        <f>+IF(ISBLANK(REPORTS!J588),"",REPORTS!J588)</f>
        <v>49.656656751753495</v>
      </c>
      <c r="E734" s="1364">
        <f>+IF(ISBLANK(REPORTS!K588),"",REPORTS!K588)</f>
        <v>28.801508444964416</v>
      </c>
      <c r="F734" s="1364">
        <f>+IF(ISBLANK(REPORTS!L588),"",REPORTS!L588)</f>
        <v>2.3758339387077272</v>
      </c>
      <c r="G734" s="1364">
        <f>+IF(ISBLANK(REPORTS!M588),"",REPORTS!M588)</f>
        <v>15.187512780565759</v>
      </c>
      <c r="H734" s="1364">
        <f>+IF(ISBLANK(REPORTS!N588),"",REPORTS!N588)</f>
        <v>1.8959595979354913</v>
      </c>
      <c r="I734" s="1364">
        <f>+IF(ISBLANK(REPORTS!O588),"",REPORTS!O588)</f>
        <v>1.3606357869857311</v>
      </c>
      <c r="J734" s="1364">
        <f>+IF(ISBLANK(REPORTS!P588),"",REPORTS!P588)</f>
        <v>3.5206202594371516E-2</v>
      </c>
      <c r="K734" s="1364">
        <f>+IF(ISBLANK(REPORTS!Q588),"",REPORTS!Q588)</f>
        <v>0</v>
      </c>
      <c r="L734" s="1358"/>
      <c r="M734" s="1320">
        <v>117</v>
      </c>
    </row>
    <row r="735" spans="1:13">
      <c r="A735" s="1393">
        <v>50</v>
      </c>
      <c r="B735" s="1324" t="s">
        <v>5239</v>
      </c>
      <c r="C735" s="1324" t="s">
        <v>4067</v>
      </c>
      <c r="D735" s="1364">
        <f>+IF(ISBLANK(REPORTS!J589),"",REPORTS!J589)</f>
        <v>53.903683129404769</v>
      </c>
      <c r="E735" s="1364">
        <f>+IF(ISBLANK(REPORTS!K589),"",REPORTS!K589)</f>
        <v>31.264839125751546</v>
      </c>
      <c r="F735" s="1364">
        <f>+IF(ISBLANK(REPORTS!L589),"",REPORTS!L589)</f>
        <v>2.5790338733520293</v>
      </c>
      <c r="G735" s="1364">
        <f>+IF(ISBLANK(REPORTS!M589),"",REPORTS!M589)</f>
        <v>16.48646787761226</v>
      </c>
      <c r="H735" s="1364">
        <f>+IF(ISBLANK(REPORTS!N589),"",REPORTS!N589)</f>
        <v>2.0581169188290045</v>
      </c>
      <c r="I735" s="1364">
        <f>+IF(ISBLANK(REPORTS!O589),"",REPORTS!O589)</f>
        <v>1.4770080209561673</v>
      </c>
      <c r="J735" s="1364">
        <f>+IF(ISBLANK(REPORTS!P589),"",REPORTS!P589)</f>
        <v>3.8217312903765246E-2</v>
      </c>
      <c r="K735" s="1364">
        <f>+IF(ISBLANK(REPORTS!Q589),"",REPORTS!Q589)</f>
        <v>0</v>
      </c>
      <c r="L735" s="1358"/>
      <c r="M735" s="1320">
        <v>117</v>
      </c>
    </row>
    <row r="736" spans="1:13">
      <c r="A736" s="1393">
        <v>51</v>
      </c>
      <c r="B736" s="1324" t="s">
        <v>5240</v>
      </c>
      <c r="C736" s="1324" t="s">
        <v>4067</v>
      </c>
      <c r="D736" s="1364">
        <f>+IF(ISBLANK(REPORTS!J590),"",REPORTS!J590)</f>
        <v>175.64496276700058</v>
      </c>
      <c r="E736" s="1364">
        <f>+IF(ISBLANK(REPORTS!K590),"",REPORTS!K590)</f>
        <v>109.32423726684665</v>
      </c>
      <c r="F736" s="1364">
        <f>+IF(ISBLANK(REPORTS!L590),"",REPORTS!L590)</f>
        <v>7.775413946097304</v>
      </c>
      <c r="G736" s="1364">
        <f>+IF(ISBLANK(REPORTS!M590),"",REPORTS!M590)</f>
        <v>52.061251134652466</v>
      </c>
      <c r="H736" s="1364">
        <f>+IF(ISBLANK(REPORTS!N590),"",REPORTS!N590)</f>
        <v>5.4757968711652776</v>
      </c>
      <c r="I736" s="1364">
        <f>+IF(ISBLANK(REPORTS!O590),"",REPORTS!O590)</f>
        <v>3.7387674288310966E-6</v>
      </c>
      <c r="J736" s="1364">
        <f>+IF(ISBLANK(REPORTS!P590),"",REPORTS!P590)</f>
        <v>1.0082598094714901</v>
      </c>
      <c r="K736" s="1364">
        <f>+IF(ISBLANK(REPORTS!Q590),"",REPORTS!Q590)</f>
        <v>0</v>
      </c>
      <c r="L736" s="1358"/>
      <c r="M736" s="1320">
        <v>105</v>
      </c>
    </row>
    <row r="737" spans="1:13">
      <c r="A737" s="1393">
        <v>52</v>
      </c>
      <c r="B737" s="1324" t="s">
        <v>5241</v>
      </c>
      <c r="C737" s="1324" t="s">
        <v>4067</v>
      </c>
      <c r="D737" s="1364">
        <f>+IF(ISBLANK(REPORTS!J591),"",REPORTS!J591)</f>
        <v>77.21396367044791</v>
      </c>
      <c r="E737" s="1364">
        <f>+IF(ISBLANK(REPORTS!K591),"",REPORTS!K591)</f>
        <v>56.33787613024333</v>
      </c>
      <c r="F737" s="1364">
        <f>+IF(ISBLANK(REPORTS!L591),"",REPORTS!L591)</f>
        <v>4.5363171231573869</v>
      </c>
      <c r="G737" s="1364">
        <f>+IF(ISBLANK(REPORTS!M591),"",REPORTS!M591)</f>
        <v>16.060454446957987</v>
      </c>
      <c r="H737" s="1364">
        <f>+IF(ISBLANK(REPORTS!N591),"",REPORTS!N591)</f>
        <v>0</v>
      </c>
      <c r="I737" s="1364">
        <f>+IF(ISBLANK(REPORTS!O591),"",REPORTS!O591)</f>
        <v>0</v>
      </c>
      <c r="J737" s="1364">
        <f>+IF(ISBLANK(REPORTS!P591),"",REPORTS!P591)</f>
        <v>0.27931597008920561</v>
      </c>
      <c r="K737" s="1364">
        <f>+IF(ISBLANK(REPORTS!Q591),"",REPORTS!Q591)</f>
        <v>0</v>
      </c>
      <c r="L737" s="1358"/>
      <c r="M737" s="1320">
        <v>106</v>
      </c>
    </row>
    <row r="738" spans="1:13">
      <c r="A738" s="1393">
        <v>53</v>
      </c>
      <c r="B738" s="1324" t="s">
        <v>5242</v>
      </c>
      <c r="C738" s="1324" t="s">
        <v>4071</v>
      </c>
      <c r="D738" s="1364">
        <f>+IF(ISBLANK(REPORTS!J592),"",REPORTS!J592)</f>
        <v>75.315942329612454</v>
      </c>
      <c r="E738" s="1364">
        <f>+IF(ISBLANK(REPORTS!K592),"",REPORTS!K592)</f>
        <v>27.765728361756171</v>
      </c>
      <c r="F738" s="1364">
        <f>+IF(ISBLANK(REPORTS!L592),"",REPORTS!L592)</f>
        <v>4.2116959126831954</v>
      </c>
      <c r="G738" s="1364">
        <f>+IF(ISBLANK(REPORTS!M592),"",REPORTS!M592)</f>
        <v>2.0304554115253657</v>
      </c>
      <c r="H738" s="1364">
        <f>+IF(ISBLANK(REPORTS!N592),"",REPORTS!N592)</f>
        <v>0.1308935951630352</v>
      </c>
      <c r="I738" s="1364">
        <f>+IF(ISBLANK(REPORTS!O592),"",REPORTS!O592)</f>
        <v>0.14281040699041145</v>
      </c>
      <c r="J738" s="1364">
        <f>+IF(ISBLANK(REPORTS!P592),"",REPORTS!P592)</f>
        <v>3.2776692638615733E-2</v>
      </c>
      <c r="K738" s="1364">
        <f>+IF(ISBLANK(REPORTS!Q592),"",REPORTS!Q592)</f>
        <v>41.001581948855673</v>
      </c>
      <c r="L738" s="1358"/>
      <c r="M738" s="1320">
        <v>907</v>
      </c>
    </row>
    <row r="739" spans="1:13">
      <c r="A739" s="1393">
        <v>54</v>
      </c>
      <c r="B739" s="1324" t="s">
        <v>5244</v>
      </c>
      <c r="C739" s="1324" t="s">
        <v>4071</v>
      </c>
      <c r="D739" s="1364">
        <f>+IF(ISBLANK(REPORTS!J593),"",REPORTS!J593)</f>
        <v>23.009894132233089</v>
      </c>
      <c r="E739" s="1364">
        <f>+IF(ISBLANK(REPORTS!K593),"",REPORTS!K593)</f>
        <v>20.522221180767371</v>
      </c>
      <c r="F739" s="1364">
        <f>+IF(ISBLANK(REPORTS!L593),"",REPORTS!L593)</f>
        <v>1.9894445984702438</v>
      </c>
      <c r="G739" s="1364">
        <f>+IF(ISBLANK(REPORTS!M593),"",REPORTS!M593)</f>
        <v>0.48998325011010341</v>
      </c>
      <c r="H739" s="1364">
        <f>+IF(ISBLANK(REPORTS!N593),"",REPORTS!N593)</f>
        <v>1.6543572132454614E-3</v>
      </c>
      <c r="I739" s="1364">
        <f>+IF(ISBLANK(REPORTS!O593),"",REPORTS!O593)</f>
        <v>2.9351498944677542E-4</v>
      </c>
      <c r="J739" s="1364">
        <f>+IF(ISBLANK(REPORTS!P593),"",REPORTS!P593)</f>
        <v>6.2972306826762723E-3</v>
      </c>
      <c r="K739" s="1364">
        <f>+IF(ISBLANK(REPORTS!Q593),"",REPORTS!Q593)</f>
        <v>0</v>
      </c>
      <c r="L739" s="1358"/>
      <c r="M739" s="1320">
        <v>412</v>
      </c>
    </row>
    <row r="740" spans="1:13">
      <c r="A740" s="1393">
        <v>55</v>
      </c>
      <c r="B740" s="1324" t="s">
        <v>5480</v>
      </c>
      <c r="D740" s="1421">
        <f>+IF(ISBLANK(REPORTS!J594),"",REPORTS!J594)</f>
        <v>1131.5783539698255</v>
      </c>
      <c r="E740" s="1421">
        <f>+IF(ISBLANK(REPORTS!K594),"",REPORTS!K594)</f>
        <v>659.36994861277685</v>
      </c>
      <c r="F740" s="1421">
        <f>+IF(ISBLANK(REPORTS!L594),"",REPORTS!L594)</f>
        <v>55.734997385369084</v>
      </c>
      <c r="G740" s="1421">
        <f>+IF(ISBLANK(REPORTS!M594),"",REPORTS!M594)</f>
        <v>313.30542198712169</v>
      </c>
      <c r="H740" s="1421">
        <f>+IF(ISBLANK(REPORTS!N594),"",REPORTS!N594)</f>
        <v>37.044332294353445</v>
      </c>
      <c r="I740" s="1421">
        <f>+IF(ISBLANK(REPORTS!O594),"",REPORTS!O594)</f>
        <v>22.804098722503678</v>
      </c>
      <c r="J740" s="1421">
        <f>+IF(ISBLANK(REPORTS!P594),"",REPORTS!P594)</f>
        <v>2.3179730188452159</v>
      </c>
      <c r="K740" s="1421">
        <f>+IF(ISBLANK(REPORTS!Q594),"",REPORTS!Q594)</f>
        <v>41.001581948855673</v>
      </c>
      <c r="L740" s="1358"/>
      <c r="M740" s="1321"/>
    </row>
    <row r="741" spans="1:13">
      <c r="A741" s="1393">
        <v>56</v>
      </c>
      <c r="D741" s="1324" t="str">
        <f>+IF(ISBLANK(REPORTS!J595),"",REPORTS!J595)</f>
        <v/>
      </c>
      <c r="E741" s="1324" t="str">
        <f>+IF(ISBLANK(REPORTS!K595),"",REPORTS!K595)</f>
        <v/>
      </c>
      <c r="F741" s="1324" t="str">
        <f>+IF(ISBLANK(REPORTS!L595),"",REPORTS!L595)</f>
        <v/>
      </c>
      <c r="G741" s="1324" t="str">
        <f>+IF(ISBLANK(REPORTS!M595),"",REPORTS!M595)</f>
        <v/>
      </c>
      <c r="H741" s="1324" t="str">
        <f>+IF(ISBLANK(REPORTS!N595),"",REPORTS!N595)</f>
        <v/>
      </c>
      <c r="I741" s="1324" t="str">
        <f>+IF(ISBLANK(REPORTS!O595),"",REPORTS!O595)</f>
        <v/>
      </c>
      <c r="J741" s="1324" t="str">
        <f>+IF(ISBLANK(REPORTS!P595),"",REPORTS!P595)</f>
        <v/>
      </c>
      <c r="K741" s="1324" t="str">
        <f>+IF(ISBLANK(REPORTS!Q595),"",REPORTS!Q595)</f>
        <v/>
      </c>
      <c r="M741" s="1321"/>
    </row>
    <row r="742" spans="1:13">
      <c r="A742" s="1393">
        <v>57</v>
      </c>
      <c r="D742" s="1324" t="str">
        <f>+IF(ISBLANK(REPORTS!J596),"",REPORTS!J596)</f>
        <v/>
      </c>
      <c r="E742" s="1324" t="str">
        <f>+IF(ISBLANK(REPORTS!K596),"",REPORTS!K596)</f>
        <v/>
      </c>
      <c r="F742" s="1324" t="str">
        <f>+IF(ISBLANK(REPORTS!L596),"",REPORTS!L596)</f>
        <v/>
      </c>
      <c r="G742" s="1324" t="str">
        <f>+IF(ISBLANK(REPORTS!M596),"",REPORTS!M596)</f>
        <v/>
      </c>
      <c r="H742" s="1324" t="str">
        <f>+IF(ISBLANK(REPORTS!N596),"",REPORTS!N596)</f>
        <v/>
      </c>
      <c r="I742" s="1324" t="str">
        <f>+IF(ISBLANK(REPORTS!O596),"",REPORTS!O596)</f>
        <v/>
      </c>
      <c r="J742" s="1324" t="str">
        <f>+IF(ISBLANK(REPORTS!P596),"",REPORTS!P596)</f>
        <v/>
      </c>
      <c r="K742" s="1324" t="str">
        <f>+IF(ISBLANK(REPORTS!Q596),"",REPORTS!Q596)</f>
        <v/>
      </c>
      <c r="M742" s="1321"/>
    </row>
    <row r="743" spans="1:13">
      <c r="A743" s="1393">
        <v>58</v>
      </c>
      <c r="B743" s="1362" t="s">
        <v>5482</v>
      </c>
      <c r="D743" s="1324" t="str">
        <f>+IF(ISBLANK(REPORTS!J597),"",REPORTS!J597)</f>
        <v/>
      </c>
      <c r="E743" s="1324" t="str">
        <f>+IF(ISBLANK(REPORTS!K597),"",REPORTS!K597)</f>
        <v/>
      </c>
      <c r="F743" s="1324" t="str">
        <f>+IF(ISBLANK(REPORTS!L597),"",REPORTS!L597)</f>
        <v/>
      </c>
      <c r="G743" s="1324" t="str">
        <f>+IF(ISBLANK(REPORTS!M597),"",REPORTS!M597)</f>
        <v/>
      </c>
      <c r="H743" s="1324" t="str">
        <f>+IF(ISBLANK(REPORTS!N597),"",REPORTS!N597)</f>
        <v/>
      </c>
      <c r="I743" s="1324" t="str">
        <f>+IF(ISBLANK(REPORTS!O597),"",REPORTS!O597)</f>
        <v/>
      </c>
      <c r="J743" s="1324" t="str">
        <f>+IF(ISBLANK(REPORTS!P597),"",REPORTS!P597)</f>
        <v/>
      </c>
      <c r="K743" s="1324" t="str">
        <f>+IF(ISBLANK(REPORTS!Q597),"",REPORTS!Q597)</f>
        <v/>
      </c>
      <c r="M743" s="1321"/>
    </row>
    <row r="744" spans="1:13">
      <c r="A744" s="1393">
        <v>59</v>
      </c>
      <c r="B744" s="1324" t="s">
        <v>5265</v>
      </c>
      <c r="C744" s="1324" t="s">
        <v>4067</v>
      </c>
      <c r="D744" s="1324">
        <f>+IF(ISBLANK(REPORTS!J598),"",REPORTS!J598)</f>
        <v>51196.763326436805</v>
      </c>
      <c r="E744" s="1324">
        <f>+IF(ISBLANK(REPORTS!K598),"",REPORTS!K598)</f>
        <v>29397.932388049616</v>
      </c>
      <c r="F744" s="1324">
        <f>+IF(ISBLANK(REPORTS!L598),"",REPORTS!L598)</f>
        <v>2444.7510395591153</v>
      </c>
      <c r="G744" s="1324">
        <f>+IF(ISBLANK(REPORTS!M598),"",REPORTS!M598)</f>
        <v>15822.20947415499</v>
      </c>
      <c r="H744" s="1324">
        <f>+IF(ISBLANK(REPORTS!N598),"",REPORTS!N598)</f>
        <v>2022.185454252972</v>
      </c>
      <c r="I744" s="1324">
        <f>+IF(ISBLANK(REPORTS!O598),"",REPORTS!O598)</f>
        <v>1455.3732158393284</v>
      </c>
      <c r="J744" s="1324">
        <f>+IF(ISBLANK(REPORTS!P598),"",REPORTS!P598)</f>
        <v>54.311754580786712</v>
      </c>
      <c r="K744" s="1324">
        <f>+IF(ISBLANK(REPORTS!Q598),"",REPORTS!Q598)</f>
        <v>0</v>
      </c>
      <c r="M744" s="1321"/>
    </row>
    <row r="745" spans="1:13">
      <c r="A745" s="1393">
        <v>60</v>
      </c>
      <c r="B745" s="1324" t="s">
        <v>5265</v>
      </c>
      <c r="C745" s="1324" t="s">
        <v>2067</v>
      </c>
      <c r="D745" s="1364">
        <f>+IF(ISBLANK(REPORTS!J599),"",REPORTS!J599)</f>
        <v>5739.4427931324281</v>
      </c>
      <c r="E745" s="1364">
        <f>+IF(ISBLANK(REPORTS!K599),"",REPORTS!K599)</f>
        <v>2896.3190375264148</v>
      </c>
      <c r="F745" s="1364">
        <f>+IF(ISBLANK(REPORTS!L599),"",REPORTS!L599)</f>
        <v>267.65378427601598</v>
      </c>
      <c r="G745" s="1364">
        <f>+IF(ISBLANK(REPORTS!M599),"",REPORTS!M599)</f>
        <v>1993.91673269956</v>
      </c>
      <c r="H745" s="1364">
        <f>+IF(ISBLANK(REPORTS!N599),"",REPORTS!N599)</f>
        <v>317.39948413314949</v>
      </c>
      <c r="I745" s="1364">
        <f>+IF(ISBLANK(REPORTS!O599),"",REPORTS!O599)</f>
        <v>233.83196571193457</v>
      </c>
      <c r="J745" s="1364">
        <f>+IF(ISBLANK(REPORTS!P599),"",REPORTS!P599)</f>
        <v>30.321788785352023</v>
      </c>
      <c r="K745" s="1364">
        <f>+IF(ISBLANK(REPORTS!Q599),"",REPORTS!Q599)</f>
        <v>0</v>
      </c>
      <c r="L745" s="1358"/>
      <c r="M745" s="1321"/>
    </row>
    <row r="746" spans="1:13">
      <c r="A746" s="1393">
        <v>61</v>
      </c>
      <c r="B746" s="1324" t="s">
        <v>5268</v>
      </c>
      <c r="C746" s="1324" t="s">
        <v>4067</v>
      </c>
      <c r="D746" s="1364">
        <f>+IF(ISBLANK(REPORTS!J600),"",REPORTS!J600)</f>
        <v>3579.9638856632278</v>
      </c>
      <c r="E746" s="1364">
        <f>+IF(ISBLANK(REPORTS!K600),"",REPORTS!K600)</f>
        <v>2076.4257368566418</v>
      </c>
      <c r="F746" s="1364">
        <f>+IF(ISBLANK(REPORTS!L600),"",REPORTS!L600)</f>
        <v>171.28417930807112</v>
      </c>
      <c r="G746" s="1364">
        <f>+IF(ISBLANK(REPORTS!M600),"",REPORTS!M600)</f>
        <v>1094.9337072628068</v>
      </c>
      <c r="H746" s="1364">
        <f>+IF(ISBLANK(REPORTS!N600),"",REPORTS!N600)</f>
        <v>136.6879555185912</v>
      </c>
      <c r="I746" s="1364">
        <f>+IF(ISBLANK(REPORTS!O600),"",REPORTS!O600)</f>
        <v>98.094138783877625</v>
      </c>
      <c r="J746" s="1364">
        <f>+IF(ISBLANK(REPORTS!P600),"",REPORTS!P600)</f>
        <v>2.538167933239734</v>
      </c>
      <c r="K746" s="1364">
        <f>+IF(ISBLANK(REPORTS!Q600),"",REPORTS!Q600)</f>
        <v>0</v>
      </c>
      <c r="L746" s="1358"/>
      <c r="M746" s="1321"/>
    </row>
    <row r="747" spans="1:13">
      <c r="A747" s="1393">
        <v>62</v>
      </c>
      <c r="B747" s="1324" t="s">
        <v>5239</v>
      </c>
      <c r="C747" s="1324" t="s">
        <v>4067</v>
      </c>
      <c r="D747" s="1364">
        <f>+IF(ISBLANK(REPORTS!J601),"",REPORTS!J601)</f>
        <v>4117.6248100187522</v>
      </c>
      <c r="E747" s="1364">
        <f>+IF(ISBLANK(REPORTS!K601),"",REPORTS!K601)</f>
        <v>2388.2760841478166</v>
      </c>
      <c r="F747" s="1364">
        <f>+IF(ISBLANK(REPORTS!L601),"",REPORTS!L601)</f>
        <v>197.00868746388275</v>
      </c>
      <c r="G747" s="1364">
        <f>+IF(ISBLANK(REPORTS!M601),"",REPORTS!M601)</f>
        <v>1259.3775642281062</v>
      </c>
      <c r="H747" s="1364">
        <f>+IF(ISBLANK(REPORTS!N601),"",REPORTS!N601)</f>
        <v>157.21659068351752</v>
      </c>
      <c r="I747" s="1364">
        <f>+IF(ISBLANK(REPORTS!O601),"",REPORTS!O601)</f>
        <v>112.82651794100083</v>
      </c>
      <c r="J747" s="1364">
        <f>+IF(ISBLANK(REPORTS!P601),"",REPORTS!P601)</f>
        <v>2.9193655544281407</v>
      </c>
      <c r="K747" s="1364">
        <f>+IF(ISBLANK(REPORTS!Q601),"",REPORTS!Q601)</f>
        <v>0</v>
      </c>
      <c r="L747" s="1358"/>
      <c r="M747" s="1321"/>
    </row>
    <row r="748" spans="1:13">
      <c r="A748" s="1393">
        <v>63</v>
      </c>
      <c r="B748" s="1324" t="s">
        <v>5240</v>
      </c>
      <c r="C748" s="1324" t="s">
        <v>4067</v>
      </c>
      <c r="D748" s="1364">
        <f>+IF(ISBLANK(REPORTS!J602),"",REPORTS!J602)</f>
        <v>16853.009913513808</v>
      </c>
      <c r="E748" s="1364">
        <f>+IF(ISBLANK(REPORTS!K602),"",REPORTS!K602)</f>
        <v>10489.583221863124</v>
      </c>
      <c r="F748" s="1364">
        <f>+IF(ISBLANK(REPORTS!L602),"",REPORTS!L602)</f>
        <v>746.04546723653868</v>
      </c>
      <c r="G748" s="1364">
        <f>+IF(ISBLANK(REPORTS!M602),"",REPORTS!M602)</f>
        <v>4995.2402144667149</v>
      </c>
      <c r="H748" s="1364">
        <f>+IF(ISBLANK(REPORTS!N602),"",REPORTS!N602)</f>
        <v>525.39883581263837</v>
      </c>
      <c r="I748" s="1364">
        <f>+IF(ISBLANK(REPORTS!O602),"",REPORTS!O602)</f>
        <v>3.5873208972122574E-4</v>
      </c>
      <c r="J748" s="1364">
        <f>+IF(ISBLANK(REPORTS!P602),"",REPORTS!P602)</f>
        <v>96.741815402707303</v>
      </c>
      <c r="K748" s="1364">
        <f>+IF(ISBLANK(REPORTS!Q602),"",REPORTS!Q602)</f>
        <v>0</v>
      </c>
      <c r="L748" s="1358"/>
      <c r="M748" s="1321"/>
    </row>
    <row r="749" spans="1:13">
      <c r="A749" s="1393">
        <v>64</v>
      </c>
      <c r="B749" s="1324" t="s">
        <v>5241</v>
      </c>
      <c r="C749" s="1324" t="s">
        <v>4067</v>
      </c>
      <c r="D749" s="1364">
        <f>+IF(ISBLANK(REPORTS!J603),"",REPORTS!J603)</f>
        <v>7339.7985679760041</v>
      </c>
      <c r="E749" s="1364">
        <f>+IF(ISBLANK(REPORTS!K603),"",REPORTS!K603)</f>
        <v>5355.361166387469</v>
      </c>
      <c r="F749" s="1364">
        <f>+IF(ISBLANK(REPORTS!L603),"",REPORTS!L603)</f>
        <v>431.2128576450591</v>
      </c>
      <c r="G749" s="1364">
        <f>+IF(ISBLANK(REPORTS!M603),"",REPORTS!M603)</f>
        <v>1526.6733495763085</v>
      </c>
      <c r="H749" s="1364">
        <f>+IF(ISBLANK(REPORTS!N603),"",REPORTS!N603)</f>
        <v>0</v>
      </c>
      <c r="I749" s="1364">
        <f>+IF(ISBLANK(REPORTS!O603),"",REPORTS!O603)</f>
        <v>0</v>
      </c>
      <c r="J749" s="1364">
        <f>+IF(ISBLANK(REPORTS!P603),"",REPORTS!P603)</f>
        <v>26.55119436716889</v>
      </c>
      <c r="K749" s="1364">
        <f>+IF(ISBLANK(REPORTS!Q603),"",REPORTS!Q603)</f>
        <v>0</v>
      </c>
      <c r="L749" s="1358"/>
      <c r="M749" s="1321"/>
    </row>
    <row r="750" spans="1:13">
      <c r="A750" s="1393">
        <v>65</v>
      </c>
      <c r="B750" s="1324" t="s">
        <v>5242</v>
      </c>
      <c r="C750" s="1324" t="s">
        <v>4071</v>
      </c>
      <c r="D750" s="1364">
        <f>+IF(ISBLANK(REPORTS!J604),"",REPORTS!J604)</f>
        <v>8437.1296707808851</v>
      </c>
      <c r="E750" s="1364">
        <f>+IF(ISBLANK(REPORTS!K604),"",REPORTS!K604)</f>
        <v>3110.4045617140023</v>
      </c>
      <c r="F750" s="1364">
        <f>+IF(ISBLANK(REPORTS!L604),"",REPORTS!L604)</f>
        <v>471.80747462061015</v>
      </c>
      <c r="G750" s="1364">
        <f>+IF(ISBLANK(REPORTS!M604),"",REPORTS!M604)</f>
        <v>227.45802638709978</v>
      </c>
      <c r="H750" s="1364">
        <f>+IF(ISBLANK(REPORTS!N604),"",REPORTS!N604)</f>
        <v>14.663113828305843</v>
      </c>
      <c r="I750" s="1364">
        <f>+IF(ISBLANK(REPORTS!O604),"",REPORTS!O604)</f>
        <v>15.99807271668899</v>
      </c>
      <c r="J750" s="1364">
        <f>+IF(ISBLANK(REPORTS!P604),"",REPORTS!P604)</f>
        <v>3.6717486021893762</v>
      </c>
      <c r="K750" s="1364">
        <f>+IF(ISBLANK(REPORTS!Q604),"",REPORTS!Q604)</f>
        <v>4593.1266729119889</v>
      </c>
      <c r="L750" s="1358"/>
      <c r="M750" s="1321"/>
    </row>
    <row r="751" spans="1:13">
      <c r="A751" s="1393">
        <v>66</v>
      </c>
      <c r="B751" s="1324" t="s">
        <v>5244</v>
      </c>
      <c r="C751" s="1324" t="s">
        <v>4071</v>
      </c>
      <c r="D751" s="1366">
        <f>+IF(ISBLANK(REPORTS!J605),"",REPORTS!J605)</f>
        <v>4328.749069178054</v>
      </c>
      <c r="E751" s="1366">
        <f>+IF(ISBLANK(REPORTS!K605),"",REPORTS!K605)</f>
        <v>3860.7542183025025</v>
      </c>
      <c r="F751" s="1366">
        <f>+IF(ISBLANK(REPORTS!L605),"",REPORTS!L605)</f>
        <v>374.26536620808031</v>
      </c>
      <c r="G751" s="1366">
        <f>+IF(ISBLANK(REPORTS!M605),"",REPORTS!M605)</f>
        <v>92.178370123648421</v>
      </c>
      <c r="H751" s="1366">
        <f>+IF(ISBLANK(REPORTS!N605),"",REPORTS!N605)</f>
        <v>0.31122686639798519</v>
      </c>
      <c r="I751" s="1366">
        <f>+IF(ISBLANK(REPORTS!O605),"",REPORTS!O605)</f>
        <v>5.5217669844803821E-2</v>
      </c>
      <c r="J751" s="1366">
        <f>+IF(ISBLANK(REPORTS!P605),"",REPORTS!P605)</f>
        <v>1.1846700075794274</v>
      </c>
      <c r="K751" s="1366">
        <f>+IF(ISBLANK(REPORTS!Q605),"",REPORTS!Q605)</f>
        <v>0</v>
      </c>
      <c r="L751" s="1358"/>
      <c r="M751" s="1321"/>
    </row>
    <row r="752" spans="1:13">
      <c r="A752" s="1393">
        <v>67</v>
      </c>
      <c r="D752" s="1364" t="str">
        <f>+IF(ISBLANK(REPORTS!J606),"",REPORTS!J606)</f>
        <v/>
      </c>
      <c r="E752" s="1364" t="str">
        <f>+IF(ISBLANK(REPORTS!K606),"",REPORTS!K606)</f>
        <v/>
      </c>
      <c r="F752" s="1364" t="str">
        <f>+IF(ISBLANK(REPORTS!L606),"",REPORTS!L606)</f>
        <v/>
      </c>
      <c r="G752" s="1364" t="str">
        <f>+IF(ISBLANK(REPORTS!M606),"",REPORTS!M606)</f>
        <v/>
      </c>
      <c r="H752" s="1364" t="str">
        <f>+IF(ISBLANK(REPORTS!N606),"",REPORTS!N606)</f>
        <v/>
      </c>
      <c r="I752" s="1364" t="str">
        <f>+IF(ISBLANK(REPORTS!O606),"",REPORTS!O606)</f>
        <v/>
      </c>
      <c r="J752" s="1364" t="str">
        <f>+IF(ISBLANK(REPORTS!P606),"",REPORTS!P606)</f>
        <v/>
      </c>
      <c r="K752" s="1364" t="str">
        <f>+IF(ISBLANK(REPORTS!Q606),"",REPORTS!Q606)</f>
        <v/>
      </c>
      <c r="L752" s="1358"/>
      <c r="M752" s="1321"/>
    </row>
    <row r="753" spans="1:12" ht="15" thickBot="1">
      <c r="A753" s="1393">
        <v>68</v>
      </c>
      <c r="B753" s="1324" t="s">
        <v>5491</v>
      </c>
      <c r="D753" s="1380">
        <f>+IF(ISBLANK(REPORTS!J607),"",REPORTS!J607)</f>
        <v>101592.48203669996</v>
      </c>
      <c r="E753" s="1380">
        <f>+IF(ISBLANK(REPORTS!K607),"",REPORTS!K607)</f>
        <v>59575.056414847582</v>
      </c>
      <c r="F753" s="1380">
        <f>+IF(ISBLANK(REPORTS!L607),"",REPORTS!L607)</f>
        <v>5104.0288563173726</v>
      </c>
      <c r="G753" s="1380">
        <f>+IF(ISBLANK(REPORTS!M607),"",REPORTS!M607)</f>
        <v>27011.987438899236</v>
      </c>
      <c r="H753" s="1380">
        <f>+IF(ISBLANK(REPORTS!N607),"",REPORTS!N607)</f>
        <v>3173.8626610955725</v>
      </c>
      <c r="I753" s="1380">
        <f>+IF(ISBLANK(REPORTS!O607),"",REPORTS!O607)</f>
        <v>1916.1794873947651</v>
      </c>
      <c r="J753" s="1380">
        <f>+IF(ISBLANK(REPORTS!P607),"",REPORTS!P607)</f>
        <v>218.24050523345159</v>
      </c>
      <c r="K753" s="1380">
        <f>+IF(ISBLANK(REPORTS!Q607),"",REPORTS!Q607)</f>
        <v>4593.1266729119889</v>
      </c>
      <c r="L753" s="1358"/>
    </row>
    <row r="754" spans="1:12" ht="15" thickTop="1"/>
    <row r="764" spans="1:12">
      <c r="J764" s="1320"/>
      <c r="K764" s="1320"/>
    </row>
    <row r="765" spans="1:12">
      <c r="J765" s="1320"/>
      <c r="K765" s="1320"/>
    </row>
    <row r="766" spans="1:12">
      <c r="J766" s="1320"/>
      <c r="K766" s="1320"/>
    </row>
    <row r="767" spans="1:12">
      <c r="J767" s="1320"/>
      <c r="K767" s="1320"/>
    </row>
    <row r="768" spans="1:12">
      <c r="J768" s="1320"/>
      <c r="K768" s="1320"/>
    </row>
    <row r="769" spans="1:13">
      <c r="J769" s="1320"/>
      <c r="K769" s="1320"/>
    </row>
    <row r="770" spans="1:13">
      <c r="J770" s="1320"/>
      <c r="K770" s="1320"/>
    </row>
    <row r="771" spans="1:13">
      <c r="J771" s="1320"/>
      <c r="K771" s="1320"/>
    </row>
    <row r="772" spans="1:13">
      <c r="J772" s="1320"/>
      <c r="K772" s="1320"/>
    </row>
    <row r="773" spans="1:13">
      <c r="J773" s="1320"/>
      <c r="K773" s="1320"/>
    </row>
    <row r="774" spans="1:13">
      <c r="J774" s="1320"/>
      <c r="K774" s="1320"/>
    </row>
    <row r="775" spans="1:13">
      <c r="J775" s="1320"/>
      <c r="K775" s="1320"/>
    </row>
    <row r="776" spans="1:13">
      <c r="J776" s="1320"/>
      <c r="K776" s="1320"/>
    </row>
    <row r="777" spans="1:13">
      <c r="J777" s="1320"/>
      <c r="K777" s="1320"/>
    </row>
    <row r="778" spans="1:13">
      <c r="J778" s="1320"/>
      <c r="K778" s="1320"/>
    </row>
    <row r="779" spans="1:13">
      <c r="J779" s="1320"/>
      <c r="K779" s="1320"/>
    </row>
    <row r="780" spans="1:13">
      <c r="A780" s="1732" t="str">
        <f>+$A$1</f>
        <v>RATES WITH REVENUE DEFICIENCY ADDITION</v>
      </c>
      <c r="F780" s="1329" t="s">
        <v>2173</v>
      </c>
      <c r="G780" s="1329"/>
      <c r="H780" s="1329"/>
      <c r="I780" s="1329"/>
      <c r="M780" s="1334" t="s">
        <v>5559</v>
      </c>
    </row>
    <row r="781" spans="1:13">
      <c r="A781" s="1732" t="str">
        <f>+$A$2</f>
        <v>PROD. CAP. ALLOC. METHOD: 12 CP &amp; 1/13th AD</v>
      </c>
      <c r="B781" s="1364"/>
      <c r="F781" s="1336" t="s">
        <v>5141</v>
      </c>
      <c r="G781" s="1336"/>
      <c r="H781" s="1336"/>
      <c r="I781" s="1336"/>
      <c r="L781" s="1331"/>
      <c r="M781" s="1409"/>
    </row>
    <row r="782" spans="1:13">
      <c r="A782" s="1732" t="str">
        <f>+$A$3</f>
        <v>PROJECTED CALENDAR YEAR 2025; FULLY ADJUSTED DATA</v>
      </c>
      <c r="F782" s="1336" t="s">
        <v>2181</v>
      </c>
    </row>
    <row r="783" spans="1:13">
      <c r="A783" s="1732" t="str">
        <f>+$A$4</f>
        <v>MINIMUM DISTRIBUTION SYSTEM (MDS) NOT EMPLOYED</v>
      </c>
      <c r="F783" s="1336"/>
      <c r="G783" s="1336"/>
      <c r="H783" s="1336"/>
      <c r="I783" s="1336"/>
    </row>
    <row r="784" spans="1:13">
      <c r="A784" s="1732" t="str">
        <f>+$A$5</f>
        <v>Tampa Electric 2025 OB Budget</v>
      </c>
      <c r="F784" s="1336" t="s">
        <v>5494</v>
      </c>
      <c r="G784" s="1336"/>
      <c r="H784" s="1336"/>
      <c r="I784" s="1336"/>
    </row>
    <row r="785" spans="1:13">
      <c r="F785" s="1336"/>
      <c r="G785" s="1336"/>
      <c r="H785" s="1336"/>
      <c r="I785" s="1336"/>
    </row>
    <row r="786" spans="1:13">
      <c r="A786" s="1416" t="s">
        <v>5495</v>
      </c>
      <c r="F786" s="1336"/>
      <c r="G786" s="1336"/>
      <c r="H786" s="1336"/>
      <c r="I786" s="1336"/>
    </row>
    <row r="787" spans="1:13">
      <c r="A787" s="1416"/>
    </row>
    <row r="788" spans="1:13">
      <c r="A788" s="1735"/>
      <c r="B788" s="1416"/>
      <c r="C788" s="1416"/>
      <c r="D788" s="1416"/>
      <c r="E788" s="1336"/>
      <c r="F788" s="1416"/>
      <c r="G788" s="1416"/>
      <c r="H788" s="1416"/>
      <c r="I788" s="1416"/>
      <c r="J788" s="1336"/>
      <c r="K788" s="1336"/>
      <c r="L788" s="1333"/>
    </row>
    <row r="789" spans="1:13" ht="28.2">
      <c r="A789" s="1737" t="s">
        <v>4297</v>
      </c>
      <c r="B789" s="1741"/>
      <c r="C789" s="1741"/>
      <c r="D789" s="1352" t="s">
        <v>4957</v>
      </c>
      <c r="E789" s="1353" t="s">
        <v>1949</v>
      </c>
      <c r="F789" s="1353" t="s">
        <v>1950</v>
      </c>
      <c r="G789" s="1353" t="s">
        <v>1934</v>
      </c>
      <c r="H789" s="1353" t="s">
        <v>1971</v>
      </c>
      <c r="I789" s="1353" t="s">
        <v>1972</v>
      </c>
      <c r="J789" s="1352" t="s">
        <v>5146</v>
      </c>
      <c r="K789" s="1352" t="s">
        <v>5147</v>
      </c>
      <c r="L789" s="1355"/>
      <c r="M789" s="1348" t="s">
        <v>5299</v>
      </c>
    </row>
    <row r="791" spans="1:13">
      <c r="A791" s="1393">
        <v>1</v>
      </c>
      <c r="B791" s="1362" t="s">
        <v>5153</v>
      </c>
    </row>
    <row r="792" spans="1:13">
      <c r="A792" s="1393">
        <v>2</v>
      </c>
      <c r="B792" s="1324" t="s">
        <v>5496</v>
      </c>
      <c r="C792" s="1324" t="s">
        <v>4777</v>
      </c>
      <c r="D792" s="1324">
        <f>+IF(ISBLANK(REPORTS!J625),"",REPORTS!J625)</f>
        <v>1774352.2642492782</v>
      </c>
      <c r="E792" s="1324">
        <f>+IF(ISBLANK(REPORTS!K625),"",REPORTS!K625)</f>
        <v>1031095.7438643834</v>
      </c>
      <c r="F792" s="1324">
        <f>+IF(ISBLANK(REPORTS!L625),"",REPORTS!L625)</f>
        <v>95215.926359999998</v>
      </c>
      <c r="G792" s="1324">
        <f>+IF(ISBLANK(REPORTS!M625),"",REPORTS!M625)</f>
        <v>472409.06597747206</v>
      </c>
      <c r="H792" s="1324">
        <f>+IF(ISBLANK(REPORTS!N625),"",REPORTS!N625)</f>
        <v>56248.638876056888</v>
      </c>
      <c r="I792" s="1324">
        <f>+IF(ISBLANK(REPORTS!O625),"",REPORTS!O625)</f>
        <v>33101.5829713657</v>
      </c>
      <c r="J792" s="1324">
        <f>+IF(ISBLANK(REPORTS!P625),"",REPORTS!P625)</f>
        <v>3573.4600599999999</v>
      </c>
      <c r="K792" s="1324">
        <f>+IF(ISBLANK(REPORTS!Q625),"",REPORTS!Q625)</f>
        <v>82707.846140000009</v>
      </c>
    </row>
    <row r="793" spans="1:13">
      <c r="A793" s="1393">
        <v>3</v>
      </c>
      <c r="B793" s="1324" t="s">
        <v>5265</v>
      </c>
      <c r="C793" s="1324" t="s">
        <v>4067</v>
      </c>
      <c r="D793" s="1364">
        <f>+IF(ISBLANK(REPORTS!J626),"",REPORTS!J626)</f>
        <v>1850.9373105288485</v>
      </c>
      <c r="E793" s="1364">
        <f>+IF(ISBLANK(REPORTS!K626),"",REPORTS!K626)</f>
        <v>1062.835350791551</v>
      </c>
      <c r="F793" s="1364">
        <f>+IF(ISBLANK(REPORTS!L626),"",REPORTS!L626)</f>
        <v>88.386074041862514</v>
      </c>
      <c r="G793" s="1364">
        <f>+IF(ISBLANK(REPORTS!M626),"",REPORTS!M626)</f>
        <v>572.02674442495356</v>
      </c>
      <c r="H793" s="1364">
        <f>+IF(ISBLANK(REPORTS!N626),"",REPORTS!N626)</f>
        <v>73.108889369043141</v>
      </c>
      <c r="I793" s="1364">
        <f>+IF(ISBLANK(REPORTS!O626),"",REPORTS!O626)</f>
        <v>52.616697051048732</v>
      </c>
      <c r="J793" s="1364">
        <f>+IF(ISBLANK(REPORTS!P626),"",REPORTS!P626)</f>
        <v>1.9635548503894207</v>
      </c>
      <c r="K793" s="1364">
        <f>+IF(ISBLANK(REPORTS!Q626),"",REPORTS!Q626)</f>
        <v>0</v>
      </c>
      <c r="L793" s="1358"/>
    </row>
    <row r="794" spans="1:13">
      <c r="A794" s="1393">
        <v>4</v>
      </c>
      <c r="B794" s="1324" t="s">
        <v>5265</v>
      </c>
      <c r="C794" s="1324" t="s">
        <v>2067</v>
      </c>
      <c r="D794" s="1364">
        <f>+IF(ISBLANK(REPORTS!J627),"",REPORTS!J627)</f>
        <v>683.45100159561605</v>
      </c>
      <c r="E794" s="1364">
        <f>+IF(ISBLANK(REPORTS!K627),"",REPORTS!K627)</f>
        <v>232.12329599623095</v>
      </c>
      <c r="F794" s="1364">
        <f>+IF(ISBLANK(REPORTS!L627),"",REPORTS!L627)</f>
        <v>33.039675971418788</v>
      </c>
      <c r="G794" s="1364">
        <f>+IF(ISBLANK(REPORTS!M627),"",REPORTS!M627)</f>
        <v>321.66119075112124</v>
      </c>
      <c r="H794" s="1364">
        <f>+IF(ISBLANK(REPORTS!N627),"",REPORTS!N627)</f>
        <v>60.124362646580593</v>
      </c>
      <c r="I794" s="1364">
        <f>+IF(ISBLANK(REPORTS!O627),"",REPORTS!O627)</f>
        <v>32.559563027653994</v>
      </c>
      <c r="J794" s="1364">
        <f>+IF(ISBLANK(REPORTS!P627),"",REPORTS!P627)</f>
        <v>3.9429132026103617</v>
      </c>
      <c r="K794" s="1364">
        <f>+IF(ISBLANK(REPORTS!Q627),"",REPORTS!Q627)</f>
        <v>0</v>
      </c>
      <c r="L794" s="1358"/>
    </row>
    <row r="795" spans="1:13">
      <c r="A795" s="1393">
        <v>5</v>
      </c>
      <c r="B795" s="1324" t="s">
        <v>5268</v>
      </c>
      <c r="C795" s="1324" t="s">
        <v>4067</v>
      </c>
      <c r="D795" s="1364">
        <f>+IF(ISBLANK(REPORTS!J628),"",REPORTS!J628)</f>
        <v>931.87196742411015</v>
      </c>
      <c r="E795" s="1364">
        <f>+IF(ISBLANK(REPORTS!K628),"",REPORTS!K628)</f>
        <v>540.49789283172697</v>
      </c>
      <c r="F795" s="1364">
        <f>+IF(ISBLANK(REPORTS!L628),"",REPORTS!L628)</f>
        <v>44.585624396841048</v>
      </c>
      <c r="G795" s="1364">
        <f>+IF(ISBLANK(REPORTS!M628),"",REPORTS!M628)</f>
        <v>285.01349750262563</v>
      </c>
      <c r="H795" s="1364">
        <f>+IF(ISBLANK(REPORTS!N628),"",REPORTS!N628)</f>
        <v>35.580156141349192</v>
      </c>
      <c r="I795" s="1364">
        <f>+IF(ISBLANK(REPORTS!O628),"",REPORTS!O628)</f>
        <v>25.53410621469742</v>
      </c>
      <c r="J795" s="1364">
        <f>+IF(ISBLANK(REPORTS!P628),"",REPORTS!P628)</f>
        <v>0.66069033686989576</v>
      </c>
      <c r="K795" s="1364">
        <f>+IF(ISBLANK(REPORTS!Q628),"",REPORTS!Q628)</f>
        <v>0</v>
      </c>
      <c r="L795" s="1364"/>
      <c r="M795" s="1324"/>
    </row>
    <row r="796" spans="1:13">
      <c r="A796" s="1393">
        <v>6</v>
      </c>
      <c r="B796" s="1324" t="s">
        <v>5239</v>
      </c>
      <c r="C796" s="1324" t="s">
        <v>4067</v>
      </c>
      <c r="D796" s="1364">
        <f>+IF(ISBLANK(REPORTS!J629),"",REPORTS!J629)</f>
        <v>255.6580146588625</v>
      </c>
      <c r="E796" s="1364">
        <f>+IF(ISBLANK(REPORTS!K629),"",REPORTS!K629)</f>
        <v>148.28498231428051</v>
      </c>
      <c r="F796" s="1364">
        <f>+IF(ISBLANK(REPORTS!L629),"",REPORTS!L629)</f>
        <v>12.232015356283817</v>
      </c>
      <c r="G796" s="1364">
        <f>+IF(ISBLANK(REPORTS!M629),"",REPORTS!M629)</f>
        <v>78.193128959460836</v>
      </c>
      <c r="H796" s="1364">
        <f>+IF(ISBLANK(REPORTS!N629),"",REPORTS!N629)</f>
        <v>9.7613753802401604</v>
      </c>
      <c r="I796" s="1364">
        <f>+IF(ISBLANK(REPORTS!O629),"",REPORTS!O629)</f>
        <v>7.0052530059282994</v>
      </c>
      <c r="J796" s="1364">
        <f>+IF(ISBLANK(REPORTS!P629),"",REPORTS!P629)</f>
        <v>0.18125964266889311</v>
      </c>
      <c r="K796" s="1364">
        <f>+IF(ISBLANK(REPORTS!Q629),"",REPORTS!Q629)</f>
        <v>0</v>
      </c>
      <c r="L796" s="1358"/>
    </row>
    <row r="797" spans="1:13">
      <c r="A797" s="1393">
        <v>7</v>
      </c>
      <c r="B797" s="1324" t="s">
        <v>5240</v>
      </c>
      <c r="C797" s="1324" t="s">
        <v>4067</v>
      </c>
      <c r="D797" s="1364">
        <f>+IF(ISBLANK(REPORTS!J630),"",REPORTS!J630)</f>
        <v>14945.554128665908</v>
      </c>
      <c r="E797" s="1364">
        <f>+IF(ISBLANK(REPORTS!K630),"",REPORTS!K630)</f>
        <v>9302.3521990449226</v>
      </c>
      <c r="F797" s="1364">
        <f>+IF(ISBLANK(REPORTS!L630),"",REPORTS!L630)</f>
        <v>661.60661924780038</v>
      </c>
      <c r="G797" s="1364">
        <f>+IF(ISBLANK(REPORTS!M630),"",REPORTS!M630)</f>
        <v>4429.8694057692665</v>
      </c>
      <c r="H797" s="1364">
        <f>+IF(ISBLANK(REPORTS!N630),"",REPORTS!N630)</f>
        <v>465.93319413402276</v>
      </c>
      <c r="I797" s="1364">
        <f>+IF(ISBLANK(REPORTS!O630),"",REPORTS!O630)</f>
        <v>3.181301080419388E-4</v>
      </c>
      <c r="J797" s="1364">
        <f>+IF(ISBLANK(REPORTS!P630),"",REPORTS!P630)</f>
        <v>85.792392339791192</v>
      </c>
      <c r="K797" s="1364">
        <f>+IF(ISBLANK(REPORTS!Q630),"",REPORTS!Q630)</f>
        <v>0</v>
      </c>
      <c r="L797" s="1358"/>
    </row>
    <row r="798" spans="1:13">
      <c r="A798" s="1393">
        <v>8</v>
      </c>
      <c r="B798" s="1324" t="s">
        <v>5241</v>
      </c>
      <c r="C798" s="1324" t="s">
        <v>4067</v>
      </c>
      <c r="D798" s="1364">
        <f>+IF(ISBLANK(REPORTS!J631),"",REPORTS!J631)</f>
        <v>348.69066960232243</v>
      </c>
      <c r="E798" s="1364">
        <f>+IF(ISBLANK(REPORTS!K631),"",REPORTS!K631)</f>
        <v>254.41631044445109</v>
      </c>
      <c r="F798" s="1364">
        <f>+IF(ISBLANK(REPORTS!L631),"",REPORTS!L631)</f>
        <v>20.485562196409056</v>
      </c>
      <c r="G798" s="1364">
        <f>+IF(ISBLANK(REPORTS!M631),"",REPORTS!M631)</f>
        <v>72.52743349802563</v>
      </c>
      <c r="H798" s="1364">
        <f>+IF(ISBLANK(REPORTS!N631),"",REPORTS!N631)</f>
        <v>0</v>
      </c>
      <c r="I798" s="1364">
        <f>+IF(ISBLANK(REPORTS!O631),"",REPORTS!O631)</f>
        <v>0</v>
      </c>
      <c r="J798" s="1364">
        <f>+IF(ISBLANK(REPORTS!P631),"",REPORTS!P631)</f>
        <v>1.2613634634366437</v>
      </c>
      <c r="K798" s="1364">
        <f>+IF(ISBLANK(REPORTS!Q631),"",REPORTS!Q631)</f>
        <v>0</v>
      </c>
      <c r="L798" s="1358"/>
    </row>
    <row r="799" spans="1:13">
      <c r="A799" s="1393">
        <v>9</v>
      </c>
      <c r="B799" s="1324" t="s">
        <v>5242</v>
      </c>
      <c r="C799" s="1324" t="s">
        <v>4071</v>
      </c>
      <c r="D799" s="1364">
        <f>+IF(ISBLANK(REPORTS!J632),"",REPORTS!J632)</f>
        <v>216.09497132613194</v>
      </c>
      <c r="E799" s="1364">
        <f>+IF(ISBLANK(REPORTS!K632),"",REPORTS!K632)</f>
        <v>79.664863621095478</v>
      </c>
      <c r="F799" s="1364">
        <f>+IF(ISBLANK(REPORTS!L632),"",REPORTS!L632)</f>
        <v>12.084112331790104</v>
      </c>
      <c r="G799" s="1364">
        <f>+IF(ISBLANK(REPORTS!M632),"",REPORTS!M632)</f>
        <v>5.8257414082708596</v>
      </c>
      <c r="H799" s="1364">
        <f>+IF(ISBLANK(REPORTS!N632),"",REPORTS!N632)</f>
        <v>0.37555724350818143</v>
      </c>
      <c r="I799" s="1364">
        <f>+IF(ISBLANK(REPORTS!O632),"",REPORTS!O632)</f>
        <v>0.40974871785588124</v>
      </c>
      <c r="J799" s="1364">
        <f>+IF(ISBLANK(REPORTS!P632),"",REPORTS!P632)</f>
        <v>9.4042220502395357E-2</v>
      </c>
      <c r="K799" s="1364">
        <f>+IF(ISBLANK(REPORTS!Q632),"",REPORTS!Q632)</f>
        <v>117.64090578310908</v>
      </c>
      <c r="L799" s="1358"/>
    </row>
    <row r="800" spans="1:13" ht="30" customHeight="1">
      <c r="A800" s="1393">
        <v>10</v>
      </c>
      <c r="B800" s="1324" t="s">
        <v>5244</v>
      </c>
      <c r="C800" s="1324" t="s">
        <v>4071</v>
      </c>
      <c r="D800" s="1366">
        <f>+IF(ISBLANK(REPORTS!J633),"",REPORTS!J633)</f>
        <v>21497.128382830353</v>
      </c>
      <c r="E800" s="1366">
        <f>+IF(ISBLANK(REPORTS!K633),"",REPORTS!K633)</f>
        <v>19178.418704941017</v>
      </c>
      <c r="F800" s="1366">
        <f>+IF(ISBLANK(REPORTS!L633),"",REPORTS!L633)</f>
        <v>1858.7024168937448</v>
      </c>
      <c r="G800" s="1366">
        <f>+IF(ISBLANK(REPORTS!M633),"",REPORTS!M633)</f>
        <v>454.56569322625199</v>
      </c>
      <c r="H800" s="1366">
        <f>+IF(ISBLANK(REPORTS!N633),"",REPORTS!N633)</f>
        <v>3.7671811553707593E-3</v>
      </c>
      <c r="I800" s="1366">
        <f>+IF(ISBLANK(REPORTS!O633),"",REPORTS!O633)</f>
        <v>6.683708501464251E-4</v>
      </c>
      <c r="J800" s="1366">
        <f>+IF(ISBLANK(REPORTS!P633),"",REPORTS!P633)</f>
        <v>5.4371322173328691</v>
      </c>
      <c r="K800" s="1366">
        <f>+IF(ISBLANK(REPORTS!Q633),"",REPORTS!Q633)</f>
        <v>0</v>
      </c>
      <c r="L800" s="1358"/>
    </row>
    <row r="801" spans="1:12">
      <c r="A801" s="1393">
        <v>11</v>
      </c>
      <c r="B801" s="1324" t="s">
        <v>5153</v>
      </c>
      <c r="D801" s="1421">
        <f>+IF(ISBLANK(REPORTS!J634),"",REPORTS!J634)</f>
        <v>1815081.6506959107</v>
      </c>
      <c r="E801" s="1421">
        <f>+IF(ISBLANK(REPORTS!K634),"",REPORTS!K634)</f>
        <v>1061894.3374643687</v>
      </c>
      <c r="F801" s="1421">
        <f>+IF(ISBLANK(REPORTS!L634),"",REPORTS!L634)</f>
        <v>97947.04846043617</v>
      </c>
      <c r="G801" s="1421">
        <f>+IF(ISBLANK(REPORTS!M634),"",REPORTS!M634)</f>
        <v>478628.74881301197</v>
      </c>
      <c r="H801" s="1421">
        <f>+IF(ISBLANK(REPORTS!N634),"",REPORTS!N634)</f>
        <v>56893.526178152795</v>
      </c>
      <c r="I801" s="1421">
        <f>+IF(ISBLANK(REPORTS!O634),"",REPORTS!O634)</f>
        <v>33219.709325883836</v>
      </c>
      <c r="J801" s="1421">
        <f>+IF(ISBLANK(REPORTS!P634),"",REPORTS!P634)</f>
        <v>3672.7934082736015</v>
      </c>
      <c r="K801" s="1421">
        <f>+IF(ISBLANK(REPORTS!Q634),"",REPORTS!Q634)</f>
        <v>82825.487045783113</v>
      </c>
      <c r="L801" s="1358"/>
    </row>
    <row r="802" spans="1:12">
      <c r="A802" s="1393">
        <v>12</v>
      </c>
      <c r="D802" s="1324" t="str">
        <f>+IF(ISBLANK(REPORTS!J635),"",REPORTS!J635)</f>
        <v/>
      </c>
      <c r="E802" s="1324" t="str">
        <f>+IF(ISBLANK(REPORTS!K635),"",REPORTS!K635)</f>
        <v/>
      </c>
      <c r="F802" s="1324" t="str">
        <f>+IF(ISBLANK(REPORTS!L635),"",REPORTS!L635)</f>
        <v/>
      </c>
      <c r="G802" s="1324" t="str">
        <f>+IF(ISBLANK(REPORTS!M635),"",REPORTS!M635)</f>
        <v/>
      </c>
      <c r="H802" s="1324" t="str">
        <f>+IF(ISBLANK(REPORTS!N635),"",REPORTS!N635)</f>
        <v/>
      </c>
      <c r="I802" s="1324" t="str">
        <f>+IF(ISBLANK(REPORTS!O635),"",REPORTS!O635)</f>
        <v/>
      </c>
      <c r="J802" s="1324" t="str">
        <f>+IF(ISBLANK(REPORTS!P635),"",REPORTS!P635)</f>
        <v/>
      </c>
      <c r="K802" s="1324" t="str">
        <f>+IF(ISBLANK(REPORTS!Q635),"",REPORTS!Q635)</f>
        <v/>
      </c>
    </row>
    <row r="803" spans="1:12">
      <c r="A803" s="1393">
        <v>13</v>
      </c>
      <c r="B803" s="1362" t="s">
        <v>5506</v>
      </c>
      <c r="D803" s="1324" t="str">
        <f>+IF(ISBLANK(REPORTS!J636),"",REPORTS!J636)</f>
        <v/>
      </c>
      <c r="E803" s="1324" t="str">
        <f>+IF(ISBLANK(REPORTS!K636),"",REPORTS!K636)</f>
        <v/>
      </c>
      <c r="F803" s="1324" t="str">
        <f>+IF(ISBLANK(REPORTS!L636),"",REPORTS!L636)</f>
        <v/>
      </c>
      <c r="G803" s="1324" t="str">
        <f>+IF(ISBLANK(REPORTS!M636),"",REPORTS!M636)</f>
        <v/>
      </c>
      <c r="H803" s="1324" t="str">
        <f>+IF(ISBLANK(REPORTS!N636),"",REPORTS!N636)</f>
        <v/>
      </c>
      <c r="I803" s="1324" t="str">
        <f>+IF(ISBLANK(REPORTS!O636),"",REPORTS!O636)</f>
        <v/>
      </c>
      <c r="J803" s="1324" t="str">
        <f>+IF(ISBLANK(REPORTS!P636),"",REPORTS!P636)</f>
        <v/>
      </c>
      <c r="K803" s="1324" t="str">
        <f>+IF(ISBLANK(REPORTS!Q636),"",REPORTS!Q636)</f>
        <v/>
      </c>
    </row>
    <row r="804" spans="1:12">
      <c r="A804" s="1393">
        <v>14</v>
      </c>
      <c r="B804" s="1324" t="s">
        <v>5265</v>
      </c>
      <c r="C804" s="1324" t="s">
        <v>4067</v>
      </c>
      <c r="D804" s="1324">
        <f>+IF(ISBLANK(REPORTS!J637),"",REPORTS!J637)</f>
        <v>159622.03248406202</v>
      </c>
      <c r="E804" s="1324">
        <f>+IF(ISBLANK(REPORTS!K637),"",REPORTS!K637)</f>
        <v>91657.312175951331</v>
      </c>
      <c r="F804" s="1324">
        <f>+IF(ISBLANK(REPORTS!L637),"",REPORTS!L637)</f>
        <v>7622.281263441525</v>
      </c>
      <c r="G804" s="1324">
        <f>+IF(ISBLANK(REPORTS!M637),"",REPORTS!M637)</f>
        <v>49330.720744001708</v>
      </c>
      <c r="H804" s="1324">
        <f>+IF(ISBLANK(REPORTS!N637),"",REPORTS!N637)</f>
        <v>6304.79997747996</v>
      </c>
      <c r="I804" s="1324">
        <f>+IF(ISBLANK(REPORTS!O637),"",REPORTS!O637)</f>
        <v>4537.5843244992775</v>
      </c>
      <c r="J804" s="1324">
        <f>+IF(ISBLANK(REPORTS!P637),"",REPORTS!P637)</f>
        <v>169.33399868823523</v>
      </c>
      <c r="K804" s="1324">
        <f>+IF(ISBLANK(REPORTS!Q637),"",REPORTS!Q637)</f>
        <v>0</v>
      </c>
    </row>
    <row r="805" spans="1:12">
      <c r="A805" s="1393">
        <v>15</v>
      </c>
      <c r="B805" s="1324" t="s">
        <v>5265</v>
      </c>
      <c r="C805" s="1324" t="s">
        <v>2067</v>
      </c>
      <c r="D805" s="1324">
        <f>+IF(ISBLANK(REPORTS!J638),"",REPORTS!J638)</f>
        <v>41606.418583842657</v>
      </c>
      <c r="E805" s="1324">
        <f>+IF(ISBLANK(REPORTS!K638),"",REPORTS!K638)</f>
        <v>20996.021141959634</v>
      </c>
      <c r="F805" s="1324">
        <f>+IF(ISBLANK(REPORTS!L638),"",REPORTS!L638)</f>
        <v>1940.278139449782</v>
      </c>
      <c r="G805" s="1324">
        <f>+IF(ISBLANK(REPORTS!M638),"",REPORTS!M638)</f>
        <v>14454.318510028865</v>
      </c>
      <c r="H805" s="1324">
        <f>+IF(ISBLANK(REPORTS!N638),"",REPORTS!N638)</f>
        <v>2300.8950992492</v>
      </c>
      <c r="I805" s="1324">
        <f>+IF(ISBLANK(REPORTS!O638),"",REPORTS!O638)</f>
        <v>1695.0967183320813</v>
      </c>
      <c r="J805" s="1324">
        <f>+IF(ISBLANK(REPORTS!P638),"",REPORTS!P638)</f>
        <v>219.80897482309194</v>
      </c>
      <c r="K805" s="1324">
        <f>+IF(ISBLANK(REPORTS!Q638),"",REPORTS!Q638)</f>
        <v>0</v>
      </c>
    </row>
    <row r="806" spans="1:12">
      <c r="A806" s="1393">
        <v>16</v>
      </c>
      <c r="B806" s="1324" t="s">
        <v>5268</v>
      </c>
      <c r="C806" s="1324" t="s">
        <v>4067</v>
      </c>
      <c r="D806" s="1324">
        <f>+IF(ISBLANK(REPORTS!J639),"",REPORTS!J639)</f>
        <v>3639.0936003281759</v>
      </c>
      <c r="E806" s="1324">
        <f>+IF(ISBLANK(REPORTS!K639),"",REPORTS!K639)</f>
        <v>2110.7217424211058</v>
      </c>
      <c r="F806" s="1324">
        <f>+IF(ISBLANK(REPORTS!L639),"",REPORTS!L639)</f>
        <v>174.11325383858966</v>
      </c>
      <c r="G806" s="1324">
        <f>+IF(ISBLANK(REPORTS!M639),"",REPORTS!M639)</f>
        <v>1113.0185594443501</v>
      </c>
      <c r="H806" s="1324">
        <f>+IF(ISBLANK(REPORTS!N639),"",REPORTS!N639)</f>
        <v>138.94560952463209</v>
      </c>
      <c r="I806" s="1324">
        <f>+IF(ISBLANK(REPORTS!O639),"",REPORTS!O639)</f>
        <v>99.714344635624627</v>
      </c>
      <c r="J806" s="1324">
        <f>+IF(ISBLANK(REPORTS!P639),"",REPORTS!P639)</f>
        <v>2.5800904638734146</v>
      </c>
      <c r="K806" s="1324">
        <f>+IF(ISBLANK(REPORTS!Q639),"",REPORTS!Q639)</f>
        <v>0</v>
      </c>
    </row>
    <row r="807" spans="1:12">
      <c r="A807" s="1393">
        <v>17</v>
      </c>
      <c r="B807" s="1324" t="s">
        <v>5239</v>
      </c>
      <c r="C807" s="1324" t="s">
        <v>4067</v>
      </c>
      <c r="D807" s="1324">
        <f>+IF(ISBLANK(REPORTS!J640),"",REPORTS!J640)</f>
        <v>11120.779364534637</v>
      </c>
      <c r="E807" s="1324">
        <f>+IF(ISBLANK(REPORTS!K640),"",REPORTS!K640)</f>
        <v>6450.1970477688265</v>
      </c>
      <c r="F807" s="1324">
        <f>+IF(ISBLANK(REPORTS!L640),"",REPORTS!L640)</f>
        <v>532.07619617301259</v>
      </c>
      <c r="G807" s="1324">
        <f>+IF(ISBLANK(REPORTS!M640),"",REPORTS!M640)</f>
        <v>3401.2958136324314</v>
      </c>
      <c r="H807" s="1324">
        <f>+IF(ISBLANK(REPORTS!N640),"",REPORTS!N640)</f>
        <v>424.60668421797953</v>
      </c>
      <c r="I807" s="1324">
        <f>+IF(ISBLANK(REPORTS!O640),"",REPORTS!O640)</f>
        <v>304.71907237339212</v>
      </c>
      <c r="J807" s="1324">
        <f>+IF(ISBLANK(REPORTS!P640),"",REPORTS!P640)</f>
        <v>7.8845503689953329</v>
      </c>
      <c r="K807" s="1324">
        <f>+IF(ISBLANK(REPORTS!Q640),"",REPORTS!Q640)</f>
        <v>0</v>
      </c>
    </row>
    <row r="808" spans="1:12">
      <c r="A808" s="1393">
        <v>18</v>
      </c>
      <c r="B808" s="1324" t="s">
        <v>5240</v>
      </c>
      <c r="C808" s="1324" t="s">
        <v>4067</v>
      </c>
      <c r="D808" s="1324">
        <f>+IF(ISBLANK(REPORTS!J641),"",REPORTS!J641)</f>
        <v>58782.428344976914</v>
      </c>
      <c r="E808" s="1324">
        <f>+IF(ISBLANK(REPORTS!K641),"",REPORTS!K641)</f>
        <v>36587.12463068153</v>
      </c>
      <c r="F808" s="1324">
        <f>+IF(ISBLANK(REPORTS!L641),"",REPORTS!L641)</f>
        <v>2602.1680664153319</v>
      </c>
      <c r="G808" s="1324">
        <f>+IF(ISBLANK(REPORTS!M641),"",REPORTS!M641)</f>
        <v>17423.139930475194</v>
      </c>
      <c r="H808" s="1324">
        <f>+IF(ISBLANK(REPORTS!N641),"",REPORTS!N641)</f>
        <v>1832.5640094666878</v>
      </c>
      <c r="I808" s="1324">
        <f>+IF(ISBLANK(REPORTS!O641),"",REPORTS!O641)</f>
        <v>1.2512390052160816E-3</v>
      </c>
      <c r="J808" s="1324">
        <f>+IF(ISBLANK(REPORTS!P641),"",REPORTS!P641)</f>
        <v>337.43045669917126</v>
      </c>
      <c r="K808" s="1324">
        <f>+IF(ISBLANK(REPORTS!Q641),"",REPORTS!Q641)</f>
        <v>0</v>
      </c>
    </row>
    <row r="809" spans="1:12">
      <c r="A809" s="1393">
        <v>19</v>
      </c>
      <c r="B809" s="1324" t="s">
        <v>5241</v>
      </c>
      <c r="C809" s="1324" t="s">
        <v>4067</v>
      </c>
      <c r="D809" s="1324">
        <f>+IF(ISBLANK(REPORTS!J642),"",REPORTS!J642)</f>
        <v>9777.0557636031099</v>
      </c>
      <c r="E809" s="1324">
        <f>+IF(ISBLANK(REPORTS!K642),"",REPORTS!K642)</f>
        <v>7133.6650826431833</v>
      </c>
      <c r="F809" s="1324">
        <f>+IF(ISBLANK(REPORTS!L642),"",REPORTS!L642)</f>
        <v>574.40161553929102</v>
      </c>
      <c r="G809" s="1324">
        <f>+IF(ISBLANK(REPORTS!M642),"",REPORTS!M642)</f>
        <v>2033.621268128391</v>
      </c>
      <c r="H809" s="1324">
        <f>+IF(ISBLANK(REPORTS!N642),"",REPORTS!N642)</f>
        <v>0</v>
      </c>
      <c r="I809" s="1324">
        <f>+IF(ISBLANK(REPORTS!O642),"",REPORTS!O642)</f>
        <v>0</v>
      </c>
      <c r="J809" s="1324">
        <f>+IF(ISBLANK(REPORTS!P642),"",REPORTS!P642)</f>
        <v>35.367797292243573</v>
      </c>
      <c r="K809" s="1324">
        <f>+IF(ISBLANK(REPORTS!Q642),"",REPORTS!Q642)</f>
        <v>0</v>
      </c>
    </row>
    <row r="810" spans="1:12">
      <c r="A810" s="1393">
        <v>20</v>
      </c>
      <c r="B810" s="1324" t="s">
        <v>5242</v>
      </c>
      <c r="C810" s="1324" t="s">
        <v>4071</v>
      </c>
      <c r="D810" s="1324">
        <f>+IF(ISBLANK(REPORTS!J643),"",REPORTS!J643)</f>
        <v>38382.168272878131</v>
      </c>
      <c r="E810" s="1324">
        <f>+IF(ISBLANK(REPORTS!K643),"",REPORTS!K643)</f>
        <v>21544.192211832418</v>
      </c>
      <c r="F810" s="1324">
        <f>+IF(ISBLANK(REPORTS!L643),"",REPORTS!L643)</f>
        <v>4185.9635079673872</v>
      </c>
      <c r="G810" s="1324">
        <f>+IF(ISBLANK(REPORTS!M643),"",REPORTS!M643)</f>
        <v>2403.9105983064192</v>
      </c>
      <c r="H810" s="1324">
        <f>+IF(ISBLANK(REPORTS!N643),"",REPORTS!N643)</f>
        <v>180.57746751043169</v>
      </c>
      <c r="I810" s="1324">
        <f>+IF(ISBLANK(REPORTS!O643),"",REPORTS!O643)</f>
        <v>197.01759735716439</v>
      </c>
      <c r="J810" s="1324">
        <f>+IF(ISBLANK(REPORTS!P643),"",REPORTS!P643)</f>
        <v>40.46714324574485</v>
      </c>
      <c r="K810" s="1324">
        <f>+IF(ISBLANK(REPORTS!Q643),"",REPORTS!Q643)</f>
        <v>9830.0397466585637</v>
      </c>
    </row>
    <row r="811" spans="1:12">
      <c r="A811" s="1393">
        <v>21</v>
      </c>
      <c r="B811" s="1324" t="s">
        <v>5244</v>
      </c>
      <c r="C811" s="1324" t="s">
        <v>4071</v>
      </c>
      <c r="D811" s="1324">
        <f>+IF(ISBLANK(REPORTS!J644),"",REPORTS!J644)</f>
        <v>68841.12898628338</v>
      </c>
      <c r="E811" s="1324">
        <f>+IF(ISBLANK(REPORTS!K644),"",REPORTS!K644)</f>
        <v>59574.211774824587</v>
      </c>
      <c r="F811" s="1324">
        <f>+IF(ISBLANK(REPORTS!L644),"",REPORTS!L644)</f>
        <v>5763.4842927606624</v>
      </c>
      <c r="G811" s="1324">
        <f>+IF(ISBLANK(REPORTS!M644),"",REPORTS!M644)</f>
        <v>2902.9081539985177</v>
      </c>
      <c r="H811" s="1324">
        <f>+IF(ISBLANK(REPORTS!N644),"",REPORTS!N644)</f>
        <v>189.64174066923826</v>
      </c>
      <c r="I811" s="1324">
        <f>+IF(ISBLANK(REPORTS!O644),"",REPORTS!O644)</f>
        <v>109.48647147567513</v>
      </c>
      <c r="J811" s="1324">
        <f>+IF(ISBLANK(REPORTS!P644),"",REPORTS!P644)</f>
        <v>31.191344012645786</v>
      </c>
      <c r="K811" s="1324">
        <f>+IF(ISBLANK(REPORTS!Q644),"",REPORTS!Q644)</f>
        <v>270.20520854205262</v>
      </c>
    </row>
    <row r="812" spans="1:12">
      <c r="A812" s="1393">
        <v>22</v>
      </c>
      <c r="B812" s="1324" t="s">
        <v>5515</v>
      </c>
      <c r="D812" s="1421">
        <f>+IF(ISBLANK(REPORTS!J645),"",REPORTS!J645)</f>
        <v>391771.10540050903</v>
      </c>
      <c r="E812" s="1421">
        <f>+IF(ISBLANK(REPORTS!K645),"",REPORTS!K645)</f>
        <v>246053.44580808264</v>
      </c>
      <c r="F812" s="1421">
        <f>+IF(ISBLANK(REPORTS!L645),"",REPORTS!L645)</f>
        <v>23394.766335585584</v>
      </c>
      <c r="G812" s="1421">
        <f>+IF(ISBLANK(REPORTS!M645),"",REPORTS!M645)</f>
        <v>93062.933578015887</v>
      </c>
      <c r="H812" s="1421">
        <f>+IF(ISBLANK(REPORTS!N645),"",REPORTS!N645)</f>
        <v>11372.030588118128</v>
      </c>
      <c r="I812" s="1421">
        <f>+IF(ISBLANK(REPORTS!O645),"",REPORTS!O645)</f>
        <v>6943.6197799122192</v>
      </c>
      <c r="J812" s="1421">
        <f>+IF(ISBLANK(REPORTS!P645),"",REPORTS!P645)</f>
        <v>844.06435559400143</v>
      </c>
      <c r="K812" s="1421">
        <f>+IF(ISBLANK(REPORTS!Q645),"",REPORTS!Q645)</f>
        <v>10100.244955200616</v>
      </c>
      <c r="L812" s="1358"/>
    </row>
    <row r="813" spans="1:12">
      <c r="A813" s="1393">
        <v>23</v>
      </c>
      <c r="D813" s="1324" t="str">
        <f>+IF(ISBLANK(REPORTS!J646),"",REPORTS!J646)</f>
        <v/>
      </c>
      <c r="E813" s="1324" t="str">
        <f>+IF(ISBLANK(REPORTS!K646),"",REPORTS!K646)</f>
        <v/>
      </c>
      <c r="F813" s="1324" t="str">
        <f>+IF(ISBLANK(REPORTS!L646),"",REPORTS!L646)</f>
        <v/>
      </c>
      <c r="G813" s="1324" t="str">
        <f>+IF(ISBLANK(REPORTS!M646),"",REPORTS!M646)</f>
        <v/>
      </c>
      <c r="H813" s="1324" t="str">
        <f>+IF(ISBLANK(REPORTS!N646),"",REPORTS!N646)</f>
        <v/>
      </c>
      <c r="I813" s="1324" t="str">
        <f>+IF(ISBLANK(REPORTS!O646),"",REPORTS!O646)</f>
        <v/>
      </c>
      <c r="J813" s="1324" t="str">
        <f>+IF(ISBLANK(REPORTS!P646),"",REPORTS!P646)</f>
        <v/>
      </c>
      <c r="K813" s="1324" t="str">
        <f>+IF(ISBLANK(REPORTS!Q646),"",REPORTS!Q646)</f>
        <v/>
      </c>
    </row>
    <row r="814" spans="1:12">
      <c r="A814" s="1393">
        <v>24</v>
      </c>
      <c r="B814" s="1362" t="s">
        <v>5516</v>
      </c>
      <c r="D814" s="1324" t="str">
        <f>+IF(ISBLANK(REPORTS!J647),"",REPORTS!J647)</f>
        <v/>
      </c>
      <c r="E814" s="1324" t="str">
        <f>+IF(ISBLANK(REPORTS!K647),"",REPORTS!K647)</f>
        <v/>
      </c>
      <c r="F814" s="1324" t="str">
        <f>+IF(ISBLANK(REPORTS!L647),"",REPORTS!L647)</f>
        <v/>
      </c>
      <c r="G814" s="1324" t="str">
        <f>+IF(ISBLANK(REPORTS!M647),"",REPORTS!M647)</f>
        <v/>
      </c>
      <c r="H814" s="1324" t="str">
        <f>+IF(ISBLANK(REPORTS!N647),"",REPORTS!N647)</f>
        <v/>
      </c>
      <c r="I814" s="1324" t="str">
        <f>+IF(ISBLANK(REPORTS!O647),"",REPORTS!O647)</f>
        <v/>
      </c>
      <c r="J814" s="1324" t="str">
        <f>+IF(ISBLANK(REPORTS!P647),"",REPORTS!P647)</f>
        <v/>
      </c>
      <c r="K814" s="1324" t="str">
        <f>+IF(ISBLANK(REPORTS!Q647),"",REPORTS!Q647)</f>
        <v/>
      </c>
    </row>
    <row r="815" spans="1:12">
      <c r="A815" s="1393">
        <v>25</v>
      </c>
      <c r="B815" s="1324" t="s">
        <v>4813</v>
      </c>
      <c r="C815" s="1324" t="s">
        <v>4067</v>
      </c>
      <c r="D815" s="1324">
        <f>+IF(ISBLANK(REPORTS!J648),"",REPORTS!J648)</f>
        <v>0</v>
      </c>
      <c r="E815" s="1324">
        <f>+IF(ISBLANK(REPORTS!K648),"",REPORTS!K648)</f>
        <v>0</v>
      </c>
      <c r="F815" s="1324">
        <f>+IF(ISBLANK(REPORTS!L648),"",REPORTS!L648)</f>
        <v>0</v>
      </c>
      <c r="G815" s="1324">
        <f>+IF(ISBLANK(REPORTS!M648),"",REPORTS!M648)</f>
        <v>0</v>
      </c>
      <c r="H815" s="1324">
        <f>+IF(ISBLANK(REPORTS!N648),"",REPORTS!N648)</f>
        <v>0</v>
      </c>
      <c r="I815" s="1324">
        <f>+IF(ISBLANK(REPORTS!O648),"",REPORTS!O648)</f>
        <v>0</v>
      </c>
      <c r="J815" s="1324">
        <f>+IF(ISBLANK(REPORTS!P648),"",REPORTS!P648)</f>
        <v>0</v>
      </c>
      <c r="K815" s="1324">
        <f>+IF(ISBLANK(REPORTS!Q648),"",REPORTS!Q648)</f>
        <v>0</v>
      </c>
    </row>
    <row r="816" spans="1:12">
      <c r="A816" s="1393">
        <v>26</v>
      </c>
      <c r="B816" s="1324" t="s">
        <v>4814</v>
      </c>
      <c r="C816" s="1324" t="s">
        <v>2067</v>
      </c>
      <c r="D816" s="1366">
        <f>+IF(ISBLANK(REPORTS!J649),"",REPORTS!J649)</f>
        <v>626.46090775325297</v>
      </c>
      <c r="E816" s="1366">
        <f>+IF(ISBLANK(REPORTS!K649),"",REPORTS!K649)</f>
        <v>316.13358975594224</v>
      </c>
      <c r="F816" s="1366">
        <f>+IF(ISBLANK(REPORTS!L649),"",REPORTS!L649)</f>
        <v>29.214444451259041</v>
      </c>
      <c r="G816" s="1366">
        <f>+IF(ISBLANK(REPORTS!M649),"",REPORTS!M649)</f>
        <v>217.63626389760336</v>
      </c>
      <c r="H816" s="1366">
        <f>+IF(ISBLANK(REPORTS!N649),"",REPORTS!N649)</f>
        <v>34.64419389080566</v>
      </c>
      <c r="I816" s="1366">
        <f>+IF(ISBLANK(REPORTS!O649),"",REPORTS!O649)</f>
        <v>25.522788671559834</v>
      </c>
      <c r="J816" s="1366">
        <f>+IF(ISBLANK(REPORTS!P649),"",REPORTS!P649)</f>
        <v>3.3096270860828403</v>
      </c>
      <c r="K816" s="1366">
        <f>+IF(ISBLANK(REPORTS!Q649),"",REPORTS!Q649)</f>
        <v>0</v>
      </c>
      <c r="L816" s="1358"/>
    </row>
    <row r="817" spans="1:12">
      <c r="A817" s="1393">
        <v>27</v>
      </c>
      <c r="B817" s="1324" t="s">
        <v>5519</v>
      </c>
      <c r="D817" s="1421">
        <f>+IF(ISBLANK(REPORTS!J650),"",REPORTS!J650)</f>
        <v>626.46090775325297</v>
      </c>
      <c r="E817" s="1421">
        <f>+IF(ISBLANK(REPORTS!K650),"",REPORTS!K650)</f>
        <v>316.13358975594224</v>
      </c>
      <c r="F817" s="1421">
        <f>+IF(ISBLANK(REPORTS!L650),"",REPORTS!L650)</f>
        <v>29.214444451259041</v>
      </c>
      <c r="G817" s="1421">
        <f>+IF(ISBLANK(REPORTS!M650),"",REPORTS!M650)</f>
        <v>217.63626389760336</v>
      </c>
      <c r="H817" s="1421">
        <f>+IF(ISBLANK(REPORTS!N650),"",REPORTS!N650)</f>
        <v>34.64419389080566</v>
      </c>
      <c r="I817" s="1421">
        <f>+IF(ISBLANK(REPORTS!O650),"",REPORTS!O650)</f>
        <v>25.522788671559834</v>
      </c>
      <c r="J817" s="1421">
        <f>+IF(ISBLANK(REPORTS!P650),"",REPORTS!P650)</f>
        <v>3.3096270860828403</v>
      </c>
      <c r="K817" s="1421">
        <f>+IF(ISBLANK(REPORTS!Q650),"",REPORTS!Q650)</f>
        <v>0</v>
      </c>
      <c r="L817" s="1358"/>
    </row>
    <row r="818" spans="1:12">
      <c r="A818" s="1393">
        <v>28</v>
      </c>
      <c r="D818" s="1324" t="str">
        <f>+IF(ISBLANK(REPORTS!J651),"",REPORTS!J651)</f>
        <v/>
      </c>
      <c r="E818" s="1324" t="str">
        <f>+IF(ISBLANK(REPORTS!K651),"",REPORTS!K651)</f>
        <v/>
      </c>
      <c r="F818" s="1324" t="str">
        <f>+IF(ISBLANK(REPORTS!L651),"",REPORTS!L651)</f>
        <v/>
      </c>
      <c r="G818" s="1324" t="str">
        <f>+IF(ISBLANK(REPORTS!M651),"",REPORTS!M651)</f>
        <v/>
      </c>
      <c r="H818" s="1324" t="str">
        <f>+IF(ISBLANK(REPORTS!N651),"",REPORTS!N651)</f>
        <v/>
      </c>
      <c r="I818" s="1324" t="str">
        <f>+IF(ISBLANK(REPORTS!O651),"",REPORTS!O651)</f>
        <v/>
      </c>
      <c r="J818" s="1324" t="str">
        <f>+IF(ISBLANK(REPORTS!P651),"",REPORTS!P651)</f>
        <v/>
      </c>
      <c r="K818" s="1324" t="str">
        <f>+IF(ISBLANK(REPORTS!Q651),"",REPORTS!Q651)</f>
        <v/>
      </c>
    </row>
    <row r="819" spans="1:12">
      <c r="A819" s="1393">
        <v>29</v>
      </c>
      <c r="B819" s="1362" t="s">
        <v>5521</v>
      </c>
      <c r="D819" s="1324" t="str">
        <f>+IF(ISBLANK(REPORTS!J652),"",REPORTS!J652)</f>
        <v/>
      </c>
      <c r="E819" s="1324" t="str">
        <f>+IF(ISBLANK(REPORTS!K652),"",REPORTS!K652)</f>
        <v/>
      </c>
      <c r="F819" s="1324" t="str">
        <f>+IF(ISBLANK(REPORTS!L652),"",REPORTS!L652)</f>
        <v/>
      </c>
      <c r="G819" s="1324" t="str">
        <f>+IF(ISBLANK(REPORTS!M652),"",REPORTS!M652)</f>
        <v/>
      </c>
      <c r="H819" s="1324" t="str">
        <f>+IF(ISBLANK(REPORTS!N652),"",REPORTS!N652)</f>
        <v/>
      </c>
      <c r="I819" s="1324" t="str">
        <f>+IF(ISBLANK(REPORTS!O652),"",REPORTS!O652)</f>
        <v/>
      </c>
      <c r="J819" s="1324" t="str">
        <f>+IF(ISBLANK(REPORTS!P652),"",REPORTS!P652)</f>
        <v/>
      </c>
      <c r="K819" s="1324" t="str">
        <f>+IF(ISBLANK(REPORTS!Q652),"",REPORTS!Q652)</f>
        <v/>
      </c>
    </row>
    <row r="820" spans="1:12">
      <c r="A820" s="1393">
        <v>30</v>
      </c>
      <c r="B820" s="1324" t="s">
        <v>5265</v>
      </c>
      <c r="C820" s="1324" t="s">
        <v>4067</v>
      </c>
      <c r="D820" s="1324">
        <f>+IF(ISBLANK(REPORTS!J653),"",REPORTS!J653)</f>
        <v>290551.79552865884</v>
      </c>
      <c r="E820" s="1324">
        <f>+IF(ISBLANK(REPORTS!K653),"",REPORTS!K653)</f>
        <v>166839.10241972734</v>
      </c>
      <c r="F820" s="1324">
        <f>+IF(ISBLANK(REPORTS!L653),"",REPORTS!L653)</f>
        <v>13874.447484801451</v>
      </c>
      <c r="G820" s="1324">
        <f>+IF(ISBLANK(REPORTS!M653),"",REPORTS!M653)</f>
        <v>89794.179812387054</v>
      </c>
      <c r="H820" s="1324">
        <f>+IF(ISBLANK(REPORTS!N653),"",REPORTS!N653)</f>
        <v>11476.303899894016</v>
      </c>
      <c r="I820" s="1324">
        <f>+IF(ISBLANK(REPORTS!O653),"",REPORTS!O653)</f>
        <v>8259.5319225596359</v>
      </c>
      <c r="J820" s="1324">
        <f>+IF(ISBLANK(REPORTS!P653),"",REPORTS!P653)</f>
        <v>308.22998928939768</v>
      </c>
      <c r="K820" s="1324">
        <f>+IF(ISBLANK(REPORTS!Q653),"",REPORTS!Q653)</f>
        <v>0</v>
      </c>
    </row>
    <row r="821" spans="1:12">
      <c r="A821" s="1393">
        <v>31</v>
      </c>
      <c r="B821" s="1324" t="s">
        <v>5265</v>
      </c>
      <c r="C821" s="1324" t="s">
        <v>2067</v>
      </c>
      <c r="D821" s="1324">
        <f>+IF(ISBLANK(REPORTS!J654),"",REPORTS!J654)</f>
        <v>30632.200099340615</v>
      </c>
      <c r="E821" s="1324">
        <f>+IF(ISBLANK(REPORTS!K654),"",REPORTS!K654)</f>
        <v>15458.055338611979</v>
      </c>
      <c r="F821" s="1324">
        <f>+IF(ISBLANK(REPORTS!L654),"",REPORTS!L654)</f>
        <v>1428.5052700758743</v>
      </c>
      <c r="G821" s="1324">
        <f>+IF(ISBLANK(REPORTS!M654),"",REPORTS!M654)</f>
        <v>10641.809412328281</v>
      </c>
      <c r="H821" s="1324">
        <f>+IF(ISBLANK(REPORTS!N654),"",REPORTS!N654)</f>
        <v>1694.0049513217248</v>
      </c>
      <c r="I821" s="1324">
        <f>+IF(ISBLANK(REPORTS!O654),"",REPORTS!O654)</f>
        <v>1247.9935459729331</v>
      </c>
      <c r="J821" s="1324">
        <f>+IF(ISBLANK(REPORTS!P654),"",REPORTS!P654)</f>
        <v>161.83158102982321</v>
      </c>
      <c r="K821" s="1324">
        <f>+IF(ISBLANK(REPORTS!Q654),"",REPORTS!Q654)</f>
        <v>0</v>
      </c>
    </row>
    <row r="822" spans="1:12">
      <c r="A822" s="1393">
        <v>32</v>
      </c>
      <c r="B822" s="1324" t="s">
        <v>5268</v>
      </c>
      <c r="C822" s="1324" t="s">
        <v>4067</v>
      </c>
      <c r="D822" s="1324">
        <f>+IF(ISBLANK(REPORTS!J655),"",REPORTS!J655)</f>
        <v>14346.725415189947</v>
      </c>
      <c r="E822" s="1324">
        <f>+IF(ISBLANK(REPORTS!K655),"",REPORTS!K655)</f>
        <v>8321.2878238845096</v>
      </c>
      <c r="F822" s="1324">
        <f>+IF(ISBLANK(REPORTS!L655),"",REPORTS!L655)</f>
        <v>686.42231234234964</v>
      </c>
      <c r="G822" s="1324">
        <f>+IF(ISBLANK(REPORTS!M655),"",REPORTS!M655)</f>
        <v>4387.9529927227877</v>
      </c>
      <c r="H822" s="1324">
        <f>+IF(ISBLANK(REPORTS!N655),"",REPORTS!N655)</f>
        <v>547.77775084332268</v>
      </c>
      <c r="I822" s="1324">
        <f>+IF(ISBLANK(REPORTS!O655),"",REPORTS!O655)</f>
        <v>393.1128131230027</v>
      </c>
      <c r="J822" s="1324">
        <f>+IF(ISBLANK(REPORTS!P655),"",REPORTS!P655)</f>
        <v>10.171722273976087</v>
      </c>
      <c r="K822" s="1324">
        <f>+IF(ISBLANK(REPORTS!Q655),"",REPORTS!Q655)</f>
        <v>0</v>
      </c>
    </row>
    <row r="823" spans="1:12">
      <c r="A823" s="1393">
        <v>33</v>
      </c>
      <c r="B823" s="1324" t="s">
        <v>5239</v>
      </c>
      <c r="C823" s="1324" t="s">
        <v>4067</v>
      </c>
      <c r="D823" s="1324">
        <f>+IF(ISBLANK(REPORTS!J656),"",REPORTS!J656)</f>
        <v>15521.081651839251</v>
      </c>
      <c r="E823" s="1324">
        <f>+IF(ISBLANK(REPORTS!K656),"",REPORTS!K656)</f>
        <v>9002.4297548917184</v>
      </c>
      <c r="F823" s="1324">
        <f>+IF(ISBLANK(REPORTS!L656),"",REPORTS!L656)</f>
        <v>742.60965127482791</v>
      </c>
      <c r="G823" s="1324">
        <f>+IF(ISBLANK(REPORTS!M656),"",REPORTS!M656)</f>
        <v>4747.1304226938173</v>
      </c>
      <c r="H823" s="1324">
        <f>+IF(ISBLANK(REPORTS!N656),"",REPORTS!N656)</f>
        <v>592.61629060651421</v>
      </c>
      <c r="I823" s="1324">
        <f>+IF(ISBLANK(REPORTS!O656),"",REPORTS!O656)</f>
        <v>425.29120020699622</v>
      </c>
      <c r="J823" s="1324">
        <f>+IF(ISBLANK(REPORTS!P656),"",REPORTS!P656)</f>
        <v>11.004332165377591</v>
      </c>
      <c r="K823" s="1324">
        <f>+IF(ISBLANK(REPORTS!Q656),"",REPORTS!Q656)</f>
        <v>0</v>
      </c>
    </row>
    <row r="824" spans="1:12">
      <c r="A824" s="1393">
        <v>34</v>
      </c>
      <c r="B824" s="1324" t="s">
        <v>5240</v>
      </c>
      <c r="C824" s="1324" t="s">
        <v>4067</v>
      </c>
      <c r="D824" s="1324">
        <f>+IF(ISBLANK(REPORTS!J657),"",REPORTS!J657)</f>
        <v>76341.163093584852</v>
      </c>
      <c r="E824" s="1324">
        <f>+IF(ISBLANK(REPORTS!K657),"",REPORTS!K657)</f>
        <v>47515.96229002763</v>
      </c>
      <c r="F824" s="1324">
        <f>+IF(ISBLANK(REPORTS!L657),"",REPORTS!L657)</f>
        <v>3379.4544109218741</v>
      </c>
      <c r="G824" s="1324">
        <f>+IF(ISBLANK(REPORTS!M657),"",REPORTS!M657)</f>
        <v>22627.557324252964</v>
      </c>
      <c r="H824" s="1324">
        <f>+IF(ISBLANK(REPORTS!N657),"",REPORTS!N657)</f>
        <v>2379.964078807659</v>
      </c>
      <c r="I824" s="1324">
        <f>+IF(ISBLANK(REPORTS!O657),"",REPORTS!O657)</f>
        <v>1.6249931085812012E-3</v>
      </c>
      <c r="J824" s="1324">
        <f>+IF(ISBLANK(REPORTS!P657),"",REPORTS!P657)</f>
        <v>438.22336458162823</v>
      </c>
      <c r="K824" s="1324">
        <f>+IF(ISBLANK(REPORTS!Q657),"",REPORTS!Q657)</f>
        <v>0</v>
      </c>
    </row>
    <row r="825" spans="1:12">
      <c r="A825" s="1393">
        <v>35</v>
      </c>
      <c r="B825" s="1324" t="s">
        <v>5241</v>
      </c>
      <c r="C825" s="1324" t="s">
        <v>4067</v>
      </c>
      <c r="D825" s="1324">
        <f>+IF(ISBLANK(REPORTS!J658),"",REPORTS!J658)</f>
        <v>43854.637077825559</v>
      </c>
      <c r="E825" s="1324">
        <f>+IF(ISBLANK(REPORTS!K658),"",REPORTS!K658)</f>
        <v>31997.801873923418</v>
      </c>
      <c r="F825" s="1324">
        <f>+IF(ISBLANK(REPORTS!L658),"",REPORTS!L658)</f>
        <v>2576.4580867143418</v>
      </c>
      <c r="G825" s="1324">
        <f>+IF(ISBLANK(REPORTS!M658),"",REPORTS!M658)</f>
        <v>9121.7361160525234</v>
      </c>
      <c r="H825" s="1324">
        <f>+IF(ISBLANK(REPORTS!N658),"",REPORTS!N658)</f>
        <v>0</v>
      </c>
      <c r="I825" s="1324">
        <f>+IF(ISBLANK(REPORTS!O658),"",REPORTS!O658)</f>
        <v>0</v>
      </c>
      <c r="J825" s="1324">
        <f>+IF(ISBLANK(REPORTS!P658),"",REPORTS!P658)</f>
        <v>158.64100113527866</v>
      </c>
      <c r="K825" s="1324">
        <f>+IF(ISBLANK(REPORTS!Q658),"",REPORTS!Q658)</f>
        <v>0</v>
      </c>
    </row>
    <row r="826" spans="1:12">
      <c r="A826" s="1393">
        <v>36</v>
      </c>
      <c r="B826" s="1324" t="s">
        <v>5242</v>
      </c>
      <c r="C826" s="1324" t="s">
        <v>4071</v>
      </c>
      <c r="D826" s="1324">
        <f>+IF(ISBLANK(REPORTS!J659),"",REPORTS!J659)</f>
        <v>47757.415831805716</v>
      </c>
      <c r="E826" s="1324">
        <f>+IF(ISBLANK(REPORTS!K659),"",REPORTS!K659)</f>
        <v>19058.030039976857</v>
      </c>
      <c r="F826" s="1324">
        <f>+IF(ISBLANK(REPORTS!L659),"",REPORTS!L659)</f>
        <v>3755.5686865087068</v>
      </c>
      <c r="G826" s="1324">
        <f>+IF(ISBLANK(REPORTS!M659),"",REPORTS!M659)</f>
        <v>2174.0237328748285</v>
      </c>
      <c r="H826" s="1324">
        <f>+IF(ISBLANK(REPORTS!N659),"",REPORTS!N659)</f>
        <v>164.27153033742925</v>
      </c>
      <c r="I826" s="1324">
        <f>+IF(ISBLANK(REPORTS!O659),"",REPORTS!O659)</f>
        <v>179.2271354087697</v>
      </c>
      <c r="J826" s="1324">
        <f>+IF(ISBLANK(REPORTS!P659),"",REPORTS!P659)</f>
        <v>36.659734650343147</v>
      </c>
      <c r="K826" s="1324">
        <f>+IF(ISBLANK(REPORTS!Q659),"",REPORTS!Q659)</f>
        <v>22389.634972048774</v>
      </c>
    </row>
    <row r="827" spans="1:12">
      <c r="A827" s="1393">
        <v>37</v>
      </c>
      <c r="B827" s="1324" t="s">
        <v>5244</v>
      </c>
      <c r="C827" s="1324" t="s">
        <v>4071</v>
      </c>
      <c r="D827" s="1324">
        <f>+IF(ISBLANK(REPORTS!J660),"",REPORTS!J660)</f>
        <v>12431.05871528412</v>
      </c>
      <c r="E827" s="1324">
        <f>+IF(ISBLANK(REPORTS!K660),"",REPORTS!K660)</f>
        <v>11087.097359078902</v>
      </c>
      <c r="F827" s="1324">
        <f>+IF(ISBLANK(REPORTS!L660),"",REPORTS!L660)</f>
        <v>1074.7942807674417</v>
      </c>
      <c r="G827" s="1324">
        <f>+IF(ISBLANK(REPORTS!M660),"",REPORTS!M660)</f>
        <v>264.71267171507458</v>
      </c>
      <c r="H827" s="1324">
        <f>+IF(ISBLANK(REPORTS!N660),"",REPORTS!N660)</f>
        <v>0.89376385374582712</v>
      </c>
      <c r="I827" s="1324">
        <f>+IF(ISBLANK(REPORTS!O660),"",REPORTS!O660)</f>
        <v>0.15857100630974355</v>
      </c>
      <c r="J827" s="1324">
        <f>+IF(ISBLANK(REPORTS!P660),"",REPORTS!P660)</f>
        <v>3.4020688626454065</v>
      </c>
      <c r="K827" s="1324">
        <f>+IF(ISBLANK(REPORTS!Q660),"",REPORTS!Q660)</f>
        <v>0</v>
      </c>
    </row>
    <row r="828" spans="1:12">
      <c r="A828" s="1393">
        <v>38</v>
      </c>
      <c r="B828" s="1324" t="s">
        <v>5453</v>
      </c>
      <c r="D828" s="1421">
        <f>+IF(ISBLANK(REPORTS!J661),"",REPORTS!J661)</f>
        <v>531436.07741352892</v>
      </c>
      <c r="E828" s="1421">
        <f>+IF(ISBLANK(REPORTS!K661),"",REPORTS!K661)</f>
        <v>309279.76690012234</v>
      </c>
      <c r="F828" s="1421">
        <f>+IF(ISBLANK(REPORTS!L661),"",REPORTS!L661)</f>
        <v>27518.260183406866</v>
      </c>
      <c r="G828" s="1421">
        <f>+IF(ISBLANK(REPORTS!M661),"",REPORTS!M661)</f>
        <v>143759.10248502731</v>
      </c>
      <c r="H828" s="1421">
        <f>+IF(ISBLANK(REPORTS!N661),"",REPORTS!N661)</f>
        <v>16855.832265664412</v>
      </c>
      <c r="I828" s="1421">
        <f>+IF(ISBLANK(REPORTS!O661),"",REPORTS!O661)</f>
        <v>10505.316813270758</v>
      </c>
      <c r="J828" s="1421">
        <f>+IF(ISBLANK(REPORTS!P661),"",REPORTS!P661)</f>
        <v>1128.1637939884699</v>
      </c>
      <c r="K828" s="1421">
        <f>+IF(ISBLANK(REPORTS!Q661),"",REPORTS!Q661)</f>
        <v>22389.634972048774</v>
      </c>
      <c r="L828" s="1358"/>
    </row>
    <row r="839" spans="1:13">
      <c r="A839" s="1732" t="str">
        <f>+$A$1</f>
        <v>RATES WITH REVENUE DEFICIENCY ADDITION</v>
      </c>
      <c r="F839" s="1329" t="s">
        <v>2173</v>
      </c>
      <c r="G839" s="1329"/>
      <c r="H839" s="1329"/>
      <c r="I839" s="1329"/>
      <c r="M839" s="1334" t="s">
        <v>5590</v>
      </c>
    </row>
    <row r="840" spans="1:13">
      <c r="A840" s="1732" t="str">
        <f>+$A$2</f>
        <v>PROD. CAP. ALLOC. METHOD: 12 CP &amp; 1/13th AD</v>
      </c>
      <c r="F840" s="1336" t="s">
        <v>5141</v>
      </c>
      <c r="G840" s="1336"/>
      <c r="H840" s="1336"/>
      <c r="I840" s="1336"/>
      <c r="L840" s="1331"/>
      <c r="M840" s="1409"/>
    </row>
    <row r="841" spans="1:13">
      <c r="A841" s="1732" t="str">
        <f>+$A$3</f>
        <v>PROJECTED CALENDAR YEAR 2025; FULLY ADJUSTED DATA</v>
      </c>
      <c r="F841" s="1336" t="s">
        <v>2181</v>
      </c>
    </row>
    <row r="842" spans="1:13">
      <c r="A842" s="1732" t="str">
        <f>+$A$4</f>
        <v>MINIMUM DISTRIBUTION SYSTEM (MDS) NOT EMPLOYED</v>
      </c>
      <c r="B842" s="1364"/>
      <c r="F842" s="1336"/>
      <c r="G842" s="1336"/>
      <c r="H842" s="1336"/>
      <c r="I842" s="1336"/>
    </row>
    <row r="843" spans="1:13">
      <c r="A843" s="1732" t="str">
        <f>+$A$5</f>
        <v>Tampa Electric 2025 OB Budget</v>
      </c>
      <c r="F843" s="1336" t="s">
        <v>5494</v>
      </c>
      <c r="G843" s="1336"/>
      <c r="H843" s="1336"/>
      <c r="I843" s="1336"/>
    </row>
    <row r="844" spans="1:13">
      <c r="A844" s="1416"/>
      <c r="F844" s="1336"/>
      <c r="G844" s="1336"/>
      <c r="H844" s="1336"/>
      <c r="I844" s="1336"/>
    </row>
    <row r="845" spans="1:13">
      <c r="F845" s="1336"/>
      <c r="G845" s="1336"/>
      <c r="H845" s="1336"/>
      <c r="I845" s="1336"/>
    </row>
    <row r="846" spans="1:13" ht="28.2">
      <c r="A846" s="1737" t="s">
        <v>4297</v>
      </c>
      <c r="B846" s="1741"/>
      <c r="C846" s="1741"/>
      <c r="D846" s="1352" t="s">
        <v>4957</v>
      </c>
      <c r="E846" s="1353" t="s">
        <v>1949</v>
      </c>
      <c r="F846" s="1353" t="s">
        <v>1950</v>
      </c>
      <c r="G846" s="1353" t="s">
        <v>1934</v>
      </c>
      <c r="H846" s="1353" t="s">
        <v>1971</v>
      </c>
      <c r="I846" s="1353" t="s">
        <v>1972</v>
      </c>
      <c r="J846" s="1352" t="s">
        <v>5146</v>
      </c>
      <c r="K846" s="1352" t="s">
        <v>5147</v>
      </c>
      <c r="L846" s="1355"/>
      <c r="M846" s="1348" t="s">
        <v>5299</v>
      </c>
    </row>
    <row r="847" spans="1:13">
      <c r="A847" s="1543"/>
      <c r="B847" s="1447"/>
      <c r="C847" s="1447"/>
      <c r="D847" s="1399"/>
      <c r="E847" s="1360"/>
      <c r="F847" s="1360"/>
      <c r="G847" s="1360"/>
      <c r="H847" s="1360"/>
      <c r="I847" s="1360"/>
      <c r="J847" s="1399"/>
      <c r="K847" s="1399"/>
      <c r="L847" s="1346"/>
      <c r="M847" s="1396"/>
    </row>
    <row r="848" spans="1:13">
      <c r="A848" s="1393">
        <v>39</v>
      </c>
      <c r="B848" s="1362" t="s">
        <v>5532</v>
      </c>
      <c r="M848" s="1324"/>
    </row>
    <row r="849" spans="1:13">
      <c r="A849" s="1393">
        <v>40</v>
      </c>
      <c r="B849" s="1324" t="s">
        <v>5265</v>
      </c>
      <c r="C849" s="1324" t="s">
        <v>4067</v>
      </c>
      <c r="D849" s="1324">
        <f>+IF(ISBLANK(REPORTS!J679),"",REPORTS!J679)</f>
        <v>0</v>
      </c>
      <c r="E849" s="1324">
        <f>+IF(ISBLANK(REPORTS!K679),"",REPORTS!K679)</f>
        <v>0</v>
      </c>
      <c r="F849" s="1324">
        <f>+IF(ISBLANK(REPORTS!L679),"",REPORTS!L679)</f>
        <v>0</v>
      </c>
      <c r="G849" s="1324">
        <f>+IF(ISBLANK(REPORTS!M679),"",REPORTS!M679)</f>
        <v>0</v>
      </c>
      <c r="H849" s="1324">
        <f>+IF(ISBLANK(REPORTS!N679),"",REPORTS!N679)</f>
        <v>0</v>
      </c>
      <c r="I849" s="1324">
        <f>+IF(ISBLANK(REPORTS!O679),"",REPORTS!O679)</f>
        <v>0</v>
      </c>
      <c r="J849" s="1324">
        <f>+IF(ISBLANK(REPORTS!P679),"",REPORTS!P679)</f>
        <v>0</v>
      </c>
      <c r="K849" s="1324">
        <f>+IF(ISBLANK(REPORTS!Q679),"",REPORTS!Q679)</f>
        <v>0</v>
      </c>
      <c r="L849" s="1324"/>
      <c r="M849" s="1324"/>
    </row>
    <row r="850" spans="1:13">
      <c r="A850" s="1393">
        <v>41</v>
      </c>
      <c r="B850" s="1324" t="s">
        <v>5265</v>
      </c>
      <c r="C850" s="1324" t="s">
        <v>2067</v>
      </c>
      <c r="D850" s="1324">
        <f>+IF(ISBLANK(REPORTS!J680),"",REPORTS!J680)</f>
        <v>0</v>
      </c>
      <c r="E850" s="1324">
        <f>+IF(ISBLANK(REPORTS!K680),"",REPORTS!K680)</f>
        <v>0</v>
      </c>
      <c r="F850" s="1324">
        <f>+IF(ISBLANK(REPORTS!L680),"",REPORTS!L680)</f>
        <v>0</v>
      </c>
      <c r="G850" s="1324">
        <f>+IF(ISBLANK(REPORTS!M680),"",REPORTS!M680)</f>
        <v>0</v>
      </c>
      <c r="H850" s="1324">
        <f>+IF(ISBLANK(REPORTS!N680),"",REPORTS!N680)</f>
        <v>0</v>
      </c>
      <c r="I850" s="1324">
        <f>+IF(ISBLANK(REPORTS!O680),"",REPORTS!O680)</f>
        <v>0</v>
      </c>
      <c r="J850" s="1324">
        <f>+IF(ISBLANK(REPORTS!P680),"",REPORTS!P680)</f>
        <v>0</v>
      </c>
      <c r="K850" s="1324">
        <f>+IF(ISBLANK(REPORTS!Q680),"",REPORTS!Q680)</f>
        <v>0</v>
      </c>
      <c r="L850" s="1324"/>
      <c r="M850" s="1324"/>
    </row>
    <row r="851" spans="1:13">
      <c r="A851" s="1393">
        <v>42</v>
      </c>
      <c r="B851" s="1324" t="s">
        <v>5268</v>
      </c>
      <c r="C851" s="1324" t="s">
        <v>4067</v>
      </c>
      <c r="D851" s="1324">
        <f>+IF(ISBLANK(REPORTS!J681),"",REPORTS!J681)</f>
        <v>0</v>
      </c>
      <c r="E851" s="1324">
        <f>+IF(ISBLANK(REPORTS!K681),"",REPORTS!K681)</f>
        <v>0</v>
      </c>
      <c r="F851" s="1324">
        <f>+IF(ISBLANK(REPORTS!L681),"",REPORTS!L681)</f>
        <v>0</v>
      </c>
      <c r="G851" s="1324">
        <f>+IF(ISBLANK(REPORTS!M681),"",REPORTS!M681)</f>
        <v>0</v>
      </c>
      <c r="H851" s="1324">
        <f>+IF(ISBLANK(REPORTS!N681),"",REPORTS!N681)</f>
        <v>0</v>
      </c>
      <c r="I851" s="1324">
        <f>+IF(ISBLANK(REPORTS!O681),"",REPORTS!O681)</f>
        <v>0</v>
      </c>
      <c r="J851" s="1324">
        <f>+IF(ISBLANK(REPORTS!P681),"",REPORTS!P681)</f>
        <v>0</v>
      </c>
      <c r="K851" s="1324">
        <f>+IF(ISBLANK(REPORTS!Q681),"",REPORTS!Q681)</f>
        <v>0</v>
      </c>
      <c r="L851" s="1324"/>
      <c r="M851" s="1324"/>
    </row>
    <row r="852" spans="1:13">
      <c r="A852" s="1393">
        <v>43</v>
      </c>
      <c r="B852" s="1324" t="s">
        <v>5239</v>
      </c>
      <c r="C852" s="1324" t="s">
        <v>4067</v>
      </c>
      <c r="D852" s="1324">
        <f>+IF(ISBLANK(REPORTS!J682),"",REPORTS!J682)</f>
        <v>0</v>
      </c>
      <c r="E852" s="1324">
        <f>+IF(ISBLANK(REPORTS!K682),"",REPORTS!K682)</f>
        <v>0</v>
      </c>
      <c r="F852" s="1324">
        <f>+IF(ISBLANK(REPORTS!L682),"",REPORTS!L682)</f>
        <v>0</v>
      </c>
      <c r="G852" s="1324">
        <f>+IF(ISBLANK(REPORTS!M682),"",REPORTS!M682)</f>
        <v>0</v>
      </c>
      <c r="H852" s="1324">
        <f>+IF(ISBLANK(REPORTS!N682),"",REPORTS!N682)</f>
        <v>0</v>
      </c>
      <c r="I852" s="1324">
        <f>+IF(ISBLANK(REPORTS!O682),"",REPORTS!O682)</f>
        <v>0</v>
      </c>
      <c r="J852" s="1324">
        <f>+IF(ISBLANK(REPORTS!P682),"",REPORTS!P682)</f>
        <v>0</v>
      </c>
      <c r="K852" s="1324">
        <f>+IF(ISBLANK(REPORTS!Q682),"",REPORTS!Q682)</f>
        <v>0</v>
      </c>
      <c r="L852" s="1324"/>
      <c r="M852" s="1324"/>
    </row>
    <row r="853" spans="1:13">
      <c r="A853" s="1393">
        <v>44</v>
      </c>
      <c r="B853" s="1324" t="s">
        <v>5240</v>
      </c>
      <c r="C853" s="1324" t="s">
        <v>4067</v>
      </c>
      <c r="D853" s="1324">
        <f>+IF(ISBLANK(REPORTS!J683),"",REPORTS!J683)</f>
        <v>0</v>
      </c>
      <c r="E853" s="1324">
        <f>+IF(ISBLANK(REPORTS!K683),"",REPORTS!K683)</f>
        <v>0</v>
      </c>
      <c r="F853" s="1324">
        <f>+IF(ISBLANK(REPORTS!L683),"",REPORTS!L683)</f>
        <v>0</v>
      </c>
      <c r="G853" s="1324">
        <f>+IF(ISBLANK(REPORTS!M683),"",REPORTS!M683)</f>
        <v>0</v>
      </c>
      <c r="H853" s="1324">
        <f>+IF(ISBLANK(REPORTS!N683),"",REPORTS!N683)</f>
        <v>0</v>
      </c>
      <c r="I853" s="1324">
        <f>+IF(ISBLANK(REPORTS!O683),"",REPORTS!O683)</f>
        <v>0</v>
      </c>
      <c r="J853" s="1324">
        <f>+IF(ISBLANK(REPORTS!P683),"",REPORTS!P683)</f>
        <v>0</v>
      </c>
      <c r="K853" s="1324">
        <f>+IF(ISBLANK(REPORTS!Q683),"",REPORTS!Q683)</f>
        <v>0</v>
      </c>
      <c r="L853" s="1324"/>
      <c r="M853" s="1324"/>
    </row>
    <row r="854" spans="1:13">
      <c r="A854" s="1393">
        <v>45</v>
      </c>
      <c r="B854" s="1324" t="s">
        <v>5241</v>
      </c>
      <c r="C854" s="1324" t="s">
        <v>4067</v>
      </c>
      <c r="D854" s="1324">
        <f>+IF(ISBLANK(REPORTS!J684),"",REPORTS!J684)</f>
        <v>0</v>
      </c>
      <c r="E854" s="1324">
        <f>+IF(ISBLANK(REPORTS!K684),"",REPORTS!K684)</f>
        <v>0</v>
      </c>
      <c r="F854" s="1324">
        <f>+IF(ISBLANK(REPORTS!L684),"",REPORTS!L684)</f>
        <v>0</v>
      </c>
      <c r="G854" s="1324">
        <f>+IF(ISBLANK(REPORTS!M684),"",REPORTS!M684)</f>
        <v>0</v>
      </c>
      <c r="H854" s="1324">
        <f>+IF(ISBLANK(REPORTS!N684),"",REPORTS!N684)</f>
        <v>0</v>
      </c>
      <c r="I854" s="1324">
        <f>+IF(ISBLANK(REPORTS!O684),"",REPORTS!O684)</f>
        <v>0</v>
      </c>
      <c r="J854" s="1324">
        <f>+IF(ISBLANK(REPORTS!P684),"",REPORTS!P684)</f>
        <v>0</v>
      </c>
      <c r="K854" s="1324">
        <f>+IF(ISBLANK(REPORTS!Q684),"",REPORTS!Q684)</f>
        <v>0</v>
      </c>
      <c r="L854" s="1324"/>
      <c r="M854" s="1324"/>
    </row>
    <row r="855" spans="1:13">
      <c r="A855" s="1393">
        <v>46</v>
      </c>
      <c r="B855" s="1324" t="s">
        <v>5242</v>
      </c>
      <c r="C855" s="1324" t="s">
        <v>4071</v>
      </c>
      <c r="D855" s="1324">
        <f>+IF(ISBLANK(REPORTS!J685),"",REPORTS!J685)</f>
        <v>0</v>
      </c>
      <c r="E855" s="1324">
        <f>+IF(ISBLANK(REPORTS!K685),"",REPORTS!K685)</f>
        <v>0</v>
      </c>
      <c r="F855" s="1324">
        <f>+IF(ISBLANK(REPORTS!L685),"",REPORTS!L685)</f>
        <v>0</v>
      </c>
      <c r="G855" s="1324">
        <f>+IF(ISBLANK(REPORTS!M685),"",REPORTS!M685)</f>
        <v>0</v>
      </c>
      <c r="H855" s="1324">
        <f>+IF(ISBLANK(REPORTS!N685),"",REPORTS!N685)</f>
        <v>0</v>
      </c>
      <c r="I855" s="1324">
        <f>+IF(ISBLANK(REPORTS!O685),"",REPORTS!O685)</f>
        <v>0</v>
      </c>
      <c r="J855" s="1324">
        <f>+IF(ISBLANK(REPORTS!P685),"",REPORTS!P685)</f>
        <v>0</v>
      </c>
      <c r="K855" s="1324">
        <f>+IF(ISBLANK(REPORTS!Q685),"",REPORTS!Q685)</f>
        <v>0</v>
      </c>
      <c r="L855" s="1324"/>
      <c r="M855" s="1324"/>
    </row>
    <row r="856" spans="1:13">
      <c r="A856" s="1393">
        <v>47</v>
      </c>
      <c r="B856" s="1324" t="s">
        <v>5244</v>
      </c>
      <c r="C856" s="1324" t="s">
        <v>4071</v>
      </c>
      <c r="D856" s="1366">
        <f>+IF(ISBLANK(REPORTS!J686),"",REPORTS!J686)</f>
        <v>0</v>
      </c>
      <c r="E856" s="1366">
        <f>+IF(ISBLANK(REPORTS!K686),"",REPORTS!K686)</f>
        <v>0</v>
      </c>
      <c r="F856" s="1366">
        <f>+IF(ISBLANK(REPORTS!L686),"",REPORTS!L686)</f>
        <v>0</v>
      </c>
      <c r="G856" s="1366">
        <f>+IF(ISBLANK(REPORTS!M686),"",REPORTS!M686)</f>
        <v>0</v>
      </c>
      <c r="H856" s="1366">
        <f>+IF(ISBLANK(REPORTS!N686),"",REPORTS!N686)</f>
        <v>0</v>
      </c>
      <c r="I856" s="1366">
        <f>+IF(ISBLANK(REPORTS!O686),"",REPORTS!O686)</f>
        <v>0</v>
      </c>
      <c r="J856" s="1366">
        <f>+IF(ISBLANK(REPORTS!P686),"",REPORTS!P686)</f>
        <v>0</v>
      </c>
      <c r="K856" s="1366">
        <f>+IF(ISBLANK(REPORTS!Q686),"",REPORTS!Q686)</f>
        <v>0</v>
      </c>
      <c r="L856" s="1364"/>
      <c r="M856" s="1324"/>
    </row>
    <row r="857" spans="1:13">
      <c r="A857" s="1393">
        <v>48</v>
      </c>
      <c r="B857" s="1324" t="s">
        <v>5533</v>
      </c>
      <c r="D857" s="1421">
        <f>+IF(ISBLANK(REPORTS!J687),"",REPORTS!J687)</f>
        <v>0</v>
      </c>
      <c r="E857" s="1421">
        <f>+IF(ISBLANK(REPORTS!K687),"",REPORTS!K687)</f>
        <v>0</v>
      </c>
      <c r="F857" s="1421">
        <f>+IF(ISBLANK(REPORTS!L687),"",REPORTS!L687)</f>
        <v>0</v>
      </c>
      <c r="G857" s="1421">
        <f>+IF(ISBLANK(REPORTS!M687),"",REPORTS!M687)</f>
        <v>0</v>
      </c>
      <c r="H857" s="1421">
        <f>+IF(ISBLANK(REPORTS!N687),"",REPORTS!N687)</f>
        <v>0</v>
      </c>
      <c r="I857" s="1421">
        <f>+IF(ISBLANK(REPORTS!O687),"",REPORTS!O687)</f>
        <v>0</v>
      </c>
      <c r="J857" s="1421">
        <f>+IF(ISBLANK(REPORTS!P687),"",REPORTS!P687)</f>
        <v>0</v>
      </c>
      <c r="K857" s="1421">
        <f>+IF(ISBLANK(REPORTS!Q687),"",REPORTS!Q687)</f>
        <v>0</v>
      </c>
      <c r="L857" s="1364"/>
      <c r="M857" s="1324"/>
    </row>
    <row r="858" spans="1:13">
      <c r="A858" s="1393">
        <v>49</v>
      </c>
      <c r="D858" s="1324" t="str">
        <f>+IF(ISBLANK(REPORTS!J688),"",REPORTS!J688)</f>
        <v/>
      </c>
      <c r="E858" s="1324" t="str">
        <f>+IF(ISBLANK(REPORTS!K688),"",REPORTS!K688)</f>
        <v/>
      </c>
      <c r="F858" s="1324" t="str">
        <f>+IF(ISBLANK(REPORTS!L688),"",REPORTS!L688)</f>
        <v/>
      </c>
      <c r="G858" s="1324" t="str">
        <f>+IF(ISBLANK(REPORTS!M688),"",REPORTS!M688)</f>
        <v/>
      </c>
      <c r="H858" s="1324" t="str">
        <f>+IF(ISBLANK(REPORTS!N688),"",REPORTS!N688)</f>
        <v/>
      </c>
      <c r="I858" s="1324" t="str">
        <f>+IF(ISBLANK(REPORTS!O688),"",REPORTS!O688)</f>
        <v/>
      </c>
      <c r="J858" s="1324" t="str">
        <f>+IF(ISBLANK(REPORTS!P688),"",REPORTS!P688)</f>
        <v/>
      </c>
      <c r="K858" s="1324" t="str">
        <f>+IF(ISBLANK(REPORTS!Q688),"",REPORTS!Q688)</f>
        <v/>
      </c>
    </row>
    <row r="859" spans="1:13">
      <c r="A859" s="1393">
        <v>50</v>
      </c>
      <c r="B859" s="1362" t="s">
        <v>5535</v>
      </c>
      <c r="D859" s="1324" t="str">
        <f>+IF(ISBLANK(REPORTS!J689),"",REPORTS!J689)</f>
        <v/>
      </c>
      <c r="E859" s="1324" t="str">
        <f>+IF(ISBLANK(REPORTS!K689),"",REPORTS!K689)</f>
        <v/>
      </c>
      <c r="F859" s="1324" t="str">
        <f>+IF(ISBLANK(REPORTS!L689),"",REPORTS!L689)</f>
        <v/>
      </c>
      <c r="G859" s="1324" t="str">
        <f>+IF(ISBLANK(REPORTS!M689),"",REPORTS!M689)</f>
        <v/>
      </c>
      <c r="H859" s="1324" t="str">
        <f>+IF(ISBLANK(REPORTS!N689),"",REPORTS!N689)</f>
        <v/>
      </c>
      <c r="I859" s="1324" t="str">
        <f>+IF(ISBLANK(REPORTS!O689),"",REPORTS!O689)</f>
        <v/>
      </c>
      <c r="J859" s="1324" t="str">
        <f>+IF(ISBLANK(REPORTS!P689),"",REPORTS!P689)</f>
        <v/>
      </c>
      <c r="K859" s="1324" t="str">
        <f>+IF(ISBLANK(REPORTS!Q689),"",REPORTS!Q689)</f>
        <v/>
      </c>
    </row>
    <row r="860" spans="1:13">
      <c r="A860" s="1393">
        <v>51</v>
      </c>
      <c r="B860" s="1324" t="s">
        <v>5265</v>
      </c>
      <c r="C860" s="1324" t="s">
        <v>4067</v>
      </c>
      <c r="D860" s="1324">
        <f>+IF(ISBLANK(REPORTS!J690),"",REPORTS!J690)</f>
        <v>51196.763326436805</v>
      </c>
      <c r="E860" s="1324">
        <f>+IF(ISBLANK(REPORTS!K690),"",REPORTS!K690)</f>
        <v>29397.932388049616</v>
      </c>
      <c r="F860" s="1324">
        <f>+IF(ISBLANK(REPORTS!L690),"",REPORTS!L690)</f>
        <v>2444.7510395591153</v>
      </c>
      <c r="G860" s="1324">
        <f>+IF(ISBLANK(REPORTS!M690),"",REPORTS!M690)</f>
        <v>15822.20947415499</v>
      </c>
      <c r="H860" s="1324">
        <f>+IF(ISBLANK(REPORTS!N690),"",REPORTS!N690)</f>
        <v>2022.185454252972</v>
      </c>
      <c r="I860" s="1324">
        <f>+IF(ISBLANK(REPORTS!O690),"",REPORTS!O690)</f>
        <v>1455.3732158393284</v>
      </c>
      <c r="J860" s="1324">
        <f>+IF(ISBLANK(REPORTS!P690),"",REPORTS!P690)</f>
        <v>54.311754580786712</v>
      </c>
      <c r="K860" s="1324">
        <f>+IF(ISBLANK(REPORTS!Q690),"",REPORTS!Q690)</f>
        <v>0</v>
      </c>
    </row>
    <row r="861" spans="1:13">
      <c r="A861" s="1393">
        <v>52</v>
      </c>
      <c r="B861" s="1324" t="s">
        <v>5265</v>
      </c>
      <c r="C861" s="1324" t="s">
        <v>2067</v>
      </c>
      <c r="D861" s="1324">
        <f>+IF(ISBLANK(REPORTS!J691),"",REPORTS!J691)</f>
        <v>5739.4427931324281</v>
      </c>
      <c r="E861" s="1324">
        <f>+IF(ISBLANK(REPORTS!K691),"",REPORTS!K691)</f>
        <v>2896.3190375264148</v>
      </c>
      <c r="F861" s="1324">
        <f>+IF(ISBLANK(REPORTS!L691),"",REPORTS!L691)</f>
        <v>267.65378427601598</v>
      </c>
      <c r="G861" s="1324">
        <f>+IF(ISBLANK(REPORTS!M691),"",REPORTS!M691)</f>
        <v>1993.91673269956</v>
      </c>
      <c r="H861" s="1324">
        <f>+IF(ISBLANK(REPORTS!N691),"",REPORTS!N691)</f>
        <v>317.39948413314949</v>
      </c>
      <c r="I861" s="1324">
        <f>+IF(ISBLANK(REPORTS!O691),"",REPORTS!O691)</f>
        <v>233.83196571193457</v>
      </c>
      <c r="J861" s="1324">
        <f>+IF(ISBLANK(REPORTS!P691),"",REPORTS!P691)</f>
        <v>30.321788785352023</v>
      </c>
      <c r="K861" s="1324">
        <f>+IF(ISBLANK(REPORTS!Q691),"",REPORTS!Q691)</f>
        <v>0</v>
      </c>
    </row>
    <row r="862" spans="1:13">
      <c r="A862" s="1393">
        <v>53</v>
      </c>
      <c r="B862" s="1324" t="s">
        <v>5268</v>
      </c>
      <c r="C862" s="1324" t="s">
        <v>4067</v>
      </c>
      <c r="D862" s="1324">
        <f>+IF(ISBLANK(REPORTS!J692),"",REPORTS!J692)</f>
        <v>3579.9638856632278</v>
      </c>
      <c r="E862" s="1324">
        <f>+IF(ISBLANK(REPORTS!K692),"",REPORTS!K692)</f>
        <v>2076.4257368566418</v>
      </c>
      <c r="F862" s="1324">
        <f>+IF(ISBLANK(REPORTS!L692),"",REPORTS!L692)</f>
        <v>171.28417930807112</v>
      </c>
      <c r="G862" s="1324">
        <f>+IF(ISBLANK(REPORTS!M692),"",REPORTS!M692)</f>
        <v>1094.9337072628068</v>
      </c>
      <c r="H862" s="1324">
        <f>+IF(ISBLANK(REPORTS!N692),"",REPORTS!N692)</f>
        <v>136.6879555185912</v>
      </c>
      <c r="I862" s="1324">
        <f>+IF(ISBLANK(REPORTS!O692),"",REPORTS!O692)</f>
        <v>98.094138783877625</v>
      </c>
      <c r="J862" s="1324">
        <f>+IF(ISBLANK(REPORTS!P692),"",REPORTS!P692)</f>
        <v>2.538167933239734</v>
      </c>
      <c r="K862" s="1324">
        <f>+IF(ISBLANK(REPORTS!Q692),"",REPORTS!Q692)</f>
        <v>0</v>
      </c>
    </row>
    <row r="863" spans="1:13">
      <c r="A863" s="1393">
        <v>54</v>
      </c>
      <c r="B863" s="1324" t="s">
        <v>5239</v>
      </c>
      <c r="C863" s="1324" t="s">
        <v>4067</v>
      </c>
      <c r="D863" s="1324">
        <f>+IF(ISBLANK(REPORTS!J693),"",REPORTS!J693)</f>
        <v>4117.6248100187522</v>
      </c>
      <c r="E863" s="1324">
        <f>+IF(ISBLANK(REPORTS!K693),"",REPORTS!K693)</f>
        <v>2388.2760841478166</v>
      </c>
      <c r="F863" s="1324">
        <f>+IF(ISBLANK(REPORTS!L693),"",REPORTS!L693)</f>
        <v>197.00868746388275</v>
      </c>
      <c r="G863" s="1324">
        <f>+IF(ISBLANK(REPORTS!M693),"",REPORTS!M693)</f>
        <v>1259.3775642281062</v>
      </c>
      <c r="H863" s="1324">
        <f>+IF(ISBLANK(REPORTS!N693),"",REPORTS!N693)</f>
        <v>157.21659068351752</v>
      </c>
      <c r="I863" s="1324">
        <f>+IF(ISBLANK(REPORTS!O693),"",REPORTS!O693)</f>
        <v>112.82651794100083</v>
      </c>
      <c r="J863" s="1324">
        <f>+IF(ISBLANK(REPORTS!P693),"",REPORTS!P693)</f>
        <v>2.9193655544281407</v>
      </c>
      <c r="K863" s="1324">
        <f>+IF(ISBLANK(REPORTS!Q693),"",REPORTS!Q693)</f>
        <v>0</v>
      </c>
    </row>
    <row r="864" spans="1:13">
      <c r="A864" s="1393">
        <v>55</v>
      </c>
      <c r="B864" s="1324" t="s">
        <v>5240</v>
      </c>
      <c r="C864" s="1324" t="s">
        <v>4067</v>
      </c>
      <c r="D864" s="1324">
        <f>+IF(ISBLANK(REPORTS!J694),"",REPORTS!J694)</f>
        <v>16853.009913513808</v>
      </c>
      <c r="E864" s="1324">
        <f>+IF(ISBLANK(REPORTS!K694),"",REPORTS!K694)</f>
        <v>10489.583221863124</v>
      </c>
      <c r="F864" s="1324">
        <f>+IF(ISBLANK(REPORTS!L694),"",REPORTS!L694)</f>
        <v>746.04546723653868</v>
      </c>
      <c r="G864" s="1324">
        <f>+IF(ISBLANK(REPORTS!M694),"",REPORTS!M694)</f>
        <v>4995.2402144667149</v>
      </c>
      <c r="H864" s="1324">
        <f>+IF(ISBLANK(REPORTS!N694),"",REPORTS!N694)</f>
        <v>525.39883581263837</v>
      </c>
      <c r="I864" s="1324">
        <f>+IF(ISBLANK(REPORTS!O694),"",REPORTS!O694)</f>
        <v>3.5873208972122574E-4</v>
      </c>
      <c r="J864" s="1324">
        <f>+IF(ISBLANK(REPORTS!P694),"",REPORTS!P694)</f>
        <v>96.741815402707303</v>
      </c>
      <c r="K864" s="1324">
        <f>+IF(ISBLANK(REPORTS!Q694),"",REPORTS!Q694)</f>
        <v>0</v>
      </c>
    </row>
    <row r="865" spans="1:13">
      <c r="A865" s="1393">
        <v>56</v>
      </c>
      <c r="B865" s="1324" t="s">
        <v>5241</v>
      </c>
      <c r="C865" s="1324" t="s">
        <v>4067</v>
      </c>
      <c r="D865" s="1324">
        <f>+IF(ISBLANK(REPORTS!J695),"",REPORTS!J695)</f>
        <v>7339.7985679760041</v>
      </c>
      <c r="E865" s="1324">
        <f>+IF(ISBLANK(REPORTS!K695),"",REPORTS!K695)</f>
        <v>5355.361166387469</v>
      </c>
      <c r="F865" s="1324">
        <f>+IF(ISBLANK(REPORTS!L695),"",REPORTS!L695)</f>
        <v>431.2128576450591</v>
      </c>
      <c r="G865" s="1324">
        <f>+IF(ISBLANK(REPORTS!M695),"",REPORTS!M695)</f>
        <v>1526.6733495763085</v>
      </c>
      <c r="H865" s="1324">
        <f>+IF(ISBLANK(REPORTS!N695),"",REPORTS!N695)</f>
        <v>0</v>
      </c>
      <c r="I865" s="1324">
        <f>+IF(ISBLANK(REPORTS!O695),"",REPORTS!O695)</f>
        <v>0</v>
      </c>
      <c r="J865" s="1324">
        <f>+IF(ISBLANK(REPORTS!P695),"",REPORTS!P695)</f>
        <v>26.55119436716889</v>
      </c>
      <c r="K865" s="1324">
        <f>+IF(ISBLANK(REPORTS!Q695),"",REPORTS!Q695)</f>
        <v>0</v>
      </c>
    </row>
    <row r="866" spans="1:13">
      <c r="A866" s="1393">
        <v>57</v>
      </c>
      <c r="B866" s="1324" t="s">
        <v>5242</v>
      </c>
      <c r="C866" s="1324" t="s">
        <v>4071</v>
      </c>
      <c r="D866" s="1324">
        <f>+IF(ISBLANK(REPORTS!J696),"",REPORTS!J696)</f>
        <v>8437.1296707808851</v>
      </c>
      <c r="E866" s="1324">
        <f>+IF(ISBLANK(REPORTS!K696),"",REPORTS!K696)</f>
        <v>3110.4045617140023</v>
      </c>
      <c r="F866" s="1324">
        <f>+IF(ISBLANK(REPORTS!L696),"",REPORTS!L696)</f>
        <v>471.80747462061015</v>
      </c>
      <c r="G866" s="1324">
        <f>+IF(ISBLANK(REPORTS!M696),"",REPORTS!M696)</f>
        <v>227.45802638709978</v>
      </c>
      <c r="H866" s="1324">
        <f>+IF(ISBLANK(REPORTS!N696),"",REPORTS!N696)</f>
        <v>14.663113828305843</v>
      </c>
      <c r="I866" s="1324">
        <f>+IF(ISBLANK(REPORTS!O696),"",REPORTS!O696)</f>
        <v>15.99807271668899</v>
      </c>
      <c r="J866" s="1324">
        <f>+IF(ISBLANK(REPORTS!P696),"",REPORTS!P696)</f>
        <v>3.6717486021893762</v>
      </c>
      <c r="K866" s="1324">
        <f>+IF(ISBLANK(REPORTS!Q696),"",REPORTS!Q696)</f>
        <v>4593.1266729119889</v>
      </c>
    </row>
    <row r="867" spans="1:13">
      <c r="A867" s="1393">
        <v>58</v>
      </c>
      <c r="B867" s="1324" t="s">
        <v>5244</v>
      </c>
      <c r="C867" s="1324" t="s">
        <v>4071</v>
      </c>
      <c r="D867" s="1324">
        <f>+IF(ISBLANK(REPORTS!J697),"",REPORTS!J697)</f>
        <v>4328.749069178054</v>
      </c>
      <c r="E867" s="1324">
        <f>+IF(ISBLANK(REPORTS!K697),"",REPORTS!K697)</f>
        <v>3860.7542183025025</v>
      </c>
      <c r="F867" s="1324">
        <f>+IF(ISBLANK(REPORTS!L697),"",REPORTS!L697)</f>
        <v>374.26536620808031</v>
      </c>
      <c r="G867" s="1324">
        <f>+IF(ISBLANK(REPORTS!M697),"",REPORTS!M697)</f>
        <v>92.178370123648421</v>
      </c>
      <c r="H867" s="1324">
        <f>+IF(ISBLANK(REPORTS!N697),"",REPORTS!N697)</f>
        <v>0.31122686639798519</v>
      </c>
      <c r="I867" s="1324">
        <f>+IF(ISBLANK(REPORTS!O697),"",REPORTS!O697)</f>
        <v>5.5217669844803821E-2</v>
      </c>
      <c r="J867" s="1324">
        <f>+IF(ISBLANK(REPORTS!P697),"",REPORTS!P697)</f>
        <v>1.1846700075794274</v>
      </c>
      <c r="K867" s="1324">
        <f>+IF(ISBLANK(REPORTS!Q697),"",REPORTS!Q697)</f>
        <v>0</v>
      </c>
    </row>
    <row r="868" spans="1:13">
      <c r="A868" s="1393">
        <v>59</v>
      </c>
      <c r="B868" s="1324" t="s">
        <v>5491</v>
      </c>
      <c r="D868" s="1421">
        <f>+IF(ISBLANK(REPORTS!J698),"",REPORTS!J698)</f>
        <v>101592.48203669996</v>
      </c>
      <c r="E868" s="1421">
        <f>+IF(ISBLANK(REPORTS!K698),"",REPORTS!K698)</f>
        <v>59575.056414847582</v>
      </c>
      <c r="F868" s="1421">
        <f>+IF(ISBLANK(REPORTS!L698),"",REPORTS!L698)</f>
        <v>5104.0288563173726</v>
      </c>
      <c r="G868" s="1421">
        <f>+IF(ISBLANK(REPORTS!M698),"",REPORTS!M698)</f>
        <v>27011.987438899236</v>
      </c>
      <c r="H868" s="1421">
        <f>+IF(ISBLANK(REPORTS!N698),"",REPORTS!N698)</f>
        <v>3173.8626610955725</v>
      </c>
      <c r="I868" s="1421">
        <f>+IF(ISBLANK(REPORTS!O698),"",REPORTS!O698)</f>
        <v>1916.1794873947651</v>
      </c>
      <c r="J868" s="1421">
        <f>+IF(ISBLANK(REPORTS!P698),"",REPORTS!P698)</f>
        <v>218.24050523345159</v>
      </c>
      <c r="K868" s="1421">
        <f>+IF(ISBLANK(REPORTS!Q698),"",REPORTS!Q698)</f>
        <v>4593.1266729119889</v>
      </c>
      <c r="L868" s="1358"/>
    </row>
    <row r="869" spans="1:13">
      <c r="A869" s="1393">
        <v>60</v>
      </c>
      <c r="D869" s="1324" t="str">
        <f>+IF(ISBLANK(REPORTS!J699),"",REPORTS!J699)</f>
        <v/>
      </c>
      <c r="E869" s="1324" t="str">
        <f>+IF(ISBLANK(REPORTS!K699),"",REPORTS!K699)</f>
        <v/>
      </c>
      <c r="F869" s="1324" t="str">
        <f>+IF(ISBLANK(REPORTS!L699),"",REPORTS!L699)</f>
        <v/>
      </c>
      <c r="G869" s="1324" t="str">
        <f>+IF(ISBLANK(REPORTS!M699),"",REPORTS!M699)</f>
        <v/>
      </c>
      <c r="H869" s="1324" t="str">
        <f>+IF(ISBLANK(REPORTS!N699),"",REPORTS!N699)</f>
        <v/>
      </c>
      <c r="I869" s="1324" t="str">
        <f>+IF(ISBLANK(REPORTS!O699),"",REPORTS!O699)</f>
        <v/>
      </c>
      <c r="J869" s="1324" t="str">
        <f>+IF(ISBLANK(REPORTS!P699),"",REPORTS!P699)</f>
        <v/>
      </c>
      <c r="K869" s="1324" t="str">
        <f>+IF(ISBLANK(REPORTS!Q699),"",REPORTS!Q699)</f>
        <v/>
      </c>
    </row>
    <row r="870" spans="1:13">
      <c r="A870" s="1393">
        <v>61</v>
      </c>
      <c r="B870" s="1362" t="s">
        <v>5545</v>
      </c>
      <c r="D870" s="1324" t="str">
        <f>+IF(ISBLANK(REPORTS!J700),"",REPORTS!J700)</f>
        <v/>
      </c>
      <c r="E870" s="1324" t="str">
        <f>+IF(ISBLANK(REPORTS!K700),"",REPORTS!K700)</f>
        <v/>
      </c>
      <c r="F870" s="1324" t="str">
        <f>+IF(ISBLANK(REPORTS!L700),"",REPORTS!L700)</f>
        <v/>
      </c>
      <c r="G870" s="1324" t="str">
        <f>+IF(ISBLANK(REPORTS!M700),"",REPORTS!M700)</f>
        <v/>
      </c>
      <c r="H870" s="1324" t="str">
        <f>+IF(ISBLANK(REPORTS!N700),"",REPORTS!N700)</f>
        <v/>
      </c>
      <c r="I870" s="1324" t="str">
        <f>+IF(ISBLANK(REPORTS!O700),"",REPORTS!O700)</f>
        <v/>
      </c>
      <c r="J870" s="1324" t="str">
        <f>+IF(ISBLANK(REPORTS!P700),"",REPORTS!P700)</f>
        <v/>
      </c>
      <c r="K870" s="1324" t="str">
        <f>+IF(ISBLANK(REPORTS!Q700),"",REPORTS!Q700)</f>
        <v/>
      </c>
    </row>
    <row r="871" spans="1:13">
      <c r="A871" s="1393">
        <v>62</v>
      </c>
      <c r="B871" s="1324" t="s">
        <v>5265</v>
      </c>
      <c r="C871" s="1324" t="s">
        <v>4067</v>
      </c>
      <c r="D871" s="1364">
        <f>+IF(ISBLANK(REPORTS!J701),"",REPORTS!J701)</f>
        <v>0</v>
      </c>
      <c r="E871" s="1324">
        <f>+IF(ISBLANK(REPORTS!K701),"",REPORTS!K701)</f>
        <v>0</v>
      </c>
      <c r="F871" s="1324">
        <f>+IF(ISBLANK(REPORTS!L701),"",REPORTS!L701)</f>
        <v>0</v>
      </c>
      <c r="G871" s="1324">
        <f>+IF(ISBLANK(REPORTS!M701),"",REPORTS!M701)</f>
        <v>0</v>
      </c>
      <c r="H871" s="1324">
        <f>+IF(ISBLANK(REPORTS!N701),"",REPORTS!N701)</f>
        <v>0</v>
      </c>
      <c r="I871" s="1324">
        <f>+IF(ISBLANK(REPORTS!O701),"",REPORTS!O701)</f>
        <v>0</v>
      </c>
      <c r="J871" s="1324">
        <f>+IF(ISBLANK(REPORTS!P701),"",REPORTS!P701)</f>
        <v>0</v>
      </c>
      <c r="K871" s="1324">
        <f>+IF(ISBLANK(REPORTS!Q701),"",REPORTS!Q701)</f>
        <v>0</v>
      </c>
      <c r="L871" s="1324"/>
      <c r="M871" s="1324">
        <v>122</v>
      </c>
    </row>
    <row r="872" spans="1:13">
      <c r="A872" s="1393">
        <v>63</v>
      </c>
      <c r="B872" s="1324" t="s">
        <v>5265</v>
      </c>
      <c r="C872" s="1324" t="s">
        <v>2067</v>
      </c>
      <c r="D872" s="1364">
        <f>+IF(ISBLANK(REPORTS!J702),"",REPORTS!J702)</f>
        <v>0</v>
      </c>
      <c r="E872" s="1364">
        <f>+IF(ISBLANK(REPORTS!K702),"",REPORTS!K702)</f>
        <v>0</v>
      </c>
      <c r="F872" s="1364">
        <f>+IF(ISBLANK(REPORTS!L702),"",REPORTS!L702)</f>
        <v>0</v>
      </c>
      <c r="G872" s="1364">
        <f>+IF(ISBLANK(REPORTS!M702),"",REPORTS!M702)</f>
        <v>0</v>
      </c>
      <c r="H872" s="1364">
        <f>+IF(ISBLANK(REPORTS!N702),"",REPORTS!N702)</f>
        <v>0</v>
      </c>
      <c r="I872" s="1364">
        <f>+IF(ISBLANK(REPORTS!O702),"",REPORTS!O702)</f>
        <v>0</v>
      </c>
      <c r="J872" s="1364">
        <f>+IF(ISBLANK(REPORTS!P702),"",REPORTS!P702)</f>
        <v>0</v>
      </c>
      <c r="K872" s="1364">
        <f>+IF(ISBLANK(REPORTS!Q702),"",REPORTS!Q702)</f>
        <v>0</v>
      </c>
      <c r="L872" s="1364"/>
      <c r="M872" s="1324">
        <v>201</v>
      </c>
    </row>
    <row r="873" spans="1:13">
      <c r="A873" s="1393">
        <v>64</v>
      </c>
      <c r="B873" s="1324" t="s">
        <v>5268</v>
      </c>
      <c r="C873" s="1324" t="s">
        <v>4067</v>
      </c>
      <c r="D873" s="1364">
        <f>+IF(ISBLANK(REPORTS!J703),"",REPORTS!J703)</f>
        <v>0</v>
      </c>
      <c r="E873" s="1364">
        <f>+IF(ISBLANK(REPORTS!K703),"",REPORTS!K703)</f>
        <v>0</v>
      </c>
      <c r="F873" s="1364">
        <f>+IF(ISBLANK(REPORTS!L703),"",REPORTS!L703)</f>
        <v>0</v>
      </c>
      <c r="G873" s="1364">
        <f>+IF(ISBLANK(REPORTS!M703),"",REPORTS!M703)</f>
        <v>0</v>
      </c>
      <c r="H873" s="1364">
        <f>+IF(ISBLANK(REPORTS!N703),"",REPORTS!N703)</f>
        <v>0</v>
      </c>
      <c r="I873" s="1364">
        <f>+IF(ISBLANK(REPORTS!O703),"",REPORTS!O703)</f>
        <v>0</v>
      </c>
      <c r="J873" s="1364">
        <f>+IF(ISBLANK(REPORTS!P703),"",REPORTS!P703)</f>
        <v>0</v>
      </c>
      <c r="K873" s="1364">
        <f>+IF(ISBLANK(REPORTS!Q703),"",REPORTS!Q703)</f>
        <v>0</v>
      </c>
      <c r="L873" s="1358"/>
      <c r="M873" s="1320">
        <v>117</v>
      </c>
    </row>
    <row r="874" spans="1:13">
      <c r="A874" s="1393">
        <v>65</v>
      </c>
      <c r="B874" s="1324" t="s">
        <v>5239</v>
      </c>
      <c r="C874" s="1324" t="s">
        <v>4067</v>
      </c>
      <c r="D874" s="1364">
        <f>+IF(ISBLANK(REPORTS!J704),"",REPORTS!J704)</f>
        <v>0</v>
      </c>
      <c r="E874" s="1364">
        <f>+IF(ISBLANK(REPORTS!K704),"",REPORTS!K704)</f>
        <v>0</v>
      </c>
      <c r="F874" s="1364">
        <f>+IF(ISBLANK(REPORTS!L704),"",REPORTS!L704)</f>
        <v>0</v>
      </c>
      <c r="G874" s="1364">
        <f>+IF(ISBLANK(REPORTS!M704),"",REPORTS!M704)</f>
        <v>0</v>
      </c>
      <c r="H874" s="1364">
        <f>+IF(ISBLANK(REPORTS!N704),"",REPORTS!N704)</f>
        <v>0</v>
      </c>
      <c r="I874" s="1364">
        <f>+IF(ISBLANK(REPORTS!O704),"",REPORTS!O704)</f>
        <v>0</v>
      </c>
      <c r="J874" s="1364">
        <f>+IF(ISBLANK(REPORTS!P704),"",REPORTS!P704)</f>
        <v>0</v>
      </c>
      <c r="K874" s="1364">
        <f>+IF(ISBLANK(REPORTS!Q704),"",REPORTS!Q704)</f>
        <v>0</v>
      </c>
      <c r="L874" s="1358"/>
      <c r="M874" s="1320">
        <v>117</v>
      </c>
    </row>
    <row r="875" spans="1:13">
      <c r="A875" s="1393">
        <v>66</v>
      </c>
      <c r="B875" s="1324" t="s">
        <v>5240</v>
      </c>
      <c r="C875" s="1324" t="s">
        <v>4067</v>
      </c>
      <c r="D875" s="1364">
        <f>+IF(ISBLANK(REPORTS!J705),"",REPORTS!J705)</f>
        <v>0</v>
      </c>
      <c r="E875" s="1364">
        <f>+IF(ISBLANK(REPORTS!K705),"",REPORTS!K705)</f>
        <v>0</v>
      </c>
      <c r="F875" s="1364">
        <f>+IF(ISBLANK(REPORTS!L705),"",REPORTS!L705)</f>
        <v>0</v>
      </c>
      <c r="G875" s="1364">
        <f>+IF(ISBLANK(REPORTS!M705),"",REPORTS!M705)</f>
        <v>0</v>
      </c>
      <c r="H875" s="1364">
        <f>+IF(ISBLANK(REPORTS!N705),"",REPORTS!N705)</f>
        <v>0</v>
      </c>
      <c r="I875" s="1364">
        <f>+IF(ISBLANK(REPORTS!O705),"",REPORTS!O705)</f>
        <v>0</v>
      </c>
      <c r="J875" s="1364">
        <f>+IF(ISBLANK(REPORTS!P705),"",REPORTS!P705)</f>
        <v>0</v>
      </c>
      <c r="K875" s="1364">
        <f>+IF(ISBLANK(REPORTS!Q705),"",REPORTS!Q705)</f>
        <v>0</v>
      </c>
      <c r="L875" s="1358"/>
      <c r="M875" s="1320">
        <v>105</v>
      </c>
    </row>
    <row r="876" spans="1:13">
      <c r="A876" s="1393">
        <v>67</v>
      </c>
      <c r="B876" s="1324" t="s">
        <v>5241</v>
      </c>
      <c r="C876" s="1324" t="s">
        <v>4067</v>
      </c>
      <c r="D876" s="1364">
        <f>+IF(ISBLANK(REPORTS!J706),"",REPORTS!J706)</f>
        <v>0</v>
      </c>
      <c r="E876" s="1364">
        <f>+IF(ISBLANK(REPORTS!K706),"",REPORTS!K706)</f>
        <v>0</v>
      </c>
      <c r="F876" s="1364">
        <f>+IF(ISBLANK(REPORTS!L706),"",REPORTS!L706)</f>
        <v>0</v>
      </c>
      <c r="G876" s="1364">
        <f>+IF(ISBLANK(REPORTS!M706),"",REPORTS!M706)</f>
        <v>0</v>
      </c>
      <c r="H876" s="1364">
        <f>+IF(ISBLANK(REPORTS!N706),"",REPORTS!N706)</f>
        <v>0</v>
      </c>
      <c r="I876" s="1364">
        <f>+IF(ISBLANK(REPORTS!O706),"",REPORTS!O706)</f>
        <v>0</v>
      </c>
      <c r="J876" s="1364">
        <f>+IF(ISBLANK(REPORTS!P706),"",REPORTS!P706)</f>
        <v>0</v>
      </c>
      <c r="K876" s="1364">
        <f>+IF(ISBLANK(REPORTS!Q706),"",REPORTS!Q706)</f>
        <v>0</v>
      </c>
      <c r="L876" s="1358"/>
      <c r="M876" s="1320">
        <v>106</v>
      </c>
    </row>
    <row r="877" spans="1:13">
      <c r="A877" s="1393">
        <v>68</v>
      </c>
      <c r="B877" s="1324" t="s">
        <v>5242</v>
      </c>
      <c r="C877" s="1324" t="s">
        <v>4071</v>
      </c>
      <c r="D877" s="1364">
        <f>+IF(ISBLANK(REPORTS!J707),"",REPORTS!J707)</f>
        <v>0</v>
      </c>
      <c r="E877" s="1364">
        <f>+IF(ISBLANK(REPORTS!K707),"",REPORTS!K707)</f>
        <v>0</v>
      </c>
      <c r="F877" s="1364">
        <f>+IF(ISBLANK(REPORTS!L707),"",REPORTS!L707)</f>
        <v>0</v>
      </c>
      <c r="G877" s="1364">
        <f>+IF(ISBLANK(REPORTS!M707),"",REPORTS!M707)</f>
        <v>0</v>
      </c>
      <c r="H877" s="1364">
        <f>+IF(ISBLANK(REPORTS!N707),"",REPORTS!N707)</f>
        <v>0</v>
      </c>
      <c r="I877" s="1364">
        <f>+IF(ISBLANK(REPORTS!O707),"",REPORTS!O707)</f>
        <v>0</v>
      </c>
      <c r="J877" s="1364">
        <f>+IF(ISBLANK(REPORTS!P707),"",REPORTS!P707)</f>
        <v>0</v>
      </c>
      <c r="K877" s="1364">
        <f>+IF(ISBLANK(REPORTS!Q707),"",REPORTS!Q707)</f>
        <v>0</v>
      </c>
      <c r="L877" s="1358"/>
      <c r="M877" s="1320">
        <v>907</v>
      </c>
    </row>
    <row r="878" spans="1:13">
      <c r="A878" s="1393">
        <v>69</v>
      </c>
      <c r="B878" s="1324" t="s">
        <v>5244</v>
      </c>
      <c r="C878" s="1324" t="s">
        <v>4071</v>
      </c>
      <c r="D878" s="1364">
        <f>+IF(ISBLANK(REPORTS!J708),"",REPORTS!J708)</f>
        <v>0</v>
      </c>
      <c r="E878" s="1364">
        <f>+IF(ISBLANK(REPORTS!K708),"",REPORTS!K708)</f>
        <v>0</v>
      </c>
      <c r="F878" s="1364">
        <f>+IF(ISBLANK(REPORTS!L708),"",REPORTS!L708)</f>
        <v>0</v>
      </c>
      <c r="G878" s="1364">
        <f>+IF(ISBLANK(REPORTS!M708),"",REPORTS!M708)</f>
        <v>0</v>
      </c>
      <c r="H878" s="1364">
        <f>+IF(ISBLANK(REPORTS!N708),"",REPORTS!N708)</f>
        <v>0</v>
      </c>
      <c r="I878" s="1364">
        <f>+IF(ISBLANK(REPORTS!O708),"",REPORTS!O708)</f>
        <v>0</v>
      </c>
      <c r="J878" s="1364">
        <f>+IF(ISBLANK(REPORTS!P708),"",REPORTS!P708)</f>
        <v>0</v>
      </c>
      <c r="K878" s="1364">
        <f>+IF(ISBLANK(REPORTS!Q708),"",REPORTS!Q708)</f>
        <v>0</v>
      </c>
      <c r="L878" s="1358"/>
      <c r="M878" s="1320">
        <v>412</v>
      </c>
    </row>
    <row r="879" spans="1:13">
      <c r="A879" s="1393">
        <v>70</v>
      </c>
      <c r="B879" s="1324" t="s">
        <v>5546</v>
      </c>
      <c r="D879" s="1421">
        <f>+IF(ISBLANK(REPORTS!J709),"",REPORTS!J709)</f>
        <v>0</v>
      </c>
      <c r="E879" s="1421">
        <f>+IF(ISBLANK(REPORTS!K709),"",REPORTS!K709)</f>
        <v>0</v>
      </c>
      <c r="F879" s="1421">
        <f>+IF(ISBLANK(REPORTS!L709),"",REPORTS!L709)</f>
        <v>0</v>
      </c>
      <c r="G879" s="1421">
        <f>+IF(ISBLANK(REPORTS!M709),"",REPORTS!M709)</f>
        <v>0</v>
      </c>
      <c r="H879" s="1421">
        <f>+IF(ISBLANK(REPORTS!N709),"",REPORTS!N709)</f>
        <v>0</v>
      </c>
      <c r="I879" s="1421">
        <f>+IF(ISBLANK(REPORTS!O709),"",REPORTS!O709)</f>
        <v>0</v>
      </c>
      <c r="J879" s="1421">
        <f>+IF(ISBLANK(REPORTS!P709),"",REPORTS!P709)</f>
        <v>0</v>
      </c>
      <c r="K879" s="1421">
        <f>+IF(ISBLANK(REPORTS!Q709),"",REPORTS!Q709)</f>
        <v>0</v>
      </c>
      <c r="L879" s="1358"/>
    </row>
    <row r="880" spans="1:13">
      <c r="A880" s="1393">
        <v>71</v>
      </c>
      <c r="D880" s="1324" t="str">
        <f>+IF(ISBLANK(REPORTS!J710),"",REPORTS!J710)</f>
        <v/>
      </c>
      <c r="E880" s="1324" t="str">
        <f>+IF(ISBLANK(REPORTS!K710),"",REPORTS!K710)</f>
        <v/>
      </c>
      <c r="F880" s="1324" t="str">
        <f>+IF(ISBLANK(REPORTS!L710),"",REPORTS!L710)</f>
        <v/>
      </c>
      <c r="G880" s="1324" t="str">
        <f>+IF(ISBLANK(REPORTS!M710),"",REPORTS!M710)</f>
        <v/>
      </c>
      <c r="H880" s="1324" t="str">
        <f>+IF(ISBLANK(REPORTS!N710),"",REPORTS!N710)</f>
        <v/>
      </c>
      <c r="I880" s="1324" t="str">
        <f>+IF(ISBLANK(REPORTS!O710),"",REPORTS!O710)</f>
        <v/>
      </c>
      <c r="J880" s="1324" t="str">
        <f>+IF(ISBLANK(REPORTS!P710),"",REPORTS!P710)</f>
        <v/>
      </c>
      <c r="K880" s="1324" t="str">
        <f>+IF(ISBLANK(REPORTS!Q710),"",REPORTS!Q710)</f>
        <v/>
      </c>
    </row>
    <row r="881" spans="1:13">
      <c r="A881" s="1393">
        <v>72</v>
      </c>
      <c r="B881" s="1362" t="s">
        <v>5548</v>
      </c>
      <c r="D881" s="1324" t="str">
        <f>+IF(ISBLANK(REPORTS!J711),"",REPORTS!J711)</f>
        <v/>
      </c>
      <c r="E881" s="1324" t="str">
        <f>+IF(ISBLANK(REPORTS!K711),"",REPORTS!K711)</f>
        <v/>
      </c>
      <c r="F881" s="1324" t="str">
        <f>+IF(ISBLANK(REPORTS!L711),"",REPORTS!L711)</f>
        <v/>
      </c>
      <c r="G881" s="1324" t="str">
        <f>+IF(ISBLANK(REPORTS!M711),"",REPORTS!M711)</f>
        <v/>
      </c>
      <c r="H881" s="1324" t="str">
        <f>+IF(ISBLANK(REPORTS!N711),"",REPORTS!N711)</f>
        <v/>
      </c>
      <c r="I881" s="1324" t="str">
        <f>+IF(ISBLANK(REPORTS!O711),"",REPORTS!O711)</f>
        <v/>
      </c>
      <c r="J881" s="1324" t="str">
        <f>+IF(ISBLANK(REPORTS!P711),"",REPORTS!P711)</f>
        <v/>
      </c>
      <c r="K881" s="1324" t="str">
        <f>+IF(ISBLANK(REPORTS!Q711),"",REPORTS!Q711)</f>
        <v/>
      </c>
    </row>
    <row r="882" spans="1:13">
      <c r="A882" s="1393">
        <v>73</v>
      </c>
      <c r="B882" s="1324" t="s">
        <v>5354</v>
      </c>
      <c r="C882" s="1324" t="s">
        <v>4777</v>
      </c>
      <c r="D882" s="1324">
        <f>+IF(ISBLANK(REPORTS!J712),"",REPORTS!J712)</f>
        <v>1774352.2642492782</v>
      </c>
      <c r="E882" s="1324">
        <f>+IF(ISBLANK(REPORTS!K712),"",REPORTS!K712)</f>
        <v>1031095.7438643834</v>
      </c>
      <c r="F882" s="1324">
        <f>+IF(ISBLANK(REPORTS!L712),"",REPORTS!L712)</f>
        <v>95215.926359999998</v>
      </c>
      <c r="G882" s="1324">
        <f>+IF(ISBLANK(REPORTS!M712),"",REPORTS!M712)</f>
        <v>472409.06597747206</v>
      </c>
      <c r="H882" s="1324">
        <f>+IF(ISBLANK(REPORTS!N712),"",REPORTS!N712)</f>
        <v>56248.638876056888</v>
      </c>
      <c r="I882" s="1324">
        <f>+IF(ISBLANK(REPORTS!O712),"",REPORTS!O712)</f>
        <v>33101.5829713657</v>
      </c>
      <c r="J882" s="1324">
        <f>+IF(ISBLANK(REPORTS!P712),"",REPORTS!P712)</f>
        <v>3573.4600599999999</v>
      </c>
      <c r="K882" s="1324">
        <f>+IF(ISBLANK(REPORTS!Q712),"",REPORTS!Q712)</f>
        <v>82707.846140000009</v>
      </c>
    </row>
    <row r="883" spans="1:13">
      <c r="A883" s="1393">
        <v>74</v>
      </c>
      <c r="B883" s="1324" t="s">
        <v>5265</v>
      </c>
      <c r="C883" s="1324" t="s">
        <v>4067</v>
      </c>
      <c r="D883" s="1324">
        <f>+IF(ISBLANK(REPORTS!J713),"",REPORTS!J713)</f>
        <v>-499519.65402862878</v>
      </c>
      <c r="E883" s="1324">
        <f>+IF(ISBLANK(REPORTS!K713),"",REPORTS!K713)</f>
        <v>-286831.51163293672</v>
      </c>
      <c r="F883" s="1324">
        <f>+IF(ISBLANK(REPORTS!L713),"",REPORTS!L713)</f>
        <v>-23853.09371376023</v>
      </c>
      <c r="G883" s="1324">
        <f>+IF(ISBLANK(REPORTS!M713),"",REPORTS!M713)</f>
        <v>-154375.08328611878</v>
      </c>
      <c r="H883" s="1324">
        <f>+IF(ISBLANK(REPORTS!N713),"",REPORTS!N713)</f>
        <v>-19730.180442257904</v>
      </c>
      <c r="I883" s="1324">
        <f>+IF(ISBLANK(REPORTS!O713),"",REPORTS!O713)</f>
        <v>-14199.872765847194</v>
      </c>
      <c r="J883" s="1324">
        <f>+IF(ISBLANK(REPORTS!P713),"",REPORTS!P713)</f>
        <v>-529.91218770803016</v>
      </c>
      <c r="K883" s="1324">
        <f>+IF(ISBLANK(REPORTS!Q713),"",REPORTS!Q713)</f>
        <v>0</v>
      </c>
    </row>
    <row r="884" spans="1:13">
      <c r="A884" s="1393">
        <v>75</v>
      </c>
      <c r="B884" s="1324" t="s">
        <v>5265</v>
      </c>
      <c r="C884" s="1324" t="s">
        <v>2067</v>
      </c>
      <c r="D884" s="1324">
        <f>+IF(ISBLANK(REPORTS!J714),"",REPORTS!J714)</f>
        <v>-77921.071382473339</v>
      </c>
      <c r="E884" s="1324">
        <f>+IF(ISBLANK(REPORTS!K714),"",REPORTS!K714)</f>
        <v>-39434.405811857745</v>
      </c>
      <c r="F884" s="1324">
        <f>+IF(ISBLANK(REPORTS!L714),"",REPORTS!L714)</f>
        <v>-3632.6119622815122</v>
      </c>
      <c r="G884" s="1324">
        <f>+IF(ISBLANK(REPORTS!M714),"",REPORTS!M714)</f>
        <v>-26986.019728203188</v>
      </c>
      <c r="H884" s="1324">
        <f>+IF(ISBLANK(REPORTS!N714),"",REPORTS!N714)</f>
        <v>-4286.8193659482995</v>
      </c>
      <c r="I884" s="1324">
        <f>+IF(ISBLANK(REPORTS!O714),"",REPORTS!O714)</f>
        <v>-3169.8854556608549</v>
      </c>
      <c r="J884" s="1324">
        <f>+IF(ISBLANK(REPORTS!P714),"",REPORTS!P714)</f>
        <v>-411.32905852173963</v>
      </c>
      <c r="K884" s="1324">
        <f>+IF(ISBLANK(REPORTS!Q714),"",REPORTS!Q714)</f>
        <v>0</v>
      </c>
    </row>
    <row r="885" spans="1:13">
      <c r="A885" s="1393">
        <v>76</v>
      </c>
      <c r="B885" s="1324" t="s">
        <v>5268</v>
      </c>
      <c r="C885" s="1324" t="s">
        <v>4067</v>
      </c>
      <c r="D885" s="1324">
        <f>+IF(ISBLANK(REPORTS!J715),"",REPORTS!J715)</f>
        <v>-20633.910933757241</v>
      </c>
      <c r="E885" s="1324">
        <f>+IF(ISBLANK(REPORTS!K715),"",REPORTS!K715)</f>
        <v>-11967.937410330529</v>
      </c>
      <c r="F885" s="1324">
        <f>+IF(ISBLANK(REPORTS!L715),"",REPORTS!L715)</f>
        <v>-987.23412109216929</v>
      </c>
      <c r="G885" s="1324">
        <f>+IF(ISBLANK(REPORTS!M715),"",REPORTS!M715)</f>
        <v>-6310.8917619273188</v>
      </c>
      <c r="H885" s="1324">
        <f>+IF(ISBLANK(REPORTS!N715),"",REPORTS!N715)</f>
        <v>-787.83115974519683</v>
      </c>
      <c r="I885" s="1324">
        <f>+IF(ISBLANK(REPORTS!O715),"",REPORTS!O715)</f>
        <v>-565.3871903278075</v>
      </c>
      <c r="J885" s="1324">
        <f>+IF(ISBLANK(REPORTS!P715),"",REPORTS!P715)</f>
        <v>-14.629290334219339</v>
      </c>
      <c r="K885" s="1324">
        <f>+IF(ISBLANK(REPORTS!Q715),"",REPORTS!Q715)</f>
        <v>0</v>
      </c>
      <c r="L885" s="1324"/>
      <c r="M885" s="1324"/>
    </row>
    <row r="886" spans="1:13">
      <c r="A886" s="1393">
        <v>77</v>
      </c>
      <c r="B886" s="1324" t="s">
        <v>5239</v>
      </c>
      <c r="C886" s="1324" t="s">
        <v>4067</v>
      </c>
      <c r="D886" s="1324">
        <f>+IF(ISBLANK(REPORTS!J716),"",REPORTS!J716)</f>
        <v>-30503.827811733776</v>
      </c>
      <c r="E886" s="1324">
        <f>+IF(ISBLANK(REPORTS!K716),"",REPORTS!K716)</f>
        <v>-17692.61790449408</v>
      </c>
      <c r="F886" s="1324">
        <f>+IF(ISBLANK(REPORTS!L716),"",REPORTS!L716)</f>
        <v>-1459.4625195554395</v>
      </c>
      <c r="G886" s="1324">
        <f>+IF(ISBLANK(REPORTS!M716),"",REPORTS!M716)</f>
        <v>-9329.6106715948954</v>
      </c>
      <c r="H886" s="1324">
        <f>+IF(ISBLANK(REPORTS!N716),"",REPORTS!N716)</f>
        <v>-1164.6781901277711</v>
      </c>
      <c r="I886" s="1324">
        <f>+IF(ISBLANK(REPORTS!O716),"",REPORTS!O716)</f>
        <v>-835.83153751546081</v>
      </c>
      <c r="J886" s="1324">
        <f>+IF(ISBLANK(REPORTS!P716),"",REPORTS!P716)</f>
        <v>-21.62698844613217</v>
      </c>
      <c r="K886" s="1324">
        <f>+IF(ISBLANK(REPORTS!Q716),"",REPORTS!Q716)</f>
        <v>0</v>
      </c>
    </row>
    <row r="887" spans="1:13">
      <c r="A887" s="1393">
        <v>78</v>
      </c>
      <c r="B887" s="1324" t="s">
        <v>5240</v>
      </c>
      <c r="C887" s="1324" t="s">
        <v>4067</v>
      </c>
      <c r="D887" s="1324">
        <f>+IF(ISBLANK(REPORTS!J717),"",REPORTS!J717)</f>
        <v>-137031.04722340967</v>
      </c>
      <c r="E887" s="1324">
        <f>+IF(ISBLANK(REPORTS!K717),"",REPORTS!K717)</f>
        <v>-85290.317943527363</v>
      </c>
      <c r="F887" s="1324">
        <f>+IF(ISBLANK(REPORTS!L717),"",REPORTS!L717)</f>
        <v>-6066.0613253259444</v>
      </c>
      <c r="G887" s="1324">
        <f>+IF(ISBLANK(REPORTS!M717),"",REPORTS!M717)</f>
        <v>-40616.068063425606</v>
      </c>
      <c r="H887" s="1324">
        <f>+IF(ISBLANK(REPORTS!N717),"",REPORTS!N717)</f>
        <v>-4271.993729952962</v>
      </c>
      <c r="I887" s="1324">
        <f>+IF(ISBLANK(REPORTS!O717),"",REPORTS!O717)</f>
        <v>-2.9168340954765699E-3</v>
      </c>
      <c r="J887" s="1324">
        <f>+IF(ISBLANK(REPORTS!P717),"",REPORTS!P717)</f>
        <v>-786.60324434371557</v>
      </c>
      <c r="K887" s="1324">
        <f>+IF(ISBLANK(REPORTS!Q717),"",REPORTS!Q717)</f>
        <v>0</v>
      </c>
    </row>
    <row r="888" spans="1:13">
      <c r="A888" s="1393">
        <v>79</v>
      </c>
      <c r="B888" s="1324" t="s">
        <v>5241</v>
      </c>
      <c r="C888" s="1324" t="s">
        <v>4067</v>
      </c>
      <c r="D888" s="1324">
        <f>+IF(ISBLANK(REPORTS!J718),"",REPORTS!J718)</f>
        <v>-60622.800739802347</v>
      </c>
      <c r="E888" s="1324">
        <f>+IF(ISBLANK(REPORTS!K718),"",REPORTS!K718)</f>
        <v>-44232.411812509621</v>
      </c>
      <c r="F888" s="1324">
        <f>+IF(ISBLANK(REPORTS!L718),"",REPORTS!L718)</f>
        <v>-3561.5869977022826</v>
      </c>
      <c r="G888" s="1324">
        <f>+IF(ISBLANK(REPORTS!M718),"",REPORTS!M718)</f>
        <v>-12609.503300259197</v>
      </c>
      <c r="H888" s="1324">
        <f>+IF(ISBLANK(REPORTS!N718),"",REPORTS!N718)</f>
        <v>0</v>
      </c>
      <c r="I888" s="1324">
        <f>+IF(ISBLANK(REPORTS!O718),"",REPORTS!O718)</f>
        <v>0</v>
      </c>
      <c r="J888" s="1324">
        <f>+IF(ISBLANK(REPORTS!P718),"",REPORTS!P718)</f>
        <v>-219.29862933125446</v>
      </c>
      <c r="K888" s="1324">
        <f>+IF(ISBLANK(REPORTS!Q718),"",REPORTS!Q718)</f>
        <v>0</v>
      </c>
    </row>
    <row r="889" spans="1:13">
      <c r="A889" s="1393">
        <v>80</v>
      </c>
      <c r="B889" s="1324" t="s">
        <v>5242</v>
      </c>
      <c r="C889" s="1324" t="s">
        <v>4071</v>
      </c>
      <c r="D889" s="1324">
        <f>+IF(ISBLANK(REPORTS!J719),"",REPORTS!J719)</f>
        <v>-94360.61880413859</v>
      </c>
      <c r="E889" s="1324">
        <f>+IF(ISBLANK(REPORTS!K719),"",REPORTS!K719)</f>
        <v>-43632.961949902179</v>
      </c>
      <c r="F889" s="1324">
        <f>+IF(ISBLANK(REPORTS!L719),"",REPORTS!L719)</f>
        <v>-8401.2555567649124</v>
      </c>
      <c r="G889" s="1324">
        <f>+IF(ISBLANK(REPORTS!M719),"",REPORTS!M719)</f>
        <v>-4799.5666161600766</v>
      </c>
      <c r="H889" s="1324">
        <f>+IF(ISBLANK(REPORTS!N719),"",REPORTS!N719)</f>
        <v>-359.13655443265856</v>
      </c>
      <c r="I889" s="1324">
        <f>+IF(ISBLANK(REPORTS!O719),"",REPORTS!O719)</f>
        <v>-391.83305676476721</v>
      </c>
      <c r="J889" s="1324">
        <f>+IF(ISBLANK(REPORTS!P719),"",REPORTS!P719)</f>
        <v>-80.704584277774984</v>
      </c>
      <c r="K889" s="1324">
        <f>+IF(ISBLANK(REPORTS!Q719),"",REPORTS!Q719)</f>
        <v>-36695.160485836219</v>
      </c>
    </row>
    <row r="890" spans="1:13">
      <c r="A890" s="1393">
        <v>81</v>
      </c>
      <c r="B890" s="1324" t="s">
        <v>5244</v>
      </c>
      <c r="C890" s="1324" t="s">
        <v>4071</v>
      </c>
      <c r="D890" s="1324">
        <f>+IF(ISBLANK(REPORTS!J720),"",REPORTS!J720)</f>
        <v>-64103.808387915196</v>
      </c>
      <c r="E890" s="1324">
        <f>+IF(ISBLANK(REPORTS!K720),"",REPORTS!K720)</f>
        <v>-55343.64464726497</v>
      </c>
      <c r="F890" s="1324">
        <f>+IF(ISBLANK(REPORTS!L720),"",REPORTS!L720)</f>
        <v>-5353.8415228424392</v>
      </c>
      <c r="G890" s="1324">
        <f>+IF(ISBLANK(REPORTS!M720),"",REPORTS!M720)</f>
        <v>-2805.233502610989</v>
      </c>
      <c r="H890" s="1324">
        <f>+IF(ISBLANK(REPORTS!N720),"",REPORTS!N720)</f>
        <v>-190.8429642082267</v>
      </c>
      <c r="I890" s="1324">
        <f>+IF(ISBLANK(REPORTS!O720),"",REPORTS!O720)</f>
        <v>-109.69959178097953</v>
      </c>
      <c r="J890" s="1324">
        <f>+IF(ISBLANK(REPORTS!P720),"",REPORTS!P720)</f>
        <v>-30.340950665537751</v>
      </c>
      <c r="K890" s="1324">
        <f>+IF(ISBLANK(REPORTS!Q720),"",REPORTS!Q720)</f>
        <v>-270.20520854205262</v>
      </c>
    </row>
    <row r="891" spans="1:13">
      <c r="A891" s="1393">
        <v>82</v>
      </c>
      <c r="B891" s="1324" t="s">
        <v>5557</v>
      </c>
      <c r="D891" s="1421">
        <f>+IF(ISBLANK(REPORTS!J721),"",REPORTS!J721)</f>
        <v>789655.52493741922</v>
      </c>
      <c r="E891" s="1421">
        <f>+IF(ISBLANK(REPORTS!K721),"",REPORTS!K721)</f>
        <v>446669.93475156027</v>
      </c>
      <c r="F891" s="1421">
        <f>+IF(ISBLANK(REPORTS!L721),"",REPORTS!L721)</f>
        <v>41900.77864067506</v>
      </c>
      <c r="G891" s="1421">
        <f>+IF(ISBLANK(REPORTS!M721),"",REPORTS!M721)</f>
        <v>214577.08904717199</v>
      </c>
      <c r="H891" s="1421">
        <f>+IF(ISBLANK(REPORTS!N721),"",REPORTS!N721)</f>
        <v>25457.156469383863</v>
      </c>
      <c r="I891" s="1421">
        <f>+IF(ISBLANK(REPORTS!O721),"",REPORTS!O721)</f>
        <v>13829.070456634541</v>
      </c>
      <c r="J891" s="1421">
        <f>+IF(ISBLANK(REPORTS!P721),"",REPORTS!P721)</f>
        <v>1479.0151263715959</v>
      </c>
      <c r="K891" s="1421">
        <f>+IF(ISBLANK(REPORTS!Q721),"",REPORTS!Q721)</f>
        <v>45742.480445621739</v>
      </c>
      <c r="L891" s="1358"/>
    </row>
    <row r="899" spans="1:13">
      <c r="A899" s="1732" t="str">
        <f>+$A$1</f>
        <v>RATES WITH REVENUE DEFICIENCY ADDITION</v>
      </c>
      <c r="F899" s="1329" t="s">
        <v>2173</v>
      </c>
      <c r="G899" s="1329"/>
      <c r="H899" s="1329"/>
      <c r="I899" s="1329"/>
      <c r="M899" s="1334" t="s">
        <v>5630</v>
      </c>
    </row>
    <row r="900" spans="1:13">
      <c r="A900" s="1732" t="str">
        <f>+$A$2</f>
        <v>PROD. CAP. ALLOC. METHOD: 12 CP &amp; 1/13th AD</v>
      </c>
      <c r="F900" s="1336" t="s">
        <v>5141</v>
      </c>
      <c r="G900" s="1336"/>
      <c r="H900" s="1336"/>
      <c r="I900" s="1336"/>
      <c r="L900" s="1331"/>
      <c r="M900" s="1409"/>
    </row>
    <row r="901" spans="1:13">
      <c r="A901" s="1732" t="str">
        <f>+$A$3</f>
        <v>PROJECTED CALENDAR YEAR 2025; FULLY ADJUSTED DATA</v>
      </c>
      <c r="F901" s="1336" t="s">
        <v>2181</v>
      </c>
    </row>
    <row r="902" spans="1:13">
      <c r="A902" s="1732" t="str">
        <f>+$A$4</f>
        <v>MINIMUM DISTRIBUTION SYSTEM (MDS) NOT EMPLOYED</v>
      </c>
      <c r="B902" s="1364"/>
      <c r="F902" s="1336"/>
      <c r="G902" s="1336"/>
      <c r="H902" s="1336"/>
      <c r="I902" s="1336"/>
    </row>
    <row r="903" spans="1:13">
      <c r="A903" s="1732" t="str">
        <f>+$A$5</f>
        <v>Tampa Electric 2025 OB Budget</v>
      </c>
      <c r="F903" s="1336" t="s">
        <v>5494</v>
      </c>
      <c r="G903" s="1336"/>
      <c r="H903" s="1336"/>
      <c r="I903" s="1336"/>
    </row>
    <row r="904" spans="1:13">
      <c r="F904" s="1336"/>
      <c r="G904" s="1336"/>
      <c r="H904" s="1336"/>
      <c r="I904" s="1336"/>
    </row>
    <row r="905" spans="1:13">
      <c r="F905" s="1336"/>
      <c r="G905" s="1336"/>
      <c r="H905" s="1336"/>
      <c r="I905" s="1336"/>
    </row>
    <row r="907" spans="1:13">
      <c r="A907" s="1735"/>
      <c r="B907" s="1416"/>
      <c r="C907" s="1416"/>
      <c r="D907" s="1416"/>
      <c r="E907" s="1336"/>
      <c r="F907" s="1416"/>
      <c r="G907" s="1416"/>
      <c r="H907" s="1416"/>
      <c r="I907" s="1416"/>
      <c r="J907" s="1336"/>
      <c r="K907" s="1336"/>
      <c r="L907" s="1333"/>
    </row>
    <row r="908" spans="1:13" ht="28.2">
      <c r="A908" s="1737" t="s">
        <v>4297</v>
      </c>
      <c r="B908" s="1741"/>
      <c r="C908" s="1741"/>
      <c r="D908" s="1352" t="s">
        <v>4957</v>
      </c>
      <c r="E908" s="1353" t="s">
        <v>1949</v>
      </c>
      <c r="F908" s="1353" t="s">
        <v>1950</v>
      </c>
      <c r="G908" s="1353" t="s">
        <v>1934</v>
      </c>
      <c r="H908" s="1353" t="s">
        <v>1971</v>
      </c>
      <c r="I908" s="1353" t="s">
        <v>1972</v>
      </c>
      <c r="J908" s="1352" t="s">
        <v>5146</v>
      </c>
      <c r="K908" s="1352" t="s">
        <v>5147</v>
      </c>
      <c r="L908" s="1355"/>
      <c r="M908" s="1348" t="s">
        <v>5299</v>
      </c>
    </row>
    <row r="910" spans="1:13">
      <c r="A910" s="1393">
        <v>83</v>
      </c>
      <c r="B910" s="1362" t="s">
        <v>5560</v>
      </c>
    </row>
    <row r="911" spans="1:13">
      <c r="A911" s="1393">
        <v>84</v>
      </c>
      <c r="B911" s="1324" t="s">
        <v>5265</v>
      </c>
      <c r="C911" s="1324" t="s">
        <v>4067</v>
      </c>
      <c r="D911" s="1364">
        <f>+IF(ISBLANK(REPORTS!J739),"",REPORTS!J739)</f>
        <v>101438.76376111731</v>
      </c>
      <c r="E911" s="1324">
        <f>+IF(ISBLANK(REPORTS!K739),"",REPORTS!K739)</f>
        <v>58247.625920460938</v>
      </c>
      <c r="F911" s="1324">
        <f>+IF(ISBLANK(REPORTS!L739),"",REPORTS!L739)</f>
        <v>4843.9101818869376</v>
      </c>
      <c r="G911" s="1324">
        <f>+IF(ISBLANK(REPORTS!M739),"",REPORTS!M739)</f>
        <v>31349.352278270751</v>
      </c>
      <c r="H911" s="1324">
        <f>+IF(ISBLANK(REPORTS!N739),"",REPORTS!N739)</f>
        <v>4006.6593910871638</v>
      </c>
      <c r="I911" s="1324">
        <f>+IF(ISBLANK(REPORTS!O739),"",REPORTS!O739)</f>
        <v>2883.6053342760811</v>
      </c>
      <c r="J911" s="1324">
        <f>+IF(ISBLANK(REPORTS!P739),"",REPORTS!P739)</f>
        <v>107.61065513544528</v>
      </c>
      <c r="K911" s="1324">
        <f>+IF(ISBLANK(REPORTS!Q739),"",REPORTS!Q739)</f>
        <v>0</v>
      </c>
      <c r="L911" s="1324"/>
      <c r="M911" s="1324">
        <v>122</v>
      </c>
    </row>
    <row r="912" spans="1:13">
      <c r="A912" s="1393">
        <v>85</v>
      </c>
      <c r="B912" s="1324" t="s">
        <v>5265</v>
      </c>
      <c r="C912" s="1324" t="s">
        <v>2067</v>
      </c>
      <c r="D912" s="1364">
        <f>+IF(ISBLANK(REPORTS!J740),"",REPORTS!J740)</f>
        <v>7628.7877112605429</v>
      </c>
      <c r="E912" s="1364">
        <f>+IF(ISBLANK(REPORTS!K740),"",REPORTS!K740)</f>
        <v>3849.7470708846326</v>
      </c>
      <c r="F912" s="1364">
        <f>+IF(ISBLANK(REPORTS!L740),"",REPORTS!L740)</f>
        <v>355.76169568245729</v>
      </c>
      <c r="G912" s="1364">
        <f>+IF(ISBLANK(REPORTS!M740),"",REPORTS!M740)</f>
        <v>2650.2864504366544</v>
      </c>
      <c r="H912" s="1364">
        <f>+IF(ISBLANK(REPORTS!N740),"",REPORTS!N740)</f>
        <v>421.88298958441027</v>
      </c>
      <c r="I912" s="1364">
        <f>+IF(ISBLANK(REPORTS!O740),"",REPORTS!O740)</f>
        <v>310.80620381086248</v>
      </c>
      <c r="J912" s="1364">
        <f>+IF(ISBLANK(REPORTS!P740),"",REPORTS!P740)</f>
        <v>40.303300861525635</v>
      </c>
      <c r="K912" s="1364">
        <f>+IF(ISBLANK(REPORTS!Q740),"",REPORTS!Q740)</f>
        <v>0</v>
      </c>
      <c r="L912" s="1364"/>
      <c r="M912" s="1324">
        <v>201</v>
      </c>
    </row>
    <row r="913" spans="1:13">
      <c r="A913" s="1393">
        <v>86</v>
      </c>
      <c r="B913" s="1324" t="s">
        <v>5268</v>
      </c>
      <c r="C913" s="1324" t="s">
        <v>4067</v>
      </c>
      <c r="D913" s="1364">
        <f>+IF(ISBLANK(REPORTS!J741),"",REPORTS!J741)</f>
        <v>7483.4516221898712</v>
      </c>
      <c r="E913" s="1364">
        <f>+IF(ISBLANK(REPORTS!K741),"",REPORTS!K741)</f>
        <v>4340.4995260051046</v>
      </c>
      <c r="F913" s="1364">
        <f>+IF(ISBLANK(REPORTS!L741),"",REPORTS!L741)</f>
        <v>358.04743020779904</v>
      </c>
      <c r="G913" s="1364">
        <f>+IF(ISBLANK(REPORTS!M741),"",REPORTS!M741)</f>
        <v>2288.8173427169118</v>
      </c>
      <c r="H913" s="1364">
        <f>+IF(ISBLANK(REPORTS!N741),"",REPORTS!N741)</f>
        <v>285.72849758508528</v>
      </c>
      <c r="I913" s="1364">
        <f>+IF(ISBLANK(REPORTS!O741),"",REPORTS!O741)</f>
        <v>205.05311378959078</v>
      </c>
      <c r="J913" s="1364">
        <f>+IF(ISBLANK(REPORTS!P741),"",REPORTS!P741)</f>
        <v>5.3057118853796226</v>
      </c>
      <c r="K913" s="1364">
        <f>+IF(ISBLANK(REPORTS!Q741),"",REPORTS!Q741)</f>
        <v>0</v>
      </c>
      <c r="L913" s="1364"/>
      <c r="M913" s="1324">
        <v>117</v>
      </c>
    </row>
    <row r="914" spans="1:13">
      <c r="A914" s="1393">
        <v>87</v>
      </c>
      <c r="B914" s="1324" t="s">
        <v>5239</v>
      </c>
      <c r="C914" s="1324" t="s">
        <v>4067</v>
      </c>
      <c r="D914" s="1364">
        <f>+IF(ISBLANK(REPORTS!J742),"",REPORTS!J742)</f>
        <v>8123.4950426361193</v>
      </c>
      <c r="E914" s="1364">
        <f>+IF(ISBLANK(REPORTS!K742),"",REPORTS!K742)</f>
        <v>4711.7330561093149</v>
      </c>
      <c r="F914" s="1364">
        <f>+IF(ISBLANK(REPORTS!L742),"",REPORTS!L742)</f>
        <v>388.67045197394077</v>
      </c>
      <c r="G914" s="1364">
        <f>+IF(ISBLANK(REPORTS!M742),"",REPORTS!M742)</f>
        <v>2484.5749362403858</v>
      </c>
      <c r="H914" s="1364">
        <f>+IF(ISBLANK(REPORTS!N742),"",REPORTS!N742)</f>
        <v>310.16623756740245</v>
      </c>
      <c r="I914" s="1364">
        <f>+IF(ISBLANK(REPORTS!O742),"",REPORTS!O742)</f>
        <v>222.59086280555061</v>
      </c>
      <c r="J914" s="1364">
        <f>+IF(ISBLANK(REPORTS!P742),"",REPORTS!P742)</f>
        <v>5.7594979395249091</v>
      </c>
      <c r="K914" s="1364">
        <f>+IF(ISBLANK(REPORTS!Q742),"",REPORTS!Q742)</f>
        <v>0</v>
      </c>
      <c r="L914" s="1364"/>
      <c r="M914" s="1324">
        <v>117</v>
      </c>
    </row>
    <row r="915" spans="1:13">
      <c r="A915" s="1393">
        <v>88</v>
      </c>
      <c r="B915" s="1324" t="s">
        <v>5240</v>
      </c>
      <c r="C915" s="1324" t="s">
        <v>4067</v>
      </c>
      <c r="D915" s="1364">
        <f>+IF(ISBLANK(REPORTS!J743),"",REPORTS!J743)</f>
        <v>28304.114763554495</v>
      </c>
      <c r="E915" s="1364">
        <f>+IF(ISBLANK(REPORTS!K743),"",REPORTS!K743)</f>
        <v>17616.934236500845</v>
      </c>
      <c r="F915" s="1364">
        <f>+IF(ISBLANK(REPORTS!L743),"",REPORTS!L743)</f>
        <v>1252.9605472171684</v>
      </c>
      <c r="G915" s="1364">
        <f>+IF(ISBLANK(REPORTS!M743),"",REPORTS!M743)</f>
        <v>8389.3531794825776</v>
      </c>
      <c r="H915" s="1364">
        <f>+IF(ISBLANK(REPORTS!N743),"",REPORTS!N743)</f>
        <v>882.39127739160563</v>
      </c>
      <c r="I915" s="1364">
        <f>+IF(ISBLANK(REPORTS!O743),"",REPORTS!O743)</f>
        <v>6.0247957420932305E-4</v>
      </c>
      <c r="J915" s="1364">
        <f>+IF(ISBLANK(REPORTS!P743),"",REPORTS!P743)</f>
        <v>162.47492048273088</v>
      </c>
      <c r="K915" s="1364">
        <f>+IF(ISBLANK(REPORTS!Q743),"",REPORTS!Q743)</f>
        <v>0</v>
      </c>
      <c r="L915" s="1364"/>
      <c r="M915" s="1324">
        <v>105</v>
      </c>
    </row>
    <row r="916" spans="1:13">
      <c r="A916" s="1393">
        <v>89</v>
      </c>
      <c r="B916" s="1324" t="s">
        <v>5241</v>
      </c>
      <c r="C916" s="1324" t="s">
        <v>4067</v>
      </c>
      <c r="D916" s="1364">
        <f>+IF(ISBLANK(REPORTS!J744),"",REPORTS!J744)</f>
        <v>12442.559437223341</v>
      </c>
      <c r="E916" s="1364">
        <f>+IF(ISBLANK(REPORTS!K744),"",REPORTS!K744)</f>
        <v>9078.50522101571</v>
      </c>
      <c r="F916" s="1364">
        <f>+IF(ISBLANK(REPORTS!L744),"",REPORTS!L744)</f>
        <v>730.99984443075994</v>
      </c>
      <c r="G916" s="1364">
        <f>+IF(ISBLANK(REPORTS!M744),"",REPORTS!M744)</f>
        <v>2588.0443063121079</v>
      </c>
      <c r="H916" s="1364">
        <f>+IF(ISBLANK(REPORTS!N744),"",REPORTS!N744)</f>
        <v>0</v>
      </c>
      <c r="I916" s="1364">
        <f>+IF(ISBLANK(REPORTS!O744),"",REPORTS!O744)</f>
        <v>0</v>
      </c>
      <c r="J916" s="1364">
        <f>+IF(ISBLANK(REPORTS!P744),"",REPORTS!P744)</f>
        <v>45.010065464762285</v>
      </c>
      <c r="K916" s="1364">
        <f>+IF(ISBLANK(REPORTS!Q744),"",REPORTS!Q744)</f>
        <v>0</v>
      </c>
      <c r="L916" s="1364"/>
      <c r="M916" s="1324">
        <v>106</v>
      </c>
    </row>
    <row r="917" spans="1:13">
      <c r="A917" s="1393">
        <v>90</v>
      </c>
      <c r="B917" s="1324" t="s">
        <v>5242</v>
      </c>
      <c r="C917" s="1324" t="s">
        <v>4071</v>
      </c>
      <c r="D917" s="1364">
        <f>+IF(ISBLANK(REPORTS!J745),"",REPORTS!J745)</f>
        <v>12136.7048712376</v>
      </c>
      <c r="E917" s="1364">
        <f>+IF(ISBLANK(REPORTS!K745),"",REPORTS!K745)</f>
        <v>4474.2778253614406</v>
      </c>
      <c r="F917" s="1364">
        <f>+IF(ISBLANK(REPORTS!L745),"",REPORTS!L745)</f>
        <v>678.68911572438731</v>
      </c>
      <c r="G917" s="1364">
        <f>+IF(ISBLANK(REPORTS!M745),"",REPORTS!M745)</f>
        <v>327.19550896731715</v>
      </c>
      <c r="H917" s="1364">
        <f>+IF(ISBLANK(REPORTS!N745),"",REPORTS!N745)</f>
        <v>21.09270474339408</v>
      </c>
      <c r="I917" s="1364">
        <f>+IF(ISBLANK(REPORTS!O745),"",REPORTS!O745)</f>
        <v>23.013026307213561</v>
      </c>
      <c r="J917" s="1364">
        <f>+IF(ISBLANK(REPORTS!P745),"",REPORTS!P745)</f>
        <v>5.2817641644741009</v>
      </c>
      <c r="K917" s="1364">
        <f>+IF(ISBLANK(REPORTS!Q745),"",REPORTS!Q745)</f>
        <v>6607.1549259693747</v>
      </c>
      <c r="L917" s="1364"/>
      <c r="M917" s="1324">
        <v>907</v>
      </c>
    </row>
    <row r="918" spans="1:13">
      <c r="A918" s="1393">
        <v>91</v>
      </c>
      <c r="B918" s="1324" t="s">
        <v>5244</v>
      </c>
      <c r="C918" s="1324" t="s">
        <v>4071</v>
      </c>
      <c r="D918" s="1364">
        <f>+IF(ISBLANK(REPORTS!J746),"",REPORTS!J746)</f>
        <v>3707.9041377343915</v>
      </c>
      <c r="E918" s="1364">
        <f>+IF(ISBLANK(REPORTS!K746),"",REPORTS!K746)</f>
        <v>3307.0308100666962</v>
      </c>
      <c r="F918" s="1364">
        <f>+IF(ISBLANK(REPORTS!L746),"",REPORTS!L746)</f>
        <v>320.58686650485919</v>
      </c>
      <c r="G918" s="1364">
        <f>+IF(ISBLANK(REPORTS!M746),"",REPORTS!M746)</f>
        <v>78.957813106960074</v>
      </c>
      <c r="H918" s="1364">
        <f>+IF(ISBLANK(REPORTS!N746),"",REPORTS!N746)</f>
        <v>0.26658957755440421</v>
      </c>
      <c r="I918" s="1364">
        <f>+IF(ISBLANK(REPORTS!O746),"",REPORTS!O746)</f>
        <v>4.7298150856426559E-2</v>
      </c>
      <c r="J918" s="1364">
        <f>+IF(ISBLANK(REPORTS!P746),"",REPORTS!P746)</f>
        <v>1.0147603274651515</v>
      </c>
      <c r="K918" s="1364">
        <f>+IF(ISBLANK(REPORTS!Q746),"",REPORTS!Q746)</f>
        <v>0</v>
      </c>
      <c r="L918" s="1364"/>
      <c r="M918" s="1324">
        <v>412</v>
      </c>
    </row>
    <row r="919" spans="1:13">
      <c r="A919" s="1393">
        <v>92</v>
      </c>
      <c r="B919" s="1324" t="s">
        <v>5561</v>
      </c>
      <c r="D919" s="1421">
        <f>+IF(ISBLANK(REPORTS!J747),"",REPORTS!J747)</f>
        <v>181265.78134695365</v>
      </c>
      <c r="E919" s="1421">
        <f>+IF(ISBLANK(REPORTS!K747),"",REPORTS!K747)</f>
        <v>105626.35366640468</v>
      </c>
      <c r="F919" s="1421">
        <f>+IF(ISBLANK(REPORTS!L747),"",REPORTS!L747)</f>
        <v>8929.6261336283096</v>
      </c>
      <c r="G919" s="1421">
        <f>+IF(ISBLANK(REPORTS!M747),"",REPORTS!M747)</f>
        <v>50156.581815533653</v>
      </c>
      <c r="H919" s="1421">
        <f>+IF(ISBLANK(REPORTS!N747),"",REPORTS!N747)</f>
        <v>5928.1876875366161</v>
      </c>
      <c r="I919" s="1421">
        <f>+IF(ISBLANK(REPORTS!O747),"",REPORTS!O747)</f>
        <v>3645.1164416197298</v>
      </c>
      <c r="J919" s="1421">
        <f>+IF(ISBLANK(REPORTS!P747),"",REPORTS!P747)</f>
        <v>372.76067626130788</v>
      </c>
      <c r="K919" s="1421">
        <f>+IF(ISBLANK(REPORTS!Q747),"",REPORTS!Q747)</f>
        <v>6607.1549259693747</v>
      </c>
      <c r="L919" s="1364"/>
      <c r="M919" s="1326"/>
    </row>
    <row r="920" spans="1:13">
      <c r="A920" s="1393">
        <v>93</v>
      </c>
      <c r="D920" s="1324" t="str">
        <f>+IF(ISBLANK(REPORTS!J748),"",REPORTS!J748)</f>
        <v/>
      </c>
      <c r="E920" s="1324" t="str">
        <f>+IF(ISBLANK(REPORTS!K748),"",REPORTS!K748)</f>
        <v/>
      </c>
      <c r="F920" s="1324" t="str">
        <f>+IF(ISBLANK(REPORTS!L748),"",REPORTS!L748)</f>
        <v/>
      </c>
      <c r="G920" s="1324" t="str">
        <f>+IF(ISBLANK(REPORTS!M748),"",REPORTS!M748)</f>
        <v/>
      </c>
      <c r="H920" s="1324" t="str">
        <f>+IF(ISBLANK(REPORTS!N748),"",REPORTS!N748)</f>
        <v/>
      </c>
      <c r="I920" s="1324" t="str">
        <f>+IF(ISBLANK(REPORTS!O748),"",REPORTS!O748)</f>
        <v/>
      </c>
      <c r="J920" s="1324" t="str">
        <f>+IF(ISBLANK(REPORTS!P748),"",REPORTS!P748)</f>
        <v/>
      </c>
      <c r="K920" s="1324" t="str">
        <f>+IF(ISBLANK(REPORTS!Q748),"",REPORTS!Q748)</f>
        <v/>
      </c>
      <c r="L920" s="1324"/>
      <c r="M920" s="1324"/>
    </row>
    <row r="921" spans="1:13">
      <c r="A921" s="1393">
        <v>94</v>
      </c>
      <c r="B921" s="1362" t="s">
        <v>5563</v>
      </c>
      <c r="D921" s="1324" t="str">
        <f>+IF(ISBLANK(REPORTS!J749),"",REPORTS!J749)</f>
        <v/>
      </c>
      <c r="E921" s="1324" t="str">
        <f>+IF(ISBLANK(REPORTS!K749),"",REPORTS!K749)</f>
        <v/>
      </c>
      <c r="F921" s="1324" t="str">
        <f>+IF(ISBLANK(REPORTS!L749),"",REPORTS!L749)</f>
        <v/>
      </c>
      <c r="G921" s="1324" t="str">
        <f>+IF(ISBLANK(REPORTS!M749),"",REPORTS!M749)</f>
        <v/>
      </c>
      <c r="H921" s="1324" t="str">
        <f>+IF(ISBLANK(REPORTS!N749),"",REPORTS!N749)</f>
        <v/>
      </c>
      <c r="I921" s="1324" t="str">
        <f>+IF(ISBLANK(REPORTS!O749),"",REPORTS!O749)</f>
        <v/>
      </c>
      <c r="J921" s="1324" t="str">
        <f>+IF(ISBLANK(REPORTS!P749),"",REPORTS!P749)</f>
        <v/>
      </c>
      <c r="K921" s="1324" t="str">
        <f>+IF(ISBLANK(REPORTS!Q749),"",REPORTS!Q749)</f>
        <v/>
      </c>
    </row>
    <row r="922" spans="1:13" ht="30" customHeight="1">
      <c r="A922" s="1393">
        <v>95</v>
      </c>
      <c r="B922" s="1324" t="s">
        <v>5265</v>
      </c>
      <c r="C922" s="1324" t="s">
        <v>4067</v>
      </c>
      <c r="D922" s="1364">
        <f>+IF(ISBLANK(REPORTS!J750),"",REPORTS!J750)</f>
        <v>4071.9547618950883</v>
      </c>
      <c r="E922" s="1324">
        <f>+IF(ISBLANK(REPORTS!K750),"",REPORTS!K750)</f>
        <v>2338.176146295064</v>
      </c>
      <c r="F922" s="1324">
        <f>+IF(ISBLANK(REPORTS!L750),"",REPORTS!L750)</f>
        <v>194.4442380801878</v>
      </c>
      <c r="G922" s="1324">
        <f>+IF(ISBLANK(REPORTS!M750),"",REPORTS!M750)</f>
        <v>1258.4256704118293</v>
      </c>
      <c r="H922" s="1324">
        <f>+IF(ISBLANK(REPORTS!N750),"",REPORTS!N750)</f>
        <v>160.83531760353296</v>
      </c>
      <c r="I922" s="1324">
        <f>+IF(ISBLANK(REPORTS!O750),"",REPORTS!O750)</f>
        <v>115.75368268468962</v>
      </c>
      <c r="J922" s="1324">
        <f>+IF(ISBLANK(REPORTS!P750),"",REPORTS!P750)</f>
        <v>4.31970681978469</v>
      </c>
      <c r="K922" s="1324">
        <f>+IF(ISBLANK(REPORTS!Q750),"",REPORTS!Q750)</f>
        <v>0</v>
      </c>
      <c r="L922" s="1324"/>
      <c r="M922" s="1324">
        <v>122</v>
      </c>
    </row>
    <row r="923" spans="1:13">
      <c r="A923" s="1393">
        <v>96</v>
      </c>
      <c r="B923" s="1324" t="s">
        <v>5265</v>
      </c>
      <c r="C923" s="1324" t="s">
        <v>2067</v>
      </c>
      <c r="D923" s="1364">
        <f>+IF(ISBLANK(REPORTS!J751),"",REPORTS!J751)</f>
        <v>306.23478931100033</v>
      </c>
      <c r="E923" s="1364">
        <f>+IF(ISBLANK(REPORTS!K751),"",REPORTS!K751)</f>
        <v>154.5365433898273</v>
      </c>
      <c r="F923" s="1364">
        <f>+IF(ISBLANK(REPORTS!L751),"",REPORTS!L751)</f>
        <v>14.280985661906657</v>
      </c>
      <c r="G923" s="1364">
        <f>+IF(ISBLANK(REPORTS!M751),"",REPORTS!M751)</f>
        <v>106.38779626352472</v>
      </c>
      <c r="H923" s="1364">
        <f>+IF(ISBLANK(REPORTS!N751),"",REPORTS!N751)</f>
        <v>16.935226581095836</v>
      </c>
      <c r="I923" s="1364">
        <f>+IF(ISBLANK(REPORTS!O751),"",REPORTS!O751)</f>
        <v>12.476382348414344</v>
      </c>
      <c r="J923" s="1364">
        <f>+IF(ISBLANK(REPORTS!P751),"",REPORTS!P751)</f>
        <v>1.6178550662314581</v>
      </c>
      <c r="K923" s="1364">
        <f>+IF(ISBLANK(REPORTS!Q751),"",REPORTS!Q751)</f>
        <v>0</v>
      </c>
      <c r="L923" s="1364"/>
      <c r="M923" s="1324">
        <v>201</v>
      </c>
    </row>
    <row r="924" spans="1:13">
      <c r="A924" s="1393">
        <v>97</v>
      </c>
      <c r="B924" s="1324" t="s">
        <v>5268</v>
      </c>
      <c r="C924" s="1324" t="s">
        <v>4067</v>
      </c>
      <c r="D924" s="1364">
        <f>+IF(ISBLANK(REPORTS!J752),"",REPORTS!J752)</f>
        <v>300.4007081567762</v>
      </c>
      <c r="E924" s="1364">
        <f>+IF(ISBLANK(REPORTS!K752),"",REPORTS!K752)</f>
        <v>174.23632799332907</v>
      </c>
      <c r="F924" s="1364">
        <f>+IF(ISBLANK(REPORTS!L752),"",REPORTS!L752)</f>
        <v>14.372739615127262</v>
      </c>
      <c r="G924" s="1364">
        <f>+IF(ISBLANK(REPORTS!M752),"",REPORTS!M752)</f>
        <v>91.877703672850203</v>
      </c>
      <c r="H924" s="1364">
        <f>+IF(ISBLANK(REPORTS!N752),"",REPORTS!N752)</f>
        <v>11.469713088091581</v>
      </c>
      <c r="I924" s="1364">
        <f>+IF(ISBLANK(REPORTS!O752),"",REPORTS!O752)</f>
        <v>8.2312419057397097</v>
      </c>
      <c r="J924" s="1364">
        <f>+IF(ISBLANK(REPORTS!P752),"",REPORTS!P752)</f>
        <v>0.21298188163839027</v>
      </c>
      <c r="K924" s="1364">
        <f>+IF(ISBLANK(REPORTS!Q752),"",REPORTS!Q752)</f>
        <v>0</v>
      </c>
      <c r="L924" s="1358"/>
      <c r="M924" s="1320">
        <v>117</v>
      </c>
    </row>
    <row r="925" spans="1:13">
      <c r="A925" s="1393">
        <v>98</v>
      </c>
      <c r="B925" s="1324" t="s">
        <v>5239</v>
      </c>
      <c r="C925" s="1324" t="s">
        <v>4067</v>
      </c>
      <c r="D925" s="1364">
        <f>+IF(ISBLANK(REPORTS!J753),"",REPORTS!J753)</f>
        <v>326.09333055350851</v>
      </c>
      <c r="E925" s="1364">
        <f>+IF(ISBLANK(REPORTS!K753),"",REPORTS!K753)</f>
        <v>189.13838401840846</v>
      </c>
      <c r="F925" s="1364">
        <f>+IF(ISBLANK(REPORTS!L753),"",REPORTS!L753)</f>
        <v>15.602008926787141</v>
      </c>
      <c r="G925" s="1364">
        <f>+IF(ISBLANK(REPORTS!M753),"",REPORTS!M753)</f>
        <v>99.73580481258999</v>
      </c>
      <c r="H925" s="1364">
        <f>+IF(ISBLANK(REPORTS!N753),"",REPORTS!N753)</f>
        <v>12.450692824056123</v>
      </c>
      <c r="I925" s="1364">
        <f>+IF(ISBLANK(REPORTS!O753),"",REPORTS!O753)</f>
        <v>8.9352422106589628</v>
      </c>
      <c r="J925" s="1364">
        <f>+IF(ISBLANK(REPORTS!P753),"",REPORTS!P753)</f>
        <v>0.23119776100783862</v>
      </c>
      <c r="K925" s="1364">
        <f>+IF(ISBLANK(REPORTS!Q753),"",REPORTS!Q753)</f>
        <v>0</v>
      </c>
      <c r="L925" s="1358"/>
      <c r="M925" s="1320">
        <v>117</v>
      </c>
    </row>
    <row r="926" spans="1:13">
      <c r="A926" s="1393">
        <v>99</v>
      </c>
      <c r="B926" s="1324" t="s">
        <v>5240</v>
      </c>
      <c r="C926" s="1324" t="s">
        <v>4067</v>
      </c>
      <c r="D926" s="1364">
        <f>+IF(ISBLANK(REPORTS!J754),"",REPORTS!J754)</f>
        <v>1136.1837488881017</v>
      </c>
      <c r="E926" s="1364">
        <f>+IF(ISBLANK(REPORTS!K754),"",REPORTS!K754)</f>
        <v>707.17895796960852</v>
      </c>
      <c r="F926" s="1364">
        <f>+IF(ISBLANK(REPORTS!L754),"",REPORTS!L754)</f>
        <v>50.296341137620217</v>
      </c>
      <c r="G926" s="1364">
        <f>+IF(ISBLANK(REPORTS!M754),"",REPORTS!M754)</f>
        <v>336.76540763904814</v>
      </c>
      <c r="H926" s="1364">
        <f>+IF(ISBLANK(REPORTS!N754),"",REPORTS!N754)</f>
        <v>35.420949848037282</v>
      </c>
      <c r="I926" s="1364">
        <f>+IF(ISBLANK(REPORTS!O754),"",REPORTS!O754)</f>
        <v>2.4184734515529909E-5</v>
      </c>
      <c r="J926" s="1364">
        <f>+IF(ISBLANK(REPORTS!P754),"",REPORTS!P754)</f>
        <v>6.5220681090533681</v>
      </c>
      <c r="K926" s="1364">
        <f>+IF(ISBLANK(REPORTS!Q754),"",REPORTS!Q754)</f>
        <v>0</v>
      </c>
      <c r="L926" s="1358"/>
      <c r="M926" s="1320">
        <v>105</v>
      </c>
    </row>
    <row r="927" spans="1:13">
      <c r="A927" s="1393">
        <v>100</v>
      </c>
      <c r="B927" s="1324" t="s">
        <v>5241</v>
      </c>
      <c r="C927" s="1324" t="s">
        <v>4067</v>
      </c>
      <c r="D927" s="1364">
        <f>+IF(ISBLANK(REPORTS!J755),"",REPORTS!J755)</f>
        <v>499.46920952111361</v>
      </c>
      <c r="E927" s="1364">
        <f>+IF(ISBLANK(REPORTS!K755),"",REPORTS!K755)</f>
        <v>364.42934825842514</v>
      </c>
      <c r="F927" s="1364">
        <f>+IF(ISBLANK(REPORTS!L755),"",REPORTS!L755)</f>
        <v>29.343795084925585</v>
      </c>
      <c r="G927" s="1364">
        <f>+IF(ISBLANK(REPORTS!M755),"",REPORTS!M755)</f>
        <v>103.88927217114363</v>
      </c>
      <c r="H927" s="1364">
        <f>+IF(ISBLANK(REPORTS!N755),"",REPORTS!N755)</f>
        <v>0</v>
      </c>
      <c r="I927" s="1364">
        <f>+IF(ISBLANK(REPORTS!O755),"",REPORTS!O755)</f>
        <v>0</v>
      </c>
      <c r="J927" s="1364">
        <f>+IF(ISBLANK(REPORTS!P755),"",REPORTS!P755)</f>
        <v>1.8067940066192076</v>
      </c>
      <c r="K927" s="1364">
        <f>+IF(ISBLANK(REPORTS!Q755),"",REPORTS!Q755)</f>
        <v>0</v>
      </c>
      <c r="L927" s="1358"/>
      <c r="M927" s="1320">
        <v>106</v>
      </c>
    </row>
    <row r="928" spans="1:13">
      <c r="A928" s="1393">
        <v>101</v>
      </c>
      <c r="B928" s="1324" t="s">
        <v>5242</v>
      </c>
      <c r="C928" s="1324" t="s">
        <v>4071</v>
      </c>
      <c r="D928" s="1364">
        <f>+IF(ISBLANK(REPORTS!J756),"",REPORTS!J756)</f>
        <v>487.19159581373538</v>
      </c>
      <c r="E928" s="1364">
        <f>+IF(ISBLANK(REPORTS!K756),"",REPORTS!K756)</f>
        <v>179.60645636343705</v>
      </c>
      <c r="F928" s="1364">
        <f>+IF(ISBLANK(REPORTS!L756),"",REPORTS!L756)</f>
        <v>27.243937861155231</v>
      </c>
      <c r="G928" s="1364">
        <f>+IF(ISBLANK(REPORTS!M756),"",REPORTS!M756)</f>
        <v>13.134281820978284</v>
      </c>
      <c r="H928" s="1364">
        <f>+IF(ISBLANK(REPORTS!N756),"",REPORTS!N756)</f>
        <v>0.84670333447057178</v>
      </c>
      <c r="I928" s="1364">
        <f>+IF(ISBLANK(REPORTS!O756),"",REPORTS!O756)</f>
        <v>0.92378888092477507</v>
      </c>
      <c r="J928" s="1364">
        <f>+IF(ISBLANK(REPORTS!P756),"",REPORTS!P756)</f>
        <v>0.21202057224775719</v>
      </c>
      <c r="K928" s="1364">
        <f>+IF(ISBLANK(REPORTS!Q756),"",REPORTS!Q756)</f>
        <v>265.22440698052179</v>
      </c>
      <c r="L928" s="1358"/>
      <c r="M928" s="1320">
        <v>907</v>
      </c>
    </row>
    <row r="929" spans="1:13">
      <c r="A929" s="1393">
        <v>102</v>
      </c>
      <c r="B929" s="1324" t="s">
        <v>5244</v>
      </c>
      <c r="C929" s="1324" t="s">
        <v>4071</v>
      </c>
      <c r="D929" s="1364">
        <f>+IF(ISBLANK(REPORTS!J757),"",REPORTS!J757)</f>
        <v>148.84268449735839</v>
      </c>
      <c r="E929" s="1364">
        <f>+IF(ISBLANK(REPORTS!K757),"",REPORTS!K757)</f>
        <v>132.7508277456607</v>
      </c>
      <c r="F929" s="1364">
        <f>+IF(ISBLANK(REPORTS!L757),"",REPORTS!L757)</f>
        <v>12.868997701309402</v>
      </c>
      <c r="G929" s="1364">
        <f>+IF(ISBLANK(REPORTS!M757),"",REPORTS!M757)</f>
        <v>3.1695244613474687</v>
      </c>
      <c r="H929" s="1364">
        <f>+IF(ISBLANK(REPORTS!N757),"",REPORTS!N757)</f>
        <v>1.0701438577767416E-2</v>
      </c>
      <c r="I929" s="1364">
        <f>+IF(ISBLANK(REPORTS!O757),"",REPORTS!O757)</f>
        <v>1.8986423283135739E-3</v>
      </c>
      <c r="J929" s="1364">
        <f>+IF(ISBLANK(REPORTS!P757),"",REPORTS!P757)</f>
        <v>4.0734508134727579E-2</v>
      </c>
      <c r="K929" s="1364">
        <f>+IF(ISBLANK(REPORTS!Q757),"",REPORTS!Q757)</f>
        <v>0</v>
      </c>
      <c r="L929" s="1358"/>
      <c r="M929" s="1320">
        <v>412</v>
      </c>
    </row>
    <row r="930" spans="1:13">
      <c r="A930" s="1393">
        <v>103</v>
      </c>
      <c r="B930" s="1324" t="s">
        <v>5564</v>
      </c>
      <c r="D930" s="1421">
        <f>+IF(ISBLANK(REPORTS!J758),"",REPORTS!J758)</f>
        <v>7276.3708286366818</v>
      </c>
      <c r="E930" s="1421">
        <f>+IF(ISBLANK(REPORTS!K758),"",REPORTS!K758)</f>
        <v>4240.0529920337613</v>
      </c>
      <c r="F930" s="1421">
        <f>+IF(ISBLANK(REPORTS!L758),"",REPORTS!L758)</f>
        <v>358.45304406901937</v>
      </c>
      <c r="G930" s="1421">
        <f>+IF(ISBLANK(REPORTS!M758),"",REPORTS!M758)</f>
        <v>2013.3854612533116</v>
      </c>
      <c r="H930" s="1421">
        <f>+IF(ISBLANK(REPORTS!N758),"",REPORTS!N758)</f>
        <v>237.96930471786212</v>
      </c>
      <c r="I930" s="1421">
        <f>+IF(ISBLANK(REPORTS!O758),"",REPORTS!O758)</f>
        <v>146.32226085749025</v>
      </c>
      <c r="J930" s="1421">
        <f>+IF(ISBLANK(REPORTS!P758),"",REPORTS!P758)</f>
        <v>14.963358724717439</v>
      </c>
      <c r="K930" s="1421">
        <f>+IF(ISBLANK(REPORTS!Q758),"",REPORTS!Q758)</f>
        <v>265.22440698052179</v>
      </c>
      <c r="L930" s="1358"/>
    </row>
    <row r="931" spans="1:13">
      <c r="A931" s="1393">
        <v>104</v>
      </c>
      <c r="D931" s="1324" t="str">
        <f>+IF(ISBLANK(REPORTS!J759),"",REPORTS!J759)</f>
        <v/>
      </c>
      <c r="E931" s="1324" t="str">
        <f>+IF(ISBLANK(REPORTS!K759),"",REPORTS!K759)</f>
        <v/>
      </c>
      <c r="F931" s="1324" t="str">
        <f>+IF(ISBLANK(REPORTS!L759),"",REPORTS!L759)</f>
        <v/>
      </c>
      <c r="G931" s="1324" t="str">
        <f>+IF(ISBLANK(REPORTS!M759),"",REPORTS!M759)</f>
        <v/>
      </c>
      <c r="H931" s="1324" t="str">
        <f>+IF(ISBLANK(REPORTS!N759),"",REPORTS!N759)</f>
        <v/>
      </c>
      <c r="I931" s="1324" t="str">
        <f>+IF(ISBLANK(REPORTS!O759),"",REPORTS!O759)</f>
        <v/>
      </c>
      <c r="J931" s="1324" t="str">
        <f>+IF(ISBLANK(REPORTS!P759),"",REPORTS!P759)</f>
        <v/>
      </c>
      <c r="K931" s="1320" t="str">
        <f>+IF(ISBLANK(REPORTS!Q759),"",REPORTS!Q759)</f>
        <v/>
      </c>
    </row>
    <row r="932" spans="1:13">
      <c r="A932" s="1393">
        <v>105</v>
      </c>
      <c r="B932" s="1362" t="s">
        <v>5566</v>
      </c>
      <c r="D932" s="1324" t="str">
        <f>+IF(ISBLANK(REPORTS!J760),"",REPORTS!J760)</f>
        <v/>
      </c>
      <c r="E932" s="1324" t="str">
        <f>+IF(ISBLANK(REPORTS!K760),"",REPORTS!K760)</f>
        <v/>
      </c>
      <c r="F932" s="1324" t="str">
        <f>+IF(ISBLANK(REPORTS!L760),"",REPORTS!L760)</f>
        <v/>
      </c>
      <c r="G932" s="1324" t="str">
        <f>+IF(ISBLANK(REPORTS!M760),"",REPORTS!M760)</f>
        <v/>
      </c>
      <c r="H932" s="1324" t="str">
        <f>+IF(ISBLANK(REPORTS!N760),"",REPORTS!N760)</f>
        <v/>
      </c>
      <c r="I932" s="1324" t="str">
        <f>+IF(ISBLANK(REPORTS!O760),"",REPORTS!O760)</f>
        <v/>
      </c>
      <c r="J932" s="1324" t="str">
        <f>+IF(ISBLANK(REPORTS!P760),"",REPORTS!P760)</f>
        <v/>
      </c>
      <c r="K932" s="1324" t="str">
        <f>+IF(ISBLANK(REPORTS!Q760),"",REPORTS!Q760)</f>
        <v/>
      </c>
    </row>
    <row r="933" spans="1:13">
      <c r="A933" s="1393">
        <v>106</v>
      </c>
      <c r="B933" s="1324" t="s">
        <v>5354</v>
      </c>
      <c r="C933" s="1324" t="s">
        <v>4777</v>
      </c>
      <c r="D933" s="1324">
        <f>+IF(ISBLANK(REPORTS!J761),"",REPORTS!J761)</f>
        <v>1774352.2642492782</v>
      </c>
      <c r="E933" s="1324">
        <f>+IF(ISBLANK(REPORTS!K761),"",REPORTS!K761)</f>
        <v>1031095.7438643834</v>
      </c>
      <c r="F933" s="1324">
        <f>+IF(ISBLANK(REPORTS!L761),"",REPORTS!L761)</f>
        <v>95215.926359999998</v>
      </c>
      <c r="G933" s="1324">
        <f>+IF(ISBLANK(REPORTS!M761),"",REPORTS!M761)</f>
        <v>472409.06597747206</v>
      </c>
      <c r="H933" s="1324">
        <f>+IF(ISBLANK(REPORTS!N761),"",REPORTS!N761)</f>
        <v>56248.638876056888</v>
      </c>
      <c r="I933" s="1324">
        <f>+IF(ISBLANK(REPORTS!O761),"",REPORTS!O761)</f>
        <v>33101.5829713657</v>
      </c>
      <c r="J933" s="1324">
        <f>+IF(ISBLANK(REPORTS!P761),"",REPORTS!P761)</f>
        <v>3573.4600599999999</v>
      </c>
      <c r="K933" s="1324">
        <f>+IF(ISBLANK(REPORTS!Q761),"",REPORTS!Q761)</f>
        <v>82707.846140000009</v>
      </c>
      <c r="L933" s="1358"/>
    </row>
    <row r="934" spans="1:13">
      <c r="A934" s="1393">
        <v>107</v>
      </c>
      <c r="B934" s="1324" t="s">
        <v>5265</v>
      </c>
      <c r="C934" s="1324" t="s">
        <v>4067</v>
      </c>
      <c r="D934" s="1324">
        <f>+IF(ISBLANK(REPORTS!J762),"",REPORTS!J762)</f>
        <v>-596886.46302785096</v>
      </c>
      <c r="E934" s="1324">
        <f>+IF(ISBLANK(REPORTS!K762),"",REPORTS!K762)</f>
        <v>-342740.96140710264</v>
      </c>
      <c r="F934" s="1324">
        <f>+IF(ISBLANK(REPORTS!L762),"",REPORTS!L762)</f>
        <v>-28502.559657566981</v>
      </c>
      <c r="G934" s="1324">
        <f>+IF(ISBLANK(REPORTS!M762),"",REPORTS!M762)</f>
        <v>-184466.00989397772</v>
      </c>
      <c r="H934" s="1324">
        <f>+IF(ISBLANK(REPORTS!N762),"",REPORTS!N762)</f>
        <v>-23576.004515741533</v>
      </c>
      <c r="I934" s="1324">
        <f>+IF(ISBLANK(REPORTS!O762),"",REPORTS!O762)</f>
        <v>-16967.724417438589</v>
      </c>
      <c r="J934" s="1324">
        <f>+IF(ISBLANK(REPORTS!P762),"",REPORTS!P762)</f>
        <v>-633.20313602369083</v>
      </c>
      <c r="K934" s="1324">
        <f>+IF(ISBLANK(REPORTS!Q762),"",REPORTS!Q762)</f>
        <v>0</v>
      </c>
    </row>
    <row r="935" spans="1:13">
      <c r="A935" s="1393">
        <v>108</v>
      </c>
      <c r="B935" s="1324" t="s">
        <v>5265</v>
      </c>
      <c r="C935" s="1324" t="s">
        <v>2067</v>
      </c>
      <c r="D935" s="1324">
        <f>+IF(ISBLANK(REPORTS!J763),"",REPORTS!J763)</f>
        <v>-85243.62430442289</v>
      </c>
      <c r="E935" s="1324">
        <f>+IF(ISBLANK(REPORTS!K763),"",REPORTS!K763)</f>
        <v>-43129.616339352549</v>
      </c>
      <c r="F935" s="1324">
        <f>+IF(ISBLANK(REPORTS!L763),"",REPORTS!L763)</f>
        <v>-3974.092672302063</v>
      </c>
      <c r="G935" s="1324">
        <f>+IF(ISBLANK(REPORTS!M763),"",REPORTS!M763)</f>
        <v>-29529.91838237632</v>
      </c>
      <c r="H935" s="1324">
        <f>+IF(ISBLANK(REPORTS!N763),"",REPORTS!N763)</f>
        <v>-4691.7671289516138</v>
      </c>
      <c r="I935" s="1324">
        <f>+IF(ISBLANK(REPORTS!O763),"",REPORTS!O763)</f>
        <v>-3468.2152771233027</v>
      </c>
      <c r="J935" s="1324">
        <f>+IF(ISBLANK(REPORTS!P763),"",REPORTS!P763)</f>
        <v>-450.01450431703381</v>
      </c>
      <c r="K935" s="1324">
        <f>+IF(ISBLANK(REPORTS!Q763),"",REPORTS!Q763)</f>
        <v>0</v>
      </c>
    </row>
    <row r="936" spans="1:13">
      <c r="A936" s="1393">
        <v>109</v>
      </c>
      <c r="B936" s="1324" t="s">
        <v>5268</v>
      </c>
      <c r="C936" s="1324" t="s">
        <v>4067</v>
      </c>
      <c r="D936" s="1324">
        <f>+IF(ISBLANK(REPORTS!J764),"",REPORTS!J764)</f>
        <v>-27816.961847790335</v>
      </c>
      <c r="E936" s="1324">
        <f>+IF(ISBLANK(REPORTS!K764),"",REPORTS!K764)</f>
        <v>-16134.200608342306</v>
      </c>
      <c r="F936" s="1324">
        <f>+IF(ISBLANK(REPORTS!L764),"",REPORTS!L764)</f>
        <v>-1330.9088116848409</v>
      </c>
      <c r="G936" s="1324">
        <f>+IF(ISBLANK(REPORTS!M764),"",REPORTS!M764)</f>
        <v>-8507.8314009713813</v>
      </c>
      <c r="H936" s="1324">
        <f>+IF(ISBLANK(REPORTS!N764),"",REPORTS!N764)</f>
        <v>-1062.0899442421905</v>
      </c>
      <c r="I936" s="1324">
        <f>+IF(ISBLANK(REPORTS!O764),"",REPORTS!O764)</f>
        <v>-762.20906221165853</v>
      </c>
      <c r="J936" s="1324">
        <f>+IF(ISBLANK(REPORTS!P764),"",REPORTS!P764)</f>
        <v>-19.722020337960572</v>
      </c>
      <c r="K936" s="1324">
        <f>+IF(ISBLANK(REPORTS!Q764),"",REPORTS!Q764)</f>
        <v>0</v>
      </c>
    </row>
    <row r="937" spans="1:13">
      <c r="A937" s="1393">
        <v>110</v>
      </c>
      <c r="B937" s="1324" t="s">
        <v>5239</v>
      </c>
      <c r="C937" s="1324" t="s">
        <v>4067</v>
      </c>
      <c r="D937" s="1324">
        <f>+IF(ISBLANK(REPORTS!J765),"",REPORTS!J765)</f>
        <v>-38301.229523816386</v>
      </c>
      <c r="E937" s="1324">
        <f>+IF(ISBLANK(REPORTS!K765),"",REPORTS!K765)</f>
        <v>-22215.212576584985</v>
      </c>
      <c r="F937" s="1324">
        <f>+IF(ISBLANK(REPORTS!L765),"",REPORTS!L765)</f>
        <v>-1832.530962602593</v>
      </c>
      <c r="G937" s="1324">
        <f>+IF(ISBLANK(REPORTS!M765),"",REPORTS!M765)</f>
        <v>-11714.449803022691</v>
      </c>
      <c r="H937" s="1324">
        <f>+IF(ISBLANK(REPORTS!N765),"",REPORTS!N765)</f>
        <v>-1462.3937348711174</v>
      </c>
      <c r="I937" s="1324">
        <f>+IF(ISBLANK(REPORTS!O765),"",REPORTS!O765)</f>
        <v>-1049.4871581103525</v>
      </c>
      <c r="J937" s="1324">
        <f>+IF(ISBLANK(REPORTS!P765),"",REPORTS!P765)</f>
        <v>-27.155288624649241</v>
      </c>
      <c r="K937" s="1324">
        <f>+IF(ISBLANK(REPORTS!Q765),"",REPORTS!Q765)</f>
        <v>0</v>
      </c>
      <c r="L937" s="1324"/>
      <c r="M937" s="1324"/>
    </row>
    <row r="938" spans="1:13">
      <c r="A938" s="1393">
        <v>111</v>
      </c>
      <c r="B938" s="1324" t="s">
        <v>5240</v>
      </c>
      <c r="C938" s="1324" t="s">
        <v>4067</v>
      </c>
      <c r="D938" s="1324">
        <f>+IF(ISBLANK(REPORTS!J766),"",REPORTS!J766)</f>
        <v>-164198.97823807606</v>
      </c>
      <c r="E938" s="1324">
        <f>+IF(ISBLANK(REPORTS!K766),"",REPORTS!K766)</f>
        <v>-102200.07322205861</v>
      </c>
      <c r="F938" s="1324">
        <f>+IF(ISBLANK(REPORTS!L766),"",REPORTS!L766)</f>
        <v>-7268.7255314054928</v>
      </c>
      <c r="G938" s="1324">
        <f>+IF(ISBLANK(REPORTS!M766),"",REPORTS!M766)</f>
        <v>-48668.655835269135</v>
      </c>
      <c r="H938" s="1324">
        <f>+IF(ISBLANK(REPORTS!N766),"",REPORTS!N766)</f>
        <v>-5118.9640574965297</v>
      </c>
      <c r="I938" s="1324">
        <f>+IF(ISBLANK(REPORTS!O766),"",REPORTS!O766)</f>
        <v>-3.4951289351703631E-3</v>
      </c>
      <c r="J938" s="1324">
        <f>+IF(ISBLANK(REPORTS!P766),"",REPORTS!P766)</f>
        <v>-942.55609671739307</v>
      </c>
      <c r="K938" s="1324">
        <f>+IF(ISBLANK(REPORTS!Q766),"",REPORTS!Q766)</f>
        <v>0</v>
      </c>
    </row>
    <row r="939" spans="1:13">
      <c r="A939" s="1393">
        <v>112</v>
      </c>
      <c r="B939" s="1324" t="s">
        <v>5241</v>
      </c>
      <c r="C939" s="1324" t="s">
        <v>4067</v>
      </c>
      <c r="D939" s="1324">
        <f>+IF(ISBLANK(REPORTS!J767),"",REPORTS!J767)</f>
        <v>-72565.890967504587</v>
      </c>
      <c r="E939" s="1324">
        <f>+IF(ISBLANK(REPORTS!K767),"",REPORTS!K767)</f>
        <v>-52946.487685266904</v>
      </c>
      <c r="F939" s="1324">
        <f>+IF(ISBLANK(REPORTS!L767),"",REPORTS!L767)</f>
        <v>-4263.2430470481168</v>
      </c>
      <c r="G939" s="1324">
        <f>+IF(ISBLANK(REPORTS!M767),"",REPORTS!M767)</f>
        <v>-15093.658334400161</v>
      </c>
      <c r="H939" s="1324">
        <f>+IF(ISBLANK(REPORTS!N767),"",REPORTS!N767)</f>
        <v>0</v>
      </c>
      <c r="I939" s="1324">
        <f>+IF(ISBLANK(REPORTS!O767),"",REPORTS!O767)</f>
        <v>0</v>
      </c>
      <c r="J939" s="1324">
        <f>+IF(ISBLANK(REPORTS!P767),"",REPORTS!P767)</f>
        <v>-262.50190078939755</v>
      </c>
      <c r="K939" s="1324">
        <f>+IF(ISBLANK(REPORTS!Q767),"",REPORTS!Q767)</f>
        <v>0</v>
      </c>
    </row>
    <row r="940" spans="1:13">
      <c r="A940" s="1393">
        <v>113</v>
      </c>
      <c r="B940" s="1324" t="s">
        <v>5242</v>
      </c>
      <c r="C940" s="1324" t="s">
        <v>4071</v>
      </c>
      <c r="D940" s="1324">
        <f>+IF(ISBLANK(REPORTS!J768),"",REPORTS!J768)</f>
        <v>-106010.13207956245</v>
      </c>
      <c r="E940" s="1324">
        <f>+IF(ISBLANK(REPORTS!K768),"",REPORTS!K768)</f>
        <v>-47927.633318900182</v>
      </c>
      <c r="F940" s="1324">
        <f>+IF(ISBLANK(REPORTS!L768),"",REPORTS!L768)</f>
        <v>-9052.7007346281462</v>
      </c>
      <c r="G940" s="1324">
        <f>+IF(ISBLANK(REPORTS!M768),"",REPORTS!M768)</f>
        <v>-5113.6278433064153</v>
      </c>
      <c r="H940" s="1324">
        <f>+IF(ISBLANK(REPORTS!N768),"",REPORTS!N768)</f>
        <v>-379.38255584158208</v>
      </c>
      <c r="I940" s="1324">
        <f>+IF(ISBLANK(REPORTS!O768),"",REPORTS!O768)</f>
        <v>-413.92229419105598</v>
      </c>
      <c r="J940" s="1324">
        <f>+IF(ISBLANK(REPORTS!P768),"",REPORTS!P768)</f>
        <v>-85.774327870001329</v>
      </c>
      <c r="K940" s="1324">
        <f>+IF(ISBLANK(REPORTS!Q768),"",REPORTS!Q768)</f>
        <v>-43037.091004825073</v>
      </c>
    </row>
    <row r="941" spans="1:13">
      <c r="A941" s="1393">
        <v>114</v>
      </c>
      <c r="B941" s="1324" t="s">
        <v>5244</v>
      </c>
      <c r="C941" s="1324" t="s">
        <v>4071</v>
      </c>
      <c r="D941" s="1324">
        <f>+IF(ISBLANK(REPORTS!J769),"",REPORTS!J769)</f>
        <v>-67662.869841152235</v>
      </c>
      <c r="E941" s="1324">
        <f>+IF(ISBLANK(REPORTS!K769),"",REPORTS!K769)</f>
        <v>-58517.924629586007</v>
      </c>
      <c r="F941" s="1324">
        <f>+IF(ISBLANK(REPORTS!L769),"",REPORTS!L769)</f>
        <v>-5661.5593916459893</v>
      </c>
      <c r="G941" s="1324">
        <f>+IF(ISBLANK(REPORTS!M769),"",REPORTS!M769)</f>
        <v>-2881.0217912566018</v>
      </c>
      <c r="H941" s="1324">
        <f>+IF(ISBLANK(REPORTS!N769),"",REPORTS!N769)</f>
        <v>-191.09885234720335</v>
      </c>
      <c r="I941" s="1324">
        <f>+IF(ISBLANK(REPORTS!O769),"",REPORTS!O769)</f>
        <v>-109.74499128950764</v>
      </c>
      <c r="J941" s="1324">
        <f>+IF(ISBLANK(REPORTS!P769),"",REPORTS!P769)</f>
        <v>-31.314976484868176</v>
      </c>
      <c r="K941" s="1324">
        <f>+IF(ISBLANK(REPORTS!Q769),"",REPORTS!Q769)</f>
        <v>-270.20520854205262</v>
      </c>
    </row>
    <row r="942" spans="1:13">
      <c r="A942" s="1393">
        <v>115</v>
      </c>
      <c r="B942" s="1324" t="s">
        <v>5576</v>
      </c>
      <c r="D942" s="1421">
        <f>+IF(ISBLANK(REPORTS!J770),"",REPORTS!J770)</f>
        <v>615666.11441910244</v>
      </c>
      <c r="E942" s="1421">
        <f>+IF(ISBLANK(REPORTS!K770),"",REPORTS!K770)</f>
        <v>345283.63407718926</v>
      </c>
      <c r="F942" s="1421">
        <f>+IF(ISBLANK(REPORTS!L770),"",REPORTS!L770)</f>
        <v>33329.605551115776</v>
      </c>
      <c r="G942" s="1421">
        <f>+IF(ISBLANK(REPORTS!M770),"",REPORTS!M770)</f>
        <v>166433.89269289159</v>
      </c>
      <c r="H942" s="1421">
        <f>+IF(ISBLANK(REPORTS!N770),"",REPORTS!N770)</f>
        <v>19766.938086565115</v>
      </c>
      <c r="I942" s="1421">
        <f>+IF(ISBLANK(REPORTS!O770),"",REPORTS!O770)</f>
        <v>10330.276275872298</v>
      </c>
      <c r="J942" s="1421">
        <f>+IF(ISBLANK(REPORTS!P770),"",REPORTS!P770)</f>
        <v>1121.2178088350054</v>
      </c>
      <c r="K942" s="1421">
        <f>+IF(ISBLANK(REPORTS!Q770),"",REPORTS!Q770)</f>
        <v>39400.549926632884</v>
      </c>
    </row>
    <row r="943" spans="1:13">
      <c r="A943" s="1393">
        <v>116</v>
      </c>
      <c r="D943" s="1364" t="str">
        <f>+IF(ISBLANK(REPORTS!J771),"",REPORTS!J771)</f>
        <v/>
      </c>
      <c r="E943" s="1364" t="str">
        <f>+IF(ISBLANK(REPORTS!K771),"",REPORTS!K771)</f>
        <v/>
      </c>
      <c r="F943" s="1364" t="str">
        <f>+IF(ISBLANK(REPORTS!L771),"",REPORTS!L771)</f>
        <v/>
      </c>
      <c r="G943" s="1364" t="str">
        <f>+IF(ISBLANK(REPORTS!M771),"",REPORTS!M771)</f>
        <v/>
      </c>
      <c r="H943" s="1364" t="str">
        <f>+IF(ISBLANK(REPORTS!N771),"",REPORTS!N771)</f>
        <v/>
      </c>
      <c r="I943" s="1364" t="str">
        <f>+IF(ISBLANK(REPORTS!O771),"",REPORTS!O771)</f>
        <v/>
      </c>
      <c r="J943" s="1364" t="str">
        <f>+IF(ISBLANK(REPORTS!P771),"",REPORTS!P771)</f>
        <v/>
      </c>
      <c r="K943" s="1364" t="str">
        <f>+IF(ISBLANK(REPORTS!Q771),"",REPORTS!Q771)</f>
        <v/>
      </c>
      <c r="L943" s="1324"/>
      <c r="M943" s="1324"/>
    </row>
    <row r="944" spans="1:13">
      <c r="A944" s="1393">
        <v>117</v>
      </c>
      <c r="B944" s="1362" t="s">
        <v>5578</v>
      </c>
      <c r="C944" s="1744"/>
      <c r="D944" s="1324" t="str">
        <f>+IF(ISBLANK(REPORTS!J772),"",REPORTS!J772)</f>
        <v/>
      </c>
      <c r="E944" s="1324" t="str">
        <f>+IF(ISBLANK(REPORTS!K772),"",REPORTS!K772)</f>
        <v/>
      </c>
      <c r="F944" s="1324" t="str">
        <f>+IF(ISBLANK(REPORTS!L772),"",REPORTS!L772)</f>
        <v/>
      </c>
      <c r="G944" s="1324" t="str">
        <f>+IF(ISBLANK(REPORTS!M772),"",REPORTS!M772)</f>
        <v/>
      </c>
      <c r="H944" s="1324" t="str">
        <f>+IF(ISBLANK(REPORTS!N772),"",REPORTS!N772)</f>
        <v/>
      </c>
      <c r="I944" s="1324" t="str">
        <f>+IF(ISBLANK(REPORTS!O772),"",REPORTS!O772)</f>
        <v/>
      </c>
      <c r="J944" s="1324" t="str">
        <f>+IF(ISBLANK(REPORTS!P772),"",REPORTS!P772)</f>
        <v/>
      </c>
      <c r="K944" s="1324" t="str">
        <f>+IF(ISBLANK(REPORTS!Q772),"",REPORTS!Q772)</f>
        <v/>
      </c>
    </row>
    <row r="945" spans="1:13">
      <c r="A945" s="1393">
        <v>118</v>
      </c>
      <c r="B945" s="1324" t="s">
        <v>5354</v>
      </c>
      <c r="C945" s="1324" t="s">
        <v>4777</v>
      </c>
      <c r="D945" s="1324">
        <f>+IF(ISBLANK(REPORTS!J773),"",REPORTS!J773)</f>
        <v>97589.374533710303</v>
      </c>
      <c r="E945" s="1324">
        <f>+IF(ISBLANK(REPORTS!K773),"",REPORTS!K773)</f>
        <v>56710.265912541086</v>
      </c>
      <c r="F945" s="1324">
        <f>+IF(ISBLANK(REPORTS!L773),"",REPORTS!L773)</f>
        <v>5236.8759497999999</v>
      </c>
      <c r="G945" s="1324">
        <f>+IF(ISBLANK(REPORTS!M773),"",REPORTS!M773)</f>
        <v>25982.498628760964</v>
      </c>
      <c r="H945" s="1324">
        <f>+IF(ISBLANK(REPORTS!N773),"",REPORTS!N773)</f>
        <v>3093.6751381831286</v>
      </c>
      <c r="I945" s="1324">
        <f>+IF(ISBLANK(REPORTS!O773),"",REPORTS!O773)</f>
        <v>1820.5870634251135</v>
      </c>
      <c r="J945" s="1324">
        <f>+IF(ISBLANK(REPORTS!P773),"",REPORTS!P773)</f>
        <v>196.54030330000001</v>
      </c>
      <c r="K945" s="1324">
        <f>+IF(ISBLANK(REPORTS!Q773),"",REPORTS!Q773)</f>
        <v>4548.9315377000003</v>
      </c>
    </row>
    <row r="946" spans="1:13">
      <c r="A946" s="1393">
        <v>119</v>
      </c>
      <c r="B946" s="1324" t="s">
        <v>5265</v>
      </c>
      <c r="C946" s="1324" t="s">
        <v>4067</v>
      </c>
      <c r="D946" s="1324">
        <f>+IF(ISBLANK(REPORTS!J774),"",REPORTS!J774)</f>
        <v>-32828.755466531802</v>
      </c>
      <c r="E946" s="1324">
        <f>+IF(ISBLANK(REPORTS!K774),"",REPORTS!K774)</f>
        <v>-18850.752877390645</v>
      </c>
      <c r="F946" s="1324">
        <f>+IF(ISBLANK(REPORTS!L774),"",REPORTS!L774)</f>
        <v>-1567.6407811661838</v>
      </c>
      <c r="G946" s="1324">
        <f>+IF(ISBLANK(REPORTS!M774),"",REPORTS!M774)</f>
        <v>-10145.630544168775</v>
      </c>
      <c r="H946" s="1324">
        <f>+IF(ISBLANK(REPORTS!N774),"",REPORTS!N774)</f>
        <v>-1296.6802483657843</v>
      </c>
      <c r="I946" s="1324">
        <f>+IF(ISBLANK(REPORTS!O774),"",REPORTS!O774)</f>
        <v>-933.22484295912238</v>
      </c>
      <c r="J946" s="1324">
        <f>+IF(ISBLANK(REPORTS!P774),"",REPORTS!P774)</f>
        <v>-34.826172481302997</v>
      </c>
      <c r="K946" s="1324">
        <f>+IF(ISBLANK(REPORTS!Q774),"",REPORTS!Q774)</f>
        <v>0</v>
      </c>
    </row>
    <row r="947" spans="1:13">
      <c r="A947" s="1393">
        <v>120</v>
      </c>
      <c r="B947" s="1324" t="s">
        <v>5265</v>
      </c>
      <c r="C947" s="1324" t="s">
        <v>2067</v>
      </c>
      <c r="D947" s="1324">
        <f>+IF(ISBLANK(REPORTS!J775),"",REPORTS!J775)</f>
        <v>-4688.3993367432586</v>
      </c>
      <c r="E947" s="1324">
        <f>+IF(ISBLANK(REPORTS!K775),"",REPORTS!K775)</f>
        <v>-2372.1288986643904</v>
      </c>
      <c r="F947" s="1324">
        <f>+IF(ISBLANK(REPORTS!L775),"",REPORTS!L775)</f>
        <v>-218.57509697661345</v>
      </c>
      <c r="G947" s="1324">
        <f>+IF(ISBLANK(REPORTS!M775),"",REPORTS!M775)</f>
        <v>-1624.1455110306977</v>
      </c>
      <c r="H947" s="1324">
        <f>+IF(ISBLANK(REPORTS!N775),"",REPORTS!N775)</f>
        <v>-258.04719209233878</v>
      </c>
      <c r="I947" s="1324">
        <f>+IF(ISBLANK(REPORTS!O775),"",REPORTS!O775)</f>
        <v>-190.75184024178165</v>
      </c>
      <c r="J947" s="1324">
        <f>+IF(ISBLANK(REPORTS!P775),"",REPORTS!P775)</f>
        <v>-24.750797737436859</v>
      </c>
      <c r="K947" s="1324">
        <f>+IF(ISBLANK(REPORTS!Q775),"",REPORTS!Q775)</f>
        <v>0</v>
      </c>
    </row>
    <row r="948" spans="1:13">
      <c r="A948" s="1393">
        <v>121</v>
      </c>
      <c r="B948" s="1324" t="s">
        <v>5268</v>
      </c>
      <c r="C948" s="1324" t="s">
        <v>4067</v>
      </c>
      <c r="D948" s="1324">
        <f>+IF(ISBLANK(REPORTS!J776),"",REPORTS!J776)</f>
        <v>-1529.9329016284685</v>
      </c>
      <c r="E948" s="1324">
        <f>+IF(ISBLANK(REPORTS!K776),"",REPORTS!K776)</f>
        <v>-887.38103345882678</v>
      </c>
      <c r="F948" s="1324">
        <f>+IF(ISBLANK(REPORTS!L776),"",REPORTS!L776)</f>
        <v>-73.199984642666251</v>
      </c>
      <c r="G948" s="1324">
        <f>+IF(ISBLANK(REPORTS!M776),"",REPORTS!M776)</f>
        <v>-467.93072705342598</v>
      </c>
      <c r="H948" s="1324">
        <f>+IF(ISBLANK(REPORTS!N776),"",REPORTS!N776)</f>
        <v>-58.414946933320479</v>
      </c>
      <c r="I948" s="1324">
        <f>+IF(ISBLANK(REPORTS!O776),"",REPORTS!O776)</f>
        <v>-41.921498421641218</v>
      </c>
      <c r="J948" s="1324">
        <f>+IF(ISBLANK(REPORTS!P776),"",REPORTS!P776)</f>
        <v>-1.0847111185878315</v>
      </c>
      <c r="K948" s="1324">
        <f>+IF(ISBLANK(REPORTS!Q776),"",REPORTS!Q776)</f>
        <v>0</v>
      </c>
    </row>
    <row r="949" spans="1:13">
      <c r="A949" s="1393">
        <v>122</v>
      </c>
      <c r="B949" s="1324" t="s">
        <v>5239</v>
      </c>
      <c r="C949" s="1324" t="s">
        <v>4067</v>
      </c>
      <c r="D949" s="1324">
        <f>+IF(ISBLANK(REPORTS!J777),"",REPORTS!J777)</f>
        <v>-2106.5676238099013</v>
      </c>
      <c r="E949" s="1324">
        <f>+IF(ISBLANK(REPORTS!K777),"",REPORTS!K777)</f>
        <v>-1221.8366917121741</v>
      </c>
      <c r="F949" s="1324">
        <f>+IF(ISBLANK(REPORTS!L777),"",REPORTS!L777)</f>
        <v>-100.78920294314261</v>
      </c>
      <c r="G949" s="1324">
        <f>+IF(ISBLANK(REPORTS!M777),"",REPORTS!M777)</f>
        <v>-644.29473916624806</v>
      </c>
      <c r="H949" s="1324">
        <f>+IF(ISBLANK(REPORTS!N777),"",REPORTS!N777)</f>
        <v>-80.431655417911458</v>
      </c>
      <c r="I949" s="1324">
        <f>+IF(ISBLANK(REPORTS!O777),"",REPORTS!O777)</f>
        <v>-57.72179369606939</v>
      </c>
      <c r="J949" s="1324">
        <f>+IF(ISBLANK(REPORTS!P777),"",REPORTS!P777)</f>
        <v>-1.4935408743557084</v>
      </c>
      <c r="K949" s="1324">
        <f>+IF(ISBLANK(REPORTS!Q777),"",REPORTS!Q777)</f>
        <v>0</v>
      </c>
    </row>
    <row r="950" spans="1:13">
      <c r="A950" s="1393">
        <v>123</v>
      </c>
      <c r="B950" s="1324" t="s">
        <v>5240</v>
      </c>
      <c r="C950" s="1324" t="s">
        <v>4067</v>
      </c>
      <c r="D950" s="1324">
        <f>+IF(ISBLANK(REPORTS!J778),"",REPORTS!J778)</f>
        <v>-9030.9438030941837</v>
      </c>
      <c r="E950" s="1324">
        <f>+IF(ISBLANK(REPORTS!K778),"",REPORTS!K778)</f>
        <v>-5621.0040272132237</v>
      </c>
      <c r="F950" s="1324">
        <f>+IF(ISBLANK(REPORTS!L778),"",REPORTS!L778)</f>
        <v>-399.7799042273021</v>
      </c>
      <c r="G950" s="1324">
        <f>+IF(ISBLANK(REPORTS!M778),"",REPORTS!M778)</f>
        <v>-2676.7760709398026</v>
      </c>
      <c r="H950" s="1324">
        <f>+IF(ISBLANK(REPORTS!N778),"",REPORTS!N778)</f>
        <v>-281.54302316230911</v>
      </c>
      <c r="I950" s="1324">
        <f>+IF(ISBLANK(REPORTS!O778),"",REPORTS!O778)</f>
        <v>-1.9223209143436998E-4</v>
      </c>
      <c r="J950" s="1324">
        <f>+IF(ISBLANK(REPORTS!P778),"",REPORTS!P778)</f>
        <v>-51.840585319456622</v>
      </c>
      <c r="K950" s="1324">
        <f>+IF(ISBLANK(REPORTS!Q778),"",REPORTS!Q778)</f>
        <v>0</v>
      </c>
    </row>
    <row r="951" spans="1:13">
      <c r="A951" s="1393">
        <v>124</v>
      </c>
      <c r="B951" s="1324" t="s">
        <v>5241</v>
      </c>
      <c r="C951" s="1324" t="s">
        <v>4067</v>
      </c>
      <c r="D951" s="1324">
        <f>+IF(ISBLANK(REPORTS!J779),"",REPORTS!J779)</f>
        <v>-3991.1240032127521</v>
      </c>
      <c r="E951" s="1324">
        <f>+IF(ISBLANK(REPORTS!K779),"",REPORTS!K779)</f>
        <v>-2912.0568226896798</v>
      </c>
      <c r="F951" s="1324">
        <f>+IF(ISBLANK(REPORTS!L779),"",REPORTS!L779)</f>
        <v>-234.47836758764643</v>
      </c>
      <c r="G951" s="1324">
        <f>+IF(ISBLANK(REPORTS!M779),"",REPORTS!M779)</f>
        <v>-830.15120839200881</v>
      </c>
      <c r="H951" s="1324">
        <f>+IF(ISBLANK(REPORTS!N779),"",REPORTS!N779)</f>
        <v>0</v>
      </c>
      <c r="I951" s="1324">
        <f>+IF(ISBLANK(REPORTS!O779),"",REPORTS!O779)</f>
        <v>0</v>
      </c>
      <c r="J951" s="1324">
        <f>+IF(ISBLANK(REPORTS!P779),"",REPORTS!P779)</f>
        <v>-14.437604543416866</v>
      </c>
      <c r="K951" s="1324">
        <f>+IF(ISBLANK(REPORTS!Q779),"",REPORTS!Q779)</f>
        <v>0</v>
      </c>
    </row>
    <row r="952" spans="1:13">
      <c r="A952" s="1393">
        <v>125</v>
      </c>
      <c r="B952" s="1324" t="s">
        <v>5242</v>
      </c>
      <c r="C952" s="1324" t="s">
        <v>4071</v>
      </c>
      <c r="D952" s="1324">
        <f>+IF(ISBLANK(REPORTS!J780),"",REPORTS!J780)</f>
        <v>-5830.5572643759351</v>
      </c>
      <c r="E952" s="1324">
        <f>+IF(ISBLANK(REPORTS!K780),"",REPORTS!K780)</f>
        <v>-2636.0198325395099</v>
      </c>
      <c r="F952" s="1324">
        <f>+IF(ISBLANK(REPORTS!L780),"",REPORTS!L780)</f>
        <v>-497.89854040454804</v>
      </c>
      <c r="G952" s="1324">
        <f>+IF(ISBLANK(REPORTS!M780),"",REPORTS!M780)</f>
        <v>-281.24953138185282</v>
      </c>
      <c r="H952" s="1324">
        <f>+IF(ISBLANK(REPORTS!N780),"",REPORTS!N780)</f>
        <v>-20.866040571287016</v>
      </c>
      <c r="I952" s="1324">
        <f>+IF(ISBLANK(REPORTS!O780),"",REPORTS!O780)</f>
        <v>-22.765726180508079</v>
      </c>
      <c r="J952" s="1324">
        <f>+IF(ISBLANK(REPORTS!P780),"",REPORTS!P780)</f>
        <v>-4.717588032850073</v>
      </c>
      <c r="K952" s="1324">
        <f>+IF(ISBLANK(REPORTS!Q780),"",REPORTS!Q780)</f>
        <v>-2367.040005265379</v>
      </c>
    </row>
    <row r="953" spans="1:13">
      <c r="A953" s="1393">
        <v>126</v>
      </c>
      <c r="B953" s="1324" t="s">
        <v>5244</v>
      </c>
      <c r="C953" s="1324" t="s">
        <v>4071</v>
      </c>
      <c r="D953" s="1324">
        <f>+IF(ISBLANK(REPORTS!J781),"",REPORTS!J781)</f>
        <v>-3721.4578412633728</v>
      </c>
      <c r="E953" s="1324">
        <f>+IF(ISBLANK(REPORTS!K781),"",REPORTS!K781)</f>
        <v>-3218.4858546272303</v>
      </c>
      <c r="F953" s="1324">
        <f>+IF(ISBLANK(REPORTS!L781),"",REPORTS!L781)</f>
        <v>-311.3857665405294</v>
      </c>
      <c r="G953" s="1324">
        <f>+IF(ISBLANK(REPORTS!M781),"",REPORTS!M781)</f>
        <v>-158.45619851911309</v>
      </c>
      <c r="H953" s="1324">
        <f>+IF(ISBLANK(REPORTS!N781),"",REPORTS!N781)</f>
        <v>-10.510436879096185</v>
      </c>
      <c r="I953" s="1324">
        <f>+IF(ISBLANK(REPORTS!O781),"",REPORTS!O781)</f>
        <v>-6.0359745209229203</v>
      </c>
      <c r="J953" s="1324">
        <f>+IF(ISBLANK(REPORTS!P781),"",REPORTS!P781)</f>
        <v>-1.7223237066677497</v>
      </c>
      <c r="K953" s="1324">
        <f>+IF(ISBLANK(REPORTS!Q781),"",REPORTS!Q781)</f>
        <v>-14.861286469812894</v>
      </c>
    </row>
    <row r="954" spans="1:13">
      <c r="A954" s="1393">
        <v>127</v>
      </c>
      <c r="B954" s="1324" t="s">
        <v>5588</v>
      </c>
      <c r="D954" s="1421">
        <f>+IF(ISBLANK(REPORTS!J782),"",REPORTS!J782)</f>
        <v>33861.636293050629</v>
      </c>
      <c r="E954" s="1421">
        <f>+IF(ISBLANK(REPORTS!K782),"",REPORTS!K782)</f>
        <v>18990.599874245403</v>
      </c>
      <c r="F954" s="1421">
        <f>+IF(ISBLANK(REPORTS!L782),"",REPORTS!L782)</f>
        <v>1833.1283053113675</v>
      </c>
      <c r="G954" s="1421">
        <f>+IF(ISBLANK(REPORTS!M782),"",REPORTS!M782)</f>
        <v>9153.8640981090412</v>
      </c>
      <c r="H954" s="1421">
        <f>+IF(ISBLANK(REPORTS!N782),"",REPORTS!N782)</f>
        <v>1087.1815947610814</v>
      </c>
      <c r="I954" s="1421">
        <f>+IF(ISBLANK(REPORTS!O782),"",REPORTS!O782)</f>
        <v>568.16519517297638</v>
      </c>
      <c r="J954" s="1421">
        <f>+IF(ISBLANK(REPORTS!P782),"",REPORTS!P782)</f>
        <v>61.666979485925296</v>
      </c>
      <c r="K954" s="1421">
        <f>+IF(ISBLANK(REPORTS!Q782),"",REPORTS!Q782)</f>
        <v>2167.0302459648083</v>
      </c>
    </row>
    <row r="958" spans="1:13">
      <c r="A958" s="1732" t="str">
        <f>+$A$1</f>
        <v>RATES WITH REVENUE DEFICIENCY ADDITION</v>
      </c>
      <c r="F958" s="1329" t="s">
        <v>2173</v>
      </c>
      <c r="G958" s="1329"/>
      <c r="H958" s="1329"/>
      <c r="I958" s="1329"/>
      <c r="M958" s="1334" t="s">
        <v>5636</v>
      </c>
    </row>
    <row r="959" spans="1:13">
      <c r="A959" s="1732" t="str">
        <f>+$A$2</f>
        <v>PROD. CAP. ALLOC. METHOD: 12 CP &amp; 1/13th AD</v>
      </c>
      <c r="F959" s="1336" t="s">
        <v>5141</v>
      </c>
      <c r="G959" s="1336"/>
      <c r="H959" s="1336"/>
      <c r="I959" s="1336"/>
      <c r="L959" s="1331"/>
      <c r="M959" s="1409"/>
    </row>
    <row r="960" spans="1:13">
      <c r="A960" s="1732" t="str">
        <f>+$A$3</f>
        <v>PROJECTED CALENDAR YEAR 2025; FULLY ADJUSTED DATA</v>
      </c>
      <c r="F960" s="1336" t="s">
        <v>2181</v>
      </c>
    </row>
    <row r="961" spans="1:13">
      <c r="A961" s="1732" t="str">
        <f>+$A$4</f>
        <v>MINIMUM DISTRIBUTION SYSTEM (MDS) NOT EMPLOYED</v>
      </c>
      <c r="B961" s="1364"/>
      <c r="F961" s="1336"/>
      <c r="G961" s="1336"/>
      <c r="H961" s="1336"/>
      <c r="I961" s="1336"/>
    </row>
    <row r="962" spans="1:13">
      <c r="A962" s="1732" t="str">
        <f>+$A$5</f>
        <v>Tampa Electric 2025 OB Budget</v>
      </c>
      <c r="F962" s="1336" t="s">
        <v>5494</v>
      </c>
      <c r="G962" s="1336"/>
      <c r="H962" s="1336"/>
      <c r="I962" s="1336"/>
    </row>
    <row r="963" spans="1:13">
      <c r="A963" s="1416"/>
      <c r="F963" s="1336"/>
      <c r="G963" s="1336"/>
      <c r="H963" s="1336"/>
      <c r="I963" s="1336"/>
    </row>
    <row r="964" spans="1:13">
      <c r="A964" s="1416"/>
      <c r="F964" s="1336"/>
      <c r="G964" s="1336"/>
      <c r="H964" s="1336"/>
      <c r="I964" s="1336"/>
    </row>
    <row r="966" spans="1:13">
      <c r="A966" s="1735"/>
      <c r="B966" s="1416"/>
      <c r="C966" s="1416"/>
      <c r="D966" s="1416"/>
      <c r="E966" s="1336"/>
      <c r="F966" s="1416"/>
      <c r="G966" s="1416"/>
      <c r="H966" s="1416"/>
      <c r="I966" s="1416"/>
      <c r="J966" s="1336"/>
      <c r="K966" s="1336"/>
      <c r="L966" s="1333"/>
    </row>
    <row r="967" spans="1:13" ht="28.2">
      <c r="A967" s="1737" t="s">
        <v>4297</v>
      </c>
      <c r="B967" s="1741"/>
      <c r="C967" s="1741"/>
      <c r="D967" s="1352" t="s">
        <v>4957</v>
      </c>
      <c r="E967" s="1353" t="s">
        <v>1949</v>
      </c>
      <c r="F967" s="1353" t="s">
        <v>1950</v>
      </c>
      <c r="G967" s="1353" t="s">
        <v>1934</v>
      </c>
      <c r="H967" s="1353" t="s">
        <v>1971</v>
      </c>
      <c r="I967" s="1353" t="s">
        <v>1972</v>
      </c>
      <c r="J967" s="1352" t="s">
        <v>5146</v>
      </c>
      <c r="K967" s="1352" t="s">
        <v>5147</v>
      </c>
      <c r="L967" s="1355"/>
      <c r="M967" s="1348" t="s">
        <v>5299</v>
      </c>
    </row>
    <row r="969" spans="1:13">
      <c r="A969" s="1393">
        <v>128</v>
      </c>
      <c r="B969" s="1362" t="s">
        <v>5591</v>
      </c>
    </row>
    <row r="970" spans="1:13">
      <c r="A970" s="1393">
        <v>129</v>
      </c>
      <c r="B970" s="1324" t="s">
        <v>5354</v>
      </c>
      <c r="C970" s="1324" t="s">
        <v>4777</v>
      </c>
      <c r="D970" s="1324">
        <f>+IF(ISBLANK(REPORTS!J800),"",REPORTS!J800)</f>
        <v>1676762.8897155679</v>
      </c>
      <c r="E970" s="1324">
        <f>+IF(ISBLANK(REPORTS!K800),"",REPORTS!K800)</f>
        <v>974385.47795184236</v>
      </c>
      <c r="F970" s="1324">
        <f>+IF(ISBLANK(REPORTS!L800),"",REPORTS!L800)</f>
        <v>89979.050410199998</v>
      </c>
      <c r="G970" s="1324">
        <f>+IF(ISBLANK(REPORTS!M800),"",REPORTS!M800)</f>
        <v>446426.56734871108</v>
      </c>
      <c r="H970" s="1324">
        <f>+IF(ISBLANK(REPORTS!N800),"",REPORTS!N800)</f>
        <v>53154.963737873761</v>
      </c>
      <c r="I970" s="1324">
        <f>+IF(ISBLANK(REPORTS!O800),"",REPORTS!O800)</f>
        <v>31280.995907940585</v>
      </c>
      <c r="J970" s="1324">
        <f>+IF(ISBLANK(REPORTS!P800),"",REPORTS!P800)</f>
        <v>3376.9197567000001</v>
      </c>
      <c r="K970" s="1324">
        <f>+IF(ISBLANK(REPORTS!Q800),"",REPORTS!Q800)</f>
        <v>78158.914602300007</v>
      </c>
    </row>
    <row r="971" spans="1:13">
      <c r="A971" s="1393">
        <v>130</v>
      </c>
      <c r="B971" s="1324" t="s">
        <v>5265</v>
      </c>
      <c r="C971" s="1324" t="s">
        <v>4067</v>
      </c>
      <c r="D971" s="1324">
        <f>+IF(ISBLANK(REPORTS!J801),"",REPORTS!J801)</f>
        <v>-564057.70756131911</v>
      </c>
      <c r="E971" s="1324">
        <f>+IF(ISBLANK(REPORTS!K801),"",REPORTS!K801)</f>
        <v>-323890.20852971199</v>
      </c>
      <c r="F971" s="1324">
        <f>+IF(ISBLANK(REPORTS!L801),"",REPORTS!L801)</f>
        <v>-26934.918876400796</v>
      </c>
      <c r="G971" s="1324">
        <f>+IF(ISBLANK(REPORTS!M801),"",REPORTS!M801)</f>
        <v>-174320.37934980894</v>
      </c>
      <c r="H971" s="1324">
        <f>+IF(ISBLANK(REPORTS!N801),"",REPORTS!N801)</f>
        <v>-22279.324267375749</v>
      </c>
      <c r="I971" s="1324">
        <f>+IF(ISBLANK(REPORTS!O801),"",REPORTS!O801)</f>
        <v>-16034.499574479467</v>
      </c>
      <c r="J971" s="1324">
        <f>+IF(ISBLANK(REPORTS!P801),"",REPORTS!P801)</f>
        <v>-598.37696354238778</v>
      </c>
      <c r="K971" s="1324">
        <f>+IF(ISBLANK(REPORTS!Q801),"",REPORTS!Q801)</f>
        <v>0</v>
      </c>
    </row>
    <row r="972" spans="1:13">
      <c r="A972" s="1393">
        <v>131</v>
      </c>
      <c r="B972" s="1324" t="s">
        <v>5265</v>
      </c>
      <c r="C972" s="1324" t="s">
        <v>2067</v>
      </c>
      <c r="D972" s="1324">
        <f>+IF(ISBLANK(REPORTS!J802),"",REPORTS!J802)</f>
        <v>-80555.224967679635</v>
      </c>
      <c r="E972" s="1324">
        <f>+IF(ISBLANK(REPORTS!K802),"",REPORTS!K802)</f>
        <v>-40757.487440688157</v>
      </c>
      <c r="F972" s="1324">
        <f>+IF(ISBLANK(REPORTS!L802),"",REPORTS!L802)</f>
        <v>-3755.5175753254493</v>
      </c>
      <c r="G972" s="1324">
        <f>+IF(ISBLANK(REPORTS!M802),"",REPORTS!M802)</f>
        <v>-27905.772871345624</v>
      </c>
      <c r="H972" s="1324">
        <f>+IF(ISBLANK(REPORTS!N802),"",REPORTS!N802)</f>
        <v>-4433.7199368592746</v>
      </c>
      <c r="I972" s="1324">
        <f>+IF(ISBLANK(REPORTS!O802),"",REPORTS!O802)</f>
        <v>-3277.4634368815209</v>
      </c>
      <c r="J972" s="1324">
        <f>+IF(ISBLANK(REPORTS!P802),"",REPORTS!P802)</f>
        <v>-425.26370657959694</v>
      </c>
      <c r="K972" s="1324">
        <f>+IF(ISBLANK(REPORTS!Q802),"",REPORTS!Q802)</f>
        <v>0</v>
      </c>
    </row>
    <row r="973" spans="1:13">
      <c r="A973" s="1393">
        <v>132</v>
      </c>
      <c r="B973" s="1324" t="s">
        <v>5268</v>
      </c>
      <c r="C973" s="1324" t="s">
        <v>4067</v>
      </c>
      <c r="D973" s="1324">
        <f>+IF(ISBLANK(REPORTS!J803),"",REPORTS!J803)</f>
        <v>-26287.028946161867</v>
      </c>
      <c r="E973" s="1324">
        <f>+IF(ISBLANK(REPORTS!K803),"",REPORTS!K803)</f>
        <v>-15246.819574883479</v>
      </c>
      <c r="F973" s="1324">
        <f>+IF(ISBLANK(REPORTS!L803),"",REPORTS!L803)</f>
        <v>-1257.7088270421746</v>
      </c>
      <c r="G973" s="1324">
        <f>+IF(ISBLANK(REPORTS!M803),"",REPORTS!M803)</f>
        <v>-8039.9006739179549</v>
      </c>
      <c r="H973" s="1324">
        <f>+IF(ISBLANK(REPORTS!N803),"",REPORTS!N803)</f>
        <v>-1003.67499730887</v>
      </c>
      <c r="I973" s="1324">
        <f>+IF(ISBLANK(REPORTS!O803),"",REPORTS!O803)</f>
        <v>-720.28756379001732</v>
      </c>
      <c r="J973" s="1324">
        <f>+IF(ISBLANK(REPORTS!P803),"",REPORTS!P803)</f>
        <v>-18.637309219372739</v>
      </c>
      <c r="K973" s="1324">
        <f>+IF(ISBLANK(REPORTS!Q803),"",REPORTS!Q803)</f>
        <v>0</v>
      </c>
    </row>
    <row r="974" spans="1:13">
      <c r="A974" s="1393">
        <v>133</v>
      </c>
      <c r="B974" s="1324" t="s">
        <v>5239</v>
      </c>
      <c r="C974" s="1324" t="s">
        <v>4067</v>
      </c>
      <c r="D974" s="1324">
        <f>+IF(ISBLANK(REPORTS!J804),"",REPORTS!J804)</f>
        <v>-36194.661900006482</v>
      </c>
      <c r="E974" s="1324">
        <f>+IF(ISBLANK(REPORTS!K804),"",REPORTS!K804)</f>
        <v>-20993.37588487281</v>
      </c>
      <c r="F974" s="1324">
        <f>+IF(ISBLANK(REPORTS!L804),"",REPORTS!L804)</f>
        <v>-1731.7417596594505</v>
      </c>
      <c r="G974" s="1324">
        <f>+IF(ISBLANK(REPORTS!M804),"",REPORTS!M804)</f>
        <v>-11070.155063856444</v>
      </c>
      <c r="H974" s="1324">
        <f>+IF(ISBLANK(REPORTS!N804),"",REPORTS!N804)</f>
        <v>-1381.9620794532059</v>
      </c>
      <c r="I974" s="1324">
        <f>+IF(ISBLANK(REPORTS!O804),"",REPORTS!O804)</f>
        <v>-991.76536441428311</v>
      </c>
      <c r="J974" s="1324">
        <f>+IF(ISBLANK(REPORTS!P804),"",REPORTS!P804)</f>
        <v>-25.661747750293532</v>
      </c>
      <c r="K974" s="1324">
        <f>+IF(ISBLANK(REPORTS!Q804),"",REPORTS!Q804)</f>
        <v>0</v>
      </c>
    </row>
    <row r="975" spans="1:13">
      <c r="A975" s="1393">
        <v>134</v>
      </c>
      <c r="B975" s="1324" t="s">
        <v>5240</v>
      </c>
      <c r="C975" s="1324" t="s">
        <v>4067</v>
      </c>
      <c r="D975" s="1324">
        <f>+IF(ISBLANK(REPORTS!J805),"",REPORTS!J805)</f>
        <v>-155168.03443498188</v>
      </c>
      <c r="E975" s="1324">
        <f>+IF(ISBLANK(REPORTS!K805),"",REPORTS!K805)</f>
        <v>-96579.06919484539</v>
      </c>
      <c r="F975" s="1324">
        <f>+IF(ISBLANK(REPORTS!L805),"",REPORTS!L805)</f>
        <v>-6868.945627178191</v>
      </c>
      <c r="G975" s="1324">
        <f>+IF(ISBLANK(REPORTS!M805),"",REPORTS!M805)</f>
        <v>-45991.879764329336</v>
      </c>
      <c r="H975" s="1324">
        <f>+IF(ISBLANK(REPORTS!N805),"",REPORTS!N805)</f>
        <v>-4837.4210343342202</v>
      </c>
      <c r="I975" s="1324">
        <f>+IF(ISBLANK(REPORTS!O805),"",REPORTS!O805)</f>
        <v>-3.302896843735993E-3</v>
      </c>
      <c r="J975" s="1324">
        <f>+IF(ISBLANK(REPORTS!P805),"",REPORTS!P805)</f>
        <v>-890.71551139793644</v>
      </c>
      <c r="K975" s="1324">
        <f>+IF(ISBLANK(REPORTS!Q805),"",REPORTS!Q805)</f>
        <v>0</v>
      </c>
    </row>
    <row r="976" spans="1:13">
      <c r="A976" s="1393">
        <v>135</v>
      </c>
      <c r="B976" s="1324" t="s">
        <v>5241</v>
      </c>
      <c r="C976" s="1324" t="s">
        <v>4067</v>
      </c>
      <c r="D976" s="1324">
        <f>+IF(ISBLANK(REPORTS!J806),"",REPORTS!J806)</f>
        <v>-68574.766964291834</v>
      </c>
      <c r="E976" s="1324">
        <f>+IF(ISBLANK(REPORTS!K806),"",REPORTS!K806)</f>
        <v>-50034.430862577225</v>
      </c>
      <c r="F976" s="1324">
        <f>+IF(ISBLANK(REPORTS!L806),"",REPORTS!L806)</f>
        <v>-4028.7646794604702</v>
      </c>
      <c r="G976" s="1324">
        <f>+IF(ISBLANK(REPORTS!M806),"",REPORTS!M806)</f>
        <v>-14263.507126008153</v>
      </c>
      <c r="H976" s="1324">
        <f>+IF(ISBLANK(REPORTS!N806),"",REPORTS!N806)</f>
        <v>0</v>
      </c>
      <c r="I976" s="1324">
        <f>+IF(ISBLANK(REPORTS!O806),"",REPORTS!O806)</f>
        <v>0</v>
      </c>
      <c r="J976" s="1324">
        <f>+IF(ISBLANK(REPORTS!P806),"",REPORTS!P806)</f>
        <v>-248.0642962459807</v>
      </c>
      <c r="K976" s="1324">
        <f>+IF(ISBLANK(REPORTS!Q806),"",REPORTS!Q806)</f>
        <v>0</v>
      </c>
    </row>
    <row r="977" spans="1:13">
      <c r="A977" s="1393">
        <v>136</v>
      </c>
      <c r="B977" s="1324" t="s">
        <v>5242</v>
      </c>
      <c r="C977" s="1324" t="s">
        <v>4071</v>
      </c>
      <c r="D977" s="1324">
        <f>+IF(ISBLANK(REPORTS!J807),"",REPORTS!J807)</f>
        <v>-100179.57481518651</v>
      </c>
      <c r="E977" s="1324">
        <f>+IF(ISBLANK(REPORTS!K807),"",REPORTS!K807)</f>
        <v>-45291.613486360671</v>
      </c>
      <c r="F977" s="1324">
        <f>+IF(ISBLANK(REPORTS!L807),"",REPORTS!L807)</f>
        <v>-8554.8021942235973</v>
      </c>
      <c r="G977" s="1324">
        <f>+IF(ISBLANK(REPORTS!M807),"",REPORTS!M807)</f>
        <v>-4832.3783119245627</v>
      </c>
      <c r="H977" s="1324">
        <f>+IF(ISBLANK(REPORTS!N807),"",REPORTS!N807)</f>
        <v>-358.51651527029503</v>
      </c>
      <c r="I977" s="1324">
        <f>+IF(ISBLANK(REPORTS!O807),"",REPORTS!O807)</f>
        <v>-391.15656801054791</v>
      </c>
      <c r="J977" s="1324">
        <f>+IF(ISBLANK(REPORTS!P807),"",REPORTS!P807)</f>
        <v>-81.056739837151255</v>
      </c>
      <c r="K977" s="1324">
        <f>+IF(ISBLANK(REPORTS!Q807),"",REPORTS!Q807)</f>
        <v>-40670.050999559695</v>
      </c>
    </row>
    <row r="978" spans="1:13">
      <c r="A978" s="1393">
        <v>137</v>
      </c>
      <c r="B978" s="1324" t="s">
        <v>5244</v>
      </c>
      <c r="C978" s="1324" t="s">
        <v>4071</v>
      </c>
      <c r="D978" s="1324">
        <f>+IF(ISBLANK(REPORTS!J808),"",REPORTS!J808)</f>
        <v>-63941.411999888864</v>
      </c>
      <c r="E978" s="1324">
        <f>+IF(ISBLANK(REPORTS!K808),"",REPORTS!K808)</f>
        <v>-55299.438774958777</v>
      </c>
      <c r="F978" s="1324">
        <f>+IF(ISBLANK(REPORTS!L808),"",REPORTS!L808)</f>
        <v>-5350.1736251054599</v>
      </c>
      <c r="G978" s="1324">
        <f>+IF(ISBLANK(REPORTS!M808),"",REPORTS!M808)</f>
        <v>-2722.5655927374887</v>
      </c>
      <c r="H978" s="1324">
        <f>+IF(ISBLANK(REPORTS!N808),"",REPORTS!N808)</f>
        <v>-180.58841546810717</v>
      </c>
      <c r="I978" s="1324">
        <f>+IF(ISBLANK(REPORTS!O808),"",REPORTS!O808)</f>
        <v>-103.70901676858472</v>
      </c>
      <c r="J978" s="1324">
        <f>+IF(ISBLANK(REPORTS!P808),"",REPORTS!P808)</f>
        <v>-29.592652778200424</v>
      </c>
      <c r="K978" s="1324">
        <f>+IF(ISBLANK(REPORTS!Q808),"",REPORTS!Q808)</f>
        <v>-255.34392207223974</v>
      </c>
    </row>
    <row r="979" spans="1:13">
      <c r="A979" s="1393">
        <v>138</v>
      </c>
      <c r="B979" s="1324" t="s">
        <v>5601</v>
      </c>
      <c r="D979" s="1421">
        <f>+IF(ISBLANK(REPORTS!J809),"",REPORTS!J809)</f>
        <v>581804.47812605195</v>
      </c>
      <c r="E979" s="1421">
        <f>+IF(ISBLANK(REPORTS!K809),"",REPORTS!K809)</f>
        <v>326293.03420294385</v>
      </c>
      <c r="F979" s="1421">
        <f>+IF(ISBLANK(REPORTS!L809),"",REPORTS!L809)</f>
        <v>31496.477245804395</v>
      </c>
      <c r="G979" s="1421">
        <f>+IF(ISBLANK(REPORTS!M809),"",REPORTS!M809)</f>
        <v>157280.02859478258</v>
      </c>
      <c r="H979" s="1421">
        <f>+IF(ISBLANK(REPORTS!N809),"",REPORTS!N809)</f>
        <v>18679.756491804041</v>
      </c>
      <c r="I979" s="1421">
        <f>+IF(ISBLANK(REPORTS!O809),"",REPORTS!O809)</f>
        <v>9762.1110806993183</v>
      </c>
      <c r="J979" s="1421">
        <f>+IF(ISBLANK(REPORTS!P809),"",REPORTS!P809)</f>
        <v>1059.5508293490802</v>
      </c>
      <c r="K979" s="1421">
        <f>+IF(ISBLANK(REPORTS!Q809),"",REPORTS!Q809)</f>
        <v>37233.519680668069</v>
      </c>
    </row>
    <row r="980" spans="1:13">
      <c r="A980" s="1393">
        <v>139</v>
      </c>
      <c r="D980" s="1324" t="str">
        <f>+IF(ISBLANK(REPORTS!J810),"",REPORTS!J810)</f>
        <v/>
      </c>
      <c r="E980" s="1324" t="str">
        <f>+IF(ISBLANK(REPORTS!K810),"",REPORTS!K810)</f>
        <v/>
      </c>
      <c r="F980" s="1324" t="str">
        <f>+IF(ISBLANK(REPORTS!L810),"",REPORTS!L810)</f>
        <v/>
      </c>
      <c r="G980" s="1324" t="str">
        <f>+IF(ISBLANK(REPORTS!M810),"",REPORTS!M810)</f>
        <v/>
      </c>
      <c r="H980" s="1324" t="str">
        <f>+IF(ISBLANK(REPORTS!N810),"",REPORTS!N810)</f>
        <v/>
      </c>
      <c r="I980" s="1324" t="str">
        <f>+IF(ISBLANK(REPORTS!O810),"",REPORTS!O810)</f>
        <v/>
      </c>
      <c r="J980" s="1324" t="str">
        <f>+IF(ISBLANK(REPORTS!P810),"",REPORTS!P810)</f>
        <v/>
      </c>
      <c r="K980" s="1320" t="str">
        <f>+IF(ISBLANK(REPORTS!Q810),"",REPORTS!Q810)</f>
        <v/>
      </c>
    </row>
    <row r="981" spans="1:13">
      <c r="A981" s="1393">
        <v>140</v>
      </c>
      <c r="B981" s="1362" t="s">
        <v>5603</v>
      </c>
      <c r="C981" s="1744"/>
      <c r="D981" s="1324" t="str">
        <f>+IF(ISBLANK(REPORTS!J811),"",REPORTS!J811)</f>
        <v/>
      </c>
      <c r="E981" s="1324" t="str">
        <f>+IF(ISBLANK(REPORTS!K811),"",REPORTS!K811)</f>
        <v/>
      </c>
      <c r="F981" s="1324" t="str">
        <f>+IF(ISBLANK(REPORTS!L811),"",REPORTS!L811)</f>
        <v/>
      </c>
      <c r="G981" s="1324" t="str">
        <f>+IF(ISBLANK(REPORTS!M811),"",REPORTS!M811)</f>
        <v/>
      </c>
      <c r="H981" s="1324" t="str">
        <f>+IF(ISBLANK(REPORTS!N811),"",REPORTS!N811)</f>
        <v/>
      </c>
      <c r="I981" s="1324" t="str">
        <f>+IF(ISBLANK(REPORTS!O811),"",REPORTS!O811)</f>
        <v/>
      </c>
      <c r="J981" s="1324" t="str">
        <f>+IF(ISBLANK(REPORTS!P811),"",REPORTS!P811)</f>
        <v/>
      </c>
      <c r="K981" s="1324" t="str">
        <f>+IF(ISBLANK(REPORTS!Q811),"",REPORTS!Q811)</f>
        <v/>
      </c>
    </row>
    <row r="982" spans="1:13">
      <c r="A982" s="1393">
        <v>141</v>
      </c>
      <c r="B982" s="1324" t="s">
        <v>5354</v>
      </c>
      <c r="C982" s="1324" t="s">
        <v>4777</v>
      </c>
      <c r="D982" s="1324">
        <f>+IF(ISBLANK(REPORTS!J812),"",REPORTS!J812)</f>
        <v>352120.20684026927</v>
      </c>
      <c r="E982" s="1324">
        <f>+IF(ISBLANK(REPORTS!K812),"",REPORTS!K812)</f>
        <v>204620.95036988688</v>
      </c>
      <c r="F982" s="1324">
        <f>+IF(ISBLANK(REPORTS!L812),"",REPORTS!L812)</f>
        <v>18895.600586141998</v>
      </c>
      <c r="G982" s="1324">
        <f>+IF(ISBLANK(REPORTS!M812),"",REPORTS!M812)</f>
        <v>93749.579143229319</v>
      </c>
      <c r="H982" s="1324">
        <f>+IF(ISBLANK(REPORTS!N812),"",REPORTS!N812)</f>
        <v>11162.542384953489</v>
      </c>
      <c r="I982" s="1324">
        <f>+IF(ISBLANK(REPORTS!O812),"",REPORTS!O812)</f>
        <v>6569.0091406675228</v>
      </c>
      <c r="J982" s="1324">
        <f>+IF(ISBLANK(REPORTS!P812),"",REPORTS!P812)</f>
        <v>709.15314890699995</v>
      </c>
      <c r="K982" s="1324">
        <f>+IF(ISBLANK(REPORTS!Q812),"",REPORTS!Q812)</f>
        <v>16413.372066483</v>
      </c>
    </row>
    <row r="983" spans="1:13">
      <c r="A983" s="1393">
        <v>142</v>
      </c>
      <c r="B983" s="1324" t="s">
        <v>5265</v>
      </c>
      <c r="C983" s="1324" t="s">
        <v>4067</v>
      </c>
      <c r="D983" s="1324">
        <f>+IF(ISBLANK(REPORTS!J813),"",REPORTS!J813)</f>
        <v>-118452.118587877</v>
      </c>
      <c r="E983" s="1324">
        <f>+IF(ISBLANK(REPORTS!K813),"",REPORTS!K813)</f>
        <v>-68016.943791239522</v>
      </c>
      <c r="F983" s="1324">
        <f>+IF(ISBLANK(REPORTS!L813),"",REPORTS!L813)</f>
        <v>-5656.3329640441671</v>
      </c>
      <c r="G983" s="1324">
        <f>+IF(ISBLANK(REPORTS!M813),"",REPORTS!M813)</f>
        <v>-36607.279663459878</v>
      </c>
      <c r="H983" s="1324">
        <f>+IF(ISBLANK(REPORTS!N813),"",REPORTS!N813)</f>
        <v>-4678.6580961489071</v>
      </c>
      <c r="I983" s="1324">
        <f>+IF(ISBLANK(REPORTS!O813),"",REPORTS!O813)</f>
        <v>-3367.244910640688</v>
      </c>
      <c r="J983" s="1324">
        <f>+IF(ISBLANK(REPORTS!P813),"",REPORTS!P813)</f>
        <v>-125.65916234390143</v>
      </c>
      <c r="K983" s="1324">
        <f>+IF(ISBLANK(REPORTS!Q813),"",REPORTS!Q813)</f>
        <v>0</v>
      </c>
    </row>
    <row r="984" spans="1:13">
      <c r="A984" s="1393">
        <v>143</v>
      </c>
      <c r="B984" s="1324" t="s">
        <v>5265</v>
      </c>
      <c r="C984" s="1324" t="s">
        <v>2067</v>
      </c>
      <c r="D984" s="1324">
        <f>+IF(ISBLANK(REPORTS!J814),"",REPORTS!J814)</f>
        <v>-16916.597243212724</v>
      </c>
      <c r="E984" s="1324">
        <f>+IF(ISBLANK(REPORTS!K814),"",REPORTS!K814)</f>
        <v>-8559.0723625445135</v>
      </c>
      <c r="F984" s="1324">
        <f>+IF(ISBLANK(REPORTS!L814),"",REPORTS!L814)</f>
        <v>-788.65869081834433</v>
      </c>
      <c r="G984" s="1324">
        <f>+IF(ISBLANK(REPORTS!M814),"",REPORTS!M814)</f>
        <v>-5860.2123029825807</v>
      </c>
      <c r="H984" s="1324">
        <f>+IF(ISBLANK(REPORTS!N814),"",REPORTS!N814)</f>
        <v>-931.08118674044761</v>
      </c>
      <c r="I984" s="1324">
        <f>+IF(ISBLANK(REPORTS!O814),"",REPORTS!O814)</f>
        <v>-688.26732174511938</v>
      </c>
      <c r="J984" s="1324">
        <f>+IF(ISBLANK(REPORTS!P814),"",REPORTS!P814)</f>
        <v>-89.305378381715357</v>
      </c>
      <c r="K984" s="1324">
        <f>+IF(ISBLANK(REPORTS!Q814),"",REPORTS!Q814)</f>
        <v>0</v>
      </c>
    </row>
    <row r="985" spans="1:13">
      <c r="A985" s="1393">
        <v>144</v>
      </c>
      <c r="B985" s="1324" t="s">
        <v>5268</v>
      </c>
      <c r="C985" s="1324" t="s">
        <v>4067</v>
      </c>
      <c r="D985" s="1324">
        <f>+IF(ISBLANK(REPORTS!J815),"",REPORTS!J815)</f>
        <v>-5520.2760786939916</v>
      </c>
      <c r="E985" s="1324">
        <f>+IF(ISBLANK(REPORTS!K815),"",REPORTS!K815)</f>
        <v>-3201.8321107255306</v>
      </c>
      <c r="F985" s="1324">
        <f>+IF(ISBLANK(REPORTS!L815),"",REPORTS!L815)</f>
        <v>-264.11885367885662</v>
      </c>
      <c r="G985" s="1324">
        <f>+IF(ISBLANK(REPORTS!M815),"",REPORTS!M815)</f>
        <v>-1688.3791415227704</v>
      </c>
      <c r="H985" s="1324">
        <f>+IF(ISBLANK(REPORTS!N815),"",REPORTS!N815)</f>
        <v>-210.7717494348627</v>
      </c>
      <c r="I985" s="1324">
        <f>+IF(ISBLANK(REPORTS!O815),"",REPORTS!O815)</f>
        <v>-151.26038839590362</v>
      </c>
      <c r="J985" s="1324">
        <f>+IF(ISBLANK(REPORTS!P815),"",REPORTS!P815)</f>
        <v>-3.9138349360682749</v>
      </c>
      <c r="K985" s="1324">
        <f>+IF(ISBLANK(REPORTS!Q815),"",REPORTS!Q815)</f>
        <v>0</v>
      </c>
    </row>
    <row r="986" spans="1:13">
      <c r="A986" s="1393">
        <v>145</v>
      </c>
      <c r="B986" s="1324" t="s">
        <v>5239</v>
      </c>
      <c r="C986" s="1324" t="s">
        <v>4067</v>
      </c>
      <c r="D986" s="1324">
        <f>+IF(ISBLANK(REPORTS!J816),"",REPORTS!J816)</f>
        <v>-7600.8789990013611</v>
      </c>
      <c r="E986" s="1324">
        <f>+IF(ISBLANK(REPORTS!K816),"",REPORTS!K816)</f>
        <v>-4408.6089358232903</v>
      </c>
      <c r="F986" s="1324">
        <f>+IF(ISBLANK(REPORTS!L816),"",REPORTS!L816)</f>
        <v>-363.66576952848459</v>
      </c>
      <c r="G986" s="1324">
        <f>+IF(ISBLANK(REPORTS!M816),"",REPORTS!M816)</f>
        <v>-2324.7325634098534</v>
      </c>
      <c r="H986" s="1324">
        <f>+IF(ISBLANK(REPORTS!N816),"",REPORTS!N816)</f>
        <v>-290.21203668517325</v>
      </c>
      <c r="I986" s="1324">
        <f>+IF(ISBLANK(REPORTS!O816),"",REPORTS!O816)</f>
        <v>-208.27072652699945</v>
      </c>
      <c r="J986" s="1324">
        <f>+IF(ISBLANK(REPORTS!P816),"",REPORTS!P816)</f>
        <v>-5.3889670275616419</v>
      </c>
      <c r="K986" s="1324">
        <f>+IF(ISBLANK(REPORTS!Q816),"",REPORTS!Q816)</f>
        <v>0</v>
      </c>
    </row>
    <row r="987" spans="1:13">
      <c r="A987" s="1393">
        <v>146</v>
      </c>
      <c r="B987" s="1324" t="s">
        <v>5240</v>
      </c>
      <c r="C987" s="1324" t="s">
        <v>4067</v>
      </c>
      <c r="D987" s="1324">
        <f>+IF(ISBLANK(REPORTS!J817),"",REPORTS!J817)</f>
        <v>-32585.287231346192</v>
      </c>
      <c r="E987" s="1324">
        <f>+IF(ISBLANK(REPORTS!K817),"",REPORTS!K817)</f>
        <v>-20281.604530917532</v>
      </c>
      <c r="F987" s="1324">
        <f>+IF(ISBLANK(REPORTS!L817),"",REPORTS!L817)</f>
        <v>-1442.4785817074201</v>
      </c>
      <c r="G987" s="1324">
        <f>+IF(ISBLANK(REPORTS!M817),"",REPORTS!M817)</f>
        <v>-9658.2947505091597</v>
      </c>
      <c r="H987" s="1324">
        <f>+IF(ISBLANK(REPORTS!N817),"",REPORTS!N817)</f>
        <v>-1015.8584172101862</v>
      </c>
      <c r="I987" s="1324">
        <f>+IF(ISBLANK(REPORTS!O817),"",REPORTS!O817)</f>
        <v>-6.9360833718455856E-4</v>
      </c>
      <c r="J987" s="1324">
        <f>+IF(ISBLANK(REPORTS!P817),"",REPORTS!P817)</f>
        <v>-187.05025739356665</v>
      </c>
      <c r="K987" s="1324">
        <f>+IF(ISBLANK(REPORTS!Q817),"",REPORTS!Q817)</f>
        <v>0</v>
      </c>
    </row>
    <row r="988" spans="1:13">
      <c r="A988" s="1393">
        <v>147</v>
      </c>
      <c r="B988" s="1324" t="s">
        <v>5241</v>
      </c>
      <c r="C988" s="1324" t="s">
        <v>4067</v>
      </c>
      <c r="D988" s="1324">
        <f>+IF(ISBLANK(REPORTS!J818),"",REPORTS!J818)</f>
        <v>-14400.701062501284</v>
      </c>
      <c r="E988" s="1324">
        <f>+IF(ISBLANK(REPORTS!K818),"",REPORTS!K818)</f>
        <v>-10507.230481141216</v>
      </c>
      <c r="F988" s="1324">
        <f>+IF(ISBLANK(REPORTS!L818),"",REPORTS!L818)</f>
        <v>-846.04058268669871</v>
      </c>
      <c r="G988" s="1324">
        <f>+IF(ISBLANK(REPORTS!M818),"",REPORTS!M818)</f>
        <v>-2995.3364964617122</v>
      </c>
      <c r="H988" s="1324">
        <f>+IF(ISBLANK(REPORTS!N818),"",REPORTS!N818)</f>
        <v>0</v>
      </c>
      <c r="I988" s="1324">
        <f>+IF(ISBLANK(REPORTS!O818),"",REPORTS!O818)</f>
        <v>0</v>
      </c>
      <c r="J988" s="1324">
        <f>+IF(ISBLANK(REPORTS!P818),"",REPORTS!P818)</f>
        <v>-52.093502211655945</v>
      </c>
      <c r="K988" s="1324">
        <f>+IF(ISBLANK(REPORTS!Q818),"",REPORTS!Q818)</f>
        <v>0</v>
      </c>
      <c r="L988" s="1324"/>
      <c r="M988" s="1324"/>
    </row>
    <row r="989" spans="1:13">
      <c r="A989" s="1393">
        <v>148</v>
      </c>
      <c r="B989" s="1324" t="s">
        <v>5242</v>
      </c>
      <c r="C989" s="1324" t="s">
        <v>4071</v>
      </c>
      <c r="D989" s="1324">
        <f>+IF(ISBLANK(REPORTS!J819),"",REPORTS!J819)</f>
        <v>-21037.710711189167</v>
      </c>
      <c r="E989" s="1324">
        <f>+IF(ISBLANK(REPORTS!K819),"",REPORTS!K819)</f>
        <v>-9511.2388321357412</v>
      </c>
      <c r="F989" s="1324">
        <f>+IF(ISBLANK(REPORTS!L819),"",REPORTS!L819)</f>
        <v>-1796.5084607869553</v>
      </c>
      <c r="G989" s="1324">
        <f>+IF(ISBLANK(REPORTS!M819),"",REPORTS!M819)</f>
        <v>-1014.7994455041581</v>
      </c>
      <c r="H989" s="1324">
        <f>+IF(ISBLANK(REPORTS!N819),"",REPORTS!N819)</f>
        <v>-75.288468206761948</v>
      </c>
      <c r="I989" s="1324">
        <f>+IF(ISBLANK(REPORTS!O819),"",REPORTS!O819)</f>
        <v>-82.142879282215063</v>
      </c>
      <c r="J989" s="1324">
        <f>+IF(ISBLANK(REPORTS!P819),"",REPORTS!P819)</f>
        <v>-17.021915365801764</v>
      </c>
      <c r="K989" s="1324">
        <f>+IF(ISBLANK(REPORTS!Q819),"",REPORTS!Q819)</f>
        <v>-8540.7107099075365</v>
      </c>
    </row>
    <row r="990" spans="1:13">
      <c r="A990" s="1393">
        <v>149</v>
      </c>
      <c r="B990" s="1324" t="s">
        <v>5244</v>
      </c>
      <c r="C990" s="1324" t="s">
        <v>4071</v>
      </c>
      <c r="D990" s="1324">
        <f>+IF(ISBLANK(REPORTS!J820),"",REPORTS!J820)</f>
        <v>-13427.69651997666</v>
      </c>
      <c r="E990" s="1324">
        <f>+IF(ISBLANK(REPORTS!K820),"",REPORTS!K820)</f>
        <v>-11612.882142741342</v>
      </c>
      <c r="F990" s="1324">
        <f>+IF(ISBLANK(REPORTS!L820),"",REPORTS!L820)</f>
        <v>-1123.5364612721464</v>
      </c>
      <c r="G990" s="1324">
        <f>+IF(ISBLANK(REPORTS!M820),"",REPORTS!M820)</f>
        <v>-571.73877447487257</v>
      </c>
      <c r="H990" s="1324">
        <f>+IF(ISBLANK(REPORTS!N820),"",REPORTS!N820)</f>
        <v>-37.923567248302504</v>
      </c>
      <c r="I990" s="1324">
        <f>+IF(ISBLANK(REPORTS!O820),"",REPORTS!O820)</f>
        <v>-21.778893521402789</v>
      </c>
      <c r="J990" s="1324">
        <f>+IF(ISBLANK(REPORTS!P820),"",REPORTS!P820)</f>
        <v>-6.2144570834220891</v>
      </c>
      <c r="K990" s="1324">
        <f>+IF(ISBLANK(REPORTS!Q820),"",REPORTS!Q820)</f>
        <v>-53.622223635170343</v>
      </c>
    </row>
    <row r="991" spans="1:13">
      <c r="A991" s="1393">
        <v>150</v>
      </c>
      <c r="B991" s="1324" t="s">
        <v>5613</v>
      </c>
      <c r="D991" s="1421">
        <f>+IF(ISBLANK(REPORTS!J821),"",REPORTS!J821)</f>
        <v>122178.94040647088</v>
      </c>
      <c r="E991" s="1421">
        <f>+IF(ISBLANK(REPORTS!K821),"",REPORTS!K821)</f>
        <v>68521.537182618194</v>
      </c>
      <c r="F991" s="1421">
        <f>+IF(ISBLANK(REPORTS!L821),"",REPORTS!L821)</f>
        <v>6614.2602216189262</v>
      </c>
      <c r="G991" s="1421">
        <f>+IF(ISBLANK(REPORTS!M821),"",REPORTS!M821)</f>
        <v>33028.806004904342</v>
      </c>
      <c r="H991" s="1421">
        <f>+IF(ISBLANK(REPORTS!N821),"",REPORTS!N821)</f>
        <v>3922.7488632788481</v>
      </c>
      <c r="I991" s="1421">
        <f>+IF(ISBLANK(REPORTS!O821),"",REPORTS!O821)</f>
        <v>2050.0433269468567</v>
      </c>
      <c r="J991" s="1421">
        <f>+IF(ISBLANK(REPORTS!P821),"",REPORTS!P821)</f>
        <v>222.50567416330676</v>
      </c>
      <c r="K991" s="1421">
        <f>+IF(ISBLANK(REPORTS!Q821),"",REPORTS!Q821)</f>
        <v>7819.0391329402928</v>
      </c>
    </row>
    <row r="992" spans="1:13">
      <c r="A992" s="1393">
        <v>151</v>
      </c>
      <c r="D992" s="1324" t="str">
        <f>+IF(ISBLANK(REPORTS!J822),"",REPORTS!J822)</f>
        <v/>
      </c>
      <c r="E992" s="1324" t="str">
        <f>+IF(ISBLANK(REPORTS!K822),"",REPORTS!K822)</f>
        <v/>
      </c>
      <c r="F992" s="1324" t="str">
        <f>+IF(ISBLANK(REPORTS!L822),"",REPORTS!L822)</f>
        <v/>
      </c>
      <c r="G992" s="1324" t="str">
        <f>+IF(ISBLANK(REPORTS!M822),"",REPORTS!M822)</f>
        <v/>
      </c>
      <c r="H992" s="1324" t="str">
        <f>+IF(ISBLANK(REPORTS!N822),"",REPORTS!N822)</f>
        <v/>
      </c>
      <c r="I992" s="1324" t="str">
        <f>+IF(ISBLANK(REPORTS!O822),"",REPORTS!O822)</f>
        <v/>
      </c>
      <c r="J992" s="1324" t="str">
        <f>+IF(ISBLANK(REPORTS!P822),"",REPORTS!P822)</f>
        <v/>
      </c>
      <c r="K992" s="1320" t="str">
        <f>+IF(ISBLANK(REPORTS!Q822),"",REPORTS!Q822)</f>
        <v/>
      </c>
    </row>
    <row r="993" spans="1:13">
      <c r="A993" s="1393">
        <v>152</v>
      </c>
      <c r="B993" s="1362" t="s">
        <v>5615</v>
      </c>
      <c r="D993" s="1324" t="str">
        <f>+IF(ISBLANK(REPORTS!J823),"",REPORTS!J823)</f>
        <v/>
      </c>
      <c r="E993" s="1324" t="str">
        <f>+IF(ISBLANK(REPORTS!K823),"",REPORTS!K823)</f>
        <v/>
      </c>
      <c r="F993" s="1324" t="str">
        <f>+IF(ISBLANK(REPORTS!L823),"",REPORTS!L823)</f>
        <v/>
      </c>
      <c r="G993" s="1324" t="str">
        <f>+IF(ISBLANK(REPORTS!M823),"",REPORTS!M823)</f>
        <v/>
      </c>
      <c r="H993" s="1324" t="str">
        <f>+IF(ISBLANK(REPORTS!N823),"",REPORTS!N823)</f>
        <v/>
      </c>
      <c r="I993" s="1324" t="str">
        <f>+IF(ISBLANK(REPORTS!O823),"",REPORTS!O823)</f>
        <v/>
      </c>
      <c r="J993" s="1324" t="str">
        <f>+IF(ISBLANK(REPORTS!P823),"",REPORTS!P823)</f>
        <v/>
      </c>
      <c r="K993" s="1324" t="str">
        <f>+IF(ISBLANK(REPORTS!Q823),"",REPORTS!Q823)</f>
        <v/>
      </c>
    </row>
    <row r="994" spans="1:13">
      <c r="A994" s="1393">
        <v>153</v>
      </c>
      <c r="B994" s="1324" t="s">
        <v>5265</v>
      </c>
      <c r="C994" s="1324" t="s">
        <v>4067</v>
      </c>
      <c r="D994" s="1364">
        <f>+IF(ISBLANK(REPORTS!J824),"",REPORTS!J824)</f>
        <v>-68582.838555723458</v>
      </c>
      <c r="E994" s="1324">
        <f>+IF(ISBLANK(REPORTS!K824),"",REPORTS!K824)</f>
        <v>-39381.271780526127</v>
      </c>
      <c r="F994" s="1324">
        <f>+IF(ISBLANK(REPORTS!L824),"",REPORTS!L824)</f>
        <v>-3274.9719896538863</v>
      </c>
      <c r="G994" s="1324">
        <f>+IF(ISBLANK(REPORTS!M824),"",REPORTS!M824)</f>
        <v>-21195.325006033596</v>
      </c>
      <c r="H994" s="1324">
        <f>+IF(ISBLANK(REPORTS!N824),"",REPORTS!N824)</f>
        <v>-2708.9059840458522</v>
      </c>
      <c r="I994" s="1324">
        <f>+IF(ISBLANK(REPORTS!O824),"",REPORTS!O824)</f>
        <v>-1949.6081356512495</v>
      </c>
      <c r="J994" s="1324">
        <f>+IF(ISBLANK(REPORTS!P824),"",REPORTS!P824)</f>
        <v>-72.755659812751119</v>
      </c>
      <c r="K994" s="1324">
        <f>+IF(ISBLANK(REPORTS!Q824),"",REPORTS!Q824)</f>
        <v>0</v>
      </c>
      <c r="L994" s="1324"/>
      <c r="M994" s="1324">
        <v>122</v>
      </c>
    </row>
    <row r="995" spans="1:13">
      <c r="A995" s="1393">
        <v>154</v>
      </c>
      <c r="B995" s="1324" t="s">
        <v>5265</v>
      </c>
      <c r="C995" s="1324" t="s">
        <v>2067</v>
      </c>
      <c r="D995" s="1364">
        <f>+IF(ISBLANK(REPORTS!J825),"",REPORTS!J825)</f>
        <v>-4743.2198332172475</v>
      </c>
      <c r="E995" s="1364">
        <f>+IF(ISBLANK(REPORTS!K825),"",REPORTS!K825)</f>
        <v>-2393.5908758526421</v>
      </c>
      <c r="F995" s="1364">
        <f>+IF(ISBLANK(REPORTS!L825),"",REPORTS!L825)</f>
        <v>-221.19581704564214</v>
      </c>
      <c r="G995" s="1364">
        <f>+IF(ISBLANK(REPORTS!M825),"",REPORTS!M825)</f>
        <v>-1647.8229217025789</v>
      </c>
      <c r="H995" s="1364">
        <f>+IF(ISBLANK(REPORTS!N825),"",REPORTS!N825)</f>
        <v>-262.30691418245152</v>
      </c>
      <c r="I995" s="1364">
        <f>+IF(ISBLANK(REPORTS!O825),"",REPORTS!O825)</f>
        <v>-193.24461578955797</v>
      </c>
      <c r="J995" s="1364">
        <f>+IF(ISBLANK(REPORTS!P825),"",REPORTS!P825)</f>
        <v>-25.058688644374744</v>
      </c>
      <c r="K995" s="1364">
        <f>+IF(ISBLANK(REPORTS!Q825),"",REPORTS!Q825)</f>
        <v>0</v>
      </c>
      <c r="L995" s="1364"/>
      <c r="M995" s="1324">
        <v>201</v>
      </c>
    </row>
    <row r="996" spans="1:13">
      <c r="A996" s="1393">
        <v>155</v>
      </c>
      <c r="B996" s="1324" t="s">
        <v>5268</v>
      </c>
      <c r="C996" s="1324" t="s">
        <v>4067</v>
      </c>
      <c r="D996" s="1364">
        <f>+IF(ISBLANK(REPORTS!J826),"",REPORTS!J826)</f>
        <v>-1395.9742265307304</v>
      </c>
      <c r="E996" s="1364">
        <f>+IF(ISBLANK(REPORTS!K826),"",REPORTS!K826)</f>
        <v>-809.68325506444262</v>
      </c>
      <c r="F996" s="1364">
        <f>+IF(ISBLANK(REPORTS!L826),"",REPORTS!L826)</f>
        <v>-66.790701628052346</v>
      </c>
      <c r="G996" s="1364">
        <f>+IF(ISBLANK(REPORTS!M826),"",REPORTS!M826)</f>
        <v>-426.95940068553244</v>
      </c>
      <c r="H996" s="1364">
        <f>+IF(ISBLANK(REPORTS!N826),"",REPORTS!N826)</f>
        <v>-53.300220079114574</v>
      </c>
      <c r="I996" s="1364">
        <f>+IF(ISBLANK(REPORTS!O826),"",REPORTS!O826)</f>
        <v>-38.250913665474769</v>
      </c>
      <c r="J996" s="1364">
        <f>+IF(ISBLANK(REPORTS!P826),"",REPORTS!P826)</f>
        <v>-0.98973540811376681</v>
      </c>
      <c r="K996" s="1364">
        <f>+IF(ISBLANK(REPORTS!Q826),"",REPORTS!Q826)</f>
        <v>0</v>
      </c>
      <c r="L996" s="1358"/>
      <c r="M996" s="1320">
        <v>117</v>
      </c>
    </row>
    <row r="997" spans="1:13">
      <c r="A997" s="1393">
        <v>156</v>
      </c>
      <c r="B997" s="1324" t="s">
        <v>5239</v>
      </c>
      <c r="C997" s="1324" t="s">
        <v>4067</v>
      </c>
      <c r="D997" s="1364">
        <f>+IF(ISBLANK(REPORTS!J827),"",REPORTS!J827)</f>
        <v>-1043.7034861370585</v>
      </c>
      <c r="E997" s="1364">
        <f>+IF(ISBLANK(REPORTS!K827),"",REPORTS!K827)</f>
        <v>-605.36163198207646</v>
      </c>
      <c r="F997" s="1364">
        <f>+IF(ISBLANK(REPORTS!L827),"",REPORTS!L827)</f>
        <v>-49.936228625066079</v>
      </c>
      <c r="G997" s="1364">
        <f>+IF(ISBLANK(REPORTS!M827),"",REPORTS!M827)</f>
        <v>-319.21722225626615</v>
      </c>
      <c r="H997" s="1364">
        <f>+IF(ISBLANK(REPORTS!N827),"",REPORTS!N827)</f>
        <v>-39.850037666307671</v>
      </c>
      <c r="I997" s="1364">
        <f>+IF(ISBLANK(REPORTS!O827),"",REPORTS!O827)</f>
        <v>-28.598387550319735</v>
      </c>
      <c r="J997" s="1364">
        <f>+IF(ISBLANK(REPORTS!P827),"",REPORTS!P827)</f>
        <v>-0.73997805702244657</v>
      </c>
      <c r="K997" s="1364">
        <f>+IF(ISBLANK(REPORTS!Q827),"",REPORTS!Q827)</f>
        <v>0</v>
      </c>
      <c r="L997" s="1358"/>
      <c r="M997" s="1320">
        <v>117</v>
      </c>
    </row>
    <row r="998" spans="1:13">
      <c r="A998" s="1393">
        <v>157</v>
      </c>
      <c r="B998" s="1324" t="s">
        <v>5240</v>
      </c>
      <c r="C998" s="1324" t="s">
        <v>4067</v>
      </c>
      <c r="D998" s="1364">
        <f>+IF(ISBLANK(REPORTS!J828),"",REPORTS!J828)</f>
        <v>-4001.5462141957942</v>
      </c>
      <c r="E998" s="1364">
        <f>+IF(ISBLANK(REPORTS!K828),"",REPORTS!K828)</f>
        <v>-2490.6264367814947</v>
      </c>
      <c r="F998" s="1364">
        <f>+IF(ISBLANK(REPORTS!L828),"",REPORTS!L828)</f>
        <v>-177.13959882290658</v>
      </c>
      <c r="G998" s="1364">
        <f>+IF(ISBLANK(REPORTS!M828),"",REPORTS!M828)</f>
        <v>-1186.0602154615526</v>
      </c>
      <c r="H998" s="1364">
        <f>+IF(ISBLANK(REPORTS!N828),"",REPORTS!N828)</f>
        <v>-124.74968763313296</v>
      </c>
      <c r="I998" s="1364">
        <f>+IF(ISBLANK(REPORTS!O828),"",REPORTS!O828)</f>
        <v>-8.5176656448973886E-5</v>
      </c>
      <c r="J998" s="1364">
        <f>+IF(ISBLANK(REPORTS!P828),"",REPORTS!P828)</f>
        <v>-22.970190320051792</v>
      </c>
      <c r="K998" s="1364">
        <f>+IF(ISBLANK(REPORTS!Q828),"",REPORTS!Q828)</f>
        <v>0</v>
      </c>
      <c r="L998" s="1358"/>
      <c r="M998" s="1320">
        <v>105</v>
      </c>
    </row>
    <row r="999" spans="1:13">
      <c r="A999" s="1393">
        <v>158</v>
      </c>
      <c r="B999" s="1324" t="s">
        <v>5241</v>
      </c>
      <c r="C999" s="1324" t="s">
        <v>4067</v>
      </c>
      <c r="D999" s="1364">
        <f>+IF(ISBLANK(REPORTS!J829),"",REPORTS!J829)</f>
        <v>-1260.2703284984882</v>
      </c>
      <c r="E999" s="1364">
        <f>+IF(ISBLANK(REPORTS!K829),"",REPORTS!K829)</f>
        <v>-919.53514989340044</v>
      </c>
      <c r="F999" s="1364">
        <f>+IF(ISBLANK(REPORTS!L829),"",REPORTS!L829)</f>
        <v>-74.040828876175638</v>
      </c>
      <c r="G999" s="1364">
        <f>+IF(ISBLANK(REPORTS!M829),"",REPORTS!M829)</f>
        <v>-262.13541229524265</v>
      </c>
      <c r="H999" s="1364">
        <f>+IF(ISBLANK(REPORTS!N829),"",REPORTS!N829)</f>
        <v>0</v>
      </c>
      <c r="I999" s="1364">
        <f>+IF(ISBLANK(REPORTS!O829),"",REPORTS!O829)</f>
        <v>0</v>
      </c>
      <c r="J999" s="1364">
        <f>+IF(ISBLANK(REPORTS!P829),"",REPORTS!P829)</f>
        <v>-4.5589374336694384</v>
      </c>
      <c r="K999" s="1364">
        <f>+IF(ISBLANK(REPORTS!Q829),"",REPORTS!Q829)</f>
        <v>0</v>
      </c>
      <c r="L999" s="1358"/>
      <c r="M999" s="1320">
        <v>106</v>
      </c>
    </row>
    <row r="1000" spans="1:13">
      <c r="A1000" s="1393">
        <v>159</v>
      </c>
      <c r="B1000" s="1324" t="s">
        <v>5242</v>
      </c>
      <c r="C1000" s="1324" t="s">
        <v>4071</v>
      </c>
      <c r="D1000" s="1364">
        <f>+IF(ISBLANK(REPORTS!J830),"",REPORTS!J830)</f>
        <v>-7111.1672368342252</v>
      </c>
      <c r="E1000" s="1364">
        <f>+IF(ISBLANK(REPORTS!K830),"",REPORTS!K830)</f>
        <v>-2621.5795982323903</v>
      </c>
      <c r="F1000" s="1364">
        <f>+IF(ISBLANK(REPORTS!L830),"",REPORTS!L830)</f>
        <v>-397.65915501273219</v>
      </c>
      <c r="G1000" s="1364">
        <f>+IF(ISBLANK(REPORTS!M830),"",REPORTS!M830)</f>
        <v>-191.71117762958528</v>
      </c>
      <c r="H1000" s="1364">
        <f>+IF(ISBLANK(REPORTS!N830),"",REPORTS!N830)</f>
        <v>-12.358688169381738</v>
      </c>
      <c r="I1000" s="1364">
        <f>+IF(ISBLANK(REPORTS!O830),"",REPORTS!O830)</f>
        <v>-13.483847587337237</v>
      </c>
      <c r="J1000" s="1364">
        <f>+IF(ISBLANK(REPORTS!P830),"",REPORTS!P830)</f>
        <v>-3.0947039313862232</v>
      </c>
      <c r="K1000" s="1364">
        <f>+IF(ISBLANK(REPORTS!Q830),"",REPORTS!Q830)</f>
        <v>-3871.280066271413</v>
      </c>
      <c r="L1000" s="1358"/>
      <c r="M1000" s="1320">
        <v>907</v>
      </c>
    </row>
    <row r="1001" spans="1:13">
      <c r="A1001" s="1393">
        <v>160</v>
      </c>
      <c r="B1001" s="1324" t="s">
        <v>5244</v>
      </c>
      <c r="C1001" s="1324" t="s">
        <v>4071</v>
      </c>
      <c r="D1001" s="1364">
        <f>+IF(ISBLANK(REPORTS!J831),"",REPORTS!J831)</f>
        <v>-841.51367610829675</v>
      </c>
      <c r="E1001" s="1364">
        <f>+IF(ISBLANK(REPORTS!K831),"",REPORTS!K831)</f>
        <v>-750.5349519858521</v>
      </c>
      <c r="F1001" s="1364">
        <f>+IF(ISBLANK(REPORTS!L831),"",REPORTS!L831)</f>
        <v>-72.7576071341974</v>
      </c>
      <c r="G1001" s="1364">
        <f>+IF(ISBLANK(REPORTS!M831),"",REPORTS!M831)</f>
        <v>-17.919578580504666</v>
      </c>
      <c r="H1001" s="1364">
        <f>+IF(ISBLANK(REPORTS!N831),"",REPORTS!N831)</f>
        <v>-6.0502852038952747E-2</v>
      </c>
      <c r="I1001" s="1364">
        <f>+IF(ISBLANK(REPORTS!O831),"",REPORTS!O831)</f>
        <v>-1.0734376974652907E-2</v>
      </c>
      <c r="J1001" s="1364">
        <f>+IF(ISBLANK(REPORTS!P831),"",REPORTS!P831)</f>
        <v>-0.23030117872891692</v>
      </c>
      <c r="K1001" s="1364">
        <f>+IF(ISBLANK(REPORTS!Q831),"",REPORTS!Q831)</f>
        <v>0</v>
      </c>
      <c r="L1001" s="1358"/>
      <c r="M1001" s="1320">
        <v>412</v>
      </c>
    </row>
    <row r="1002" spans="1:13">
      <c r="A1002" s="1393">
        <v>161</v>
      </c>
      <c r="B1002" s="1324" t="s">
        <v>5616</v>
      </c>
      <c r="D1002" s="1421">
        <f>+IF(ISBLANK(REPORTS!J832),"",REPORTS!J832)</f>
        <v>-88980.233557245301</v>
      </c>
      <c r="E1002" s="1421">
        <f>+IF(ISBLANK(REPORTS!K832),"",REPORTS!K832)</f>
        <v>-49972.183680318427</v>
      </c>
      <c r="F1002" s="1421">
        <f>+IF(ISBLANK(REPORTS!L832),"",REPORTS!L832)</f>
        <v>-4334.4919267986588</v>
      </c>
      <c r="G1002" s="1421">
        <f>+IF(ISBLANK(REPORTS!M832),"",REPORTS!M832)</f>
        <v>-25247.150934644862</v>
      </c>
      <c r="H1002" s="1421">
        <f>+IF(ISBLANK(REPORTS!N832),"",REPORTS!N832)</f>
        <v>-3201.5320346282801</v>
      </c>
      <c r="I1002" s="1421">
        <f>+IF(ISBLANK(REPORTS!O832),"",REPORTS!O832)</f>
        <v>-2223.19671979757</v>
      </c>
      <c r="J1002" s="1421">
        <f>+IF(ISBLANK(REPORTS!P832),"",REPORTS!P832)</f>
        <v>-130.39819478609846</v>
      </c>
      <c r="K1002" s="1421">
        <f>+IF(ISBLANK(REPORTS!Q832),"",REPORTS!Q832)</f>
        <v>-3871.280066271413</v>
      </c>
      <c r="L1002" s="1358"/>
    </row>
    <row r="1003" spans="1:13">
      <c r="A1003" s="1393">
        <v>162</v>
      </c>
      <c r="D1003" s="1324" t="str">
        <f>+IF(ISBLANK(REPORTS!J833),"",REPORTS!J833)</f>
        <v/>
      </c>
      <c r="E1003" s="1324" t="str">
        <f>+IF(ISBLANK(REPORTS!K833),"",REPORTS!K833)</f>
        <v/>
      </c>
      <c r="F1003" s="1324" t="str">
        <f>+IF(ISBLANK(REPORTS!L833),"",REPORTS!L833)</f>
        <v/>
      </c>
      <c r="G1003" s="1324" t="str">
        <f>+IF(ISBLANK(REPORTS!M833),"",REPORTS!M833)</f>
        <v/>
      </c>
      <c r="H1003" s="1324" t="str">
        <f>+IF(ISBLANK(REPORTS!N833),"",REPORTS!N833)</f>
        <v/>
      </c>
      <c r="I1003" s="1324" t="str">
        <f>+IF(ISBLANK(REPORTS!O833),"",REPORTS!O833)</f>
        <v/>
      </c>
      <c r="J1003" s="1324" t="str">
        <f>+IF(ISBLANK(REPORTS!P833),"",REPORTS!P833)</f>
        <v/>
      </c>
      <c r="K1003" s="1324" t="str">
        <f>+IF(ISBLANK(REPORTS!Q833),"",REPORTS!Q833)</f>
        <v/>
      </c>
    </row>
    <row r="1004" spans="1:13">
      <c r="A1004" s="1393">
        <v>163</v>
      </c>
      <c r="B1004" s="1362" t="s">
        <v>5618</v>
      </c>
      <c r="D1004" s="1324" t="str">
        <f>+IF(ISBLANK(REPORTS!J834),"",REPORTS!J834)</f>
        <v/>
      </c>
      <c r="E1004" s="1324" t="str">
        <f>+IF(ISBLANK(REPORTS!K834),"",REPORTS!K834)</f>
        <v/>
      </c>
      <c r="F1004" s="1324" t="str">
        <f>+IF(ISBLANK(REPORTS!L834),"",REPORTS!L834)</f>
        <v/>
      </c>
      <c r="G1004" s="1324" t="str">
        <f>+IF(ISBLANK(REPORTS!M834),"",REPORTS!M834)</f>
        <v/>
      </c>
      <c r="H1004" s="1324" t="str">
        <f>+IF(ISBLANK(REPORTS!N834),"",REPORTS!N834)</f>
        <v/>
      </c>
      <c r="I1004" s="1324" t="str">
        <f>+IF(ISBLANK(REPORTS!O834),"",REPORTS!O834)</f>
        <v/>
      </c>
      <c r="J1004" s="1324" t="str">
        <f>+IF(ISBLANK(REPORTS!P834),"",REPORTS!P834)</f>
        <v/>
      </c>
      <c r="K1004" s="1324" t="str">
        <f>+IF(ISBLANK(REPORTS!Q834),"",REPORTS!Q834)</f>
        <v/>
      </c>
    </row>
    <row r="1005" spans="1:13">
      <c r="A1005" s="1393">
        <v>164</v>
      </c>
      <c r="B1005" s="1324" t="s">
        <v>5354</v>
      </c>
      <c r="C1005" s="1324" t="s">
        <v>4777</v>
      </c>
      <c r="D1005" s="1324">
        <f>+IF(ISBLANK(REPORTS!J835),"",REPORTS!J835)</f>
        <v>449709.58137397957</v>
      </c>
      <c r="E1005" s="1324">
        <f>+IF(ISBLANK(REPORTS!K835),"",REPORTS!K835)</f>
        <v>261331.21628242795</v>
      </c>
      <c r="F1005" s="1324">
        <f>+IF(ISBLANK(REPORTS!L835),"",REPORTS!L835)</f>
        <v>24132.476535941998</v>
      </c>
      <c r="G1005" s="1324">
        <f>+IF(ISBLANK(REPORTS!M835),"",REPORTS!M835)</f>
        <v>119732.07777199028</v>
      </c>
      <c r="H1005" s="1324">
        <f>+IF(ISBLANK(REPORTS!N835),"",REPORTS!N835)</f>
        <v>14256.217523136618</v>
      </c>
      <c r="I1005" s="1324">
        <f>+IF(ISBLANK(REPORTS!O835),"",REPORTS!O835)</f>
        <v>8389.596204092637</v>
      </c>
      <c r="J1005" s="1320">
        <f>+IF(ISBLANK(REPORTS!P835),"",REPORTS!P835)</f>
        <v>905.69345220699995</v>
      </c>
      <c r="K1005" s="1320">
        <f>+IF(ISBLANK(REPORTS!Q835),"",REPORTS!Q835)</f>
        <v>20962.303604182998</v>
      </c>
    </row>
    <row r="1006" spans="1:13">
      <c r="A1006" s="1393">
        <v>165</v>
      </c>
      <c r="B1006" s="1324" t="s">
        <v>5265</v>
      </c>
      <c r="C1006" s="1324" t="s">
        <v>4067</v>
      </c>
      <c r="D1006" s="1324">
        <f>+IF(ISBLANK(REPORTS!J836),"",REPORTS!J836)</f>
        <v>-219863.71261013226</v>
      </c>
      <c r="E1006" s="1324">
        <f>+IF(ISBLANK(REPORTS!K836),"",REPORTS!K836)</f>
        <v>-126248.96844915629</v>
      </c>
      <c r="F1006" s="1324">
        <f>+IF(ISBLANK(REPORTS!L836),"",REPORTS!L836)</f>
        <v>-10498.945734864237</v>
      </c>
      <c r="G1006" s="1324">
        <f>+IF(ISBLANK(REPORTS!M836),"",REPORTS!M836)</f>
        <v>-67948.23521366225</v>
      </c>
      <c r="H1006" s="1324">
        <f>+IF(ISBLANK(REPORTS!N836),"",REPORTS!N836)</f>
        <v>-8684.2443285605441</v>
      </c>
      <c r="I1006" s="1324">
        <f>+IF(ISBLANK(REPORTS!O836),"",REPORTS!O836)</f>
        <v>-6250.0778892510598</v>
      </c>
      <c r="J1006" s="1320">
        <f>+IF(ISBLANK(REPORTS!P836),"",REPORTS!P836)</f>
        <v>-233.24099463795557</v>
      </c>
      <c r="K1006" s="1320">
        <f>+IF(ISBLANK(REPORTS!Q836),"",REPORTS!Q836)</f>
        <v>0</v>
      </c>
    </row>
    <row r="1007" spans="1:13">
      <c r="A1007" s="1393">
        <v>166</v>
      </c>
      <c r="B1007" s="1324" t="s">
        <v>5265</v>
      </c>
      <c r="C1007" s="1324" t="s">
        <v>2067</v>
      </c>
      <c r="D1007" s="1324">
        <f>+IF(ISBLANK(REPORTS!J837),"",REPORTS!J837)</f>
        <v>-26348.216413173232</v>
      </c>
      <c r="E1007" s="1324">
        <f>+IF(ISBLANK(REPORTS!K837),"",REPORTS!K837)</f>
        <v>-13324.792137061546</v>
      </c>
      <c r="F1007" s="1324">
        <f>+IF(ISBLANK(REPORTS!L837),"",REPORTS!L837)</f>
        <v>-1228.4296048405999</v>
      </c>
      <c r="G1007" s="1324">
        <f>+IF(ISBLANK(REPORTS!M837),"",REPORTS!M837)</f>
        <v>-9132.1807357158577</v>
      </c>
      <c r="H1007" s="1324">
        <f>+IF(ISBLANK(REPORTS!N837),"",REPORTS!N837)</f>
        <v>-1451.4352930152379</v>
      </c>
      <c r="I1007" s="1324">
        <f>+IF(ISBLANK(REPORTS!O837),"",REPORTS!O837)</f>
        <v>-1072.2637777764589</v>
      </c>
      <c r="J1007" s="1320">
        <f>+IF(ISBLANK(REPORTS!P837),"",REPORTS!P837)</f>
        <v>-139.11486476352695</v>
      </c>
      <c r="K1007" s="1320">
        <f>+IF(ISBLANK(REPORTS!Q837),"",REPORTS!Q837)</f>
        <v>0</v>
      </c>
    </row>
    <row r="1008" spans="1:13">
      <c r="A1008" s="1393">
        <v>167</v>
      </c>
      <c r="B1008" s="1324" t="s">
        <v>5268</v>
      </c>
      <c r="C1008" s="1324" t="s">
        <v>4067</v>
      </c>
      <c r="D1008" s="1324">
        <f>+IF(ISBLANK(REPORTS!J838),"",REPORTS!J838)</f>
        <v>-8446.1832068531912</v>
      </c>
      <c r="E1008" s="1324">
        <f>+IF(ISBLANK(REPORTS!K838),"",REPORTS!K838)</f>
        <v>-4898.8963992488007</v>
      </c>
      <c r="F1008" s="1324">
        <f>+IF(ISBLANK(REPORTS!L838),"",REPORTS!L838)</f>
        <v>-404.10953994957526</v>
      </c>
      <c r="G1008" s="1324">
        <f>+IF(ISBLANK(REPORTS!M838),"",REPORTS!M838)</f>
        <v>-2583.2692692617288</v>
      </c>
      <c r="H1008" s="1324">
        <f>+IF(ISBLANK(REPORTS!N838),"",REPORTS!N838)</f>
        <v>-322.48691644729774</v>
      </c>
      <c r="I1008" s="1324">
        <f>+IF(ISBLANK(REPORTS!O838),"",REPORTS!O838)</f>
        <v>-231.43280048301961</v>
      </c>
      <c r="J1008" s="1324">
        <f>+IF(ISBLANK(REPORTS!P838),"",REPORTS!P838)</f>
        <v>-5.9882814627698728</v>
      </c>
      <c r="K1008" s="1324">
        <f>+IF(ISBLANK(REPORTS!Q838),"",REPORTS!Q838)</f>
        <v>0</v>
      </c>
      <c r="L1008" s="1324"/>
      <c r="M1008" s="1324"/>
    </row>
    <row r="1009" spans="1:13">
      <c r="A1009" s="1393">
        <v>168</v>
      </c>
      <c r="B1009" s="1324" t="s">
        <v>5239</v>
      </c>
      <c r="C1009" s="1324" t="s">
        <v>4067</v>
      </c>
      <c r="D1009" s="1324">
        <f>+IF(ISBLANK(REPORTS!J839),"",REPORTS!J839)</f>
        <v>-10751.150108948321</v>
      </c>
      <c r="E1009" s="1324">
        <f>+IF(ISBLANK(REPORTS!K839),"",REPORTS!K839)</f>
        <v>-6235.8072595175408</v>
      </c>
      <c r="F1009" s="1324">
        <f>+IF(ISBLANK(REPORTS!L839),"",REPORTS!L839)</f>
        <v>-514.39120109669329</v>
      </c>
      <c r="G1009" s="1324">
        <f>+IF(ISBLANK(REPORTS!M839),"",REPORTS!M839)</f>
        <v>-3288.2445248323679</v>
      </c>
      <c r="H1009" s="1324">
        <f>+IF(ISBLANK(REPORTS!N839),"",REPORTS!N839)</f>
        <v>-410.49372976939242</v>
      </c>
      <c r="I1009" s="1324">
        <f>+IF(ISBLANK(REPORTS!O839),"",REPORTS!O839)</f>
        <v>-294.59090777338855</v>
      </c>
      <c r="J1009" s="1320">
        <f>+IF(ISBLANK(REPORTS!P839),"",REPORTS!P839)</f>
        <v>-7.6224859589397962</v>
      </c>
      <c r="K1009" s="1320">
        <f>+IF(ISBLANK(REPORTS!Q839),"",REPORTS!Q839)</f>
        <v>0</v>
      </c>
    </row>
    <row r="1010" spans="1:13">
      <c r="A1010" s="1393">
        <v>169</v>
      </c>
      <c r="B1010" s="1324" t="s">
        <v>5240</v>
      </c>
      <c r="C1010" s="1324" t="s">
        <v>4067</v>
      </c>
      <c r="D1010" s="1324">
        <f>+IF(ISBLANK(REPORTS!J840),"",REPORTS!J840)</f>
        <v>-45617.777248636165</v>
      </c>
      <c r="E1010" s="1324">
        <f>+IF(ISBLANK(REPORTS!K840),"",REPORTS!K840)</f>
        <v>-28393.234994912251</v>
      </c>
      <c r="F1010" s="1324">
        <f>+IF(ISBLANK(REPORTS!L840),"",REPORTS!L840)</f>
        <v>-2019.3980847576286</v>
      </c>
      <c r="G1010" s="1324">
        <f>+IF(ISBLANK(REPORTS!M840),"",REPORTS!M840)</f>
        <v>-13521.131036910516</v>
      </c>
      <c r="H1010" s="1324">
        <f>+IF(ISBLANK(REPORTS!N840),"",REPORTS!N840)</f>
        <v>-1422.1511280056282</v>
      </c>
      <c r="I1010" s="1324">
        <f>+IF(ISBLANK(REPORTS!O840),"",REPORTS!O840)</f>
        <v>-9.7101708506790239E-4</v>
      </c>
      <c r="J1010" s="1320">
        <f>+IF(ISBLANK(REPORTS!P840),"",REPORTS!P840)</f>
        <v>-261.8610330330751</v>
      </c>
      <c r="K1010" s="1320">
        <f>+IF(ISBLANK(REPORTS!Q840),"",REPORTS!Q840)</f>
        <v>0</v>
      </c>
    </row>
    <row r="1011" spans="1:13">
      <c r="A1011" s="1393">
        <v>170</v>
      </c>
      <c r="B1011" s="1324" t="s">
        <v>5241</v>
      </c>
      <c r="C1011" s="1324" t="s">
        <v>4067</v>
      </c>
      <c r="D1011" s="1324">
        <f>+IF(ISBLANK(REPORTS!J841),"",REPORTS!J841)</f>
        <v>-19652.095394212527</v>
      </c>
      <c r="E1011" s="1324">
        <f>+IF(ISBLANK(REPORTS!K841),"",REPORTS!K841)</f>
        <v>-14338.822453724295</v>
      </c>
      <c r="F1011" s="1324">
        <f>+IF(ISBLANK(REPORTS!L841),"",REPORTS!L841)</f>
        <v>-1154.5597791505209</v>
      </c>
      <c r="G1011" s="1324">
        <f>+IF(ISBLANK(REPORTS!M841),"",REPORTS!M841)</f>
        <v>-4087.6231171489635</v>
      </c>
      <c r="H1011" s="1324">
        <f>+IF(ISBLANK(REPORTS!N841),"",REPORTS!N841)</f>
        <v>0</v>
      </c>
      <c r="I1011" s="1324">
        <f>+IF(ISBLANK(REPORTS!O841),"",REPORTS!O841)</f>
        <v>0</v>
      </c>
      <c r="J1011" s="1324">
        <f>+IF(ISBLANK(REPORTS!P841),"",REPORTS!P841)</f>
        <v>-71.090044188742255</v>
      </c>
      <c r="K1011" s="1324">
        <f>+IF(ISBLANK(REPORTS!Q841),"",REPORTS!Q841)</f>
        <v>0</v>
      </c>
    </row>
    <row r="1012" spans="1:13">
      <c r="A1012" s="1393">
        <v>171</v>
      </c>
      <c r="B1012" s="1324" t="s">
        <v>5242</v>
      </c>
      <c r="C1012" s="1324" t="s">
        <v>4071</v>
      </c>
      <c r="D1012" s="1324">
        <f>+IF(ISBLANK(REPORTS!J842),"",REPORTS!J842)</f>
        <v>-33979.43521239933</v>
      </c>
      <c r="E1012" s="1324">
        <f>+IF(ISBLANK(REPORTS!K842),"",REPORTS!K842)</f>
        <v>-14768.838262907642</v>
      </c>
      <c r="F1012" s="1324">
        <f>+IF(ISBLANK(REPORTS!L842),"",REPORTS!L842)</f>
        <v>-2692.0661562042355</v>
      </c>
      <c r="G1012" s="1324">
        <f>+IF(ISBLANK(REPORTS!M842),"",REPORTS!M842)</f>
        <v>-1487.7601545155962</v>
      </c>
      <c r="H1012" s="1324">
        <f>+IF(ISBLANK(REPORTS!N842),"",REPORTS!N842)</f>
        <v>-108.5131969474307</v>
      </c>
      <c r="I1012" s="1324">
        <f>+IF(ISBLANK(REPORTS!O842),"",REPORTS!O842)</f>
        <v>-118.39245305006038</v>
      </c>
      <c r="J1012" s="1320">
        <f>+IF(ISBLANK(REPORTS!P842),"",REPORTS!P842)</f>
        <v>-24.834207330038062</v>
      </c>
      <c r="K1012" s="1320">
        <f>+IF(ISBLANK(REPORTS!Q842),"",REPORTS!Q842)</f>
        <v>-14779.030781444328</v>
      </c>
    </row>
    <row r="1013" spans="1:13">
      <c r="A1013" s="1393">
        <v>172</v>
      </c>
      <c r="B1013" s="1324" t="s">
        <v>5244</v>
      </c>
      <c r="C1013" s="1324" t="s">
        <v>4071</v>
      </c>
      <c r="D1013" s="1366">
        <f>+IF(ISBLANK(REPORTS!J843),"",REPORTS!J843)</f>
        <v>-17990.668037348332</v>
      </c>
      <c r="E1013" s="1366">
        <f>+IF(ISBLANK(REPORTS!K843),"",REPORTS!K843)</f>
        <v>-15581.902949354424</v>
      </c>
      <c r="F1013" s="1366">
        <f>+IF(ISBLANK(REPORTS!L843),"",REPORTS!L843)</f>
        <v>-1507.6798349468731</v>
      </c>
      <c r="G1013" s="1366">
        <f>+IF(ISBLANK(REPORTS!M843),"",REPORTS!M843)</f>
        <v>-748.11455157449029</v>
      </c>
      <c r="H1013" s="1366">
        <f>+IF(ISBLANK(REPORTS!N843),"",REPORTS!N843)</f>
        <v>-48.494506979437638</v>
      </c>
      <c r="I1013" s="1366">
        <f>+IF(ISBLANK(REPORTS!O843),"",REPORTS!O843)</f>
        <v>-27.825602419300363</v>
      </c>
      <c r="J1013" s="1350">
        <f>+IF(ISBLANK(REPORTS!P843),"",REPORTS!P843)</f>
        <v>-8.1670819688187564</v>
      </c>
      <c r="K1013" s="1350">
        <f>+IF(ISBLANK(REPORTS!Q843),"",REPORTS!Q843)</f>
        <v>-68.483510104983239</v>
      </c>
    </row>
    <row r="1014" spans="1:13">
      <c r="A1014" s="1393">
        <v>173</v>
      </c>
      <c r="D1014" s="1364" t="str">
        <f>+IF(ISBLANK(REPORTS!J844),"",REPORTS!J844)</f>
        <v/>
      </c>
      <c r="E1014" s="1364" t="str">
        <f>+IF(ISBLANK(REPORTS!K844),"",REPORTS!K844)</f>
        <v/>
      </c>
      <c r="F1014" s="1364" t="str">
        <f>+IF(ISBLANK(REPORTS!L844),"",REPORTS!L844)</f>
        <v/>
      </c>
      <c r="G1014" s="1364" t="str">
        <f>+IF(ISBLANK(REPORTS!M844),"",REPORTS!M844)</f>
        <v/>
      </c>
      <c r="H1014" s="1364" t="str">
        <f>+IF(ISBLANK(REPORTS!N844),"",REPORTS!N844)</f>
        <v/>
      </c>
      <c r="I1014" s="1364" t="str">
        <f>+IF(ISBLANK(REPORTS!O844),"",REPORTS!O844)</f>
        <v/>
      </c>
      <c r="J1014" s="1364" t="str">
        <f>+IF(ISBLANK(REPORTS!P844),"",REPORTS!P844)</f>
        <v/>
      </c>
      <c r="K1014" s="1364" t="str">
        <f>+IF(ISBLANK(REPORTS!Q844),"",REPORTS!Q844)</f>
        <v/>
      </c>
      <c r="L1014" s="1358"/>
    </row>
    <row r="1015" spans="1:13">
      <c r="A1015" s="1393">
        <v>174</v>
      </c>
      <c r="B1015" s="1324" t="s">
        <v>5628</v>
      </c>
      <c r="D1015" s="1366">
        <f>+IF(ISBLANK(REPORTS!J845),"",REPORTS!J845)</f>
        <v>67060.343142276222</v>
      </c>
      <c r="E1015" s="1366">
        <f>+IF(ISBLANK(REPORTS!K845),"",REPORTS!K845)</f>
        <v>37539.953376545156</v>
      </c>
      <c r="F1015" s="1366">
        <f>+IF(ISBLANK(REPORTS!L845),"",REPORTS!L845)</f>
        <v>4112.8966001316348</v>
      </c>
      <c r="G1015" s="1366">
        <f>+IF(ISBLANK(REPORTS!M845),"",REPORTS!M845)</f>
        <v>16935.519168368515</v>
      </c>
      <c r="H1015" s="1366">
        <f>+IF(ISBLANK(REPORTS!N845),"",REPORTS!N845)</f>
        <v>1808.3984234116497</v>
      </c>
      <c r="I1015" s="1366">
        <f>+IF(ISBLANK(REPORTS!O845),"",REPORTS!O845)</f>
        <v>395.01180232226437</v>
      </c>
      <c r="J1015" s="1366">
        <f>+IF(ISBLANK(REPORTS!P845),"",REPORTS!P845)</f>
        <v>153.77445886313348</v>
      </c>
      <c r="K1015" s="1366">
        <f>+IF(ISBLANK(REPORTS!Q845),"",REPORTS!Q845)</f>
        <v>6114.7893126336876</v>
      </c>
    </row>
    <row r="1018" spans="1:13">
      <c r="A1018" s="1732" t="str">
        <f>+$A$1</f>
        <v>RATES WITH REVENUE DEFICIENCY ADDITION</v>
      </c>
      <c r="F1018" s="1329" t="s">
        <v>2173</v>
      </c>
      <c r="G1018" s="1329"/>
      <c r="H1018" s="1329"/>
      <c r="I1018" s="1329"/>
      <c r="M1018" s="1334" t="s">
        <v>5647</v>
      </c>
    </row>
    <row r="1019" spans="1:13">
      <c r="A1019" s="1732" t="str">
        <f>+$A$2</f>
        <v>PROD. CAP. ALLOC. METHOD: 12 CP &amp; 1/13th AD</v>
      </c>
      <c r="F1019" s="1336" t="s">
        <v>5141</v>
      </c>
      <c r="G1019" s="1336"/>
      <c r="H1019" s="1336"/>
      <c r="I1019" s="1336"/>
      <c r="L1019" s="1331"/>
      <c r="M1019" s="1409"/>
    </row>
    <row r="1020" spans="1:13">
      <c r="A1020" s="1732" t="str">
        <f>+$A$3</f>
        <v>PROJECTED CALENDAR YEAR 2025; FULLY ADJUSTED DATA</v>
      </c>
      <c r="F1020" s="1336" t="s">
        <v>2181</v>
      </c>
    </row>
    <row r="1021" spans="1:13">
      <c r="A1021" s="1732" t="str">
        <f>+$A$4</f>
        <v>MINIMUM DISTRIBUTION SYSTEM (MDS) NOT EMPLOYED</v>
      </c>
      <c r="B1021" s="1364"/>
      <c r="F1021" s="1336"/>
      <c r="G1021" s="1336"/>
      <c r="H1021" s="1336"/>
      <c r="I1021" s="1336"/>
    </row>
    <row r="1022" spans="1:13">
      <c r="A1022" s="1732" t="str">
        <f>+$A$5</f>
        <v>Tampa Electric 2025 OB Budget</v>
      </c>
      <c r="F1022" s="1336" t="s">
        <v>5631</v>
      </c>
      <c r="G1022" s="1336"/>
      <c r="H1022" s="1336"/>
      <c r="I1022" s="1336"/>
    </row>
    <row r="1023" spans="1:13">
      <c r="F1023" s="1336"/>
      <c r="G1023" s="1336"/>
      <c r="H1023" s="1336"/>
      <c r="I1023" s="1336"/>
    </row>
    <row r="1024" spans="1:13">
      <c r="F1024" s="1336"/>
      <c r="G1024" s="1336"/>
      <c r="H1024" s="1336"/>
      <c r="I1024" s="1336"/>
    </row>
    <row r="1026" spans="1:13">
      <c r="A1026" s="1735"/>
      <c r="B1026" s="1416"/>
      <c r="C1026" s="1416"/>
      <c r="D1026" s="1416"/>
      <c r="E1026" s="1336"/>
      <c r="F1026" s="1416"/>
      <c r="G1026" s="1416"/>
      <c r="H1026" s="1416"/>
      <c r="I1026" s="1416"/>
      <c r="J1026" s="1336"/>
      <c r="K1026" s="1336"/>
      <c r="L1026" s="1333"/>
    </row>
    <row r="1027" spans="1:13" ht="28.2">
      <c r="A1027" s="1737" t="s">
        <v>4297</v>
      </c>
      <c r="B1027" s="1741"/>
      <c r="C1027" s="1741"/>
      <c r="D1027" s="1352" t="s">
        <v>4957</v>
      </c>
      <c r="E1027" s="1353" t="s">
        <v>1949</v>
      </c>
      <c r="F1027" s="1353" t="s">
        <v>1950</v>
      </c>
      <c r="G1027" s="1353" t="s">
        <v>1934</v>
      </c>
      <c r="H1027" s="1353" t="s">
        <v>1971</v>
      </c>
      <c r="I1027" s="1353" t="s">
        <v>1972</v>
      </c>
      <c r="J1027" s="1352" t="s">
        <v>5146</v>
      </c>
      <c r="K1027" s="1352" t="s">
        <v>5147</v>
      </c>
      <c r="L1027" s="1355"/>
      <c r="M1027" s="1348" t="s">
        <v>5299</v>
      </c>
    </row>
    <row r="1029" spans="1:13">
      <c r="A1029" s="1393">
        <v>1</v>
      </c>
      <c r="B1029" s="1362" t="s">
        <v>5632</v>
      </c>
      <c r="E1029" s="1382"/>
      <c r="M1029" s="1321"/>
    </row>
    <row r="1030" spans="1:13">
      <c r="A1030" s="1393">
        <v>2</v>
      </c>
      <c r="B1030" s="1324" t="s">
        <v>4813</v>
      </c>
      <c r="C1030" s="1324" t="s">
        <v>4067</v>
      </c>
      <c r="D1030" s="1364">
        <f>+IF(ISBLANK(REPORTS!J865),"",REPORTS!J865)</f>
        <v>4493529.4146559993</v>
      </c>
      <c r="E1030" s="1324">
        <f>+IF(ISBLANK(REPORTS!K865),"",REPORTS!K865)</f>
        <v>2580250.4950065007</v>
      </c>
      <c r="F1030" s="1324">
        <f>+IF(ISBLANK(REPORTS!L865),"",REPORTS!L865)</f>
        <v>214575.29722581172</v>
      </c>
      <c r="G1030" s="1324">
        <f>+IF(ISBLANK(REPORTS!M865),"",REPORTS!M865)</f>
        <v>1388712.0797781209</v>
      </c>
      <c r="H1030" s="1324">
        <f>+IF(ISBLANK(REPORTS!N865),"",REPORTS!N865)</f>
        <v>177486.80248860671</v>
      </c>
      <c r="I1030" s="1324">
        <f>+IF(ISBLANK(REPORTS!O865),"",REPORTS!O865)</f>
        <v>127737.80859891853</v>
      </c>
      <c r="J1030" s="1324">
        <f>+IF(ISBLANK(REPORTS!P865),"",REPORTS!P865)</f>
        <v>4766.9315580409029</v>
      </c>
      <c r="K1030" s="1324">
        <f>+IF(ISBLANK(REPORTS!Q865),"",REPORTS!Q865)</f>
        <v>0</v>
      </c>
      <c r="L1030" s="1324"/>
      <c r="M1030" s="1324">
        <v>122</v>
      </c>
    </row>
    <row r="1031" spans="1:13">
      <c r="A1031" s="1393">
        <v>3</v>
      </c>
      <c r="B1031" s="1324" t="s">
        <v>5393</v>
      </c>
      <c r="C1031" s="1324" t="s">
        <v>4067</v>
      </c>
      <c r="D1031" s="1364">
        <f>+IF(ISBLANK(REPORTS!J866),"",REPORTS!J866)</f>
        <v>2068978.4465800002</v>
      </c>
      <c r="E1031" s="1324">
        <f>+IF(ISBLANK(REPORTS!K866),"",REPORTS!K866)</f>
        <v>1188037.7690494128</v>
      </c>
      <c r="F1031" s="1324">
        <f>+IF(ISBLANK(REPORTS!L866),"",REPORTS!L866)</f>
        <v>98797.987987063927</v>
      </c>
      <c r="G1031" s="1324">
        <f>+IF(ISBLANK(REPORTS!M866),"",REPORTS!M866)</f>
        <v>639411.71770123497</v>
      </c>
      <c r="H1031" s="1324">
        <f>+IF(ISBLANK(REPORTS!N866),"",REPORTS!N866)</f>
        <v>81721.145009894404</v>
      </c>
      <c r="I1031" s="1324">
        <f>+IF(ISBLANK(REPORTS!O866),"",REPORTS!O866)</f>
        <v>58814.964455897803</v>
      </c>
      <c r="J1031" s="1324">
        <f>+IF(ISBLANK(REPORTS!P866),"",REPORTS!P866)</f>
        <v>2194.8623764964677</v>
      </c>
      <c r="K1031" s="1324">
        <f>+IF(ISBLANK(REPORTS!Q866),"",REPORTS!Q866)</f>
        <v>0</v>
      </c>
      <c r="L1031" s="1324"/>
      <c r="M1031" s="1324">
        <v>121</v>
      </c>
    </row>
    <row r="1032" spans="1:13">
      <c r="A1032" s="1393">
        <v>4</v>
      </c>
      <c r="B1032" s="1324" t="s">
        <v>4814</v>
      </c>
      <c r="C1032" s="1324" t="s">
        <v>2067</v>
      </c>
      <c r="D1032" s="1366">
        <f>+IF(ISBLANK(REPORTS!J867),"",REPORTS!J867)</f>
        <v>570339.73520400003</v>
      </c>
      <c r="E1032" s="1366">
        <f>+IF(ISBLANK(REPORTS!K867),"",REPORTS!K867)</f>
        <v>287812.92757298599</v>
      </c>
      <c r="F1032" s="1366">
        <f>+IF(ISBLANK(REPORTS!L867),"",REPORTS!L867)</f>
        <v>26597.283735102348</v>
      </c>
      <c r="G1032" s="1366">
        <f>+IF(ISBLANK(REPORTS!M867),"",REPORTS!M867)</f>
        <v>198139.43310096741</v>
      </c>
      <c r="H1032" s="1366">
        <f>+IF(ISBLANK(REPORTS!N867),"",REPORTS!N867)</f>
        <v>31540.611912883622</v>
      </c>
      <c r="I1032" s="1366">
        <f>+IF(ISBLANK(REPORTS!O867),"",REPORTS!O867)</f>
        <v>23236.343006319854</v>
      </c>
      <c r="J1032" s="1366">
        <f>+IF(ISBLANK(REPORTS!P867),"",REPORTS!P867)</f>
        <v>3013.1358757407984</v>
      </c>
      <c r="K1032" s="1366">
        <f>+IF(ISBLANK(REPORTS!Q867),"",REPORTS!Q867)</f>
        <v>0</v>
      </c>
      <c r="L1032" s="1366"/>
      <c r="M1032" s="1366">
        <v>201</v>
      </c>
    </row>
    <row r="1033" spans="1:13">
      <c r="A1033" s="1393">
        <v>5</v>
      </c>
      <c r="B1033" s="1324" t="s">
        <v>5633</v>
      </c>
      <c r="D1033" s="1421">
        <f>+IF(ISBLANK(REPORTS!J868),"",REPORTS!J868)</f>
        <v>7132847.5964399995</v>
      </c>
      <c r="E1033" s="1421">
        <f>+IF(ISBLANK(REPORTS!K868),"",REPORTS!K868)</f>
        <v>4056101.1916288994</v>
      </c>
      <c r="F1033" s="1421">
        <f>+IF(ISBLANK(REPORTS!L868),"",REPORTS!L868)</f>
        <v>339970.56894797797</v>
      </c>
      <c r="G1033" s="1421">
        <f>+IF(ISBLANK(REPORTS!M868),"",REPORTS!M868)</f>
        <v>2226263.2305803229</v>
      </c>
      <c r="H1033" s="1421">
        <f>+IF(ISBLANK(REPORTS!N868),"",REPORTS!N868)</f>
        <v>290748.55941138475</v>
      </c>
      <c r="I1033" s="1421">
        <f>+IF(ISBLANK(REPORTS!O868),"",REPORTS!O868)</f>
        <v>209789.11606113621</v>
      </c>
      <c r="J1033" s="1421">
        <f>+IF(ISBLANK(REPORTS!P868),"",REPORTS!P868)</f>
        <v>9974.9298102781686</v>
      </c>
      <c r="K1033" s="1421">
        <f>+IF(ISBLANK(REPORTS!Q868),"",REPORTS!Q868)</f>
        <v>0</v>
      </c>
      <c r="L1033" s="1364"/>
      <c r="M1033" s="1364"/>
    </row>
    <row r="1034" spans="1:13">
      <c r="A1034" s="1393">
        <v>6</v>
      </c>
      <c r="D1034" s="1324" t="str">
        <f>+IF(ISBLANK(REPORTS!J869),"",REPORTS!J869)</f>
        <v/>
      </c>
      <c r="E1034" s="1324" t="str">
        <f>+IF(ISBLANK(REPORTS!K869),"",REPORTS!K869)</f>
        <v/>
      </c>
      <c r="F1034" s="1324" t="str">
        <f>+IF(ISBLANK(REPORTS!L869),"",REPORTS!L869)</f>
        <v/>
      </c>
      <c r="G1034" s="1324" t="str">
        <f>+IF(ISBLANK(REPORTS!M869),"",REPORTS!M869)</f>
        <v/>
      </c>
      <c r="H1034" s="1324" t="str">
        <f>+IF(ISBLANK(REPORTS!N869),"",REPORTS!N869)</f>
        <v/>
      </c>
      <c r="I1034" s="1324" t="str">
        <f>+IF(ISBLANK(REPORTS!O869),"",REPORTS!O869)</f>
        <v/>
      </c>
      <c r="J1034" s="1324" t="str">
        <f>+IF(ISBLANK(REPORTS!P869),"",REPORTS!P869)</f>
        <v/>
      </c>
      <c r="K1034" s="1324" t="str">
        <f>+IF(ISBLANK(REPORTS!Q869),"",REPORTS!Q869)</f>
        <v/>
      </c>
      <c r="L1034" s="1324"/>
      <c r="M1034" s="1326"/>
    </row>
    <row r="1035" spans="1:13">
      <c r="A1035" s="1393">
        <v>7</v>
      </c>
      <c r="D1035" s="1324" t="str">
        <f>+IF(ISBLANK(REPORTS!J870),"",REPORTS!J870)</f>
        <v/>
      </c>
      <c r="E1035" s="1324" t="str">
        <f>+IF(ISBLANK(REPORTS!K870),"",REPORTS!K870)</f>
        <v/>
      </c>
      <c r="F1035" s="1324" t="str">
        <f>+IF(ISBLANK(REPORTS!L870),"",REPORTS!L870)</f>
        <v/>
      </c>
      <c r="G1035" s="1324" t="str">
        <f>+IF(ISBLANK(REPORTS!M870),"",REPORTS!M870)</f>
        <v/>
      </c>
      <c r="H1035" s="1324" t="str">
        <f>+IF(ISBLANK(REPORTS!N870),"",REPORTS!N870)</f>
        <v/>
      </c>
      <c r="I1035" s="1324" t="str">
        <f>+IF(ISBLANK(REPORTS!O870),"",REPORTS!O870)</f>
        <v/>
      </c>
      <c r="J1035" s="1324" t="str">
        <f>+IF(ISBLANK(REPORTS!P870),"",REPORTS!P870)</f>
        <v/>
      </c>
      <c r="K1035" s="1324" t="str">
        <f>+IF(ISBLANK(REPORTS!Q870),"",REPORTS!Q870)</f>
        <v/>
      </c>
      <c r="L1035" s="1324"/>
      <c r="M1035" s="1326"/>
    </row>
    <row r="1036" spans="1:13">
      <c r="A1036" s="1393">
        <v>8</v>
      </c>
      <c r="B1036" s="1362" t="s">
        <v>2531</v>
      </c>
      <c r="D1036" s="1324" t="str">
        <f>+IF(ISBLANK(REPORTS!J871),"",REPORTS!J871)</f>
        <v/>
      </c>
      <c r="E1036" s="1324" t="str">
        <f>+IF(ISBLANK(REPORTS!K871),"",REPORTS!K871)</f>
        <v/>
      </c>
      <c r="F1036" s="1324" t="str">
        <f>+IF(ISBLANK(REPORTS!L871),"",REPORTS!L871)</f>
        <v/>
      </c>
      <c r="G1036" s="1324" t="str">
        <f>+IF(ISBLANK(REPORTS!M871),"",REPORTS!M871)</f>
        <v/>
      </c>
      <c r="H1036" s="1324" t="str">
        <f>+IF(ISBLANK(REPORTS!N871),"",REPORTS!N871)</f>
        <v/>
      </c>
      <c r="I1036" s="1324" t="str">
        <f>+IF(ISBLANK(REPORTS!O871),"",REPORTS!O871)</f>
        <v/>
      </c>
      <c r="J1036" s="1324" t="str">
        <f>+IF(ISBLANK(REPORTS!P871),"",REPORTS!P871)</f>
        <v/>
      </c>
      <c r="K1036" s="1324" t="str">
        <f>+IF(ISBLANK(REPORTS!Q871),"",REPORTS!Q871)</f>
        <v/>
      </c>
      <c r="L1036" s="1324"/>
      <c r="M1036" s="1326"/>
    </row>
    <row r="1037" spans="1:13">
      <c r="A1037" s="1393">
        <v>9</v>
      </c>
      <c r="B1037" s="1324" t="s">
        <v>5397</v>
      </c>
      <c r="C1037" s="1324" t="s">
        <v>4067</v>
      </c>
      <c r="D1037" s="1364">
        <f>+IF(ISBLANK(REPORTS!J872),"",REPORTS!J872)</f>
        <v>191967.04717290375</v>
      </c>
      <c r="E1037" s="1364">
        <f>+IF(ISBLANK(REPORTS!K872),"",REPORTS!K872)</f>
        <v>110230.2940039262</v>
      </c>
      <c r="F1037" s="1364">
        <f>+IF(ISBLANK(REPORTS!L872),"",REPORTS!L872)</f>
        <v>9166.8224247822436</v>
      </c>
      <c r="G1037" s="1364">
        <f>+IF(ISBLANK(REPORTS!M872),"",REPORTS!M872)</f>
        <v>59326.852620315221</v>
      </c>
      <c r="H1037" s="1364">
        <f>+IF(ISBLANK(REPORTS!N872),"",REPORTS!N872)</f>
        <v>7582.3732842987429</v>
      </c>
      <c r="I1037" s="1364">
        <f>+IF(ISBLANK(REPORTS!O872),"",REPORTS!O872)</f>
        <v>5457.0578416808194</v>
      </c>
      <c r="J1037" s="1364">
        <f>+IF(ISBLANK(REPORTS!P872),"",REPORTS!P872)</f>
        <v>203.64699790053479</v>
      </c>
      <c r="K1037" s="1364">
        <f>+IF(ISBLANK(REPORTS!Q872),"",REPORTS!Q872)</f>
        <v>0</v>
      </c>
      <c r="L1037" s="1324"/>
      <c r="M1037" s="1324">
        <v>122</v>
      </c>
    </row>
    <row r="1038" spans="1:13">
      <c r="A1038" s="1393">
        <v>10</v>
      </c>
      <c r="B1038" s="1364" t="s">
        <v>5398</v>
      </c>
      <c r="C1038" s="1324" t="s">
        <v>4067</v>
      </c>
      <c r="D1038" s="1366">
        <f>+IF(ISBLANK(REPORTS!J873),"",REPORTS!J873)</f>
        <v>0</v>
      </c>
      <c r="E1038" s="1366">
        <f>+IF(ISBLANK(REPORTS!K873),"",REPORTS!K873)</f>
        <v>0</v>
      </c>
      <c r="F1038" s="1366">
        <f>+IF(ISBLANK(REPORTS!L873),"",REPORTS!L873)</f>
        <v>0</v>
      </c>
      <c r="G1038" s="1366">
        <f>+IF(ISBLANK(REPORTS!M873),"",REPORTS!M873)</f>
        <v>0</v>
      </c>
      <c r="H1038" s="1366">
        <f>+IF(ISBLANK(REPORTS!N873),"",REPORTS!N873)</f>
        <v>0</v>
      </c>
      <c r="I1038" s="1366">
        <f>+IF(ISBLANK(REPORTS!O873),"",REPORTS!O873)</f>
        <v>0</v>
      </c>
      <c r="J1038" s="1366">
        <f>+IF(ISBLANK(REPORTS!P873),"",REPORTS!P873)</f>
        <v>0</v>
      </c>
      <c r="K1038" s="1366">
        <f>+IF(ISBLANK(REPORTS!Q873),"",REPORTS!Q873)</f>
        <v>0</v>
      </c>
      <c r="L1038" s="1324"/>
      <c r="M1038" s="1324">
        <v>121</v>
      </c>
    </row>
    <row r="1039" spans="1:13">
      <c r="A1039" s="1439">
        <v>11</v>
      </c>
      <c r="B1039" s="1364" t="s">
        <v>5399</v>
      </c>
      <c r="C1039" s="1364"/>
      <c r="D1039" s="1421">
        <f>+IF(ISBLANK(REPORTS!J874),"",REPORTS!J874)</f>
        <v>191967.04717290375</v>
      </c>
      <c r="E1039" s="1421">
        <f>+IF(ISBLANK(REPORTS!K874),"",REPORTS!K874)</f>
        <v>110230.2940039262</v>
      </c>
      <c r="F1039" s="1421">
        <f>+IF(ISBLANK(REPORTS!L874),"",REPORTS!L874)</f>
        <v>9166.8224247822436</v>
      </c>
      <c r="G1039" s="1421">
        <f>+IF(ISBLANK(REPORTS!M874),"",REPORTS!M874)</f>
        <v>59326.852620315221</v>
      </c>
      <c r="H1039" s="1421">
        <f>+IF(ISBLANK(REPORTS!N874),"",REPORTS!N874)</f>
        <v>7582.3732842987429</v>
      </c>
      <c r="I1039" s="1421">
        <f>+IF(ISBLANK(REPORTS!O874),"",REPORTS!O874)</f>
        <v>5457.0578416808194</v>
      </c>
      <c r="J1039" s="1421">
        <f>+IF(ISBLANK(REPORTS!P874),"",REPORTS!P874)</f>
        <v>203.64699790053479</v>
      </c>
      <c r="K1039" s="1421">
        <f>+IF(ISBLANK(REPORTS!Q874),"",REPORTS!Q874)</f>
        <v>0</v>
      </c>
      <c r="L1039" s="1324"/>
      <c r="M1039" s="1324"/>
    </row>
    <row r="1040" spans="1:13">
      <c r="A1040" s="1393">
        <v>12</v>
      </c>
      <c r="D1040" s="1324" t="str">
        <f>+IF(ISBLANK(REPORTS!J875),"",REPORTS!J875)</f>
        <v/>
      </c>
      <c r="E1040" s="1324" t="str">
        <f>+IF(ISBLANK(REPORTS!K875),"",REPORTS!K875)</f>
        <v/>
      </c>
      <c r="F1040" s="1324" t="str">
        <f>+IF(ISBLANK(REPORTS!L875),"",REPORTS!L875)</f>
        <v/>
      </c>
      <c r="G1040" s="1324" t="str">
        <f>+IF(ISBLANK(REPORTS!M875),"",REPORTS!M875)</f>
        <v/>
      </c>
      <c r="H1040" s="1324" t="str">
        <f>+IF(ISBLANK(REPORTS!N875),"",REPORTS!N875)</f>
        <v/>
      </c>
      <c r="I1040" s="1324" t="str">
        <f>+IF(ISBLANK(REPORTS!O875),"",REPORTS!O875)</f>
        <v/>
      </c>
      <c r="J1040" s="1324" t="str">
        <f>+IF(ISBLANK(REPORTS!P875),"",REPORTS!P875)</f>
        <v/>
      </c>
      <c r="K1040" s="1324" t="str">
        <f>+IF(ISBLANK(REPORTS!Q875),"",REPORTS!Q875)</f>
        <v/>
      </c>
      <c r="L1040" s="1364"/>
      <c r="M1040" s="1326"/>
    </row>
    <row r="1041" spans="1:13">
      <c r="A1041" s="1393">
        <v>13</v>
      </c>
      <c r="B1041" s="1324" t="s">
        <v>5635</v>
      </c>
      <c r="C1041" s="1324" t="s">
        <v>4067</v>
      </c>
      <c r="D1041" s="1366">
        <f>+IF(ISBLANK(REPORTS!J876),"",REPORTS!J876)</f>
        <v>499578.84495168307</v>
      </c>
      <c r="E1041" s="1366">
        <f>+IF(ISBLANK(REPORTS!K876),"",REPORTS!K876)</f>
        <v>289762.24464192049</v>
      </c>
      <c r="F1041" s="1366">
        <f>+IF(ISBLANK(REPORTS!L876),"",REPORTS!L876)</f>
        <v>23902.462480112525</v>
      </c>
      <c r="G1041" s="1366">
        <f>+IF(ISBLANK(REPORTS!M876),"",REPORTS!M876)</f>
        <v>152796.43433377217</v>
      </c>
      <c r="H1041" s="1366">
        <f>+IF(ISBLANK(REPORTS!N876),"",REPORTS!N876)</f>
        <v>19074.608883696605</v>
      </c>
      <c r="I1041" s="1366">
        <f>+IF(ISBLANK(REPORTS!O876),"",REPORTS!O876)</f>
        <v>13688.896903802377</v>
      </c>
      <c r="J1041" s="1366">
        <f>+IF(ISBLANK(REPORTS!P876),"",REPORTS!P876)</f>
        <v>354.19770837894737</v>
      </c>
      <c r="K1041" s="1366">
        <f>+IF(ISBLANK(REPORTS!Q876),"",REPORTS!Q876)</f>
        <v>0</v>
      </c>
      <c r="L1041" s="1358"/>
      <c r="M1041" s="1320">
        <v>117</v>
      </c>
    </row>
    <row r="1042" spans="1:13">
      <c r="A1042" s="1393">
        <v>14</v>
      </c>
      <c r="D1042" s="1324" t="str">
        <f>+IF(ISBLANK(REPORTS!J877),"",REPORTS!J877)</f>
        <v/>
      </c>
      <c r="E1042" s="1324" t="str">
        <f>+IF(ISBLANK(REPORTS!K877),"",REPORTS!K877)</f>
        <v/>
      </c>
      <c r="F1042" s="1324" t="str">
        <f>+IF(ISBLANK(REPORTS!L877),"",REPORTS!L877)</f>
        <v/>
      </c>
      <c r="G1042" s="1324" t="str">
        <f>+IF(ISBLANK(REPORTS!M877),"",REPORTS!M877)</f>
        <v/>
      </c>
      <c r="H1042" s="1324" t="str">
        <f>+IF(ISBLANK(REPORTS!N877),"",REPORTS!N877)</f>
        <v/>
      </c>
      <c r="I1042" s="1324" t="str">
        <f>+IF(ISBLANK(REPORTS!O877),"",REPORTS!O877)</f>
        <v/>
      </c>
      <c r="J1042" s="1324" t="str">
        <f>+IF(ISBLANK(REPORTS!P877),"",REPORTS!P877)</f>
        <v/>
      </c>
      <c r="K1042" s="1324" t="str">
        <f>+IF(ISBLANK(REPORTS!Q877),"",REPORTS!Q877)</f>
        <v/>
      </c>
      <c r="M1042" s="1321"/>
    </row>
    <row r="1043" spans="1:13">
      <c r="A1043" s="1393">
        <v>15</v>
      </c>
      <c r="B1043" s="1324" t="s">
        <v>1953</v>
      </c>
      <c r="D1043" s="1324" t="str">
        <f>+IF(ISBLANK(REPORTS!J878),"",REPORTS!J878)</f>
        <v/>
      </c>
      <c r="E1043" s="1324" t="str">
        <f>+IF(ISBLANK(REPORTS!K878),"",REPORTS!K878)</f>
        <v/>
      </c>
      <c r="F1043" s="1324" t="str">
        <f>+IF(ISBLANK(REPORTS!L878),"",REPORTS!L878)</f>
        <v/>
      </c>
      <c r="G1043" s="1324" t="str">
        <f>+IF(ISBLANK(REPORTS!M878),"",REPORTS!M878)</f>
        <v/>
      </c>
      <c r="H1043" s="1324" t="str">
        <f>+IF(ISBLANK(REPORTS!N878),"",REPORTS!N878)</f>
        <v/>
      </c>
      <c r="I1043" s="1324" t="str">
        <f>+IF(ISBLANK(REPORTS!O878),"",REPORTS!O878)</f>
        <v/>
      </c>
      <c r="J1043" s="1324" t="str">
        <f>+IF(ISBLANK(REPORTS!P878),"",REPORTS!P878)</f>
        <v/>
      </c>
      <c r="K1043" s="1324" t="str">
        <f>+IF(ISBLANK(REPORTS!Q878),"",REPORTS!Q878)</f>
        <v/>
      </c>
      <c r="M1043" s="1321"/>
    </row>
    <row r="1044" spans="1:13" ht="30" customHeight="1">
      <c r="A1044" s="1393">
        <v>16</v>
      </c>
      <c r="B1044" s="1324" t="s">
        <v>5293</v>
      </c>
      <c r="C1044" s="1324" t="s">
        <v>4067</v>
      </c>
      <c r="D1044" s="1364">
        <f>+IF(ISBLANK(REPORTS!J879),"",REPORTS!J879)</f>
        <v>225310.05423925494</v>
      </c>
      <c r="E1044" s="1364">
        <f>+IF(ISBLANK(REPORTS!K879),"",REPORTS!K879)</f>
        <v>130682.76952974971</v>
      </c>
      <c r="F1044" s="1364">
        <f>+IF(ISBLANK(REPORTS!L879),"",REPORTS!L879)</f>
        <v>10780.010347249123</v>
      </c>
      <c r="G1044" s="1364">
        <f>+IF(ISBLANK(REPORTS!M879),"",REPORTS!M879)</f>
        <v>68911.190406064008</v>
      </c>
      <c r="H1044" s="1364">
        <f>+IF(ISBLANK(REPORTS!N879),"",REPORTS!N879)</f>
        <v>8602.6484219801368</v>
      </c>
      <c r="I1044" s="1364">
        <f>+IF(ISBLANK(REPORTS!O879),"",REPORTS!O879)</f>
        <v>6173.6923711603049</v>
      </c>
      <c r="J1044" s="1364">
        <f>+IF(ISBLANK(REPORTS!P879),"",REPORTS!P879)</f>
        <v>159.74316305166752</v>
      </c>
      <c r="K1044" s="1364">
        <f>+IF(ISBLANK(REPORTS!Q879),"",REPORTS!Q879)</f>
        <v>0</v>
      </c>
      <c r="L1044" s="1358"/>
      <c r="M1044" s="1320">
        <v>117</v>
      </c>
    </row>
    <row r="1045" spans="1:13">
      <c r="A1045" s="1393">
        <v>17</v>
      </c>
      <c r="B1045" s="1324" t="s">
        <v>5294</v>
      </c>
      <c r="C1045" s="1324" t="s">
        <v>4067</v>
      </c>
      <c r="D1045" s="1364">
        <f>+IF(ISBLANK(REPORTS!J880),"",REPORTS!J880)</f>
        <v>265675.01883677207</v>
      </c>
      <c r="E1045" s="1364">
        <f>+IF(ISBLANK(REPORTS!K880),"",REPORTS!K880)</f>
        <v>154094.97536044181</v>
      </c>
      <c r="F1045" s="1364">
        <f>+IF(ISBLANK(REPORTS!L880),"",REPORTS!L880)</f>
        <v>12711.281179777143</v>
      </c>
      <c r="G1045" s="1364">
        <f>+IF(ISBLANK(REPORTS!M880),"",REPORTS!M880)</f>
        <v>81256.834591830251</v>
      </c>
      <c r="H1045" s="1364">
        <f>+IF(ISBLANK(REPORTS!N880),"",REPORTS!N880)</f>
        <v>10143.838406468702</v>
      </c>
      <c r="I1045" s="1364">
        <f>+IF(ISBLANK(REPORTS!O880),"",REPORTS!O880)</f>
        <v>7279.7276736649274</v>
      </c>
      <c r="J1045" s="1364">
        <f>+IF(ISBLANK(REPORTS!P880),"",REPORTS!P880)</f>
        <v>188.36162458924656</v>
      </c>
      <c r="K1045" s="1364">
        <f>+IF(ISBLANK(REPORTS!Q880),"",REPORTS!Q880)</f>
        <v>0</v>
      </c>
      <c r="L1045" s="1358"/>
      <c r="M1045" s="1320">
        <v>117</v>
      </c>
    </row>
    <row r="1046" spans="1:13">
      <c r="A1046" s="1393">
        <v>18</v>
      </c>
      <c r="B1046" s="1324" t="s">
        <v>1953</v>
      </c>
      <c r="D1046" s="1421">
        <f>+IF(ISBLANK(REPORTS!J881),"",REPORTS!J881)</f>
        <v>490985.07307602698</v>
      </c>
      <c r="E1046" s="1421">
        <f>+IF(ISBLANK(REPORTS!K881),"",REPORTS!K881)</f>
        <v>284777.74489019153</v>
      </c>
      <c r="F1046" s="1421">
        <f>+IF(ISBLANK(REPORTS!L881),"",REPORTS!L881)</f>
        <v>23491.291527026267</v>
      </c>
      <c r="G1046" s="1421">
        <f>+IF(ISBLANK(REPORTS!M881),"",REPORTS!M881)</f>
        <v>150168.02499789424</v>
      </c>
      <c r="H1046" s="1421">
        <f>+IF(ISBLANK(REPORTS!N881),"",REPORTS!N881)</f>
        <v>18746.48682844884</v>
      </c>
      <c r="I1046" s="1421">
        <f>+IF(ISBLANK(REPORTS!O881),"",REPORTS!O881)</f>
        <v>13453.420044825232</v>
      </c>
      <c r="J1046" s="1421">
        <f>+IF(ISBLANK(REPORTS!P881),"",REPORTS!P881)</f>
        <v>348.10478764091408</v>
      </c>
      <c r="K1046" s="1421">
        <f>+IF(ISBLANK(REPORTS!Q881),"",REPORTS!Q881)</f>
        <v>0</v>
      </c>
      <c r="L1046" s="1358"/>
      <c r="M1046" s="1321"/>
    </row>
    <row r="1047" spans="1:13">
      <c r="A1047" s="1393">
        <v>19</v>
      </c>
      <c r="D1047" s="1324" t="str">
        <f>+IF(ISBLANK(REPORTS!J882),"",REPORTS!J882)</f>
        <v/>
      </c>
      <c r="E1047" s="1324" t="str">
        <f>+IF(ISBLANK(REPORTS!K882),"",REPORTS!K882)</f>
        <v/>
      </c>
      <c r="F1047" s="1324" t="str">
        <f>+IF(ISBLANK(REPORTS!L882),"",REPORTS!L882)</f>
        <v/>
      </c>
      <c r="G1047" s="1324" t="str">
        <f>+IF(ISBLANK(REPORTS!M882),"",REPORTS!M882)</f>
        <v/>
      </c>
      <c r="H1047" s="1324" t="str">
        <f>+IF(ISBLANK(REPORTS!N882),"",REPORTS!N882)</f>
        <v/>
      </c>
      <c r="I1047" s="1324" t="str">
        <f>+IF(ISBLANK(REPORTS!O882),"",REPORTS!O882)</f>
        <v/>
      </c>
      <c r="J1047" s="1324" t="str">
        <f>+IF(ISBLANK(REPORTS!P882),"",REPORTS!P882)</f>
        <v/>
      </c>
      <c r="K1047" s="1324" t="str">
        <f>+IF(ISBLANK(REPORTS!Q882),"",REPORTS!Q882)</f>
        <v/>
      </c>
      <c r="M1047" s="1321"/>
    </row>
    <row r="1048" spans="1:13">
      <c r="A1048" s="1393">
        <v>20</v>
      </c>
      <c r="B1048" s="1324" t="s">
        <v>2456</v>
      </c>
      <c r="D1048" s="1366">
        <f>+IF(ISBLANK(REPORTS!J883),"",REPORTS!J883)</f>
        <v>1182530.9652006137</v>
      </c>
      <c r="E1048" s="1366">
        <f>+IF(ISBLANK(REPORTS!K883),"",REPORTS!K883)</f>
        <v>684770.28353603825</v>
      </c>
      <c r="F1048" s="1366">
        <f>+IF(ISBLANK(REPORTS!L883),"",REPORTS!L883)</f>
        <v>56560.576431921036</v>
      </c>
      <c r="G1048" s="1366">
        <f>+IF(ISBLANK(REPORTS!M883),"",REPORTS!M883)</f>
        <v>362291.31195198162</v>
      </c>
      <c r="H1048" s="1366">
        <f>+IF(ISBLANK(REPORTS!N883),"",REPORTS!N883)</f>
        <v>45403.468996444186</v>
      </c>
      <c r="I1048" s="1366">
        <f>+IF(ISBLANK(REPORTS!O883),"",REPORTS!O883)</f>
        <v>32599.37479030843</v>
      </c>
      <c r="J1048" s="1366">
        <f>+IF(ISBLANK(REPORTS!P883),"",REPORTS!P883)</f>
        <v>905.94949392039621</v>
      </c>
      <c r="K1048" s="1366">
        <f>+IF(ISBLANK(REPORTS!Q883),"",REPORTS!Q883)</f>
        <v>0</v>
      </c>
      <c r="L1048" s="1364"/>
      <c r="M1048" s="1326"/>
    </row>
    <row r="1066" spans="13:13">
      <c r="M1066" s="1321"/>
    </row>
    <row r="1067" spans="13:13">
      <c r="M1067" s="1321"/>
    </row>
    <row r="1077" spans="1:13">
      <c r="A1077" s="1732" t="str">
        <f>+$A$1</f>
        <v>RATES WITH REVENUE DEFICIENCY ADDITION</v>
      </c>
      <c r="F1077" s="1329" t="s">
        <v>2173</v>
      </c>
      <c r="G1077" s="1329"/>
      <c r="H1077" s="1329"/>
      <c r="I1077" s="1329"/>
      <c r="M1077" s="1334" t="s">
        <v>5669</v>
      </c>
    </row>
    <row r="1078" spans="1:13">
      <c r="A1078" s="1732" t="str">
        <f>+$A$2</f>
        <v>PROD. CAP. ALLOC. METHOD: 12 CP &amp; 1/13th AD</v>
      </c>
      <c r="F1078" s="1336" t="s">
        <v>5141</v>
      </c>
      <c r="G1078" s="1336"/>
      <c r="H1078" s="1336"/>
      <c r="I1078" s="1336"/>
      <c r="L1078" s="1331"/>
      <c r="M1078" s="1409"/>
    </row>
    <row r="1079" spans="1:13">
      <c r="A1079" s="1732" t="str">
        <f>+$A$3</f>
        <v>PROJECTED CALENDAR YEAR 2025; FULLY ADJUSTED DATA</v>
      </c>
      <c r="F1079" s="1336" t="s">
        <v>2181</v>
      </c>
      <c r="M1079" s="1321"/>
    </row>
    <row r="1080" spans="1:13">
      <c r="A1080" s="1732" t="str">
        <f>+$A$4</f>
        <v>MINIMUM DISTRIBUTION SYSTEM (MDS) NOT EMPLOYED</v>
      </c>
      <c r="B1080" s="1364"/>
      <c r="F1080" s="1336"/>
      <c r="G1080" s="1336"/>
      <c r="H1080" s="1336"/>
      <c r="I1080" s="1336"/>
      <c r="M1080" s="1321"/>
    </row>
    <row r="1081" spans="1:13">
      <c r="A1081" s="1732" t="str">
        <f>+$A$5</f>
        <v>Tampa Electric 2025 OB Budget</v>
      </c>
      <c r="F1081" s="1336" t="s">
        <v>5631</v>
      </c>
      <c r="G1081" s="1336"/>
      <c r="H1081" s="1336"/>
      <c r="I1081" s="1336"/>
      <c r="M1081" s="1321"/>
    </row>
    <row r="1082" spans="1:13">
      <c r="F1082" s="1336"/>
      <c r="G1082" s="1336"/>
      <c r="H1082" s="1336"/>
      <c r="I1082" s="1336"/>
      <c r="M1082" s="1321"/>
    </row>
    <row r="1083" spans="1:13">
      <c r="F1083" s="1336"/>
      <c r="G1083" s="1336"/>
      <c r="H1083" s="1336"/>
      <c r="I1083" s="1336"/>
      <c r="M1083" s="1321"/>
    </row>
    <row r="1084" spans="1:13">
      <c r="M1084" s="1321"/>
    </row>
    <row r="1085" spans="1:13">
      <c r="A1085" s="1735"/>
      <c r="B1085" s="1416"/>
      <c r="C1085" s="1416"/>
      <c r="D1085" s="1416"/>
      <c r="E1085" s="1336"/>
      <c r="F1085" s="1416"/>
      <c r="G1085" s="1416"/>
      <c r="H1085" s="1416"/>
      <c r="I1085" s="1416"/>
      <c r="J1085" s="1336"/>
      <c r="K1085" s="1336"/>
      <c r="L1085" s="1333"/>
      <c r="M1085" s="1321"/>
    </row>
    <row r="1086" spans="1:13" ht="28.2">
      <c r="A1086" s="1737" t="s">
        <v>4297</v>
      </c>
      <c r="B1086" s="1741"/>
      <c r="C1086" s="1741"/>
      <c r="D1086" s="1352" t="s">
        <v>4957</v>
      </c>
      <c r="E1086" s="1353" t="s">
        <v>1949</v>
      </c>
      <c r="F1086" s="1353" t="s">
        <v>1950</v>
      </c>
      <c r="G1086" s="1353" t="s">
        <v>1934</v>
      </c>
      <c r="H1086" s="1353" t="s">
        <v>1971</v>
      </c>
      <c r="I1086" s="1353" t="s">
        <v>1972</v>
      </c>
      <c r="J1086" s="1352" t="s">
        <v>5146</v>
      </c>
      <c r="K1086" s="1352" t="s">
        <v>5147</v>
      </c>
      <c r="L1086" s="1355"/>
      <c r="M1086" s="1348" t="s">
        <v>5299</v>
      </c>
    </row>
    <row r="1087" spans="1:13">
      <c r="A1087" s="1543"/>
      <c r="B1087" s="1447"/>
      <c r="C1087" s="1447"/>
      <c r="D1087" s="1399"/>
      <c r="E1087" s="1360"/>
      <c r="F1087" s="1360"/>
      <c r="G1087" s="1360"/>
      <c r="H1087" s="1360"/>
      <c r="I1087" s="1360"/>
      <c r="J1087" s="1399"/>
      <c r="K1087" s="1399"/>
      <c r="L1087" s="1346"/>
      <c r="M1087" s="1396"/>
    </row>
    <row r="1088" spans="1:13">
      <c r="A1088" s="1393">
        <v>21</v>
      </c>
      <c r="B1088" s="1362" t="s">
        <v>2543</v>
      </c>
      <c r="M1088" s="1321"/>
    </row>
    <row r="1089" spans="1:13">
      <c r="A1089" s="1393">
        <v>22</v>
      </c>
      <c r="B1089" s="1324" t="s">
        <v>5293</v>
      </c>
      <c r="C1089" s="1324" t="s">
        <v>4067</v>
      </c>
      <c r="D1089" s="1364">
        <f>+IF(ISBLANK(REPORTS!J901),"",REPORTS!J901)</f>
        <v>368438.48759000003</v>
      </c>
      <c r="E1089" s="1364">
        <f>+IF(ISBLANK(REPORTS!K901),"",REPORTS!K901)</f>
        <v>229322.01414144278</v>
      </c>
      <c r="F1089" s="1364">
        <f>+IF(ISBLANK(REPORTS!L901),"",REPORTS!L901)</f>
        <v>16309.956798968924</v>
      </c>
      <c r="G1089" s="1364">
        <f>+IF(ISBLANK(REPORTS!M901),"",REPORTS!M901)</f>
        <v>109205.34428043525</v>
      </c>
      <c r="H1089" s="1364">
        <f>+IF(ISBLANK(REPORTS!N901),"",REPORTS!N901)</f>
        <v>11486.206525822598</v>
      </c>
      <c r="I1089" s="1364">
        <f>+IF(ISBLANK(REPORTS!O901),"",REPORTS!O901)</f>
        <v>7.8425580513606513E-3</v>
      </c>
      <c r="J1089" s="1364">
        <f>+IF(ISBLANK(REPORTS!P901),"",REPORTS!P901)</f>
        <v>2114.9580007725094</v>
      </c>
      <c r="K1089" s="1364">
        <f>+IF(ISBLANK(REPORTS!Q901),"",REPORTS!Q901)</f>
        <v>0</v>
      </c>
      <c r="L1089" s="1364"/>
      <c r="M1089" s="1364">
        <v>105</v>
      </c>
    </row>
    <row r="1090" spans="1:13">
      <c r="A1090" s="1393">
        <v>23</v>
      </c>
      <c r="D1090" s="1324" t="str">
        <f>+IF(ISBLANK(REPORTS!J902),"",REPORTS!J902)</f>
        <v/>
      </c>
      <c r="E1090" s="1324" t="str">
        <f>+IF(ISBLANK(REPORTS!K902),"",REPORTS!K902)</f>
        <v/>
      </c>
      <c r="F1090" s="1324" t="str">
        <f>+IF(ISBLANK(REPORTS!L902),"",REPORTS!L902)</f>
        <v/>
      </c>
      <c r="G1090" s="1324" t="str">
        <f>+IF(ISBLANK(REPORTS!M902),"",REPORTS!M902)</f>
        <v/>
      </c>
      <c r="H1090" s="1324" t="str">
        <f>+IF(ISBLANK(REPORTS!N902),"",REPORTS!N902)</f>
        <v/>
      </c>
      <c r="I1090" s="1324" t="str">
        <f>+IF(ISBLANK(REPORTS!O902),"",REPORTS!O902)</f>
        <v/>
      </c>
      <c r="J1090" s="1324" t="str">
        <f>+IF(ISBLANK(REPORTS!P902),"",REPORTS!P902)</f>
        <v/>
      </c>
      <c r="K1090" s="1324" t="str">
        <f>+IF(ISBLANK(REPORTS!Q902),"",REPORTS!Q902)</f>
        <v/>
      </c>
      <c r="L1090" s="1324"/>
      <c r="M1090" s="1324"/>
    </row>
    <row r="1091" spans="1:13">
      <c r="A1091" s="1393">
        <v>24</v>
      </c>
      <c r="B1091" s="1324" t="s">
        <v>5405</v>
      </c>
      <c r="C1091" s="1324" t="s">
        <v>4071</v>
      </c>
      <c r="D1091" s="1364">
        <f>+IF(ISBLANK(REPORTS!J903),"",REPORTS!J903)</f>
        <v>32074.434089827188</v>
      </c>
      <c r="E1091" s="1364">
        <f>+IF(ISBLANK(REPORTS!K903),"",REPORTS!K903)</f>
        <v>0</v>
      </c>
      <c r="F1091" s="1364">
        <f>+IF(ISBLANK(REPORTS!L903),"",REPORTS!L903)</f>
        <v>0</v>
      </c>
      <c r="G1091" s="1364">
        <f>+IF(ISBLANK(REPORTS!M903),"",REPORTS!M903)</f>
        <v>0</v>
      </c>
      <c r="H1091" s="1364">
        <f>+IF(ISBLANK(REPORTS!N903),"",REPORTS!N903)</f>
        <v>0</v>
      </c>
      <c r="I1091" s="1364">
        <f>+IF(ISBLANK(REPORTS!O903),"",REPORTS!O903)</f>
        <v>0</v>
      </c>
      <c r="J1091" s="1364">
        <f>+IF(ISBLANK(REPORTS!P903),"",REPORTS!P903)</f>
        <v>0</v>
      </c>
      <c r="K1091" s="1364">
        <f>+IF(ISBLANK(REPORTS!Q903),"",REPORTS!Q903)</f>
        <v>32074.434089827188</v>
      </c>
      <c r="L1091" s="1364"/>
      <c r="M1091" s="1364">
        <v>310</v>
      </c>
    </row>
    <row r="1092" spans="1:13">
      <c r="A1092" s="1393">
        <v>25</v>
      </c>
      <c r="B1092" s="1324" t="s">
        <v>5406</v>
      </c>
      <c r="C1092" s="1324" t="s">
        <v>4067</v>
      </c>
      <c r="D1092" s="1364">
        <f>+IF(ISBLANK(REPORTS!J904),"",REPORTS!J904)</f>
        <v>300991.26661087415</v>
      </c>
      <c r="E1092" s="1364">
        <f>+IF(ISBLANK(REPORTS!K904),"",REPORTS!K904)</f>
        <v>187341.78383394025</v>
      </c>
      <c r="F1092" s="1364">
        <f>+IF(ISBLANK(REPORTS!L904),"",REPORTS!L904)</f>
        <v>13324.217530588779</v>
      </c>
      <c r="G1092" s="1364">
        <f>+IF(ISBLANK(REPORTS!M904),"",REPORTS!M904)</f>
        <v>89213.955660958265</v>
      </c>
      <c r="H1092" s="1364">
        <f>+IF(ISBLANK(REPORTS!N904),"",REPORTS!N904)</f>
        <v>9383.5143917121732</v>
      </c>
      <c r="I1092" s="1364">
        <f>+IF(ISBLANK(REPORTS!O904),"",REPORTS!O904)</f>
        <v>6.4068808250433724E-3</v>
      </c>
      <c r="J1092" s="1364">
        <f>+IF(ISBLANK(REPORTS!P904),"",REPORTS!P904)</f>
        <v>1727.7887867939387</v>
      </c>
      <c r="K1092" s="1364">
        <f>+IF(ISBLANK(REPORTS!Q904),"",REPORTS!Q904)</f>
        <v>0</v>
      </c>
      <c r="L1092" s="1364"/>
      <c r="M1092" s="1364">
        <v>105</v>
      </c>
    </row>
    <row r="1093" spans="1:13">
      <c r="A1093" s="1393">
        <v>26</v>
      </c>
      <c r="B1093" s="1324" t="s">
        <v>5407</v>
      </c>
      <c r="C1093" s="1324" t="s">
        <v>4071</v>
      </c>
      <c r="D1093" s="1364">
        <f>+IF(ISBLANK(REPORTS!J905),"",REPORTS!J905)</f>
        <v>0</v>
      </c>
      <c r="E1093" s="1364">
        <f>+IF(ISBLANK(REPORTS!K905),"",REPORTS!K905)</f>
        <v>0</v>
      </c>
      <c r="F1093" s="1364">
        <f>+IF(ISBLANK(REPORTS!L905),"",REPORTS!L905)</f>
        <v>0</v>
      </c>
      <c r="G1093" s="1364">
        <f>+IF(ISBLANK(REPORTS!M905),"",REPORTS!M905)</f>
        <v>0</v>
      </c>
      <c r="H1093" s="1364">
        <f>+IF(ISBLANK(REPORTS!N905),"",REPORTS!N905)</f>
        <v>0</v>
      </c>
      <c r="I1093" s="1364">
        <f>+IF(ISBLANK(REPORTS!O905),"",REPORTS!O905)</f>
        <v>0</v>
      </c>
      <c r="J1093" s="1364">
        <f>+IF(ISBLANK(REPORTS!P905),"",REPORTS!P905)</f>
        <v>0</v>
      </c>
      <c r="K1093" s="1364">
        <f>+IF(ISBLANK(REPORTS!Q905),"",REPORTS!Q905)</f>
        <v>0</v>
      </c>
      <c r="L1093" s="1364"/>
      <c r="M1093" s="1364">
        <v>418</v>
      </c>
    </row>
    <row r="1094" spans="1:13">
      <c r="A1094" s="1393">
        <v>27</v>
      </c>
      <c r="B1094" s="1324" t="s">
        <v>5408</v>
      </c>
      <c r="C1094" s="1324" t="s">
        <v>4067</v>
      </c>
      <c r="D1094" s="1364">
        <f>+IF(ISBLANK(REPORTS!J906),"",REPORTS!J906)</f>
        <v>90395.647783701817</v>
      </c>
      <c r="E1094" s="1364">
        <f>+IF(ISBLANK(REPORTS!K906),"",REPORTS!K906)</f>
        <v>65955.671299133493</v>
      </c>
      <c r="F1094" s="1364">
        <f>+IF(ISBLANK(REPORTS!L906),"",REPORTS!L906)</f>
        <v>5310.7405112665401</v>
      </c>
      <c r="G1094" s="1364">
        <f>+IF(ISBLANK(REPORTS!M906),"",REPORTS!M906)</f>
        <v>18802.236207296883</v>
      </c>
      <c r="H1094" s="1364">
        <f>+IF(ISBLANK(REPORTS!N906),"",REPORTS!N906)</f>
        <v>0</v>
      </c>
      <c r="I1094" s="1364">
        <f>+IF(ISBLANK(REPORTS!O906),"",REPORTS!O906)</f>
        <v>0</v>
      </c>
      <c r="J1094" s="1364">
        <f>+IF(ISBLANK(REPORTS!P906),"",REPORTS!P906)</f>
        <v>326.99976600489356</v>
      </c>
      <c r="K1094" s="1364">
        <f>+IF(ISBLANK(REPORTS!Q906),"",REPORTS!Q906)</f>
        <v>0</v>
      </c>
      <c r="L1094" s="1364"/>
      <c r="M1094" s="1364">
        <v>106</v>
      </c>
    </row>
    <row r="1095" spans="1:13">
      <c r="A1095" s="1393">
        <v>28</v>
      </c>
      <c r="B1095" s="1324" t="s">
        <v>5409</v>
      </c>
      <c r="C1095" s="1324" t="s">
        <v>4071</v>
      </c>
      <c r="D1095" s="1364">
        <f>+IF(ISBLANK(REPORTS!J907),"",REPORTS!J907)</f>
        <v>0</v>
      </c>
      <c r="E1095" s="1364">
        <f>+IF(ISBLANK(REPORTS!K907),"",REPORTS!K907)</f>
        <v>0</v>
      </c>
      <c r="F1095" s="1364">
        <f>+IF(ISBLANK(REPORTS!L907),"",REPORTS!L907)</f>
        <v>0</v>
      </c>
      <c r="G1095" s="1364">
        <f>+IF(ISBLANK(REPORTS!M907),"",REPORTS!M907)</f>
        <v>0</v>
      </c>
      <c r="H1095" s="1364">
        <f>+IF(ISBLANK(REPORTS!N907),"",REPORTS!N907)</f>
        <v>0</v>
      </c>
      <c r="I1095" s="1364">
        <f>+IF(ISBLANK(REPORTS!O907),"",REPORTS!O907)</f>
        <v>0</v>
      </c>
      <c r="J1095" s="1364">
        <f>+IF(ISBLANK(REPORTS!P907),"",REPORTS!P907)</f>
        <v>0</v>
      </c>
      <c r="K1095" s="1364">
        <f>+IF(ISBLANK(REPORTS!Q907),"",REPORTS!Q907)</f>
        <v>0</v>
      </c>
      <c r="L1095" s="1364"/>
      <c r="M1095" s="1364">
        <v>420</v>
      </c>
    </row>
    <row r="1096" spans="1:13">
      <c r="A1096" s="1393">
        <v>29</v>
      </c>
      <c r="B1096" s="1324" t="s">
        <v>5637</v>
      </c>
      <c r="D1096" s="1421">
        <f>+IF(ISBLANK(REPORTS!J908),"",REPORTS!J908)</f>
        <v>423461.34848440316</v>
      </c>
      <c r="E1096" s="1421">
        <f>+IF(ISBLANK(REPORTS!K908),"",REPORTS!K908)</f>
        <v>253297.45513307373</v>
      </c>
      <c r="F1096" s="1421">
        <f>+IF(ISBLANK(REPORTS!L908),"",REPORTS!L908)</f>
        <v>18634.95804185532</v>
      </c>
      <c r="G1096" s="1421">
        <f>+IF(ISBLANK(REPORTS!M908),"",REPORTS!M908)</f>
        <v>108016.19186825515</v>
      </c>
      <c r="H1096" s="1421">
        <f>+IF(ISBLANK(REPORTS!N908),"",REPORTS!N908)</f>
        <v>9383.5143917121732</v>
      </c>
      <c r="I1096" s="1421">
        <f>+IF(ISBLANK(REPORTS!O908),"",REPORTS!O908)</f>
        <v>6.4068808250433724E-3</v>
      </c>
      <c r="J1096" s="1421">
        <f>+IF(ISBLANK(REPORTS!P908),"",REPORTS!P908)</f>
        <v>2054.7885527988324</v>
      </c>
      <c r="K1096" s="1421">
        <f>+IF(ISBLANK(REPORTS!Q908),"",REPORTS!Q908)</f>
        <v>32074.434089827188</v>
      </c>
      <c r="L1096" s="1364"/>
      <c r="M1096" s="1364"/>
    </row>
    <row r="1097" spans="1:13">
      <c r="A1097" s="1393">
        <v>30</v>
      </c>
      <c r="D1097" s="1324" t="str">
        <f>+IF(ISBLANK(REPORTS!J909),"",REPORTS!J909)</f>
        <v/>
      </c>
      <c r="E1097" s="1324" t="str">
        <f>+IF(ISBLANK(REPORTS!K909),"",REPORTS!K909)</f>
        <v/>
      </c>
      <c r="F1097" s="1324" t="str">
        <f>+IF(ISBLANK(REPORTS!L909),"",REPORTS!L909)</f>
        <v/>
      </c>
      <c r="G1097" s="1324" t="str">
        <f>+IF(ISBLANK(REPORTS!M909),"",REPORTS!M909)</f>
        <v/>
      </c>
      <c r="H1097" s="1324" t="str">
        <f>+IF(ISBLANK(REPORTS!N909),"",REPORTS!N909)</f>
        <v/>
      </c>
      <c r="I1097" s="1324" t="str">
        <f>+IF(ISBLANK(REPORTS!O909),"",REPORTS!O909)</f>
        <v/>
      </c>
      <c r="J1097" s="1324" t="str">
        <f>+IF(ISBLANK(REPORTS!P909),"",REPORTS!P909)</f>
        <v/>
      </c>
      <c r="K1097" s="1324" t="str">
        <f>+IF(ISBLANK(REPORTS!Q909),"",REPORTS!Q909)</f>
        <v/>
      </c>
      <c r="L1097" s="1324"/>
      <c r="M1097" s="1326"/>
    </row>
    <row r="1098" spans="1:13">
      <c r="A1098" s="1393">
        <v>31</v>
      </c>
      <c r="B1098" s="1324" t="s">
        <v>5301</v>
      </c>
      <c r="C1098" s="1324" t="s">
        <v>4071</v>
      </c>
      <c r="D1098" s="1364">
        <f>+IF(ISBLANK(REPORTS!J910),"",REPORTS!J910)</f>
        <v>4542.9060069542402</v>
      </c>
      <c r="E1098" s="1364">
        <f>+IF(ISBLANK(REPORTS!K910),"",REPORTS!K910)</f>
        <v>0</v>
      </c>
      <c r="F1098" s="1364">
        <f>+IF(ISBLANK(REPORTS!L910),"",REPORTS!L910)</f>
        <v>0</v>
      </c>
      <c r="G1098" s="1364">
        <f>+IF(ISBLANK(REPORTS!M910),"",REPORTS!M910)</f>
        <v>0</v>
      </c>
      <c r="H1098" s="1364">
        <f>+IF(ISBLANK(REPORTS!N910),"",REPORTS!N910)</f>
        <v>0</v>
      </c>
      <c r="I1098" s="1364">
        <f>+IF(ISBLANK(REPORTS!O910),"",REPORTS!O910)</f>
        <v>0</v>
      </c>
      <c r="J1098" s="1364">
        <f>+IF(ISBLANK(REPORTS!P910),"",REPORTS!P910)</f>
        <v>0</v>
      </c>
      <c r="K1098" s="1364">
        <f>+IF(ISBLANK(REPORTS!Q910),"",REPORTS!Q910)</f>
        <v>4542.9060069542402</v>
      </c>
      <c r="L1098" s="1364"/>
      <c r="M1098" s="1364">
        <v>310</v>
      </c>
    </row>
    <row r="1099" spans="1:13">
      <c r="A1099" s="1393">
        <v>32</v>
      </c>
      <c r="B1099" s="1324" t="s">
        <v>5303</v>
      </c>
      <c r="C1099" s="1324" t="s">
        <v>4067</v>
      </c>
      <c r="D1099" s="1364">
        <f>+IF(ISBLANK(REPORTS!J911),"",REPORTS!J911)</f>
        <v>251746.69790571451</v>
      </c>
      <c r="E1099" s="1364">
        <f>+IF(ISBLANK(REPORTS!K911),"",REPORTS!K911)</f>
        <v>156691.17576402376</v>
      </c>
      <c r="F1099" s="1364">
        <f>+IF(ISBLANK(REPORTS!L911),"",REPORTS!L911)</f>
        <v>11144.269411111127</v>
      </c>
      <c r="G1099" s="1364">
        <f>+IF(ISBLANK(REPORTS!M911),"",REPORTS!M911)</f>
        <v>74617.84189834584</v>
      </c>
      <c r="H1099" s="1364">
        <f>+IF(ISBLANK(REPORTS!N911),"",REPORTS!N911)</f>
        <v>7848.2966946621209</v>
      </c>
      <c r="I1099" s="1364">
        <f>+IF(ISBLANK(REPORTS!O911),"",REPORTS!O911)</f>
        <v>5.358664089298323E-3</v>
      </c>
      <c r="J1099" s="1364">
        <f>+IF(ISBLANK(REPORTS!P911),"",REPORTS!P911)</f>
        <v>1445.108778907608</v>
      </c>
      <c r="K1099" s="1364">
        <f>+IF(ISBLANK(REPORTS!Q911),"",REPORTS!Q911)</f>
        <v>0</v>
      </c>
      <c r="L1099" s="1364"/>
      <c r="M1099" s="1364">
        <v>105</v>
      </c>
    </row>
    <row r="1100" spans="1:13">
      <c r="A1100" s="1393">
        <v>33</v>
      </c>
      <c r="B1100" s="1324" t="s">
        <v>5304</v>
      </c>
      <c r="C1100" s="1324" t="s">
        <v>4071</v>
      </c>
      <c r="D1100" s="1364">
        <f>+IF(ISBLANK(REPORTS!J912),"",REPORTS!J912)</f>
        <v>0</v>
      </c>
      <c r="E1100" s="1364">
        <f>+IF(ISBLANK(REPORTS!K912),"",REPORTS!K912)</f>
        <v>0</v>
      </c>
      <c r="F1100" s="1364">
        <f>+IF(ISBLANK(REPORTS!L912),"",REPORTS!L912)</f>
        <v>0</v>
      </c>
      <c r="G1100" s="1364">
        <f>+IF(ISBLANK(REPORTS!M912),"",REPORTS!M912)</f>
        <v>0</v>
      </c>
      <c r="H1100" s="1364">
        <f>+IF(ISBLANK(REPORTS!N912),"",REPORTS!N912)</f>
        <v>0</v>
      </c>
      <c r="I1100" s="1364">
        <f>+IF(ISBLANK(REPORTS!O912),"",REPORTS!O912)</f>
        <v>0</v>
      </c>
      <c r="J1100" s="1364">
        <f>+IF(ISBLANK(REPORTS!P912),"",REPORTS!P912)</f>
        <v>0</v>
      </c>
      <c r="K1100" s="1364">
        <f>+IF(ISBLANK(REPORTS!Q912),"",REPORTS!Q912)</f>
        <v>0</v>
      </c>
      <c r="L1100" s="1364"/>
      <c r="M1100" s="1364">
        <v>418</v>
      </c>
    </row>
    <row r="1101" spans="1:13">
      <c r="A1101" s="1393">
        <v>34</v>
      </c>
      <c r="B1101" s="1324" t="s">
        <v>5306</v>
      </c>
      <c r="C1101" s="1324" t="s">
        <v>4067</v>
      </c>
      <c r="D1101" s="1364">
        <f>+IF(ISBLANK(REPORTS!J913),"",REPORTS!J913)</f>
        <v>38297.820125838523</v>
      </c>
      <c r="E1101" s="1364">
        <f>+IF(ISBLANK(REPORTS!K913),"",REPORTS!K913)</f>
        <v>27943.363398835791</v>
      </c>
      <c r="F1101" s="1364">
        <f>+IF(ISBLANK(REPORTS!L913),"",REPORTS!L913)</f>
        <v>2249.9953241350686</v>
      </c>
      <c r="G1101" s="1364">
        <f>+IF(ISBLANK(REPORTS!M913),"",REPORTS!M913)</f>
        <v>7965.921788110847</v>
      </c>
      <c r="H1101" s="1364">
        <f>+IF(ISBLANK(REPORTS!N913),"",REPORTS!N913)</f>
        <v>0</v>
      </c>
      <c r="I1101" s="1364">
        <f>+IF(ISBLANK(REPORTS!O913),"",REPORTS!O913)</f>
        <v>0</v>
      </c>
      <c r="J1101" s="1364">
        <f>+IF(ISBLANK(REPORTS!P913),"",REPORTS!P913)</f>
        <v>138.53961475681405</v>
      </c>
      <c r="K1101" s="1364">
        <f>+IF(ISBLANK(REPORTS!Q913),"",REPORTS!Q913)</f>
        <v>0</v>
      </c>
      <c r="L1101" s="1364"/>
      <c r="M1101" s="1364">
        <v>106</v>
      </c>
    </row>
    <row r="1102" spans="1:13">
      <c r="A1102" s="1393">
        <v>35</v>
      </c>
      <c r="B1102" s="1324" t="s">
        <v>5307</v>
      </c>
      <c r="C1102" s="1324" t="s">
        <v>4071</v>
      </c>
      <c r="D1102" s="1364">
        <f>+IF(ISBLANK(REPORTS!J914),"",REPORTS!J914)</f>
        <v>0</v>
      </c>
      <c r="E1102" s="1364">
        <f>+IF(ISBLANK(REPORTS!K914),"",REPORTS!K914)</f>
        <v>0</v>
      </c>
      <c r="F1102" s="1364">
        <f>+IF(ISBLANK(REPORTS!L914),"",REPORTS!L914)</f>
        <v>0</v>
      </c>
      <c r="G1102" s="1364">
        <f>+IF(ISBLANK(REPORTS!M914),"",REPORTS!M914)</f>
        <v>0</v>
      </c>
      <c r="H1102" s="1364">
        <f>+IF(ISBLANK(REPORTS!N914),"",REPORTS!N914)</f>
        <v>0</v>
      </c>
      <c r="I1102" s="1364">
        <f>+IF(ISBLANK(REPORTS!O914),"",REPORTS!O914)</f>
        <v>0</v>
      </c>
      <c r="J1102" s="1364">
        <f>+IF(ISBLANK(REPORTS!P914),"",REPORTS!P914)</f>
        <v>0</v>
      </c>
      <c r="K1102" s="1364">
        <f>+IF(ISBLANK(REPORTS!Q914),"",REPORTS!Q914)</f>
        <v>0</v>
      </c>
      <c r="L1102" s="1364"/>
      <c r="M1102" s="1364">
        <v>420</v>
      </c>
    </row>
    <row r="1103" spans="1:13">
      <c r="A1103" s="1393">
        <v>36</v>
      </c>
      <c r="B1103" s="1324" t="s">
        <v>5308</v>
      </c>
      <c r="D1103" s="1421">
        <f>+IF(ISBLANK(REPORTS!J915),"",REPORTS!J915)</f>
        <v>294587.42403850728</v>
      </c>
      <c r="E1103" s="1421">
        <f>+IF(ISBLANK(REPORTS!K915),"",REPORTS!K915)</f>
        <v>184634.53916285955</v>
      </c>
      <c r="F1103" s="1421">
        <f>+IF(ISBLANK(REPORTS!L915),"",REPORTS!L915)</f>
        <v>13394.264735246195</v>
      </c>
      <c r="G1103" s="1421">
        <f>+IF(ISBLANK(REPORTS!M915),"",REPORTS!M915)</f>
        <v>82583.763686456688</v>
      </c>
      <c r="H1103" s="1421">
        <f>+IF(ISBLANK(REPORTS!N915),"",REPORTS!N915)</f>
        <v>7848.2966946621209</v>
      </c>
      <c r="I1103" s="1421">
        <f>+IF(ISBLANK(REPORTS!O915),"",REPORTS!O915)</f>
        <v>5.358664089298323E-3</v>
      </c>
      <c r="J1103" s="1421">
        <f>+IF(ISBLANK(REPORTS!P915),"",REPORTS!P915)</f>
        <v>1583.648393664422</v>
      </c>
      <c r="K1103" s="1421">
        <f>+IF(ISBLANK(REPORTS!Q915),"",REPORTS!Q915)</f>
        <v>4542.9060069542402</v>
      </c>
      <c r="L1103" s="1364"/>
      <c r="M1103" s="1364"/>
    </row>
    <row r="1104" spans="1:13">
      <c r="A1104" s="1393">
        <v>37</v>
      </c>
      <c r="D1104" s="1324" t="str">
        <f>+IF(ISBLANK(REPORTS!J916),"",REPORTS!J916)</f>
        <v/>
      </c>
      <c r="E1104" s="1324" t="str">
        <f>+IF(ISBLANK(REPORTS!K916),"",REPORTS!K916)</f>
        <v/>
      </c>
      <c r="F1104" s="1324" t="str">
        <f>+IF(ISBLANK(REPORTS!L916),"",REPORTS!L916)</f>
        <v/>
      </c>
      <c r="G1104" s="1324" t="str">
        <f>+IF(ISBLANK(REPORTS!M916),"",REPORTS!M916)</f>
        <v/>
      </c>
      <c r="H1104" s="1324" t="str">
        <f>+IF(ISBLANK(REPORTS!N916),"",REPORTS!N916)</f>
        <v/>
      </c>
      <c r="I1104" s="1324" t="str">
        <f>+IF(ISBLANK(REPORTS!O916),"",REPORTS!O916)</f>
        <v/>
      </c>
      <c r="J1104" s="1324" t="str">
        <f>+IF(ISBLANK(REPORTS!P916),"",REPORTS!P916)</f>
        <v/>
      </c>
      <c r="K1104" s="1324" t="str">
        <f>+IF(ISBLANK(REPORTS!Q916),"",REPORTS!Q916)</f>
        <v/>
      </c>
      <c r="L1104" s="1324"/>
      <c r="M1104" s="1326"/>
    </row>
    <row r="1105" spans="1:13" ht="30" customHeight="1">
      <c r="A1105" s="1393">
        <v>38</v>
      </c>
      <c r="B1105" s="1324" t="s">
        <v>5310</v>
      </c>
      <c r="C1105" s="1324" t="s">
        <v>4071</v>
      </c>
      <c r="D1105" s="1364">
        <f>+IF(ISBLANK(REPORTS!J917),"",REPORTS!J917)</f>
        <v>385.73180000000002</v>
      </c>
      <c r="E1105" s="1364">
        <f>+IF(ISBLANK(REPORTS!K917),"",REPORTS!K917)</f>
        <v>0</v>
      </c>
      <c r="F1105" s="1364">
        <f>+IF(ISBLANK(REPORTS!L917),"",REPORTS!L917)</f>
        <v>0</v>
      </c>
      <c r="G1105" s="1364">
        <f>+IF(ISBLANK(REPORTS!M917),"",REPORTS!M917)</f>
        <v>0</v>
      </c>
      <c r="H1105" s="1364">
        <f>+IF(ISBLANK(REPORTS!N917),"",REPORTS!N917)</f>
        <v>0</v>
      </c>
      <c r="I1105" s="1364">
        <f>+IF(ISBLANK(REPORTS!O917),"",REPORTS!O917)</f>
        <v>0</v>
      </c>
      <c r="J1105" s="1364">
        <f>+IF(ISBLANK(REPORTS!P917),"",REPORTS!P917)</f>
        <v>0</v>
      </c>
      <c r="K1105" s="1364">
        <f>+IF(ISBLANK(REPORTS!Q917),"",REPORTS!Q917)</f>
        <v>385.73180000000002</v>
      </c>
      <c r="L1105" s="1364"/>
      <c r="M1105" s="1364">
        <v>310</v>
      </c>
    </row>
    <row r="1106" spans="1:13">
      <c r="A1106" s="1393">
        <v>39</v>
      </c>
      <c r="B1106" s="1324" t="s">
        <v>5311</v>
      </c>
      <c r="C1106" s="1324" t="s">
        <v>4067</v>
      </c>
      <c r="D1106" s="1364">
        <f>+IF(ISBLANK(REPORTS!J918),"",REPORTS!J918)</f>
        <v>753246.56163162598</v>
      </c>
      <c r="E1106" s="1364">
        <f>+IF(ISBLANK(REPORTS!K918),"",REPORTS!K918)</f>
        <v>468832.72100145597</v>
      </c>
      <c r="F1106" s="1364">
        <f>+IF(ISBLANK(REPORTS!L918),"",REPORTS!L918)</f>
        <v>33344.558977928958</v>
      </c>
      <c r="G1106" s="1364">
        <f>+IF(ISBLANK(REPORTS!M918),"",REPORTS!M918)</f>
        <v>223262.64182957314</v>
      </c>
      <c r="H1106" s="1364">
        <f>+IF(ISBLANK(REPORTS!N918),"",REPORTS!N918)</f>
        <v>23482.740981703679</v>
      </c>
      <c r="I1106" s="1364">
        <f>+IF(ISBLANK(REPORTS!O918),"",REPORTS!O918)</f>
        <v>1.6033558071592114E-2</v>
      </c>
      <c r="J1106" s="1364">
        <f>+IF(ISBLANK(REPORTS!P918),"",REPORTS!P918)</f>
        <v>4323.8828074063267</v>
      </c>
      <c r="K1106" s="1364">
        <f>+IF(ISBLANK(REPORTS!Q918),"",REPORTS!Q918)</f>
        <v>0</v>
      </c>
      <c r="L1106" s="1364"/>
      <c r="M1106" s="1364">
        <v>105</v>
      </c>
    </row>
    <row r="1107" spans="1:13">
      <c r="A1107" s="1393">
        <v>40</v>
      </c>
      <c r="B1107" s="1324" t="s">
        <v>5312</v>
      </c>
      <c r="C1107" s="1324" t="s">
        <v>4071</v>
      </c>
      <c r="D1107" s="1364">
        <f>+IF(ISBLANK(REPORTS!J919),"",REPORTS!J919)</f>
        <v>0</v>
      </c>
      <c r="E1107" s="1364">
        <f>+IF(ISBLANK(REPORTS!K919),"",REPORTS!K919)</f>
        <v>0</v>
      </c>
      <c r="F1107" s="1364">
        <f>+IF(ISBLANK(REPORTS!L919),"",REPORTS!L919)</f>
        <v>0</v>
      </c>
      <c r="G1107" s="1364">
        <f>+IF(ISBLANK(REPORTS!M919),"",REPORTS!M919)</f>
        <v>0</v>
      </c>
      <c r="H1107" s="1364">
        <f>+IF(ISBLANK(REPORTS!N919),"",REPORTS!N919)</f>
        <v>0</v>
      </c>
      <c r="I1107" s="1364">
        <f>+IF(ISBLANK(REPORTS!O919),"",REPORTS!O919)</f>
        <v>0</v>
      </c>
      <c r="J1107" s="1364">
        <f>+IF(ISBLANK(REPORTS!P919),"",REPORTS!P919)</f>
        <v>0</v>
      </c>
      <c r="K1107" s="1364">
        <f>+IF(ISBLANK(REPORTS!Q919),"",REPORTS!Q919)</f>
        <v>0</v>
      </c>
      <c r="L1107" s="1364"/>
      <c r="M1107" s="1364">
        <v>418</v>
      </c>
    </row>
    <row r="1108" spans="1:13">
      <c r="A1108" s="1393">
        <v>41</v>
      </c>
      <c r="B1108" s="1324" t="s">
        <v>5313</v>
      </c>
      <c r="C1108" s="1324" t="s">
        <v>4067</v>
      </c>
      <c r="D1108" s="1364">
        <f>+IF(ISBLANK(REPORTS!J920),"",REPORTS!J920)</f>
        <v>57432.267938374134</v>
      </c>
      <c r="E1108" s="1364">
        <f>+IF(ISBLANK(REPORTS!K920),"",REPORTS!K920)</f>
        <v>41904.492959340627</v>
      </c>
      <c r="F1108" s="1364">
        <f>+IF(ISBLANK(REPORTS!L920),"",REPORTS!L920)</f>
        <v>3374.1433295998836</v>
      </c>
      <c r="G1108" s="1364">
        <f>+IF(ISBLANK(REPORTS!M920),"",REPORTS!M920)</f>
        <v>11945.874543450864</v>
      </c>
      <c r="H1108" s="1364">
        <f>+IF(ISBLANK(REPORTS!N920),"",REPORTS!N920)</f>
        <v>0</v>
      </c>
      <c r="I1108" s="1364">
        <f>+IF(ISBLANK(REPORTS!O920),"",REPORTS!O920)</f>
        <v>0</v>
      </c>
      <c r="J1108" s="1364">
        <f>+IF(ISBLANK(REPORTS!P920),"",REPORTS!P920)</f>
        <v>207.75710598275901</v>
      </c>
      <c r="K1108" s="1364">
        <f>+IF(ISBLANK(REPORTS!Q920),"",REPORTS!Q920)</f>
        <v>0</v>
      </c>
      <c r="L1108" s="1364"/>
      <c r="M1108" s="1364">
        <v>106</v>
      </c>
    </row>
    <row r="1109" spans="1:13">
      <c r="A1109" s="1393">
        <v>42</v>
      </c>
      <c r="B1109" s="1324" t="s">
        <v>5314</v>
      </c>
      <c r="C1109" s="1324" t="s">
        <v>4071</v>
      </c>
      <c r="D1109" s="1364">
        <f>+IF(ISBLANK(REPORTS!J921),"",REPORTS!J921)</f>
        <v>0</v>
      </c>
      <c r="E1109" s="1364">
        <f>+IF(ISBLANK(REPORTS!K921),"",REPORTS!K921)</f>
        <v>0</v>
      </c>
      <c r="F1109" s="1364">
        <f>+IF(ISBLANK(REPORTS!L921),"",REPORTS!L921)</f>
        <v>0</v>
      </c>
      <c r="G1109" s="1364">
        <f>+IF(ISBLANK(REPORTS!M921),"",REPORTS!M921)</f>
        <v>0</v>
      </c>
      <c r="H1109" s="1364">
        <f>+IF(ISBLANK(REPORTS!N921),"",REPORTS!N921)</f>
        <v>0</v>
      </c>
      <c r="I1109" s="1364">
        <f>+IF(ISBLANK(REPORTS!O921),"",REPORTS!O921)</f>
        <v>0</v>
      </c>
      <c r="J1109" s="1364">
        <f>+IF(ISBLANK(REPORTS!P921),"",REPORTS!P921)</f>
        <v>0</v>
      </c>
      <c r="K1109" s="1364">
        <f>+IF(ISBLANK(REPORTS!Q921),"",REPORTS!Q921)</f>
        <v>0</v>
      </c>
      <c r="L1109" s="1364"/>
      <c r="M1109" s="1364">
        <v>420</v>
      </c>
    </row>
    <row r="1110" spans="1:13">
      <c r="A1110" s="1393">
        <v>43</v>
      </c>
      <c r="B1110" s="1324" t="s">
        <v>5638</v>
      </c>
      <c r="D1110" s="1421">
        <f>+IF(ISBLANK(REPORTS!J922),"",REPORTS!J922)</f>
        <v>811064.56137000001</v>
      </c>
      <c r="E1110" s="1421">
        <f>+IF(ISBLANK(REPORTS!K922),"",REPORTS!K922)</f>
        <v>510737.21396079659</v>
      </c>
      <c r="F1110" s="1421">
        <f>+IF(ISBLANK(REPORTS!L922),"",REPORTS!L922)</f>
        <v>36718.702307528845</v>
      </c>
      <c r="G1110" s="1421">
        <f>+IF(ISBLANK(REPORTS!M922),"",REPORTS!M922)</f>
        <v>235208.516373024</v>
      </c>
      <c r="H1110" s="1421">
        <f>+IF(ISBLANK(REPORTS!N922),"",REPORTS!N922)</f>
        <v>23482.740981703679</v>
      </c>
      <c r="I1110" s="1421">
        <f>+IF(ISBLANK(REPORTS!O922),"",REPORTS!O922)</f>
        <v>1.6033558071592114E-2</v>
      </c>
      <c r="J1110" s="1421">
        <f>+IF(ISBLANK(REPORTS!P922),"",REPORTS!P922)</f>
        <v>4531.6399133890855</v>
      </c>
      <c r="K1110" s="1421">
        <f>+IF(ISBLANK(REPORTS!Q922),"",REPORTS!Q922)</f>
        <v>385.73180000000002</v>
      </c>
      <c r="L1110" s="1364"/>
      <c r="M1110" s="1364"/>
    </row>
    <row r="1111" spans="1:13">
      <c r="A1111" s="1393">
        <v>44</v>
      </c>
      <c r="D1111" s="1324" t="str">
        <f>+IF(ISBLANK(REPORTS!J923),"",REPORTS!J923)</f>
        <v/>
      </c>
      <c r="E1111" s="1324" t="str">
        <f>+IF(ISBLANK(REPORTS!K923),"",REPORTS!K923)</f>
        <v/>
      </c>
      <c r="F1111" s="1324" t="str">
        <f>+IF(ISBLANK(REPORTS!L923),"",REPORTS!L923)</f>
        <v/>
      </c>
      <c r="G1111" s="1324" t="str">
        <f>+IF(ISBLANK(REPORTS!M923),"",REPORTS!M923)</f>
        <v/>
      </c>
      <c r="H1111" s="1324" t="str">
        <f>+IF(ISBLANK(REPORTS!N923),"",REPORTS!N923)</f>
        <v/>
      </c>
      <c r="I1111" s="1324" t="str">
        <f>+IF(ISBLANK(REPORTS!O923),"",REPORTS!O923)</f>
        <v/>
      </c>
      <c r="J1111" s="1324" t="str">
        <f>+IF(ISBLANK(REPORTS!P923),"",REPORTS!P923)</f>
        <v/>
      </c>
      <c r="K1111" s="1324" t="str">
        <f>+IF(ISBLANK(REPORTS!Q923),"",REPORTS!Q923)</f>
        <v/>
      </c>
      <c r="L1111" s="1324"/>
      <c r="M1111" s="1326"/>
    </row>
    <row r="1112" spans="1:13">
      <c r="A1112" s="1393">
        <v>45</v>
      </c>
      <c r="B1112" s="1324" t="s">
        <v>5317</v>
      </c>
      <c r="C1112" s="1324" t="s">
        <v>4071</v>
      </c>
      <c r="D1112" s="1364">
        <f>+IF(ISBLANK(REPORTS!J924),"",REPORTS!J924)</f>
        <v>0</v>
      </c>
      <c r="E1112" s="1364">
        <f>+IF(ISBLANK(REPORTS!K924),"",REPORTS!K924)</f>
        <v>0</v>
      </c>
      <c r="F1112" s="1364">
        <f>+IF(ISBLANK(REPORTS!L924),"",REPORTS!L924)</f>
        <v>0</v>
      </c>
      <c r="G1112" s="1364">
        <f>+IF(ISBLANK(REPORTS!M924),"",REPORTS!M924)</f>
        <v>0</v>
      </c>
      <c r="H1112" s="1364">
        <f>+IF(ISBLANK(REPORTS!N924),"",REPORTS!N924)</f>
        <v>0</v>
      </c>
      <c r="I1112" s="1364">
        <f>+IF(ISBLANK(REPORTS!O924),"",REPORTS!O924)</f>
        <v>0</v>
      </c>
      <c r="J1112" s="1364">
        <f>+IF(ISBLANK(REPORTS!P924),"",REPORTS!P924)</f>
        <v>0</v>
      </c>
      <c r="K1112" s="1364">
        <f>+IF(ISBLANK(REPORTS!Q924),"",REPORTS!Q924)</f>
        <v>0</v>
      </c>
      <c r="L1112" s="1364"/>
      <c r="M1112" s="1364">
        <v>310</v>
      </c>
    </row>
    <row r="1113" spans="1:13">
      <c r="A1113" s="1393">
        <v>46</v>
      </c>
      <c r="B1113" s="1324" t="s">
        <v>5318</v>
      </c>
      <c r="C1113" s="1324" t="s">
        <v>4067</v>
      </c>
      <c r="D1113" s="1364">
        <f>+IF(ISBLANK(REPORTS!J925),"",REPORTS!J925)</f>
        <v>164150.18467445605</v>
      </c>
      <c r="E1113" s="1364">
        <f>+IF(ISBLANK(REPORTS!K925),"",REPORTS!K925)</f>
        <v>102169.70332677521</v>
      </c>
      <c r="F1113" s="1364">
        <f>+IF(ISBLANK(REPORTS!L925),"",REPORTS!L925)</f>
        <v>7266.5655482834372</v>
      </c>
      <c r="G1113" s="1364">
        <f>+IF(ISBLANK(REPORTS!M925),"",REPORTS!M925)</f>
        <v>48654.19339962989</v>
      </c>
      <c r="H1113" s="1364">
        <f>+IF(ISBLANK(REPORTS!N925),"",REPORTS!N925)</f>
        <v>5117.4429000503142</v>
      </c>
      <c r="I1113" s="1364">
        <f>+IF(ISBLANK(REPORTS!O925),"",REPORTS!O925)</f>
        <v>3.4940903184999773E-3</v>
      </c>
      <c r="J1113" s="1364">
        <f>+IF(ISBLANK(REPORTS!P925),"",REPORTS!P925)</f>
        <v>942.27600562691191</v>
      </c>
      <c r="K1113" s="1364">
        <f>+IF(ISBLANK(REPORTS!Q925),"",REPORTS!Q925)</f>
        <v>0</v>
      </c>
      <c r="L1113" s="1364"/>
      <c r="M1113" s="1364">
        <v>105</v>
      </c>
    </row>
    <row r="1114" spans="1:13">
      <c r="A1114" s="1393">
        <v>47</v>
      </c>
      <c r="B1114" s="1324" t="s">
        <v>5319</v>
      </c>
      <c r="C1114" s="1324" t="s">
        <v>4071</v>
      </c>
      <c r="D1114" s="1364">
        <f>+IF(ISBLANK(REPORTS!J926),"",REPORTS!J926)</f>
        <v>0</v>
      </c>
      <c r="E1114" s="1364">
        <f>+IF(ISBLANK(REPORTS!K926),"",REPORTS!K926)</f>
        <v>0</v>
      </c>
      <c r="F1114" s="1364">
        <f>+IF(ISBLANK(REPORTS!L926),"",REPORTS!L926)</f>
        <v>0</v>
      </c>
      <c r="G1114" s="1364">
        <f>+IF(ISBLANK(REPORTS!M926),"",REPORTS!M926)</f>
        <v>0</v>
      </c>
      <c r="H1114" s="1364">
        <f>+IF(ISBLANK(REPORTS!N926),"",REPORTS!N926)</f>
        <v>0</v>
      </c>
      <c r="I1114" s="1364">
        <f>+IF(ISBLANK(REPORTS!O926),"",REPORTS!O926)</f>
        <v>0</v>
      </c>
      <c r="J1114" s="1364">
        <f>+IF(ISBLANK(REPORTS!P926),"",REPORTS!P926)</f>
        <v>0</v>
      </c>
      <c r="K1114" s="1364">
        <f>+IF(ISBLANK(REPORTS!Q926),"",REPORTS!Q926)</f>
        <v>0</v>
      </c>
      <c r="L1114" s="1364"/>
      <c r="M1114" s="1364">
        <v>418</v>
      </c>
    </row>
    <row r="1115" spans="1:13">
      <c r="A1115" s="1393">
        <v>48</v>
      </c>
      <c r="B1115" s="1324" t="s">
        <v>5320</v>
      </c>
      <c r="C1115" s="1324" t="s">
        <v>4067</v>
      </c>
      <c r="D1115" s="1364">
        <f>+IF(ISBLANK(REPORTS!J927),"",REPORTS!J927)</f>
        <v>833929.36636874522</v>
      </c>
      <c r="E1115" s="1364">
        <f>+IF(ISBLANK(REPORTS!K927),"",REPORTS!K927)</f>
        <v>608462.60327179672</v>
      </c>
      <c r="F1115" s="1364">
        <f>+IF(ISBLANK(REPORTS!L927),"",REPORTS!L927)</f>
        <v>48993.31525458501</v>
      </c>
      <c r="G1115" s="1364">
        <f>+IF(ISBLANK(REPORTS!M927),"",REPORTS!M927)</f>
        <v>173456.76823053419</v>
      </c>
      <c r="H1115" s="1364">
        <f>+IF(ISBLANK(REPORTS!N927),"",REPORTS!N927)</f>
        <v>0</v>
      </c>
      <c r="I1115" s="1364">
        <f>+IF(ISBLANK(REPORTS!O927),"",REPORTS!O927)</f>
        <v>0</v>
      </c>
      <c r="J1115" s="1364">
        <f>+IF(ISBLANK(REPORTS!P927),"",REPORTS!P927)</f>
        <v>3016.6796118292241</v>
      </c>
      <c r="K1115" s="1364">
        <f>+IF(ISBLANK(REPORTS!Q927),"",REPORTS!Q927)</f>
        <v>0</v>
      </c>
      <c r="L1115" s="1364"/>
      <c r="M1115" s="1364">
        <v>106</v>
      </c>
    </row>
    <row r="1116" spans="1:13">
      <c r="A1116" s="1393">
        <v>49</v>
      </c>
      <c r="B1116" s="1324" t="s">
        <v>5321</v>
      </c>
      <c r="C1116" s="1324" t="s">
        <v>4071</v>
      </c>
      <c r="D1116" s="1364">
        <f>+IF(ISBLANK(REPORTS!J928),"",REPORTS!J928)</f>
        <v>0</v>
      </c>
      <c r="E1116" s="1364">
        <f>+IF(ISBLANK(REPORTS!K928),"",REPORTS!K928)</f>
        <v>0</v>
      </c>
      <c r="F1116" s="1364">
        <f>+IF(ISBLANK(REPORTS!L928),"",REPORTS!L928)</f>
        <v>0</v>
      </c>
      <c r="G1116" s="1364">
        <f>+IF(ISBLANK(REPORTS!M928),"",REPORTS!M928)</f>
        <v>0</v>
      </c>
      <c r="H1116" s="1364">
        <f>+IF(ISBLANK(REPORTS!N928),"",REPORTS!N928)</f>
        <v>0</v>
      </c>
      <c r="I1116" s="1364">
        <f>+IF(ISBLANK(REPORTS!O928),"",REPORTS!O928)</f>
        <v>0</v>
      </c>
      <c r="J1116" s="1364">
        <f>+IF(ISBLANK(REPORTS!P928),"",REPORTS!P928)</f>
        <v>0</v>
      </c>
      <c r="K1116" s="1364">
        <f>+IF(ISBLANK(REPORTS!Q928),"",REPORTS!Q928)</f>
        <v>0</v>
      </c>
      <c r="L1116" s="1364"/>
      <c r="M1116" s="1364">
        <v>420</v>
      </c>
    </row>
    <row r="1117" spans="1:13">
      <c r="A1117" s="1393">
        <v>50</v>
      </c>
      <c r="B1117" s="1324" t="s">
        <v>5322</v>
      </c>
      <c r="D1117" s="1421">
        <f>+IF(ISBLANK(REPORTS!J929),"",REPORTS!J929)</f>
        <v>998079.55104320124</v>
      </c>
      <c r="E1117" s="1421">
        <f>+IF(ISBLANK(REPORTS!K929),"",REPORTS!K929)</f>
        <v>710632.30659857194</v>
      </c>
      <c r="F1117" s="1421">
        <f>+IF(ISBLANK(REPORTS!L929),"",REPORTS!L929)</f>
        <v>56259.880802868443</v>
      </c>
      <c r="G1117" s="1421">
        <f>+IF(ISBLANK(REPORTS!M929),"",REPORTS!M929)</f>
        <v>222110.96163016406</v>
      </c>
      <c r="H1117" s="1421">
        <f>+IF(ISBLANK(REPORTS!N929),"",REPORTS!N929)</f>
        <v>5117.4429000503142</v>
      </c>
      <c r="I1117" s="1421">
        <f>+IF(ISBLANK(REPORTS!O929),"",REPORTS!O929)</f>
        <v>3.4940903184999773E-3</v>
      </c>
      <c r="J1117" s="1421">
        <f>+IF(ISBLANK(REPORTS!P929),"",REPORTS!P929)</f>
        <v>3958.9556174561358</v>
      </c>
      <c r="K1117" s="1421">
        <f>+IF(ISBLANK(REPORTS!Q929),"",REPORTS!Q929)</f>
        <v>0</v>
      </c>
      <c r="L1117" s="1364"/>
      <c r="M1117" s="1364"/>
    </row>
    <row r="1118" spans="1:13">
      <c r="A1118" s="1393">
        <v>51</v>
      </c>
      <c r="D1118" s="1324" t="str">
        <f>+IF(ISBLANK(REPORTS!J930),"",REPORTS!J930)</f>
        <v/>
      </c>
      <c r="E1118" s="1324" t="str">
        <f>+IF(ISBLANK(REPORTS!K930),"",REPORTS!K930)</f>
        <v/>
      </c>
      <c r="F1118" s="1324" t="str">
        <f>+IF(ISBLANK(REPORTS!L930),"",REPORTS!L930)</f>
        <v/>
      </c>
      <c r="G1118" s="1324" t="str">
        <f>+IF(ISBLANK(REPORTS!M930),"",REPORTS!M930)</f>
        <v/>
      </c>
      <c r="H1118" s="1324" t="str">
        <f>+IF(ISBLANK(REPORTS!N930),"",REPORTS!N930)</f>
        <v/>
      </c>
      <c r="I1118" s="1324" t="str">
        <f>+IF(ISBLANK(REPORTS!O930),"",REPORTS!O930)</f>
        <v/>
      </c>
      <c r="J1118" s="1324" t="str">
        <f>+IF(ISBLANK(REPORTS!P930),"",REPORTS!P930)</f>
        <v/>
      </c>
      <c r="K1118" s="1324" t="str">
        <f>+IF(ISBLANK(REPORTS!Q930),"",REPORTS!Q930)</f>
        <v/>
      </c>
      <c r="L1118" s="1324"/>
      <c r="M1118" s="1326"/>
    </row>
    <row r="1119" spans="1:13">
      <c r="A1119" s="1393">
        <v>52</v>
      </c>
      <c r="B1119" s="1324" t="s">
        <v>5324</v>
      </c>
      <c r="C1119" s="1324" t="s">
        <v>4071</v>
      </c>
      <c r="D1119" s="1364">
        <f>+IF(ISBLANK(REPORTS!J931),"",REPORTS!J931)</f>
        <v>228413.06716999999</v>
      </c>
      <c r="E1119" s="1364">
        <f>+IF(ISBLANK(REPORTS!K931),"",REPORTS!K931)</f>
        <v>203776.26178604533</v>
      </c>
      <c r="F1119" s="1364">
        <f>+IF(ISBLANK(REPORTS!L931),"",REPORTS!L931)</f>
        <v>19749.240063177211</v>
      </c>
      <c r="G1119" s="1364">
        <f>+IF(ISBLANK(REPORTS!M931),"",REPORTS!M931)</f>
        <v>4829.805834685968</v>
      </c>
      <c r="H1119" s="1364">
        <f>+IF(ISBLANK(REPORTS!N931),"",REPORTS!N931)</f>
        <v>0</v>
      </c>
      <c r="I1119" s="1364">
        <f>+IF(ISBLANK(REPORTS!O931),"",REPORTS!O931)</f>
        <v>0</v>
      </c>
      <c r="J1119" s="1364">
        <f>+IF(ISBLANK(REPORTS!P931),"",REPORTS!P931)</f>
        <v>57.75948609147737</v>
      </c>
      <c r="K1119" s="1364">
        <f>+IF(ISBLANK(REPORTS!Q931),"",REPORTS!Q931)</f>
        <v>0</v>
      </c>
      <c r="L1119" s="1364"/>
      <c r="M1119" s="1364">
        <v>420</v>
      </c>
    </row>
    <row r="1120" spans="1:13">
      <c r="A1120" s="1393">
        <v>53</v>
      </c>
      <c r="B1120" s="1324" t="s">
        <v>5325</v>
      </c>
      <c r="C1120" s="1324" t="s">
        <v>4071</v>
      </c>
      <c r="D1120" s="1364">
        <f>+IF(ISBLANK(REPORTS!J932),"",REPORTS!J932)</f>
        <v>149851.91621000002</v>
      </c>
      <c r="E1120" s="1364">
        <f>+IF(ISBLANK(REPORTS!K932),"",REPORTS!K932)</f>
        <v>102299.75597307271</v>
      </c>
      <c r="F1120" s="1364">
        <f>+IF(ISBLANK(REPORTS!L932),"",REPORTS!L932)</f>
        <v>26678.46736703737</v>
      </c>
      <c r="G1120" s="1364">
        <f>+IF(ISBLANK(REPORTS!M932),"",REPORTS!M932)</f>
        <v>17552.956774673046</v>
      </c>
      <c r="H1120" s="1364">
        <f>+IF(ISBLANK(REPORTS!N932),"",REPORTS!N932)</f>
        <v>1442.907956013079</v>
      </c>
      <c r="I1120" s="1364">
        <f>+IF(ISBLANK(REPORTS!O932),"",REPORTS!O932)</f>
        <v>1574.273150579053</v>
      </c>
      <c r="J1120" s="1364">
        <f>+IF(ISBLANK(REPORTS!P932),"",REPORTS!P932)</f>
        <v>303.55498862477577</v>
      </c>
      <c r="K1120" s="1364">
        <f>+IF(ISBLANK(REPORTS!Q932),"",REPORTS!Q932)</f>
        <v>0</v>
      </c>
      <c r="L1120" s="1364"/>
      <c r="M1120" s="1364">
        <v>308</v>
      </c>
    </row>
    <row r="1121" spans="1:13">
      <c r="A1121" s="1393">
        <v>54</v>
      </c>
      <c r="B1121" s="1364" t="s">
        <v>5416</v>
      </c>
      <c r="C1121" s="1324" t="s">
        <v>4071</v>
      </c>
      <c r="D1121" s="1364">
        <f>+IF(ISBLANK(REPORTS!J933),"",REPORTS!J933)</f>
        <v>0</v>
      </c>
      <c r="E1121" s="1445">
        <f>+IF(ISBLANK(REPORTS!K933),"",REPORTS!K933)</f>
        <v>0</v>
      </c>
      <c r="F1121" s="1364">
        <f>+IF(ISBLANK(REPORTS!L933),"",REPORTS!L933)</f>
        <v>0</v>
      </c>
      <c r="G1121" s="1364">
        <f>+IF(ISBLANK(REPORTS!M933),"",REPORTS!M933)</f>
        <v>0</v>
      </c>
      <c r="H1121" s="1364">
        <f>+IF(ISBLANK(REPORTS!N933),"",REPORTS!N933)</f>
        <v>0</v>
      </c>
      <c r="I1121" s="1364">
        <f>+IF(ISBLANK(REPORTS!O933),"",REPORTS!O933)</f>
        <v>0</v>
      </c>
      <c r="J1121" s="1364">
        <f>+IF(ISBLANK(REPORTS!P933),"",REPORTS!P933)</f>
        <v>0</v>
      </c>
      <c r="K1121" s="1364">
        <f>+IF(ISBLANK(REPORTS!Q933),"",REPORTS!Q933)</f>
        <v>0</v>
      </c>
      <c r="L1121" s="1364"/>
      <c r="M1121" s="1364">
        <v>309</v>
      </c>
    </row>
    <row r="1122" spans="1:13">
      <c r="A1122" s="1393">
        <v>55</v>
      </c>
      <c r="B1122" s="1324" t="s">
        <v>5329</v>
      </c>
      <c r="C1122" s="1324" t="s">
        <v>4071</v>
      </c>
      <c r="D1122" s="1366">
        <f>+IF(ISBLANK(REPORTS!J934),"",REPORTS!J934)</f>
        <v>414978.62154999998</v>
      </c>
      <c r="E1122" s="1366">
        <f>+IF(ISBLANK(REPORTS!K934),"",REPORTS!K934)</f>
        <v>0</v>
      </c>
      <c r="F1122" s="1366">
        <f>+IF(ISBLANK(REPORTS!L934),"",REPORTS!L934)</f>
        <v>0</v>
      </c>
      <c r="G1122" s="1366">
        <f>+IF(ISBLANK(REPORTS!M934),"",REPORTS!M934)</f>
        <v>0</v>
      </c>
      <c r="H1122" s="1366">
        <f>+IF(ISBLANK(REPORTS!N934),"",REPORTS!N934)</f>
        <v>0</v>
      </c>
      <c r="I1122" s="1366">
        <f>+IF(ISBLANK(REPORTS!O934),"",REPORTS!O934)</f>
        <v>0</v>
      </c>
      <c r="J1122" s="1366">
        <f>+IF(ISBLANK(REPORTS!P934),"",REPORTS!P934)</f>
        <v>0</v>
      </c>
      <c r="K1122" s="1366">
        <f>+IF(ISBLANK(REPORTS!Q934),"",REPORTS!Q934)</f>
        <v>414978.62154999998</v>
      </c>
      <c r="L1122" s="1364"/>
      <c r="M1122" s="1364">
        <v>310</v>
      </c>
    </row>
    <row r="1123" spans="1:13">
      <c r="A1123" s="1393">
        <v>56</v>
      </c>
      <c r="D1123" s="1324" t="str">
        <f>+IF(ISBLANK(REPORTS!J935),"",REPORTS!J935)</f>
        <v/>
      </c>
      <c r="E1123" s="1324" t="str">
        <f>+IF(ISBLANK(REPORTS!K935),"",REPORTS!K935)</f>
        <v/>
      </c>
      <c r="F1123" s="1324" t="str">
        <f>+IF(ISBLANK(REPORTS!L935),"",REPORTS!L935)</f>
        <v/>
      </c>
      <c r="G1123" s="1324" t="str">
        <f>+IF(ISBLANK(REPORTS!M935),"",REPORTS!M935)</f>
        <v/>
      </c>
      <c r="H1123" s="1324" t="str">
        <f>+IF(ISBLANK(REPORTS!N935),"",REPORTS!N935)</f>
        <v/>
      </c>
      <c r="I1123" s="1324" t="str">
        <f>+IF(ISBLANK(REPORTS!O935),"",REPORTS!O935)</f>
        <v/>
      </c>
      <c r="J1123" s="1324" t="str">
        <f>+IF(ISBLANK(REPORTS!P935),"",REPORTS!P935)</f>
        <v/>
      </c>
      <c r="K1123" s="1324" t="str">
        <f>+IF(ISBLANK(REPORTS!Q935),"",REPORTS!Q935)</f>
        <v/>
      </c>
      <c r="L1123" s="1364"/>
      <c r="M1123" s="1364"/>
    </row>
    <row r="1124" spans="1:13">
      <c r="A1124" s="1393">
        <v>57</v>
      </c>
      <c r="B1124" s="1324" t="s">
        <v>5639</v>
      </c>
      <c r="C1124" s="1324" t="s">
        <v>4067</v>
      </c>
      <c r="D1124" s="1364">
        <f>+IF(ISBLANK(REPORTS!J936),"",REPORTS!J936)</f>
        <v>2858628.3006293303</v>
      </c>
      <c r="E1124" s="1364">
        <f>+IF(ISBLANK(REPORTS!K936),"",REPORTS!K936)</f>
        <v>1888623.5289967447</v>
      </c>
      <c r="F1124" s="1364">
        <f>+IF(ISBLANK(REPORTS!L936),"",REPORTS!L936)</f>
        <v>141317.76268646773</v>
      </c>
      <c r="G1124" s="1364">
        <f>+IF(ISBLANK(REPORTS!M936),"",REPORTS!M936)</f>
        <v>757124.77783833514</v>
      </c>
      <c r="H1124" s="1364">
        <f>+IF(ISBLANK(REPORTS!N936),"",REPORTS!N936)</f>
        <v>57318.201493950881</v>
      </c>
      <c r="I1124" s="1364">
        <f>+IF(ISBLANK(REPORTS!O936),"",REPORTS!O936)</f>
        <v>3.9135751355794439E-2</v>
      </c>
      <c r="J1124" s="1364">
        <f>+IF(ISBLANK(REPORTS!P936),"",REPORTS!P936)</f>
        <v>14243.990478080987</v>
      </c>
      <c r="K1124" s="1364">
        <f>+IF(ISBLANK(REPORTS!Q936),"",REPORTS!Q936)</f>
        <v>0</v>
      </c>
      <c r="L1124" s="1364"/>
      <c r="M1124" s="1364"/>
    </row>
    <row r="1125" spans="1:13">
      <c r="A1125" s="1393">
        <v>58</v>
      </c>
      <c r="B1125" s="1324" t="s">
        <v>5639</v>
      </c>
      <c r="C1125" s="1324" t="s">
        <v>4071</v>
      </c>
      <c r="D1125" s="1366">
        <f>+IF(ISBLANK(REPORTS!J937),"",REPORTS!J937)</f>
        <v>830246.67682678136</v>
      </c>
      <c r="E1125" s="1366">
        <f>+IF(ISBLANK(REPORTS!K937),"",REPORTS!K937)</f>
        <v>306076.01775911805</v>
      </c>
      <c r="F1125" s="1366">
        <f>+IF(ISBLANK(REPORTS!L937),"",REPORTS!L937)</f>
        <v>46427.707430214577</v>
      </c>
      <c r="G1125" s="1366">
        <f>+IF(ISBLANK(REPORTS!M937),"",REPORTS!M937)</f>
        <v>22382.762609359015</v>
      </c>
      <c r="H1125" s="1366">
        <f>+IF(ISBLANK(REPORTS!N937),"",REPORTS!N937)</f>
        <v>1442.907956013079</v>
      </c>
      <c r="I1125" s="1366">
        <f>+IF(ISBLANK(REPORTS!O937),"",REPORTS!O937)</f>
        <v>1574.273150579053</v>
      </c>
      <c r="J1125" s="1366">
        <f>+IF(ISBLANK(REPORTS!P937),"",REPORTS!P937)</f>
        <v>361.31447471625313</v>
      </c>
      <c r="K1125" s="1366">
        <f>+IF(ISBLANK(REPORTS!Q937),"",REPORTS!Q937)</f>
        <v>451981.69344678143</v>
      </c>
      <c r="L1125" s="1364"/>
      <c r="M1125" s="1364"/>
    </row>
    <row r="1126" spans="1:13">
      <c r="A1126" s="1393">
        <v>59</v>
      </c>
      <c r="D1126" s="1364" t="str">
        <f>+IF(ISBLANK(REPORTS!J938),"",REPORTS!J938)</f>
        <v/>
      </c>
      <c r="E1126" s="1364" t="str">
        <f>+IF(ISBLANK(REPORTS!K938),"",REPORTS!K938)</f>
        <v/>
      </c>
      <c r="F1126" s="1364" t="str">
        <f>+IF(ISBLANK(REPORTS!L938),"",REPORTS!L938)</f>
        <v/>
      </c>
      <c r="G1126" s="1364" t="str">
        <f>+IF(ISBLANK(REPORTS!M938),"",REPORTS!M938)</f>
        <v/>
      </c>
      <c r="H1126" s="1364" t="str">
        <f>+IF(ISBLANK(REPORTS!N938),"",REPORTS!N938)</f>
        <v/>
      </c>
      <c r="I1126" s="1364" t="str">
        <f>+IF(ISBLANK(REPORTS!O938),"",REPORTS!O938)</f>
        <v/>
      </c>
      <c r="J1126" s="1364" t="str">
        <f>+IF(ISBLANK(REPORTS!P938),"",REPORTS!P938)</f>
        <v/>
      </c>
      <c r="K1126" s="1364" t="str">
        <f>+IF(ISBLANK(REPORTS!Q938),"",REPORTS!Q938)</f>
        <v/>
      </c>
      <c r="L1126" s="1364"/>
      <c r="M1126" s="1364"/>
    </row>
    <row r="1127" spans="1:13">
      <c r="A1127" s="1393">
        <v>60</v>
      </c>
      <c r="B1127" s="1324" t="s">
        <v>2458</v>
      </c>
      <c r="D1127" s="1366">
        <f>+IF(ISBLANK(REPORTS!J939),"",REPORTS!J939)</f>
        <v>3688874.9774561115</v>
      </c>
      <c r="E1127" s="1366">
        <f>+IF(ISBLANK(REPORTS!K939),"",REPORTS!K939)</f>
        <v>2194699.5467558629</v>
      </c>
      <c r="F1127" s="1366">
        <f>+IF(ISBLANK(REPORTS!L939),"",REPORTS!L939)</f>
        <v>187745.47011668229</v>
      </c>
      <c r="G1127" s="1366">
        <f>+IF(ISBLANK(REPORTS!M939),"",REPORTS!M939)</f>
        <v>779507.54044769413</v>
      </c>
      <c r="H1127" s="1366">
        <f>+IF(ISBLANK(REPORTS!N939),"",REPORTS!N939)</f>
        <v>58761.109449963958</v>
      </c>
      <c r="I1127" s="1366">
        <f>+IF(ISBLANK(REPORTS!O939),"",REPORTS!O939)</f>
        <v>1574.3122863304088</v>
      </c>
      <c r="J1127" s="1366">
        <f>+IF(ISBLANK(REPORTS!P939),"",REPORTS!P939)</f>
        <v>14605.30495279724</v>
      </c>
      <c r="K1127" s="1366">
        <f>+IF(ISBLANK(REPORTS!Q939),"",REPORTS!Q939)</f>
        <v>451981.69344678143</v>
      </c>
      <c r="L1127" s="1364"/>
      <c r="M1127" s="1364"/>
    </row>
    <row r="1128" spans="1:13">
      <c r="A1128" s="1393">
        <v>61</v>
      </c>
      <c r="D1128" s="1324" t="str">
        <f>+IF(ISBLANK(REPORTS!J940),"",REPORTS!J940)</f>
        <v/>
      </c>
      <c r="E1128" s="1324" t="str">
        <f>+IF(ISBLANK(REPORTS!K940),"",REPORTS!K940)</f>
        <v/>
      </c>
      <c r="F1128" s="1324" t="str">
        <f>+IF(ISBLANK(REPORTS!L940),"",REPORTS!L940)</f>
        <v/>
      </c>
      <c r="G1128" s="1324" t="str">
        <f>+IF(ISBLANK(REPORTS!M940),"",REPORTS!M940)</f>
        <v/>
      </c>
      <c r="H1128" s="1324" t="str">
        <f>+IF(ISBLANK(REPORTS!N940),"",REPORTS!N940)</f>
        <v/>
      </c>
      <c r="I1128" s="1324" t="str">
        <f>+IF(ISBLANK(REPORTS!O940),"",REPORTS!O940)</f>
        <v/>
      </c>
      <c r="J1128" s="1324" t="str">
        <f>+IF(ISBLANK(REPORTS!P940),"",REPORTS!P940)</f>
        <v/>
      </c>
      <c r="K1128" s="1324" t="str">
        <f>+IF(ISBLANK(REPORTS!Q940),"",REPORTS!Q940)</f>
        <v/>
      </c>
      <c r="L1128" s="1364"/>
      <c r="M1128" s="1364"/>
    </row>
    <row r="1129" spans="1:13">
      <c r="A1129" s="1393">
        <v>62</v>
      </c>
      <c r="D1129" s="1324" t="str">
        <f>+IF(ISBLANK(REPORTS!J941),"",REPORTS!J941)</f>
        <v/>
      </c>
      <c r="E1129" s="1324" t="str">
        <f>+IF(ISBLANK(REPORTS!K941),"",REPORTS!K941)</f>
        <v/>
      </c>
      <c r="F1129" s="1324" t="str">
        <f>+IF(ISBLANK(REPORTS!L941),"",REPORTS!L941)</f>
        <v/>
      </c>
      <c r="G1129" s="1324" t="str">
        <f>+IF(ISBLANK(REPORTS!M941),"",REPORTS!M941)</f>
        <v/>
      </c>
      <c r="H1129" s="1324" t="str">
        <f>+IF(ISBLANK(REPORTS!N941),"",REPORTS!N941)</f>
        <v/>
      </c>
      <c r="I1129" s="1324" t="str">
        <f>+IF(ISBLANK(REPORTS!O941),"",REPORTS!O941)</f>
        <v/>
      </c>
      <c r="J1129" s="1324" t="str">
        <f>+IF(ISBLANK(REPORTS!P941),"",REPORTS!P941)</f>
        <v/>
      </c>
      <c r="K1129" s="1324" t="str">
        <f>+IF(ISBLANK(REPORTS!Q941),"",REPORTS!Q941)</f>
        <v/>
      </c>
      <c r="L1129" s="1324"/>
      <c r="M1129" s="1326"/>
    </row>
    <row r="1130" spans="1:13">
      <c r="A1130" s="1393">
        <v>63</v>
      </c>
      <c r="B1130" s="1362" t="s">
        <v>5641</v>
      </c>
      <c r="D1130" s="1324" t="str">
        <f>+IF(ISBLANK(REPORTS!J942),"",REPORTS!J942)</f>
        <v/>
      </c>
      <c r="E1130" s="1324" t="str">
        <f>+IF(ISBLANK(REPORTS!K942),"",REPORTS!K942)</f>
        <v/>
      </c>
      <c r="F1130" s="1324" t="str">
        <f>+IF(ISBLANK(REPORTS!L942),"",REPORTS!L942)</f>
        <v/>
      </c>
      <c r="G1130" s="1324" t="str">
        <f>+IF(ISBLANK(REPORTS!M942),"",REPORTS!M942)</f>
        <v/>
      </c>
      <c r="H1130" s="1324" t="str">
        <f>+IF(ISBLANK(REPORTS!N942),"",REPORTS!N942)</f>
        <v/>
      </c>
      <c r="I1130" s="1324" t="str">
        <f>+IF(ISBLANK(REPORTS!O942),"",REPORTS!O942)</f>
        <v/>
      </c>
      <c r="J1130" s="1324" t="str">
        <f>+IF(ISBLANK(REPORTS!P942),"",REPORTS!P942)</f>
        <v/>
      </c>
      <c r="K1130" s="1324" t="str">
        <f>+IF(ISBLANK(REPORTS!Q942),"",REPORTS!Q942)</f>
        <v/>
      </c>
      <c r="L1130" s="1324"/>
      <c r="M1130" s="1326"/>
    </row>
    <row r="1131" spans="1:13">
      <c r="A1131" s="1393">
        <v>64</v>
      </c>
      <c r="B1131" s="1324" t="s">
        <v>5265</v>
      </c>
      <c r="C1131" s="1324" t="s">
        <v>4067</v>
      </c>
      <c r="D1131" s="1324">
        <f>+IF(ISBLANK(REPORTS!J943),"",REPORTS!J943)</f>
        <v>6754474.9084089035</v>
      </c>
      <c r="E1131" s="1324">
        <f>+IF(ISBLANK(REPORTS!K943),"",REPORTS!K943)</f>
        <v>3878518.5580598395</v>
      </c>
      <c r="F1131" s="1324">
        <f>+IF(ISBLANK(REPORTS!L943),"",REPORTS!L943)</f>
        <v>322540.1076376579</v>
      </c>
      <c r="G1131" s="1324">
        <f>+IF(ISBLANK(REPORTS!M943),"",REPORTS!M943)</f>
        <v>2087450.650099671</v>
      </c>
      <c r="H1131" s="1324">
        <f>+IF(ISBLANK(REPORTS!N943),"",REPORTS!N943)</f>
        <v>266790.32078279986</v>
      </c>
      <c r="I1131" s="1324">
        <f>+IF(ISBLANK(REPORTS!O943),"",REPORTS!O943)</f>
        <v>192009.83089649718</v>
      </c>
      <c r="J1131" s="1324">
        <f>+IF(ISBLANK(REPORTS!P943),"",REPORTS!P943)</f>
        <v>7165.4409324379058</v>
      </c>
      <c r="K1131" s="1324">
        <f>+IF(ISBLANK(REPORTS!Q943),"",REPORTS!Q943)</f>
        <v>0</v>
      </c>
      <c r="L1131" s="1324"/>
      <c r="M1131" s="1324"/>
    </row>
    <row r="1132" spans="1:13">
      <c r="A1132" s="1393">
        <v>65</v>
      </c>
      <c r="B1132" s="1324" t="s">
        <v>5265</v>
      </c>
      <c r="C1132" s="1324" t="s">
        <v>2067</v>
      </c>
      <c r="D1132" s="1324">
        <f>+IF(ISBLANK(REPORTS!J944),"",REPORTS!J944)</f>
        <v>570339.73520400003</v>
      </c>
      <c r="E1132" s="1324">
        <f>+IF(ISBLANK(REPORTS!K944),"",REPORTS!K944)</f>
        <v>287812.92757298599</v>
      </c>
      <c r="F1132" s="1324">
        <f>+IF(ISBLANK(REPORTS!L944),"",REPORTS!L944)</f>
        <v>26597.283735102348</v>
      </c>
      <c r="G1132" s="1324">
        <f>+IF(ISBLANK(REPORTS!M944),"",REPORTS!M944)</f>
        <v>198139.43310096741</v>
      </c>
      <c r="H1132" s="1324">
        <f>+IF(ISBLANK(REPORTS!N944),"",REPORTS!N944)</f>
        <v>31540.611912883622</v>
      </c>
      <c r="I1132" s="1324">
        <f>+IF(ISBLANK(REPORTS!O944),"",REPORTS!O944)</f>
        <v>23236.343006319854</v>
      </c>
      <c r="J1132" s="1324">
        <f>+IF(ISBLANK(REPORTS!P944),"",REPORTS!P944)</f>
        <v>3013.1358757407984</v>
      </c>
      <c r="K1132" s="1324">
        <f>+IF(ISBLANK(REPORTS!Q944),"",REPORTS!Q944)</f>
        <v>0</v>
      </c>
      <c r="L1132" s="1324"/>
      <c r="M1132" s="1324"/>
    </row>
    <row r="1133" spans="1:13">
      <c r="A1133" s="1393">
        <v>66</v>
      </c>
      <c r="B1133" s="1324" t="s">
        <v>5268</v>
      </c>
      <c r="C1133" s="1324" t="s">
        <v>4067</v>
      </c>
      <c r="D1133" s="1324">
        <f>+IF(ISBLANK(REPORTS!J945),"",REPORTS!J945)</f>
        <v>499578.84495168307</v>
      </c>
      <c r="E1133" s="1324">
        <f>+IF(ISBLANK(REPORTS!K945),"",REPORTS!K945)</f>
        <v>289762.24464192049</v>
      </c>
      <c r="F1133" s="1324">
        <f>+IF(ISBLANK(REPORTS!L945),"",REPORTS!L945)</f>
        <v>23902.462480112525</v>
      </c>
      <c r="G1133" s="1324">
        <f>+IF(ISBLANK(REPORTS!M945),"",REPORTS!M945)</f>
        <v>152796.43433377217</v>
      </c>
      <c r="H1133" s="1324">
        <f>+IF(ISBLANK(REPORTS!N945),"",REPORTS!N945)</f>
        <v>19074.608883696605</v>
      </c>
      <c r="I1133" s="1324">
        <f>+IF(ISBLANK(REPORTS!O945),"",REPORTS!O945)</f>
        <v>13688.896903802377</v>
      </c>
      <c r="J1133" s="1324">
        <f>+IF(ISBLANK(REPORTS!P945),"",REPORTS!P945)</f>
        <v>354.19770837894737</v>
      </c>
      <c r="K1133" s="1324">
        <f>+IF(ISBLANK(REPORTS!Q945),"",REPORTS!Q945)</f>
        <v>0</v>
      </c>
      <c r="L1133" s="1324"/>
      <c r="M1133" s="1324"/>
    </row>
    <row r="1134" spans="1:13">
      <c r="A1134" s="1393">
        <v>67</v>
      </c>
      <c r="B1134" s="1324" t="s">
        <v>5239</v>
      </c>
      <c r="C1134" s="1324" t="s">
        <v>4067</v>
      </c>
      <c r="D1134" s="1324">
        <f>+IF(ISBLANK(REPORTS!J946),"",REPORTS!J946)</f>
        <v>490985.07307602698</v>
      </c>
      <c r="E1134" s="1324">
        <f>+IF(ISBLANK(REPORTS!K946),"",REPORTS!K946)</f>
        <v>284777.74489019153</v>
      </c>
      <c r="F1134" s="1324">
        <f>+IF(ISBLANK(REPORTS!L946),"",REPORTS!L946)</f>
        <v>23491.291527026267</v>
      </c>
      <c r="G1134" s="1324">
        <f>+IF(ISBLANK(REPORTS!M946),"",REPORTS!M946)</f>
        <v>150168.02499789424</v>
      </c>
      <c r="H1134" s="1324">
        <f>+IF(ISBLANK(REPORTS!N946),"",REPORTS!N946)</f>
        <v>18746.48682844884</v>
      </c>
      <c r="I1134" s="1324">
        <f>+IF(ISBLANK(REPORTS!O946),"",REPORTS!O946)</f>
        <v>13453.420044825232</v>
      </c>
      <c r="J1134" s="1324">
        <f>+IF(ISBLANK(REPORTS!P946),"",REPORTS!P946)</f>
        <v>348.10478764091408</v>
      </c>
      <c r="K1134" s="1324">
        <f>+IF(ISBLANK(REPORTS!Q946),"",REPORTS!Q946)</f>
        <v>0</v>
      </c>
      <c r="L1134" s="1324"/>
      <c r="M1134" s="1324"/>
    </row>
    <row r="1135" spans="1:13">
      <c r="A1135" s="1393">
        <v>68</v>
      </c>
      <c r="B1135" s="1324" t="s">
        <v>5240</v>
      </c>
      <c r="C1135" s="1324" t="s">
        <v>4067</v>
      </c>
      <c r="D1135" s="1324">
        <f>+IF(ISBLANK(REPORTS!J947),"",REPORTS!J947)</f>
        <v>1838573.1984126705</v>
      </c>
      <c r="E1135" s="1324">
        <f>+IF(ISBLANK(REPORTS!K947),"",REPORTS!K947)</f>
        <v>1144357.398067638</v>
      </c>
      <c r="F1135" s="1324">
        <f>+IF(ISBLANK(REPORTS!L947),"",REPORTS!L947)</f>
        <v>81389.568266881237</v>
      </c>
      <c r="G1135" s="1324">
        <f>+IF(ISBLANK(REPORTS!M947),"",REPORTS!M947)</f>
        <v>544953.97706894239</v>
      </c>
      <c r="H1135" s="1324">
        <f>+IF(ISBLANK(REPORTS!N947),"",REPORTS!N947)</f>
        <v>57318.201493950881</v>
      </c>
      <c r="I1135" s="1324">
        <f>+IF(ISBLANK(REPORTS!O947),"",REPORTS!O947)</f>
        <v>3.9135751355794439E-2</v>
      </c>
      <c r="J1135" s="1324">
        <f>+IF(ISBLANK(REPORTS!P947),"",REPORTS!P947)</f>
        <v>10554.014379507296</v>
      </c>
      <c r="K1135" s="1324">
        <f>+IF(ISBLANK(REPORTS!Q947),"",REPORTS!Q947)</f>
        <v>0</v>
      </c>
      <c r="L1135" s="1324"/>
      <c r="M1135" s="1324"/>
    </row>
    <row r="1136" spans="1:13">
      <c r="A1136" s="1732" t="str">
        <f>+$A$1</f>
        <v>RATES WITH REVENUE DEFICIENCY ADDITION</v>
      </c>
      <c r="F1136" s="1329" t="s">
        <v>2173</v>
      </c>
      <c r="G1136" s="1329"/>
      <c r="H1136" s="1329"/>
      <c r="I1136" s="1329"/>
      <c r="M1136" s="1334" t="s">
        <v>5673</v>
      </c>
    </row>
    <row r="1137" spans="1:13">
      <c r="A1137" s="1732" t="str">
        <f>+$A$2</f>
        <v>PROD. CAP. ALLOC. METHOD: 12 CP &amp; 1/13th AD</v>
      </c>
      <c r="F1137" s="1336" t="s">
        <v>5141</v>
      </c>
      <c r="G1137" s="1336"/>
      <c r="H1137" s="1336"/>
      <c r="I1137" s="1336"/>
      <c r="L1137" s="1331"/>
      <c r="M1137" s="1409"/>
    </row>
    <row r="1138" spans="1:13">
      <c r="A1138" s="1732" t="str">
        <f>+$A$3</f>
        <v>PROJECTED CALENDAR YEAR 2025; FULLY ADJUSTED DATA</v>
      </c>
      <c r="F1138" s="1336" t="s">
        <v>2181</v>
      </c>
      <c r="M1138" s="1321"/>
    </row>
    <row r="1139" spans="1:13">
      <c r="A1139" s="1732" t="str">
        <f>+$A$4</f>
        <v>MINIMUM DISTRIBUTION SYSTEM (MDS) NOT EMPLOYED</v>
      </c>
      <c r="B1139" s="1364"/>
      <c r="F1139" s="1336"/>
      <c r="G1139" s="1336"/>
      <c r="H1139" s="1336"/>
      <c r="I1139" s="1336"/>
      <c r="M1139" s="1321"/>
    </row>
    <row r="1140" spans="1:13">
      <c r="A1140" s="1732" t="str">
        <f>+$A$5</f>
        <v>Tampa Electric 2025 OB Budget</v>
      </c>
      <c r="F1140" s="1336" t="s">
        <v>5631</v>
      </c>
      <c r="G1140" s="1336"/>
      <c r="H1140" s="1336"/>
      <c r="I1140" s="1336"/>
      <c r="M1140" s="1321"/>
    </row>
    <row r="1141" spans="1:13">
      <c r="F1141" s="1336"/>
      <c r="G1141" s="1336"/>
      <c r="H1141" s="1336"/>
      <c r="I1141" s="1336"/>
      <c r="M1141" s="1321"/>
    </row>
    <row r="1142" spans="1:13">
      <c r="F1142" s="1336"/>
      <c r="G1142" s="1336"/>
      <c r="H1142" s="1336"/>
      <c r="I1142" s="1336"/>
      <c r="M1142" s="1321"/>
    </row>
    <row r="1143" spans="1:13">
      <c r="M1143" s="1321"/>
    </row>
    <row r="1144" spans="1:13">
      <c r="A1144" s="1735"/>
      <c r="B1144" s="1416"/>
      <c r="C1144" s="1416"/>
      <c r="D1144" s="1416"/>
      <c r="E1144" s="1336"/>
      <c r="F1144" s="1416"/>
      <c r="G1144" s="1416"/>
      <c r="H1144" s="1416"/>
      <c r="I1144" s="1416"/>
      <c r="J1144" s="1336"/>
      <c r="K1144" s="1336"/>
      <c r="L1144" s="1333"/>
      <c r="M1144" s="1321"/>
    </row>
    <row r="1145" spans="1:13" ht="28.2">
      <c r="A1145" s="1737" t="s">
        <v>4297</v>
      </c>
      <c r="B1145" s="1741"/>
      <c r="C1145" s="1741"/>
      <c r="D1145" s="1352" t="s">
        <v>4957</v>
      </c>
      <c r="E1145" s="1353" t="s">
        <v>1949</v>
      </c>
      <c r="F1145" s="1353" t="s">
        <v>1950</v>
      </c>
      <c r="G1145" s="1353" t="s">
        <v>1934</v>
      </c>
      <c r="H1145" s="1353" t="s">
        <v>1971</v>
      </c>
      <c r="I1145" s="1353" t="s">
        <v>1972</v>
      </c>
      <c r="J1145" s="1352" t="s">
        <v>5146</v>
      </c>
      <c r="K1145" s="1352" t="s">
        <v>5147</v>
      </c>
      <c r="L1145" s="1355"/>
      <c r="M1145" s="1348" t="s">
        <v>5299</v>
      </c>
    </row>
    <row r="1147" spans="1:13">
      <c r="A1147" s="1393">
        <v>69</v>
      </c>
      <c r="B1147" s="1324" t="s">
        <v>5241</v>
      </c>
      <c r="C1147" s="1324" t="s">
        <v>4067</v>
      </c>
      <c r="D1147" s="1324">
        <f>+IF(ISBLANK(REPORTS!J948),"",REPORTS!J948)</f>
        <v>1020055.1022166597</v>
      </c>
      <c r="E1147" s="1324">
        <f>+IF(ISBLANK(REPORTS!K948),"",REPORTS!K948)</f>
        <v>744266.13092910661</v>
      </c>
      <c r="F1147" s="1324">
        <f>+IF(ISBLANK(REPORTS!L948),"",REPORTS!L948)</f>
        <v>59928.1944195865</v>
      </c>
      <c r="G1147" s="1324">
        <f>+IF(ISBLANK(REPORTS!M948),"",REPORTS!M948)</f>
        <v>212170.80076939278</v>
      </c>
      <c r="H1147" s="1324">
        <f>+IF(ISBLANK(REPORTS!N948),"",REPORTS!N948)</f>
        <v>0</v>
      </c>
      <c r="I1147" s="1324">
        <f>+IF(ISBLANK(REPORTS!O948),"",REPORTS!O948)</f>
        <v>0</v>
      </c>
      <c r="J1147" s="1324">
        <f>+IF(ISBLANK(REPORTS!P948),"",REPORTS!P948)</f>
        <v>3689.9760985736907</v>
      </c>
      <c r="K1147" s="1324">
        <f>+IF(ISBLANK(REPORTS!Q948),"",REPORTS!Q948)</f>
        <v>0</v>
      </c>
      <c r="L1147" s="1324"/>
    </row>
    <row r="1148" spans="1:13">
      <c r="A1148" s="1393">
        <v>70</v>
      </c>
      <c r="B1148" s="1324" t="s">
        <v>5242</v>
      </c>
      <c r="C1148" s="1324" t="s">
        <v>4071</v>
      </c>
      <c r="D1148" s="1324">
        <f>+IF(ISBLANK(REPORTS!J949),"",REPORTS!J949)</f>
        <v>830246.67682678136</v>
      </c>
      <c r="E1148" s="1324">
        <f>+IF(ISBLANK(REPORTS!K949),"",REPORTS!K949)</f>
        <v>306076.01775911805</v>
      </c>
      <c r="F1148" s="1324">
        <f>+IF(ISBLANK(REPORTS!L949),"",REPORTS!L949)</f>
        <v>46427.707430214577</v>
      </c>
      <c r="G1148" s="1324">
        <f>+IF(ISBLANK(REPORTS!M949),"",REPORTS!M949)</f>
        <v>22382.762609359015</v>
      </c>
      <c r="H1148" s="1324">
        <f>+IF(ISBLANK(REPORTS!N949),"",REPORTS!N949)</f>
        <v>1442.907956013079</v>
      </c>
      <c r="I1148" s="1324">
        <f>+IF(ISBLANK(REPORTS!O949),"",REPORTS!O949)</f>
        <v>1574.273150579053</v>
      </c>
      <c r="J1148" s="1324">
        <f>+IF(ISBLANK(REPORTS!P949),"",REPORTS!P949)</f>
        <v>361.31447471625313</v>
      </c>
      <c r="K1148" s="1324">
        <f>+IF(ISBLANK(REPORTS!Q949),"",REPORTS!Q949)</f>
        <v>451981.69344678143</v>
      </c>
      <c r="L1148" s="1324"/>
    </row>
    <row r="1149" spans="1:13">
      <c r="A1149" s="1393">
        <v>71</v>
      </c>
      <c r="B1149" s="1324" t="s">
        <v>5244</v>
      </c>
      <c r="C1149" s="1324" t="s">
        <v>4071</v>
      </c>
      <c r="D1149" s="1366">
        <f>+IF(ISBLANK(REPORTS!J950),"",REPORTS!J950)</f>
        <v>0</v>
      </c>
      <c r="E1149" s="1366">
        <f>+IF(ISBLANK(REPORTS!K950),"",REPORTS!K950)</f>
        <v>0</v>
      </c>
      <c r="F1149" s="1366">
        <f>+IF(ISBLANK(REPORTS!L950),"",REPORTS!L950)</f>
        <v>0</v>
      </c>
      <c r="G1149" s="1366">
        <f>+IF(ISBLANK(REPORTS!M950),"",REPORTS!M950)</f>
        <v>0</v>
      </c>
      <c r="H1149" s="1366">
        <f>+IF(ISBLANK(REPORTS!N950),"",REPORTS!N950)</f>
        <v>0</v>
      </c>
      <c r="I1149" s="1366">
        <f>+IF(ISBLANK(REPORTS!O950),"",REPORTS!O950)</f>
        <v>0</v>
      </c>
      <c r="J1149" s="1366">
        <f>+IF(ISBLANK(REPORTS!P950),"",REPORTS!P950)</f>
        <v>0</v>
      </c>
      <c r="K1149" s="1366">
        <f>+IF(ISBLANK(REPORTS!Q950),"",REPORTS!Q950)</f>
        <v>0</v>
      </c>
      <c r="L1149" s="1364"/>
    </row>
    <row r="1150" spans="1:13">
      <c r="A1150" s="1393">
        <v>72</v>
      </c>
      <c r="B1150" s="1324" t="s">
        <v>5646</v>
      </c>
      <c r="D1150" s="1366">
        <f>+IF(ISBLANK(REPORTS!J951),"",REPORTS!J951)</f>
        <v>12004253.539096722</v>
      </c>
      <c r="E1150" s="1366">
        <f>+IF(ISBLANK(REPORTS!K951),"",REPORTS!K951)</f>
        <v>6935571.0219208011</v>
      </c>
      <c r="F1150" s="1366">
        <f>+IF(ISBLANK(REPORTS!L951),"",REPORTS!L951)</f>
        <v>584276.6154965813</v>
      </c>
      <c r="G1150" s="1366">
        <f>+IF(ISBLANK(REPORTS!M951),"",REPORTS!M951)</f>
        <v>3368062.082979999</v>
      </c>
      <c r="H1150" s="1366">
        <f>+IF(ISBLANK(REPORTS!N951),"",REPORTS!N951)</f>
        <v>394913.1378577929</v>
      </c>
      <c r="I1150" s="1366">
        <f>+IF(ISBLANK(REPORTS!O951),"",REPORTS!O951)</f>
        <v>243962.80313777504</v>
      </c>
      <c r="J1150" s="1366">
        <f>+IF(ISBLANK(REPORTS!P951),"",REPORTS!P951)</f>
        <v>25486.184256995806</v>
      </c>
      <c r="K1150" s="1366">
        <f>+IF(ISBLANK(REPORTS!Q951),"",REPORTS!Q951)</f>
        <v>451981.69344678143</v>
      </c>
      <c r="L1150" s="1364"/>
    </row>
    <row r="1159" spans="13:13">
      <c r="M1159" s="1321"/>
    </row>
    <row r="1160" spans="13:13">
      <c r="M1160" s="1321"/>
    </row>
    <row r="1161" spans="13:13">
      <c r="M1161" s="1321"/>
    </row>
    <row r="1162" spans="13:13">
      <c r="M1162" s="1321"/>
    </row>
    <row r="1163" spans="13:13">
      <c r="M1163" s="1321"/>
    </row>
    <row r="1164" spans="13:13">
      <c r="M1164" s="1321"/>
    </row>
    <row r="1165" spans="13:13">
      <c r="M1165" s="1321"/>
    </row>
    <row r="1166" spans="13:13">
      <c r="M1166" s="1321"/>
    </row>
    <row r="1167" spans="13:13">
      <c r="M1167" s="1321"/>
    </row>
    <row r="1168" spans="13:13">
      <c r="M1168" s="1321"/>
    </row>
    <row r="1169" spans="13:13">
      <c r="M1169" s="1321"/>
    </row>
    <row r="1170" spans="13:13">
      <c r="M1170" s="1321"/>
    </row>
    <row r="1171" spans="13:13">
      <c r="M1171" s="1321"/>
    </row>
    <row r="1172" spans="13:13">
      <c r="M1172" s="1321"/>
    </row>
    <row r="1173" spans="13:13">
      <c r="M1173" s="1321"/>
    </row>
    <row r="1174" spans="13:13">
      <c r="M1174" s="1321"/>
    </row>
    <row r="1175" spans="13:13">
      <c r="M1175" s="1321"/>
    </row>
    <row r="1176" spans="13:13">
      <c r="M1176" s="1321"/>
    </row>
    <row r="1177" spans="13:13">
      <c r="M1177" s="1321"/>
    </row>
    <row r="1178" spans="13:13">
      <c r="M1178" s="1321"/>
    </row>
    <row r="1179" spans="13:13">
      <c r="M1179" s="1321"/>
    </row>
    <row r="1180" spans="13:13">
      <c r="M1180" s="1321"/>
    </row>
    <row r="1181" spans="13:13">
      <c r="M1181" s="1321"/>
    </row>
    <row r="1182" spans="13:13">
      <c r="M1182" s="1321"/>
    </row>
    <row r="1183" spans="13:13">
      <c r="M1183" s="1321"/>
    </row>
    <row r="1184" spans="13:13">
      <c r="M1184" s="1321"/>
    </row>
    <row r="1185" spans="1:13">
      <c r="M1185" s="1321"/>
    </row>
    <row r="1186" spans="1:13">
      <c r="M1186" s="1321"/>
    </row>
    <row r="1187" spans="1:13">
      <c r="M1187" s="1321"/>
    </row>
    <row r="1188" spans="1:13">
      <c r="M1188" s="1321"/>
    </row>
    <row r="1189" spans="1:13">
      <c r="M1189" s="1321"/>
    </row>
    <row r="1190" spans="1:13">
      <c r="M1190" s="1321"/>
    </row>
    <row r="1191" spans="1:13">
      <c r="M1191" s="1321"/>
    </row>
    <row r="1192" spans="1:13">
      <c r="M1192" s="1321"/>
    </row>
    <row r="1193" spans="1:13">
      <c r="M1193" s="1321"/>
    </row>
    <row r="1194" spans="1:13">
      <c r="M1194" s="1321"/>
    </row>
    <row r="1195" spans="1:13">
      <c r="M1195" s="1321"/>
    </row>
    <row r="1196" spans="1:13">
      <c r="A1196" s="1732" t="str">
        <f>+$A$1</f>
        <v>RATES WITH REVENUE DEFICIENCY ADDITION</v>
      </c>
      <c r="F1196" s="1329" t="s">
        <v>2173</v>
      </c>
      <c r="G1196" s="1329"/>
      <c r="H1196" s="1329"/>
      <c r="I1196" s="1329"/>
      <c r="M1196" s="1334" t="s">
        <v>5680</v>
      </c>
    </row>
    <row r="1197" spans="1:13">
      <c r="A1197" s="1732" t="str">
        <f>+$A$2</f>
        <v>PROD. CAP. ALLOC. METHOD: 12 CP &amp; 1/13th AD</v>
      </c>
      <c r="F1197" s="1336" t="s">
        <v>5141</v>
      </c>
      <c r="G1197" s="1336"/>
      <c r="H1197" s="1336"/>
      <c r="I1197" s="1336"/>
      <c r="L1197" s="1331"/>
      <c r="M1197" s="1409"/>
    </row>
    <row r="1198" spans="1:13">
      <c r="A1198" s="1732" t="str">
        <f>+$A$3</f>
        <v>PROJECTED CALENDAR YEAR 2025; FULLY ADJUSTED DATA</v>
      </c>
      <c r="F1198" s="1336" t="s">
        <v>2181</v>
      </c>
      <c r="M1198" s="1321"/>
    </row>
    <row r="1199" spans="1:13">
      <c r="A1199" s="1732" t="str">
        <f>+$A$4</f>
        <v>MINIMUM DISTRIBUTION SYSTEM (MDS) NOT EMPLOYED</v>
      </c>
      <c r="B1199" s="1364"/>
      <c r="F1199" s="1336"/>
      <c r="G1199" s="1336"/>
      <c r="H1199" s="1336"/>
      <c r="I1199" s="1336"/>
      <c r="M1199" s="1321"/>
    </row>
    <row r="1200" spans="1:13">
      <c r="A1200" s="1732" t="str">
        <f>+$A$5</f>
        <v>Tampa Electric 2025 OB Budget</v>
      </c>
      <c r="F1200" s="1336" t="s">
        <v>5631</v>
      </c>
      <c r="G1200" s="1336"/>
      <c r="H1200" s="1336"/>
      <c r="I1200" s="1336"/>
      <c r="M1200" s="1321"/>
    </row>
    <row r="1201" spans="1:13">
      <c r="F1201" s="1336"/>
      <c r="G1201" s="1336"/>
      <c r="H1201" s="1336"/>
      <c r="I1201" s="1336"/>
      <c r="M1201" s="1321"/>
    </row>
    <row r="1202" spans="1:13">
      <c r="F1202" s="1336"/>
      <c r="G1202" s="1336"/>
      <c r="H1202" s="1336"/>
      <c r="I1202" s="1336"/>
      <c r="M1202" s="1321"/>
    </row>
    <row r="1203" spans="1:13">
      <c r="M1203" s="1321"/>
    </row>
    <row r="1204" spans="1:13">
      <c r="A1204" s="1735"/>
      <c r="B1204" s="1416"/>
      <c r="C1204" s="1416"/>
      <c r="D1204" s="1416"/>
      <c r="E1204" s="1336"/>
      <c r="F1204" s="1416"/>
      <c r="G1204" s="1416"/>
      <c r="H1204" s="1416"/>
      <c r="I1204" s="1416"/>
      <c r="J1204" s="1336"/>
      <c r="K1204" s="1336"/>
      <c r="L1204" s="1333"/>
      <c r="M1204" s="1321"/>
    </row>
    <row r="1205" spans="1:13" ht="28.2">
      <c r="A1205" s="1737" t="s">
        <v>4297</v>
      </c>
      <c r="B1205" s="1741"/>
      <c r="C1205" s="1741"/>
      <c r="D1205" s="1352" t="s">
        <v>4957</v>
      </c>
      <c r="E1205" s="1353" t="s">
        <v>1949</v>
      </c>
      <c r="F1205" s="1353" t="s">
        <v>1950</v>
      </c>
      <c r="G1205" s="1353" t="s">
        <v>1934</v>
      </c>
      <c r="H1205" s="1353" t="s">
        <v>1971</v>
      </c>
      <c r="I1205" s="1353" t="s">
        <v>1972</v>
      </c>
      <c r="J1205" s="1352" t="s">
        <v>5146</v>
      </c>
      <c r="K1205" s="1352" t="s">
        <v>5147</v>
      </c>
      <c r="L1205" s="1355"/>
      <c r="M1205" s="1348" t="s">
        <v>5299</v>
      </c>
    </row>
    <row r="1206" spans="1:13">
      <c r="M1206" s="1321"/>
    </row>
    <row r="1207" spans="1:13">
      <c r="A1207" s="1393">
        <v>73</v>
      </c>
      <c r="B1207" s="1362" t="s">
        <v>5648</v>
      </c>
      <c r="M1207" s="1321"/>
    </row>
    <row r="1208" spans="1:13">
      <c r="A1208" s="1393">
        <v>74</v>
      </c>
      <c r="B1208" s="1324" t="s">
        <v>5265</v>
      </c>
      <c r="C1208" s="1324" t="s">
        <v>4067</v>
      </c>
      <c r="D1208" s="1364">
        <f>+IF(ISBLANK(REPORTS!J969),"",REPORTS!J969)</f>
        <v>30059.679439906377</v>
      </c>
      <c r="E1208" s="1324">
        <f>+IF(ISBLANK(REPORTS!K969),"",REPORTS!K969)</f>
        <v>17260.708809779284</v>
      </c>
      <c r="F1208" s="1324">
        <f>+IF(ISBLANK(REPORTS!L969),"",REPORTS!L969)</f>
        <v>1435.4116898162811</v>
      </c>
      <c r="G1208" s="1324">
        <f>+IF(ISBLANK(REPORTS!M969),"",REPORTS!M969)</f>
        <v>9289.8557237221776</v>
      </c>
      <c r="H1208" s="1324">
        <f>+IF(ISBLANK(REPORTS!N969),"",REPORTS!N969)</f>
        <v>1187.3064344967529</v>
      </c>
      <c r="I1208" s="1324">
        <f>+IF(ISBLANK(REPORTS!O969),"",REPORTS!O969)</f>
        <v>854.50816596769926</v>
      </c>
      <c r="J1208" s="1324">
        <f>+IF(ISBLANK(REPORTS!P969),"",REPORTS!P969)</f>
        <v>31.888616124181464</v>
      </c>
      <c r="K1208" s="1324">
        <f>+IF(ISBLANK(REPORTS!Q969),"",REPORTS!Q969)</f>
        <v>0</v>
      </c>
      <c r="L1208" s="1324"/>
      <c r="M1208" s="1324">
        <v>122</v>
      </c>
    </row>
    <row r="1209" spans="1:13">
      <c r="A1209" s="1393">
        <v>75</v>
      </c>
      <c r="B1209" s="1324" t="s">
        <v>5265</v>
      </c>
      <c r="C1209" s="1324" t="s">
        <v>2067</v>
      </c>
      <c r="D1209" s="1364">
        <f>+IF(ISBLANK(REPORTS!J970),"",REPORTS!J970)</f>
        <v>7468.8413095182732</v>
      </c>
      <c r="E1209" s="1364">
        <f>+IF(ISBLANK(REPORTS!K970),"",REPORTS!K970)</f>
        <v>3769.0326487626289</v>
      </c>
      <c r="F1209" s="1364">
        <f>+IF(ISBLANK(REPORTS!L970),"",REPORTS!L970)</f>
        <v>348.30273821033552</v>
      </c>
      <c r="G1209" s="1364">
        <f>+IF(ISBLANK(REPORTS!M970),"",REPORTS!M970)</f>
        <v>2594.7201144239311</v>
      </c>
      <c r="H1209" s="1364">
        <f>+IF(ISBLANK(REPORTS!N970),"",REPORTS!N970)</f>
        <v>413.0377223290775</v>
      </c>
      <c r="I1209" s="1364">
        <f>+IF(ISBLANK(REPORTS!O970),"",REPORTS!O970)</f>
        <v>304.28979048016464</v>
      </c>
      <c r="J1209" s="1364">
        <f>+IF(ISBLANK(REPORTS!P970),"",REPORTS!P970)</f>
        <v>39.458295312135142</v>
      </c>
      <c r="K1209" s="1364">
        <f>+IF(ISBLANK(REPORTS!Q970),"",REPORTS!Q970)</f>
        <v>0</v>
      </c>
      <c r="L1209" s="1364"/>
      <c r="M1209" s="1364">
        <v>201</v>
      </c>
    </row>
    <row r="1210" spans="1:13">
      <c r="A1210" s="1393">
        <v>76</v>
      </c>
      <c r="B1210" s="1324" t="s">
        <v>5268</v>
      </c>
      <c r="C1210" s="1324" t="s">
        <v>4067</v>
      </c>
      <c r="D1210" s="1364">
        <f>+IF(ISBLANK(REPORTS!J971),"",REPORTS!J971)</f>
        <v>5298.5604917462415</v>
      </c>
      <c r="E1210" s="1364">
        <f>+IF(ISBLANK(REPORTS!K971),"",REPORTS!K971)</f>
        <v>3073.2341790971518</v>
      </c>
      <c r="F1210" s="1364">
        <f>+IF(ISBLANK(REPORTS!L971),"",REPORTS!L971)</f>
        <v>253.51082142963836</v>
      </c>
      <c r="G1210" s="1364">
        <f>+IF(ISBLANK(REPORTS!M971),"",REPORTS!M971)</f>
        <v>1620.5673206977469</v>
      </c>
      <c r="H1210" s="1364">
        <f>+IF(ISBLANK(REPORTS!N971),"",REPORTS!N971)</f>
        <v>202.30634272842664</v>
      </c>
      <c r="I1210" s="1364">
        <f>+IF(ISBLANK(REPORTS!O971),"",REPORTS!O971)</f>
        <v>145.18518756952093</v>
      </c>
      <c r="J1210" s="1364">
        <f>+IF(ISBLANK(REPORTS!P971),"",REPORTS!P971)</f>
        <v>3.7566402237573859</v>
      </c>
      <c r="K1210" s="1364">
        <f>+IF(ISBLANK(REPORTS!Q971),"",REPORTS!Q971)</f>
        <v>0</v>
      </c>
      <c r="L1210" s="1364"/>
      <c r="M1210" s="1364">
        <v>117</v>
      </c>
    </row>
    <row r="1211" spans="1:13">
      <c r="A1211" s="1393">
        <v>77</v>
      </c>
      <c r="B1211" s="1324" t="s">
        <v>5239</v>
      </c>
      <c r="C1211" s="1324" t="s">
        <v>4067</v>
      </c>
      <c r="D1211" s="1364">
        <f>+IF(ISBLANK(REPORTS!J972),"",REPORTS!J972)</f>
        <v>4265.3480579990146</v>
      </c>
      <c r="E1211" s="1364">
        <f>+IF(ISBLANK(REPORTS!K972),"",REPORTS!K972)</f>
        <v>2473.9574943057987</v>
      </c>
      <c r="F1211" s="1364">
        <f>+IF(ISBLANK(REPORTS!L972),"",REPORTS!L972)</f>
        <v>204.07653957165184</v>
      </c>
      <c r="G1211" s="1364">
        <f>+IF(ISBLANK(REPORTS!M972),"",REPORTS!M972)</f>
        <v>1304.5587919515715</v>
      </c>
      <c r="H1211" s="1364">
        <f>+IF(ISBLANK(REPORTS!N972),"",REPORTS!N972)</f>
        <v>162.85686790247254</v>
      </c>
      <c r="I1211" s="1364">
        <f>+IF(ISBLANK(REPORTS!O972),"",REPORTS!O972)</f>
        <v>116.87426402218692</v>
      </c>
      <c r="J1211" s="1364">
        <f>+IF(ISBLANK(REPORTS!P972),"",REPORTS!P972)</f>
        <v>3.0241002453335661</v>
      </c>
      <c r="K1211" s="1364">
        <f>+IF(ISBLANK(REPORTS!Q972),"",REPORTS!Q972)</f>
        <v>0</v>
      </c>
      <c r="L1211" s="1364"/>
      <c r="M1211" s="1364">
        <v>117</v>
      </c>
    </row>
    <row r="1212" spans="1:13">
      <c r="A1212" s="1393">
        <v>78</v>
      </c>
      <c r="B1212" s="1324" t="s">
        <v>5240</v>
      </c>
      <c r="C1212" s="1324" t="s">
        <v>4067</v>
      </c>
      <c r="D1212" s="1364">
        <f>+IF(ISBLANK(REPORTS!J973),"",REPORTS!J973)</f>
        <v>27530.836064149807</v>
      </c>
      <c r="E1212" s="1364">
        <f>+IF(ISBLANK(REPORTS!K973),"",REPORTS!K973)</f>
        <v>17135.633192193305</v>
      </c>
      <c r="F1212" s="1364">
        <f>+IF(ISBLANK(REPORTS!L973),"",REPORTS!L973)</f>
        <v>1218.7292098144153</v>
      </c>
      <c r="G1212" s="1364">
        <f>+IF(ISBLANK(REPORTS!M973),"",REPORTS!M973)</f>
        <v>8160.1530024175026</v>
      </c>
      <c r="H1212" s="1364">
        <f>+IF(ISBLANK(REPORTS!N973),"",REPORTS!N973)</f>
        <v>858.28402708374495</v>
      </c>
      <c r="I1212" s="1364">
        <f>+IF(ISBLANK(REPORTS!O973),"",REPORTS!O973)</f>
        <v>5.8601961333598867E-4</v>
      </c>
      <c r="J1212" s="1364">
        <f>+IF(ISBLANK(REPORTS!P973),"",REPORTS!P973)</f>
        <v>158.03604662123342</v>
      </c>
      <c r="K1212" s="1364">
        <f>+IF(ISBLANK(REPORTS!Q973),"",REPORTS!Q973)</f>
        <v>0</v>
      </c>
      <c r="L1212" s="1364"/>
      <c r="M1212" s="1364">
        <v>105</v>
      </c>
    </row>
    <row r="1213" spans="1:13">
      <c r="A1213" s="1393">
        <v>79</v>
      </c>
      <c r="B1213" s="1324" t="s">
        <v>5241</v>
      </c>
      <c r="C1213" s="1324" t="s">
        <v>4067</v>
      </c>
      <c r="D1213" s="1364">
        <f>+IF(ISBLANK(REPORTS!J974),"",REPORTS!J974)</f>
        <v>8946.5182861578378</v>
      </c>
      <c r="E1213" s="1364">
        <f>+IF(ISBLANK(REPORTS!K974),"",REPORTS!K974)</f>
        <v>6527.6773143485652</v>
      </c>
      <c r="F1213" s="1364">
        <f>+IF(ISBLANK(REPORTS!L974),"",REPORTS!L974)</f>
        <v>525.60757361652293</v>
      </c>
      <c r="G1213" s="1364">
        <f>+IF(ISBLANK(REPORTS!M974),"",REPORTS!M974)</f>
        <v>1860.8700105976711</v>
      </c>
      <c r="H1213" s="1364">
        <f>+IF(ISBLANK(REPORTS!N974),"",REPORTS!N974)</f>
        <v>0</v>
      </c>
      <c r="I1213" s="1364">
        <f>+IF(ISBLANK(REPORTS!O974),"",REPORTS!O974)</f>
        <v>0</v>
      </c>
      <c r="J1213" s="1364">
        <f>+IF(ISBLANK(REPORTS!P974),"",REPORTS!P974)</f>
        <v>32.363387595078208</v>
      </c>
      <c r="K1213" s="1364">
        <f>+IF(ISBLANK(REPORTS!Q974),"",REPORTS!Q974)</f>
        <v>0</v>
      </c>
      <c r="L1213" s="1364"/>
      <c r="M1213" s="1364">
        <v>106</v>
      </c>
    </row>
    <row r="1214" spans="1:13">
      <c r="A1214" s="1393">
        <v>80</v>
      </c>
      <c r="B1214" s="1324" t="s">
        <v>5242</v>
      </c>
      <c r="C1214" s="1324" t="s">
        <v>4071</v>
      </c>
      <c r="D1214" s="1364">
        <f>+IF(ISBLANK(REPORTS!J975),"",REPORTS!J975)</f>
        <v>10609.961743436423</v>
      </c>
      <c r="E1214" s="1364">
        <f>+IF(ISBLANK(REPORTS!K975),"",REPORTS!K975)</f>
        <v>3911.43370958068</v>
      </c>
      <c r="F1214" s="1364">
        <f>+IF(ISBLANK(REPORTS!L975),"",REPORTS!L975)</f>
        <v>593.31306395919307</v>
      </c>
      <c r="G1214" s="1364">
        <f>+IF(ISBLANK(REPORTS!M975),"",REPORTS!M975)</f>
        <v>286.03577903542163</v>
      </c>
      <c r="H1214" s="1364">
        <f>+IF(ISBLANK(REPORTS!N975),"",REPORTS!N975)</f>
        <v>18.439336934308319</v>
      </c>
      <c r="I1214" s="1364">
        <f>+IF(ISBLANK(REPORTS!O975),"",REPORTS!O975)</f>
        <v>20.118090644098665</v>
      </c>
      <c r="J1214" s="1364">
        <f>+IF(ISBLANK(REPORTS!P975),"",REPORTS!P975)</f>
        <v>4.6173418829462918</v>
      </c>
      <c r="K1214" s="1364">
        <f>+IF(ISBLANK(REPORTS!Q975),"",REPORTS!Q975)</f>
        <v>5776.0044213997762</v>
      </c>
      <c r="L1214" s="1364"/>
      <c r="M1214" s="1364">
        <v>907</v>
      </c>
    </row>
    <row r="1215" spans="1:13">
      <c r="A1215" s="1393">
        <v>81</v>
      </c>
      <c r="B1215" s="1324" t="s">
        <v>5244</v>
      </c>
      <c r="C1215" s="1324" t="s">
        <v>4071</v>
      </c>
      <c r="D1215" s="1364">
        <f>+IF(ISBLANK(REPORTS!J976),"",REPORTS!J976)</f>
        <v>14371.441015984727</v>
      </c>
      <c r="E1215" s="1364">
        <f>+IF(ISBLANK(REPORTS!K976),"",REPORTS!K976)</f>
        <v>12817.698748263108</v>
      </c>
      <c r="F1215" s="1364">
        <f>+IF(ISBLANK(REPORTS!L976),"",REPORTS!L976)</f>
        <v>1242.5605062403552</v>
      </c>
      <c r="G1215" s="1364">
        <f>+IF(ISBLANK(REPORTS!M976),"",REPORTS!M976)</f>
        <v>306.03206330764834</v>
      </c>
      <c r="H1215" s="1364">
        <f>+IF(ISBLANK(REPORTS!N976),"",REPORTS!N976)</f>
        <v>1.033272772699134</v>
      </c>
      <c r="I1215" s="1364">
        <f>+IF(ISBLANK(REPORTS!O976),"",REPORTS!O976)</f>
        <v>0.18332258870468507</v>
      </c>
      <c r="J1215" s="1364">
        <f>+IF(ISBLANK(REPORTS!P976),"",REPORTS!P976)</f>
        <v>3.9331028122096061</v>
      </c>
      <c r="K1215" s="1364">
        <f>+IF(ISBLANK(REPORTS!Q976),"",REPORTS!Q976)</f>
        <v>0</v>
      </c>
      <c r="L1215" s="1364"/>
      <c r="M1215" s="1364">
        <v>412</v>
      </c>
    </row>
    <row r="1216" spans="1:13">
      <c r="A1216" s="1393">
        <v>82</v>
      </c>
      <c r="B1216" s="1324" t="s">
        <v>5649</v>
      </c>
      <c r="D1216" s="1421">
        <f>+IF(ISBLANK(REPORTS!J977),"",REPORTS!J977)</f>
        <v>108551.18640889871</v>
      </c>
      <c r="E1216" s="1421">
        <f>+IF(ISBLANK(REPORTS!K977),"",REPORTS!K977)</f>
        <v>66969.376096330525</v>
      </c>
      <c r="F1216" s="1421">
        <f>+IF(ISBLANK(REPORTS!L977),"",REPORTS!L977)</f>
        <v>5821.5121426583937</v>
      </c>
      <c r="G1216" s="1421">
        <f>+IF(ISBLANK(REPORTS!M977),"",REPORTS!M977)</f>
        <v>25422.79280615367</v>
      </c>
      <c r="H1216" s="1421">
        <f>+IF(ISBLANK(REPORTS!N977),"",REPORTS!N977)</f>
        <v>2843.2640042474818</v>
      </c>
      <c r="I1216" s="1421">
        <f>+IF(ISBLANK(REPORTS!O977),"",REPORTS!O977)</f>
        <v>1441.1594072919884</v>
      </c>
      <c r="J1216" s="1421">
        <f>+IF(ISBLANK(REPORTS!P977),"",REPORTS!P977)</f>
        <v>277.07753081687508</v>
      </c>
      <c r="K1216" s="1421">
        <f>+IF(ISBLANK(REPORTS!Q977),"",REPORTS!Q977)</f>
        <v>5776.0044213997762</v>
      </c>
      <c r="L1216" s="1364"/>
      <c r="M1216" s="1364"/>
    </row>
    <row r="1217" spans="1:13">
      <c r="A1217" s="1393">
        <v>83</v>
      </c>
      <c r="D1217" s="1324" t="str">
        <f>+IF(ISBLANK(REPORTS!J978),"",REPORTS!J978)</f>
        <v/>
      </c>
      <c r="E1217" s="1324" t="str">
        <f>+IF(ISBLANK(REPORTS!K978),"",REPORTS!K978)</f>
        <v/>
      </c>
      <c r="F1217" s="1324" t="str">
        <f>+IF(ISBLANK(REPORTS!L978),"",REPORTS!L978)</f>
        <v/>
      </c>
      <c r="G1217" s="1324" t="str">
        <f>+IF(ISBLANK(REPORTS!M978),"",REPORTS!M978)</f>
        <v/>
      </c>
      <c r="H1217" s="1324" t="str">
        <f>+IF(ISBLANK(REPORTS!N978),"",REPORTS!N978)</f>
        <v/>
      </c>
      <c r="I1217" s="1324" t="str">
        <f>+IF(ISBLANK(REPORTS!O978),"",REPORTS!O978)</f>
        <v/>
      </c>
      <c r="J1217" s="1324" t="str">
        <f>+IF(ISBLANK(REPORTS!P978),"",REPORTS!P978)</f>
        <v/>
      </c>
      <c r="K1217" s="1324" t="str">
        <f>+IF(ISBLANK(REPORTS!Q978),"",REPORTS!Q978)</f>
        <v/>
      </c>
      <c r="L1217" s="1324"/>
      <c r="M1217" s="1326"/>
    </row>
    <row r="1218" spans="1:13">
      <c r="A1218" s="1393">
        <v>84</v>
      </c>
      <c r="B1218" s="1362" t="s">
        <v>5651</v>
      </c>
      <c r="D1218" s="1324" t="str">
        <f>+IF(ISBLANK(REPORTS!J979),"",REPORTS!J979)</f>
        <v/>
      </c>
      <c r="E1218" s="1324" t="str">
        <f>+IF(ISBLANK(REPORTS!K979),"",REPORTS!K979)</f>
        <v/>
      </c>
      <c r="F1218" s="1324" t="str">
        <f>+IF(ISBLANK(REPORTS!L979),"",REPORTS!L979)</f>
        <v/>
      </c>
      <c r="G1218" s="1324" t="str">
        <f>+IF(ISBLANK(REPORTS!M979),"",REPORTS!M979)</f>
        <v/>
      </c>
      <c r="H1218" s="1324" t="str">
        <f>+IF(ISBLANK(REPORTS!N979),"",REPORTS!N979)</f>
        <v/>
      </c>
      <c r="I1218" s="1324" t="str">
        <f>+IF(ISBLANK(REPORTS!O979),"",REPORTS!O979)</f>
        <v/>
      </c>
      <c r="J1218" s="1324" t="str">
        <f>+IF(ISBLANK(REPORTS!P979),"",REPORTS!P979)</f>
        <v/>
      </c>
      <c r="K1218" s="1324" t="str">
        <f>+IF(ISBLANK(REPORTS!Q979),"",REPORTS!Q979)</f>
        <v/>
      </c>
      <c r="L1218" s="1324"/>
      <c r="M1218" s="1326"/>
    </row>
    <row r="1219" spans="1:13">
      <c r="A1219" s="1393">
        <v>85</v>
      </c>
      <c r="B1219" s="1324" t="s">
        <v>5265</v>
      </c>
      <c r="C1219" s="1324" t="s">
        <v>4067</v>
      </c>
      <c r="D1219" s="1364">
        <f>+IF(ISBLANK(REPORTS!J980),"",REPORTS!J980)</f>
        <v>7482.8857100000005</v>
      </c>
      <c r="E1219" s="1324">
        <f>+IF(ISBLANK(REPORTS!K980),"",REPORTS!K980)</f>
        <v>4296.7827236939693</v>
      </c>
      <c r="F1219" s="1324">
        <f>+IF(ISBLANK(REPORTS!L980),"",REPORTS!L980)</f>
        <v>357.3232257238821</v>
      </c>
      <c r="G1219" s="1324">
        <f>+IF(ISBLANK(REPORTS!M980),"",REPORTS!M980)</f>
        <v>2312.563870881349</v>
      </c>
      <c r="H1219" s="1324">
        <f>+IF(ISBLANK(REPORTS!N980),"",REPORTS!N980)</f>
        <v>295.56131394708166</v>
      </c>
      <c r="I1219" s="1324">
        <f>+IF(ISBLANK(REPORTS!O980),"",REPORTS!O980)</f>
        <v>212.71640494307019</v>
      </c>
      <c r="J1219" s="1324">
        <f>+IF(ISBLANK(REPORTS!P980),"",REPORTS!P980)</f>
        <v>7.9381708106484146</v>
      </c>
      <c r="K1219" s="1324">
        <f>+IF(ISBLANK(REPORTS!Q980),"",REPORTS!Q980)</f>
        <v>0</v>
      </c>
      <c r="L1219" s="1324"/>
      <c r="M1219" s="1324">
        <v>122</v>
      </c>
    </row>
    <row r="1220" spans="1:13">
      <c r="A1220" s="1393">
        <v>86</v>
      </c>
      <c r="B1220" s="1324" t="s">
        <v>5265</v>
      </c>
      <c r="C1220" s="1324" t="s">
        <v>2067</v>
      </c>
      <c r="D1220" s="1364">
        <f>+IF(ISBLANK(REPORTS!J981),"",REPORTS!J981)</f>
        <v>0</v>
      </c>
      <c r="E1220" s="1364">
        <f>+IF(ISBLANK(REPORTS!K981),"",REPORTS!K981)</f>
        <v>0</v>
      </c>
      <c r="F1220" s="1364">
        <f>+IF(ISBLANK(REPORTS!L981),"",REPORTS!L981)</f>
        <v>0</v>
      </c>
      <c r="G1220" s="1364">
        <f>+IF(ISBLANK(REPORTS!M981),"",REPORTS!M981)</f>
        <v>0</v>
      </c>
      <c r="H1220" s="1364">
        <f>+IF(ISBLANK(REPORTS!N981),"",REPORTS!N981)</f>
        <v>0</v>
      </c>
      <c r="I1220" s="1364">
        <f>+IF(ISBLANK(REPORTS!O981),"",REPORTS!O981)</f>
        <v>0</v>
      </c>
      <c r="J1220" s="1364">
        <f>+IF(ISBLANK(REPORTS!P981),"",REPORTS!P981)</f>
        <v>0</v>
      </c>
      <c r="K1220" s="1364">
        <f>+IF(ISBLANK(REPORTS!Q981),"",REPORTS!Q981)</f>
        <v>0</v>
      </c>
      <c r="L1220" s="1364"/>
      <c r="M1220" s="1364">
        <v>201</v>
      </c>
    </row>
    <row r="1221" spans="1:13">
      <c r="A1221" s="1393">
        <v>87</v>
      </c>
      <c r="B1221" s="1324" t="s">
        <v>5268</v>
      </c>
      <c r="C1221" s="1324" t="s">
        <v>4067</v>
      </c>
      <c r="D1221" s="1364">
        <f>+IF(ISBLANK(REPORTS!J982),"",REPORTS!J982)</f>
        <v>2559.7161237667833</v>
      </c>
      <c r="E1221" s="1364">
        <f>+IF(ISBLANK(REPORTS!K982),"",REPORTS!K982)</f>
        <v>1484.6687307996672</v>
      </c>
      <c r="F1221" s="1364">
        <f>+IF(ISBLANK(REPORTS!L982),"",REPORTS!L982)</f>
        <v>122.47019509801699</v>
      </c>
      <c r="G1221" s="1364">
        <f>+IF(ISBLANK(REPORTS!M982),"",REPORTS!M982)</f>
        <v>782.89042974999472</v>
      </c>
      <c r="H1221" s="1364">
        <f>+IF(ISBLANK(REPORTS!N982),"",REPORTS!N982)</f>
        <v>97.733489733468403</v>
      </c>
      <c r="I1221" s="1364">
        <f>+IF(ISBLANK(REPORTS!O982),"",REPORTS!O982)</f>
        <v>70.138458574307762</v>
      </c>
      <c r="J1221" s="1364">
        <f>+IF(ISBLANK(REPORTS!P982),"",REPORTS!P982)</f>
        <v>1.8148198113283263</v>
      </c>
      <c r="K1221" s="1364">
        <f>+IF(ISBLANK(REPORTS!Q982),"",REPORTS!Q982)</f>
        <v>0</v>
      </c>
      <c r="L1221" s="1364"/>
      <c r="M1221" s="1364">
        <v>117</v>
      </c>
    </row>
    <row r="1222" spans="1:13">
      <c r="A1222" s="1393">
        <v>88</v>
      </c>
      <c r="B1222" s="1324" t="s">
        <v>5239</v>
      </c>
      <c r="C1222" s="1324" t="s">
        <v>4067</v>
      </c>
      <c r="D1222" s="1364">
        <f>+IF(ISBLANK(REPORTS!J983),"",REPORTS!J983)</f>
        <v>7196.7264766245808</v>
      </c>
      <c r="E1222" s="1364">
        <f>+IF(ISBLANK(REPORTS!K983),"",REPORTS!K983)</f>
        <v>4174.1952026458657</v>
      </c>
      <c r="F1222" s="1364">
        <f>+IF(ISBLANK(REPORTS!L983),"",REPORTS!L983)</f>
        <v>344.32900096838245</v>
      </c>
      <c r="G1222" s="1364">
        <f>+IF(ISBLANK(REPORTS!M983),"",REPORTS!M983)</f>
        <v>2201.1223165585379</v>
      </c>
      <c r="H1222" s="1364">
        <f>+IF(ISBLANK(REPORTS!N983),"",REPORTS!N983)</f>
        <v>274.78093632614559</v>
      </c>
      <c r="I1222" s="1364">
        <f>+IF(ISBLANK(REPORTS!O983),"",REPORTS!O983)</f>
        <v>197.19659424911546</v>
      </c>
      <c r="J1222" s="1364">
        <f>+IF(ISBLANK(REPORTS!P983),"",REPORTS!P983)</f>
        <v>5.1024258765341752</v>
      </c>
      <c r="K1222" s="1364">
        <f>+IF(ISBLANK(REPORTS!Q983),"",REPORTS!Q983)</f>
        <v>0</v>
      </c>
      <c r="L1222" s="1364"/>
      <c r="M1222" s="1364">
        <v>117</v>
      </c>
    </row>
    <row r="1223" spans="1:13">
      <c r="A1223" s="1393">
        <v>89</v>
      </c>
      <c r="B1223" s="1324" t="s">
        <v>5240</v>
      </c>
      <c r="C1223" s="1324" t="s">
        <v>4067</v>
      </c>
      <c r="D1223" s="1364">
        <f>+IF(ISBLANK(REPORTS!J984),"",REPORTS!J984)</f>
        <v>37791.254617096231</v>
      </c>
      <c r="E1223" s="1364">
        <f>+IF(ISBLANK(REPORTS!K984),"",REPORTS!K984)</f>
        <v>23521.881990158905</v>
      </c>
      <c r="F1223" s="1364">
        <f>+IF(ISBLANK(REPORTS!L984),"",REPORTS!L984)</f>
        <v>1672.9352414169548</v>
      </c>
      <c r="G1223" s="1364">
        <f>+IF(ISBLANK(REPORTS!M984),"",REPORTS!M984)</f>
        <v>11201.345978387941</v>
      </c>
      <c r="H1223" s="1364">
        <f>+IF(ISBLANK(REPORTS!N984),"",REPORTS!N984)</f>
        <v>1178.1563816561916</v>
      </c>
      <c r="I1223" s="1364">
        <f>+IF(ISBLANK(REPORTS!O984),"",REPORTS!O984)</f>
        <v>8.0442222555788341E-4</v>
      </c>
      <c r="J1223" s="1364">
        <f>+IF(ISBLANK(REPORTS!P984),"",REPORTS!P984)</f>
        <v>216.93422105402226</v>
      </c>
      <c r="K1223" s="1364">
        <f>+IF(ISBLANK(REPORTS!Q984),"",REPORTS!Q984)</f>
        <v>0</v>
      </c>
      <c r="L1223" s="1364"/>
      <c r="M1223" s="1364">
        <v>105</v>
      </c>
    </row>
    <row r="1224" spans="1:13">
      <c r="A1224" s="1393">
        <v>90</v>
      </c>
      <c r="B1224" s="1324" t="s">
        <v>5241</v>
      </c>
      <c r="C1224" s="1324" t="s">
        <v>4067</v>
      </c>
      <c r="D1224" s="1364">
        <f>+IF(ISBLANK(REPORTS!J985),"",REPORTS!J985)</f>
        <v>6519.2699460607055</v>
      </c>
      <c r="E1224" s="1364">
        <f>+IF(ISBLANK(REPORTS!K985),"",REPORTS!K985)</f>
        <v>4756.6761919949959</v>
      </c>
      <c r="F1224" s="1364">
        <f>+IF(ISBLANK(REPORTS!L985),"",REPORTS!L985)</f>
        <v>383.00683556437036</v>
      </c>
      <c r="G1224" s="1364">
        <f>+IF(ISBLANK(REPORTS!M985),"",REPORTS!M985)</f>
        <v>1356.00392751503</v>
      </c>
      <c r="H1224" s="1364">
        <f>+IF(ISBLANK(REPORTS!N985),"",REPORTS!N985)</f>
        <v>0</v>
      </c>
      <c r="I1224" s="1364">
        <f>+IF(ISBLANK(REPORTS!O985),"",REPORTS!O985)</f>
        <v>0</v>
      </c>
      <c r="J1224" s="1364">
        <f>+IF(ISBLANK(REPORTS!P985),"",REPORTS!P985)</f>
        <v>23.582990986308808</v>
      </c>
      <c r="K1224" s="1364">
        <f>+IF(ISBLANK(REPORTS!Q985),"",REPORTS!Q985)</f>
        <v>0</v>
      </c>
      <c r="L1224" s="1364"/>
      <c r="M1224" s="1364">
        <v>106</v>
      </c>
    </row>
    <row r="1225" spans="1:13">
      <c r="A1225" s="1393">
        <v>91</v>
      </c>
      <c r="B1225" s="1324" t="s">
        <v>5242</v>
      </c>
      <c r="C1225" s="1324" t="s">
        <v>4071</v>
      </c>
      <c r="D1225" s="1364">
        <f>+IF(ISBLANK(REPORTS!J986),"",REPORTS!J986)</f>
        <v>24224.606503181003</v>
      </c>
      <c r="E1225" s="1364">
        <f>+IF(ISBLANK(REPORTS!K986),"",REPORTS!K986)</f>
        <v>8930.5640085352788</v>
      </c>
      <c r="F1225" s="1364">
        <f>+IF(ISBLANK(REPORTS!L986),"",REPORTS!L986)</f>
        <v>1354.6491358933936</v>
      </c>
      <c r="G1225" s="1364">
        <f>+IF(ISBLANK(REPORTS!M986),"",REPORTS!M986)</f>
        <v>653.07532303313258</v>
      </c>
      <c r="H1225" s="1364">
        <f>+IF(ISBLANK(REPORTS!N986),"",REPORTS!N986)</f>
        <v>42.100593028954272</v>
      </c>
      <c r="I1225" s="1364">
        <f>+IF(ISBLANK(REPORTS!O986),"",REPORTS!O986)</f>
        <v>45.933514298494586</v>
      </c>
      <c r="J1225" s="1364">
        <f>+IF(ISBLANK(REPORTS!P986),"",REPORTS!P986)</f>
        <v>10.542289681131594</v>
      </c>
      <c r="K1225" s="1364">
        <f>+IF(ISBLANK(REPORTS!Q986),"",REPORTS!Q986)</f>
        <v>13187.74163871062</v>
      </c>
      <c r="L1225" s="1364"/>
      <c r="M1225" s="1364">
        <v>907</v>
      </c>
    </row>
    <row r="1226" spans="1:13">
      <c r="A1226" s="1393">
        <v>92</v>
      </c>
      <c r="B1226" s="1324" t="s">
        <v>5244</v>
      </c>
      <c r="C1226" s="1324" t="s">
        <v>4071</v>
      </c>
      <c r="D1226" s="1364">
        <f>+IF(ISBLANK(REPORTS!J987),"",REPORTS!J987)</f>
        <v>32812.795362930985</v>
      </c>
      <c r="E1226" s="1364">
        <f>+IF(ISBLANK(REPORTS!K987),"",REPORTS!K987)</f>
        <v>29265.29953277867</v>
      </c>
      <c r="F1226" s="1364">
        <f>+IF(ISBLANK(REPORTS!L987),"",REPORTS!L987)</f>
        <v>2837.00733781504</v>
      </c>
      <c r="G1226" s="1364">
        <f>+IF(ISBLANK(REPORTS!M987),"",REPORTS!M987)</f>
        <v>698.73072969094642</v>
      </c>
      <c r="H1226" s="1364">
        <f>+IF(ISBLANK(REPORTS!N987),"",REPORTS!N987)</f>
        <v>2.3591627316254793</v>
      </c>
      <c r="I1226" s="1364">
        <f>+IF(ISBLANK(REPORTS!O987),"",REPORTS!O987)</f>
        <v>0.41856112980452054</v>
      </c>
      <c r="J1226" s="1364">
        <f>+IF(ISBLANK(REPORTS!P987),"",REPORTS!P987)</f>
        <v>8.9800387848969851</v>
      </c>
      <c r="K1226" s="1364">
        <f>+IF(ISBLANK(REPORTS!Q987),"",REPORTS!Q987)</f>
        <v>0</v>
      </c>
      <c r="L1226" s="1364"/>
      <c r="M1226" s="1364">
        <v>412</v>
      </c>
    </row>
    <row r="1227" spans="1:13">
      <c r="A1227" s="1393">
        <v>93</v>
      </c>
      <c r="B1227" s="1324" t="s">
        <v>5652</v>
      </c>
      <c r="D1227" s="1421">
        <f>+IF(ISBLANK(REPORTS!J988),"",REPORTS!J988)</f>
        <v>118587.25473966027</v>
      </c>
      <c r="E1227" s="1421">
        <f>+IF(ISBLANK(REPORTS!K988),"",REPORTS!K988)</f>
        <v>76430.06838060735</v>
      </c>
      <c r="F1227" s="1421">
        <f>+IF(ISBLANK(REPORTS!L988),"",REPORTS!L988)</f>
        <v>7071.7209724800405</v>
      </c>
      <c r="G1227" s="1421">
        <f>+IF(ISBLANK(REPORTS!M988),"",REPORTS!M988)</f>
        <v>19205.732575816932</v>
      </c>
      <c r="H1227" s="1421">
        <f>+IF(ISBLANK(REPORTS!N988),"",REPORTS!N988)</f>
        <v>1890.6918774234671</v>
      </c>
      <c r="I1227" s="1421">
        <f>+IF(ISBLANK(REPORTS!O988),"",REPORTS!O988)</f>
        <v>526.40433761701809</v>
      </c>
      <c r="J1227" s="1421">
        <f>+IF(ISBLANK(REPORTS!P988),"",REPORTS!P988)</f>
        <v>274.89495700487055</v>
      </c>
      <c r="K1227" s="1421">
        <f>+IF(ISBLANK(REPORTS!Q988),"",REPORTS!Q988)</f>
        <v>13187.74163871062</v>
      </c>
      <c r="L1227" s="1364"/>
      <c r="M1227" s="1364"/>
    </row>
    <row r="1228" spans="1:13" ht="30" customHeight="1">
      <c r="A1228" s="1393">
        <v>94</v>
      </c>
      <c r="D1228" s="1324" t="str">
        <f>+IF(ISBLANK(REPORTS!J989),"",REPORTS!J989)</f>
        <v/>
      </c>
      <c r="E1228" s="1324" t="str">
        <f>+IF(ISBLANK(REPORTS!K989),"",REPORTS!K989)</f>
        <v/>
      </c>
      <c r="F1228" s="1324" t="str">
        <f>+IF(ISBLANK(REPORTS!L989),"",REPORTS!L989)</f>
        <v/>
      </c>
      <c r="G1228" s="1324" t="str">
        <f>+IF(ISBLANK(REPORTS!M989),"",REPORTS!M989)</f>
        <v/>
      </c>
      <c r="H1228" s="1324" t="str">
        <f>+IF(ISBLANK(REPORTS!N989),"",REPORTS!N989)</f>
        <v/>
      </c>
      <c r="I1228" s="1324" t="str">
        <f>+IF(ISBLANK(REPORTS!O989),"",REPORTS!O989)</f>
        <v/>
      </c>
      <c r="J1228" s="1324" t="str">
        <f>+IF(ISBLANK(REPORTS!P989),"",REPORTS!P989)</f>
        <v/>
      </c>
      <c r="K1228" s="1324" t="str">
        <f>+IF(ISBLANK(REPORTS!Q989),"",REPORTS!Q989)</f>
        <v/>
      </c>
      <c r="M1228" s="1321"/>
    </row>
    <row r="1229" spans="1:13">
      <c r="A1229" s="1393">
        <v>95</v>
      </c>
      <c r="B1229" s="1362" t="s">
        <v>5654</v>
      </c>
      <c r="D1229" s="1324" t="str">
        <f>+IF(ISBLANK(REPORTS!J990),"",REPORTS!J990)</f>
        <v/>
      </c>
      <c r="E1229" s="1324" t="str">
        <f>+IF(ISBLANK(REPORTS!K990),"",REPORTS!K990)</f>
        <v/>
      </c>
      <c r="F1229" s="1324" t="str">
        <f>+IF(ISBLANK(REPORTS!L990),"",REPORTS!L990)</f>
        <v/>
      </c>
      <c r="G1229" s="1324" t="str">
        <f>+IF(ISBLANK(REPORTS!M990),"",REPORTS!M990)</f>
        <v/>
      </c>
      <c r="H1229" s="1324" t="str">
        <f>+IF(ISBLANK(REPORTS!N990),"",REPORTS!N990)</f>
        <v/>
      </c>
      <c r="I1229" s="1324" t="str">
        <f>+IF(ISBLANK(REPORTS!O990),"",REPORTS!O990)</f>
        <v/>
      </c>
      <c r="J1229" s="1324" t="str">
        <f>+IF(ISBLANK(REPORTS!P990),"",REPORTS!P990)</f>
        <v/>
      </c>
      <c r="K1229" s="1324" t="str">
        <f>+IF(ISBLANK(REPORTS!Q990),"",REPORTS!Q990)</f>
        <v/>
      </c>
      <c r="M1229" s="1321"/>
    </row>
    <row r="1230" spans="1:13">
      <c r="A1230" s="1393">
        <v>96</v>
      </c>
      <c r="B1230" s="1324" t="s">
        <v>5265</v>
      </c>
      <c r="C1230" s="1324" t="s">
        <v>4067</v>
      </c>
      <c r="D1230" s="1364">
        <f>+IF(ISBLANK(REPORTS!J991),"",REPORTS!J991)</f>
        <v>402515.95441074861</v>
      </c>
      <c r="E1230" s="1324">
        <f>+IF(ISBLANK(REPORTS!K991),"",REPORTS!K991)</f>
        <v>231130.56459114273</v>
      </c>
      <c r="F1230" s="1324">
        <f>+IF(ISBLANK(REPORTS!L991),"",REPORTS!L991)</f>
        <v>19220.966991807196</v>
      </c>
      <c r="G1230" s="1324">
        <f>+IF(ISBLANK(REPORTS!M991),"",REPORTS!M991)</f>
        <v>124396.37456705475</v>
      </c>
      <c r="H1230" s="1324">
        <f>+IF(ISBLANK(REPORTS!N991),"",REPORTS!N991)</f>
        <v>15898.698574444012</v>
      </c>
      <c r="I1230" s="1324">
        <f>+IF(ISBLANK(REPORTS!O991),"",REPORTS!O991)</f>
        <v>11442.343244673608</v>
      </c>
      <c r="J1230" s="1324">
        <f>+IF(ISBLANK(REPORTS!P991),"",REPORTS!P991)</f>
        <v>427.00644162634052</v>
      </c>
      <c r="K1230" s="1324">
        <f>+IF(ISBLANK(REPORTS!Q991),"",REPORTS!Q991)</f>
        <v>0</v>
      </c>
      <c r="L1230" s="1324"/>
      <c r="M1230" s="1324">
        <v>122</v>
      </c>
    </row>
    <row r="1231" spans="1:13">
      <c r="A1231" s="1393">
        <v>97</v>
      </c>
      <c r="B1231" s="1324" t="s">
        <v>5458</v>
      </c>
      <c r="C1231" s="1324" t="s">
        <v>4067</v>
      </c>
      <c r="D1231" s="1364">
        <f>+IF(ISBLANK(REPORTS!J992),"",REPORTS!J992)</f>
        <v>4620.0860300000004</v>
      </c>
      <c r="E1231" s="1324">
        <f>+IF(ISBLANK(REPORTS!K992),"",REPORTS!K992)</f>
        <v>2652.9211597010826</v>
      </c>
      <c r="F1231" s="1324">
        <f>+IF(ISBLANK(REPORTS!L992),"",REPORTS!L992)</f>
        <v>220.61863662507338</v>
      </c>
      <c r="G1231" s="1324">
        <f>+IF(ISBLANK(REPORTS!M992),"",REPORTS!M992)</f>
        <v>1427.8240303822099</v>
      </c>
      <c r="H1231" s="1324">
        <f>+IF(ISBLANK(REPORTS!N992),"",REPORTS!N992)</f>
        <v>182.48557448238188</v>
      </c>
      <c r="I1231" s="1324">
        <f>+IF(ISBLANK(REPORTS!O992),"",REPORTS!O992)</f>
        <v>131.33544048600757</v>
      </c>
      <c r="J1231" s="1324">
        <f>+IF(ISBLANK(REPORTS!P992),"",REPORTS!P992)</f>
        <v>4.9011883232452202</v>
      </c>
      <c r="K1231" s="1324">
        <f>+IF(ISBLANK(REPORTS!Q992),"",REPORTS!Q992)</f>
        <v>0</v>
      </c>
      <c r="L1231" s="1324"/>
      <c r="M1231" s="1324">
        <v>121</v>
      </c>
    </row>
    <row r="1232" spans="1:13">
      <c r="A1232" s="1393">
        <v>98</v>
      </c>
      <c r="B1232" s="1324" t="s">
        <v>5265</v>
      </c>
      <c r="C1232" s="1324" t="s">
        <v>2067</v>
      </c>
      <c r="D1232" s="1364">
        <f>+IF(ISBLANK(REPORTS!J993),"",REPORTS!J993)</f>
        <v>102739.773617499</v>
      </c>
      <c r="E1232" s="1364">
        <f>+IF(ISBLANK(REPORTS!K993),"",REPORTS!K993)</f>
        <v>51846.001949104299</v>
      </c>
      <c r="F1232" s="1364">
        <f>+IF(ISBLANK(REPORTS!L993),"",REPORTS!L993)</f>
        <v>4791.1775054694435</v>
      </c>
      <c r="G1232" s="1364">
        <f>+IF(ISBLANK(REPORTS!M993),"",REPORTS!M993)</f>
        <v>35692.411461059652</v>
      </c>
      <c r="H1232" s="1364">
        <f>+IF(ISBLANK(REPORTS!N993),"",REPORTS!N993)</f>
        <v>5681.6580148111143</v>
      </c>
      <c r="I1232" s="1364">
        <f>+IF(ISBLANK(REPORTS!O993),"",REPORTS!O993)</f>
        <v>4185.7448689139046</v>
      </c>
      <c r="J1232" s="1364">
        <f>+IF(ISBLANK(REPORTS!P993),"",REPORTS!P993)</f>
        <v>542.77981814058091</v>
      </c>
      <c r="K1232" s="1364">
        <f>+IF(ISBLANK(REPORTS!Q993),"",REPORTS!Q993)</f>
        <v>0</v>
      </c>
      <c r="L1232" s="1364"/>
      <c r="M1232" s="1364">
        <v>201</v>
      </c>
    </row>
    <row r="1233" spans="1:13">
      <c r="A1233" s="1393">
        <v>99</v>
      </c>
      <c r="B1233" s="1324" t="s">
        <v>5268</v>
      </c>
      <c r="C1233" s="1324" t="s">
        <v>4067</v>
      </c>
      <c r="D1233" s="1364">
        <f>+IF(ISBLANK(REPORTS!J994),"",REPORTS!J994)</f>
        <v>15421.77147002273</v>
      </c>
      <c r="E1233" s="1364">
        <f>+IF(ISBLANK(REPORTS!K994),"",REPORTS!K994)</f>
        <v>8944.8285544210794</v>
      </c>
      <c r="F1233" s="1364">
        <f>+IF(ISBLANK(REPORTS!L994),"",REPORTS!L994)</f>
        <v>737.85813323368234</v>
      </c>
      <c r="G1233" s="1364">
        <f>+IF(ISBLANK(REPORTS!M994),"",REPORTS!M994)</f>
        <v>4716.756354960683</v>
      </c>
      <c r="H1233" s="1364">
        <f>+IF(ISBLANK(REPORTS!N994),"",REPORTS!N994)</f>
        <v>588.82449098276891</v>
      </c>
      <c r="I1233" s="1364">
        <f>+IF(ISBLANK(REPORTS!O994),"",REPORTS!O994)</f>
        <v>422.5700144439848</v>
      </c>
      <c r="J1233" s="1364">
        <f>+IF(ISBLANK(REPORTS!P994),"",REPORTS!P994)</f>
        <v>10.933921980531771</v>
      </c>
      <c r="K1233" s="1364">
        <f>+IF(ISBLANK(REPORTS!Q994),"",REPORTS!Q994)</f>
        <v>0</v>
      </c>
      <c r="L1233" s="1364"/>
      <c r="M1233" s="1364">
        <v>117</v>
      </c>
    </row>
    <row r="1234" spans="1:13">
      <c r="A1234" s="1393">
        <v>100</v>
      </c>
      <c r="B1234" s="1324" t="s">
        <v>5239</v>
      </c>
      <c r="C1234" s="1324" t="s">
        <v>4067</v>
      </c>
      <c r="D1234" s="1364">
        <f>+IF(ISBLANK(REPORTS!J995),"",REPORTS!J995)</f>
        <v>43358.820153635963</v>
      </c>
      <c r="E1234" s="1364">
        <f>+IF(ISBLANK(REPORTS!K995),"",REPORTS!K995)</f>
        <v>25148.681093487863</v>
      </c>
      <c r="F1234" s="1364">
        <f>+IF(ISBLANK(REPORTS!L995),"",REPORTS!L995)</f>
        <v>2074.5125266552559</v>
      </c>
      <c r="G1234" s="1364">
        <f>+IF(ISBLANK(REPORTS!M995),"",REPORTS!M995)</f>
        <v>13261.316373465776</v>
      </c>
      <c r="H1234" s="1364">
        <f>+IF(ISBLANK(REPORTS!N995),"",REPORTS!N995)</f>
        <v>1655.4995161357094</v>
      </c>
      <c r="I1234" s="1364">
        <f>+IF(ISBLANK(REPORTS!O995),"",REPORTS!O995)</f>
        <v>1188.069560893907</v>
      </c>
      <c r="J1234" s="1364">
        <f>+IF(ISBLANK(REPORTS!P995),"",REPORTS!P995)</f>
        <v>30.74108299745577</v>
      </c>
      <c r="K1234" s="1364">
        <f>+IF(ISBLANK(REPORTS!Q995),"",REPORTS!Q995)</f>
        <v>0</v>
      </c>
      <c r="L1234" s="1364"/>
      <c r="M1234" s="1364">
        <v>117</v>
      </c>
    </row>
    <row r="1235" spans="1:13">
      <c r="A1235" s="1393">
        <v>101</v>
      </c>
      <c r="B1235" s="1324" t="s">
        <v>5240</v>
      </c>
      <c r="C1235" s="1324" t="s">
        <v>4067</v>
      </c>
      <c r="D1235" s="1364">
        <f>+IF(ISBLANK(REPORTS!J996),"",REPORTS!J996)</f>
        <v>234844.84106218806</v>
      </c>
      <c r="E1235" s="1364">
        <f>+IF(ISBLANK(REPORTS!K996),"",REPORTS!K996)</f>
        <v>146171.18943077998</v>
      </c>
      <c r="F1235" s="1364">
        <f>+IF(ISBLANK(REPORTS!L996),"",REPORTS!L996)</f>
        <v>10396.061598340388</v>
      </c>
      <c r="G1235" s="1364">
        <f>+IF(ISBLANK(REPORTS!M996),"",REPORTS!M996)</f>
        <v>69608.123430415537</v>
      </c>
      <c r="H1235" s="1364">
        <f>+IF(ISBLANK(REPORTS!N996),"",REPORTS!N996)</f>
        <v>7321.375037686179</v>
      </c>
      <c r="I1235" s="1364">
        <f>+IF(ISBLANK(REPORTS!O996),"",REPORTS!O996)</f>
        <v>4.9988922469530956E-3</v>
      </c>
      <c r="J1235" s="1364">
        <f>+IF(ISBLANK(REPORTS!P996),"",REPORTS!P996)</f>
        <v>1348.0865660737877</v>
      </c>
      <c r="K1235" s="1364">
        <f>+IF(ISBLANK(REPORTS!Q996),"",REPORTS!Q996)</f>
        <v>0</v>
      </c>
      <c r="L1235" s="1364"/>
      <c r="M1235" s="1364">
        <v>105</v>
      </c>
    </row>
    <row r="1236" spans="1:13">
      <c r="A1236" s="1393">
        <v>102</v>
      </c>
      <c r="B1236" s="1324" t="s">
        <v>5241</v>
      </c>
      <c r="C1236" s="1324" t="s">
        <v>4067</v>
      </c>
      <c r="D1236" s="1364">
        <f>+IF(ISBLANK(REPORTS!J997),"",REPORTS!J997)</f>
        <v>39277.281697779275</v>
      </c>
      <c r="E1236" s="1364">
        <f>+IF(ISBLANK(REPORTS!K997),"",REPORTS!K997)</f>
        <v>28658.011139882285</v>
      </c>
      <c r="F1236" s="1364">
        <f>+IF(ISBLANK(REPORTS!L997),"",REPORTS!L997)</f>
        <v>2307.5386503556083</v>
      </c>
      <c r="G1236" s="1364">
        <f>+IF(ISBLANK(REPORTS!M997),"",REPORTS!M997)</f>
        <v>8169.6491608674005</v>
      </c>
      <c r="H1236" s="1364">
        <f>+IF(ISBLANK(REPORTS!N997),"",REPORTS!N997)</f>
        <v>0</v>
      </c>
      <c r="I1236" s="1364">
        <f>+IF(ISBLANK(REPORTS!O997),"",REPORTS!O997)</f>
        <v>0</v>
      </c>
      <c r="J1236" s="1364">
        <f>+IF(ISBLANK(REPORTS!P997),"",REPORTS!P997)</f>
        <v>142.08274667398095</v>
      </c>
      <c r="K1236" s="1364">
        <f>+IF(ISBLANK(REPORTS!Q997),"",REPORTS!Q997)</f>
        <v>0</v>
      </c>
      <c r="L1236" s="1364"/>
      <c r="M1236" s="1364">
        <v>106</v>
      </c>
    </row>
    <row r="1237" spans="1:13">
      <c r="A1237" s="1393">
        <v>103</v>
      </c>
      <c r="B1237" s="1324" t="s">
        <v>5242</v>
      </c>
      <c r="C1237" s="1324" t="s">
        <v>4071</v>
      </c>
      <c r="D1237" s="1364">
        <f>+IF(ISBLANK(REPORTS!J998),"",REPORTS!J998)</f>
        <v>145948.3502778144</v>
      </c>
      <c r="E1237" s="1364">
        <f>+IF(ISBLANK(REPORTS!K998),"",REPORTS!K998)</f>
        <v>53804.840294309666</v>
      </c>
      <c r="F1237" s="1364">
        <f>+IF(ISBLANK(REPORTS!L998),"",REPORTS!L998)</f>
        <v>8161.4868156040393</v>
      </c>
      <c r="G1237" s="1364">
        <f>+IF(ISBLANK(REPORTS!M998),"",REPORTS!M998)</f>
        <v>3934.6466160893178</v>
      </c>
      <c r="H1237" s="1364">
        <f>+IF(ISBLANK(REPORTS!N998),"",REPORTS!N998)</f>
        <v>253.64755037348803</v>
      </c>
      <c r="I1237" s="1364">
        <f>+IF(ISBLANK(REPORTS!O998),"",REPORTS!O998)</f>
        <v>276.7401251057421</v>
      </c>
      <c r="J1237" s="1364">
        <f>+IF(ISBLANK(REPORTS!P998),"",REPORTS!P998)</f>
        <v>63.51516120230643</v>
      </c>
      <c r="K1237" s="1364">
        <f>+IF(ISBLANK(REPORTS!Q998),"",REPORTS!Q998)</f>
        <v>79453.473715129861</v>
      </c>
      <c r="L1237" s="1364"/>
      <c r="M1237" s="1364">
        <v>907</v>
      </c>
    </row>
    <row r="1238" spans="1:13">
      <c r="A1238" s="1393">
        <v>104</v>
      </c>
      <c r="B1238" s="1324" t="s">
        <v>5244</v>
      </c>
      <c r="C1238" s="1324" t="s">
        <v>4071</v>
      </c>
      <c r="D1238" s="1364">
        <f>+IF(ISBLANK(REPORTS!J999),"",REPORTS!J999)</f>
        <v>197959.63711934417</v>
      </c>
      <c r="E1238" s="1364">
        <f>+IF(ISBLANK(REPORTS!K999),"",REPORTS!K999)</f>
        <v>176557.59016016641</v>
      </c>
      <c r="F1238" s="1364">
        <f>+IF(ISBLANK(REPORTS!L999),"",REPORTS!L999)</f>
        <v>17115.668960445932</v>
      </c>
      <c r="G1238" s="1364">
        <f>+IF(ISBLANK(REPORTS!M999),"",REPORTS!M999)</f>
        <v>4215.4434013877608</v>
      </c>
      <c r="H1238" s="1364">
        <f>+IF(ISBLANK(REPORTS!N999),"",REPORTS!N999)</f>
        <v>14.232831829550788</v>
      </c>
      <c r="I1238" s="1364">
        <f>+IF(ISBLANK(REPORTS!O999),"",REPORTS!O999)</f>
        <v>2.5251798407267532</v>
      </c>
      <c r="J1238" s="1364">
        <f>+IF(ISBLANK(REPORTS!P999),"",REPORTS!P999)</f>
        <v>54.176585673773971</v>
      </c>
      <c r="K1238" s="1364">
        <f>+IF(ISBLANK(REPORTS!Q999),"",REPORTS!Q999)</f>
        <v>0</v>
      </c>
      <c r="L1238" s="1364"/>
      <c r="M1238" s="1364">
        <v>412</v>
      </c>
    </row>
    <row r="1239" spans="1:13">
      <c r="A1239" s="1393">
        <v>105</v>
      </c>
      <c r="B1239" s="1324" t="s">
        <v>5655</v>
      </c>
      <c r="D1239" s="1421">
        <f>+IF(ISBLANK(REPORTS!J1000),"",REPORTS!J1000)</f>
        <v>1186686.5158390321</v>
      </c>
      <c r="E1239" s="1421">
        <f>+IF(ISBLANK(REPORTS!K1000),"",REPORTS!K1000)</f>
        <v>724914.6283729953</v>
      </c>
      <c r="F1239" s="1421">
        <f>+IF(ISBLANK(REPORTS!L1000),"",REPORTS!L1000)</f>
        <v>65025.88981853662</v>
      </c>
      <c r="G1239" s="1421">
        <f>+IF(ISBLANK(REPORTS!M1000),"",REPORTS!M1000)</f>
        <v>265422.54539568309</v>
      </c>
      <c r="H1239" s="1421">
        <f>+IF(ISBLANK(REPORTS!N1000),"",REPORTS!N1000)</f>
        <v>31596.421590745205</v>
      </c>
      <c r="I1239" s="1421">
        <f>+IF(ISBLANK(REPORTS!O1000),"",REPORTS!O1000)</f>
        <v>17649.333433250129</v>
      </c>
      <c r="J1239" s="1421">
        <f>+IF(ISBLANK(REPORTS!P1000),"",REPORTS!P1000)</f>
        <v>2624.2235126920032</v>
      </c>
      <c r="K1239" s="1421">
        <f>+IF(ISBLANK(REPORTS!Q1000),"",REPORTS!Q1000)</f>
        <v>79453.473715129861</v>
      </c>
      <c r="L1239" s="1364"/>
      <c r="M1239" s="1364"/>
    </row>
    <row r="1240" spans="1:13">
      <c r="A1240" s="1393">
        <v>106</v>
      </c>
      <c r="D1240" s="1364" t="str">
        <f>+IF(ISBLANK(REPORTS!J1001),"",REPORTS!J1001)</f>
        <v/>
      </c>
      <c r="E1240" s="1364" t="str">
        <f>+IF(ISBLANK(REPORTS!K1001),"",REPORTS!K1001)</f>
        <v/>
      </c>
      <c r="F1240" s="1364" t="str">
        <f>+IF(ISBLANK(REPORTS!L1001),"",REPORTS!L1001)</f>
        <v/>
      </c>
      <c r="G1240" s="1364" t="str">
        <f>+IF(ISBLANK(REPORTS!M1001),"",REPORTS!M1001)</f>
        <v/>
      </c>
      <c r="H1240" s="1364" t="str">
        <f>+IF(ISBLANK(REPORTS!N1001),"",REPORTS!N1001)</f>
        <v/>
      </c>
      <c r="I1240" s="1364" t="str">
        <f>+IF(ISBLANK(REPORTS!O1001),"",REPORTS!O1001)</f>
        <v/>
      </c>
      <c r="J1240" s="1364" t="str">
        <f>+IF(ISBLANK(REPORTS!P1001),"",REPORTS!P1001)</f>
        <v/>
      </c>
      <c r="K1240" s="1364" t="str">
        <f>+IF(ISBLANK(REPORTS!Q1001),"",REPORTS!Q1001)</f>
        <v/>
      </c>
      <c r="L1240" s="1358"/>
      <c r="M1240" s="1321"/>
    </row>
    <row r="1241" spans="1:13">
      <c r="A1241" s="1393">
        <v>107</v>
      </c>
      <c r="B1241" s="1362" t="s">
        <v>5657</v>
      </c>
      <c r="D1241" s="1364" t="str">
        <f>+IF(ISBLANK(REPORTS!J1002),"",REPORTS!J1002)</f>
        <v/>
      </c>
      <c r="E1241" s="1364" t="str">
        <f>+IF(ISBLANK(REPORTS!K1002),"",REPORTS!K1002)</f>
        <v/>
      </c>
      <c r="F1241" s="1364" t="str">
        <f>+IF(ISBLANK(REPORTS!L1002),"",REPORTS!L1002)</f>
        <v/>
      </c>
      <c r="G1241" s="1364" t="str">
        <f>+IF(ISBLANK(REPORTS!M1002),"",REPORTS!M1002)</f>
        <v/>
      </c>
      <c r="H1241" s="1364" t="str">
        <f>+IF(ISBLANK(REPORTS!N1002),"",REPORTS!N1002)</f>
        <v/>
      </c>
      <c r="I1241" s="1364" t="str">
        <f>+IF(ISBLANK(REPORTS!O1002),"",REPORTS!O1002)</f>
        <v/>
      </c>
      <c r="J1241" s="1364" t="str">
        <f>+IF(ISBLANK(REPORTS!P1002),"",REPORTS!P1002)</f>
        <v/>
      </c>
      <c r="K1241" s="1364" t="str">
        <f>+IF(ISBLANK(REPORTS!Q1002),"",REPORTS!Q1002)</f>
        <v/>
      </c>
      <c r="L1241" s="1364"/>
      <c r="M1241" s="1364"/>
    </row>
    <row r="1242" spans="1:13">
      <c r="A1242" s="1393">
        <v>108</v>
      </c>
      <c r="B1242" s="1324" t="s">
        <v>5265</v>
      </c>
      <c r="C1242" s="1324" t="s">
        <v>4067</v>
      </c>
      <c r="D1242" s="1421">
        <f>+IF(ISBLANK(REPORTS!J1003),"",REPORTS!J1003)</f>
        <v>-5.1984228193759919E-6</v>
      </c>
      <c r="E1242" s="1421">
        <f>+IF(ISBLANK(REPORTS!K1003),"",REPORTS!K1003)</f>
        <v>-2.9850106264353538E-6</v>
      </c>
      <c r="F1242" s="1421">
        <f>+IF(ISBLANK(REPORTS!L1003),"",REPORTS!L1003)</f>
        <v>-2.4823541110800515E-7</v>
      </c>
      <c r="G1242" s="1421">
        <f>+IF(ISBLANK(REPORTS!M1003),"",REPORTS!M1003)</f>
        <v>-1.6065573180662784E-6</v>
      </c>
      <c r="H1242" s="1421">
        <f>+IF(ISBLANK(REPORTS!N1003),"",REPORTS!N1003)</f>
        <v>-2.0532889830108879E-7</v>
      </c>
      <c r="I1242" s="1421">
        <f>+IF(ISBLANK(REPORTS!O1003),"",REPORTS!O1003)</f>
        <v>-1.4777585230707473E-7</v>
      </c>
      <c r="J1242" s="1421">
        <f>+IF(ISBLANK(REPORTS!P1003),"",REPORTS!P1003)</f>
        <v>-5.5147131581913649E-9</v>
      </c>
      <c r="K1242" s="1421">
        <f>+IF(ISBLANK(REPORTS!Q1003),"",REPORTS!Q1003)</f>
        <v>0</v>
      </c>
      <c r="L1242" s="1364"/>
      <c r="M1242" s="1364">
        <v>122</v>
      </c>
    </row>
    <row r="1243" spans="1:13">
      <c r="A1243" s="1393">
        <v>109</v>
      </c>
      <c r="D1243" s="1364" t="str">
        <f>+IF(ISBLANK(REPORTS!J1004),"",REPORTS!J1004)</f>
        <v/>
      </c>
      <c r="E1243" s="1364" t="str">
        <f>+IF(ISBLANK(REPORTS!K1004),"",REPORTS!K1004)</f>
        <v/>
      </c>
      <c r="F1243" s="1364" t="str">
        <f>+IF(ISBLANK(REPORTS!L1004),"",REPORTS!L1004)</f>
        <v/>
      </c>
      <c r="G1243" s="1364" t="str">
        <f>+IF(ISBLANK(REPORTS!M1004),"",REPORTS!M1004)</f>
        <v/>
      </c>
      <c r="H1243" s="1364" t="str">
        <f>+IF(ISBLANK(REPORTS!N1004),"",REPORTS!N1004)</f>
        <v/>
      </c>
      <c r="I1243" s="1364" t="str">
        <f>+IF(ISBLANK(REPORTS!O1004),"",REPORTS!O1004)</f>
        <v/>
      </c>
      <c r="J1243" s="1364" t="str">
        <f>+IF(ISBLANK(REPORTS!P1004),"",REPORTS!P1004)</f>
        <v/>
      </c>
      <c r="K1243" s="1364" t="str">
        <f>+IF(ISBLANK(REPORTS!Q1004),"",REPORTS!Q1004)</f>
        <v/>
      </c>
      <c r="L1243" s="1358"/>
      <c r="M1243" s="1321"/>
    </row>
    <row r="1244" spans="1:13">
      <c r="A1244" s="1393">
        <v>110</v>
      </c>
      <c r="B1244" s="1362" t="s">
        <v>5658</v>
      </c>
      <c r="D1244" s="1324" t="str">
        <f>+IF(ISBLANK(REPORTS!J1005),"",REPORTS!J1005)</f>
        <v/>
      </c>
      <c r="E1244" s="1324" t="str">
        <f>+IF(ISBLANK(REPORTS!K1005),"",REPORTS!K1005)</f>
        <v/>
      </c>
      <c r="F1244" s="1324" t="str">
        <f>+IF(ISBLANK(REPORTS!L1005),"",REPORTS!L1005)</f>
        <v/>
      </c>
      <c r="G1244" s="1324" t="str">
        <f>+IF(ISBLANK(REPORTS!M1005),"",REPORTS!M1005)</f>
        <v/>
      </c>
      <c r="H1244" s="1324" t="str">
        <f>+IF(ISBLANK(REPORTS!N1005),"",REPORTS!N1005)</f>
        <v/>
      </c>
      <c r="I1244" s="1324" t="str">
        <f>+IF(ISBLANK(REPORTS!O1005),"",REPORTS!O1005)</f>
        <v/>
      </c>
      <c r="J1244" s="1324" t="str">
        <f>+IF(ISBLANK(REPORTS!P1005),"",REPORTS!P1005)</f>
        <v/>
      </c>
      <c r="K1244" s="1324" t="str">
        <f>+IF(ISBLANK(REPORTS!Q1005),"",REPORTS!Q1005)</f>
        <v/>
      </c>
      <c r="M1244" s="1321"/>
    </row>
    <row r="1245" spans="1:13">
      <c r="A1245" s="1393">
        <v>111</v>
      </c>
      <c r="B1245" s="1324" t="s">
        <v>5265</v>
      </c>
      <c r="C1245" s="1324" t="s">
        <v>4067</v>
      </c>
      <c r="D1245" s="1324">
        <f>+IF(ISBLANK(REPORTS!J1006),"",REPORTS!J1006)</f>
        <v>7199153.5139943594</v>
      </c>
      <c r="E1245" s="1324">
        <f>+IF(ISBLANK(REPORTS!K1006),"",REPORTS!K1006)</f>
        <v>4133859.535341172</v>
      </c>
      <c r="F1245" s="1324">
        <f>+IF(ISBLANK(REPORTS!L1006),"",REPORTS!L1006)</f>
        <v>343774.42818138207</v>
      </c>
      <c r="G1245" s="1324">
        <f>+IF(ISBLANK(REPORTS!M1006),"",REPORTS!M1006)</f>
        <v>2224877.2682901048</v>
      </c>
      <c r="H1245" s="1324">
        <f>+IF(ISBLANK(REPORTS!N1006),"",REPORTS!N1006)</f>
        <v>284354.3726799647</v>
      </c>
      <c r="I1245" s="1324">
        <f>+IF(ISBLANK(REPORTS!O1006),"",REPORTS!O1006)</f>
        <v>204650.73415241975</v>
      </c>
      <c r="J1245" s="1324">
        <f>+IF(ISBLANK(REPORTS!P1006),"",REPORTS!P1006)</f>
        <v>7637.1753493168071</v>
      </c>
      <c r="K1245" s="1324">
        <f>+IF(ISBLANK(REPORTS!Q1006),"",REPORTS!Q1006)</f>
        <v>0</v>
      </c>
      <c r="L1245" s="1324"/>
      <c r="M1245" s="1324"/>
    </row>
    <row r="1246" spans="1:13">
      <c r="A1246" s="1393">
        <v>112</v>
      </c>
      <c r="B1246" s="1324" t="s">
        <v>5265</v>
      </c>
      <c r="C1246" s="1324" t="s">
        <v>2067</v>
      </c>
      <c r="D1246" s="1364">
        <f>+IF(ISBLANK(REPORTS!J1007),"",REPORTS!J1007)</f>
        <v>680548.35013101739</v>
      </c>
      <c r="E1246" s="1364">
        <f>+IF(ISBLANK(REPORTS!K1007),"",REPORTS!K1007)</f>
        <v>343427.96217085293</v>
      </c>
      <c r="F1246" s="1364">
        <f>+IF(ISBLANK(REPORTS!L1007),"",REPORTS!L1007)</f>
        <v>31736.763978782128</v>
      </c>
      <c r="G1246" s="1364">
        <f>+IF(ISBLANK(REPORTS!M1007),"",REPORTS!M1007)</f>
        <v>236426.56467645097</v>
      </c>
      <c r="H1246" s="1364">
        <f>+IF(ISBLANK(REPORTS!N1007),"",REPORTS!N1007)</f>
        <v>37635.307650023817</v>
      </c>
      <c r="I1246" s="1364">
        <f>+IF(ISBLANK(REPORTS!O1007),"",REPORTS!O1007)</f>
        <v>27726.377665713924</v>
      </c>
      <c r="J1246" s="1364">
        <f>+IF(ISBLANK(REPORTS!P1007),"",REPORTS!P1007)</f>
        <v>3595.3739891935147</v>
      </c>
      <c r="K1246" s="1364">
        <f>+IF(ISBLANK(REPORTS!Q1007),"",REPORTS!Q1007)</f>
        <v>0</v>
      </c>
      <c r="L1246" s="1364"/>
      <c r="M1246" s="1364"/>
    </row>
    <row r="1247" spans="1:13">
      <c r="A1247" s="1393">
        <v>113</v>
      </c>
      <c r="B1247" s="1324" t="s">
        <v>5268</v>
      </c>
      <c r="C1247" s="1324" t="s">
        <v>4067</v>
      </c>
      <c r="D1247" s="1364">
        <f>+IF(ISBLANK(REPORTS!J1008),"",REPORTS!J1008)</f>
        <v>522858.89303721883</v>
      </c>
      <c r="E1247" s="1364">
        <f>+IF(ISBLANK(REPORTS!K1008),"",REPORTS!K1008)</f>
        <v>303264.97610623844</v>
      </c>
      <c r="F1247" s="1364">
        <f>+IF(ISBLANK(REPORTS!L1008),"",REPORTS!L1008)</f>
        <v>25016.301629873862</v>
      </c>
      <c r="G1247" s="1364">
        <f>+IF(ISBLANK(REPORTS!M1008),"",REPORTS!M1008)</f>
        <v>159916.64843918057</v>
      </c>
      <c r="H1247" s="1364">
        <f>+IF(ISBLANK(REPORTS!N1008),"",REPORTS!N1008)</f>
        <v>19963.473207141269</v>
      </c>
      <c r="I1247" s="1364">
        <f>+IF(ISBLANK(REPORTS!O1008),"",REPORTS!O1008)</f>
        <v>14326.79056439019</v>
      </c>
      <c r="J1247" s="1364">
        <f>+IF(ISBLANK(REPORTS!P1008),"",REPORTS!P1008)</f>
        <v>370.70309039456481</v>
      </c>
      <c r="K1247" s="1364">
        <f>+IF(ISBLANK(REPORTS!Q1008),"",REPORTS!Q1008)</f>
        <v>0</v>
      </c>
      <c r="L1247" s="1364"/>
      <c r="M1247" s="1364"/>
    </row>
    <row r="1248" spans="1:13">
      <c r="A1248" s="1393">
        <v>114</v>
      </c>
      <c r="B1248" s="1324" t="s">
        <v>5239</v>
      </c>
      <c r="C1248" s="1324" t="s">
        <v>4067</v>
      </c>
      <c r="D1248" s="1364">
        <f>+IF(ISBLANK(REPORTS!J1009),"",REPORTS!J1009)</f>
        <v>545805.96776428656</v>
      </c>
      <c r="E1248" s="1364">
        <f>+IF(ISBLANK(REPORTS!K1009),"",REPORTS!K1009)</f>
        <v>316574.57868063106</v>
      </c>
      <c r="F1248" s="1364">
        <f>+IF(ISBLANK(REPORTS!L1009),"",REPORTS!L1009)</f>
        <v>26114.20959422156</v>
      </c>
      <c r="G1248" s="1364">
        <f>+IF(ISBLANK(REPORTS!M1009),"",REPORTS!M1009)</f>
        <v>166935.02247987012</v>
      </c>
      <c r="H1248" s="1364">
        <f>+IF(ISBLANK(REPORTS!N1009),"",REPORTS!N1009)</f>
        <v>20839.624148813167</v>
      </c>
      <c r="I1248" s="1364">
        <f>+IF(ISBLANK(REPORTS!O1009),"",REPORTS!O1009)</f>
        <v>14955.560463990441</v>
      </c>
      <c r="J1248" s="1364">
        <f>+IF(ISBLANK(REPORTS!P1009),"",REPORTS!P1009)</f>
        <v>386.97239676023759</v>
      </c>
      <c r="K1248" s="1364">
        <f>+IF(ISBLANK(REPORTS!Q1009),"",REPORTS!Q1009)</f>
        <v>0</v>
      </c>
      <c r="L1248" s="1364"/>
      <c r="M1248" s="1364"/>
    </row>
    <row r="1249" spans="1:13">
      <c r="A1249" s="1393">
        <v>115</v>
      </c>
      <c r="B1249" s="1324" t="s">
        <v>5240</v>
      </c>
      <c r="C1249" s="1324" t="s">
        <v>4067</v>
      </c>
      <c r="D1249" s="1364">
        <f>+IF(ISBLANK(REPORTS!J1010),"",REPORTS!J1010)</f>
        <v>2138740.1301561045</v>
      </c>
      <c r="E1249" s="1364">
        <f>+IF(ISBLANK(REPORTS!K1010),"",REPORTS!K1010)</f>
        <v>1331186.1026807702</v>
      </c>
      <c r="F1249" s="1364">
        <f>+IF(ISBLANK(REPORTS!L1010),"",REPORTS!L1010)</f>
        <v>94677.294316452986</v>
      </c>
      <c r="G1249" s="1364">
        <f>+IF(ISBLANK(REPORTS!M1010),"",REPORTS!M1010)</f>
        <v>633923.59948016342</v>
      </c>
      <c r="H1249" s="1364">
        <f>+IF(ISBLANK(REPORTS!N1010),"",REPORTS!N1010)</f>
        <v>66676.016940376998</v>
      </c>
      <c r="I1249" s="1364">
        <f>+IF(ISBLANK(REPORTS!O1010),"",REPORTS!O1010)</f>
        <v>4.5525085441641404E-2</v>
      </c>
      <c r="J1249" s="1364">
        <f>+IF(ISBLANK(REPORTS!P1010),"",REPORTS!P1010)</f>
        <v>12277.071213256339</v>
      </c>
      <c r="K1249" s="1364">
        <f>+IF(ISBLANK(REPORTS!Q1010),"",REPORTS!Q1010)</f>
        <v>0</v>
      </c>
      <c r="L1249" s="1364"/>
      <c r="M1249" s="1364"/>
    </row>
    <row r="1250" spans="1:13">
      <c r="A1250" s="1393">
        <v>116</v>
      </c>
      <c r="B1250" s="1324" t="s">
        <v>5241</v>
      </c>
      <c r="C1250" s="1324" t="s">
        <v>4067</v>
      </c>
      <c r="D1250" s="1364">
        <f>+IF(ISBLANK(REPORTS!J1011),"",REPORTS!J1011)</f>
        <v>1074798.1721466575</v>
      </c>
      <c r="E1250" s="1364">
        <f>+IF(ISBLANK(REPORTS!K1011),"",REPORTS!K1011)</f>
        <v>784208.49557533243</v>
      </c>
      <c r="F1250" s="1364">
        <f>+IF(ISBLANK(REPORTS!L1011),"",REPORTS!L1011)</f>
        <v>63144.347479122996</v>
      </c>
      <c r="G1250" s="1364">
        <f>+IF(ISBLANK(REPORTS!M1011),"",REPORTS!M1011)</f>
        <v>223557.32386837289</v>
      </c>
      <c r="H1250" s="1364">
        <f>+IF(ISBLANK(REPORTS!N1011),"",REPORTS!N1011)</f>
        <v>0</v>
      </c>
      <c r="I1250" s="1364">
        <f>+IF(ISBLANK(REPORTS!O1011),"",REPORTS!O1011)</f>
        <v>0</v>
      </c>
      <c r="J1250" s="1364">
        <f>+IF(ISBLANK(REPORTS!P1011),"",REPORTS!P1011)</f>
        <v>3888.0052238290587</v>
      </c>
      <c r="K1250" s="1364">
        <f>+IF(ISBLANK(REPORTS!Q1011),"",REPORTS!Q1011)</f>
        <v>0</v>
      </c>
      <c r="L1250" s="1364"/>
      <c r="M1250" s="1364"/>
    </row>
    <row r="1251" spans="1:13">
      <c r="A1251" s="1393">
        <v>117</v>
      </c>
      <c r="B1251" s="1324" t="s">
        <v>5242</v>
      </c>
      <c r="C1251" s="1324" t="s">
        <v>4071</v>
      </c>
      <c r="D1251" s="1364">
        <f>+IF(ISBLANK(REPORTS!J1012),"",REPORTS!J1012)</f>
        <v>1011029.5953512132</v>
      </c>
      <c r="E1251" s="1364">
        <f>+IF(ISBLANK(REPORTS!K1012),"",REPORTS!K1012)</f>
        <v>372722.85577154369</v>
      </c>
      <c r="F1251" s="1364">
        <f>+IF(ISBLANK(REPORTS!L1012),"",REPORTS!L1012)</f>
        <v>56537.1564456712</v>
      </c>
      <c r="G1251" s="1364">
        <f>+IF(ISBLANK(REPORTS!M1012),"",REPORTS!M1012)</f>
        <v>27256.520327516886</v>
      </c>
      <c r="H1251" s="1364">
        <f>+IF(ISBLANK(REPORTS!N1012),"",REPORTS!N1012)</f>
        <v>1757.0954363498297</v>
      </c>
      <c r="I1251" s="1364">
        <f>+IF(ISBLANK(REPORTS!O1012),"",REPORTS!O1012)</f>
        <v>1917.0648806273884</v>
      </c>
      <c r="J1251" s="1364">
        <f>+IF(ISBLANK(REPORTS!P1012),"",REPORTS!P1012)</f>
        <v>439.98926748263744</v>
      </c>
      <c r="K1251" s="1364">
        <f>+IF(ISBLANK(REPORTS!Q1012),"",REPORTS!Q1012)</f>
        <v>550398.91322202166</v>
      </c>
      <c r="L1251" s="1364"/>
      <c r="M1251" s="1364"/>
    </row>
    <row r="1252" spans="1:13">
      <c r="A1252" s="1393">
        <v>118</v>
      </c>
      <c r="B1252" s="1324" t="s">
        <v>5244</v>
      </c>
      <c r="C1252" s="1324" t="s">
        <v>4071</v>
      </c>
      <c r="D1252" s="1366">
        <f>+IF(ISBLANK(REPORTS!J1013),"",REPORTS!J1013)</f>
        <v>245143.87349825987</v>
      </c>
      <c r="E1252" s="1366">
        <f>+IF(ISBLANK(REPORTS!K1013),"",REPORTS!K1013)</f>
        <v>218640.58844120818</v>
      </c>
      <c r="F1252" s="1366">
        <f>+IF(ISBLANK(REPORTS!L1013),"",REPORTS!L1013)</f>
        <v>21195.236804501328</v>
      </c>
      <c r="G1252" s="1366">
        <f>+IF(ISBLANK(REPORTS!M1013),"",REPORTS!M1013)</f>
        <v>5220.2061943863555</v>
      </c>
      <c r="H1252" s="1366">
        <f>+IF(ISBLANK(REPORTS!N1013),"",REPORTS!N1013)</f>
        <v>17.625267333875399</v>
      </c>
      <c r="I1252" s="1366">
        <f>+IF(ISBLANK(REPORTS!O1013),"",REPORTS!O1013)</f>
        <v>3.1270635592359586</v>
      </c>
      <c r="J1252" s="1366">
        <f>+IF(ISBLANK(REPORTS!P1013),"",REPORTS!P1013)</f>
        <v>67.089727270880559</v>
      </c>
      <c r="K1252" s="1366">
        <f>+IF(ISBLANK(REPORTS!Q1013),"",REPORTS!Q1013)</f>
        <v>0</v>
      </c>
      <c r="L1252" s="1364"/>
      <c r="M1252" s="1364"/>
    </row>
    <row r="1253" spans="1:13">
      <c r="A1253" s="1393">
        <v>119</v>
      </c>
      <c r="D1253" s="1364" t="str">
        <f>+IF(ISBLANK(REPORTS!J1014),"",REPORTS!J1014)</f>
        <v/>
      </c>
      <c r="E1253" s="1364" t="str">
        <f>+IF(ISBLANK(REPORTS!K1014),"",REPORTS!K1014)</f>
        <v/>
      </c>
      <c r="F1253" s="1364" t="str">
        <f>+IF(ISBLANK(REPORTS!L1014),"",REPORTS!L1014)</f>
        <v/>
      </c>
      <c r="G1253" s="1364" t="str">
        <f>+IF(ISBLANK(REPORTS!M1014),"",REPORTS!M1014)</f>
        <v/>
      </c>
      <c r="H1253" s="1364" t="str">
        <f>+IF(ISBLANK(REPORTS!N1014),"",REPORTS!N1014)</f>
        <v/>
      </c>
      <c r="I1253" s="1364" t="str">
        <f>+IF(ISBLANK(REPORTS!O1014),"",REPORTS!O1014)</f>
        <v/>
      </c>
      <c r="J1253" s="1364" t="str">
        <f>+IF(ISBLANK(REPORTS!P1014),"",REPORTS!P1014)</f>
        <v/>
      </c>
      <c r="K1253" s="1364" t="str">
        <f>+IF(ISBLANK(REPORTS!Q1014),"",REPORTS!Q1014)</f>
        <v/>
      </c>
      <c r="L1253" s="1364"/>
      <c r="M1253" s="1364"/>
    </row>
    <row r="1254" spans="1:13" ht="15" thickBot="1">
      <c r="A1254" s="1393">
        <v>120</v>
      </c>
      <c r="B1254" s="1324" t="s">
        <v>5667</v>
      </c>
      <c r="D1254" s="1380">
        <f>+IF(ISBLANK(REPORTS!J1015),"",REPORTS!J1015)</f>
        <v>13418078.496079115</v>
      </c>
      <c r="E1254" s="1380">
        <f>+IF(ISBLANK(REPORTS!K1015),"",REPORTS!K1015)</f>
        <v>7803885.0947677484</v>
      </c>
      <c r="F1254" s="1380">
        <f>+IF(ISBLANK(REPORTS!L1015),"",REPORTS!L1015)</f>
        <v>662195.73843000806</v>
      </c>
      <c r="G1254" s="1380">
        <f>+IF(ISBLANK(REPORTS!M1015),"",REPORTS!M1015)</f>
        <v>3678113.1537560457</v>
      </c>
      <c r="H1254" s="1380">
        <f>+IF(ISBLANK(REPORTS!N1015),"",REPORTS!N1015)</f>
        <v>431243.51533000369</v>
      </c>
      <c r="I1254" s="1380">
        <f>+IF(ISBLANK(REPORTS!O1015),"",REPORTS!O1015)</f>
        <v>263579.70031578641</v>
      </c>
      <c r="J1254" s="1380">
        <f>+IF(ISBLANK(REPORTS!P1015),"",REPORTS!P1015)</f>
        <v>28662.380257504039</v>
      </c>
      <c r="K1254" s="1380">
        <f>+IF(ISBLANK(REPORTS!Q1015),"",REPORTS!Q1015)</f>
        <v>550398.91322202166</v>
      </c>
      <c r="L1254" s="1364"/>
      <c r="M1254" s="1364"/>
    </row>
    <row r="1255" spans="1:13" ht="15" thickTop="1">
      <c r="A1255" s="1732" t="str">
        <f>+$A$1</f>
        <v>RATES WITH REVENUE DEFICIENCY ADDITION</v>
      </c>
      <c r="F1255" s="1329" t="s">
        <v>2173</v>
      </c>
      <c r="G1255" s="1329"/>
      <c r="H1255" s="1329"/>
      <c r="I1255" s="1329"/>
      <c r="M1255" s="1334" t="s">
        <v>5686</v>
      </c>
    </row>
    <row r="1256" spans="1:13">
      <c r="A1256" s="1732" t="str">
        <f>+$A$2</f>
        <v>PROD. CAP. ALLOC. METHOD: 12 CP &amp; 1/13th AD</v>
      </c>
      <c r="F1256" s="1336" t="s">
        <v>5141</v>
      </c>
      <c r="G1256" s="1336"/>
      <c r="H1256" s="1336"/>
      <c r="I1256" s="1336"/>
      <c r="L1256" s="1331"/>
      <c r="M1256" s="1409"/>
    </row>
    <row r="1257" spans="1:13">
      <c r="A1257" s="1732" t="str">
        <f>+$A$3</f>
        <v>PROJECTED CALENDAR YEAR 2025; FULLY ADJUSTED DATA</v>
      </c>
      <c r="F1257" s="1336" t="s">
        <v>2181</v>
      </c>
    </row>
    <row r="1258" spans="1:13">
      <c r="A1258" s="1732" t="str">
        <f>+$A$4</f>
        <v>MINIMUM DISTRIBUTION SYSTEM (MDS) NOT EMPLOYED</v>
      </c>
      <c r="B1258" s="1364"/>
      <c r="F1258" s="1336"/>
      <c r="G1258" s="1336"/>
      <c r="H1258" s="1336"/>
      <c r="I1258" s="1336"/>
    </row>
    <row r="1259" spans="1:13">
      <c r="A1259" s="1732" t="str">
        <f>+$A$5</f>
        <v>Tampa Electric 2025 OB Budget</v>
      </c>
      <c r="F1259" s="1336" t="s">
        <v>5670</v>
      </c>
      <c r="G1259" s="1336"/>
      <c r="H1259" s="1336"/>
      <c r="I1259" s="1336"/>
    </row>
    <row r="1260" spans="1:13">
      <c r="F1260" s="1336"/>
      <c r="G1260" s="1336"/>
      <c r="H1260" s="1336"/>
      <c r="I1260" s="1336"/>
    </row>
    <row r="1261" spans="1:13">
      <c r="F1261" s="1336"/>
      <c r="G1261" s="1336"/>
      <c r="H1261" s="1336"/>
      <c r="I1261" s="1336"/>
    </row>
    <row r="1263" spans="1:13">
      <c r="A1263" s="1735"/>
      <c r="B1263" s="1416"/>
      <c r="C1263" s="1416"/>
      <c r="D1263" s="1416"/>
      <c r="E1263" s="1336"/>
      <c r="F1263" s="1416"/>
      <c r="G1263" s="1416"/>
      <c r="H1263" s="1416"/>
      <c r="I1263" s="1416"/>
      <c r="J1263" s="3164"/>
      <c r="K1263" s="3164"/>
      <c r="L1263" s="1333"/>
    </row>
    <row r="1264" spans="1:13" ht="28.2">
      <c r="A1264" s="1737" t="s">
        <v>4297</v>
      </c>
      <c r="B1264" s="1741"/>
      <c r="C1264" s="1741"/>
      <c r="D1264" s="1352" t="s">
        <v>4957</v>
      </c>
      <c r="E1264" s="1353" t="s">
        <v>1949</v>
      </c>
      <c r="F1264" s="1353" t="s">
        <v>1950</v>
      </c>
      <c r="G1264" s="1353" t="s">
        <v>1934</v>
      </c>
      <c r="H1264" s="1353" t="s">
        <v>1971</v>
      </c>
      <c r="I1264" s="1353" t="s">
        <v>1972</v>
      </c>
      <c r="J1264" s="1352" t="s">
        <v>5146</v>
      </c>
      <c r="K1264" s="1352" t="s">
        <v>5147</v>
      </c>
      <c r="L1264" s="1355"/>
      <c r="M1264" s="1348" t="s">
        <v>5299</v>
      </c>
    </row>
    <row r="1266" spans="1:13">
      <c r="A1266" s="1393">
        <v>1</v>
      </c>
      <c r="B1266" s="1362" t="s">
        <v>5671</v>
      </c>
      <c r="M1266" s="1321"/>
    </row>
    <row r="1267" spans="1:13">
      <c r="A1267" s="1393">
        <v>2</v>
      </c>
      <c r="B1267" s="1324" t="s">
        <v>5265</v>
      </c>
      <c r="C1267" s="1324" t="s">
        <v>4067</v>
      </c>
      <c r="D1267" s="1364">
        <f>+IF(ISBLANK(REPORTS!J1033),"",REPORTS!J1033)</f>
        <v>26353.446</v>
      </c>
      <c r="E1267" s="1324">
        <f>+IF(ISBLANK(REPORTS!K1033),"",REPORTS!K1033)</f>
        <v>15132.535210483917</v>
      </c>
      <c r="F1267" s="1324">
        <f>+IF(ISBLANK(REPORTS!L1033),"",REPORTS!L1033)</f>
        <v>1258.4313991426893</v>
      </c>
      <c r="G1267" s="1324">
        <f>+IF(ISBLANK(REPORTS!M1033),"",REPORTS!M1033)</f>
        <v>8144.4551546976118</v>
      </c>
      <c r="H1267" s="1324">
        <f>+IF(ISBLANK(REPORTS!N1033),"",REPORTS!N1033)</f>
        <v>1040.9164897954138</v>
      </c>
      <c r="I1267" s="1324">
        <f>+IF(ISBLANK(REPORTS!O1033),"",REPORTS!O1033)</f>
        <v>749.1508634816945</v>
      </c>
      <c r="J1267" s="1324">
        <f>+IF(ISBLANK(REPORTS!P1033),"",REPORTS!P1033)</f>
        <v>27.956882398675472</v>
      </c>
      <c r="K1267" s="1324">
        <f>+IF(ISBLANK(REPORTS!Q1033),"",REPORTS!Q1033)</f>
        <v>0</v>
      </c>
      <c r="L1267" s="1324"/>
      <c r="M1267" s="1324">
        <v>122</v>
      </c>
    </row>
    <row r="1268" spans="1:13">
      <c r="A1268" s="1393">
        <v>3</v>
      </c>
      <c r="B1268" s="1324" t="s">
        <v>5358</v>
      </c>
      <c r="C1268" s="1324" t="s">
        <v>4067</v>
      </c>
      <c r="D1268" s="1364">
        <f>+IF(ISBLANK(REPORTS!J1034),"",REPORTS!J1034)</f>
        <v>0</v>
      </c>
      <c r="E1268" s="1324">
        <f>+IF(ISBLANK(REPORTS!K1034),"",REPORTS!K1034)</f>
        <v>0</v>
      </c>
      <c r="F1268" s="1324">
        <f>+IF(ISBLANK(REPORTS!L1034),"",REPORTS!L1034)</f>
        <v>0</v>
      </c>
      <c r="G1268" s="1324">
        <f>+IF(ISBLANK(REPORTS!M1034),"",REPORTS!M1034)</f>
        <v>0</v>
      </c>
      <c r="H1268" s="1324">
        <f>+IF(ISBLANK(REPORTS!N1034),"",REPORTS!N1034)</f>
        <v>0</v>
      </c>
      <c r="I1268" s="1324">
        <f>+IF(ISBLANK(REPORTS!O1034),"",REPORTS!O1034)</f>
        <v>0</v>
      </c>
      <c r="J1268" s="1324">
        <f>+IF(ISBLANK(REPORTS!P1034),"",REPORTS!P1034)</f>
        <v>0</v>
      </c>
      <c r="K1268" s="1324">
        <f>+IF(ISBLANK(REPORTS!Q1034),"",REPORTS!Q1034)</f>
        <v>0</v>
      </c>
      <c r="L1268" s="1324"/>
      <c r="M1268" s="1324">
        <v>121</v>
      </c>
    </row>
    <row r="1269" spans="1:13">
      <c r="A1269" s="1393">
        <v>4</v>
      </c>
      <c r="B1269" s="1324" t="s">
        <v>5265</v>
      </c>
      <c r="C1269" s="1324" t="s">
        <v>2067</v>
      </c>
      <c r="D1269" s="1364">
        <f>+IF(ISBLANK(REPORTS!J1035),"",REPORTS!J1035)</f>
        <v>0</v>
      </c>
      <c r="E1269" s="1364">
        <f>+IF(ISBLANK(REPORTS!K1035),"",REPORTS!K1035)</f>
        <v>0</v>
      </c>
      <c r="F1269" s="1364">
        <f>+IF(ISBLANK(REPORTS!L1035),"",REPORTS!L1035)</f>
        <v>0</v>
      </c>
      <c r="G1269" s="1364">
        <f>+IF(ISBLANK(REPORTS!M1035),"",REPORTS!M1035)</f>
        <v>0</v>
      </c>
      <c r="H1269" s="1364">
        <f>+IF(ISBLANK(REPORTS!N1035),"",REPORTS!N1035)</f>
        <v>0</v>
      </c>
      <c r="I1269" s="1364">
        <f>+IF(ISBLANK(REPORTS!O1035),"",REPORTS!O1035)</f>
        <v>0</v>
      </c>
      <c r="J1269" s="1364">
        <f>+IF(ISBLANK(REPORTS!P1035),"",REPORTS!P1035)</f>
        <v>0</v>
      </c>
      <c r="K1269" s="1364">
        <f>+IF(ISBLANK(REPORTS!Q1035),"",REPORTS!Q1035)</f>
        <v>0</v>
      </c>
      <c r="L1269" s="1364"/>
      <c r="M1269" s="1324">
        <v>201</v>
      </c>
    </row>
    <row r="1270" spans="1:13">
      <c r="A1270" s="1393">
        <v>5</v>
      </c>
      <c r="B1270" s="1324" t="s">
        <v>5268</v>
      </c>
      <c r="C1270" s="1324" t="s">
        <v>4067</v>
      </c>
      <c r="D1270" s="1364">
        <f>+IF(ISBLANK(REPORTS!J1036),"",REPORTS!J1036)</f>
        <v>10636.296872529023</v>
      </c>
      <c r="E1270" s="1364">
        <f>+IF(ISBLANK(REPORTS!K1036),"",REPORTS!K1036)</f>
        <v>6169.1908846939359</v>
      </c>
      <c r="F1270" s="1364">
        <f>+IF(ISBLANK(REPORTS!L1036),"",REPORTS!L1036)</f>
        <v>508.8960221034809</v>
      </c>
      <c r="G1270" s="1364">
        <f>+IF(ISBLANK(REPORTS!M1036),"",REPORTS!M1036)</f>
        <v>3253.1166062387365</v>
      </c>
      <c r="H1270" s="1364">
        <f>+IF(ISBLANK(REPORTS!N1036),"",REPORTS!N1036)</f>
        <v>406.10847489748772</v>
      </c>
      <c r="I1270" s="1364">
        <f>+IF(ISBLANK(REPORTS!O1036),"",REPORTS!O1036)</f>
        <v>291.44382873211356</v>
      </c>
      <c r="J1270" s="1364">
        <f>+IF(ISBLANK(REPORTS!P1036),"",REPORTS!P1036)</f>
        <v>7.5410558632688005</v>
      </c>
      <c r="K1270" s="1364">
        <f>+IF(ISBLANK(REPORTS!Q1036),"",REPORTS!Q1036)</f>
        <v>0</v>
      </c>
      <c r="L1270" s="1364"/>
      <c r="M1270" s="1320">
        <v>117</v>
      </c>
    </row>
    <row r="1271" spans="1:13">
      <c r="A1271" s="1393">
        <v>6</v>
      </c>
      <c r="B1271" s="1324" t="s">
        <v>5239</v>
      </c>
      <c r="C1271" s="1324" t="s">
        <v>4067</v>
      </c>
      <c r="D1271" s="1364">
        <f>+IF(ISBLANK(REPORTS!J1037),"",REPORTS!J1037)</f>
        <v>10453.330940628708</v>
      </c>
      <c r="E1271" s="1364">
        <f>+IF(ISBLANK(REPORTS!K1037),"",REPORTS!K1037)</f>
        <v>6063.0682582933659</v>
      </c>
      <c r="F1271" s="1364">
        <f>+IF(ISBLANK(REPORTS!L1037),"",REPORTS!L1037)</f>
        <v>500.14197583715219</v>
      </c>
      <c r="G1271" s="1364">
        <f>+IF(ISBLANK(REPORTS!M1037),"",REPORTS!M1037)</f>
        <v>3197.1563863826941</v>
      </c>
      <c r="H1271" s="1364">
        <f>+IF(ISBLANK(REPORTS!N1037),"",REPORTS!N1037)</f>
        <v>399.12258343049194</v>
      </c>
      <c r="I1271" s="1364">
        <f>+IF(ISBLANK(REPORTS!O1037),"",REPORTS!O1037)</f>
        <v>286.43040231504068</v>
      </c>
      <c r="J1271" s="1364">
        <f>+IF(ISBLANK(REPORTS!P1037),"",REPORTS!P1037)</f>
        <v>7.4113343699642193</v>
      </c>
      <c r="K1271" s="1364">
        <f>+IF(ISBLANK(REPORTS!Q1037),"",REPORTS!Q1037)</f>
        <v>0</v>
      </c>
      <c r="L1271" s="1364"/>
      <c r="M1271" s="1320">
        <v>117</v>
      </c>
    </row>
    <row r="1272" spans="1:13">
      <c r="A1272" s="1393">
        <v>7</v>
      </c>
      <c r="B1272" s="1324" t="s">
        <v>5240</v>
      </c>
      <c r="C1272" s="1324" t="s">
        <v>4067</v>
      </c>
      <c r="D1272" s="1364">
        <f>+IF(ISBLANK(REPORTS!J1038),"",REPORTS!J1038)</f>
        <v>20590.486000000001</v>
      </c>
      <c r="E1272" s="1364">
        <f>+IF(ISBLANK(REPORTS!K1038),"",REPORTS!K1038)</f>
        <v>12815.848182846948</v>
      </c>
      <c r="F1272" s="1364">
        <f>+IF(ISBLANK(REPORTS!L1038),"",REPORTS!L1038)</f>
        <v>911.49526567237319</v>
      </c>
      <c r="G1272" s="1364">
        <f>+IF(ISBLANK(REPORTS!M1038),"",REPORTS!M1038)</f>
        <v>6103.0299175305599</v>
      </c>
      <c r="H1272" s="1364">
        <f>+IF(ISBLANK(REPORTS!N1038),"",REPORTS!N1038)</f>
        <v>641.91603925549816</v>
      </c>
      <c r="I1272" s="1364">
        <f>+IF(ISBLANK(REPORTS!O1038),"",REPORTS!O1038)</f>
        <v>4.382877663433109E-4</v>
      </c>
      <c r="J1272" s="1364">
        <f>+IF(ISBLANK(REPORTS!P1038),"",REPORTS!P1038)</f>
        <v>118.19615640685933</v>
      </c>
      <c r="K1272" s="1364">
        <f>+IF(ISBLANK(REPORTS!Q1038),"",REPORTS!Q1038)</f>
        <v>0</v>
      </c>
      <c r="L1272" s="1364"/>
      <c r="M1272" s="1320">
        <v>105</v>
      </c>
    </row>
    <row r="1273" spans="1:13">
      <c r="A1273" s="1393">
        <v>8</v>
      </c>
      <c r="B1273" s="1324" t="s">
        <v>5241</v>
      </c>
      <c r="C1273" s="1324" t="s">
        <v>4067</v>
      </c>
      <c r="D1273" s="1364">
        <f>+IF(ISBLANK(REPORTS!J1039),"",REPORTS!J1039)</f>
        <v>0</v>
      </c>
      <c r="E1273" s="1364">
        <f>+IF(ISBLANK(REPORTS!K1039),"",REPORTS!K1039)</f>
        <v>0</v>
      </c>
      <c r="F1273" s="1364">
        <f>+IF(ISBLANK(REPORTS!L1039),"",REPORTS!L1039)</f>
        <v>0</v>
      </c>
      <c r="G1273" s="1364">
        <f>+IF(ISBLANK(REPORTS!M1039),"",REPORTS!M1039)</f>
        <v>0</v>
      </c>
      <c r="H1273" s="1364">
        <f>+IF(ISBLANK(REPORTS!N1039),"",REPORTS!N1039)</f>
        <v>0</v>
      </c>
      <c r="I1273" s="1364">
        <f>+IF(ISBLANK(REPORTS!O1039),"",REPORTS!O1039)</f>
        <v>0</v>
      </c>
      <c r="J1273" s="1364">
        <f>+IF(ISBLANK(REPORTS!P1039),"",REPORTS!P1039)</f>
        <v>0</v>
      </c>
      <c r="K1273" s="1364">
        <f>+IF(ISBLANK(REPORTS!Q1039),"",REPORTS!Q1039)</f>
        <v>0</v>
      </c>
      <c r="L1273" s="1364"/>
      <c r="M1273" s="1320">
        <v>106</v>
      </c>
    </row>
    <row r="1274" spans="1:13">
      <c r="A1274" s="1393">
        <v>9</v>
      </c>
      <c r="B1274" s="1324" t="s">
        <v>5242</v>
      </c>
      <c r="C1274" s="1324" t="s">
        <v>4071</v>
      </c>
      <c r="D1274" s="1364">
        <f>+IF(ISBLANK(REPORTS!J1040),"",REPORTS!J1040)</f>
        <v>0</v>
      </c>
      <c r="E1274" s="1364">
        <f>+IF(ISBLANK(REPORTS!K1040),"",REPORTS!K1040)</f>
        <v>0</v>
      </c>
      <c r="F1274" s="1364">
        <f>+IF(ISBLANK(REPORTS!L1040),"",REPORTS!L1040)</f>
        <v>0</v>
      </c>
      <c r="G1274" s="1364">
        <f>+IF(ISBLANK(REPORTS!M1040),"",REPORTS!M1040)</f>
        <v>0</v>
      </c>
      <c r="H1274" s="1364">
        <f>+IF(ISBLANK(REPORTS!N1040),"",REPORTS!N1040)</f>
        <v>0</v>
      </c>
      <c r="I1274" s="1364">
        <f>+IF(ISBLANK(REPORTS!O1040),"",REPORTS!O1040)</f>
        <v>0</v>
      </c>
      <c r="J1274" s="1364">
        <f>+IF(ISBLANK(REPORTS!P1040),"",REPORTS!P1040)</f>
        <v>0</v>
      </c>
      <c r="K1274" s="1364">
        <f>+IF(ISBLANK(REPORTS!Q1040),"",REPORTS!Q1040)</f>
        <v>0</v>
      </c>
      <c r="L1274" s="1358"/>
      <c r="M1274" s="1320">
        <v>907</v>
      </c>
    </row>
    <row r="1275" spans="1:13">
      <c r="A1275" s="1393">
        <v>10</v>
      </c>
      <c r="B1275" s="1324" t="s">
        <v>5244</v>
      </c>
      <c r="C1275" s="1324" t="s">
        <v>4071</v>
      </c>
      <c r="D1275" s="1366">
        <f>+IF(ISBLANK(REPORTS!J1041),"",REPORTS!J1041)</f>
        <v>0</v>
      </c>
      <c r="E1275" s="1366">
        <f>+IF(ISBLANK(REPORTS!K1041),"",REPORTS!K1041)</f>
        <v>0</v>
      </c>
      <c r="F1275" s="1366">
        <f>+IF(ISBLANK(REPORTS!L1041),"",REPORTS!L1041)</f>
        <v>0</v>
      </c>
      <c r="G1275" s="1366">
        <f>+IF(ISBLANK(REPORTS!M1041),"",REPORTS!M1041)</f>
        <v>0</v>
      </c>
      <c r="H1275" s="1366">
        <f>+IF(ISBLANK(REPORTS!N1041),"",REPORTS!N1041)</f>
        <v>0</v>
      </c>
      <c r="I1275" s="1366">
        <f>+IF(ISBLANK(REPORTS!O1041),"",REPORTS!O1041)</f>
        <v>0</v>
      </c>
      <c r="J1275" s="1366">
        <f>+IF(ISBLANK(REPORTS!P1041),"",REPORTS!P1041)</f>
        <v>0</v>
      </c>
      <c r="K1275" s="1366">
        <f>+IF(ISBLANK(REPORTS!Q1041),"",REPORTS!Q1041)</f>
        <v>0</v>
      </c>
      <c r="L1275" s="1358"/>
      <c r="M1275" s="1320">
        <v>412</v>
      </c>
    </row>
    <row r="1276" spans="1:13">
      <c r="A1276" s="1393">
        <v>11</v>
      </c>
      <c r="D1276" s="1364" t="str">
        <f>+IF(ISBLANK(REPORTS!J1042),"",REPORTS!J1042)</f>
        <v/>
      </c>
      <c r="E1276" s="1364" t="str">
        <f>+IF(ISBLANK(REPORTS!K1042),"",REPORTS!K1042)</f>
        <v/>
      </c>
      <c r="F1276" s="1364" t="str">
        <f>+IF(ISBLANK(REPORTS!L1042),"",REPORTS!L1042)</f>
        <v/>
      </c>
      <c r="G1276" s="1364" t="str">
        <f>+IF(ISBLANK(REPORTS!M1042),"",REPORTS!M1042)</f>
        <v/>
      </c>
      <c r="H1276" s="1364" t="str">
        <f>+IF(ISBLANK(REPORTS!N1042),"",REPORTS!N1042)</f>
        <v/>
      </c>
      <c r="I1276" s="1364" t="str">
        <f>+IF(ISBLANK(REPORTS!O1042),"",REPORTS!O1042)</f>
        <v/>
      </c>
      <c r="J1276" s="1364" t="str">
        <f>+IF(ISBLANK(REPORTS!P1042),"",REPORTS!P1042)</f>
        <v/>
      </c>
      <c r="K1276" s="1364" t="str">
        <f>+IF(ISBLANK(REPORTS!Q1042),"",REPORTS!Q1042)</f>
        <v/>
      </c>
      <c r="L1276" s="1358"/>
      <c r="M1276" s="1321"/>
    </row>
    <row r="1277" spans="1:13" ht="15" thickBot="1">
      <c r="A1277" s="1393">
        <v>12</v>
      </c>
      <c r="B1277" s="1324" t="s">
        <v>5672</v>
      </c>
      <c r="D1277" s="1380">
        <f>+IF(ISBLANK(REPORTS!J1043),"",REPORTS!J1043)</f>
        <v>68033.559813157728</v>
      </c>
      <c r="E1277" s="1380">
        <f>+IF(ISBLANK(REPORTS!K1043),"",REPORTS!K1043)</f>
        <v>40180.642536318162</v>
      </c>
      <c r="F1277" s="1380">
        <f>+IF(ISBLANK(REPORTS!L1043),"",REPORTS!L1043)</f>
        <v>3178.9646627556954</v>
      </c>
      <c r="G1277" s="1380">
        <f>+IF(ISBLANK(REPORTS!M1043),"",REPORTS!M1043)</f>
        <v>20697.758064849604</v>
      </c>
      <c r="H1277" s="1380">
        <f>+IF(ISBLANK(REPORTS!N1043),"",REPORTS!N1043)</f>
        <v>2488.0635873788915</v>
      </c>
      <c r="I1277" s="1380">
        <f>+IF(ISBLANK(REPORTS!O1043),"",REPORTS!O1043)</f>
        <v>1327.0255328166152</v>
      </c>
      <c r="J1277" s="1380">
        <f>+IF(ISBLANK(REPORTS!P1043),"",REPORTS!P1043)</f>
        <v>161.10542903876782</v>
      </c>
      <c r="K1277" s="1380">
        <f>+IF(ISBLANK(REPORTS!Q1043),"",REPORTS!Q1043)</f>
        <v>0</v>
      </c>
      <c r="L1277" s="1358"/>
    </row>
    <row r="1278" spans="1:13" ht="15" thickTop="1"/>
    <row r="1315" spans="1:13">
      <c r="A1315" s="1732" t="str">
        <f>+$A$1</f>
        <v>RATES WITH REVENUE DEFICIENCY ADDITION</v>
      </c>
      <c r="B1315" s="1364"/>
      <c r="F1315" s="1329" t="s">
        <v>2173</v>
      </c>
      <c r="G1315" s="1329"/>
      <c r="H1315" s="1329"/>
      <c r="I1315" s="1329"/>
      <c r="M1315" s="1334" t="s">
        <v>5702</v>
      </c>
    </row>
    <row r="1316" spans="1:13">
      <c r="A1316" s="1732" t="str">
        <f>+$A$2</f>
        <v>PROD. CAP. ALLOC. METHOD: 12 CP &amp; 1/13th AD</v>
      </c>
      <c r="B1316" s="1364"/>
      <c r="F1316" s="1336" t="s">
        <v>5141</v>
      </c>
      <c r="G1316" s="1336"/>
      <c r="H1316" s="1336"/>
      <c r="I1316" s="1336"/>
      <c r="L1316" s="1331"/>
      <c r="M1316" s="1409"/>
    </row>
    <row r="1317" spans="1:13">
      <c r="A1317" s="1732" t="str">
        <f>+$A$3</f>
        <v>PROJECTED CALENDAR YEAR 2025; FULLY ADJUSTED DATA</v>
      </c>
      <c r="B1317" s="1364"/>
      <c r="F1317" s="1336" t="s">
        <v>2181</v>
      </c>
      <c r="M1317" s="1358"/>
    </row>
    <row r="1318" spans="1:13">
      <c r="A1318" s="1732" t="str">
        <f>+$A$4</f>
        <v>MINIMUM DISTRIBUTION SYSTEM (MDS) NOT EMPLOYED</v>
      </c>
      <c r="B1318" s="1364"/>
      <c r="E1318" s="1364"/>
      <c r="F1318" s="1336"/>
      <c r="G1318" s="1336"/>
      <c r="H1318" s="1336"/>
      <c r="I1318" s="1336"/>
      <c r="M1318" s="1358"/>
    </row>
    <row r="1319" spans="1:13">
      <c r="A1319" s="1732" t="str">
        <f>+$A$5</f>
        <v>Tampa Electric 2025 OB Budget</v>
      </c>
      <c r="B1319" s="1364"/>
      <c r="E1319" s="1364"/>
      <c r="F1319" s="1336" t="s">
        <v>5674</v>
      </c>
      <c r="G1319" s="1336"/>
      <c r="H1319" s="1336"/>
      <c r="I1319" s="1336"/>
      <c r="M1319" s="1358"/>
    </row>
    <row r="1320" spans="1:13">
      <c r="A1320" s="1439"/>
      <c r="B1320" s="1364"/>
      <c r="E1320" s="1364"/>
      <c r="F1320" s="1336"/>
      <c r="G1320" s="1336"/>
      <c r="H1320" s="1336"/>
      <c r="I1320" s="1336"/>
      <c r="M1320" s="1358"/>
    </row>
    <row r="1321" spans="1:13">
      <c r="A1321" s="1439"/>
      <c r="B1321" s="1364"/>
      <c r="C1321" s="1364"/>
      <c r="E1321" s="1364"/>
      <c r="F1321" s="1336"/>
      <c r="G1321" s="1336"/>
      <c r="H1321" s="1336"/>
      <c r="I1321" s="1336"/>
      <c r="M1321" s="1358"/>
    </row>
    <row r="1322" spans="1:13">
      <c r="A1322" s="1439"/>
      <c r="B1322" s="1364"/>
      <c r="C1322" s="1364"/>
      <c r="E1322" s="1364"/>
      <c r="M1322" s="1358"/>
    </row>
    <row r="1323" spans="1:13">
      <c r="A1323" s="1439"/>
      <c r="B1323" s="1364"/>
      <c r="C1323" s="1364"/>
      <c r="E1323" s="1364"/>
      <c r="M1323" s="1358"/>
    </row>
    <row r="1324" spans="1:13" ht="28.2">
      <c r="A1324" s="1737" t="s">
        <v>4297</v>
      </c>
      <c r="B1324" s="1741"/>
      <c r="C1324" s="1741"/>
      <c r="D1324" s="1352" t="s">
        <v>4957</v>
      </c>
      <c r="E1324" s="1353" t="s">
        <v>1949</v>
      </c>
      <c r="F1324" s="1353" t="s">
        <v>1950</v>
      </c>
      <c r="G1324" s="1353" t="s">
        <v>1934</v>
      </c>
      <c r="H1324" s="1353" t="s">
        <v>1971</v>
      </c>
      <c r="I1324" s="1353" t="s">
        <v>1972</v>
      </c>
      <c r="J1324" s="1352" t="s">
        <v>5146</v>
      </c>
      <c r="K1324" s="1352" t="s">
        <v>5147</v>
      </c>
      <c r="L1324" s="1355"/>
      <c r="M1324" s="1348" t="s">
        <v>5299</v>
      </c>
    </row>
    <row r="1325" spans="1:13">
      <c r="A1325" s="1439"/>
      <c r="B1325" s="1364"/>
      <c r="C1325" s="1364"/>
      <c r="E1325" s="1364"/>
      <c r="M1325" s="1358"/>
    </row>
    <row r="1326" spans="1:13">
      <c r="A1326" s="1439">
        <v>1</v>
      </c>
      <c r="B1326" s="1450" t="s">
        <v>5675</v>
      </c>
      <c r="C1326" s="1364"/>
      <c r="E1326" s="1364"/>
      <c r="M1326" s="1436"/>
    </row>
    <row r="1327" spans="1:13">
      <c r="A1327" s="1439">
        <v>2</v>
      </c>
      <c r="B1327" s="1364" t="s">
        <v>4813</v>
      </c>
      <c r="C1327" s="1364" t="s">
        <v>4067</v>
      </c>
      <c r="D1327" s="1364">
        <f>+IF(ISBLANK(REPORTS!J1061),"",REPORTS!J1061)</f>
        <v>1542784.9571961607</v>
      </c>
      <c r="E1327" s="1324">
        <f>+IF(ISBLANK(REPORTS!K1061),"",REPORTS!K1061)</f>
        <v>885889.74993918533</v>
      </c>
      <c r="F1327" s="1324">
        <f>+IF(ISBLANK(REPORTS!L1061),"",REPORTS!L1061)</f>
        <v>73671.163621662941</v>
      </c>
      <c r="G1327" s="1324">
        <f>+IF(ISBLANK(REPORTS!M1061),"",REPORTS!M1061)</f>
        <v>476793.1638703419</v>
      </c>
      <c r="H1327" s="1324">
        <f>+IF(ISBLANK(REPORTS!N1061),"",REPORTS!N1061)</f>
        <v>60937.393240860991</v>
      </c>
      <c r="I1327" s="1324">
        <f>+IF(ISBLANK(REPORTS!O1061),"",REPORTS!O1061)</f>
        <v>43856.833100691001</v>
      </c>
      <c r="J1327" s="1324">
        <f>+IF(ISBLANK(REPORTS!P1061),"",REPORTS!P1061)</f>
        <v>1636.653423418654</v>
      </c>
      <c r="K1327" s="1324">
        <f>+IF(ISBLANK(REPORTS!Q1061),"",REPORTS!Q1061)</f>
        <v>0</v>
      </c>
      <c r="L1327" s="1324"/>
      <c r="M1327" s="1324">
        <v>122</v>
      </c>
    </row>
    <row r="1328" spans="1:13">
      <c r="A1328" s="1439">
        <v>3</v>
      </c>
      <c r="B1328" s="1364" t="s">
        <v>5393</v>
      </c>
      <c r="C1328" s="1364" t="s">
        <v>4067</v>
      </c>
      <c r="D1328" s="1364">
        <f>+IF(ISBLANK(REPORTS!J1062),"",REPORTS!J1062)</f>
        <v>222985.51598999996</v>
      </c>
      <c r="E1328" s="1324">
        <f>+IF(ISBLANK(REPORTS!K1062),"",REPORTS!K1062)</f>
        <v>128041.55373633484</v>
      </c>
      <c r="F1328" s="1324">
        <f>+IF(ISBLANK(REPORTS!L1062),"",REPORTS!L1062)</f>
        <v>10648.01828481369</v>
      </c>
      <c r="G1328" s="1324">
        <f>+IF(ISBLANK(REPORTS!M1062),"",REPORTS!M1062)</f>
        <v>68913.019387584529</v>
      </c>
      <c r="H1328" s="1324">
        <f>+IF(ISBLANK(REPORTS!N1062),"",REPORTS!N1062)</f>
        <v>8807.5502755704074</v>
      </c>
      <c r="I1328" s="1324">
        <f>+IF(ISBLANK(REPORTS!O1062),"",REPORTS!O1062)</f>
        <v>6338.8215661746726</v>
      </c>
      <c r="J1328" s="1324">
        <f>+IF(ISBLANK(REPORTS!P1062),"",REPORTS!P1062)</f>
        <v>236.55273952182185</v>
      </c>
      <c r="K1328" s="1324">
        <f>+IF(ISBLANK(REPORTS!Q1062),"",REPORTS!Q1062)</f>
        <v>0</v>
      </c>
      <c r="L1328" s="1324"/>
      <c r="M1328" s="1324">
        <v>121</v>
      </c>
    </row>
    <row r="1329" spans="1:13">
      <c r="A1329" s="1439">
        <v>4</v>
      </c>
      <c r="B1329" s="1364" t="s">
        <v>4814</v>
      </c>
      <c r="C1329" s="1364" t="s">
        <v>2067</v>
      </c>
      <c r="D1329" s="1366">
        <f>+IF(ISBLANK(REPORTS!J1063),"",REPORTS!J1063)</f>
        <v>293748.25699691643</v>
      </c>
      <c r="E1329" s="1364">
        <f>+IF(ISBLANK(REPORTS!K1063),"",REPORTS!K1063)</f>
        <v>148235.41232929239</v>
      </c>
      <c r="F1329" s="1364">
        <f>+IF(ISBLANK(REPORTS!L1063),"",REPORTS!L1063)</f>
        <v>13698.68738891955</v>
      </c>
      <c r="G1329" s="1364">
        <f>+IF(ISBLANK(REPORTS!M1063),"",REPORTS!M1063)</f>
        <v>102049.90030187555</v>
      </c>
      <c r="H1329" s="1364">
        <f>+IF(ISBLANK(REPORTS!N1063),"",REPORTS!N1063)</f>
        <v>16244.703291998096</v>
      </c>
      <c r="I1329" s="1364">
        <f>+IF(ISBLANK(REPORTS!O1063),"",REPORTS!O1063)</f>
        <v>11967.665648698916</v>
      </c>
      <c r="J1329" s="1364">
        <f>+IF(ISBLANK(REPORTS!P1063),"",REPORTS!P1063)</f>
        <v>1551.8880361319234</v>
      </c>
      <c r="K1329" s="1364">
        <f>+IF(ISBLANK(REPORTS!Q1063),"",REPORTS!Q1063)</f>
        <v>0</v>
      </c>
      <c r="L1329" s="1364"/>
      <c r="M1329" s="1324">
        <v>201</v>
      </c>
    </row>
    <row r="1330" spans="1:13">
      <c r="A1330" s="1439">
        <v>5</v>
      </c>
      <c r="B1330" s="1364" t="s">
        <v>5676</v>
      </c>
      <c r="D1330" s="1421">
        <f>+IF(ISBLANK(REPORTS!J1064),"",REPORTS!J1064)</f>
        <v>2059518.730183077</v>
      </c>
      <c r="E1330" s="1421">
        <f>+IF(ISBLANK(REPORTS!K1064),"",REPORTS!K1064)</f>
        <v>1162166.7160048126</v>
      </c>
      <c r="F1330" s="1421">
        <f>+IF(ISBLANK(REPORTS!L1064),"",REPORTS!L1064)</f>
        <v>98017.869295396187</v>
      </c>
      <c r="G1330" s="1421">
        <f>+IF(ISBLANK(REPORTS!M1064),"",REPORTS!M1064)</f>
        <v>647756.08355980203</v>
      </c>
      <c r="H1330" s="1421">
        <f>+IF(ISBLANK(REPORTS!N1064),"",REPORTS!N1064)</f>
        <v>85989.646808429505</v>
      </c>
      <c r="I1330" s="1421">
        <f>+IF(ISBLANK(REPORTS!O1064),"",REPORTS!O1064)</f>
        <v>62163.32031556459</v>
      </c>
      <c r="J1330" s="1421">
        <f>+IF(ISBLANK(REPORTS!P1064),"",REPORTS!P1064)</f>
        <v>3425.0941990723995</v>
      </c>
      <c r="K1330" s="1421">
        <f>+IF(ISBLANK(REPORTS!Q1064),"",REPORTS!Q1064)</f>
        <v>0</v>
      </c>
      <c r="L1330" s="1364"/>
      <c r="M1330" s="1324"/>
    </row>
    <row r="1331" spans="1:13">
      <c r="A1331" s="1439">
        <v>6</v>
      </c>
      <c r="B1331" s="1364"/>
      <c r="C1331" s="1364"/>
      <c r="D1331" s="1364" t="str">
        <f>+IF(ISBLANK(REPORTS!J1065),"",REPORTS!J1065)</f>
        <v/>
      </c>
      <c r="E1331" s="1364" t="str">
        <f>+IF(ISBLANK(REPORTS!K1065),"",REPORTS!K1065)</f>
        <v/>
      </c>
      <c r="F1331" s="1364" t="str">
        <f>+IF(ISBLANK(REPORTS!L1065),"",REPORTS!L1065)</f>
        <v/>
      </c>
      <c r="G1331" s="1364" t="str">
        <f>+IF(ISBLANK(REPORTS!M1065),"",REPORTS!M1065)</f>
        <v/>
      </c>
      <c r="H1331" s="1364" t="str">
        <f>+IF(ISBLANK(REPORTS!N1065),"",REPORTS!N1065)</f>
        <v/>
      </c>
      <c r="I1331" s="1364" t="str">
        <f>+IF(ISBLANK(REPORTS!O1065),"",REPORTS!O1065)</f>
        <v/>
      </c>
      <c r="J1331" s="1364" t="str">
        <f>+IF(ISBLANK(REPORTS!P1065),"",REPORTS!P1065)</f>
        <v/>
      </c>
      <c r="K1331" s="1364" t="str">
        <f>+IF(ISBLANK(REPORTS!Q1065),"",REPORTS!Q1065)</f>
        <v/>
      </c>
      <c r="L1331" s="1364"/>
      <c r="M1331" s="1326"/>
    </row>
    <row r="1332" spans="1:13">
      <c r="A1332" s="1439">
        <v>7</v>
      </c>
      <c r="B1332" s="1364"/>
      <c r="C1332" s="1364"/>
      <c r="D1332" s="1364" t="str">
        <f>+IF(ISBLANK(REPORTS!J1066),"",REPORTS!J1066)</f>
        <v/>
      </c>
      <c r="E1332" s="1364" t="str">
        <f>+IF(ISBLANK(REPORTS!K1066),"",REPORTS!K1066)</f>
        <v/>
      </c>
      <c r="F1332" s="1364" t="str">
        <f>+IF(ISBLANK(REPORTS!L1066),"",REPORTS!L1066)</f>
        <v/>
      </c>
      <c r="G1332" s="1364" t="str">
        <f>+IF(ISBLANK(REPORTS!M1066),"",REPORTS!M1066)</f>
        <v/>
      </c>
      <c r="H1332" s="1364" t="str">
        <f>+IF(ISBLANK(REPORTS!N1066),"",REPORTS!N1066)</f>
        <v/>
      </c>
      <c r="I1332" s="1364" t="str">
        <f>+IF(ISBLANK(REPORTS!O1066),"",REPORTS!O1066)</f>
        <v/>
      </c>
      <c r="J1332" s="1364" t="str">
        <f>+IF(ISBLANK(REPORTS!P1066),"",REPORTS!P1066)</f>
        <v/>
      </c>
      <c r="K1332" s="1364" t="str">
        <f>+IF(ISBLANK(REPORTS!Q1066),"",REPORTS!Q1066)</f>
        <v/>
      </c>
      <c r="L1332" s="1364"/>
      <c r="M1332" s="1326"/>
    </row>
    <row r="1333" spans="1:13">
      <c r="A1333" s="1439">
        <v>8</v>
      </c>
      <c r="B1333" s="1450" t="s">
        <v>5677</v>
      </c>
      <c r="C1333" s="1364"/>
      <c r="D1333" s="1364" t="str">
        <f>+IF(ISBLANK(REPORTS!J1067),"",REPORTS!J1067)</f>
        <v/>
      </c>
      <c r="E1333" s="1364" t="str">
        <f>+IF(ISBLANK(REPORTS!K1067),"",REPORTS!K1067)</f>
        <v/>
      </c>
      <c r="F1333" s="1364" t="str">
        <f>+IF(ISBLANK(REPORTS!L1067),"",REPORTS!L1067)</f>
        <v/>
      </c>
      <c r="G1333" s="1364" t="str">
        <f>+IF(ISBLANK(REPORTS!M1067),"",REPORTS!M1067)</f>
        <v/>
      </c>
      <c r="H1333" s="1364" t="str">
        <f>+IF(ISBLANK(REPORTS!N1067),"",REPORTS!N1067)</f>
        <v/>
      </c>
      <c r="I1333" s="1364" t="str">
        <f>+IF(ISBLANK(REPORTS!O1067),"",REPORTS!O1067)</f>
        <v/>
      </c>
      <c r="J1333" s="1364" t="str">
        <f>+IF(ISBLANK(REPORTS!P1067),"",REPORTS!P1067)</f>
        <v/>
      </c>
      <c r="K1333" s="1364" t="str">
        <f>+IF(ISBLANK(REPORTS!Q1067),"",REPORTS!Q1067)</f>
        <v/>
      </c>
      <c r="L1333" s="1364"/>
      <c r="M1333" s="1326"/>
    </row>
    <row r="1334" spans="1:13">
      <c r="A1334" s="1439">
        <v>9</v>
      </c>
      <c r="B1334" s="1364" t="s">
        <v>5397</v>
      </c>
      <c r="C1334" s="1364" t="s">
        <v>4067</v>
      </c>
      <c r="D1334" s="1364">
        <f>+IF(ISBLANK(REPORTS!J1068),"",REPORTS!J1068)</f>
        <v>46015.61165400179</v>
      </c>
      <c r="E1334" s="1364">
        <f>+IF(ISBLANK(REPORTS!K1068),"",REPORTS!K1068)</f>
        <v>26422.839107497977</v>
      </c>
      <c r="F1334" s="1364">
        <f>+IF(ISBLANK(REPORTS!L1068),"",REPORTS!L1068)</f>
        <v>2197.3403613384039</v>
      </c>
      <c r="G1334" s="1364">
        <f>+IF(ISBLANK(REPORTS!M1068),"",REPORTS!M1068)</f>
        <v>14220.989753370333</v>
      </c>
      <c r="H1334" s="1364">
        <f>+IF(ISBLANK(REPORTS!N1068),"",REPORTS!N1068)</f>
        <v>1817.5387370089086</v>
      </c>
      <c r="I1334" s="1364">
        <f>+IF(ISBLANK(REPORTS!O1068),"",REPORTS!O1068)</f>
        <v>1308.0883313792726</v>
      </c>
      <c r="J1334" s="1364">
        <f>+IF(ISBLANK(REPORTS!P1068),"",REPORTS!P1068)</f>
        <v>48.815363406897475</v>
      </c>
      <c r="K1334" s="1364">
        <f>+IF(ISBLANK(REPORTS!Q1068),"",REPORTS!Q1068)</f>
        <v>0</v>
      </c>
      <c r="L1334" s="1324"/>
      <c r="M1334" s="1324">
        <v>122</v>
      </c>
    </row>
    <row r="1335" spans="1:13">
      <c r="A1335" s="1439">
        <v>10</v>
      </c>
      <c r="B1335" s="1364" t="s">
        <v>5398</v>
      </c>
      <c r="C1335" s="1364" t="s">
        <v>4067</v>
      </c>
      <c r="D1335" s="1366">
        <f>+IF(ISBLANK(REPORTS!J1069),"",REPORTS!J1069)</f>
        <v>0</v>
      </c>
      <c r="E1335" s="1366">
        <f>+IF(ISBLANK(REPORTS!K1069),"",REPORTS!K1069)</f>
        <v>0</v>
      </c>
      <c r="F1335" s="1366">
        <f>+IF(ISBLANK(REPORTS!L1069),"",REPORTS!L1069)</f>
        <v>0</v>
      </c>
      <c r="G1335" s="1366">
        <f>+IF(ISBLANK(REPORTS!M1069),"",REPORTS!M1069)</f>
        <v>0</v>
      </c>
      <c r="H1335" s="1366">
        <f>+IF(ISBLANK(REPORTS!N1069),"",REPORTS!N1069)</f>
        <v>0</v>
      </c>
      <c r="I1335" s="1366">
        <f>+IF(ISBLANK(REPORTS!O1069),"",REPORTS!O1069)</f>
        <v>0</v>
      </c>
      <c r="J1335" s="1366">
        <f>+IF(ISBLANK(REPORTS!P1069),"",REPORTS!P1069)</f>
        <v>0</v>
      </c>
      <c r="K1335" s="1366">
        <f>+IF(ISBLANK(REPORTS!Q1069),"",REPORTS!Q1069)</f>
        <v>0</v>
      </c>
      <c r="L1335" s="1324"/>
      <c r="M1335" s="1324">
        <v>121</v>
      </c>
    </row>
    <row r="1336" spans="1:13">
      <c r="A1336" s="1439">
        <v>11</v>
      </c>
      <c r="B1336" s="1364" t="s">
        <v>5399</v>
      </c>
      <c r="C1336" s="1364"/>
      <c r="D1336" s="1421">
        <f>+IF(ISBLANK(REPORTS!J1070),"",REPORTS!J1070)</f>
        <v>46015.61165400179</v>
      </c>
      <c r="E1336" s="1421">
        <f>+IF(ISBLANK(REPORTS!K1070),"",REPORTS!K1070)</f>
        <v>26422.839107497977</v>
      </c>
      <c r="F1336" s="1421">
        <f>+IF(ISBLANK(REPORTS!L1070),"",REPORTS!L1070)</f>
        <v>2197.3403613384039</v>
      </c>
      <c r="G1336" s="1421">
        <f>+IF(ISBLANK(REPORTS!M1070),"",REPORTS!M1070)</f>
        <v>14220.989753370333</v>
      </c>
      <c r="H1336" s="1421">
        <f>+IF(ISBLANK(REPORTS!N1070),"",REPORTS!N1070)</f>
        <v>1817.5387370089086</v>
      </c>
      <c r="I1336" s="1421">
        <f>+IF(ISBLANK(REPORTS!O1070),"",REPORTS!O1070)</f>
        <v>1308.0883313792726</v>
      </c>
      <c r="J1336" s="1421">
        <f>+IF(ISBLANK(REPORTS!P1070),"",REPORTS!P1070)</f>
        <v>48.815363406897475</v>
      </c>
      <c r="K1336" s="1421">
        <f>+IF(ISBLANK(REPORTS!Q1070),"",REPORTS!Q1070)</f>
        <v>0</v>
      </c>
      <c r="L1336" s="1324"/>
      <c r="M1336" s="1324"/>
    </row>
    <row r="1337" spans="1:13">
      <c r="A1337" s="1439">
        <v>12</v>
      </c>
      <c r="B1337" s="1364"/>
      <c r="C1337" s="1364"/>
      <c r="D1337" s="1324" t="str">
        <f>+IF(ISBLANK(REPORTS!J1071),"",REPORTS!J1071)</f>
        <v/>
      </c>
      <c r="E1337" s="1324" t="str">
        <f>+IF(ISBLANK(REPORTS!K1071),"",REPORTS!K1071)</f>
        <v/>
      </c>
      <c r="F1337" s="1324" t="str">
        <f>+IF(ISBLANK(REPORTS!L1071),"",REPORTS!L1071)</f>
        <v/>
      </c>
      <c r="G1337" s="1324" t="str">
        <f>+IF(ISBLANK(REPORTS!M1071),"",REPORTS!M1071)</f>
        <v/>
      </c>
      <c r="H1337" s="1324" t="str">
        <f>+IF(ISBLANK(REPORTS!N1071),"",REPORTS!N1071)</f>
        <v/>
      </c>
      <c r="I1337" s="1324" t="str">
        <f>+IF(ISBLANK(REPORTS!O1071),"",REPORTS!O1071)</f>
        <v/>
      </c>
      <c r="J1337" s="1324" t="str">
        <f>+IF(ISBLANK(REPORTS!P1071),"",REPORTS!P1071)</f>
        <v/>
      </c>
      <c r="K1337" s="1324" t="str">
        <f>+IF(ISBLANK(REPORTS!Q1071),"",REPORTS!Q1071)</f>
        <v/>
      </c>
      <c r="L1337" s="1324"/>
      <c r="M1337" s="1326"/>
    </row>
    <row r="1338" spans="1:13">
      <c r="A1338" s="1439">
        <v>13</v>
      </c>
      <c r="B1338" s="1364" t="s">
        <v>5678</v>
      </c>
      <c r="C1338" s="1364" t="s">
        <v>4067</v>
      </c>
      <c r="D1338" s="1366">
        <f>+IF(ISBLANK(REPORTS!J1072),"",REPORTS!J1072)</f>
        <v>132870.50481765295</v>
      </c>
      <c r="E1338" s="1366">
        <f>+IF(ISBLANK(REPORTS!K1072),"",REPORTS!K1072)</f>
        <v>77066.625442059798</v>
      </c>
      <c r="F1338" s="1366">
        <f>+IF(ISBLANK(REPORTS!L1072),"",REPORTS!L1072)</f>
        <v>6357.2192622061921</v>
      </c>
      <c r="G1338" s="1366">
        <f>+IF(ISBLANK(REPORTS!M1072),"",REPORTS!M1072)</f>
        <v>40638.508954936224</v>
      </c>
      <c r="H1338" s="1366">
        <f>+IF(ISBLANK(REPORTS!N1072),"",REPORTS!N1072)</f>
        <v>5073.1790130568397</v>
      </c>
      <c r="I1338" s="1366">
        <f>+IF(ISBLANK(REPORTS!O1072),"",REPORTS!O1072)</f>
        <v>3640.7679396050867</v>
      </c>
      <c r="J1338" s="1366">
        <f>+IF(ISBLANK(REPORTS!P1072),"",REPORTS!P1072)</f>
        <v>94.204205788814406</v>
      </c>
      <c r="K1338" s="1366">
        <f>+IF(ISBLANK(REPORTS!Q1072),"",REPORTS!Q1072)</f>
        <v>0</v>
      </c>
      <c r="L1338" s="1364"/>
      <c r="M1338" s="1324">
        <v>117</v>
      </c>
    </row>
    <row r="1339" spans="1:13">
      <c r="A1339" s="1439">
        <v>14</v>
      </c>
      <c r="B1339" s="1364"/>
      <c r="C1339" s="1364"/>
      <c r="D1339" s="1324" t="str">
        <f>+IF(ISBLANK(REPORTS!J1073),"",REPORTS!J1073)</f>
        <v/>
      </c>
      <c r="E1339" s="1324" t="str">
        <f>+IF(ISBLANK(REPORTS!K1073),"",REPORTS!K1073)</f>
        <v/>
      </c>
      <c r="F1339" s="1324" t="str">
        <f>+IF(ISBLANK(REPORTS!L1073),"",REPORTS!L1073)</f>
        <v/>
      </c>
      <c r="G1339" s="1324" t="str">
        <f>+IF(ISBLANK(REPORTS!M1073),"",REPORTS!M1073)</f>
        <v/>
      </c>
      <c r="H1339" s="1324" t="str">
        <f>+IF(ISBLANK(REPORTS!N1073),"",REPORTS!N1073)</f>
        <v/>
      </c>
      <c r="I1339" s="1324" t="str">
        <f>+IF(ISBLANK(REPORTS!O1073),"",REPORTS!O1073)</f>
        <v/>
      </c>
      <c r="J1339" s="1324" t="str">
        <f>+IF(ISBLANK(REPORTS!P1073),"",REPORTS!P1073)</f>
        <v/>
      </c>
      <c r="K1339" s="1324" t="str">
        <f>+IF(ISBLANK(REPORTS!Q1073),"",REPORTS!Q1073)</f>
        <v/>
      </c>
      <c r="L1339" s="1324"/>
      <c r="M1339" s="1326"/>
    </row>
    <row r="1340" spans="1:13">
      <c r="A1340" s="1439">
        <v>15</v>
      </c>
      <c r="B1340" s="1364" t="s">
        <v>1953</v>
      </c>
      <c r="C1340" s="1364"/>
      <c r="D1340" s="1324" t="str">
        <f>+IF(ISBLANK(REPORTS!J1074),"",REPORTS!J1074)</f>
        <v/>
      </c>
      <c r="E1340" s="1324" t="str">
        <f>+IF(ISBLANK(REPORTS!K1074),"",REPORTS!K1074)</f>
        <v/>
      </c>
      <c r="F1340" s="1324" t="str">
        <f>+IF(ISBLANK(REPORTS!L1074),"",REPORTS!L1074)</f>
        <v/>
      </c>
      <c r="G1340" s="1324" t="str">
        <f>+IF(ISBLANK(REPORTS!M1074),"",REPORTS!M1074)</f>
        <v/>
      </c>
      <c r="H1340" s="1324" t="str">
        <f>+IF(ISBLANK(REPORTS!N1074),"",REPORTS!N1074)</f>
        <v/>
      </c>
      <c r="I1340" s="1324" t="str">
        <f>+IF(ISBLANK(REPORTS!O1074),"",REPORTS!O1074)</f>
        <v/>
      </c>
      <c r="J1340" s="1324" t="str">
        <f>+IF(ISBLANK(REPORTS!P1074),"",REPORTS!P1074)</f>
        <v/>
      </c>
      <c r="K1340" s="1324" t="str">
        <f>+IF(ISBLANK(REPORTS!Q1074),"",REPORTS!Q1074)</f>
        <v/>
      </c>
      <c r="L1340" s="1324"/>
      <c r="M1340" s="1326"/>
    </row>
    <row r="1341" spans="1:13">
      <c r="A1341" s="1439">
        <v>16</v>
      </c>
      <c r="B1341" s="1364" t="s">
        <v>5293</v>
      </c>
      <c r="C1341" s="1364" t="s">
        <v>4067</v>
      </c>
      <c r="D1341" s="1364">
        <f>+IF(ISBLANK(REPORTS!J1075),"",REPORTS!J1075)</f>
        <v>43644.55747310997</v>
      </c>
      <c r="E1341" s="1364">
        <f>+IF(ISBLANK(REPORTS!K1075),"",REPORTS!K1075)</f>
        <v>25314.412464832782</v>
      </c>
      <c r="F1341" s="1364">
        <f>+IF(ISBLANK(REPORTS!L1075),"",REPORTS!L1075)</f>
        <v>2088.1836931326034</v>
      </c>
      <c r="G1341" s="1364">
        <f>+IF(ISBLANK(REPORTS!M1075),"",REPORTS!M1075)</f>
        <v>13348.709272530468</v>
      </c>
      <c r="H1341" s="1364">
        <f>+IF(ISBLANK(REPORTS!N1075),"",REPORTS!N1075)</f>
        <v>1666.4093608329356</v>
      </c>
      <c r="I1341" s="1364">
        <f>+IF(ISBLANK(REPORTS!O1075),"",REPORTS!O1075)</f>
        <v>1195.8990131362791</v>
      </c>
      <c r="J1341" s="1364">
        <f>+IF(ISBLANK(REPORTS!P1075),"",REPORTS!P1075)</f>
        <v>30.943668644904118</v>
      </c>
      <c r="K1341" s="1364">
        <f>+IF(ISBLANK(REPORTS!Q1075),"",REPORTS!Q1075)</f>
        <v>0</v>
      </c>
      <c r="L1341" s="1364"/>
      <c r="M1341" s="1324">
        <v>117</v>
      </c>
    </row>
    <row r="1342" spans="1:13">
      <c r="A1342" s="1439">
        <v>17</v>
      </c>
      <c r="B1342" s="1364" t="s">
        <v>5294</v>
      </c>
      <c r="C1342" s="1364" t="s">
        <v>4067</v>
      </c>
      <c r="D1342" s="1366">
        <f>+IF(ISBLANK(REPORTS!J1076),"",REPORTS!J1076)</f>
        <v>72368.361543087885</v>
      </c>
      <c r="E1342" s="1366">
        <f>+IF(ISBLANK(REPORTS!K1076),"",REPORTS!K1076)</f>
        <v>41974.593387378656</v>
      </c>
      <c r="F1342" s="1366">
        <f>+IF(ISBLANK(REPORTS!L1076),"",REPORTS!L1076)</f>
        <v>3462.4805754098188</v>
      </c>
      <c r="G1342" s="1366">
        <f>+IF(ISBLANK(REPORTS!M1076),"",REPORTS!M1076)</f>
        <v>22133.898811168739</v>
      </c>
      <c r="H1342" s="1366">
        <f>+IF(ISBLANK(REPORTS!N1076),"",REPORTS!N1076)</f>
        <v>2763.1237910441496</v>
      </c>
      <c r="I1342" s="1366">
        <f>+IF(ISBLANK(REPORTS!O1076),"",REPORTS!O1076)</f>
        <v>1982.9563446711541</v>
      </c>
      <c r="J1342" s="1366">
        <f>+IF(ISBLANK(REPORTS!P1076),"",REPORTS!P1076)</f>
        <v>51.308633415371993</v>
      </c>
      <c r="K1342" s="1366">
        <f>+IF(ISBLANK(REPORTS!Q1076),"",REPORTS!Q1076)</f>
        <v>0</v>
      </c>
      <c r="L1342" s="1364"/>
      <c r="M1342" s="1324">
        <v>117</v>
      </c>
    </row>
    <row r="1343" spans="1:13">
      <c r="A1343" s="1439">
        <v>18</v>
      </c>
      <c r="B1343" s="1364" t="s">
        <v>1953</v>
      </c>
      <c r="C1343" s="1364"/>
      <c r="D1343" s="1366">
        <f>+IF(ISBLANK(REPORTS!J1077),"",REPORTS!J1077)</f>
        <v>116012.91901619785</v>
      </c>
      <c r="E1343" s="1366">
        <f>+IF(ISBLANK(REPORTS!K1077),"",REPORTS!K1077)</f>
        <v>67289.005852211441</v>
      </c>
      <c r="F1343" s="1366">
        <f>+IF(ISBLANK(REPORTS!L1077),"",REPORTS!L1077)</f>
        <v>5550.6642685424222</v>
      </c>
      <c r="G1343" s="1366">
        <f>+IF(ISBLANK(REPORTS!M1077),"",REPORTS!M1077)</f>
        <v>35482.608083699204</v>
      </c>
      <c r="H1343" s="1366">
        <f>+IF(ISBLANK(REPORTS!N1077),"",REPORTS!N1077)</f>
        <v>4429.5331518770854</v>
      </c>
      <c r="I1343" s="1366">
        <f>+IF(ISBLANK(REPORTS!O1077),"",REPORTS!O1077)</f>
        <v>3178.8553578074334</v>
      </c>
      <c r="J1343" s="1366">
        <f>+IF(ISBLANK(REPORTS!P1077),"",REPORTS!P1077)</f>
        <v>82.252302060276108</v>
      </c>
      <c r="K1343" s="1366">
        <f>+IF(ISBLANK(REPORTS!Q1077),"",REPORTS!Q1077)</f>
        <v>0</v>
      </c>
      <c r="L1343" s="1364"/>
      <c r="M1343" s="1324"/>
    </row>
    <row r="1344" spans="1:13">
      <c r="A1344" s="1439">
        <v>19</v>
      </c>
      <c r="B1344" s="1364"/>
      <c r="C1344" s="1364"/>
      <c r="D1344" s="1364" t="str">
        <f>+IF(ISBLANK(REPORTS!J1078),"",REPORTS!J1078)</f>
        <v/>
      </c>
      <c r="E1344" s="1364" t="str">
        <f>+IF(ISBLANK(REPORTS!K1078),"",REPORTS!K1078)</f>
        <v/>
      </c>
      <c r="F1344" s="1364" t="str">
        <f>+IF(ISBLANK(REPORTS!L1078),"",REPORTS!L1078)</f>
        <v/>
      </c>
      <c r="G1344" s="1364" t="str">
        <f>+IF(ISBLANK(REPORTS!M1078),"",REPORTS!M1078)</f>
        <v/>
      </c>
      <c r="H1344" s="1364" t="str">
        <f>+IF(ISBLANK(REPORTS!N1078),"",REPORTS!N1078)</f>
        <v/>
      </c>
      <c r="I1344" s="1364" t="str">
        <f>+IF(ISBLANK(REPORTS!O1078),"",REPORTS!O1078)</f>
        <v/>
      </c>
      <c r="J1344" s="1364" t="str">
        <f>+IF(ISBLANK(REPORTS!P1078),"",REPORTS!P1078)</f>
        <v/>
      </c>
      <c r="K1344" s="1364" t="str">
        <f>+IF(ISBLANK(REPORTS!Q1078),"",REPORTS!Q1078)</f>
        <v/>
      </c>
      <c r="L1344" s="1364"/>
      <c r="M1344" s="1438"/>
    </row>
    <row r="1345" spans="1:13">
      <c r="A1345" s="1439">
        <v>20</v>
      </c>
      <c r="B1345" s="1364" t="s">
        <v>5679</v>
      </c>
      <c r="C1345" s="1364"/>
      <c r="D1345" s="1366">
        <f>+IF(ISBLANK(REPORTS!J1079),"",REPORTS!J1079)</f>
        <v>294899.03548785258</v>
      </c>
      <c r="E1345" s="1366">
        <f>+IF(ISBLANK(REPORTS!K1079),"",REPORTS!K1079)</f>
        <v>170778.47040176921</v>
      </c>
      <c r="F1345" s="1366">
        <f>+IF(ISBLANK(REPORTS!L1079),"",REPORTS!L1079)</f>
        <v>14105.223892087019</v>
      </c>
      <c r="G1345" s="1366">
        <f>+IF(ISBLANK(REPORTS!M1079),"",REPORTS!M1079)</f>
        <v>90342.106792005769</v>
      </c>
      <c r="H1345" s="1366">
        <f>+IF(ISBLANK(REPORTS!N1079),"",REPORTS!N1079)</f>
        <v>11320.250901942833</v>
      </c>
      <c r="I1345" s="1366">
        <f>+IF(ISBLANK(REPORTS!O1079),"",REPORTS!O1079)</f>
        <v>8127.7116287917925</v>
      </c>
      <c r="J1345" s="1366">
        <f>+IF(ISBLANK(REPORTS!P1079),"",REPORTS!P1079)</f>
        <v>225.271871255988</v>
      </c>
      <c r="K1345" s="1366">
        <f>+IF(ISBLANK(REPORTS!Q1079),"",REPORTS!Q1079)</f>
        <v>0</v>
      </c>
      <c r="L1345" s="1364"/>
      <c r="M1345" s="1438"/>
    </row>
    <row r="1346" spans="1:13">
      <c r="A1346" s="1439"/>
      <c r="B1346" s="1364"/>
      <c r="C1346" s="1364"/>
      <c r="D1346" s="1364"/>
      <c r="E1346" s="1364"/>
      <c r="F1346" s="1364"/>
      <c r="G1346" s="1364"/>
      <c r="H1346" s="1364"/>
      <c r="I1346" s="1364"/>
      <c r="J1346" s="1364"/>
      <c r="K1346" s="1364"/>
      <c r="L1346" s="1358"/>
      <c r="M1346" s="1436"/>
    </row>
    <row r="1347" spans="1:13">
      <c r="A1347" s="1439"/>
      <c r="B1347" s="1364"/>
      <c r="C1347" s="1364"/>
      <c r="D1347" s="1364"/>
      <c r="E1347" s="1364"/>
      <c r="M1347" s="1436"/>
    </row>
    <row r="1374" spans="1:13">
      <c r="A1374" s="1439"/>
      <c r="B1374" s="1364"/>
      <c r="C1374" s="1364"/>
      <c r="D1374" s="1364"/>
      <c r="E1374" s="1364"/>
      <c r="M1374" s="1436"/>
    </row>
    <row r="1375" spans="1:13">
      <c r="A1375" s="1732" t="str">
        <f>+$A$1</f>
        <v>RATES WITH REVENUE DEFICIENCY ADDITION</v>
      </c>
      <c r="B1375" s="1364"/>
      <c r="F1375" s="1329" t="s">
        <v>2173</v>
      </c>
      <c r="G1375" s="1329"/>
      <c r="H1375" s="1329"/>
      <c r="I1375" s="1329"/>
      <c r="M1375" s="1334" t="s">
        <v>5714</v>
      </c>
    </row>
    <row r="1376" spans="1:13">
      <c r="A1376" s="1732" t="str">
        <f>+$A$2</f>
        <v>PROD. CAP. ALLOC. METHOD: 12 CP &amp; 1/13th AD</v>
      </c>
      <c r="B1376" s="1364"/>
      <c r="F1376" s="1336" t="s">
        <v>5141</v>
      </c>
      <c r="G1376" s="1336"/>
      <c r="H1376" s="1336"/>
      <c r="I1376" s="1336"/>
      <c r="L1376" s="1331"/>
      <c r="M1376" s="1409"/>
    </row>
    <row r="1377" spans="1:13">
      <c r="A1377" s="1732" t="str">
        <f>+$A$3</f>
        <v>PROJECTED CALENDAR YEAR 2025; FULLY ADJUSTED DATA</v>
      </c>
      <c r="B1377" s="1364"/>
      <c r="F1377" s="1336" t="s">
        <v>2181</v>
      </c>
      <c r="M1377" s="1436"/>
    </row>
    <row r="1378" spans="1:13">
      <c r="A1378" s="1732" t="str">
        <f>+$A$4</f>
        <v>MINIMUM DISTRIBUTION SYSTEM (MDS) NOT EMPLOYED</v>
      </c>
      <c r="B1378" s="1364"/>
      <c r="E1378" s="1364"/>
      <c r="F1378" s="1336"/>
      <c r="G1378" s="1336"/>
      <c r="H1378" s="1336"/>
      <c r="I1378" s="1336"/>
      <c r="M1378" s="1436"/>
    </row>
    <row r="1379" spans="1:13">
      <c r="A1379" s="1732" t="str">
        <f>+$A$5</f>
        <v>Tampa Electric 2025 OB Budget</v>
      </c>
      <c r="B1379" s="1364"/>
      <c r="E1379" s="1364"/>
      <c r="F1379" s="1336" t="s">
        <v>5674</v>
      </c>
      <c r="G1379" s="1336"/>
      <c r="H1379" s="1336"/>
      <c r="I1379" s="1336"/>
      <c r="M1379" s="1436"/>
    </row>
    <row r="1380" spans="1:13">
      <c r="A1380" s="1439"/>
      <c r="B1380" s="1364"/>
      <c r="E1380" s="1364"/>
      <c r="F1380" s="1336"/>
      <c r="G1380" s="1336"/>
      <c r="H1380" s="1336"/>
      <c r="I1380" s="1336"/>
      <c r="M1380" s="1436"/>
    </row>
    <row r="1381" spans="1:13">
      <c r="A1381" s="1439"/>
      <c r="B1381" s="1364"/>
      <c r="C1381" s="1364"/>
      <c r="E1381" s="1364"/>
      <c r="F1381" s="1336"/>
      <c r="G1381" s="1336"/>
      <c r="H1381" s="1336"/>
      <c r="I1381" s="1336"/>
      <c r="M1381" s="1436"/>
    </row>
    <row r="1382" spans="1:13">
      <c r="A1382" s="1439"/>
      <c r="B1382" s="1364"/>
      <c r="C1382" s="1364"/>
      <c r="E1382" s="1364"/>
      <c r="M1382" s="1436"/>
    </row>
    <row r="1383" spans="1:13">
      <c r="A1383" s="1735"/>
      <c r="B1383" s="1416"/>
      <c r="C1383" s="1416"/>
      <c r="D1383" s="1416"/>
      <c r="E1383" s="1336"/>
      <c r="F1383" s="1416"/>
      <c r="G1383" s="1416"/>
      <c r="H1383" s="1416"/>
      <c r="I1383" s="1416"/>
      <c r="J1383" s="1336"/>
      <c r="K1383" s="1336"/>
      <c r="L1383" s="1333"/>
      <c r="M1383" s="1436"/>
    </row>
    <row r="1384" spans="1:13" ht="28.2">
      <c r="A1384" s="1737" t="s">
        <v>4297</v>
      </c>
      <c r="B1384" s="1741"/>
      <c r="C1384" s="1741"/>
      <c r="D1384" s="1352" t="s">
        <v>4957</v>
      </c>
      <c r="E1384" s="1353" t="s">
        <v>1949</v>
      </c>
      <c r="F1384" s="1353" t="s">
        <v>1950</v>
      </c>
      <c r="G1384" s="1353" t="s">
        <v>1934</v>
      </c>
      <c r="H1384" s="1353" t="s">
        <v>1971</v>
      </c>
      <c r="I1384" s="1353" t="s">
        <v>1972</v>
      </c>
      <c r="J1384" s="1352" t="s">
        <v>5146</v>
      </c>
      <c r="K1384" s="1352" t="s">
        <v>5147</v>
      </c>
      <c r="L1384" s="1355"/>
      <c r="M1384" s="1348" t="s">
        <v>5299</v>
      </c>
    </row>
    <row r="1385" spans="1:13">
      <c r="A1385" s="1543"/>
      <c r="B1385" s="1447"/>
      <c r="C1385" s="1447"/>
      <c r="D1385" s="1399"/>
      <c r="E1385" s="1360"/>
      <c r="F1385" s="1360"/>
      <c r="G1385" s="1360"/>
      <c r="H1385" s="1360"/>
      <c r="I1385" s="1360"/>
      <c r="J1385" s="1399"/>
      <c r="K1385" s="1399"/>
      <c r="L1385" s="1346"/>
      <c r="M1385" s="1396"/>
    </row>
    <row r="1386" spans="1:13">
      <c r="A1386" s="1439">
        <v>21</v>
      </c>
      <c r="B1386" s="1450" t="s">
        <v>5681</v>
      </c>
      <c r="C1386" s="1364"/>
      <c r="E1386" s="1364"/>
      <c r="M1386" s="1436"/>
    </row>
    <row r="1387" spans="1:13">
      <c r="A1387" s="1439">
        <v>22</v>
      </c>
      <c r="B1387" s="1364" t="s">
        <v>5293</v>
      </c>
      <c r="C1387" s="1364" t="s">
        <v>4067</v>
      </c>
      <c r="D1387" s="1364">
        <f>+IF(ISBLANK(REPORTS!J1097),"",REPORTS!J1097)</f>
        <v>92545.866450000001</v>
      </c>
      <c r="E1387" s="1364">
        <f>+IF(ISBLANK(REPORTS!K1097),"",REPORTS!K1097)</f>
        <v>57602.029130018054</v>
      </c>
      <c r="F1387" s="1364">
        <f>+IF(ISBLANK(REPORTS!L1097),"",REPORTS!L1097)</f>
        <v>4096.800781036578</v>
      </c>
      <c r="G1387" s="1364">
        <f>+IF(ISBLANK(REPORTS!M1097),"",REPORTS!M1097)</f>
        <v>27430.639164521795</v>
      </c>
      <c r="H1387" s="1364">
        <f>+IF(ISBLANK(REPORTS!N1097),"",REPORTS!N1097)</f>
        <v>2885.1517172082431</v>
      </c>
      <c r="I1387" s="1364">
        <f>+IF(ISBLANK(REPORTS!O1097),"",REPORTS!O1097)</f>
        <v>1.9699253864467721E-3</v>
      </c>
      <c r="J1387" s="1364">
        <f>+IF(ISBLANK(REPORTS!P1097),"",REPORTS!P1097)</f>
        <v>531.24368728997047</v>
      </c>
      <c r="K1387" s="1364">
        <f>+IF(ISBLANK(REPORTS!Q1097),"",REPORTS!Q1097)</f>
        <v>0</v>
      </c>
      <c r="L1387" s="1358"/>
      <c r="M1387" s="1320">
        <v>105</v>
      </c>
    </row>
    <row r="1388" spans="1:13">
      <c r="A1388" s="1439">
        <v>23</v>
      </c>
      <c r="B1388" s="1364"/>
      <c r="C1388" s="1364"/>
      <c r="D1388" s="1324" t="str">
        <f>+IF(ISBLANK(REPORTS!J1098),"",REPORTS!J1098)</f>
        <v/>
      </c>
      <c r="E1388" s="1324" t="str">
        <f>+IF(ISBLANK(REPORTS!K1098),"",REPORTS!K1098)</f>
        <v/>
      </c>
      <c r="F1388" s="1324" t="str">
        <f>+IF(ISBLANK(REPORTS!L1098),"",REPORTS!L1098)</f>
        <v/>
      </c>
      <c r="G1388" s="1324" t="str">
        <f>+IF(ISBLANK(REPORTS!M1098),"",REPORTS!M1098)</f>
        <v/>
      </c>
      <c r="H1388" s="1324" t="str">
        <f>+IF(ISBLANK(REPORTS!N1098),"",REPORTS!N1098)</f>
        <v/>
      </c>
      <c r="I1388" s="1324" t="str">
        <f>+IF(ISBLANK(REPORTS!O1098),"",REPORTS!O1098)</f>
        <v/>
      </c>
      <c r="J1388" s="1324" t="str">
        <f>+IF(ISBLANK(REPORTS!P1098),"",REPORTS!P1098)</f>
        <v/>
      </c>
      <c r="K1388" s="1324" t="str">
        <f>+IF(ISBLANK(REPORTS!Q1098),"",REPORTS!Q1098)</f>
        <v/>
      </c>
      <c r="M1388" s="1321"/>
    </row>
    <row r="1389" spans="1:13">
      <c r="A1389" s="1439">
        <v>24</v>
      </c>
      <c r="B1389" s="1364" t="s">
        <v>5405</v>
      </c>
      <c r="C1389" s="1364" t="s">
        <v>4071</v>
      </c>
      <c r="D1389" s="1364">
        <f>+IF(ISBLANK(REPORTS!J1099),"",REPORTS!J1099)</f>
        <v>14631.668475942406</v>
      </c>
      <c r="E1389" s="1364">
        <f>+IF(ISBLANK(REPORTS!K1099),"",REPORTS!K1099)</f>
        <v>0</v>
      </c>
      <c r="F1389" s="1364">
        <f>+IF(ISBLANK(REPORTS!L1099),"",REPORTS!L1099)</f>
        <v>0</v>
      </c>
      <c r="G1389" s="1364">
        <f>+IF(ISBLANK(REPORTS!M1099),"",REPORTS!M1099)</f>
        <v>0</v>
      </c>
      <c r="H1389" s="1364">
        <f>+IF(ISBLANK(REPORTS!N1099),"",REPORTS!N1099)</f>
        <v>0</v>
      </c>
      <c r="I1389" s="1364">
        <f>+IF(ISBLANK(REPORTS!O1099),"",REPORTS!O1099)</f>
        <v>0</v>
      </c>
      <c r="J1389" s="1364">
        <f>+IF(ISBLANK(REPORTS!P1099),"",REPORTS!P1099)</f>
        <v>0</v>
      </c>
      <c r="K1389" s="1364">
        <f>+IF(ISBLANK(REPORTS!Q1099),"",REPORTS!Q1099)</f>
        <v>14631.668475942406</v>
      </c>
      <c r="L1389" s="1358"/>
      <c r="M1389" s="1320">
        <v>310</v>
      </c>
    </row>
    <row r="1390" spans="1:13">
      <c r="A1390" s="1439">
        <v>25</v>
      </c>
      <c r="B1390" s="1364" t="s">
        <v>5406</v>
      </c>
      <c r="C1390" s="1364" t="s">
        <v>4067</v>
      </c>
      <c r="D1390" s="1364">
        <f>+IF(ISBLANK(REPORTS!J1100),"",REPORTS!J1100)</f>
        <v>137305.75619418611</v>
      </c>
      <c r="E1390" s="1364">
        <f>+IF(ISBLANK(REPORTS!K1100),"",REPORTS!K1100)</f>
        <v>85461.301205599812</v>
      </c>
      <c r="F1390" s="1364">
        <f>+IF(ISBLANK(REPORTS!L1100),"",REPORTS!L1100)</f>
        <v>6078.2220837607119</v>
      </c>
      <c r="G1390" s="1364">
        <f>+IF(ISBLANK(REPORTS!M1100),"",REPORTS!M1100)</f>
        <v>40697.491934006546</v>
      </c>
      <c r="H1390" s="1364">
        <f>+IF(ISBLANK(REPORTS!N1100),"",REPORTS!N1100)</f>
        <v>4280.5578840224089</v>
      </c>
      <c r="I1390" s="1364">
        <f>+IF(ISBLANK(REPORTS!O1100),"",REPORTS!O1100)</f>
        <v>2.9226815330356481E-3</v>
      </c>
      <c r="J1390" s="1364">
        <f>+IF(ISBLANK(REPORTS!P1100),"",REPORTS!P1100)</f>
        <v>788.18016411512167</v>
      </c>
      <c r="K1390" s="1364">
        <f>+IF(ISBLANK(REPORTS!Q1100),"",REPORTS!Q1100)</f>
        <v>0</v>
      </c>
      <c r="L1390" s="1358"/>
      <c r="M1390" s="1320">
        <v>105</v>
      </c>
    </row>
    <row r="1391" spans="1:13">
      <c r="A1391" s="1439">
        <v>26</v>
      </c>
      <c r="B1391" s="1364" t="s">
        <v>5407</v>
      </c>
      <c r="C1391" s="1364" t="s">
        <v>4071</v>
      </c>
      <c r="D1391" s="1364">
        <f>+IF(ISBLANK(REPORTS!J1101),"",REPORTS!J1101)</f>
        <v>0</v>
      </c>
      <c r="E1391" s="1364">
        <f>+IF(ISBLANK(REPORTS!K1101),"",REPORTS!K1101)</f>
        <v>0</v>
      </c>
      <c r="F1391" s="1364">
        <f>+IF(ISBLANK(REPORTS!L1101),"",REPORTS!L1101)</f>
        <v>0</v>
      </c>
      <c r="G1391" s="1364">
        <f>+IF(ISBLANK(REPORTS!M1101),"",REPORTS!M1101)</f>
        <v>0</v>
      </c>
      <c r="H1391" s="1364">
        <f>+IF(ISBLANK(REPORTS!N1101),"",REPORTS!N1101)</f>
        <v>0</v>
      </c>
      <c r="I1391" s="1364">
        <f>+IF(ISBLANK(REPORTS!O1101),"",REPORTS!O1101)</f>
        <v>0</v>
      </c>
      <c r="J1391" s="1364">
        <f>+IF(ISBLANK(REPORTS!P1101),"",REPORTS!P1101)</f>
        <v>0</v>
      </c>
      <c r="K1391" s="1364">
        <f>+IF(ISBLANK(REPORTS!Q1101),"",REPORTS!Q1101)</f>
        <v>0</v>
      </c>
      <c r="L1391" s="1364"/>
      <c r="M1391" s="1324">
        <v>418</v>
      </c>
    </row>
    <row r="1392" spans="1:13">
      <c r="A1392" s="1439">
        <v>27</v>
      </c>
      <c r="B1392" s="1364" t="s">
        <v>5408</v>
      </c>
      <c r="C1392" s="1364" t="s">
        <v>4067</v>
      </c>
      <c r="D1392" s="1364">
        <f>+IF(ISBLANK(REPORTS!J1102),"",REPORTS!J1102)</f>
        <v>41236.554519871468</v>
      </c>
      <c r="E1392" s="1364">
        <f>+IF(ISBLANK(REPORTS!K1102),"",REPORTS!K1102)</f>
        <v>30087.561758828535</v>
      </c>
      <c r="F1392" s="1364">
        <f>+IF(ISBLANK(REPORTS!L1102),"",REPORTS!L1102)</f>
        <v>2422.6458463768818</v>
      </c>
      <c r="G1392" s="1364">
        <f>+IF(ISBLANK(REPORTS!M1102),"",REPORTS!M1102)</f>
        <v>8577.1766392219124</v>
      </c>
      <c r="H1392" s="1364">
        <f>+IF(ISBLANK(REPORTS!N1102),"",REPORTS!N1102)</f>
        <v>0</v>
      </c>
      <c r="I1392" s="1364">
        <f>+IF(ISBLANK(REPORTS!O1102),"",REPORTS!O1102)</f>
        <v>0</v>
      </c>
      <c r="J1392" s="1364">
        <f>+IF(ISBLANK(REPORTS!P1102),"",REPORTS!P1102)</f>
        <v>149.17027544413716</v>
      </c>
      <c r="K1392" s="1364">
        <f>+IF(ISBLANK(REPORTS!Q1102),"",REPORTS!Q1102)</f>
        <v>0</v>
      </c>
      <c r="L1392" s="1364"/>
      <c r="M1392" s="1324">
        <v>106</v>
      </c>
    </row>
    <row r="1393" spans="1:13">
      <c r="A1393" s="1439">
        <v>28</v>
      </c>
      <c r="B1393" s="1364" t="s">
        <v>5409</v>
      </c>
      <c r="C1393" s="1364" t="s">
        <v>4071</v>
      </c>
      <c r="D1393" s="1364">
        <f>+IF(ISBLANK(REPORTS!J1103),"",REPORTS!J1103)</f>
        <v>0</v>
      </c>
      <c r="E1393" s="1364">
        <f>+IF(ISBLANK(REPORTS!K1103),"",REPORTS!K1103)</f>
        <v>0</v>
      </c>
      <c r="F1393" s="1364">
        <f>+IF(ISBLANK(REPORTS!L1103),"",REPORTS!L1103)</f>
        <v>0</v>
      </c>
      <c r="G1393" s="1364">
        <f>+IF(ISBLANK(REPORTS!M1103),"",REPORTS!M1103)</f>
        <v>0</v>
      </c>
      <c r="H1393" s="1364">
        <f>+IF(ISBLANK(REPORTS!N1103),"",REPORTS!N1103)</f>
        <v>0</v>
      </c>
      <c r="I1393" s="1364">
        <f>+IF(ISBLANK(REPORTS!O1103),"",REPORTS!O1103)</f>
        <v>0</v>
      </c>
      <c r="J1393" s="1364">
        <f>+IF(ISBLANK(REPORTS!P1103),"",REPORTS!P1103)</f>
        <v>0</v>
      </c>
      <c r="K1393" s="1364">
        <f>+IF(ISBLANK(REPORTS!Q1103),"",REPORTS!Q1103)</f>
        <v>0</v>
      </c>
      <c r="L1393" s="1364"/>
      <c r="M1393" s="1324">
        <v>420</v>
      </c>
    </row>
    <row r="1394" spans="1:13">
      <c r="A1394" s="1439">
        <v>29</v>
      </c>
      <c r="B1394" s="1364" t="s">
        <v>5637</v>
      </c>
      <c r="C1394" s="1364"/>
      <c r="D1394" s="1421">
        <f>+IF(ISBLANK(REPORTS!J1104),"",REPORTS!J1104)</f>
        <v>193173.97918999998</v>
      </c>
      <c r="E1394" s="1421">
        <f>+IF(ISBLANK(REPORTS!K1104),"",REPORTS!K1104)</f>
        <v>115548.86296442835</v>
      </c>
      <c r="F1394" s="1421">
        <f>+IF(ISBLANK(REPORTS!L1104),"",REPORTS!L1104)</f>
        <v>8500.8679301375942</v>
      </c>
      <c r="G1394" s="1421">
        <f>+IF(ISBLANK(REPORTS!M1104),"",REPORTS!M1104)</f>
        <v>49274.66857322846</v>
      </c>
      <c r="H1394" s="1421">
        <f>+IF(ISBLANK(REPORTS!N1104),"",REPORTS!N1104)</f>
        <v>4280.5578840224089</v>
      </c>
      <c r="I1394" s="1421">
        <f>+IF(ISBLANK(REPORTS!O1104),"",REPORTS!O1104)</f>
        <v>2.9226815330356481E-3</v>
      </c>
      <c r="J1394" s="1421">
        <f>+IF(ISBLANK(REPORTS!P1104),"",REPORTS!P1104)</f>
        <v>937.3504395592588</v>
      </c>
      <c r="K1394" s="1421">
        <f>+IF(ISBLANK(REPORTS!Q1104),"",REPORTS!Q1104)</f>
        <v>14631.668475942406</v>
      </c>
      <c r="L1394" s="1364"/>
      <c r="M1394" s="1326"/>
    </row>
    <row r="1395" spans="1:13">
      <c r="A1395" s="1439">
        <v>30</v>
      </c>
      <c r="B1395" s="1364"/>
      <c r="C1395" s="1364"/>
      <c r="D1395" s="1324" t="str">
        <f>+IF(ISBLANK(REPORTS!J1105),"",REPORTS!J1105)</f>
        <v/>
      </c>
      <c r="E1395" s="1324" t="str">
        <f>+IF(ISBLANK(REPORTS!K1105),"",REPORTS!K1105)</f>
        <v/>
      </c>
      <c r="F1395" s="1324" t="str">
        <f>+IF(ISBLANK(REPORTS!L1105),"",REPORTS!L1105)</f>
        <v/>
      </c>
      <c r="G1395" s="1324" t="str">
        <f>+IF(ISBLANK(REPORTS!M1105),"",REPORTS!M1105)</f>
        <v/>
      </c>
      <c r="H1395" s="1324" t="str">
        <f>+IF(ISBLANK(REPORTS!N1105),"",REPORTS!N1105)</f>
        <v/>
      </c>
      <c r="I1395" s="1324" t="str">
        <f>+IF(ISBLANK(REPORTS!O1105),"",REPORTS!O1105)</f>
        <v/>
      </c>
      <c r="J1395" s="1324" t="str">
        <f>+IF(ISBLANK(REPORTS!P1105),"",REPORTS!P1105)</f>
        <v/>
      </c>
      <c r="K1395" s="1324" t="str">
        <f>+IF(ISBLANK(REPORTS!Q1105),"",REPORTS!Q1105)</f>
        <v/>
      </c>
      <c r="L1395" s="1324"/>
      <c r="M1395" s="1326"/>
    </row>
    <row r="1396" spans="1:13">
      <c r="A1396" s="1439">
        <v>31</v>
      </c>
      <c r="B1396" s="1364" t="s">
        <v>5301</v>
      </c>
      <c r="C1396" s="1364" t="s">
        <v>4071</v>
      </c>
      <c r="D1396" s="1364">
        <f>+IF(ISBLANK(REPORTS!J1106),"",REPORTS!J1106)</f>
        <v>2332.0188410518558</v>
      </c>
      <c r="E1396" s="1364">
        <f>+IF(ISBLANK(REPORTS!K1106),"",REPORTS!K1106)</f>
        <v>0</v>
      </c>
      <c r="F1396" s="1364">
        <f>+IF(ISBLANK(REPORTS!L1106),"",REPORTS!L1106)</f>
        <v>0</v>
      </c>
      <c r="G1396" s="1364">
        <f>+IF(ISBLANK(REPORTS!M1106),"",REPORTS!M1106)</f>
        <v>0</v>
      </c>
      <c r="H1396" s="1364">
        <f>+IF(ISBLANK(REPORTS!N1106),"",REPORTS!N1106)</f>
        <v>0</v>
      </c>
      <c r="I1396" s="1364">
        <f>+IF(ISBLANK(REPORTS!O1106),"",REPORTS!O1106)</f>
        <v>0</v>
      </c>
      <c r="J1396" s="1364">
        <f>+IF(ISBLANK(REPORTS!P1106),"",REPORTS!P1106)</f>
        <v>0</v>
      </c>
      <c r="K1396" s="1364">
        <f>+IF(ISBLANK(REPORTS!Q1106),"",REPORTS!Q1106)</f>
        <v>2332.0188410518558</v>
      </c>
      <c r="L1396" s="1364"/>
      <c r="M1396" s="1324">
        <v>310</v>
      </c>
    </row>
    <row r="1397" spans="1:13">
      <c r="A1397" s="1439">
        <v>32</v>
      </c>
      <c r="B1397" s="1364" t="s">
        <v>5303</v>
      </c>
      <c r="C1397" s="1364" t="s">
        <v>4067</v>
      </c>
      <c r="D1397" s="1364">
        <f>+IF(ISBLANK(REPORTS!J1107),"",REPORTS!J1107)</f>
        <v>129229.6256603201</v>
      </c>
      <c r="E1397" s="1364">
        <f>+IF(ISBLANK(REPORTS!K1107),"",REPORTS!K1107)</f>
        <v>80434.588245697785</v>
      </c>
      <c r="F1397" s="1364">
        <f>+IF(ISBLANK(REPORTS!L1107),"",REPORTS!L1107)</f>
        <v>5720.7096507578699</v>
      </c>
      <c r="G1397" s="1364">
        <f>+IF(ISBLANK(REPORTS!M1107),"",REPORTS!M1107)</f>
        <v>38303.722973620366</v>
      </c>
      <c r="H1397" s="1364">
        <f>+IF(ISBLANK(REPORTS!N1107),"",REPORTS!N1107)</f>
        <v>4028.7815187239084</v>
      </c>
      <c r="I1397" s="1364">
        <f>+IF(ISBLANK(REPORTS!O1107),"",REPORTS!O1107)</f>
        <v>2.7507735357020671E-3</v>
      </c>
      <c r="J1397" s="1364">
        <f>+IF(ISBLANK(REPORTS!P1107),"",REPORTS!P1107)</f>
        <v>741.82052074667286</v>
      </c>
      <c r="K1397" s="1364">
        <f>+IF(ISBLANK(REPORTS!Q1107),"",REPORTS!Q1107)</f>
        <v>0</v>
      </c>
      <c r="L1397" s="1364"/>
      <c r="M1397" s="1324">
        <v>105</v>
      </c>
    </row>
    <row r="1398" spans="1:13">
      <c r="A1398" s="1439">
        <v>33</v>
      </c>
      <c r="B1398" s="1364" t="s">
        <v>5304</v>
      </c>
      <c r="C1398" s="1364" t="s">
        <v>4071</v>
      </c>
      <c r="D1398" s="1364">
        <f>+IF(ISBLANK(REPORTS!J1108),"",REPORTS!J1108)</f>
        <v>0</v>
      </c>
      <c r="E1398" s="1364">
        <f>+IF(ISBLANK(REPORTS!K1108),"",REPORTS!K1108)</f>
        <v>0</v>
      </c>
      <c r="F1398" s="1364">
        <f>+IF(ISBLANK(REPORTS!L1108),"",REPORTS!L1108)</f>
        <v>0</v>
      </c>
      <c r="G1398" s="1364">
        <f>+IF(ISBLANK(REPORTS!M1108),"",REPORTS!M1108)</f>
        <v>0</v>
      </c>
      <c r="H1398" s="1364">
        <f>+IF(ISBLANK(REPORTS!N1108),"",REPORTS!N1108)</f>
        <v>0</v>
      </c>
      <c r="I1398" s="1364">
        <f>+IF(ISBLANK(REPORTS!O1108),"",REPORTS!O1108)</f>
        <v>0</v>
      </c>
      <c r="J1398" s="1364">
        <f>+IF(ISBLANK(REPORTS!P1108),"",REPORTS!P1108)</f>
        <v>0</v>
      </c>
      <c r="K1398" s="1364">
        <f>+IF(ISBLANK(REPORTS!Q1108),"",REPORTS!Q1108)</f>
        <v>0</v>
      </c>
      <c r="L1398" s="1364"/>
      <c r="M1398" s="1324">
        <v>418</v>
      </c>
    </row>
    <row r="1399" spans="1:13">
      <c r="A1399" s="1439">
        <v>34</v>
      </c>
      <c r="B1399" s="1364" t="s">
        <v>5306</v>
      </c>
      <c r="C1399" s="1364" t="s">
        <v>4067</v>
      </c>
      <c r="D1399" s="1364">
        <f>+IF(ISBLANK(REPORTS!J1109),"",REPORTS!J1109)</f>
        <v>19659.49503862804</v>
      </c>
      <c r="E1399" s="1364">
        <f>+IF(ISBLANK(REPORTS!K1109),"",REPORTS!K1109)</f>
        <v>14344.221480411599</v>
      </c>
      <c r="F1399" s="1364">
        <f>+IF(ISBLANK(REPORTS!L1109),"",REPORTS!L1109)</f>
        <v>1154.9945079491958</v>
      </c>
      <c r="G1399" s="1364">
        <f>+IF(ISBLANK(REPORTS!M1109),"",REPORTS!M1109)</f>
        <v>4089.1622383960776</v>
      </c>
      <c r="H1399" s="1364">
        <f>+IF(ISBLANK(REPORTS!N1109),"",REPORTS!N1109)</f>
        <v>0</v>
      </c>
      <c r="I1399" s="1364">
        <f>+IF(ISBLANK(REPORTS!O1109),"",REPORTS!O1109)</f>
        <v>0</v>
      </c>
      <c r="J1399" s="1364">
        <f>+IF(ISBLANK(REPORTS!P1109),"",REPORTS!P1109)</f>
        <v>71.11681187116632</v>
      </c>
      <c r="K1399" s="1364">
        <f>+IF(ISBLANK(REPORTS!Q1109),"",REPORTS!Q1109)</f>
        <v>0</v>
      </c>
      <c r="L1399" s="1364"/>
      <c r="M1399" s="1324">
        <v>106</v>
      </c>
    </row>
    <row r="1400" spans="1:13">
      <c r="A1400" s="1439">
        <v>35</v>
      </c>
      <c r="B1400" s="1364" t="s">
        <v>5307</v>
      </c>
      <c r="C1400" s="1364" t="s">
        <v>4071</v>
      </c>
      <c r="D1400" s="1364">
        <f>+IF(ISBLANK(REPORTS!J1110),"",REPORTS!J1110)</f>
        <v>0</v>
      </c>
      <c r="E1400" s="1364">
        <f>+IF(ISBLANK(REPORTS!K1110),"",REPORTS!K1110)</f>
        <v>0</v>
      </c>
      <c r="F1400" s="1364">
        <f>+IF(ISBLANK(REPORTS!L1110),"",REPORTS!L1110)</f>
        <v>0</v>
      </c>
      <c r="G1400" s="1364">
        <f>+IF(ISBLANK(REPORTS!M1110),"",REPORTS!M1110)</f>
        <v>0</v>
      </c>
      <c r="H1400" s="1364">
        <f>+IF(ISBLANK(REPORTS!N1110),"",REPORTS!N1110)</f>
        <v>0</v>
      </c>
      <c r="I1400" s="1364">
        <f>+IF(ISBLANK(REPORTS!O1110),"",REPORTS!O1110)</f>
        <v>0</v>
      </c>
      <c r="J1400" s="1364">
        <f>+IF(ISBLANK(REPORTS!P1110),"",REPORTS!P1110)</f>
        <v>0</v>
      </c>
      <c r="K1400" s="1364">
        <f>+IF(ISBLANK(REPORTS!Q1110),"",REPORTS!Q1110)</f>
        <v>0</v>
      </c>
      <c r="L1400" s="1364"/>
      <c r="M1400" s="1324">
        <v>420</v>
      </c>
    </row>
    <row r="1401" spans="1:13">
      <c r="A1401" s="1439">
        <v>36</v>
      </c>
      <c r="B1401" s="1364" t="s">
        <v>5308</v>
      </c>
      <c r="C1401" s="1364"/>
      <c r="D1401" s="1421">
        <f>+IF(ISBLANK(REPORTS!J1111),"",REPORTS!J1111)</f>
        <v>151221.13954</v>
      </c>
      <c r="E1401" s="1421">
        <f>+IF(ISBLANK(REPORTS!K1111),"",REPORTS!K1111)</f>
        <v>94778.809726109379</v>
      </c>
      <c r="F1401" s="1421">
        <f>+IF(ISBLANK(REPORTS!L1111),"",REPORTS!L1111)</f>
        <v>6875.7041587070653</v>
      </c>
      <c r="G1401" s="1421">
        <f>+IF(ISBLANK(REPORTS!M1111),"",REPORTS!M1111)</f>
        <v>42392.885212016445</v>
      </c>
      <c r="H1401" s="1421">
        <f>+IF(ISBLANK(REPORTS!N1111),"",REPORTS!N1111)</f>
        <v>4028.7815187239084</v>
      </c>
      <c r="I1401" s="1421">
        <f>+IF(ISBLANK(REPORTS!O1111),"",REPORTS!O1111)</f>
        <v>2.7507735357020671E-3</v>
      </c>
      <c r="J1401" s="1421">
        <f>+IF(ISBLANK(REPORTS!P1111),"",REPORTS!P1111)</f>
        <v>812.93733261783916</v>
      </c>
      <c r="K1401" s="1421">
        <f>+IF(ISBLANK(REPORTS!Q1111),"",REPORTS!Q1111)</f>
        <v>2332.0188410518558</v>
      </c>
      <c r="L1401" s="1364"/>
      <c r="M1401" s="1326"/>
    </row>
    <row r="1402" spans="1:13">
      <c r="A1402" s="1439">
        <v>37</v>
      </c>
      <c r="B1402" s="1447"/>
      <c r="C1402" s="1447"/>
      <c r="D1402" s="1399" t="str">
        <f>+IF(ISBLANK(REPORTS!J1112),"",REPORTS!J1112)</f>
        <v/>
      </c>
      <c r="E1402" s="1360" t="str">
        <f>+IF(ISBLANK(REPORTS!K1112),"",REPORTS!K1112)</f>
        <v/>
      </c>
      <c r="F1402" s="1360" t="str">
        <f>+IF(ISBLANK(REPORTS!L1112),"",REPORTS!L1112)</f>
        <v/>
      </c>
      <c r="G1402" s="1360" t="str">
        <f>+IF(ISBLANK(REPORTS!M1112),"",REPORTS!M1112)</f>
        <v/>
      </c>
      <c r="H1402" s="1360" t="str">
        <f>+IF(ISBLANK(REPORTS!N1112),"",REPORTS!N1112)</f>
        <v/>
      </c>
      <c r="I1402" s="1360" t="str">
        <f>+IF(ISBLANK(REPORTS!O1112),"",REPORTS!O1112)</f>
        <v/>
      </c>
      <c r="J1402" s="1399" t="str">
        <f>+IF(ISBLANK(REPORTS!P1112),"",REPORTS!P1112)</f>
        <v/>
      </c>
      <c r="K1402" s="1399" t="str">
        <f>+IF(ISBLANK(REPORTS!Q1112),"",REPORTS!Q1112)</f>
        <v/>
      </c>
      <c r="L1402" s="1360"/>
      <c r="M1402" s="1399"/>
    </row>
    <row r="1403" spans="1:13">
      <c r="A1403" s="1439">
        <v>38</v>
      </c>
      <c r="B1403" s="1364" t="s">
        <v>5310</v>
      </c>
      <c r="C1403" s="1364" t="s">
        <v>4071</v>
      </c>
      <c r="D1403" s="1364">
        <f>+IF(ISBLANK(REPORTS!J1113),"",REPORTS!J1113)</f>
        <v>72.255280302396912</v>
      </c>
      <c r="E1403" s="1364">
        <f>+IF(ISBLANK(REPORTS!K1113),"",REPORTS!K1113)</f>
        <v>0</v>
      </c>
      <c r="F1403" s="1364">
        <f>+IF(ISBLANK(REPORTS!L1113),"",REPORTS!L1113)</f>
        <v>0</v>
      </c>
      <c r="G1403" s="1364">
        <f>+IF(ISBLANK(REPORTS!M1113),"",REPORTS!M1113)</f>
        <v>0</v>
      </c>
      <c r="H1403" s="1364">
        <f>+IF(ISBLANK(REPORTS!N1113),"",REPORTS!N1113)</f>
        <v>0</v>
      </c>
      <c r="I1403" s="1364">
        <f>+IF(ISBLANK(REPORTS!O1113),"",REPORTS!O1113)</f>
        <v>0</v>
      </c>
      <c r="J1403" s="1364">
        <f>+IF(ISBLANK(REPORTS!P1113),"",REPORTS!P1113)</f>
        <v>0</v>
      </c>
      <c r="K1403" s="1364">
        <f>+IF(ISBLANK(REPORTS!Q1113),"",REPORTS!Q1113)</f>
        <v>72.255280302396912</v>
      </c>
      <c r="L1403" s="1364"/>
      <c r="M1403" s="1324">
        <v>310</v>
      </c>
    </row>
    <row r="1404" spans="1:13">
      <c r="A1404" s="1439">
        <v>39</v>
      </c>
      <c r="B1404" s="1364" t="s">
        <v>5311</v>
      </c>
      <c r="C1404" s="1364" t="s">
        <v>4067</v>
      </c>
      <c r="D1404" s="1364">
        <f>+IF(ISBLANK(REPORTS!J1114),"",REPORTS!J1114)</f>
        <v>141098.14499999696</v>
      </c>
      <c r="E1404" s="1364">
        <f>+IF(ISBLANK(REPORTS!K1114),"",REPORTS!K1114)</f>
        <v>87821.744722357995</v>
      </c>
      <c r="F1404" s="1364">
        <f>+IF(ISBLANK(REPORTS!L1114),"",REPORTS!L1114)</f>
        <v>6246.1027468050661</v>
      </c>
      <c r="G1404" s="1364">
        <f>+IF(ISBLANK(REPORTS!M1114),"",REPORTS!M1114)</f>
        <v>41821.557793392851</v>
      </c>
      <c r="H1404" s="1364">
        <f>+IF(ISBLANK(REPORTS!N1114),"",REPORTS!N1114)</f>
        <v>4398.7870118605269</v>
      </c>
      <c r="I1404" s="1364">
        <f>+IF(ISBLANK(REPORTS!O1114),"",REPORTS!O1114)</f>
        <v>3.0034060782845665E-3</v>
      </c>
      <c r="J1404" s="1364">
        <f>+IF(ISBLANK(REPORTS!P1114),"",REPORTS!P1114)</f>
        <v>809.94972217447207</v>
      </c>
      <c r="K1404" s="1364">
        <f>+IF(ISBLANK(REPORTS!Q1114),"",REPORTS!Q1114)</f>
        <v>0</v>
      </c>
      <c r="L1404" s="1364"/>
      <c r="M1404" s="1324">
        <v>105</v>
      </c>
    </row>
    <row r="1405" spans="1:13">
      <c r="A1405" s="1439">
        <v>40</v>
      </c>
      <c r="B1405" s="1364" t="s">
        <v>5312</v>
      </c>
      <c r="C1405" s="1364" t="s">
        <v>4071</v>
      </c>
      <c r="D1405" s="1364">
        <f>+IF(ISBLANK(REPORTS!J1115),"",REPORTS!J1115)</f>
        <v>0</v>
      </c>
      <c r="E1405" s="1364">
        <f>+IF(ISBLANK(REPORTS!K1115),"",REPORTS!K1115)</f>
        <v>0</v>
      </c>
      <c r="F1405" s="1364">
        <f>+IF(ISBLANK(REPORTS!L1115),"",REPORTS!L1115)</f>
        <v>0</v>
      </c>
      <c r="G1405" s="1364">
        <f>+IF(ISBLANK(REPORTS!M1115),"",REPORTS!M1115)</f>
        <v>0</v>
      </c>
      <c r="H1405" s="1364">
        <f>+IF(ISBLANK(REPORTS!N1115),"",REPORTS!N1115)</f>
        <v>0</v>
      </c>
      <c r="I1405" s="1364">
        <f>+IF(ISBLANK(REPORTS!O1115),"",REPORTS!O1115)</f>
        <v>0</v>
      </c>
      <c r="J1405" s="1364">
        <f>+IF(ISBLANK(REPORTS!P1115),"",REPORTS!P1115)</f>
        <v>0</v>
      </c>
      <c r="K1405" s="1364">
        <f>+IF(ISBLANK(REPORTS!Q1115),"",REPORTS!Q1115)</f>
        <v>0</v>
      </c>
      <c r="L1405" s="1364"/>
      <c r="M1405" s="1324">
        <v>418</v>
      </c>
    </row>
    <row r="1406" spans="1:13">
      <c r="A1406" s="1439">
        <v>41</v>
      </c>
      <c r="B1406" s="1364" t="s">
        <v>5313</v>
      </c>
      <c r="C1406" s="1364" t="s">
        <v>4067</v>
      </c>
      <c r="D1406" s="1364">
        <f>+IF(ISBLANK(REPORTS!J1116),"",REPORTS!J1116)</f>
        <v>10758.21235970067</v>
      </c>
      <c r="E1406" s="1364">
        <f>+IF(ISBLANK(REPORTS!K1116),"",REPORTS!K1116)</f>
        <v>7849.5495696931785</v>
      </c>
      <c r="F1406" s="1364">
        <f>+IF(ISBLANK(REPORTS!L1116),"",REPORTS!L1116)</f>
        <v>632.04452435786322</v>
      </c>
      <c r="G1406" s="1364">
        <f>+IF(ISBLANK(REPORTS!M1116),"",REPORTS!M1116)</f>
        <v>2237.7012048120223</v>
      </c>
      <c r="H1406" s="1364">
        <f>+IF(ISBLANK(REPORTS!N1116),"",REPORTS!N1116)</f>
        <v>0</v>
      </c>
      <c r="I1406" s="1364">
        <f>+IF(ISBLANK(REPORTS!O1116),"",REPORTS!O1116)</f>
        <v>0</v>
      </c>
      <c r="J1406" s="1364">
        <f>+IF(ISBLANK(REPORTS!P1116),"",REPORTS!P1116)</f>
        <v>38.917060837605398</v>
      </c>
      <c r="K1406" s="1364">
        <f>+IF(ISBLANK(REPORTS!Q1116),"",REPORTS!Q1116)</f>
        <v>0</v>
      </c>
      <c r="L1406" s="1364"/>
      <c r="M1406" s="1324">
        <v>106</v>
      </c>
    </row>
    <row r="1407" spans="1:13">
      <c r="A1407" s="1439">
        <v>42</v>
      </c>
      <c r="B1407" s="1364" t="s">
        <v>5314</v>
      </c>
      <c r="C1407" s="1364" t="s">
        <v>4071</v>
      </c>
      <c r="D1407" s="1364">
        <f>+IF(ISBLANK(REPORTS!J1117),"",REPORTS!J1117)</f>
        <v>0</v>
      </c>
      <c r="E1407" s="1364">
        <f>+IF(ISBLANK(REPORTS!K1117),"",REPORTS!K1117)</f>
        <v>0</v>
      </c>
      <c r="F1407" s="1364">
        <f>+IF(ISBLANK(REPORTS!L1117),"",REPORTS!L1117)</f>
        <v>0</v>
      </c>
      <c r="G1407" s="1364">
        <f>+IF(ISBLANK(REPORTS!M1117),"",REPORTS!M1117)</f>
        <v>0</v>
      </c>
      <c r="H1407" s="1364">
        <f>+IF(ISBLANK(REPORTS!N1117),"",REPORTS!N1117)</f>
        <v>0</v>
      </c>
      <c r="I1407" s="1364">
        <f>+IF(ISBLANK(REPORTS!O1117),"",REPORTS!O1117)</f>
        <v>0</v>
      </c>
      <c r="J1407" s="1364">
        <f>+IF(ISBLANK(REPORTS!P1117),"",REPORTS!P1117)</f>
        <v>0</v>
      </c>
      <c r="K1407" s="1364">
        <f>+IF(ISBLANK(REPORTS!Q1117),"",REPORTS!Q1117)</f>
        <v>0</v>
      </c>
      <c r="L1407" s="1364"/>
      <c r="M1407" s="1324">
        <v>420</v>
      </c>
    </row>
    <row r="1408" spans="1:13">
      <c r="A1408" s="1439">
        <v>43</v>
      </c>
      <c r="B1408" s="1364" t="s">
        <v>5315</v>
      </c>
      <c r="C1408" s="1364"/>
      <c r="D1408" s="1421">
        <f>+IF(ISBLANK(REPORTS!J1118),"",REPORTS!J1118)</f>
        <v>151928.61264000004</v>
      </c>
      <c r="E1408" s="1421">
        <f>+IF(ISBLANK(REPORTS!K1118),"",REPORTS!K1118)</f>
        <v>95671.29429205117</v>
      </c>
      <c r="F1408" s="1421">
        <f>+IF(ISBLANK(REPORTS!L1118),"",REPORTS!L1118)</f>
        <v>6878.1472711629294</v>
      </c>
      <c r="G1408" s="1421">
        <f>+IF(ISBLANK(REPORTS!M1118),"",REPORTS!M1118)</f>
        <v>44059.258998204874</v>
      </c>
      <c r="H1408" s="1421">
        <f>+IF(ISBLANK(REPORTS!N1118),"",REPORTS!N1118)</f>
        <v>4398.7870118605269</v>
      </c>
      <c r="I1408" s="1421">
        <f>+IF(ISBLANK(REPORTS!O1118),"",REPORTS!O1118)</f>
        <v>3.0034060782845665E-3</v>
      </c>
      <c r="J1408" s="1421">
        <f>+IF(ISBLANK(REPORTS!P1118),"",REPORTS!P1118)</f>
        <v>848.86678301207746</v>
      </c>
      <c r="K1408" s="1421">
        <f>+IF(ISBLANK(REPORTS!Q1118),"",REPORTS!Q1118)</f>
        <v>72.255280302396912</v>
      </c>
      <c r="L1408" s="1364"/>
      <c r="M1408" s="1326"/>
    </row>
    <row r="1409" spans="1:13">
      <c r="A1409" s="1439">
        <v>44</v>
      </c>
      <c r="B1409" s="1364"/>
      <c r="C1409" s="1364"/>
      <c r="D1409" s="1324" t="str">
        <f>+IF(ISBLANK(REPORTS!J1119),"",REPORTS!J1119)</f>
        <v/>
      </c>
      <c r="E1409" s="1324" t="str">
        <f>+IF(ISBLANK(REPORTS!K1119),"",REPORTS!K1119)</f>
        <v/>
      </c>
      <c r="F1409" s="1324" t="str">
        <f>+IF(ISBLANK(REPORTS!L1119),"",REPORTS!L1119)</f>
        <v/>
      </c>
      <c r="G1409" s="1324" t="str">
        <f>+IF(ISBLANK(REPORTS!M1119),"",REPORTS!M1119)</f>
        <v/>
      </c>
      <c r="H1409" s="1324" t="str">
        <f>+IF(ISBLANK(REPORTS!N1119),"",REPORTS!N1119)</f>
        <v/>
      </c>
      <c r="I1409" s="1324" t="str">
        <f>+IF(ISBLANK(REPORTS!O1119),"",REPORTS!O1119)</f>
        <v/>
      </c>
      <c r="J1409" s="1324" t="str">
        <f>+IF(ISBLANK(REPORTS!P1119),"",REPORTS!P1119)</f>
        <v/>
      </c>
      <c r="K1409" s="1324" t="str">
        <f>+IF(ISBLANK(REPORTS!Q1119),"",REPORTS!Q1119)</f>
        <v/>
      </c>
      <c r="L1409" s="1324"/>
      <c r="M1409" s="1326"/>
    </row>
    <row r="1410" spans="1:13">
      <c r="A1410" s="1439">
        <v>45</v>
      </c>
      <c r="B1410" s="1324" t="s">
        <v>5317</v>
      </c>
      <c r="C1410" s="1364" t="s">
        <v>4071</v>
      </c>
      <c r="D1410" s="1364">
        <f>+IF(ISBLANK(REPORTS!J1120),"",REPORTS!J1120)</f>
        <v>0</v>
      </c>
      <c r="E1410" s="1364">
        <f>+IF(ISBLANK(REPORTS!K1120),"",REPORTS!K1120)</f>
        <v>0</v>
      </c>
      <c r="F1410" s="1364">
        <f>+IF(ISBLANK(REPORTS!L1120),"",REPORTS!L1120)</f>
        <v>0</v>
      </c>
      <c r="G1410" s="1364">
        <f>+IF(ISBLANK(REPORTS!M1120),"",REPORTS!M1120)</f>
        <v>0</v>
      </c>
      <c r="H1410" s="1364">
        <f>+IF(ISBLANK(REPORTS!N1120),"",REPORTS!N1120)</f>
        <v>0</v>
      </c>
      <c r="I1410" s="1364">
        <f>+IF(ISBLANK(REPORTS!O1120),"",REPORTS!O1120)</f>
        <v>0</v>
      </c>
      <c r="J1410" s="1364">
        <f>+IF(ISBLANK(REPORTS!P1120),"",REPORTS!P1120)</f>
        <v>0</v>
      </c>
      <c r="K1410" s="1364">
        <f>+IF(ISBLANK(REPORTS!Q1120),"",REPORTS!Q1120)</f>
        <v>0</v>
      </c>
      <c r="L1410" s="1364"/>
      <c r="M1410" s="1324">
        <v>310</v>
      </c>
    </row>
    <row r="1411" spans="1:13" ht="30" customHeight="1">
      <c r="A1411" s="1439">
        <v>46</v>
      </c>
      <c r="B1411" s="1324" t="s">
        <v>5318</v>
      </c>
      <c r="C1411" s="1364" t="s">
        <v>4067</v>
      </c>
      <c r="D1411" s="1364">
        <f>+IF(ISBLANK(REPORTS!J1121),"",REPORTS!J1121)</f>
        <v>61807.293146566983</v>
      </c>
      <c r="E1411" s="1364">
        <f>+IF(ISBLANK(REPORTS!K1121),"",REPORTS!K1121)</f>
        <v>38469.848917559262</v>
      </c>
      <c r="F1411" s="1364">
        <f>+IF(ISBLANK(REPORTS!L1121),"",REPORTS!L1121)</f>
        <v>2736.0721396823915</v>
      </c>
      <c r="G1411" s="1364">
        <f>+IF(ISBLANK(REPORTS!M1121),"",REPORTS!M1121)</f>
        <v>18319.711307206631</v>
      </c>
      <c r="H1411" s="1364">
        <f>+IF(ISBLANK(REPORTS!N1121),"",REPORTS!N1121)</f>
        <v>1926.8652917540544</v>
      </c>
      <c r="I1411" s="1364">
        <f>+IF(ISBLANK(REPORTS!O1121),"",REPORTS!O1121)</f>
        <v>1.3156260836648087E-3</v>
      </c>
      <c r="J1411" s="1364">
        <f>+IF(ISBLANK(REPORTS!P1121),"",REPORTS!P1121)</f>
        <v>354.79417473857762</v>
      </c>
      <c r="K1411" s="1364">
        <f>+IF(ISBLANK(REPORTS!Q1121),"",REPORTS!Q1121)</f>
        <v>0</v>
      </c>
      <c r="L1411" s="1364"/>
      <c r="M1411" s="1324">
        <v>105</v>
      </c>
    </row>
    <row r="1412" spans="1:13">
      <c r="A1412" s="1439">
        <v>47</v>
      </c>
      <c r="B1412" s="1324" t="s">
        <v>5319</v>
      </c>
      <c r="C1412" s="1364" t="s">
        <v>4071</v>
      </c>
      <c r="D1412" s="1364">
        <f>+IF(ISBLANK(REPORTS!J1122),"",REPORTS!J1122)</f>
        <v>0</v>
      </c>
      <c r="E1412" s="1364">
        <f>+IF(ISBLANK(REPORTS!K1122),"",REPORTS!K1122)</f>
        <v>0</v>
      </c>
      <c r="F1412" s="1364">
        <f>+IF(ISBLANK(REPORTS!L1122),"",REPORTS!L1122)</f>
        <v>0</v>
      </c>
      <c r="G1412" s="1364">
        <f>+IF(ISBLANK(REPORTS!M1122),"",REPORTS!M1122)</f>
        <v>0</v>
      </c>
      <c r="H1412" s="1364">
        <f>+IF(ISBLANK(REPORTS!N1122),"",REPORTS!N1122)</f>
        <v>0</v>
      </c>
      <c r="I1412" s="1364">
        <f>+IF(ISBLANK(REPORTS!O1122),"",REPORTS!O1122)</f>
        <v>0</v>
      </c>
      <c r="J1412" s="1364">
        <f>+IF(ISBLANK(REPORTS!P1122),"",REPORTS!P1122)</f>
        <v>0</v>
      </c>
      <c r="K1412" s="1364">
        <f>+IF(ISBLANK(REPORTS!Q1122),"",REPORTS!Q1122)</f>
        <v>0</v>
      </c>
      <c r="L1412" s="1364"/>
      <c r="M1412" s="1324">
        <v>418</v>
      </c>
    </row>
    <row r="1413" spans="1:13">
      <c r="A1413" s="1439">
        <v>48</v>
      </c>
      <c r="B1413" s="1324" t="s">
        <v>5320</v>
      </c>
      <c r="C1413" s="1364" t="s">
        <v>4067</v>
      </c>
      <c r="D1413" s="1364">
        <f>+IF(ISBLANK(REPORTS!J1123),"",REPORTS!J1123)</f>
        <v>313998.53075343295</v>
      </c>
      <c r="E1413" s="1364">
        <f>+IF(ISBLANK(REPORTS!K1123),"",REPORTS!K1123)</f>
        <v>229103.77203489945</v>
      </c>
      <c r="F1413" s="1364">
        <f>+IF(ISBLANK(REPORTS!L1123),"",REPORTS!L1123)</f>
        <v>18447.400495879716</v>
      </c>
      <c r="G1413" s="1364">
        <f>+IF(ISBLANK(REPORTS!M1123),"",REPORTS!M1123)</f>
        <v>65311.491080820364</v>
      </c>
      <c r="H1413" s="1364">
        <f>+IF(ISBLANK(REPORTS!N1123),"",REPORTS!N1123)</f>
        <v>0</v>
      </c>
      <c r="I1413" s="1364">
        <f>+IF(ISBLANK(REPORTS!O1123),"",REPORTS!O1123)</f>
        <v>0</v>
      </c>
      <c r="J1413" s="1364">
        <f>+IF(ISBLANK(REPORTS!P1123),"",REPORTS!P1123)</f>
        <v>1135.8671418334095</v>
      </c>
      <c r="K1413" s="1364">
        <f>+IF(ISBLANK(REPORTS!Q1123),"",REPORTS!Q1123)</f>
        <v>0</v>
      </c>
      <c r="L1413" s="1364"/>
      <c r="M1413" s="1324">
        <v>106</v>
      </c>
    </row>
    <row r="1414" spans="1:13">
      <c r="A1414" s="1439">
        <v>49</v>
      </c>
      <c r="B1414" s="1324" t="s">
        <v>5321</v>
      </c>
      <c r="C1414" s="1364" t="s">
        <v>4071</v>
      </c>
      <c r="D1414" s="1364">
        <f>+IF(ISBLANK(REPORTS!J1124),"",REPORTS!J1124)</f>
        <v>0</v>
      </c>
      <c r="E1414" s="1364">
        <f>+IF(ISBLANK(REPORTS!K1124),"",REPORTS!K1124)</f>
        <v>0</v>
      </c>
      <c r="F1414" s="1364">
        <f>+IF(ISBLANK(REPORTS!L1124),"",REPORTS!L1124)</f>
        <v>0</v>
      </c>
      <c r="G1414" s="1364">
        <f>+IF(ISBLANK(REPORTS!M1124),"",REPORTS!M1124)</f>
        <v>0</v>
      </c>
      <c r="H1414" s="1364">
        <f>+IF(ISBLANK(REPORTS!N1124),"",REPORTS!N1124)</f>
        <v>0</v>
      </c>
      <c r="I1414" s="1364">
        <f>+IF(ISBLANK(REPORTS!O1124),"",REPORTS!O1124)</f>
        <v>0</v>
      </c>
      <c r="J1414" s="1364">
        <f>+IF(ISBLANK(REPORTS!P1124),"",REPORTS!P1124)</f>
        <v>0</v>
      </c>
      <c r="K1414" s="1364">
        <f>+IF(ISBLANK(REPORTS!Q1124),"",REPORTS!Q1124)</f>
        <v>0</v>
      </c>
      <c r="L1414" s="1364"/>
      <c r="M1414" s="1324">
        <v>420</v>
      </c>
    </row>
    <row r="1415" spans="1:13">
      <c r="A1415" s="1439">
        <v>50</v>
      </c>
      <c r="B1415" s="1324" t="s">
        <v>5322</v>
      </c>
      <c r="C1415" s="1364"/>
      <c r="D1415" s="1421">
        <f>+IF(ISBLANK(REPORTS!J1125),"",REPORTS!J1125)</f>
        <v>375805.82389999996</v>
      </c>
      <c r="E1415" s="1421">
        <f>+IF(ISBLANK(REPORTS!K1125),"",REPORTS!K1125)</f>
        <v>267573.6209524587</v>
      </c>
      <c r="F1415" s="1421">
        <f>+IF(ISBLANK(REPORTS!L1125),"",REPORTS!L1125)</f>
        <v>21183.472635562106</v>
      </c>
      <c r="G1415" s="1421">
        <f>+IF(ISBLANK(REPORTS!M1125),"",REPORTS!M1125)</f>
        <v>83631.202388026999</v>
      </c>
      <c r="H1415" s="1421">
        <f>+IF(ISBLANK(REPORTS!N1125),"",REPORTS!N1125)</f>
        <v>1926.8652917540544</v>
      </c>
      <c r="I1415" s="1421">
        <f>+IF(ISBLANK(REPORTS!O1125),"",REPORTS!O1125)</f>
        <v>1.3156260836648087E-3</v>
      </c>
      <c r="J1415" s="1421">
        <f>+IF(ISBLANK(REPORTS!P1125),"",REPORTS!P1125)</f>
        <v>1490.6613165719871</v>
      </c>
      <c r="K1415" s="1421">
        <f>+IF(ISBLANK(REPORTS!Q1125),"",REPORTS!Q1125)</f>
        <v>0</v>
      </c>
      <c r="L1415" s="1364"/>
      <c r="M1415" s="1326"/>
    </row>
    <row r="1416" spans="1:13">
      <c r="A1416" s="1439">
        <v>51</v>
      </c>
      <c r="B1416" s="1364"/>
      <c r="C1416" s="1364"/>
      <c r="D1416" s="1324" t="str">
        <f>+IF(ISBLANK(REPORTS!J1126),"",REPORTS!J1126)</f>
        <v/>
      </c>
      <c r="E1416" s="1324" t="str">
        <f>+IF(ISBLANK(REPORTS!K1126),"",REPORTS!K1126)</f>
        <v/>
      </c>
      <c r="F1416" s="1324" t="str">
        <f>+IF(ISBLANK(REPORTS!L1126),"",REPORTS!L1126)</f>
        <v/>
      </c>
      <c r="G1416" s="1324" t="str">
        <f>+IF(ISBLANK(REPORTS!M1126),"",REPORTS!M1126)</f>
        <v/>
      </c>
      <c r="H1416" s="1324" t="str">
        <f>+IF(ISBLANK(REPORTS!N1126),"",REPORTS!N1126)</f>
        <v/>
      </c>
      <c r="I1416" s="1324" t="str">
        <f>+IF(ISBLANK(REPORTS!O1126),"",REPORTS!O1126)</f>
        <v/>
      </c>
      <c r="J1416" s="1324" t="str">
        <f>+IF(ISBLANK(REPORTS!P1126),"",REPORTS!P1126)</f>
        <v/>
      </c>
      <c r="K1416" s="1324" t="str">
        <f>+IF(ISBLANK(REPORTS!Q1126),"",REPORTS!Q1126)</f>
        <v/>
      </c>
      <c r="L1416" s="1324"/>
      <c r="M1416" s="1321"/>
    </row>
    <row r="1417" spans="1:13">
      <c r="A1417" s="1439">
        <v>52</v>
      </c>
      <c r="B1417" s="1364" t="s">
        <v>5324</v>
      </c>
      <c r="C1417" s="1364" t="s">
        <v>4071</v>
      </c>
      <c r="D1417" s="1364">
        <f>+IF(ISBLANK(REPORTS!J1127),"",REPORTS!J1127)</f>
        <v>143574.07361000002</v>
      </c>
      <c r="E1417" s="1364">
        <f>+IF(ISBLANK(REPORTS!K1127),"",REPORTS!K1127)</f>
        <v>128088.06594180243</v>
      </c>
      <c r="F1417" s="1364">
        <f>+IF(ISBLANK(REPORTS!L1127),"",REPORTS!L1127)</f>
        <v>12413.820635147011</v>
      </c>
      <c r="G1417" s="1364">
        <f>+IF(ISBLANK(REPORTS!M1127),"",REPORTS!M1127)</f>
        <v>3035.8810335273461</v>
      </c>
      <c r="H1417" s="1364">
        <f>+IF(ISBLANK(REPORTS!N1127),"",REPORTS!N1127)</f>
        <v>0</v>
      </c>
      <c r="I1417" s="1364">
        <f>+IF(ISBLANK(REPORTS!O1127),"",REPORTS!O1127)</f>
        <v>0</v>
      </c>
      <c r="J1417" s="1364">
        <f>+IF(ISBLANK(REPORTS!P1127),"",REPORTS!P1127)</f>
        <v>36.305999523230099</v>
      </c>
      <c r="K1417" s="1364">
        <f>+IF(ISBLANK(REPORTS!Q1127),"",REPORTS!Q1127)</f>
        <v>0</v>
      </c>
      <c r="L1417" s="1358"/>
      <c r="M1417" s="1320">
        <v>420</v>
      </c>
    </row>
    <row r="1418" spans="1:13">
      <c r="A1418" s="1439">
        <v>53</v>
      </c>
      <c r="B1418" s="1364" t="s">
        <v>5325</v>
      </c>
      <c r="C1418" s="1364" t="s">
        <v>4071</v>
      </c>
      <c r="D1418" s="1364">
        <f>+IF(ISBLANK(REPORTS!J1128),"",REPORTS!J1128)</f>
        <v>25380.59634</v>
      </c>
      <c r="E1418" s="1364">
        <f>+IF(ISBLANK(REPORTS!K1128),"",REPORTS!K1128)</f>
        <v>17326.630701168142</v>
      </c>
      <c r="F1418" s="1364">
        <f>+IF(ISBLANK(REPORTS!L1128),"",REPORTS!L1128)</f>
        <v>4518.5635815543374</v>
      </c>
      <c r="G1418" s="1364">
        <f>+IF(ISBLANK(REPORTS!M1128),"",REPORTS!M1128)</f>
        <v>2972.9650560298619</v>
      </c>
      <c r="H1418" s="1364">
        <f>+IF(ISBLANK(REPORTS!N1128),"",REPORTS!N1128)</f>
        <v>244.38702763080556</v>
      </c>
      <c r="I1418" s="1364">
        <f>+IF(ISBLANK(REPORTS!O1128),"",REPORTS!O1128)</f>
        <v>266.6365060541055</v>
      </c>
      <c r="J1418" s="1364">
        <f>+IF(ISBLANK(REPORTS!P1128),"",REPORTS!P1128)</f>
        <v>51.413467562749723</v>
      </c>
      <c r="K1418" s="1364">
        <f>+IF(ISBLANK(REPORTS!Q1128),"",REPORTS!Q1128)</f>
        <v>0</v>
      </c>
      <c r="L1418" s="1364"/>
      <c r="M1418" s="1324">
        <v>308</v>
      </c>
    </row>
    <row r="1419" spans="1:13">
      <c r="A1419" s="1439">
        <v>54</v>
      </c>
      <c r="B1419" s="1364" t="s">
        <v>5416</v>
      </c>
      <c r="C1419" s="1364" t="s">
        <v>4071</v>
      </c>
      <c r="D1419" s="1364">
        <f>+IF(ISBLANK(REPORTS!J1129),"",REPORTS!J1129)</f>
        <v>0</v>
      </c>
      <c r="E1419" s="1364">
        <f>+IF(ISBLANK(REPORTS!K1129),"",REPORTS!K1129)</f>
        <v>0</v>
      </c>
      <c r="F1419" s="1364">
        <f>+IF(ISBLANK(REPORTS!L1129),"",REPORTS!L1129)</f>
        <v>0</v>
      </c>
      <c r="G1419" s="1364">
        <f>+IF(ISBLANK(REPORTS!M1129),"",REPORTS!M1129)</f>
        <v>0</v>
      </c>
      <c r="H1419" s="1364">
        <f>+IF(ISBLANK(REPORTS!N1129),"",REPORTS!N1129)</f>
        <v>0</v>
      </c>
      <c r="I1419" s="1364">
        <f>+IF(ISBLANK(REPORTS!O1129),"",REPORTS!O1129)</f>
        <v>0</v>
      </c>
      <c r="J1419" s="1364">
        <f>+IF(ISBLANK(REPORTS!P1129),"",REPORTS!P1129)</f>
        <v>0</v>
      </c>
      <c r="K1419" s="1364">
        <f>+IF(ISBLANK(REPORTS!Q1129),"",REPORTS!Q1129)</f>
        <v>0</v>
      </c>
      <c r="L1419" s="1358"/>
      <c r="M1419" s="1320">
        <v>309</v>
      </c>
    </row>
    <row r="1420" spans="1:13">
      <c r="A1420" s="1439">
        <v>55</v>
      </c>
      <c r="B1420" s="1364" t="s">
        <v>5329</v>
      </c>
      <c r="C1420" s="1364" t="s">
        <v>4071</v>
      </c>
      <c r="D1420" s="1366">
        <f>+IF(ISBLANK(REPORTS!J1130),"",REPORTS!J1130)</f>
        <v>132134.3505</v>
      </c>
      <c r="E1420" s="1366">
        <f>+IF(ISBLANK(REPORTS!K1130),"",REPORTS!K1130)</f>
        <v>0</v>
      </c>
      <c r="F1420" s="1366">
        <f>+IF(ISBLANK(REPORTS!L1130),"",REPORTS!L1130)</f>
        <v>0</v>
      </c>
      <c r="G1420" s="1366">
        <f>+IF(ISBLANK(REPORTS!M1130),"",REPORTS!M1130)</f>
        <v>0</v>
      </c>
      <c r="H1420" s="1366">
        <f>+IF(ISBLANK(REPORTS!N1130),"",REPORTS!N1130)</f>
        <v>0</v>
      </c>
      <c r="I1420" s="1366">
        <f>+IF(ISBLANK(REPORTS!O1130),"",REPORTS!O1130)</f>
        <v>0</v>
      </c>
      <c r="J1420" s="1366">
        <f>+IF(ISBLANK(REPORTS!P1130),"",REPORTS!P1130)</f>
        <v>0</v>
      </c>
      <c r="K1420" s="1366">
        <f>+IF(ISBLANK(REPORTS!Q1130),"",REPORTS!Q1130)</f>
        <v>132134.3505</v>
      </c>
      <c r="L1420" s="1358"/>
      <c r="M1420" s="1320">
        <v>310</v>
      </c>
    </row>
    <row r="1421" spans="1:13">
      <c r="A1421" s="1439">
        <v>56</v>
      </c>
      <c r="B1421" s="1364"/>
      <c r="C1421" s="1364"/>
      <c r="D1421" s="1364" t="str">
        <f>+IF(ISBLANK(REPORTS!J1131),"",REPORTS!J1131)</f>
        <v/>
      </c>
      <c r="E1421" s="1364" t="str">
        <f>+IF(ISBLANK(REPORTS!K1131),"",REPORTS!K1131)</f>
        <v/>
      </c>
      <c r="F1421" s="1364" t="str">
        <f>+IF(ISBLANK(REPORTS!L1131),"",REPORTS!L1131)</f>
        <v/>
      </c>
      <c r="G1421" s="1364" t="str">
        <f>+IF(ISBLANK(REPORTS!M1131),"",REPORTS!M1131)</f>
        <v/>
      </c>
      <c r="H1421" s="1364" t="str">
        <f>+IF(ISBLANK(REPORTS!N1131),"",REPORTS!N1131)</f>
        <v/>
      </c>
      <c r="I1421" s="1364" t="str">
        <f>+IF(ISBLANK(REPORTS!O1131),"",REPORTS!O1131)</f>
        <v/>
      </c>
      <c r="J1421" s="1364" t="str">
        <f>+IF(ISBLANK(REPORTS!P1131),"",REPORTS!P1131)</f>
        <v/>
      </c>
      <c r="K1421" s="1364" t="str">
        <f>+IF(ISBLANK(REPORTS!Q1131),"",REPORTS!Q1131)</f>
        <v/>
      </c>
      <c r="L1421" s="1358"/>
      <c r="M1421" s="1436"/>
    </row>
    <row r="1422" spans="1:13">
      <c r="A1422" s="1439">
        <v>57</v>
      </c>
      <c r="B1422" s="1364" t="s">
        <v>5682</v>
      </c>
      <c r="C1422" s="1364" t="s">
        <v>4067</v>
      </c>
      <c r="D1422" s="1364">
        <f>+IF(ISBLANK(REPORTS!J1132),"",REPORTS!J1132)</f>
        <v>947639.4791227032</v>
      </c>
      <c r="E1422" s="1364">
        <f>+IF(ISBLANK(REPORTS!K1132),"",REPORTS!K1132)</f>
        <v>631174.61706506566</v>
      </c>
      <c r="F1422" s="1364">
        <f>+IF(ISBLANK(REPORTS!L1132),"",REPORTS!L1132)</f>
        <v>47534.992776606276</v>
      </c>
      <c r="G1422" s="1364">
        <f>+IF(ISBLANK(REPORTS!M1132),"",REPORTS!M1132)</f>
        <v>246788.65433599852</v>
      </c>
      <c r="H1422" s="1364">
        <f>+IF(ISBLANK(REPORTS!N1132),"",REPORTS!N1132)</f>
        <v>17520.143423569141</v>
      </c>
      <c r="I1422" s="1364">
        <f>+IF(ISBLANK(REPORTS!O1132),"",REPORTS!O1132)</f>
        <v>1.1962412617133862E-2</v>
      </c>
      <c r="J1422" s="1364">
        <f>+IF(ISBLANK(REPORTS!P1132),"",REPORTS!P1132)</f>
        <v>4621.059559051133</v>
      </c>
      <c r="K1422" s="1364">
        <f>+IF(ISBLANK(REPORTS!Q1132),"",REPORTS!Q1132)</f>
        <v>0</v>
      </c>
      <c r="L1422" s="1358"/>
      <c r="M1422" s="1436"/>
    </row>
    <row r="1423" spans="1:13">
      <c r="A1423" s="1439">
        <v>58</v>
      </c>
      <c r="B1423" s="1364" t="s">
        <v>5682</v>
      </c>
      <c r="C1423" s="1364" t="s">
        <v>4071</v>
      </c>
      <c r="D1423" s="1366">
        <f>+IF(ISBLANK(REPORTS!J1133),"",REPORTS!J1133)</f>
        <v>318124.96304729668</v>
      </c>
      <c r="E1423" s="1366">
        <f>+IF(ISBLANK(REPORTS!K1133),"",REPORTS!K1133)</f>
        <v>145414.69664297058</v>
      </c>
      <c r="F1423" s="1366">
        <f>+IF(ISBLANK(REPORTS!L1133),"",REPORTS!L1133)</f>
        <v>16932.38421670135</v>
      </c>
      <c r="G1423" s="1366">
        <f>+IF(ISBLANK(REPORTS!M1133),"",REPORTS!M1133)</f>
        <v>6008.846089557208</v>
      </c>
      <c r="H1423" s="1366">
        <f>+IF(ISBLANK(REPORTS!N1133),"",REPORTS!N1133)</f>
        <v>244.38702763080556</v>
      </c>
      <c r="I1423" s="1366">
        <f>+IF(ISBLANK(REPORTS!O1133),"",REPORTS!O1133)</f>
        <v>266.6365060541055</v>
      </c>
      <c r="J1423" s="1366">
        <f>+IF(ISBLANK(REPORTS!P1133),"",REPORTS!P1133)</f>
        <v>87.719467085979829</v>
      </c>
      <c r="K1423" s="1366">
        <f>+IF(ISBLANK(REPORTS!Q1133),"",REPORTS!Q1133)</f>
        <v>149170.29309729667</v>
      </c>
      <c r="L1423" s="1364"/>
      <c r="M1423" s="1438"/>
    </row>
    <row r="1424" spans="1:13">
      <c r="A1424" s="1439">
        <v>59</v>
      </c>
      <c r="B1424" s="1364"/>
      <c r="C1424" s="1364"/>
      <c r="D1424" s="1677" t="str">
        <f>+IF(ISBLANK(REPORTS!J1134),"",REPORTS!J1134)</f>
        <v/>
      </c>
      <c r="E1424" s="1677" t="str">
        <f>+IF(ISBLANK(REPORTS!K1134),"",REPORTS!K1134)</f>
        <v/>
      </c>
      <c r="F1424" s="1677" t="str">
        <f>+IF(ISBLANK(REPORTS!L1134),"",REPORTS!L1134)</f>
        <v/>
      </c>
      <c r="G1424" s="1677" t="str">
        <f>+IF(ISBLANK(REPORTS!M1134),"",REPORTS!M1134)</f>
        <v/>
      </c>
      <c r="H1424" s="1677" t="str">
        <f>+IF(ISBLANK(REPORTS!N1134),"",REPORTS!N1134)</f>
        <v/>
      </c>
      <c r="I1424" s="1677" t="str">
        <f>+IF(ISBLANK(REPORTS!O1134),"",REPORTS!O1134)</f>
        <v/>
      </c>
      <c r="J1424" s="1677" t="str">
        <f>+IF(ISBLANK(REPORTS!P1134),"",REPORTS!P1134)</f>
        <v/>
      </c>
      <c r="K1424" s="1364" t="str">
        <f>+IF(ISBLANK(REPORTS!Q1134),"",REPORTS!Q1134)</f>
        <v/>
      </c>
      <c r="L1424" s="1358"/>
      <c r="M1424" s="1436"/>
    </row>
    <row r="1425" spans="1:13">
      <c r="A1425" s="1439">
        <v>60</v>
      </c>
      <c r="B1425" s="1364" t="s">
        <v>5683</v>
      </c>
      <c r="C1425" s="1364"/>
      <c r="D1425" s="1366">
        <f>+IF(ISBLANK(REPORTS!J1135),"",REPORTS!J1135)</f>
        <v>1265764.4421699999</v>
      </c>
      <c r="E1425" s="1366">
        <f>+IF(ISBLANK(REPORTS!K1135),"",REPORTS!K1135)</f>
        <v>776589.31370803621</v>
      </c>
      <c r="F1425" s="1366">
        <f>+IF(ISBLANK(REPORTS!L1135),"",REPORTS!L1135)</f>
        <v>64467.376993307626</v>
      </c>
      <c r="G1425" s="1366">
        <f>+IF(ISBLANK(REPORTS!M1135),"",REPORTS!M1135)</f>
        <v>252797.50042555574</v>
      </c>
      <c r="H1425" s="1366">
        <f>+IF(ISBLANK(REPORTS!N1135),"",REPORTS!N1135)</f>
        <v>17764.530451199946</v>
      </c>
      <c r="I1425" s="1366">
        <f>+IF(ISBLANK(REPORTS!O1135),"",REPORTS!O1135)</f>
        <v>266.64846846672265</v>
      </c>
      <c r="J1425" s="1366">
        <f>+IF(ISBLANK(REPORTS!P1135),"",REPORTS!P1135)</f>
        <v>4708.7790261371129</v>
      </c>
      <c r="K1425" s="1366">
        <f>+IF(ISBLANK(REPORTS!Q1135),"",REPORTS!Q1135)</f>
        <v>149170.29309729667</v>
      </c>
      <c r="L1425" s="1358"/>
      <c r="M1425" s="1436"/>
    </row>
    <row r="1426" spans="1:13">
      <c r="A1426" s="1439">
        <v>61</v>
      </c>
      <c r="B1426" s="1364"/>
      <c r="C1426" s="1364"/>
      <c r="D1426" s="1364" t="str">
        <f>+IF(ISBLANK(REPORTS!J1136),"",REPORTS!J1136)</f>
        <v/>
      </c>
      <c r="E1426" s="1364" t="str">
        <f>+IF(ISBLANK(REPORTS!K1136),"",REPORTS!K1136)</f>
        <v/>
      </c>
      <c r="F1426" s="1364" t="str">
        <f>+IF(ISBLANK(REPORTS!L1136),"",REPORTS!L1136)</f>
        <v/>
      </c>
      <c r="G1426" s="1364" t="str">
        <f>+IF(ISBLANK(REPORTS!M1136),"",REPORTS!M1136)</f>
        <v/>
      </c>
      <c r="H1426" s="1364" t="str">
        <f>+IF(ISBLANK(REPORTS!N1136),"",REPORTS!N1136)</f>
        <v/>
      </c>
      <c r="I1426" s="1364" t="str">
        <f>+IF(ISBLANK(REPORTS!O1136),"",REPORTS!O1136)</f>
        <v/>
      </c>
      <c r="J1426" s="1364" t="str">
        <f>+IF(ISBLANK(REPORTS!P1136),"",REPORTS!P1136)</f>
        <v/>
      </c>
      <c r="K1426" s="1364" t="str">
        <f>+IF(ISBLANK(REPORTS!Q1136),"",REPORTS!Q1136)</f>
        <v/>
      </c>
      <c r="L1426" s="1358"/>
      <c r="M1426" s="1436"/>
    </row>
    <row r="1427" spans="1:13">
      <c r="A1427" s="1439">
        <v>62</v>
      </c>
      <c r="B1427" s="1364"/>
      <c r="C1427" s="1364"/>
      <c r="D1427" s="1364" t="str">
        <f>+IF(ISBLANK(REPORTS!J1137),"",REPORTS!J1137)</f>
        <v/>
      </c>
      <c r="E1427" s="1364" t="str">
        <f>+IF(ISBLANK(REPORTS!K1137),"",REPORTS!K1137)</f>
        <v/>
      </c>
      <c r="F1427" s="1364" t="str">
        <f>+IF(ISBLANK(REPORTS!L1137),"",REPORTS!L1137)</f>
        <v/>
      </c>
      <c r="G1427" s="1364" t="str">
        <f>+IF(ISBLANK(REPORTS!M1137),"",REPORTS!M1137)</f>
        <v/>
      </c>
      <c r="H1427" s="1364" t="str">
        <f>+IF(ISBLANK(REPORTS!N1137),"",REPORTS!N1137)</f>
        <v/>
      </c>
      <c r="I1427" s="1364" t="str">
        <f>+IF(ISBLANK(REPORTS!O1137),"",REPORTS!O1137)</f>
        <v/>
      </c>
      <c r="J1427" s="1364" t="str">
        <f>+IF(ISBLANK(REPORTS!P1137),"",REPORTS!P1137)</f>
        <v/>
      </c>
      <c r="K1427" s="1364" t="str">
        <f>+IF(ISBLANK(REPORTS!Q1137),"",REPORTS!Q1137)</f>
        <v/>
      </c>
      <c r="L1427" s="1358"/>
      <c r="M1427" s="1436"/>
    </row>
    <row r="1434" spans="1:13">
      <c r="A1434" s="1732" t="str">
        <f>+$A$1</f>
        <v>RATES WITH REVENUE DEFICIENCY ADDITION</v>
      </c>
      <c r="B1434" s="1364"/>
      <c r="F1434" s="1329" t="s">
        <v>2173</v>
      </c>
      <c r="G1434" s="1329"/>
      <c r="H1434" s="1329"/>
      <c r="I1434" s="1329"/>
      <c r="M1434" s="1334" t="s">
        <v>5731</v>
      </c>
    </row>
    <row r="1435" spans="1:13">
      <c r="A1435" s="1732" t="str">
        <f>+$A$2</f>
        <v>PROD. CAP. ALLOC. METHOD: 12 CP &amp; 1/13th AD</v>
      </c>
      <c r="B1435" s="1364"/>
      <c r="F1435" s="1336" t="s">
        <v>5141</v>
      </c>
      <c r="G1435" s="1336"/>
      <c r="H1435" s="1336"/>
      <c r="I1435" s="1336"/>
      <c r="L1435" s="1331"/>
      <c r="M1435" s="1409"/>
    </row>
    <row r="1436" spans="1:13">
      <c r="A1436" s="1732" t="str">
        <f>+$A$3</f>
        <v>PROJECTED CALENDAR YEAR 2025; FULLY ADJUSTED DATA</v>
      </c>
      <c r="B1436" s="1364"/>
      <c r="F1436" s="1336" t="s">
        <v>2181</v>
      </c>
      <c r="M1436" s="1436"/>
    </row>
    <row r="1437" spans="1:13">
      <c r="A1437" s="1732" t="str">
        <f>+$A$4</f>
        <v>MINIMUM DISTRIBUTION SYSTEM (MDS) NOT EMPLOYED</v>
      </c>
      <c r="B1437" s="1364"/>
      <c r="E1437" s="1364"/>
      <c r="F1437" s="1336"/>
      <c r="G1437" s="1336"/>
      <c r="H1437" s="1336"/>
      <c r="I1437" s="1336"/>
      <c r="M1437" s="1436"/>
    </row>
    <row r="1438" spans="1:13">
      <c r="A1438" s="1732" t="str">
        <f>+$A$5</f>
        <v>Tampa Electric 2025 OB Budget</v>
      </c>
      <c r="B1438" s="1364"/>
      <c r="E1438" s="1364"/>
      <c r="F1438" s="1336" t="s">
        <v>5674</v>
      </c>
      <c r="G1438" s="1336"/>
      <c r="H1438" s="1336"/>
      <c r="I1438" s="1336"/>
      <c r="M1438" s="1436"/>
    </row>
    <row r="1439" spans="1:13">
      <c r="A1439" s="1439"/>
      <c r="B1439" s="1364"/>
      <c r="E1439" s="1364"/>
      <c r="F1439" s="1336"/>
      <c r="G1439" s="1336"/>
      <c r="H1439" s="1336"/>
      <c r="I1439" s="1336"/>
      <c r="M1439" s="1436"/>
    </row>
    <row r="1440" spans="1:13">
      <c r="A1440" s="1439"/>
      <c r="B1440" s="1364"/>
      <c r="C1440" s="1364"/>
      <c r="E1440" s="1364"/>
      <c r="F1440" s="1336"/>
      <c r="G1440" s="1336"/>
      <c r="H1440" s="1336"/>
      <c r="I1440" s="1336"/>
      <c r="M1440" s="1436"/>
    </row>
    <row r="1441" spans="1:13">
      <c r="A1441" s="1439"/>
      <c r="B1441" s="1364"/>
      <c r="C1441" s="1364"/>
      <c r="E1441" s="1364"/>
      <c r="M1441" s="1436"/>
    </row>
    <row r="1442" spans="1:13">
      <c r="A1442" s="1735"/>
      <c r="B1442" s="1416"/>
      <c r="C1442" s="1416"/>
      <c r="D1442" s="1416"/>
      <c r="E1442" s="1336"/>
      <c r="F1442" s="1416"/>
      <c r="G1442" s="1416"/>
      <c r="H1442" s="1416"/>
      <c r="I1442" s="1416"/>
      <c r="J1442" s="1336"/>
      <c r="K1442" s="1336"/>
      <c r="L1442" s="1333"/>
      <c r="M1442" s="1436"/>
    </row>
    <row r="1443" spans="1:13" ht="28.2">
      <c r="A1443" s="1737" t="s">
        <v>4297</v>
      </c>
      <c r="B1443" s="1741"/>
      <c r="C1443" s="1741"/>
      <c r="D1443" s="1352" t="s">
        <v>4957</v>
      </c>
      <c r="E1443" s="1353" t="s">
        <v>1949</v>
      </c>
      <c r="F1443" s="1353" t="s">
        <v>1950</v>
      </c>
      <c r="G1443" s="1353" t="s">
        <v>1934</v>
      </c>
      <c r="H1443" s="1353" t="s">
        <v>1971</v>
      </c>
      <c r="I1443" s="1353" t="s">
        <v>1972</v>
      </c>
      <c r="J1443" s="1352" t="s">
        <v>5146</v>
      </c>
      <c r="K1443" s="1352" t="s">
        <v>5147</v>
      </c>
      <c r="L1443" s="1355"/>
      <c r="M1443" s="1348" t="s">
        <v>5299</v>
      </c>
    </row>
    <row r="1445" spans="1:13">
      <c r="A1445" s="1439">
        <v>63</v>
      </c>
      <c r="B1445" s="1450" t="s">
        <v>5684</v>
      </c>
      <c r="C1445" s="1364"/>
      <c r="D1445" s="1364" t="str">
        <f>+IF(ISBLANK(REPORTS!J1138),"",REPORTS!J1138)</f>
        <v/>
      </c>
      <c r="E1445" s="1364" t="str">
        <f>+IF(ISBLANK(REPORTS!K1138),"",REPORTS!K1138)</f>
        <v/>
      </c>
      <c r="F1445" s="1364" t="str">
        <f>+IF(ISBLANK(REPORTS!L1138),"",REPORTS!L1138)</f>
        <v/>
      </c>
      <c r="G1445" s="1364" t="str">
        <f>+IF(ISBLANK(REPORTS!M1138),"",REPORTS!M1138)</f>
        <v/>
      </c>
      <c r="H1445" s="1364" t="str">
        <f>+IF(ISBLANK(REPORTS!N1138),"",REPORTS!N1138)</f>
        <v/>
      </c>
      <c r="I1445" s="1364" t="str">
        <f>+IF(ISBLANK(REPORTS!O1138),"",REPORTS!O1138)</f>
        <v/>
      </c>
      <c r="J1445" s="1364" t="str">
        <f>+IF(ISBLANK(REPORTS!P1138),"",REPORTS!P1138)</f>
        <v/>
      </c>
      <c r="K1445" s="1364" t="str">
        <f>+IF(ISBLANK(REPORTS!Q1138),"",REPORTS!Q1138)</f>
        <v/>
      </c>
      <c r="L1445" s="1358"/>
    </row>
    <row r="1446" spans="1:13">
      <c r="A1446" s="1439">
        <v>64</v>
      </c>
      <c r="B1446" s="1364" t="s">
        <v>5265</v>
      </c>
      <c r="C1446" s="1364" t="s">
        <v>4067</v>
      </c>
      <c r="D1446" s="1364">
        <f>+IF(ISBLANK(REPORTS!J1139),"",REPORTS!J1139)</f>
        <v>1811786.0848401624</v>
      </c>
      <c r="E1446" s="1364">
        <f>+IF(ISBLANK(REPORTS!K1139),"",REPORTS!K1139)</f>
        <v>1040354.1427830182</v>
      </c>
      <c r="F1446" s="1364">
        <f>+IF(ISBLANK(REPORTS!L1139),"",REPORTS!L1139)</f>
        <v>86516.522267815031</v>
      </c>
      <c r="G1446" s="1364">
        <f>+IF(ISBLANK(REPORTS!M1139),"",REPORTS!M1139)</f>
        <v>559927.17301129678</v>
      </c>
      <c r="H1446" s="1364">
        <f>+IF(ISBLANK(REPORTS!N1139),"",REPORTS!N1139)</f>
        <v>71562.482253440321</v>
      </c>
      <c r="I1446" s="1364">
        <f>+IF(ISBLANK(REPORTS!O1139),"",REPORTS!O1139)</f>
        <v>51503.742998244947</v>
      </c>
      <c r="J1446" s="1364">
        <f>+IF(ISBLANK(REPORTS!P1139),"",REPORTS!P1139)</f>
        <v>1922.0215263473733</v>
      </c>
      <c r="K1446" s="1364">
        <f>+IF(ISBLANK(REPORTS!Q1139),"",REPORTS!Q1139)</f>
        <v>0</v>
      </c>
      <c r="L1446" s="1364"/>
    </row>
    <row r="1447" spans="1:13">
      <c r="A1447" s="1439">
        <v>65</v>
      </c>
      <c r="B1447" s="1364" t="s">
        <v>5265</v>
      </c>
      <c r="C1447" s="1364" t="s">
        <v>2067</v>
      </c>
      <c r="D1447" s="1364">
        <f>+IF(ISBLANK(REPORTS!J1140),"",REPORTS!J1140)</f>
        <v>293748.25699691643</v>
      </c>
      <c r="E1447" s="1364">
        <f>+IF(ISBLANK(REPORTS!K1140),"",REPORTS!K1140)</f>
        <v>148235.41232929239</v>
      </c>
      <c r="F1447" s="1364">
        <f>+IF(ISBLANK(REPORTS!L1140),"",REPORTS!L1140)</f>
        <v>13698.68738891955</v>
      </c>
      <c r="G1447" s="1364">
        <f>+IF(ISBLANK(REPORTS!M1140),"",REPORTS!M1140)</f>
        <v>102049.90030187555</v>
      </c>
      <c r="H1447" s="1364">
        <f>+IF(ISBLANK(REPORTS!N1140),"",REPORTS!N1140)</f>
        <v>16244.703291998096</v>
      </c>
      <c r="I1447" s="1364">
        <f>+IF(ISBLANK(REPORTS!O1140),"",REPORTS!O1140)</f>
        <v>11967.665648698916</v>
      </c>
      <c r="J1447" s="1364">
        <f>+IF(ISBLANK(REPORTS!P1140),"",REPORTS!P1140)</f>
        <v>1551.8880361319234</v>
      </c>
      <c r="K1447" s="1364">
        <f>+IF(ISBLANK(REPORTS!Q1140),"",REPORTS!Q1140)</f>
        <v>0</v>
      </c>
      <c r="L1447" s="1364"/>
    </row>
    <row r="1448" spans="1:13">
      <c r="A1448" s="1439">
        <v>66</v>
      </c>
      <c r="B1448" s="1364" t="s">
        <v>5268</v>
      </c>
      <c r="C1448" s="1364" t="s">
        <v>4067</v>
      </c>
      <c r="D1448" s="1364">
        <f>+IF(ISBLANK(REPORTS!J1141),"",REPORTS!J1141)</f>
        <v>132870.50481765295</v>
      </c>
      <c r="E1448" s="1364">
        <f>+IF(ISBLANK(REPORTS!K1141),"",REPORTS!K1141)</f>
        <v>77066.625442059798</v>
      </c>
      <c r="F1448" s="1364">
        <f>+IF(ISBLANK(REPORTS!L1141),"",REPORTS!L1141)</f>
        <v>6357.2192622061921</v>
      </c>
      <c r="G1448" s="1364">
        <f>+IF(ISBLANK(REPORTS!M1141),"",REPORTS!M1141)</f>
        <v>40638.508954936224</v>
      </c>
      <c r="H1448" s="1364">
        <f>+IF(ISBLANK(REPORTS!N1141),"",REPORTS!N1141)</f>
        <v>5073.1790130568397</v>
      </c>
      <c r="I1448" s="1364">
        <f>+IF(ISBLANK(REPORTS!O1141),"",REPORTS!O1141)</f>
        <v>3640.7679396050867</v>
      </c>
      <c r="J1448" s="1364">
        <f>+IF(ISBLANK(REPORTS!P1141),"",REPORTS!P1141)</f>
        <v>94.204205788814406</v>
      </c>
      <c r="K1448" s="1364">
        <f>+IF(ISBLANK(REPORTS!Q1141),"",REPORTS!Q1141)</f>
        <v>0</v>
      </c>
      <c r="L1448" s="1364"/>
      <c r="M1448" s="1436"/>
    </row>
    <row r="1449" spans="1:13">
      <c r="A1449" s="1439">
        <v>67</v>
      </c>
      <c r="B1449" s="1364" t="s">
        <v>5239</v>
      </c>
      <c r="C1449" s="1364" t="s">
        <v>4067</v>
      </c>
      <c r="D1449" s="1364">
        <f>+IF(ISBLANK(REPORTS!J1142),"",REPORTS!J1142)</f>
        <v>116012.91901619785</v>
      </c>
      <c r="E1449" s="1364">
        <f>+IF(ISBLANK(REPORTS!K1142),"",REPORTS!K1142)</f>
        <v>67289.005852211441</v>
      </c>
      <c r="F1449" s="1364">
        <f>+IF(ISBLANK(REPORTS!L1142),"",REPORTS!L1142)</f>
        <v>5550.6642685424222</v>
      </c>
      <c r="G1449" s="1364">
        <f>+IF(ISBLANK(REPORTS!M1142),"",REPORTS!M1142)</f>
        <v>35482.608083699204</v>
      </c>
      <c r="H1449" s="1364">
        <f>+IF(ISBLANK(REPORTS!N1142),"",REPORTS!N1142)</f>
        <v>4429.5331518770854</v>
      </c>
      <c r="I1449" s="1364">
        <f>+IF(ISBLANK(REPORTS!O1142),"",REPORTS!O1142)</f>
        <v>3178.8553578074334</v>
      </c>
      <c r="J1449" s="1364">
        <f>+IF(ISBLANK(REPORTS!P1142),"",REPORTS!P1142)</f>
        <v>82.252302060276108</v>
      </c>
      <c r="K1449" s="1364">
        <f>+IF(ISBLANK(REPORTS!Q1142),"",REPORTS!Q1142)</f>
        <v>0</v>
      </c>
      <c r="L1449" s="1364"/>
      <c r="M1449" s="1438"/>
    </row>
    <row r="1450" spans="1:13">
      <c r="A1450" s="1439">
        <v>68</v>
      </c>
      <c r="B1450" s="1364" t="s">
        <v>5240</v>
      </c>
      <c r="C1450" s="1364" t="s">
        <v>4067</v>
      </c>
      <c r="D1450" s="1364">
        <f>+IF(ISBLANK(REPORTS!J1143),"",REPORTS!J1143)</f>
        <v>561986.68645107013</v>
      </c>
      <c r="E1450" s="1364">
        <f>+IF(ISBLANK(REPORTS!K1143),"",REPORTS!K1143)</f>
        <v>349789.51222123293</v>
      </c>
      <c r="F1450" s="1364">
        <f>+IF(ISBLANK(REPORTS!L1143),"",REPORTS!L1143)</f>
        <v>24877.907402042616</v>
      </c>
      <c r="G1450" s="1364">
        <f>+IF(ISBLANK(REPORTS!M1143),"",REPORTS!M1143)</f>
        <v>166573.12317274819</v>
      </c>
      <c r="H1450" s="1364">
        <f>+IF(ISBLANK(REPORTS!N1143),"",REPORTS!N1143)</f>
        <v>17520.143423569141</v>
      </c>
      <c r="I1450" s="1364">
        <f>+IF(ISBLANK(REPORTS!O1143),"",REPORTS!O1143)</f>
        <v>1.1962412617133862E-2</v>
      </c>
      <c r="J1450" s="1364">
        <f>+IF(ISBLANK(REPORTS!P1143),"",REPORTS!P1143)</f>
        <v>3225.9882690648146</v>
      </c>
      <c r="K1450" s="1364">
        <f>+IF(ISBLANK(REPORTS!Q1143),"",REPORTS!Q1143)</f>
        <v>0</v>
      </c>
      <c r="L1450" s="1364"/>
      <c r="M1450" s="1438"/>
    </row>
    <row r="1451" spans="1:13">
      <c r="A1451" s="1439">
        <v>69</v>
      </c>
      <c r="B1451" s="1364" t="s">
        <v>5241</v>
      </c>
      <c r="C1451" s="1364" t="s">
        <v>4067</v>
      </c>
      <c r="D1451" s="1364">
        <f>+IF(ISBLANK(REPORTS!J1144),"",REPORTS!J1144)</f>
        <v>385652.79267163313</v>
      </c>
      <c r="E1451" s="1364">
        <f>+IF(ISBLANK(REPORTS!K1144),"",REPORTS!K1144)</f>
        <v>281385.10484383279</v>
      </c>
      <c r="F1451" s="1364">
        <f>+IF(ISBLANK(REPORTS!L1144),"",REPORTS!L1144)</f>
        <v>22657.085374563656</v>
      </c>
      <c r="G1451" s="1364">
        <f>+IF(ISBLANK(REPORTS!M1144),"",REPORTS!M1144)</f>
        <v>80215.531163250373</v>
      </c>
      <c r="H1451" s="1364">
        <f>+IF(ISBLANK(REPORTS!N1144),"",REPORTS!N1144)</f>
        <v>0</v>
      </c>
      <c r="I1451" s="1364">
        <f>+IF(ISBLANK(REPORTS!O1144),"",REPORTS!O1144)</f>
        <v>0</v>
      </c>
      <c r="J1451" s="1364">
        <f>+IF(ISBLANK(REPORTS!P1144),"",REPORTS!P1144)</f>
        <v>1395.0712899863183</v>
      </c>
      <c r="K1451" s="1364">
        <f>+IF(ISBLANK(REPORTS!Q1144),"",REPORTS!Q1144)</f>
        <v>0</v>
      </c>
      <c r="L1451" s="1358"/>
      <c r="M1451" s="1438"/>
    </row>
    <row r="1452" spans="1:13">
      <c r="A1452" s="1439">
        <v>70</v>
      </c>
      <c r="B1452" s="1364" t="s">
        <v>5242</v>
      </c>
      <c r="C1452" s="1364" t="s">
        <v>4071</v>
      </c>
      <c r="D1452" s="1364">
        <f>+IF(ISBLANK(REPORTS!J1145),"",REPORTS!J1145)</f>
        <v>318124.96304729668</v>
      </c>
      <c r="E1452" s="1364">
        <f>+IF(ISBLANK(REPORTS!K1145),"",REPORTS!K1145)</f>
        <v>145414.69664297058</v>
      </c>
      <c r="F1452" s="1364">
        <f>+IF(ISBLANK(REPORTS!L1145),"",REPORTS!L1145)</f>
        <v>16932.38421670135</v>
      </c>
      <c r="G1452" s="1364">
        <f>+IF(ISBLANK(REPORTS!M1145),"",REPORTS!M1145)</f>
        <v>6008.846089557208</v>
      </c>
      <c r="H1452" s="1364">
        <f>+IF(ISBLANK(REPORTS!N1145),"",REPORTS!N1145)</f>
        <v>244.38702763080556</v>
      </c>
      <c r="I1452" s="1364">
        <f>+IF(ISBLANK(REPORTS!O1145),"",REPORTS!O1145)</f>
        <v>266.6365060541055</v>
      </c>
      <c r="J1452" s="1364">
        <f>+IF(ISBLANK(REPORTS!P1145),"",REPORTS!P1145)</f>
        <v>87.719467085979829</v>
      </c>
      <c r="K1452" s="1364">
        <f>+IF(ISBLANK(REPORTS!Q1145),"",REPORTS!Q1145)</f>
        <v>149170.29309729667</v>
      </c>
      <c r="L1452" s="1364"/>
      <c r="M1452" s="1438"/>
    </row>
    <row r="1453" spans="1:13">
      <c r="A1453" s="1439">
        <v>71</v>
      </c>
      <c r="B1453" s="1364" t="s">
        <v>5244</v>
      </c>
      <c r="C1453" s="1364" t="s">
        <v>4071</v>
      </c>
      <c r="D1453" s="1366">
        <f>+IF(ISBLANK(REPORTS!J1146),"",REPORTS!J1146)</f>
        <v>0</v>
      </c>
      <c r="E1453" s="1366">
        <f>+IF(ISBLANK(REPORTS!K1146),"",REPORTS!K1146)</f>
        <v>0</v>
      </c>
      <c r="F1453" s="1366">
        <f>+IF(ISBLANK(REPORTS!L1146),"",REPORTS!L1146)</f>
        <v>0</v>
      </c>
      <c r="G1453" s="1366">
        <f>+IF(ISBLANK(REPORTS!M1146),"",REPORTS!M1146)</f>
        <v>0</v>
      </c>
      <c r="H1453" s="1366">
        <f>+IF(ISBLANK(REPORTS!N1146),"",REPORTS!N1146)</f>
        <v>0</v>
      </c>
      <c r="I1453" s="1366">
        <f>+IF(ISBLANK(REPORTS!O1146),"",REPORTS!O1146)</f>
        <v>0</v>
      </c>
      <c r="J1453" s="1366">
        <f>+IF(ISBLANK(REPORTS!P1146),"",REPORTS!P1146)</f>
        <v>0</v>
      </c>
      <c r="K1453" s="1366">
        <f>+IF(ISBLANK(REPORTS!Q1146),"",REPORTS!Q1146)</f>
        <v>0</v>
      </c>
      <c r="L1453" s="1358"/>
      <c r="M1453" s="1438"/>
    </row>
    <row r="1454" spans="1:13">
      <c r="A1454" s="1439">
        <v>72</v>
      </c>
      <c r="B1454" s="1364"/>
      <c r="C1454" s="1364"/>
      <c r="D1454" s="1364" t="str">
        <f>+IF(ISBLANK(REPORTS!J1147),"",REPORTS!J1147)</f>
        <v/>
      </c>
      <c r="E1454" s="1364" t="str">
        <f>+IF(ISBLANK(REPORTS!K1147),"",REPORTS!K1147)</f>
        <v/>
      </c>
      <c r="F1454" s="1364" t="str">
        <f>+IF(ISBLANK(REPORTS!L1147),"",REPORTS!L1147)</f>
        <v/>
      </c>
      <c r="G1454" s="1364" t="str">
        <f>+IF(ISBLANK(REPORTS!M1147),"",REPORTS!M1147)</f>
        <v/>
      </c>
      <c r="H1454" s="1364" t="str">
        <f>+IF(ISBLANK(REPORTS!N1147),"",REPORTS!N1147)</f>
        <v/>
      </c>
      <c r="I1454" s="1364" t="str">
        <f>+IF(ISBLANK(REPORTS!O1147),"",REPORTS!O1147)</f>
        <v/>
      </c>
      <c r="J1454" s="1364" t="str">
        <f>+IF(ISBLANK(REPORTS!P1147),"",REPORTS!P1147)</f>
        <v/>
      </c>
      <c r="K1454" s="1364" t="str">
        <f>+IF(ISBLANK(REPORTS!Q1147),"",REPORTS!Q1147)</f>
        <v/>
      </c>
      <c r="L1454" s="1358"/>
      <c r="M1454" s="1436"/>
    </row>
    <row r="1455" spans="1:13">
      <c r="A1455" s="1439">
        <v>73</v>
      </c>
      <c r="B1455" s="1364" t="s">
        <v>5685</v>
      </c>
      <c r="C1455" s="1364"/>
      <c r="D1455" s="1366">
        <f>+IF(ISBLANK(REPORTS!J1148),"",REPORTS!J1148)</f>
        <v>3620182.2078409293</v>
      </c>
      <c r="E1455" s="1366">
        <f>+IF(ISBLANK(REPORTS!K1148),"",REPORTS!K1148)</f>
        <v>2109534.5001146183</v>
      </c>
      <c r="F1455" s="1366">
        <f>+IF(ISBLANK(REPORTS!L1148),"",REPORTS!L1148)</f>
        <v>176590.47018079078</v>
      </c>
      <c r="G1455" s="1366">
        <f>+IF(ISBLANK(REPORTS!M1148),"",REPORTS!M1148)</f>
        <v>990895.69077736337</v>
      </c>
      <c r="H1455" s="1366">
        <f>+IF(ISBLANK(REPORTS!N1148),"",REPORTS!N1148)</f>
        <v>115074.42816157229</v>
      </c>
      <c r="I1455" s="1366">
        <f>+IF(ISBLANK(REPORTS!O1148),"",REPORTS!O1148)</f>
        <v>70557.680412823102</v>
      </c>
      <c r="J1455" s="1366">
        <f>+IF(ISBLANK(REPORTS!P1148),"",REPORTS!P1148)</f>
        <v>8359.1450964654978</v>
      </c>
      <c r="K1455" s="1366">
        <f>+IF(ISBLANK(REPORTS!Q1148),"",REPORTS!Q1148)</f>
        <v>149170.29309729667</v>
      </c>
      <c r="L1455" s="1358"/>
      <c r="M1455" s="1438"/>
    </row>
    <row r="1456" spans="1:13">
      <c r="M1456" s="1358"/>
    </row>
    <row r="1457" spans="1:13">
      <c r="M1457" s="1436"/>
    </row>
    <row r="1458" spans="1:13">
      <c r="M1458" s="1436"/>
    </row>
    <row r="1466" spans="1:13">
      <c r="A1466" s="1439"/>
      <c r="B1466" s="1364"/>
      <c r="C1466" s="1364"/>
      <c r="D1466" s="1324" t="str">
        <f>+IF(ISBLANK(REPORTS!J1149),"",REPORTS!J1149)</f>
        <v/>
      </c>
      <c r="E1466" s="1364" t="str">
        <f>+IF(ISBLANK(REPORTS!K1149),"",REPORTS!K1149)</f>
        <v/>
      </c>
      <c r="F1466" s="1324" t="str">
        <f>+IF(ISBLANK(REPORTS!L1149),"",REPORTS!L1149)</f>
        <v/>
      </c>
      <c r="G1466" s="1324" t="str">
        <f>+IF(ISBLANK(REPORTS!M1149),"",REPORTS!M1149)</f>
        <v/>
      </c>
      <c r="H1466" s="1324" t="str">
        <f>+IF(ISBLANK(REPORTS!N1149),"",REPORTS!N1149)</f>
        <v/>
      </c>
      <c r="I1466" s="1324" t="str">
        <f>+IF(ISBLANK(REPORTS!O1149),"",REPORTS!O1149)</f>
        <v/>
      </c>
      <c r="J1466" s="1324" t="str">
        <f>+IF(ISBLANK(REPORTS!P1149),"",REPORTS!P1149)</f>
        <v/>
      </c>
      <c r="K1466" s="1324" t="str">
        <f>+IF(ISBLANK(REPORTS!Q1149),"",REPORTS!Q1149)</f>
        <v/>
      </c>
      <c r="M1466" s="1436"/>
    </row>
    <row r="1467" spans="1:13">
      <c r="A1467" s="1439"/>
      <c r="B1467" s="1364"/>
      <c r="C1467" s="1364"/>
      <c r="E1467" s="1364"/>
      <c r="M1467" s="1436"/>
    </row>
    <row r="1468" spans="1:13">
      <c r="A1468" s="1439"/>
      <c r="B1468" s="1364"/>
      <c r="C1468" s="1364"/>
      <c r="E1468" s="1364"/>
      <c r="M1468" s="1436"/>
    </row>
    <row r="1469" spans="1:13">
      <c r="A1469" s="1439"/>
      <c r="B1469" s="1364"/>
      <c r="C1469" s="1364"/>
      <c r="E1469" s="1364"/>
      <c r="M1469" s="1436"/>
    </row>
    <row r="1470" spans="1:13">
      <c r="A1470" s="1439"/>
      <c r="B1470" s="1364"/>
      <c r="C1470" s="1364"/>
      <c r="E1470" s="1364"/>
      <c r="M1470" s="1436"/>
    </row>
    <row r="1471" spans="1:13">
      <c r="A1471" s="1439"/>
      <c r="B1471" s="1364"/>
      <c r="C1471" s="1364"/>
      <c r="E1471" s="1364"/>
      <c r="M1471" s="1436"/>
    </row>
    <row r="1472" spans="1:13">
      <c r="A1472" s="1439"/>
      <c r="B1472" s="1364"/>
      <c r="C1472" s="1364"/>
      <c r="E1472" s="1364"/>
      <c r="M1472" s="1436"/>
    </row>
    <row r="1473" spans="1:13">
      <c r="A1473" s="1439"/>
      <c r="B1473" s="1364"/>
      <c r="C1473" s="1364"/>
      <c r="E1473" s="1364"/>
      <c r="M1473" s="1436"/>
    </row>
    <row r="1474" spans="1:13">
      <c r="A1474" s="1439"/>
      <c r="B1474" s="1364"/>
      <c r="C1474" s="1364"/>
      <c r="E1474" s="1364"/>
      <c r="M1474" s="1436"/>
    </row>
    <row r="1475" spans="1:13">
      <c r="A1475" s="1439"/>
      <c r="B1475" s="1364"/>
      <c r="C1475" s="1364"/>
      <c r="E1475" s="1364"/>
      <c r="M1475" s="1436"/>
    </row>
    <row r="1476" spans="1:13">
      <c r="A1476" s="1439"/>
      <c r="B1476" s="1364"/>
      <c r="C1476" s="1364"/>
      <c r="E1476" s="1364"/>
      <c r="M1476" s="1436"/>
    </row>
    <row r="1477" spans="1:13">
      <c r="A1477" s="1439"/>
      <c r="B1477" s="1364"/>
      <c r="C1477" s="1364"/>
      <c r="E1477" s="1364"/>
      <c r="M1477" s="1436"/>
    </row>
    <row r="1478" spans="1:13">
      <c r="A1478" s="1439"/>
      <c r="B1478" s="1364"/>
      <c r="C1478" s="1364"/>
      <c r="E1478" s="1364"/>
      <c r="M1478" s="1436"/>
    </row>
    <row r="1479" spans="1:13">
      <c r="A1479" s="1439"/>
      <c r="B1479" s="1364"/>
      <c r="C1479" s="1364"/>
      <c r="E1479" s="1364"/>
      <c r="M1479" s="1436"/>
    </row>
    <row r="1480" spans="1:13">
      <c r="A1480" s="1439"/>
      <c r="B1480" s="1364"/>
      <c r="C1480" s="1364"/>
      <c r="E1480" s="1364"/>
      <c r="M1480" s="1436"/>
    </row>
    <row r="1481" spans="1:13">
      <c r="A1481" s="1439"/>
      <c r="B1481" s="1364"/>
      <c r="C1481" s="1364"/>
      <c r="E1481" s="1364"/>
      <c r="M1481" s="1436"/>
    </row>
    <row r="1482" spans="1:13">
      <c r="A1482" s="1439"/>
      <c r="B1482" s="1364"/>
      <c r="C1482" s="1364"/>
      <c r="E1482" s="1364"/>
      <c r="M1482" s="1436"/>
    </row>
    <row r="1483" spans="1:13">
      <c r="A1483" s="1439"/>
      <c r="B1483" s="1364"/>
      <c r="C1483" s="1364"/>
      <c r="E1483" s="1364"/>
      <c r="M1483" s="1436"/>
    </row>
    <row r="1484" spans="1:13">
      <c r="A1484" s="1439"/>
      <c r="B1484" s="1364"/>
      <c r="C1484" s="1364"/>
      <c r="E1484" s="1364"/>
      <c r="M1484" s="1436"/>
    </row>
    <row r="1485" spans="1:13">
      <c r="A1485" s="1439"/>
      <c r="B1485" s="1364"/>
      <c r="C1485" s="1364"/>
      <c r="E1485" s="1364"/>
      <c r="M1485" s="1436"/>
    </row>
    <row r="1486" spans="1:13">
      <c r="A1486" s="1439"/>
      <c r="B1486" s="1364"/>
      <c r="C1486" s="1364"/>
      <c r="E1486" s="1364"/>
      <c r="M1486" s="1436"/>
    </row>
    <row r="1487" spans="1:13">
      <c r="A1487" s="1439"/>
      <c r="B1487" s="1364"/>
      <c r="C1487" s="1364"/>
      <c r="E1487" s="1364"/>
      <c r="M1487" s="1436"/>
    </row>
    <row r="1488" spans="1:13">
      <c r="A1488" s="1439"/>
      <c r="B1488" s="1364"/>
      <c r="C1488" s="1364"/>
      <c r="E1488" s="1364"/>
      <c r="M1488" s="1436"/>
    </row>
    <row r="1489" spans="1:13">
      <c r="A1489" s="1439"/>
      <c r="B1489" s="1364"/>
      <c r="C1489" s="1364"/>
      <c r="E1489" s="1364"/>
      <c r="M1489" s="1436"/>
    </row>
    <row r="1490" spans="1:13">
      <c r="A1490" s="1439"/>
      <c r="B1490" s="1364"/>
      <c r="C1490" s="1364"/>
      <c r="E1490" s="1364"/>
      <c r="M1490" s="1436"/>
    </row>
    <row r="1491" spans="1:13">
      <c r="A1491" s="1439"/>
      <c r="B1491" s="1364"/>
      <c r="C1491" s="1364"/>
      <c r="E1491" s="1364"/>
      <c r="M1491" s="1436"/>
    </row>
    <row r="1492" spans="1:13">
      <c r="A1492" s="1439"/>
      <c r="B1492" s="1364"/>
      <c r="C1492" s="1364"/>
      <c r="E1492" s="1364"/>
      <c r="M1492" s="1436"/>
    </row>
    <row r="1493" spans="1:13">
      <c r="A1493" s="1439"/>
      <c r="B1493" s="1364"/>
      <c r="C1493" s="1364"/>
      <c r="E1493" s="1364"/>
      <c r="M1493" s="1436"/>
    </row>
    <row r="1494" spans="1:13">
      <c r="A1494" s="1732" t="str">
        <f>+$A$1</f>
        <v>RATES WITH REVENUE DEFICIENCY ADDITION</v>
      </c>
      <c r="B1494" s="1364"/>
      <c r="F1494" s="1329" t="s">
        <v>2173</v>
      </c>
      <c r="G1494" s="1329"/>
      <c r="H1494" s="1329"/>
      <c r="I1494" s="1329"/>
      <c r="M1494" s="1334" t="s">
        <v>5750</v>
      </c>
    </row>
    <row r="1495" spans="1:13">
      <c r="A1495" s="1732" t="str">
        <f>+$A$2</f>
        <v>PROD. CAP. ALLOC. METHOD: 12 CP &amp; 1/13th AD</v>
      </c>
      <c r="B1495" s="1364"/>
      <c r="F1495" s="1336" t="s">
        <v>5141</v>
      </c>
      <c r="G1495" s="1336"/>
      <c r="H1495" s="1336"/>
      <c r="I1495" s="1336"/>
      <c r="L1495" s="1331"/>
      <c r="M1495" s="1409"/>
    </row>
    <row r="1496" spans="1:13">
      <c r="A1496" s="1732" t="str">
        <f>+$A$3</f>
        <v>PROJECTED CALENDAR YEAR 2025; FULLY ADJUSTED DATA</v>
      </c>
      <c r="B1496" s="1364"/>
      <c r="F1496" s="1336" t="s">
        <v>2181</v>
      </c>
      <c r="M1496" s="1436"/>
    </row>
    <row r="1497" spans="1:13">
      <c r="A1497" s="1732" t="str">
        <f>+$A$4</f>
        <v>MINIMUM DISTRIBUTION SYSTEM (MDS) NOT EMPLOYED</v>
      </c>
      <c r="B1497" s="1364"/>
      <c r="E1497" s="1364"/>
      <c r="F1497" s="1336"/>
      <c r="G1497" s="1336"/>
      <c r="H1497" s="1336"/>
      <c r="I1497" s="1336"/>
      <c r="M1497" s="1436"/>
    </row>
    <row r="1498" spans="1:13">
      <c r="A1498" s="1732" t="str">
        <f>+$A$5</f>
        <v>Tampa Electric 2025 OB Budget</v>
      </c>
      <c r="B1498" s="1364"/>
      <c r="E1498" s="1364"/>
      <c r="F1498" s="1336" t="s">
        <v>5674</v>
      </c>
      <c r="G1498" s="1336"/>
      <c r="H1498" s="1336"/>
      <c r="I1498" s="1336"/>
      <c r="M1498" s="1436"/>
    </row>
    <row r="1499" spans="1:13">
      <c r="A1499" s="1439"/>
      <c r="B1499" s="1364"/>
      <c r="E1499" s="1364"/>
      <c r="F1499" s="1336"/>
      <c r="G1499" s="1336"/>
      <c r="H1499" s="1336"/>
      <c r="I1499" s="1336"/>
      <c r="M1499" s="1436"/>
    </row>
    <row r="1500" spans="1:13">
      <c r="A1500" s="1439"/>
      <c r="B1500" s="1364"/>
      <c r="C1500" s="1364"/>
      <c r="E1500" s="1364"/>
      <c r="F1500" s="1336"/>
      <c r="G1500" s="1336"/>
      <c r="H1500" s="1336"/>
      <c r="I1500" s="1336"/>
      <c r="M1500" s="1436"/>
    </row>
    <row r="1501" spans="1:13">
      <c r="A1501" s="1439"/>
      <c r="B1501" s="1364"/>
      <c r="C1501" s="1364"/>
      <c r="E1501" s="1364"/>
      <c r="M1501" s="1436"/>
    </row>
    <row r="1502" spans="1:13">
      <c r="A1502" s="1735"/>
      <c r="B1502" s="1416"/>
      <c r="C1502" s="1416"/>
      <c r="D1502" s="1416"/>
      <c r="E1502" s="1336"/>
      <c r="F1502" s="1416"/>
      <c r="G1502" s="1416"/>
      <c r="H1502" s="1416"/>
      <c r="I1502" s="1416"/>
      <c r="J1502" s="3164"/>
      <c r="K1502" s="3164"/>
      <c r="L1502" s="1333"/>
      <c r="M1502" s="1436"/>
    </row>
    <row r="1503" spans="1:13" ht="28.2">
      <c r="A1503" s="1737" t="s">
        <v>4297</v>
      </c>
      <c r="B1503" s="1741"/>
      <c r="C1503" s="1741"/>
      <c r="D1503" s="1352" t="s">
        <v>4957</v>
      </c>
      <c r="E1503" s="1353" t="s">
        <v>1949</v>
      </c>
      <c r="F1503" s="1353" t="s">
        <v>1950</v>
      </c>
      <c r="G1503" s="1353" t="s">
        <v>1934</v>
      </c>
      <c r="H1503" s="1353" t="s">
        <v>1971</v>
      </c>
      <c r="I1503" s="1353" t="s">
        <v>1972</v>
      </c>
      <c r="J1503" s="1352" t="s">
        <v>5146</v>
      </c>
      <c r="K1503" s="1352" t="s">
        <v>5147</v>
      </c>
      <c r="L1503" s="1355"/>
      <c r="M1503" s="1348" t="s">
        <v>5299</v>
      </c>
    </row>
    <row r="1504" spans="1:13">
      <c r="A1504" s="1439"/>
      <c r="B1504" s="1364"/>
      <c r="C1504" s="1364"/>
      <c r="E1504" s="1364"/>
      <c r="M1504" s="1436"/>
    </row>
    <row r="1505" spans="1:13">
      <c r="A1505" s="1439">
        <v>74</v>
      </c>
      <c r="B1505" s="1362" t="s">
        <v>5648</v>
      </c>
      <c r="C1505" s="1364"/>
      <c r="E1505" s="1364"/>
      <c r="M1505" s="1436"/>
    </row>
    <row r="1506" spans="1:13">
      <c r="A1506" s="1439">
        <v>75</v>
      </c>
      <c r="B1506" s="1324" t="s">
        <v>5265</v>
      </c>
      <c r="C1506" s="1364" t="s">
        <v>4067</v>
      </c>
      <c r="D1506" s="1324">
        <f>+IF(ISBLANK(REPORTS!J1166),"",REPORTS!J1166)</f>
        <v>13815.640279301399</v>
      </c>
      <c r="E1506" s="1324">
        <f>+IF(ISBLANK(REPORTS!K1166),"",REPORTS!K1166)</f>
        <v>7933.143277805425</v>
      </c>
      <c r="F1506" s="1324">
        <f>+IF(ISBLANK(REPORTS!L1166),"",REPORTS!L1166)</f>
        <v>659.72531739239548</v>
      </c>
      <c r="G1506" s="1324">
        <f>+IF(ISBLANK(REPORTS!M1166),"",REPORTS!M1166)</f>
        <v>4269.6830876768163</v>
      </c>
      <c r="H1506" s="1324">
        <f>+IF(ISBLANK(REPORTS!N1166),"",REPORTS!N1166)</f>
        <v>545.69439548082403</v>
      </c>
      <c r="I1506" s="1324">
        <f>+IF(ISBLANK(REPORTS!O1166),"",REPORTS!O1166)</f>
        <v>392.73796849152563</v>
      </c>
      <c r="J1506" s="1324">
        <f>+IF(ISBLANK(REPORTS!P1166),"",REPORTS!P1166)</f>
        <v>14.656232454413482</v>
      </c>
      <c r="K1506" s="1324">
        <f>+IF(ISBLANK(REPORTS!Q1166),"",REPORTS!Q1166)</f>
        <v>0</v>
      </c>
      <c r="L1506" s="1324"/>
      <c r="M1506" s="1324">
        <v>122</v>
      </c>
    </row>
    <row r="1507" spans="1:13">
      <c r="A1507" s="1439">
        <v>76</v>
      </c>
      <c r="B1507" s="1324" t="s">
        <v>5265</v>
      </c>
      <c r="C1507" s="1364" t="s">
        <v>2067</v>
      </c>
      <c r="D1507" s="1324">
        <f>+IF(ISBLANK(REPORTS!J1167),"",REPORTS!J1167)</f>
        <v>3432.7320436592199</v>
      </c>
      <c r="E1507" s="1364">
        <f>+IF(ISBLANK(REPORTS!K1167),"",REPORTS!K1167)</f>
        <v>1732.2739379289001</v>
      </c>
      <c r="F1507" s="1364">
        <f>+IF(ISBLANK(REPORTS!L1167),"",REPORTS!L1167)</f>
        <v>160.08239040039041</v>
      </c>
      <c r="G1507" s="1364">
        <f>+IF(ISBLANK(REPORTS!M1167),"",REPORTS!M1167)</f>
        <v>1192.5516304328376</v>
      </c>
      <c r="H1507" s="1364">
        <f>+IF(ISBLANK(REPORTS!N1167),"",REPORTS!N1167)</f>
        <v>189.8350448110528</v>
      </c>
      <c r="I1507" s="1364">
        <f>+IF(ISBLANK(REPORTS!O1167),"",REPORTS!O1167)</f>
        <v>139.85372978917698</v>
      </c>
      <c r="J1507" s="1364">
        <f>+IF(ISBLANK(REPORTS!P1167),"",REPORTS!P1167)</f>
        <v>18.135310296861956</v>
      </c>
      <c r="K1507" s="1364">
        <f>+IF(ISBLANK(REPORTS!Q1167),"",REPORTS!Q1167)</f>
        <v>0</v>
      </c>
      <c r="L1507" s="1364"/>
      <c r="M1507" s="1324">
        <v>201</v>
      </c>
    </row>
    <row r="1508" spans="1:13">
      <c r="A1508" s="1439">
        <v>77</v>
      </c>
      <c r="B1508" s="1324" t="s">
        <v>5268</v>
      </c>
      <c r="C1508" s="1364" t="s">
        <v>4067</v>
      </c>
      <c r="D1508" s="1324">
        <f>+IF(ISBLANK(REPORTS!J1168),"",REPORTS!J1168)</f>
        <v>2435.255701858955</v>
      </c>
      <c r="E1508" s="1364">
        <f>+IF(ISBLANK(REPORTS!K1168),"",REPORTS!K1168)</f>
        <v>1412.4800631138273</v>
      </c>
      <c r="F1508" s="1364">
        <f>+IF(ISBLANK(REPORTS!L1168),"",REPORTS!L1168)</f>
        <v>116.51535814890927</v>
      </c>
      <c r="G1508" s="1364">
        <f>+IF(ISBLANK(REPORTS!M1168),"",REPORTS!M1168)</f>
        <v>744.8241487707985</v>
      </c>
      <c r="H1508" s="1364">
        <f>+IF(ISBLANK(REPORTS!N1168),"",REPORTS!N1168)</f>
        <v>92.981419277760267</v>
      </c>
      <c r="I1508" s="1364">
        <f>+IF(ISBLANK(REPORTS!O1168),"",REPORTS!O1168)</f>
        <v>66.728134255501217</v>
      </c>
      <c r="J1508" s="1364">
        <f>+IF(ISBLANK(REPORTS!P1168),"",REPORTS!P1168)</f>
        <v>1.7265782921585278</v>
      </c>
      <c r="K1508" s="1364">
        <f>+IF(ISBLANK(REPORTS!Q1168),"",REPORTS!Q1168)</f>
        <v>0</v>
      </c>
      <c r="L1508" s="1364"/>
      <c r="M1508" s="1324">
        <v>117</v>
      </c>
    </row>
    <row r="1509" spans="1:13">
      <c r="A1509" s="1439">
        <v>78</v>
      </c>
      <c r="B1509" s="1324" t="s">
        <v>5239</v>
      </c>
      <c r="C1509" s="1364" t="s">
        <v>4067</v>
      </c>
      <c r="D1509" s="1324">
        <f>+IF(ISBLANK(REPORTS!J1169),"",REPORTS!J1169)</f>
        <v>1960.3839938858218</v>
      </c>
      <c r="E1509" s="1364">
        <f>+IF(ISBLANK(REPORTS!K1169),"",REPORTS!K1169)</f>
        <v>1137.0482801035887</v>
      </c>
      <c r="F1509" s="1364">
        <f>+IF(ISBLANK(REPORTS!L1169),"",REPORTS!L1169)</f>
        <v>93.795014208419659</v>
      </c>
      <c r="G1509" s="1364">
        <f>+IF(ISBLANK(REPORTS!M1169),"",REPORTS!M1169)</f>
        <v>599.58440437909871</v>
      </c>
      <c r="H1509" s="1364">
        <f>+IF(ISBLANK(REPORTS!N1169),"",REPORTS!N1169)</f>
        <v>74.850162938439993</v>
      </c>
      <c r="I1509" s="1364">
        <f>+IF(ISBLANK(REPORTS!O1169),"",REPORTS!O1169)</f>
        <v>53.716234495003022</v>
      </c>
      <c r="J1509" s="1364">
        <f>+IF(ISBLANK(REPORTS!P1169),"",REPORTS!P1169)</f>
        <v>1.389897761271861</v>
      </c>
      <c r="K1509" s="1364">
        <f>+IF(ISBLANK(REPORTS!Q1169),"",REPORTS!Q1169)</f>
        <v>0</v>
      </c>
      <c r="L1509" s="1364"/>
      <c r="M1509" s="1324">
        <v>117</v>
      </c>
    </row>
    <row r="1510" spans="1:13">
      <c r="A1510" s="1439">
        <v>79</v>
      </c>
      <c r="B1510" s="1324" t="s">
        <v>5240</v>
      </c>
      <c r="C1510" s="1364" t="s">
        <v>4067</v>
      </c>
      <c r="D1510" s="1324">
        <f>+IF(ISBLANK(REPORTS!J1170),"",REPORTS!J1170)</f>
        <v>12653.366061707286</v>
      </c>
      <c r="E1510" s="1364">
        <f>+IF(ISBLANK(REPORTS!K1170),"",REPORTS!K1170)</f>
        <v>7875.6576434780882</v>
      </c>
      <c r="F1510" s="1364">
        <f>+IF(ISBLANK(REPORTS!L1170),"",REPORTS!L1170)</f>
        <v>560.13652422121913</v>
      </c>
      <c r="G1510" s="1364">
        <f>+IF(ISBLANK(REPORTS!M1170),"",REPORTS!M1170)</f>
        <v>3750.4637642873217</v>
      </c>
      <c r="H1510" s="1364">
        <f>+IF(ISBLANK(REPORTS!N1170),"",REPORTS!N1170)</f>
        <v>394.47338084108759</v>
      </c>
      <c r="I1510" s="1364">
        <f>+IF(ISBLANK(REPORTS!O1170),"",REPORTS!O1170)</f>
        <v>2.6933873964460781E-4</v>
      </c>
      <c r="J1510" s="1364">
        <f>+IF(ISBLANK(REPORTS!P1170),"",REPORTS!P1170)</f>
        <v>72.634479540832601</v>
      </c>
      <c r="K1510" s="1364">
        <f>+IF(ISBLANK(REPORTS!Q1170),"",REPORTS!Q1170)</f>
        <v>0</v>
      </c>
      <c r="L1510" s="1364"/>
      <c r="M1510" s="1324">
        <v>105</v>
      </c>
    </row>
    <row r="1511" spans="1:13">
      <c r="A1511" s="1439">
        <v>80</v>
      </c>
      <c r="B1511" s="1324" t="s">
        <v>5241</v>
      </c>
      <c r="C1511" s="1364" t="s">
        <v>4067</v>
      </c>
      <c r="D1511" s="1324">
        <f>+IF(ISBLANK(REPORTS!J1171),"",REPORTS!J1171)</f>
        <v>4111.8827844071548</v>
      </c>
      <c r="E1511" s="1364">
        <f>+IF(ISBLANK(REPORTS!K1171),"",REPORTS!K1171)</f>
        <v>3000.1664460423431</v>
      </c>
      <c r="F1511" s="1364">
        <f>+IF(ISBLANK(REPORTS!L1171),"",REPORTS!L1171)</f>
        <v>241.57294091173867</v>
      </c>
      <c r="G1511" s="1364">
        <f>+IF(ISBLANK(REPORTS!M1171),"",REPORTS!M1171)</f>
        <v>855.26895668842428</v>
      </c>
      <c r="H1511" s="1364">
        <f>+IF(ISBLANK(REPORTS!N1171),"",REPORTS!N1171)</f>
        <v>0</v>
      </c>
      <c r="I1511" s="1364">
        <f>+IF(ISBLANK(REPORTS!O1171),"",REPORTS!O1171)</f>
        <v>0</v>
      </c>
      <c r="J1511" s="1364">
        <f>+IF(ISBLANK(REPORTS!P1171),"",REPORTS!P1171)</f>
        <v>14.874440764648364</v>
      </c>
      <c r="K1511" s="1364">
        <f>+IF(ISBLANK(REPORTS!Q1171),"",REPORTS!Q1171)</f>
        <v>0</v>
      </c>
      <c r="L1511" s="1364"/>
      <c r="M1511" s="1324">
        <v>106</v>
      </c>
    </row>
    <row r="1512" spans="1:13">
      <c r="A1512" s="1439">
        <v>81</v>
      </c>
      <c r="B1512" s="1324" t="s">
        <v>5242</v>
      </c>
      <c r="C1512" s="1364" t="s">
        <v>4071</v>
      </c>
      <c r="D1512" s="1324">
        <f>+IF(ISBLANK(REPORTS!J1172),"",REPORTS!J1172)</f>
        <v>4876.4131073822145</v>
      </c>
      <c r="E1512" s="1364">
        <f>+IF(ISBLANK(REPORTS!K1172),"",REPORTS!K1172)</f>
        <v>1797.7224679302315</v>
      </c>
      <c r="F1512" s="1364">
        <f>+IF(ISBLANK(REPORTS!L1172),"",REPORTS!L1172)</f>
        <v>272.69086089415345</v>
      </c>
      <c r="G1512" s="1364">
        <f>+IF(ISBLANK(REPORTS!M1172),"",REPORTS!M1172)</f>
        <v>131.46405762786915</v>
      </c>
      <c r="H1512" s="1364">
        <f>+IF(ISBLANK(REPORTS!N1172),"",REPORTS!N1172)</f>
        <v>8.4748490609330798</v>
      </c>
      <c r="I1512" s="1364">
        <f>+IF(ISBLANK(REPORTS!O1172),"",REPORTS!O1172)</f>
        <v>9.2464160837409057</v>
      </c>
      <c r="J1512" s="1364">
        <f>+IF(ISBLANK(REPORTS!P1172),"",REPORTS!P1172)</f>
        <v>2.1221628337343588</v>
      </c>
      <c r="K1512" s="1364">
        <f>+IF(ISBLANK(REPORTS!Q1172),"",REPORTS!Q1172)</f>
        <v>2654.6922929515526</v>
      </c>
      <c r="L1512" s="1364"/>
      <c r="M1512" s="1324">
        <v>907</v>
      </c>
    </row>
    <row r="1513" spans="1:13">
      <c r="A1513" s="1439">
        <v>82</v>
      </c>
      <c r="B1513" s="1324" t="s">
        <v>5244</v>
      </c>
      <c r="C1513" s="1364" t="s">
        <v>4071</v>
      </c>
      <c r="D1513" s="1324">
        <f>+IF(ISBLANK(REPORTS!J1173),"",REPORTS!J1173)</f>
        <v>6605.2154604301122</v>
      </c>
      <c r="E1513" s="1364">
        <f>+IF(ISBLANK(REPORTS!K1173),"",REPORTS!K1173)</f>
        <v>5891.1045764301216</v>
      </c>
      <c r="F1513" s="1364">
        <f>+IF(ISBLANK(REPORTS!L1173),"",REPORTS!L1173)</f>
        <v>571.08955582185183</v>
      </c>
      <c r="G1513" s="1364">
        <f>+IF(ISBLANK(REPORTS!M1173),"",REPORTS!M1173)</f>
        <v>140.65449064562713</v>
      </c>
      <c r="H1513" s="1364">
        <f>+IF(ISBLANK(REPORTS!N1173),"",REPORTS!N1173)</f>
        <v>0.47489944018019281</v>
      </c>
      <c r="I1513" s="1364">
        <f>+IF(ISBLANK(REPORTS!O1173),"",REPORTS!O1173)</f>
        <v>8.4256352290034212E-2</v>
      </c>
      <c r="J1513" s="1364">
        <f>+IF(ISBLANK(REPORTS!P1173),"",REPORTS!P1173)</f>
        <v>1.8076817400407339</v>
      </c>
      <c r="K1513" s="1364">
        <f>+IF(ISBLANK(REPORTS!Q1173),"",REPORTS!Q1173)</f>
        <v>0</v>
      </c>
      <c r="L1513" s="1364"/>
      <c r="M1513" s="1324">
        <v>412</v>
      </c>
    </row>
    <row r="1514" spans="1:13">
      <c r="A1514" s="1439">
        <v>83</v>
      </c>
      <c r="B1514" s="1324" t="s">
        <v>5687</v>
      </c>
      <c r="C1514" s="1364"/>
      <c r="D1514" s="1421">
        <f>+IF(ISBLANK(REPORTS!J1174),"",REPORTS!J1174)</f>
        <v>49890.889432632161</v>
      </c>
      <c r="E1514" s="1421">
        <f>+IF(ISBLANK(REPORTS!K1174),"",REPORTS!K1174)</f>
        <v>30779.596692832522</v>
      </c>
      <c r="F1514" s="1421">
        <f>+IF(ISBLANK(REPORTS!L1174),"",REPORTS!L1174)</f>
        <v>2675.6079619990778</v>
      </c>
      <c r="G1514" s="1421">
        <f>+IF(ISBLANK(REPORTS!M1174),"",REPORTS!M1174)</f>
        <v>11684.494540508793</v>
      </c>
      <c r="H1514" s="1421">
        <f>+IF(ISBLANK(REPORTS!N1174),"",REPORTS!N1174)</f>
        <v>1306.7841518502782</v>
      </c>
      <c r="I1514" s="1421">
        <f>+IF(ISBLANK(REPORTS!O1174),"",REPORTS!O1174)</f>
        <v>662.36700880597743</v>
      </c>
      <c r="J1514" s="1421">
        <f>+IF(ISBLANK(REPORTS!P1174),"",REPORTS!P1174)</f>
        <v>127.3467836839619</v>
      </c>
      <c r="K1514" s="1421">
        <f>+IF(ISBLANK(REPORTS!Q1174),"",REPORTS!Q1174)</f>
        <v>2654.6922929515526</v>
      </c>
      <c r="L1514" s="1364"/>
      <c r="M1514" s="1326"/>
    </row>
    <row r="1515" spans="1:13">
      <c r="A1515" s="1439">
        <v>84</v>
      </c>
      <c r="C1515" s="1364"/>
      <c r="D1515" s="1324" t="str">
        <f>+IF(ISBLANK(REPORTS!J1175),"",REPORTS!J1175)</f>
        <v/>
      </c>
      <c r="E1515" s="1324" t="str">
        <f>+IF(ISBLANK(REPORTS!K1175),"",REPORTS!K1175)</f>
        <v/>
      </c>
      <c r="F1515" s="1324" t="str">
        <f>+IF(ISBLANK(REPORTS!L1175),"",REPORTS!L1175)</f>
        <v/>
      </c>
      <c r="G1515" s="1324" t="str">
        <f>+IF(ISBLANK(REPORTS!M1175),"",REPORTS!M1175)</f>
        <v/>
      </c>
      <c r="H1515" s="1324" t="str">
        <f>+IF(ISBLANK(REPORTS!N1175),"",REPORTS!N1175)</f>
        <v/>
      </c>
      <c r="I1515" s="1324" t="str">
        <f>+IF(ISBLANK(REPORTS!O1175),"",REPORTS!O1175)</f>
        <v/>
      </c>
      <c r="J1515" s="1324" t="str">
        <f>+IF(ISBLANK(REPORTS!P1175),"",REPORTS!P1175)</f>
        <v/>
      </c>
      <c r="K1515" s="1324" t="str">
        <f>+IF(ISBLANK(REPORTS!Q1175),"",REPORTS!Q1175)</f>
        <v/>
      </c>
      <c r="L1515" s="1324"/>
      <c r="M1515" s="1326"/>
    </row>
    <row r="1516" spans="1:13">
      <c r="A1516" s="1439">
        <v>85</v>
      </c>
      <c r="B1516" s="1362" t="s">
        <v>5651</v>
      </c>
      <c r="C1516" s="1364"/>
      <c r="D1516" s="1324" t="str">
        <f>+IF(ISBLANK(REPORTS!J1176),"",REPORTS!J1176)</f>
        <v/>
      </c>
      <c r="E1516" s="1324" t="str">
        <f>+IF(ISBLANK(REPORTS!K1176),"",REPORTS!K1176)</f>
        <v/>
      </c>
      <c r="F1516" s="1324" t="str">
        <f>+IF(ISBLANK(REPORTS!L1176),"",REPORTS!L1176)</f>
        <v/>
      </c>
      <c r="G1516" s="1324" t="str">
        <f>+IF(ISBLANK(REPORTS!M1176),"",REPORTS!M1176)</f>
        <v/>
      </c>
      <c r="H1516" s="1324" t="str">
        <f>+IF(ISBLANK(REPORTS!N1176),"",REPORTS!N1176)</f>
        <v/>
      </c>
      <c r="I1516" s="1324" t="str">
        <f>+IF(ISBLANK(REPORTS!O1176),"",REPORTS!O1176)</f>
        <v/>
      </c>
      <c r="J1516" s="1324" t="str">
        <f>+IF(ISBLANK(REPORTS!P1176),"",REPORTS!P1176)</f>
        <v/>
      </c>
      <c r="K1516" s="1324" t="str">
        <f>+IF(ISBLANK(REPORTS!Q1176),"",REPORTS!Q1176)</f>
        <v/>
      </c>
      <c r="L1516" s="1324"/>
      <c r="M1516" s="1326"/>
    </row>
    <row r="1517" spans="1:13">
      <c r="A1517" s="1439">
        <v>86</v>
      </c>
      <c r="B1517" s="1324" t="s">
        <v>5265</v>
      </c>
      <c r="C1517" s="1364" t="s">
        <v>4067</v>
      </c>
      <c r="D1517" s="1324">
        <f>+IF(ISBLANK(REPORTS!J1177),"",REPORTS!J1177)</f>
        <v>2680.6932400000001</v>
      </c>
      <c r="E1517" s="1324">
        <f>+IF(ISBLANK(REPORTS!K1177),"",REPORTS!K1177)</f>
        <v>1539.2933752499089</v>
      </c>
      <c r="F1517" s="1324">
        <f>+IF(ISBLANK(REPORTS!L1177),"",REPORTS!L1177)</f>
        <v>128.00863100353362</v>
      </c>
      <c r="G1517" s="1324">
        <f>+IF(ISBLANK(REPORTS!M1177),"",REPORTS!M1177)</f>
        <v>828.46037959062517</v>
      </c>
      <c r="H1517" s="1324">
        <f>+IF(ISBLANK(REPORTS!N1177),"",REPORTS!N1177)</f>
        <v>105.88284346567407</v>
      </c>
      <c r="I1517" s="1324">
        <f>+IF(ISBLANK(REPORTS!O1177),"",REPORTS!O1177)</f>
        <v>76.204214639540552</v>
      </c>
      <c r="J1517" s="1324">
        <f>+IF(ISBLANK(REPORTS!P1177),"",REPORTS!P1177)</f>
        <v>2.8437960507177817</v>
      </c>
      <c r="K1517" s="1324">
        <f>+IF(ISBLANK(REPORTS!Q1177),"",REPORTS!Q1177)</f>
        <v>0</v>
      </c>
      <c r="L1517" s="1324"/>
      <c r="M1517" s="1324">
        <v>122</v>
      </c>
    </row>
    <row r="1518" spans="1:13">
      <c r="A1518" s="1439">
        <v>87</v>
      </c>
      <c r="B1518" s="1324" t="s">
        <v>5265</v>
      </c>
      <c r="C1518" s="1364" t="s">
        <v>2067</v>
      </c>
      <c r="D1518" s="1324">
        <f>+IF(ISBLANK(REPORTS!J1178),"",REPORTS!J1178)</f>
        <v>0</v>
      </c>
      <c r="E1518" s="1364">
        <f>+IF(ISBLANK(REPORTS!K1178),"",REPORTS!K1178)</f>
        <v>0</v>
      </c>
      <c r="F1518" s="1364">
        <f>+IF(ISBLANK(REPORTS!L1178),"",REPORTS!L1178)</f>
        <v>0</v>
      </c>
      <c r="G1518" s="1364">
        <f>+IF(ISBLANK(REPORTS!M1178),"",REPORTS!M1178)</f>
        <v>0</v>
      </c>
      <c r="H1518" s="1364">
        <f>+IF(ISBLANK(REPORTS!N1178),"",REPORTS!N1178)</f>
        <v>0</v>
      </c>
      <c r="I1518" s="1364">
        <f>+IF(ISBLANK(REPORTS!O1178),"",REPORTS!O1178)</f>
        <v>0</v>
      </c>
      <c r="J1518" s="1364">
        <f>+IF(ISBLANK(REPORTS!P1178),"",REPORTS!P1178)</f>
        <v>0</v>
      </c>
      <c r="K1518" s="1364">
        <f>+IF(ISBLANK(REPORTS!Q1178),"",REPORTS!Q1178)</f>
        <v>0</v>
      </c>
      <c r="L1518" s="1364"/>
      <c r="M1518" s="1324">
        <v>201</v>
      </c>
    </row>
    <row r="1519" spans="1:13">
      <c r="A1519" s="1439">
        <v>88</v>
      </c>
      <c r="B1519" s="1324" t="s">
        <v>5268</v>
      </c>
      <c r="C1519" s="1364" t="s">
        <v>4067</v>
      </c>
      <c r="D1519" s="1324">
        <f>+IF(ISBLANK(REPORTS!J1179),"",REPORTS!J1179)</f>
        <v>891.12651647237055</v>
      </c>
      <c r="E1519" s="1364">
        <f>+IF(ISBLANK(REPORTS!K1179),"",REPORTS!K1179)</f>
        <v>516.86499995399674</v>
      </c>
      <c r="F1519" s="1364">
        <f>+IF(ISBLANK(REPORTS!L1179),"",REPORTS!L1179)</f>
        <v>42.636149108904441</v>
      </c>
      <c r="G1519" s="1364">
        <f>+IF(ISBLANK(REPORTS!M1179),"",REPORTS!M1179)</f>
        <v>272.55148137912556</v>
      </c>
      <c r="H1519" s="1364">
        <f>+IF(ISBLANK(REPORTS!N1179),"",REPORTS!N1179)</f>
        <v>34.024438663421471</v>
      </c>
      <c r="I1519" s="1364">
        <f>+IF(ISBLANK(REPORTS!O1179),"",REPORTS!O1179)</f>
        <v>24.417645253602796</v>
      </c>
      <c r="J1519" s="1364">
        <f>+IF(ISBLANK(REPORTS!P1179),"",REPORTS!P1179)</f>
        <v>0.63180211331957958</v>
      </c>
      <c r="K1519" s="1364">
        <f>+IF(ISBLANK(REPORTS!Q1179),"",REPORTS!Q1179)</f>
        <v>0</v>
      </c>
      <c r="L1519" s="1364"/>
      <c r="M1519" s="1324">
        <v>117</v>
      </c>
    </row>
    <row r="1520" spans="1:13">
      <c r="A1520" s="1439">
        <v>89</v>
      </c>
      <c r="B1520" s="1324" t="s">
        <v>5239</v>
      </c>
      <c r="C1520" s="1364" t="s">
        <v>4067</v>
      </c>
      <c r="D1520" s="1324">
        <f>+IF(ISBLANK(REPORTS!J1180),"",REPORTS!J1180)</f>
        <v>2505.4316514135644</v>
      </c>
      <c r="E1520" s="1364">
        <f>+IF(ISBLANK(REPORTS!K1180),"",REPORTS!K1180)</f>
        <v>1453.1830289585648</v>
      </c>
      <c r="F1520" s="1364">
        <f>+IF(ISBLANK(REPORTS!L1180),"",REPORTS!L1180)</f>
        <v>119.87294227839247</v>
      </c>
      <c r="G1520" s="1364">
        <f>+IF(ISBLANK(REPORTS!M1180),"",REPORTS!M1180)</f>
        <v>766.28749730183574</v>
      </c>
      <c r="H1520" s="1364">
        <f>+IF(ISBLANK(REPORTS!N1180),"",REPORTS!N1180)</f>
        <v>95.660833757221781</v>
      </c>
      <c r="I1520" s="1364">
        <f>+IF(ISBLANK(REPORTS!O1180),"",REPORTS!O1180)</f>
        <v>68.651016595870118</v>
      </c>
      <c r="J1520" s="1364">
        <f>+IF(ISBLANK(REPORTS!P1180),"",REPORTS!P1180)</f>
        <v>1.776332521679522</v>
      </c>
      <c r="K1520" s="1364">
        <f>+IF(ISBLANK(REPORTS!Q1180),"",REPORTS!Q1180)</f>
        <v>0</v>
      </c>
      <c r="L1520" s="1364"/>
      <c r="M1520" s="1320">
        <v>117</v>
      </c>
    </row>
    <row r="1521" spans="1:13">
      <c r="A1521" s="1439">
        <v>90</v>
      </c>
      <c r="B1521" s="1324" t="s">
        <v>5240</v>
      </c>
      <c r="C1521" s="1364" t="s">
        <v>4067</v>
      </c>
      <c r="D1521" s="1324">
        <f>+IF(ISBLANK(REPORTS!J1181),"",REPORTS!J1181)</f>
        <v>13156.454642515533</v>
      </c>
      <c r="E1521" s="1364">
        <f>+IF(ISBLANK(REPORTS!K1181),"",REPORTS!K1181)</f>
        <v>8188.7880316662267</v>
      </c>
      <c r="F1521" s="1364">
        <f>+IF(ISBLANK(REPORTS!L1181),"",REPORTS!L1181)</f>
        <v>582.40714277876805</v>
      </c>
      <c r="G1521" s="1364">
        <f>+IF(ISBLANK(REPORTS!M1181),"",REPORTS!M1181)</f>
        <v>3899.5794607230796</v>
      </c>
      <c r="H1521" s="1364">
        <f>+IF(ISBLANK(REPORTS!N1181),"",REPORTS!N1181)</f>
        <v>410.15735397251825</v>
      </c>
      <c r="I1521" s="1364">
        <f>+IF(ISBLANK(REPORTS!O1181),"",REPORTS!O1181)</f>
        <v>2.8004745095697186E-4</v>
      </c>
      <c r="J1521" s="1364">
        <f>+IF(ISBLANK(REPORTS!P1181),"",REPORTS!P1181)</f>
        <v>75.522373327492929</v>
      </c>
      <c r="K1521" s="1364">
        <f>+IF(ISBLANK(REPORTS!Q1181),"",REPORTS!Q1181)</f>
        <v>0</v>
      </c>
      <c r="L1521" s="1364"/>
      <c r="M1521" s="1320">
        <v>105</v>
      </c>
    </row>
    <row r="1522" spans="1:13">
      <c r="A1522" s="1439">
        <v>91</v>
      </c>
      <c r="B1522" s="1324" t="s">
        <v>5241</v>
      </c>
      <c r="C1522" s="1364" t="s">
        <v>4067</v>
      </c>
      <c r="D1522" s="1324">
        <f>+IF(ISBLANK(REPORTS!J1182),"",REPORTS!J1182)</f>
        <v>2269.5853899717054</v>
      </c>
      <c r="E1522" s="1364">
        <f>+IF(ISBLANK(REPORTS!K1182),"",REPORTS!K1182)</f>
        <v>1655.9649898684472</v>
      </c>
      <c r="F1522" s="1364">
        <f>+IF(ISBLANK(REPORTS!L1182),"",REPORTS!L1182)</f>
        <v>133.33804635309636</v>
      </c>
      <c r="G1522" s="1364">
        <f>+IF(ISBLANK(REPORTS!M1182),"",REPORTS!M1182)</f>
        <v>472.07229154423885</v>
      </c>
      <c r="H1522" s="1364">
        <f>+IF(ISBLANK(REPORTS!N1182),"",REPORTS!N1182)</f>
        <v>0</v>
      </c>
      <c r="I1522" s="1364">
        <f>+IF(ISBLANK(REPORTS!O1182),"",REPORTS!O1182)</f>
        <v>0</v>
      </c>
      <c r="J1522" s="1364">
        <f>+IF(ISBLANK(REPORTS!P1182),"",REPORTS!P1182)</f>
        <v>8.2100622059227266</v>
      </c>
      <c r="K1522" s="1364">
        <f>+IF(ISBLANK(REPORTS!Q1182),"",REPORTS!Q1182)</f>
        <v>0</v>
      </c>
      <c r="L1522" s="1364"/>
      <c r="M1522" s="1320">
        <v>106</v>
      </c>
    </row>
    <row r="1523" spans="1:13">
      <c r="A1523" s="1439">
        <v>92</v>
      </c>
      <c r="B1523" s="1324" t="s">
        <v>5242</v>
      </c>
      <c r="C1523" s="1364" t="s">
        <v>4071</v>
      </c>
      <c r="D1523" s="1324">
        <f>+IF(ISBLANK(REPORTS!J1183),"",REPORTS!J1183)</f>
        <v>8433.4309596513831</v>
      </c>
      <c r="E1523" s="1364">
        <f>+IF(ISBLANK(REPORTS!K1183),"",REPORTS!K1183)</f>
        <v>3109.0410069959203</v>
      </c>
      <c r="F1523" s="1364">
        <f>+IF(ISBLANK(REPORTS!L1183),"",REPORTS!L1183)</f>
        <v>471.60064129868022</v>
      </c>
      <c r="G1523" s="1364">
        <f>+IF(ISBLANK(REPORTS!M1183),"",REPORTS!M1183)</f>
        <v>227.3583121991567</v>
      </c>
      <c r="H1523" s="1364">
        <f>+IF(ISBLANK(REPORTS!N1183),"",REPORTS!N1183)</f>
        <v>14.656685739082828</v>
      </c>
      <c r="I1523" s="1364">
        <f>+IF(ISBLANK(REPORTS!O1183),"",REPORTS!O1183)</f>
        <v>15.991059401507558</v>
      </c>
      <c r="J1523" s="1364">
        <f>+IF(ISBLANK(REPORTS!P1183),"",REPORTS!P1183)</f>
        <v>3.6701389626615302</v>
      </c>
      <c r="K1523" s="1364">
        <f>+IF(ISBLANK(REPORTS!Q1183),"",REPORTS!Q1183)</f>
        <v>4591.1131150543752</v>
      </c>
      <c r="L1523" s="1364"/>
      <c r="M1523" s="1320">
        <v>907</v>
      </c>
    </row>
    <row r="1524" spans="1:13">
      <c r="A1524" s="1439">
        <v>93</v>
      </c>
      <c r="B1524" s="1324" t="s">
        <v>5244</v>
      </c>
      <c r="C1524" s="1364" t="s">
        <v>4071</v>
      </c>
      <c r="D1524" s="1324">
        <f>+IF(ISBLANK(REPORTS!J1184),"",REPORTS!J1184)</f>
        <v>11423.279228503052</v>
      </c>
      <c r="E1524" s="1364">
        <f>+IF(ISBLANK(REPORTS!K1184),"",REPORTS!K1184)</f>
        <v>10188.272122843269</v>
      </c>
      <c r="F1524" s="1364">
        <f>+IF(ISBLANK(REPORTS!L1184),"",REPORTS!L1184)</f>
        <v>987.6612655130541</v>
      </c>
      <c r="G1524" s="1364">
        <f>+IF(ISBLANK(REPORTS!M1184),"",REPORTS!M1184)</f>
        <v>243.25255262501963</v>
      </c>
      <c r="H1524" s="1364">
        <f>+IF(ISBLANK(REPORTS!N1184),"",REPORTS!N1184)</f>
        <v>0.82130688137838126</v>
      </c>
      <c r="I1524" s="1364">
        <f>+IF(ISBLANK(REPORTS!O1184),"",REPORTS!O1184)</f>
        <v>0.14571573701874507</v>
      </c>
      <c r="J1524" s="1364">
        <f>+IF(ISBLANK(REPORTS!P1184),"",REPORTS!P1184)</f>
        <v>3.1262649033112577</v>
      </c>
      <c r="K1524" s="1364">
        <f>+IF(ISBLANK(REPORTS!Q1184),"",REPORTS!Q1184)</f>
        <v>0</v>
      </c>
      <c r="L1524" s="1364"/>
      <c r="M1524" s="1320">
        <v>412</v>
      </c>
    </row>
    <row r="1525" spans="1:13">
      <c r="A1525" s="1439">
        <v>94</v>
      </c>
      <c r="B1525" s="1324" t="s">
        <v>5688</v>
      </c>
      <c r="C1525" s="1364"/>
      <c r="D1525" s="1421">
        <f>+IF(ISBLANK(REPORTS!J1185),"",REPORTS!J1185)</f>
        <v>41360.001628527607</v>
      </c>
      <c r="E1525" s="1421">
        <f>+IF(ISBLANK(REPORTS!K1185),"",REPORTS!K1185)</f>
        <v>26651.407555536338</v>
      </c>
      <c r="F1525" s="1421">
        <f>+IF(ISBLANK(REPORTS!L1185),"",REPORTS!L1185)</f>
        <v>2465.5248183344293</v>
      </c>
      <c r="G1525" s="1421">
        <f>+IF(ISBLANK(REPORTS!M1185),"",REPORTS!M1185)</f>
        <v>6709.5619753630808</v>
      </c>
      <c r="H1525" s="1421">
        <f>+IF(ISBLANK(REPORTS!N1185),"",REPORTS!N1185)</f>
        <v>661.20346247929683</v>
      </c>
      <c r="I1525" s="1421">
        <f>+IF(ISBLANK(REPORTS!O1185),"",REPORTS!O1185)</f>
        <v>185.40993167499073</v>
      </c>
      <c r="J1525" s="1421">
        <f>+IF(ISBLANK(REPORTS!P1185),"",REPORTS!P1185)</f>
        <v>95.780770085105317</v>
      </c>
      <c r="K1525" s="1421">
        <f>+IF(ISBLANK(REPORTS!Q1185),"",REPORTS!Q1185)</f>
        <v>4591.1131150543752</v>
      </c>
      <c r="L1525" s="1358"/>
      <c r="M1525" s="1321"/>
    </row>
    <row r="1526" spans="1:13">
      <c r="A1526" s="1439">
        <v>95</v>
      </c>
      <c r="C1526" s="1364"/>
      <c r="D1526" s="1324" t="str">
        <f>+IF(ISBLANK(REPORTS!J1186),"",REPORTS!J1186)</f>
        <v/>
      </c>
      <c r="E1526" s="1324" t="str">
        <f>+IF(ISBLANK(REPORTS!K1186),"",REPORTS!K1186)</f>
        <v/>
      </c>
      <c r="F1526" s="1324" t="str">
        <f>+IF(ISBLANK(REPORTS!L1186),"",REPORTS!L1186)</f>
        <v/>
      </c>
      <c r="G1526" s="1324" t="str">
        <f>+IF(ISBLANK(REPORTS!M1186),"",REPORTS!M1186)</f>
        <v/>
      </c>
      <c r="H1526" s="1324" t="str">
        <f>+IF(ISBLANK(REPORTS!N1186),"",REPORTS!N1186)</f>
        <v/>
      </c>
      <c r="I1526" s="1324" t="str">
        <f>+IF(ISBLANK(REPORTS!O1186),"",REPORTS!O1186)</f>
        <v/>
      </c>
      <c r="J1526" s="1324" t="str">
        <f>+IF(ISBLANK(REPORTS!P1186),"",REPORTS!P1186)</f>
        <v/>
      </c>
      <c r="K1526" s="1324" t="str">
        <f>+IF(ISBLANK(REPORTS!Q1186),"",REPORTS!Q1186)</f>
        <v/>
      </c>
      <c r="M1526" s="1321"/>
    </row>
    <row r="1527" spans="1:13">
      <c r="A1527" s="1439">
        <v>96</v>
      </c>
      <c r="B1527" s="1362" t="s">
        <v>5654</v>
      </c>
      <c r="C1527" s="1364"/>
      <c r="D1527" s="1324" t="str">
        <f>+IF(ISBLANK(REPORTS!J1187),"",REPORTS!J1187)</f>
        <v/>
      </c>
      <c r="E1527" s="1324" t="str">
        <f>+IF(ISBLANK(REPORTS!K1187),"",REPORTS!K1187)</f>
        <v/>
      </c>
      <c r="F1527" s="1324" t="str">
        <f>+IF(ISBLANK(REPORTS!L1187),"",REPORTS!L1187)</f>
        <v/>
      </c>
      <c r="G1527" s="1324" t="str">
        <f>+IF(ISBLANK(REPORTS!M1187),"",REPORTS!M1187)</f>
        <v/>
      </c>
      <c r="H1527" s="1324" t="str">
        <f>+IF(ISBLANK(REPORTS!N1187),"",REPORTS!N1187)</f>
        <v/>
      </c>
      <c r="I1527" s="1324" t="str">
        <f>+IF(ISBLANK(REPORTS!O1187),"",REPORTS!O1187)</f>
        <v/>
      </c>
      <c r="J1527" s="1324" t="str">
        <f>+IF(ISBLANK(REPORTS!P1187),"",REPORTS!P1187)</f>
        <v/>
      </c>
      <c r="K1527" s="1324" t="str">
        <f>+IF(ISBLANK(REPORTS!Q1187),"",REPORTS!Q1187)</f>
        <v/>
      </c>
      <c r="L1527" s="1324"/>
      <c r="M1527" s="1326"/>
    </row>
    <row r="1528" spans="1:13">
      <c r="A1528" s="1439">
        <v>97</v>
      </c>
      <c r="B1528" s="1324" t="s">
        <v>5265</v>
      </c>
      <c r="C1528" s="1364" t="s">
        <v>4067</v>
      </c>
      <c r="D1528" s="1324">
        <f>+IF(ISBLANK(REPORTS!J1188),"",REPORTS!J1188)</f>
        <v>99691.257924697406</v>
      </c>
      <c r="E1528" s="1324">
        <f>+IF(ISBLANK(REPORTS!K1188),"",REPORTS!K1188)</f>
        <v>57244.182439097989</v>
      </c>
      <c r="F1528" s="1324">
        <f>+IF(ISBLANK(REPORTS!L1188),"",REPORTS!L1188)</f>
        <v>4760.4631740559344</v>
      </c>
      <c r="G1528" s="1324">
        <f>+IF(ISBLANK(REPORTS!M1188),"",REPORTS!M1188)</f>
        <v>30809.290727409651</v>
      </c>
      <c r="H1528" s="1324">
        <f>+IF(ISBLANK(REPORTS!N1188),"",REPORTS!N1188)</f>
        <v>3937.6358697934702</v>
      </c>
      <c r="I1528" s="1324">
        <f>+IF(ISBLANK(REPORTS!O1188),"",REPORTS!O1188)</f>
        <v>2833.928889446313</v>
      </c>
      <c r="J1528" s="1324">
        <f>+IF(ISBLANK(REPORTS!P1188),"",REPORTS!P1188)</f>
        <v>105.75682489404952</v>
      </c>
      <c r="K1528" s="1324">
        <f>+IF(ISBLANK(REPORTS!Q1188),"",REPORTS!Q1188)</f>
        <v>0</v>
      </c>
      <c r="L1528" s="1324"/>
      <c r="M1528" s="1324">
        <v>122</v>
      </c>
    </row>
    <row r="1529" spans="1:13">
      <c r="A1529" s="1439">
        <v>98</v>
      </c>
      <c r="B1529" s="1324" t="s">
        <v>5358</v>
      </c>
      <c r="C1529" s="1364" t="s">
        <v>4067</v>
      </c>
      <c r="D1529" s="1324">
        <f>+IF(ISBLANK(REPORTS!J1189),"",REPORTS!J1189)</f>
        <v>439.12268</v>
      </c>
      <c r="E1529" s="1324">
        <f>+IF(ISBLANK(REPORTS!K1189),"",REPORTS!K1189)</f>
        <v>252.1506833232383</v>
      </c>
      <c r="F1529" s="1324">
        <f>+IF(ISBLANK(REPORTS!L1189),"",REPORTS!L1189)</f>
        <v>20.969013638204562</v>
      </c>
      <c r="G1529" s="1324">
        <f>+IF(ISBLANK(REPORTS!M1189),"",REPORTS!M1189)</f>
        <v>135.70957569156724</v>
      </c>
      <c r="H1529" s="1324">
        <f>+IF(ISBLANK(REPORTS!N1189),"",REPORTS!N1189)</f>
        <v>17.344602245002598</v>
      </c>
      <c r="I1529" s="1324">
        <f>+IF(ISBLANK(REPORTS!O1189),"",REPORTS!O1189)</f>
        <v>12.482964652759104</v>
      </c>
      <c r="J1529" s="1324">
        <f>+IF(ISBLANK(REPORTS!P1189),"",REPORTS!P1189)</f>
        <v>0.46584044922820345</v>
      </c>
      <c r="K1529" s="1324">
        <f>+IF(ISBLANK(REPORTS!Q1189),"",REPORTS!Q1189)</f>
        <v>0</v>
      </c>
      <c r="L1529" s="1324"/>
      <c r="M1529" s="1324">
        <v>121</v>
      </c>
    </row>
    <row r="1530" spans="1:13">
      <c r="A1530" s="1439">
        <v>99</v>
      </c>
      <c r="B1530" s="1324" t="s">
        <v>5265</v>
      </c>
      <c r="C1530" s="1364" t="s">
        <v>2067</v>
      </c>
      <c r="D1530" s="1324">
        <f>+IF(ISBLANK(REPORTS!J1190),"",REPORTS!J1190)</f>
        <v>25438.678738913521</v>
      </c>
      <c r="E1530" s="1364">
        <f>+IF(ISBLANK(REPORTS!K1190),"",REPORTS!K1190)</f>
        <v>12837.22691847269</v>
      </c>
      <c r="F1530" s="1364">
        <f>+IF(ISBLANK(REPORTS!L1190),"",REPORTS!L1190)</f>
        <v>1186.3100438250042</v>
      </c>
      <c r="G1530" s="1364">
        <f>+IF(ISBLANK(REPORTS!M1190),"",REPORTS!M1190)</f>
        <v>8837.5490484861566</v>
      </c>
      <c r="H1530" s="1364">
        <f>+IF(ISBLANK(REPORTS!N1190),"",REPORTS!N1190)</f>
        <v>1406.79571167106</v>
      </c>
      <c r="I1530" s="1364">
        <f>+IF(ISBLANK(REPORTS!O1190),"",REPORTS!O1190)</f>
        <v>1036.4030915600586</v>
      </c>
      <c r="J1530" s="1364">
        <f>+IF(ISBLANK(REPORTS!P1190),"",REPORTS!P1190)</f>
        <v>134.39392489854956</v>
      </c>
      <c r="K1530" s="1364">
        <f>+IF(ISBLANK(REPORTS!Q1190),"",REPORTS!Q1190)</f>
        <v>0</v>
      </c>
      <c r="L1530" s="1364"/>
      <c r="M1530" s="1324">
        <v>201</v>
      </c>
    </row>
    <row r="1531" spans="1:13">
      <c r="A1531" s="1439">
        <v>100</v>
      </c>
      <c r="B1531" s="1324" t="s">
        <v>5268</v>
      </c>
      <c r="C1531" s="1364" t="s">
        <v>4067</v>
      </c>
      <c r="D1531" s="1324">
        <f>+IF(ISBLANK(REPORTS!J1191),"",REPORTS!J1191)</f>
        <v>3818.4772673475186</v>
      </c>
      <c r="E1531" s="1364">
        <f>+IF(ISBLANK(REPORTS!K1191),"",REPORTS!K1191)</f>
        <v>2214.7666084775356</v>
      </c>
      <c r="F1531" s="1364">
        <f>+IF(ISBLANK(REPORTS!L1191),"",REPORTS!L1191)</f>
        <v>182.69590583397095</v>
      </c>
      <c r="G1531" s="1364">
        <f>+IF(ISBLANK(REPORTS!M1191),"",REPORTS!M1191)</f>
        <v>1167.8831418325879</v>
      </c>
      <c r="H1531" s="1364">
        <f>+IF(ISBLANK(REPORTS!N1191),"",REPORTS!N1191)</f>
        <v>145.79472518093689</v>
      </c>
      <c r="I1531" s="1364">
        <f>+IF(ISBLANK(REPORTS!O1191),"",REPORTS!O1191)</f>
        <v>104.62961386463149</v>
      </c>
      <c r="J1531" s="1364">
        <f>+IF(ISBLANK(REPORTS!P1191),"",REPORTS!P1191)</f>
        <v>2.7072721578560901</v>
      </c>
      <c r="K1531" s="1364">
        <f>+IF(ISBLANK(REPORTS!Q1191),"",REPORTS!Q1191)</f>
        <v>0</v>
      </c>
      <c r="L1531" s="1364"/>
      <c r="M1531" s="1324">
        <v>117</v>
      </c>
    </row>
    <row r="1532" spans="1:13">
      <c r="A1532" s="1439">
        <v>101</v>
      </c>
      <c r="B1532" s="1324" t="s">
        <v>5239</v>
      </c>
      <c r="C1532" s="1364" t="s">
        <v>4067</v>
      </c>
      <c r="D1532" s="1324">
        <f>+IF(ISBLANK(REPORTS!J1192),"",REPORTS!J1192)</f>
        <v>10735.77503190847</v>
      </c>
      <c r="E1532" s="1364">
        <f>+IF(ISBLANK(REPORTS!K1192),"",REPORTS!K1192)</f>
        <v>6226.8895143415211</v>
      </c>
      <c r="F1532" s="1364">
        <f>+IF(ISBLANK(REPORTS!L1192),"",REPORTS!L1192)</f>
        <v>513.65557706899961</v>
      </c>
      <c r="G1532" s="1364">
        <f>+IF(ISBLANK(REPORTS!M1192),"",REPORTS!M1192)</f>
        <v>3283.5420499917363</v>
      </c>
      <c r="H1532" s="1364">
        <f>+IF(ISBLANK(REPORTS!N1192),"",REPORTS!N1192)</f>
        <v>409.90668813611376</v>
      </c>
      <c r="I1532" s="1364">
        <f>+IF(ISBLANK(REPORTS!O1192),"",REPORTS!O1192)</f>
        <v>294.16961722713478</v>
      </c>
      <c r="J1532" s="1364">
        <f>+IF(ISBLANK(REPORTS!P1192),"",REPORTS!P1192)</f>
        <v>7.6115851429651089</v>
      </c>
      <c r="K1532" s="1364">
        <f>+IF(ISBLANK(REPORTS!Q1192),"",REPORTS!Q1192)</f>
        <v>0</v>
      </c>
      <c r="L1532" s="1364"/>
      <c r="M1532" s="1324">
        <v>117</v>
      </c>
    </row>
    <row r="1533" spans="1:13">
      <c r="A1533" s="1439">
        <v>102</v>
      </c>
      <c r="B1533" s="1324" t="s">
        <v>5240</v>
      </c>
      <c r="C1533" s="1364" t="s">
        <v>4067</v>
      </c>
      <c r="D1533" s="1324">
        <f>+IF(ISBLANK(REPORTS!J1193),"",REPORTS!J1193)</f>
        <v>58292.843823061834</v>
      </c>
      <c r="E1533" s="1364">
        <f>+IF(ISBLANK(REPORTS!K1193),"",REPORTS!K1193)</f>
        <v>36282.399384976532</v>
      </c>
      <c r="F1533" s="1364">
        <f>+IF(ISBLANK(REPORTS!L1193),"",REPORTS!L1193)</f>
        <v>2580.4952426717809</v>
      </c>
      <c r="G1533" s="1364">
        <f>+IF(ISBLANK(REPORTS!M1193),"",REPORTS!M1193)</f>
        <v>17278.026843566629</v>
      </c>
      <c r="H1533" s="1364">
        <f>+IF(ISBLANK(REPORTS!N1193),"",REPORTS!N1193)</f>
        <v>1817.3010303806905</v>
      </c>
      <c r="I1533" s="1364">
        <f>+IF(ISBLANK(REPORTS!O1193),"",REPORTS!O1193)</f>
        <v>1.2408177404364927E-3</v>
      </c>
      <c r="J1533" s="1364">
        <f>+IF(ISBLANK(REPORTS!P1193),"",REPORTS!P1193)</f>
        <v>334.62008064847231</v>
      </c>
      <c r="K1533" s="1364">
        <f>+IF(ISBLANK(REPORTS!Q1193),"",REPORTS!Q1193)</f>
        <v>0</v>
      </c>
      <c r="L1533" s="1364"/>
      <c r="M1533" s="1324">
        <v>105</v>
      </c>
    </row>
    <row r="1534" spans="1:13">
      <c r="A1534" s="1439">
        <v>103</v>
      </c>
      <c r="B1534" s="1324" t="s">
        <v>5241</v>
      </c>
      <c r="C1534" s="1364" t="s">
        <v>4067</v>
      </c>
      <c r="D1534" s="1324">
        <f>+IF(ISBLANK(REPORTS!J1194),"",REPORTS!J1194)</f>
        <v>9725.1737634492329</v>
      </c>
      <c r="E1534" s="1364">
        <f>+IF(ISBLANK(REPORTS!K1194),"",REPORTS!K1194)</f>
        <v>7095.8102496684969</v>
      </c>
      <c r="F1534" s="1364">
        <f>+IF(ISBLANK(REPORTS!L1194),"",REPORTS!L1194)</f>
        <v>571.35355020895543</v>
      </c>
      <c r="G1534" s="1364">
        <f>+IF(ISBLANK(REPORTS!M1194),"",REPORTS!M1194)</f>
        <v>2022.8298456902844</v>
      </c>
      <c r="H1534" s="1364">
        <f>+IF(ISBLANK(REPORTS!N1194),"",REPORTS!N1194)</f>
        <v>0</v>
      </c>
      <c r="I1534" s="1364">
        <f>+IF(ISBLANK(REPORTS!O1194),"",REPORTS!O1194)</f>
        <v>0</v>
      </c>
      <c r="J1534" s="1364">
        <f>+IF(ISBLANK(REPORTS!P1194),"",REPORTS!P1194)</f>
        <v>35.180117881496074</v>
      </c>
      <c r="K1534" s="1364">
        <f>+IF(ISBLANK(REPORTS!Q1194),"",REPORTS!Q1194)</f>
        <v>0</v>
      </c>
      <c r="L1534" s="1364"/>
      <c r="M1534" s="1324">
        <v>106</v>
      </c>
    </row>
    <row r="1535" spans="1:13">
      <c r="A1535" s="1439">
        <v>104</v>
      </c>
      <c r="B1535" s="1324" t="s">
        <v>5242</v>
      </c>
      <c r="C1535" s="1364" t="s">
        <v>4071</v>
      </c>
      <c r="D1535" s="1324">
        <f>+IF(ISBLANK(REPORTS!J1195),"",REPORTS!J1195)</f>
        <v>36137.253027384279</v>
      </c>
      <c r="E1535" s="1364">
        <f>+IF(ISBLANK(REPORTS!K1195),"",REPORTS!K1195)</f>
        <v>13322.241218296467</v>
      </c>
      <c r="F1535" s="1364">
        <f>+IF(ISBLANK(REPORTS!L1195),"",REPORTS!L1195)</f>
        <v>2020.8088243117113</v>
      </c>
      <c r="G1535" s="1364">
        <f>+IF(ISBLANK(REPORTS!M1195),"",REPORTS!M1195)</f>
        <v>974.23040458015305</v>
      </c>
      <c r="H1535" s="1364">
        <f>+IF(ISBLANK(REPORTS!N1195),"",REPORTS!N1195)</f>
        <v>62.80390076472333</v>
      </c>
      <c r="I1535" s="1364">
        <f>+IF(ISBLANK(REPORTS!O1195),"",REPORTS!O1195)</f>
        <v>68.521692124233468</v>
      </c>
      <c r="J1535" s="1364">
        <f>+IF(ISBLANK(REPORTS!P1195),"",REPORTS!P1195)</f>
        <v>15.726546049159086</v>
      </c>
      <c r="K1535" s="1364">
        <f>+IF(ISBLANK(REPORTS!Q1195),"",REPORTS!Q1195)</f>
        <v>19672.920441257837</v>
      </c>
      <c r="L1535" s="1364"/>
      <c r="M1535" s="1324">
        <v>907</v>
      </c>
    </row>
    <row r="1536" spans="1:13">
      <c r="A1536" s="1439">
        <v>105</v>
      </c>
      <c r="B1536" s="1324" t="s">
        <v>5244</v>
      </c>
      <c r="C1536" s="1364" t="s">
        <v>4071</v>
      </c>
      <c r="D1536" s="1324">
        <f>+IF(ISBLANK(REPORTS!J1196),"",REPORTS!J1196)</f>
        <v>49095.376013436653</v>
      </c>
      <c r="E1536" s="1364">
        <f>+IF(ISBLANK(REPORTS!K1196),"",REPORTS!K1196)</f>
        <v>43787.518521838007</v>
      </c>
      <c r="F1536" s="1364">
        <f>+IF(ISBLANK(REPORTS!L1196),"",REPORTS!L1196)</f>
        <v>4244.8057369796379</v>
      </c>
      <c r="G1536" s="1364">
        <f>+IF(ISBLANK(REPORTS!M1196),"",REPORTS!M1196)</f>
        <v>1045.4594778314479</v>
      </c>
      <c r="H1536" s="1364">
        <f>+IF(ISBLANK(REPORTS!N1196),"",REPORTS!N1196)</f>
        <v>3.5298419444290019</v>
      </c>
      <c r="I1536" s="1364">
        <f>+IF(ISBLANK(REPORTS!O1196),"",REPORTS!O1196)</f>
        <v>0.62626228046321009</v>
      </c>
      <c r="J1536" s="1364">
        <f>+IF(ISBLANK(REPORTS!P1196),"",REPORTS!P1196)</f>
        <v>13.436172562665233</v>
      </c>
      <c r="K1536" s="1364">
        <f>+IF(ISBLANK(REPORTS!Q1196),"",REPORTS!Q1196)</f>
        <v>0</v>
      </c>
      <c r="L1536" s="1364"/>
      <c r="M1536" s="1324">
        <v>412</v>
      </c>
    </row>
    <row r="1537" spans="1:13">
      <c r="A1537" s="1439">
        <v>106</v>
      </c>
      <c r="B1537" s="1324" t="s">
        <v>5655</v>
      </c>
      <c r="C1537" s="1364"/>
      <c r="D1537" s="1421">
        <f>+IF(ISBLANK(REPORTS!J1197),"",REPORTS!J1197)</f>
        <v>293373.9582701989</v>
      </c>
      <c r="E1537" s="1421">
        <f>+IF(ISBLANK(REPORTS!K1197),"",REPORTS!K1197)</f>
        <v>179263.18553849251</v>
      </c>
      <c r="F1537" s="1421">
        <f>+IF(ISBLANK(REPORTS!L1197),"",REPORTS!L1197)</f>
        <v>16081.557068594197</v>
      </c>
      <c r="G1537" s="1421">
        <f>+IF(ISBLANK(REPORTS!M1197),"",REPORTS!M1197)</f>
        <v>65554.521115080206</v>
      </c>
      <c r="H1537" s="1421">
        <f>+IF(ISBLANK(REPORTS!N1197),"",REPORTS!N1197)</f>
        <v>7801.1123701164261</v>
      </c>
      <c r="I1537" s="1421">
        <f>+IF(ISBLANK(REPORTS!O1197),"",REPORTS!O1197)</f>
        <v>4350.7633719733349</v>
      </c>
      <c r="J1537" s="1421">
        <f>+IF(ISBLANK(REPORTS!P1197),"",REPORTS!P1197)</f>
        <v>649.89836468444116</v>
      </c>
      <c r="K1537" s="1421">
        <f>+IF(ISBLANK(REPORTS!Q1197),"",REPORTS!Q1197)</f>
        <v>19672.920441257837</v>
      </c>
      <c r="L1537" s="1364"/>
      <c r="M1537" s="1326"/>
    </row>
    <row r="1538" spans="1:13">
      <c r="A1538" s="1439">
        <v>107</v>
      </c>
      <c r="B1538" s="1364"/>
      <c r="C1538" s="1364"/>
      <c r="D1538" s="1324" t="str">
        <f>+IF(ISBLANK(REPORTS!J1198),"",REPORTS!J1198)</f>
        <v/>
      </c>
      <c r="E1538" s="1364" t="str">
        <f>+IF(ISBLANK(REPORTS!K1198),"",REPORTS!K1198)</f>
        <v/>
      </c>
      <c r="F1538" s="1324" t="str">
        <f>+IF(ISBLANK(REPORTS!L1198),"",REPORTS!L1198)</f>
        <v/>
      </c>
      <c r="G1538" s="1324" t="str">
        <f>+IF(ISBLANK(REPORTS!M1198),"",REPORTS!M1198)</f>
        <v/>
      </c>
      <c r="H1538" s="1324" t="str">
        <f>+IF(ISBLANK(REPORTS!N1198),"",REPORTS!N1198)</f>
        <v/>
      </c>
      <c r="I1538" s="1324" t="str">
        <f>+IF(ISBLANK(REPORTS!O1198),"",REPORTS!O1198)</f>
        <v/>
      </c>
      <c r="J1538" s="1324" t="str">
        <f>+IF(ISBLANK(REPORTS!P1198),"",REPORTS!P1198)</f>
        <v/>
      </c>
      <c r="K1538" s="1324" t="str">
        <f>+IF(ISBLANK(REPORTS!Q1198),"",REPORTS!Q1198)</f>
        <v/>
      </c>
      <c r="L1538" s="1324"/>
      <c r="M1538" s="1326"/>
    </row>
    <row r="1539" spans="1:13">
      <c r="A1539" s="1439">
        <v>108</v>
      </c>
      <c r="B1539" s="1362" t="s">
        <v>5691</v>
      </c>
      <c r="C1539" s="1364"/>
      <c r="D1539" s="1324" t="str">
        <f>+IF(ISBLANK(REPORTS!J1199),"",REPORTS!J1199)</f>
        <v/>
      </c>
      <c r="E1539" s="1364" t="str">
        <f>+IF(ISBLANK(REPORTS!K1199),"",REPORTS!K1199)</f>
        <v/>
      </c>
      <c r="F1539" s="1324" t="str">
        <f>+IF(ISBLANK(REPORTS!L1199),"",REPORTS!L1199)</f>
        <v/>
      </c>
      <c r="G1539" s="1324" t="str">
        <f>+IF(ISBLANK(REPORTS!M1199),"",REPORTS!M1199)</f>
        <v/>
      </c>
      <c r="H1539" s="1324" t="str">
        <f>+IF(ISBLANK(REPORTS!N1199),"",REPORTS!N1199)</f>
        <v/>
      </c>
      <c r="I1539" s="1324" t="str">
        <f>+IF(ISBLANK(REPORTS!O1199),"",REPORTS!O1199)</f>
        <v/>
      </c>
      <c r="J1539" s="1324" t="str">
        <f>+IF(ISBLANK(REPORTS!P1199),"",REPORTS!P1199)</f>
        <v/>
      </c>
      <c r="K1539" s="1324" t="str">
        <f>+IF(ISBLANK(REPORTS!Q1199),"",REPORTS!Q1199)</f>
        <v/>
      </c>
      <c r="L1539" s="1324"/>
      <c r="M1539" s="1326"/>
    </row>
    <row r="1540" spans="1:13">
      <c r="A1540" s="1439">
        <v>109</v>
      </c>
      <c r="B1540" s="1364" t="s">
        <v>5265</v>
      </c>
      <c r="C1540" s="1364" t="s">
        <v>4067</v>
      </c>
      <c r="D1540" s="1364">
        <f>+IF(ISBLANK(REPORTS!J1200),"",REPORTS!J1200)</f>
        <v>1928412.7989641612</v>
      </c>
      <c r="E1540" s="1364">
        <f>+IF(ISBLANK(REPORTS!K1200),"",REPORTS!K1200)</f>
        <v>1107322.9125584946</v>
      </c>
      <c r="F1540" s="1364">
        <f>+IF(ISBLANK(REPORTS!L1200),"",REPORTS!L1200)</f>
        <v>92085.688403905093</v>
      </c>
      <c r="G1540" s="1364">
        <f>+IF(ISBLANK(REPORTS!M1200),"",REPORTS!M1200)</f>
        <v>595970.31678166543</v>
      </c>
      <c r="H1540" s="1364">
        <f>+IF(ISBLANK(REPORTS!N1200),"",REPORTS!N1200)</f>
        <v>76169.039964425305</v>
      </c>
      <c r="I1540" s="1364">
        <f>+IF(ISBLANK(REPORTS!O1200),"",REPORTS!O1200)</f>
        <v>54819.097035475083</v>
      </c>
      <c r="J1540" s="1364">
        <f>+IF(ISBLANK(REPORTS!P1200),"",REPORTS!P1200)</f>
        <v>2045.7442201957822</v>
      </c>
      <c r="K1540" s="1364">
        <f>+IF(ISBLANK(REPORTS!Q1200),"",REPORTS!Q1200)</f>
        <v>0</v>
      </c>
      <c r="L1540" s="1364"/>
      <c r="M1540" s="1324"/>
    </row>
    <row r="1541" spans="1:13">
      <c r="A1541" s="1439">
        <v>110</v>
      </c>
      <c r="B1541" s="1364" t="s">
        <v>5265</v>
      </c>
      <c r="C1541" s="1364" t="s">
        <v>2067</v>
      </c>
      <c r="D1541" s="1364">
        <f>+IF(ISBLANK(REPORTS!J1201),"",REPORTS!J1201)</f>
        <v>322619.66777948913</v>
      </c>
      <c r="E1541" s="1364">
        <f>+IF(ISBLANK(REPORTS!K1201),"",REPORTS!K1201)</f>
        <v>162804.91318569396</v>
      </c>
      <c r="F1541" s="1364">
        <f>+IF(ISBLANK(REPORTS!L1201),"",REPORTS!L1201)</f>
        <v>15045.079823144944</v>
      </c>
      <c r="G1541" s="1364">
        <f>+IF(ISBLANK(REPORTS!M1201),"",REPORTS!M1201)</f>
        <v>112080.00098079453</v>
      </c>
      <c r="H1541" s="1364">
        <f>+IF(ISBLANK(REPORTS!N1201),"",REPORTS!N1201)</f>
        <v>17841.33404848021</v>
      </c>
      <c r="I1541" s="1364">
        <f>+IF(ISBLANK(REPORTS!O1201),"",REPORTS!O1201)</f>
        <v>13143.92247004815</v>
      </c>
      <c r="J1541" s="1364">
        <f>+IF(ISBLANK(REPORTS!P1201),"",REPORTS!P1201)</f>
        <v>1704.4172713273349</v>
      </c>
      <c r="K1541" s="1364">
        <f>+IF(ISBLANK(REPORTS!Q1201),"",REPORTS!Q1201)</f>
        <v>0</v>
      </c>
      <c r="L1541" s="1358"/>
    </row>
    <row r="1542" spans="1:13">
      <c r="A1542" s="1439">
        <v>111</v>
      </c>
      <c r="B1542" s="1364" t="s">
        <v>5268</v>
      </c>
      <c r="C1542" s="1364" t="s">
        <v>4067</v>
      </c>
      <c r="D1542" s="1364">
        <f>+IF(ISBLANK(REPORTS!J1202),"",REPORTS!J1202)</f>
        <v>140015.36430333179</v>
      </c>
      <c r="E1542" s="1364">
        <f>+IF(ISBLANK(REPORTS!K1202),"",REPORTS!K1202)</f>
        <v>81210.737113605152</v>
      </c>
      <c r="F1542" s="1364">
        <f>+IF(ISBLANK(REPORTS!L1202),"",REPORTS!L1202)</f>
        <v>6699.0666752979769</v>
      </c>
      <c r="G1542" s="1364">
        <f>+IF(ISBLANK(REPORTS!M1202),"",REPORTS!M1202)</f>
        <v>42823.767726918733</v>
      </c>
      <c r="H1542" s="1364">
        <f>+IF(ISBLANK(REPORTS!N1202),"",REPORTS!N1202)</f>
        <v>5345.9795961789587</v>
      </c>
      <c r="I1542" s="1364">
        <f>+IF(ISBLANK(REPORTS!O1202),"",REPORTS!O1202)</f>
        <v>3836.543332978822</v>
      </c>
      <c r="J1542" s="1364">
        <f>+IF(ISBLANK(REPORTS!P1202),"",REPORTS!P1202)</f>
        <v>99.269858352148603</v>
      </c>
      <c r="K1542" s="1364">
        <f>+IF(ISBLANK(REPORTS!Q1202),"",REPORTS!Q1202)</f>
        <v>0</v>
      </c>
      <c r="L1542" s="1358"/>
    </row>
    <row r="1543" spans="1:13">
      <c r="A1543" s="1439">
        <v>112</v>
      </c>
      <c r="B1543" s="1364" t="s">
        <v>5239</v>
      </c>
      <c r="C1543" s="1364" t="s">
        <v>4067</v>
      </c>
      <c r="D1543" s="1364">
        <f>+IF(ISBLANK(REPORTS!J1203),"",REPORTS!J1203)</f>
        <v>131214.50969340571</v>
      </c>
      <c r="E1543" s="1364">
        <f>+IF(ISBLANK(REPORTS!K1203),"",REPORTS!K1203)</f>
        <v>76106.126675615116</v>
      </c>
      <c r="F1543" s="1364">
        <f>+IF(ISBLANK(REPORTS!L1203),"",REPORTS!L1203)</f>
        <v>6277.9878020982342</v>
      </c>
      <c r="G1543" s="1364">
        <f>+IF(ISBLANK(REPORTS!M1203),"",REPORTS!M1203)</f>
        <v>40132.022035371876</v>
      </c>
      <c r="H1543" s="1364">
        <f>+IF(ISBLANK(REPORTS!N1203),"",REPORTS!N1203)</f>
        <v>5009.9508367088611</v>
      </c>
      <c r="I1543" s="1364">
        <f>+IF(ISBLANK(REPORTS!O1203),"",REPORTS!O1203)</f>
        <v>3595.3922261254415</v>
      </c>
      <c r="J1543" s="1364">
        <f>+IF(ISBLANK(REPORTS!P1203),"",REPORTS!P1203)</f>
        <v>93.030117486192594</v>
      </c>
      <c r="K1543" s="1364">
        <f>+IF(ISBLANK(REPORTS!Q1203),"",REPORTS!Q1203)</f>
        <v>0</v>
      </c>
      <c r="L1543" s="1358"/>
    </row>
    <row r="1544" spans="1:13">
      <c r="A1544" s="1439">
        <v>113</v>
      </c>
      <c r="B1544" s="1364" t="s">
        <v>5240</v>
      </c>
      <c r="C1544" s="1364" t="s">
        <v>4067</v>
      </c>
      <c r="D1544" s="1364">
        <f>+IF(ISBLANK(REPORTS!J1204),"",REPORTS!J1204)</f>
        <v>646089.35097835469</v>
      </c>
      <c r="E1544" s="1364">
        <f>+IF(ISBLANK(REPORTS!K1204),"",REPORTS!K1204)</f>
        <v>402136.35728135379</v>
      </c>
      <c r="F1544" s="1364">
        <f>+IF(ISBLANK(REPORTS!L1204),"",REPORTS!L1204)</f>
        <v>28600.946311714382</v>
      </c>
      <c r="G1544" s="1364">
        <f>+IF(ISBLANK(REPORTS!M1204),"",REPORTS!M1204)</f>
        <v>191501.19324132524</v>
      </c>
      <c r="H1544" s="1364">
        <f>+IF(ISBLANK(REPORTS!N1204),"",REPORTS!N1204)</f>
        <v>20142.07518876344</v>
      </c>
      <c r="I1544" s="1364">
        <f>+IF(ISBLANK(REPORTS!O1204),"",REPORTS!O1204)</f>
        <v>1.3752616548171935E-2</v>
      </c>
      <c r="J1544" s="1364">
        <f>+IF(ISBLANK(REPORTS!P1204),"",REPORTS!P1204)</f>
        <v>3708.7652025816124</v>
      </c>
      <c r="K1544" s="1364">
        <f>+IF(ISBLANK(REPORTS!Q1204),"",REPORTS!Q1204)</f>
        <v>0</v>
      </c>
      <c r="L1544" s="1358"/>
    </row>
    <row r="1545" spans="1:13">
      <c r="A1545" s="1439">
        <v>114</v>
      </c>
      <c r="B1545" s="1364" t="s">
        <v>5241</v>
      </c>
      <c r="C1545" s="1364" t="s">
        <v>4067</v>
      </c>
      <c r="D1545" s="1364">
        <f>+IF(ISBLANK(REPORTS!J1205),"",REPORTS!J1205)</f>
        <v>401759.43460946128</v>
      </c>
      <c r="E1545" s="1364">
        <f>+IF(ISBLANK(REPORTS!K1205),"",REPORTS!K1205)</f>
        <v>293137.04652941209</v>
      </c>
      <c r="F1545" s="1364">
        <f>+IF(ISBLANK(REPORTS!L1205),"",REPORTS!L1205)</f>
        <v>23603.349912037444</v>
      </c>
      <c r="G1545" s="1364">
        <f>+IF(ISBLANK(REPORTS!M1205),"",REPORTS!M1205)</f>
        <v>83565.702257173325</v>
      </c>
      <c r="H1545" s="1364">
        <f>+IF(ISBLANK(REPORTS!N1205),"",REPORTS!N1205)</f>
        <v>0</v>
      </c>
      <c r="I1545" s="1364">
        <f>+IF(ISBLANK(REPORTS!O1205),"",REPORTS!O1205)</f>
        <v>0</v>
      </c>
      <c r="J1545" s="1364">
        <f>+IF(ISBLANK(REPORTS!P1205),"",REPORTS!P1205)</f>
        <v>1453.3359108383854</v>
      </c>
      <c r="K1545" s="1364">
        <f>+IF(ISBLANK(REPORTS!Q1205),"",REPORTS!Q1205)</f>
        <v>0</v>
      </c>
      <c r="L1545" s="1358"/>
    </row>
    <row r="1546" spans="1:13">
      <c r="A1546" s="1439">
        <v>115</v>
      </c>
      <c r="B1546" s="1364" t="s">
        <v>5242</v>
      </c>
      <c r="C1546" s="1364" t="s">
        <v>4071</v>
      </c>
      <c r="D1546" s="1364">
        <f>+IF(ISBLANK(REPORTS!J1206),"",REPORTS!J1206)</f>
        <v>367572.06014171452</v>
      </c>
      <c r="E1546" s="1364">
        <f>+IF(ISBLANK(REPORTS!K1206),"",REPORTS!K1206)</f>
        <v>163643.70133619319</v>
      </c>
      <c r="F1546" s="1364">
        <f>+IF(ISBLANK(REPORTS!L1206),"",REPORTS!L1206)</f>
        <v>19697.484543205894</v>
      </c>
      <c r="G1546" s="1364">
        <f>+IF(ISBLANK(REPORTS!M1206),"",REPORTS!M1206)</f>
        <v>7341.8988639643867</v>
      </c>
      <c r="H1546" s="1364">
        <f>+IF(ISBLANK(REPORTS!N1206),"",REPORTS!N1206)</f>
        <v>330.3224631955448</v>
      </c>
      <c r="I1546" s="1364">
        <f>+IF(ISBLANK(REPORTS!O1206),"",REPORTS!O1206)</f>
        <v>360.39567366358744</v>
      </c>
      <c r="J1546" s="1364">
        <f>+IF(ISBLANK(REPORTS!P1206),"",REPORTS!P1206)</f>
        <v>109.2383149315348</v>
      </c>
      <c r="K1546" s="1364">
        <f>+IF(ISBLANK(REPORTS!Q1206),"",REPORTS!Q1206)</f>
        <v>176089.01894656042</v>
      </c>
      <c r="L1546" s="1358"/>
    </row>
    <row r="1547" spans="1:13">
      <c r="A1547" s="1439">
        <v>116</v>
      </c>
      <c r="B1547" s="1364" t="s">
        <v>5244</v>
      </c>
      <c r="C1547" s="1364" t="s">
        <v>4071</v>
      </c>
      <c r="D1547" s="1366">
        <f>+IF(ISBLANK(REPORTS!J1207),"",REPORTS!J1207)</f>
        <v>67123.870702369808</v>
      </c>
      <c r="E1547" s="1366">
        <f>+IF(ISBLANK(REPORTS!K1207),"",REPORTS!K1207)</f>
        <v>59866.895221111394</v>
      </c>
      <c r="F1547" s="1366">
        <f>+IF(ISBLANK(REPORTS!L1207),"",REPORTS!L1207)</f>
        <v>5803.5565583145435</v>
      </c>
      <c r="G1547" s="1366">
        <f>+IF(ISBLANK(REPORTS!M1207),"",REPORTS!M1207)</f>
        <v>1429.3665211020948</v>
      </c>
      <c r="H1547" s="1366">
        <f>+IF(ISBLANK(REPORTS!N1207),"",REPORTS!N1207)</f>
        <v>4.8260482659875761</v>
      </c>
      <c r="I1547" s="1366">
        <f>+IF(ISBLANK(REPORTS!O1207),"",REPORTS!O1207)</f>
        <v>0.85623436977198941</v>
      </c>
      <c r="J1547" s="1366">
        <f>+IF(ISBLANK(REPORTS!P1207),"",REPORTS!P1207)</f>
        <v>18.370119206017225</v>
      </c>
      <c r="K1547" s="1366">
        <f>+IF(ISBLANK(REPORTS!Q1207),"",REPORTS!Q1207)</f>
        <v>0</v>
      </c>
      <c r="L1547" s="1358"/>
    </row>
    <row r="1548" spans="1:13">
      <c r="A1548" s="1439">
        <v>117</v>
      </c>
      <c r="B1548" s="1364"/>
      <c r="C1548" s="1364"/>
      <c r="D1548" s="1364" t="str">
        <f>+IF(ISBLANK(REPORTS!J1208),"",REPORTS!J1208)</f>
        <v/>
      </c>
      <c r="E1548" s="1364" t="str">
        <f>+IF(ISBLANK(REPORTS!K1208),"",REPORTS!K1208)</f>
        <v/>
      </c>
      <c r="F1548" s="1364" t="str">
        <f>+IF(ISBLANK(REPORTS!L1208),"",REPORTS!L1208)</f>
        <v/>
      </c>
      <c r="G1548" s="1364" t="str">
        <f>+IF(ISBLANK(REPORTS!M1208),"",REPORTS!M1208)</f>
        <v/>
      </c>
      <c r="H1548" s="1364" t="str">
        <f>+IF(ISBLANK(REPORTS!N1208),"",REPORTS!N1208)</f>
        <v/>
      </c>
      <c r="I1548" s="1364" t="str">
        <f>+IF(ISBLANK(REPORTS!O1208),"",REPORTS!O1208)</f>
        <v/>
      </c>
      <c r="J1548" s="1364" t="str">
        <f>+IF(ISBLANK(REPORTS!P1208),"",REPORTS!P1208)</f>
        <v/>
      </c>
      <c r="K1548" s="1364" t="str">
        <f>+IF(ISBLANK(REPORTS!Q1208),"",REPORTS!Q1208)</f>
        <v/>
      </c>
      <c r="L1548" s="1358"/>
      <c r="M1548" s="1436"/>
    </row>
    <row r="1549" spans="1:13" ht="15" thickBot="1">
      <c r="A1549" s="1439">
        <v>118</v>
      </c>
      <c r="B1549" s="1324" t="s">
        <v>5700</v>
      </c>
      <c r="C1549" s="1364"/>
      <c r="D1549" s="1380">
        <f>+IF(ISBLANK(REPORTS!J1209),"",REPORTS!J1209)</f>
        <v>4004807.0571722877</v>
      </c>
      <c r="E1549" s="1380">
        <f>+IF(ISBLANK(REPORTS!K1209),"",REPORTS!K1209)</f>
        <v>2346228.6899014795</v>
      </c>
      <c r="F1549" s="1380">
        <f>+IF(ISBLANK(REPORTS!L1209),"",REPORTS!L1209)</f>
        <v>197813.16002971848</v>
      </c>
      <c r="G1549" s="1380">
        <f>+IF(ISBLANK(REPORTS!M1209),"",REPORTS!M1209)</f>
        <v>1074844.2684083157</v>
      </c>
      <c r="H1549" s="1380">
        <f>+IF(ISBLANK(REPORTS!N1209),"",REPORTS!N1209)</f>
        <v>124843.5281460183</v>
      </c>
      <c r="I1549" s="1380">
        <f>+IF(ISBLANK(REPORTS!O1209),"",REPORTS!O1209)</f>
        <v>75756.22072527741</v>
      </c>
      <c r="J1549" s="1380">
        <f>+IF(ISBLANK(REPORTS!P1209),"",REPORTS!P1209)</f>
        <v>9232.1710149190094</v>
      </c>
      <c r="K1549" s="1380">
        <f>+IF(ISBLANK(REPORTS!Q1209),"",REPORTS!Q1209)</f>
        <v>176089.01894656042</v>
      </c>
      <c r="L1549" s="1358"/>
      <c r="M1549" s="1358"/>
    </row>
    <row r="1550" spans="1:13" ht="15" thickTop="1"/>
    <row r="1556" spans="1:13">
      <c r="A1556" s="1732" t="str">
        <f>+$A$1</f>
        <v>RATES WITH REVENUE DEFICIENCY ADDITION</v>
      </c>
      <c r="B1556" s="1364"/>
      <c r="F1556" s="1329" t="s">
        <v>2173</v>
      </c>
      <c r="G1556" s="1329"/>
      <c r="H1556" s="1329"/>
      <c r="I1556" s="1329"/>
      <c r="M1556" s="1334" t="s">
        <v>5765</v>
      </c>
    </row>
    <row r="1557" spans="1:13">
      <c r="A1557" s="1732" t="str">
        <f>+$A$2</f>
        <v>PROD. CAP. ALLOC. METHOD: 12 CP &amp; 1/13th AD</v>
      </c>
      <c r="B1557" s="1364"/>
      <c r="F1557" s="1336" t="s">
        <v>5141</v>
      </c>
      <c r="G1557" s="1336"/>
      <c r="H1557" s="1336"/>
      <c r="I1557" s="1336"/>
      <c r="L1557" s="1331"/>
      <c r="M1557" s="1409"/>
    </row>
    <row r="1558" spans="1:13">
      <c r="A1558" s="1732" t="str">
        <f>+$A$3</f>
        <v>PROJECTED CALENDAR YEAR 2025; FULLY ADJUSTED DATA</v>
      </c>
      <c r="B1558" s="1364"/>
      <c r="F1558" s="1336" t="s">
        <v>2181</v>
      </c>
    </row>
    <row r="1559" spans="1:13">
      <c r="A1559" s="1732" t="str">
        <f>+$A$4</f>
        <v>MINIMUM DISTRIBUTION SYSTEM (MDS) NOT EMPLOYED</v>
      </c>
      <c r="B1559" s="1364"/>
      <c r="F1559" s="1336"/>
      <c r="G1559" s="1336"/>
      <c r="H1559" s="1336"/>
      <c r="I1559" s="1336"/>
    </row>
    <row r="1560" spans="1:13">
      <c r="A1560" s="1732" t="str">
        <f>+$A$5</f>
        <v>Tampa Electric 2025 OB Budget</v>
      </c>
      <c r="B1560" s="1364"/>
      <c r="F1560" s="1336" t="s">
        <v>5703</v>
      </c>
      <c r="G1560" s="1336"/>
      <c r="H1560" s="1336"/>
      <c r="I1560" s="1336"/>
    </row>
    <row r="1561" spans="1:13">
      <c r="B1561" s="1364"/>
      <c r="F1561" s="1336"/>
      <c r="G1561" s="1336"/>
      <c r="H1561" s="1336"/>
      <c r="I1561" s="1336"/>
    </row>
    <row r="1562" spans="1:13">
      <c r="B1562" s="1364"/>
      <c r="C1562" s="1364"/>
      <c r="F1562" s="1336"/>
      <c r="G1562" s="1336"/>
      <c r="H1562" s="1336"/>
      <c r="I1562" s="1336"/>
    </row>
    <row r="1564" spans="1:13">
      <c r="A1564" s="1735"/>
      <c r="B1564" s="1416"/>
      <c r="C1564" s="1416"/>
      <c r="D1564" s="1416"/>
      <c r="E1564" s="1336"/>
      <c r="F1564" s="1416"/>
      <c r="G1564" s="1416"/>
      <c r="H1564" s="1416"/>
      <c r="I1564" s="1416"/>
      <c r="J1564" s="3164"/>
      <c r="K1564" s="3164"/>
      <c r="L1564" s="1333"/>
    </row>
    <row r="1565" spans="1:13" ht="28.2">
      <c r="A1565" s="1737" t="s">
        <v>4297</v>
      </c>
      <c r="B1565" s="1741"/>
      <c r="C1565" s="1741"/>
      <c r="D1565" s="1352" t="s">
        <v>4957</v>
      </c>
      <c r="E1565" s="1353" t="s">
        <v>1949</v>
      </c>
      <c r="F1565" s="1353" t="s">
        <v>1950</v>
      </c>
      <c r="G1565" s="1353" t="s">
        <v>1934</v>
      </c>
      <c r="H1565" s="1353" t="s">
        <v>1971</v>
      </c>
      <c r="I1565" s="1353" t="s">
        <v>1972</v>
      </c>
      <c r="J1565" s="1352" t="s">
        <v>5146</v>
      </c>
      <c r="K1565" s="1352" t="s">
        <v>5147</v>
      </c>
      <c r="L1565" s="1355"/>
      <c r="M1565" s="1348" t="s">
        <v>5299</v>
      </c>
    </row>
    <row r="1567" spans="1:13">
      <c r="A1567" s="1393">
        <v>1</v>
      </c>
      <c r="B1567" s="1362" t="s">
        <v>5084</v>
      </c>
      <c r="M1567" s="1321"/>
    </row>
    <row r="1568" spans="1:13">
      <c r="A1568" s="1393">
        <v>2</v>
      </c>
      <c r="B1568" s="1324" t="s">
        <v>5265</v>
      </c>
      <c r="C1568" s="1324" t="s">
        <v>4067</v>
      </c>
      <c r="D1568" s="1364">
        <f>+IF(ISBLANK(REPORTS!J1227),"",REPORTS!J1227)</f>
        <v>91094.96646804089</v>
      </c>
      <c r="E1568" s="1324">
        <f>+IF(ISBLANK(REPORTS!K1227),"",REPORTS!K1227)</f>
        <v>52308.065805719692</v>
      </c>
      <c r="F1568" s="1324">
        <f>+IF(ISBLANK(REPORTS!L1227),"",REPORTS!L1227)</f>
        <v>4349.9725275864521</v>
      </c>
      <c r="G1568" s="1324">
        <f>+IF(ISBLANK(REPORTS!M1227),"",REPORTS!M1227)</f>
        <v>28152.63207770406</v>
      </c>
      <c r="H1568" s="1324">
        <f>+IF(ISBLANK(REPORTS!N1227),"",REPORTS!N1227)</f>
        <v>3598.0969143065404</v>
      </c>
      <c r="I1568" s="1324">
        <f>+IF(ISBLANK(REPORTS!O1227),"",REPORTS!O1227)</f>
        <v>2589.5616379113699</v>
      </c>
      <c r="J1568" s="1324">
        <f>+IF(ISBLANK(REPORTS!P1227),"",REPORTS!P1227)</f>
        <v>96.637504812778744</v>
      </c>
      <c r="K1568" s="1324">
        <f>+IF(ISBLANK(REPORTS!Q1227),"",REPORTS!Q1227)</f>
        <v>0</v>
      </c>
      <c r="L1568" s="1324"/>
      <c r="M1568" s="1324">
        <v>122</v>
      </c>
    </row>
    <row r="1569" spans="1:13">
      <c r="A1569" s="1393">
        <v>3</v>
      </c>
      <c r="B1569" s="1324" t="s">
        <v>5265</v>
      </c>
      <c r="C1569" s="1324" t="s">
        <v>2067</v>
      </c>
      <c r="D1569" s="1364">
        <f>+IF(ISBLANK(REPORTS!J1228),"",REPORTS!J1228)</f>
        <v>7691.9493755345575</v>
      </c>
      <c r="E1569" s="1364">
        <f>+IF(ISBLANK(REPORTS!K1228),"",REPORTS!K1228)</f>
        <v>3881.6206058726589</v>
      </c>
      <c r="F1569" s="1364">
        <f>+IF(ISBLANK(REPORTS!L1228),"",REPORTS!L1228)</f>
        <v>358.70718343683296</v>
      </c>
      <c r="G1569" s="1364">
        <f>+IF(ISBLANK(REPORTS!M1228),"",REPORTS!M1228)</f>
        <v>2672.2291901415961</v>
      </c>
      <c r="H1569" s="1364">
        <f>+IF(ISBLANK(REPORTS!N1228),"",REPORTS!N1228)</f>
        <v>425.37592093334734</v>
      </c>
      <c r="I1569" s="1364">
        <f>+IF(ISBLANK(REPORTS!O1228),"",REPORTS!O1228)</f>
        <v>313.37948777712177</v>
      </c>
      <c r="J1569" s="1364">
        <f>+IF(ISBLANK(REPORTS!P1228),"",REPORTS!P1228)</f>
        <v>40.63698737300016</v>
      </c>
      <c r="K1569" s="1364">
        <f>+IF(ISBLANK(REPORTS!Q1228),"",REPORTS!Q1228)</f>
        <v>0</v>
      </c>
      <c r="L1569" s="1364"/>
      <c r="M1569" s="1324">
        <v>201</v>
      </c>
    </row>
    <row r="1570" spans="1:13">
      <c r="A1570" s="1393">
        <v>4</v>
      </c>
      <c r="B1570" s="1324" t="s">
        <v>5268</v>
      </c>
      <c r="C1570" s="1324" t="s">
        <v>4067</v>
      </c>
      <c r="D1570" s="1364">
        <f>+IF(ISBLANK(REPORTS!J1229),"",REPORTS!J1229)</f>
        <v>6737.6248703448628</v>
      </c>
      <c r="E1570" s="1364">
        <f>+IF(ISBLANK(REPORTS!K1229),"",REPORTS!K1229)</f>
        <v>3907.910284261885</v>
      </c>
      <c r="F1570" s="1364">
        <f>+IF(ISBLANK(REPORTS!L1229),"",REPORTS!L1229)</f>
        <v>322.36318109920506</v>
      </c>
      <c r="G1570" s="1364">
        <f>+IF(ISBLANK(REPORTS!M1229),"",REPORTS!M1229)</f>
        <v>2060.7058654911739</v>
      </c>
      <c r="H1570" s="1364">
        <f>+IF(ISBLANK(REPORTS!N1229),"",REPORTS!N1229)</f>
        <v>257.25180420585048</v>
      </c>
      <c r="I1570" s="1364">
        <f>+IF(ISBLANK(REPORTS!O1229),"",REPORTS!O1229)</f>
        <v>184.61680905556719</v>
      </c>
      <c r="J1570" s="1364">
        <f>+IF(ISBLANK(REPORTS!P1229),"",REPORTS!P1229)</f>
        <v>4.7769262311817045</v>
      </c>
      <c r="K1570" s="1364">
        <f>+IF(ISBLANK(REPORTS!Q1229),"",REPORTS!Q1229)</f>
        <v>0</v>
      </c>
      <c r="L1570" s="1364"/>
      <c r="M1570" s="1324">
        <v>117</v>
      </c>
    </row>
    <row r="1571" spans="1:13">
      <c r="A1571" s="1393">
        <v>5</v>
      </c>
      <c r="B1571" s="1324" t="s">
        <v>5239</v>
      </c>
      <c r="C1571" s="1324" t="s">
        <v>4067</v>
      </c>
      <c r="D1571" s="1364">
        <f>+IF(ISBLANK(REPORTS!J1230),"",REPORTS!J1230)</f>
        <v>6621.7240236525049</v>
      </c>
      <c r="E1571" s="1364">
        <f>+IF(ISBLANK(REPORTS!K1230),"",REPORTS!K1230)</f>
        <v>3840.6862818189375</v>
      </c>
      <c r="F1571" s="1364">
        <f>+IF(ISBLANK(REPORTS!L1230),"",REPORTS!L1230)</f>
        <v>316.81787895626644</v>
      </c>
      <c r="G1571" s="1364">
        <f>+IF(ISBLANK(REPORTS!M1230),"",REPORTS!M1230)</f>
        <v>2025.2575347825943</v>
      </c>
      <c r="H1571" s="1364">
        <f>+IF(ISBLANK(REPORTS!N1230),"",REPORTS!N1230)</f>
        <v>252.82655012977</v>
      </c>
      <c r="I1571" s="1364">
        <f>+IF(ISBLANK(REPORTS!O1230),"",REPORTS!O1230)</f>
        <v>181.44102457736628</v>
      </c>
      <c r="J1571" s="1364">
        <f>+IF(ISBLANK(REPORTS!P1230),"",REPORTS!P1230)</f>
        <v>4.6947533875706364</v>
      </c>
      <c r="K1571" s="1364">
        <f>+IF(ISBLANK(REPORTS!Q1230),"",REPORTS!Q1230)</f>
        <v>0</v>
      </c>
      <c r="L1571" s="1364"/>
      <c r="M1571" s="1324">
        <v>117</v>
      </c>
    </row>
    <row r="1572" spans="1:13">
      <c r="A1572" s="1393">
        <v>6</v>
      </c>
      <c r="B1572" s="1324" t="s">
        <v>5240</v>
      </c>
      <c r="C1572" s="1324" t="s">
        <v>4067</v>
      </c>
      <c r="D1572" s="1364">
        <f>+IF(ISBLANK(REPORTS!J1231),"",REPORTS!J1231)</f>
        <v>24796.119036571257</v>
      </c>
      <c r="E1572" s="1364">
        <f>+IF(ISBLANK(REPORTS!K1231),"",REPORTS!K1231)</f>
        <v>15433.501525728841</v>
      </c>
      <c r="F1572" s="1364">
        <f>+IF(ISBLANK(REPORTS!L1231),"",REPORTS!L1231)</f>
        <v>1097.6693366481641</v>
      </c>
      <c r="G1572" s="1364">
        <f>+IF(ISBLANK(REPORTS!M1231),"",REPORTS!M1231)</f>
        <v>7349.5815649442866</v>
      </c>
      <c r="H1572" s="1364">
        <f>+IF(ISBLANK(REPORTS!N1231),"",REPORTS!N1231)</f>
        <v>773.0282092838255</v>
      </c>
      <c r="I1572" s="1364">
        <f>+IF(ISBLANK(REPORTS!O1231),"",REPORTS!O1231)</f>
        <v>5.2780860182327248E-4</v>
      </c>
      <c r="J1572" s="1364">
        <f>+IF(ISBLANK(REPORTS!P1231),"",REPORTS!P1231)</f>
        <v>142.33787215754296</v>
      </c>
      <c r="K1572" s="1364">
        <f>+IF(ISBLANK(REPORTS!Q1231),"",REPORTS!Q1231)</f>
        <v>0</v>
      </c>
      <c r="L1572" s="1364"/>
      <c r="M1572" s="1324">
        <v>105</v>
      </c>
    </row>
    <row r="1573" spans="1:13">
      <c r="A1573" s="1393">
        <v>7</v>
      </c>
      <c r="B1573" s="1324" t="s">
        <v>5241</v>
      </c>
      <c r="C1573" s="1324" t="s">
        <v>4067</v>
      </c>
      <c r="D1573" s="1364">
        <f>+IF(ISBLANK(REPORTS!J1232),"",REPORTS!J1232)</f>
        <v>13757.084983215889</v>
      </c>
      <c r="E1573" s="1364">
        <f>+IF(ISBLANK(REPORTS!K1232),"",REPORTS!K1232)</f>
        <v>10037.626782191473</v>
      </c>
      <c r="F1573" s="1364">
        <f>+IF(ISBLANK(REPORTS!L1232),"",REPORTS!L1232)</f>
        <v>808.22816505634739</v>
      </c>
      <c r="G1573" s="1364">
        <f>+IF(ISBLANK(REPORTS!M1232),"",REPORTS!M1232)</f>
        <v>2861.464768715543</v>
      </c>
      <c r="H1573" s="1364">
        <f>+IF(ISBLANK(REPORTS!N1232),"",REPORTS!N1232)</f>
        <v>0</v>
      </c>
      <c r="I1573" s="1364">
        <f>+IF(ISBLANK(REPORTS!O1232),"",REPORTS!O1232)</f>
        <v>0</v>
      </c>
      <c r="J1573" s="1364">
        <f>+IF(ISBLANK(REPORTS!P1232),"",REPORTS!P1232)</f>
        <v>49.7652672525249</v>
      </c>
      <c r="K1573" s="1364">
        <f>+IF(ISBLANK(REPORTS!Q1232),"",REPORTS!Q1232)</f>
        <v>0</v>
      </c>
      <c r="L1573" s="1364"/>
      <c r="M1573" s="1324">
        <v>106</v>
      </c>
    </row>
    <row r="1574" spans="1:13">
      <c r="A1574" s="1393">
        <v>8</v>
      </c>
      <c r="B1574" s="1324" t="s">
        <v>5242</v>
      </c>
      <c r="C1574" s="1324" t="s">
        <v>4071</v>
      </c>
      <c r="D1574" s="1364">
        <f>+IF(ISBLANK(REPORTS!J1233),"",REPORTS!J1233)</f>
        <v>11197.212842049608</v>
      </c>
      <c r="E1574" s="1364">
        <f>+IF(ISBLANK(REPORTS!K1233),"",REPORTS!K1233)</f>
        <v>4127.927774182268</v>
      </c>
      <c r="F1574" s="1364">
        <f>+IF(ISBLANK(REPORTS!L1233),"",REPORTS!L1233)</f>
        <v>626.15236697054786</v>
      </c>
      <c r="G1574" s="1364">
        <f>+IF(ISBLANK(REPORTS!M1233),"",REPORTS!M1233)</f>
        <v>301.86758215998458</v>
      </c>
      <c r="H1574" s="1364">
        <f>+IF(ISBLANK(REPORTS!N1233),"",REPORTS!N1233)</f>
        <v>19.459936360981089</v>
      </c>
      <c r="I1574" s="1364">
        <f>+IF(ISBLANK(REPORTS!O1233),"",REPORTS!O1233)</f>
        <v>21.231607461447723</v>
      </c>
      <c r="J1574" s="1364">
        <f>+IF(ISBLANK(REPORTS!P1233),"",REPORTS!P1233)</f>
        <v>4.8729072807301543</v>
      </c>
      <c r="K1574" s="1364">
        <f>+IF(ISBLANK(REPORTS!Q1233),"",REPORTS!Q1233)</f>
        <v>6095.7006676336496</v>
      </c>
      <c r="L1574" s="1364"/>
      <c r="M1574" s="1324">
        <v>907</v>
      </c>
    </row>
    <row r="1575" spans="1:13">
      <c r="A1575" s="1393">
        <v>9</v>
      </c>
      <c r="B1575" s="1324" t="s">
        <v>5244</v>
      </c>
      <c r="C1575" s="1324" t="s">
        <v>4071</v>
      </c>
      <c r="D1575" s="1364">
        <f>+IF(ISBLANK(REPORTS!J1234),"",REPORTS!J1234)</f>
        <v>0</v>
      </c>
      <c r="E1575" s="1364">
        <f>+IF(ISBLANK(REPORTS!K1234),"",REPORTS!K1234)</f>
        <v>0</v>
      </c>
      <c r="F1575" s="1364">
        <f>+IF(ISBLANK(REPORTS!L1234),"",REPORTS!L1234)</f>
        <v>0</v>
      </c>
      <c r="G1575" s="1364">
        <f>+IF(ISBLANK(REPORTS!M1234),"",REPORTS!M1234)</f>
        <v>0</v>
      </c>
      <c r="H1575" s="1364">
        <f>+IF(ISBLANK(REPORTS!N1234),"",REPORTS!N1234)</f>
        <v>0</v>
      </c>
      <c r="I1575" s="1364">
        <f>+IF(ISBLANK(REPORTS!O1234),"",REPORTS!O1234)</f>
        <v>0</v>
      </c>
      <c r="J1575" s="1364">
        <f>+IF(ISBLANK(REPORTS!P1234),"",REPORTS!P1234)</f>
        <v>0</v>
      </c>
      <c r="K1575" s="1364">
        <f>+IF(ISBLANK(REPORTS!Q1234),"",REPORTS!Q1234)</f>
        <v>0</v>
      </c>
      <c r="L1575" s="1364"/>
      <c r="M1575" s="1324">
        <v>412</v>
      </c>
    </row>
    <row r="1576" spans="1:13">
      <c r="A1576" s="1393">
        <v>10</v>
      </c>
      <c r="B1576" s="1324" t="s">
        <v>5088</v>
      </c>
      <c r="D1576" s="1421">
        <f>+IF(ISBLANK(REPORTS!J1235),"",REPORTS!J1235)</f>
        <v>161896.68159940958</v>
      </c>
      <c r="E1576" s="1421">
        <f>+IF(ISBLANK(REPORTS!K1235),"",REPORTS!K1235)</f>
        <v>93537.339059775768</v>
      </c>
      <c r="F1576" s="1421">
        <f>+IF(ISBLANK(REPORTS!L1235),"",REPORTS!L1235)</f>
        <v>7879.9106397538144</v>
      </c>
      <c r="G1576" s="1421">
        <f>+IF(ISBLANK(REPORTS!M1235),"",REPORTS!M1235)</f>
        <v>45423.738583939237</v>
      </c>
      <c r="H1576" s="1421">
        <f>+IF(ISBLANK(REPORTS!N1235),"",REPORTS!N1235)</f>
        <v>5326.0393352203146</v>
      </c>
      <c r="I1576" s="1421">
        <f>+IF(ISBLANK(REPORTS!O1235),"",REPORTS!O1235)</f>
        <v>3290.2310945914742</v>
      </c>
      <c r="J1576" s="1421">
        <f>+IF(ISBLANK(REPORTS!P1235),"",REPORTS!P1235)</f>
        <v>343.72221849532929</v>
      </c>
      <c r="K1576" s="1421">
        <f>+IF(ISBLANK(REPORTS!Q1235),"",REPORTS!Q1235)</f>
        <v>6095.7006676336496</v>
      </c>
      <c r="L1576" s="1364"/>
      <c r="M1576" s="1324"/>
    </row>
    <row r="1577" spans="1:13">
      <c r="A1577" s="1393">
        <v>11</v>
      </c>
      <c r="D1577" s="1324" t="str">
        <f>+IF(ISBLANK(REPORTS!J1236),"",REPORTS!J1236)</f>
        <v/>
      </c>
      <c r="E1577" s="1324" t="str">
        <f>+IF(ISBLANK(REPORTS!K1236),"",REPORTS!K1236)</f>
        <v/>
      </c>
      <c r="F1577" s="1324" t="str">
        <f>+IF(ISBLANK(REPORTS!L1236),"",REPORTS!L1236)</f>
        <v/>
      </c>
      <c r="G1577" s="1324" t="str">
        <f>+IF(ISBLANK(REPORTS!M1236),"",REPORTS!M1236)</f>
        <v/>
      </c>
      <c r="H1577" s="1324" t="str">
        <f>+IF(ISBLANK(REPORTS!N1236),"",REPORTS!N1236)</f>
        <v/>
      </c>
      <c r="I1577" s="1324" t="str">
        <f>+IF(ISBLANK(REPORTS!O1236),"",REPORTS!O1236)</f>
        <v/>
      </c>
      <c r="J1577" s="1324" t="str">
        <f>+IF(ISBLANK(REPORTS!P1236),"",REPORTS!P1236)</f>
        <v/>
      </c>
      <c r="K1577" s="1324" t="str">
        <f>+IF(ISBLANK(REPORTS!Q1236),"",REPORTS!Q1236)</f>
        <v/>
      </c>
      <c r="L1577" s="1324"/>
      <c r="M1577" s="1324"/>
    </row>
    <row r="1578" spans="1:13">
      <c r="A1578" s="1393">
        <v>12</v>
      </c>
      <c r="B1578" s="1362" t="s">
        <v>5705</v>
      </c>
      <c r="D1578" s="1324" t="str">
        <f>+IF(ISBLANK(REPORTS!J1237),"",REPORTS!J1237)</f>
        <v/>
      </c>
      <c r="E1578" s="1324" t="str">
        <f>+IF(ISBLANK(REPORTS!K1237),"",REPORTS!K1237)</f>
        <v/>
      </c>
      <c r="F1578" s="1324" t="str">
        <f>+IF(ISBLANK(REPORTS!L1237),"",REPORTS!L1237)</f>
        <v/>
      </c>
      <c r="G1578" s="1324" t="str">
        <f>+IF(ISBLANK(REPORTS!M1237),"",REPORTS!M1237)</f>
        <v/>
      </c>
      <c r="H1578" s="1324" t="str">
        <f>+IF(ISBLANK(REPORTS!N1237),"",REPORTS!N1237)</f>
        <v/>
      </c>
      <c r="I1578" s="1324" t="str">
        <f>+IF(ISBLANK(REPORTS!O1237),"",REPORTS!O1237)</f>
        <v/>
      </c>
      <c r="J1578" s="1324" t="str">
        <f>+IF(ISBLANK(REPORTS!P1237),"",REPORTS!P1237)</f>
        <v/>
      </c>
      <c r="K1578" s="1324" t="str">
        <f>+IF(ISBLANK(REPORTS!Q1237),"",REPORTS!Q1237)</f>
        <v/>
      </c>
      <c r="L1578" s="1324"/>
      <c r="M1578" s="1324"/>
    </row>
    <row r="1579" spans="1:13">
      <c r="A1579" s="1393">
        <v>13</v>
      </c>
      <c r="B1579" s="1324" t="s">
        <v>5265</v>
      </c>
      <c r="C1579" s="1324" t="s">
        <v>4067</v>
      </c>
      <c r="D1579" s="1364">
        <f>+IF(ISBLANK(REPORTS!J1238),"",REPORTS!J1238)</f>
        <v>-276877.79085390217</v>
      </c>
      <c r="E1579" s="1324">
        <f>+IF(ISBLANK(REPORTS!K1238),"",REPORTS!K1238)</f>
        <v>-158987.28838337408</v>
      </c>
      <c r="F1579" s="1324">
        <f>+IF(ISBLANK(REPORTS!L1238),"",REPORTS!L1238)</f>
        <v>-13221.485559642297</v>
      </c>
      <c r="G1579" s="1324">
        <f>+IF(ISBLANK(REPORTS!M1238),"",REPORTS!M1238)</f>
        <v>-85568.268792678995</v>
      </c>
      <c r="H1579" s="1324">
        <f>+IF(ISBLANK(REPORTS!N1238),"",REPORTS!N1238)</f>
        <v>-10936.203870945476</v>
      </c>
      <c r="I1579" s="1324">
        <f>+IF(ISBLANK(REPORTS!O1238),"",REPORTS!O1238)</f>
        <v>-7870.8202372131836</v>
      </c>
      <c r="J1579" s="1324">
        <f>+IF(ISBLANK(REPORTS!P1238),"",REPORTS!P1238)</f>
        <v>-293.72401004815862</v>
      </c>
      <c r="K1579" s="1324">
        <f>+IF(ISBLANK(REPORTS!Q1238),"",REPORTS!Q1238)</f>
        <v>0</v>
      </c>
      <c r="L1579" s="1324"/>
      <c r="M1579" s="1324">
        <v>122</v>
      </c>
    </row>
    <row r="1580" spans="1:13">
      <c r="A1580" s="1393">
        <v>14</v>
      </c>
      <c r="B1580" s="1324" t="s">
        <v>5265</v>
      </c>
      <c r="C1580" s="1324" t="s">
        <v>2067</v>
      </c>
      <c r="D1580" s="1364">
        <f>+IF(ISBLANK(REPORTS!J1239),"",REPORTS!J1239)</f>
        <v>-26078.27032716485</v>
      </c>
      <c r="E1580" s="1364">
        <f>+IF(ISBLANK(REPORTS!K1239),"",REPORTS!K1239)</f>
        <v>-13159.986698483157</v>
      </c>
      <c r="F1580" s="1364">
        <f>+IF(ISBLANK(REPORTS!L1239),"",REPORTS!L1239)</f>
        <v>-1216.1368258240186</v>
      </c>
      <c r="G1580" s="1364">
        <f>+IF(ISBLANK(REPORTS!M1239),"",REPORTS!M1239)</f>
        <v>-9059.746989274794</v>
      </c>
      <c r="H1580" s="1364">
        <f>+IF(ISBLANK(REPORTS!N1239),"",REPORTS!N1239)</f>
        <v>-1442.1660511768011</v>
      </c>
      <c r="I1580" s="1364">
        <f>+IF(ISBLANK(REPORTS!O1239),"",REPORTS!O1239)</f>
        <v>-1062.4608403214156</v>
      </c>
      <c r="J1580" s="1364">
        <f>+IF(ISBLANK(REPORTS!P1239),"",REPORTS!P1239)</f>
        <v>-137.77292208466145</v>
      </c>
      <c r="K1580" s="1364">
        <f>+IF(ISBLANK(REPORTS!Q1239),"",REPORTS!Q1239)</f>
        <v>0</v>
      </c>
      <c r="L1580" s="1364"/>
      <c r="M1580" s="1324">
        <v>201</v>
      </c>
    </row>
    <row r="1581" spans="1:13">
      <c r="A1581" s="1393">
        <v>15</v>
      </c>
      <c r="B1581" s="1324" t="s">
        <v>5268</v>
      </c>
      <c r="C1581" s="1324" t="s">
        <v>4067</v>
      </c>
      <c r="D1581" s="1364">
        <f>+IF(ISBLANK(REPORTS!J1240),"",REPORTS!J1240)</f>
        <v>-20443.267224187868</v>
      </c>
      <c r="E1581" s="1364">
        <f>+IF(ISBLANK(REPORTS!K1240),"",REPORTS!K1240)</f>
        <v>-11857.361572762735</v>
      </c>
      <c r="F1581" s="1364">
        <f>+IF(ISBLANK(REPORTS!L1240),"",REPORTS!L1240)</f>
        <v>-978.1127298221046</v>
      </c>
      <c r="G1581" s="1364">
        <f>+IF(ISBLANK(REPORTS!M1240),"",REPORTS!M1240)</f>
        <v>-6252.5832900119776</v>
      </c>
      <c r="H1581" s="1364">
        <f>+IF(ISBLANK(REPORTS!N1240),"",REPORTS!N1240)</f>
        <v>-780.55212014430151</v>
      </c>
      <c r="I1581" s="1364">
        <f>+IF(ISBLANK(REPORTS!O1240),"",REPORTS!O1240)</f>
        <v>-560.16338609345098</v>
      </c>
      <c r="J1581" s="1364">
        <f>+IF(ISBLANK(REPORTS!P1240),"",REPORTS!P1240)</f>
        <v>-14.494125353298534</v>
      </c>
      <c r="K1581" s="1364">
        <f>+IF(ISBLANK(REPORTS!Q1240),"",REPORTS!Q1240)</f>
        <v>0</v>
      </c>
      <c r="L1581" s="1364"/>
      <c r="M1581" s="1324">
        <v>117</v>
      </c>
    </row>
    <row r="1582" spans="1:13">
      <c r="A1582" s="1393">
        <v>16</v>
      </c>
      <c r="B1582" s="1324" t="s">
        <v>5239</v>
      </c>
      <c r="C1582" s="1324" t="s">
        <v>4067</v>
      </c>
      <c r="D1582" s="1364">
        <f>+IF(ISBLANK(REPORTS!J1241),"",REPORTS!J1241)</f>
        <v>-21315.576418388515</v>
      </c>
      <c r="E1582" s="1364">
        <f>+IF(ISBLANK(REPORTS!K1241),"",REPORTS!K1241)</f>
        <v>-12363.312280418922</v>
      </c>
      <c r="F1582" s="1364">
        <f>+IF(ISBLANK(REPORTS!L1241),"",REPORTS!L1241)</f>
        <v>-1019.8485599040503</v>
      </c>
      <c r="G1582" s="1364">
        <f>+IF(ISBLANK(REPORTS!M1241),"",REPORTS!M1241)</f>
        <v>-6519.3794841609024</v>
      </c>
      <c r="H1582" s="1364">
        <f>+IF(ISBLANK(REPORTS!N1241),"",REPORTS!N1241)</f>
        <v>-813.858087506949</v>
      </c>
      <c r="I1582" s="1364">
        <f>+IF(ISBLANK(REPORTS!O1241),"",REPORTS!O1241)</f>
        <v>-584.06542027347405</v>
      </c>
      <c r="J1582" s="1364">
        <f>+IF(ISBLANK(REPORTS!P1241),"",REPORTS!P1241)</f>
        <v>-15.112586124217762</v>
      </c>
      <c r="K1582" s="1364">
        <f>+IF(ISBLANK(REPORTS!Q1241),"",REPORTS!Q1241)</f>
        <v>0</v>
      </c>
      <c r="L1582" s="1364"/>
      <c r="M1582" s="1324">
        <v>117</v>
      </c>
    </row>
    <row r="1583" spans="1:13">
      <c r="A1583" s="1393">
        <v>17</v>
      </c>
      <c r="B1583" s="1324" t="s">
        <v>5240</v>
      </c>
      <c r="C1583" s="1324" t="s">
        <v>4067</v>
      </c>
      <c r="D1583" s="1364">
        <f>+IF(ISBLANK(REPORTS!J1242),"",REPORTS!J1242)</f>
        <v>-82744.462642516693</v>
      </c>
      <c r="E1583" s="1364">
        <f>+IF(ISBLANK(REPORTS!K1242),"",REPORTS!K1242)</f>
        <v>-51501.478459408136</v>
      </c>
      <c r="F1583" s="1364">
        <f>+IF(ISBLANK(REPORTS!L1242),"",REPORTS!L1242)</f>
        <v>-3662.9143167994439</v>
      </c>
      <c r="G1583" s="1364">
        <f>+IF(ISBLANK(REPORTS!M1242),"",REPORTS!M1242)</f>
        <v>-24525.498379070272</v>
      </c>
      <c r="H1583" s="1364">
        <f>+IF(ISBLANK(REPORTS!N1242),"",REPORTS!N1242)</f>
        <v>-2579.5893176008008</v>
      </c>
      <c r="I1583" s="1364">
        <f>+IF(ISBLANK(REPORTS!O1242),"",REPORTS!O1242)</f>
        <v>-1.7612933327006547E-3</v>
      </c>
      <c r="J1583" s="1364">
        <f>+IF(ISBLANK(REPORTS!P1242),"",REPORTS!P1242)</f>
        <v>-474.98040834472931</v>
      </c>
      <c r="K1583" s="1364">
        <f>+IF(ISBLANK(REPORTS!Q1242),"",REPORTS!Q1242)</f>
        <v>0</v>
      </c>
      <c r="L1583" s="1364"/>
      <c r="M1583" s="1324">
        <v>105</v>
      </c>
    </row>
    <row r="1584" spans="1:13">
      <c r="A1584" s="1393">
        <v>18</v>
      </c>
      <c r="B1584" s="1324" t="s">
        <v>5241</v>
      </c>
      <c r="C1584" s="1324" t="s">
        <v>4067</v>
      </c>
      <c r="D1584" s="1364">
        <f>+IF(ISBLANK(REPORTS!J1243),"",REPORTS!J1243)</f>
        <v>-41185.725121495263</v>
      </c>
      <c r="E1584" s="1364">
        <f>+IF(ISBLANK(REPORTS!K1243),"",REPORTS!K1243)</f>
        <v>-30050.474939121734</v>
      </c>
      <c r="F1584" s="1364">
        <f>+IF(ISBLANK(REPORTS!L1243),"",REPORTS!L1243)</f>
        <v>-2419.6596213567818</v>
      </c>
      <c r="G1584" s="1364">
        <f>+IF(ISBLANK(REPORTS!M1243),"",REPORTS!M1243)</f>
        <v>-8566.6041572719951</v>
      </c>
      <c r="H1584" s="1364">
        <f>+IF(ISBLANK(REPORTS!N1243),"",REPORTS!N1243)</f>
        <v>0</v>
      </c>
      <c r="I1584" s="1364">
        <f>+IF(ISBLANK(REPORTS!O1243),"",REPORTS!O1243)</f>
        <v>0</v>
      </c>
      <c r="J1584" s="1364">
        <f>+IF(ISBLANK(REPORTS!P1243),"",REPORTS!P1243)</f>
        <v>-148.98640374475005</v>
      </c>
      <c r="K1584" s="1364">
        <f>+IF(ISBLANK(REPORTS!Q1243),"",REPORTS!Q1243)</f>
        <v>0</v>
      </c>
      <c r="L1584" s="1364"/>
      <c r="M1584" s="1324">
        <v>106</v>
      </c>
    </row>
    <row r="1585" spans="1:13">
      <c r="A1585" s="1393">
        <v>19</v>
      </c>
      <c r="B1585" s="1324" t="s">
        <v>5242</v>
      </c>
      <c r="C1585" s="1324" t="s">
        <v>4071</v>
      </c>
      <c r="D1585" s="1364">
        <f>+IF(ISBLANK(REPORTS!J1244),"",REPORTS!J1244)</f>
        <v>-38742.145346847341</v>
      </c>
      <c r="E1585" s="1364">
        <f>+IF(ISBLANK(REPORTS!K1244),"",REPORTS!K1244)</f>
        <v>-14282.552280160446</v>
      </c>
      <c r="F1585" s="1364">
        <f>+IF(ISBLANK(REPORTS!L1244),"",REPORTS!L1244)</f>
        <v>-2166.4753856733009</v>
      </c>
      <c r="G1585" s="1364">
        <f>+IF(ISBLANK(REPORTS!M1244),"",REPORTS!M1244)</f>
        <v>-1044.4561435524859</v>
      </c>
      <c r="H1585" s="1364">
        <f>+IF(ISBLANK(REPORTS!N1244),"",REPORTS!N1244)</f>
        <v>-67.331012955856849</v>
      </c>
      <c r="I1585" s="1364">
        <f>+IF(ISBLANK(REPORTS!O1244),"",REPORTS!O1244)</f>
        <v>-73.460961564436076</v>
      </c>
      <c r="J1585" s="1364">
        <f>+IF(ISBLANK(REPORTS!P1244),"",REPORTS!P1244)</f>
        <v>-16.860167328676191</v>
      </c>
      <c r="K1585" s="1364">
        <f>+IF(ISBLANK(REPORTS!Q1244),"",REPORTS!Q1244)</f>
        <v>-21091.009395612142</v>
      </c>
      <c r="L1585" s="1364"/>
      <c r="M1585" s="1324">
        <v>907</v>
      </c>
    </row>
    <row r="1586" spans="1:13">
      <c r="A1586" s="1393">
        <v>20</v>
      </c>
      <c r="B1586" s="1324" t="s">
        <v>5244</v>
      </c>
      <c r="C1586" s="1324" t="s">
        <v>4071</v>
      </c>
      <c r="D1586" s="1364">
        <f>+IF(ISBLANK(REPORTS!J1245),"",REPORTS!J1245)</f>
        <v>-9393.7898768032774</v>
      </c>
      <c r="E1586" s="1364">
        <f>+IF(ISBLANK(REPORTS!K1245),"",REPORTS!K1245)</f>
        <v>-8378.1973297893255</v>
      </c>
      <c r="F1586" s="1364">
        <f>+IF(ISBLANK(REPORTS!L1245),"",REPORTS!L1245)</f>
        <v>-812.19080896992557</v>
      </c>
      <c r="G1586" s="1364">
        <f>+IF(ISBLANK(REPORTS!M1245),"",REPORTS!M1245)</f>
        <v>-200.03567457703727</v>
      </c>
      <c r="H1586" s="1364">
        <f>+IF(ISBLANK(REPORTS!N1245),"",REPORTS!N1245)</f>
        <v>-0.67539137525329795</v>
      </c>
      <c r="I1586" s="1364">
        <f>+IF(ISBLANK(REPORTS!O1245),"",REPORTS!O1245)</f>
        <v>-0.119827502061069</v>
      </c>
      <c r="J1586" s="1364">
        <f>+IF(ISBLANK(REPORTS!P1245),"",REPORTS!P1245)</f>
        <v>-2.5708445896738437</v>
      </c>
      <c r="K1586" s="1364">
        <f>+IF(ISBLANK(REPORTS!Q1245),"",REPORTS!Q1245)</f>
        <v>0</v>
      </c>
      <c r="L1586" s="1364"/>
      <c r="M1586" s="1324">
        <v>412</v>
      </c>
    </row>
    <row r="1587" spans="1:13">
      <c r="A1587" s="1393">
        <v>21</v>
      </c>
      <c r="B1587" s="1324" t="s">
        <v>5706</v>
      </c>
      <c r="D1587" s="1421">
        <f>+IF(ISBLANK(REPORTS!J1246),"",REPORTS!J1246)</f>
        <v>-516781.027811306</v>
      </c>
      <c r="E1587" s="1421">
        <f>+IF(ISBLANK(REPORTS!K1246),"",REPORTS!K1246)</f>
        <v>-300580.65194351855</v>
      </c>
      <c r="F1587" s="1421">
        <f>+IF(ISBLANK(REPORTS!L1246),"",REPORTS!L1246)</f>
        <v>-25496.823807991921</v>
      </c>
      <c r="G1587" s="1421">
        <f>+IF(ISBLANK(REPORTS!M1246),"",REPORTS!M1246)</f>
        <v>-141736.57291059845</v>
      </c>
      <c r="H1587" s="1421">
        <f>+IF(ISBLANK(REPORTS!N1246),"",REPORTS!N1246)</f>
        <v>-16620.375851705438</v>
      </c>
      <c r="I1587" s="1421">
        <f>+IF(ISBLANK(REPORTS!O1246),"",REPORTS!O1246)</f>
        <v>-10151.092434261354</v>
      </c>
      <c r="J1587" s="1421">
        <f>+IF(ISBLANK(REPORTS!P1246),"",REPORTS!P1246)</f>
        <v>-1104.5014676181659</v>
      </c>
      <c r="K1587" s="1421">
        <f>+IF(ISBLANK(REPORTS!Q1246),"",REPORTS!Q1246)</f>
        <v>-21091.009395612142</v>
      </c>
      <c r="L1587" s="1364"/>
      <c r="M1587" s="1324"/>
    </row>
    <row r="1588" spans="1:13">
      <c r="A1588" s="1393">
        <v>22</v>
      </c>
      <c r="D1588" s="1324" t="str">
        <f>+IF(ISBLANK(REPORTS!J1247),"",REPORTS!J1247)</f>
        <v/>
      </c>
      <c r="E1588" s="1324" t="str">
        <f>+IF(ISBLANK(REPORTS!K1247),"",REPORTS!K1247)</f>
        <v/>
      </c>
      <c r="F1588" s="1324" t="str">
        <f>+IF(ISBLANK(REPORTS!L1247),"",REPORTS!L1247)</f>
        <v/>
      </c>
      <c r="G1588" s="1324" t="str">
        <f>+IF(ISBLANK(REPORTS!M1247),"",REPORTS!M1247)</f>
        <v/>
      </c>
      <c r="H1588" s="1324" t="str">
        <f>+IF(ISBLANK(REPORTS!N1247),"",REPORTS!N1247)</f>
        <v/>
      </c>
      <c r="I1588" s="1324" t="str">
        <f>+IF(ISBLANK(REPORTS!O1247),"",REPORTS!O1247)</f>
        <v/>
      </c>
      <c r="J1588" s="1324" t="str">
        <f>+IF(ISBLANK(REPORTS!P1247),"",REPORTS!P1247)</f>
        <v/>
      </c>
      <c r="K1588" s="1324" t="str">
        <f>+IF(ISBLANK(REPORTS!Q1247),"",REPORTS!Q1247)</f>
        <v/>
      </c>
      <c r="L1588" s="1324"/>
      <c r="M1588" s="1324"/>
    </row>
    <row r="1589" spans="1:13">
      <c r="A1589" s="1393">
        <v>23</v>
      </c>
      <c r="B1589" s="1362" t="s">
        <v>5708</v>
      </c>
      <c r="D1589" s="1324" t="str">
        <f>+IF(ISBLANK(REPORTS!J1248),"",REPORTS!J1248)</f>
        <v/>
      </c>
      <c r="E1589" s="1324" t="str">
        <f>+IF(ISBLANK(REPORTS!K1248),"",REPORTS!K1248)</f>
        <v/>
      </c>
      <c r="F1589" s="1324" t="str">
        <f>+IF(ISBLANK(REPORTS!L1248),"",REPORTS!L1248)</f>
        <v/>
      </c>
      <c r="G1589" s="1324" t="str">
        <f>+IF(ISBLANK(REPORTS!M1248),"",REPORTS!M1248)</f>
        <v/>
      </c>
      <c r="H1589" s="1324" t="str">
        <f>+IF(ISBLANK(REPORTS!N1248),"",REPORTS!N1248)</f>
        <v/>
      </c>
      <c r="I1589" s="1324" t="str">
        <f>+IF(ISBLANK(REPORTS!O1248),"",REPORTS!O1248)</f>
        <v/>
      </c>
      <c r="J1589" s="1324" t="str">
        <f>+IF(ISBLANK(REPORTS!P1248),"",REPORTS!P1248)</f>
        <v/>
      </c>
      <c r="K1589" s="1324" t="str">
        <f>+IF(ISBLANK(REPORTS!Q1248),"",REPORTS!Q1248)</f>
        <v/>
      </c>
      <c r="L1589" s="1324"/>
      <c r="M1589" s="1324"/>
    </row>
    <row r="1590" spans="1:13">
      <c r="A1590" s="1393">
        <v>24</v>
      </c>
      <c r="B1590" s="1324" t="s">
        <v>5265</v>
      </c>
      <c r="C1590" s="1324" t="s">
        <v>4067</v>
      </c>
      <c r="D1590" s="1364">
        <f>+IF(ISBLANK(REPORTS!J1249),"",REPORTS!J1249)</f>
        <v>600863.57050653605</v>
      </c>
      <c r="E1590" s="1324">
        <f>+IF(ISBLANK(REPORTS!K1249),"",REPORTS!K1249)</f>
        <v>345024.67485228466</v>
      </c>
      <c r="F1590" s="1324">
        <f>+IF(ISBLANK(REPORTS!L1249),"",REPORTS!L1249)</f>
        <v>28692.474742256181</v>
      </c>
      <c r="G1590" s="1324">
        <f>+IF(ISBLANK(REPORTS!M1249),"",REPORTS!M1249)</f>
        <v>185695.12328983351</v>
      </c>
      <c r="H1590" s="1324">
        <f>+IF(ISBLANK(REPORTS!N1249),"",REPORTS!N1249)</f>
        <v>23733.093526273664</v>
      </c>
      <c r="I1590" s="1324">
        <f>+IF(ISBLANK(REPORTS!O1249),"",REPORTS!O1249)</f>
        <v>17080.7818711703</v>
      </c>
      <c r="J1590" s="1324">
        <f>+IF(ISBLANK(REPORTS!P1249),"",REPORTS!P1249)</f>
        <v>637.42222471776461</v>
      </c>
      <c r="K1590" s="1324">
        <f>+IF(ISBLANK(REPORTS!Q1249),"",REPORTS!Q1249)</f>
        <v>0</v>
      </c>
      <c r="L1590" s="1324"/>
      <c r="M1590" s="1324">
        <v>122</v>
      </c>
    </row>
    <row r="1591" spans="1:13">
      <c r="A1591" s="1393">
        <v>25</v>
      </c>
      <c r="B1591" s="1324" t="s">
        <v>5265</v>
      </c>
      <c r="C1591" s="1324" t="s">
        <v>2067</v>
      </c>
      <c r="D1591" s="1364">
        <f>+IF(ISBLANK(REPORTS!J1250),"",REPORTS!J1250)</f>
        <v>56593.497705574773</v>
      </c>
      <c r="E1591" s="1364">
        <f>+IF(ISBLANK(REPORTS!K1250),"",REPORTS!K1250)</f>
        <v>28559.013603375366</v>
      </c>
      <c r="F1591" s="1364">
        <f>+IF(ISBLANK(REPORTS!L1250),"",REPORTS!L1250)</f>
        <v>2639.187177619041</v>
      </c>
      <c r="G1591" s="1364">
        <f>+IF(ISBLANK(REPORTS!M1250),"",REPORTS!M1250)</f>
        <v>19660.919379170831</v>
      </c>
      <c r="H1591" s="1364">
        <f>+IF(ISBLANK(REPORTS!N1250),"",REPORTS!N1250)</f>
        <v>3129.7022419203254</v>
      </c>
      <c r="I1591" s="1364">
        <f>+IF(ISBLANK(REPORTS!O1250),"",REPORTS!O1250)</f>
        <v>2305.6887736284943</v>
      </c>
      <c r="J1591" s="1364">
        <f>+IF(ISBLANK(REPORTS!P1250),"",REPORTS!P1250)</f>
        <v>298.98652986071301</v>
      </c>
      <c r="K1591" s="1364">
        <f>+IF(ISBLANK(REPORTS!Q1250),"",REPORTS!Q1250)</f>
        <v>0</v>
      </c>
      <c r="L1591" s="1364"/>
      <c r="M1591" s="1324">
        <v>201</v>
      </c>
    </row>
    <row r="1592" spans="1:13">
      <c r="A1592" s="1393">
        <v>26</v>
      </c>
      <c r="B1592" s="1324" t="s">
        <v>5268</v>
      </c>
      <c r="C1592" s="1324" t="s">
        <v>4067</v>
      </c>
      <c r="D1592" s="1364">
        <f>+IF(ISBLANK(REPORTS!J1251),"",REPORTS!J1251)</f>
        <v>44364.752041908476</v>
      </c>
      <c r="E1592" s="1364">
        <f>+IF(ISBLANK(REPORTS!K1251),"",REPORTS!K1251)</f>
        <v>25732.134706162193</v>
      </c>
      <c r="F1592" s="1364">
        <f>+IF(ISBLANK(REPORTS!L1251),"",REPORTS!L1251)</f>
        <v>2122.641564663877</v>
      </c>
      <c r="G1592" s="1364">
        <f>+IF(ISBLANK(REPORTS!M1251),"",REPORTS!M1251)</f>
        <v>13568.981134021325</v>
      </c>
      <c r="H1592" s="1364">
        <f>+IF(ISBLANK(REPORTS!N1251),"",REPORTS!N1251)</f>
        <v>1693.907382133903</v>
      </c>
      <c r="I1592" s="1364">
        <f>+IF(ISBLANK(REPORTS!O1251),"",REPORTS!O1251)</f>
        <v>1215.6329736563939</v>
      </c>
      <c r="J1592" s="1364">
        <f>+IF(ISBLANK(REPORTS!P1251),"",REPORTS!P1251)</f>
        <v>31.45428127078516</v>
      </c>
      <c r="K1592" s="1364">
        <f>+IF(ISBLANK(REPORTS!Q1251),"",REPORTS!Q1251)</f>
        <v>0</v>
      </c>
      <c r="L1592" s="1364"/>
      <c r="M1592" s="1324">
        <v>117</v>
      </c>
    </row>
    <row r="1593" spans="1:13">
      <c r="A1593" s="1393">
        <v>27</v>
      </c>
      <c r="B1593" s="1324" t="s">
        <v>5239</v>
      </c>
      <c r="C1593" s="1324" t="s">
        <v>4067</v>
      </c>
      <c r="D1593" s="1364">
        <f>+IF(ISBLANK(REPORTS!J1252),"",REPORTS!J1252)</f>
        <v>46257.7851212198</v>
      </c>
      <c r="E1593" s="1364">
        <f>+IF(ISBLANK(REPORTS!K1252),"",REPORTS!K1252)</f>
        <v>26830.118577548314</v>
      </c>
      <c r="F1593" s="1364">
        <f>+IF(ISBLANK(REPORTS!L1252),"",REPORTS!L1252)</f>
        <v>2213.2141591784161</v>
      </c>
      <c r="G1593" s="1364">
        <f>+IF(ISBLANK(REPORTS!M1252),"",REPORTS!M1252)</f>
        <v>14147.966228201258</v>
      </c>
      <c r="H1593" s="1364">
        <f>+IF(ISBLANK(REPORTS!N1252),"",REPORTS!N1252)</f>
        <v>1766.1859943222464</v>
      </c>
      <c r="I1593" s="1364">
        <f>+IF(ISBLANK(REPORTS!O1252),"",REPORTS!O1252)</f>
        <v>1267.5037342381127</v>
      </c>
      <c r="J1593" s="1364">
        <f>+IF(ISBLANK(REPORTS!P1252),"",REPORTS!P1252)</f>
        <v>32.796427731455367</v>
      </c>
      <c r="K1593" s="1364">
        <f>+IF(ISBLANK(REPORTS!Q1252),"",REPORTS!Q1252)</f>
        <v>0</v>
      </c>
      <c r="L1593" s="1358"/>
      <c r="M1593" s="1320">
        <v>117</v>
      </c>
    </row>
    <row r="1594" spans="1:13">
      <c r="A1594" s="1393">
        <v>28</v>
      </c>
      <c r="B1594" s="1324" t="s">
        <v>5240</v>
      </c>
      <c r="C1594" s="1324" t="s">
        <v>4067</v>
      </c>
      <c r="D1594" s="1364">
        <f>+IF(ISBLANK(REPORTS!J1253),"",REPORTS!J1253)</f>
        <v>179567.06859620108</v>
      </c>
      <c r="E1594" s="1364">
        <f>+IF(ISBLANK(REPORTS!K1253),"",REPORTS!K1253)</f>
        <v>111765.41873600151</v>
      </c>
      <c r="F1594" s="1364">
        <f>+IF(ISBLANK(REPORTS!L1253),"",REPORTS!L1253)</f>
        <v>7949.0368948116893</v>
      </c>
      <c r="G1594" s="1364">
        <f>+IF(ISBLANK(REPORTS!M1253),"",REPORTS!M1253)</f>
        <v>53223.765181932926</v>
      </c>
      <c r="H1594" s="1364">
        <f>+IF(ISBLANK(REPORTS!N1253),"",REPORTS!N1253)</f>
        <v>5598.0699753271356</v>
      </c>
      <c r="I1594" s="1364">
        <f>+IF(ISBLANK(REPORTS!O1253),"",REPORTS!O1253)</f>
        <v>3.8222531223325693E-3</v>
      </c>
      <c r="J1594" s="1364">
        <f>+IF(ISBLANK(REPORTS!P1253),"",REPORTS!P1253)</f>
        <v>1030.7739858747298</v>
      </c>
      <c r="K1594" s="1364">
        <f>+IF(ISBLANK(REPORTS!Q1253),"",REPORTS!Q1253)</f>
        <v>0</v>
      </c>
      <c r="L1594" s="1358"/>
      <c r="M1594" s="1320">
        <v>105</v>
      </c>
    </row>
    <row r="1595" spans="1:13">
      <c r="A1595" s="1393">
        <v>29</v>
      </c>
      <c r="B1595" s="1324" t="s">
        <v>5241</v>
      </c>
      <c r="C1595" s="1324" t="s">
        <v>4067</v>
      </c>
      <c r="D1595" s="1364">
        <f>+IF(ISBLANK(REPORTS!J1254),"",REPORTS!J1254)</f>
        <v>89378.789732761303</v>
      </c>
      <c r="E1595" s="1364">
        <f>+IF(ISBLANK(REPORTS!K1254),"",REPORTS!K1254)</f>
        <v>65213.737843153525</v>
      </c>
      <c r="F1595" s="1364">
        <f>+IF(ISBLANK(REPORTS!L1254),"",REPORTS!L1254)</f>
        <v>5251.0001434751721</v>
      </c>
      <c r="G1595" s="1364">
        <f>+IF(ISBLANK(REPORTS!M1254),"",REPORTS!M1254)</f>
        <v>18590.730391122819</v>
      </c>
      <c r="H1595" s="1364">
        <f>+IF(ISBLANK(REPORTS!N1254),"",REPORTS!N1254)</f>
        <v>0</v>
      </c>
      <c r="I1595" s="1364">
        <f>+IF(ISBLANK(REPORTS!O1254),"",REPORTS!O1254)</f>
        <v>0</v>
      </c>
      <c r="J1595" s="1364">
        <f>+IF(ISBLANK(REPORTS!P1254),"",REPORTS!P1254)</f>
        <v>323.32135500978268</v>
      </c>
      <c r="K1595" s="1364">
        <f>+IF(ISBLANK(REPORTS!Q1254),"",REPORTS!Q1254)</f>
        <v>0</v>
      </c>
      <c r="L1595" s="1358"/>
      <c r="M1595" s="1320">
        <v>106</v>
      </c>
    </row>
    <row r="1596" spans="1:13">
      <c r="A1596" s="1393">
        <v>30</v>
      </c>
      <c r="B1596" s="1324" t="s">
        <v>5242</v>
      </c>
      <c r="C1596" s="1324" t="s">
        <v>4071</v>
      </c>
      <c r="D1596" s="1364">
        <f>+IF(ISBLANK(REPORTS!J1255),"",REPORTS!J1255)</f>
        <v>84075.879507696518</v>
      </c>
      <c r="E1596" s="1364">
        <f>+IF(ISBLANK(REPORTS!K1255),"",REPORTS!K1255)</f>
        <v>30995.138080727451</v>
      </c>
      <c r="F1596" s="1364">
        <f>+IF(ISBLANK(REPORTS!L1255),"",REPORTS!L1255)</f>
        <v>4701.5549049113561</v>
      </c>
      <c r="G1596" s="1364">
        <f>+IF(ISBLANK(REPORTS!M1255),"",REPORTS!M1255)</f>
        <v>2266.6160608872437</v>
      </c>
      <c r="H1596" s="1364">
        <f>+IF(ISBLANK(REPORTS!N1255),"",REPORTS!N1255)</f>
        <v>146.11772481175808</v>
      </c>
      <c r="I1596" s="1364">
        <f>+IF(ISBLANK(REPORTS!O1255),"",REPORTS!O1255)</f>
        <v>159.420571517567</v>
      </c>
      <c r="J1596" s="1364">
        <f>+IF(ISBLANK(REPORTS!P1255),"",REPORTS!P1255)</f>
        <v>36.588923615731908</v>
      </c>
      <c r="K1596" s="1364">
        <f>+IF(ISBLANK(REPORTS!Q1255),"",REPORTS!Q1255)</f>
        <v>45770.443241225417</v>
      </c>
      <c r="L1596" s="1358"/>
      <c r="M1596" s="1320">
        <v>907</v>
      </c>
    </row>
    <row r="1597" spans="1:13">
      <c r="A1597" s="1393">
        <v>31</v>
      </c>
      <c r="B1597" s="1324" t="s">
        <v>5244</v>
      </c>
      <c r="C1597" s="1324" t="s">
        <v>4071</v>
      </c>
      <c r="D1597" s="1364">
        <f>+IF(ISBLANK(REPORTS!J1256),"",REPORTS!J1256)</f>
        <v>20385.839212876766</v>
      </c>
      <c r="E1597" s="1364">
        <f>+IF(ISBLANK(REPORTS!K1256),"",REPORTS!K1256)</f>
        <v>18181.861197534156</v>
      </c>
      <c r="F1597" s="1364">
        <f>+IF(ISBLANK(REPORTS!L1256),"",REPORTS!L1256)</f>
        <v>1762.5677664691018</v>
      </c>
      <c r="G1597" s="1364">
        <f>+IF(ISBLANK(REPORTS!M1256),"",REPORTS!M1256)</f>
        <v>434.10541988347489</v>
      </c>
      <c r="H1597" s="1364">
        <f>+IF(ISBLANK(REPORTS!N1256),"",REPORTS!N1256)</f>
        <v>1.465693842660537</v>
      </c>
      <c r="I1597" s="1364">
        <f>+IF(ISBLANK(REPORTS!O1256),"",REPORTS!O1256)</f>
        <v>0.26004245595590175</v>
      </c>
      <c r="J1597" s="1364">
        <f>+IF(ISBLANK(REPORTS!P1256),"",REPORTS!P1256)</f>
        <v>5.5790926914175278</v>
      </c>
      <c r="K1597" s="1364">
        <f>+IF(ISBLANK(REPORTS!Q1256),"",REPORTS!Q1256)</f>
        <v>0</v>
      </c>
      <c r="L1597" s="1358"/>
      <c r="M1597" s="1320">
        <v>412</v>
      </c>
    </row>
    <row r="1598" spans="1:13">
      <c r="A1598" s="1393">
        <v>32</v>
      </c>
      <c r="B1598" s="1324" t="s">
        <v>5709</v>
      </c>
      <c r="D1598" s="1421">
        <f>+IF(ISBLANK(REPORTS!J1257),"",REPORTS!J1257)</f>
        <v>1121487.1824247749</v>
      </c>
      <c r="E1598" s="1421">
        <f>+IF(ISBLANK(REPORTS!K1257),"",REPORTS!K1257)</f>
        <v>652302.09759678715</v>
      </c>
      <c r="F1598" s="1421">
        <f>+IF(ISBLANK(REPORTS!L1257),"",REPORTS!L1257)</f>
        <v>55331.677353384839</v>
      </c>
      <c r="G1598" s="1421">
        <f>+IF(ISBLANK(REPORTS!M1257),"",REPORTS!M1257)</f>
        <v>307588.20708505338</v>
      </c>
      <c r="H1598" s="1421">
        <f>+IF(ISBLANK(REPORTS!N1257),"",REPORTS!N1257)</f>
        <v>36068.5425386317</v>
      </c>
      <c r="I1598" s="1421">
        <f>+IF(ISBLANK(REPORTS!O1257),"",REPORTS!O1257)</f>
        <v>22029.291788919945</v>
      </c>
      <c r="J1598" s="1421">
        <f>+IF(ISBLANK(REPORTS!P1257),"",REPORTS!P1257)</f>
        <v>2396.9228207723795</v>
      </c>
      <c r="K1598" s="1421">
        <f>+IF(ISBLANK(REPORTS!Q1257),"",REPORTS!Q1257)</f>
        <v>45770.443241225417</v>
      </c>
      <c r="L1598" s="1358"/>
    </row>
    <row r="1599" spans="1:13">
      <c r="A1599" s="1393">
        <v>33</v>
      </c>
      <c r="D1599" s="1324" t="str">
        <f>+IF(ISBLANK(REPORTS!J1258),"",REPORTS!J1258)</f>
        <v/>
      </c>
      <c r="E1599" s="1324" t="str">
        <f>+IF(ISBLANK(REPORTS!K1258),"",REPORTS!K1258)</f>
        <v/>
      </c>
      <c r="F1599" s="1324" t="str">
        <f>+IF(ISBLANK(REPORTS!L1258),"",REPORTS!L1258)</f>
        <v/>
      </c>
      <c r="G1599" s="1324" t="str">
        <f>+IF(ISBLANK(REPORTS!M1258),"",REPORTS!M1258)</f>
        <v/>
      </c>
      <c r="H1599" s="1324" t="str">
        <f>+IF(ISBLANK(REPORTS!N1258),"",REPORTS!N1258)</f>
        <v/>
      </c>
      <c r="I1599" s="1324" t="str">
        <f>+IF(ISBLANK(REPORTS!O1258),"",REPORTS!O1258)</f>
        <v/>
      </c>
      <c r="J1599" s="1324" t="str">
        <f>+IF(ISBLANK(REPORTS!P1258),"",REPORTS!P1258)</f>
        <v/>
      </c>
      <c r="K1599" s="1324" t="str">
        <f>+IF(ISBLANK(REPORTS!Q1258),"",REPORTS!Q1258)</f>
        <v/>
      </c>
    </row>
    <row r="1600" spans="1:13">
      <c r="A1600" s="1393">
        <v>34</v>
      </c>
      <c r="B1600" s="1362" t="s">
        <v>5711</v>
      </c>
      <c r="D1600" s="1324" t="str">
        <f>+IF(ISBLANK(REPORTS!J1259),"",REPORTS!J1259)</f>
        <v/>
      </c>
      <c r="E1600" s="1324" t="str">
        <f>+IF(ISBLANK(REPORTS!K1259),"",REPORTS!K1259)</f>
        <v/>
      </c>
      <c r="F1600" s="1324" t="str">
        <f>+IF(ISBLANK(REPORTS!L1259),"",REPORTS!L1259)</f>
        <v/>
      </c>
      <c r="G1600" s="1324" t="str">
        <f>+IF(ISBLANK(REPORTS!M1259),"",REPORTS!M1259)</f>
        <v/>
      </c>
      <c r="H1600" s="1324" t="str">
        <f>+IF(ISBLANK(REPORTS!N1259),"",REPORTS!N1259)</f>
        <v/>
      </c>
      <c r="I1600" s="1324" t="str">
        <f>+IF(ISBLANK(REPORTS!O1259),"",REPORTS!O1259)</f>
        <v/>
      </c>
      <c r="J1600" s="1324" t="str">
        <f>+IF(ISBLANK(REPORTS!P1259),"",REPORTS!P1259)</f>
        <v/>
      </c>
      <c r="K1600" s="1324" t="str">
        <f>+IF(ISBLANK(REPORTS!Q1259),"",REPORTS!Q1259)</f>
        <v/>
      </c>
    </row>
    <row r="1601" spans="1:13">
      <c r="A1601" s="1393">
        <v>35</v>
      </c>
      <c r="B1601" s="1324" t="s">
        <v>5265</v>
      </c>
      <c r="C1601" s="1324" t="s">
        <v>4067</v>
      </c>
      <c r="D1601" s="1364">
        <f>+IF(ISBLANK(REPORTS!J1260),"",REPORTS!J1260)</f>
        <v>383917.97310275974</v>
      </c>
      <c r="E1601" s="1324">
        <f>+IF(ISBLANK(REPORTS!K1260),"",REPORTS!K1260)</f>
        <v>220451.33095364942</v>
      </c>
      <c r="F1601" s="1324">
        <f>+IF(ISBLANK(REPORTS!L1260),"",REPORTS!L1260)</f>
        <v>18332.875026959711</v>
      </c>
      <c r="G1601" s="1324">
        <f>+IF(ISBLANK(REPORTS!M1260),"",REPORTS!M1260)</f>
        <v>118648.72301777273</v>
      </c>
      <c r="H1601" s="1324">
        <f>+IF(ISBLANK(REPORTS!N1260),"",REPORTS!N1260)</f>
        <v>15164.109806796983</v>
      </c>
      <c r="I1601" s="1324">
        <f>+IF(ISBLANK(REPORTS!O1260),"",REPORTS!O1260)</f>
        <v>10913.657403896037</v>
      </c>
      <c r="J1601" s="1324">
        <f>+IF(ISBLANK(REPORTS!P1260),"",REPORTS!P1260)</f>
        <v>407.27689368486028</v>
      </c>
      <c r="K1601" s="1324">
        <f>+IF(ISBLANK(REPORTS!Q1260),"",REPORTS!Q1260)</f>
        <v>0</v>
      </c>
      <c r="L1601" s="1324"/>
      <c r="M1601" s="1324">
        <v>122</v>
      </c>
    </row>
    <row r="1602" spans="1:13">
      <c r="A1602" s="1393">
        <v>36</v>
      </c>
      <c r="B1602" s="1324" t="s">
        <v>5265</v>
      </c>
      <c r="C1602" s="1324" t="s">
        <v>2067</v>
      </c>
      <c r="D1602" s="1364">
        <f>+IF(ISBLANK(REPORTS!J1261),"",REPORTS!J1261)</f>
        <v>36160.056952035855</v>
      </c>
      <c r="E1602" s="1364">
        <f>+IF(ISBLANK(REPORTS!K1261),"",REPORTS!K1261)</f>
        <v>18247.600877481967</v>
      </c>
      <c r="F1602" s="1364">
        <f>+IF(ISBLANK(REPORTS!L1261),"",REPORTS!L1261)</f>
        <v>1686.2919331523592</v>
      </c>
      <c r="G1602" s="1364">
        <f>+IF(ISBLANK(REPORTS!M1261),"",REPORTS!M1261)</f>
        <v>12562.219924607543</v>
      </c>
      <c r="H1602" s="1364">
        <f>+IF(ISBLANK(REPORTS!N1261),"",REPORTS!N1261)</f>
        <v>1999.7034270529875</v>
      </c>
      <c r="I1602" s="1364">
        <f>+IF(ISBLANK(REPORTS!O1261),"",REPORTS!O1261)</f>
        <v>1473.2052399698787</v>
      </c>
      <c r="J1602" s="1364">
        <f>+IF(ISBLANK(REPORTS!P1261),"",REPORTS!P1261)</f>
        <v>191.03554977111745</v>
      </c>
      <c r="K1602" s="1364">
        <f>+IF(ISBLANK(REPORTS!Q1261),"",REPORTS!Q1261)</f>
        <v>0</v>
      </c>
      <c r="L1602" s="1358"/>
      <c r="M1602" s="1324">
        <v>201</v>
      </c>
    </row>
    <row r="1603" spans="1:13">
      <c r="A1603" s="1393">
        <v>37</v>
      </c>
      <c r="B1603" s="1324" t="s">
        <v>5268</v>
      </c>
      <c r="C1603" s="1324" t="s">
        <v>4067</v>
      </c>
      <c r="D1603" s="1364">
        <f>+IF(ISBLANK(REPORTS!J1262),"",REPORTS!J1262)</f>
        <v>28346.57735495174</v>
      </c>
      <c r="E1603" s="1364">
        <f>+IF(ISBLANK(REPORTS!K1262),"",REPORTS!K1262)</f>
        <v>16441.384508747655</v>
      </c>
      <c r="F1603" s="1364">
        <f>+IF(ISBLANK(REPORTS!L1262),"",REPORTS!L1262)</f>
        <v>1356.248385040946</v>
      </c>
      <c r="G1603" s="1364">
        <f>+IF(ISBLANK(REPORTS!M1262),"",REPORTS!M1262)</f>
        <v>8669.8145631486368</v>
      </c>
      <c r="H1603" s="1364">
        <f>+IF(ISBLANK(REPORTS!N1262),"",REPORTS!N1262)</f>
        <v>1082.3113942894227</v>
      </c>
      <c r="I1603" s="1364">
        <f>+IF(ISBLANK(REPORTS!O1262),"",REPORTS!O1262)</f>
        <v>776.72098990725317</v>
      </c>
      <c r="J1603" s="1364">
        <f>+IF(ISBLANK(REPORTS!P1262),"",REPORTS!P1262)</f>
        <v>20.097513817826933</v>
      </c>
      <c r="K1603" s="1364">
        <f>+IF(ISBLANK(REPORTS!Q1262),"",REPORTS!Q1262)</f>
        <v>0</v>
      </c>
      <c r="L1603" s="1358"/>
      <c r="M1603" s="1320">
        <v>117</v>
      </c>
    </row>
    <row r="1604" spans="1:13">
      <c r="A1604" s="1393">
        <v>38</v>
      </c>
      <c r="B1604" s="1324" t="s">
        <v>5239</v>
      </c>
      <c r="C1604" s="1324" t="s">
        <v>4067</v>
      </c>
      <c r="D1604" s="1364">
        <f>+IF(ISBLANK(REPORTS!J1263),"",REPORTS!J1263)</f>
        <v>29556.118852388514</v>
      </c>
      <c r="E1604" s="1364">
        <f>+IF(ISBLANK(REPORTS!K1263),"",REPORTS!K1263)</f>
        <v>17142.93434983175</v>
      </c>
      <c r="F1604" s="1364">
        <f>+IF(ISBLANK(REPORTS!L1263),"",REPORTS!L1263)</f>
        <v>1414.1191707092578</v>
      </c>
      <c r="G1604" s="1364">
        <f>+IF(ISBLANK(REPORTS!M1263),"",REPORTS!M1263)</f>
        <v>9039.7534223590283</v>
      </c>
      <c r="H1604" s="1364">
        <f>+IF(ISBLANK(REPORTS!N1263),"",REPORTS!N1263)</f>
        <v>1128.4933558063051</v>
      </c>
      <c r="I1604" s="1364">
        <f>+IF(ISBLANK(REPORTS!O1263),"",REPORTS!O1263)</f>
        <v>809.86348388312217</v>
      </c>
      <c r="J1604" s="1364">
        <f>+IF(ISBLANK(REPORTS!P1263),"",REPORTS!P1263)</f>
        <v>20.955069799051039</v>
      </c>
      <c r="K1604" s="1364">
        <f>+IF(ISBLANK(REPORTS!Q1263),"",REPORTS!Q1263)</f>
        <v>0</v>
      </c>
      <c r="L1604" s="1358"/>
      <c r="M1604" s="1320">
        <v>117</v>
      </c>
    </row>
    <row r="1605" spans="1:13">
      <c r="A1605" s="1393">
        <v>39</v>
      </c>
      <c r="B1605" s="1324" t="s">
        <v>5240</v>
      </c>
      <c r="C1605" s="1324" t="s">
        <v>4067</v>
      </c>
      <c r="D1605" s="1364">
        <f>+IF(ISBLANK(REPORTS!J1264),"",REPORTS!J1264)</f>
        <v>114733.24128028135</v>
      </c>
      <c r="E1605" s="1364">
        <f>+IF(ISBLANK(REPORTS!K1264),"",REPORTS!K1264)</f>
        <v>71411.80649033899</v>
      </c>
      <c r="F1605" s="1364">
        <f>+IF(ISBLANK(REPORTS!L1264),"",REPORTS!L1264)</f>
        <v>5078.9867826443024</v>
      </c>
      <c r="G1605" s="1364">
        <f>+IF(ISBLANK(REPORTS!M1264),"",REPORTS!M1264)</f>
        <v>34006.987696590033</v>
      </c>
      <c r="H1605" s="1364">
        <f>+IF(ISBLANK(REPORTS!N1264),"",REPORTS!N1264)</f>
        <v>3576.8513581264483</v>
      </c>
      <c r="I1605" s="1364">
        <f>+IF(ISBLANK(REPORTS!O1264),"",REPORTS!O1264)</f>
        <v>2.442204426163747E-3</v>
      </c>
      <c r="J1605" s="1364">
        <f>+IF(ISBLANK(REPORTS!P1264),"",REPORTS!P1264)</f>
        <v>658.60651037717435</v>
      </c>
      <c r="K1605" s="1364">
        <f>+IF(ISBLANK(REPORTS!Q1264),"",REPORTS!Q1264)</f>
        <v>0</v>
      </c>
      <c r="L1605" s="1358"/>
      <c r="M1605" s="1320">
        <v>105</v>
      </c>
    </row>
    <row r="1606" spans="1:13">
      <c r="A1606" s="1393">
        <v>40</v>
      </c>
      <c r="B1606" s="1324" t="s">
        <v>5241</v>
      </c>
      <c r="C1606" s="1324" t="s">
        <v>4067</v>
      </c>
      <c r="D1606" s="1364">
        <f>+IF(ISBLANK(REPORTS!J1265),"",REPORTS!J1265)</f>
        <v>57108.011663366793</v>
      </c>
      <c r="E1606" s="1364">
        <f>+IF(ISBLANK(REPORTS!K1265),"",REPORTS!K1265)</f>
        <v>41667.904795912233</v>
      </c>
      <c r="F1606" s="1364">
        <f>+IF(ISBLANK(REPORTS!L1265),"",REPORTS!L1265)</f>
        <v>3355.0932870598449</v>
      </c>
      <c r="G1606" s="1364">
        <f>+IF(ISBLANK(REPORTS!M1265),"",REPORTS!M1265)</f>
        <v>11878.42944820718</v>
      </c>
      <c r="H1606" s="1364">
        <f>+IF(ISBLANK(REPORTS!N1265),"",REPORTS!N1265)</f>
        <v>0</v>
      </c>
      <c r="I1606" s="1364">
        <f>+IF(ISBLANK(REPORTS!O1265),"",REPORTS!O1265)</f>
        <v>0</v>
      </c>
      <c r="J1606" s="1364">
        <f>+IF(ISBLANK(REPORTS!P1265),"",REPORTS!P1265)</f>
        <v>206.58413218753017</v>
      </c>
      <c r="K1606" s="1364">
        <f>+IF(ISBLANK(REPORTS!Q1265),"",REPORTS!Q1265)</f>
        <v>0</v>
      </c>
      <c r="L1606" s="1358"/>
      <c r="M1606" s="1320">
        <v>106</v>
      </c>
    </row>
    <row r="1607" spans="1:13">
      <c r="A1607" s="1393">
        <v>41</v>
      </c>
      <c r="B1607" s="1324" t="s">
        <v>5242</v>
      </c>
      <c r="C1607" s="1324" t="s">
        <v>4071</v>
      </c>
      <c r="D1607" s="1364">
        <f>+IF(ISBLANK(REPORTS!J1266),"",REPORTS!J1266)</f>
        <v>53719.750758422109</v>
      </c>
      <c r="E1607" s="1364">
        <f>+IF(ISBLANK(REPORTS!K1266),"",REPORTS!K1266)</f>
        <v>19804.147184295984</v>
      </c>
      <c r="F1607" s="1364">
        <f>+IF(ISBLANK(REPORTS!L1266),"",REPORTS!L1266)</f>
        <v>3004.0287315192991</v>
      </c>
      <c r="G1607" s="1364">
        <f>+IF(ISBLANK(REPORTS!M1266),"",REPORTS!M1266)</f>
        <v>1448.2399776115674</v>
      </c>
      <c r="H1607" s="1364">
        <f>+IF(ISBLANK(REPORTS!N1266),"",REPORTS!N1266)</f>
        <v>93.360994904094937</v>
      </c>
      <c r="I1607" s="1364">
        <f>+IF(ISBLANK(REPORTS!O1266),"",REPORTS!O1266)</f>
        <v>101.8607645597681</v>
      </c>
      <c r="J1607" s="1364">
        <f>+IF(ISBLANK(REPORTS!P1266),"",REPORTS!P1266)</f>
        <v>23.378261026411643</v>
      </c>
      <c r="K1607" s="1364">
        <f>+IF(ISBLANK(REPORTS!Q1266),"",REPORTS!Q1266)</f>
        <v>29244.73484450499</v>
      </c>
      <c r="L1607" s="1358"/>
      <c r="M1607" s="1320">
        <v>907</v>
      </c>
    </row>
    <row r="1608" spans="1:13">
      <c r="A1608" s="1393">
        <v>42</v>
      </c>
      <c r="B1608" s="1324" t="s">
        <v>5244</v>
      </c>
      <c r="C1608" s="1324" t="s">
        <v>4071</v>
      </c>
      <c r="D1608" s="1364">
        <f>+IF(ISBLANK(REPORTS!J1267),"",REPORTS!J1267)</f>
        <v>13025.402861432542</v>
      </c>
      <c r="E1608" s="1364">
        <f>+IF(ISBLANK(REPORTS!K1267),"",REPORTS!K1267)</f>
        <v>11617.185066334619</v>
      </c>
      <c r="F1608" s="1364">
        <f>+IF(ISBLANK(REPORTS!L1267),"",REPORTS!L1267)</f>
        <v>1126.1815120337958</v>
      </c>
      <c r="G1608" s="1364">
        <f>+IF(ISBLANK(REPORTS!M1267),"",REPORTS!M1267)</f>
        <v>277.36890884246617</v>
      </c>
      <c r="H1608" s="1364">
        <f>+IF(ISBLANK(REPORTS!N1267),"",REPORTS!N1267)</f>
        <v>0.93649579852055231</v>
      </c>
      <c r="I1608" s="1364">
        <f>+IF(ISBLANK(REPORTS!O1267),"",REPORTS!O1267)</f>
        <v>0.16615248038267866</v>
      </c>
      <c r="J1608" s="1364">
        <f>+IF(ISBLANK(REPORTS!P1267),"",REPORTS!P1267)</f>
        <v>3.5647259427556506</v>
      </c>
      <c r="K1608" s="1364">
        <f>+IF(ISBLANK(REPORTS!Q1267),"",REPORTS!Q1267)</f>
        <v>0</v>
      </c>
      <c r="L1608" s="1358"/>
      <c r="M1608" s="1320">
        <v>412</v>
      </c>
    </row>
    <row r="1609" spans="1:13">
      <c r="A1609" s="1393">
        <v>43</v>
      </c>
      <c r="B1609" s="1324" t="s">
        <v>5712</v>
      </c>
      <c r="D1609" s="1421">
        <f>+IF(ISBLANK(REPORTS!J1268),"",REPORTS!J1268)</f>
        <v>716567.13282563863</v>
      </c>
      <c r="E1609" s="1421">
        <f>+IF(ISBLANK(REPORTS!K1268),"",REPORTS!K1268)</f>
        <v>416784.29422659264</v>
      </c>
      <c r="F1609" s="1421">
        <f>+IF(ISBLANK(REPORTS!L1268),"",REPORTS!L1268)</f>
        <v>35353.824829119512</v>
      </c>
      <c r="G1609" s="1421">
        <f>+IF(ISBLANK(REPORTS!M1268),"",REPORTS!M1268)</f>
        <v>196531.53695913916</v>
      </c>
      <c r="H1609" s="1421">
        <f>+IF(ISBLANK(REPORTS!N1268),"",REPORTS!N1268)</f>
        <v>23045.766832774763</v>
      </c>
      <c r="I1609" s="1421">
        <f>+IF(ISBLANK(REPORTS!O1268),"",REPORTS!O1268)</f>
        <v>14075.476476900867</v>
      </c>
      <c r="J1609" s="1421">
        <f>+IF(ISBLANK(REPORTS!P1268),"",REPORTS!P1268)</f>
        <v>1531.4986566067273</v>
      </c>
      <c r="K1609" s="1421">
        <f>+IF(ISBLANK(REPORTS!Q1268),"",REPORTS!Q1268)</f>
        <v>29244.73484450499</v>
      </c>
      <c r="L1609" s="1358"/>
    </row>
    <row r="1610" spans="1:13">
      <c r="D1610" s="1364"/>
      <c r="E1610" s="1364"/>
      <c r="F1610" s="1364"/>
      <c r="G1610" s="1364"/>
      <c r="H1610" s="1364"/>
      <c r="I1610" s="1364"/>
      <c r="J1610" s="1364"/>
      <c r="K1610" s="1364"/>
      <c r="L1610" s="1358"/>
    </row>
    <row r="1611" spans="1:13">
      <c r="D1611" s="1364"/>
      <c r="E1611" s="1364"/>
      <c r="F1611" s="1364"/>
      <c r="G1611" s="1364"/>
      <c r="H1611" s="1364"/>
      <c r="I1611" s="1364"/>
      <c r="J1611" s="1364"/>
      <c r="K1611" s="1364"/>
      <c r="L1611" s="1358"/>
    </row>
    <row r="1612" spans="1:13">
      <c r="D1612" s="1364"/>
      <c r="E1612" s="1364"/>
      <c r="F1612" s="1364"/>
      <c r="G1612" s="1364"/>
      <c r="H1612" s="1364"/>
      <c r="I1612" s="1364"/>
      <c r="J1612" s="1364"/>
      <c r="K1612" s="1364"/>
      <c r="L1612" s="1358"/>
    </row>
    <row r="1613" spans="1:13">
      <c r="D1613" s="1364"/>
      <c r="E1613" s="1364"/>
      <c r="F1613" s="1364"/>
      <c r="G1613" s="1364"/>
      <c r="H1613" s="1364"/>
      <c r="I1613" s="1364"/>
      <c r="J1613" s="1364"/>
      <c r="K1613" s="1364"/>
      <c r="L1613" s="1358"/>
    </row>
    <row r="1614" spans="1:13">
      <c r="D1614" s="1364"/>
      <c r="E1614" s="1364"/>
      <c r="F1614" s="1364"/>
      <c r="G1614" s="1364"/>
      <c r="H1614" s="1364"/>
      <c r="I1614" s="1364"/>
      <c r="J1614" s="1364"/>
      <c r="K1614" s="1364"/>
      <c r="L1614" s="1358"/>
    </row>
    <row r="1615" spans="1:13">
      <c r="D1615" s="1364"/>
      <c r="E1615" s="1364"/>
      <c r="F1615" s="1364"/>
      <c r="G1615" s="1364"/>
      <c r="H1615" s="1364"/>
      <c r="I1615" s="1364"/>
      <c r="J1615" s="1364"/>
      <c r="K1615" s="1364"/>
      <c r="L1615" s="1358"/>
    </row>
    <row r="1616" spans="1:13">
      <c r="D1616" s="1364"/>
      <c r="E1616" s="1364"/>
      <c r="F1616" s="1364"/>
      <c r="G1616" s="1364"/>
      <c r="H1616" s="1364"/>
      <c r="I1616" s="1364"/>
      <c r="J1616" s="1364"/>
      <c r="K1616" s="1364"/>
      <c r="L1616" s="1358"/>
    </row>
    <row r="1617" spans="1:13">
      <c r="D1617" s="1364"/>
      <c r="E1617" s="1364"/>
      <c r="F1617" s="1364"/>
      <c r="G1617" s="1364"/>
      <c r="H1617" s="1364"/>
      <c r="I1617" s="1364"/>
      <c r="J1617" s="1364"/>
      <c r="K1617" s="1364"/>
      <c r="L1617" s="1358"/>
    </row>
    <row r="1618" spans="1:13">
      <c r="A1618" s="1732" t="str">
        <f>+$A$1</f>
        <v>RATES WITH REVENUE DEFICIENCY ADDITION</v>
      </c>
      <c r="F1618" s="1329" t="s">
        <v>2173</v>
      </c>
      <c r="G1618" s="1329"/>
      <c r="H1618" s="1329"/>
      <c r="I1618" s="1329"/>
      <c r="M1618" s="1334" t="s">
        <v>5805</v>
      </c>
    </row>
    <row r="1619" spans="1:13">
      <c r="A1619" s="1732" t="str">
        <f>+$A$2</f>
        <v>PROD. CAP. ALLOC. METHOD: 12 CP &amp; 1/13th AD</v>
      </c>
      <c r="F1619" s="1336" t="s">
        <v>5141</v>
      </c>
      <c r="G1619" s="1336"/>
      <c r="H1619" s="1336"/>
      <c r="I1619" s="1336"/>
      <c r="L1619" s="1331"/>
      <c r="M1619" s="1409"/>
    </row>
    <row r="1620" spans="1:13">
      <c r="A1620" s="1732" t="str">
        <f>+$A$3</f>
        <v>PROJECTED CALENDAR YEAR 2025; FULLY ADJUSTED DATA</v>
      </c>
      <c r="F1620" s="1336" t="s">
        <v>2181</v>
      </c>
      <c r="J1620" s="1364"/>
      <c r="K1620" s="1364"/>
      <c r="L1620" s="1358"/>
    </row>
    <row r="1621" spans="1:13">
      <c r="A1621" s="1732" t="str">
        <f>+$A$4</f>
        <v>MINIMUM DISTRIBUTION SYSTEM (MDS) NOT EMPLOYED</v>
      </c>
      <c r="D1621" s="1364"/>
      <c r="E1621" s="1364"/>
      <c r="F1621" s="1336"/>
      <c r="G1621" s="1336"/>
      <c r="H1621" s="1336"/>
      <c r="I1621" s="1336"/>
      <c r="J1621" s="1364"/>
      <c r="K1621" s="1364"/>
      <c r="L1621" s="1358"/>
    </row>
    <row r="1622" spans="1:13">
      <c r="A1622" s="1732" t="str">
        <f>+$A$5</f>
        <v>Tampa Electric 2025 OB Budget</v>
      </c>
      <c r="D1622" s="1364"/>
      <c r="E1622" s="1364"/>
      <c r="F1622" s="1336" t="s">
        <v>5703</v>
      </c>
      <c r="G1622" s="1336"/>
      <c r="H1622" s="1336"/>
      <c r="I1622" s="1336"/>
      <c r="J1622" s="1364"/>
      <c r="K1622" s="1364"/>
      <c r="L1622" s="1358"/>
    </row>
    <row r="1623" spans="1:13">
      <c r="D1623" s="1364"/>
      <c r="E1623" s="1364"/>
      <c r="F1623" s="1336"/>
      <c r="G1623" s="1336"/>
      <c r="H1623" s="1336"/>
      <c r="I1623" s="1336"/>
      <c r="J1623" s="1364"/>
      <c r="K1623" s="1364"/>
      <c r="L1623" s="1358"/>
    </row>
    <row r="1624" spans="1:13">
      <c r="D1624" s="1364"/>
      <c r="E1624" s="1364"/>
      <c r="F1624" s="1336"/>
      <c r="G1624" s="1336"/>
      <c r="H1624" s="1336"/>
      <c r="I1624" s="1336"/>
      <c r="J1624" s="1364"/>
      <c r="K1624" s="1364"/>
      <c r="L1624" s="1358"/>
    </row>
    <row r="1625" spans="1:13">
      <c r="D1625" s="1364"/>
      <c r="E1625" s="1364"/>
      <c r="F1625" s="1364"/>
      <c r="G1625" s="1364"/>
      <c r="H1625" s="1364"/>
      <c r="I1625" s="1364"/>
      <c r="J1625" s="1364"/>
      <c r="K1625" s="1364"/>
      <c r="L1625" s="1358"/>
    </row>
    <row r="1626" spans="1:13">
      <c r="D1626" s="1364"/>
      <c r="E1626" s="1364"/>
      <c r="F1626" s="1364"/>
      <c r="G1626" s="1364"/>
      <c r="H1626" s="1364"/>
      <c r="I1626" s="1364"/>
      <c r="J1626" s="1364"/>
      <c r="K1626" s="1364"/>
      <c r="L1626" s="1358"/>
    </row>
    <row r="1627" spans="1:13" ht="28.2">
      <c r="A1627" s="1737" t="s">
        <v>4297</v>
      </c>
      <c r="B1627" s="1741"/>
      <c r="C1627" s="1741"/>
      <c r="D1627" s="1352" t="s">
        <v>4957</v>
      </c>
      <c r="E1627" s="1353" t="s">
        <v>1949</v>
      </c>
      <c r="F1627" s="1353" t="s">
        <v>1950</v>
      </c>
      <c r="G1627" s="1353" t="s">
        <v>1934</v>
      </c>
      <c r="H1627" s="1353" t="s">
        <v>1971</v>
      </c>
      <c r="I1627" s="1353" t="s">
        <v>1972</v>
      </c>
      <c r="J1627" s="1352" t="s">
        <v>5146</v>
      </c>
      <c r="K1627" s="1352" t="s">
        <v>5147</v>
      </c>
      <c r="L1627" s="1355"/>
      <c r="M1627" s="1348" t="s">
        <v>5299</v>
      </c>
    </row>
    <row r="1628" spans="1:13">
      <c r="A1628" s="1543"/>
      <c r="B1628" s="1447"/>
      <c r="C1628" s="1447"/>
      <c r="D1628" s="1399"/>
      <c r="E1628" s="1360"/>
      <c r="F1628" s="1360"/>
      <c r="G1628" s="1360"/>
      <c r="H1628" s="1360"/>
      <c r="I1628" s="1360"/>
      <c r="J1628" s="1399"/>
      <c r="K1628" s="1399"/>
      <c r="L1628" s="1346"/>
      <c r="M1628" s="1396"/>
    </row>
    <row r="1629" spans="1:13">
      <c r="A1629" s="1543"/>
      <c r="B1629" s="1447"/>
      <c r="C1629" s="1447"/>
      <c r="D1629" s="1399" t="str">
        <f>+IF(ISBLANK(REPORTS!J1299),"",REPORTS!J1299)</f>
        <v/>
      </c>
      <c r="E1629" s="1360" t="str">
        <f>+IF(ISBLANK(REPORTS!K1299),"",REPORTS!K1299)</f>
        <v/>
      </c>
      <c r="F1629" s="1360" t="str">
        <f>+IF(ISBLANK(REPORTS!L1299),"",REPORTS!L1299)</f>
        <v/>
      </c>
      <c r="G1629" s="1360" t="str">
        <f>+IF(ISBLANK(REPORTS!M1299),"",REPORTS!M1299)</f>
        <v/>
      </c>
      <c r="H1629" s="1360" t="str">
        <f>+IF(ISBLANK(REPORTS!N1299),"",REPORTS!N1299)</f>
        <v/>
      </c>
      <c r="I1629" s="1360" t="str">
        <f>+IF(ISBLANK(REPORTS!O1299),"",REPORTS!O1299)</f>
        <v/>
      </c>
      <c r="J1629" s="1399" t="str">
        <f>+IF(ISBLANK(REPORTS!P1299),"",REPORTS!P1299)</f>
        <v/>
      </c>
      <c r="K1629" s="1399" t="str">
        <f>+IF(ISBLANK(REPORTS!Q1299),"",REPORTS!Q1299)</f>
        <v/>
      </c>
      <c r="L1629" s="1346"/>
      <c r="M1629" s="1396"/>
    </row>
    <row r="1630" spans="1:13">
      <c r="A1630" s="1393">
        <v>44</v>
      </c>
      <c r="B1630" s="1362" t="s">
        <v>5718</v>
      </c>
      <c r="D1630" s="1324" t="str">
        <f>+IF(ISBLANK(REPORTS!J1300),"",REPORTS!J1300)</f>
        <v/>
      </c>
      <c r="E1630" s="1324" t="str">
        <f>+IF(ISBLANK(REPORTS!K1300),"",REPORTS!K1300)</f>
        <v/>
      </c>
      <c r="F1630" s="1324" t="str">
        <f>+IF(ISBLANK(REPORTS!L1300),"",REPORTS!L1300)</f>
        <v/>
      </c>
      <c r="G1630" s="1324" t="str">
        <f>+IF(ISBLANK(REPORTS!M1300),"",REPORTS!M1300)</f>
        <v/>
      </c>
      <c r="H1630" s="1324" t="str">
        <f>+IF(ISBLANK(REPORTS!N1300),"",REPORTS!N1300)</f>
        <v/>
      </c>
      <c r="I1630" s="1324" t="str">
        <f>+IF(ISBLANK(REPORTS!O1300),"",REPORTS!O1300)</f>
        <v/>
      </c>
      <c r="J1630" s="1324" t="str">
        <f>+IF(ISBLANK(REPORTS!P1300),"",REPORTS!P1300)</f>
        <v/>
      </c>
      <c r="K1630" s="1324" t="str">
        <f>+IF(ISBLANK(REPORTS!Q1300),"",REPORTS!Q1300)</f>
        <v/>
      </c>
    </row>
    <row r="1631" spans="1:13">
      <c r="A1631" s="1393">
        <v>45</v>
      </c>
      <c r="B1631" s="1324" t="s">
        <v>5265</v>
      </c>
      <c r="C1631" s="1324" t="s">
        <v>2067</v>
      </c>
      <c r="D1631" s="1364">
        <f>+IF(ISBLANK(REPORTS!J1301),"",REPORTS!J1301)</f>
        <v>36634.816307692308</v>
      </c>
      <c r="E1631" s="1364">
        <f>+IF(ISBLANK(REPORTS!K1301),"",REPORTS!K1301)</f>
        <v>18487.180678099005</v>
      </c>
      <c r="F1631" s="1364">
        <f>+IF(ISBLANK(REPORTS!L1301),"",REPORTS!L1301)</f>
        <v>1708.4319113247946</v>
      </c>
      <c r="G1631" s="1364">
        <f>+IF(ISBLANK(REPORTS!M1301),"",REPORTS!M1301)</f>
        <v>12727.15416254119</v>
      </c>
      <c r="H1631" s="1364">
        <f>+IF(ISBLANK(REPORTS!N1301),"",REPORTS!N1301)</f>
        <v>2025.9583057936645</v>
      </c>
      <c r="I1631" s="1364">
        <f>+IF(ISBLANK(REPORTS!O1301),"",REPORTS!O1301)</f>
        <v>1492.547520636238</v>
      </c>
      <c r="J1631" s="1364">
        <f>+IF(ISBLANK(REPORTS!P1301),"",REPORTS!P1301)</f>
        <v>193.54372929741396</v>
      </c>
      <c r="K1631" s="1364">
        <f>+IF(ISBLANK(REPORTS!Q1301),"",REPORTS!Q1301)</f>
        <v>0</v>
      </c>
      <c r="L1631" s="1358"/>
      <c r="M1631" s="1320">
        <v>201</v>
      </c>
    </row>
    <row r="1632" spans="1:13">
      <c r="A1632" s="1393">
        <v>46</v>
      </c>
      <c r="B1632" s="1324" t="s">
        <v>5719</v>
      </c>
      <c r="D1632" s="1421">
        <f>+IF(ISBLANK(REPORTS!J1302),"",REPORTS!J1302)</f>
        <v>36634.816307692308</v>
      </c>
      <c r="E1632" s="1421">
        <f>+IF(ISBLANK(REPORTS!K1302),"",REPORTS!K1302)</f>
        <v>18487.180678099005</v>
      </c>
      <c r="F1632" s="1421">
        <f>+IF(ISBLANK(REPORTS!L1302),"",REPORTS!L1302)</f>
        <v>1708.4319113247946</v>
      </c>
      <c r="G1632" s="1421">
        <f>+IF(ISBLANK(REPORTS!M1302),"",REPORTS!M1302)</f>
        <v>12727.15416254119</v>
      </c>
      <c r="H1632" s="1421">
        <f>+IF(ISBLANK(REPORTS!N1302),"",REPORTS!N1302)</f>
        <v>2025.9583057936645</v>
      </c>
      <c r="I1632" s="1421">
        <f>+IF(ISBLANK(REPORTS!O1302),"",REPORTS!O1302)</f>
        <v>1492.547520636238</v>
      </c>
      <c r="J1632" s="1421">
        <f>+IF(ISBLANK(REPORTS!P1302),"",REPORTS!P1302)</f>
        <v>193.54372929741396</v>
      </c>
      <c r="K1632" s="1421">
        <f>+IF(ISBLANK(REPORTS!Q1302),"",REPORTS!Q1302)</f>
        <v>0</v>
      </c>
      <c r="L1632" s="1358"/>
    </row>
    <row r="1633" spans="1:12">
      <c r="A1633" s="1393">
        <v>47</v>
      </c>
      <c r="D1633" s="1324" t="str">
        <f>+IF(ISBLANK(REPORTS!J1303),"",REPORTS!J1303)</f>
        <v/>
      </c>
      <c r="E1633" s="1324" t="str">
        <f>+IF(ISBLANK(REPORTS!K1303),"",REPORTS!K1303)</f>
        <v/>
      </c>
      <c r="F1633" s="1324" t="str">
        <f>+IF(ISBLANK(REPORTS!L1303),"",REPORTS!L1303)</f>
        <v/>
      </c>
      <c r="G1633" s="1324" t="str">
        <f>+IF(ISBLANK(REPORTS!M1303),"",REPORTS!M1303)</f>
        <v/>
      </c>
      <c r="H1633" s="1324" t="str">
        <f>+IF(ISBLANK(REPORTS!N1303),"",REPORTS!N1303)</f>
        <v/>
      </c>
      <c r="I1633" s="1324" t="str">
        <f>+IF(ISBLANK(REPORTS!O1303),"",REPORTS!O1303)</f>
        <v/>
      </c>
      <c r="J1633" s="1324" t="str">
        <f>+IF(ISBLANK(REPORTS!P1303),"",REPORTS!P1303)</f>
        <v/>
      </c>
      <c r="K1633" s="1324" t="str">
        <f>+IF(ISBLANK(REPORTS!Q1303),"",REPORTS!Q1303)</f>
        <v/>
      </c>
    </row>
    <row r="1634" spans="1:12">
      <c r="A1634" s="1393">
        <v>48</v>
      </c>
      <c r="B1634" s="1362" t="s">
        <v>5721</v>
      </c>
      <c r="D1634" s="1324" t="str">
        <f>+IF(ISBLANK(REPORTS!J1304),"",REPORTS!J1304)</f>
        <v/>
      </c>
      <c r="E1634" s="1324" t="str">
        <f>+IF(ISBLANK(REPORTS!K1304),"",REPORTS!K1304)</f>
        <v/>
      </c>
      <c r="F1634" s="1324" t="str">
        <f>+IF(ISBLANK(REPORTS!L1304),"",REPORTS!L1304)</f>
        <v/>
      </c>
      <c r="G1634" s="1324" t="str">
        <f>+IF(ISBLANK(REPORTS!M1304),"",REPORTS!M1304)</f>
        <v/>
      </c>
      <c r="H1634" s="1324" t="str">
        <f>+IF(ISBLANK(REPORTS!N1304),"",REPORTS!N1304)</f>
        <v/>
      </c>
      <c r="I1634" s="1324" t="str">
        <f>+IF(ISBLANK(REPORTS!O1304),"",REPORTS!O1304)</f>
        <v/>
      </c>
      <c r="J1634" s="1324" t="str">
        <f>+IF(ISBLANK(REPORTS!P1304),"",REPORTS!P1304)</f>
        <v/>
      </c>
      <c r="K1634" s="1324" t="str">
        <f>+IF(ISBLANK(REPORTS!Q1304),"",REPORTS!Q1304)</f>
        <v/>
      </c>
    </row>
    <row r="1635" spans="1:12">
      <c r="A1635" s="1393">
        <v>49</v>
      </c>
      <c r="B1635" s="1324" t="s">
        <v>5265</v>
      </c>
      <c r="C1635" s="1324" t="s">
        <v>4067</v>
      </c>
      <c r="D1635" s="1324">
        <f>+IF(ISBLANK(REPORTS!J1305),"",REPORTS!J1305)</f>
        <v>31162.773017915024</v>
      </c>
      <c r="E1635" s="1324">
        <f>+IF(ISBLANK(REPORTS!K1305),"",REPORTS!K1305)</f>
        <v>17894.121320980863</v>
      </c>
      <c r="F1635" s="1324">
        <f>+IF(ISBLANK(REPORTS!L1305),"",REPORTS!L1305)</f>
        <v>1488.0866832406246</v>
      </c>
      <c r="G1635" s="1324">
        <f>+IF(ISBLANK(REPORTS!M1305),"",REPORTS!M1305)</f>
        <v>9630.7635570858401</v>
      </c>
      <c r="H1635" s="1324">
        <f>+IF(ISBLANK(REPORTS!N1305),"",REPORTS!N1305)</f>
        <v>1230.8767628377464</v>
      </c>
      <c r="I1635" s="1324">
        <f>+IF(ISBLANK(REPORTS!O1305),"",REPORTS!O1305)</f>
        <v>885.86586797244854</v>
      </c>
      <c r="J1635" s="1324">
        <f>+IF(ISBLANK(REPORTS!P1305),"",REPORTS!P1305)</f>
        <v>33.058825797524435</v>
      </c>
      <c r="K1635" s="1324">
        <f>+IF(ISBLANK(REPORTS!Q1305),"",REPORTS!Q1305)</f>
        <v>0</v>
      </c>
    </row>
    <row r="1636" spans="1:12">
      <c r="A1636" s="1393">
        <v>50</v>
      </c>
      <c r="B1636" s="1324" t="s">
        <v>5265</v>
      </c>
      <c r="C1636" s="1324" t="s">
        <v>2067</v>
      </c>
      <c r="D1636" s="1324">
        <f>+IF(ISBLANK(REPORTS!J1306),"",REPORTS!J1306)</f>
        <v>38681.936109600938</v>
      </c>
      <c r="E1636" s="1324">
        <f>+IF(ISBLANK(REPORTS!K1306),"",REPORTS!K1306)</f>
        <v>19520.227311381903</v>
      </c>
      <c r="F1636" s="1324">
        <f>+IF(ISBLANK(REPORTS!L1306),"",REPORTS!L1306)</f>
        <v>1803.8975134042907</v>
      </c>
      <c r="G1636" s="1324">
        <f>+IF(ISBLANK(REPORTS!M1306),"",REPORTS!M1306)</f>
        <v>13438.33581797128</v>
      </c>
      <c r="H1636" s="1324">
        <f>+IF(ISBLANK(REPORTS!N1306),"",REPORTS!N1306)</f>
        <v>2139.1669904175487</v>
      </c>
      <c r="I1636" s="1324">
        <f>+IF(ISBLANK(REPORTS!O1306),"",REPORTS!O1306)</f>
        <v>1575.9497017505598</v>
      </c>
      <c r="J1636" s="1324">
        <f>+IF(ISBLANK(REPORTS!P1306),"",REPORTS!P1306)</f>
        <v>204.35877467534823</v>
      </c>
      <c r="K1636" s="1324">
        <f>+IF(ISBLANK(REPORTS!Q1306),"",REPORTS!Q1306)</f>
        <v>0</v>
      </c>
    </row>
    <row r="1637" spans="1:12">
      <c r="A1637" s="1393">
        <v>51</v>
      </c>
      <c r="B1637" s="1324" t="s">
        <v>5268</v>
      </c>
      <c r="C1637" s="1324" t="s">
        <v>4067</v>
      </c>
      <c r="D1637" s="1364">
        <f>+IF(ISBLANK(REPORTS!J1307),"",REPORTS!J1307)</f>
        <v>2312.5323331137297</v>
      </c>
      <c r="E1637" s="1364">
        <f>+IF(ISBLANK(REPORTS!K1307),"",REPORTS!K1307)</f>
        <v>1341.2989089136863</v>
      </c>
      <c r="F1637" s="1364">
        <f>+IF(ISBLANK(REPORTS!L1307),"",REPORTS!L1307)</f>
        <v>110.64363090003144</v>
      </c>
      <c r="G1637" s="1364">
        <f>+IF(ISBLANK(REPORTS!M1307),"",REPORTS!M1307)</f>
        <v>707.28914635188448</v>
      </c>
      <c r="H1637" s="1364">
        <f>+IF(ISBLANK(REPORTS!N1307),"",REPORTS!N1307)</f>
        <v>88.295671906029156</v>
      </c>
      <c r="I1637" s="1364">
        <f>+IF(ISBLANK(REPORTS!O1307),"",REPORTS!O1307)</f>
        <v>63.365406711256924</v>
      </c>
      <c r="J1637" s="1364">
        <f>+IF(ISBLANK(REPORTS!P1307),"",REPORTS!P1307)</f>
        <v>1.6395683308413957</v>
      </c>
      <c r="K1637" s="1364">
        <f>+IF(ISBLANK(REPORTS!Q1307),"",REPORTS!Q1307)</f>
        <v>0</v>
      </c>
      <c r="L1637" s="1358"/>
    </row>
    <row r="1638" spans="1:12">
      <c r="A1638" s="1393">
        <v>52</v>
      </c>
      <c r="B1638" s="1324" t="s">
        <v>5239</v>
      </c>
      <c r="C1638" s="1324" t="s">
        <v>4067</v>
      </c>
      <c r="D1638" s="1364">
        <f>+IF(ISBLANK(REPORTS!J1308),"",REPORTS!J1308)</f>
        <v>2007.8138740952782</v>
      </c>
      <c r="E1638" s="1364">
        <f>+IF(ISBLANK(REPORTS!K1308),"",REPORTS!K1308)</f>
        <v>1164.5582291165774</v>
      </c>
      <c r="F1638" s="1364">
        <f>+IF(ISBLANK(REPORTS!L1308),"",REPORTS!L1308)</f>
        <v>96.064307521374531</v>
      </c>
      <c r="G1638" s="1364">
        <f>+IF(ISBLANK(REPORTS!M1308),"",REPORTS!M1308)</f>
        <v>614.09085646392123</v>
      </c>
      <c r="H1638" s="1364">
        <f>+IF(ISBLANK(REPORTS!N1308),"",REPORTS!N1308)</f>
        <v>76.661101138762433</v>
      </c>
      <c r="I1638" s="1364">
        <f>+IF(ISBLANK(REPORTS!O1308),"",REPORTS!O1308)</f>
        <v>55.015854658882745</v>
      </c>
      <c r="J1638" s="1364">
        <f>+IF(ISBLANK(REPORTS!P1308),"",REPORTS!P1308)</f>
        <v>1.4235251957572039</v>
      </c>
      <c r="K1638" s="1364">
        <f>+IF(ISBLANK(REPORTS!Q1308),"",REPORTS!Q1308)</f>
        <v>0</v>
      </c>
      <c r="L1638" s="1358"/>
    </row>
    <row r="1639" spans="1:12">
      <c r="A1639" s="1393">
        <v>53</v>
      </c>
      <c r="B1639" s="1324" t="s">
        <v>5240</v>
      </c>
      <c r="C1639" s="1324" t="s">
        <v>4067</v>
      </c>
      <c r="D1639" s="1364">
        <f>+IF(ISBLANK(REPORTS!J1309),"",REPORTS!J1309)</f>
        <v>6885.4837099742872</v>
      </c>
      <c r="E1639" s="1364">
        <f>+IF(ISBLANK(REPORTS!K1309),"",REPORTS!K1309)</f>
        <v>4285.6353119832202</v>
      </c>
      <c r="F1639" s="1364">
        <f>+IF(ISBLANK(REPORTS!L1309),"",REPORTS!L1309)</f>
        <v>304.80513201610665</v>
      </c>
      <c r="G1639" s="1364">
        <f>+IF(ISBLANK(REPORTS!M1309),"",REPORTS!M1309)</f>
        <v>2040.8606712169058</v>
      </c>
      <c r="H1639" s="1364">
        <f>+IF(ISBLANK(REPORTS!N1309),"",REPORTS!N1309)</f>
        <v>214.65750888371213</v>
      </c>
      <c r="I1639" s="1364">
        <f>+IF(ISBLANK(REPORTS!O1309),"",REPORTS!O1309)</f>
        <v>1.4656396529143982E-4</v>
      </c>
      <c r="J1639" s="1364">
        <f>+IF(ISBLANK(REPORTS!P1309),"",REPORTS!P1309)</f>
        <v>39.524939310369064</v>
      </c>
      <c r="K1639" s="1364">
        <f>+IF(ISBLANK(REPORTS!Q1309),"",REPORTS!Q1309)</f>
        <v>0</v>
      </c>
      <c r="L1639" s="1358"/>
    </row>
    <row r="1640" spans="1:12">
      <c r="A1640" s="1393">
        <v>54</v>
      </c>
      <c r="B1640" s="1324" t="s">
        <v>5241</v>
      </c>
      <c r="C1640" s="1324" t="s">
        <v>4067</v>
      </c>
      <c r="D1640" s="1364">
        <f>+IF(ISBLANK(REPORTS!J1310),"",REPORTS!J1310)</f>
        <v>4842.1379311151395</v>
      </c>
      <c r="E1640" s="1364">
        <f>+IF(ISBLANK(REPORTS!K1310),"",REPORTS!K1310)</f>
        <v>3532.9848903110324</v>
      </c>
      <c r="F1640" s="1364">
        <f>+IF(ISBLANK(REPORTS!L1310),"",REPORTS!L1310)</f>
        <v>284.47540011489264</v>
      </c>
      <c r="G1640" s="1364">
        <f>+IF(ISBLANK(REPORTS!M1310),"",REPORTS!M1310)</f>
        <v>1007.161554359187</v>
      </c>
      <c r="H1640" s="1364">
        <f>+IF(ISBLANK(REPORTS!N1310),"",REPORTS!N1310)</f>
        <v>0</v>
      </c>
      <c r="I1640" s="1364">
        <f>+IF(ISBLANK(REPORTS!O1310),"",REPORTS!O1310)</f>
        <v>0</v>
      </c>
      <c r="J1640" s="1364">
        <f>+IF(ISBLANK(REPORTS!P1310),"",REPORTS!P1310)</f>
        <v>17.516086330027349</v>
      </c>
      <c r="K1640" s="1364">
        <f>+IF(ISBLANK(REPORTS!Q1310),"",REPORTS!Q1310)</f>
        <v>0</v>
      </c>
      <c r="L1640" s="1358"/>
    </row>
    <row r="1641" spans="1:12">
      <c r="A1641" s="1393">
        <v>55</v>
      </c>
      <c r="B1641" s="1324" t="s">
        <v>5242</v>
      </c>
      <c r="C1641" s="1324" t="s">
        <v>4071</v>
      </c>
      <c r="D1641" s="1364">
        <f>+IF(ISBLANK(REPORTS!J1311),"",REPORTS!J1311)</f>
        <v>2811.1962444766759</v>
      </c>
      <c r="E1641" s="1364">
        <f>+IF(ISBLANK(REPORTS!K1311),"",REPORTS!K1311)</f>
        <v>1036.3663904532914</v>
      </c>
      <c r="F1641" s="1364">
        <f>+IF(ISBLANK(REPORTS!L1311),"",REPORTS!L1311)</f>
        <v>157.20315468930403</v>
      </c>
      <c r="G1641" s="1364">
        <f>+IF(ISBLANK(REPORTS!M1311),"",REPORTS!M1311)</f>
        <v>75.787521883175032</v>
      </c>
      <c r="H1641" s="1364">
        <f>+IF(ISBLANK(REPORTS!N1311),"",REPORTS!N1311)</f>
        <v>4.8856533127873831</v>
      </c>
      <c r="I1641" s="1364">
        <f>+IF(ISBLANK(REPORTS!O1311),"",REPORTS!O1311)</f>
        <v>5.3304528548105452</v>
      </c>
      <c r="J1641" s="1364">
        <f>+IF(ISBLANK(REPORTS!P1311),"",REPORTS!P1311)</f>
        <v>1.2234025413742273</v>
      </c>
      <c r="K1641" s="1364">
        <f>+IF(ISBLANK(REPORTS!Q1311),"",REPORTS!Q1311)</f>
        <v>1530.3996687419349</v>
      </c>
      <c r="L1641" s="1358"/>
    </row>
    <row r="1642" spans="1:12">
      <c r="A1642" s="1393">
        <v>56</v>
      </c>
      <c r="B1642" s="1324" t="s">
        <v>5244</v>
      </c>
      <c r="C1642" s="1324" t="s">
        <v>4071</v>
      </c>
      <c r="D1642" s="1366">
        <f>+IF(ISBLANK(REPORTS!J1312),"",REPORTS!J1312)</f>
        <v>-2033.3535253590526</v>
      </c>
      <c r="E1642" s="1366">
        <f>+IF(ISBLANK(REPORTS!K1312),"",REPORTS!K1312)</f>
        <v>-1813.5211985897895</v>
      </c>
      <c r="F1642" s="1366">
        <f>+IF(ISBLANK(REPORTS!L1312),"",REPORTS!L1312)</f>
        <v>-175.80455453461957</v>
      </c>
      <c r="G1642" s="1366">
        <f>+IF(ISBLANK(REPORTS!M1312),"",REPORTS!M1312)</f>
        <v>-43.299163536028544</v>
      </c>
      <c r="H1642" s="1366">
        <f>+IF(ISBLANK(REPORTS!N1312),"",REPORTS!N1312)</f>
        <v>-0.14619333111331323</v>
      </c>
      <c r="I1642" s="1366">
        <f>+IF(ISBLANK(REPORTS!O1312),"",REPORTS!O1312)</f>
        <v>-2.5937526487845919E-2</v>
      </c>
      <c r="J1642" s="1366">
        <f>+IF(ISBLANK(REPORTS!P1312),"",REPORTS!P1312)</f>
        <v>-0.5564778410119664</v>
      </c>
      <c r="K1642" s="1366">
        <f>+IF(ISBLANK(REPORTS!Q1312),"",REPORTS!Q1312)</f>
        <v>0</v>
      </c>
      <c r="L1642" s="1358"/>
    </row>
    <row r="1643" spans="1:12">
      <c r="A1643" s="1393">
        <v>57</v>
      </c>
      <c r="D1643" s="1364" t="str">
        <f>+IF(ISBLANK(REPORTS!J1313),"",REPORTS!J1313)</f>
        <v/>
      </c>
      <c r="E1643" s="1364" t="str">
        <f>+IF(ISBLANK(REPORTS!K1313),"",REPORTS!K1313)</f>
        <v/>
      </c>
      <c r="F1643" s="1364" t="str">
        <f>+IF(ISBLANK(REPORTS!L1313),"",REPORTS!L1313)</f>
        <v/>
      </c>
      <c r="G1643" s="1364" t="str">
        <f>+IF(ISBLANK(REPORTS!M1313),"",REPORTS!M1313)</f>
        <v/>
      </c>
      <c r="H1643" s="1364" t="str">
        <f>+IF(ISBLANK(REPORTS!N1313),"",REPORTS!N1313)</f>
        <v/>
      </c>
      <c r="I1643" s="1364" t="str">
        <f>+IF(ISBLANK(REPORTS!O1313),"",REPORTS!O1313)</f>
        <v/>
      </c>
      <c r="J1643" s="1364" t="str">
        <f>+IF(ISBLANK(REPORTS!P1313),"",REPORTS!P1313)</f>
        <v/>
      </c>
      <c r="K1643" s="1364" t="str">
        <f>+IF(ISBLANK(REPORTS!Q1313),"",REPORTS!Q1313)</f>
        <v/>
      </c>
      <c r="L1643" s="1358"/>
    </row>
    <row r="1644" spans="1:12" ht="15" thickBot="1">
      <c r="A1644" s="1393">
        <v>58</v>
      </c>
      <c r="B1644" s="1324" t="s">
        <v>5095</v>
      </c>
      <c r="D1644" s="1380">
        <f>+IF(ISBLANK(REPORTS!J1314),"",REPORTS!J1314)</f>
        <v>86670.519694932023</v>
      </c>
      <c r="E1644" s="1380">
        <f>+IF(ISBLANK(REPORTS!K1314),"",REPORTS!K1314)</f>
        <v>46961.671164550789</v>
      </c>
      <c r="F1644" s="1380">
        <f>+IF(ISBLANK(REPORTS!L1314),"",REPORTS!L1314)</f>
        <v>4069.3712673520058</v>
      </c>
      <c r="G1644" s="1380">
        <f>+IF(ISBLANK(REPORTS!M1314),"",REPORTS!M1314)</f>
        <v>27470.989961796167</v>
      </c>
      <c r="H1644" s="1380">
        <f>+IF(ISBLANK(REPORTS!N1314),"",REPORTS!N1314)</f>
        <v>3754.3974951654727</v>
      </c>
      <c r="I1644" s="1380">
        <f>+IF(ISBLANK(REPORTS!O1314),"",REPORTS!O1314)</f>
        <v>2585.5014929854365</v>
      </c>
      <c r="J1644" s="1380">
        <f>+IF(ISBLANK(REPORTS!P1314),"",REPORTS!P1314)</f>
        <v>298.18864434022998</v>
      </c>
      <c r="K1644" s="1380">
        <f>+IF(ISBLANK(REPORTS!Q1314),"",REPORTS!Q1314)</f>
        <v>1530.3996687419349</v>
      </c>
      <c r="L1644" s="1358"/>
    </row>
    <row r="1645" spans="1:12" ht="15" thickTop="1"/>
    <row r="1646" spans="1:12">
      <c r="A1646" s="1324"/>
    </row>
    <row r="1647" spans="1:12">
      <c r="A1647" s="1324"/>
    </row>
    <row r="1680" spans="1:13">
      <c r="A1680" s="1732" t="str">
        <f>+$A$1</f>
        <v>RATES WITH REVENUE DEFICIENCY ADDITION</v>
      </c>
      <c r="F1680" s="1329" t="s">
        <v>2173</v>
      </c>
      <c r="G1680" s="1329"/>
      <c r="H1680" s="1329"/>
      <c r="I1680" s="1329"/>
      <c r="M1680" s="1334" t="s">
        <v>5848</v>
      </c>
    </row>
    <row r="1681" spans="1:13">
      <c r="A1681" s="1732" t="str">
        <f>+$A$2</f>
        <v>PROD. CAP. ALLOC. METHOD: 12 CP &amp; 1/13th AD</v>
      </c>
      <c r="F1681" s="1336" t="s">
        <v>5141</v>
      </c>
      <c r="G1681" s="1336"/>
      <c r="H1681" s="1336"/>
      <c r="I1681" s="1336"/>
      <c r="L1681" s="1331"/>
      <c r="M1681" s="1409"/>
    </row>
    <row r="1682" spans="1:13">
      <c r="A1682" s="1732" t="str">
        <f>+$A$3</f>
        <v>PROJECTED CALENDAR YEAR 2025; FULLY ADJUSTED DATA</v>
      </c>
      <c r="F1682" s="1336" t="s">
        <v>2181</v>
      </c>
    </row>
    <row r="1683" spans="1:13">
      <c r="A1683" s="1732" t="str">
        <f>+$A$4</f>
        <v>MINIMUM DISTRIBUTION SYSTEM (MDS) NOT EMPLOYED</v>
      </c>
      <c r="B1683" s="1364"/>
      <c r="F1683" s="1336"/>
      <c r="G1683" s="1336"/>
      <c r="H1683" s="1336"/>
      <c r="I1683" s="1336"/>
    </row>
    <row r="1684" spans="1:13">
      <c r="A1684" s="1732" t="str">
        <f>+$A$5</f>
        <v>Tampa Electric 2025 OB Budget</v>
      </c>
      <c r="F1684" s="1336" t="s">
        <v>5732</v>
      </c>
      <c r="G1684" s="1336"/>
      <c r="H1684" s="1336"/>
      <c r="I1684" s="1336"/>
    </row>
    <row r="1685" spans="1:13">
      <c r="F1685" s="1336"/>
      <c r="G1685" s="1336"/>
      <c r="H1685" s="1336"/>
      <c r="I1685" s="1336"/>
    </row>
    <row r="1686" spans="1:13">
      <c r="F1686" s="1336"/>
      <c r="G1686" s="1336"/>
      <c r="H1686" s="1336"/>
      <c r="I1686" s="1336"/>
    </row>
    <row r="1688" spans="1:13">
      <c r="A1688" s="1735"/>
      <c r="B1688" s="1416"/>
      <c r="C1688" s="1416"/>
      <c r="D1688" s="1416"/>
      <c r="E1688" s="1336"/>
      <c r="F1688" s="1416"/>
      <c r="G1688" s="1416"/>
      <c r="H1688" s="1416"/>
      <c r="I1688" s="1416"/>
      <c r="J1688" s="3164"/>
      <c r="K1688" s="3164"/>
      <c r="L1688" s="1333"/>
    </row>
    <row r="1689" spans="1:13" ht="28.2">
      <c r="A1689" s="1737" t="s">
        <v>4297</v>
      </c>
      <c r="B1689" s="1741"/>
      <c r="C1689" s="1741"/>
      <c r="D1689" s="1352" t="s">
        <v>4957</v>
      </c>
      <c r="E1689" s="1353" t="s">
        <v>1949</v>
      </c>
      <c r="F1689" s="1353" t="s">
        <v>1950</v>
      </c>
      <c r="G1689" s="1353" t="s">
        <v>1934</v>
      </c>
      <c r="H1689" s="1353" t="s">
        <v>1971</v>
      </c>
      <c r="I1689" s="1353" t="s">
        <v>1972</v>
      </c>
      <c r="J1689" s="1352" t="s">
        <v>5146</v>
      </c>
      <c r="K1689" s="1352" t="s">
        <v>5147</v>
      </c>
      <c r="L1689" s="1355"/>
      <c r="M1689" s="1348" t="s">
        <v>5299</v>
      </c>
    </row>
    <row r="1691" spans="1:13">
      <c r="A1691" s="1393">
        <v>1</v>
      </c>
      <c r="B1691" s="1362" t="s">
        <v>5733</v>
      </c>
      <c r="M1691" s="1321"/>
    </row>
    <row r="1692" spans="1:13">
      <c r="A1692" s="1393">
        <v>2</v>
      </c>
      <c r="B1692" s="1324" t="s">
        <v>4813</v>
      </c>
      <c r="C1692" s="1324" t="s">
        <v>4067</v>
      </c>
      <c r="D1692" s="1364">
        <f>+IF(ISBLANK(REPORTS!J1332),"",REPORTS!J1332)</f>
        <v>106807.76069412462</v>
      </c>
      <c r="E1692" s="1324">
        <f>+IF(ISBLANK(REPORTS!K1332),"",REPORTS!K1332)</f>
        <v>61330.582704697546</v>
      </c>
      <c r="F1692" s="1324">
        <f>+IF(ISBLANK(REPORTS!L1332),"",REPORTS!L1332)</f>
        <v>5100.2908587212769</v>
      </c>
      <c r="G1692" s="1324">
        <f>+IF(ISBLANK(REPORTS!M1332),"",REPORTS!M1332)</f>
        <v>33008.625025621783</v>
      </c>
      <c r="H1692" s="1324">
        <f>+IF(ISBLANK(REPORTS!N1332),"",REPORTS!N1332)</f>
        <v>4218.7256780246789</v>
      </c>
      <c r="I1692" s="1324">
        <f>+IF(ISBLANK(REPORTS!O1332),"",REPORTS!O1332)</f>
        <v>3036.2301063227042</v>
      </c>
      <c r="J1692" s="1324">
        <f>+IF(ISBLANK(REPORTS!P1332),"",REPORTS!P1332)</f>
        <v>113.3063207366321</v>
      </c>
      <c r="K1692" s="1324">
        <f>+IF(ISBLANK(REPORTS!Q1332),"",REPORTS!Q1332)</f>
        <v>0</v>
      </c>
      <c r="L1692" s="1324"/>
      <c r="M1692" s="1324">
        <v>122</v>
      </c>
    </row>
    <row r="1693" spans="1:13">
      <c r="A1693" s="1393">
        <v>3</v>
      </c>
      <c r="B1693" s="1324" t="s">
        <v>5286</v>
      </c>
      <c r="C1693" s="1324" t="s">
        <v>4067</v>
      </c>
      <c r="D1693" s="1364">
        <f>+IF(ISBLANK(REPORTS!J1333),"",REPORTS!J1333)</f>
        <v>0</v>
      </c>
      <c r="E1693" s="1324">
        <f>+IF(ISBLANK(REPORTS!K1333),"",REPORTS!K1333)</f>
        <v>0</v>
      </c>
      <c r="F1693" s="1324">
        <f>+IF(ISBLANK(REPORTS!L1333),"",REPORTS!L1333)</f>
        <v>0</v>
      </c>
      <c r="G1693" s="1324">
        <f>+IF(ISBLANK(REPORTS!M1333),"",REPORTS!M1333)</f>
        <v>0</v>
      </c>
      <c r="H1693" s="1324">
        <f>+IF(ISBLANK(REPORTS!N1333),"",REPORTS!N1333)</f>
        <v>0</v>
      </c>
      <c r="I1693" s="1324">
        <f>+IF(ISBLANK(REPORTS!O1333),"",REPORTS!O1333)</f>
        <v>0</v>
      </c>
      <c r="J1693" s="1324">
        <f>+IF(ISBLANK(REPORTS!P1333),"",REPORTS!P1333)</f>
        <v>0</v>
      </c>
      <c r="K1693" s="1324">
        <f>+IF(ISBLANK(REPORTS!Q1333),"",REPORTS!Q1333)</f>
        <v>0</v>
      </c>
      <c r="L1693" s="1324"/>
      <c r="M1693" s="1324">
        <v>121</v>
      </c>
    </row>
    <row r="1694" spans="1:13">
      <c r="A1694" s="1393">
        <v>4</v>
      </c>
      <c r="B1694" s="1324" t="s">
        <v>4814</v>
      </c>
      <c r="C1694" s="1324" t="s">
        <v>2067</v>
      </c>
      <c r="D1694" s="1366">
        <f>+IF(ISBLANK(REPORTS!J1334),"",REPORTS!J1334)</f>
        <v>3054.4984588409338</v>
      </c>
      <c r="E1694" s="1364">
        <f>+IF(ISBLANK(REPORTS!K1334),"",REPORTS!K1334)</f>
        <v>1541.4043410314671</v>
      </c>
      <c r="F1694" s="1364">
        <f>+IF(ISBLANK(REPORTS!L1334),"",REPORTS!L1334)</f>
        <v>142.44380526839257</v>
      </c>
      <c r="G1694" s="1364">
        <f>+IF(ISBLANK(REPORTS!M1334),"",REPORTS!M1334)</f>
        <v>1061.1510222517572</v>
      </c>
      <c r="H1694" s="1364">
        <f>+IF(ISBLANK(REPORTS!N1334),"",REPORTS!N1334)</f>
        <v>168.91818074773224</v>
      </c>
      <c r="I1694" s="1364">
        <f>+IF(ISBLANK(REPORTS!O1334),"",REPORTS!O1334)</f>
        <v>124.44402786791056</v>
      </c>
      <c r="J1694" s="1364">
        <f>+IF(ISBLANK(REPORTS!P1334),"",REPORTS!P1334)</f>
        <v>16.137081673674079</v>
      </c>
      <c r="K1694" s="1364">
        <f>+IF(ISBLANK(REPORTS!Q1334),"",REPORTS!Q1334)</f>
        <v>0</v>
      </c>
      <c r="L1694" s="1364"/>
      <c r="M1694" s="1324">
        <v>201</v>
      </c>
    </row>
    <row r="1695" spans="1:13">
      <c r="A1695" s="1393">
        <v>5</v>
      </c>
      <c r="B1695" s="1324" t="s">
        <v>5734</v>
      </c>
      <c r="D1695" s="1421">
        <f>+IF(ISBLANK(REPORTS!J1335),"",REPORTS!J1335)</f>
        <v>109862.25915296555</v>
      </c>
      <c r="E1695" s="1421">
        <f>+IF(ISBLANK(REPORTS!K1335),"",REPORTS!K1335)</f>
        <v>62871.987045729016</v>
      </c>
      <c r="F1695" s="1421">
        <f>+IF(ISBLANK(REPORTS!L1335),"",REPORTS!L1335)</f>
        <v>5242.7346639896696</v>
      </c>
      <c r="G1695" s="1421">
        <f>+IF(ISBLANK(REPORTS!M1335),"",REPORTS!M1335)</f>
        <v>34069.776047873544</v>
      </c>
      <c r="H1695" s="1421">
        <f>+IF(ISBLANK(REPORTS!N1335),"",REPORTS!N1335)</f>
        <v>4387.6438587724115</v>
      </c>
      <c r="I1695" s="1421">
        <f>+IF(ISBLANK(REPORTS!O1335),"",REPORTS!O1335)</f>
        <v>3160.6741341906145</v>
      </c>
      <c r="J1695" s="1421">
        <f>+IF(ISBLANK(REPORTS!P1335),"",REPORTS!P1335)</f>
        <v>129.44340241030619</v>
      </c>
      <c r="K1695" s="1421">
        <f>+IF(ISBLANK(REPORTS!Q1335),"",REPORTS!Q1335)</f>
        <v>0</v>
      </c>
      <c r="L1695" s="1364"/>
      <c r="M1695" s="1324"/>
    </row>
    <row r="1696" spans="1:13">
      <c r="A1696" s="1393">
        <v>6</v>
      </c>
      <c r="D1696" s="1324" t="str">
        <f>+IF(ISBLANK(REPORTS!J1336),"",REPORTS!J1336)</f>
        <v/>
      </c>
      <c r="E1696" s="1324" t="str">
        <f>+IF(ISBLANK(REPORTS!K1336),"",REPORTS!K1336)</f>
        <v/>
      </c>
      <c r="F1696" s="1324" t="str">
        <f>+IF(ISBLANK(REPORTS!L1336),"",REPORTS!L1336)</f>
        <v/>
      </c>
      <c r="G1696" s="1324" t="str">
        <f>+IF(ISBLANK(REPORTS!M1336),"",REPORTS!M1336)</f>
        <v/>
      </c>
      <c r="H1696" s="1324" t="str">
        <f>+IF(ISBLANK(REPORTS!N1336),"",REPORTS!N1336)</f>
        <v/>
      </c>
      <c r="I1696" s="1324" t="str">
        <f>+IF(ISBLANK(REPORTS!O1336),"",REPORTS!O1336)</f>
        <v/>
      </c>
      <c r="J1696" s="1324" t="str">
        <f>+IF(ISBLANK(REPORTS!P1336),"",REPORTS!P1336)</f>
        <v/>
      </c>
      <c r="K1696" s="1324" t="str">
        <f>+IF(ISBLANK(REPORTS!Q1336),"",REPORTS!Q1336)</f>
        <v/>
      </c>
      <c r="L1696" s="1324"/>
      <c r="M1696" s="1326"/>
    </row>
    <row r="1697" spans="1:13">
      <c r="A1697" s="1393">
        <v>7</v>
      </c>
      <c r="D1697" s="1324" t="str">
        <f>+IF(ISBLANK(REPORTS!J1337),"",REPORTS!J1337)</f>
        <v/>
      </c>
      <c r="E1697" s="1324" t="str">
        <f>+IF(ISBLANK(REPORTS!K1337),"",REPORTS!K1337)</f>
        <v/>
      </c>
      <c r="F1697" s="1324" t="str">
        <f>+IF(ISBLANK(REPORTS!L1337),"",REPORTS!L1337)</f>
        <v/>
      </c>
      <c r="G1697" s="1324" t="str">
        <f>+IF(ISBLANK(REPORTS!M1337),"",REPORTS!M1337)</f>
        <v/>
      </c>
      <c r="H1697" s="1324" t="str">
        <f>+IF(ISBLANK(REPORTS!N1337),"",REPORTS!N1337)</f>
        <v/>
      </c>
      <c r="I1697" s="1324" t="str">
        <f>+IF(ISBLANK(REPORTS!O1337),"",REPORTS!O1337)</f>
        <v/>
      </c>
      <c r="J1697" s="1324" t="str">
        <f>+IF(ISBLANK(REPORTS!P1337),"",REPORTS!P1337)</f>
        <v/>
      </c>
      <c r="K1697" s="1324" t="str">
        <f>+IF(ISBLANK(REPORTS!Q1337),"",REPORTS!Q1337)</f>
        <v/>
      </c>
      <c r="L1697" s="1324"/>
      <c r="M1697" s="1324"/>
    </row>
    <row r="1698" spans="1:13">
      <c r="A1698" s="1393">
        <v>8</v>
      </c>
      <c r="B1698" s="1362" t="s">
        <v>5735</v>
      </c>
      <c r="D1698" s="1324" t="str">
        <f>+IF(ISBLANK(REPORTS!J1338),"",REPORTS!J1338)</f>
        <v/>
      </c>
      <c r="E1698" s="1324" t="str">
        <f>+IF(ISBLANK(REPORTS!K1338),"",REPORTS!K1338)</f>
        <v/>
      </c>
      <c r="F1698" s="1324" t="str">
        <f>+IF(ISBLANK(REPORTS!L1338),"",REPORTS!L1338)</f>
        <v/>
      </c>
      <c r="G1698" s="1324" t="str">
        <f>+IF(ISBLANK(REPORTS!M1338),"",REPORTS!M1338)</f>
        <v/>
      </c>
      <c r="H1698" s="1324" t="str">
        <f>+IF(ISBLANK(REPORTS!N1338),"",REPORTS!N1338)</f>
        <v/>
      </c>
      <c r="I1698" s="1324" t="str">
        <f>+IF(ISBLANK(REPORTS!O1338),"",REPORTS!O1338)</f>
        <v/>
      </c>
      <c r="J1698" s="1324" t="str">
        <f>+IF(ISBLANK(REPORTS!P1338),"",REPORTS!P1338)</f>
        <v/>
      </c>
      <c r="K1698" s="1324" t="str">
        <f>+IF(ISBLANK(REPORTS!Q1338),"",REPORTS!Q1338)</f>
        <v/>
      </c>
      <c r="L1698" s="1324"/>
      <c r="M1698" s="1324"/>
    </row>
    <row r="1699" spans="1:13">
      <c r="A1699" s="1393">
        <v>9</v>
      </c>
      <c r="B1699" s="1324" t="s">
        <v>5397</v>
      </c>
      <c r="C1699" s="1324" t="s">
        <v>4067</v>
      </c>
      <c r="D1699" s="1364">
        <f>+IF(ISBLANK(REPORTS!J1339),"",REPORTS!J1339)</f>
        <v>0</v>
      </c>
      <c r="E1699" s="1324">
        <f>+IF(ISBLANK(REPORTS!K1339),"",REPORTS!K1339)</f>
        <v>0</v>
      </c>
      <c r="F1699" s="1324">
        <f>+IF(ISBLANK(REPORTS!L1339),"",REPORTS!L1339)</f>
        <v>0</v>
      </c>
      <c r="G1699" s="1324">
        <f>+IF(ISBLANK(REPORTS!M1339),"",REPORTS!M1339)</f>
        <v>0</v>
      </c>
      <c r="H1699" s="1324">
        <f>+IF(ISBLANK(REPORTS!N1339),"",REPORTS!N1339)</f>
        <v>0</v>
      </c>
      <c r="I1699" s="1324">
        <f>+IF(ISBLANK(REPORTS!O1339),"",REPORTS!O1339)</f>
        <v>0</v>
      </c>
      <c r="J1699" s="1324">
        <f>+IF(ISBLANK(REPORTS!P1339),"",REPORTS!P1339)</f>
        <v>0</v>
      </c>
      <c r="K1699" s="1324">
        <f>+IF(ISBLANK(REPORTS!Q1339),"",REPORTS!Q1339)</f>
        <v>0</v>
      </c>
      <c r="L1699" s="1324"/>
      <c r="M1699" s="1324">
        <v>122</v>
      </c>
    </row>
    <row r="1700" spans="1:13">
      <c r="A1700" s="1393">
        <v>10</v>
      </c>
      <c r="B1700" s="1324" t="s">
        <v>5736</v>
      </c>
      <c r="C1700" s="1324" t="s">
        <v>4067</v>
      </c>
      <c r="D1700" s="1364">
        <f>+IF(ISBLANK(REPORTS!J1340),"",REPORTS!J1340)</f>
        <v>6811.9366836331728</v>
      </c>
      <c r="E1700" s="1364">
        <f>+IF(ISBLANK(REPORTS!K1340),"",REPORTS!K1340)</f>
        <v>3951.0121050043435</v>
      </c>
      <c r="F1700" s="1364">
        <f>+IF(ISBLANK(REPORTS!L1340),"",REPORTS!L1340)</f>
        <v>325.91864656156815</v>
      </c>
      <c r="G1700" s="1364">
        <f>+IF(ISBLANK(REPORTS!M1340),"",REPORTS!M1340)</f>
        <v>2083.4341699701777</v>
      </c>
      <c r="H1700" s="1364">
        <f>+IF(ISBLANK(REPORTS!N1340),"",REPORTS!N1340)</f>
        <v>260.08913166324089</v>
      </c>
      <c r="I1700" s="1364">
        <f>+IF(ISBLANK(REPORTS!O1340),"",REPORTS!O1340)</f>
        <v>186.65301767632388</v>
      </c>
      <c r="J1700" s="1364">
        <f>+IF(ISBLANK(REPORTS!P1340),"",REPORTS!P1340)</f>
        <v>4.8296127575192029</v>
      </c>
      <c r="K1700" s="1364">
        <f>+IF(ISBLANK(REPORTS!Q1340),"",REPORTS!Q1340)</f>
        <v>0</v>
      </c>
      <c r="L1700" s="1364"/>
      <c r="M1700" s="1324">
        <v>117</v>
      </c>
    </row>
    <row r="1701" spans="1:13">
      <c r="A1701" s="1393">
        <v>11</v>
      </c>
      <c r="B1701" s="1324" t="s">
        <v>5737</v>
      </c>
      <c r="C1701" s="1324" t="s">
        <v>4067</v>
      </c>
      <c r="D1701" s="1364">
        <f>+IF(ISBLANK(REPORTS!J1341),"",REPORTS!J1341)</f>
        <v>6694.7575226616591</v>
      </c>
      <c r="E1701" s="1364">
        <f>+IF(ISBLANK(REPORTS!K1341),"",REPORTS!K1341)</f>
        <v>3883.0466636101096</v>
      </c>
      <c r="F1701" s="1364">
        <f>+IF(ISBLANK(REPORTS!L1341),"",REPORTS!L1341)</f>
        <v>320.31218318371322</v>
      </c>
      <c r="G1701" s="1364">
        <f>+IF(ISBLANK(REPORTS!M1341),"",REPORTS!M1341)</f>
        <v>2047.594866213426</v>
      </c>
      <c r="H1701" s="1364">
        <f>+IF(ISBLANK(REPORTS!N1341),"",REPORTS!N1341)</f>
        <v>255.61506978604606</v>
      </c>
      <c r="I1701" s="1364">
        <f>+IF(ISBLANK(REPORTS!O1341),"",REPORTS!O1341)</f>
        <v>183.44220626983159</v>
      </c>
      <c r="J1701" s="1364">
        <f>+IF(ISBLANK(REPORTS!P1341),"",REPORTS!P1341)</f>
        <v>4.7465335985330128</v>
      </c>
      <c r="K1701" s="1364">
        <f>+IF(ISBLANK(REPORTS!Q1341),"",REPORTS!Q1341)</f>
        <v>0</v>
      </c>
      <c r="L1701" s="1358"/>
      <c r="M1701" s="1320">
        <v>117</v>
      </c>
    </row>
    <row r="1702" spans="1:13">
      <c r="A1702" s="1393">
        <v>12</v>
      </c>
      <c r="B1702" s="1324" t="s">
        <v>5738</v>
      </c>
      <c r="D1702" s="1421">
        <f>+IF(ISBLANK(REPORTS!J1342),"",REPORTS!J1342)</f>
        <v>13506.694206294833</v>
      </c>
      <c r="E1702" s="1421">
        <f>+IF(ISBLANK(REPORTS!K1342),"",REPORTS!K1342)</f>
        <v>7834.0587686144536</v>
      </c>
      <c r="F1702" s="1421">
        <f>+IF(ISBLANK(REPORTS!L1342),"",REPORTS!L1342)</f>
        <v>646.23082974528143</v>
      </c>
      <c r="G1702" s="1421">
        <f>+IF(ISBLANK(REPORTS!M1342),"",REPORTS!M1342)</f>
        <v>4131.0290361836032</v>
      </c>
      <c r="H1702" s="1421">
        <f>+IF(ISBLANK(REPORTS!N1342),"",REPORTS!N1342)</f>
        <v>515.70420144928698</v>
      </c>
      <c r="I1702" s="1421">
        <f>+IF(ISBLANK(REPORTS!O1342),"",REPORTS!O1342)</f>
        <v>370.09522394615544</v>
      </c>
      <c r="J1702" s="1421">
        <f>+IF(ISBLANK(REPORTS!P1342),"",REPORTS!P1342)</f>
        <v>9.5761463560522166</v>
      </c>
      <c r="K1702" s="1421">
        <f>+IF(ISBLANK(REPORTS!Q1342),"",REPORTS!Q1342)</f>
        <v>0</v>
      </c>
      <c r="L1702" s="1358"/>
    </row>
    <row r="1703" spans="1:13">
      <c r="A1703" s="1393">
        <v>13</v>
      </c>
      <c r="D1703" s="1364" t="str">
        <f>+IF(ISBLANK(REPORTS!J1343),"",REPORTS!J1343)</f>
        <v/>
      </c>
      <c r="E1703" s="1364" t="str">
        <f>+IF(ISBLANK(REPORTS!K1343),"",REPORTS!K1343)</f>
        <v/>
      </c>
      <c r="F1703" s="1364" t="str">
        <f>+IF(ISBLANK(REPORTS!L1343),"",REPORTS!L1343)</f>
        <v/>
      </c>
      <c r="G1703" s="1364" t="str">
        <f>+IF(ISBLANK(REPORTS!M1343),"",REPORTS!M1343)</f>
        <v/>
      </c>
      <c r="H1703" s="1364" t="str">
        <f>+IF(ISBLANK(REPORTS!N1343),"",REPORTS!N1343)</f>
        <v/>
      </c>
      <c r="I1703" s="1364" t="str">
        <f>+IF(ISBLANK(REPORTS!O1343),"",REPORTS!O1343)</f>
        <v/>
      </c>
      <c r="J1703" s="1364" t="str">
        <f>+IF(ISBLANK(REPORTS!P1343),"",REPORTS!P1343)</f>
        <v/>
      </c>
      <c r="K1703" s="1364" t="str">
        <f>+IF(ISBLANK(REPORTS!Q1343),"",REPORTS!Q1343)</f>
        <v/>
      </c>
      <c r="L1703" s="1358"/>
    </row>
    <row r="1704" spans="1:13">
      <c r="A1704" s="1393">
        <v>14</v>
      </c>
      <c r="D1704" s="1324" t="str">
        <f>+IF(ISBLANK(REPORTS!J1344),"",REPORTS!J1344)</f>
        <v/>
      </c>
      <c r="E1704" s="1324" t="str">
        <f>+IF(ISBLANK(REPORTS!K1344),"",REPORTS!K1344)</f>
        <v/>
      </c>
      <c r="F1704" s="1324" t="str">
        <f>+IF(ISBLANK(REPORTS!L1344),"",REPORTS!L1344)</f>
        <v/>
      </c>
      <c r="G1704" s="1324" t="str">
        <f>+IF(ISBLANK(REPORTS!M1344),"",REPORTS!M1344)</f>
        <v/>
      </c>
      <c r="H1704" s="1324" t="str">
        <f>+IF(ISBLANK(REPORTS!N1344),"",REPORTS!N1344)</f>
        <v/>
      </c>
      <c r="I1704" s="1324" t="str">
        <f>+IF(ISBLANK(REPORTS!O1344),"",REPORTS!O1344)</f>
        <v/>
      </c>
      <c r="J1704" s="1324" t="str">
        <f>+IF(ISBLANK(REPORTS!P1344),"",REPORTS!P1344)</f>
        <v/>
      </c>
      <c r="K1704" s="1324" t="str">
        <f>+IF(ISBLANK(REPORTS!Q1344),"",REPORTS!Q1344)</f>
        <v/>
      </c>
    </row>
    <row r="1705" spans="1:13">
      <c r="A1705" s="1393">
        <v>15</v>
      </c>
      <c r="B1705" s="1362" t="s">
        <v>5740</v>
      </c>
      <c r="D1705" s="1324" t="str">
        <f>+IF(ISBLANK(REPORTS!J1345),"",REPORTS!J1345)</f>
        <v/>
      </c>
      <c r="E1705" s="1324" t="str">
        <f>+IF(ISBLANK(REPORTS!K1345),"",REPORTS!K1345)</f>
        <v/>
      </c>
      <c r="F1705" s="1324" t="str">
        <f>+IF(ISBLANK(REPORTS!L1345),"",REPORTS!L1345)</f>
        <v/>
      </c>
      <c r="G1705" s="1324" t="str">
        <f>+IF(ISBLANK(REPORTS!M1345),"",REPORTS!M1345)</f>
        <v/>
      </c>
      <c r="H1705" s="1324" t="str">
        <f>+IF(ISBLANK(REPORTS!N1345),"",REPORTS!N1345)</f>
        <v/>
      </c>
      <c r="I1705" s="1324" t="str">
        <f>+IF(ISBLANK(REPORTS!O1345),"",REPORTS!O1345)</f>
        <v/>
      </c>
      <c r="J1705" s="1324" t="str">
        <f>+IF(ISBLANK(REPORTS!P1345),"",REPORTS!P1345)</f>
        <v/>
      </c>
      <c r="K1705" s="1324" t="str">
        <f>+IF(ISBLANK(REPORTS!Q1345),"",REPORTS!Q1345)</f>
        <v/>
      </c>
    </row>
    <row r="1706" spans="1:13">
      <c r="A1706" s="1393">
        <v>16</v>
      </c>
      <c r="B1706" s="1324" t="s">
        <v>5240</v>
      </c>
      <c r="C1706" s="1324" t="s">
        <v>4067</v>
      </c>
      <c r="D1706" s="1364">
        <f>+IF(ISBLANK(REPORTS!J1346),"",REPORTS!J1346)</f>
        <v>-18323.405026623215</v>
      </c>
      <c r="E1706" s="1364">
        <f>+IF(ISBLANK(REPORTS!K1346),"",REPORTS!K1346)</f>
        <v>-11404.780684342166</v>
      </c>
      <c r="F1706" s="1364">
        <f>+IF(ISBLANK(REPORTS!L1346),"",REPORTS!L1346)</f>
        <v>-811.13660613763204</v>
      </c>
      <c r="G1706" s="1364">
        <f>+IF(ISBLANK(REPORTS!M1346),"",REPORTS!M1346)</f>
        <v>-5431.066030617797</v>
      </c>
      <c r="H1706" s="1364">
        <f>+IF(ISBLANK(REPORTS!N1346),"",REPORTS!N1346)</f>
        <v>-571.23894891865393</v>
      </c>
      <c r="I1706" s="1364">
        <f>+IF(ISBLANK(REPORTS!O1346),"",REPORTS!O1346)</f>
        <v>-3.9003082593205835E-4</v>
      </c>
      <c r="J1706" s="1364">
        <f>+IF(ISBLANK(REPORTS!P1346),"",REPORTS!P1346)</f>
        <v>-105.18236657614541</v>
      </c>
      <c r="K1706" s="1364">
        <f>+IF(ISBLANK(REPORTS!Q1346),"",REPORTS!Q1346)</f>
        <v>0</v>
      </c>
      <c r="L1706" s="1358"/>
      <c r="M1706" s="1320">
        <v>105</v>
      </c>
    </row>
    <row r="1707" spans="1:13">
      <c r="A1707" s="1393">
        <v>17</v>
      </c>
      <c r="B1707" s="1324" t="s">
        <v>5241</v>
      </c>
      <c r="C1707" s="1324" t="s">
        <v>4067</v>
      </c>
      <c r="D1707" s="1364">
        <f>+IF(ISBLANK(REPORTS!J1347),"",REPORTS!J1347)</f>
        <v>-10165.971528099151</v>
      </c>
      <c r="E1707" s="1364">
        <f>+IF(ISBLANK(REPORTS!K1347),"",REPORTS!K1347)</f>
        <v>-7417.4309602607673</v>
      </c>
      <c r="F1707" s="1364">
        <f>+IF(ISBLANK(REPORTS!L1347),"",REPORTS!L1347)</f>
        <v>-597.25040037151518</v>
      </c>
      <c r="G1707" s="1364">
        <f>+IF(ISBLANK(REPORTS!M1347),"",REPORTS!M1347)</f>
        <v>-2114.5154953183246</v>
      </c>
      <c r="H1707" s="1364">
        <f>+IF(ISBLANK(REPORTS!N1347),"",REPORTS!N1347)</f>
        <v>0</v>
      </c>
      <c r="I1707" s="1364">
        <f>+IF(ISBLANK(REPORTS!O1347),"",REPORTS!O1347)</f>
        <v>0</v>
      </c>
      <c r="J1707" s="1364">
        <f>+IF(ISBLANK(REPORTS!P1347),"",REPORTS!P1347)</f>
        <v>-36.774672148543338</v>
      </c>
      <c r="K1707" s="1364">
        <f>+IF(ISBLANK(REPORTS!Q1347),"",REPORTS!Q1347)</f>
        <v>0</v>
      </c>
      <c r="L1707" s="1358"/>
      <c r="M1707" s="1320">
        <v>106</v>
      </c>
    </row>
    <row r="1708" spans="1:13">
      <c r="A1708" s="1393">
        <v>18</v>
      </c>
      <c r="B1708" s="1324" t="s">
        <v>5242</v>
      </c>
      <c r="C1708" s="1324" t="s">
        <v>4071</v>
      </c>
      <c r="D1708" s="1364">
        <f>+IF(ISBLANK(REPORTS!J1348),"",REPORTS!J1348)</f>
        <v>-8274.3217102474555</v>
      </c>
      <c r="E1708" s="1364">
        <f>+IF(ISBLANK(REPORTS!K1348),"",REPORTS!K1348)</f>
        <v>-3050.3843127802602</v>
      </c>
      <c r="F1708" s="1364">
        <f>+IF(ISBLANK(REPORTS!L1348),"",REPORTS!L1348)</f>
        <v>-462.70319203817832</v>
      </c>
      <c r="G1708" s="1364">
        <f>+IF(ISBLANK(REPORTS!M1348),"",REPORTS!M1348)</f>
        <v>-223.06885864545771</v>
      </c>
      <c r="H1708" s="1364">
        <f>+IF(ISBLANK(REPORTS!N1348),"",REPORTS!N1348)</f>
        <v>-14.380165509314905</v>
      </c>
      <c r="I1708" s="1364">
        <f>+IF(ISBLANK(REPORTS!O1348),"",REPORTS!O1348)</f>
        <v>-15.689364223030321</v>
      </c>
      <c r="J1708" s="1364">
        <f>+IF(ISBLANK(REPORTS!P1348),"",REPORTS!P1348)</f>
        <v>-3.600896318908231</v>
      </c>
      <c r="K1708" s="1364">
        <f>+IF(ISBLANK(REPORTS!Q1348),"",REPORTS!Q1348)</f>
        <v>-4504.494920732307</v>
      </c>
      <c r="L1708" s="1358"/>
      <c r="M1708" s="1320">
        <v>907</v>
      </c>
    </row>
    <row r="1709" spans="1:13">
      <c r="A1709" s="1393">
        <v>19</v>
      </c>
      <c r="B1709" s="1324" t="s">
        <v>5741</v>
      </c>
      <c r="D1709" s="1421">
        <f>+IF(ISBLANK(REPORTS!J1349),"",REPORTS!J1349)</f>
        <v>-36763.698264969818</v>
      </c>
      <c r="E1709" s="1421">
        <f>+IF(ISBLANK(REPORTS!K1349),"",REPORTS!K1349)</f>
        <v>-21872.595957383193</v>
      </c>
      <c r="F1709" s="1421">
        <f>+IF(ISBLANK(REPORTS!L1349),"",REPORTS!L1349)</f>
        <v>-1871.0901985473256</v>
      </c>
      <c r="G1709" s="1421">
        <f>+IF(ISBLANK(REPORTS!M1349),"",REPORTS!M1349)</f>
        <v>-7768.6503845815796</v>
      </c>
      <c r="H1709" s="1421">
        <f>+IF(ISBLANK(REPORTS!N1349),"",REPORTS!N1349)</f>
        <v>-585.61911442796884</v>
      </c>
      <c r="I1709" s="1421">
        <f>+IF(ISBLANK(REPORTS!O1349),"",REPORTS!O1349)</f>
        <v>-15.689754253856252</v>
      </c>
      <c r="J1709" s="1421">
        <f>+IF(ISBLANK(REPORTS!P1349),"",REPORTS!P1349)</f>
        <v>-145.55793504359698</v>
      </c>
      <c r="K1709" s="1421">
        <f>+IF(ISBLANK(REPORTS!Q1349),"",REPORTS!Q1349)</f>
        <v>-4504.494920732307</v>
      </c>
      <c r="L1709" s="1358"/>
    </row>
    <row r="1710" spans="1:13">
      <c r="A1710" s="1393">
        <v>20</v>
      </c>
      <c r="D1710" s="1324" t="str">
        <f>+IF(ISBLANK(REPORTS!J1350),"",REPORTS!J1350)</f>
        <v/>
      </c>
      <c r="E1710" s="1324" t="str">
        <f>+IF(ISBLANK(REPORTS!K1350),"",REPORTS!K1350)</f>
        <v/>
      </c>
      <c r="F1710" s="1324" t="str">
        <f>+IF(ISBLANK(REPORTS!L1350),"",REPORTS!L1350)</f>
        <v/>
      </c>
      <c r="G1710" s="1324" t="str">
        <f>+IF(ISBLANK(REPORTS!M1350),"",REPORTS!M1350)</f>
        <v/>
      </c>
      <c r="H1710" s="1324" t="str">
        <f>+IF(ISBLANK(REPORTS!N1350),"",REPORTS!N1350)</f>
        <v/>
      </c>
      <c r="I1710" s="1324" t="str">
        <f>+IF(ISBLANK(REPORTS!O1350),"",REPORTS!O1350)</f>
        <v/>
      </c>
      <c r="J1710" s="1324" t="str">
        <f>+IF(ISBLANK(REPORTS!P1350),"",REPORTS!P1350)</f>
        <v/>
      </c>
      <c r="K1710" s="1324" t="str">
        <f>+IF(ISBLANK(REPORTS!Q1350),"",REPORTS!Q1350)</f>
        <v/>
      </c>
    </row>
    <row r="1711" spans="1:13">
      <c r="A1711" s="1393">
        <v>21</v>
      </c>
      <c r="D1711" s="1324" t="str">
        <f>+IF(ISBLANK(REPORTS!J1351),"",REPORTS!J1351)</f>
        <v/>
      </c>
      <c r="E1711" s="1324" t="str">
        <f>+IF(ISBLANK(REPORTS!K1351),"",REPORTS!K1351)</f>
        <v/>
      </c>
      <c r="F1711" s="1324" t="str">
        <f>+IF(ISBLANK(REPORTS!L1351),"",REPORTS!L1351)</f>
        <v/>
      </c>
      <c r="G1711" s="1324" t="str">
        <f>+IF(ISBLANK(REPORTS!M1351),"",REPORTS!M1351)</f>
        <v/>
      </c>
      <c r="H1711" s="1324" t="str">
        <f>+IF(ISBLANK(REPORTS!N1351),"",REPORTS!N1351)</f>
        <v/>
      </c>
      <c r="I1711" s="1324" t="str">
        <f>+IF(ISBLANK(REPORTS!O1351),"",REPORTS!O1351)</f>
        <v/>
      </c>
      <c r="J1711" s="1324" t="str">
        <f>+IF(ISBLANK(REPORTS!P1351),"",REPORTS!P1351)</f>
        <v/>
      </c>
      <c r="K1711" s="1324" t="str">
        <f>+IF(ISBLANK(REPORTS!Q1351),"",REPORTS!Q1351)</f>
        <v/>
      </c>
    </row>
    <row r="1712" spans="1:13">
      <c r="A1712" s="1393">
        <v>22</v>
      </c>
      <c r="B1712" s="1362" t="s">
        <v>5743</v>
      </c>
      <c r="C1712" s="1387"/>
      <c r="D1712" s="1324" t="str">
        <f>+IF(ISBLANK(REPORTS!J1352),"",REPORTS!J1352)</f>
        <v/>
      </c>
      <c r="E1712" s="1324" t="str">
        <f>+IF(ISBLANK(REPORTS!K1352),"",REPORTS!K1352)</f>
        <v/>
      </c>
      <c r="F1712" s="1324" t="str">
        <f>+IF(ISBLANK(REPORTS!L1352),"",REPORTS!L1352)</f>
        <v/>
      </c>
      <c r="G1712" s="1324" t="str">
        <f>+IF(ISBLANK(REPORTS!M1352),"",REPORTS!M1352)</f>
        <v/>
      </c>
      <c r="H1712" s="1324" t="str">
        <f>+IF(ISBLANK(REPORTS!N1352),"",REPORTS!N1352)</f>
        <v/>
      </c>
      <c r="I1712" s="1324" t="str">
        <f>+IF(ISBLANK(REPORTS!O1352),"",REPORTS!O1352)</f>
        <v/>
      </c>
      <c r="J1712" s="1324" t="str">
        <f>+IF(ISBLANK(REPORTS!P1352),"",REPORTS!P1352)</f>
        <v/>
      </c>
      <c r="K1712" s="1324" t="str">
        <f>+IF(ISBLANK(REPORTS!Q1352),"",REPORTS!Q1352)</f>
        <v/>
      </c>
    </row>
    <row r="1713" spans="1:13">
      <c r="A1713" s="1393">
        <v>23</v>
      </c>
      <c r="B1713" s="1324" t="s">
        <v>5265</v>
      </c>
      <c r="C1713" s="1324" t="s">
        <v>4067</v>
      </c>
      <c r="D1713" s="1324">
        <f>+IF(ISBLANK(REPORTS!J1353),"",REPORTS!J1353)</f>
        <v>106807.76069412462</v>
      </c>
      <c r="E1713" s="1324">
        <f>+IF(ISBLANK(REPORTS!K1353),"",REPORTS!K1353)</f>
        <v>61330.582704697546</v>
      </c>
      <c r="F1713" s="1324">
        <f>+IF(ISBLANK(REPORTS!L1353),"",REPORTS!L1353)</f>
        <v>5100.2908587212769</v>
      </c>
      <c r="G1713" s="1324">
        <f>+IF(ISBLANK(REPORTS!M1353),"",REPORTS!M1353)</f>
        <v>33008.625025621783</v>
      </c>
      <c r="H1713" s="1324">
        <f>+IF(ISBLANK(REPORTS!N1353),"",REPORTS!N1353)</f>
        <v>4218.7256780246789</v>
      </c>
      <c r="I1713" s="1324">
        <f>+IF(ISBLANK(REPORTS!O1353),"",REPORTS!O1353)</f>
        <v>3036.2301063227042</v>
      </c>
      <c r="J1713" s="1324">
        <f>+IF(ISBLANK(REPORTS!P1353),"",REPORTS!P1353)</f>
        <v>113.3063207366321</v>
      </c>
      <c r="K1713" s="1324">
        <f>+IF(ISBLANK(REPORTS!Q1353),"",REPORTS!Q1353)</f>
        <v>0</v>
      </c>
      <c r="L1713" s="1324"/>
      <c r="M1713" s="1324"/>
    </row>
    <row r="1714" spans="1:13">
      <c r="A1714" s="1393">
        <v>24</v>
      </c>
      <c r="B1714" s="1324" t="s">
        <v>5265</v>
      </c>
      <c r="C1714" s="1324" t="s">
        <v>2067</v>
      </c>
      <c r="D1714" s="1324">
        <f>+IF(ISBLANK(REPORTS!J1354),"",REPORTS!J1354)</f>
        <v>3054.4984588409338</v>
      </c>
      <c r="E1714" s="1324">
        <f>+IF(ISBLANK(REPORTS!K1354),"",REPORTS!K1354)</f>
        <v>1541.4043410314671</v>
      </c>
      <c r="F1714" s="1324">
        <f>+IF(ISBLANK(REPORTS!L1354),"",REPORTS!L1354)</f>
        <v>142.44380526839257</v>
      </c>
      <c r="G1714" s="1324">
        <f>+IF(ISBLANK(REPORTS!M1354),"",REPORTS!M1354)</f>
        <v>1061.1510222517572</v>
      </c>
      <c r="H1714" s="1324">
        <f>+IF(ISBLANK(REPORTS!N1354),"",REPORTS!N1354)</f>
        <v>168.91818074773224</v>
      </c>
      <c r="I1714" s="1324">
        <f>+IF(ISBLANK(REPORTS!O1354),"",REPORTS!O1354)</f>
        <v>124.44402786791056</v>
      </c>
      <c r="J1714" s="1324">
        <f>+IF(ISBLANK(REPORTS!P1354),"",REPORTS!P1354)</f>
        <v>16.137081673674079</v>
      </c>
      <c r="K1714" s="1324">
        <f>+IF(ISBLANK(REPORTS!Q1354),"",REPORTS!Q1354)</f>
        <v>0</v>
      </c>
    </row>
    <row r="1715" spans="1:13">
      <c r="A1715" s="1393">
        <v>25</v>
      </c>
      <c r="B1715" s="1324" t="s">
        <v>5268</v>
      </c>
      <c r="C1715" s="1324" t="s">
        <v>4067</v>
      </c>
      <c r="D1715" s="1324">
        <f>+IF(ISBLANK(REPORTS!J1355),"",REPORTS!J1355)</f>
        <v>6811.9366836331728</v>
      </c>
      <c r="E1715" s="1324">
        <f>+IF(ISBLANK(REPORTS!K1355),"",REPORTS!K1355)</f>
        <v>3951.0121050043435</v>
      </c>
      <c r="F1715" s="1324">
        <f>+IF(ISBLANK(REPORTS!L1355),"",REPORTS!L1355)</f>
        <v>325.91864656156815</v>
      </c>
      <c r="G1715" s="1324">
        <f>+IF(ISBLANK(REPORTS!M1355),"",REPORTS!M1355)</f>
        <v>2083.4341699701777</v>
      </c>
      <c r="H1715" s="1324">
        <f>+IF(ISBLANK(REPORTS!N1355),"",REPORTS!N1355)</f>
        <v>260.08913166324089</v>
      </c>
      <c r="I1715" s="1324">
        <f>+IF(ISBLANK(REPORTS!O1355),"",REPORTS!O1355)</f>
        <v>186.65301767632388</v>
      </c>
      <c r="J1715" s="1324">
        <f>+IF(ISBLANK(REPORTS!P1355),"",REPORTS!P1355)</f>
        <v>4.8296127575192029</v>
      </c>
      <c r="K1715" s="1324">
        <f>+IF(ISBLANK(REPORTS!Q1355),"",REPORTS!Q1355)</f>
        <v>0</v>
      </c>
      <c r="L1715" s="1324"/>
      <c r="M1715" s="1324"/>
    </row>
    <row r="1716" spans="1:13">
      <c r="A1716" s="1393">
        <v>26</v>
      </c>
      <c r="B1716" s="1324" t="s">
        <v>5239</v>
      </c>
      <c r="C1716" s="1324" t="s">
        <v>4067</v>
      </c>
      <c r="D1716" s="1324">
        <f>+IF(ISBLANK(REPORTS!J1356),"",REPORTS!J1356)</f>
        <v>6694.7575226616591</v>
      </c>
      <c r="E1716" s="1324">
        <f>+IF(ISBLANK(REPORTS!K1356),"",REPORTS!K1356)</f>
        <v>3883.0466636101096</v>
      </c>
      <c r="F1716" s="1324">
        <f>+IF(ISBLANK(REPORTS!L1356),"",REPORTS!L1356)</f>
        <v>320.31218318371322</v>
      </c>
      <c r="G1716" s="1324">
        <f>+IF(ISBLANK(REPORTS!M1356),"",REPORTS!M1356)</f>
        <v>2047.594866213426</v>
      </c>
      <c r="H1716" s="1324">
        <f>+IF(ISBLANK(REPORTS!N1356),"",REPORTS!N1356)</f>
        <v>255.61506978604606</v>
      </c>
      <c r="I1716" s="1324">
        <f>+IF(ISBLANK(REPORTS!O1356),"",REPORTS!O1356)</f>
        <v>183.44220626983159</v>
      </c>
      <c r="J1716" s="1324">
        <f>+IF(ISBLANK(REPORTS!P1356),"",REPORTS!P1356)</f>
        <v>4.7465335985330128</v>
      </c>
      <c r="K1716" s="1324">
        <f>+IF(ISBLANK(REPORTS!Q1356),"",REPORTS!Q1356)</f>
        <v>0</v>
      </c>
    </row>
    <row r="1717" spans="1:13">
      <c r="A1717" s="1393">
        <v>27</v>
      </c>
      <c r="B1717" s="1324" t="s">
        <v>5240</v>
      </c>
      <c r="C1717" s="1324" t="s">
        <v>4067</v>
      </c>
      <c r="D1717" s="1324">
        <f>+IF(ISBLANK(REPORTS!J1357),"",REPORTS!J1357)</f>
        <v>-18323.405026623215</v>
      </c>
      <c r="E1717" s="1324">
        <f>+IF(ISBLANK(REPORTS!K1357),"",REPORTS!K1357)</f>
        <v>-11404.780684342166</v>
      </c>
      <c r="F1717" s="1324">
        <f>+IF(ISBLANK(REPORTS!L1357),"",REPORTS!L1357)</f>
        <v>-811.13660613763204</v>
      </c>
      <c r="G1717" s="1324">
        <f>+IF(ISBLANK(REPORTS!M1357),"",REPORTS!M1357)</f>
        <v>-5431.066030617797</v>
      </c>
      <c r="H1717" s="1324">
        <f>+IF(ISBLANK(REPORTS!N1357),"",REPORTS!N1357)</f>
        <v>-571.23894891865393</v>
      </c>
      <c r="I1717" s="1324">
        <f>+IF(ISBLANK(REPORTS!O1357),"",REPORTS!O1357)</f>
        <v>-3.9003082593205835E-4</v>
      </c>
      <c r="J1717" s="1324">
        <f>+IF(ISBLANK(REPORTS!P1357),"",REPORTS!P1357)</f>
        <v>-105.18236657614541</v>
      </c>
      <c r="K1717" s="1324">
        <f>+IF(ISBLANK(REPORTS!Q1357),"",REPORTS!Q1357)</f>
        <v>0</v>
      </c>
    </row>
    <row r="1718" spans="1:13">
      <c r="A1718" s="1393">
        <v>28</v>
      </c>
      <c r="B1718" s="1324" t="s">
        <v>5241</v>
      </c>
      <c r="C1718" s="1324" t="s">
        <v>4067</v>
      </c>
      <c r="D1718" s="1324">
        <f>+IF(ISBLANK(REPORTS!J1358),"",REPORTS!J1358)</f>
        <v>-10165.971528099151</v>
      </c>
      <c r="E1718" s="1324">
        <f>+IF(ISBLANK(REPORTS!K1358),"",REPORTS!K1358)</f>
        <v>-7417.4309602607673</v>
      </c>
      <c r="F1718" s="1324">
        <f>+IF(ISBLANK(REPORTS!L1358),"",REPORTS!L1358)</f>
        <v>-597.25040037151518</v>
      </c>
      <c r="G1718" s="1324">
        <f>+IF(ISBLANK(REPORTS!M1358),"",REPORTS!M1358)</f>
        <v>-2114.5154953183246</v>
      </c>
      <c r="H1718" s="1324">
        <f>+IF(ISBLANK(REPORTS!N1358),"",REPORTS!N1358)</f>
        <v>0</v>
      </c>
      <c r="I1718" s="1324">
        <f>+IF(ISBLANK(REPORTS!O1358),"",REPORTS!O1358)</f>
        <v>0</v>
      </c>
      <c r="J1718" s="1324">
        <f>+IF(ISBLANK(REPORTS!P1358),"",REPORTS!P1358)</f>
        <v>-36.774672148543338</v>
      </c>
      <c r="K1718" s="1324">
        <f>+IF(ISBLANK(REPORTS!Q1358),"",REPORTS!Q1358)</f>
        <v>0</v>
      </c>
    </row>
    <row r="1719" spans="1:13">
      <c r="A1719" s="1393">
        <v>29</v>
      </c>
      <c r="B1719" s="1324" t="s">
        <v>5242</v>
      </c>
      <c r="C1719" s="1324" t="s">
        <v>4071</v>
      </c>
      <c r="D1719" s="1324">
        <f>+IF(ISBLANK(REPORTS!J1359),"",REPORTS!J1359)</f>
        <v>-8274.3217102474555</v>
      </c>
      <c r="E1719" s="1324">
        <f>+IF(ISBLANK(REPORTS!K1359),"",REPORTS!K1359)</f>
        <v>-3050.3843127802602</v>
      </c>
      <c r="F1719" s="1324">
        <f>+IF(ISBLANK(REPORTS!L1359),"",REPORTS!L1359)</f>
        <v>-462.70319203817832</v>
      </c>
      <c r="G1719" s="1324">
        <f>+IF(ISBLANK(REPORTS!M1359),"",REPORTS!M1359)</f>
        <v>-223.06885864545771</v>
      </c>
      <c r="H1719" s="1324">
        <f>+IF(ISBLANK(REPORTS!N1359),"",REPORTS!N1359)</f>
        <v>-14.380165509314905</v>
      </c>
      <c r="I1719" s="1324">
        <f>+IF(ISBLANK(REPORTS!O1359),"",REPORTS!O1359)</f>
        <v>-15.689364223030321</v>
      </c>
      <c r="J1719" s="1324">
        <f>+IF(ISBLANK(REPORTS!P1359),"",REPORTS!P1359)</f>
        <v>-3.600896318908231</v>
      </c>
      <c r="K1719" s="1324">
        <f>+IF(ISBLANK(REPORTS!Q1359),"",REPORTS!Q1359)</f>
        <v>-4504.494920732307</v>
      </c>
    </row>
    <row r="1720" spans="1:13">
      <c r="A1720" s="1393">
        <v>30</v>
      </c>
      <c r="B1720" s="1324" t="s">
        <v>5244</v>
      </c>
      <c r="C1720" s="1324" t="s">
        <v>4071</v>
      </c>
      <c r="D1720" s="1366">
        <f>+IF(ISBLANK(REPORTS!J1360),"",REPORTS!J1360)</f>
        <v>0</v>
      </c>
      <c r="E1720" s="1366">
        <f>+IF(ISBLANK(REPORTS!K1360),"",REPORTS!K1360)</f>
        <v>0</v>
      </c>
      <c r="F1720" s="1366">
        <f>+IF(ISBLANK(REPORTS!L1360),"",REPORTS!L1360)</f>
        <v>0</v>
      </c>
      <c r="G1720" s="1366">
        <f>+IF(ISBLANK(REPORTS!M1360),"",REPORTS!M1360)</f>
        <v>0</v>
      </c>
      <c r="H1720" s="1366">
        <f>+IF(ISBLANK(REPORTS!N1360),"",REPORTS!N1360)</f>
        <v>0</v>
      </c>
      <c r="I1720" s="1366">
        <f>+IF(ISBLANK(REPORTS!O1360),"",REPORTS!O1360)</f>
        <v>0</v>
      </c>
      <c r="J1720" s="1366">
        <f>+IF(ISBLANK(REPORTS!P1360),"",REPORTS!P1360)</f>
        <v>0</v>
      </c>
      <c r="K1720" s="1366">
        <f>+IF(ISBLANK(REPORTS!Q1360),"",REPORTS!Q1360)</f>
        <v>0</v>
      </c>
      <c r="L1720" s="1358"/>
      <c r="M1720" s="1321"/>
    </row>
    <row r="1721" spans="1:13">
      <c r="A1721" s="1393">
        <v>31</v>
      </c>
      <c r="B1721" s="1324" t="s">
        <v>5748</v>
      </c>
      <c r="D1721" s="1366">
        <f>+IF(ISBLANK(REPORTS!J1361),"",REPORTS!J1361)</f>
        <v>86605.255094290565</v>
      </c>
      <c r="E1721" s="1366">
        <f>+IF(ISBLANK(REPORTS!K1361),"",REPORTS!K1361)</f>
        <v>48833.449856960273</v>
      </c>
      <c r="F1721" s="1366">
        <f>+IF(ISBLANK(REPORTS!L1361),"",REPORTS!L1361)</f>
        <v>4017.8752951876263</v>
      </c>
      <c r="G1721" s="1366">
        <f>+IF(ISBLANK(REPORTS!M1361),"",REPORTS!M1361)</f>
        <v>30432.15469947557</v>
      </c>
      <c r="H1721" s="1366">
        <f>+IF(ISBLANK(REPORTS!N1361),"",REPORTS!N1361)</f>
        <v>4317.7289457937286</v>
      </c>
      <c r="I1721" s="1366">
        <f>+IF(ISBLANK(REPORTS!O1361),"",REPORTS!O1361)</f>
        <v>3515.0796038829139</v>
      </c>
      <c r="J1721" s="1366">
        <f>+IF(ISBLANK(REPORTS!P1361),"",REPORTS!P1361)</f>
        <v>-6.5383862772385699</v>
      </c>
      <c r="K1721" s="1366">
        <f>+IF(ISBLANK(REPORTS!Q1361),"",REPORTS!Q1361)</f>
        <v>-4504.494920732307</v>
      </c>
      <c r="L1721" s="1358"/>
    </row>
    <row r="1722" spans="1:13">
      <c r="D1722" s="1364"/>
      <c r="E1722" s="1364"/>
      <c r="F1722" s="1364"/>
      <c r="G1722" s="1364"/>
      <c r="H1722" s="1364"/>
      <c r="I1722" s="1364"/>
      <c r="J1722" s="1364"/>
      <c r="K1722" s="1364"/>
      <c r="L1722" s="1358"/>
    </row>
    <row r="1723" spans="1:13">
      <c r="D1723" s="1364"/>
      <c r="E1723" s="1364"/>
      <c r="F1723" s="1364"/>
      <c r="G1723" s="1364"/>
      <c r="H1723" s="1364"/>
      <c r="I1723" s="1364"/>
      <c r="J1723" s="1364"/>
      <c r="K1723" s="1364"/>
      <c r="L1723" s="1358"/>
    </row>
    <row r="1724" spans="1:13">
      <c r="D1724" s="1364"/>
      <c r="E1724" s="1364"/>
      <c r="F1724" s="1364"/>
      <c r="G1724" s="1364"/>
      <c r="H1724" s="1364"/>
      <c r="I1724" s="1364"/>
      <c r="J1724" s="1364"/>
      <c r="K1724" s="1364"/>
      <c r="L1724" s="1358"/>
    </row>
    <row r="1725" spans="1:13">
      <c r="D1725" s="1364"/>
      <c r="E1725" s="1364"/>
      <c r="F1725" s="1364"/>
      <c r="G1725" s="1364"/>
      <c r="H1725" s="1364"/>
      <c r="I1725" s="1364"/>
      <c r="J1725" s="1364"/>
      <c r="K1725" s="1364"/>
      <c r="L1725" s="1358"/>
    </row>
    <row r="1726" spans="1:13">
      <c r="D1726" s="1364"/>
      <c r="E1726" s="1364"/>
      <c r="F1726" s="1364"/>
      <c r="G1726" s="1364"/>
      <c r="H1726" s="1364"/>
      <c r="I1726" s="1364"/>
      <c r="J1726" s="1364"/>
      <c r="K1726" s="1364"/>
      <c r="L1726" s="1358"/>
    </row>
    <row r="1727" spans="1:13">
      <c r="D1727" s="1364"/>
      <c r="E1727" s="1364"/>
      <c r="F1727" s="1364"/>
      <c r="G1727" s="1364"/>
      <c r="H1727" s="1364"/>
      <c r="I1727" s="1364"/>
      <c r="J1727" s="1364"/>
      <c r="K1727" s="1364"/>
      <c r="L1727" s="1358"/>
    </row>
    <row r="1728" spans="1:13">
      <c r="D1728" s="1364"/>
      <c r="E1728" s="1364"/>
      <c r="F1728" s="1364"/>
      <c r="G1728" s="1364"/>
      <c r="H1728" s="1364"/>
      <c r="I1728" s="1364"/>
      <c r="J1728" s="1364"/>
      <c r="K1728" s="1364"/>
      <c r="L1728" s="1358"/>
    </row>
    <row r="1729" spans="1:13">
      <c r="D1729" s="1364"/>
      <c r="E1729" s="1364"/>
      <c r="F1729" s="1364"/>
      <c r="G1729" s="1364"/>
      <c r="H1729" s="1364"/>
      <c r="I1729" s="1364"/>
      <c r="J1729" s="1364"/>
      <c r="K1729" s="1364"/>
      <c r="L1729" s="1358"/>
    </row>
    <row r="1730" spans="1:13">
      <c r="D1730" s="1364"/>
      <c r="E1730" s="1364"/>
      <c r="F1730" s="1364"/>
      <c r="G1730" s="1364"/>
      <c r="H1730" s="1364"/>
      <c r="I1730" s="1364"/>
      <c r="J1730" s="1364"/>
      <c r="K1730" s="1364"/>
      <c r="L1730" s="1358"/>
    </row>
    <row r="1731" spans="1:13">
      <c r="D1731" s="1364"/>
      <c r="E1731" s="1364"/>
      <c r="F1731" s="1364"/>
      <c r="G1731" s="1364"/>
      <c r="H1731" s="1364"/>
      <c r="I1731" s="1364"/>
      <c r="J1731" s="1364"/>
      <c r="K1731" s="1364"/>
      <c r="L1731" s="1358"/>
    </row>
    <row r="1732" spans="1:13">
      <c r="D1732" s="1364"/>
      <c r="E1732" s="1364"/>
      <c r="F1732" s="1364"/>
      <c r="G1732" s="1364"/>
      <c r="H1732" s="1364"/>
      <c r="I1732" s="1364"/>
      <c r="J1732" s="1364"/>
      <c r="K1732" s="1364"/>
      <c r="L1732" s="1358"/>
    </row>
    <row r="1733" spans="1:13">
      <c r="D1733" s="1364"/>
      <c r="E1733" s="1364"/>
      <c r="F1733" s="1364"/>
      <c r="G1733" s="1364"/>
      <c r="H1733" s="1364"/>
      <c r="I1733" s="1364"/>
      <c r="J1733" s="1364"/>
      <c r="K1733" s="1364"/>
      <c r="L1733" s="1358"/>
    </row>
    <row r="1734" spans="1:13">
      <c r="D1734" s="1364"/>
      <c r="E1734" s="1364"/>
      <c r="F1734" s="1364"/>
      <c r="G1734" s="1364"/>
      <c r="H1734" s="1364"/>
      <c r="I1734" s="1364"/>
      <c r="J1734" s="1364"/>
      <c r="K1734" s="1364"/>
      <c r="L1734" s="1358"/>
    </row>
    <row r="1735" spans="1:13">
      <c r="D1735" s="1364"/>
      <c r="E1735" s="1364"/>
      <c r="F1735" s="1364"/>
      <c r="G1735" s="1364"/>
      <c r="H1735" s="1364"/>
      <c r="I1735" s="1364"/>
      <c r="J1735" s="1364"/>
      <c r="K1735" s="1364"/>
      <c r="L1735" s="1358"/>
    </row>
    <row r="1736" spans="1:13">
      <c r="D1736" s="1364"/>
      <c r="E1736" s="1364"/>
      <c r="F1736" s="1364"/>
      <c r="G1736" s="1364"/>
      <c r="H1736" s="1364"/>
      <c r="I1736" s="1364"/>
      <c r="J1736" s="1364"/>
      <c r="K1736" s="1364"/>
      <c r="L1736" s="1358"/>
    </row>
    <row r="1737" spans="1:13">
      <c r="D1737" s="1364"/>
      <c r="E1737" s="1364"/>
      <c r="F1737" s="1364"/>
      <c r="G1737" s="1364"/>
      <c r="H1737" s="1364"/>
      <c r="I1737" s="1364"/>
      <c r="J1737" s="1364"/>
      <c r="K1737" s="1364"/>
      <c r="L1737" s="1358"/>
    </row>
    <row r="1738" spans="1:13">
      <c r="D1738" s="1364"/>
      <c r="E1738" s="1364"/>
      <c r="F1738" s="1364"/>
      <c r="G1738" s="1364"/>
      <c r="H1738" s="1364"/>
      <c r="I1738" s="1364"/>
      <c r="J1738" s="1364"/>
      <c r="K1738" s="1364"/>
      <c r="L1738" s="1358"/>
    </row>
    <row r="1739" spans="1:13">
      <c r="D1739" s="1364"/>
      <c r="E1739" s="1364"/>
      <c r="F1739" s="1364"/>
      <c r="G1739" s="1364"/>
      <c r="H1739" s="1364"/>
      <c r="I1739" s="1364"/>
      <c r="J1739" s="1364"/>
      <c r="K1739" s="1364"/>
      <c r="L1739" s="1358"/>
    </row>
    <row r="1740" spans="1:13">
      <c r="D1740" s="1364"/>
      <c r="E1740" s="1364"/>
      <c r="F1740" s="1364"/>
      <c r="G1740" s="1364"/>
      <c r="H1740" s="1364"/>
      <c r="I1740" s="1364"/>
      <c r="J1740" s="1364"/>
      <c r="K1740" s="1364"/>
      <c r="L1740" s="1358"/>
    </row>
    <row r="1741" spans="1:13">
      <c r="D1741" s="1364"/>
      <c r="E1741" s="1364"/>
      <c r="F1741" s="1364"/>
      <c r="G1741" s="1364"/>
      <c r="H1741" s="1364"/>
      <c r="I1741" s="1364"/>
      <c r="J1741" s="1364"/>
      <c r="K1741" s="1364"/>
      <c r="L1741" s="1358"/>
    </row>
    <row r="1742" spans="1:13">
      <c r="A1742" s="1732" t="str">
        <f>+$A$1</f>
        <v>RATES WITH REVENUE DEFICIENCY ADDITION</v>
      </c>
      <c r="F1742" s="1329" t="s">
        <v>2173</v>
      </c>
      <c r="G1742" s="1329"/>
      <c r="H1742" s="1329"/>
      <c r="I1742" s="1329"/>
      <c r="M1742" s="1334" t="s">
        <v>5911</v>
      </c>
    </row>
    <row r="1743" spans="1:13">
      <c r="A1743" s="1732" t="str">
        <f>+$A$2</f>
        <v>PROD. CAP. ALLOC. METHOD: 12 CP &amp; 1/13th AD</v>
      </c>
      <c r="F1743" s="1336" t="s">
        <v>5141</v>
      </c>
      <c r="G1743" s="1336"/>
      <c r="H1743" s="1336"/>
      <c r="I1743" s="1336"/>
      <c r="L1743" s="1331"/>
      <c r="M1743" s="1409"/>
    </row>
    <row r="1744" spans="1:13">
      <c r="A1744" s="1732" t="str">
        <f>+$A$3</f>
        <v>PROJECTED CALENDAR YEAR 2025; FULLY ADJUSTED DATA</v>
      </c>
      <c r="F1744" s="1336" t="s">
        <v>2181</v>
      </c>
      <c r="J1744" s="1364"/>
      <c r="K1744" s="1364"/>
      <c r="L1744" s="1358"/>
    </row>
    <row r="1745" spans="1:13">
      <c r="A1745" s="1732" t="str">
        <f>+$A$4</f>
        <v>MINIMUM DISTRIBUTION SYSTEM (MDS) NOT EMPLOYED</v>
      </c>
      <c r="D1745" s="1364"/>
      <c r="E1745" s="1364"/>
      <c r="J1745" s="1364"/>
      <c r="K1745" s="1364"/>
      <c r="L1745" s="1358"/>
    </row>
    <row r="1746" spans="1:13">
      <c r="A1746" s="1732" t="str">
        <f>+$A$5</f>
        <v>Tampa Electric 2025 OB Budget</v>
      </c>
      <c r="D1746" s="1364"/>
      <c r="E1746" s="1364"/>
      <c r="F1746" s="1336" t="s">
        <v>5732</v>
      </c>
      <c r="G1746" s="1336"/>
      <c r="H1746" s="1336"/>
      <c r="I1746" s="1336"/>
      <c r="J1746" s="1364"/>
      <c r="K1746" s="1364"/>
      <c r="L1746" s="1358"/>
    </row>
    <row r="1747" spans="1:13">
      <c r="D1747" s="1364"/>
      <c r="E1747" s="1364"/>
      <c r="J1747" s="1364"/>
      <c r="K1747" s="1364"/>
      <c r="L1747" s="1358"/>
    </row>
    <row r="1748" spans="1:13">
      <c r="D1748" s="1364"/>
      <c r="E1748" s="1364"/>
      <c r="F1748" s="1336"/>
      <c r="G1748" s="1336"/>
      <c r="H1748" s="1336"/>
      <c r="I1748" s="1336"/>
      <c r="J1748" s="1364"/>
      <c r="K1748" s="1364"/>
      <c r="L1748" s="1358"/>
    </row>
    <row r="1749" spans="1:13">
      <c r="D1749" s="1364"/>
      <c r="E1749" s="1364"/>
      <c r="F1749" s="1336"/>
      <c r="G1749" s="1336"/>
      <c r="H1749" s="1336"/>
      <c r="I1749" s="1336"/>
      <c r="J1749" s="1364"/>
      <c r="K1749" s="1364"/>
      <c r="L1749" s="1358"/>
    </row>
    <row r="1750" spans="1:13">
      <c r="D1750" s="1364"/>
      <c r="E1750" s="1364"/>
      <c r="F1750" s="1364"/>
      <c r="G1750" s="1364"/>
      <c r="H1750" s="1364"/>
      <c r="I1750" s="1364"/>
      <c r="J1750" s="1364"/>
      <c r="K1750" s="1364"/>
      <c r="L1750" s="1358"/>
    </row>
    <row r="1751" spans="1:13" ht="28.2">
      <c r="A1751" s="1737" t="s">
        <v>4297</v>
      </c>
      <c r="B1751" s="1741"/>
      <c r="C1751" s="1741"/>
      <c r="D1751" s="1352" t="s">
        <v>4957</v>
      </c>
      <c r="E1751" s="1353" t="s">
        <v>1949</v>
      </c>
      <c r="F1751" s="1353" t="s">
        <v>1950</v>
      </c>
      <c r="G1751" s="1353" t="s">
        <v>1934</v>
      </c>
      <c r="H1751" s="1353" t="s">
        <v>1971</v>
      </c>
      <c r="I1751" s="1353" t="s">
        <v>1972</v>
      </c>
      <c r="J1751" s="1352" t="s">
        <v>5146</v>
      </c>
      <c r="K1751" s="1352" t="s">
        <v>5147</v>
      </c>
      <c r="L1751" s="1355"/>
      <c r="M1751" s="1348" t="s">
        <v>5299</v>
      </c>
    </row>
    <row r="1753" spans="1:13">
      <c r="A1753" s="1393">
        <v>32</v>
      </c>
      <c r="B1753" s="1362" t="s">
        <v>5751</v>
      </c>
    </row>
    <row r="1754" spans="1:13">
      <c r="A1754" s="1393">
        <v>33</v>
      </c>
      <c r="B1754" s="1324" t="s">
        <v>5265</v>
      </c>
      <c r="C1754" s="1324" t="s">
        <v>4067</v>
      </c>
      <c r="D1754" s="1364">
        <f>+IF(ISBLANK(REPORTS!J1379),"",REPORTS!J1379)</f>
        <v>48111.724254037937</v>
      </c>
      <c r="E1754" s="1324">
        <f>+IF(ISBLANK(REPORTS!K1379),"",REPORTS!K1379)</f>
        <v>27626.45770542957</v>
      </c>
      <c r="F1754" s="1324">
        <f>+IF(ISBLANK(REPORTS!L1379),"",REPORTS!L1379)</f>
        <v>2297.4340611158109</v>
      </c>
      <c r="G1754" s="1324">
        <f>+IF(ISBLANK(REPORTS!M1379),"",REPORTS!M1379)</f>
        <v>14868.787201574678</v>
      </c>
      <c r="H1754" s="1324">
        <f>+IF(ISBLANK(REPORTS!N1379),"",REPORTS!N1379)</f>
        <v>1900.331635131058</v>
      </c>
      <c r="I1754" s="1324">
        <f>+IF(ISBLANK(REPORTS!O1379),"",REPORTS!O1379)</f>
        <v>1367.6746399125832</v>
      </c>
      <c r="J1754" s="1324">
        <f>+IF(ISBLANK(REPORTS!P1379),"",REPORTS!P1379)</f>
        <v>51.039010874237889</v>
      </c>
      <c r="K1754" s="1324">
        <f>+IF(ISBLANK(REPORTS!Q1379),"",REPORTS!Q1379)</f>
        <v>0</v>
      </c>
      <c r="L1754" s="1324"/>
      <c r="M1754" s="1324">
        <v>122</v>
      </c>
    </row>
    <row r="1755" spans="1:13">
      <c r="A1755" s="1393">
        <v>34</v>
      </c>
      <c r="B1755" s="1324" t="s">
        <v>5265</v>
      </c>
      <c r="C1755" s="1324" t="s">
        <v>2067</v>
      </c>
      <c r="D1755" s="1324">
        <f>+IF(ISBLANK(REPORTS!J1380),"",REPORTS!J1380)</f>
        <v>12701.786352034356</v>
      </c>
      <c r="E1755" s="1364">
        <f>+IF(ISBLANK(REPORTS!K1380),"",REPORTS!K1380)</f>
        <v>6409.7556065912468</v>
      </c>
      <c r="F1755" s="1364">
        <f>+IF(ISBLANK(REPORTS!L1380),"",REPORTS!L1380)</f>
        <v>592.33645263532571</v>
      </c>
      <c r="G1755" s="1364">
        <f>+IF(ISBLANK(REPORTS!M1380),"",REPORTS!M1380)</f>
        <v>4412.6765010709032</v>
      </c>
      <c r="H1755" s="1364">
        <f>+IF(ISBLANK(REPORTS!N1380),"",REPORTS!N1380)</f>
        <v>702.42714859518287</v>
      </c>
      <c r="I1755" s="1364">
        <f>+IF(ISBLANK(REPORTS!O1380),"",REPORTS!O1380)</f>
        <v>517.48641423921697</v>
      </c>
      <c r="J1755" s="1364">
        <f>+IF(ISBLANK(REPORTS!P1380),"",REPORTS!P1380)</f>
        <v>67.104228902480898</v>
      </c>
      <c r="K1755" s="1364">
        <f>+IF(ISBLANK(REPORTS!Q1380),"",REPORTS!Q1380)</f>
        <v>0</v>
      </c>
      <c r="L1755" s="1358"/>
      <c r="M1755" s="1320">
        <v>201</v>
      </c>
    </row>
    <row r="1756" spans="1:13">
      <c r="A1756" s="1393">
        <v>35</v>
      </c>
      <c r="B1756" s="1324" t="s">
        <v>5268</v>
      </c>
      <c r="C1756" s="1324" t="s">
        <v>4067</v>
      </c>
      <c r="D1756" s="1364">
        <f>+IF(ISBLANK(REPORTS!J1381),"",REPORTS!J1381)</f>
        <v>1906.603834960795</v>
      </c>
      <c r="E1756" s="1364">
        <f>+IF(ISBLANK(REPORTS!K1381),"",REPORTS!K1381)</f>
        <v>1105.8550866271473</v>
      </c>
      <c r="F1756" s="1364">
        <f>+IF(ISBLANK(REPORTS!L1381),"",REPORTS!L1381)</f>
        <v>91.221890378477923</v>
      </c>
      <c r="G1756" s="1364">
        <f>+IF(ISBLANK(REPORTS!M1381),"",REPORTS!M1381)</f>
        <v>583.13571643987575</v>
      </c>
      <c r="H1756" s="1364">
        <f>+IF(ISBLANK(REPORTS!N1381),"",REPORTS!N1381)</f>
        <v>72.796762343990991</v>
      </c>
      <c r="I1756" s="1364">
        <f>+IF(ISBLANK(REPORTS!O1381),"",REPORTS!O1381)</f>
        <v>52.242611145187233</v>
      </c>
      <c r="J1756" s="1364">
        <f>+IF(ISBLANK(REPORTS!P1381),"",REPORTS!P1381)</f>
        <v>1.351768026115957</v>
      </c>
      <c r="K1756" s="1364">
        <f>+IF(ISBLANK(REPORTS!Q1381),"",REPORTS!Q1381)</f>
        <v>0</v>
      </c>
      <c r="L1756" s="1358"/>
      <c r="M1756" s="1320">
        <v>117</v>
      </c>
    </row>
    <row r="1757" spans="1:13">
      <c r="A1757" s="1393">
        <v>36</v>
      </c>
      <c r="B1757" s="1324" t="s">
        <v>5239</v>
      </c>
      <c r="C1757" s="1324" t="s">
        <v>4067</v>
      </c>
      <c r="D1757" s="1364">
        <f>+IF(ISBLANK(REPORTS!J1382),"",REPORTS!J1382)</f>
        <v>5360.479692296718</v>
      </c>
      <c r="E1757" s="1364">
        <f>+IF(ISBLANK(REPORTS!K1382),"",REPORTS!K1382)</f>
        <v>3109.1481228504636</v>
      </c>
      <c r="F1757" s="1364">
        <f>+IF(ISBLANK(REPORTS!L1382),"",REPORTS!L1382)</f>
        <v>256.4733595413141</v>
      </c>
      <c r="G1757" s="1364">
        <f>+IF(ISBLANK(REPORTS!M1382),"",REPORTS!M1382)</f>
        <v>1639.5053385031756</v>
      </c>
      <c r="H1757" s="1364">
        <f>+IF(ISBLANK(REPORTS!N1382),"",REPORTS!N1382)</f>
        <v>204.67050315040314</v>
      </c>
      <c r="I1757" s="1364">
        <f>+IF(ISBLANK(REPORTS!O1382),"",REPORTS!O1382)</f>
        <v>146.88182777209659</v>
      </c>
      <c r="J1757" s="1364">
        <f>+IF(ISBLANK(REPORTS!P1382),"",REPORTS!P1382)</f>
        <v>3.8005404792651154</v>
      </c>
      <c r="K1757" s="1364">
        <f>+IF(ISBLANK(REPORTS!Q1382),"",REPORTS!Q1382)</f>
        <v>0</v>
      </c>
      <c r="L1757" s="1358"/>
      <c r="M1757" s="1320">
        <v>117</v>
      </c>
    </row>
    <row r="1758" spans="1:13">
      <c r="A1758" s="1393">
        <v>37</v>
      </c>
      <c r="B1758" s="1324" t="s">
        <v>5240</v>
      </c>
      <c r="C1758" s="1324" t="s">
        <v>4067</v>
      </c>
      <c r="D1758" s="1364">
        <f>+IF(ISBLANK(REPORTS!J1383),"",REPORTS!J1383)</f>
        <v>28148.805374130741</v>
      </c>
      <c r="E1758" s="1364">
        <f>+IF(ISBLANK(REPORTS!K1383),"",REPORTS!K1383)</f>
        <v>17520.267185697601</v>
      </c>
      <c r="F1758" s="1364">
        <f>+IF(ISBLANK(REPORTS!L1383),"",REPORTS!L1383)</f>
        <v>1246.0853441173379</v>
      </c>
      <c r="G1758" s="1364">
        <f>+IF(ISBLANK(REPORTS!M1383),"",REPORTS!M1383)</f>
        <v>8343.3194020318369</v>
      </c>
      <c r="H1758" s="1364">
        <f>+IF(ISBLANK(REPORTS!N1383),"",REPORTS!N1383)</f>
        <v>877.54944956305962</v>
      </c>
      <c r="I1758" s="1364">
        <f>+IF(ISBLANK(REPORTS!O1383),"",REPORTS!O1383)</f>
        <v>5.9917366849234876E-4</v>
      </c>
      <c r="J1758" s="1364">
        <f>+IF(ISBLANK(REPORTS!P1383),"",REPORTS!P1383)</f>
        <v>161.58339354724311</v>
      </c>
      <c r="K1758" s="1364">
        <f>+IF(ISBLANK(REPORTS!Q1383),"",REPORTS!Q1383)</f>
        <v>0</v>
      </c>
      <c r="L1758" s="1358"/>
      <c r="M1758" s="1320">
        <v>105</v>
      </c>
    </row>
    <row r="1759" spans="1:13">
      <c r="A1759" s="1393">
        <v>38</v>
      </c>
      <c r="B1759" s="1324" t="s">
        <v>5241</v>
      </c>
      <c r="C1759" s="1324" t="s">
        <v>4067</v>
      </c>
      <c r="D1759" s="1364">
        <f>+IF(ISBLANK(REPORTS!J1384),"",REPORTS!J1384)</f>
        <v>4855.8763860161816</v>
      </c>
      <c r="E1759" s="1364">
        <f>+IF(ISBLANK(REPORTS!K1384),"",REPORTS!K1384)</f>
        <v>3543.008923965609</v>
      </c>
      <c r="F1759" s="1364">
        <f>+IF(ISBLANK(REPORTS!L1384),"",REPORTS!L1384)</f>
        <v>285.2825337634041</v>
      </c>
      <c r="G1759" s="1364">
        <f>+IF(ISBLANK(REPORTS!M1384),"",REPORTS!M1384)</f>
        <v>1010.0191440828733</v>
      </c>
      <c r="H1759" s="1364">
        <f>+IF(ISBLANK(REPORTS!N1384),"",REPORTS!N1384)</f>
        <v>0</v>
      </c>
      <c r="I1759" s="1364">
        <f>+IF(ISBLANK(REPORTS!O1384),"",REPORTS!O1384)</f>
        <v>0</v>
      </c>
      <c r="J1759" s="1364">
        <f>+IF(ISBLANK(REPORTS!P1384),"",REPORTS!P1384)</f>
        <v>17.565784204295177</v>
      </c>
      <c r="K1759" s="1364">
        <f>+IF(ISBLANK(REPORTS!Q1384),"",REPORTS!Q1384)</f>
        <v>0</v>
      </c>
      <c r="L1759" s="1358"/>
      <c r="M1759" s="1320">
        <v>106</v>
      </c>
    </row>
    <row r="1760" spans="1:13">
      <c r="A1760" s="1393">
        <v>39</v>
      </c>
      <c r="B1760" s="1324" t="s">
        <v>5242</v>
      </c>
      <c r="C1760" s="1324" t="s">
        <v>4071</v>
      </c>
      <c r="D1760" s="1364">
        <f>+IF(ISBLANK(REPORTS!J1385),"",REPORTS!J1385)</f>
        <v>18043.691341606445</v>
      </c>
      <c r="E1760" s="1364">
        <f>+IF(ISBLANK(REPORTS!K1385),"",REPORTS!K1385)</f>
        <v>6651.9280903617719</v>
      </c>
      <c r="F1760" s="1364">
        <f>+IF(ISBLANK(REPORTS!L1385),"",REPORTS!L1385)</f>
        <v>1009.0100279244831</v>
      </c>
      <c r="G1760" s="1364">
        <f>+IF(ISBLANK(REPORTS!M1385),"",REPORTS!M1385)</f>
        <v>486.44297070758978</v>
      </c>
      <c r="H1760" s="1364">
        <f>+IF(ISBLANK(REPORTS!N1385),"",REPORTS!N1385)</f>
        <v>31.358614878358786</v>
      </c>
      <c r="I1760" s="1364">
        <f>+IF(ISBLANK(REPORTS!O1385),"",REPORTS!O1385)</f>
        <v>34.213565208106438</v>
      </c>
      <c r="J1760" s="1364">
        <f>+IF(ISBLANK(REPORTS!P1385),"",REPORTS!P1385)</f>
        <v>7.8524215043560162</v>
      </c>
      <c r="K1760" s="1364">
        <f>+IF(ISBLANK(REPORTS!Q1385),"",REPORTS!Q1385)</f>
        <v>9822.8856510217811</v>
      </c>
      <c r="L1760" s="1358"/>
      <c r="M1760" s="1320">
        <v>907</v>
      </c>
    </row>
    <row r="1761" spans="1:13">
      <c r="A1761" s="1393">
        <v>40</v>
      </c>
      <c r="B1761" s="1324" t="s">
        <v>5244</v>
      </c>
      <c r="C1761" s="1324" t="s">
        <v>4071</v>
      </c>
      <c r="D1761" s="1366">
        <f>+IF(ISBLANK(REPORTS!J1386),"",REPORTS!J1386)</f>
        <v>24440.601398676023</v>
      </c>
      <c r="E1761" s="1364">
        <f>+IF(ISBLANK(REPORTS!K1386),"",REPORTS!K1386)</f>
        <v>21798.250127191015</v>
      </c>
      <c r="F1761" s="1364">
        <f>+IF(ISBLANK(REPORTS!L1386),"",REPORTS!L1386)</f>
        <v>2113.1441177665888</v>
      </c>
      <c r="G1761" s="1364">
        <f>+IF(ISBLANK(REPORTS!M1386),"",REPORTS!M1386)</f>
        <v>520.44938751774282</v>
      </c>
      <c r="H1761" s="1364">
        <f>+IF(ISBLANK(REPORTS!N1386),"",REPORTS!N1386)</f>
        <v>1.7572216972226791</v>
      </c>
      <c r="I1761" s="1364">
        <f>+IF(ISBLANK(REPORTS!O1386),"",REPORTS!O1386)</f>
        <v>0.31176513982983017</v>
      </c>
      <c r="J1761" s="1364">
        <f>+IF(ISBLANK(REPORTS!P1386),"",REPORTS!P1386)</f>
        <v>6.6887793636218102</v>
      </c>
      <c r="K1761" s="1364">
        <f>+IF(ISBLANK(REPORTS!Q1386),"",REPORTS!Q1386)</f>
        <v>0</v>
      </c>
      <c r="L1761" s="1358"/>
      <c r="M1761" s="1320">
        <v>412</v>
      </c>
    </row>
    <row r="1762" spans="1:13">
      <c r="A1762" s="1393">
        <v>41</v>
      </c>
      <c r="B1762" s="1324" t="s">
        <v>5752</v>
      </c>
      <c r="D1762" s="1421">
        <f>+IF(ISBLANK(REPORTS!J1387),"",REPORTS!J1387)</f>
        <v>143569.56863375919</v>
      </c>
      <c r="E1762" s="1421">
        <f>+IF(ISBLANK(REPORTS!K1387),"",REPORTS!K1387)</f>
        <v>87764.670848714421</v>
      </c>
      <c r="F1762" s="1421">
        <f>+IF(ISBLANK(REPORTS!L1387),"",REPORTS!L1387)</f>
        <v>7890.9877872427423</v>
      </c>
      <c r="G1762" s="1421">
        <f>+IF(ISBLANK(REPORTS!M1387),"",REPORTS!M1387)</f>
        <v>31864.335661928679</v>
      </c>
      <c r="H1762" s="1421">
        <f>+IF(ISBLANK(REPORTS!N1387),"",REPORTS!N1387)</f>
        <v>3790.8913353592757</v>
      </c>
      <c r="I1762" s="1421">
        <f>+IF(ISBLANK(REPORTS!O1387),"",REPORTS!O1387)</f>
        <v>2118.8114225906888</v>
      </c>
      <c r="J1762" s="1421">
        <f>+IF(ISBLANK(REPORTS!P1387),"",REPORTS!P1387)</f>
        <v>316.98592690161598</v>
      </c>
      <c r="K1762" s="1421">
        <f>+IF(ISBLANK(REPORTS!Q1387),"",REPORTS!Q1387)</f>
        <v>9822.8856510217811</v>
      </c>
      <c r="L1762" s="1358"/>
    </row>
    <row r="1763" spans="1:13">
      <c r="A1763" s="1393">
        <v>42</v>
      </c>
      <c r="D1763" s="1324" t="str">
        <f>+IF(ISBLANK(REPORTS!J1388),"",REPORTS!J1388)</f>
        <v/>
      </c>
      <c r="E1763" s="1324" t="str">
        <f>+IF(ISBLANK(REPORTS!K1388),"",REPORTS!K1388)</f>
        <v/>
      </c>
      <c r="F1763" s="1324" t="str">
        <f>+IF(ISBLANK(REPORTS!L1388),"",REPORTS!L1388)</f>
        <v/>
      </c>
      <c r="G1763" s="1324" t="str">
        <f>+IF(ISBLANK(REPORTS!M1388),"",REPORTS!M1388)</f>
        <v/>
      </c>
      <c r="H1763" s="1324" t="str">
        <f>+IF(ISBLANK(REPORTS!N1388),"",REPORTS!N1388)</f>
        <v/>
      </c>
      <c r="I1763" s="1324" t="str">
        <f>+IF(ISBLANK(REPORTS!O1388),"",REPORTS!O1388)</f>
        <v/>
      </c>
      <c r="J1763" s="1324" t="str">
        <f>+IF(ISBLANK(REPORTS!P1388),"",REPORTS!P1388)</f>
        <v/>
      </c>
      <c r="K1763" s="1324" t="str">
        <f>+IF(ISBLANK(REPORTS!Q1388),"",REPORTS!Q1388)</f>
        <v/>
      </c>
    </row>
    <row r="1764" spans="1:13">
      <c r="A1764" s="1393">
        <v>43</v>
      </c>
      <c r="B1764" s="1362" t="s">
        <v>5754</v>
      </c>
      <c r="D1764" s="1324" t="str">
        <f>+IF(ISBLANK(REPORTS!J1389),"",REPORTS!J1389)</f>
        <v/>
      </c>
      <c r="E1764" s="1324" t="str">
        <f>+IF(ISBLANK(REPORTS!K1389),"",REPORTS!K1389)</f>
        <v/>
      </c>
      <c r="F1764" s="1324" t="str">
        <f>+IF(ISBLANK(REPORTS!L1389),"",REPORTS!L1389)</f>
        <v/>
      </c>
      <c r="G1764" s="1324" t="str">
        <f>+IF(ISBLANK(REPORTS!M1389),"",REPORTS!M1389)</f>
        <v/>
      </c>
      <c r="H1764" s="1324" t="str">
        <f>+IF(ISBLANK(REPORTS!N1389),"",REPORTS!N1389)</f>
        <v/>
      </c>
      <c r="I1764" s="1324" t="str">
        <f>+IF(ISBLANK(REPORTS!O1389),"",REPORTS!O1389)</f>
        <v/>
      </c>
      <c r="J1764" s="1324" t="str">
        <f>+IF(ISBLANK(REPORTS!P1389),"",REPORTS!P1389)</f>
        <v/>
      </c>
      <c r="K1764" s="1324" t="str">
        <f>+IF(ISBLANK(REPORTS!Q1389),"",REPORTS!Q1389)</f>
        <v/>
      </c>
    </row>
    <row r="1765" spans="1:13">
      <c r="A1765" s="1393">
        <v>44</v>
      </c>
      <c r="B1765" s="1324" t="s">
        <v>5265</v>
      </c>
      <c r="C1765" s="1324" t="s">
        <v>4067</v>
      </c>
      <c r="D1765" s="1324">
        <f>+IF(ISBLANK(REPORTS!J1390),"",REPORTS!J1390)</f>
        <v>154919.48494816257</v>
      </c>
      <c r="E1765" s="1324">
        <f>+IF(ISBLANK(REPORTS!K1390),"",REPORTS!K1390)</f>
        <v>88957.040410127112</v>
      </c>
      <c r="F1765" s="1324">
        <f>+IF(ISBLANK(REPORTS!L1390),"",REPORTS!L1390)</f>
        <v>7397.7249198370882</v>
      </c>
      <c r="G1765" s="1324">
        <f>+IF(ISBLANK(REPORTS!M1390),"",REPORTS!M1390)</f>
        <v>47877.412227196459</v>
      </c>
      <c r="H1765" s="1324">
        <f>+IF(ISBLANK(REPORTS!N1390),"",REPORTS!N1390)</f>
        <v>6119.0573131557367</v>
      </c>
      <c r="I1765" s="1324">
        <f>+IF(ISBLANK(REPORTS!O1390),"",REPORTS!O1390)</f>
        <v>4403.9047462352873</v>
      </c>
      <c r="J1765" s="1324">
        <f>+IF(ISBLANK(REPORTS!P1390),"",REPORTS!P1390)</f>
        <v>164.34533161087001</v>
      </c>
      <c r="K1765" s="1324">
        <f>+IF(ISBLANK(REPORTS!Q1390),"",REPORTS!Q1390)</f>
        <v>0</v>
      </c>
    </row>
    <row r="1766" spans="1:13">
      <c r="A1766" s="1393">
        <v>45</v>
      </c>
      <c r="B1766" s="1324" t="s">
        <v>5265</v>
      </c>
      <c r="C1766" s="1324" t="s">
        <v>2067</v>
      </c>
      <c r="D1766" s="1364">
        <f>+IF(ISBLANK(REPORTS!J1391),"",REPORTS!J1391)</f>
        <v>15756.28481087529</v>
      </c>
      <c r="E1766" s="1364">
        <f>+IF(ISBLANK(REPORTS!K1391),"",REPORTS!K1391)</f>
        <v>7951.1599476227138</v>
      </c>
      <c r="F1766" s="1364">
        <f>+IF(ISBLANK(REPORTS!L1391),"",REPORTS!L1391)</f>
        <v>734.78025790371828</v>
      </c>
      <c r="G1766" s="1364">
        <f>+IF(ISBLANK(REPORTS!M1391),"",REPORTS!M1391)</f>
        <v>5473.8275233226605</v>
      </c>
      <c r="H1766" s="1364">
        <f>+IF(ISBLANK(REPORTS!N1391),"",REPORTS!N1391)</f>
        <v>871.34532934291508</v>
      </c>
      <c r="I1766" s="1364">
        <f>+IF(ISBLANK(REPORTS!O1391),"",REPORTS!O1391)</f>
        <v>641.93044210712753</v>
      </c>
      <c r="J1766" s="1364">
        <f>+IF(ISBLANK(REPORTS!P1391),"",REPORTS!P1391)</f>
        <v>83.241310576154973</v>
      </c>
      <c r="K1766" s="1364">
        <f>+IF(ISBLANK(REPORTS!Q1391),"",REPORTS!Q1391)</f>
        <v>0</v>
      </c>
      <c r="L1766" s="1358"/>
    </row>
    <row r="1767" spans="1:13">
      <c r="A1767" s="1393">
        <v>46</v>
      </c>
      <c r="B1767" s="1324" t="s">
        <v>5268</v>
      </c>
      <c r="C1767" s="1324" t="s">
        <v>4067</v>
      </c>
      <c r="D1767" s="1364">
        <f>+IF(ISBLANK(REPORTS!J1392),"",REPORTS!J1392)</f>
        <v>8718.5405185939671</v>
      </c>
      <c r="E1767" s="1364">
        <f>+IF(ISBLANK(REPORTS!K1392),"",REPORTS!K1392)</f>
        <v>5056.8671916314906</v>
      </c>
      <c r="F1767" s="1364">
        <f>+IF(ISBLANK(REPORTS!L1392),"",REPORTS!L1392)</f>
        <v>417.1405369400461</v>
      </c>
      <c r="G1767" s="1364">
        <f>+IF(ISBLANK(REPORTS!M1392),"",REPORTS!M1392)</f>
        <v>2666.5698864100532</v>
      </c>
      <c r="H1767" s="1364">
        <f>+IF(ISBLANK(REPORTS!N1392),"",REPORTS!N1392)</f>
        <v>332.88589400723185</v>
      </c>
      <c r="I1767" s="1364">
        <f>+IF(ISBLANK(REPORTS!O1392),"",REPORTS!O1392)</f>
        <v>238.89562882151111</v>
      </c>
      <c r="J1767" s="1364">
        <f>+IF(ISBLANK(REPORTS!P1392),"",REPORTS!P1392)</f>
        <v>6.1813807836351602</v>
      </c>
      <c r="K1767" s="1364">
        <f>+IF(ISBLANK(REPORTS!Q1392),"",REPORTS!Q1392)</f>
        <v>0</v>
      </c>
      <c r="L1767" s="1358"/>
    </row>
    <row r="1768" spans="1:13">
      <c r="A1768" s="1393">
        <v>47</v>
      </c>
      <c r="B1768" s="1324" t="s">
        <v>5239</v>
      </c>
      <c r="C1768" s="1324" t="s">
        <v>4067</v>
      </c>
      <c r="D1768" s="1364">
        <f>+IF(ISBLANK(REPORTS!J1393),"",REPORTS!J1393)</f>
        <v>12055.237214958377</v>
      </c>
      <c r="E1768" s="1364">
        <f>+IF(ISBLANK(REPORTS!K1393),"",REPORTS!K1393)</f>
        <v>6992.1947864605736</v>
      </c>
      <c r="F1768" s="1364">
        <f>+IF(ISBLANK(REPORTS!L1393),"",REPORTS!L1393)</f>
        <v>576.78554272502731</v>
      </c>
      <c r="G1768" s="1364">
        <f>+IF(ISBLANK(REPORTS!M1393),"",REPORTS!M1393)</f>
        <v>3687.1002047166016</v>
      </c>
      <c r="H1768" s="1364">
        <f>+IF(ISBLANK(REPORTS!N1393),"",REPORTS!N1393)</f>
        <v>460.28557293644917</v>
      </c>
      <c r="I1768" s="1364">
        <f>+IF(ISBLANK(REPORTS!O1393),"",REPORTS!O1393)</f>
        <v>330.32403404192814</v>
      </c>
      <c r="J1768" s="1364">
        <f>+IF(ISBLANK(REPORTS!P1393),"",REPORTS!P1393)</f>
        <v>8.5470740777981291</v>
      </c>
      <c r="K1768" s="1364">
        <f>+IF(ISBLANK(REPORTS!Q1393),"",REPORTS!Q1393)</f>
        <v>0</v>
      </c>
      <c r="L1768" s="1358"/>
    </row>
    <row r="1769" spans="1:13">
      <c r="A1769" s="1393">
        <v>48</v>
      </c>
      <c r="B1769" s="1324" t="s">
        <v>5240</v>
      </c>
      <c r="C1769" s="1324" t="s">
        <v>4067</v>
      </c>
      <c r="D1769" s="1364">
        <f>+IF(ISBLANK(REPORTS!J1394),"",REPORTS!J1394)</f>
        <v>9825.400347507526</v>
      </c>
      <c r="E1769" s="1364">
        <f>+IF(ISBLANK(REPORTS!K1394),"",REPORTS!K1394)</f>
        <v>6115.4865013554354</v>
      </c>
      <c r="F1769" s="1364">
        <f>+IF(ISBLANK(REPORTS!L1394),"",REPORTS!L1394)</f>
        <v>434.94873797970581</v>
      </c>
      <c r="G1769" s="1364">
        <f>+IF(ISBLANK(REPORTS!M1394),"",REPORTS!M1394)</f>
        <v>2912.25337141404</v>
      </c>
      <c r="H1769" s="1364">
        <f>+IF(ISBLANK(REPORTS!N1394),"",REPORTS!N1394)</f>
        <v>306.31050064440569</v>
      </c>
      <c r="I1769" s="1364">
        <f>+IF(ISBLANK(REPORTS!O1394),"",REPORTS!O1394)</f>
        <v>2.0914284256029042E-4</v>
      </c>
      <c r="J1769" s="1364">
        <f>+IF(ISBLANK(REPORTS!P1394),"",REPORTS!P1394)</f>
        <v>56.401026971097693</v>
      </c>
      <c r="K1769" s="1364">
        <f>+IF(ISBLANK(REPORTS!Q1394),"",REPORTS!Q1394)</f>
        <v>0</v>
      </c>
      <c r="L1769" s="1358"/>
    </row>
    <row r="1770" spans="1:13">
      <c r="A1770" s="1393">
        <v>49</v>
      </c>
      <c r="B1770" s="1324" t="s">
        <v>5241</v>
      </c>
      <c r="C1770" s="1324" t="s">
        <v>4067</v>
      </c>
      <c r="D1770" s="1364">
        <f>+IF(ISBLANK(REPORTS!J1395),"",REPORTS!J1395)</f>
        <v>-5310.0951420829697</v>
      </c>
      <c r="E1770" s="1364">
        <f>+IF(ISBLANK(REPORTS!K1395),"",REPORTS!K1395)</f>
        <v>-3874.4220362951583</v>
      </c>
      <c r="F1770" s="1364">
        <f>+IF(ISBLANK(REPORTS!L1395),"",REPORTS!L1395)</f>
        <v>-311.96786660811108</v>
      </c>
      <c r="G1770" s="1364">
        <f>+IF(ISBLANK(REPORTS!M1395),"",REPORTS!M1395)</f>
        <v>-1104.4963512354514</v>
      </c>
      <c r="H1770" s="1364">
        <f>+IF(ISBLANK(REPORTS!N1395),"",REPORTS!N1395)</f>
        <v>0</v>
      </c>
      <c r="I1770" s="1364">
        <f>+IF(ISBLANK(REPORTS!O1395),"",REPORTS!O1395)</f>
        <v>0</v>
      </c>
      <c r="J1770" s="1364">
        <f>+IF(ISBLANK(REPORTS!P1395),"",REPORTS!P1395)</f>
        <v>-19.208887944248161</v>
      </c>
      <c r="K1770" s="1364">
        <f>+IF(ISBLANK(REPORTS!Q1395),"",REPORTS!Q1395)</f>
        <v>0</v>
      </c>
      <c r="L1770" s="1358"/>
    </row>
    <row r="1771" spans="1:13">
      <c r="A1771" s="1393">
        <v>50</v>
      </c>
      <c r="B1771" s="1324" t="s">
        <v>5242</v>
      </c>
      <c r="C1771" s="1324" t="s">
        <v>4071</v>
      </c>
      <c r="D1771" s="1364">
        <f>+IF(ISBLANK(REPORTS!J1396),"",REPORTS!J1396)</f>
        <v>9769.3696313589899</v>
      </c>
      <c r="E1771" s="1364">
        <f>+IF(ISBLANK(REPORTS!K1396),"",REPORTS!K1396)</f>
        <v>3601.5437775815117</v>
      </c>
      <c r="F1771" s="1364">
        <f>+IF(ISBLANK(REPORTS!L1396),"",REPORTS!L1396)</f>
        <v>546.30683588630473</v>
      </c>
      <c r="G1771" s="1364">
        <f>+IF(ISBLANK(REPORTS!M1396),"",REPORTS!M1396)</f>
        <v>263.3741120621321</v>
      </c>
      <c r="H1771" s="1364">
        <f>+IF(ISBLANK(REPORTS!N1396),"",REPORTS!N1396)</f>
        <v>16.978449369043879</v>
      </c>
      <c r="I1771" s="1364">
        <f>+IF(ISBLANK(REPORTS!O1396),"",REPORTS!O1396)</f>
        <v>18.524200985076117</v>
      </c>
      <c r="J1771" s="1364">
        <f>+IF(ISBLANK(REPORTS!P1396),"",REPORTS!P1396)</f>
        <v>4.2515251854477851</v>
      </c>
      <c r="K1771" s="1364">
        <f>+IF(ISBLANK(REPORTS!Q1396),"",REPORTS!Q1396)</f>
        <v>5318.390730289474</v>
      </c>
      <c r="L1771" s="1358"/>
    </row>
    <row r="1772" spans="1:13">
      <c r="A1772" s="1393">
        <v>51</v>
      </c>
      <c r="B1772" s="1324" t="s">
        <v>5244</v>
      </c>
      <c r="C1772" s="1324" t="s">
        <v>4071</v>
      </c>
      <c r="D1772" s="1366">
        <f>+IF(ISBLANK(REPORTS!J1397),"",REPORTS!J1397)</f>
        <v>24440.601398676023</v>
      </c>
      <c r="E1772" s="1366">
        <f>+IF(ISBLANK(REPORTS!K1397),"",REPORTS!K1397)</f>
        <v>21798.250127191015</v>
      </c>
      <c r="F1772" s="1366">
        <f>+IF(ISBLANK(REPORTS!L1397),"",REPORTS!L1397)</f>
        <v>2113.1441177665888</v>
      </c>
      <c r="G1772" s="1366">
        <f>+IF(ISBLANK(REPORTS!M1397),"",REPORTS!M1397)</f>
        <v>520.44938751774282</v>
      </c>
      <c r="H1772" s="1366">
        <f>+IF(ISBLANK(REPORTS!N1397),"",REPORTS!N1397)</f>
        <v>1.7572216972226791</v>
      </c>
      <c r="I1772" s="1366">
        <f>+IF(ISBLANK(REPORTS!O1397),"",REPORTS!O1397)</f>
        <v>0.31176513982983017</v>
      </c>
      <c r="J1772" s="1366">
        <f>+IF(ISBLANK(REPORTS!P1397),"",REPORTS!P1397)</f>
        <v>6.6887793636218102</v>
      </c>
      <c r="K1772" s="1366">
        <f>+IF(ISBLANK(REPORTS!Q1397),"",REPORTS!Q1397)</f>
        <v>0</v>
      </c>
      <c r="L1772" s="1358"/>
    </row>
    <row r="1773" spans="1:13">
      <c r="A1773" s="1393">
        <v>52</v>
      </c>
      <c r="D1773" s="1364" t="str">
        <f>+IF(ISBLANK(REPORTS!J1398),"",REPORTS!J1398)</f>
        <v/>
      </c>
      <c r="E1773" s="1364" t="str">
        <f>+IF(ISBLANK(REPORTS!K1398),"",REPORTS!K1398)</f>
        <v/>
      </c>
      <c r="F1773" s="1364" t="str">
        <f>+IF(ISBLANK(REPORTS!L1398),"",REPORTS!L1398)</f>
        <v/>
      </c>
      <c r="G1773" s="1364" t="str">
        <f>+IF(ISBLANK(REPORTS!M1398),"",REPORTS!M1398)</f>
        <v/>
      </c>
      <c r="H1773" s="1364" t="str">
        <f>+IF(ISBLANK(REPORTS!N1398),"",REPORTS!N1398)</f>
        <v/>
      </c>
      <c r="I1773" s="1364" t="str">
        <f>+IF(ISBLANK(REPORTS!O1398),"",REPORTS!O1398)</f>
        <v/>
      </c>
      <c r="J1773" s="1364" t="str">
        <f>+IF(ISBLANK(REPORTS!P1398),"",REPORTS!P1398)</f>
        <v/>
      </c>
      <c r="K1773" s="1364" t="str">
        <f>+IF(ISBLANK(REPORTS!Q1398),"",REPORTS!Q1398)</f>
        <v/>
      </c>
      <c r="L1773" s="1358"/>
    </row>
    <row r="1774" spans="1:13" ht="15" thickBot="1">
      <c r="A1774" s="1393">
        <v>53</v>
      </c>
      <c r="B1774" s="1324" t="s">
        <v>5763</v>
      </c>
      <c r="D1774" s="1380">
        <f>+IF(ISBLANK(REPORTS!J1399),"",REPORTS!J1399)</f>
        <v>230174.82372804979</v>
      </c>
      <c r="E1774" s="1380">
        <f>+IF(ISBLANK(REPORTS!K1399),"",REPORTS!K1399)</f>
        <v>136598.12070567469</v>
      </c>
      <c r="F1774" s="1380">
        <f>+IF(ISBLANK(REPORTS!L1399),"",REPORTS!L1399)</f>
        <v>11908.863082430367</v>
      </c>
      <c r="G1774" s="1380">
        <f>+IF(ISBLANK(REPORTS!M1399),"",REPORTS!M1399)</f>
        <v>62296.490361404241</v>
      </c>
      <c r="H1774" s="1380">
        <f>+IF(ISBLANK(REPORTS!N1399),"",REPORTS!N1399)</f>
        <v>8108.6202811530047</v>
      </c>
      <c r="I1774" s="1380">
        <f>+IF(ISBLANK(REPORTS!O1399),"",REPORTS!O1399)</f>
        <v>5633.8910264736023</v>
      </c>
      <c r="J1774" s="1380">
        <f>+IF(ISBLANK(REPORTS!P1399),"",REPORTS!P1399)</f>
        <v>310.44754062437738</v>
      </c>
      <c r="K1774" s="1380">
        <f>+IF(ISBLANK(REPORTS!Q1399),"",REPORTS!Q1399)</f>
        <v>5318.390730289474</v>
      </c>
      <c r="L1774" s="1358"/>
    </row>
    <row r="1775" spans="1:13" ht="15" thickTop="1">
      <c r="D1775" s="1364"/>
      <c r="E1775" s="1364"/>
      <c r="F1775" s="1364"/>
      <c r="G1775" s="1364"/>
      <c r="H1775" s="1364"/>
      <c r="I1775" s="1364"/>
      <c r="J1775" s="1364"/>
      <c r="K1775" s="1364"/>
      <c r="L1775" s="1358"/>
    </row>
    <row r="1776" spans="1:13">
      <c r="D1776" s="1364"/>
      <c r="E1776" s="1364"/>
      <c r="F1776" s="1364"/>
      <c r="G1776" s="1364"/>
      <c r="H1776" s="1364"/>
      <c r="I1776" s="1364"/>
      <c r="J1776" s="1364"/>
      <c r="K1776" s="1364"/>
      <c r="L1776" s="1358"/>
    </row>
    <row r="1777" spans="4:12">
      <c r="D1777" s="1364"/>
      <c r="E1777" s="1364"/>
      <c r="F1777" s="1364"/>
      <c r="G1777" s="1364"/>
      <c r="H1777" s="1364"/>
      <c r="I1777" s="1364"/>
      <c r="J1777" s="1364"/>
      <c r="K1777" s="1364"/>
      <c r="L1777" s="1358"/>
    </row>
    <row r="1778" spans="4:12">
      <c r="D1778" s="1364"/>
      <c r="E1778" s="1364"/>
      <c r="F1778" s="1364"/>
      <c r="G1778" s="1364"/>
      <c r="H1778" s="1364"/>
      <c r="I1778" s="1364"/>
      <c r="J1778" s="1364"/>
      <c r="K1778" s="1364"/>
      <c r="L1778" s="1358"/>
    </row>
    <row r="1779" spans="4:12">
      <c r="D1779" s="1364"/>
      <c r="E1779" s="1364"/>
      <c r="F1779" s="1364"/>
      <c r="G1779" s="1364"/>
      <c r="H1779" s="1364"/>
      <c r="I1779" s="1364"/>
      <c r="J1779" s="1364"/>
      <c r="K1779" s="1364"/>
      <c r="L1779" s="1358"/>
    </row>
    <row r="1780" spans="4:12">
      <c r="D1780" s="1364"/>
      <c r="E1780" s="1364"/>
      <c r="F1780" s="1364"/>
      <c r="G1780" s="1364"/>
      <c r="H1780" s="1364"/>
      <c r="I1780" s="1364"/>
      <c r="J1780" s="1364"/>
      <c r="K1780" s="1364"/>
      <c r="L1780" s="1358"/>
    </row>
    <row r="1781" spans="4:12">
      <c r="D1781" s="1364"/>
      <c r="E1781" s="1364"/>
      <c r="F1781" s="1364"/>
      <c r="G1781" s="1364"/>
      <c r="H1781" s="1364"/>
      <c r="I1781" s="1364"/>
      <c r="J1781" s="1364"/>
      <c r="K1781" s="1364"/>
      <c r="L1781" s="1358"/>
    </row>
    <row r="1782" spans="4:12">
      <c r="D1782" s="1364"/>
      <c r="E1782" s="1364"/>
      <c r="F1782" s="1364"/>
      <c r="G1782" s="1364"/>
      <c r="H1782" s="1364"/>
      <c r="I1782" s="1364"/>
      <c r="J1782" s="1364"/>
      <c r="K1782" s="1364"/>
      <c r="L1782" s="1358"/>
    </row>
    <row r="1783" spans="4:12">
      <c r="D1783" s="1364"/>
      <c r="E1783" s="1364"/>
      <c r="F1783" s="1364"/>
      <c r="G1783" s="1364"/>
      <c r="H1783" s="1364"/>
      <c r="I1783" s="1364"/>
      <c r="J1783" s="1364"/>
      <c r="K1783" s="1364"/>
      <c r="L1783" s="1358"/>
    </row>
    <row r="1784" spans="4:12">
      <c r="D1784" s="1364"/>
      <c r="E1784" s="1364"/>
      <c r="F1784" s="1364"/>
      <c r="G1784" s="1364"/>
      <c r="H1784" s="1364"/>
      <c r="I1784" s="1364"/>
      <c r="J1784" s="1364"/>
      <c r="K1784" s="1364"/>
      <c r="L1784" s="1358"/>
    </row>
    <row r="1785" spans="4:12">
      <c r="D1785" s="1364"/>
      <c r="E1785" s="1364"/>
      <c r="F1785" s="1364"/>
      <c r="G1785" s="1364"/>
      <c r="H1785" s="1364"/>
      <c r="I1785" s="1364"/>
      <c r="J1785" s="1364"/>
      <c r="K1785" s="1364"/>
      <c r="L1785" s="1358"/>
    </row>
    <row r="1786" spans="4:12">
      <c r="D1786" s="1364"/>
      <c r="E1786" s="1364"/>
      <c r="F1786" s="1364"/>
      <c r="G1786" s="1364"/>
      <c r="H1786" s="1364"/>
      <c r="I1786" s="1364"/>
      <c r="J1786" s="1364"/>
      <c r="K1786" s="1364"/>
      <c r="L1786" s="1358"/>
    </row>
    <row r="1787" spans="4:12">
      <c r="D1787" s="1364"/>
      <c r="E1787" s="1364"/>
      <c r="F1787" s="1364"/>
      <c r="G1787" s="1364"/>
      <c r="H1787" s="1364"/>
      <c r="I1787" s="1364"/>
      <c r="J1787" s="1364"/>
      <c r="K1787" s="1364"/>
      <c r="L1787" s="1358"/>
    </row>
    <row r="1788" spans="4:12">
      <c r="D1788" s="1364"/>
      <c r="E1788" s="1364"/>
      <c r="F1788" s="1364"/>
      <c r="G1788" s="1364"/>
      <c r="H1788" s="1364"/>
      <c r="I1788" s="1364"/>
      <c r="J1788" s="1364"/>
      <c r="K1788" s="1364"/>
      <c r="L1788" s="1358"/>
    </row>
    <row r="1789" spans="4:12">
      <c r="D1789" s="1364"/>
      <c r="E1789" s="1364"/>
      <c r="F1789" s="1364"/>
      <c r="G1789" s="1364"/>
      <c r="H1789" s="1364"/>
      <c r="I1789" s="1364"/>
      <c r="J1789" s="1364"/>
      <c r="K1789" s="1364"/>
      <c r="L1789" s="1358"/>
    </row>
    <row r="1790" spans="4:12">
      <c r="D1790" s="1364"/>
      <c r="E1790" s="1364"/>
      <c r="F1790" s="1364"/>
      <c r="G1790" s="1364"/>
      <c r="H1790" s="1364"/>
      <c r="I1790" s="1364"/>
      <c r="J1790" s="1364"/>
      <c r="K1790" s="1364"/>
      <c r="L1790" s="1358"/>
    </row>
    <row r="1791" spans="4:12">
      <c r="D1791" s="1364"/>
      <c r="E1791" s="1364"/>
      <c r="F1791" s="1364"/>
      <c r="G1791" s="1364"/>
      <c r="H1791" s="1364"/>
      <c r="I1791" s="1364"/>
      <c r="J1791" s="1364"/>
      <c r="K1791" s="1364"/>
      <c r="L1791" s="1358"/>
    </row>
    <row r="1792" spans="4:12">
      <c r="D1792" s="1364"/>
      <c r="E1792" s="1364"/>
      <c r="F1792" s="1364"/>
      <c r="G1792" s="1364"/>
      <c r="H1792" s="1364"/>
      <c r="I1792" s="1364"/>
      <c r="J1792" s="1364"/>
      <c r="K1792" s="1364"/>
      <c r="L1792" s="1358"/>
    </row>
    <row r="1793" spans="1:13">
      <c r="D1793" s="1364"/>
      <c r="E1793" s="1364"/>
      <c r="F1793" s="1364"/>
      <c r="G1793" s="1364"/>
      <c r="H1793" s="1364"/>
      <c r="I1793" s="1364"/>
      <c r="J1793" s="1364"/>
      <c r="K1793" s="1364"/>
      <c r="L1793" s="1358"/>
    </row>
    <row r="1794" spans="1:13">
      <c r="D1794" s="1364"/>
      <c r="E1794" s="1364"/>
      <c r="F1794" s="1364"/>
      <c r="G1794" s="1364"/>
      <c r="H1794" s="1364"/>
      <c r="I1794" s="1364"/>
      <c r="J1794" s="1364"/>
      <c r="K1794" s="1364"/>
      <c r="L1794" s="1358"/>
    </row>
    <row r="1795" spans="1:13">
      <c r="D1795" s="1364"/>
      <c r="E1795" s="1364"/>
      <c r="F1795" s="1364"/>
      <c r="G1795" s="1364"/>
      <c r="H1795" s="1364"/>
      <c r="I1795" s="1364"/>
      <c r="J1795" s="1364"/>
      <c r="K1795" s="1364"/>
      <c r="L1795" s="1358"/>
    </row>
    <row r="1796" spans="1:13">
      <c r="D1796" s="1364"/>
      <c r="E1796" s="1364"/>
      <c r="F1796" s="1364"/>
      <c r="G1796" s="1364"/>
      <c r="H1796" s="1364"/>
      <c r="I1796" s="1364"/>
      <c r="J1796" s="1364"/>
      <c r="K1796" s="1364"/>
      <c r="L1796" s="1358"/>
    </row>
    <row r="1797" spans="1:13">
      <c r="D1797" s="1364"/>
      <c r="E1797" s="1364"/>
      <c r="F1797" s="1364"/>
      <c r="G1797" s="1364"/>
      <c r="H1797" s="1364"/>
      <c r="I1797" s="1364"/>
      <c r="J1797" s="1364"/>
      <c r="K1797" s="1364"/>
      <c r="L1797" s="1358"/>
    </row>
    <row r="1798" spans="1:13">
      <c r="D1798" s="1364"/>
      <c r="E1798" s="1364"/>
      <c r="F1798" s="1364"/>
      <c r="G1798" s="1364"/>
      <c r="H1798" s="1364"/>
      <c r="I1798" s="1364"/>
      <c r="J1798" s="1364"/>
      <c r="K1798" s="1364"/>
      <c r="L1798" s="1358"/>
    </row>
    <row r="1799" spans="1:13">
      <c r="D1799" s="1364"/>
      <c r="E1799" s="1364"/>
      <c r="F1799" s="1364"/>
      <c r="G1799" s="1364"/>
      <c r="H1799" s="1364"/>
      <c r="I1799" s="1364"/>
      <c r="J1799" s="1364"/>
      <c r="K1799" s="1364"/>
      <c r="L1799" s="1358"/>
    </row>
    <row r="1800" spans="1:13">
      <c r="D1800" s="1364"/>
      <c r="E1800" s="1364"/>
      <c r="F1800" s="1364"/>
      <c r="G1800" s="1364"/>
      <c r="H1800" s="1364"/>
      <c r="I1800" s="1364"/>
      <c r="J1800" s="1364"/>
      <c r="K1800" s="1364"/>
      <c r="L1800" s="1358"/>
    </row>
    <row r="1801" spans="1:13">
      <c r="D1801" s="1364"/>
      <c r="E1801" s="1364"/>
      <c r="F1801" s="1364"/>
      <c r="G1801" s="1364"/>
      <c r="H1801" s="1364"/>
      <c r="I1801" s="1364"/>
      <c r="J1801" s="1364"/>
      <c r="K1801" s="1364"/>
      <c r="L1801" s="1358"/>
    </row>
    <row r="1802" spans="1:13">
      <c r="D1802" s="1364"/>
      <c r="E1802" s="1364"/>
      <c r="F1802" s="1364"/>
      <c r="G1802" s="1364"/>
      <c r="H1802" s="1364"/>
      <c r="I1802" s="1364"/>
      <c r="J1802" s="1364"/>
      <c r="K1802" s="1364"/>
      <c r="L1802" s="1358"/>
    </row>
    <row r="1803" spans="1:13">
      <c r="D1803" s="1364"/>
      <c r="E1803" s="1364"/>
      <c r="F1803" s="1364"/>
      <c r="G1803" s="1364"/>
      <c r="H1803" s="1364"/>
      <c r="I1803" s="1364"/>
      <c r="J1803" s="1364"/>
      <c r="K1803" s="1364"/>
      <c r="L1803" s="1358"/>
    </row>
    <row r="1804" spans="1:13">
      <c r="A1804" s="1732" t="str">
        <f>+$A$1</f>
        <v>RATES WITH REVENUE DEFICIENCY ADDITION</v>
      </c>
      <c r="F1804" s="1329" t="s">
        <v>2173</v>
      </c>
      <c r="G1804" s="1329"/>
      <c r="H1804" s="1329"/>
      <c r="I1804" s="1329"/>
      <c r="M1804" s="1334" t="s">
        <v>5956</v>
      </c>
    </row>
    <row r="1805" spans="1:13">
      <c r="A1805" s="1732" t="str">
        <f>+$A$2</f>
        <v>PROD. CAP. ALLOC. METHOD: 12 CP &amp; 1/13th AD</v>
      </c>
      <c r="F1805" s="1336" t="s">
        <v>5141</v>
      </c>
      <c r="G1805" s="1336"/>
      <c r="H1805" s="1336"/>
      <c r="I1805" s="1336"/>
      <c r="L1805" s="1331"/>
      <c r="M1805" s="1409"/>
    </row>
    <row r="1806" spans="1:13">
      <c r="A1806" s="1732" t="str">
        <f>+$A$3</f>
        <v>PROJECTED CALENDAR YEAR 2025; FULLY ADJUSTED DATA</v>
      </c>
      <c r="F1806" s="1336" t="s">
        <v>2181</v>
      </c>
      <c r="M1806" s="1321"/>
    </row>
    <row r="1807" spans="1:13">
      <c r="A1807" s="1732" t="str">
        <f>+$A$4</f>
        <v>MINIMUM DISTRIBUTION SYSTEM (MDS) NOT EMPLOYED</v>
      </c>
      <c r="B1807" s="1364"/>
      <c r="F1807" s="1336"/>
      <c r="G1807" s="1336"/>
      <c r="H1807" s="1336"/>
      <c r="I1807" s="1336"/>
      <c r="M1807" s="1321"/>
    </row>
    <row r="1808" spans="1:13">
      <c r="A1808" s="1732" t="str">
        <f>+$A$5</f>
        <v>Tampa Electric 2025 OB Budget</v>
      </c>
      <c r="F1808" s="1336" t="s">
        <v>5766</v>
      </c>
      <c r="G1808" s="1336"/>
      <c r="H1808" s="1336"/>
      <c r="I1808" s="1336"/>
      <c r="M1808" s="1321"/>
    </row>
    <row r="1809" spans="1:13">
      <c r="F1809" s="1336"/>
      <c r="G1809" s="1336"/>
      <c r="H1809" s="1336"/>
      <c r="I1809" s="1336"/>
      <c r="M1809" s="1321"/>
    </row>
    <row r="1810" spans="1:13">
      <c r="F1810" s="1336"/>
      <c r="G1810" s="1336"/>
      <c r="H1810" s="1336"/>
      <c r="I1810" s="1336"/>
      <c r="M1810" s="1321"/>
    </row>
    <row r="1811" spans="1:13">
      <c r="M1811" s="1321"/>
    </row>
    <row r="1812" spans="1:13">
      <c r="A1812" s="1735"/>
      <c r="B1812" s="1416"/>
      <c r="C1812" s="1416"/>
      <c r="D1812" s="1416"/>
      <c r="E1812" s="1336"/>
      <c r="F1812" s="1416"/>
      <c r="G1812" s="1416"/>
      <c r="H1812" s="1416"/>
      <c r="I1812" s="1416"/>
      <c r="J1812" s="3164"/>
      <c r="K1812" s="3164"/>
      <c r="L1812" s="1333"/>
      <c r="M1812" s="1321"/>
    </row>
    <row r="1813" spans="1:13" ht="28.2">
      <c r="A1813" s="1737" t="s">
        <v>4297</v>
      </c>
      <c r="B1813" s="1741"/>
      <c r="C1813" s="1741"/>
      <c r="D1813" s="1352" t="s">
        <v>4957</v>
      </c>
      <c r="E1813" s="1353" t="s">
        <v>1949</v>
      </c>
      <c r="F1813" s="1353" t="s">
        <v>1950</v>
      </c>
      <c r="G1813" s="1353" t="s">
        <v>1934</v>
      </c>
      <c r="H1813" s="1353" t="s">
        <v>1971</v>
      </c>
      <c r="I1813" s="1353" t="s">
        <v>1972</v>
      </c>
      <c r="J1813" s="1352" t="s">
        <v>5146</v>
      </c>
      <c r="K1813" s="1352" t="s">
        <v>5147</v>
      </c>
      <c r="L1813" s="1355"/>
      <c r="M1813" s="1348" t="s">
        <v>5299</v>
      </c>
    </row>
    <row r="1814" spans="1:13">
      <c r="M1814" s="1321"/>
    </row>
    <row r="1815" spans="1:13">
      <c r="A1815" s="1393">
        <v>1</v>
      </c>
      <c r="B1815" s="1362" t="s">
        <v>5768</v>
      </c>
      <c r="M1815" s="1321"/>
    </row>
    <row r="1816" spans="1:13">
      <c r="A1816" s="1393">
        <v>2</v>
      </c>
      <c r="B1816" s="1324" t="s">
        <v>5265</v>
      </c>
      <c r="C1816" s="1324" t="s">
        <v>4067</v>
      </c>
      <c r="D1816" s="1324">
        <f>+IF(ISBLANK(REPORTS!J1417),"",REPORTS!J1417)</f>
        <v>7199153.5139943594</v>
      </c>
      <c r="E1816" s="1324">
        <f>+IF(ISBLANK(REPORTS!K1417),"",REPORTS!K1417)</f>
        <v>4133859.535341172</v>
      </c>
      <c r="F1816" s="1324">
        <f>+IF(ISBLANK(REPORTS!L1417),"",REPORTS!L1417)</f>
        <v>343774.42818138207</v>
      </c>
      <c r="G1816" s="1324">
        <f>+IF(ISBLANK(REPORTS!M1417),"",REPORTS!M1417)</f>
        <v>2224877.2682901048</v>
      </c>
      <c r="H1816" s="1324">
        <f>+IF(ISBLANK(REPORTS!N1417),"",REPORTS!N1417)</f>
        <v>284354.3726799647</v>
      </c>
      <c r="I1816" s="1324">
        <f>+IF(ISBLANK(REPORTS!O1417),"",REPORTS!O1417)</f>
        <v>204650.73415241975</v>
      </c>
      <c r="J1816" s="1324">
        <f>+IF(ISBLANK(REPORTS!P1417),"",REPORTS!P1417)</f>
        <v>7637.1753493168071</v>
      </c>
      <c r="K1816" s="1324">
        <f>+IF(ISBLANK(REPORTS!Q1417),"",REPORTS!Q1417)</f>
        <v>0</v>
      </c>
      <c r="M1816" s="1321"/>
    </row>
    <row r="1817" spans="1:13">
      <c r="A1817" s="1393">
        <v>3</v>
      </c>
      <c r="B1817" s="1324" t="s">
        <v>5265</v>
      </c>
      <c r="C1817" s="1324" t="s">
        <v>2067</v>
      </c>
      <c r="D1817" s="1324">
        <f>+IF(ISBLANK(REPORTS!J1418),"",REPORTS!J1418)</f>
        <v>680548.35013101739</v>
      </c>
      <c r="E1817" s="1324">
        <f>+IF(ISBLANK(REPORTS!K1418),"",REPORTS!K1418)</f>
        <v>343427.96217085293</v>
      </c>
      <c r="F1817" s="1324">
        <f>+IF(ISBLANK(REPORTS!L1418),"",REPORTS!L1418)</f>
        <v>31736.763978782128</v>
      </c>
      <c r="G1817" s="1324">
        <f>+IF(ISBLANK(REPORTS!M1418),"",REPORTS!M1418)</f>
        <v>236426.56467645097</v>
      </c>
      <c r="H1817" s="1324">
        <f>+IF(ISBLANK(REPORTS!N1418),"",REPORTS!N1418)</f>
        <v>37635.307650023817</v>
      </c>
      <c r="I1817" s="1324">
        <f>+IF(ISBLANK(REPORTS!O1418),"",REPORTS!O1418)</f>
        <v>27726.377665713924</v>
      </c>
      <c r="J1817" s="1324">
        <f>+IF(ISBLANK(REPORTS!P1418),"",REPORTS!P1418)</f>
        <v>3595.3739891935147</v>
      </c>
      <c r="K1817" s="1324">
        <f>+IF(ISBLANK(REPORTS!Q1418),"",REPORTS!Q1418)</f>
        <v>0</v>
      </c>
      <c r="M1817" s="1321"/>
    </row>
    <row r="1818" spans="1:13">
      <c r="A1818" s="1393">
        <v>4</v>
      </c>
      <c r="B1818" s="1324" t="s">
        <v>5268</v>
      </c>
      <c r="C1818" s="1324" t="s">
        <v>4067</v>
      </c>
      <c r="D1818" s="1324">
        <f>+IF(ISBLANK(REPORTS!J1419),"",REPORTS!J1419)</f>
        <v>522858.89303721883</v>
      </c>
      <c r="E1818" s="1324">
        <f>+IF(ISBLANK(REPORTS!K1419),"",REPORTS!K1419)</f>
        <v>303264.97610623844</v>
      </c>
      <c r="F1818" s="1324">
        <f>+IF(ISBLANK(REPORTS!L1419),"",REPORTS!L1419)</f>
        <v>25016.301629873862</v>
      </c>
      <c r="G1818" s="1324">
        <f>+IF(ISBLANK(REPORTS!M1419),"",REPORTS!M1419)</f>
        <v>159916.64843918057</v>
      </c>
      <c r="H1818" s="1324">
        <f>+IF(ISBLANK(REPORTS!N1419),"",REPORTS!N1419)</f>
        <v>19963.473207141269</v>
      </c>
      <c r="I1818" s="1324">
        <f>+IF(ISBLANK(REPORTS!O1419),"",REPORTS!O1419)</f>
        <v>14326.79056439019</v>
      </c>
      <c r="J1818" s="1324">
        <f>+IF(ISBLANK(REPORTS!P1419),"",REPORTS!P1419)</f>
        <v>370.70309039456481</v>
      </c>
      <c r="K1818" s="1324">
        <f>+IF(ISBLANK(REPORTS!Q1419),"",REPORTS!Q1419)</f>
        <v>0</v>
      </c>
      <c r="M1818" s="1321"/>
    </row>
    <row r="1819" spans="1:13">
      <c r="A1819" s="1393">
        <v>5</v>
      </c>
      <c r="B1819" s="1324" t="s">
        <v>5239</v>
      </c>
      <c r="C1819" s="1324" t="s">
        <v>4067</v>
      </c>
      <c r="D1819" s="1324">
        <f>+IF(ISBLANK(REPORTS!J1420),"",REPORTS!J1420)</f>
        <v>545805.96776428656</v>
      </c>
      <c r="E1819" s="1324">
        <f>+IF(ISBLANK(REPORTS!K1420),"",REPORTS!K1420)</f>
        <v>316574.57868063106</v>
      </c>
      <c r="F1819" s="1324">
        <f>+IF(ISBLANK(REPORTS!L1420),"",REPORTS!L1420)</f>
        <v>26114.20959422156</v>
      </c>
      <c r="G1819" s="1324">
        <f>+IF(ISBLANK(REPORTS!M1420),"",REPORTS!M1420)</f>
        <v>166935.02247987012</v>
      </c>
      <c r="H1819" s="1324">
        <f>+IF(ISBLANK(REPORTS!N1420),"",REPORTS!N1420)</f>
        <v>20839.624148813167</v>
      </c>
      <c r="I1819" s="1324">
        <f>+IF(ISBLANK(REPORTS!O1420),"",REPORTS!O1420)</f>
        <v>14955.560463990441</v>
      </c>
      <c r="J1819" s="1324">
        <f>+IF(ISBLANK(REPORTS!P1420),"",REPORTS!P1420)</f>
        <v>386.97239676023759</v>
      </c>
      <c r="K1819" s="1324">
        <f>+IF(ISBLANK(REPORTS!Q1420),"",REPORTS!Q1420)</f>
        <v>0</v>
      </c>
      <c r="M1819" s="1321"/>
    </row>
    <row r="1820" spans="1:13">
      <c r="A1820" s="1393">
        <v>6</v>
      </c>
      <c r="B1820" s="1324" t="s">
        <v>5240</v>
      </c>
      <c r="C1820" s="1324" t="s">
        <v>4067</v>
      </c>
      <c r="D1820" s="1324">
        <f>+IF(ISBLANK(REPORTS!J1421),"",REPORTS!J1421)</f>
        <v>2138740.1301561045</v>
      </c>
      <c r="E1820" s="1324">
        <f>+IF(ISBLANK(REPORTS!K1421),"",REPORTS!K1421)</f>
        <v>1331186.1026807702</v>
      </c>
      <c r="F1820" s="1324">
        <f>+IF(ISBLANK(REPORTS!L1421),"",REPORTS!L1421)</f>
        <v>94677.294316452986</v>
      </c>
      <c r="G1820" s="1324">
        <f>+IF(ISBLANK(REPORTS!M1421),"",REPORTS!M1421)</f>
        <v>633923.59948016342</v>
      </c>
      <c r="H1820" s="1324">
        <f>+IF(ISBLANK(REPORTS!N1421),"",REPORTS!N1421)</f>
        <v>66676.016940376998</v>
      </c>
      <c r="I1820" s="1324">
        <f>+IF(ISBLANK(REPORTS!O1421),"",REPORTS!O1421)</f>
        <v>4.5525085441641404E-2</v>
      </c>
      <c r="J1820" s="1324">
        <f>+IF(ISBLANK(REPORTS!P1421),"",REPORTS!P1421)</f>
        <v>12277.071213256339</v>
      </c>
      <c r="K1820" s="1324">
        <f>+IF(ISBLANK(REPORTS!Q1421),"",REPORTS!Q1421)</f>
        <v>0</v>
      </c>
      <c r="M1820" s="1321"/>
    </row>
    <row r="1821" spans="1:13">
      <c r="A1821" s="1393">
        <v>7</v>
      </c>
      <c r="B1821" s="1324" t="s">
        <v>5241</v>
      </c>
      <c r="C1821" s="1324" t="s">
        <v>4067</v>
      </c>
      <c r="D1821" s="1324">
        <f>+IF(ISBLANK(REPORTS!J1422),"",REPORTS!J1422)</f>
        <v>1074798.1721466575</v>
      </c>
      <c r="E1821" s="1324">
        <f>+IF(ISBLANK(REPORTS!K1422),"",REPORTS!K1422)</f>
        <v>784208.49557533243</v>
      </c>
      <c r="F1821" s="1324">
        <f>+IF(ISBLANK(REPORTS!L1422),"",REPORTS!L1422)</f>
        <v>63144.347479122996</v>
      </c>
      <c r="G1821" s="1324">
        <f>+IF(ISBLANK(REPORTS!M1422),"",REPORTS!M1422)</f>
        <v>223557.32386837289</v>
      </c>
      <c r="H1821" s="1324">
        <f>+IF(ISBLANK(REPORTS!N1422),"",REPORTS!N1422)</f>
        <v>0</v>
      </c>
      <c r="I1821" s="1324">
        <f>+IF(ISBLANK(REPORTS!O1422),"",REPORTS!O1422)</f>
        <v>0</v>
      </c>
      <c r="J1821" s="1324">
        <f>+IF(ISBLANK(REPORTS!P1422),"",REPORTS!P1422)</f>
        <v>3888.0052238290587</v>
      </c>
      <c r="K1821" s="1324">
        <f>+IF(ISBLANK(REPORTS!Q1422),"",REPORTS!Q1422)</f>
        <v>0</v>
      </c>
      <c r="M1821" s="1321"/>
    </row>
    <row r="1822" spans="1:13">
      <c r="A1822" s="1393">
        <v>8</v>
      </c>
      <c r="B1822" s="1324" t="s">
        <v>5242</v>
      </c>
      <c r="C1822" s="1324" t="s">
        <v>4071</v>
      </c>
      <c r="D1822" s="1324">
        <f>+IF(ISBLANK(REPORTS!J1423),"",REPORTS!J1423)</f>
        <v>1011029.5953512132</v>
      </c>
      <c r="E1822" s="1324">
        <f>+IF(ISBLANK(REPORTS!K1423),"",REPORTS!K1423)</f>
        <v>372722.85577154369</v>
      </c>
      <c r="F1822" s="1324">
        <f>+IF(ISBLANK(REPORTS!L1423),"",REPORTS!L1423)</f>
        <v>56537.1564456712</v>
      </c>
      <c r="G1822" s="1324">
        <f>+IF(ISBLANK(REPORTS!M1423),"",REPORTS!M1423)</f>
        <v>27256.520327516886</v>
      </c>
      <c r="H1822" s="1324">
        <f>+IF(ISBLANK(REPORTS!N1423),"",REPORTS!N1423)</f>
        <v>1757.0954363498297</v>
      </c>
      <c r="I1822" s="1324">
        <f>+IF(ISBLANK(REPORTS!O1423),"",REPORTS!O1423)</f>
        <v>1917.0648806273884</v>
      </c>
      <c r="J1822" s="1324">
        <f>+IF(ISBLANK(REPORTS!P1423),"",REPORTS!P1423)</f>
        <v>439.98926748263744</v>
      </c>
      <c r="K1822" s="1324">
        <f>+IF(ISBLANK(REPORTS!Q1423),"",REPORTS!Q1423)</f>
        <v>550398.91322202166</v>
      </c>
      <c r="M1822" s="1321"/>
    </row>
    <row r="1823" spans="1:13">
      <c r="A1823" s="1393">
        <v>9</v>
      </c>
      <c r="B1823" s="1324" t="s">
        <v>5244</v>
      </c>
      <c r="C1823" s="1324" t="s">
        <v>4071</v>
      </c>
      <c r="D1823" s="1366">
        <f>+IF(ISBLANK(REPORTS!J1424),"",REPORTS!J1424)</f>
        <v>245143.87349825987</v>
      </c>
      <c r="E1823" s="1366">
        <f>+IF(ISBLANK(REPORTS!K1424),"",REPORTS!K1424)</f>
        <v>218640.58844120818</v>
      </c>
      <c r="F1823" s="1366">
        <f>+IF(ISBLANK(REPORTS!L1424),"",REPORTS!L1424)</f>
        <v>21195.236804501328</v>
      </c>
      <c r="G1823" s="1366">
        <f>+IF(ISBLANK(REPORTS!M1424),"",REPORTS!M1424)</f>
        <v>5220.2061943863555</v>
      </c>
      <c r="H1823" s="1366">
        <f>+IF(ISBLANK(REPORTS!N1424),"",REPORTS!N1424)</f>
        <v>17.625267333875399</v>
      </c>
      <c r="I1823" s="1366">
        <f>+IF(ISBLANK(REPORTS!O1424),"",REPORTS!O1424)</f>
        <v>3.1270635592359586</v>
      </c>
      <c r="J1823" s="1366">
        <f>+IF(ISBLANK(REPORTS!P1424),"",REPORTS!P1424)</f>
        <v>67.089727270880559</v>
      </c>
      <c r="K1823" s="1366">
        <f>+IF(ISBLANK(REPORTS!Q1424),"",REPORTS!Q1424)</f>
        <v>0</v>
      </c>
      <c r="L1823" s="1358"/>
      <c r="M1823" s="1321"/>
    </row>
    <row r="1824" spans="1:13">
      <c r="A1824" s="1393">
        <v>10</v>
      </c>
      <c r="B1824" s="1324" t="s">
        <v>5667</v>
      </c>
      <c r="D1824" s="1421">
        <f>+IF(ISBLANK(REPORTS!J1425),"",REPORTS!J1425)</f>
        <v>13418078.496079115</v>
      </c>
      <c r="E1824" s="1421">
        <f>+IF(ISBLANK(REPORTS!K1425),"",REPORTS!K1425)</f>
        <v>7803885.0947677484</v>
      </c>
      <c r="F1824" s="1421">
        <f>+IF(ISBLANK(REPORTS!L1425),"",REPORTS!L1425)</f>
        <v>662195.73843000806</v>
      </c>
      <c r="G1824" s="1421">
        <f>+IF(ISBLANK(REPORTS!M1425),"",REPORTS!M1425)</f>
        <v>3678113.1537560457</v>
      </c>
      <c r="H1824" s="1421">
        <f>+IF(ISBLANK(REPORTS!N1425),"",REPORTS!N1425)</f>
        <v>431243.51533000369</v>
      </c>
      <c r="I1824" s="1421">
        <f>+IF(ISBLANK(REPORTS!O1425),"",REPORTS!O1425)</f>
        <v>263579.70031578641</v>
      </c>
      <c r="J1824" s="1421">
        <f>+IF(ISBLANK(REPORTS!P1425),"",REPORTS!P1425)</f>
        <v>28662.380257504039</v>
      </c>
      <c r="K1824" s="1421">
        <f>+IF(ISBLANK(REPORTS!Q1425),"",REPORTS!Q1425)</f>
        <v>550398.91322202166</v>
      </c>
      <c r="L1824" s="1358"/>
      <c r="M1824" s="1321"/>
    </row>
    <row r="1825" spans="1:13">
      <c r="A1825" s="1393">
        <v>11</v>
      </c>
      <c r="D1825" s="1324" t="str">
        <f>+IF(ISBLANK(REPORTS!J1426),"",REPORTS!J1426)</f>
        <v/>
      </c>
      <c r="E1825" s="1324" t="str">
        <f>+IF(ISBLANK(REPORTS!K1426),"",REPORTS!K1426)</f>
        <v/>
      </c>
      <c r="F1825" s="1324" t="str">
        <f>+IF(ISBLANK(REPORTS!L1426),"",REPORTS!L1426)</f>
        <v/>
      </c>
      <c r="G1825" s="1324" t="str">
        <f>+IF(ISBLANK(REPORTS!M1426),"",REPORTS!M1426)</f>
        <v/>
      </c>
      <c r="H1825" s="1324" t="str">
        <f>+IF(ISBLANK(REPORTS!N1426),"",REPORTS!N1426)</f>
        <v/>
      </c>
      <c r="I1825" s="1324" t="str">
        <f>+IF(ISBLANK(REPORTS!O1426),"",REPORTS!O1426)</f>
        <v/>
      </c>
      <c r="J1825" s="1324" t="str">
        <f>+IF(ISBLANK(REPORTS!P1426),"",REPORTS!P1426)</f>
        <v/>
      </c>
      <c r="K1825" s="1324" t="str">
        <f>+IF(ISBLANK(REPORTS!Q1426),"",REPORTS!Q1426)</f>
        <v/>
      </c>
      <c r="M1825" s="1321"/>
    </row>
    <row r="1826" spans="1:13">
      <c r="A1826" s="1393">
        <v>12</v>
      </c>
      <c r="B1826" s="1362" t="s">
        <v>5777</v>
      </c>
      <c r="D1826" s="1324" t="str">
        <f>+IF(ISBLANK(REPORTS!J1427),"",REPORTS!J1427)</f>
        <v/>
      </c>
      <c r="E1826" s="1324" t="str">
        <f>+IF(ISBLANK(REPORTS!K1427),"",REPORTS!K1427)</f>
        <v/>
      </c>
      <c r="F1826" s="1324" t="str">
        <f>+IF(ISBLANK(REPORTS!L1427),"",REPORTS!L1427)</f>
        <v/>
      </c>
      <c r="G1826" s="1324" t="str">
        <f>+IF(ISBLANK(REPORTS!M1427),"",REPORTS!M1427)</f>
        <v/>
      </c>
      <c r="H1826" s="1324" t="str">
        <f>+IF(ISBLANK(REPORTS!N1427),"",REPORTS!N1427)</f>
        <v/>
      </c>
      <c r="I1826" s="1324" t="str">
        <f>+IF(ISBLANK(REPORTS!O1427),"",REPORTS!O1427)</f>
        <v/>
      </c>
      <c r="J1826" s="1324" t="str">
        <f>+IF(ISBLANK(REPORTS!P1427),"",REPORTS!P1427)</f>
        <v/>
      </c>
      <c r="K1826" s="1324" t="str">
        <f>+IF(ISBLANK(REPORTS!Q1427),"",REPORTS!Q1427)</f>
        <v/>
      </c>
      <c r="M1826" s="1321"/>
    </row>
    <row r="1827" spans="1:13">
      <c r="A1827" s="1393">
        <v>13</v>
      </c>
      <c r="B1827" s="1324" t="s">
        <v>5265</v>
      </c>
      <c r="C1827" s="1324" t="s">
        <v>4067</v>
      </c>
      <c r="D1827" s="1324">
        <f>+IF(ISBLANK(REPORTS!J1428),"",REPORTS!J1428)</f>
        <v>26353.446</v>
      </c>
      <c r="E1827" s="1324">
        <f>+IF(ISBLANK(REPORTS!K1428),"",REPORTS!K1428)</f>
        <v>15132.535210483917</v>
      </c>
      <c r="F1827" s="1324">
        <f>+IF(ISBLANK(REPORTS!L1428),"",REPORTS!L1428)</f>
        <v>1258.4313991426893</v>
      </c>
      <c r="G1827" s="1324">
        <f>+IF(ISBLANK(REPORTS!M1428),"",REPORTS!M1428)</f>
        <v>8144.4551546976118</v>
      </c>
      <c r="H1827" s="1324">
        <f>+IF(ISBLANK(REPORTS!N1428),"",REPORTS!N1428)</f>
        <v>1040.9164897954138</v>
      </c>
      <c r="I1827" s="1324">
        <f>+IF(ISBLANK(REPORTS!O1428),"",REPORTS!O1428)</f>
        <v>749.1508634816945</v>
      </c>
      <c r="J1827" s="1324">
        <f>+IF(ISBLANK(REPORTS!P1428),"",REPORTS!P1428)</f>
        <v>27.956882398675472</v>
      </c>
      <c r="K1827" s="1324">
        <f>+IF(ISBLANK(REPORTS!Q1428),"",REPORTS!Q1428)</f>
        <v>0</v>
      </c>
      <c r="M1827" s="1321"/>
    </row>
    <row r="1828" spans="1:13">
      <c r="A1828" s="1393">
        <v>14</v>
      </c>
      <c r="B1828" s="1324" t="s">
        <v>5265</v>
      </c>
      <c r="C1828" s="1324" t="s">
        <v>2067</v>
      </c>
      <c r="D1828" s="1364">
        <f>+IF(ISBLANK(REPORTS!J1429),"",REPORTS!J1429)</f>
        <v>0</v>
      </c>
      <c r="E1828" s="1364">
        <f>+IF(ISBLANK(REPORTS!K1429),"",REPORTS!K1429)</f>
        <v>0</v>
      </c>
      <c r="F1828" s="1364">
        <f>+IF(ISBLANK(REPORTS!L1429),"",REPORTS!L1429)</f>
        <v>0</v>
      </c>
      <c r="G1828" s="1364">
        <f>+IF(ISBLANK(REPORTS!M1429),"",REPORTS!M1429)</f>
        <v>0</v>
      </c>
      <c r="H1828" s="1364">
        <f>+IF(ISBLANK(REPORTS!N1429),"",REPORTS!N1429)</f>
        <v>0</v>
      </c>
      <c r="I1828" s="1364">
        <f>+IF(ISBLANK(REPORTS!O1429),"",REPORTS!O1429)</f>
        <v>0</v>
      </c>
      <c r="J1828" s="1364">
        <f>+IF(ISBLANK(REPORTS!P1429),"",REPORTS!P1429)</f>
        <v>0</v>
      </c>
      <c r="K1828" s="1364">
        <f>+IF(ISBLANK(REPORTS!Q1429),"",REPORTS!Q1429)</f>
        <v>0</v>
      </c>
      <c r="L1828" s="1358"/>
      <c r="M1828" s="1321"/>
    </row>
    <row r="1829" spans="1:13">
      <c r="A1829" s="1393">
        <v>15</v>
      </c>
      <c r="B1829" s="1324" t="s">
        <v>5268</v>
      </c>
      <c r="C1829" s="1324" t="s">
        <v>4067</v>
      </c>
      <c r="D1829" s="1364">
        <f>+IF(ISBLANK(REPORTS!J1430),"",REPORTS!J1430)</f>
        <v>10636.296872529023</v>
      </c>
      <c r="E1829" s="1364">
        <f>+IF(ISBLANK(REPORTS!K1430),"",REPORTS!K1430)</f>
        <v>6169.1908846939359</v>
      </c>
      <c r="F1829" s="1364">
        <f>+IF(ISBLANK(REPORTS!L1430),"",REPORTS!L1430)</f>
        <v>508.8960221034809</v>
      </c>
      <c r="G1829" s="1364">
        <f>+IF(ISBLANK(REPORTS!M1430),"",REPORTS!M1430)</f>
        <v>3253.1166062387365</v>
      </c>
      <c r="H1829" s="1364">
        <f>+IF(ISBLANK(REPORTS!N1430),"",REPORTS!N1430)</f>
        <v>406.10847489748772</v>
      </c>
      <c r="I1829" s="1364">
        <f>+IF(ISBLANK(REPORTS!O1430),"",REPORTS!O1430)</f>
        <v>291.44382873211356</v>
      </c>
      <c r="J1829" s="1364">
        <f>+IF(ISBLANK(REPORTS!P1430),"",REPORTS!P1430)</f>
        <v>7.5410558632688005</v>
      </c>
      <c r="K1829" s="1364">
        <f>+IF(ISBLANK(REPORTS!Q1430),"",REPORTS!Q1430)</f>
        <v>0</v>
      </c>
      <c r="L1829" s="1358"/>
      <c r="M1829" s="1321"/>
    </row>
    <row r="1830" spans="1:13">
      <c r="A1830" s="1393">
        <v>16</v>
      </c>
      <c r="B1830" s="1324" t="s">
        <v>5239</v>
      </c>
      <c r="C1830" s="1324" t="s">
        <v>4067</v>
      </c>
      <c r="D1830" s="1364">
        <f>+IF(ISBLANK(REPORTS!J1431),"",REPORTS!J1431)</f>
        <v>10453.330940628708</v>
      </c>
      <c r="E1830" s="1364">
        <f>+IF(ISBLANK(REPORTS!K1431),"",REPORTS!K1431)</f>
        <v>6063.0682582933659</v>
      </c>
      <c r="F1830" s="1364">
        <f>+IF(ISBLANK(REPORTS!L1431),"",REPORTS!L1431)</f>
        <v>500.14197583715219</v>
      </c>
      <c r="G1830" s="1364">
        <f>+IF(ISBLANK(REPORTS!M1431),"",REPORTS!M1431)</f>
        <v>3197.1563863826941</v>
      </c>
      <c r="H1830" s="1364">
        <f>+IF(ISBLANK(REPORTS!N1431),"",REPORTS!N1431)</f>
        <v>399.12258343049194</v>
      </c>
      <c r="I1830" s="1364">
        <f>+IF(ISBLANK(REPORTS!O1431),"",REPORTS!O1431)</f>
        <v>286.43040231504068</v>
      </c>
      <c r="J1830" s="1364">
        <f>+IF(ISBLANK(REPORTS!P1431),"",REPORTS!P1431)</f>
        <v>7.4113343699642193</v>
      </c>
      <c r="K1830" s="1364">
        <f>+IF(ISBLANK(REPORTS!Q1431),"",REPORTS!Q1431)</f>
        <v>0</v>
      </c>
      <c r="L1830" s="1358"/>
      <c r="M1830" s="1321"/>
    </row>
    <row r="1831" spans="1:13">
      <c r="A1831" s="1393">
        <v>17</v>
      </c>
      <c r="B1831" s="1324" t="s">
        <v>5240</v>
      </c>
      <c r="C1831" s="1324" t="s">
        <v>4067</v>
      </c>
      <c r="D1831" s="1364">
        <f>+IF(ISBLANK(REPORTS!J1432),"",REPORTS!J1432)</f>
        <v>20590.486000000001</v>
      </c>
      <c r="E1831" s="1364">
        <f>+IF(ISBLANK(REPORTS!K1432),"",REPORTS!K1432)</f>
        <v>12815.848182846948</v>
      </c>
      <c r="F1831" s="1364">
        <f>+IF(ISBLANK(REPORTS!L1432),"",REPORTS!L1432)</f>
        <v>911.49526567237319</v>
      </c>
      <c r="G1831" s="1364">
        <f>+IF(ISBLANK(REPORTS!M1432),"",REPORTS!M1432)</f>
        <v>6103.0299175305599</v>
      </c>
      <c r="H1831" s="1364">
        <f>+IF(ISBLANK(REPORTS!N1432),"",REPORTS!N1432)</f>
        <v>641.91603925549816</v>
      </c>
      <c r="I1831" s="1364">
        <f>+IF(ISBLANK(REPORTS!O1432),"",REPORTS!O1432)</f>
        <v>4.382877663433109E-4</v>
      </c>
      <c r="J1831" s="1364">
        <f>+IF(ISBLANK(REPORTS!P1432),"",REPORTS!P1432)</f>
        <v>118.19615640685933</v>
      </c>
      <c r="K1831" s="1364">
        <f>+IF(ISBLANK(REPORTS!Q1432),"",REPORTS!Q1432)</f>
        <v>0</v>
      </c>
      <c r="L1831" s="1358"/>
      <c r="M1831" s="1321"/>
    </row>
    <row r="1832" spans="1:13">
      <c r="A1832" s="1393">
        <v>18</v>
      </c>
      <c r="B1832" s="1324" t="s">
        <v>5241</v>
      </c>
      <c r="C1832" s="1324" t="s">
        <v>4067</v>
      </c>
      <c r="D1832" s="1364">
        <f>+IF(ISBLANK(REPORTS!J1433),"",REPORTS!J1433)</f>
        <v>0</v>
      </c>
      <c r="E1832" s="1364">
        <f>+IF(ISBLANK(REPORTS!K1433),"",REPORTS!K1433)</f>
        <v>0</v>
      </c>
      <c r="F1832" s="1364">
        <f>+IF(ISBLANK(REPORTS!L1433),"",REPORTS!L1433)</f>
        <v>0</v>
      </c>
      <c r="G1832" s="1364">
        <f>+IF(ISBLANK(REPORTS!M1433),"",REPORTS!M1433)</f>
        <v>0</v>
      </c>
      <c r="H1832" s="1364">
        <f>+IF(ISBLANK(REPORTS!N1433),"",REPORTS!N1433)</f>
        <v>0</v>
      </c>
      <c r="I1832" s="1364">
        <f>+IF(ISBLANK(REPORTS!O1433),"",REPORTS!O1433)</f>
        <v>0</v>
      </c>
      <c r="J1832" s="1364">
        <f>+IF(ISBLANK(REPORTS!P1433),"",REPORTS!P1433)</f>
        <v>0</v>
      </c>
      <c r="K1832" s="1364">
        <f>+IF(ISBLANK(REPORTS!Q1433),"",REPORTS!Q1433)</f>
        <v>0</v>
      </c>
      <c r="L1832" s="1358"/>
      <c r="M1832" s="1321"/>
    </row>
    <row r="1833" spans="1:13">
      <c r="A1833" s="1393">
        <v>19</v>
      </c>
      <c r="B1833" s="1324" t="s">
        <v>5242</v>
      </c>
      <c r="C1833" s="1324" t="s">
        <v>4071</v>
      </c>
      <c r="D1833" s="1364">
        <f>+IF(ISBLANK(REPORTS!J1434),"",REPORTS!J1434)</f>
        <v>0</v>
      </c>
      <c r="E1833" s="1364">
        <f>+IF(ISBLANK(REPORTS!K1434),"",REPORTS!K1434)</f>
        <v>0</v>
      </c>
      <c r="F1833" s="1364">
        <f>+IF(ISBLANK(REPORTS!L1434),"",REPORTS!L1434)</f>
        <v>0</v>
      </c>
      <c r="G1833" s="1364">
        <f>+IF(ISBLANK(REPORTS!M1434),"",REPORTS!M1434)</f>
        <v>0</v>
      </c>
      <c r="H1833" s="1364">
        <f>+IF(ISBLANK(REPORTS!N1434),"",REPORTS!N1434)</f>
        <v>0</v>
      </c>
      <c r="I1833" s="1364">
        <f>+IF(ISBLANK(REPORTS!O1434),"",REPORTS!O1434)</f>
        <v>0</v>
      </c>
      <c r="J1833" s="1364">
        <f>+IF(ISBLANK(REPORTS!P1434),"",REPORTS!P1434)</f>
        <v>0</v>
      </c>
      <c r="K1833" s="1364">
        <f>+IF(ISBLANK(REPORTS!Q1434),"",REPORTS!Q1434)</f>
        <v>0</v>
      </c>
      <c r="L1833" s="1358"/>
      <c r="M1833" s="1321"/>
    </row>
    <row r="1834" spans="1:13">
      <c r="A1834" s="1393">
        <v>20</v>
      </c>
      <c r="B1834" s="1324" t="s">
        <v>5244</v>
      </c>
      <c r="C1834" s="1324" t="s">
        <v>4071</v>
      </c>
      <c r="D1834" s="1366">
        <f>+IF(ISBLANK(REPORTS!J1435),"",REPORTS!J1435)</f>
        <v>0</v>
      </c>
      <c r="E1834" s="1366">
        <f>+IF(ISBLANK(REPORTS!K1435),"",REPORTS!K1435)</f>
        <v>0</v>
      </c>
      <c r="F1834" s="1366">
        <f>+IF(ISBLANK(REPORTS!L1435),"",REPORTS!L1435)</f>
        <v>0</v>
      </c>
      <c r="G1834" s="1366">
        <f>+IF(ISBLANK(REPORTS!M1435),"",REPORTS!M1435)</f>
        <v>0</v>
      </c>
      <c r="H1834" s="1366">
        <f>+IF(ISBLANK(REPORTS!N1435),"",REPORTS!N1435)</f>
        <v>0</v>
      </c>
      <c r="I1834" s="1366">
        <f>+IF(ISBLANK(REPORTS!O1435),"",REPORTS!O1435)</f>
        <v>0</v>
      </c>
      <c r="J1834" s="1366">
        <f>+IF(ISBLANK(REPORTS!P1435),"",REPORTS!P1435)</f>
        <v>0</v>
      </c>
      <c r="K1834" s="1366">
        <f>+IF(ISBLANK(REPORTS!Q1435),"",REPORTS!Q1435)</f>
        <v>0</v>
      </c>
      <c r="L1834" s="1358"/>
      <c r="M1834" s="1321"/>
    </row>
    <row r="1835" spans="1:13">
      <c r="A1835" s="1393">
        <v>21</v>
      </c>
      <c r="B1835" s="1324" t="s">
        <v>5672</v>
      </c>
      <c r="D1835" s="1421">
        <f>+IF(ISBLANK(REPORTS!J1436),"",REPORTS!J1436)</f>
        <v>68033.559813157728</v>
      </c>
      <c r="E1835" s="1421">
        <f>+IF(ISBLANK(REPORTS!K1436),"",REPORTS!K1436)</f>
        <v>40180.642536318162</v>
      </c>
      <c r="F1835" s="1421">
        <f>+IF(ISBLANK(REPORTS!L1436),"",REPORTS!L1436)</f>
        <v>3178.9646627556954</v>
      </c>
      <c r="G1835" s="1421">
        <f>+IF(ISBLANK(REPORTS!M1436),"",REPORTS!M1436)</f>
        <v>20697.758064849604</v>
      </c>
      <c r="H1835" s="1421">
        <f>+IF(ISBLANK(REPORTS!N1436),"",REPORTS!N1436)</f>
        <v>2488.0635873788915</v>
      </c>
      <c r="I1835" s="1421">
        <f>+IF(ISBLANK(REPORTS!O1436),"",REPORTS!O1436)</f>
        <v>1327.0255328166152</v>
      </c>
      <c r="J1835" s="1421">
        <f>+IF(ISBLANK(REPORTS!P1436),"",REPORTS!P1436)</f>
        <v>161.10542903876782</v>
      </c>
      <c r="K1835" s="1421">
        <f>+IF(ISBLANK(REPORTS!Q1436),"",REPORTS!Q1436)</f>
        <v>0</v>
      </c>
      <c r="L1835" s="1358"/>
      <c r="M1835" s="1321"/>
    </row>
    <row r="1836" spans="1:13">
      <c r="A1836" s="1393">
        <v>22</v>
      </c>
      <c r="D1836" s="1324" t="str">
        <f>+IF(ISBLANK(REPORTS!J1437),"",REPORTS!J1437)</f>
        <v/>
      </c>
      <c r="E1836" s="1324" t="str">
        <f>+IF(ISBLANK(REPORTS!K1437),"",REPORTS!K1437)</f>
        <v/>
      </c>
      <c r="F1836" s="1324" t="str">
        <f>+IF(ISBLANK(REPORTS!L1437),"",REPORTS!L1437)</f>
        <v/>
      </c>
      <c r="G1836" s="1324" t="str">
        <f>+IF(ISBLANK(REPORTS!M1437),"",REPORTS!M1437)</f>
        <v/>
      </c>
      <c r="H1836" s="1324" t="str">
        <f>+IF(ISBLANK(REPORTS!N1437),"",REPORTS!N1437)</f>
        <v/>
      </c>
      <c r="I1836" s="1324" t="str">
        <f>+IF(ISBLANK(REPORTS!O1437),"",REPORTS!O1437)</f>
        <v/>
      </c>
      <c r="J1836" s="1324" t="str">
        <f>+IF(ISBLANK(REPORTS!P1437),"",REPORTS!P1437)</f>
        <v/>
      </c>
      <c r="K1836" s="1324" t="str">
        <f>+IF(ISBLANK(REPORTS!Q1437),"",REPORTS!Q1437)</f>
        <v/>
      </c>
      <c r="M1836" s="1321"/>
    </row>
    <row r="1837" spans="1:13">
      <c r="A1837" s="1393">
        <v>23</v>
      </c>
      <c r="B1837" s="1362" t="s">
        <v>5786</v>
      </c>
      <c r="D1837" s="1324" t="str">
        <f>+IF(ISBLANK(REPORTS!J1438),"",REPORTS!J1438)</f>
        <v/>
      </c>
      <c r="E1837" s="1324" t="str">
        <f>+IF(ISBLANK(REPORTS!K1438),"",REPORTS!K1438)</f>
        <v/>
      </c>
      <c r="F1837" s="1324" t="str">
        <f>+IF(ISBLANK(REPORTS!L1438),"",REPORTS!L1438)</f>
        <v/>
      </c>
      <c r="G1837" s="1324" t="str">
        <f>+IF(ISBLANK(REPORTS!M1438),"",REPORTS!M1438)</f>
        <v/>
      </c>
      <c r="H1837" s="1324" t="str">
        <f>+IF(ISBLANK(REPORTS!N1438),"",REPORTS!N1438)</f>
        <v/>
      </c>
      <c r="I1837" s="1324" t="str">
        <f>+IF(ISBLANK(REPORTS!O1438),"",REPORTS!O1438)</f>
        <v/>
      </c>
      <c r="J1837" s="1324" t="str">
        <f>+IF(ISBLANK(REPORTS!P1438),"",REPORTS!P1438)</f>
        <v/>
      </c>
      <c r="K1837" s="1324" t="str">
        <f>+IF(ISBLANK(REPORTS!Q1438),"",REPORTS!Q1438)</f>
        <v/>
      </c>
      <c r="M1837" s="1321"/>
    </row>
    <row r="1838" spans="1:13">
      <c r="A1838" s="1393">
        <v>24</v>
      </c>
      <c r="B1838" s="1324" t="s">
        <v>5265</v>
      </c>
      <c r="C1838" s="1324" t="s">
        <v>4067</v>
      </c>
      <c r="D1838" s="1324">
        <f>+IF(ISBLANK(REPORTS!J1439),"",REPORTS!J1439)</f>
        <v>7225506.9599943599</v>
      </c>
      <c r="E1838" s="1324">
        <f>+IF(ISBLANK(REPORTS!K1439),"",REPORTS!K1439)</f>
        <v>4148992.0705516557</v>
      </c>
      <c r="F1838" s="1324">
        <f>+IF(ISBLANK(REPORTS!L1439),"",REPORTS!L1439)</f>
        <v>345032.85958052473</v>
      </c>
      <c r="G1838" s="1324">
        <f>+IF(ISBLANK(REPORTS!M1439),"",REPORTS!M1439)</f>
        <v>2233021.7234448022</v>
      </c>
      <c r="H1838" s="1324">
        <f>+IF(ISBLANK(REPORTS!N1439),"",REPORTS!N1439)</f>
        <v>285395.28916976013</v>
      </c>
      <c r="I1838" s="1324">
        <f>+IF(ISBLANK(REPORTS!O1439),"",REPORTS!O1439)</f>
        <v>205399.88501590144</v>
      </c>
      <c r="J1838" s="1324">
        <f>+IF(ISBLANK(REPORTS!P1439),"",REPORTS!P1439)</f>
        <v>7665.1322317154827</v>
      </c>
      <c r="K1838" s="1324">
        <f>+IF(ISBLANK(REPORTS!Q1439),"",REPORTS!Q1439)</f>
        <v>0</v>
      </c>
      <c r="L1838" s="1324"/>
      <c r="M1838" s="1324"/>
    </row>
    <row r="1839" spans="1:13">
      <c r="A1839" s="1393">
        <v>25</v>
      </c>
      <c r="B1839" s="1324" t="s">
        <v>5265</v>
      </c>
      <c r="C1839" s="1324" t="s">
        <v>2067</v>
      </c>
      <c r="D1839" s="1324">
        <f>+IF(ISBLANK(REPORTS!J1440),"",REPORTS!J1440)</f>
        <v>680548.35013101739</v>
      </c>
      <c r="E1839" s="1324">
        <f>+IF(ISBLANK(REPORTS!K1440),"",REPORTS!K1440)</f>
        <v>343427.96217085293</v>
      </c>
      <c r="F1839" s="1324">
        <f>+IF(ISBLANK(REPORTS!L1440),"",REPORTS!L1440)</f>
        <v>31736.763978782128</v>
      </c>
      <c r="G1839" s="1324">
        <f>+IF(ISBLANK(REPORTS!M1440),"",REPORTS!M1440)</f>
        <v>236426.56467645097</v>
      </c>
      <c r="H1839" s="1324">
        <f>+IF(ISBLANK(REPORTS!N1440),"",REPORTS!N1440)</f>
        <v>37635.307650023817</v>
      </c>
      <c r="I1839" s="1324">
        <f>+IF(ISBLANK(REPORTS!O1440),"",REPORTS!O1440)</f>
        <v>27726.377665713924</v>
      </c>
      <c r="J1839" s="1324">
        <f>+IF(ISBLANK(REPORTS!P1440),"",REPORTS!P1440)</f>
        <v>3595.3739891935147</v>
      </c>
      <c r="K1839" s="1324">
        <f>+IF(ISBLANK(REPORTS!Q1440),"",REPORTS!Q1440)</f>
        <v>0</v>
      </c>
      <c r="L1839" s="1324"/>
      <c r="M1839" s="1324"/>
    </row>
    <row r="1840" spans="1:13">
      <c r="A1840" s="1393">
        <v>26</v>
      </c>
      <c r="B1840" s="1324" t="s">
        <v>5268</v>
      </c>
      <c r="C1840" s="1324" t="s">
        <v>4067</v>
      </c>
      <c r="D1840" s="1324">
        <f>+IF(ISBLANK(REPORTS!J1441),"",REPORTS!J1441)</f>
        <v>533495.1899097478</v>
      </c>
      <c r="E1840" s="1324">
        <f>+IF(ISBLANK(REPORTS!K1441),"",REPORTS!K1441)</f>
        <v>309434.16699093237</v>
      </c>
      <c r="F1840" s="1324">
        <f>+IF(ISBLANK(REPORTS!L1441),"",REPORTS!L1441)</f>
        <v>25525.197651977342</v>
      </c>
      <c r="G1840" s="1324">
        <f>+IF(ISBLANK(REPORTS!M1441),"",REPORTS!M1441)</f>
        <v>163169.76504541931</v>
      </c>
      <c r="H1840" s="1324">
        <f>+IF(ISBLANK(REPORTS!N1441),"",REPORTS!N1441)</f>
        <v>20369.581682038755</v>
      </c>
      <c r="I1840" s="1324">
        <f>+IF(ISBLANK(REPORTS!O1441),"",REPORTS!O1441)</f>
        <v>14618.234393122304</v>
      </c>
      <c r="J1840" s="1324">
        <f>+IF(ISBLANK(REPORTS!P1441),"",REPORTS!P1441)</f>
        <v>378.24414625783362</v>
      </c>
      <c r="K1840" s="1324">
        <f>+IF(ISBLANK(REPORTS!Q1441),"",REPORTS!Q1441)</f>
        <v>0</v>
      </c>
      <c r="L1840" s="1324"/>
      <c r="M1840" s="1324"/>
    </row>
    <row r="1841" spans="1:13">
      <c r="A1841" s="1393">
        <v>27</v>
      </c>
      <c r="B1841" s="1324" t="s">
        <v>5239</v>
      </c>
      <c r="C1841" s="1324" t="s">
        <v>4067</v>
      </c>
      <c r="D1841" s="1324">
        <f>+IF(ISBLANK(REPORTS!J1442),"",REPORTS!J1442)</f>
        <v>556259.29870491521</v>
      </c>
      <c r="E1841" s="1324">
        <f>+IF(ISBLANK(REPORTS!K1442),"",REPORTS!K1442)</f>
        <v>322637.64693892444</v>
      </c>
      <c r="F1841" s="1324">
        <f>+IF(ISBLANK(REPORTS!L1442),"",REPORTS!L1442)</f>
        <v>26614.351570058712</v>
      </c>
      <c r="G1841" s="1324">
        <f>+IF(ISBLANK(REPORTS!M1442),"",REPORTS!M1442)</f>
        <v>170132.17886625283</v>
      </c>
      <c r="H1841" s="1324">
        <f>+IF(ISBLANK(REPORTS!N1442),"",REPORTS!N1442)</f>
        <v>21238.746732243661</v>
      </c>
      <c r="I1841" s="1324">
        <f>+IF(ISBLANK(REPORTS!O1442),"",REPORTS!O1442)</f>
        <v>15241.990866305481</v>
      </c>
      <c r="J1841" s="1324">
        <f>+IF(ISBLANK(REPORTS!P1442),"",REPORTS!P1442)</f>
        <v>394.3837311302018</v>
      </c>
      <c r="K1841" s="1324">
        <f>+IF(ISBLANK(REPORTS!Q1442),"",REPORTS!Q1442)</f>
        <v>0</v>
      </c>
      <c r="L1841" s="1324"/>
      <c r="M1841" s="1324"/>
    </row>
    <row r="1842" spans="1:13">
      <c r="A1842" s="1393">
        <v>28</v>
      </c>
      <c r="B1842" s="1324" t="s">
        <v>5240</v>
      </c>
      <c r="C1842" s="1324" t="s">
        <v>4067</v>
      </c>
      <c r="D1842" s="1324">
        <f>+IF(ISBLANK(REPORTS!J1443),"",REPORTS!J1443)</f>
        <v>2159330.6161561045</v>
      </c>
      <c r="E1842" s="1324">
        <f>+IF(ISBLANK(REPORTS!K1443),"",REPORTS!K1443)</f>
        <v>1344001.9508636172</v>
      </c>
      <c r="F1842" s="1324">
        <f>+IF(ISBLANK(REPORTS!L1443),"",REPORTS!L1443)</f>
        <v>95588.789582125362</v>
      </c>
      <c r="G1842" s="1324">
        <f>+IF(ISBLANK(REPORTS!M1443),"",REPORTS!M1443)</f>
        <v>640026.62939769402</v>
      </c>
      <c r="H1842" s="1324">
        <f>+IF(ISBLANK(REPORTS!N1443),"",REPORTS!N1443)</f>
        <v>67317.932979632489</v>
      </c>
      <c r="I1842" s="1324">
        <f>+IF(ISBLANK(REPORTS!O1443),"",REPORTS!O1443)</f>
        <v>4.5963373207984715E-2</v>
      </c>
      <c r="J1842" s="1324">
        <f>+IF(ISBLANK(REPORTS!P1443),"",REPORTS!P1443)</f>
        <v>12395.267369663197</v>
      </c>
      <c r="K1842" s="1324">
        <f>+IF(ISBLANK(REPORTS!Q1443),"",REPORTS!Q1443)</f>
        <v>0</v>
      </c>
      <c r="L1842" s="1324"/>
      <c r="M1842" s="1324"/>
    </row>
    <row r="1843" spans="1:13">
      <c r="A1843" s="1393">
        <v>29</v>
      </c>
      <c r="B1843" s="1324" t="s">
        <v>5241</v>
      </c>
      <c r="C1843" s="1324" t="s">
        <v>4067</v>
      </c>
      <c r="D1843" s="1324">
        <f>+IF(ISBLANK(REPORTS!J1444),"",REPORTS!J1444)</f>
        <v>1074798.1721466575</v>
      </c>
      <c r="E1843" s="1324">
        <f>+IF(ISBLANK(REPORTS!K1444),"",REPORTS!K1444)</f>
        <v>784208.49557533243</v>
      </c>
      <c r="F1843" s="1324">
        <f>+IF(ISBLANK(REPORTS!L1444),"",REPORTS!L1444)</f>
        <v>63144.347479122996</v>
      </c>
      <c r="G1843" s="1324">
        <f>+IF(ISBLANK(REPORTS!M1444),"",REPORTS!M1444)</f>
        <v>223557.32386837289</v>
      </c>
      <c r="H1843" s="1324">
        <f>+IF(ISBLANK(REPORTS!N1444),"",REPORTS!N1444)</f>
        <v>0</v>
      </c>
      <c r="I1843" s="1324">
        <f>+IF(ISBLANK(REPORTS!O1444),"",REPORTS!O1444)</f>
        <v>0</v>
      </c>
      <c r="J1843" s="1324">
        <f>+IF(ISBLANK(REPORTS!P1444),"",REPORTS!P1444)</f>
        <v>3888.0052238290587</v>
      </c>
      <c r="K1843" s="1324">
        <f>+IF(ISBLANK(REPORTS!Q1444),"",REPORTS!Q1444)</f>
        <v>0</v>
      </c>
      <c r="L1843" s="1324"/>
      <c r="M1843" s="1324"/>
    </row>
    <row r="1844" spans="1:13">
      <c r="A1844" s="1393">
        <v>30</v>
      </c>
      <c r="B1844" s="1324" t="s">
        <v>5242</v>
      </c>
      <c r="C1844" s="1324" t="s">
        <v>4071</v>
      </c>
      <c r="D1844" s="1324">
        <f>+IF(ISBLANK(REPORTS!J1445),"",REPORTS!J1445)</f>
        <v>1011029.5953512132</v>
      </c>
      <c r="E1844" s="1324">
        <f>+IF(ISBLANK(REPORTS!K1445),"",REPORTS!K1445)</f>
        <v>372722.85577154369</v>
      </c>
      <c r="F1844" s="1324">
        <f>+IF(ISBLANK(REPORTS!L1445),"",REPORTS!L1445)</f>
        <v>56537.1564456712</v>
      </c>
      <c r="G1844" s="1324">
        <f>+IF(ISBLANK(REPORTS!M1445),"",REPORTS!M1445)</f>
        <v>27256.520327516886</v>
      </c>
      <c r="H1844" s="1324">
        <f>+IF(ISBLANK(REPORTS!N1445),"",REPORTS!N1445)</f>
        <v>1757.0954363498297</v>
      </c>
      <c r="I1844" s="1324">
        <f>+IF(ISBLANK(REPORTS!O1445),"",REPORTS!O1445)</f>
        <v>1917.0648806273884</v>
      </c>
      <c r="J1844" s="1324">
        <f>+IF(ISBLANK(REPORTS!P1445),"",REPORTS!P1445)</f>
        <v>439.98926748263744</v>
      </c>
      <c r="K1844" s="1324">
        <f>+IF(ISBLANK(REPORTS!Q1445),"",REPORTS!Q1445)</f>
        <v>550398.91322202166</v>
      </c>
      <c r="L1844" s="1324"/>
      <c r="M1844" s="1324"/>
    </row>
    <row r="1845" spans="1:13">
      <c r="A1845" s="1393">
        <v>31</v>
      </c>
      <c r="B1845" s="1324" t="s">
        <v>5244</v>
      </c>
      <c r="C1845" s="1324" t="s">
        <v>4071</v>
      </c>
      <c r="D1845" s="1324">
        <f>+IF(ISBLANK(REPORTS!J1446),"",REPORTS!J1446)</f>
        <v>245143.87349825987</v>
      </c>
      <c r="E1845" s="1324">
        <f>+IF(ISBLANK(REPORTS!K1446),"",REPORTS!K1446)</f>
        <v>218640.58844120818</v>
      </c>
      <c r="F1845" s="1324">
        <f>+IF(ISBLANK(REPORTS!L1446),"",REPORTS!L1446)</f>
        <v>21195.236804501328</v>
      </c>
      <c r="G1845" s="1324">
        <f>+IF(ISBLANK(REPORTS!M1446),"",REPORTS!M1446)</f>
        <v>5220.2061943863555</v>
      </c>
      <c r="H1845" s="1324">
        <f>+IF(ISBLANK(REPORTS!N1446),"",REPORTS!N1446)</f>
        <v>17.625267333875399</v>
      </c>
      <c r="I1845" s="1324">
        <f>+IF(ISBLANK(REPORTS!O1446),"",REPORTS!O1446)</f>
        <v>3.1270635592359586</v>
      </c>
      <c r="J1845" s="1324">
        <f>+IF(ISBLANK(REPORTS!P1446),"",REPORTS!P1446)</f>
        <v>67.089727270880559</v>
      </c>
      <c r="K1845" s="1324">
        <f>+IF(ISBLANK(REPORTS!Q1446),"",REPORTS!Q1446)</f>
        <v>0</v>
      </c>
      <c r="L1845" s="1324"/>
      <c r="M1845" s="1324"/>
    </row>
    <row r="1846" spans="1:13">
      <c r="A1846" s="1393">
        <v>32</v>
      </c>
      <c r="B1846" s="1324" t="s">
        <v>4187</v>
      </c>
      <c r="D1846" s="1421">
        <f>+IF(ISBLANK(REPORTS!J1447),"",REPORTS!J1447)</f>
        <v>13486112.055892276</v>
      </c>
      <c r="E1846" s="1421">
        <f>+IF(ISBLANK(REPORTS!K1447),"",REPORTS!K1447)</f>
        <v>7844065.7373040663</v>
      </c>
      <c r="F1846" s="1421">
        <f>+IF(ISBLANK(REPORTS!L1447),"",REPORTS!L1447)</f>
        <v>665374.7030927639</v>
      </c>
      <c r="G1846" s="1421">
        <f>+IF(ISBLANK(REPORTS!M1447),"",REPORTS!M1447)</f>
        <v>3698810.9118208955</v>
      </c>
      <c r="H1846" s="1421">
        <f>+IF(ISBLANK(REPORTS!N1447),"",REPORTS!N1447)</f>
        <v>433731.57891738263</v>
      </c>
      <c r="I1846" s="1421">
        <f>+IF(ISBLANK(REPORTS!O1447),"",REPORTS!O1447)</f>
        <v>264906.725848603</v>
      </c>
      <c r="J1846" s="1421">
        <f>+IF(ISBLANK(REPORTS!P1447),"",REPORTS!P1447)</f>
        <v>28823.485686542805</v>
      </c>
      <c r="K1846" s="1421">
        <f>+IF(ISBLANK(REPORTS!Q1447),"",REPORTS!Q1447)</f>
        <v>550398.91322202166</v>
      </c>
      <c r="L1846" s="1364"/>
      <c r="M1846" s="1326"/>
    </row>
    <row r="1847" spans="1:13">
      <c r="A1847" s="1393">
        <v>33</v>
      </c>
      <c r="D1847" s="1324" t="str">
        <f>+IF(ISBLANK(REPORTS!J1448),"",REPORTS!J1448)</f>
        <v/>
      </c>
      <c r="E1847" s="1324" t="str">
        <f>+IF(ISBLANK(REPORTS!K1448),"",REPORTS!K1448)</f>
        <v/>
      </c>
      <c r="F1847" s="1324" t="str">
        <f>+IF(ISBLANK(REPORTS!L1448),"",REPORTS!L1448)</f>
        <v/>
      </c>
      <c r="G1847" s="1324" t="str">
        <f>+IF(ISBLANK(REPORTS!M1448),"",REPORTS!M1448)</f>
        <v/>
      </c>
      <c r="H1847" s="1324" t="str">
        <f>+IF(ISBLANK(REPORTS!N1448),"",REPORTS!N1448)</f>
        <v/>
      </c>
      <c r="I1847" s="1324" t="str">
        <f>+IF(ISBLANK(REPORTS!O1448),"",REPORTS!O1448)</f>
        <v/>
      </c>
      <c r="J1847" s="1324" t="str">
        <f>+IF(ISBLANK(REPORTS!P1448),"",REPORTS!P1448)</f>
        <v/>
      </c>
      <c r="K1847" s="1324" t="str">
        <f>+IF(ISBLANK(REPORTS!Q1448),"",REPORTS!Q1448)</f>
        <v/>
      </c>
      <c r="M1847" s="1321"/>
    </row>
    <row r="1848" spans="1:13">
      <c r="A1848" s="1393">
        <v>34</v>
      </c>
      <c r="B1848" s="1362" t="s">
        <v>5795</v>
      </c>
      <c r="D1848" s="1324" t="str">
        <f>+IF(ISBLANK(REPORTS!J1449),"",REPORTS!J1449)</f>
        <v/>
      </c>
      <c r="E1848" s="1324" t="str">
        <f>+IF(ISBLANK(REPORTS!K1449),"",REPORTS!K1449)</f>
        <v/>
      </c>
      <c r="F1848" s="1324" t="str">
        <f>+IF(ISBLANK(REPORTS!L1449),"",REPORTS!L1449)</f>
        <v/>
      </c>
      <c r="G1848" s="1324" t="str">
        <f>+IF(ISBLANK(REPORTS!M1449),"",REPORTS!M1449)</f>
        <v/>
      </c>
      <c r="H1848" s="1324" t="str">
        <f>+IF(ISBLANK(REPORTS!N1449),"",REPORTS!N1449)</f>
        <v/>
      </c>
      <c r="I1848" s="1324" t="str">
        <f>+IF(ISBLANK(REPORTS!O1449),"",REPORTS!O1449)</f>
        <v/>
      </c>
      <c r="J1848" s="1324" t="str">
        <f>+IF(ISBLANK(REPORTS!P1449),"",REPORTS!P1449)</f>
        <v/>
      </c>
      <c r="K1848" s="1324" t="str">
        <f>+IF(ISBLANK(REPORTS!Q1449),"",REPORTS!Q1449)</f>
        <v/>
      </c>
      <c r="M1848" s="1321"/>
    </row>
    <row r="1849" spans="1:13">
      <c r="A1849" s="1393">
        <v>35</v>
      </c>
      <c r="B1849" s="1324" t="s">
        <v>5265</v>
      </c>
      <c r="C1849" s="1324" t="s">
        <v>4067</v>
      </c>
      <c r="D1849" s="1324">
        <f>+IF(ISBLANK(REPORTS!J1450),"",REPORTS!J1450)</f>
        <v>1928412.7989641612</v>
      </c>
      <c r="E1849" s="1324">
        <f>+IF(ISBLANK(REPORTS!K1450),"",REPORTS!K1450)</f>
        <v>1107322.9125584946</v>
      </c>
      <c r="F1849" s="1324">
        <f>+IF(ISBLANK(REPORTS!L1450),"",REPORTS!L1450)</f>
        <v>92085.688403905093</v>
      </c>
      <c r="G1849" s="1324">
        <f>+IF(ISBLANK(REPORTS!M1450),"",REPORTS!M1450)</f>
        <v>595970.31678166543</v>
      </c>
      <c r="H1849" s="1324">
        <f>+IF(ISBLANK(REPORTS!N1450),"",REPORTS!N1450)</f>
        <v>76169.039964425305</v>
      </c>
      <c r="I1849" s="1324">
        <f>+IF(ISBLANK(REPORTS!O1450),"",REPORTS!O1450)</f>
        <v>54819.097035475083</v>
      </c>
      <c r="J1849" s="1324">
        <f>+IF(ISBLANK(REPORTS!P1450),"",REPORTS!P1450)</f>
        <v>2045.7442201957822</v>
      </c>
      <c r="K1849" s="1324">
        <f>+IF(ISBLANK(REPORTS!Q1450),"",REPORTS!Q1450)</f>
        <v>0</v>
      </c>
      <c r="L1849" s="1324"/>
      <c r="M1849" s="1326"/>
    </row>
    <row r="1850" spans="1:13">
      <c r="A1850" s="1393">
        <v>36</v>
      </c>
      <c r="B1850" s="1324" t="s">
        <v>5265</v>
      </c>
      <c r="C1850" s="1324" t="s">
        <v>2067</v>
      </c>
      <c r="D1850" s="1324">
        <f>+IF(ISBLANK(REPORTS!J1451),"",REPORTS!J1451)</f>
        <v>322619.66777948913</v>
      </c>
      <c r="E1850" s="1324">
        <f>+IF(ISBLANK(REPORTS!K1451),"",REPORTS!K1451)</f>
        <v>162804.91318569396</v>
      </c>
      <c r="F1850" s="1324">
        <f>+IF(ISBLANK(REPORTS!L1451),"",REPORTS!L1451)</f>
        <v>15045.079823144944</v>
      </c>
      <c r="G1850" s="1324">
        <f>+IF(ISBLANK(REPORTS!M1451),"",REPORTS!M1451)</f>
        <v>112080.00098079453</v>
      </c>
      <c r="H1850" s="1324">
        <f>+IF(ISBLANK(REPORTS!N1451),"",REPORTS!N1451)</f>
        <v>17841.33404848021</v>
      </c>
      <c r="I1850" s="1324">
        <f>+IF(ISBLANK(REPORTS!O1451),"",REPORTS!O1451)</f>
        <v>13143.92247004815</v>
      </c>
      <c r="J1850" s="1324">
        <f>+IF(ISBLANK(REPORTS!P1451),"",REPORTS!P1451)</f>
        <v>1704.4172713273349</v>
      </c>
      <c r="K1850" s="1324">
        <f>+IF(ISBLANK(REPORTS!Q1451),"",REPORTS!Q1451)</f>
        <v>0</v>
      </c>
      <c r="L1850" s="1324"/>
      <c r="M1850" s="1326"/>
    </row>
    <row r="1851" spans="1:13">
      <c r="A1851" s="1393">
        <v>37</v>
      </c>
      <c r="B1851" s="1324" t="s">
        <v>5268</v>
      </c>
      <c r="C1851" s="1324" t="s">
        <v>4067</v>
      </c>
      <c r="D1851" s="1324">
        <f>+IF(ISBLANK(REPORTS!J1452),"",REPORTS!J1452)</f>
        <v>140015.36430333179</v>
      </c>
      <c r="E1851" s="1324">
        <f>+IF(ISBLANK(REPORTS!K1452),"",REPORTS!K1452)</f>
        <v>81210.737113605152</v>
      </c>
      <c r="F1851" s="1324">
        <f>+IF(ISBLANK(REPORTS!L1452),"",REPORTS!L1452)</f>
        <v>6699.0666752979769</v>
      </c>
      <c r="G1851" s="1324">
        <f>+IF(ISBLANK(REPORTS!M1452),"",REPORTS!M1452)</f>
        <v>42823.767726918733</v>
      </c>
      <c r="H1851" s="1324">
        <f>+IF(ISBLANK(REPORTS!N1452),"",REPORTS!N1452)</f>
        <v>5345.9795961789587</v>
      </c>
      <c r="I1851" s="1324">
        <f>+IF(ISBLANK(REPORTS!O1452),"",REPORTS!O1452)</f>
        <v>3836.543332978822</v>
      </c>
      <c r="J1851" s="1324">
        <f>+IF(ISBLANK(REPORTS!P1452),"",REPORTS!P1452)</f>
        <v>99.269858352148603</v>
      </c>
      <c r="K1851" s="1324">
        <f>+IF(ISBLANK(REPORTS!Q1452),"",REPORTS!Q1452)</f>
        <v>0</v>
      </c>
      <c r="L1851" s="1324"/>
      <c r="M1851" s="1326"/>
    </row>
    <row r="1852" spans="1:13">
      <c r="A1852" s="1393">
        <v>38</v>
      </c>
      <c r="B1852" s="1324" t="s">
        <v>5239</v>
      </c>
      <c r="C1852" s="1324" t="s">
        <v>4067</v>
      </c>
      <c r="D1852" s="1324">
        <f>+IF(ISBLANK(REPORTS!J1453),"",REPORTS!J1453)</f>
        <v>131214.50969340571</v>
      </c>
      <c r="E1852" s="1324">
        <f>+IF(ISBLANK(REPORTS!K1453),"",REPORTS!K1453)</f>
        <v>76106.126675615116</v>
      </c>
      <c r="F1852" s="1324">
        <f>+IF(ISBLANK(REPORTS!L1453),"",REPORTS!L1453)</f>
        <v>6277.9878020982342</v>
      </c>
      <c r="G1852" s="1324">
        <f>+IF(ISBLANK(REPORTS!M1453),"",REPORTS!M1453)</f>
        <v>40132.022035371876</v>
      </c>
      <c r="H1852" s="1324">
        <f>+IF(ISBLANK(REPORTS!N1453),"",REPORTS!N1453)</f>
        <v>5009.9508367088611</v>
      </c>
      <c r="I1852" s="1324">
        <f>+IF(ISBLANK(REPORTS!O1453),"",REPORTS!O1453)</f>
        <v>3595.3922261254415</v>
      </c>
      <c r="J1852" s="1324">
        <f>+IF(ISBLANK(REPORTS!P1453),"",REPORTS!P1453)</f>
        <v>93.030117486192594</v>
      </c>
      <c r="K1852" s="1324">
        <f>+IF(ISBLANK(REPORTS!Q1453),"",REPORTS!Q1453)</f>
        <v>0</v>
      </c>
      <c r="L1852" s="1324"/>
      <c r="M1852" s="1326"/>
    </row>
    <row r="1853" spans="1:13">
      <c r="A1853" s="1393">
        <v>39</v>
      </c>
      <c r="B1853" s="1324" t="s">
        <v>5240</v>
      </c>
      <c r="C1853" s="1324" t="s">
        <v>4067</v>
      </c>
      <c r="D1853" s="1324">
        <f>+IF(ISBLANK(REPORTS!J1454),"",REPORTS!J1454)</f>
        <v>646089.35097835469</v>
      </c>
      <c r="E1853" s="1324">
        <f>+IF(ISBLANK(REPORTS!K1454),"",REPORTS!K1454)</f>
        <v>402136.35728135379</v>
      </c>
      <c r="F1853" s="1324">
        <f>+IF(ISBLANK(REPORTS!L1454),"",REPORTS!L1454)</f>
        <v>28600.946311714382</v>
      </c>
      <c r="G1853" s="1324">
        <f>+IF(ISBLANK(REPORTS!M1454),"",REPORTS!M1454)</f>
        <v>191501.19324132524</v>
      </c>
      <c r="H1853" s="1324">
        <f>+IF(ISBLANK(REPORTS!N1454),"",REPORTS!N1454)</f>
        <v>20142.07518876344</v>
      </c>
      <c r="I1853" s="1324">
        <f>+IF(ISBLANK(REPORTS!O1454),"",REPORTS!O1454)</f>
        <v>1.3752616548171935E-2</v>
      </c>
      <c r="J1853" s="1324">
        <f>+IF(ISBLANK(REPORTS!P1454),"",REPORTS!P1454)</f>
        <v>3708.7652025816124</v>
      </c>
      <c r="K1853" s="1324">
        <f>+IF(ISBLANK(REPORTS!Q1454),"",REPORTS!Q1454)</f>
        <v>0</v>
      </c>
      <c r="L1853" s="1324"/>
      <c r="M1853" s="1326"/>
    </row>
    <row r="1854" spans="1:13">
      <c r="A1854" s="1393">
        <v>40</v>
      </c>
      <c r="B1854" s="1324" t="s">
        <v>5241</v>
      </c>
      <c r="C1854" s="1324" t="s">
        <v>4067</v>
      </c>
      <c r="D1854" s="1324">
        <f>+IF(ISBLANK(REPORTS!J1455),"",REPORTS!J1455)</f>
        <v>401759.43460946128</v>
      </c>
      <c r="E1854" s="1324">
        <f>+IF(ISBLANK(REPORTS!K1455),"",REPORTS!K1455)</f>
        <v>293137.04652941209</v>
      </c>
      <c r="F1854" s="1324">
        <f>+IF(ISBLANK(REPORTS!L1455),"",REPORTS!L1455)</f>
        <v>23603.349912037444</v>
      </c>
      <c r="G1854" s="1324">
        <f>+IF(ISBLANK(REPORTS!M1455),"",REPORTS!M1455)</f>
        <v>83565.702257173325</v>
      </c>
      <c r="H1854" s="1324">
        <f>+IF(ISBLANK(REPORTS!N1455),"",REPORTS!N1455)</f>
        <v>0</v>
      </c>
      <c r="I1854" s="1324">
        <f>+IF(ISBLANK(REPORTS!O1455),"",REPORTS!O1455)</f>
        <v>0</v>
      </c>
      <c r="J1854" s="1324">
        <f>+IF(ISBLANK(REPORTS!P1455),"",REPORTS!P1455)</f>
        <v>1453.3359108383854</v>
      </c>
      <c r="K1854" s="1324">
        <f>+IF(ISBLANK(REPORTS!Q1455),"",REPORTS!Q1455)</f>
        <v>0</v>
      </c>
      <c r="L1854" s="1324"/>
      <c r="M1854" s="1326"/>
    </row>
    <row r="1855" spans="1:13">
      <c r="A1855" s="1393">
        <v>41</v>
      </c>
      <c r="B1855" s="1324" t="s">
        <v>5242</v>
      </c>
      <c r="C1855" s="1324" t="s">
        <v>4071</v>
      </c>
      <c r="D1855" s="1324">
        <f>+IF(ISBLANK(REPORTS!J1456),"",REPORTS!J1456)</f>
        <v>367572.06014171452</v>
      </c>
      <c r="E1855" s="1324">
        <f>+IF(ISBLANK(REPORTS!K1456),"",REPORTS!K1456)</f>
        <v>163643.70133619319</v>
      </c>
      <c r="F1855" s="1324">
        <f>+IF(ISBLANK(REPORTS!L1456),"",REPORTS!L1456)</f>
        <v>19697.484543205894</v>
      </c>
      <c r="G1855" s="1324">
        <f>+IF(ISBLANK(REPORTS!M1456),"",REPORTS!M1456)</f>
        <v>7341.8988639643867</v>
      </c>
      <c r="H1855" s="1324">
        <f>+IF(ISBLANK(REPORTS!N1456),"",REPORTS!N1456)</f>
        <v>330.3224631955448</v>
      </c>
      <c r="I1855" s="1324">
        <f>+IF(ISBLANK(REPORTS!O1456),"",REPORTS!O1456)</f>
        <v>360.39567366358744</v>
      </c>
      <c r="J1855" s="1324">
        <f>+IF(ISBLANK(REPORTS!P1456),"",REPORTS!P1456)</f>
        <v>109.2383149315348</v>
      </c>
      <c r="K1855" s="1324">
        <f>+IF(ISBLANK(REPORTS!Q1456),"",REPORTS!Q1456)</f>
        <v>176089.01894656042</v>
      </c>
      <c r="L1855" s="1324"/>
      <c r="M1855" s="1326"/>
    </row>
    <row r="1856" spans="1:13">
      <c r="A1856" s="1393">
        <v>42</v>
      </c>
      <c r="B1856" s="1324" t="s">
        <v>5244</v>
      </c>
      <c r="C1856" s="1324" t="s">
        <v>4071</v>
      </c>
      <c r="D1856" s="1366">
        <f>+IF(ISBLANK(REPORTS!J1457),"",REPORTS!J1457)</f>
        <v>67123.870702369808</v>
      </c>
      <c r="E1856" s="1366">
        <f>+IF(ISBLANK(REPORTS!K1457),"",REPORTS!K1457)</f>
        <v>59866.895221111394</v>
      </c>
      <c r="F1856" s="1366">
        <f>+IF(ISBLANK(REPORTS!L1457),"",REPORTS!L1457)</f>
        <v>5803.5565583145435</v>
      </c>
      <c r="G1856" s="1366">
        <f>+IF(ISBLANK(REPORTS!M1457),"",REPORTS!M1457)</f>
        <v>1429.3665211020948</v>
      </c>
      <c r="H1856" s="1366">
        <f>+IF(ISBLANK(REPORTS!N1457),"",REPORTS!N1457)</f>
        <v>4.8260482659875761</v>
      </c>
      <c r="I1856" s="1366">
        <f>+IF(ISBLANK(REPORTS!O1457),"",REPORTS!O1457)</f>
        <v>0.85623436977198941</v>
      </c>
      <c r="J1856" s="1366">
        <f>+IF(ISBLANK(REPORTS!P1457),"",REPORTS!P1457)</f>
        <v>18.370119206017225</v>
      </c>
      <c r="K1856" s="1366">
        <f>+IF(ISBLANK(REPORTS!Q1457),"",REPORTS!Q1457)</f>
        <v>0</v>
      </c>
      <c r="L1856" s="1364"/>
      <c r="M1856" s="1326"/>
    </row>
    <row r="1857" spans="1:13">
      <c r="A1857" s="1393">
        <v>43</v>
      </c>
      <c r="B1857" s="1324" t="s">
        <v>5804</v>
      </c>
      <c r="D1857" s="1421">
        <f>+IF(ISBLANK(REPORTS!J1458),"",REPORTS!J1458)</f>
        <v>4004807.0571722877</v>
      </c>
      <c r="E1857" s="1421">
        <f>+IF(ISBLANK(REPORTS!K1458),"",REPORTS!K1458)</f>
        <v>2346228.6899014795</v>
      </c>
      <c r="F1857" s="1421">
        <f>+IF(ISBLANK(REPORTS!L1458),"",REPORTS!L1458)</f>
        <v>197813.16002971848</v>
      </c>
      <c r="G1857" s="1421">
        <f>+IF(ISBLANK(REPORTS!M1458),"",REPORTS!M1458)</f>
        <v>1074844.2684083157</v>
      </c>
      <c r="H1857" s="1421">
        <f>+IF(ISBLANK(REPORTS!N1458),"",REPORTS!N1458)</f>
        <v>124843.5281460183</v>
      </c>
      <c r="I1857" s="1421">
        <f>+IF(ISBLANK(REPORTS!O1458),"",REPORTS!O1458)</f>
        <v>75756.22072527741</v>
      </c>
      <c r="J1857" s="1421">
        <f>+IF(ISBLANK(REPORTS!P1458),"",REPORTS!P1458)</f>
        <v>9232.1710149190094</v>
      </c>
      <c r="K1857" s="1421">
        <f>+IF(ISBLANK(REPORTS!Q1458),"",REPORTS!Q1458)</f>
        <v>176089.01894656042</v>
      </c>
      <c r="L1857" s="1364"/>
      <c r="M1857" s="1324"/>
    </row>
    <row r="1858" spans="1:13">
      <c r="D1858" s="1364"/>
      <c r="E1858" s="1364"/>
      <c r="F1858" s="1364"/>
      <c r="G1858" s="1364"/>
      <c r="H1858" s="1364"/>
      <c r="I1858" s="1364"/>
      <c r="J1858" s="1364"/>
      <c r="K1858" s="1364"/>
      <c r="L1858" s="1358"/>
    </row>
    <row r="1866" spans="1:13">
      <c r="A1866" s="1732" t="str">
        <f>+$A$1</f>
        <v>RATES WITH REVENUE DEFICIENCY ADDITION</v>
      </c>
      <c r="F1866" s="1329" t="s">
        <v>2173</v>
      </c>
      <c r="G1866" s="1329"/>
      <c r="H1866" s="1329"/>
      <c r="I1866" s="1329"/>
      <c r="M1866" s="1334" t="s">
        <v>5981</v>
      </c>
    </row>
    <row r="1867" spans="1:13">
      <c r="A1867" s="1732" t="str">
        <f>+$A$2</f>
        <v>PROD. CAP. ALLOC. METHOD: 12 CP &amp; 1/13th AD</v>
      </c>
      <c r="F1867" s="1336" t="s">
        <v>5141</v>
      </c>
      <c r="G1867" s="1336"/>
      <c r="H1867" s="1336"/>
      <c r="I1867" s="1336"/>
      <c r="L1867" s="1331"/>
      <c r="M1867" s="1409"/>
    </row>
    <row r="1868" spans="1:13">
      <c r="A1868" s="1732" t="str">
        <f>+$A$3</f>
        <v>PROJECTED CALENDAR YEAR 2025; FULLY ADJUSTED DATA</v>
      </c>
      <c r="F1868" s="1336" t="s">
        <v>2181</v>
      </c>
      <c r="M1868" s="1321"/>
    </row>
    <row r="1869" spans="1:13">
      <c r="A1869" s="1732" t="str">
        <f>+$A$4</f>
        <v>MINIMUM DISTRIBUTION SYSTEM (MDS) NOT EMPLOYED</v>
      </c>
      <c r="B1869" s="1364"/>
      <c r="F1869" s="1336"/>
      <c r="G1869" s="1336"/>
      <c r="H1869" s="1336"/>
      <c r="I1869" s="1336"/>
      <c r="M1869" s="1321"/>
    </row>
    <row r="1870" spans="1:13">
      <c r="A1870" s="1732" t="str">
        <f>+$A$5</f>
        <v>Tampa Electric 2025 OB Budget</v>
      </c>
      <c r="F1870" s="1336" t="s">
        <v>5766</v>
      </c>
      <c r="G1870" s="1336"/>
      <c r="H1870" s="1336"/>
      <c r="I1870" s="1336"/>
      <c r="M1870" s="1321"/>
    </row>
    <row r="1871" spans="1:13">
      <c r="F1871" s="1336"/>
      <c r="G1871" s="1336"/>
      <c r="H1871" s="1336"/>
      <c r="I1871" s="1336"/>
      <c r="M1871" s="1321"/>
    </row>
    <row r="1872" spans="1:13">
      <c r="F1872" s="1336"/>
      <c r="G1872" s="1336"/>
      <c r="H1872" s="1336"/>
      <c r="I1872" s="1336"/>
      <c r="M1872" s="1321"/>
    </row>
    <row r="1873" spans="1:13">
      <c r="M1873" s="1321"/>
    </row>
    <row r="1874" spans="1:13">
      <c r="A1874" s="1735"/>
      <c r="B1874" s="1416"/>
      <c r="C1874" s="1416"/>
      <c r="D1874" s="1416"/>
      <c r="E1874" s="1336"/>
      <c r="F1874" s="1416"/>
      <c r="G1874" s="1416"/>
      <c r="H1874" s="1416"/>
      <c r="I1874" s="1416"/>
      <c r="J1874" s="96"/>
      <c r="K1874" s="96"/>
      <c r="L1874" s="1333"/>
      <c r="M1874" s="1321"/>
    </row>
    <row r="1875" spans="1:13" ht="28.2">
      <c r="A1875" s="1737" t="s">
        <v>4297</v>
      </c>
      <c r="B1875" s="1741"/>
      <c r="C1875" s="1741"/>
      <c r="D1875" s="1352" t="s">
        <v>4957</v>
      </c>
      <c r="E1875" s="1353" t="s">
        <v>1949</v>
      </c>
      <c r="F1875" s="1353" t="s">
        <v>1950</v>
      </c>
      <c r="G1875" s="1353" t="s">
        <v>1934</v>
      </c>
      <c r="H1875" s="1353" t="s">
        <v>1971</v>
      </c>
      <c r="I1875" s="1353" t="s">
        <v>1972</v>
      </c>
      <c r="J1875" s="1352" t="s">
        <v>5146</v>
      </c>
      <c r="K1875" s="1352" t="s">
        <v>5147</v>
      </c>
      <c r="L1875" s="1355"/>
      <c r="M1875" s="1348" t="s">
        <v>5299</v>
      </c>
    </row>
    <row r="1876" spans="1:13">
      <c r="M1876" s="1321"/>
    </row>
    <row r="1877" spans="1:13">
      <c r="A1877" s="1393">
        <v>44</v>
      </c>
      <c r="B1877" s="1362" t="s">
        <v>5806</v>
      </c>
      <c r="M1877" s="1321"/>
    </row>
    <row r="1878" spans="1:13">
      <c r="A1878" s="1393">
        <v>45</v>
      </c>
      <c r="B1878" s="1324" t="s">
        <v>5265</v>
      </c>
      <c r="C1878" s="1324" t="s">
        <v>4067</v>
      </c>
      <c r="D1878" s="1324">
        <f>+IF(ISBLANK(REPORTS!J1476),"",REPORTS!J1476)</f>
        <v>5297094.1610301984</v>
      </c>
      <c r="E1878" s="1324">
        <f>+IF(ISBLANK(REPORTS!K1476),"",REPORTS!K1476)</f>
        <v>3041669.1579931611</v>
      </c>
      <c r="F1878" s="1324">
        <f>+IF(ISBLANK(REPORTS!L1476),"",REPORTS!L1476)</f>
        <v>252947.17117661965</v>
      </c>
      <c r="G1878" s="1324">
        <f>+IF(ISBLANK(REPORTS!M1476),"",REPORTS!M1476)</f>
        <v>1637051.4066631368</v>
      </c>
      <c r="H1878" s="1324">
        <f>+IF(ISBLANK(REPORTS!N1476),"",REPORTS!N1476)</f>
        <v>209226.24920533481</v>
      </c>
      <c r="I1878" s="1324">
        <f>+IF(ISBLANK(REPORTS!O1476),"",REPORTS!O1476)</f>
        <v>150580.78798042636</v>
      </c>
      <c r="J1878" s="1324">
        <f>+IF(ISBLANK(REPORTS!P1476),"",REPORTS!P1476)</f>
        <v>5619.3880115197007</v>
      </c>
      <c r="K1878" s="1324">
        <f>+IF(ISBLANK(REPORTS!Q1476),"",REPORTS!Q1476)</f>
        <v>0</v>
      </c>
      <c r="M1878" s="1321"/>
    </row>
    <row r="1879" spans="1:13">
      <c r="A1879" s="1393">
        <v>46</v>
      </c>
      <c r="B1879" s="1324" t="s">
        <v>5265</v>
      </c>
      <c r="C1879" s="1324" t="s">
        <v>2067</v>
      </c>
      <c r="D1879" s="1324">
        <f>+IF(ISBLANK(REPORTS!J1477),"",REPORTS!J1477)</f>
        <v>357928.68235152826</v>
      </c>
      <c r="E1879" s="1324">
        <f>+IF(ISBLANK(REPORTS!K1477),"",REPORTS!K1477)</f>
        <v>180623.04898515897</v>
      </c>
      <c r="F1879" s="1324">
        <f>+IF(ISBLANK(REPORTS!L1477),"",REPORTS!L1477)</f>
        <v>16691.684155637184</v>
      </c>
      <c r="G1879" s="1324">
        <f>+IF(ISBLANK(REPORTS!M1477),"",REPORTS!M1477)</f>
        <v>124346.56369565644</v>
      </c>
      <c r="H1879" s="1324">
        <f>+IF(ISBLANK(REPORTS!N1477),"",REPORTS!N1477)</f>
        <v>19793.973601543606</v>
      </c>
      <c r="I1879" s="1324">
        <f>+IF(ISBLANK(REPORTS!O1477),"",REPORTS!O1477)</f>
        <v>14582.455195665774</v>
      </c>
      <c r="J1879" s="1324">
        <f>+IF(ISBLANK(REPORTS!P1477),"",REPORTS!P1477)</f>
        <v>1890.9567178661798</v>
      </c>
      <c r="K1879" s="1324">
        <f>+IF(ISBLANK(REPORTS!Q1477),"",REPORTS!Q1477)</f>
        <v>0</v>
      </c>
      <c r="M1879" s="1321"/>
    </row>
    <row r="1880" spans="1:13">
      <c r="A1880" s="1393">
        <v>47</v>
      </c>
      <c r="B1880" s="1324" t="s">
        <v>5268</v>
      </c>
      <c r="C1880" s="1324" t="s">
        <v>4067</v>
      </c>
      <c r="D1880" s="1324">
        <f>+IF(ISBLANK(REPORTS!J1478),"",REPORTS!J1478)</f>
        <v>393479.82560641598</v>
      </c>
      <c r="E1880" s="1324">
        <f>+IF(ISBLANK(REPORTS!K1478),"",REPORTS!K1478)</f>
        <v>228223.42987732723</v>
      </c>
      <c r="F1880" s="1324">
        <f>+IF(ISBLANK(REPORTS!L1478),"",REPORTS!L1478)</f>
        <v>18826.130976679364</v>
      </c>
      <c r="G1880" s="1324">
        <f>+IF(ISBLANK(REPORTS!M1478),"",REPORTS!M1478)</f>
        <v>120345.99731850057</v>
      </c>
      <c r="H1880" s="1324">
        <f>+IF(ISBLANK(REPORTS!N1478),"",REPORTS!N1478)</f>
        <v>15023.602085859797</v>
      </c>
      <c r="I1880" s="1324">
        <f>+IF(ISBLANK(REPORTS!O1478),"",REPORTS!O1478)</f>
        <v>10781.691060143483</v>
      </c>
      <c r="J1880" s="1324">
        <f>+IF(ISBLANK(REPORTS!P1478),"",REPORTS!P1478)</f>
        <v>278.974287905685</v>
      </c>
      <c r="K1880" s="1324">
        <f>+IF(ISBLANK(REPORTS!Q1478),"",REPORTS!Q1478)</f>
        <v>0</v>
      </c>
      <c r="M1880" s="1321"/>
    </row>
    <row r="1881" spans="1:13">
      <c r="A1881" s="1393">
        <v>48</v>
      </c>
      <c r="B1881" s="1324" t="s">
        <v>5239</v>
      </c>
      <c r="C1881" s="1324" t="s">
        <v>4067</v>
      </c>
      <c r="D1881" s="1324">
        <f>+IF(ISBLANK(REPORTS!J1479),"",REPORTS!J1479)</f>
        <v>425044.78901150951</v>
      </c>
      <c r="E1881" s="1324">
        <f>+IF(ISBLANK(REPORTS!K1479),"",REPORTS!K1479)</f>
        <v>246531.52026330933</v>
      </c>
      <c r="F1881" s="1324">
        <f>+IF(ISBLANK(REPORTS!L1479),"",REPORTS!L1479)</f>
        <v>20336.36376796048</v>
      </c>
      <c r="G1881" s="1324">
        <f>+IF(ISBLANK(REPORTS!M1479),"",REPORTS!M1479)</f>
        <v>130000.15683088095</v>
      </c>
      <c r="H1881" s="1324">
        <f>+IF(ISBLANK(REPORTS!N1479),"",REPORTS!N1479)</f>
        <v>16228.7958955348</v>
      </c>
      <c r="I1881" s="1324">
        <f>+IF(ISBLANK(REPORTS!O1479),"",REPORTS!O1479)</f>
        <v>11646.59864018004</v>
      </c>
      <c r="J1881" s="1324">
        <f>+IF(ISBLANK(REPORTS!P1479),"",REPORTS!P1479)</f>
        <v>301.35361364400922</v>
      </c>
      <c r="K1881" s="1324">
        <f>+IF(ISBLANK(REPORTS!Q1479),"",REPORTS!Q1479)</f>
        <v>0</v>
      </c>
      <c r="M1881" s="1321"/>
    </row>
    <row r="1882" spans="1:13">
      <c r="A1882" s="1393">
        <v>49</v>
      </c>
      <c r="B1882" s="1324" t="s">
        <v>5240</v>
      </c>
      <c r="C1882" s="1324" t="s">
        <v>4067</v>
      </c>
      <c r="D1882" s="1324">
        <f>+IF(ISBLANK(REPORTS!J1480),"",REPORTS!J1480)</f>
        <v>1513241.2651777498</v>
      </c>
      <c r="E1882" s="1324">
        <f>+IF(ISBLANK(REPORTS!K1480),"",REPORTS!K1480)</f>
        <v>941865.59358226345</v>
      </c>
      <c r="F1882" s="1324">
        <f>+IF(ISBLANK(REPORTS!L1480),"",REPORTS!L1480)</f>
        <v>66987.843270410987</v>
      </c>
      <c r="G1882" s="1324">
        <f>+IF(ISBLANK(REPORTS!M1480),"",REPORTS!M1480)</f>
        <v>448525.43615636881</v>
      </c>
      <c r="H1882" s="1324">
        <f>+IF(ISBLANK(REPORTS!N1480),"",REPORTS!N1480)</f>
        <v>47175.857790869049</v>
      </c>
      <c r="I1882" s="1324">
        <f>+IF(ISBLANK(REPORTS!O1480),"",REPORTS!O1480)</f>
        <v>3.2210756659812781E-2</v>
      </c>
      <c r="J1882" s="1324">
        <f>+IF(ISBLANK(REPORTS!P1480),"",REPORTS!P1480)</f>
        <v>8686.502167081584</v>
      </c>
      <c r="K1882" s="1324">
        <f>+IF(ISBLANK(REPORTS!Q1480),"",REPORTS!Q1480)</f>
        <v>0</v>
      </c>
      <c r="M1882" s="1321"/>
    </row>
    <row r="1883" spans="1:13">
      <c r="A1883" s="1393">
        <v>50</v>
      </c>
      <c r="B1883" s="1324" t="s">
        <v>5241</v>
      </c>
      <c r="C1883" s="1324" t="s">
        <v>4067</v>
      </c>
      <c r="D1883" s="1324">
        <f>+IF(ISBLANK(REPORTS!J1481),"",REPORTS!J1481)</f>
        <v>673038.73753719614</v>
      </c>
      <c r="E1883" s="1324">
        <f>+IF(ISBLANK(REPORTS!K1481),"",REPORTS!K1481)</f>
        <v>491071.44904592034</v>
      </c>
      <c r="F1883" s="1324">
        <f>+IF(ISBLANK(REPORTS!L1481),"",REPORTS!L1481)</f>
        <v>39540.997567085549</v>
      </c>
      <c r="G1883" s="1324">
        <f>+IF(ISBLANK(REPORTS!M1481),"",REPORTS!M1481)</f>
        <v>139991.62161119957</v>
      </c>
      <c r="H1883" s="1324">
        <f>+IF(ISBLANK(REPORTS!N1481),"",REPORTS!N1481)</f>
        <v>0</v>
      </c>
      <c r="I1883" s="1324">
        <f>+IF(ISBLANK(REPORTS!O1481),"",REPORTS!O1481)</f>
        <v>0</v>
      </c>
      <c r="J1883" s="1324">
        <f>+IF(ISBLANK(REPORTS!P1481),"",REPORTS!P1481)</f>
        <v>2434.6693129906735</v>
      </c>
      <c r="K1883" s="1324">
        <f>+IF(ISBLANK(REPORTS!Q1481),"",REPORTS!Q1481)</f>
        <v>0</v>
      </c>
      <c r="M1883" s="1321"/>
    </row>
    <row r="1884" spans="1:13">
      <c r="A1884" s="1393">
        <v>51</v>
      </c>
      <c r="B1884" s="1324" t="s">
        <v>5242</v>
      </c>
      <c r="C1884" s="1324" t="s">
        <v>4071</v>
      </c>
      <c r="D1884" s="1324">
        <f>+IF(ISBLANK(REPORTS!J1482),"",REPORTS!J1482)</f>
        <v>643457.53520949872</v>
      </c>
      <c r="E1884" s="1324">
        <f>+IF(ISBLANK(REPORTS!K1482),"",REPORTS!K1482)</f>
        <v>209079.1544353505</v>
      </c>
      <c r="F1884" s="1324">
        <f>+IF(ISBLANK(REPORTS!L1482),"",REPORTS!L1482)</f>
        <v>36839.671902465307</v>
      </c>
      <c r="G1884" s="1324">
        <f>+IF(ISBLANK(REPORTS!M1482),"",REPORTS!M1482)</f>
        <v>19914.621463552499</v>
      </c>
      <c r="H1884" s="1324">
        <f>+IF(ISBLANK(REPORTS!N1482),"",REPORTS!N1482)</f>
        <v>1426.772973154285</v>
      </c>
      <c r="I1884" s="1324">
        <f>+IF(ISBLANK(REPORTS!O1482),"",REPORTS!O1482)</f>
        <v>1556.6692069638011</v>
      </c>
      <c r="J1884" s="1324">
        <f>+IF(ISBLANK(REPORTS!P1482),"",REPORTS!P1482)</f>
        <v>330.75095255110261</v>
      </c>
      <c r="K1884" s="1324">
        <f>+IF(ISBLANK(REPORTS!Q1482),"",REPORTS!Q1482)</f>
        <v>374309.89427546121</v>
      </c>
      <c r="M1884" s="1321"/>
    </row>
    <row r="1885" spans="1:13">
      <c r="A1885" s="1393">
        <v>52</v>
      </c>
      <c r="B1885" s="1324" t="s">
        <v>5244</v>
      </c>
      <c r="C1885" s="1324" t="s">
        <v>4071</v>
      </c>
      <c r="D1885" s="1324">
        <f>+IF(ISBLANK(REPORTS!J1483),"",REPORTS!J1483)</f>
        <v>178020.00279589006</v>
      </c>
      <c r="E1885" s="1324">
        <f>+IF(ISBLANK(REPORTS!K1483),"",REPORTS!K1483)</f>
        <v>158773.69322009679</v>
      </c>
      <c r="F1885" s="1324">
        <f>+IF(ISBLANK(REPORTS!L1483),"",REPORTS!L1483)</f>
        <v>15391.680246186785</v>
      </c>
      <c r="G1885" s="1324">
        <f>+IF(ISBLANK(REPORTS!M1483),"",REPORTS!M1483)</f>
        <v>3790.8396732842607</v>
      </c>
      <c r="H1885" s="1324">
        <f>+IF(ISBLANK(REPORTS!N1483),"",REPORTS!N1483)</f>
        <v>12.799219067887822</v>
      </c>
      <c r="I1885" s="1324">
        <f>+IF(ISBLANK(REPORTS!O1483),"",REPORTS!O1483)</f>
        <v>2.2708291894639689</v>
      </c>
      <c r="J1885" s="1324">
        <f>+IF(ISBLANK(REPORTS!P1483),"",REPORTS!P1483)</f>
        <v>48.719608064863337</v>
      </c>
      <c r="K1885" s="1324">
        <f>+IF(ISBLANK(REPORTS!Q1483),"",REPORTS!Q1483)</f>
        <v>0</v>
      </c>
      <c r="M1885" s="1321"/>
    </row>
    <row r="1886" spans="1:13">
      <c r="A1886" s="1393">
        <v>53</v>
      </c>
      <c r="B1886" s="1324" t="s">
        <v>5815</v>
      </c>
      <c r="D1886" s="1421">
        <f>+IF(ISBLANK(REPORTS!J1484),"",REPORTS!J1484)</f>
        <v>9481304.9987199884</v>
      </c>
      <c r="E1886" s="1421">
        <f>+IF(ISBLANK(REPORTS!K1484),"",REPORTS!K1484)</f>
        <v>5497837.0474025877</v>
      </c>
      <c r="F1886" s="1421">
        <f>+IF(ISBLANK(REPORTS!L1484),"",REPORTS!L1484)</f>
        <v>467561.54306304525</v>
      </c>
      <c r="G1886" s="1421">
        <f>+IF(ISBLANK(REPORTS!M1484),"",REPORTS!M1484)</f>
        <v>2623966.6434125802</v>
      </c>
      <c r="H1886" s="1421">
        <f>+IF(ISBLANK(REPORTS!N1484),"",REPORTS!N1484)</f>
        <v>308888.05077136424</v>
      </c>
      <c r="I1886" s="1421">
        <f>+IF(ISBLANK(REPORTS!O1484),"",REPORTS!O1484)</f>
        <v>189150.50512332557</v>
      </c>
      <c r="J1886" s="1421">
        <f>+IF(ISBLANK(REPORTS!P1484),"",REPORTS!P1484)</f>
        <v>19591.314671623797</v>
      </c>
      <c r="K1886" s="1421">
        <f>+IF(ISBLANK(REPORTS!Q1484),"",REPORTS!Q1484)</f>
        <v>374309.89427546121</v>
      </c>
      <c r="L1886" s="1358"/>
      <c r="M1886" s="1321"/>
    </row>
    <row r="1887" spans="1:13">
      <c r="A1887" s="1393">
        <v>54</v>
      </c>
      <c r="D1887" s="1324" t="str">
        <f>+IF(ISBLANK(REPORTS!J1485),"",REPORTS!J1485)</f>
        <v/>
      </c>
      <c r="E1887" s="1324" t="str">
        <f>+IF(ISBLANK(REPORTS!K1485),"",REPORTS!K1485)</f>
        <v/>
      </c>
      <c r="F1887" s="1324" t="str">
        <f>+IF(ISBLANK(REPORTS!L1485),"",REPORTS!L1485)</f>
        <v/>
      </c>
      <c r="G1887" s="1324" t="str">
        <f>+IF(ISBLANK(REPORTS!M1485),"",REPORTS!M1485)</f>
        <v/>
      </c>
      <c r="H1887" s="1324" t="str">
        <f>+IF(ISBLANK(REPORTS!N1485),"",REPORTS!N1485)</f>
        <v/>
      </c>
      <c r="I1887" s="1324" t="str">
        <f>+IF(ISBLANK(REPORTS!O1485),"",REPORTS!O1485)</f>
        <v/>
      </c>
      <c r="J1887" s="1324" t="str">
        <f>+IF(ISBLANK(REPORTS!P1485),"",REPORTS!P1485)</f>
        <v/>
      </c>
      <c r="K1887" s="1324" t="str">
        <f>+IF(ISBLANK(REPORTS!Q1485),"",REPORTS!Q1485)</f>
        <v/>
      </c>
      <c r="M1887" s="1321"/>
    </row>
    <row r="1888" spans="1:13">
      <c r="A1888" s="1393">
        <v>55</v>
      </c>
      <c r="B1888" s="1362" t="s">
        <v>5817</v>
      </c>
      <c r="D1888" s="1324" t="str">
        <f>+IF(ISBLANK(REPORTS!J1486),"",REPORTS!J1486)</f>
        <v/>
      </c>
      <c r="E1888" s="1324" t="str">
        <f>+IF(ISBLANK(REPORTS!K1486),"",REPORTS!K1486)</f>
        <v/>
      </c>
      <c r="F1888" s="1324" t="str">
        <f>+IF(ISBLANK(REPORTS!L1486),"",REPORTS!L1486)</f>
        <v/>
      </c>
      <c r="G1888" s="1324" t="str">
        <f>+IF(ISBLANK(REPORTS!M1486),"",REPORTS!M1486)</f>
        <v/>
      </c>
      <c r="H1888" s="1324" t="str">
        <f>+IF(ISBLANK(REPORTS!N1486),"",REPORTS!N1486)</f>
        <v/>
      </c>
      <c r="I1888" s="1324" t="str">
        <f>+IF(ISBLANK(REPORTS!O1486),"",REPORTS!O1486)</f>
        <v/>
      </c>
      <c r="J1888" s="1324" t="str">
        <f>+IF(ISBLANK(REPORTS!P1486),"",REPORTS!P1486)</f>
        <v/>
      </c>
      <c r="K1888" s="1324" t="str">
        <f>+IF(ISBLANK(REPORTS!Q1486),"",REPORTS!Q1486)</f>
        <v/>
      </c>
      <c r="M1888" s="1321"/>
    </row>
    <row r="1889" spans="1:13">
      <c r="A1889" s="1393">
        <v>56</v>
      </c>
      <c r="B1889" s="1324" t="s">
        <v>5265</v>
      </c>
      <c r="C1889" s="1324" t="s">
        <v>4067</v>
      </c>
      <c r="D1889" s="1324">
        <f>+IF(ISBLANK(REPORTS!J1487),"",REPORTS!J1487)</f>
        <v>31162.773017915024</v>
      </c>
      <c r="E1889" s="1324">
        <f>+IF(ISBLANK(REPORTS!K1487),"",REPORTS!K1487)</f>
        <v>17894.121320980863</v>
      </c>
      <c r="F1889" s="1324">
        <f>+IF(ISBLANK(REPORTS!L1487),"",REPORTS!L1487)</f>
        <v>1488.0866832406246</v>
      </c>
      <c r="G1889" s="1324">
        <f>+IF(ISBLANK(REPORTS!M1487),"",REPORTS!M1487)</f>
        <v>9630.7635570858401</v>
      </c>
      <c r="H1889" s="1324">
        <f>+IF(ISBLANK(REPORTS!N1487),"",REPORTS!N1487)</f>
        <v>1230.8767628377464</v>
      </c>
      <c r="I1889" s="1324">
        <f>+IF(ISBLANK(REPORTS!O1487),"",REPORTS!O1487)</f>
        <v>885.86586797244854</v>
      </c>
      <c r="J1889" s="1324">
        <f>+IF(ISBLANK(REPORTS!P1487),"",REPORTS!P1487)</f>
        <v>33.058825797524435</v>
      </c>
      <c r="K1889" s="1324">
        <f>+IF(ISBLANK(REPORTS!Q1487),"",REPORTS!Q1487)</f>
        <v>0</v>
      </c>
      <c r="M1889" s="1321"/>
    </row>
    <row r="1890" spans="1:13">
      <c r="A1890" s="1393">
        <v>57</v>
      </c>
      <c r="B1890" s="1324" t="s">
        <v>5265</v>
      </c>
      <c r="C1890" s="1324" t="s">
        <v>2067</v>
      </c>
      <c r="D1890" s="1324">
        <f>+IF(ISBLANK(REPORTS!J1488),"",REPORTS!J1488)</f>
        <v>38681.936109600938</v>
      </c>
      <c r="E1890" s="1324">
        <f>+IF(ISBLANK(REPORTS!K1488),"",REPORTS!K1488)</f>
        <v>19520.227311381903</v>
      </c>
      <c r="F1890" s="1324">
        <f>+IF(ISBLANK(REPORTS!L1488),"",REPORTS!L1488)</f>
        <v>1803.8975134042907</v>
      </c>
      <c r="G1890" s="1324">
        <f>+IF(ISBLANK(REPORTS!M1488),"",REPORTS!M1488)</f>
        <v>13438.33581797128</v>
      </c>
      <c r="H1890" s="1324">
        <f>+IF(ISBLANK(REPORTS!N1488),"",REPORTS!N1488)</f>
        <v>2139.1669904175487</v>
      </c>
      <c r="I1890" s="1324">
        <f>+IF(ISBLANK(REPORTS!O1488),"",REPORTS!O1488)</f>
        <v>1575.9497017505598</v>
      </c>
      <c r="J1890" s="1324">
        <f>+IF(ISBLANK(REPORTS!P1488),"",REPORTS!P1488)</f>
        <v>204.35877467534823</v>
      </c>
      <c r="K1890" s="1324">
        <f>+IF(ISBLANK(REPORTS!Q1488),"",REPORTS!Q1488)</f>
        <v>0</v>
      </c>
      <c r="M1890" s="1321"/>
    </row>
    <row r="1891" spans="1:13">
      <c r="A1891" s="1393">
        <v>58</v>
      </c>
      <c r="B1891" s="1324" t="s">
        <v>5268</v>
      </c>
      <c r="C1891" s="1324" t="s">
        <v>4067</v>
      </c>
      <c r="D1891" s="1324">
        <f>+IF(ISBLANK(REPORTS!J1489),"",REPORTS!J1489)</f>
        <v>2312.5323331137297</v>
      </c>
      <c r="E1891" s="1324">
        <f>+IF(ISBLANK(REPORTS!K1489),"",REPORTS!K1489)</f>
        <v>1341.2989089136863</v>
      </c>
      <c r="F1891" s="1324">
        <f>+IF(ISBLANK(REPORTS!L1489),"",REPORTS!L1489)</f>
        <v>110.64363090003144</v>
      </c>
      <c r="G1891" s="1324">
        <f>+IF(ISBLANK(REPORTS!M1489),"",REPORTS!M1489)</f>
        <v>707.28914635188448</v>
      </c>
      <c r="H1891" s="1324">
        <f>+IF(ISBLANK(REPORTS!N1489),"",REPORTS!N1489)</f>
        <v>88.295671906029156</v>
      </c>
      <c r="I1891" s="1324">
        <f>+IF(ISBLANK(REPORTS!O1489),"",REPORTS!O1489)</f>
        <v>63.365406711256924</v>
      </c>
      <c r="J1891" s="1324">
        <f>+IF(ISBLANK(REPORTS!P1489),"",REPORTS!P1489)</f>
        <v>1.6395683308413957</v>
      </c>
      <c r="K1891" s="1324">
        <f>+IF(ISBLANK(REPORTS!Q1489),"",REPORTS!Q1489)</f>
        <v>0</v>
      </c>
      <c r="M1891" s="1321"/>
    </row>
    <row r="1892" spans="1:13">
      <c r="A1892" s="1393">
        <v>59</v>
      </c>
      <c r="B1892" s="1324" t="s">
        <v>5239</v>
      </c>
      <c r="C1892" s="1324" t="s">
        <v>4067</v>
      </c>
      <c r="D1892" s="1324">
        <f>+IF(ISBLANK(REPORTS!J1490),"",REPORTS!J1490)</f>
        <v>2007.8138740952782</v>
      </c>
      <c r="E1892" s="1324">
        <f>+IF(ISBLANK(REPORTS!K1490),"",REPORTS!K1490)</f>
        <v>1164.5582291165774</v>
      </c>
      <c r="F1892" s="1324">
        <f>+IF(ISBLANK(REPORTS!L1490),"",REPORTS!L1490)</f>
        <v>96.064307521374531</v>
      </c>
      <c r="G1892" s="1324">
        <f>+IF(ISBLANK(REPORTS!M1490),"",REPORTS!M1490)</f>
        <v>614.09085646392123</v>
      </c>
      <c r="H1892" s="1324">
        <f>+IF(ISBLANK(REPORTS!N1490),"",REPORTS!N1490)</f>
        <v>76.661101138762433</v>
      </c>
      <c r="I1892" s="1324">
        <f>+IF(ISBLANK(REPORTS!O1490),"",REPORTS!O1490)</f>
        <v>55.015854658882745</v>
      </c>
      <c r="J1892" s="1324">
        <f>+IF(ISBLANK(REPORTS!P1490),"",REPORTS!P1490)</f>
        <v>1.4235251957572039</v>
      </c>
      <c r="K1892" s="1324">
        <f>+IF(ISBLANK(REPORTS!Q1490),"",REPORTS!Q1490)</f>
        <v>0</v>
      </c>
      <c r="M1892" s="1321"/>
    </row>
    <row r="1893" spans="1:13">
      <c r="A1893" s="1393">
        <v>60</v>
      </c>
      <c r="B1893" s="1324" t="s">
        <v>5240</v>
      </c>
      <c r="C1893" s="1324" t="s">
        <v>4067</v>
      </c>
      <c r="D1893" s="1324">
        <f>+IF(ISBLANK(REPORTS!J1491),"",REPORTS!J1491)</f>
        <v>6885.4837099742872</v>
      </c>
      <c r="E1893" s="1324">
        <f>+IF(ISBLANK(REPORTS!K1491),"",REPORTS!K1491)</f>
        <v>4285.6353119832202</v>
      </c>
      <c r="F1893" s="1324">
        <f>+IF(ISBLANK(REPORTS!L1491),"",REPORTS!L1491)</f>
        <v>304.80513201610665</v>
      </c>
      <c r="G1893" s="1324">
        <f>+IF(ISBLANK(REPORTS!M1491),"",REPORTS!M1491)</f>
        <v>2040.8606712169058</v>
      </c>
      <c r="H1893" s="1324">
        <f>+IF(ISBLANK(REPORTS!N1491),"",REPORTS!N1491)</f>
        <v>214.65750888371213</v>
      </c>
      <c r="I1893" s="1324">
        <f>+IF(ISBLANK(REPORTS!O1491),"",REPORTS!O1491)</f>
        <v>1.4656396529143982E-4</v>
      </c>
      <c r="J1893" s="1324">
        <f>+IF(ISBLANK(REPORTS!P1491),"",REPORTS!P1491)</f>
        <v>39.524939310369064</v>
      </c>
      <c r="K1893" s="1324">
        <f>+IF(ISBLANK(REPORTS!Q1491),"",REPORTS!Q1491)</f>
        <v>0</v>
      </c>
      <c r="M1893" s="1321"/>
    </row>
    <row r="1894" spans="1:13">
      <c r="A1894" s="1393">
        <v>61</v>
      </c>
      <c r="B1894" s="1324" t="s">
        <v>5241</v>
      </c>
      <c r="C1894" s="1324" t="s">
        <v>4067</v>
      </c>
      <c r="D1894" s="1324">
        <f>+IF(ISBLANK(REPORTS!J1492),"",REPORTS!J1492)</f>
        <v>4842.1379311151395</v>
      </c>
      <c r="E1894" s="1324">
        <f>+IF(ISBLANK(REPORTS!K1492),"",REPORTS!K1492)</f>
        <v>3532.9848903110324</v>
      </c>
      <c r="F1894" s="1324">
        <f>+IF(ISBLANK(REPORTS!L1492),"",REPORTS!L1492)</f>
        <v>284.47540011489264</v>
      </c>
      <c r="G1894" s="1324">
        <f>+IF(ISBLANK(REPORTS!M1492),"",REPORTS!M1492)</f>
        <v>1007.161554359187</v>
      </c>
      <c r="H1894" s="1324">
        <f>+IF(ISBLANK(REPORTS!N1492),"",REPORTS!N1492)</f>
        <v>0</v>
      </c>
      <c r="I1894" s="1324">
        <f>+IF(ISBLANK(REPORTS!O1492),"",REPORTS!O1492)</f>
        <v>0</v>
      </c>
      <c r="J1894" s="1324">
        <f>+IF(ISBLANK(REPORTS!P1492),"",REPORTS!P1492)</f>
        <v>17.516086330027349</v>
      </c>
      <c r="K1894" s="1324">
        <f>+IF(ISBLANK(REPORTS!Q1492),"",REPORTS!Q1492)</f>
        <v>0</v>
      </c>
      <c r="M1894" s="1321"/>
    </row>
    <row r="1895" spans="1:13">
      <c r="A1895" s="1393">
        <v>62</v>
      </c>
      <c r="B1895" s="1324" t="s">
        <v>5242</v>
      </c>
      <c r="C1895" s="1324" t="s">
        <v>4071</v>
      </c>
      <c r="D1895" s="1324">
        <f>+IF(ISBLANK(REPORTS!J1493),"",REPORTS!J1493)</f>
        <v>2811.1962444766759</v>
      </c>
      <c r="E1895" s="1324">
        <f>+IF(ISBLANK(REPORTS!K1493),"",REPORTS!K1493)</f>
        <v>1036.3663904532914</v>
      </c>
      <c r="F1895" s="1324">
        <f>+IF(ISBLANK(REPORTS!L1493),"",REPORTS!L1493)</f>
        <v>157.20315468930403</v>
      </c>
      <c r="G1895" s="1324">
        <f>+IF(ISBLANK(REPORTS!M1493),"",REPORTS!M1493)</f>
        <v>75.787521883175032</v>
      </c>
      <c r="H1895" s="1324">
        <f>+IF(ISBLANK(REPORTS!N1493),"",REPORTS!N1493)</f>
        <v>4.8856533127873831</v>
      </c>
      <c r="I1895" s="1324">
        <f>+IF(ISBLANK(REPORTS!O1493),"",REPORTS!O1493)</f>
        <v>5.3304528548105452</v>
      </c>
      <c r="J1895" s="1324">
        <f>+IF(ISBLANK(REPORTS!P1493),"",REPORTS!P1493)</f>
        <v>1.2234025413742273</v>
      </c>
      <c r="K1895" s="1324">
        <f>+IF(ISBLANK(REPORTS!Q1493),"",REPORTS!Q1493)</f>
        <v>1530.3996687419349</v>
      </c>
      <c r="M1895" s="1321"/>
    </row>
    <row r="1896" spans="1:13">
      <c r="A1896" s="1393">
        <v>63</v>
      </c>
      <c r="B1896" s="1324" t="s">
        <v>5244</v>
      </c>
      <c r="C1896" s="1324" t="s">
        <v>4071</v>
      </c>
      <c r="D1896" s="1324">
        <f>+IF(ISBLANK(REPORTS!J1494),"",REPORTS!J1494)</f>
        <v>-2033.3535253590526</v>
      </c>
      <c r="E1896" s="1324">
        <f>+IF(ISBLANK(REPORTS!K1494),"",REPORTS!K1494)</f>
        <v>-1813.5211985897895</v>
      </c>
      <c r="F1896" s="1324">
        <f>+IF(ISBLANK(REPORTS!L1494),"",REPORTS!L1494)</f>
        <v>-175.80455453461957</v>
      </c>
      <c r="G1896" s="1324">
        <f>+IF(ISBLANK(REPORTS!M1494),"",REPORTS!M1494)</f>
        <v>-43.299163536028544</v>
      </c>
      <c r="H1896" s="1324">
        <f>+IF(ISBLANK(REPORTS!N1494),"",REPORTS!N1494)</f>
        <v>-0.14619333111331323</v>
      </c>
      <c r="I1896" s="1324">
        <f>+IF(ISBLANK(REPORTS!O1494),"",REPORTS!O1494)</f>
        <v>-2.5937526487845919E-2</v>
      </c>
      <c r="J1896" s="1324">
        <f>+IF(ISBLANK(REPORTS!P1494),"",REPORTS!P1494)</f>
        <v>-0.5564778410119664</v>
      </c>
      <c r="K1896" s="1324">
        <f>+IF(ISBLANK(REPORTS!Q1494),"",REPORTS!Q1494)</f>
        <v>0</v>
      </c>
      <c r="M1896" s="1321"/>
    </row>
    <row r="1897" spans="1:13">
      <c r="A1897" s="1393">
        <v>64</v>
      </c>
      <c r="B1897" s="1324" t="s">
        <v>5095</v>
      </c>
      <c r="D1897" s="1421">
        <f>+IF(ISBLANK(REPORTS!J1495),"",REPORTS!J1495)</f>
        <v>86670.519694932023</v>
      </c>
      <c r="E1897" s="1421">
        <f>+IF(ISBLANK(REPORTS!K1495),"",REPORTS!K1495)</f>
        <v>46961.671164550789</v>
      </c>
      <c r="F1897" s="1421">
        <f>+IF(ISBLANK(REPORTS!L1495),"",REPORTS!L1495)</f>
        <v>4069.3712673520058</v>
      </c>
      <c r="G1897" s="1421">
        <f>+IF(ISBLANK(REPORTS!M1495),"",REPORTS!M1495)</f>
        <v>27470.989961796167</v>
      </c>
      <c r="H1897" s="1421">
        <f>+IF(ISBLANK(REPORTS!N1495),"",REPORTS!N1495)</f>
        <v>3754.3974951654727</v>
      </c>
      <c r="I1897" s="1421">
        <f>+IF(ISBLANK(REPORTS!O1495),"",REPORTS!O1495)</f>
        <v>2585.5014929854365</v>
      </c>
      <c r="J1897" s="1421">
        <f>+IF(ISBLANK(REPORTS!P1495),"",REPORTS!P1495)</f>
        <v>298.18864434022998</v>
      </c>
      <c r="K1897" s="1421">
        <f>+IF(ISBLANK(REPORTS!Q1495),"",REPORTS!Q1495)</f>
        <v>1530.3996687419349</v>
      </c>
      <c r="L1897" s="1358"/>
      <c r="M1897" s="1321"/>
    </row>
    <row r="1898" spans="1:13">
      <c r="A1898" s="1393">
        <v>65</v>
      </c>
      <c r="D1898" s="1324" t="str">
        <f>+IF(ISBLANK(REPORTS!J1496),"",REPORTS!J1496)</f>
        <v/>
      </c>
      <c r="E1898" s="1324" t="str">
        <f>+IF(ISBLANK(REPORTS!K1496),"",REPORTS!K1496)</f>
        <v/>
      </c>
      <c r="F1898" s="1324" t="str">
        <f>+IF(ISBLANK(REPORTS!L1496),"",REPORTS!L1496)</f>
        <v/>
      </c>
      <c r="G1898" s="1324" t="str">
        <f>+IF(ISBLANK(REPORTS!M1496),"",REPORTS!M1496)</f>
        <v/>
      </c>
      <c r="H1898" s="1324" t="str">
        <f>+IF(ISBLANK(REPORTS!N1496),"",REPORTS!N1496)</f>
        <v/>
      </c>
      <c r="I1898" s="1324" t="str">
        <f>+IF(ISBLANK(REPORTS!O1496),"",REPORTS!O1496)</f>
        <v/>
      </c>
      <c r="J1898" s="1324" t="str">
        <f>+IF(ISBLANK(REPORTS!P1496),"",REPORTS!P1496)</f>
        <v/>
      </c>
      <c r="K1898" s="1324" t="str">
        <f>+IF(ISBLANK(REPORTS!Q1496),"",REPORTS!Q1496)</f>
        <v/>
      </c>
      <c r="M1898" s="1321"/>
    </row>
    <row r="1899" spans="1:13">
      <c r="A1899" s="1393">
        <v>66</v>
      </c>
      <c r="B1899" s="1362" t="s">
        <v>5827</v>
      </c>
      <c r="D1899" s="1324" t="str">
        <f>+IF(ISBLANK(REPORTS!J1497),"",REPORTS!J1497)</f>
        <v/>
      </c>
      <c r="E1899" s="1324" t="str">
        <f>+IF(ISBLANK(REPORTS!K1497),"",REPORTS!K1497)</f>
        <v/>
      </c>
      <c r="F1899" s="1324" t="str">
        <f>+IF(ISBLANK(REPORTS!L1497),"",REPORTS!L1497)</f>
        <v/>
      </c>
      <c r="G1899" s="1324" t="str">
        <f>+IF(ISBLANK(REPORTS!M1497),"",REPORTS!M1497)</f>
        <v/>
      </c>
      <c r="H1899" s="1324" t="str">
        <f>+IF(ISBLANK(REPORTS!N1497),"",REPORTS!N1497)</f>
        <v/>
      </c>
      <c r="I1899" s="1324" t="str">
        <f>+IF(ISBLANK(REPORTS!O1497),"",REPORTS!O1497)</f>
        <v/>
      </c>
      <c r="J1899" s="1324" t="str">
        <f>+IF(ISBLANK(REPORTS!P1497),"",REPORTS!P1497)</f>
        <v/>
      </c>
      <c r="K1899" s="1324" t="str">
        <f>+IF(ISBLANK(REPORTS!Q1497),"",REPORTS!Q1497)</f>
        <v/>
      </c>
      <c r="M1899" s="1321"/>
    </row>
    <row r="1900" spans="1:13">
      <c r="A1900" s="1393">
        <v>67</v>
      </c>
      <c r="B1900" s="1324" t="s">
        <v>5265</v>
      </c>
      <c r="C1900" s="1324" t="s">
        <v>4067</v>
      </c>
      <c r="D1900" s="1324">
        <f>+IF(ISBLANK(REPORTS!J1498),"",REPORTS!J1498)</f>
        <v>154919.48494816257</v>
      </c>
      <c r="E1900" s="1324">
        <f>+IF(ISBLANK(REPORTS!K1498),"",REPORTS!K1498)</f>
        <v>88957.040410127112</v>
      </c>
      <c r="F1900" s="1324">
        <f>+IF(ISBLANK(REPORTS!L1498),"",REPORTS!L1498)</f>
        <v>7397.7249198370882</v>
      </c>
      <c r="G1900" s="1324">
        <f>+IF(ISBLANK(REPORTS!M1498),"",REPORTS!M1498)</f>
        <v>47877.412227196459</v>
      </c>
      <c r="H1900" s="1324">
        <f>+IF(ISBLANK(REPORTS!N1498),"",REPORTS!N1498)</f>
        <v>6119.0573131557367</v>
      </c>
      <c r="I1900" s="1324">
        <f>+IF(ISBLANK(REPORTS!O1498),"",REPORTS!O1498)</f>
        <v>4403.9047462352873</v>
      </c>
      <c r="J1900" s="1324">
        <f>+IF(ISBLANK(REPORTS!P1498),"",REPORTS!P1498)</f>
        <v>164.34533161087001</v>
      </c>
      <c r="K1900" s="1324">
        <f>+IF(ISBLANK(REPORTS!Q1498),"",REPORTS!Q1498)</f>
        <v>0</v>
      </c>
      <c r="L1900" s="1324"/>
      <c r="M1900" s="1324"/>
    </row>
    <row r="1901" spans="1:13">
      <c r="A1901" s="1393">
        <v>68</v>
      </c>
      <c r="B1901" s="1324" t="s">
        <v>5265</v>
      </c>
      <c r="C1901" s="1324" t="s">
        <v>2067</v>
      </c>
      <c r="D1901" s="1324">
        <f>+IF(ISBLANK(REPORTS!J1499),"",REPORTS!J1499)</f>
        <v>15756.28481087529</v>
      </c>
      <c r="E1901" s="1324">
        <f>+IF(ISBLANK(REPORTS!K1499),"",REPORTS!K1499)</f>
        <v>7951.1599476227138</v>
      </c>
      <c r="F1901" s="1324">
        <f>+IF(ISBLANK(REPORTS!L1499),"",REPORTS!L1499)</f>
        <v>734.78025790371828</v>
      </c>
      <c r="G1901" s="1324">
        <f>+IF(ISBLANK(REPORTS!M1499),"",REPORTS!M1499)</f>
        <v>5473.8275233226605</v>
      </c>
      <c r="H1901" s="1324">
        <f>+IF(ISBLANK(REPORTS!N1499),"",REPORTS!N1499)</f>
        <v>871.34532934291508</v>
      </c>
      <c r="I1901" s="1324">
        <f>+IF(ISBLANK(REPORTS!O1499),"",REPORTS!O1499)</f>
        <v>641.93044210712753</v>
      </c>
      <c r="J1901" s="1324">
        <f>+IF(ISBLANK(REPORTS!P1499),"",REPORTS!P1499)</f>
        <v>83.241310576154973</v>
      </c>
      <c r="K1901" s="1324">
        <f>+IF(ISBLANK(REPORTS!Q1499),"",REPORTS!Q1499)</f>
        <v>0</v>
      </c>
    </row>
    <row r="1902" spans="1:13">
      <c r="A1902" s="1393">
        <v>69</v>
      </c>
      <c r="B1902" s="1324" t="s">
        <v>5268</v>
      </c>
      <c r="C1902" s="1324" t="s">
        <v>4067</v>
      </c>
      <c r="D1902" s="1324">
        <f>+IF(ISBLANK(REPORTS!J1500),"",REPORTS!J1500)</f>
        <v>8718.5405185939671</v>
      </c>
      <c r="E1902" s="1324">
        <f>+IF(ISBLANK(REPORTS!K1500),"",REPORTS!K1500)</f>
        <v>5056.8671916314906</v>
      </c>
      <c r="F1902" s="1324">
        <f>+IF(ISBLANK(REPORTS!L1500),"",REPORTS!L1500)</f>
        <v>417.1405369400461</v>
      </c>
      <c r="G1902" s="1324">
        <f>+IF(ISBLANK(REPORTS!M1500),"",REPORTS!M1500)</f>
        <v>2666.5698864100532</v>
      </c>
      <c r="H1902" s="1324">
        <f>+IF(ISBLANK(REPORTS!N1500),"",REPORTS!N1500)</f>
        <v>332.88589400723185</v>
      </c>
      <c r="I1902" s="1324">
        <f>+IF(ISBLANK(REPORTS!O1500),"",REPORTS!O1500)</f>
        <v>238.89562882151111</v>
      </c>
      <c r="J1902" s="1324">
        <f>+IF(ISBLANK(REPORTS!P1500),"",REPORTS!P1500)</f>
        <v>6.1813807836351602</v>
      </c>
      <c r="K1902" s="1324">
        <f>+IF(ISBLANK(REPORTS!Q1500),"",REPORTS!Q1500)</f>
        <v>0</v>
      </c>
    </row>
    <row r="1903" spans="1:13">
      <c r="A1903" s="1393">
        <v>70</v>
      </c>
      <c r="B1903" s="1324" t="s">
        <v>5239</v>
      </c>
      <c r="C1903" s="1324" t="s">
        <v>4067</v>
      </c>
      <c r="D1903" s="1324">
        <f>+IF(ISBLANK(REPORTS!J1501),"",REPORTS!J1501)</f>
        <v>12055.237214958377</v>
      </c>
      <c r="E1903" s="1324">
        <f>+IF(ISBLANK(REPORTS!K1501),"",REPORTS!K1501)</f>
        <v>6992.1947864605736</v>
      </c>
      <c r="F1903" s="1324">
        <f>+IF(ISBLANK(REPORTS!L1501),"",REPORTS!L1501)</f>
        <v>576.78554272502731</v>
      </c>
      <c r="G1903" s="1324">
        <f>+IF(ISBLANK(REPORTS!M1501),"",REPORTS!M1501)</f>
        <v>3687.1002047166016</v>
      </c>
      <c r="H1903" s="1324">
        <f>+IF(ISBLANK(REPORTS!N1501),"",REPORTS!N1501)</f>
        <v>460.28557293644917</v>
      </c>
      <c r="I1903" s="1324">
        <f>+IF(ISBLANK(REPORTS!O1501),"",REPORTS!O1501)</f>
        <v>330.32403404192814</v>
      </c>
      <c r="J1903" s="1324">
        <f>+IF(ISBLANK(REPORTS!P1501),"",REPORTS!P1501)</f>
        <v>8.5470740777981291</v>
      </c>
      <c r="K1903" s="1324">
        <f>+IF(ISBLANK(REPORTS!Q1501),"",REPORTS!Q1501)</f>
        <v>0</v>
      </c>
    </row>
    <row r="1904" spans="1:13">
      <c r="A1904" s="1393">
        <v>71</v>
      </c>
      <c r="B1904" s="1324" t="s">
        <v>5240</v>
      </c>
      <c r="C1904" s="1324" t="s">
        <v>4067</v>
      </c>
      <c r="D1904" s="1324">
        <f>+IF(ISBLANK(REPORTS!J1502),"",REPORTS!J1502)</f>
        <v>9825.400347507526</v>
      </c>
      <c r="E1904" s="1324">
        <f>+IF(ISBLANK(REPORTS!K1502),"",REPORTS!K1502)</f>
        <v>6115.4865013554354</v>
      </c>
      <c r="F1904" s="1324">
        <f>+IF(ISBLANK(REPORTS!L1502),"",REPORTS!L1502)</f>
        <v>434.94873797970581</v>
      </c>
      <c r="G1904" s="1324">
        <f>+IF(ISBLANK(REPORTS!M1502),"",REPORTS!M1502)</f>
        <v>2912.25337141404</v>
      </c>
      <c r="H1904" s="1324">
        <f>+IF(ISBLANK(REPORTS!N1502),"",REPORTS!N1502)</f>
        <v>306.31050064440569</v>
      </c>
      <c r="I1904" s="1324">
        <f>+IF(ISBLANK(REPORTS!O1502),"",REPORTS!O1502)</f>
        <v>2.0914284256029042E-4</v>
      </c>
      <c r="J1904" s="1324">
        <f>+IF(ISBLANK(REPORTS!P1502),"",REPORTS!P1502)</f>
        <v>56.401026971097693</v>
      </c>
      <c r="K1904" s="1324">
        <f>+IF(ISBLANK(REPORTS!Q1502),"",REPORTS!Q1502)</f>
        <v>0</v>
      </c>
    </row>
    <row r="1905" spans="1:13">
      <c r="A1905" s="1393">
        <v>72</v>
      </c>
      <c r="B1905" s="1324" t="s">
        <v>5241</v>
      </c>
      <c r="C1905" s="1324" t="s">
        <v>4067</v>
      </c>
      <c r="D1905" s="1324">
        <f>+IF(ISBLANK(REPORTS!J1503),"",REPORTS!J1503)</f>
        <v>-5310.0951420829697</v>
      </c>
      <c r="E1905" s="1324">
        <f>+IF(ISBLANK(REPORTS!K1503),"",REPORTS!K1503)</f>
        <v>-3874.4220362951583</v>
      </c>
      <c r="F1905" s="1324">
        <f>+IF(ISBLANK(REPORTS!L1503),"",REPORTS!L1503)</f>
        <v>-311.96786660811108</v>
      </c>
      <c r="G1905" s="1324">
        <f>+IF(ISBLANK(REPORTS!M1503),"",REPORTS!M1503)</f>
        <v>-1104.4963512354514</v>
      </c>
      <c r="H1905" s="1324">
        <f>+IF(ISBLANK(REPORTS!N1503),"",REPORTS!N1503)</f>
        <v>0</v>
      </c>
      <c r="I1905" s="1324">
        <f>+IF(ISBLANK(REPORTS!O1503),"",REPORTS!O1503)</f>
        <v>0</v>
      </c>
      <c r="J1905" s="1324">
        <f>+IF(ISBLANK(REPORTS!P1503),"",REPORTS!P1503)</f>
        <v>-19.208887944248161</v>
      </c>
      <c r="K1905" s="1324">
        <f>+IF(ISBLANK(REPORTS!Q1503),"",REPORTS!Q1503)</f>
        <v>0</v>
      </c>
    </row>
    <row r="1906" spans="1:13">
      <c r="A1906" s="1393">
        <v>73</v>
      </c>
      <c r="B1906" s="1324" t="s">
        <v>5242</v>
      </c>
      <c r="C1906" s="1324" t="s">
        <v>4071</v>
      </c>
      <c r="D1906" s="1324">
        <f>+IF(ISBLANK(REPORTS!J1504),"",REPORTS!J1504)</f>
        <v>9769.3696313589899</v>
      </c>
      <c r="E1906" s="1324">
        <f>+IF(ISBLANK(REPORTS!K1504),"",REPORTS!K1504)</f>
        <v>3601.5437775815117</v>
      </c>
      <c r="F1906" s="1324">
        <f>+IF(ISBLANK(REPORTS!L1504),"",REPORTS!L1504)</f>
        <v>546.30683588630473</v>
      </c>
      <c r="G1906" s="1324">
        <f>+IF(ISBLANK(REPORTS!M1504),"",REPORTS!M1504)</f>
        <v>263.3741120621321</v>
      </c>
      <c r="H1906" s="1324">
        <f>+IF(ISBLANK(REPORTS!N1504),"",REPORTS!N1504)</f>
        <v>16.978449369043879</v>
      </c>
      <c r="I1906" s="1324">
        <f>+IF(ISBLANK(REPORTS!O1504),"",REPORTS!O1504)</f>
        <v>18.524200985076117</v>
      </c>
      <c r="J1906" s="1324">
        <f>+IF(ISBLANK(REPORTS!P1504),"",REPORTS!P1504)</f>
        <v>4.2515251854477851</v>
      </c>
      <c r="K1906" s="1324">
        <f>+IF(ISBLANK(REPORTS!Q1504),"",REPORTS!Q1504)</f>
        <v>5318.390730289474</v>
      </c>
    </row>
    <row r="1907" spans="1:13">
      <c r="A1907" s="1393">
        <v>74</v>
      </c>
      <c r="B1907" s="1324" t="s">
        <v>5244</v>
      </c>
      <c r="C1907" s="1324" t="s">
        <v>4071</v>
      </c>
      <c r="D1907" s="1324">
        <f>+IF(ISBLANK(REPORTS!J1505),"",REPORTS!J1505)</f>
        <v>24440.601398676023</v>
      </c>
      <c r="E1907" s="1324">
        <f>+IF(ISBLANK(REPORTS!K1505),"",REPORTS!K1505)</f>
        <v>21798.250127191015</v>
      </c>
      <c r="F1907" s="1324">
        <f>+IF(ISBLANK(REPORTS!L1505),"",REPORTS!L1505)</f>
        <v>2113.1441177665888</v>
      </c>
      <c r="G1907" s="1324">
        <f>+IF(ISBLANK(REPORTS!M1505),"",REPORTS!M1505)</f>
        <v>520.44938751774282</v>
      </c>
      <c r="H1907" s="1324">
        <f>+IF(ISBLANK(REPORTS!N1505),"",REPORTS!N1505)</f>
        <v>1.7572216972226791</v>
      </c>
      <c r="I1907" s="1324">
        <f>+IF(ISBLANK(REPORTS!O1505),"",REPORTS!O1505)</f>
        <v>0.31176513982983017</v>
      </c>
      <c r="J1907" s="1324">
        <f>+IF(ISBLANK(REPORTS!P1505),"",REPORTS!P1505)</f>
        <v>6.6887793636218102</v>
      </c>
      <c r="K1907" s="1324">
        <f>+IF(ISBLANK(REPORTS!Q1505),"",REPORTS!Q1505)</f>
        <v>0</v>
      </c>
    </row>
    <row r="1908" spans="1:13">
      <c r="A1908" s="1393">
        <v>75</v>
      </c>
      <c r="B1908" s="1324" t="s">
        <v>5763</v>
      </c>
      <c r="D1908" s="1421">
        <f>+IF(ISBLANK(REPORTS!J1506),"",REPORTS!J1506)</f>
        <v>230174.82372804979</v>
      </c>
      <c r="E1908" s="1421">
        <f>+IF(ISBLANK(REPORTS!K1506),"",REPORTS!K1506)</f>
        <v>136598.12070567469</v>
      </c>
      <c r="F1908" s="1421">
        <f>+IF(ISBLANK(REPORTS!L1506),"",REPORTS!L1506)</f>
        <v>11908.863082430367</v>
      </c>
      <c r="G1908" s="1421">
        <f>+IF(ISBLANK(REPORTS!M1506),"",REPORTS!M1506)</f>
        <v>62296.490361404241</v>
      </c>
      <c r="H1908" s="1421">
        <f>+IF(ISBLANK(REPORTS!N1506),"",REPORTS!N1506)</f>
        <v>8108.6202811530047</v>
      </c>
      <c r="I1908" s="1421">
        <f>+IF(ISBLANK(REPORTS!O1506),"",REPORTS!O1506)</f>
        <v>5633.8910264736023</v>
      </c>
      <c r="J1908" s="1421">
        <f>+IF(ISBLANK(REPORTS!P1506),"",REPORTS!P1506)</f>
        <v>310.44754062437738</v>
      </c>
      <c r="K1908" s="1421">
        <f>+IF(ISBLANK(REPORTS!Q1506),"",REPORTS!Q1506)</f>
        <v>5318.390730289474</v>
      </c>
      <c r="L1908" s="1358"/>
      <c r="M1908" s="1321"/>
    </row>
    <row r="1909" spans="1:13">
      <c r="A1909" s="1393">
        <v>76</v>
      </c>
      <c r="D1909" s="1324" t="str">
        <f>+IF(ISBLANK(REPORTS!J1507),"",REPORTS!J1507)</f>
        <v/>
      </c>
      <c r="E1909" s="1324" t="str">
        <f>+IF(ISBLANK(REPORTS!K1507),"",REPORTS!K1507)</f>
        <v/>
      </c>
      <c r="F1909" s="1324" t="str">
        <f>+IF(ISBLANK(REPORTS!L1507),"",REPORTS!L1507)</f>
        <v/>
      </c>
      <c r="G1909" s="1324" t="str">
        <f>+IF(ISBLANK(REPORTS!M1507),"",REPORTS!M1507)</f>
        <v/>
      </c>
      <c r="H1909" s="1324" t="str">
        <f>+IF(ISBLANK(REPORTS!N1507),"",REPORTS!N1507)</f>
        <v/>
      </c>
      <c r="I1909" s="1324" t="str">
        <f>+IF(ISBLANK(REPORTS!O1507),"",REPORTS!O1507)</f>
        <v/>
      </c>
      <c r="J1909" s="1324" t="str">
        <f>+IF(ISBLANK(REPORTS!P1507),"",REPORTS!P1507)</f>
        <v/>
      </c>
      <c r="K1909" s="1324" t="str">
        <f>+IF(ISBLANK(REPORTS!Q1507),"",REPORTS!Q1507)</f>
        <v/>
      </c>
      <c r="M1909" s="1321"/>
    </row>
    <row r="1910" spans="1:13">
      <c r="A1910" s="1393">
        <v>77</v>
      </c>
      <c r="B1910" s="1362" t="s">
        <v>5837</v>
      </c>
      <c r="D1910" s="1324" t="str">
        <f>+IF(ISBLANK(REPORTS!J1508),"",REPORTS!J1508)</f>
        <v/>
      </c>
      <c r="E1910" s="1324" t="str">
        <f>+IF(ISBLANK(REPORTS!K1508),"",REPORTS!K1508)</f>
        <v/>
      </c>
      <c r="F1910" s="1324" t="str">
        <f>+IF(ISBLANK(REPORTS!L1508),"",REPORTS!L1508)</f>
        <v/>
      </c>
      <c r="G1910" s="1324" t="str">
        <f>+IF(ISBLANK(REPORTS!M1508),"",REPORTS!M1508)</f>
        <v/>
      </c>
      <c r="H1910" s="1324" t="str">
        <f>+IF(ISBLANK(REPORTS!N1508),"",REPORTS!N1508)</f>
        <v/>
      </c>
      <c r="I1910" s="1324" t="str">
        <f>+IF(ISBLANK(REPORTS!O1508),"",REPORTS!O1508)</f>
        <v/>
      </c>
      <c r="J1910" s="1324" t="str">
        <f>+IF(ISBLANK(REPORTS!P1508),"",REPORTS!P1508)</f>
        <v/>
      </c>
      <c r="K1910" s="1324" t="str">
        <f>+IF(ISBLANK(REPORTS!Q1508),"",REPORTS!Q1508)</f>
        <v/>
      </c>
      <c r="M1910" s="1321"/>
    </row>
    <row r="1911" spans="1:13">
      <c r="A1911" s="1393">
        <v>78</v>
      </c>
      <c r="B1911" s="1324" t="s">
        <v>5265</v>
      </c>
      <c r="C1911" s="1324" t="s">
        <v>4067</v>
      </c>
      <c r="D1911" s="1324">
        <f>+IF(ISBLANK(REPORTS!J1509),"",REPORTS!J1509)</f>
        <v>5483176.4189962763</v>
      </c>
      <c r="E1911" s="1324">
        <f>+IF(ISBLANK(REPORTS!K1509),"",REPORTS!K1509)</f>
        <v>3148520.3197242692</v>
      </c>
      <c r="F1911" s="1324">
        <f>+IF(ISBLANK(REPORTS!L1509),"",REPORTS!L1509)</f>
        <v>261832.98277969737</v>
      </c>
      <c r="G1911" s="1324">
        <f>+IF(ISBLANK(REPORTS!M1509),"",REPORTS!M1509)</f>
        <v>1694559.5824474189</v>
      </c>
      <c r="H1911" s="1324">
        <f>+IF(ISBLANK(REPORTS!N1509),"",REPORTS!N1509)</f>
        <v>216576.1832813283</v>
      </c>
      <c r="I1911" s="1324">
        <f>+IF(ISBLANK(REPORTS!O1509),"",REPORTS!O1509)</f>
        <v>155870.55859463412</v>
      </c>
      <c r="J1911" s="1324">
        <f>+IF(ISBLANK(REPORTS!P1509),"",REPORTS!P1509)</f>
        <v>5816.7921689280947</v>
      </c>
      <c r="K1911" s="1324">
        <f>+IF(ISBLANK(REPORTS!Q1509),"",REPORTS!Q1509)</f>
        <v>0</v>
      </c>
      <c r="M1911" s="1321"/>
    </row>
    <row r="1912" spans="1:13">
      <c r="A1912" s="1393">
        <v>79</v>
      </c>
      <c r="B1912" s="1324" t="s">
        <v>5265</v>
      </c>
      <c r="C1912" s="1324" t="s">
        <v>2067</v>
      </c>
      <c r="D1912" s="1324">
        <f>+IF(ISBLANK(REPORTS!J1510),"",REPORTS!J1510)</f>
        <v>412366.90327200451</v>
      </c>
      <c r="E1912" s="1324">
        <f>+IF(ISBLANK(REPORTS!K1510),"",REPORTS!K1510)</f>
        <v>208094.43624416357</v>
      </c>
      <c r="F1912" s="1324">
        <f>+IF(ISBLANK(REPORTS!L1510),"",REPORTS!L1510)</f>
        <v>19230.361926945196</v>
      </c>
      <c r="G1912" s="1324">
        <f>+IF(ISBLANK(REPORTS!M1510),"",REPORTS!M1510)</f>
        <v>143258.72703695038</v>
      </c>
      <c r="H1912" s="1324">
        <f>+IF(ISBLANK(REPORTS!N1510),"",REPORTS!N1510)</f>
        <v>22804.485921304073</v>
      </c>
      <c r="I1912" s="1324">
        <f>+IF(ISBLANK(REPORTS!O1510),"",REPORTS!O1510)</f>
        <v>16800.335339523463</v>
      </c>
      <c r="J1912" s="1324">
        <f>+IF(ISBLANK(REPORTS!P1510),"",REPORTS!P1510)</f>
        <v>2178.5568031176826</v>
      </c>
      <c r="K1912" s="1324">
        <f>+IF(ISBLANK(REPORTS!Q1510),"",REPORTS!Q1510)</f>
        <v>0</v>
      </c>
      <c r="M1912" s="1321"/>
    </row>
    <row r="1913" spans="1:13">
      <c r="A1913" s="1393">
        <v>80</v>
      </c>
      <c r="B1913" s="1324" t="s">
        <v>5268</v>
      </c>
      <c r="C1913" s="1324" t="s">
        <v>4067</v>
      </c>
      <c r="D1913" s="1324">
        <f>+IF(ISBLANK(REPORTS!J1511),"",REPORTS!J1511)</f>
        <v>404510.89845812367</v>
      </c>
      <c r="E1913" s="1324">
        <f>+IF(ISBLANK(REPORTS!K1511),"",REPORTS!K1511)</f>
        <v>234621.59597787241</v>
      </c>
      <c r="F1913" s="1324">
        <f>+IF(ISBLANK(REPORTS!L1511),"",REPORTS!L1511)</f>
        <v>19353.91514451944</v>
      </c>
      <c r="G1913" s="1324">
        <f>+IF(ISBLANK(REPORTS!M1511),"",REPORTS!M1511)</f>
        <v>123719.85635126251</v>
      </c>
      <c r="H1913" s="1324">
        <f>+IF(ISBLANK(REPORTS!N1511),"",REPORTS!N1511)</f>
        <v>15444.783651773057</v>
      </c>
      <c r="I1913" s="1324">
        <f>+IF(ISBLANK(REPORTS!O1511),"",REPORTS!O1511)</f>
        <v>11083.95209567625</v>
      </c>
      <c r="J1913" s="1324">
        <f>+IF(ISBLANK(REPORTS!P1511),"",REPORTS!P1511)</f>
        <v>286.79523702016155</v>
      </c>
      <c r="K1913" s="1324">
        <f>+IF(ISBLANK(REPORTS!Q1511),"",REPORTS!Q1511)</f>
        <v>0</v>
      </c>
      <c r="M1913" s="1321"/>
    </row>
    <row r="1914" spans="1:13">
      <c r="A1914" s="1393">
        <v>81</v>
      </c>
      <c r="B1914" s="1324" t="s">
        <v>5239</v>
      </c>
      <c r="C1914" s="1324" t="s">
        <v>4067</v>
      </c>
      <c r="D1914" s="1324">
        <f>+IF(ISBLANK(REPORTS!J1512),"",REPORTS!J1512)</f>
        <v>439107.84010056313</v>
      </c>
      <c r="E1914" s="1324">
        <f>+IF(ISBLANK(REPORTS!K1512),"",REPORTS!K1512)</f>
        <v>254688.27327888648</v>
      </c>
      <c r="F1914" s="1324">
        <f>+IF(ISBLANK(REPORTS!L1512),"",REPORTS!L1512)</f>
        <v>21009.213618206883</v>
      </c>
      <c r="G1914" s="1324">
        <f>+IF(ISBLANK(REPORTS!M1512),"",REPORTS!M1512)</f>
        <v>134301.34789206149</v>
      </c>
      <c r="H1914" s="1324">
        <f>+IF(ISBLANK(REPORTS!N1512),"",REPORTS!N1512)</f>
        <v>16765.742569610011</v>
      </c>
      <c r="I1914" s="1324">
        <f>+IF(ISBLANK(REPORTS!O1512),"",REPORTS!O1512)</f>
        <v>12031.938528880852</v>
      </c>
      <c r="J1914" s="1324">
        <f>+IF(ISBLANK(REPORTS!P1512),"",REPORTS!P1512)</f>
        <v>311.32421291756452</v>
      </c>
      <c r="K1914" s="1324">
        <f>+IF(ISBLANK(REPORTS!Q1512),"",REPORTS!Q1512)</f>
        <v>0</v>
      </c>
      <c r="M1914" s="1321"/>
    </row>
    <row r="1915" spans="1:13">
      <c r="A1915" s="1393">
        <v>82</v>
      </c>
      <c r="B1915" s="1324" t="s">
        <v>5240</v>
      </c>
      <c r="C1915" s="1324" t="s">
        <v>4067</v>
      </c>
      <c r="D1915" s="1324">
        <f>+IF(ISBLANK(REPORTS!J1513),"",REPORTS!J1513)</f>
        <v>1529952.1492352316</v>
      </c>
      <c r="E1915" s="1324">
        <f>+IF(ISBLANK(REPORTS!K1513),"",REPORTS!K1513)</f>
        <v>952266.71539560205</v>
      </c>
      <c r="F1915" s="1324">
        <f>+IF(ISBLANK(REPORTS!L1513),"",REPORTS!L1513)</f>
        <v>67727.597140406797</v>
      </c>
      <c r="G1915" s="1324">
        <f>+IF(ISBLANK(REPORTS!M1513),"",REPORTS!M1513)</f>
        <v>453478.55019899976</v>
      </c>
      <c r="H1915" s="1324">
        <f>+IF(ISBLANK(REPORTS!N1513),"",REPORTS!N1513)</f>
        <v>47696.825800397171</v>
      </c>
      <c r="I1915" s="1324">
        <f>+IF(ISBLANK(REPORTS!O1513),"",REPORTS!O1513)</f>
        <v>3.2566463467664508E-2</v>
      </c>
      <c r="J1915" s="1324">
        <f>+IF(ISBLANK(REPORTS!P1513),"",REPORTS!P1513)</f>
        <v>8782.4281333630515</v>
      </c>
      <c r="K1915" s="1324">
        <f>+IF(ISBLANK(REPORTS!Q1513),"",REPORTS!Q1513)</f>
        <v>0</v>
      </c>
      <c r="M1915" s="1321"/>
    </row>
    <row r="1916" spans="1:13">
      <c r="A1916" s="1393">
        <v>83</v>
      </c>
      <c r="B1916" s="1324" t="s">
        <v>5241</v>
      </c>
      <c r="C1916" s="1324" t="s">
        <v>4067</v>
      </c>
      <c r="D1916" s="1324">
        <f>+IF(ISBLANK(REPORTS!J1514),"",REPORTS!J1514)</f>
        <v>672570.78032622824</v>
      </c>
      <c r="E1916" s="1324">
        <f>+IF(ISBLANK(REPORTS!K1514),"",REPORTS!K1514)</f>
        <v>490730.01189993619</v>
      </c>
      <c r="F1916" s="1324">
        <f>+IF(ISBLANK(REPORTS!L1514),"",REPORTS!L1514)</f>
        <v>39513.505100592331</v>
      </c>
      <c r="G1916" s="1324">
        <f>+IF(ISBLANK(REPORTS!M1514),"",REPORTS!M1514)</f>
        <v>139894.28681432331</v>
      </c>
      <c r="H1916" s="1324">
        <f>+IF(ISBLANK(REPORTS!N1514),"",REPORTS!N1514)</f>
        <v>0</v>
      </c>
      <c r="I1916" s="1324">
        <f>+IF(ISBLANK(REPORTS!O1514),"",REPORTS!O1514)</f>
        <v>0</v>
      </c>
      <c r="J1916" s="1324">
        <f>+IF(ISBLANK(REPORTS!P1514),"",REPORTS!P1514)</f>
        <v>2432.9765113764529</v>
      </c>
      <c r="K1916" s="1324">
        <f>+IF(ISBLANK(REPORTS!Q1514),"",REPORTS!Q1514)</f>
        <v>0</v>
      </c>
      <c r="M1916" s="1321"/>
    </row>
    <row r="1917" spans="1:13">
      <c r="A1917" s="1393">
        <v>84</v>
      </c>
      <c r="B1917" s="1324" t="s">
        <v>5242</v>
      </c>
      <c r="C1917" s="1324" t="s">
        <v>4071</v>
      </c>
      <c r="D1917" s="1324">
        <f>+IF(ISBLANK(REPORTS!J1515),"",REPORTS!J1515)</f>
        <v>656038.10108533443</v>
      </c>
      <c r="E1917" s="1324">
        <f>+IF(ISBLANK(REPORTS!K1515),"",REPORTS!K1515)</f>
        <v>213717.06460338531</v>
      </c>
      <c r="F1917" s="1324">
        <f>+IF(ISBLANK(REPORTS!L1515),"",REPORTS!L1515)</f>
        <v>37543.181893040914</v>
      </c>
      <c r="G1917" s="1324">
        <f>+IF(ISBLANK(REPORTS!M1515),"",REPORTS!M1515)</f>
        <v>20253.783097497806</v>
      </c>
      <c r="H1917" s="1324">
        <f>+IF(ISBLANK(REPORTS!N1515),"",REPORTS!N1515)</f>
        <v>1448.6370758361161</v>
      </c>
      <c r="I1917" s="1324">
        <f>+IF(ISBLANK(REPORTS!O1515),"",REPORTS!O1515)</f>
        <v>1580.5238608036877</v>
      </c>
      <c r="J1917" s="1324">
        <f>+IF(ISBLANK(REPORTS!P1515),"",REPORTS!P1515)</f>
        <v>336.22588027792466</v>
      </c>
      <c r="K1917" s="1324">
        <f>+IF(ISBLANK(REPORTS!Q1515),"",REPORTS!Q1515)</f>
        <v>381158.68467449257</v>
      </c>
      <c r="M1917" s="1321"/>
    </row>
    <row r="1918" spans="1:13">
      <c r="A1918" s="1393">
        <v>85</v>
      </c>
      <c r="B1918" s="1324" t="s">
        <v>5244</v>
      </c>
      <c r="C1918" s="1324" t="s">
        <v>4071</v>
      </c>
      <c r="D1918" s="1324">
        <f>+IF(ISBLANK(REPORTS!J1516),"",REPORTS!J1516)</f>
        <v>200427.25066920705</v>
      </c>
      <c r="E1918" s="1324">
        <f>+IF(ISBLANK(REPORTS!K1516),"",REPORTS!K1516)</f>
        <v>178758.42214869801</v>
      </c>
      <c r="F1918" s="1324">
        <f>+IF(ISBLANK(REPORTS!L1516),"",REPORTS!L1516)</f>
        <v>17329.019809418754</v>
      </c>
      <c r="G1918" s="1324">
        <f>+IF(ISBLANK(REPORTS!M1516),"",REPORTS!M1516)</f>
        <v>4267.9898972659748</v>
      </c>
      <c r="H1918" s="1324">
        <f>+IF(ISBLANK(REPORTS!N1516),"",REPORTS!N1516)</f>
        <v>14.410247433997188</v>
      </c>
      <c r="I1918" s="1324">
        <f>+IF(ISBLANK(REPORTS!O1516),"",REPORTS!O1516)</f>
        <v>2.5566568028059531</v>
      </c>
      <c r="J1918" s="1324">
        <f>+IF(ISBLANK(REPORTS!P1516),"",REPORTS!P1516)</f>
        <v>54.85190958747318</v>
      </c>
      <c r="K1918" s="1324">
        <f>+IF(ISBLANK(REPORTS!Q1516),"",REPORTS!Q1516)</f>
        <v>0</v>
      </c>
      <c r="M1918" s="1321"/>
    </row>
    <row r="1919" spans="1:13" ht="15" thickBot="1">
      <c r="A1919" s="1393">
        <v>86</v>
      </c>
      <c r="B1919" s="1324" t="s">
        <v>5182</v>
      </c>
      <c r="D1919" s="1483">
        <f>+IF(ISBLANK(REPORTS!J1517),"",REPORTS!J1517)</f>
        <v>9798150.3421429694</v>
      </c>
      <c r="E1919" s="1483">
        <f>+IF(ISBLANK(REPORTS!K1517),"",REPORTS!K1517)</f>
        <v>5681396.8392728139</v>
      </c>
      <c r="F1919" s="1483">
        <f>+IF(ISBLANK(REPORTS!L1517),"",REPORTS!L1517)</f>
        <v>483539.77741282765</v>
      </c>
      <c r="G1919" s="1483">
        <f>+IF(ISBLANK(REPORTS!M1517),"",REPORTS!M1517)</f>
        <v>2713734.1237357799</v>
      </c>
      <c r="H1919" s="1483">
        <f>+IF(ISBLANK(REPORTS!N1517),"",REPORTS!N1517)</f>
        <v>320751.06854768272</v>
      </c>
      <c r="I1919" s="1483">
        <f>+IF(ISBLANK(REPORTS!O1517),"",REPORTS!O1517)</f>
        <v>197369.89764278464</v>
      </c>
      <c r="J1919" s="1483">
        <f>+IF(ISBLANK(REPORTS!P1517),"",REPORTS!P1517)</f>
        <v>20199.950856588403</v>
      </c>
      <c r="K1919" s="1483">
        <f>+IF(ISBLANK(REPORTS!Q1517),"",REPORTS!Q1517)</f>
        <v>381158.68467449257</v>
      </c>
      <c r="L1919" s="1358"/>
    </row>
    <row r="1920" spans="1:13" ht="15" thickTop="1">
      <c r="D1920" s="1364"/>
      <c r="E1920" s="1364"/>
      <c r="F1920" s="1364"/>
      <c r="G1920" s="1364"/>
      <c r="H1920" s="1364"/>
      <c r="I1920" s="1364"/>
      <c r="J1920" s="1364"/>
      <c r="K1920" s="1364"/>
      <c r="L1920" s="1358"/>
    </row>
    <row r="1921" spans="1:13">
      <c r="D1921" s="1364"/>
      <c r="E1921" s="1364"/>
      <c r="F1921" s="1364"/>
      <c r="G1921" s="1364"/>
      <c r="H1921" s="1364"/>
      <c r="I1921" s="1364"/>
      <c r="J1921" s="1364"/>
      <c r="K1921" s="1364"/>
      <c r="L1921" s="1358"/>
    </row>
    <row r="1922" spans="1:13">
      <c r="D1922" s="1364"/>
      <c r="E1922" s="1364"/>
      <c r="F1922" s="1364"/>
      <c r="G1922" s="1364"/>
      <c r="H1922" s="1364"/>
      <c r="I1922" s="1364"/>
      <c r="J1922" s="1364"/>
      <c r="K1922" s="1364"/>
      <c r="L1922" s="1358"/>
    </row>
    <row r="1923" spans="1:13">
      <c r="D1923" s="1364"/>
      <c r="E1923" s="1364"/>
      <c r="F1923" s="1364"/>
      <c r="G1923" s="1364"/>
      <c r="H1923" s="1364"/>
      <c r="I1923" s="1364"/>
      <c r="J1923" s="1364"/>
      <c r="K1923" s="1364"/>
      <c r="L1923" s="1358"/>
    </row>
    <row r="1924" spans="1:13">
      <c r="D1924" s="1364"/>
      <c r="E1924" s="1364"/>
      <c r="F1924" s="1364"/>
      <c r="G1924" s="1364"/>
      <c r="H1924" s="1364"/>
      <c r="I1924" s="1364"/>
      <c r="J1924" s="1364"/>
      <c r="K1924" s="1364"/>
      <c r="L1924" s="1358"/>
    </row>
    <row r="1925" spans="1:13">
      <c r="B1925" s="1364"/>
      <c r="C1925" s="1364"/>
      <c r="D1925" s="1364"/>
      <c r="E1925" s="1364"/>
      <c r="F1925" s="1364"/>
      <c r="G1925" s="1763"/>
      <c r="H1925" s="1763"/>
      <c r="I1925" s="1763"/>
      <c r="J1925" s="1364"/>
      <c r="K1925" s="1364"/>
      <c r="L1925" s="1364"/>
      <c r="M1925" s="1364"/>
    </row>
    <row r="1926" spans="1:13">
      <c r="B1926" s="1364"/>
      <c r="C1926" s="1364"/>
      <c r="D1926" s="1582"/>
      <c r="E1926" s="1582"/>
      <c r="F1926" s="1364"/>
      <c r="G1926" s="1364"/>
      <c r="H1926" s="1364"/>
      <c r="I1926" s="1364"/>
      <c r="J1926" s="1364"/>
      <c r="K1926" s="1364"/>
      <c r="L1926" s="1364"/>
      <c r="M1926" s="1364"/>
    </row>
    <row r="1927" spans="1:13">
      <c r="B1927" s="1364"/>
      <c r="C1927" s="1364"/>
      <c r="D1927" s="1582"/>
      <c r="E1927" s="1582"/>
      <c r="F1927" s="1364"/>
      <c r="G1927" s="1364"/>
      <c r="H1927" s="1364"/>
      <c r="I1927" s="1364"/>
      <c r="J1927" s="1364"/>
      <c r="K1927" s="1364"/>
      <c r="L1927" s="1364"/>
      <c r="M1927" s="1364"/>
    </row>
    <row r="1928" spans="1:13">
      <c r="A1928" s="1732" t="str">
        <f>+$A$1</f>
        <v>RATES WITH REVENUE DEFICIENCY ADDITION</v>
      </c>
      <c r="F1928" s="1329" t="s">
        <v>2173</v>
      </c>
      <c r="G1928" s="1329"/>
      <c r="H1928" s="1329"/>
      <c r="I1928" s="1329"/>
      <c r="M1928" s="1334" t="s">
        <v>6038</v>
      </c>
    </row>
    <row r="1929" spans="1:13">
      <c r="A1929" s="1732" t="str">
        <f>+$A$2</f>
        <v>PROD. CAP. ALLOC. METHOD: 12 CP &amp; 1/13th AD</v>
      </c>
      <c r="F1929" s="1336" t="s">
        <v>5141</v>
      </c>
      <c r="G1929" s="1336"/>
      <c r="H1929" s="1336"/>
      <c r="I1929" s="1336"/>
      <c r="L1929" s="1331"/>
      <c r="M1929" s="1409"/>
    </row>
    <row r="1930" spans="1:13">
      <c r="A1930" s="1732" t="str">
        <f>+$A$3</f>
        <v>PROJECTED CALENDAR YEAR 2025; FULLY ADJUSTED DATA</v>
      </c>
      <c r="F1930" s="1336" t="s">
        <v>2181</v>
      </c>
    </row>
    <row r="1931" spans="1:13">
      <c r="A1931" s="1732" t="str">
        <f>+$A$4</f>
        <v>MINIMUM DISTRIBUTION SYSTEM (MDS) NOT EMPLOYED</v>
      </c>
      <c r="F1931" s="1336"/>
      <c r="G1931" s="1336"/>
      <c r="H1931" s="1336"/>
      <c r="I1931" s="1336"/>
    </row>
    <row r="1932" spans="1:13">
      <c r="A1932" s="1732" t="str">
        <f>+$A$5</f>
        <v>Tampa Electric 2025 OB Budget</v>
      </c>
      <c r="F1932" s="1336" t="s">
        <v>5849</v>
      </c>
      <c r="G1932" s="1336"/>
      <c r="H1932" s="1336"/>
      <c r="I1932" s="1336"/>
    </row>
    <row r="1933" spans="1:13">
      <c r="F1933" s="1336"/>
      <c r="G1933" s="1336"/>
      <c r="H1933" s="1336"/>
      <c r="I1933" s="1336"/>
    </row>
    <row r="1934" spans="1:13">
      <c r="A1934" s="1491" t="s">
        <v>5850</v>
      </c>
      <c r="E1934" s="1492"/>
      <c r="F1934" s="1336"/>
      <c r="G1934" s="1336"/>
      <c r="H1934" s="1336"/>
      <c r="I1934" s="1336"/>
    </row>
    <row r="1936" spans="1:13">
      <c r="A1936" s="1735"/>
      <c r="B1936" s="1416"/>
      <c r="C1936" s="1416"/>
      <c r="J1936" s="3164"/>
      <c r="K1936" s="3164"/>
      <c r="L1936" s="1333"/>
    </row>
    <row r="1937" spans="1:13" ht="28.2">
      <c r="A1937" s="1737" t="s">
        <v>4297</v>
      </c>
      <c r="B1937" s="1741"/>
      <c r="C1937" s="1741"/>
      <c r="D1937" s="1352" t="s">
        <v>4957</v>
      </c>
      <c r="E1937" s="1353" t="s">
        <v>1949</v>
      </c>
      <c r="F1937" s="1353" t="s">
        <v>1950</v>
      </c>
      <c r="G1937" s="1353" t="s">
        <v>1934</v>
      </c>
      <c r="H1937" s="1353" t="s">
        <v>1971</v>
      </c>
      <c r="I1937" s="1353" t="s">
        <v>1972</v>
      </c>
      <c r="J1937" s="1352" t="s">
        <v>5146</v>
      </c>
      <c r="K1937" s="1352" t="s">
        <v>5147</v>
      </c>
      <c r="L1937" s="1348"/>
      <c r="M1937" s="1352"/>
    </row>
    <row r="1938" spans="1:13">
      <c r="M1938" s="96"/>
    </row>
    <row r="1939" spans="1:13">
      <c r="A1939" s="1393">
        <v>1</v>
      </c>
      <c r="B1939" s="1362" t="s">
        <v>5852</v>
      </c>
      <c r="M1939" s="96"/>
    </row>
    <row r="1940" spans="1:13">
      <c r="A1940" s="1393">
        <v>2</v>
      </c>
      <c r="B1940" s="1324" t="s">
        <v>5265</v>
      </c>
      <c r="C1940" s="1324" t="s">
        <v>4067</v>
      </c>
      <c r="D1940" s="1324">
        <f>+IF(ISBLANK(REPORTS!J1540),"",REPORTS!J1540)</f>
        <v>915271.7117436839</v>
      </c>
      <c r="E1940" s="1324">
        <f>+IF(ISBLANK(REPORTS!K1540),"",REPORTS!K1540)</f>
        <v>525562.44087096548</v>
      </c>
      <c r="F1940" s="1324">
        <f>+IF(ISBLANK(REPORTS!L1540),"",REPORTS!L1540)</f>
        <v>43706.111937138259</v>
      </c>
      <c r="G1940" s="1324">
        <f>+IF(ISBLANK(REPORTS!M1540),"",REPORTS!M1540)</f>
        <v>282862.03673932247</v>
      </c>
      <c r="H1940" s="1324">
        <f>+IF(ISBLANK(REPORTS!N1540),"",REPORTS!N1540)</f>
        <v>36151.682683064479</v>
      </c>
      <c r="I1940" s="1324">
        <f>+IF(ISBLANK(REPORTS!O1540),"",REPORTS!O1540)</f>
        <v>26018.479449448452</v>
      </c>
      <c r="J1940" s="1324">
        <f>+IF(ISBLANK(REPORTS!P1540),"",REPORTS!P1540)</f>
        <v>970.96006374470244</v>
      </c>
      <c r="K1940" s="1324">
        <f>+IF(ISBLANK(REPORTS!Q1540),"",REPORTS!Q1540)</f>
        <v>0</v>
      </c>
      <c r="L1940" s="1324"/>
      <c r="M1940" s="1324"/>
    </row>
    <row r="1941" spans="1:13">
      <c r="A1941" s="1393">
        <v>3</v>
      </c>
      <c r="B1941" s="1324" t="s">
        <v>5265</v>
      </c>
      <c r="C1941" s="1324" t="s">
        <v>2067</v>
      </c>
      <c r="D1941" s="1324">
        <f>+IF(ISBLANK(REPORTS!J1541),"",REPORTS!J1541)</f>
        <v>109743.42371314223</v>
      </c>
      <c r="E1941" s="1324">
        <f>+IF(ISBLANK(REPORTS!K1541),"",REPORTS!K1541)</f>
        <v>55493.052652013248</v>
      </c>
      <c r="F1941" s="1324">
        <f>+IF(ISBLANK(REPORTS!L1541),"",REPORTS!L1541)</f>
        <v>5116.6189178103232</v>
      </c>
      <c r="G1941" s="1324">
        <f>+IF(ISBLANK(REPORTS!M1541),"",REPORTS!M1541)</f>
        <v>38041.295139590598</v>
      </c>
      <c r="H1941" s="1324">
        <f>+IF(ISBLANK(REPORTS!N1541),"",REPORTS!N1541)</f>
        <v>6046.6414562988366</v>
      </c>
      <c r="I1941" s="1324">
        <f>+IF(ISBLANK(REPORTS!O1541),"",REPORTS!O1541)</f>
        <v>4466.3672688364741</v>
      </c>
      <c r="J1941" s="1324">
        <f>+IF(ISBLANK(REPORTS!P1541),"",REPORTS!P1541)</f>
        <v>579.44827859274858</v>
      </c>
      <c r="K1941" s="1324">
        <f>+IF(ISBLANK(REPORTS!Q1541),"",REPORTS!Q1541)</f>
        <v>0</v>
      </c>
      <c r="L1941" s="1324"/>
      <c r="M1941" s="1324"/>
    </row>
    <row r="1942" spans="1:13">
      <c r="A1942" s="1393">
        <v>4</v>
      </c>
      <c r="B1942" s="1324" t="s">
        <v>5268</v>
      </c>
      <c r="C1942" s="1324" t="s">
        <v>4067</v>
      </c>
      <c r="D1942" s="1324">
        <f>+IF(ISBLANK(REPORTS!J1542),"",REPORTS!J1542)</f>
        <v>56209.376151858211</v>
      </c>
      <c r="E1942" s="1324">
        <f>+IF(ISBLANK(REPORTS!K1542),"",REPORTS!K1542)</f>
        <v>32602.171145296812</v>
      </c>
      <c r="F1942" s="1324">
        <f>+IF(ISBLANK(REPORTS!L1542),"",REPORTS!L1542)</f>
        <v>2689.3502758914133</v>
      </c>
      <c r="G1942" s="1324">
        <f>+IF(ISBLANK(REPORTS!M1542),"",REPORTS!M1542)</f>
        <v>17191.665217450009</v>
      </c>
      <c r="H1942" s="1324">
        <f>+IF(ISBLANK(REPORTS!N1542),"",REPORTS!N1542)</f>
        <v>2146.1514564272115</v>
      </c>
      <c r="I1942" s="1324">
        <f>+IF(ISBLANK(REPORTS!O1542),"",REPORTS!O1542)</f>
        <v>1540.1860245788675</v>
      </c>
      <c r="J1942" s="1324">
        <f>+IF(ISBLANK(REPORTS!P1542),"",REPORTS!P1542)</f>
        <v>39.852032213902007</v>
      </c>
      <c r="K1942" s="1324">
        <f>+IF(ISBLANK(REPORTS!Q1542),"",REPORTS!Q1542)</f>
        <v>0</v>
      </c>
      <c r="L1942" s="1324"/>
      <c r="M1942" s="1324"/>
    </row>
    <row r="1943" spans="1:13">
      <c r="A1943" s="1393">
        <v>5</v>
      </c>
      <c r="B1943" s="1324" t="s">
        <v>5239</v>
      </c>
      <c r="C1943" s="1324" t="s">
        <v>4067</v>
      </c>
      <c r="D1943" s="1324">
        <f>+IF(ISBLANK(REPORTS!J1543),"",REPORTS!J1543)</f>
        <v>69753.779014877364</v>
      </c>
      <c r="E1943" s="1324">
        <f>+IF(ISBLANK(REPORTS!K1543),"",REPORTS!K1543)</f>
        <v>40458.101426536923</v>
      </c>
      <c r="F1943" s="1324">
        <f>+IF(ISBLANK(REPORTS!L1543),"",REPORTS!L1543)</f>
        <v>3337.3852848200963</v>
      </c>
      <c r="G1943" s="1324">
        <f>+IF(ISBLANK(REPORTS!M1543),"",REPORTS!M1543)</f>
        <v>21334.227464755775</v>
      </c>
      <c r="H1943" s="1324">
        <f>+IF(ISBLANK(REPORTS!N1543),"",REPORTS!N1543)</f>
        <v>2663.2954263651259</v>
      </c>
      <c r="I1943" s="1324">
        <f>+IF(ISBLANK(REPORTS!O1543),"",REPORTS!O1543)</f>
        <v>1911.3144986706131</v>
      </c>
      <c r="J1943" s="1324">
        <f>+IF(ISBLANK(REPORTS!P1543),"",REPORTS!P1543)</f>
        <v>49.454913728844119</v>
      </c>
      <c r="K1943" s="1324">
        <f>+IF(ISBLANK(REPORTS!Q1543),"",REPORTS!Q1543)</f>
        <v>0</v>
      </c>
      <c r="L1943" s="1324"/>
      <c r="M1943" s="1324"/>
    </row>
    <row r="1944" spans="1:13">
      <c r="A1944" s="1393">
        <v>6</v>
      </c>
      <c r="B1944" s="1324" t="s">
        <v>5240</v>
      </c>
      <c r="C1944" s="1324" t="s">
        <v>4067</v>
      </c>
      <c r="D1944" s="1324">
        <f>+IF(ISBLANK(REPORTS!J1544),"",REPORTS!J1544)</f>
        <v>273310.04705171305</v>
      </c>
      <c r="E1944" s="1324">
        <f>+IF(ISBLANK(REPORTS!K1544),"",REPORTS!K1544)</f>
        <v>170112.54954649977</v>
      </c>
      <c r="F1944" s="1324">
        <f>+IF(ISBLANK(REPORTS!L1544),"",REPORTS!L1544)</f>
        <v>12098.831176123282</v>
      </c>
      <c r="G1944" s="1324">
        <f>+IF(ISBLANK(REPORTS!M1544),"",REPORTS!M1544)</f>
        <v>81009.228918554421</v>
      </c>
      <c r="H1944" s="1324">
        <f>+IF(ISBLANK(REPORTS!N1544),"",REPORTS!N1544)</f>
        <v>8520.5421033854873</v>
      </c>
      <c r="I1944" s="1324">
        <f>+IF(ISBLANK(REPORTS!O1544),"",REPORTS!O1544)</f>
        <v>5.8176601582634081E-3</v>
      </c>
      <c r="J1944" s="1324">
        <f>+IF(ISBLANK(REPORTS!P1544),"",REPORTS!P1544)</f>
        <v>1568.889489489969</v>
      </c>
      <c r="K1944" s="1324">
        <f>+IF(ISBLANK(REPORTS!Q1544),"",REPORTS!Q1544)</f>
        <v>0</v>
      </c>
      <c r="L1944" s="1324"/>
      <c r="M1944" s="1324"/>
    </row>
    <row r="1945" spans="1:13">
      <c r="A1945" s="1393">
        <v>7</v>
      </c>
      <c r="B1945" s="1324" t="s">
        <v>5241</v>
      </c>
      <c r="C1945" s="1324" t="s">
        <v>4067</v>
      </c>
      <c r="D1945" s="1324">
        <f>+IF(ISBLANK(REPORTS!J1545),"",REPORTS!J1545)</f>
        <v>121199.55498098544</v>
      </c>
      <c r="E1945" s="1324">
        <f>+IF(ISBLANK(REPORTS!K1545),"",REPORTS!K1545)</f>
        <v>88431.22656806052</v>
      </c>
      <c r="F1945" s="1324">
        <f>+IF(ISBLANK(REPORTS!L1545),"",REPORTS!L1545)</f>
        <v>7120.4687655443349</v>
      </c>
      <c r="G1945" s="1324">
        <f>+IF(ISBLANK(REPORTS!M1545),"",REPORTS!M1545)</f>
        <v>25209.428958620971</v>
      </c>
      <c r="H1945" s="1324">
        <f>+IF(ISBLANK(REPORTS!N1545),"",REPORTS!N1545)</f>
        <v>0</v>
      </c>
      <c r="I1945" s="1324">
        <f>+IF(ISBLANK(REPORTS!O1545),"",REPORTS!O1545)</f>
        <v>0</v>
      </c>
      <c r="J1945" s="1324">
        <f>+IF(ISBLANK(REPORTS!P1545),"",REPORTS!P1545)</f>
        <v>438.43068875960978</v>
      </c>
      <c r="K1945" s="1324">
        <f>+IF(ISBLANK(REPORTS!Q1545),"",REPORTS!Q1545)</f>
        <v>0</v>
      </c>
      <c r="L1945" s="1324"/>
      <c r="M1945" s="1324"/>
    </row>
    <row r="1946" spans="1:13">
      <c r="A1946" s="1393">
        <v>8</v>
      </c>
      <c r="B1946" s="1324" t="s">
        <v>5859</v>
      </c>
      <c r="C1946" s="1324" t="s">
        <v>4071</v>
      </c>
      <c r="D1946" s="1324">
        <f>+IF(ISBLANK(REPORTS!J1546),"",REPORTS!J1546)</f>
        <v>145569.57273455529</v>
      </c>
      <c r="E1946" s="1324">
        <f>+IF(ISBLANK(REPORTS!K1546),"",REPORTS!K1546)</f>
        <v>59733.899730434081</v>
      </c>
      <c r="F1946" s="1324">
        <f>+IF(ISBLANK(REPORTS!L1546),"",REPORTS!L1546)</f>
        <v>11349.511304660346</v>
      </c>
      <c r="G1946" s="1324">
        <f>+IF(ISBLANK(REPORTS!M1546),"",REPORTS!M1546)</f>
        <v>6433.5870865214574</v>
      </c>
      <c r="H1946" s="1324">
        <f>+IF(ISBLANK(REPORTS!N1546),"",REPORTS!N1546)</f>
        <v>478.58842858600315</v>
      </c>
      <c r="I1946" s="1324">
        <f>+IF(ISBLANK(REPORTS!O1546),"",REPORTS!O1546)</f>
        <v>522.16006583162539</v>
      </c>
      <c r="J1946" s="1324">
        <f>+IF(ISBLANK(REPORTS!P1546),"",REPORTS!P1546)</f>
        <v>107.99779637576934</v>
      </c>
      <c r="K1946" s="1324">
        <f>+IF(ISBLANK(REPORTS!Q1546),"",REPORTS!Q1546)</f>
        <v>66943.828322145971</v>
      </c>
      <c r="L1946" s="1324"/>
      <c r="M1946" s="1324"/>
    </row>
    <row r="1947" spans="1:13">
      <c r="A1947" s="1393">
        <v>9</v>
      </c>
      <c r="B1947" s="1324" t="s">
        <v>5861</v>
      </c>
      <c r="C1947" s="1324" t="s">
        <v>4071</v>
      </c>
      <c r="D1947" s="1324">
        <f>+IF(ISBLANK(REPORTS!J1547),"",REPORTS!J1547)</f>
        <v>75734.886056515636</v>
      </c>
      <c r="E1947" s="1324">
        <f>+IF(ISBLANK(REPORTS!K1547),"",REPORTS!K1547)</f>
        <v>67518.780094366361</v>
      </c>
      <c r="F1947" s="1324">
        <f>+IF(ISBLANK(REPORTS!L1547),"",REPORTS!L1547)</f>
        <v>6549.44263144047</v>
      </c>
      <c r="G1947" s="1324">
        <f>+IF(ISBLANK(REPORTS!M1547),"",REPORTS!M1547)</f>
        <v>1632.5569897741673</v>
      </c>
      <c r="H1947" s="1324">
        <f>+IF(ISBLANK(REPORTS!N1547),"",REPORTS!N1547)</f>
        <v>8.3324508543801699</v>
      </c>
      <c r="I1947" s="1324">
        <f>+IF(ISBLANK(REPORTS!O1547),"",REPORTS!O1547)</f>
        <v>1.7941595659638807</v>
      </c>
      <c r="J1947" s="1324">
        <f>+IF(ISBLANK(REPORTS!P1547),"",REPORTS!P1547)</f>
        <v>23.366521986481867</v>
      </c>
      <c r="K1947" s="1324">
        <f>+IF(ISBLANK(REPORTS!Q1547),"",REPORTS!Q1547)</f>
        <v>-0.19177254476210237</v>
      </c>
      <c r="L1947" s="1324"/>
      <c r="M1947" s="1324"/>
    </row>
    <row r="1948" spans="1:13">
      <c r="A1948" s="1393">
        <v>10</v>
      </c>
      <c r="B1948" s="1324" t="s">
        <v>5863</v>
      </c>
      <c r="C1948" s="1324" t="s">
        <v>4777</v>
      </c>
      <c r="D1948" s="1366">
        <f>+IF(ISBLANK(REPORTS!J1548),"",REPORTS!J1548)</f>
        <v>5819.6594147318619</v>
      </c>
      <c r="E1948" s="1366">
        <f>+IF(ISBLANK(REPORTS!K1548),"",REPORTS!K1548)</f>
        <v>3392.3774820079284</v>
      </c>
      <c r="F1948" s="1366">
        <f>+IF(ISBLANK(REPORTS!L1548),"",REPORTS!L1548)</f>
        <v>312.38817866060828</v>
      </c>
      <c r="G1948" s="1366">
        <f>+IF(ISBLANK(REPORTS!M1548),"",REPORTS!M1548)</f>
        <v>1544.3566358586913</v>
      </c>
      <c r="H1948" s="1366">
        <f>+IF(ISBLANK(REPORTS!N1548),"",REPORTS!N1548)</f>
        <v>183.76505658612251</v>
      </c>
      <c r="I1948" s="1366">
        <f>+IF(ISBLANK(REPORTS!O1548),"",REPORTS!O1548)</f>
        <v>108.14263486806975</v>
      </c>
      <c r="J1948" s="1366">
        <f>+IF(ISBLANK(REPORTS!P1548),"",REPORTS!P1548)</f>
        <v>11.757349915175318</v>
      </c>
      <c r="K1948" s="1366">
        <f>+IF(ISBLANK(REPORTS!Q1548),"",REPORTS!Q1548)</f>
        <v>270.20520854205262</v>
      </c>
      <c r="L1948" s="1324"/>
      <c r="M1948" s="1324"/>
    </row>
    <row r="1949" spans="1:13" ht="15" thickBot="1">
      <c r="A1949" s="1393">
        <v>11</v>
      </c>
      <c r="B1949" s="1324" t="s">
        <v>5864</v>
      </c>
      <c r="D1949" s="1380">
        <f>+IF(ISBLANK(REPORTS!J1549),"",REPORTS!J1549)</f>
        <v>1772612.0108620627</v>
      </c>
      <c r="E1949" s="1380">
        <f>+IF(ISBLANK(REPORTS!K1549),"",REPORTS!K1549)</f>
        <v>1043304.599516181</v>
      </c>
      <c r="F1949" s="1380">
        <f>+IF(ISBLANK(REPORTS!L1549),"",REPORTS!L1549)</f>
        <v>92280.108472089138</v>
      </c>
      <c r="G1949" s="1380">
        <f>+IF(ISBLANK(REPORTS!M1549),"",REPORTS!M1549)</f>
        <v>475258.38315044862</v>
      </c>
      <c r="H1949" s="1380">
        <f>+IF(ISBLANK(REPORTS!N1549),"",REPORTS!N1549)</f>
        <v>56198.999061567651</v>
      </c>
      <c r="I1949" s="1380">
        <f>+IF(ISBLANK(REPORTS!O1549),"",REPORTS!O1549)</f>
        <v>34568.449919460225</v>
      </c>
      <c r="J1949" s="1380">
        <f>+IF(ISBLANK(REPORTS!P1549),"",REPORTS!P1549)</f>
        <v>3790.1571348072025</v>
      </c>
      <c r="K1949" s="1423">
        <f>+IF(ISBLANK(REPORTS!Q1549),"",REPORTS!Q1549)</f>
        <v>67213.841758143273</v>
      </c>
      <c r="L1949" s="1324"/>
      <c r="M1949" s="1324"/>
    </row>
    <row r="1950" spans="1:13" ht="15" thickTop="1">
      <c r="A1950" s="1393">
        <v>12</v>
      </c>
      <c r="D1950" s="1324" t="str">
        <f>+IF(ISBLANK(REPORTS!J1550),"",REPORTS!J1550)</f>
        <v/>
      </c>
      <c r="E1950" s="1364" t="str">
        <f>+IF(ISBLANK(REPORTS!K1550),"",REPORTS!K1550)</f>
        <v/>
      </c>
      <c r="F1950" s="1364" t="str">
        <f>+IF(ISBLANK(REPORTS!L1550),"",REPORTS!L1550)</f>
        <v/>
      </c>
      <c r="G1950" s="1364" t="str">
        <f>+IF(ISBLANK(REPORTS!M1550),"",REPORTS!M1550)</f>
        <v/>
      </c>
      <c r="H1950" s="1364" t="str">
        <f>+IF(ISBLANK(REPORTS!N1550),"",REPORTS!N1550)</f>
        <v/>
      </c>
      <c r="I1950" s="1364" t="str">
        <f>+IF(ISBLANK(REPORTS!O1550),"",REPORTS!O1550)</f>
        <v/>
      </c>
      <c r="J1950" s="1364" t="str">
        <f>+IF(ISBLANK(REPORTS!P1550),"",REPORTS!P1550)</f>
        <v/>
      </c>
      <c r="K1950" s="1364" t="str">
        <f>+IF(ISBLANK(REPORTS!Q1550),"",REPORTS!Q1550)</f>
        <v/>
      </c>
      <c r="L1950" s="1358"/>
      <c r="M1950" s="630"/>
    </row>
    <row r="1951" spans="1:13">
      <c r="A1951" s="1393">
        <v>13</v>
      </c>
      <c r="B1951" s="1324" t="s">
        <v>5865</v>
      </c>
      <c r="D1951" s="1496">
        <f>+IF(ISBLANK(REPORTS!J1551),"",REPORTS!J1551)</f>
        <v>1.0032939125019216</v>
      </c>
      <c r="E1951" s="1324" t="str">
        <f>+IF(ISBLANK(REPORTS!K1551),"",REPORTS!K1551)</f>
        <v/>
      </c>
      <c r="F1951" s="1324" t="str">
        <f>+IF(ISBLANK(REPORTS!L1551),"",REPORTS!L1551)</f>
        <v/>
      </c>
      <c r="G1951" s="1324" t="str">
        <f>+IF(ISBLANK(REPORTS!M1551),"",REPORTS!M1551)</f>
        <v/>
      </c>
      <c r="H1951" s="1324" t="str">
        <f>+IF(ISBLANK(REPORTS!N1551),"",REPORTS!N1551)</f>
        <v/>
      </c>
      <c r="I1951" s="1324" t="str">
        <f>+IF(ISBLANK(REPORTS!O1551),"",REPORTS!O1551)</f>
        <v/>
      </c>
      <c r="J1951" s="1324" t="str">
        <f>+IF(ISBLANK(REPORTS!P1551),"",REPORTS!P1551)</f>
        <v/>
      </c>
      <c r="K1951" s="1324" t="str">
        <f>+IF(ISBLANK(REPORTS!Q1551),"",REPORTS!Q1551)</f>
        <v/>
      </c>
      <c r="M1951" s="96"/>
    </row>
    <row r="1952" spans="1:13">
      <c r="A1952" s="1393">
        <v>14</v>
      </c>
      <c r="B1952" s="1362" t="s">
        <v>5866</v>
      </c>
      <c r="D1952" s="1324" t="str">
        <f>+IF(ISBLANK(REPORTS!J1552),"",REPORTS!J1552)</f>
        <v/>
      </c>
      <c r="E1952" s="1324" t="str">
        <f>+IF(ISBLANK(REPORTS!K1552),"",REPORTS!K1552)</f>
        <v/>
      </c>
      <c r="F1952" s="1324" t="str">
        <f>+IF(ISBLANK(REPORTS!L1552),"",REPORTS!L1552)</f>
        <v/>
      </c>
      <c r="G1952" s="1324" t="str">
        <f>+IF(ISBLANK(REPORTS!M1552),"",REPORTS!M1552)</f>
        <v/>
      </c>
      <c r="H1952" s="1324" t="str">
        <f>+IF(ISBLANK(REPORTS!N1552),"",REPORTS!N1552)</f>
        <v/>
      </c>
      <c r="I1952" s="1324" t="str">
        <f>+IF(ISBLANK(REPORTS!O1552),"",REPORTS!O1552)</f>
        <v/>
      </c>
      <c r="J1952" s="1324" t="str">
        <f>+IF(ISBLANK(REPORTS!P1552),"",REPORTS!P1552)</f>
        <v/>
      </c>
      <c r="K1952" s="1324" t="str">
        <f>+IF(ISBLANK(REPORTS!Q1552),"",REPORTS!Q1552)</f>
        <v/>
      </c>
      <c r="M1952" s="96"/>
    </row>
    <row r="1953" spans="1:13">
      <c r="A1953" s="1393">
        <v>15</v>
      </c>
      <c r="B1953" s="1362" t="s">
        <v>5867</v>
      </c>
      <c r="D1953" s="1324" t="str">
        <f>+IF(ISBLANK(REPORTS!J1553),"",REPORTS!J1553)</f>
        <v/>
      </c>
      <c r="E1953" s="1324" t="str">
        <f>+IF(ISBLANK(REPORTS!K1553),"",REPORTS!K1553)</f>
        <v/>
      </c>
      <c r="F1953" s="1324" t="str">
        <f>+IF(ISBLANK(REPORTS!L1553),"",REPORTS!L1553)</f>
        <v/>
      </c>
      <c r="G1953" s="1324" t="str">
        <f>+IF(ISBLANK(REPORTS!M1553),"",REPORTS!M1553)</f>
        <v/>
      </c>
      <c r="H1953" s="1324" t="str">
        <f>+IF(ISBLANK(REPORTS!N1553),"",REPORTS!N1553)</f>
        <v/>
      </c>
      <c r="I1953" s="1416" t="str">
        <f>+IF(ISBLANK(REPORTS!O1553),"",REPORTS!O1553)</f>
        <v/>
      </c>
      <c r="J1953" s="1324" t="str">
        <f>+IF(ISBLANK(REPORTS!P1553),"",REPORTS!P1553)</f>
        <v/>
      </c>
      <c r="K1953" s="1324" t="str">
        <f>+IF(ISBLANK(REPORTS!Q1553),"",REPORTS!Q1553)</f>
        <v/>
      </c>
      <c r="M1953" s="96"/>
    </row>
    <row r="1954" spans="1:13">
      <c r="A1954" s="1393">
        <v>16</v>
      </c>
      <c r="B1954" s="1324" t="s">
        <v>5868</v>
      </c>
      <c r="D1954" s="1324" t="str">
        <f>+IF(ISBLANK(REPORTS!J1554),"",REPORTS!J1554)</f>
        <v/>
      </c>
      <c r="E1954" s="1324">
        <f>+IF(ISBLANK(REPORTS!K1554),"",REPORTS!K1554)</f>
        <v>10290068.453940002</v>
      </c>
      <c r="F1954" s="1324">
        <f>+IF(ISBLANK(REPORTS!L1554),"",REPORTS!L1554)</f>
        <v>950935.90074000007</v>
      </c>
      <c r="G1954" s="1324">
        <f>+IF(ISBLANK(REPORTS!M1554),"",REPORTS!M1554)</f>
        <v>7089279.4422360742</v>
      </c>
      <c r="H1954" s="1324">
        <f>+IF(ISBLANK(REPORTS!N1554),"",REPORTS!N1554)</f>
        <v>1148446.0116341452</v>
      </c>
      <c r="I1954" s="1324">
        <f>+IF(ISBLANK(REPORTS!O1554),"",REPORTS!O1554)</f>
        <v>847766.50298803649</v>
      </c>
      <c r="J1954" s="1324">
        <f>+IF(ISBLANK(REPORTS!P1554),"",REPORTS!P1554)</f>
        <v>107727.52524999999</v>
      </c>
      <c r="K1954" s="1324" t="str">
        <f>+IF(ISBLANK(REPORTS!Q1554),"",REPORTS!Q1554)</f>
        <v/>
      </c>
      <c r="M1954" s="1324"/>
    </row>
    <row r="1955" spans="1:13">
      <c r="A1955" s="1393">
        <v>17</v>
      </c>
      <c r="B1955" s="1324" t="s">
        <v>5870</v>
      </c>
      <c r="D1955" s="1324" t="str">
        <f>+IF(ISBLANK(REPORTS!J1555),"",REPORTS!J1555)</f>
        <v/>
      </c>
      <c r="E1955" s="1324">
        <f>+IF(ISBLANK(REPORTS!K1555),"",REPORTS!K1555)</f>
        <v>10290068.453940002</v>
      </c>
      <c r="F1955" s="1324">
        <f>+IF(ISBLANK(REPORTS!L1555),"",REPORTS!L1555)</f>
        <v>950935.90074000007</v>
      </c>
      <c r="G1955" s="1324">
        <f>+IF(ISBLANK(REPORTS!M1555),"",REPORTS!M1555)</f>
        <v>7088227.647975089</v>
      </c>
      <c r="H1955" s="1324">
        <f>+IF(ISBLANK(REPORTS!N1555),"",REPORTS!N1555)</f>
        <v>1148446.0116341452</v>
      </c>
      <c r="I1955" s="1324">
        <f>+IF(ISBLANK(REPORTS!O1555),"",REPORTS!O1555)</f>
        <v>0</v>
      </c>
      <c r="J1955" s="1324">
        <f>+IF(ISBLANK(REPORTS!P1555),"",REPORTS!P1555)</f>
        <v>107727.52524999999</v>
      </c>
      <c r="K1955" s="1324" t="str">
        <f>+IF(ISBLANK(REPORTS!Q1555),"",REPORTS!Q1555)</f>
        <v/>
      </c>
      <c r="M1955" s="1324"/>
    </row>
    <row r="1956" spans="1:13">
      <c r="A1956" s="1393">
        <v>18</v>
      </c>
      <c r="B1956" s="1324" t="s">
        <v>5872</v>
      </c>
      <c r="D1956" s="1324" t="str">
        <f>+IF(ISBLANK(REPORTS!J1556),"",REPORTS!J1556)</f>
        <v/>
      </c>
      <c r="E1956" s="1324">
        <f>+IF(ISBLANK(REPORTS!K1556),"",REPORTS!K1556)</f>
        <v>10290068.453940002</v>
      </c>
      <c r="F1956" s="1324">
        <f>+IF(ISBLANK(REPORTS!L1556),"",REPORTS!L1556)</f>
        <v>950935.90074000007</v>
      </c>
      <c r="G1956" s="1324">
        <f>+IF(ISBLANK(REPORTS!M1556),"",REPORTS!M1556)</f>
        <v>7005109.5403091656</v>
      </c>
      <c r="H1956" s="1324">
        <f>+IF(ISBLANK(REPORTS!N1556),"",REPORTS!N1556)</f>
        <v>0</v>
      </c>
      <c r="I1956" s="1324">
        <f>+IF(ISBLANK(REPORTS!O1556),"",REPORTS!O1556)</f>
        <v>0</v>
      </c>
      <c r="J1956" s="1324">
        <f>+IF(ISBLANK(REPORTS!P1556),"",REPORTS!P1556)</f>
        <v>107727.52524999999</v>
      </c>
      <c r="K1956" s="1324" t="str">
        <f>+IF(ISBLANK(REPORTS!Q1556),"",REPORTS!Q1556)</f>
        <v/>
      </c>
      <c r="M1956" s="1324"/>
    </row>
    <row r="1957" spans="1:13">
      <c r="A1957" s="1393">
        <v>19</v>
      </c>
      <c r="D1957" s="1324" t="str">
        <f>+IF(ISBLANK(REPORTS!J1557),"",REPORTS!J1557)</f>
        <v/>
      </c>
      <c r="E1957" s="1324" t="str">
        <f>+IF(ISBLANK(REPORTS!K1557),"",REPORTS!K1557)</f>
        <v/>
      </c>
      <c r="F1957" s="1324" t="str">
        <f>+IF(ISBLANK(REPORTS!L1557),"",REPORTS!L1557)</f>
        <v/>
      </c>
      <c r="G1957" s="1324" t="str">
        <f>+IF(ISBLANK(REPORTS!M1557),"",REPORTS!M1557)</f>
        <v/>
      </c>
      <c r="H1957" s="1324" t="str">
        <f>+IF(ISBLANK(REPORTS!N1557),"",REPORTS!N1557)</f>
        <v/>
      </c>
      <c r="I1957" s="1324" t="str">
        <f>+IF(ISBLANK(REPORTS!O1557),"",REPORTS!O1557)</f>
        <v/>
      </c>
      <c r="J1957" s="1324" t="str">
        <f>+IF(ISBLANK(REPORTS!P1557),"",REPORTS!P1557)</f>
        <v/>
      </c>
      <c r="K1957" s="1324" t="str">
        <f>+IF(ISBLANK(REPORTS!Q1557),"",REPORTS!Q1557)</f>
        <v/>
      </c>
      <c r="M1957" s="1324"/>
    </row>
    <row r="1958" spans="1:13">
      <c r="A1958" s="1393">
        <v>20</v>
      </c>
      <c r="B1958" s="1362" t="s">
        <v>5874</v>
      </c>
      <c r="D1958" s="1324" t="str">
        <f>+IF(ISBLANK(REPORTS!J1558),"",REPORTS!J1558)</f>
        <v/>
      </c>
      <c r="E1958" s="1324" t="str">
        <f>+IF(ISBLANK(REPORTS!K1558),"",REPORTS!K1558)</f>
        <v/>
      </c>
      <c r="F1958" s="1324" t="str">
        <f>+IF(ISBLANK(REPORTS!L1558),"",REPORTS!L1558)</f>
        <v/>
      </c>
      <c r="G1958" s="1324" t="str">
        <f>+IF(ISBLANK(REPORTS!M1558),"",REPORTS!M1558)</f>
        <v/>
      </c>
      <c r="H1958" s="1324" t="str">
        <f>+IF(ISBLANK(REPORTS!N1558),"",REPORTS!N1558)</f>
        <v/>
      </c>
      <c r="I1958" s="1416" t="str">
        <f>+IF(ISBLANK(REPORTS!O1558),"",REPORTS!O1558)</f>
        <v/>
      </c>
      <c r="J1958" s="1324" t="str">
        <f>+IF(ISBLANK(REPORTS!P1558),"",REPORTS!P1558)</f>
        <v/>
      </c>
      <c r="K1958" s="1324" t="str">
        <f>+IF(ISBLANK(REPORTS!Q1558),"",REPORTS!Q1558)</f>
        <v/>
      </c>
      <c r="M1958" s="1324"/>
    </row>
    <row r="1959" spans="1:13">
      <c r="A1959" s="1393">
        <v>21</v>
      </c>
      <c r="B1959" s="1324" t="s">
        <v>5875</v>
      </c>
      <c r="D1959" s="1324" t="str">
        <f>+IF(ISBLANK(REPORTS!J1559),"",REPORTS!J1559)</f>
        <v/>
      </c>
      <c r="E1959" s="1324" t="str">
        <f>+IF(ISBLANK(REPORTS!K1559),"",REPORTS!K1559)</f>
        <v/>
      </c>
      <c r="F1959" s="1324" t="str">
        <f>+IF(ISBLANK(REPORTS!L1559),"",REPORTS!L1559)</f>
        <v/>
      </c>
      <c r="G1959" s="1324">
        <f>+IF(ISBLANK(REPORTS!M1559),"",REPORTS!M1559)</f>
        <v>18168858.210000001</v>
      </c>
      <c r="H1959" s="1324">
        <f>+IF(ISBLANK(REPORTS!N1559),"",REPORTS!N1559)</f>
        <v>2634852.5689424397</v>
      </c>
      <c r="I1959" s="1324">
        <f>+IF(ISBLANK(REPORTS!O1559),"",REPORTS!O1559)</f>
        <v>3203801.7791090398</v>
      </c>
      <c r="J1959" s="1324" t="str">
        <f>+IF(ISBLANK(REPORTS!P1559),"",REPORTS!P1559)</f>
        <v/>
      </c>
      <c r="K1959" s="1324" t="str">
        <f>+IF(ISBLANK(REPORTS!Q1559),"",REPORTS!Q1559)</f>
        <v/>
      </c>
      <c r="M1959" s="1324"/>
    </row>
    <row r="1960" spans="1:13">
      <c r="A1960" s="1393">
        <v>22</v>
      </c>
      <c r="B1960" s="1324" t="s">
        <v>5877</v>
      </c>
      <c r="D1960" s="1324" t="str">
        <f>+IF(ISBLANK(REPORTS!J1560),"",REPORTS!J1560)</f>
        <v/>
      </c>
      <c r="E1960" s="1324" t="str">
        <f>+IF(ISBLANK(REPORTS!K1560),"",REPORTS!K1560)</f>
        <v/>
      </c>
      <c r="F1960" s="1324" t="str">
        <f>+IF(ISBLANK(REPORTS!L1560),"",REPORTS!L1560)</f>
        <v/>
      </c>
      <c r="G1960" s="1324">
        <f>+IF(ISBLANK(REPORTS!M1560),"",REPORTS!M1560)</f>
        <v>18166432.804031242</v>
      </c>
      <c r="H1960" s="1324">
        <f>+IF(ISBLANK(REPORTS!N1560),"",REPORTS!N1560)</f>
        <v>2634852.5689424397</v>
      </c>
      <c r="I1960" s="1324">
        <f>+IF(ISBLANK(REPORTS!O1560),"",REPORTS!O1560)</f>
        <v>0</v>
      </c>
      <c r="J1960" s="1324" t="str">
        <f>+IF(ISBLANK(REPORTS!P1560),"",REPORTS!P1560)</f>
        <v/>
      </c>
      <c r="K1960" s="1324" t="str">
        <f>+IF(ISBLANK(REPORTS!Q1560),"",REPORTS!Q1560)</f>
        <v/>
      </c>
      <c r="M1960" s="1324"/>
    </row>
    <row r="1961" spans="1:13" ht="15" thickBot="1">
      <c r="A1961" s="1393">
        <v>23</v>
      </c>
      <c r="B1961" s="1324" t="s">
        <v>5879</v>
      </c>
      <c r="D1961" s="1324" t="str">
        <f>+IF(ISBLANK(REPORTS!J1561),"",REPORTS!J1561)</f>
        <v/>
      </c>
      <c r="E1961" s="1324" t="str">
        <f>+IF(ISBLANK(REPORTS!K1561),"",REPORTS!K1561)</f>
        <v/>
      </c>
      <c r="F1961" s="1324" t="str">
        <f>+IF(ISBLANK(REPORTS!L1561),"",REPORTS!L1561)</f>
        <v/>
      </c>
      <c r="G1961" s="1324">
        <f>+IF(ISBLANK(REPORTS!M1561),"",REPORTS!M1561)</f>
        <v>17938641.16138665</v>
      </c>
      <c r="H1961" s="1324">
        <f>+IF(ISBLANK(REPORTS!N1561),"",REPORTS!N1561)</f>
        <v>0</v>
      </c>
      <c r="I1961" s="1324">
        <f>+IF(ISBLANK(REPORTS!O1561),"",REPORTS!O1561)</f>
        <v>0</v>
      </c>
      <c r="J1961" s="1324" t="str">
        <f>+IF(ISBLANK(REPORTS!P1561),"",REPORTS!P1561)</f>
        <v/>
      </c>
      <c r="K1961" s="1324" t="str">
        <f>+IF(ISBLANK(REPORTS!Q1561),"",REPORTS!Q1561)</f>
        <v/>
      </c>
      <c r="M1961" s="1324"/>
    </row>
    <row r="1962" spans="1:13">
      <c r="A1962" s="1393">
        <v>24</v>
      </c>
      <c r="D1962" s="1764" t="str">
        <f>+IF(ISBLANK(REPORTS!J1562),"",REPORTS!J1562)</f>
        <v>Customer Days</v>
      </c>
      <c r="E1962" s="1324" t="str">
        <f>+IF(ISBLANK(REPORTS!K1562),"",REPORTS!K1562)</f>
        <v/>
      </c>
      <c r="F1962" s="1324" t="str">
        <f>+IF(ISBLANK(REPORTS!L1562),"",REPORTS!L1562)</f>
        <v/>
      </c>
      <c r="G1962" s="1324" t="str">
        <f>+IF(ISBLANK(REPORTS!M1562),"",REPORTS!M1562)</f>
        <v/>
      </c>
      <c r="H1962" s="1324" t="str">
        <f>+IF(ISBLANK(REPORTS!N1562),"",REPORTS!N1562)</f>
        <v/>
      </c>
      <c r="I1962" s="1324" t="str">
        <f>+IF(ISBLANK(REPORTS!O1562),"",REPORTS!O1562)</f>
        <v/>
      </c>
      <c r="J1962" s="1324" t="str">
        <f>+IF(ISBLANK(REPORTS!P1562),"",REPORTS!P1562)</f>
        <v/>
      </c>
      <c r="K1962" s="1324" t="str">
        <f>+IF(ISBLANK(REPORTS!Q1562),"",REPORTS!Q1562)</f>
        <v/>
      </c>
      <c r="M1962" s="96"/>
    </row>
    <row r="1963" spans="1:13">
      <c r="A1963" s="1393">
        <v>25</v>
      </c>
      <c r="B1963" s="1362" t="s">
        <v>5881</v>
      </c>
      <c r="D1963" s="1765">
        <f>+IF(ISBLANK(REPORTS!J1563),"",REPORTS!J1563)</f>
        <v>280724055</v>
      </c>
      <c r="E1963" s="1324">
        <f>+IF(ISBLANK(REPORTS!K1563),"",REPORTS!K1563)</f>
        <v>9229284</v>
      </c>
      <c r="F1963" s="1324">
        <f>+IF(ISBLANK(REPORTS!L1563),"",REPORTS!L1563)</f>
        <v>894696</v>
      </c>
      <c r="G1963" s="1324">
        <f>+IF(ISBLANK(REPORTS!M1563),"",REPORTS!M1563)</f>
        <v>220356</v>
      </c>
      <c r="H1963" s="1324">
        <f>+IF(ISBLANK(REPORTS!N1563),"",REPORTS!N1563)</f>
        <v>744</v>
      </c>
      <c r="I1963" s="1324">
        <f>+IF(ISBLANK(REPORTS!O1563),"",REPORTS!O1563)</f>
        <v>132</v>
      </c>
      <c r="J1963" s="1324">
        <f>+IF(ISBLANK(REPORTS!P1563),"",REPORTS!P1563)</f>
        <v>2832</v>
      </c>
      <c r="K1963" s="1324" t="str">
        <f>+IF(ISBLANK(REPORTS!Q1563),"",REPORTS!Q1563)</f>
        <v/>
      </c>
      <c r="M1963" s="1324"/>
    </row>
    <row r="1964" spans="1:13">
      <c r="A1964" s="1393">
        <v>26</v>
      </c>
      <c r="D1964" s="1765" t="str">
        <f>+IF(ISBLANK(REPORTS!J1564),"",REPORTS!J1564)</f>
        <v/>
      </c>
      <c r="E1964" s="1324" t="str">
        <f>+IF(ISBLANK(REPORTS!K1564),"",REPORTS!K1564)</f>
        <v/>
      </c>
      <c r="F1964" s="1324" t="str">
        <f>+IF(ISBLANK(REPORTS!L1564),"",REPORTS!L1564)</f>
        <v/>
      </c>
      <c r="G1964" s="1324" t="str">
        <f>+IF(ISBLANK(REPORTS!M1564),"",REPORTS!M1564)</f>
        <v/>
      </c>
      <c r="H1964" s="1324" t="str">
        <f>+IF(ISBLANK(REPORTS!N1564),"",REPORTS!N1564)</f>
        <v/>
      </c>
      <c r="I1964" s="1324" t="str">
        <f>+IF(ISBLANK(REPORTS!O1564),"",REPORTS!O1564)</f>
        <v/>
      </c>
      <c r="J1964" s="1324" t="str">
        <f>+IF(ISBLANK(REPORTS!P1564),"",REPORTS!P1564)</f>
        <v/>
      </c>
      <c r="K1964" s="1324" t="str">
        <f>+IF(ISBLANK(REPORTS!Q1564),"",REPORTS!Q1564)</f>
        <v/>
      </c>
      <c r="M1964" s="96"/>
    </row>
    <row r="1965" spans="1:13">
      <c r="A1965" s="1393">
        <v>27</v>
      </c>
      <c r="B1965" s="1362" t="s">
        <v>5882</v>
      </c>
      <c r="D1965" s="1765"/>
      <c r="E1965" s="1324" t="str">
        <f>+IF(ISBLANK(REPORTS!K1565),"",REPORTS!K1565)</f>
        <v/>
      </c>
      <c r="F1965" s="1324" t="str">
        <f>+IF(ISBLANK(REPORTS!L1565),"",REPORTS!L1565)</f>
        <v/>
      </c>
      <c r="G1965" s="1324" t="str">
        <f>+IF(ISBLANK(REPORTS!M1565),"",REPORTS!M1565)</f>
        <v/>
      </c>
      <c r="H1965" s="1324" t="str">
        <f>+IF(ISBLANK(REPORTS!N1565),"",REPORTS!N1565)</f>
        <v/>
      </c>
      <c r="I1965" s="1324" t="str">
        <f>+IF(ISBLANK(REPORTS!O1565),"",REPORTS!O1565)</f>
        <v/>
      </c>
      <c r="J1965" s="1324" t="str">
        <f>+IF(ISBLANK(REPORTS!P1565),"",REPORTS!P1565)</f>
        <v/>
      </c>
      <c r="K1965" s="1324" t="str">
        <f>+IF(ISBLANK(REPORTS!Q1565),"",REPORTS!Q1565)</f>
        <v/>
      </c>
      <c r="M1965" s="96"/>
    </row>
    <row r="1966" spans="1:13">
      <c r="A1966" s="1393">
        <v>28</v>
      </c>
      <c r="B1966" s="1324" t="s">
        <v>5883</v>
      </c>
      <c r="D1966" s="1228" t="str">
        <f>+IF(ISBLANK(REPORTS!J1566),"",REPORTS!J1566)</f>
        <v/>
      </c>
      <c r="E1966" s="907" t="str">
        <f>+IF(ISBLANK(REPORTS!K1566),"",REPORTS!K1566)</f>
        <v/>
      </c>
      <c r="F1966" s="907" t="str">
        <f>+IF(ISBLANK(REPORTS!L1566),"",REPORTS!L1566)</f>
        <v/>
      </c>
      <c r="G1966" s="907" t="str">
        <f>+IF(ISBLANK(REPORTS!M1566),"",REPORTS!M1566)</f>
        <v/>
      </c>
      <c r="H1966" s="907" t="str">
        <f>+IF(ISBLANK(REPORTS!N1566),"",REPORTS!N1566)</f>
        <v/>
      </c>
      <c r="I1966" s="907" t="str">
        <f>+IF(ISBLANK(REPORTS!O1566),"",REPORTS!O1566)</f>
        <v/>
      </c>
      <c r="J1966" s="907" t="str">
        <f>+IF(ISBLANK(REPORTS!P1566),"",REPORTS!P1566)</f>
        <v/>
      </c>
      <c r="K1966" s="907" t="str">
        <f>+IF(ISBLANK(REPORTS!Q1566),"",REPORTS!Q1566)</f>
        <v/>
      </c>
      <c r="L1966" s="907"/>
      <c r="M1966" s="96"/>
    </row>
    <row r="1967" spans="1:13">
      <c r="A1967" s="1393">
        <v>29</v>
      </c>
      <c r="B1967" s="1324" t="s">
        <v>5884</v>
      </c>
      <c r="D1967" s="1766">
        <f>+IF(ISBLANK(REPORTS!J1567),"",REPORTS!J1567)</f>
        <v>0.21348600842042084</v>
      </c>
      <c r="E1967" s="1504">
        <f>+IF(ISBLANK(REPORTS!K1567),"",REPORTS!K1567)</f>
        <v>6.4935327561211347</v>
      </c>
      <c r="F1967" s="1504">
        <f>+IF(ISBLANK(REPORTS!L1567),"",REPORTS!L1567)</f>
        <v>12.727111333723933</v>
      </c>
      <c r="G1967" s="1504">
        <f>+IF(ISBLANK(REPORTS!M1567),"",REPORTS!M1567)</f>
        <v>29.29250285655009</v>
      </c>
      <c r="H1967" s="1504">
        <f>+IF(ISBLANK(REPORTS!N1567),"",REPORTS!N1567)</f>
        <v>645.38287230402909</v>
      </c>
      <c r="I1967" s="1504">
        <f>+IF(ISBLANK(REPORTS!O1567),"",REPORTS!O1567)</f>
        <v>3968.7879954581235</v>
      </c>
      <c r="J1967" s="1504">
        <f>+IF(ISBLANK(REPORTS!P1567),"",REPORTS!P1567)</f>
        <v>38.260427848669302</v>
      </c>
      <c r="K1967" s="1504" t="str">
        <f>+IF(ISBLANK(REPORTS!Q1567),"",REPORTS!Q1567)</f>
        <v/>
      </c>
      <c r="L1967" s="1504"/>
      <c r="M1967" s="1504"/>
    </row>
    <row r="1968" spans="1:13">
      <c r="A1968" s="1393">
        <v>30</v>
      </c>
      <c r="B1968" s="1324" t="s">
        <v>5886</v>
      </c>
      <c r="D1968" s="1767">
        <f>+IF(ISBLANK(REPORTS!J1568),"",REPORTS!J1568)</f>
        <v>0.24130878648156348</v>
      </c>
      <c r="E1968" s="1507">
        <f>+IF(ISBLANK(REPORTS!K1568),"",REPORTS!K1568)</f>
        <v>7.3398089221475562</v>
      </c>
      <c r="F1968" s="1507">
        <f>+IF(ISBLANK(REPORTS!L1568),"",REPORTS!L1568)</f>
        <v>7.3444118699589467</v>
      </c>
      <c r="G1968" s="1507">
        <f>+IF(ISBLANK(REPORTS!M1568),"",REPORTS!M1568)</f>
        <v>7.4331286175683164</v>
      </c>
      <c r="H1968" s="1507">
        <f>+IF(ISBLANK(REPORTS!N1568),"",REPORTS!N1568)</f>
        <v>11.236420992501424</v>
      </c>
      <c r="I1968" s="1507">
        <f>+IF(ISBLANK(REPORTS!O1568),"",REPORTS!O1568)</f>
        <v>13.636889171126146</v>
      </c>
      <c r="J1968" s="1507">
        <f>+IF(ISBLANK(REPORTS!P1568),"",REPORTS!P1568)</f>
        <v>8.2780682434249879</v>
      </c>
      <c r="K1968" s="1504" t="str">
        <f>+IF(ISBLANK(REPORTS!Q1568),"",REPORTS!Q1568)</f>
        <v/>
      </c>
      <c r="L1968" s="907"/>
      <c r="M1968" s="96"/>
    </row>
    <row r="1969" spans="1:13" ht="15" thickBot="1">
      <c r="A1969" s="1393">
        <v>31</v>
      </c>
      <c r="B1969" s="1324" t="s">
        <v>5888</v>
      </c>
      <c r="D1969" s="1768">
        <f>+IF(ISBLANK(REPORTS!J1569),"",REPORTS!J1569)</f>
        <v>0.45479479490198432</v>
      </c>
      <c r="E1969" s="1504">
        <f>+IF(ISBLANK(REPORTS!K1569),"",REPORTS!K1569)</f>
        <v>13.833341678268692</v>
      </c>
      <c r="F1969" s="1504">
        <f>+IF(ISBLANK(REPORTS!L1569),"",REPORTS!L1569)</f>
        <v>20.071523203682879</v>
      </c>
      <c r="G1969" s="1504">
        <f>+IF(ISBLANK(REPORTS!M1569),"",REPORTS!M1569)</f>
        <v>36.725631474118408</v>
      </c>
      <c r="H1969" s="1504">
        <f>+IF(ISBLANK(REPORTS!N1569),"",REPORTS!N1569)</f>
        <v>656.61929329653049</v>
      </c>
      <c r="I1969" s="1504">
        <f>+IF(ISBLANK(REPORTS!O1569),"",REPORTS!O1569)</f>
        <v>3982.4248846292498</v>
      </c>
      <c r="J1969" s="1504">
        <f>+IF(ISBLANK(REPORTS!P1569),"",REPORTS!P1569)</f>
        <v>46.538496092094292</v>
      </c>
      <c r="K1969" s="1504" t="str">
        <f>+IF(ISBLANK(REPORTS!Q1569),"",REPORTS!Q1569)</f>
        <v/>
      </c>
      <c r="L1969" s="1504"/>
      <c r="M1969" s="1504"/>
    </row>
    <row r="1970" spans="1:13">
      <c r="A1970" s="1393">
        <v>32</v>
      </c>
      <c r="B1970" s="1362"/>
      <c r="D1970" s="907" t="str">
        <f>+IF(ISBLANK(REPORTS!J1570),"",REPORTS!J1570)</f>
        <v/>
      </c>
      <c r="E1970" s="907" t="str">
        <f>+IF(ISBLANK(REPORTS!K1570),"",REPORTS!K1570)</f>
        <v/>
      </c>
      <c r="F1970" s="907" t="str">
        <f>+IF(ISBLANK(REPORTS!L1570),"",REPORTS!L1570)</f>
        <v/>
      </c>
      <c r="G1970" s="907" t="str">
        <f>+IF(ISBLANK(REPORTS!M1570),"",REPORTS!M1570)</f>
        <v/>
      </c>
      <c r="H1970" s="907" t="str">
        <f>+IF(ISBLANK(REPORTS!N1570),"",REPORTS!N1570)</f>
        <v/>
      </c>
      <c r="I1970" s="907" t="str">
        <f>+IF(ISBLANK(REPORTS!O1570),"",REPORTS!O1570)</f>
        <v/>
      </c>
      <c r="J1970" s="907" t="str">
        <f>+IF(ISBLANK(REPORTS!P1570),"",REPORTS!P1570)</f>
        <v/>
      </c>
      <c r="K1970" s="907" t="str">
        <f>+IF(ISBLANK(REPORTS!Q1570),"",REPORTS!Q1570)</f>
        <v/>
      </c>
      <c r="L1970" s="907"/>
      <c r="M1970" s="96"/>
    </row>
    <row r="1971" spans="1:13">
      <c r="A1971" s="1393">
        <v>33</v>
      </c>
      <c r="B1971" s="1324" t="s">
        <v>5890</v>
      </c>
      <c r="D1971" s="907" t="str">
        <f>+IF(ISBLANK(REPORTS!J1571),"",REPORTS!J1571)</f>
        <v/>
      </c>
      <c r="E1971" s="1512">
        <f>+IF(ISBLANK(REPORTS!K1571),"",REPORTS!K1571)</f>
        <v>0.54106386328844658</v>
      </c>
      <c r="F1971" s="1512">
        <f>+IF(ISBLANK(REPORTS!L1571),"",REPORTS!L1571)</f>
        <v>0.53983371632478039</v>
      </c>
      <c r="G1971" s="1512">
        <f>+IF(ISBLANK(REPORTS!M1571),"",REPORTS!M1571)</f>
        <v>0.538370650335118</v>
      </c>
      <c r="H1971" s="1512">
        <f>+IF(ISBLANK(REPORTS!N1571),"",REPORTS!N1571)</f>
        <v>0.5282406401981542</v>
      </c>
      <c r="I1971" s="1512">
        <f>+IF(ISBLANK(REPORTS!O1571),"",REPORTS!O1571)</f>
        <v>0.52857468135712649</v>
      </c>
      <c r="J1971" s="1512">
        <f>+IF(ISBLANK(REPORTS!P1571),"",REPORTS!P1571)</f>
        <v>0.53965495742400549</v>
      </c>
      <c r="K1971" s="907" t="str">
        <f>+IF(ISBLANK(REPORTS!Q1571),"",REPORTS!Q1571)</f>
        <v/>
      </c>
      <c r="L1971" s="907"/>
      <c r="M1971" s="1512"/>
    </row>
    <row r="1972" spans="1:13">
      <c r="A1972" s="1393">
        <v>34</v>
      </c>
      <c r="B1972" s="1362"/>
      <c r="D1972" s="907" t="str">
        <f>+IF(ISBLANK(REPORTS!J1572),"",REPORTS!J1572)</f>
        <v/>
      </c>
      <c r="E1972" s="1515" t="str">
        <f>+IF(ISBLANK(REPORTS!K1572),"",REPORTS!K1572)</f>
        <v/>
      </c>
      <c r="F1972" s="1515" t="str">
        <f>+IF(ISBLANK(REPORTS!L1572),"",REPORTS!L1572)</f>
        <v/>
      </c>
      <c r="G1972" s="1515" t="str">
        <f>+IF(ISBLANK(REPORTS!M1572),"",REPORTS!M1572)</f>
        <v/>
      </c>
      <c r="H1972" s="1515" t="str">
        <f>+IF(ISBLANK(REPORTS!N1572),"",REPORTS!N1572)</f>
        <v/>
      </c>
      <c r="I1972" s="1515" t="str">
        <f>+IF(ISBLANK(REPORTS!O1572),"",REPORTS!O1572)</f>
        <v/>
      </c>
      <c r="J1972" s="1515" t="str">
        <f>+IF(ISBLANK(REPORTS!P1572),"",REPORTS!P1572)</f>
        <v/>
      </c>
      <c r="K1972" s="907" t="str">
        <f>+IF(ISBLANK(REPORTS!Q1572),"",REPORTS!Q1572)</f>
        <v/>
      </c>
      <c r="L1972" s="907"/>
      <c r="M1972" s="96"/>
    </row>
    <row r="1973" spans="1:13">
      <c r="A1973" s="1393">
        <v>35</v>
      </c>
      <c r="B1973" s="1324" t="s">
        <v>5892</v>
      </c>
      <c r="D1973" s="907" t="str">
        <f>+IF(ISBLANK(REPORTS!J1573),"",REPORTS!J1573)</f>
        <v/>
      </c>
      <c r="E1973" s="1515" t="str">
        <f>+IF(ISBLANK(REPORTS!K1573),"",REPORTS!K1573)</f>
        <v/>
      </c>
      <c r="F1973" s="1515" t="str">
        <f>+IF(ISBLANK(REPORTS!L1573),"",REPORTS!L1573)</f>
        <v/>
      </c>
      <c r="G1973" s="1515" t="str">
        <f>+IF(ISBLANK(REPORTS!M1573),"",REPORTS!M1573)</f>
        <v/>
      </c>
      <c r="H1973" s="1515" t="str">
        <f>+IF(ISBLANK(REPORTS!N1573),"",REPORTS!N1573)</f>
        <v/>
      </c>
      <c r="I1973" s="1515" t="str">
        <f>+IF(ISBLANK(REPORTS!O1573),"",REPORTS!O1573)</f>
        <v/>
      </c>
      <c r="J1973" s="1515" t="str">
        <f>+IF(ISBLANK(REPORTS!P1573),"",REPORTS!P1573)</f>
        <v/>
      </c>
      <c r="K1973" s="907" t="str">
        <f>+IF(ISBLANK(REPORTS!Q1573),"",REPORTS!Q1573)</f>
        <v/>
      </c>
      <c r="L1973" s="907"/>
      <c r="M1973" s="96"/>
    </row>
    <row r="1974" spans="1:13">
      <c r="A1974" s="1393">
        <v>36</v>
      </c>
      <c r="B1974" s="1324" t="s">
        <v>5893</v>
      </c>
      <c r="D1974" s="907" t="str">
        <f>+IF(ISBLANK(REPORTS!J1574),"",REPORTS!J1574)</f>
        <v/>
      </c>
      <c r="E1974" s="1515" t="str">
        <f>+IF(ISBLANK(REPORTS!K1574),"",REPORTS!K1574)</f>
        <v/>
      </c>
      <c r="F1974" s="1515" t="str">
        <f>+IF(ISBLANK(REPORTS!L1574),"",REPORTS!L1574)</f>
        <v/>
      </c>
      <c r="G1974" s="1515" t="str">
        <f>+IF(ISBLANK(REPORTS!M1574),"",REPORTS!M1574)</f>
        <v/>
      </c>
      <c r="H1974" s="1515" t="str">
        <f>+IF(ISBLANK(REPORTS!N1574),"",REPORTS!N1574)</f>
        <v/>
      </c>
      <c r="I1974" s="1515" t="str">
        <f>+IF(ISBLANK(REPORTS!O1574),"",REPORTS!O1574)</f>
        <v/>
      </c>
      <c r="J1974" s="1515" t="str">
        <f>+IF(ISBLANK(REPORTS!P1574),"",REPORTS!P1574)</f>
        <v/>
      </c>
      <c r="K1974" s="907" t="str">
        <f>+IF(ISBLANK(REPORTS!Q1574),"",REPORTS!Q1574)</f>
        <v/>
      </c>
      <c r="L1974" s="907"/>
      <c r="M1974" s="96"/>
    </row>
    <row r="1975" spans="1:13">
      <c r="A1975" s="1393">
        <v>37</v>
      </c>
      <c r="B1975" s="1324" t="s">
        <v>5894</v>
      </c>
      <c r="D1975" s="907" t="str">
        <f>+IF(ISBLANK(REPORTS!J1575),"",REPORTS!J1575)</f>
        <v/>
      </c>
      <c r="E1975" s="1512">
        <f>+IF(ISBLANK(REPORTS!K1575),"",REPORTS!K1575)</f>
        <v>5.1242963049832131</v>
      </c>
      <c r="F1975" s="1512">
        <f>+IF(ISBLANK(REPORTS!L1575),"",REPORTS!L1575)</f>
        <v>4.6112546609645397</v>
      </c>
      <c r="G1975" s="1512">
        <f>+IF(ISBLANK(REPORTS!M1575),"",REPORTS!M1575)</f>
        <v>4.003139696365869</v>
      </c>
      <c r="H1975" s="1512">
        <f>+IF(ISBLANK(REPORTS!N1575),"",REPORTS!N1575)</f>
        <v>3.1582471265679604</v>
      </c>
      <c r="I1975" s="1512">
        <f>+IF(ISBLANK(REPORTS!O1575),"",REPORTS!O1575)</f>
        <v>3.0791712048283602</v>
      </c>
      <c r="J1975" s="1512">
        <f>+IF(ISBLANK(REPORTS!P1575),"",REPORTS!P1575)</f>
        <v>0.90427986624294776</v>
      </c>
      <c r="K1975" s="907" t="str">
        <f>+IF(ISBLANK(REPORTS!Q1575),"",REPORTS!Q1575)</f>
        <v/>
      </c>
      <c r="L1975" s="907"/>
      <c r="M1975" s="1769"/>
    </row>
    <row r="1976" spans="1:13">
      <c r="A1976" s="1393">
        <v>38</v>
      </c>
      <c r="B1976" s="1324" t="s">
        <v>5896</v>
      </c>
      <c r="D1976" s="907" t="str">
        <f>+IF(ISBLANK(REPORTS!J1576),"",REPORTS!J1576)</f>
        <v/>
      </c>
      <c r="E1976" s="1512">
        <f>+IF(ISBLANK(REPORTS!K1576),"",REPORTS!K1576)</f>
        <v>0.71234634682129283</v>
      </c>
      <c r="F1976" s="1512">
        <f>+IF(ISBLANK(REPORTS!L1576),"",REPORTS!L1576)</f>
        <v>0.6358564331849681</v>
      </c>
      <c r="G1976" s="1512">
        <f>+IF(ISBLANK(REPORTS!M1576),"",REPORTS!M1576)</f>
        <v>0.5452288052220956</v>
      </c>
      <c r="H1976" s="1512">
        <f>+IF(ISBLANK(REPORTS!N1576),"",REPORTS!N1576)</f>
        <v>0.42015808589390302</v>
      </c>
      <c r="I1976" s="1512">
        <f>+IF(ISBLANK(REPORTS!O1576),"",REPORTS!O1576)</f>
        <v>0.40846972034966894</v>
      </c>
      <c r="J1976" s="1512">
        <f>+IF(ISBLANK(REPORTS!P1576),"",REPORTS!P1576)</f>
        <v>8.3173836028035353E-2</v>
      </c>
      <c r="K1976" s="907" t="str">
        <f>+IF(ISBLANK(REPORTS!Q1576),"",REPORTS!Q1576)</f>
        <v/>
      </c>
      <c r="L1976" s="907"/>
      <c r="M1976" s="1769"/>
    </row>
    <row r="1977" spans="1:13">
      <c r="A1977" s="1393">
        <v>39</v>
      </c>
      <c r="B1977" s="1324" t="s">
        <v>5898</v>
      </c>
      <c r="D1977" s="907" t="str">
        <f>+IF(ISBLANK(REPORTS!J1577),"",REPORTS!J1577)</f>
        <v/>
      </c>
      <c r="E1977" s="1512">
        <f>+IF(ISBLANK(REPORTS!K1577),"",REPORTS!K1577)</f>
        <v>1.6586175900009212</v>
      </c>
      <c r="F1977" s="1512">
        <f>+IF(ISBLANK(REPORTS!L1577),"",REPORTS!L1577)</f>
        <v>1.2764986218258101</v>
      </c>
      <c r="G1977" s="1512">
        <f>+IF(ISBLANK(REPORTS!M1577),"",REPORTS!M1577)</f>
        <v>1.1466345364017563</v>
      </c>
      <c r="H1977" s="1512">
        <f>+IF(ISBLANK(REPORTS!N1577),"",REPORTS!N1577)</f>
        <v>0.74436307296491921</v>
      </c>
      <c r="I1977" s="1512">
        <f>+IF(ISBLANK(REPORTS!O1577),"",REPORTS!O1577)</f>
        <v>0</v>
      </c>
      <c r="J1977" s="1512">
        <f>+IF(ISBLANK(REPORTS!P1577),"",REPORTS!P1577)</f>
        <v>1.461146787267847</v>
      </c>
      <c r="K1977" s="907" t="str">
        <f>+IF(ISBLANK(REPORTS!Q1577),"",REPORTS!Q1577)</f>
        <v/>
      </c>
      <c r="L1977" s="907"/>
      <c r="M1977" s="1769"/>
    </row>
    <row r="1978" spans="1:13">
      <c r="A1978" s="1393">
        <v>40</v>
      </c>
      <c r="B1978" s="1324" t="s">
        <v>5900</v>
      </c>
      <c r="D1978" s="907" t="str">
        <f>+IF(ISBLANK(REPORTS!J1578),"",REPORTS!J1578)</f>
        <v/>
      </c>
      <c r="E1978" s="1512">
        <f>+IF(ISBLANK(REPORTS!K1578),"",REPORTS!K1578)</f>
        <v>0.86221497639155187</v>
      </c>
      <c r="F1978" s="1512">
        <f>+IF(ISBLANK(REPORTS!L1578),"",REPORTS!L1578)</f>
        <v>0.7512517890082222</v>
      </c>
      <c r="G1978" s="1512">
        <f>+IF(ISBLANK(REPORTS!M1578),"",REPORTS!M1578)</f>
        <v>0.36105740340382758</v>
      </c>
      <c r="H1978" s="1512">
        <f>+IF(ISBLANK(REPORTS!N1578),"",REPORTS!N1578)</f>
        <v>0</v>
      </c>
      <c r="I1978" s="1512">
        <f>+IF(ISBLANK(REPORTS!O1578),"",REPORTS!O1578)</f>
        <v>0</v>
      </c>
      <c r="J1978" s="1512">
        <f>+IF(ISBLANK(REPORTS!P1578),"",REPORTS!P1578)</f>
        <v>0.40832168015160186</v>
      </c>
      <c r="K1978" s="907" t="str">
        <f>+IF(ISBLANK(REPORTS!Q1578),"",REPORTS!Q1578)</f>
        <v/>
      </c>
      <c r="L1978" s="907"/>
      <c r="M1978" s="1769"/>
    </row>
    <row r="1979" spans="1:13">
      <c r="A1979" s="1393">
        <v>41</v>
      </c>
      <c r="D1979" s="907" t="str">
        <f>+IF(ISBLANK(REPORTS!J1579),"",REPORTS!J1579)</f>
        <v/>
      </c>
      <c r="E1979" s="907" t="str">
        <f>+IF(ISBLANK(REPORTS!K1579),"",REPORTS!K1579)</f>
        <v/>
      </c>
      <c r="F1979" s="907" t="str">
        <f>+IF(ISBLANK(REPORTS!L1579),"",REPORTS!L1579)</f>
        <v/>
      </c>
      <c r="G1979" s="907" t="str">
        <f>+IF(ISBLANK(REPORTS!M1579),"",REPORTS!M1579)</f>
        <v/>
      </c>
      <c r="H1979" s="907" t="str">
        <f>+IF(ISBLANK(REPORTS!N1579),"",REPORTS!N1579)</f>
        <v/>
      </c>
      <c r="I1979" s="907" t="str">
        <f>+IF(ISBLANK(REPORTS!O1579),"",REPORTS!O1579)</f>
        <v/>
      </c>
      <c r="J1979" s="907" t="str">
        <f>+IF(ISBLANK(REPORTS!P1579),"",REPORTS!P1579)</f>
        <v/>
      </c>
      <c r="K1979" s="907" t="str">
        <f>+IF(ISBLANK(REPORTS!Q1579),"",REPORTS!Q1579)</f>
        <v/>
      </c>
      <c r="L1979" s="907"/>
      <c r="M1979" s="96"/>
    </row>
    <row r="1980" spans="1:13">
      <c r="A1980" s="1393">
        <v>42</v>
      </c>
      <c r="B1980" s="1324" t="s">
        <v>5902</v>
      </c>
      <c r="D1980" s="907" t="str">
        <f>+IF(ISBLANK(REPORTS!J1580),"",REPORTS!J1580)</f>
        <v/>
      </c>
      <c r="E1980" s="907" t="str">
        <f>+IF(ISBLANK(REPORTS!K1580),"",REPORTS!K1580)</f>
        <v/>
      </c>
      <c r="F1980" s="907" t="str">
        <f>+IF(ISBLANK(REPORTS!L1580),"",REPORTS!L1580)</f>
        <v/>
      </c>
      <c r="G1980" s="907" t="str">
        <f>+IF(ISBLANK(REPORTS!M1580),"",REPORTS!M1580)</f>
        <v/>
      </c>
      <c r="H1980" s="907" t="str">
        <f>+IF(ISBLANK(REPORTS!N1580),"",REPORTS!N1580)</f>
        <v/>
      </c>
      <c r="I1980" s="907" t="str">
        <f>+IF(ISBLANK(REPORTS!O1580),"",REPORTS!O1580)</f>
        <v/>
      </c>
      <c r="J1980" s="907" t="str">
        <f>+IF(ISBLANK(REPORTS!P1580),"",REPORTS!P1580)</f>
        <v/>
      </c>
      <c r="K1980" s="907" t="str">
        <f>+IF(ISBLANK(REPORTS!Q1580),"",REPORTS!Q1580)</f>
        <v/>
      </c>
      <c r="L1980" s="907"/>
      <c r="M1980" s="96"/>
    </row>
    <row r="1981" spans="1:13">
      <c r="A1981" s="1393">
        <v>43</v>
      </c>
      <c r="B1981" s="1324" t="s">
        <v>5903</v>
      </c>
      <c r="D1981" s="907" t="str">
        <f>+IF(ISBLANK(REPORTS!J1581),"",REPORTS!J1581)</f>
        <v/>
      </c>
      <c r="E1981" s="1364" t="str">
        <f>+IF(ISBLANK(REPORTS!K1581),"",REPORTS!K1581)</f>
        <v/>
      </c>
      <c r="F1981" s="1364" t="str">
        <f>+IF(ISBLANK(REPORTS!L1581),"",REPORTS!L1581)</f>
        <v/>
      </c>
      <c r="G1981" s="1504">
        <f>+IF(ISBLANK(REPORTS!M1581),"",REPORTS!M1581)</f>
        <v>15.619790537099311</v>
      </c>
      <c r="H1981" s="1504">
        <f>+IF(ISBLANK(REPORTS!N1581),"",REPORTS!N1581)</f>
        <v>13.765765716894682</v>
      </c>
      <c r="I1981" s="1504">
        <f>+IF(ISBLANK(REPORTS!O1581),"",REPORTS!O1581)</f>
        <v>8.1478767551741029</v>
      </c>
      <c r="J1981" s="1364" t="str">
        <f>+IF(ISBLANK(REPORTS!P1581),"",REPORTS!P1581)</f>
        <v/>
      </c>
      <c r="K1981" s="907" t="str">
        <f>+IF(ISBLANK(REPORTS!Q1581),"",REPORTS!Q1581)</f>
        <v/>
      </c>
      <c r="L1981" s="907"/>
      <c r="M1981" s="1519"/>
    </row>
    <row r="1982" spans="1:13">
      <c r="A1982" s="1393">
        <v>44</v>
      </c>
      <c r="B1982" s="1324" t="s">
        <v>5905</v>
      </c>
      <c r="D1982" s="907" t="str">
        <f>+IF(ISBLANK(REPORTS!J1582),"",REPORTS!J1582)</f>
        <v/>
      </c>
      <c r="E1982" s="1364" t="str">
        <f>+IF(ISBLANK(REPORTS!K1582),"",REPORTS!K1582)</f>
        <v/>
      </c>
      <c r="F1982" s="1364" t="str">
        <f>+IF(ISBLANK(REPORTS!L1582),"",REPORTS!L1582)</f>
        <v/>
      </c>
      <c r="G1982" s="1504">
        <f>+IF(ISBLANK(REPORTS!M1582),"",REPORTS!M1582)</f>
        <v>2.1274200698250367</v>
      </c>
      <c r="H1982" s="1504">
        <f>+IF(ISBLANK(REPORTS!N1582),"",REPORTS!N1582)</f>
        <v>1.8313316034770166</v>
      </c>
      <c r="I1982" s="1504">
        <f>+IF(ISBLANK(REPORTS!O1582),"",REPORTS!O1582)</f>
        <v>1.0808625822463982</v>
      </c>
      <c r="J1982" s="1364" t="str">
        <f>+IF(ISBLANK(REPORTS!P1582),"",REPORTS!P1582)</f>
        <v/>
      </c>
      <c r="K1982" s="907" t="str">
        <f>+IF(ISBLANK(REPORTS!Q1582),"",REPORTS!Q1582)</f>
        <v/>
      </c>
      <c r="L1982" s="907"/>
      <c r="M1982" s="1519"/>
    </row>
    <row r="1983" spans="1:13">
      <c r="A1983" s="1393">
        <v>45</v>
      </c>
      <c r="B1983" s="1324" t="s">
        <v>5907</v>
      </c>
      <c r="D1983" s="907" t="str">
        <f>+IF(ISBLANK(REPORTS!J1583),"",REPORTS!J1583)</f>
        <v/>
      </c>
      <c r="E1983" s="1364" t="str">
        <f>+IF(ISBLANK(REPORTS!K1583),"",REPORTS!K1583)</f>
        <v/>
      </c>
      <c r="F1983" s="1364" t="str">
        <f>+IF(ISBLANK(REPORTS!L1583),"",REPORTS!L1583)</f>
        <v/>
      </c>
      <c r="G1983" s="1504">
        <f>+IF(ISBLANK(REPORTS!M1583),"",REPORTS!M1583)</f>
        <v>4.4739694967756476</v>
      </c>
      <c r="H1983" s="1504">
        <f>+IF(ISBLANK(REPORTS!N1583),"",REPORTS!N1583)</f>
        <v>3.244435048969045</v>
      </c>
      <c r="I1983" s="1504">
        <f>+IF(ISBLANK(REPORTS!O1583),"",REPORTS!O1583)</f>
        <v>0</v>
      </c>
      <c r="J1983" s="1364" t="str">
        <f>+IF(ISBLANK(REPORTS!P1583),"",REPORTS!P1583)</f>
        <v/>
      </c>
      <c r="K1983" s="907" t="str">
        <f>+IF(ISBLANK(REPORTS!Q1583),"",REPORTS!Q1583)</f>
        <v/>
      </c>
      <c r="L1983" s="907"/>
      <c r="M1983" s="1519"/>
    </row>
    <row r="1984" spans="1:13">
      <c r="A1984" s="1393">
        <v>46</v>
      </c>
      <c r="B1984" s="1324" t="s">
        <v>5909</v>
      </c>
      <c r="D1984" s="907" t="str">
        <f>+IF(ISBLANK(REPORTS!J1584),"",REPORTS!J1584)</f>
        <v/>
      </c>
      <c r="E1984" s="1364" t="str">
        <f>+IF(ISBLANK(REPORTS!K1584),"",REPORTS!K1584)</f>
        <v/>
      </c>
      <c r="F1984" s="1364" t="str">
        <f>+IF(ISBLANK(REPORTS!L1584),"",REPORTS!L1584)</f>
        <v/>
      </c>
      <c r="G1984" s="1504">
        <f>+IF(ISBLANK(REPORTS!M1584),"",REPORTS!M1584)</f>
        <v>1.409943283010572</v>
      </c>
      <c r="H1984" s="1504">
        <f>+IF(ISBLANK(REPORTS!N1584),"",REPORTS!N1584)</f>
        <v>0</v>
      </c>
      <c r="I1984" s="1504">
        <f>+IF(ISBLANK(REPORTS!O1584),"",REPORTS!O1584)</f>
        <v>0</v>
      </c>
      <c r="J1984" s="1364" t="str">
        <f>+IF(ISBLANK(REPORTS!P1584),"",REPORTS!P1584)</f>
        <v/>
      </c>
      <c r="K1984" s="907" t="str">
        <f>+IF(ISBLANK(REPORTS!Q1584),"",REPORTS!Q1584)</f>
        <v/>
      </c>
      <c r="L1984" s="907"/>
      <c r="M1984" s="1519"/>
    </row>
    <row r="1985" spans="1:13">
      <c r="D1985" s="907"/>
      <c r="E1985" s="907"/>
      <c r="F1985" s="907"/>
      <c r="G1985" s="907"/>
      <c r="H1985" s="907"/>
      <c r="I1985" s="907"/>
      <c r="J1985" s="907"/>
      <c r="K1985" s="907"/>
      <c r="L1985" s="907"/>
      <c r="M1985" s="328"/>
    </row>
    <row r="1986" spans="1:13">
      <c r="D1986" s="907"/>
      <c r="E1986" s="907"/>
      <c r="F1986" s="907"/>
      <c r="G1986" s="907"/>
      <c r="H1986" s="907"/>
      <c r="I1986" s="907"/>
      <c r="J1986" s="96"/>
      <c r="K1986" s="907"/>
      <c r="L1986" s="907"/>
    </row>
    <row r="1987" spans="1:13">
      <c r="D1987" s="907"/>
      <c r="E1987" s="907"/>
      <c r="F1987" s="907"/>
      <c r="G1987" s="907"/>
      <c r="H1987" s="907"/>
      <c r="I1987" s="907"/>
      <c r="J1987" s="96"/>
      <c r="K1987" s="907"/>
      <c r="L1987" s="907"/>
    </row>
    <row r="1988" spans="1:13">
      <c r="D1988" s="907"/>
      <c r="E1988" s="907"/>
      <c r="F1988" s="907"/>
      <c r="G1988" s="907"/>
      <c r="H1988" s="907"/>
      <c r="I1988" s="907"/>
      <c r="J1988" s="96"/>
      <c r="K1988" s="907"/>
      <c r="L1988" s="907"/>
    </row>
    <row r="1990" spans="1:13">
      <c r="A1990" s="1732" t="str">
        <f>+$A$1</f>
        <v>RATES WITH REVENUE DEFICIENCY ADDITION</v>
      </c>
      <c r="F1990" s="1329" t="s">
        <v>2173</v>
      </c>
      <c r="G1990" s="1329"/>
      <c r="H1990" s="1329"/>
      <c r="I1990" s="1329"/>
      <c r="M1990" s="1334" t="s">
        <v>6058</v>
      </c>
    </row>
    <row r="1991" spans="1:13">
      <c r="A1991" s="1732" t="str">
        <f>+$A$2</f>
        <v>PROD. CAP. ALLOC. METHOD: 12 CP &amp; 1/13th AD</v>
      </c>
      <c r="F1991" s="1336" t="s">
        <v>5141</v>
      </c>
      <c r="G1991" s="1336"/>
      <c r="H1991" s="1336"/>
      <c r="I1991" s="1336"/>
      <c r="L1991" s="1331"/>
      <c r="M1991" s="1409"/>
    </row>
    <row r="1992" spans="1:13">
      <c r="A1992" s="1732" t="str">
        <f>+$A$3</f>
        <v>PROJECTED CALENDAR YEAR 2025; FULLY ADJUSTED DATA</v>
      </c>
      <c r="F1992" s="1336" t="s">
        <v>2181</v>
      </c>
    </row>
    <row r="1993" spans="1:13">
      <c r="A1993" s="1732" t="str">
        <f>+$A$4</f>
        <v>MINIMUM DISTRIBUTION SYSTEM (MDS) NOT EMPLOYED</v>
      </c>
      <c r="B1993" s="1364"/>
      <c r="F1993" s="1336"/>
      <c r="G1993" s="1336"/>
      <c r="H1993" s="1336"/>
      <c r="I1993" s="1336"/>
    </row>
    <row r="1994" spans="1:13">
      <c r="A1994" s="1732" t="str">
        <f>+$A$5</f>
        <v>Tampa Electric 2025 OB Budget</v>
      </c>
      <c r="F1994" s="1336" t="s">
        <v>5912</v>
      </c>
      <c r="G1994" s="1336"/>
      <c r="H1994" s="1336"/>
      <c r="I1994" s="1336"/>
    </row>
    <row r="1995" spans="1:13">
      <c r="F1995" s="1336"/>
      <c r="G1995" s="1336"/>
      <c r="H1995" s="1336"/>
      <c r="I1995" s="1336"/>
      <c r="K1995" s="907"/>
      <c r="L1995" s="907"/>
    </row>
    <row r="1996" spans="1:13">
      <c r="A1996" s="1733" t="s">
        <v>5913</v>
      </c>
      <c r="F1996" s="1336"/>
      <c r="G1996" s="1336"/>
      <c r="H1996" s="1336"/>
      <c r="I1996" s="1336"/>
      <c r="K1996" s="907"/>
      <c r="L1996" s="907"/>
    </row>
    <row r="1997" spans="1:13">
      <c r="A1997" s="1733" t="s">
        <v>5914</v>
      </c>
    </row>
    <row r="1998" spans="1:13">
      <c r="A1998" s="1735"/>
      <c r="B1998" s="1416"/>
      <c r="C1998" s="1416"/>
      <c r="D1998" s="1416"/>
      <c r="E1998" s="1336"/>
      <c r="F1998" s="1416"/>
      <c r="G1998" s="1416"/>
      <c r="H1998" s="1416"/>
      <c r="I1998" s="1416"/>
      <c r="J1998" s="1416"/>
      <c r="K1998" s="1416"/>
      <c r="L1998" s="1331"/>
    </row>
    <row r="1999" spans="1:13" ht="28.2">
      <c r="A1999" s="1737" t="s">
        <v>4297</v>
      </c>
      <c r="B1999" s="1741"/>
      <c r="C1999" s="1741"/>
      <c r="D1999" s="1352" t="s">
        <v>4957</v>
      </c>
      <c r="E1999" s="1353" t="s">
        <v>1949</v>
      </c>
      <c r="F1999" s="1353" t="s">
        <v>1950</v>
      </c>
      <c r="G1999" s="1353" t="s">
        <v>1934</v>
      </c>
      <c r="H1999" s="1353" t="s">
        <v>1971</v>
      </c>
      <c r="I1999" s="1353" t="s">
        <v>1972</v>
      </c>
      <c r="J1999" s="1352" t="s">
        <v>5146</v>
      </c>
      <c r="K1999" s="1352" t="s">
        <v>5147</v>
      </c>
      <c r="L1999" s="1355"/>
      <c r="M1999" s="1524"/>
    </row>
    <row r="2000" spans="1:13">
      <c r="M2000" s="1358"/>
    </row>
    <row r="2001" spans="1:13">
      <c r="A2001" s="1393">
        <v>1</v>
      </c>
      <c r="B2001" s="1362" t="s">
        <v>2305</v>
      </c>
      <c r="M2001" s="1358"/>
    </row>
    <row r="2002" spans="1:13">
      <c r="A2002" s="1393">
        <v>2</v>
      </c>
      <c r="B2002" s="1324" t="s">
        <v>5265</v>
      </c>
      <c r="C2002" s="1324" t="s">
        <v>4067</v>
      </c>
      <c r="D2002" s="1324">
        <f>+IF(ISBLANK(REPORTS!J1602),"",REPORTS!J1602)</f>
        <v>5483176.4189962763</v>
      </c>
      <c r="E2002" s="1324">
        <f>+IF(ISBLANK(REPORTS!K1602),"",REPORTS!K1602)</f>
        <v>3148520.3197242692</v>
      </c>
      <c r="F2002" s="1324">
        <f>+IF(ISBLANK(REPORTS!L1602),"",REPORTS!L1602)</f>
        <v>261832.98277969737</v>
      </c>
      <c r="G2002" s="1324">
        <f>+IF(ISBLANK(REPORTS!M1602),"",REPORTS!M1602)</f>
        <v>1694559.5824474189</v>
      </c>
      <c r="H2002" s="1324">
        <f>+IF(ISBLANK(REPORTS!N1602),"",REPORTS!N1602)</f>
        <v>216576.1832813283</v>
      </c>
      <c r="I2002" s="1324">
        <f>+IF(ISBLANK(REPORTS!O1602),"",REPORTS!O1602)</f>
        <v>155870.55859463412</v>
      </c>
      <c r="J2002" s="1324">
        <f>+IF(ISBLANK(REPORTS!P1602),"",REPORTS!P1602)</f>
        <v>5816.7921689280947</v>
      </c>
      <c r="K2002" s="1324">
        <f>+IF(ISBLANK(REPORTS!Q1602),"",REPORTS!Q1602)</f>
        <v>0</v>
      </c>
    </row>
    <row r="2003" spans="1:13">
      <c r="A2003" s="1393">
        <v>3</v>
      </c>
      <c r="B2003" s="1324" t="s">
        <v>5265</v>
      </c>
      <c r="C2003" s="1324" t="s">
        <v>2067</v>
      </c>
      <c r="D2003" s="1324">
        <f>+IF(ISBLANK(REPORTS!J1603),"",REPORTS!J1603)</f>
        <v>412366.90327200451</v>
      </c>
      <c r="E2003" s="1324">
        <f>+IF(ISBLANK(REPORTS!K1603),"",REPORTS!K1603)</f>
        <v>208094.43624416357</v>
      </c>
      <c r="F2003" s="1324">
        <f>+IF(ISBLANK(REPORTS!L1603),"",REPORTS!L1603)</f>
        <v>19230.361926945196</v>
      </c>
      <c r="G2003" s="1324">
        <f>+IF(ISBLANK(REPORTS!M1603),"",REPORTS!M1603)</f>
        <v>143258.72703695038</v>
      </c>
      <c r="H2003" s="1324">
        <f>+IF(ISBLANK(REPORTS!N1603),"",REPORTS!N1603)</f>
        <v>22804.485921304073</v>
      </c>
      <c r="I2003" s="1324">
        <f>+IF(ISBLANK(REPORTS!O1603),"",REPORTS!O1603)</f>
        <v>16800.335339523463</v>
      </c>
      <c r="J2003" s="1324">
        <f>+IF(ISBLANK(REPORTS!P1603),"",REPORTS!P1603)</f>
        <v>2178.5568031176826</v>
      </c>
      <c r="K2003" s="1324">
        <f>+IF(ISBLANK(REPORTS!Q1603),"",REPORTS!Q1603)</f>
        <v>0</v>
      </c>
    </row>
    <row r="2004" spans="1:13">
      <c r="A2004" s="1393">
        <v>4</v>
      </c>
      <c r="B2004" s="1324" t="s">
        <v>5268</v>
      </c>
      <c r="C2004" s="1324" t="s">
        <v>4067</v>
      </c>
      <c r="D2004" s="1324">
        <f>+IF(ISBLANK(REPORTS!J1604),"",REPORTS!J1604)</f>
        <v>404510.89845812367</v>
      </c>
      <c r="E2004" s="1324">
        <f>+IF(ISBLANK(REPORTS!K1604),"",REPORTS!K1604)</f>
        <v>234621.59597787241</v>
      </c>
      <c r="F2004" s="1324">
        <f>+IF(ISBLANK(REPORTS!L1604),"",REPORTS!L1604)</f>
        <v>19353.91514451944</v>
      </c>
      <c r="G2004" s="1324">
        <f>+IF(ISBLANK(REPORTS!M1604),"",REPORTS!M1604)</f>
        <v>123719.85635126251</v>
      </c>
      <c r="H2004" s="1324">
        <f>+IF(ISBLANK(REPORTS!N1604),"",REPORTS!N1604)</f>
        <v>15444.783651773057</v>
      </c>
      <c r="I2004" s="1324">
        <f>+IF(ISBLANK(REPORTS!O1604),"",REPORTS!O1604)</f>
        <v>11083.95209567625</v>
      </c>
      <c r="J2004" s="1324">
        <f>+IF(ISBLANK(REPORTS!P1604),"",REPORTS!P1604)</f>
        <v>286.79523702016155</v>
      </c>
      <c r="K2004" s="1324">
        <f>+IF(ISBLANK(REPORTS!Q1604),"",REPORTS!Q1604)</f>
        <v>0</v>
      </c>
    </row>
    <row r="2005" spans="1:13">
      <c r="A2005" s="1393">
        <v>5</v>
      </c>
      <c r="B2005" s="1324" t="s">
        <v>5239</v>
      </c>
      <c r="C2005" s="1324" t="s">
        <v>4067</v>
      </c>
      <c r="D2005" s="1324">
        <f>+IF(ISBLANK(REPORTS!J1605),"",REPORTS!J1605)</f>
        <v>439107.84010056313</v>
      </c>
      <c r="E2005" s="1324">
        <f>+IF(ISBLANK(REPORTS!K1605),"",REPORTS!K1605)</f>
        <v>254688.27327888648</v>
      </c>
      <c r="F2005" s="1324">
        <f>+IF(ISBLANK(REPORTS!L1605),"",REPORTS!L1605)</f>
        <v>21009.213618206883</v>
      </c>
      <c r="G2005" s="1324">
        <f>+IF(ISBLANK(REPORTS!M1605),"",REPORTS!M1605)</f>
        <v>134301.34789206149</v>
      </c>
      <c r="H2005" s="1324">
        <f>+IF(ISBLANK(REPORTS!N1605),"",REPORTS!N1605)</f>
        <v>16765.742569610011</v>
      </c>
      <c r="I2005" s="1324">
        <f>+IF(ISBLANK(REPORTS!O1605),"",REPORTS!O1605)</f>
        <v>12031.938528880852</v>
      </c>
      <c r="J2005" s="1324">
        <f>+IF(ISBLANK(REPORTS!P1605),"",REPORTS!P1605)</f>
        <v>311.32421291756452</v>
      </c>
      <c r="K2005" s="1324">
        <f>+IF(ISBLANK(REPORTS!Q1605),"",REPORTS!Q1605)</f>
        <v>0</v>
      </c>
    </row>
    <row r="2006" spans="1:13">
      <c r="A2006" s="1393">
        <v>6</v>
      </c>
      <c r="B2006" s="1324" t="s">
        <v>5240</v>
      </c>
      <c r="C2006" s="1324" t="s">
        <v>4067</v>
      </c>
      <c r="D2006" s="1324">
        <f>+IF(ISBLANK(REPORTS!J1606),"",REPORTS!J1606)</f>
        <v>1529952.1492352316</v>
      </c>
      <c r="E2006" s="1324">
        <f>+IF(ISBLANK(REPORTS!K1606),"",REPORTS!K1606)</f>
        <v>952266.71539560205</v>
      </c>
      <c r="F2006" s="1324">
        <f>+IF(ISBLANK(REPORTS!L1606),"",REPORTS!L1606)</f>
        <v>67727.597140406797</v>
      </c>
      <c r="G2006" s="1324">
        <f>+IF(ISBLANK(REPORTS!M1606),"",REPORTS!M1606)</f>
        <v>453478.55019899976</v>
      </c>
      <c r="H2006" s="1324">
        <f>+IF(ISBLANK(REPORTS!N1606),"",REPORTS!N1606)</f>
        <v>47696.825800397171</v>
      </c>
      <c r="I2006" s="1324">
        <f>+IF(ISBLANK(REPORTS!O1606),"",REPORTS!O1606)</f>
        <v>3.2566463467664508E-2</v>
      </c>
      <c r="J2006" s="1324">
        <f>+IF(ISBLANK(REPORTS!P1606),"",REPORTS!P1606)</f>
        <v>8782.4281333630515</v>
      </c>
      <c r="K2006" s="1324">
        <f>+IF(ISBLANK(REPORTS!Q1606),"",REPORTS!Q1606)</f>
        <v>0</v>
      </c>
    </row>
    <row r="2007" spans="1:13">
      <c r="A2007" s="1393">
        <v>7</v>
      </c>
      <c r="B2007" s="1324" t="s">
        <v>5241</v>
      </c>
      <c r="C2007" s="1324" t="s">
        <v>4067</v>
      </c>
      <c r="D2007" s="1324">
        <f>+IF(ISBLANK(REPORTS!J1607),"",REPORTS!J1607)</f>
        <v>672570.78032622824</v>
      </c>
      <c r="E2007" s="1324">
        <f>+IF(ISBLANK(REPORTS!K1607),"",REPORTS!K1607)</f>
        <v>490730.01189993619</v>
      </c>
      <c r="F2007" s="1324">
        <f>+IF(ISBLANK(REPORTS!L1607),"",REPORTS!L1607)</f>
        <v>39513.505100592331</v>
      </c>
      <c r="G2007" s="1324">
        <f>+IF(ISBLANK(REPORTS!M1607),"",REPORTS!M1607)</f>
        <v>139894.28681432331</v>
      </c>
      <c r="H2007" s="1324">
        <f>+IF(ISBLANK(REPORTS!N1607),"",REPORTS!N1607)</f>
        <v>0</v>
      </c>
      <c r="I2007" s="1324">
        <f>+IF(ISBLANK(REPORTS!O1607),"",REPORTS!O1607)</f>
        <v>0</v>
      </c>
      <c r="J2007" s="1324">
        <f>+IF(ISBLANK(REPORTS!P1607),"",REPORTS!P1607)</f>
        <v>2432.9765113764529</v>
      </c>
      <c r="K2007" s="1324">
        <f>+IF(ISBLANK(REPORTS!Q1607),"",REPORTS!Q1607)</f>
        <v>0</v>
      </c>
    </row>
    <row r="2008" spans="1:13">
      <c r="A2008" s="1393">
        <v>8</v>
      </c>
      <c r="B2008" s="1324" t="s">
        <v>5242</v>
      </c>
      <c r="C2008" s="1324" t="s">
        <v>4071</v>
      </c>
      <c r="D2008" s="1324">
        <f>+IF(ISBLANK(REPORTS!J1608),"",REPORTS!J1608)</f>
        <v>656038.10108533443</v>
      </c>
      <c r="E2008" s="1324">
        <f>+IF(ISBLANK(REPORTS!K1608),"",REPORTS!K1608)</f>
        <v>213717.06460338531</v>
      </c>
      <c r="F2008" s="1324">
        <f>+IF(ISBLANK(REPORTS!L1608),"",REPORTS!L1608)</f>
        <v>37543.181893040914</v>
      </c>
      <c r="G2008" s="1324">
        <f>+IF(ISBLANK(REPORTS!M1608),"",REPORTS!M1608)</f>
        <v>20253.783097497806</v>
      </c>
      <c r="H2008" s="1324">
        <f>+IF(ISBLANK(REPORTS!N1608),"",REPORTS!N1608)</f>
        <v>1448.6370758361161</v>
      </c>
      <c r="I2008" s="1324">
        <f>+IF(ISBLANK(REPORTS!O1608),"",REPORTS!O1608)</f>
        <v>1580.5238608036877</v>
      </c>
      <c r="J2008" s="1324">
        <f>+IF(ISBLANK(REPORTS!P1608),"",REPORTS!P1608)</f>
        <v>336.22588027792466</v>
      </c>
      <c r="K2008" s="1324">
        <f>+IF(ISBLANK(REPORTS!Q1608),"",REPORTS!Q1608)</f>
        <v>381158.68467449257</v>
      </c>
    </row>
    <row r="2009" spans="1:13">
      <c r="A2009" s="1393">
        <v>9</v>
      </c>
      <c r="B2009" s="1324" t="s">
        <v>5244</v>
      </c>
      <c r="C2009" s="1324" t="s">
        <v>4071</v>
      </c>
      <c r="D2009" s="1366">
        <f>+IF(ISBLANK(REPORTS!J1609),"",REPORTS!J1609)</f>
        <v>200427.25066920705</v>
      </c>
      <c r="E2009" s="1366">
        <f>+IF(ISBLANK(REPORTS!K1609),"",REPORTS!K1609)</f>
        <v>178758.42214869801</v>
      </c>
      <c r="F2009" s="1366">
        <f>+IF(ISBLANK(REPORTS!L1609),"",REPORTS!L1609)</f>
        <v>17329.019809418754</v>
      </c>
      <c r="G2009" s="1366">
        <f>+IF(ISBLANK(REPORTS!M1609),"",REPORTS!M1609)</f>
        <v>4267.9898972659748</v>
      </c>
      <c r="H2009" s="1366">
        <f>+IF(ISBLANK(REPORTS!N1609),"",REPORTS!N1609)</f>
        <v>14.410247433997188</v>
      </c>
      <c r="I2009" s="1366">
        <f>+IF(ISBLANK(REPORTS!O1609),"",REPORTS!O1609)</f>
        <v>2.5566568028059531</v>
      </c>
      <c r="J2009" s="1366">
        <f>+IF(ISBLANK(REPORTS!P1609),"",REPORTS!P1609)</f>
        <v>54.85190958747318</v>
      </c>
      <c r="K2009" s="1366">
        <f>+IF(ISBLANK(REPORTS!Q1609),"",REPORTS!Q1609)</f>
        <v>0</v>
      </c>
      <c r="L2009" s="1358"/>
    </row>
    <row r="2010" spans="1:13">
      <c r="A2010" s="1393">
        <v>10</v>
      </c>
      <c r="B2010" s="1324" t="s">
        <v>5182</v>
      </c>
      <c r="D2010" s="1366">
        <f>+IF(ISBLANK(REPORTS!J1610),"",REPORTS!J1610)</f>
        <v>9798150.3421429694</v>
      </c>
      <c r="E2010" s="1366">
        <f>+IF(ISBLANK(REPORTS!K1610),"",REPORTS!K1610)</f>
        <v>5681396.8392728139</v>
      </c>
      <c r="F2010" s="1366">
        <f>+IF(ISBLANK(REPORTS!L1610),"",REPORTS!L1610)</f>
        <v>483539.77741282765</v>
      </c>
      <c r="G2010" s="1366">
        <f>+IF(ISBLANK(REPORTS!M1610),"",REPORTS!M1610)</f>
        <v>2713734.1237357799</v>
      </c>
      <c r="H2010" s="1366">
        <f>+IF(ISBLANK(REPORTS!N1610),"",REPORTS!N1610)</f>
        <v>320751.06854768272</v>
      </c>
      <c r="I2010" s="1366">
        <f>+IF(ISBLANK(REPORTS!O1610),"",REPORTS!O1610)</f>
        <v>197369.89764278464</v>
      </c>
      <c r="J2010" s="1366">
        <f>+IF(ISBLANK(REPORTS!P1610),"",REPORTS!P1610)</f>
        <v>20199.950856588403</v>
      </c>
      <c r="K2010" s="1366">
        <f>+IF(ISBLANK(REPORTS!Q1610),"",REPORTS!Q1610)</f>
        <v>381158.68467449257</v>
      </c>
      <c r="L2010" s="1358"/>
    </row>
    <row r="2011" spans="1:13">
      <c r="A2011" s="1393">
        <v>11</v>
      </c>
      <c r="D2011" s="1324" t="str">
        <f>+IF(ISBLANK(REPORTS!J1611),"",REPORTS!J1611)</f>
        <v/>
      </c>
      <c r="E2011" s="1324" t="str">
        <f>+IF(ISBLANK(REPORTS!K1611),"",REPORTS!K1611)</f>
        <v/>
      </c>
      <c r="F2011" s="1324" t="str">
        <f>+IF(ISBLANK(REPORTS!L1611),"",REPORTS!L1611)</f>
        <v/>
      </c>
      <c r="G2011" s="1324" t="str">
        <f>+IF(ISBLANK(REPORTS!M1611),"",REPORTS!M1611)</f>
        <v/>
      </c>
      <c r="H2011" s="1324" t="str">
        <f>+IF(ISBLANK(REPORTS!N1611),"",REPORTS!N1611)</f>
        <v/>
      </c>
      <c r="I2011" s="1324" t="str">
        <f>+IF(ISBLANK(REPORTS!O1611),"",REPORTS!O1611)</f>
        <v/>
      </c>
      <c r="J2011" s="1324" t="str">
        <f>+IF(ISBLANK(REPORTS!P1611),"",REPORTS!P1611)</f>
        <v/>
      </c>
      <c r="K2011" s="1324" t="str">
        <f>+IF(ISBLANK(REPORTS!Q1611),"",REPORTS!Q1611)</f>
        <v/>
      </c>
    </row>
    <row r="2012" spans="1:13">
      <c r="A2012" s="1393">
        <v>12</v>
      </c>
      <c r="B2012" s="1362" t="s">
        <v>5924</v>
      </c>
      <c r="D2012" s="1526">
        <f>+IF(ISBLANK(REPORTS!J1612),"",REPORTS!J1612)</f>
        <v>7.37</v>
      </c>
      <c r="E2012" s="1526">
        <f>+IF(ISBLANK(REPORTS!K1612),"",REPORTS!K1612)</f>
        <v>7.37</v>
      </c>
      <c r="F2012" s="1526">
        <f>+IF(ISBLANK(REPORTS!L1612),"",REPORTS!L1612)</f>
        <v>7.37</v>
      </c>
      <c r="G2012" s="1526">
        <f>+IF(ISBLANK(REPORTS!M1612),"",REPORTS!M1612)</f>
        <v>7.37</v>
      </c>
      <c r="H2012" s="1526">
        <f>+IF(ISBLANK(REPORTS!N1612),"",REPORTS!N1612)</f>
        <v>7.37</v>
      </c>
      <c r="I2012" s="1526">
        <f>+IF(ISBLANK(REPORTS!O1612),"",REPORTS!O1612)</f>
        <v>7.37</v>
      </c>
      <c r="J2012" s="1526">
        <f>+IF(ISBLANK(REPORTS!P1612),"",REPORTS!P1612)</f>
        <v>7.37</v>
      </c>
      <c r="K2012" s="1526">
        <f>+IF(ISBLANK(REPORTS!Q1612),"",REPORTS!Q1612)</f>
        <v>7.37</v>
      </c>
      <c r="L2012" s="1389"/>
      <c r="M2012" s="1324"/>
    </row>
    <row r="2013" spans="1:13">
      <c r="A2013" s="1393">
        <v>13</v>
      </c>
      <c r="B2013" s="907"/>
      <c r="C2013" s="907"/>
      <c r="D2013" s="907" t="str">
        <f>+IF(ISBLANK(REPORTS!J1613),"",REPORTS!J1613)</f>
        <v/>
      </c>
      <c r="E2013" s="907" t="str">
        <f>+IF(ISBLANK(REPORTS!K1613),"",REPORTS!K1613)</f>
        <v/>
      </c>
      <c r="F2013" s="907" t="str">
        <f>+IF(ISBLANK(REPORTS!L1613),"",REPORTS!L1613)</f>
        <v/>
      </c>
      <c r="G2013" s="907" t="str">
        <f>+IF(ISBLANK(REPORTS!M1613),"",REPORTS!M1613)</f>
        <v/>
      </c>
      <c r="H2013" s="907" t="str">
        <f>+IF(ISBLANK(REPORTS!N1613),"",REPORTS!N1613)</f>
        <v/>
      </c>
      <c r="I2013" s="907" t="str">
        <f>+IF(ISBLANK(REPORTS!O1613),"",REPORTS!O1613)</f>
        <v/>
      </c>
      <c r="J2013" s="907" t="str">
        <f>+IF(ISBLANK(REPORTS!P1613),"",REPORTS!P1613)</f>
        <v/>
      </c>
      <c r="K2013" s="907" t="str">
        <f>+IF(ISBLANK(REPORTS!Q1613),"",REPORTS!Q1613)</f>
        <v/>
      </c>
      <c r="L2013" s="907"/>
      <c r="M2013" s="907"/>
    </row>
    <row r="2014" spans="1:13">
      <c r="A2014" s="1393">
        <v>14</v>
      </c>
      <c r="B2014" s="1362" t="s">
        <v>5926</v>
      </c>
      <c r="D2014" s="1324" t="str">
        <f>+IF(ISBLANK(REPORTS!J1614),"",REPORTS!J1614)</f>
        <v/>
      </c>
      <c r="E2014" s="1324" t="str">
        <f>+IF(ISBLANK(REPORTS!K1614),"",REPORTS!K1614)</f>
        <v/>
      </c>
      <c r="F2014" s="1324" t="str">
        <f>+IF(ISBLANK(REPORTS!L1614),"",REPORTS!L1614)</f>
        <v/>
      </c>
      <c r="G2014" s="1324" t="str">
        <f>+IF(ISBLANK(REPORTS!M1614),"",REPORTS!M1614)</f>
        <v/>
      </c>
      <c r="H2014" s="1324" t="str">
        <f>+IF(ISBLANK(REPORTS!N1614),"",REPORTS!N1614)</f>
        <v/>
      </c>
      <c r="I2014" s="1324" t="str">
        <f>+IF(ISBLANK(REPORTS!O1614),"",REPORTS!O1614)</f>
        <v/>
      </c>
      <c r="J2014" s="1324" t="str">
        <f>+IF(ISBLANK(REPORTS!P1614),"",REPORTS!P1614)</f>
        <v/>
      </c>
      <c r="K2014" s="1324" t="str">
        <f>+IF(ISBLANK(REPORTS!Q1614),"",REPORTS!Q1614)</f>
        <v/>
      </c>
    </row>
    <row r="2015" spans="1:13">
      <c r="A2015" s="1393">
        <v>15</v>
      </c>
      <c r="B2015" s="1324" t="s">
        <v>5265</v>
      </c>
      <c r="C2015" s="1324" t="s">
        <v>4067</v>
      </c>
      <c r="D2015" s="1324">
        <f>+IF(ISBLANK(REPORTS!J1615),"",REPORTS!J1615)</f>
        <v>404110.10208002559</v>
      </c>
      <c r="E2015" s="1324">
        <f>+IF(ISBLANK(REPORTS!K1615),"",REPORTS!K1615)</f>
        <v>232045.94756367867</v>
      </c>
      <c r="F2015" s="1324">
        <f>+IF(ISBLANK(REPORTS!L1615),"",REPORTS!L1615)</f>
        <v>19297.090830863697</v>
      </c>
      <c r="G2015" s="1324">
        <f>+IF(ISBLANK(REPORTS!M1615),"",REPORTS!M1615)</f>
        <v>124889.04122637479</v>
      </c>
      <c r="H2015" s="1324">
        <f>+IF(ISBLANK(REPORTS!N1615),"",REPORTS!N1615)</f>
        <v>15961.664707833896</v>
      </c>
      <c r="I2015" s="1324">
        <f>+IF(ISBLANK(REPORTS!O1615),"",REPORTS!O1615)</f>
        <v>11487.660168424534</v>
      </c>
      <c r="J2015" s="1324">
        <f>+IF(ISBLANK(REPORTS!P1615),"",REPORTS!P1615)</f>
        <v>428.69758285000063</v>
      </c>
      <c r="K2015" s="1324">
        <f>+IF(ISBLANK(REPORTS!Q1615),"",REPORTS!Q1615)</f>
        <v>0</v>
      </c>
    </row>
    <row r="2016" spans="1:13">
      <c r="A2016" s="1393">
        <v>16</v>
      </c>
      <c r="B2016" s="1324" t="s">
        <v>5265</v>
      </c>
      <c r="C2016" s="1324" t="s">
        <v>2067</v>
      </c>
      <c r="D2016" s="1364">
        <f>+IF(ISBLANK(REPORTS!J1616),"",REPORTS!J1616)</f>
        <v>30391.440771146732</v>
      </c>
      <c r="E2016" s="1364">
        <f>+IF(ISBLANK(REPORTS!K1616),"",REPORTS!K1616)</f>
        <v>15336.559951194855</v>
      </c>
      <c r="F2016" s="1364">
        <f>+IF(ISBLANK(REPORTS!L1616),"",REPORTS!L1616)</f>
        <v>1417.2776740158608</v>
      </c>
      <c r="G2016" s="1364">
        <f>+IF(ISBLANK(REPORTS!M1616),"",REPORTS!M1616)</f>
        <v>10558.168182623245</v>
      </c>
      <c r="H2016" s="1364">
        <f>+IF(ISBLANK(REPORTS!N1616),"",REPORTS!N1616)</f>
        <v>1680.69061240011</v>
      </c>
      <c r="I2016" s="1364">
        <f>+IF(ISBLANK(REPORTS!O1616),"",REPORTS!O1616)</f>
        <v>1238.1847145228792</v>
      </c>
      <c r="J2016" s="1364">
        <f>+IF(ISBLANK(REPORTS!P1616),"",REPORTS!P1616)</f>
        <v>160.5596363897732</v>
      </c>
      <c r="K2016" s="1364">
        <f>+IF(ISBLANK(REPORTS!Q1616),"",REPORTS!Q1616)</f>
        <v>0</v>
      </c>
      <c r="L2016" s="1358"/>
    </row>
    <row r="2017" spans="1:13">
      <c r="A2017" s="1393">
        <v>17</v>
      </c>
      <c r="B2017" s="1324" t="s">
        <v>5268</v>
      </c>
      <c r="C2017" s="1324" t="s">
        <v>4067</v>
      </c>
      <c r="D2017" s="1364">
        <f>+IF(ISBLANK(REPORTS!J1617),"",REPORTS!J1617)</f>
        <v>29812.453216363712</v>
      </c>
      <c r="E2017" s="1364">
        <f>+IF(ISBLANK(REPORTS!K1617),"",REPORTS!K1617)</f>
        <v>17291.611623569195</v>
      </c>
      <c r="F2017" s="1364">
        <f>+IF(ISBLANK(REPORTS!L1617),"",REPORTS!L1617)</f>
        <v>1426.3835461510828</v>
      </c>
      <c r="G2017" s="1364">
        <f>+IF(ISBLANK(REPORTS!M1617),"",REPORTS!M1617)</f>
        <v>9118.1534130880464</v>
      </c>
      <c r="H2017" s="1364">
        <f>+IF(ISBLANK(REPORTS!N1617),"",REPORTS!N1617)</f>
        <v>1138.2805551356744</v>
      </c>
      <c r="I2017" s="1364">
        <f>+IF(ISBLANK(REPORTS!O1617),"",REPORTS!O1617)</f>
        <v>816.88726945133965</v>
      </c>
      <c r="J2017" s="1364">
        <f>+IF(ISBLANK(REPORTS!P1617),"",REPORTS!P1617)</f>
        <v>21.136808968385907</v>
      </c>
      <c r="K2017" s="1364">
        <f>+IF(ISBLANK(REPORTS!Q1617),"",REPORTS!Q1617)</f>
        <v>0</v>
      </c>
      <c r="L2017" s="1358"/>
    </row>
    <row r="2018" spans="1:13">
      <c r="A2018" s="1393">
        <v>18</v>
      </c>
      <c r="B2018" s="1324" t="s">
        <v>5239</v>
      </c>
      <c r="C2018" s="1324" t="s">
        <v>4067</v>
      </c>
      <c r="D2018" s="1364">
        <f>+IF(ISBLANK(REPORTS!J1618),"",REPORTS!J1618)</f>
        <v>32362.247815411505</v>
      </c>
      <c r="E2018" s="1364">
        <f>+IF(ISBLANK(REPORTS!K1618),"",REPORTS!K1618)</f>
        <v>18770.525740653931</v>
      </c>
      <c r="F2018" s="1364">
        <f>+IF(ISBLANK(REPORTS!L1618),"",REPORTS!L1618)</f>
        <v>1548.3790436618472</v>
      </c>
      <c r="G2018" s="1364">
        <f>+IF(ISBLANK(REPORTS!M1618),"",REPORTS!M1618)</f>
        <v>9898.009339644932</v>
      </c>
      <c r="H2018" s="1364">
        <f>+IF(ISBLANK(REPORTS!N1618),"",REPORTS!N1618)</f>
        <v>1235.6352273802579</v>
      </c>
      <c r="I2018" s="1364">
        <f>+IF(ISBLANK(REPORTS!O1618),"",REPORTS!O1618)</f>
        <v>886.75386957851879</v>
      </c>
      <c r="J2018" s="1364">
        <f>+IF(ISBLANK(REPORTS!P1618),"",REPORTS!P1618)</f>
        <v>22.944594492024507</v>
      </c>
      <c r="K2018" s="1364">
        <f>+IF(ISBLANK(REPORTS!Q1618),"",REPORTS!Q1618)</f>
        <v>0</v>
      </c>
      <c r="L2018" s="1358"/>
    </row>
    <row r="2019" spans="1:13">
      <c r="A2019" s="1393">
        <v>19</v>
      </c>
      <c r="B2019" s="1324" t="s">
        <v>5240</v>
      </c>
      <c r="C2019" s="1324" t="s">
        <v>4067</v>
      </c>
      <c r="D2019" s="1364">
        <f>+IF(ISBLANK(REPORTS!J1619),"",REPORTS!J1619)</f>
        <v>112757.47339863656</v>
      </c>
      <c r="E2019" s="1364">
        <f>+IF(ISBLANK(REPORTS!K1619),"",REPORTS!K1619)</f>
        <v>70182.056924655873</v>
      </c>
      <c r="F2019" s="1364">
        <f>+IF(ISBLANK(REPORTS!L1619),"",REPORTS!L1619)</f>
        <v>4991.5239092479806</v>
      </c>
      <c r="G2019" s="1364">
        <f>+IF(ISBLANK(REPORTS!M1619),"",REPORTS!M1619)</f>
        <v>33421.369149666287</v>
      </c>
      <c r="H2019" s="1364">
        <f>+IF(ISBLANK(REPORTS!N1619),"",REPORTS!N1619)</f>
        <v>3515.2560614892718</v>
      </c>
      <c r="I2019" s="1364">
        <f>+IF(ISBLANK(REPORTS!O1619),"",REPORTS!O1619)</f>
        <v>2.4001483575668741E-3</v>
      </c>
      <c r="J2019" s="1364">
        <f>+IF(ISBLANK(REPORTS!P1619),"",REPORTS!P1619)</f>
        <v>647.26495342885687</v>
      </c>
      <c r="K2019" s="1364">
        <f>+IF(ISBLANK(REPORTS!Q1619),"",REPORTS!Q1619)</f>
        <v>0</v>
      </c>
      <c r="L2019" s="1358"/>
    </row>
    <row r="2020" spans="1:13">
      <c r="A2020" s="1393">
        <v>20</v>
      </c>
      <c r="B2020" s="1324" t="s">
        <v>5241</v>
      </c>
      <c r="C2020" s="1324" t="s">
        <v>4067</v>
      </c>
      <c r="D2020" s="1364">
        <f>+IF(ISBLANK(REPORTS!J1620),"",REPORTS!J1620)</f>
        <v>49568.466510043021</v>
      </c>
      <c r="E2020" s="1364">
        <f>+IF(ISBLANK(REPORTS!K1620),"",REPORTS!K1620)</f>
        <v>36166.801877025297</v>
      </c>
      <c r="F2020" s="1364">
        <f>+IF(ISBLANK(REPORTS!L1620),"",REPORTS!L1620)</f>
        <v>2912.1453259136547</v>
      </c>
      <c r="G2020" s="1364">
        <f>+IF(ISBLANK(REPORTS!M1620),"",REPORTS!M1620)</f>
        <v>10310.208938215628</v>
      </c>
      <c r="H2020" s="1364">
        <f>+IF(ISBLANK(REPORTS!N1620),"",REPORTS!N1620)</f>
        <v>0</v>
      </c>
      <c r="I2020" s="1364">
        <f>+IF(ISBLANK(REPORTS!O1620),"",REPORTS!O1620)</f>
        <v>0</v>
      </c>
      <c r="J2020" s="1364">
        <f>+IF(ISBLANK(REPORTS!P1620),"",REPORTS!P1620)</f>
        <v>179.31036888844457</v>
      </c>
      <c r="K2020" s="1364">
        <f>+IF(ISBLANK(REPORTS!Q1620),"",REPORTS!Q1620)</f>
        <v>0</v>
      </c>
      <c r="L2020" s="1358"/>
    </row>
    <row r="2021" spans="1:13">
      <c r="A2021" s="1393">
        <v>21</v>
      </c>
      <c r="B2021" s="1324" t="s">
        <v>5242</v>
      </c>
      <c r="C2021" s="1324" t="s">
        <v>4071</v>
      </c>
      <c r="D2021" s="1364">
        <f>+IF(ISBLANK(REPORTS!J1621),"",REPORTS!J1621)</f>
        <v>48350.008049989148</v>
      </c>
      <c r="E2021" s="1364">
        <f>+IF(ISBLANK(REPORTS!K1621),"",REPORTS!K1621)</f>
        <v>15750.947661269498</v>
      </c>
      <c r="F2021" s="1364">
        <f>+IF(ISBLANK(REPORTS!L1621),"",REPORTS!L1621)</f>
        <v>2766.9325055171153</v>
      </c>
      <c r="G2021" s="1364">
        <f>+IF(ISBLANK(REPORTS!M1621),"",REPORTS!M1621)</f>
        <v>1492.7038142855884</v>
      </c>
      <c r="H2021" s="1364">
        <f>+IF(ISBLANK(REPORTS!N1621),"",REPORTS!N1621)</f>
        <v>106.76455248912175</v>
      </c>
      <c r="I2021" s="1364">
        <f>+IF(ISBLANK(REPORTS!O1621),"",REPORTS!O1621)</f>
        <v>116.48460854123179</v>
      </c>
      <c r="J2021" s="1364">
        <f>+IF(ISBLANK(REPORTS!P1621),"",REPORTS!P1621)</f>
        <v>24.779847376483048</v>
      </c>
      <c r="K2021" s="1364">
        <f>+IF(ISBLANK(REPORTS!Q1621),"",REPORTS!Q1621)</f>
        <v>28091.395060510105</v>
      </c>
      <c r="L2021" s="1358"/>
    </row>
    <row r="2022" spans="1:13">
      <c r="A2022" s="1393">
        <v>22</v>
      </c>
      <c r="B2022" s="1324" t="s">
        <v>5244</v>
      </c>
      <c r="C2022" s="1324" t="s">
        <v>4071</v>
      </c>
      <c r="D2022" s="1366">
        <f>+IF(ISBLANK(REPORTS!J1622),"",REPORTS!J1622)</f>
        <v>14771.488374320559</v>
      </c>
      <c r="E2022" s="1366">
        <f>+IF(ISBLANK(REPORTS!K1622),"",REPORTS!K1622)</f>
        <v>13174.495712359043</v>
      </c>
      <c r="F2022" s="1366">
        <f>+IF(ISBLANK(REPORTS!L1622),"",REPORTS!L1622)</f>
        <v>1277.1487599541622</v>
      </c>
      <c r="G2022" s="1366">
        <f>+IF(ISBLANK(REPORTS!M1622),"",REPORTS!M1622)</f>
        <v>314.55085542850236</v>
      </c>
      <c r="H2022" s="1366">
        <f>+IF(ISBLANK(REPORTS!N1622),"",REPORTS!N1622)</f>
        <v>1.0620352358855927</v>
      </c>
      <c r="I2022" s="1366">
        <f>+IF(ISBLANK(REPORTS!O1622),"",REPORTS!O1622)</f>
        <v>0.18842560636679873</v>
      </c>
      <c r="J2022" s="1366">
        <f>+IF(ISBLANK(REPORTS!P1622),"",REPORTS!P1622)</f>
        <v>4.0425857365967737</v>
      </c>
      <c r="K2022" s="1366">
        <f>+IF(ISBLANK(REPORTS!Q1622),"",REPORTS!Q1622)</f>
        <v>0</v>
      </c>
      <c r="L2022" s="1358"/>
    </row>
    <row r="2023" spans="1:13">
      <c r="A2023" s="1393">
        <v>23</v>
      </c>
      <c r="B2023" s="1324" t="s">
        <v>5935</v>
      </c>
      <c r="D2023" s="1366">
        <f>+IF(ISBLANK(REPORTS!J1623),"",REPORTS!J1623)</f>
        <v>722123.68021593685</v>
      </c>
      <c r="E2023" s="1366">
        <f>+IF(ISBLANK(REPORTS!K1623),"",REPORTS!K1623)</f>
        <v>418718.94705440634</v>
      </c>
      <c r="F2023" s="1366">
        <f>+IF(ISBLANK(REPORTS!L1623),"",REPORTS!L1623)</f>
        <v>35636.881595325402</v>
      </c>
      <c r="G2023" s="1366">
        <f>+IF(ISBLANK(REPORTS!M1623),"",REPORTS!M1623)</f>
        <v>200002.20491932699</v>
      </c>
      <c r="H2023" s="1366">
        <f>+IF(ISBLANK(REPORTS!N1623),"",REPORTS!N1623)</f>
        <v>23639.35375196422</v>
      </c>
      <c r="I2023" s="1366">
        <f>+IF(ISBLANK(REPORTS!O1623),"",REPORTS!O1623)</f>
        <v>14546.161456273228</v>
      </c>
      <c r="J2023" s="1366">
        <f>+IF(ISBLANK(REPORTS!P1623),"",REPORTS!P1623)</f>
        <v>1488.7363781305655</v>
      </c>
      <c r="K2023" s="1366">
        <f>+IF(ISBLANK(REPORTS!Q1623),"",REPORTS!Q1623)</f>
        <v>28091.395060510105</v>
      </c>
      <c r="L2023" s="1358"/>
    </row>
    <row r="2024" spans="1:13">
      <c r="A2024" s="1393">
        <v>24</v>
      </c>
      <c r="D2024" s="1324" t="str">
        <f>+IF(ISBLANK(REPORTS!J1624),"",REPORTS!J1624)</f>
        <v/>
      </c>
      <c r="E2024" s="1324" t="str">
        <f>+IF(ISBLANK(REPORTS!K1624),"",REPORTS!K1624)</f>
        <v/>
      </c>
      <c r="F2024" s="1324" t="str">
        <f>+IF(ISBLANK(REPORTS!L1624),"",REPORTS!L1624)</f>
        <v/>
      </c>
      <c r="G2024" s="1324" t="str">
        <f>+IF(ISBLANK(REPORTS!M1624),"",REPORTS!M1624)</f>
        <v/>
      </c>
      <c r="H2024" s="1324" t="str">
        <f>+IF(ISBLANK(REPORTS!N1624),"",REPORTS!N1624)</f>
        <v/>
      </c>
      <c r="I2024" s="1324" t="str">
        <f>+IF(ISBLANK(REPORTS!O1624),"",REPORTS!O1624)</f>
        <v/>
      </c>
      <c r="J2024" s="1324" t="str">
        <f>+IF(ISBLANK(REPORTS!P1624),"",REPORTS!P1624)</f>
        <v/>
      </c>
      <c r="K2024" s="1324" t="str">
        <f>+IF(ISBLANK(REPORTS!Q1624),"",REPORTS!Q1624)</f>
        <v/>
      </c>
    </row>
    <row r="2025" spans="1:13">
      <c r="A2025" s="1393">
        <v>25</v>
      </c>
      <c r="B2025" s="1362" t="s">
        <v>5937</v>
      </c>
      <c r="D2025" s="1324" t="str">
        <f>+IF(ISBLANK(REPORTS!J1625),"",REPORTS!J1625)</f>
        <v/>
      </c>
      <c r="E2025" s="1324" t="str">
        <f>+IF(ISBLANK(REPORTS!K1625),"",REPORTS!K1625)</f>
        <v/>
      </c>
      <c r="F2025" s="1324" t="str">
        <f>+IF(ISBLANK(REPORTS!L1625),"",REPORTS!L1625)</f>
        <v/>
      </c>
      <c r="G2025" s="1324" t="str">
        <f>+IF(ISBLANK(REPORTS!M1625),"",REPORTS!M1625)</f>
        <v/>
      </c>
      <c r="H2025" s="1324" t="str">
        <f>+IF(ISBLANK(REPORTS!N1625),"",REPORTS!N1625)</f>
        <v/>
      </c>
      <c r="I2025" s="1324" t="str">
        <f>+IF(ISBLANK(REPORTS!O1625),"",REPORTS!O1625)</f>
        <v/>
      </c>
      <c r="J2025" s="1324" t="str">
        <f>+IF(ISBLANK(REPORTS!P1625),"",REPORTS!P1625)</f>
        <v/>
      </c>
      <c r="K2025" s="1324" t="str">
        <f>+IF(ISBLANK(REPORTS!Q1625),"",REPORTS!Q1625)</f>
        <v/>
      </c>
    </row>
    <row r="2026" spans="1:13">
      <c r="A2026" s="1393">
        <v>26</v>
      </c>
      <c r="B2026" s="1324" t="s">
        <v>5265</v>
      </c>
      <c r="C2026" s="1324" t="s">
        <v>4067</v>
      </c>
      <c r="D2026" s="1324">
        <f>+IF(ISBLANK(REPORTS!J1626),"",REPORTS!J1626)</f>
        <v>-68582.838555723458</v>
      </c>
      <c r="E2026" s="1324">
        <f>+IF(ISBLANK(REPORTS!K1626),"",REPORTS!K1626)</f>
        <v>-39381.271780526127</v>
      </c>
      <c r="F2026" s="1324">
        <f>+IF(ISBLANK(REPORTS!L1626),"",REPORTS!L1626)</f>
        <v>-3274.9719896538863</v>
      </c>
      <c r="G2026" s="1324">
        <f>+IF(ISBLANK(REPORTS!M1626),"",REPORTS!M1626)</f>
        <v>-21195.325006033596</v>
      </c>
      <c r="H2026" s="1324">
        <f>+IF(ISBLANK(REPORTS!N1626),"",REPORTS!N1626)</f>
        <v>-2708.9059840458522</v>
      </c>
      <c r="I2026" s="1324">
        <f>+IF(ISBLANK(REPORTS!O1626),"",REPORTS!O1626)</f>
        <v>-1949.6081356512495</v>
      </c>
      <c r="J2026" s="1324">
        <f>+IF(ISBLANK(REPORTS!P1626),"",REPORTS!P1626)</f>
        <v>-72.755659812751119</v>
      </c>
      <c r="K2026" s="1324">
        <f>+IF(ISBLANK(REPORTS!Q1626),"",REPORTS!Q1626)</f>
        <v>0</v>
      </c>
      <c r="L2026" s="1324"/>
      <c r="M2026" s="1324"/>
    </row>
    <row r="2027" spans="1:13">
      <c r="A2027" s="1393">
        <v>27</v>
      </c>
      <c r="B2027" s="1324" t="s">
        <v>5265</v>
      </c>
      <c r="C2027" s="1324" t="s">
        <v>2067</v>
      </c>
      <c r="D2027" s="1364">
        <f>+IF(ISBLANK(REPORTS!J1627),"",REPORTS!J1627)</f>
        <v>-4743.2198332172475</v>
      </c>
      <c r="E2027" s="1364">
        <f>+IF(ISBLANK(REPORTS!K1627),"",REPORTS!K1627)</f>
        <v>-2393.5908758526421</v>
      </c>
      <c r="F2027" s="1364">
        <f>+IF(ISBLANK(REPORTS!L1627),"",REPORTS!L1627)</f>
        <v>-221.19581704564214</v>
      </c>
      <c r="G2027" s="1364">
        <f>+IF(ISBLANK(REPORTS!M1627),"",REPORTS!M1627)</f>
        <v>-1647.8229217025789</v>
      </c>
      <c r="H2027" s="1364">
        <f>+IF(ISBLANK(REPORTS!N1627),"",REPORTS!N1627)</f>
        <v>-262.30691418245152</v>
      </c>
      <c r="I2027" s="1364">
        <f>+IF(ISBLANK(REPORTS!O1627),"",REPORTS!O1627)</f>
        <v>-193.24461578955797</v>
      </c>
      <c r="J2027" s="1364">
        <f>+IF(ISBLANK(REPORTS!P1627),"",REPORTS!P1627)</f>
        <v>-25.058688644374744</v>
      </c>
      <c r="K2027" s="1364">
        <f>+IF(ISBLANK(REPORTS!Q1627),"",REPORTS!Q1627)</f>
        <v>0</v>
      </c>
      <c r="L2027" s="1364"/>
      <c r="M2027" s="1324"/>
    </row>
    <row r="2028" spans="1:13">
      <c r="A2028" s="1393">
        <v>28</v>
      </c>
      <c r="B2028" s="1324" t="s">
        <v>5268</v>
      </c>
      <c r="C2028" s="1324" t="s">
        <v>4067</v>
      </c>
      <c r="D2028" s="1364">
        <f>+IF(ISBLANK(REPORTS!J1628),"",REPORTS!J1628)</f>
        <v>-1395.9742265307304</v>
      </c>
      <c r="E2028" s="1364">
        <f>+IF(ISBLANK(REPORTS!K1628),"",REPORTS!K1628)</f>
        <v>-809.68325506444262</v>
      </c>
      <c r="F2028" s="1364">
        <f>+IF(ISBLANK(REPORTS!L1628),"",REPORTS!L1628)</f>
        <v>-66.790701628052346</v>
      </c>
      <c r="G2028" s="1364">
        <f>+IF(ISBLANK(REPORTS!M1628),"",REPORTS!M1628)</f>
        <v>-426.95940068553244</v>
      </c>
      <c r="H2028" s="1364">
        <f>+IF(ISBLANK(REPORTS!N1628),"",REPORTS!N1628)</f>
        <v>-53.300220079114574</v>
      </c>
      <c r="I2028" s="1364">
        <f>+IF(ISBLANK(REPORTS!O1628),"",REPORTS!O1628)</f>
        <v>-38.250913665474769</v>
      </c>
      <c r="J2028" s="1364">
        <f>+IF(ISBLANK(REPORTS!P1628),"",REPORTS!P1628)</f>
        <v>-0.98973540811376681</v>
      </c>
      <c r="K2028" s="1364">
        <f>+IF(ISBLANK(REPORTS!Q1628),"",REPORTS!Q1628)</f>
        <v>0</v>
      </c>
      <c r="L2028" s="1364"/>
      <c r="M2028" s="1324"/>
    </row>
    <row r="2029" spans="1:13">
      <c r="A2029" s="1393">
        <v>29</v>
      </c>
      <c r="B2029" s="1324" t="s">
        <v>5239</v>
      </c>
      <c r="C2029" s="1324" t="s">
        <v>4067</v>
      </c>
      <c r="D2029" s="1364">
        <f>+IF(ISBLANK(REPORTS!J1629),"",REPORTS!J1629)</f>
        <v>-1043.7034861370585</v>
      </c>
      <c r="E2029" s="1364">
        <f>+IF(ISBLANK(REPORTS!K1629),"",REPORTS!K1629)</f>
        <v>-605.36163198207646</v>
      </c>
      <c r="F2029" s="1364">
        <f>+IF(ISBLANK(REPORTS!L1629),"",REPORTS!L1629)</f>
        <v>-49.936228625066079</v>
      </c>
      <c r="G2029" s="1364">
        <f>+IF(ISBLANK(REPORTS!M1629),"",REPORTS!M1629)</f>
        <v>-319.21722225626615</v>
      </c>
      <c r="H2029" s="1364">
        <f>+IF(ISBLANK(REPORTS!N1629),"",REPORTS!N1629)</f>
        <v>-39.850037666307671</v>
      </c>
      <c r="I2029" s="1364">
        <f>+IF(ISBLANK(REPORTS!O1629),"",REPORTS!O1629)</f>
        <v>-28.598387550319735</v>
      </c>
      <c r="J2029" s="1364">
        <f>+IF(ISBLANK(REPORTS!P1629),"",REPORTS!P1629)</f>
        <v>-0.73997805702244657</v>
      </c>
      <c r="K2029" s="1364">
        <f>+IF(ISBLANK(REPORTS!Q1629),"",REPORTS!Q1629)</f>
        <v>0</v>
      </c>
      <c r="L2029" s="1364"/>
      <c r="M2029" s="1324"/>
    </row>
    <row r="2030" spans="1:13">
      <c r="A2030" s="1393">
        <v>30</v>
      </c>
      <c r="B2030" s="1324" t="s">
        <v>5240</v>
      </c>
      <c r="C2030" s="1324" t="s">
        <v>4067</v>
      </c>
      <c r="D2030" s="1364">
        <f>+IF(ISBLANK(REPORTS!J1630),"",REPORTS!J1630)</f>
        <v>-4001.5462141957942</v>
      </c>
      <c r="E2030" s="1364">
        <f>+IF(ISBLANK(REPORTS!K1630),"",REPORTS!K1630)</f>
        <v>-2490.6264367814947</v>
      </c>
      <c r="F2030" s="1364">
        <f>+IF(ISBLANK(REPORTS!L1630),"",REPORTS!L1630)</f>
        <v>-177.13959882290658</v>
      </c>
      <c r="G2030" s="1364">
        <f>+IF(ISBLANK(REPORTS!M1630),"",REPORTS!M1630)</f>
        <v>-1186.0602154615526</v>
      </c>
      <c r="H2030" s="1364">
        <f>+IF(ISBLANK(REPORTS!N1630),"",REPORTS!N1630)</f>
        <v>-124.74968763313296</v>
      </c>
      <c r="I2030" s="1364">
        <f>+IF(ISBLANK(REPORTS!O1630),"",REPORTS!O1630)</f>
        <v>-8.5176656448973886E-5</v>
      </c>
      <c r="J2030" s="1364">
        <f>+IF(ISBLANK(REPORTS!P1630),"",REPORTS!P1630)</f>
        <v>-22.970190320051792</v>
      </c>
      <c r="K2030" s="1364">
        <f>+IF(ISBLANK(REPORTS!Q1630),"",REPORTS!Q1630)</f>
        <v>0</v>
      </c>
      <c r="L2030" s="1364"/>
      <c r="M2030" s="1324"/>
    </row>
    <row r="2031" spans="1:13">
      <c r="A2031" s="1393">
        <v>31</v>
      </c>
      <c r="B2031" s="1324" t="s">
        <v>5241</v>
      </c>
      <c r="C2031" s="1324" t="s">
        <v>4067</v>
      </c>
      <c r="D2031" s="1364">
        <f>+IF(ISBLANK(REPORTS!J1631),"",REPORTS!J1631)</f>
        <v>-1260.2703284984882</v>
      </c>
      <c r="E2031" s="1364">
        <f>+IF(ISBLANK(REPORTS!K1631),"",REPORTS!K1631)</f>
        <v>-919.53514989340044</v>
      </c>
      <c r="F2031" s="1364">
        <f>+IF(ISBLANK(REPORTS!L1631),"",REPORTS!L1631)</f>
        <v>-74.040828876175638</v>
      </c>
      <c r="G2031" s="1364">
        <f>+IF(ISBLANK(REPORTS!M1631),"",REPORTS!M1631)</f>
        <v>-262.13541229524265</v>
      </c>
      <c r="H2031" s="1364">
        <f>+IF(ISBLANK(REPORTS!N1631),"",REPORTS!N1631)</f>
        <v>0</v>
      </c>
      <c r="I2031" s="1364">
        <f>+IF(ISBLANK(REPORTS!O1631),"",REPORTS!O1631)</f>
        <v>0</v>
      </c>
      <c r="J2031" s="1364">
        <f>+IF(ISBLANK(REPORTS!P1631),"",REPORTS!P1631)</f>
        <v>-4.5589374336694384</v>
      </c>
      <c r="K2031" s="1364">
        <f>+IF(ISBLANK(REPORTS!Q1631),"",REPORTS!Q1631)</f>
        <v>0</v>
      </c>
      <c r="L2031" s="1364"/>
      <c r="M2031" s="1324"/>
    </row>
    <row r="2032" spans="1:13">
      <c r="A2032" s="1393">
        <v>32</v>
      </c>
      <c r="B2032" s="1324" t="s">
        <v>5242</v>
      </c>
      <c r="C2032" s="1324" t="s">
        <v>4071</v>
      </c>
      <c r="D2032" s="1364">
        <f>+IF(ISBLANK(REPORTS!J1632),"",REPORTS!J1632)</f>
        <v>-7111.1672368342252</v>
      </c>
      <c r="E2032" s="1364">
        <f>+IF(ISBLANK(REPORTS!K1632),"",REPORTS!K1632)</f>
        <v>-2621.5795982323903</v>
      </c>
      <c r="F2032" s="1364">
        <f>+IF(ISBLANK(REPORTS!L1632),"",REPORTS!L1632)</f>
        <v>-397.65915501273219</v>
      </c>
      <c r="G2032" s="1364">
        <f>+IF(ISBLANK(REPORTS!M1632),"",REPORTS!M1632)</f>
        <v>-191.71117762958528</v>
      </c>
      <c r="H2032" s="1364">
        <f>+IF(ISBLANK(REPORTS!N1632),"",REPORTS!N1632)</f>
        <v>-12.358688169381738</v>
      </c>
      <c r="I2032" s="1364">
        <f>+IF(ISBLANK(REPORTS!O1632),"",REPORTS!O1632)</f>
        <v>-13.483847587337237</v>
      </c>
      <c r="J2032" s="1364">
        <f>+IF(ISBLANK(REPORTS!P1632),"",REPORTS!P1632)</f>
        <v>-3.0947039313862232</v>
      </c>
      <c r="K2032" s="1364">
        <f>+IF(ISBLANK(REPORTS!Q1632),"",REPORTS!Q1632)</f>
        <v>-3871.280066271413</v>
      </c>
      <c r="L2032" s="1364"/>
      <c r="M2032" s="1324"/>
    </row>
    <row r="2033" spans="1:13">
      <c r="A2033" s="1393">
        <v>33</v>
      </c>
      <c r="B2033" s="1324" t="s">
        <v>5244</v>
      </c>
      <c r="C2033" s="1324" t="s">
        <v>4071</v>
      </c>
      <c r="D2033" s="1366">
        <f>+IF(ISBLANK(REPORTS!J1633),"",REPORTS!J1633)</f>
        <v>-841.51367610829675</v>
      </c>
      <c r="E2033" s="1366">
        <f>+IF(ISBLANK(REPORTS!K1633),"",REPORTS!K1633)</f>
        <v>-750.5349519858521</v>
      </c>
      <c r="F2033" s="1366">
        <f>+IF(ISBLANK(REPORTS!L1633),"",REPORTS!L1633)</f>
        <v>-72.7576071341974</v>
      </c>
      <c r="G2033" s="1366">
        <f>+IF(ISBLANK(REPORTS!M1633),"",REPORTS!M1633)</f>
        <v>-17.919578580504666</v>
      </c>
      <c r="H2033" s="1366">
        <f>+IF(ISBLANK(REPORTS!N1633),"",REPORTS!N1633)</f>
        <v>-6.0502852038952747E-2</v>
      </c>
      <c r="I2033" s="1366">
        <f>+IF(ISBLANK(REPORTS!O1633),"",REPORTS!O1633)</f>
        <v>-1.0734376974652907E-2</v>
      </c>
      <c r="J2033" s="1366">
        <f>+IF(ISBLANK(REPORTS!P1633),"",REPORTS!P1633)</f>
        <v>-0.23030117872891692</v>
      </c>
      <c r="K2033" s="1366">
        <f>+IF(ISBLANK(REPORTS!Q1633),"",REPORTS!Q1633)</f>
        <v>0</v>
      </c>
      <c r="L2033" s="1364"/>
      <c r="M2033" s="1324"/>
    </row>
    <row r="2034" spans="1:13">
      <c r="A2034" s="1393">
        <v>34</v>
      </c>
      <c r="B2034" s="1324" t="s">
        <v>5946</v>
      </c>
      <c r="D2034" s="1366">
        <f>+IF(ISBLANK(REPORTS!J1634),"",REPORTS!J1634)</f>
        <v>-88980.233557245301</v>
      </c>
      <c r="E2034" s="1366">
        <f>+IF(ISBLANK(REPORTS!K1634),"",REPORTS!K1634)</f>
        <v>-49972.183680318427</v>
      </c>
      <c r="F2034" s="1366">
        <f>+IF(ISBLANK(REPORTS!L1634),"",REPORTS!L1634)</f>
        <v>-4334.4919267986588</v>
      </c>
      <c r="G2034" s="1366">
        <f>+IF(ISBLANK(REPORTS!M1634),"",REPORTS!M1634)</f>
        <v>-25247.150934644862</v>
      </c>
      <c r="H2034" s="1366">
        <f>+IF(ISBLANK(REPORTS!N1634),"",REPORTS!N1634)</f>
        <v>-3201.5320346282801</v>
      </c>
      <c r="I2034" s="1366">
        <f>+IF(ISBLANK(REPORTS!O1634),"",REPORTS!O1634)</f>
        <v>-2223.19671979757</v>
      </c>
      <c r="J2034" s="1366">
        <f>+IF(ISBLANK(REPORTS!P1634),"",REPORTS!P1634)</f>
        <v>-130.39819478609846</v>
      </c>
      <c r="K2034" s="1366">
        <f>+IF(ISBLANK(REPORTS!Q1634),"",REPORTS!Q1634)</f>
        <v>-3871.280066271413</v>
      </c>
      <c r="L2034" s="1364"/>
      <c r="M2034" s="1324"/>
    </row>
    <row r="2035" spans="1:13">
      <c r="A2035" s="1393">
        <v>35</v>
      </c>
      <c r="D2035" s="1364" t="str">
        <f>+IF(ISBLANK(REPORTS!J1635),"",REPORTS!J1635)</f>
        <v/>
      </c>
      <c r="E2035" s="1364" t="str">
        <f>+IF(ISBLANK(REPORTS!K1635),"",REPORTS!K1635)</f>
        <v/>
      </c>
      <c r="F2035" s="1364" t="str">
        <f>+IF(ISBLANK(REPORTS!L1635),"",REPORTS!L1635)</f>
        <v/>
      </c>
      <c r="G2035" s="1364" t="str">
        <f>+IF(ISBLANK(REPORTS!M1635),"",REPORTS!M1635)</f>
        <v/>
      </c>
      <c r="H2035" s="1364" t="str">
        <f>+IF(ISBLANK(REPORTS!N1635),"",REPORTS!N1635)</f>
        <v/>
      </c>
      <c r="I2035" s="1364" t="str">
        <f>+IF(ISBLANK(REPORTS!O1635),"",REPORTS!O1635)</f>
        <v/>
      </c>
      <c r="J2035" s="1364" t="str">
        <f>+IF(ISBLANK(REPORTS!P1635),"",REPORTS!P1635)</f>
        <v/>
      </c>
      <c r="K2035" s="1364" t="str">
        <f>+IF(ISBLANK(REPORTS!Q1635),"",REPORTS!Q1635)</f>
        <v/>
      </c>
      <c r="L2035" s="1358"/>
    </row>
    <row r="2036" spans="1:13">
      <c r="A2036" s="1393">
        <v>36</v>
      </c>
      <c r="B2036" s="1362" t="s">
        <v>5947</v>
      </c>
      <c r="D2036" s="1324" t="str">
        <f>+IF(ISBLANK(REPORTS!J1636),"",REPORTS!J1636)</f>
        <v/>
      </c>
      <c r="E2036" s="1324" t="str">
        <f>+IF(ISBLANK(REPORTS!K1636),"",REPORTS!K1636)</f>
        <v/>
      </c>
      <c r="F2036" s="1324" t="str">
        <f>+IF(ISBLANK(REPORTS!L1636),"",REPORTS!L1636)</f>
        <v/>
      </c>
      <c r="G2036" s="1324" t="str">
        <f>+IF(ISBLANK(REPORTS!M1636),"",REPORTS!M1636)</f>
        <v/>
      </c>
      <c r="H2036" s="1324" t="str">
        <f>+IF(ISBLANK(REPORTS!N1636),"",REPORTS!N1636)</f>
        <v/>
      </c>
      <c r="I2036" s="1324" t="str">
        <f>+IF(ISBLANK(REPORTS!O1636),"",REPORTS!O1636)</f>
        <v/>
      </c>
      <c r="J2036" s="1324" t="str">
        <f>+IF(ISBLANK(REPORTS!P1636),"",REPORTS!P1636)</f>
        <v/>
      </c>
      <c r="K2036" s="1324" t="str">
        <f>+IF(ISBLANK(REPORTS!Q1636),"",REPORTS!Q1636)</f>
        <v/>
      </c>
      <c r="L2036" s="1358"/>
    </row>
    <row r="2037" spans="1:13">
      <c r="A2037" s="1393">
        <v>37</v>
      </c>
      <c r="B2037" s="1324" t="s">
        <v>5265</v>
      </c>
      <c r="C2037" s="1324" t="s">
        <v>4067</v>
      </c>
      <c r="D2037" s="1324">
        <f>+IF(ISBLANK(REPORTS!J1637),"",REPORTS!J1637)</f>
        <v>101438.76376111731</v>
      </c>
      <c r="E2037" s="1324">
        <f>+IF(ISBLANK(REPORTS!K1637),"",REPORTS!K1637)</f>
        <v>58247.625920460938</v>
      </c>
      <c r="F2037" s="1324">
        <f>+IF(ISBLANK(REPORTS!L1637),"",REPORTS!L1637)</f>
        <v>4843.9101818869376</v>
      </c>
      <c r="G2037" s="1324">
        <f>+IF(ISBLANK(REPORTS!M1637),"",REPORTS!M1637)</f>
        <v>31349.352278270751</v>
      </c>
      <c r="H2037" s="1324">
        <f>+IF(ISBLANK(REPORTS!N1637),"",REPORTS!N1637)</f>
        <v>4006.6593910871638</v>
      </c>
      <c r="I2037" s="1324">
        <f>+IF(ISBLANK(REPORTS!O1637),"",REPORTS!O1637)</f>
        <v>2883.6053342760811</v>
      </c>
      <c r="J2037" s="1324">
        <f>+IF(ISBLANK(REPORTS!P1637),"",REPORTS!P1637)</f>
        <v>107.61065513544528</v>
      </c>
      <c r="K2037" s="1320">
        <f>+IF(ISBLANK(REPORTS!Q1637),"",REPORTS!Q1637)</f>
        <v>0</v>
      </c>
      <c r="L2037" s="1358"/>
    </row>
    <row r="2038" spans="1:13">
      <c r="A2038" s="1393">
        <v>38</v>
      </c>
      <c r="B2038" s="1324" t="s">
        <v>5265</v>
      </c>
      <c r="C2038" s="1324" t="s">
        <v>2067</v>
      </c>
      <c r="D2038" s="1324">
        <f>+IF(ISBLANK(REPORTS!J1638),"",REPORTS!J1638)</f>
        <v>7628.7877112605429</v>
      </c>
      <c r="E2038" s="1324">
        <f>+IF(ISBLANK(REPORTS!K1638),"",REPORTS!K1638)</f>
        <v>3849.7470708846326</v>
      </c>
      <c r="F2038" s="1324">
        <f>+IF(ISBLANK(REPORTS!L1638),"",REPORTS!L1638)</f>
        <v>355.76169568245729</v>
      </c>
      <c r="G2038" s="1324">
        <f>+IF(ISBLANK(REPORTS!M1638),"",REPORTS!M1638)</f>
        <v>2650.2864504366544</v>
      </c>
      <c r="H2038" s="1324">
        <f>+IF(ISBLANK(REPORTS!N1638),"",REPORTS!N1638)</f>
        <v>421.88298958441027</v>
      </c>
      <c r="I2038" s="1324">
        <f>+IF(ISBLANK(REPORTS!O1638),"",REPORTS!O1638)</f>
        <v>310.80620381086248</v>
      </c>
      <c r="J2038" s="1324">
        <f>+IF(ISBLANK(REPORTS!P1638),"",REPORTS!P1638)</f>
        <v>40.303300861525635</v>
      </c>
      <c r="K2038" s="1320">
        <f>+IF(ISBLANK(REPORTS!Q1638),"",REPORTS!Q1638)</f>
        <v>0</v>
      </c>
      <c r="L2038" s="1358"/>
    </row>
    <row r="2039" spans="1:13">
      <c r="A2039" s="1393">
        <v>39</v>
      </c>
      <c r="B2039" s="1324" t="s">
        <v>5268</v>
      </c>
      <c r="C2039" s="1324" t="s">
        <v>4067</v>
      </c>
      <c r="D2039" s="1324">
        <f>+IF(ISBLANK(REPORTS!J1639),"",REPORTS!J1639)</f>
        <v>7483.4516221898712</v>
      </c>
      <c r="E2039" s="1324">
        <f>+IF(ISBLANK(REPORTS!K1639),"",REPORTS!K1639)</f>
        <v>4340.4995260051046</v>
      </c>
      <c r="F2039" s="1324">
        <f>+IF(ISBLANK(REPORTS!L1639),"",REPORTS!L1639)</f>
        <v>358.04743020779904</v>
      </c>
      <c r="G2039" s="1324">
        <f>+IF(ISBLANK(REPORTS!M1639),"",REPORTS!M1639)</f>
        <v>2288.8173427169118</v>
      </c>
      <c r="H2039" s="1324">
        <f>+IF(ISBLANK(REPORTS!N1639),"",REPORTS!N1639)</f>
        <v>285.72849758508528</v>
      </c>
      <c r="I2039" s="1324">
        <f>+IF(ISBLANK(REPORTS!O1639),"",REPORTS!O1639)</f>
        <v>205.05311378959078</v>
      </c>
      <c r="J2039" s="1324">
        <f>+IF(ISBLANK(REPORTS!P1639),"",REPORTS!P1639)</f>
        <v>5.3057118853796226</v>
      </c>
      <c r="K2039" s="1320">
        <f>+IF(ISBLANK(REPORTS!Q1639),"",REPORTS!Q1639)</f>
        <v>0</v>
      </c>
      <c r="L2039" s="1358"/>
    </row>
    <row r="2040" spans="1:13">
      <c r="A2040" s="1393">
        <v>40</v>
      </c>
      <c r="B2040" s="1324" t="s">
        <v>5239</v>
      </c>
      <c r="C2040" s="1324" t="s">
        <v>4067</v>
      </c>
      <c r="D2040" s="1324">
        <f>+IF(ISBLANK(REPORTS!J1640),"",REPORTS!J1640)</f>
        <v>8123.4950426361193</v>
      </c>
      <c r="E2040" s="1324">
        <f>+IF(ISBLANK(REPORTS!K1640),"",REPORTS!K1640)</f>
        <v>4711.7330561093149</v>
      </c>
      <c r="F2040" s="1324">
        <f>+IF(ISBLANK(REPORTS!L1640),"",REPORTS!L1640)</f>
        <v>388.67045197394077</v>
      </c>
      <c r="G2040" s="1324">
        <f>+IF(ISBLANK(REPORTS!M1640),"",REPORTS!M1640)</f>
        <v>2484.5749362403858</v>
      </c>
      <c r="H2040" s="1324">
        <f>+IF(ISBLANK(REPORTS!N1640),"",REPORTS!N1640)</f>
        <v>310.16623756740245</v>
      </c>
      <c r="I2040" s="1324">
        <f>+IF(ISBLANK(REPORTS!O1640),"",REPORTS!O1640)</f>
        <v>222.59086280555061</v>
      </c>
      <c r="J2040" s="1324">
        <f>+IF(ISBLANK(REPORTS!P1640),"",REPORTS!P1640)</f>
        <v>5.7594979395249091</v>
      </c>
      <c r="K2040" s="1320">
        <f>+IF(ISBLANK(REPORTS!Q1640),"",REPORTS!Q1640)</f>
        <v>0</v>
      </c>
      <c r="L2040" s="1358"/>
    </row>
    <row r="2041" spans="1:13">
      <c r="A2041" s="1393">
        <v>41</v>
      </c>
      <c r="B2041" s="1324" t="s">
        <v>5240</v>
      </c>
      <c r="C2041" s="1324" t="s">
        <v>4067</v>
      </c>
      <c r="D2041" s="1324">
        <f>+IF(ISBLANK(REPORTS!J1641),"",REPORTS!J1641)</f>
        <v>28304.114763554495</v>
      </c>
      <c r="E2041" s="1324">
        <f>+IF(ISBLANK(REPORTS!K1641),"",REPORTS!K1641)</f>
        <v>17616.934236500845</v>
      </c>
      <c r="F2041" s="1324">
        <f>+IF(ISBLANK(REPORTS!L1641),"",REPORTS!L1641)</f>
        <v>1252.9605472171684</v>
      </c>
      <c r="G2041" s="1324">
        <f>+IF(ISBLANK(REPORTS!M1641),"",REPORTS!M1641)</f>
        <v>8389.3531794825776</v>
      </c>
      <c r="H2041" s="1324">
        <f>+IF(ISBLANK(REPORTS!N1641),"",REPORTS!N1641)</f>
        <v>882.39127739160563</v>
      </c>
      <c r="I2041" s="1324">
        <f>+IF(ISBLANK(REPORTS!O1641),"",REPORTS!O1641)</f>
        <v>6.0247957420932305E-4</v>
      </c>
      <c r="J2041" s="1324">
        <f>+IF(ISBLANK(REPORTS!P1641),"",REPORTS!P1641)</f>
        <v>162.47492048273088</v>
      </c>
      <c r="K2041" s="1320">
        <f>+IF(ISBLANK(REPORTS!Q1641),"",REPORTS!Q1641)</f>
        <v>0</v>
      </c>
      <c r="L2041" s="1358"/>
    </row>
    <row r="2042" spans="1:13">
      <c r="A2042" s="1393">
        <v>42</v>
      </c>
      <c r="B2042" s="1324" t="s">
        <v>5241</v>
      </c>
      <c r="C2042" s="1324" t="s">
        <v>4067</v>
      </c>
      <c r="D2042" s="1324">
        <f>+IF(ISBLANK(REPORTS!J1642),"",REPORTS!J1642)</f>
        <v>12442.559437223341</v>
      </c>
      <c r="E2042" s="1324">
        <f>+IF(ISBLANK(REPORTS!K1642),"",REPORTS!K1642)</f>
        <v>9078.50522101571</v>
      </c>
      <c r="F2042" s="1324">
        <f>+IF(ISBLANK(REPORTS!L1642),"",REPORTS!L1642)</f>
        <v>730.99984443075994</v>
      </c>
      <c r="G2042" s="1324">
        <f>+IF(ISBLANK(REPORTS!M1642),"",REPORTS!M1642)</f>
        <v>2588.0443063121079</v>
      </c>
      <c r="H2042" s="1324">
        <f>+IF(ISBLANK(REPORTS!N1642),"",REPORTS!N1642)</f>
        <v>0</v>
      </c>
      <c r="I2042" s="1324">
        <f>+IF(ISBLANK(REPORTS!O1642),"",REPORTS!O1642)</f>
        <v>0</v>
      </c>
      <c r="J2042" s="1324">
        <f>+IF(ISBLANK(REPORTS!P1642),"",REPORTS!P1642)</f>
        <v>45.010065464762285</v>
      </c>
      <c r="K2042" s="1320">
        <f>+IF(ISBLANK(REPORTS!Q1642),"",REPORTS!Q1642)</f>
        <v>0</v>
      </c>
      <c r="L2042" s="1358"/>
    </row>
    <row r="2043" spans="1:13">
      <c r="A2043" s="1393">
        <v>43</v>
      </c>
      <c r="B2043" s="1324" t="s">
        <v>5242</v>
      </c>
      <c r="C2043" s="1324" t="s">
        <v>4071</v>
      </c>
      <c r="D2043" s="1324">
        <f>+IF(ISBLANK(REPORTS!J1643),"",REPORTS!J1643)</f>
        <v>12136.7048712376</v>
      </c>
      <c r="E2043" s="1324">
        <f>+IF(ISBLANK(REPORTS!K1643),"",REPORTS!K1643)</f>
        <v>4474.2778253614406</v>
      </c>
      <c r="F2043" s="1324">
        <f>+IF(ISBLANK(REPORTS!L1643),"",REPORTS!L1643)</f>
        <v>678.68911572438731</v>
      </c>
      <c r="G2043" s="1324">
        <f>+IF(ISBLANK(REPORTS!M1643),"",REPORTS!M1643)</f>
        <v>327.19550896731715</v>
      </c>
      <c r="H2043" s="1324">
        <f>+IF(ISBLANK(REPORTS!N1643),"",REPORTS!N1643)</f>
        <v>21.09270474339408</v>
      </c>
      <c r="I2043" s="1324">
        <f>+IF(ISBLANK(REPORTS!O1643),"",REPORTS!O1643)</f>
        <v>23.013026307213561</v>
      </c>
      <c r="J2043" s="1324">
        <f>+IF(ISBLANK(REPORTS!P1643),"",REPORTS!P1643)</f>
        <v>5.2817641644741009</v>
      </c>
      <c r="K2043" s="1320">
        <f>+IF(ISBLANK(REPORTS!Q1643),"",REPORTS!Q1643)</f>
        <v>6607.1549259693747</v>
      </c>
      <c r="L2043" s="1358"/>
    </row>
    <row r="2044" spans="1:13">
      <c r="A2044" s="1393">
        <v>44</v>
      </c>
      <c r="B2044" s="1324" t="s">
        <v>5244</v>
      </c>
      <c r="C2044" s="1324" t="s">
        <v>4071</v>
      </c>
      <c r="D2044" s="1366">
        <f>+IF(ISBLANK(REPORTS!J1644),"",REPORTS!J1644)</f>
        <v>3707.9041377343915</v>
      </c>
      <c r="E2044" s="1366">
        <f>+IF(ISBLANK(REPORTS!K1644),"",REPORTS!K1644)</f>
        <v>3307.0308100666962</v>
      </c>
      <c r="F2044" s="1366">
        <f>+IF(ISBLANK(REPORTS!L1644),"",REPORTS!L1644)</f>
        <v>320.58686650485919</v>
      </c>
      <c r="G2044" s="1366">
        <f>+IF(ISBLANK(REPORTS!M1644),"",REPORTS!M1644)</f>
        <v>78.957813106960074</v>
      </c>
      <c r="H2044" s="1366">
        <f>+IF(ISBLANK(REPORTS!N1644),"",REPORTS!N1644)</f>
        <v>0.26658957755440421</v>
      </c>
      <c r="I2044" s="1366">
        <f>+IF(ISBLANK(REPORTS!O1644),"",REPORTS!O1644)</f>
        <v>4.7298150856426559E-2</v>
      </c>
      <c r="J2044" s="1366">
        <f>+IF(ISBLANK(REPORTS!P1644),"",REPORTS!P1644)</f>
        <v>1.0147603274651515</v>
      </c>
      <c r="K2044" s="1350">
        <f>+IF(ISBLANK(REPORTS!Q1644),"",REPORTS!Q1644)</f>
        <v>0</v>
      </c>
    </row>
    <row r="2045" spans="1:13">
      <c r="A2045" s="1393">
        <v>45</v>
      </c>
      <c r="B2045" s="1324" t="s">
        <v>5561</v>
      </c>
      <c r="D2045" s="1366">
        <f>+IF(ISBLANK(REPORTS!J1645),"",REPORTS!J1645)</f>
        <v>181265.78134695365</v>
      </c>
      <c r="E2045" s="1366">
        <f>+IF(ISBLANK(REPORTS!K1645),"",REPORTS!K1645)</f>
        <v>105626.35366640468</v>
      </c>
      <c r="F2045" s="1366">
        <f>+IF(ISBLANK(REPORTS!L1645),"",REPORTS!L1645)</f>
        <v>8929.6261336283096</v>
      </c>
      <c r="G2045" s="1366">
        <f>+IF(ISBLANK(REPORTS!M1645),"",REPORTS!M1645)</f>
        <v>50156.581815533653</v>
      </c>
      <c r="H2045" s="1366">
        <f>+IF(ISBLANK(REPORTS!N1645),"",REPORTS!N1645)</f>
        <v>5928.1876875366161</v>
      </c>
      <c r="I2045" s="1366">
        <f>+IF(ISBLANK(REPORTS!O1645),"",REPORTS!O1645)</f>
        <v>3645.1164416197298</v>
      </c>
      <c r="J2045" s="1366">
        <f>+IF(ISBLANK(REPORTS!P1645),"",REPORTS!P1645)</f>
        <v>372.76067626130788</v>
      </c>
      <c r="K2045" s="1366">
        <f>+IF(ISBLANK(REPORTS!Q1645),"",REPORTS!Q1645)</f>
        <v>6607.1549259693747</v>
      </c>
    </row>
    <row r="2052" spans="1:13">
      <c r="A2052" s="1732" t="str">
        <f>+$A$1</f>
        <v>RATES WITH REVENUE DEFICIENCY ADDITION</v>
      </c>
      <c r="F2052" s="1329" t="s">
        <v>2173</v>
      </c>
      <c r="G2052" s="1329"/>
      <c r="H2052" s="1329"/>
      <c r="I2052" s="1329"/>
      <c r="M2052" s="1334" t="s">
        <v>6095</v>
      </c>
    </row>
    <row r="2053" spans="1:13">
      <c r="A2053" s="1732" t="str">
        <f>+$A$2</f>
        <v>PROD. CAP. ALLOC. METHOD: 12 CP &amp; 1/13th AD</v>
      </c>
      <c r="F2053" s="1336" t="s">
        <v>5141</v>
      </c>
      <c r="G2053" s="1336"/>
      <c r="H2053" s="1336"/>
      <c r="I2053" s="1336"/>
      <c r="L2053" s="1331"/>
      <c r="M2053" s="1409"/>
    </row>
    <row r="2054" spans="1:13">
      <c r="A2054" s="1732" t="str">
        <f>+$A$3</f>
        <v>PROJECTED CALENDAR YEAR 2025; FULLY ADJUSTED DATA</v>
      </c>
      <c r="F2054" s="1336" t="s">
        <v>2181</v>
      </c>
    </row>
    <row r="2055" spans="1:13">
      <c r="A2055" s="1732" t="str">
        <f>+$A$4</f>
        <v>MINIMUM DISTRIBUTION SYSTEM (MDS) NOT EMPLOYED</v>
      </c>
      <c r="F2055" s="1336"/>
      <c r="G2055" s="1336"/>
      <c r="H2055" s="1336"/>
      <c r="I2055" s="1336"/>
    </row>
    <row r="2056" spans="1:13">
      <c r="A2056" s="1732" t="str">
        <f>+$A$5</f>
        <v>Tampa Electric 2025 OB Budget</v>
      </c>
      <c r="F2056" s="1336" t="s">
        <v>5912</v>
      </c>
      <c r="G2056" s="1336"/>
      <c r="H2056" s="1336"/>
      <c r="I2056" s="1336"/>
    </row>
    <row r="2057" spans="1:13">
      <c r="F2057" s="1336"/>
      <c r="G2057" s="1336"/>
      <c r="H2057" s="1336"/>
      <c r="I2057" s="1336"/>
    </row>
    <row r="2058" spans="1:13">
      <c r="F2058" s="1336"/>
      <c r="G2058" s="1336"/>
      <c r="H2058" s="1336"/>
      <c r="I2058" s="1336"/>
    </row>
    <row r="2061" spans="1:13" ht="28.2">
      <c r="A2061" s="1737" t="s">
        <v>4297</v>
      </c>
      <c r="B2061" s="1741"/>
      <c r="C2061" s="1741"/>
      <c r="D2061" s="1352" t="s">
        <v>4957</v>
      </c>
      <c r="E2061" s="1353" t="s">
        <v>1949</v>
      </c>
      <c r="F2061" s="1353" t="s">
        <v>1950</v>
      </c>
      <c r="G2061" s="1353" t="s">
        <v>1934</v>
      </c>
      <c r="H2061" s="1353" t="s">
        <v>1971</v>
      </c>
      <c r="I2061" s="1353" t="s">
        <v>1972</v>
      </c>
      <c r="J2061" s="1352" t="s">
        <v>5146</v>
      </c>
      <c r="K2061" s="1352" t="s">
        <v>5147</v>
      </c>
      <c r="L2061" s="1350"/>
      <c r="M2061" s="1350"/>
    </row>
    <row r="2062" spans="1:13">
      <c r="B2062" s="1447"/>
      <c r="C2062" s="1447"/>
      <c r="D2062" s="1399"/>
      <c r="E2062" s="1360"/>
      <c r="F2062" s="1360"/>
      <c r="G2062" s="1360"/>
      <c r="H2062" s="1360"/>
      <c r="I2062" s="1360"/>
      <c r="J2062" s="1399"/>
      <c r="K2062" s="1399"/>
    </row>
    <row r="2063" spans="1:13" ht="15.6">
      <c r="A2063" s="1393">
        <v>46</v>
      </c>
      <c r="B2063" s="1528" t="s">
        <v>5957</v>
      </c>
      <c r="C2063" s="1447"/>
      <c r="D2063" s="1399"/>
      <c r="E2063" s="1360"/>
      <c r="F2063" s="1360"/>
      <c r="G2063" s="1360"/>
      <c r="H2063" s="1360"/>
      <c r="I2063" s="1360"/>
      <c r="J2063" s="1399"/>
      <c r="K2063" s="1399"/>
    </row>
    <row r="2064" spans="1:13">
      <c r="A2064" s="1393">
        <v>47</v>
      </c>
      <c r="B2064" s="1364" t="s">
        <v>5265</v>
      </c>
      <c r="C2064" s="1364" t="s">
        <v>4067</v>
      </c>
      <c r="D2064" s="1364">
        <f>+IF(ISBLANK(REPORTS!J1663),"",REPORTS!J1663)</f>
        <v>4071.9547618950883</v>
      </c>
      <c r="E2064" s="1364">
        <f>+IF(ISBLANK(REPORTS!K1663),"",REPORTS!K1663)</f>
        <v>2338.176146295064</v>
      </c>
      <c r="F2064" s="1364">
        <f>+IF(ISBLANK(REPORTS!L1663),"",REPORTS!L1663)</f>
        <v>194.4442380801878</v>
      </c>
      <c r="G2064" s="1364">
        <f>+IF(ISBLANK(REPORTS!M1663),"",REPORTS!M1663)</f>
        <v>1258.4256704118293</v>
      </c>
      <c r="H2064" s="1364">
        <f>+IF(ISBLANK(REPORTS!N1663),"",REPORTS!N1663)</f>
        <v>160.83531760353296</v>
      </c>
      <c r="I2064" s="1364">
        <f>+IF(ISBLANK(REPORTS!O1663),"",REPORTS!O1663)</f>
        <v>115.75368268468962</v>
      </c>
      <c r="J2064" s="1364">
        <f>+IF(ISBLANK(REPORTS!P1663),"",REPORTS!P1663)</f>
        <v>4.31970681978469</v>
      </c>
      <c r="K2064" s="1364">
        <f>+IF(ISBLANK(REPORTS!Q1663),"",REPORTS!Q1663)</f>
        <v>0</v>
      </c>
      <c r="L2064" s="1324"/>
      <c r="M2064" s="1324"/>
    </row>
    <row r="2065" spans="1:13">
      <c r="A2065" s="1393">
        <v>48</v>
      </c>
      <c r="B2065" s="1364" t="s">
        <v>5265</v>
      </c>
      <c r="C2065" s="1364" t="s">
        <v>2067</v>
      </c>
      <c r="D2065" s="1364">
        <f>+IF(ISBLANK(REPORTS!J1664),"",REPORTS!J1664)</f>
        <v>306.23478931100033</v>
      </c>
      <c r="E2065" s="1364">
        <f>+IF(ISBLANK(REPORTS!K1664),"",REPORTS!K1664)</f>
        <v>154.5365433898273</v>
      </c>
      <c r="F2065" s="1364">
        <f>+IF(ISBLANK(REPORTS!L1664),"",REPORTS!L1664)</f>
        <v>14.280985661906657</v>
      </c>
      <c r="G2065" s="1364">
        <f>+IF(ISBLANK(REPORTS!M1664),"",REPORTS!M1664)</f>
        <v>106.38779626352472</v>
      </c>
      <c r="H2065" s="1364">
        <f>+IF(ISBLANK(REPORTS!N1664),"",REPORTS!N1664)</f>
        <v>16.935226581095836</v>
      </c>
      <c r="I2065" s="1364">
        <f>+IF(ISBLANK(REPORTS!O1664),"",REPORTS!O1664)</f>
        <v>12.476382348414344</v>
      </c>
      <c r="J2065" s="1364">
        <f>+IF(ISBLANK(REPORTS!P1664),"",REPORTS!P1664)</f>
        <v>1.6178550662314581</v>
      </c>
      <c r="K2065" s="1364">
        <f>+IF(ISBLANK(REPORTS!Q1664),"",REPORTS!Q1664)</f>
        <v>0</v>
      </c>
      <c r="L2065" s="1324"/>
      <c r="M2065" s="1324"/>
    </row>
    <row r="2066" spans="1:13">
      <c r="A2066" s="1393">
        <v>49</v>
      </c>
      <c r="B2066" s="1364" t="s">
        <v>5268</v>
      </c>
      <c r="C2066" s="1364" t="s">
        <v>4067</v>
      </c>
      <c r="D2066" s="1364">
        <f>+IF(ISBLANK(REPORTS!J1665),"",REPORTS!J1665)</f>
        <v>300.4007081567762</v>
      </c>
      <c r="E2066" s="1364">
        <f>+IF(ISBLANK(REPORTS!K1665),"",REPORTS!K1665)</f>
        <v>174.23632799332907</v>
      </c>
      <c r="F2066" s="1364">
        <f>+IF(ISBLANK(REPORTS!L1665),"",REPORTS!L1665)</f>
        <v>14.372739615127262</v>
      </c>
      <c r="G2066" s="1364">
        <f>+IF(ISBLANK(REPORTS!M1665),"",REPORTS!M1665)</f>
        <v>91.877703672850203</v>
      </c>
      <c r="H2066" s="1364">
        <f>+IF(ISBLANK(REPORTS!N1665),"",REPORTS!N1665)</f>
        <v>11.469713088091581</v>
      </c>
      <c r="I2066" s="1364">
        <f>+IF(ISBLANK(REPORTS!O1665),"",REPORTS!O1665)</f>
        <v>8.2312419057397097</v>
      </c>
      <c r="J2066" s="1364">
        <f>+IF(ISBLANK(REPORTS!P1665),"",REPORTS!P1665)</f>
        <v>0.21298188163839027</v>
      </c>
      <c r="K2066" s="1364">
        <f>+IF(ISBLANK(REPORTS!Q1665),"",REPORTS!Q1665)</f>
        <v>0</v>
      </c>
      <c r="L2066" s="1324"/>
      <c r="M2066" s="1324"/>
    </row>
    <row r="2067" spans="1:13">
      <c r="A2067" s="1393">
        <v>50</v>
      </c>
      <c r="B2067" s="1364" t="s">
        <v>5239</v>
      </c>
      <c r="C2067" s="1364" t="s">
        <v>4067</v>
      </c>
      <c r="D2067" s="1364">
        <f>+IF(ISBLANK(REPORTS!J1666),"",REPORTS!J1666)</f>
        <v>326.09333055350851</v>
      </c>
      <c r="E2067" s="1364">
        <f>+IF(ISBLANK(REPORTS!K1666),"",REPORTS!K1666)</f>
        <v>189.13838401840846</v>
      </c>
      <c r="F2067" s="1364">
        <f>+IF(ISBLANK(REPORTS!L1666),"",REPORTS!L1666)</f>
        <v>15.602008926787141</v>
      </c>
      <c r="G2067" s="1364">
        <f>+IF(ISBLANK(REPORTS!M1666),"",REPORTS!M1666)</f>
        <v>99.73580481258999</v>
      </c>
      <c r="H2067" s="1364">
        <f>+IF(ISBLANK(REPORTS!N1666),"",REPORTS!N1666)</f>
        <v>12.450692824056123</v>
      </c>
      <c r="I2067" s="1364">
        <f>+IF(ISBLANK(REPORTS!O1666),"",REPORTS!O1666)</f>
        <v>8.9352422106589628</v>
      </c>
      <c r="J2067" s="1364">
        <f>+IF(ISBLANK(REPORTS!P1666),"",REPORTS!P1666)</f>
        <v>0.23119776100783862</v>
      </c>
      <c r="K2067" s="1364">
        <f>+IF(ISBLANK(REPORTS!Q1666),"",REPORTS!Q1666)</f>
        <v>0</v>
      </c>
      <c r="L2067" s="1324"/>
      <c r="M2067" s="1324"/>
    </row>
    <row r="2068" spans="1:13">
      <c r="A2068" s="1393">
        <v>51</v>
      </c>
      <c r="B2068" s="1364" t="s">
        <v>5240</v>
      </c>
      <c r="C2068" s="1364" t="s">
        <v>4067</v>
      </c>
      <c r="D2068" s="1364">
        <f>+IF(ISBLANK(REPORTS!J1667),"",REPORTS!J1667)</f>
        <v>1136.1837488881017</v>
      </c>
      <c r="E2068" s="1364">
        <f>+IF(ISBLANK(REPORTS!K1667),"",REPORTS!K1667)</f>
        <v>707.17895796960852</v>
      </c>
      <c r="F2068" s="1364">
        <f>+IF(ISBLANK(REPORTS!L1667),"",REPORTS!L1667)</f>
        <v>50.296341137620217</v>
      </c>
      <c r="G2068" s="1364">
        <f>+IF(ISBLANK(REPORTS!M1667),"",REPORTS!M1667)</f>
        <v>336.76540763904814</v>
      </c>
      <c r="H2068" s="1364">
        <f>+IF(ISBLANK(REPORTS!N1667),"",REPORTS!N1667)</f>
        <v>35.420949848037282</v>
      </c>
      <c r="I2068" s="1364">
        <f>+IF(ISBLANK(REPORTS!O1667),"",REPORTS!O1667)</f>
        <v>2.4184734515529909E-5</v>
      </c>
      <c r="J2068" s="1364">
        <f>+IF(ISBLANK(REPORTS!P1667),"",REPORTS!P1667)</f>
        <v>6.5220681090533681</v>
      </c>
      <c r="K2068" s="1364">
        <f>+IF(ISBLANK(REPORTS!Q1667),"",REPORTS!Q1667)</f>
        <v>0</v>
      </c>
      <c r="L2068" s="1324"/>
      <c r="M2068" s="1324"/>
    </row>
    <row r="2069" spans="1:13">
      <c r="A2069" s="1393">
        <v>52</v>
      </c>
      <c r="B2069" s="1364" t="s">
        <v>5241</v>
      </c>
      <c r="C2069" s="1364" t="s">
        <v>4067</v>
      </c>
      <c r="D2069" s="1364">
        <f>+IF(ISBLANK(REPORTS!J1668),"",REPORTS!J1668)</f>
        <v>499.46920952111361</v>
      </c>
      <c r="E2069" s="1364">
        <f>+IF(ISBLANK(REPORTS!K1668),"",REPORTS!K1668)</f>
        <v>364.42934825842514</v>
      </c>
      <c r="F2069" s="1364">
        <f>+IF(ISBLANK(REPORTS!L1668),"",REPORTS!L1668)</f>
        <v>29.343795084925585</v>
      </c>
      <c r="G2069" s="1364">
        <f>+IF(ISBLANK(REPORTS!M1668),"",REPORTS!M1668)</f>
        <v>103.88927217114363</v>
      </c>
      <c r="H2069" s="1364">
        <f>+IF(ISBLANK(REPORTS!N1668),"",REPORTS!N1668)</f>
        <v>0</v>
      </c>
      <c r="I2069" s="1364">
        <f>+IF(ISBLANK(REPORTS!O1668),"",REPORTS!O1668)</f>
        <v>0</v>
      </c>
      <c r="J2069" s="1364">
        <f>+IF(ISBLANK(REPORTS!P1668),"",REPORTS!P1668)</f>
        <v>1.8067940066192076</v>
      </c>
      <c r="K2069" s="1364">
        <f>+IF(ISBLANK(REPORTS!Q1668),"",REPORTS!Q1668)</f>
        <v>0</v>
      </c>
      <c r="L2069" s="1324"/>
      <c r="M2069" s="1324"/>
    </row>
    <row r="2070" spans="1:13">
      <c r="A2070" s="1393">
        <v>53</v>
      </c>
      <c r="B2070" s="1364" t="s">
        <v>5242</v>
      </c>
      <c r="C2070" s="1364" t="s">
        <v>4071</v>
      </c>
      <c r="D2070" s="1364">
        <f>+IF(ISBLANK(REPORTS!J1669),"",REPORTS!J1669)</f>
        <v>487.19159581373538</v>
      </c>
      <c r="E2070" s="1364">
        <f>+IF(ISBLANK(REPORTS!K1669),"",REPORTS!K1669)</f>
        <v>179.60645636343705</v>
      </c>
      <c r="F2070" s="1364">
        <f>+IF(ISBLANK(REPORTS!L1669),"",REPORTS!L1669)</f>
        <v>27.243937861155231</v>
      </c>
      <c r="G2070" s="1364">
        <f>+IF(ISBLANK(REPORTS!M1669),"",REPORTS!M1669)</f>
        <v>13.134281820978284</v>
      </c>
      <c r="H2070" s="1364">
        <f>+IF(ISBLANK(REPORTS!N1669),"",REPORTS!N1669)</f>
        <v>0.84670333447057178</v>
      </c>
      <c r="I2070" s="1364">
        <f>+IF(ISBLANK(REPORTS!O1669),"",REPORTS!O1669)</f>
        <v>0.92378888092477507</v>
      </c>
      <c r="J2070" s="1364">
        <f>+IF(ISBLANK(REPORTS!P1669),"",REPORTS!P1669)</f>
        <v>0.21202057224775719</v>
      </c>
      <c r="K2070" s="1364">
        <f>+IF(ISBLANK(REPORTS!Q1669),"",REPORTS!Q1669)</f>
        <v>265.22440698052179</v>
      </c>
      <c r="L2070" s="1324"/>
      <c r="M2070" s="1324"/>
    </row>
    <row r="2071" spans="1:13">
      <c r="A2071" s="1393">
        <v>54</v>
      </c>
      <c r="B2071" s="1364" t="s">
        <v>5244</v>
      </c>
      <c r="C2071" s="1364" t="s">
        <v>4071</v>
      </c>
      <c r="D2071" s="1366">
        <f>+IF(ISBLANK(REPORTS!J1670),"",REPORTS!J1670)</f>
        <v>148.84268449735839</v>
      </c>
      <c r="E2071" s="1366">
        <f>+IF(ISBLANK(REPORTS!K1670),"",REPORTS!K1670)</f>
        <v>132.7508277456607</v>
      </c>
      <c r="F2071" s="1366">
        <f>+IF(ISBLANK(REPORTS!L1670),"",REPORTS!L1670)</f>
        <v>12.868997701309402</v>
      </c>
      <c r="G2071" s="1366">
        <f>+IF(ISBLANK(REPORTS!M1670),"",REPORTS!M1670)</f>
        <v>3.1695244613474687</v>
      </c>
      <c r="H2071" s="1366">
        <f>+IF(ISBLANK(REPORTS!N1670),"",REPORTS!N1670)</f>
        <v>1.0701438577767416E-2</v>
      </c>
      <c r="I2071" s="1366">
        <f>+IF(ISBLANK(REPORTS!O1670),"",REPORTS!O1670)</f>
        <v>1.8986423283135739E-3</v>
      </c>
      <c r="J2071" s="1366">
        <f>+IF(ISBLANK(REPORTS!P1670),"",REPORTS!P1670)</f>
        <v>4.0734508134727579E-2</v>
      </c>
      <c r="K2071" s="1366">
        <f>+IF(ISBLANK(REPORTS!Q1670),"",REPORTS!Q1670)</f>
        <v>0</v>
      </c>
      <c r="L2071" s="1324"/>
      <c r="M2071" s="1324"/>
    </row>
    <row r="2072" spans="1:13">
      <c r="A2072" s="1393">
        <v>55</v>
      </c>
      <c r="B2072" s="1324" t="s">
        <v>5564</v>
      </c>
      <c r="D2072" s="1366">
        <f>+IF(ISBLANK(REPORTS!J1671),"",REPORTS!J1671)</f>
        <v>7276.3708286366818</v>
      </c>
      <c r="E2072" s="1366">
        <f>+IF(ISBLANK(REPORTS!K1671),"",REPORTS!K1671)</f>
        <v>4240.0529920337613</v>
      </c>
      <c r="F2072" s="1366">
        <f>+IF(ISBLANK(REPORTS!L1671),"",REPORTS!L1671)</f>
        <v>358.45304406901937</v>
      </c>
      <c r="G2072" s="1366">
        <f>+IF(ISBLANK(REPORTS!M1671),"",REPORTS!M1671)</f>
        <v>2013.3854612533116</v>
      </c>
      <c r="H2072" s="1366">
        <f>+IF(ISBLANK(REPORTS!N1671),"",REPORTS!N1671)</f>
        <v>237.96930471786212</v>
      </c>
      <c r="I2072" s="1366">
        <f>+IF(ISBLANK(REPORTS!O1671),"",REPORTS!O1671)</f>
        <v>146.32226085749025</v>
      </c>
      <c r="J2072" s="1366">
        <f>+IF(ISBLANK(REPORTS!P1671),"",REPORTS!P1671)</f>
        <v>14.963358724717439</v>
      </c>
      <c r="K2072" s="1366">
        <f>+IF(ISBLANK(REPORTS!Q1671),"",REPORTS!Q1671)</f>
        <v>265.22440698052179</v>
      </c>
      <c r="L2072" s="1324"/>
      <c r="M2072" s="1324"/>
    </row>
    <row r="2073" spans="1:13">
      <c r="A2073" s="1393">
        <v>56</v>
      </c>
      <c r="B2073" s="1447"/>
      <c r="C2073" s="1447"/>
      <c r="D2073" s="1399" t="str">
        <f>+IF(ISBLANK(REPORTS!J1672),"",REPORTS!J1672)</f>
        <v/>
      </c>
      <c r="E2073" s="1360" t="str">
        <f>+IF(ISBLANK(REPORTS!K1672),"",REPORTS!K1672)</f>
        <v/>
      </c>
      <c r="F2073" s="1360" t="str">
        <f>+IF(ISBLANK(REPORTS!L1672),"",REPORTS!L1672)</f>
        <v/>
      </c>
      <c r="G2073" s="1360" t="str">
        <f>+IF(ISBLANK(REPORTS!M1672),"",REPORTS!M1672)</f>
        <v/>
      </c>
      <c r="H2073" s="1360" t="str">
        <f>+IF(ISBLANK(REPORTS!N1672),"",REPORTS!N1672)</f>
        <v/>
      </c>
      <c r="I2073" s="1360" t="str">
        <f>+IF(ISBLANK(REPORTS!O1672),"",REPORTS!O1672)</f>
        <v/>
      </c>
      <c r="J2073" s="1399" t="str">
        <f>+IF(ISBLANK(REPORTS!P1672),"",REPORTS!P1672)</f>
        <v/>
      </c>
      <c r="K2073" s="1399" t="str">
        <f>+IF(ISBLANK(REPORTS!Q1672),"",REPORTS!Q1672)</f>
        <v/>
      </c>
      <c r="L2073" s="1324"/>
      <c r="M2073" s="1324"/>
    </row>
    <row r="2074" spans="1:13">
      <c r="A2074" s="1393">
        <v>57</v>
      </c>
      <c r="B2074" s="1362" t="s">
        <v>5966</v>
      </c>
      <c r="D2074" s="1399" t="str">
        <f>+IF(ISBLANK(REPORTS!J1673),"",REPORTS!J1673)</f>
        <v/>
      </c>
      <c r="E2074" s="1360" t="str">
        <f>+IF(ISBLANK(REPORTS!K1673),"",REPORTS!K1673)</f>
        <v/>
      </c>
      <c r="F2074" s="1360" t="str">
        <f>+IF(ISBLANK(REPORTS!L1673),"",REPORTS!L1673)</f>
        <v/>
      </c>
      <c r="G2074" s="1360" t="str">
        <f>+IF(ISBLANK(REPORTS!M1673),"",REPORTS!M1673)</f>
        <v/>
      </c>
      <c r="H2074" s="1360" t="str">
        <f>+IF(ISBLANK(REPORTS!N1673),"",REPORTS!N1673)</f>
        <v/>
      </c>
      <c r="I2074" s="1360" t="str">
        <f>+IF(ISBLANK(REPORTS!O1673),"",REPORTS!O1673)</f>
        <v/>
      </c>
      <c r="J2074" s="1399" t="str">
        <f>+IF(ISBLANK(REPORTS!P1673),"",REPORTS!P1673)</f>
        <v/>
      </c>
      <c r="K2074" s="1399" t="str">
        <f>+IF(ISBLANK(REPORTS!Q1673),"",REPORTS!Q1673)</f>
        <v/>
      </c>
      <c r="L2074" s="1324"/>
      <c r="M2074" s="1324"/>
    </row>
    <row r="2075" spans="1:13">
      <c r="A2075" s="1393">
        <v>58</v>
      </c>
      <c r="B2075" s="1324" t="s">
        <v>5265</v>
      </c>
      <c r="C2075" s="1324" t="s">
        <v>4067</v>
      </c>
      <c r="D2075" s="1324">
        <f>+IF(ISBLANK(REPORTS!J1674),"",REPORTS!J1674)</f>
        <v>238160.45452507996</v>
      </c>
      <c r="E2075" s="1324">
        <f>+IF(ISBLANK(REPORTS!K1674),"",REPORTS!K1674)</f>
        <v>136755.22600898668</v>
      </c>
      <c r="F2075" s="1324">
        <f>+IF(ISBLANK(REPORTS!L1674),"",REPORTS!L1674)</f>
        <v>11372.652897403063</v>
      </c>
      <c r="G2075" s="1324">
        <f>+IF(ISBLANK(REPORTS!M1674),"",REPORTS!M1674)</f>
        <v>73602.789612482258</v>
      </c>
      <c r="H2075" s="1324">
        <f>+IF(ISBLANK(REPORTS!N1674),"",REPORTS!N1674)</f>
        <v>9406.9346503044126</v>
      </c>
      <c r="I2075" s="1324">
        <f>+IF(ISBLANK(REPORTS!O1674),"",REPORTS!O1674)</f>
        <v>6770.200381181894</v>
      </c>
      <c r="J2075" s="1324">
        <f>+IF(ISBLANK(REPORTS!P1674),"",REPORTS!P1674)</f>
        <v>252.65097472158894</v>
      </c>
      <c r="K2075" s="1324">
        <f>+IF(ISBLANK(REPORTS!Q1674),"",REPORTS!Q1674)</f>
        <v>0</v>
      </c>
    </row>
    <row r="2076" spans="1:13">
      <c r="A2076" s="1393">
        <v>59</v>
      </c>
      <c r="B2076" s="1324" t="s">
        <v>5265</v>
      </c>
      <c r="C2076" s="1324" t="s">
        <v>2067</v>
      </c>
      <c r="D2076" s="1324">
        <f>+IF(ISBLANK(REPORTS!J1675),"",REPORTS!J1675)</f>
        <v>18325.668015979943</v>
      </c>
      <c r="E2076" s="1324">
        <f>+IF(ISBLANK(REPORTS!K1675),"",REPORTS!K1675)</f>
        <v>9247.7585478474084</v>
      </c>
      <c r="F2076" s="1324">
        <f>+IF(ISBLANK(REPORTS!L1675),"",REPORTS!L1675)</f>
        <v>854.60114694966819</v>
      </c>
      <c r="G2076" s="1324">
        <f>+IF(ISBLANK(REPORTS!M1675),"",REPORTS!M1675)</f>
        <v>6366.4466067475378</v>
      </c>
      <c r="H2076" s="1324">
        <f>+IF(ISBLANK(REPORTS!N1675),"",REPORTS!N1675)</f>
        <v>1013.4359352143441</v>
      </c>
      <c r="I2076" s="1324">
        <f>+IF(ISBLANK(REPORTS!O1675),"",REPORTS!O1675)</f>
        <v>746.6102772708731</v>
      </c>
      <c r="J2076" s="1324">
        <f>+IF(ISBLANK(REPORTS!P1675),"",REPORTS!P1675)</f>
        <v>96.815501950104291</v>
      </c>
      <c r="K2076" s="1324">
        <f>+IF(ISBLANK(REPORTS!Q1675),"",REPORTS!Q1675)</f>
        <v>0</v>
      </c>
    </row>
    <row r="2077" spans="1:13">
      <c r="A2077" s="1393">
        <v>60</v>
      </c>
      <c r="B2077" s="1324" t="s">
        <v>5268</v>
      </c>
      <c r="C2077" s="1324" t="s">
        <v>4067</v>
      </c>
      <c r="D2077" s="1324">
        <f>+IF(ISBLANK(REPORTS!J1676),"",REPORTS!J1676)</f>
        <v>21233.428075799889</v>
      </c>
      <c r="E2077" s="1324">
        <f>+IF(ISBLANK(REPORTS!K1676),"",REPORTS!K1676)</f>
        <v>12315.665170492977</v>
      </c>
      <c r="F2077" s="1324">
        <f>+IF(ISBLANK(REPORTS!L1676),"",REPORTS!L1676)</f>
        <v>1015.9181539303586</v>
      </c>
      <c r="G2077" s="1324">
        <f>+IF(ISBLANK(REPORTS!M1676),"",REPORTS!M1676)</f>
        <v>6494.2543733584516</v>
      </c>
      <c r="H2077" s="1324">
        <f>+IF(ISBLANK(REPORTS!N1676),"",REPORTS!N1676)</f>
        <v>810.72155055956614</v>
      </c>
      <c r="I2077" s="1324">
        <f>+IF(ISBLANK(REPORTS!O1676),"",REPORTS!O1676)</f>
        <v>581.81448390201388</v>
      </c>
      <c r="J2077" s="1324">
        <f>+IF(ISBLANK(REPORTS!P1676),"",REPORTS!P1676)</f>
        <v>15.054343556530908</v>
      </c>
      <c r="K2077" s="1324">
        <f>+IF(ISBLANK(REPORTS!Q1676),"",REPORTS!Q1676)</f>
        <v>0</v>
      </c>
      <c r="L2077" s="1358"/>
    </row>
    <row r="2078" spans="1:13">
      <c r="A2078" s="1393">
        <v>61</v>
      </c>
      <c r="B2078" s="1324" t="s">
        <v>5239</v>
      </c>
      <c r="C2078" s="1324" t="s">
        <v>4067</v>
      </c>
      <c r="D2078" s="1324">
        <f>+IF(ISBLANK(REPORTS!J1677),"",REPORTS!J1677)</f>
        <v>23521.142617191836</v>
      </c>
      <c r="E2078" s="1324">
        <f>+IF(ISBLANK(REPORTS!K1677),"",REPORTS!K1677)</f>
        <v>13642.569436580949</v>
      </c>
      <c r="F2078" s="1324">
        <f>+IF(ISBLANK(REPORTS!L1677),"",REPORTS!L1677)</f>
        <v>1125.3743719896274</v>
      </c>
      <c r="G2078" s="1324">
        <f>+IF(ISBLANK(REPORTS!M1677),"",REPORTS!M1677)</f>
        <v>7193.9529859608701</v>
      </c>
      <c r="H2078" s="1324">
        <f>+IF(ISBLANK(REPORTS!N1677),"",REPORTS!N1677)</f>
        <v>898.06964497060392</v>
      </c>
      <c r="I2078" s="1324">
        <f>+IF(ISBLANK(REPORTS!O1677),"",REPORTS!O1677)</f>
        <v>644.49986143330739</v>
      </c>
      <c r="J2078" s="1324">
        <f>+IF(ISBLANK(REPORTS!P1677),"",REPORTS!P1677)</f>
        <v>16.676316256484988</v>
      </c>
      <c r="K2078" s="1324">
        <f>+IF(ISBLANK(REPORTS!Q1677),"",REPORTS!Q1677)</f>
        <v>0</v>
      </c>
      <c r="L2078" s="1358"/>
    </row>
    <row r="2079" spans="1:13">
      <c r="A2079" s="1393">
        <v>62</v>
      </c>
      <c r="B2079" s="1324" t="s">
        <v>5240</v>
      </c>
      <c r="C2079" s="1324" t="s">
        <v>4067</v>
      </c>
      <c r="D2079" s="1324">
        <f>+IF(ISBLANK(REPORTS!J1678),"",REPORTS!J1678)</f>
        <v>81587.996169774371</v>
      </c>
      <c r="E2079" s="1324">
        <f>+IF(ISBLANK(REPORTS!K1678),"",REPORTS!K1678)</f>
        <v>50781.675209343128</v>
      </c>
      <c r="F2079" s="1324">
        <f>+IF(ISBLANK(REPORTS!L1678),"",REPORTS!L1678)</f>
        <v>3611.7201043455257</v>
      </c>
      <c r="G2079" s="1324">
        <f>+IF(ISBLANK(REPORTS!M1678),"",REPORTS!M1678)</f>
        <v>24182.721162361202</v>
      </c>
      <c r="H2079" s="1324">
        <f>+IF(ISBLANK(REPORTS!N1678),"",REPORTS!N1678)</f>
        <v>2543.5360463125703</v>
      </c>
      <c r="I2079" s="1324">
        <f>+IF(ISBLANK(REPORTS!O1678),"",REPORTS!O1678)</f>
        <v>1.7366768614241071E-3</v>
      </c>
      <c r="J2079" s="1324">
        <f>+IF(ISBLANK(REPORTS!P1678),"",REPORTS!P1678)</f>
        <v>468.34191073512756</v>
      </c>
      <c r="K2079" s="1324">
        <f>+IF(ISBLANK(REPORTS!Q1678),"",REPORTS!Q1678)</f>
        <v>0</v>
      </c>
      <c r="L2079" s="1358"/>
    </row>
    <row r="2080" spans="1:13">
      <c r="A2080" s="1393">
        <v>63</v>
      </c>
      <c r="B2080" s="1324" t="s">
        <v>5241</v>
      </c>
      <c r="C2080" s="1324" t="s">
        <v>4067</v>
      </c>
      <c r="D2080" s="1324">
        <f>+IF(ISBLANK(REPORTS!J1679),"",REPORTS!J1679)</f>
        <v>36365.105953842307</v>
      </c>
      <c r="E2080" s="1324">
        <f>+IF(ISBLANK(REPORTS!K1679),"",REPORTS!K1679)</f>
        <v>26533.19085437461</v>
      </c>
      <c r="F2080" s="1324">
        <f>+IF(ISBLANK(REPORTS!L1679),"",REPORTS!L1679)</f>
        <v>2136.448447691645</v>
      </c>
      <c r="G2080" s="1324">
        <f>+IF(ISBLANK(REPORTS!M1679),"",REPORTS!M1679)</f>
        <v>7563.9184917794209</v>
      </c>
      <c r="H2080" s="1324">
        <f>+IF(ISBLANK(REPORTS!N1679),"",REPORTS!N1679)</f>
        <v>0</v>
      </c>
      <c r="I2080" s="1324">
        <f>+IF(ISBLANK(REPORTS!O1679),"",REPORTS!O1679)</f>
        <v>0</v>
      </c>
      <c r="J2080" s="1324">
        <f>+IF(ISBLANK(REPORTS!P1679),"",REPORTS!P1679)</f>
        <v>131.54815999663208</v>
      </c>
      <c r="K2080" s="1324">
        <f>+IF(ISBLANK(REPORTS!Q1679),"",REPORTS!Q1679)</f>
        <v>0</v>
      </c>
      <c r="L2080" s="1358"/>
    </row>
    <row r="2081" spans="1:12">
      <c r="A2081" s="1393">
        <v>64</v>
      </c>
      <c r="B2081" s="1324" t="s">
        <v>5242</v>
      </c>
      <c r="C2081" s="1324" t="s">
        <v>4071</v>
      </c>
      <c r="D2081" s="1324">
        <f>+IF(ISBLANK(REPORTS!J1680),"",REPORTS!J1680)</f>
        <v>29589.32753773106</v>
      </c>
      <c r="E2081" s="1324">
        <f>+IF(ISBLANK(REPORTS!K1680),"",REPORTS!K1680)</f>
        <v>8834.6966940391048</v>
      </c>
      <c r="F2081" s="1324">
        <f>+IF(ISBLANK(REPORTS!L1680),"",REPORTS!L1680)</f>
        <v>1717.828172641151</v>
      </c>
      <c r="G2081" s="1324">
        <f>+IF(ISBLANK(REPORTS!M1680),"",REPORTS!M1680)</f>
        <v>986.93140950966404</v>
      </c>
      <c r="H2081" s="1324">
        <f>+IF(ISBLANK(REPORTS!N1680),"",REPORTS!N1680)</f>
        <v>74.159862910816514</v>
      </c>
      <c r="I2081" s="1324">
        <f>+IF(ISBLANK(REPORTS!O1680),"",REPORTS!O1680)</f>
        <v>80.911523527605766</v>
      </c>
      <c r="J2081" s="1324">
        <f>+IF(ISBLANK(REPORTS!P1680),"",REPORTS!P1680)</f>
        <v>16.615399852870478</v>
      </c>
      <c r="K2081" s="1324">
        <f>+IF(ISBLANK(REPORTS!Q1680),"",REPORTS!Q1680)</f>
        <v>17878.184475249836</v>
      </c>
      <c r="L2081" s="1358"/>
    </row>
    <row r="2082" spans="1:12">
      <c r="A2082" s="1393">
        <v>65</v>
      </c>
      <c r="B2082" s="1324" t="s">
        <v>5244</v>
      </c>
      <c r="C2082" s="1324" t="s">
        <v>4071</v>
      </c>
      <c r="D2082" s="1366">
        <f>+IF(ISBLANK(REPORTS!J1681),"",REPORTS!J1681)</f>
        <v>10370.913244975231</v>
      </c>
      <c r="E2082" s="1366">
        <f>+IF(ISBLANK(REPORTS!K1681),"",REPORTS!K1681)</f>
        <v>9249.680778052154</v>
      </c>
      <c r="F2082" s="1366">
        <f>+IF(ISBLANK(REPORTS!L1681),"",REPORTS!L1681)</f>
        <v>896.67328401641498</v>
      </c>
      <c r="G2082" s="1366">
        <f>+IF(ISBLANK(REPORTS!M1681),"",REPORTS!M1681)</f>
        <v>220.84298820238507</v>
      </c>
      <c r="H2082" s="1366">
        <f>+IF(ISBLANK(REPORTS!N1681),"",REPORTS!N1681)</f>
        <v>0.74564424487000303</v>
      </c>
      <c r="I2082" s="1366">
        <f>+IF(ISBLANK(REPORTS!O1681),"",REPORTS!O1681)</f>
        <v>0.13229172086403285</v>
      </c>
      <c r="J2082" s="1366">
        <f>+IF(ISBLANK(REPORTS!P1681),"",REPORTS!P1681)</f>
        <v>2.8382587385374327</v>
      </c>
      <c r="K2082" s="1366">
        <f>+IF(ISBLANK(REPORTS!Q1681),"",REPORTS!Q1681)</f>
        <v>0</v>
      </c>
      <c r="L2082" s="1358"/>
    </row>
    <row r="2083" spans="1:12">
      <c r="A2083" s="1393">
        <v>66</v>
      </c>
      <c r="D2083" s="1366">
        <f>+IF(ISBLANK(REPORTS!J1682),"",REPORTS!J1682)</f>
        <v>459154.03614037455</v>
      </c>
      <c r="E2083" s="1366">
        <f>+IF(ISBLANK(REPORTS!K1682),"",REPORTS!K1682)</f>
        <v>267360.46269971703</v>
      </c>
      <c r="F2083" s="1366">
        <f>+IF(ISBLANK(REPORTS!L1682),"",REPORTS!L1682)</f>
        <v>22731.216578967451</v>
      </c>
      <c r="G2083" s="1366">
        <f>+IF(ISBLANK(REPORTS!M1682),"",REPORTS!M1682)</f>
        <v>126611.85763040179</v>
      </c>
      <c r="H2083" s="1366">
        <f>+IF(ISBLANK(REPORTS!N1682),"",REPORTS!N1682)</f>
        <v>14747.603334517184</v>
      </c>
      <c r="I2083" s="1366">
        <f>+IF(ISBLANK(REPORTS!O1682),"",REPORTS!O1682)</f>
        <v>8824.1705557134192</v>
      </c>
      <c r="J2083" s="1366">
        <f>+IF(ISBLANK(REPORTS!P1682),"",REPORTS!P1682)</f>
        <v>1000.5408658078767</v>
      </c>
      <c r="K2083" s="1366">
        <f>+IF(ISBLANK(REPORTS!Q1682),"",REPORTS!Q1682)</f>
        <v>17878.184475249836</v>
      </c>
      <c r="L2083" s="1358"/>
    </row>
    <row r="2084" spans="1:12">
      <c r="A2084" s="1393">
        <v>67</v>
      </c>
      <c r="B2084" s="1324" t="s">
        <v>5975</v>
      </c>
      <c r="D2084" s="1530" t="str">
        <f>+IF(ISBLANK(REPORTS!J1683),"",REPORTS!J1683)</f>
        <v/>
      </c>
      <c r="E2084" s="1530" t="str">
        <f>+IF(ISBLANK(REPORTS!K1683),"",REPORTS!K1683)</f>
        <v/>
      </c>
      <c r="F2084" s="1530" t="str">
        <f>+IF(ISBLANK(REPORTS!L1683),"",REPORTS!L1683)</f>
        <v/>
      </c>
      <c r="G2084" s="1530" t="str">
        <f>+IF(ISBLANK(REPORTS!M1683),"",REPORTS!M1683)</f>
        <v/>
      </c>
      <c r="H2084" s="1530" t="str">
        <f>+IF(ISBLANK(REPORTS!N1683),"",REPORTS!N1683)</f>
        <v/>
      </c>
      <c r="I2084" s="1530" t="str">
        <f>+IF(ISBLANK(REPORTS!O1683),"",REPORTS!O1683)</f>
        <v/>
      </c>
      <c r="J2084" s="1324" t="str">
        <f>+IF(ISBLANK(REPORTS!P1683),"",REPORTS!P1683)</f>
        <v/>
      </c>
      <c r="K2084" s="1324" t="str">
        <f>+IF(ISBLANK(REPORTS!Q1683),"",REPORTS!Q1683)</f>
        <v/>
      </c>
      <c r="L2084" s="1358"/>
    </row>
    <row r="2085" spans="1:12">
      <c r="A2085" s="1393">
        <v>68</v>
      </c>
      <c r="D2085" s="1364" t="str">
        <f>+IF(ISBLANK(REPORTS!J1684),"",REPORTS!J1684)</f>
        <v/>
      </c>
      <c r="E2085" s="1364" t="str">
        <f>+IF(ISBLANK(REPORTS!K1684),"",REPORTS!K1684)</f>
        <v/>
      </c>
      <c r="F2085" s="1364" t="str">
        <f>+IF(ISBLANK(REPORTS!L1684),"",REPORTS!L1684)</f>
        <v/>
      </c>
      <c r="G2085" s="1364" t="str">
        <f>+IF(ISBLANK(REPORTS!M1684),"",REPORTS!M1684)</f>
        <v/>
      </c>
      <c r="H2085" s="1364" t="str">
        <f>+IF(ISBLANK(REPORTS!N1684),"",REPORTS!N1684)</f>
        <v/>
      </c>
      <c r="I2085" s="1364" t="str">
        <f>+IF(ISBLANK(REPORTS!O1684),"",REPORTS!O1684)</f>
        <v/>
      </c>
      <c r="J2085" s="1364" t="str">
        <f>+IF(ISBLANK(REPORTS!P1684),"",REPORTS!P1684)</f>
        <v/>
      </c>
      <c r="K2085" s="1364" t="str">
        <f>+IF(ISBLANK(REPORTS!Q1684),"",REPORTS!Q1684)</f>
        <v/>
      </c>
      <c r="L2085" s="1358"/>
    </row>
    <row r="2086" spans="1:12">
      <c r="A2086" s="1393">
        <v>69</v>
      </c>
      <c r="B2086" s="1362" t="s">
        <v>5976</v>
      </c>
      <c r="D2086" s="1530" t="str">
        <f>+IF(ISBLANK(REPORTS!J1685),"",REPORTS!J1685)</f>
        <v/>
      </c>
      <c r="E2086" s="1530" t="str">
        <f>+IF(ISBLANK(REPORTS!K1685),"",REPORTS!K1685)</f>
        <v/>
      </c>
      <c r="F2086" s="1530" t="str">
        <f>+IF(ISBLANK(REPORTS!L1685),"",REPORTS!L1685)</f>
        <v/>
      </c>
      <c r="G2086" s="1530" t="str">
        <f>+IF(ISBLANK(REPORTS!M1685),"",REPORTS!M1685)</f>
        <v/>
      </c>
      <c r="H2086" s="1530" t="str">
        <f>+IF(ISBLANK(REPORTS!N1685),"",REPORTS!N1685)</f>
        <v/>
      </c>
      <c r="I2086" s="1530" t="str">
        <f>+IF(ISBLANK(REPORTS!O1685),"",REPORTS!O1685)</f>
        <v/>
      </c>
      <c r="J2086" s="1324" t="str">
        <f>+IF(ISBLANK(REPORTS!P1685),"",REPORTS!P1685)</f>
        <v/>
      </c>
      <c r="K2086" s="1324" t="str">
        <f>+IF(ISBLANK(REPORTS!Q1685),"",REPORTS!Q1685)</f>
        <v/>
      </c>
    </row>
    <row r="2087" spans="1:12">
      <c r="A2087" s="1393">
        <v>70</v>
      </c>
      <c r="B2087" s="1324" t="s">
        <v>5265</v>
      </c>
      <c r="C2087" s="1324" t="s">
        <v>4067</v>
      </c>
      <c r="D2087" s="1324">
        <f>+IF(ISBLANK(REPORTS!J1686),"",REPORTS!J1686)</f>
        <v>63308.475253502256</v>
      </c>
      <c r="E2087" s="1324">
        <f>+IF(ISBLANK(REPORTS!K1686),"",REPORTS!K1686)</f>
        <v>36352.655015047087</v>
      </c>
      <c r="F2087" s="1324">
        <f>+IF(ISBLANK(REPORTS!L1686),"",REPORTS!L1686)</f>
        <v>3023.1102638666366</v>
      </c>
      <c r="G2087" s="1324">
        <f>+IF(ISBLANK(REPORTS!M1686),"",REPORTS!M1686)</f>
        <v>19565.29850458389</v>
      </c>
      <c r="H2087" s="1324">
        <f>+IF(ISBLANK(REPORTS!N1686),"",REPORTS!N1686)</f>
        <v>2500.577565270793</v>
      </c>
      <c r="I2087" s="1324">
        <f>+IF(ISBLANK(REPORTS!O1686),"",REPORTS!O1686)</f>
        <v>1799.6735190483514</v>
      </c>
      <c r="J2087" s="1324">
        <f>+IF(ISBLANK(REPORTS!P1686),"",REPORTS!P1686)</f>
        <v>67.160385685485664</v>
      </c>
      <c r="K2087" s="1324">
        <f>+IF(ISBLANK(REPORTS!Q1686),"",REPORTS!Q1686)</f>
        <v>0</v>
      </c>
      <c r="L2087" s="1324"/>
    </row>
    <row r="2088" spans="1:12">
      <c r="A2088" s="1393">
        <v>71</v>
      </c>
      <c r="B2088" s="1324" t="s">
        <v>5265</v>
      </c>
      <c r="C2088" s="1324" t="s">
        <v>2067</v>
      </c>
      <c r="D2088" s="1324">
        <f>+IF(ISBLANK(REPORTS!J1687),"",REPORTS!J1687)</f>
        <v>4871.3801055136555</v>
      </c>
      <c r="E2088" s="1324">
        <f>+IF(ISBLANK(REPORTS!K1687),"",REPORTS!K1687)</f>
        <v>2458.2649304404499</v>
      </c>
      <c r="F2088" s="1324">
        <f>+IF(ISBLANK(REPORTS!L1687),"",REPORTS!L1687)</f>
        <v>227.17245678408901</v>
      </c>
      <c r="G2088" s="1324">
        <f>+IF(ISBLANK(REPORTS!M1687),"",REPORTS!M1687)</f>
        <v>1692.3465663506111</v>
      </c>
      <c r="H2088" s="1324">
        <f>+IF(ISBLANK(REPORTS!N1687),"",REPORTS!N1687)</f>
        <v>269.39436252533199</v>
      </c>
      <c r="I2088" s="1324">
        <f>+IF(ISBLANK(REPORTS!O1687),"",REPORTS!O1687)</f>
        <v>198.46602307200425</v>
      </c>
      <c r="J2088" s="1324">
        <f>+IF(ISBLANK(REPORTS!P1687),"",REPORTS!P1687)</f>
        <v>25.735766341166961</v>
      </c>
      <c r="K2088" s="1324">
        <f>+IF(ISBLANK(REPORTS!Q1687),"",REPORTS!Q1687)</f>
        <v>0</v>
      </c>
      <c r="L2088" s="1324"/>
    </row>
    <row r="2089" spans="1:12">
      <c r="A2089" s="1393">
        <v>72</v>
      </c>
      <c r="B2089" s="1324" t="s">
        <v>5268</v>
      </c>
      <c r="C2089" s="1324" t="s">
        <v>4067</v>
      </c>
      <c r="D2089" s="1324">
        <f>+IF(ISBLANK(REPORTS!J1688),"",REPORTS!J1688)</f>
        <v>5644.3289821746539</v>
      </c>
      <c r="E2089" s="1324">
        <f>+IF(ISBLANK(REPORTS!K1688),"",REPORTS!K1688)</f>
        <v>3273.7844124095254</v>
      </c>
      <c r="F2089" s="1324">
        <f>+IF(ISBLANK(REPORTS!L1688),"",REPORTS!L1688)</f>
        <v>270.05419281693071</v>
      </c>
      <c r="G2089" s="1324">
        <f>+IF(ISBLANK(REPORTS!M1688),"",REPORTS!M1688)</f>
        <v>1726.3207827914869</v>
      </c>
      <c r="H2089" s="1324">
        <f>+IF(ISBLANK(REPORTS!N1688),"",REPORTS!N1688)</f>
        <v>215.5082602753277</v>
      </c>
      <c r="I2089" s="1324">
        <f>+IF(ISBLANK(REPORTS!O1688),"",REPORTS!O1688)</f>
        <v>154.65954635369988</v>
      </c>
      <c r="J2089" s="1324">
        <f>+IF(ISBLANK(REPORTS!P1688),"",REPORTS!P1688)</f>
        <v>4.0017875276854307</v>
      </c>
      <c r="K2089" s="1324">
        <f>+IF(ISBLANK(REPORTS!Q1688),"",REPORTS!Q1688)</f>
        <v>0</v>
      </c>
      <c r="L2089" s="1324"/>
    </row>
    <row r="2090" spans="1:12">
      <c r="A2090" s="1393">
        <v>73</v>
      </c>
      <c r="B2090" s="1324" t="s">
        <v>5239</v>
      </c>
      <c r="C2090" s="1324" t="s">
        <v>4067</v>
      </c>
      <c r="D2090" s="1324">
        <f>+IF(ISBLANK(REPORTS!J1689),"",REPORTS!J1689)</f>
        <v>6252.4556324180821</v>
      </c>
      <c r="E2090" s="1324">
        <f>+IF(ISBLANK(REPORTS!K1689),"",REPORTS!K1689)</f>
        <v>3626.5057995974671</v>
      </c>
      <c r="F2090" s="1324">
        <f>+IF(ISBLANK(REPORTS!L1689),"",REPORTS!L1689)</f>
        <v>299.15014951623004</v>
      </c>
      <c r="G2090" s="1324">
        <f>+IF(ISBLANK(REPORTS!M1689),"",REPORTS!M1689)</f>
        <v>1912.3166165212438</v>
      </c>
      <c r="H2090" s="1324">
        <f>+IF(ISBLANK(REPORTS!N1689),"",REPORTS!N1689)</f>
        <v>238.72737397952761</v>
      </c>
      <c r="I2090" s="1324">
        <f>+IF(ISBLANK(REPORTS!O1689),"",REPORTS!O1689)</f>
        <v>171.32274797594246</v>
      </c>
      <c r="J2090" s="1324">
        <f>+IF(ISBLANK(REPORTS!P1689),"",REPORTS!P1689)</f>
        <v>4.4329448276732242</v>
      </c>
      <c r="K2090" s="1324">
        <f>+IF(ISBLANK(REPORTS!Q1689),"",REPORTS!Q1689)</f>
        <v>0</v>
      </c>
      <c r="L2090" s="1324"/>
    </row>
    <row r="2091" spans="1:12">
      <c r="A2091" s="1393">
        <v>74</v>
      </c>
      <c r="B2091" s="1324" t="s">
        <v>5240</v>
      </c>
      <c r="C2091" s="1324" t="s">
        <v>4067</v>
      </c>
      <c r="D2091" s="1324">
        <f>+IF(ISBLANK(REPORTS!J1690),"",REPORTS!J1690)</f>
        <v>21687.948348927363</v>
      </c>
      <c r="E2091" s="1324">
        <f>+IF(ISBLANK(REPORTS!K1690),"",REPORTS!K1690)</f>
        <v>13498.926321470957</v>
      </c>
      <c r="F2091" s="1324">
        <f>+IF(ISBLANK(REPORTS!L1690),"",REPORTS!L1690)</f>
        <v>960.07749609184862</v>
      </c>
      <c r="G2091" s="1324">
        <f>+IF(ISBLANK(REPORTS!M1690),"",REPORTS!M1690)</f>
        <v>6428.3182836656351</v>
      </c>
      <c r="H2091" s="1324">
        <f>+IF(ISBLANK(REPORTS!N1690),"",REPORTS!N1690)</f>
        <v>676.12983509574656</v>
      </c>
      <c r="I2091" s="1324">
        <f>+IF(ISBLANK(REPORTS!O1690),"",REPORTS!O1690)</f>
        <v>4.6164827961906645E-4</v>
      </c>
      <c r="J2091" s="1324">
        <f>+IF(ISBLANK(REPORTS!P1690),"",REPORTS!P1690)</f>
        <v>124.49595095490731</v>
      </c>
      <c r="K2091" s="1324">
        <f>+IF(ISBLANK(REPORTS!Q1690),"",REPORTS!Q1690)</f>
        <v>0</v>
      </c>
      <c r="L2091" s="1324"/>
    </row>
    <row r="2092" spans="1:12">
      <c r="A2092" s="1393">
        <v>75</v>
      </c>
      <c r="B2092" s="1324" t="s">
        <v>5241</v>
      </c>
      <c r="C2092" s="1324" t="s">
        <v>4067</v>
      </c>
      <c r="D2092" s="1324">
        <f>+IF(ISBLANK(REPORTS!J1691),"",REPORTS!J1691)</f>
        <v>9666.6737345656747</v>
      </c>
      <c r="E2092" s="1324">
        <f>+IF(ISBLANK(REPORTS!K1691),"",REPORTS!K1691)</f>
        <v>7053.1266828084408</v>
      </c>
      <c r="F2092" s="1324">
        <f>+IF(ISBLANK(REPORTS!L1691),"",REPORTS!L1691)</f>
        <v>567.916675968665</v>
      </c>
      <c r="G2092" s="1324">
        <f>+IF(ISBLANK(REPORTS!M1691),"",REPORTS!M1691)</f>
        <v>2010.661877561618</v>
      </c>
      <c r="H2092" s="1324">
        <f>+IF(ISBLANK(REPORTS!N1691),"",REPORTS!N1691)</f>
        <v>0</v>
      </c>
      <c r="I2092" s="1324">
        <f>+IF(ISBLANK(REPORTS!O1691),"",REPORTS!O1691)</f>
        <v>0</v>
      </c>
      <c r="J2092" s="1324">
        <f>+IF(ISBLANK(REPORTS!P1691),"",REPORTS!P1691)</f>
        <v>34.968498226952825</v>
      </c>
      <c r="K2092" s="1324">
        <f>+IF(ISBLANK(REPORTS!Q1691),"",REPORTS!Q1691)</f>
        <v>0</v>
      </c>
      <c r="L2092" s="1324"/>
    </row>
    <row r="2093" spans="1:12">
      <c r="A2093" s="1393">
        <v>76</v>
      </c>
      <c r="B2093" s="1324" t="s">
        <v>5242</v>
      </c>
      <c r="C2093" s="1324" t="s">
        <v>4071</v>
      </c>
      <c r="D2093" s="1324">
        <f>+IF(ISBLANK(REPORTS!J1692),"",REPORTS!J1692)</f>
        <v>7865.517446738636</v>
      </c>
      <c r="E2093" s="1324">
        <f>+IF(ISBLANK(REPORTS!K1692),"",REPORTS!K1692)</f>
        <v>2348.4636781622935</v>
      </c>
      <c r="F2093" s="1324">
        <f>+IF(ISBLANK(REPORTS!L1692),"",REPORTS!L1692)</f>
        <v>456.63786867676163</v>
      </c>
      <c r="G2093" s="1324">
        <f>+IF(ISBLANK(REPORTS!M1692),"",REPORTS!M1692)</f>
        <v>262.34885569244233</v>
      </c>
      <c r="H2093" s="1324">
        <f>+IF(ISBLANK(REPORTS!N1692),"",REPORTS!N1692)</f>
        <v>19.713381280090463</v>
      </c>
      <c r="I2093" s="1324">
        <f>+IF(ISBLANK(REPORTS!O1692),"",REPORTS!O1692)</f>
        <v>21.50812650733824</v>
      </c>
      <c r="J2093" s="1324">
        <f>+IF(ISBLANK(REPORTS!P1692),"",REPORTS!P1692)</f>
        <v>4.4167518596237976</v>
      </c>
      <c r="K2093" s="1324">
        <f>+IF(ISBLANK(REPORTS!Q1692),"",REPORTS!Q1692)</f>
        <v>4752.4287845600829</v>
      </c>
      <c r="L2093" s="1324"/>
    </row>
    <row r="2094" spans="1:12">
      <c r="A2094" s="1393">
        <v>77</v>
      </c>
      <c r="B2094" s="1324" t="s">
        <v>5244</v>
      </c>
      <c r="C2094" s="1324" t="s">
        <v>4071</v>
      </c>
      <c r="D2094" s="1366">
        <f>+IF(ISBLANK(REPORTS!J1693),"",REPORTS!J1693)</f>
        <v>2756.825039803542</v>
      </c>
      <c r="E2094" s="1366">
        <f>+IF(ISBLANK(REPORTS!K1693),"",REPORTS!K1693)</f>
        <v>2458.7759030265215</v>
      </c>
      <c r="F2094" s="1366">
        <f>+IF(ISBLANK(REPORTS!L1693),"",REPORTS!L1693)</f>
        <v>238.35618942208498</v>
      </c>
      <c r="G2094" s="1366">
        <f>+IF(ISBLANK(REPORTS!M1693),"",REPORTS!M1693)</f>
        <v>58.705098129747924</v>
      </c>
      <c r="H2094" s="1366">
        <f>+IF(ISBLANK(REPORTS!N1693),"",REPORTS!N1693)</f>
        <v>0.19820922964898816</v>
      </c>
      <c r="I2094" s="1366">
        <f>+IF(ISBLANK(REPORTS!O1693),"",REPORTS!O1693)</f>
        <v>3.5166153647401131E-2</v>
      </c>
      <c r="J2094" s="1366">
        <f>+IF(ISBLANK(REPORTS!P1693),"",REPORTS!P1693)</f>
        <v>0.75447384188969724</v>
      </c>
      <c r="K2094" s="1366">
        <f>+IF(ISBLANK(REPORTS!Q1693),"",REPORTS!Q1693)</f>
        <v>0</v>
      </c>
      <c r="L2094" s="1364"/>
    </row>
    <row r="2095" spans="1:12">
      <c r="A2095" s="1393">
        <v>78</v>
      </c>
      <c r="B2095" s="1324" t="s">
        <v>5613</v>
      </c>
      <c r="D2095" s="1366">
        <f>+IF(ISBLANK(REPORTS!J1694),"",REPORTS!J1694)</f>
        <v>122053.60454364389</v>
      </c>
      <c r="E2095" s="1366">
        <f>+IF(ISBLANK(REPORTS!K1694),"",REPORTS!K1694)</f>
        <v>71070.502742962737</v>
      </c>
      <c r="F2095" s="1366">
        <f>+IF(ISBLANK(REPORTS!L1694),"",REPORTS!L1694)</f>
        <v>6042.4752931432458</v>
      </c>
      <c r="G2095" s="1366">
        <f>+IF(ISBLANK(REPORTS!M1694),"",REPORTS!M1694)</f>
        <v>33656.316585296678</v>
      </c>
      <c r="H2095" s="1366">
        <f>+IF(ISBLANK(REPORTS!N1694),"",REPORTS!N1694)</f>
        <v>3920.2489876564664</v>
      </c>
      <c r="I2095" s="1366">
        <f>+IF(ISBLANK(REPORTS!O1694),"",REPORTS!O1694)</f>
        <v>2345.6655907592635</v>
      </c>
      <c r="J2095" s="1366">
        <f>+IF(ISBLANK(REPORTS!P1694),"",REPORTS!P1694)</f>
        <v>265.96655926538494</v>
      </c>
      <c r="K2095" s="1366">
        <f>+IF(ISBLANK(REPORTS!Q1694),"",REPORTS!Q1694)</f>
        <v>4752.4287845600829</v>
      </c>
      <c r="L2095" s="1358"/>
    </row>
    <row r="2096" spans="1:12">
      <c r="A2096" s="1393">
        <v>79</v>
      </c>
      <c r="D2096" s="1364" t="str">
        <f>+IF(ISBLANK(REPORTS!J1695),"",REPORTS!J1695)</f>
        <v/>
      </c>
      <c r="E2096" s="1364" t="str">
        <f>+IF(ISBLANK(REPORTS!K1695),"",REPORTS!K1695)</f>
        <v/>
      </c>
      <c r="F2096" s="1364" t="str">
        <f>+IF(ISBLANK(REPORTS!L1695),"",REPORTS!L1695)</f>
        <v/>
      </c>
      <c r="G2096" s="1364" t="str">
        <f>+IF(ISBLANK(REPORTS!M1695),"",REPORTS!M1695)</f>
        <v/>
      </c>
      <c r="H2096" s="1364" t="str">
        <f>+IF(ISBLANK(REPORTS!N1695),"",REPORTS!N1695)</f>
        <v/>
      </c>
      <c r="I2096" s="1364" t="str">
        <f>+IF(ISBLANK(REPORTS!O1695),"",REPORTS!O1695)</f>
        <v/>
      </c>
      <c r="J2096" s="1364" t="str">
        <f>+IF(ISBLANK(REPORTS!P1695),"",REPORTS!P1695)</f>
        <v/>
      </c>
      <c r="K2096" s="1364" t="str">
        <f>+IF(ISBLANK(REPORTS!Q1695),"",REPORTS!Q1695)</f>
        <v/>
      </c>
      <c r="L2096" s="1358"/>
    </row>
    <row r="2097" spans="1:12">
      <c r="A2097" s="1393">
        <v>80</v>
      </c>
      <c r="B2097" s="1362" t="s">
        <v>5591</v>
      </c>
      <c r="D2097" s="1324" t="str">
        <f>+IF(ISBLANK(REPORTS!J1696),"",REPORTS!J1696)</f>
        <v/>
      </c>
      <c r="E2097" s="1324" t="str">
        <f>+IF(ISBLANK(REPORTS!K1696),"",REPORTS!K1696)</f>
        <v/>
      </c>
      <c r="F2097" s="1324" t="str">
        <f>+IF(ISBLANK(REPORTS!L1696),"",REPORTS!L1696)</f>
        <v/>
      </c>
      <c r="G2097" s="1324" t="str">
        <f>+IF(ISBLANK(REPORTS!M1696),"",REPORTS!M1696)</f>
        <v/>
      </c>
      <c r="H2097" s="1324" t="str">
        <f>+IF(ISBLANK(REPORTS!N1696),"",REPORTS!N1696)</f>
        <v/>
      </c>
      <c r="I2097" s="1324" t="str">
        <f>+IF(ISBLANK(REPORTS!O1696),"",REPORTS!O1696)</f>
        <v/>
      </c>
      <c r="J2097" s="1324" t="str">
        <f>+IF(ISBLANK(REPORTS!P1696),"",REPORTS!P1696)</f>
        <v/>
      </c>
      <c r="K2097" s="1324" t="str">
        <f>+IF(ISBLANK(REPORTS!Q1696),"",REPORTS!Q1696)</f>
        <v/>
      </c>
      <c r="L2097" s="1358"/>
    </row>
    <row r="2098" spans="1:12">
      <c r="A2098" s="1393">
        <v>81</v>
      </c>
      <c r="B2098" s="1324" t="s">
        <v>5265</v>
      </c>
      <c r="C2098" s="1324" t="s">
        <v>4067</v>
      </c>
      <c r="D2098" s="1324">
        <f>+IF(ISBLANK(REPORTS!J1697),"",REPORTS!J1697)</f>
        <v>301468.92977858218</v>
      </c>
      <c r="E2098" s="1324">
        <f>+IF(ISBLANK(REPORTS!K1697),"",REPORTS!K1697)</f>
        <v>173107.88102403376</v>
      </c>
      <c r="F2098" s="1324">
        <f>+IF(ISBLANK(REPORTS!L1697),"",REPORTS!L1697)</f>
        <v>14395.763161269699</v>
      </c>
      <c r="G2098" s="1324">
        <f>+IF(ISBLANK(REPORTS!M1697),"",REPORTS!M1697)</f>
        <v>93168.088117066145</v>
      </c>
      <c r="H2098" s="1324">
        <f>+IF(ISBLANK(REPORTS!N1697),"",REPORTS!N1697)</f>
        <v>11907.512215575205</v>
      </c>
      <c r="I2098" s="1324">
        <f>+IF(ISBLANK(REPORTS!O1697),"",REPORTS!O1697)</f>
        <v>8569.8739002302464</v>
      </c>
      <c r="J2098" s="1324">
        <f>+IF(ISBLANK(REPORTS!P1697),"",REPORTS!P1697)</f>
        <v>319.81136040707463</v>
      </c>
      <c r="K2098" s="1324">
        <f>+IF(ISBLANK(REPORTS!Q1697),"",REPORTS!Q1697)</f>
        <v>0</v>
      </c>
      <c r="L2098" s="1358"/>
    </row>
    <row r="2099" spans="1:12">
      <c r="A2099" s="1393">
        <v>82</v>
      </c>
      <c r="B2099" s="1324" t="s">
        <v>5265</v>
      </c>
      <c r="C2099" s="1324" t="s">
        <v>2067</v>
      </c>
      <c r="D2099" s="1364">
        <f>+IF(ISBLANK(REPORTS!J1698),"",REPORTS!J1698)</f>
        <v>23197.048121493601</v>
      </c>
      <c r="E2099" s="1364">
        <f>+IF(ISBLANK(REPORTS!K1698),"",REPORTS!K1698)</f>
        <v>11706.023478287858</v>
      </c>
      <c r="F2099" s="1364">
        <f>+IF(ISBLANK(REPORTS!L1698),"",REPORTS!L1698)</f>
        <v>1081.7736037337572</v>
      </c>
      <c r="G2099" s="1364">
        <f>+IF(ISBLANK(REPORTS!M1698),"",REPORTS!M1698)</f>
        <v>8058.7931730981491</v>
      </c>
      <c r="H2099" s="1364">
        <f>+IF(ISBLANK(REPORTS!N1698),"",REPORTS!N1698)</f>
        <v>1282.8302977396761</v>
      </c>
      <c r="I2099" s="1364">
        <f>+IF(ISBLANK(REPORTS!O1698),"",REPORTS!O1698)</f>
        <v>945.0763003428774</v>
      </c>
      <c r="J2099" s="1364">
        <f>+IF(ISBLANK(REPORTS!P1698),"",REPORTS!P1698)</f>
        <v>122.55126829127126</v>
      </c>
      <c r="K2099" s="1364">
        <f>+IF(ISBLANK(REPORTS!Q1698),"",REPORTS!Q1698)</f>
        <v>0</v>
      </c>
      <c r="L2099" s="1358"/>
    </row>
    <row r="2100" spans="1:12">
      <c r="A2100" s="1393">
        <v>83</v>
      </c>
      <c r="B2100" s="1324" t="s">
        <v>5268</v>
      </c>
      <c r="C2100" s="1324" t="s">
        <v>4067</v>
      </c>
      <c r="D2100" s="1364">
        <f>+IF(ISBLANK(REPORTS!J1699),"",REPORTS!J1699)</f>
        <v>26877.757057974544</v>
      </c>
      <c r="E2100" s="1364">
        <f>+IF(ISBLANK(REPORTS!K1699),"",REPORTS!K1699)</f>
        <v>15589.449582902504</v>
      </c>
      <c r="F2100" s="1364">
        <f>+IF(ISBLANK(REPORTS!L1699),"",REPORTS!L1699)</f>
        <v>1285.9723467472893</v>
      </c>
      <c r="G2100" s="1364">
        <f>+IF(ISBLANK(REPORTS!M1699),"",REPORTS!M1699)</f>
        <v>8220.5751561499383</v>
      </c>
      <c r="H2100" s="1364">
        <f>+IF(ISBLANK(REPORTS!N1699),"",REPORTS!N1699)</f>
        <v>1026.2298108348939</v>
      </c>
      <c r="I2100" s="1364">
        <f>+IF(ISBLANK(REPORTS!O1699),"",REPORTS!O1699)</f>
        <v>736.47403025571373</v>
      </c>
      <c r="J2100" s="1364">
        <f>+IF(ISBLANK(REPORTS!P1699),"",REPORTS!P1699)</f>
        <v>19.056131084216339</v>
      </c>
      <c r="K2100" s="1364">
        <f>+IF(ISBLANK(REPORTS!Q1699),"",REPORTS!Q1699)</f>
        <v>0</v>
      </c>
      <c r="L2100" s="1358"/>
    </row>
    <row r="2101" spans="1:12">
      <c r="A2101" s="1393">
        <v>84</v>
      </c>
      <c r="B2101" s="1324" t="s">
        <v>5239</v>
      </c>
      <c r="C2101" s="1324" t="s">
        <v>4067</v>
      </c>
      <c r="D2101" s="1364">
        <f>+IF(ISBLANK(REPORTS!J1700),"",REPORTS!J1700)</f>
        <v>29773.598249609917</v>
      </c>
      <c r="E2101" s="1364">
        <f>+IF(ISBLANK(REPORTS!K1700),"",REPORTS!K1700)</f>
        <v>17269.075236178414</v>
      </c>
      <c r="F2101" s="1364">
        <f>+IF(ISBLANK(REPORTS!L1700),"",REPORTS!L1700)</f>
        <v>1424.5245215058576</v>
      </c>
      <c r="G2101" s="1364">
        <f>+IF(ISBLANK(REPORTS!M1700),"",REPORTS!M1700)</f>
        <v>9106.2696024821144</v>
      </c>
      <c r="H2101" s="1364">
        <f>+IF(ISBLANK(REPORTS!N1700),"",REPORTS!N1700)</f>
        <v>1136.7970189501316</v>
      </c>
      <c r="I2101" s="1364">
        <f>+IF(ISBLANK(REPORTS!O1700),"",REPORTS!O1700)</f>
        <v>815.82260940924982</v>
      </c>
      <c r="J2101" s="1364">
        <f>+IF(ISBLANK(REPORTS!P1700),"",REPORTS!P1700)</f>
        <v>21.109261084158213</v>
      </c>
      <c r="K2101" s="1364">
        <f>+IF(ISBLANK(REPORTS!Q1700),"",REPORTS!Q1700)</f>
        <v>0</v>
      </c>
      <c r="L2101" s="1358"/>
    </row>
    <row r="2102" spans="1:12">
      <c r="A2102" s="1393">
        <v>85</v>
      </c>
      <c r="B2102" s="1324" t="s">
        <v>5240</v>
      </c>
      <c r="C2102" s="1324" t="s">
        <v>4067</v>
      </c>
      <c r="D2102" s="1364">
        <f>+IF(ISBLANK(REPORTS!J1701),"",REPORTS!J1701)</f>
        <v>103275.94451870173</v>
      </c>
      <c r="E2102" s="1364">
        <f>+IF(ISBLANK(REPORTS!K1701),"",REPORTS!K1701)</f>
        <v>64280.601530814085</v>
      </c>
      <c r="F2102" s="1364">
        <f>+IF(ISBLANK(REPORTS!L1701),"",REPORTS!L1701)</f>
        <v>4571.7976004373741</v>
      </c>
      <c r="G2102" s="1364">
        <f>+IF(ISBLANK(REPORTS!M1701),"",REPORTS!M1701)</f>
        <v>30611.039446026836</v>
      </c>
      <c r="H2102" s="1364">
        <f>+IF(ISBLANK(REPORTS!N1701),"",REPORTS!N1701)</f>
        <v>3219.6658814083166</v>
      </c>
      <c r="I2102" s="1364">
        <f>+IF(ISBLANK(REPORTS!O1701),"",REPORTS!O1701)</f>
        <v>2.1983251410431738E-3</v>
      </c>
      <c r="J2102" s="1364">
        <f>+IF(ISBLANK(REPORTS!P1701),"",REPORTS!P1701)</f>
        <v>592.83786169003486</v>
      </c>
      <c r="K2102" s="1364">
        <f>+IF(ISBLANK(REPORTS!Q1701),"",REPORTS!Q1701)</f>
        <v>0</v>
      </c>
      <c r="L2102" s="1358"/>
    </row>
    <row r="2103" spans="1:12">
      <c r="A2103" s="1393">
        <v>86</v>
      </c>
      <c r="B2103" s="1324" t="s">
        <v>5241</v>
      </c>
      <c r="C2103" s="1324" t="s">
        <v>4067</v>
      </c>
      <c r="D2103" s="1364">
        <f>+IF(ISBLANK(REPORTS!J1702),"",REPORTS!J1702)</f>
        <v>46031.77968840798</v>
      </c>
      <c r="E2103" s="1364">
        <f>+IF(ISBLANK(REPORTS!K1702),"",REPORTS!K1702)</f>
        <v>33586.317537183051</v>
      </c>
      <c r="F2103" s="1364">
        <f>+IF(ISBLANK(REPORTS!L1702),"",REPORTS!L1702)</f>
        <v>2704.36512366031</v>
      </c>
      <c r="G2103" s="1364">
        <f>+IF(ISBLANK(REPORTS!M1702),"",REPORTS!M1702)</f>
        <v>9574.580369341038</v>
      </c>
      <c r="H2103" s="1364">
        <f>+IF(ISBLANK(REPORTS!N1702),"",REPORTS!N1702)</f>
        <v>0</v>
      </c>
      <c r="I2103" s="1364">
        <f>+IF(ISBLANK(REPORTS!O1702),"",REPORTS!O1702)</f>
        <v>0</v>
      </c>
      <c r="J2103" s="1364">
        <f>+IF(ISBLANK(REPORTS!P1702),"",REPORTS!P1702)</f>
        <v>166.5166582235849</v>
      </c>
      <c r="K2103" s="1364">
        <f>+IF(ISBLANK(REPORTS!Q1702),"",REPORTS!Q1702)</f>
        <v>0</v>
      </c>
      <c r="L2103" s="1358"/>
    </row>
    <row r="2104" spans="1:12">
      <c r="A2104" s="1393">
        <v>87</v>
      </c>
      <c r="B2104" s="1324" t="s">
        <v>5242</v>
      </c>
      <c r="C2104" s="1324" t="s">
        <v>4071</v>
      </c>
      <c r="D2104" s="1364">
        <f>+IF(ISBLANK(REPORTS!J1703),"",REPORTS!J1703)</f>
        <v>37454.844984469695</v>
      </c>
      <c r="E2104" s="1364">
        <f>+IF(ISBLANK(REPORTS!K1703),"",REPORTS!K1703)</f>
        <v>11183.160372201399</v>
      </c>
      <c r="F2104" s="1364">
        <f>+IF(ISBLANK(REPORTS!L1703),"",REPORTS!L1703)</f>
        <v>2174.4660413179126</v>
      </c>
      <c r="G2104" s="1364">
        <f>+IF(ISBLANK(REPORTS!M1703),"",REPORTS!M1703)</f>
        <v>1249.2802652021064</v>
      </c>
      <c r="H2104" s="1364">
        <f>+IF(ISBLANK(REPORTS!N1703),"",REPORTS!N1703)</f>
        <v>93.873244190906973</v>
      </c>
      <c r="I2104" s="1364">
        <f>+IF(ISBLANK(REPORTS!O1703),"",REPORTS!O1703)</f>
        <v>102.419650034944</v>
      </c>
      <c r="J2104" s="1364">
        <f>+IF(ISBLANK(REPORTS!P1703),"",REPORTS!P1703)</f>
        <v>21.032151712494276</v>
      </c>
      <c r="K2104" s="1364">
        <f>+IF(ISBLANK(REPORTS!Q1703),"",REPORTS!Q1703)</f>
        <v>22630.613259809921</v>
      </c>
      <c r="L2104" s="1358"/>
    </row>
    <row r="2105" spans="1:12">
      <c r="A2105" s="1393">
        <v>88</v>
      </c>
      <c r="B2105" s="1324" t="s">
        <v>5244</v>
      </c>
      <c r="C2105" s="1324" t="s">
        <v>4071</v>
      </c>
      <c r="D2105" s="1366">
        <f>+IF(ISBLANK(REPORTS!J1704),"",REPORTS!J1704)</f>
        <v>13127.738284778772</v>
      </c>
      <c r="E2105" s="1366">
        <f>+IF(ISBLANK(REPORTS!K1704),"",REPORTS!K1704)</f>
        <v>11708.456681078675</v>
      </c>
      <c r="F2105" s="1366">
        <f>+IF(ISBLANK(REPORTS!L1704),"",REPORTS!L1704)</f>
        <v>1135.0294734385</v>
      </c>
      <c r="G2105" s="1366">
        <f>+IF(ISBLANK(REPORTS!M1704),"",REPORTS!M1704)</f>
        <v>279.54808633213298</v>
      </c>
      <c r="H2105" s="1366">
        <f>+IF(ISBLANK(REPORTS!N1704),"",REPORTS!N1704)</f>
        <v>0.94385347451899115</v>
      </c>
      <c r="I2105" s="1366">
        <f>+IF(ISBLANK(REPORTS!O1704),"",REPORTS!O1704)</f>
        <v>0.16745787451143399</v>
      </c>
      <c r="J2105" s="1366">
        <f>+IF(ISBLANK(REPORTS!P1704),"",REPORTS!P1704)</f>
        <v>3.5927325804271302</v>
      </c>
      <c r="K2105" s="1366">
        <f>+IF(ISBLANK(REPORTS!Q1704),"",REPORTS!Q1704)</f>
        <v>0</v>
      </c>
      <c r="L2105" s="1358"/>
    </row>
    <row r="2106" spans="1:12">
      <c r="A2106" s="1393">
        <v>89</v>
      </c>
      <c r="B2106" s="1324" t="s">
        <v>5601</v>
      </c>
      <c r="D2106" s="1366">
        <f>+IF(ISBLANK(REPORTS!J1705),"",REPORTS!J1705)</f>
        <v>581207.64068401849</v>
      </c>
      <c r="E2106" s="1366">
        <f>+IF(ISBLANK(REPORTS!K1705),"",REPORTS!K1705)</f>
        <v>338430.96544267976</v>
      </c>
      <c r="F2106" s="1366">
        <f>+IF(ISBLANK(REPORTS!L1705),"",REPORTS!L1705)</f>
        <v>28773.691872110699</v>
      </c>
      <c r="G2106" s="1366">
        <f>+IF(ISBLANK(REPORTS!M1705),"",REPORTS!M1705)</f>
        <v>160268.17421569847</v>
      </c>
      <c r="H2106" s="1366">
        <f>+IF(ISBLANK(REPORTS!N1705),"",REPORTS!N1705)</f>
        <v>18667.852322173654</v>
      </c>
      <c r="I2106" s="1366">
        <f>+IF(ISBLANK(REPORTS!O1705),"",REPORTS!O1705)</f>
        <v>11169.836146472682</v>
      </c>
      <c r="J2106" s="1366">
        <f>+IF(ISBLANK(REPORTS!P1705),"",REPORTS!P1705)</f>
        <v>1266.5074250732616</v>
      </c>
      <c r="K2106" s="1366">
        <f>+IF(ISBLANK(REPORTS!Q1705),"",REPORTS!Q1705)</f>
        <v>22630.613259809921</v>
      </c>
      <c r="L2106" s="1358"/>
    </row>
    <row r="2107" spans="1:12">
      <c r="L2107" s="1358"/>
    </row>
    <row r="2108" spans="1:12">
      <c r="D2108" s="1364"/>
      <c r="E2108" s="1364"/>
      <c r="F2108" s="1364"/>
      <c r="G2108" s="1364"/>
      <c r="H2108" s="1364"/>
      <c r="I2108" s="1364"/>
      <c r="J2108" s="1364"/>
      <c r="K2108" s="1364"/>
      <c r="L2108" s="1358"/>
    </row>
    <row r="2109" spans="1:12">
      <c r="D2109" s="1364"/>
      <c r="E2109" s="1364"/>
      <c r="F2109" s="1364"/>
      <c r="G2109" s="1364"/>
      <c r="H2109" s="1364"/>
      <c r="I2109" s="1364"/>
      <c r="J2109" s="1364"/>
      <c r="K2109" s="1364"/>
      <c r="L2109" s="1358"/>
    </row>
    <row r="2110" spans="1:12">
      <c r="D2110" s="1364"/>
      <c r="E2110" s="1364"/>
      <c r="F2110" s="1364"/>
      <c r="G2110" s="1364"/>
      <c r="H2110" s="1364"/>
      <c r="I2110" s="1364"/>
      <c r="J2110" s="1364"/>
      <c r="K2110" s="1364"/>
      <c r="L2110" s="1358"/>
    </row>
    <row r="2111" spans="1:12">
      <c r="D2111" s="1364"/>
      <c r="E2111" s="1364"/>
      <c r="F2111" s="1364"/>
      <c r="G2111" s="1364"/>
      <c r="H2111" s="1364"/>
      <c r="I2111" s="1364"/>
      <c r="J2111" s="1364"/>
      <c r="K2111" s="1364"/>
      <c r="L2111" s="1358"/>
    </row>
    <row r="2112" spans="1:12">
      <c r="D2112" s="1364"/>
      <c r="E2112" s="1364"/>
      <c r="F2112" s="1364"/>
      <c r="G2112" s="1364"/>
      <c r="H2112" s="1364"/>
      <c r="I2112" s="1364"/>
      <c r="J2112" s="1364"/>
      <c r="K2112" s="1364"/>
      <c r="L2112" s="1358"/>
    </row>
    <row r="2113" spans="1:13">
      <c r="D2113" s="1364"/>
      <c r="E2113" s="1364"/>
      <c r="F2113" s="1364"/>
      <c r="G2113" s="1364"/>
      <c r="H2113" s="1364"/>
      <c r="I2113" s="1364"/>
      <c r="J2113" s="1364"/>
      <c r="K2113" s="1364"/>
      <c r="L2113" s="1358"/>
    </row>
    <row r="2114" spans="1:13">
      <c r="A2114" s="1732" t="str">
        <f>+$A$1</f>
        <v>RATES WITH REVENUE DEFICIENCY ADDITION</v>
      </c>
      <c r="F2114" s="1329" t="s">
        <v>2173</v>
      </c>
      <c r="G2114" s="1329"/>
      <c r="H2114" s="1329"/>
      <c r="I2114" s="1329"/>
      <c r="M2114" s="1334" t="s">
        <v>9457</v>
      </c>
    </row>
    <row r="2115" spans="1:13">
      <c r="A2115" s="1732" t="str">
        <f>+$A$2</f>
        <v>PROD. CAP. ALLOC. METHOD: 12 CP &amp; 1/13th AD</v>
      </c>
      <c r="F2115" s="1336" t="s">
        <v>5141</v>
      </c>
      <c r="G2115" s="1336"/>
      <c r="H2115" s="1336"/>
      <c r="I2115" s="1336"/>
      <c r="L2115" s="1331"/>
      <c r="M2115" s="1409"/>
    </row>
    <row r="2116" spans="1:13">
      <c r="A2116" s="1732" t="str">
        <f>+$A$3</f>
        <v>PROJECTED CALENDAR YEAR 2025; FULLY ADJUSTED DATA</v>
      </c>
      <c r="F2116" s="1336" t="s">
        <v>2181</v>
      </c>
      <c r="J2116" s="1364"/>
      <c r="K2116" s="1364"/>
      <c r="L2116" s="1358"/>
    </row>
    <row r="2117" spans="1:13">
      <c r="A2117" s="1732" t="str">
        <f>+$A$4</f>
        <v>MINIMUM DISTRIBUTION SYSTEM (MDS) NOT EMPLOYED</v>
      </c>
      <c r="D2117" s="1364"/>
      <c r="E2117" s="1364"/>
      <c r="F2117" s="1336"/>
      <c r="G2117" s="1336"/>
      <c r="H2117" s="1336"/>
      <c r="I2117" s="1336"/>
      <c r="J2117" s="1364"/>
      <c r="K2117" s="1364"/>
      <c r="L2117" s="1358"/>
    </row>
    <row r="2118" spans="1:13">
      <c r="A2118" s="1732" t="str">
        <f>+$A$5</f>
        <v>Tampa Electric 2025 OB Budget</v>
      </c>
      <c r="D2118" s="1364"/>
      <c r="E2118" s="1364"/>
      <c r="F2118" s="1336" t="s">
        <v>5912</v>
      </c>
      <c r="G2118" s="1336"/>
      <c r="H2118" s="1336"/>
      <c r="I2118" s="1336"/>
      <c r="J2118" s="1364"/>
      <c r="K2118" s="1364"/>
      <c r="L2118" s="1358"/>
    </row>
    <row r="2119" spans="1:13">
      <c r="D2119" s="1364"/>
      <c r="E2119" s="1364"/>
      <c r="F2119" s="1336"/>
      <c r="G2119" s="1336"/>
      <c r="H2119" s="1336"/>
      <c r="I2119" s="1336"/>
      <c r="J2119" s="1364"/>
      <c r="K2119" s="1364"/>
      <c r="L2119" s="1358"/>
    </row>
    <row r="2120" spans="1:13">
      <c r="D2120" s="1364"/>
      <c r="E2120" s="1364"/>
      <c r="F2120" s="1336"/>
      <c r="G2120" s="1336"/>
      <c r="H2120" s="1336"/>
      <c r="I2120" s="1336"/>
      <c r="J2120" s="1364"/>
      <c r="K2120" s="1364"/>
      <c r="L2120" s="1358"/>
    </row>
    <row r="2121" spans="1:13">
      <c r="D2121" s="1364"/>
      <c r="E2121" s="1364"/>
      <c r="F2121" s="1336"/>
      <c r="G2121" s="1336"/>
      <c r="H2121" s="1336"/>
      <c r="I2121" s="1336"/>
      <c r="J2121" s="1364"/>
      <c r="K2121" s="1364"/>
      <c r="L2121" s="1358"/>
    </row>
    <row r="2122" spans="1:13">
      <c r="D2122" s="1364"/>
      <c r="E2122" s="1364"/>
      <c r="F2122" s="1336"/>
      <c r="G2122" s="1336"/>
      <c r="H2122" s="1336"/>
      <c r="I2122" s="1336"/>
      <c r="J2122" s="1364"/>
      <c r="K2122" s="1364"/>
      <c r="L2122" s="1358"/>
    </row>
    <row r="2123" spans="1:13" ht="28.2">
      <c r="A2123" s="1737" t="s">
        <v>4297</v>
      </c>
      <c r="B2123" s="1741"/>
      <c r="C2123" s="1741"/>
      <c r="D2123" s="1352" t="s">
        <v>4957</v>
      </c>
      <c r="E2123" s="1353" t="s">
        <v>1949</v>
      </c>
      <c r="F2123" s="1353" t="s">
        <v>1950</v>
      </c>
      <c r="G2123" s="1353" t="s">
        <v>1934</v>
      </c>
      <c r="H2123" s="1353" t="s">
        <v>1971</v>
      </c>
      <c r="I2123" s="1353" t="s">
        <v>1972</v>
      </c>
      <c r="J2123" s="1352" t="s">
        <v>5146</v>
      </c>
      <c r="K2123" s="1352" t="s">
        <v>5147</v>
      </c>
      <c r="L2123" s="1350"/>
      <c r="M2123" s="1350"/>
    </row>
    <row r="2125" spans="1:13">
      <c r="A2125" s="1393">
        <v>90</v>
      </c>
      <c r="B2125" s="1362" t="s">
        <v>5996</v>
      </c>
    </row>
    <row r="2126" spans="1:13">
      <c r="A2126" s="1393">
        <v>91</v>
      </c>
      <c r="B2126" s="1324" t="s">
        <v>5265</v>
      </c>
      <c r="C2126" s="1324" t="s">
        <v>4067</v>
      </c>
      <c r="D2126" s="1324">
        <f>+IF(ISBLANK(REPORTS!J1723),"",REPORTS!J1723)</f>
        <v>17545.81072785399</v>
      </c>
      <c r="E2126" s="1324">
        <f>+IF(ISBLANK(REPORTS!K1723),"",REPORTS!K1723)</f>
        <v>10075.061858541647</v>
      </c>
      <c r="F2126" s="1324">
        <f>+IF(ISBLANK(REPORTS!L1723),"",REPORTS!L1723)</f>
        <v>837.84864959770744</v>
      </c>
      <c r="G2126" s="1324">
        <f>+IF(ISBLANK(REPORTS!M1723),"",REPORTS!M1723)</f>
        <v>5422.4813189826864</v>
      </c>
      <c r="H2126" s="1324">
        <f>+IF(ISBLANK(REPORTS!N1723),"",REPORTS!N1723)</f>
        <v>693.02981148850404</v>
      </c>
      <c r="I2126" s="1324">
        <f>+IF(ISBLANK(REPORTS!O1723),"",REPORTS!O1723)</f>
        <v>498.77572964303022</v>
      </c>
      <c r="J2126" s="1324">
        <f>+IF(ISBLANK(REPORTS!P1723),"",REPORTS!P1723)</f>
        <v>18.613359600411751</v>
      </c>
      <c r="K2126" s="1320">
        <f>+IF(ISBLANK(REPORTS!Q1723),"",REPORTS!Q1723)</f>
        <v>0</v>
      </c>
    </row>
    <row r="2127" spans="1:13">
      <c r="A2127" s="1393">
        <v>92</v>
      </c>
      <c r="B2127" s="1324" t="s">
        <v>5265</v>
      </c>
      <c r="C2127" s="1324" t="s">
        <v>2067</v>
      </c>
      <c r="D2127" s="1324">
        <f>+IF(ISBLANK(REPORTS!J1724),"",REPORTS!J1724)</f>
        <v>1350.0927478117969</v>
      </c>
      <c r="E2127" s="1324">
        <f>+IF(ISBLANK(REPORTS!K1724),"",REPORTS!K1724)</f>
        <v>681.30295376278548</v>
      </c>
      <c r="F2127" s="1324">
        <f>+IF(ISBLANK(REPORTS!L1724),"",REPORTS!L1724)</f>
        <v>62.96036847127688</v>
      </c>
      <c r="G2127" s="1324">
        <f>+IF(ISBLANK(REPORTS!M1724),"",REPORTS!M1724)</f>
        <v>469.03029049777592</v>
      </c>
      <c r="H2127" s="1324">
        <f>+IF(ISBLANK(REPORTS!N1724),"",REPORTS!N1724)</f>
        <v>74.662080820827711</v>
      </c>
      <c r="I2127" s="1324">
        <f>+IF(ISBLANK(REPORTS!O1724),"",REPORTS!O1724)</f>
        <v>55.004440760696575</v>
      </c>
      <c r="J2127" s="1324">
        <f>+IF(ISBLANK(REPORTS!P1724),"",REPORTS!P1724)</f>
        <v>7.132613498433777</v>
      </c>
      <c r="K2127" s="1320">
        <f>+IF(ISBLANK(REPORTS!Q1724),"",REPORTS!Q1724)</f>
        <v>0</v>
      </c>
    </row>
    <row r="2128" spans="1:13">
      <c r="A2128" s="1393">
        <v>93</v>
      </c>
      <c r="B2128" s="1324" t="s">
        <v>5268</v>
      </c>
      <c r="C2128" s="1324" t="s">
        <v>4067</v>
      </c>
      <c r="D2128" s="1324">
        <f>+IF(ISBLANK(REPORTS!J1725),"",REPORTS!J1725)</f>
        <v>1564.3139028450794</v>
      </c>
      <c r="E2128" s="1324">
        <f>+IF(ISBLANK(REPORTS!K1725),"",REPORTS!K1725)</f>
        <v>907.32246249697118</v>
      </c>
      <c r="F2128" s="1324">
        <f>+IF(ISBLANK(REPORTS!L1725),"",REPORTS!L1725)</f>
        <v>74.844951397990386</v>
      </c>
      <c r="G2128" s="1324">
        <f>+IF(ISBLANK(REPORTS!M1725),"",REPORTS!M1725)</f>
        <v>478.44617310925565</v>
      </c>
      <c r="H2128" s="1324">
        <f>+IF(ISBLANK(REPORTS!N1725),"",REPORTS!N1725)</f>
        <v>59.727660948062613</v>
      </c>
      <c r="I2128" s="1324">
        <f>+IF(ISBLANK(REPORTS!O1725),"",REPORTS!O1725)</f>
        <v>42.863567898480696</v>
      </c>
      <c r="J2128" s="1324">
        <f>+IF(ISBLANK(REPORTS!P1725),"",REPORTS!P1725)</f>
        <v>1.1090869943194697</v>
      </c>
      <c r="K2128" s="1320">
        <f>+IF(ISBLANK(REPORTS!Q1725),"",REPORTS!Q1725)</f>
        <v>0</v>
      </c>
      <c r="L2128" s="1358"/>
    </row>
    <row r="2129" spans="1:13">
      <c r="A2129" s="1393">
        <v>94</v>
      </c>
      <c r="B2129" s="1324" t="s">
        <v>5239</v>
      </c>
      <c r="C2129" s="1324" t="s">
        <v>4067</v>
      </c>
      <c r="D2129" s="1324">
        <f>+IF(ISBLANK(REPORTS!J1726),"",REPORTS!J1726)</f>
        <v>1732.8549245804713</v>
      </c>
      <c r="E2129" s="1324">
        <f>+IF(ISBLANK(REPORTS!K1726),"",REPORTS!K1726)</f>
        <v>1005.0784528992729</v>
      </c>
      <c r="F2129" s="1324">
        <f>+IF(ISBLANK(REPORTS!L1726),"",REPORTS!L1726)</f>
        <v>82.90883458499701</v>
      </c>
      <c r="G2129" s="1324">
        <f>+IF(ISBLANK(REPORTS!M1726),"",REPORTS!M1726)</f>
        <v>529.99452712858874</v>
      </c>
      <c r="H2129" s="1324">
        <f>+IF(ISBLANK(REPORTS!N1726),"",REPORTS!N1726)</f>
        <v>66.162789462706073</v>
      </c>
      <c r="I2129" s="1324">
        <f>+IF(ISBLANK(REPORTS!O1726),"",REPORTS!O1726)</f>
        <v>47.481739171966922</v>
      </c>
      <c r="J2129" s="1324">
        <f>+IF(ISBLANK(REPORTS!P1726),"",REPORTS!P1726)</f>
        <v>1.2285813329404252</v>
      </c>
      <c r="K2129" s="1320">
        <f>+IF(ISBLANK(REPORTS!Q1726),"",REPORTS!Q1726)</f>
        <v>0</v>
      </c>
      <c r="L2129" s="1358"/>
    </row>
    <row r="2130" spans="1:13">
      <c r="A2130" s="1393">
        <v>95</v>
      </c>
      <c r="B2130" s="1324" t="s">
        <v>5240</v>
      </c>
      <c r="C2130" s="1324" t="s">
        <v>4067</v>
      </c>
      <c r="D2130" s="1324">
        <f>+IF(ISBLANK(REPORTS!J1727),"",REPORTS!J1727)</f>
        <v>6010.7692577022171</v>
      </c>
      <c r="E2130" s="1324">
        <f>+IF(ISBLANK(REPORTS!K1727),"",REPORTS!K1727)</f>
        <v>3741.1990308939417</v>
      </c>
      <c r="F2130" s="1324">
        <f>+IF(ISBLANK(REPORTS!L1727),"",REPORTS!L1727)</f>
        <v>266.08345822651387</v>
      </c>
      <c r="G2130" s="1324">
        <f>+IF(ISBLANK(REPORTS!M1727),"",REPORTS!M1727)</f>
        <v>1781.5948883930964</v>
      </c>
      <c r="H2130" s="1324">
        <f>+IF(ISBLANK(REPORTS!N1727),"",REPORTS!N1727)</f>
        <v>187.38796135180681</v>
      </c>
      <c r="I2130" s="1324">
        <f>+IF(ISBLANK(REPORTS!O1727),"",REPORTS!O1727)</f>
        <v>1.2794484947870326E-4</v>
      </c>
      <c r="J2130" s="1324">
        <f>+IF(ISBLANK(REPORTS!P1727),"",REPORTS!P1727)</f>
        <v>34.503790892012617</v>
      </c>
      <c r="K2130" s="1320">
        <f>+IF(ISBLANK(REPORTS!Q1727),"",REPORTS!Q1727)</f>
        <v>0</v>
      </c>
      <c r="L2130" s="1358"/>
    </row>
    <row r="2131" spans="1:13">
      <c r="A2131" s="1393">
        <v>96</v>
      </c>
      <c r="B2131" s="1324" t="s">
        <v>5241</v>
      </c>
      <c r="C2131" s="1324" t="s">
        <v>4067</v>
      </c>
      <c r="D2131" s="1324">
        <f>+IF(ISBLANK(REPORTS!J1728),"",REPORTS!J1728)</f>
        <v>2679.098288743322</v>
      </c>
      <c r="E2131" s="1324">
        <f>+IF(ISBLANK(REPORTS!K1728),"",REPORTS!K1728)</f>
        <v>1954.7592217408126</v>
      </c>
      <c r="F2131" s="1324">
        <f>+IF(ISBLANK(REPORTS!L1728),"",REPORTS!L1728)</f>
        <v>157.39691195906568</v>
      </c>
      <c r="G2131" s="1324">
        <f>+IF(ISBLANK(REPORTS!M1728),"",REPORTS!M1728)</f>
        <v>557.25070932672713</v>
      </c>
      <c r="H2131" s="1324">
        <f>+IF(ISBLANK(REPORTS!N1728),"",REPORTS!N1728)</f>
        <v>0</v>
      </c>
      <c r="I2131" s="1324">
        <f>+IF(ISBLANK(REPORTS!O1728),"",REPORTS!O1728)</f>
        <v>0</v>
      </c>
      <c r="J2131" s="1324">
        <f>+IF(ISBLANK(REPORTS!P1728),"",REPORTS!P1728)</f>
        <v>9.6914457167165828</v>
      </c>
      <c r="K2131" s="1320">
        <f>+IF(ISBLANK(REPORTS!Q1728),"",REPORTS!Q1728)</f>
        <v>0</v>
      </c>
      <c r="L2131" s="1358"/>
    </row>
    <row r="2132" spans="1:13">
      <c r="A2132" s="1393">
        <v>97</v>
      </c>
      <c r="B2132" s="1324" t="s">
        <v>5242</v>
      </c>
      <c r="C2132" s="1324" t="s">
        <v>4071</v>
      </c>
      <c r="D2132" s="1324">
        <f>+IF(ISBLANK(REPORTS!J1729),"",REPORTS!J1729)</f>
        <v>2179.9116128527339</v>
      </c>
      <c r="E2132" s="1324">
        <f>+IF(ISBLANK(REPORTS!K1729),"",REPORTS!K1729)</f>
        <v>650.87176769426139</v>
      </c>
      <c r="F2132" s="1324">
        <f>+IF(ISBLANK(REPORTS!L1729),"",REPORTS!L1729)</f>
        <v>126.55622462696846</v>
      </c>
      <c r="G2132" s="1324">
        <f>+IF(ISBLANK(REPORTS!M1729),"",REPORTS!M1729)</f>
        <v>72.709433424461224</v>
      </c>
      <c r="H2132" s="1324">
        <f>+IF(ISBLANK(REPORTS!N1729),"",REPORTS!N1729)</f>
        <v>5.4635221486771259</v>
      </c>
      <c r="I2132" s="1324">
        <f>+IF(ISBLANK(REPORTS!O1729),"",REPORTS!O1729)</f>
        <v>5.960932012615789</v>
      </c>
      <c r="J2132" s="1324">
        <f>+IF(ISBLANK(REPORTS!P1729),"",REPORTS!P1729)</f>
        <v>1.2240934859123653</v>
      </c>
      <c r="K2132" s="1320">
        <f>+IF(ISBLANK(REPORTS!Q1729),"",REPORTS!Q1729)</f>
        <v>1317.1256394598367</v>
      </c>
      <c r="L2132" s="1358"/>
    </row>
    <row r="2133" spans="1:13">
      <c r="A2133" s="1393">
        <v>98</v>
      </c>
      <c r="B2133" s="1324" t="s">
        <v>5244</v>
      </c>
      <c r="C2133" s="1324" t="s">
        <v>4071</v>
      </c>
      <c r="D2133" s="1366">
        <f>+IF(ISBLANK(REPORTS!J1730),"",REPORTS!J1730)</f>
        <v>764.04825996066938</v>
      </c>
      <c r="E2133" s="1366">
        <f>+IF(ISBLANK(REPORTS!K1730),"",REPORTS!K1730)</f>
        <v>681.44456874002867</v>
      </c>
      <c r="F2133" s="1366">
        <f>+IF(ISBLANK(REPORTS!L1730),"",REPORTS!L1730)</f>
        <v>66.059916443510588</v>
      </c>
      <c r="G2133" s="1366">
        <f>+IF(ISBLANK(REPORTS!M1730),"",REPORTS!M1730)</f>
        <v>16.269994442610916</v>
      </c>
      <c r="H2133" s="1366">
        <f>+IF(ISBLANK(REPORTS!N1730),"",REPORTS!N1730)</f>
        <v>5.4933271003750811E-2</v>
      </c>
      <c r="I2133" s="1366">
        <f>+IF(ISBLANK(REPORTS!O1730),"",REPORTS!O1730)</f>
        <v>9.7462255006654716E-3</v>
      </c>
      <c r="J2133" s="1366">
        <f>+IF(ISBLANK(REPORTS!P1730),"",REPORTS!P1730)</f>
        <v>0.20910083801427742</v>
      </c>
      <c r="K2133" s="1350">
        <f>+IF(ISBLANK(REPORTS!Q1730),"",REPORTS!Q1730)</f>
        <v>0</v>
      </c>
      <c r="L2133" s="1358"/>
    </row>
    <row r="2134" spans="1:13">
      <c r="A2134" s="1393">
        <v>99</v>
      </c>
      <c r="B2134" s="1324" t="s">
        <v>6005</v>
      </c>
      <c r="D2134" s="1366">
        <f>+IF(ISBLANK(REPORTS!J1731),"",REPORTS!J1731)</f>
        <v>33826.899722350274</v>
      </c>
      <c r="E2134" s="1366">
        <f>+IF(ISBLANK(REPORTS!K1731),"",REPORTS!K1731)</f>
        <v>19697.040316769722</v>
      </c>
      <c r="F2134" s="1366">
        <f>+IF(ISBLANK(REPORTS!L1731),"",REPORTS!L1731)</f>
        <v>1674.6593153080303</v>
      </c>
      <c r="G2134" s="1366">
        <f>+IF(ISBLANK(REPORTS!M1731),"",REPORTS!M1731)</f>
        <v>9327.7773353052035</v>
      </c>
      <c r="H2134" s="1366">
        <f>+IF(ISBLANK(REPORTS!N1731),"",REPORTS!N1731)</f>
        <v>1086.4887594915883</v>
      </c>
      <c r="I2134" s="1366">
        <f>+IF(ISBLANK(REPORTS!O1731),"",REPORTS!O1731)</f>
        <v>650.09628365714036</v>
      </c>
      <c r="J2134" s="1366">
        <f>+IF(ISBLANK(REPORTS!P1731),"",REPORTS!P1731)</f>
        <v>73.712072358761262</v>
      </c>
      <c r="K2134" s="1366">
        <f>+IF(ISBLANK(REPORTS!Q1731),"",REPORTS!Q1731)</f>
        <v>1317.1256394598367</v>
      </c>
      <c r="L2134" s="1358"/>
    </row>
    <row r="2135" spans="1:13">
      <c r="A2135" s="1393">
        <v>100</v>
      </c>
      <c r="D2135" s="1533" t="str">
        <f>+IF(ISBLANK(REPORTS!J1732),"",REPORTS!J1732)</f>
        <v/>
      </c>
      <c r="E2135" s="1533" t="str">
        <f>+IF(ISBLANK(REPORTS!K1732),"",REPORTS!K1732)</f>
        <v/>
      </c>
      <c r="F2135" s="1533" t="str">
        <f>+IF(ISBLANK(REPORTS!L1732),"",REPORTS!L1732)</f>
        <v/>
      </c>
      <c r="G2135" s="1533" t="str">
        <f>+IF(ISBLANK(REPORTS!M1732),"",REPORTS!M1732)</f>
        <v/>
      </c>
      <c r="H2135" s="1533" t="str">
        <f>+IF(ISBLANK(REPORTS!N1732),"",REPORTS!N1732)</f>
        <v/>
      </c>
      <c r="I2135" s="1533" t="str">
        <f>+IF(ISBLANK(REPORTS!O1732),"",REPORTS!O1732)</f>
        <v/>
      </c>
      <c r="J2135" s="1533" t="str">
        <f>+IF(ISBLANK(REPORTS!P1732),"",REPORTS!P1732)</f>
        <v/>
      </c>
      <c r="K2135" s="1533" t="str">
        <f>+IF(ISBLANK(REPORTS!Q1732),"",REPORTS!Q1732)</f>
        <v/>
      </c>
      <c r="L2135" s="1358"/>
    </row>
    <row r="2136" spans="1:13">
      <c r="A2136" s="1393">
        <v>101</v>
      </c>
      <c r="D2136" s="1533" t="str">
        <f>+IF(ISBLANK(REPORTS!J1733),"",REPORTS!J1733)</f>
        <v/>
      </c>
      <c r="E2136" s="1533" t="str">
        <f>+IF(ISBLANK(REPORTS!K1733),"",REPORTS!K1733)</f>
        <v/>
      </c>
      <c r="F2136" s="1533" t="str">
        <f>+IF(ISBLANK(REPORTS!L1733),"",REPORTS!L1733)</f>
        <v/>
      </c>
      <c r="G2136" s="1533" t="str">
        <f>+IF(ISBLANK(REPORTS!M1733),"",REPORTS!M1733)</f>
        <v/>
      </c>
      <c r="H2136" s="1533" t="str">
        <f>+IF(ISBLANK(REPORTS!N1733),"",REPORTS!N1733)</f>
        <v/>
      </c>
      <c r="I2136" s="1533" t="str">
        <f>+IF(ISBLANK(REPORTS!O1733),"",REPORTS!O1733)</f>
        <v/>
      </c>
      <c r="J2136" s="1533" t="str">
        <f>+IF(ISBLANK(REPORTS!P1733),"",REPORTS!P1733)</f>
        <v/>
      </c>
      <c r="K2136" s="1533" t="str">
        <f>+IF(ISBLANK(REPORTS!Q1733),"",REPORTS!Q1733)</f>
        <v/>
      </c>
      <c r="L2136" s="1533"/>
      <c r="M2136" s="1533"/>
    </row>
    <row r="2137" spans="1:13">
      <c r="A2137" s="1393">
        <v>102</v>
      </c>
      <c r="B2137" s="1362" t="s">
        <v>6007</v>
      </c>
      <c r="D2137" s="1324" t="str">
        <f>+IF(ISBLANK(REPORTS!J1734),"",REPORTS!J1734)</f>
        <v/>
      </c>
      <c r="E2137" s="1324" t="str">
        <f>+IF(ISBLANK(REPORTS!K1734),"",REPORTS!K1734)</f>
        <v/>
      </c>
      <c r="F2137" s="1324" t="str">
        <f>+IF(ISBLANK(REPORTS!L1734),"",REPORTS!L1734)</f>
        <v/>
      </c>
      <c r="G2137" s="1324" t="str">
        <f>+IF(ISBLANK(REPORTS!M1734),"",REPORTS!M1734)</f>
        <v/>
      </c>
      <c r="H2137" s="1324" t="str">
        <f>+IF(ISBLANK(REPORTS!N1734),"",REPORTS!N1734)</f>
        <v/>
      </c>
      <c r="I2137" s="1324" t="str">
        <f>+IF(ISBLANK(REPORTS!O1734),"",REPORTS!O1734)</f>
        <v/>
      </c>
      <c r="J2137" s="1324" t="str">
        <f>+IF(ISBLANK(REPORTS!P1734),"",REPORTS!P1734)</f>
        <v/>
      </c>
      <c r="K2137" s="1324" t="str">
        <f>+IF(ISBLANK(REPORTS!Q1734),"",REPORTS!Q1734)</f>
        <v/>
      </c>
      <c r="L2137" s="1533"/>
      <c r="M2137" s="1533"/>
    </row>
    <row r="2138" spans="1:13">
      <c r="A2138" s="1393">
        <v>103</v>
      </c>
      <c r="B2138" s="1324" t="s">
        <v>5265</v>
      </c>
      <c r="C2138" s="1324" t="s">
        <v>4067</v>
      </c>
      <c r="D2138" s="1324">
        <f>+IF(ISBLANK(REPORTS!J1735),"",REPORTS!J1735)</f>
        <v>4071.9547618950883</v>
      </c>
      <c r="E2138" s="1324">
        <f>+IF(ISBLANK(REPORTS!K1735),"",REPORTS!K1735)</f>
        <v>2338.176146295064</v>
      </c>
      <c r="F2138" s="1324">
        <f>+IF(ISBLANK(REPORTS!L1735),"",REPORTS!L1735)</f>
        <v>194.4442380801878</v>
      </c>
      <c r="G2138" s="1324">
        <f>+IF(ISBLANK(REPORTS!M1735),"",REPORTS!M1735)</f>
        <v>1258.4256704118293</v>
      </c>
      <c r="H2138" s="1324">
        <f>+IF(ISBLANK(REPORTS!N1735),"",REPORTS!N1735)</f>
        <v>160.83531760353296</v>
      </c>
      <c r="I2138" s="1324">
        <f>+IF(ISBLANK(REPORTS!O1735),"",REPORTS!O1735)</f>
        <v>115.75368268468962</v>
      </c>
      <c r="J2138" s="1324">
        <f>+IF(ISBLANK(REPORTS!P1735),"",REPORTS!P1735)</f>
        <v>4.31970681978469</v>
      </c>
      <c r="K2138" s="1324">
        <f>+IF(ISBLANK(REPORTS!Q1735),"",REPORTS!Q1735)</f>
        <v>0</v>
      </c>
      <c r="L2138" s="1533"/>
      <c r="M2138" s="1533"/>
    </row>
    <row r="2139" spans="1:13">
      <c r="A2139" s="1393">
        <v>104</v>
      </c>
      <c r="B2139" s="1324" t="s">
        <v>5265</v>
      </c>
      <c r="C2139" s="1324" t="s">
        <v>2067</v>
      </c>
      <c r="D2139" s="1364">
        <f>+IF(ISBLANK(REPORTS!J1736),"",REPORTS!J1736)</f>
        <v>306.23478931100033</v>
      </c>
      <c r="E2139" s="1364">
        <f>+IF(ISBLANK(REPORTS!K1736),"",REPORTS!K1736)</f>
        <v>154.5365433898273</v>
      </c>
      <c r="F2139" s="1364">
        <f>+IF(ISBLANK(REPORTS!L1736),"",REPORTS!L1736)</f>
        <v>14.280985661906657</v>
      </c>
      <c r="G2139" s="1364">
        <f>+IF(ISBLANK(REPORTS!M1736),"",REPORTS!M1736)</f>
        <v>106.38779626352472</v>
      </c>
      <c r="H2139" s="1364">
        <f>+IF(ISBLANK(REPORTS!N1736),"",REPORTS!N1736)</f>
        <v>16.935226581095836</v>
      </c>
      <c r="I2139" s="1364">
        <f>+IF(ISBLANK(REPORTS!O1736),"",REPORTS!O1736)</f>
        <v>12.476382348414344</v>
      </c>
      <c r="J2139" s="1364">
        <f>+IF(ISBLANK(REPORTS!P1736),"",REPORTS!P1736)</f>
        <v>1.6178550662314581</v>
      </c>
      <c r="K2139" s="1364">
        <f>+IF(ISBLANK(REPORTS!Q1736),"",REPORTS!Q1736)</f>
        <v>0</v>
      </c>
      <c r="L2139" s="1533"/>
      <c r="M2139" s="1533"/>
    </row>
    <row r="2140" spans="1:13">
      <c r="A2140" s="1393">
        <v>105</v>
      </c>
      <c r="B2140" s="1324" t="s">
        <v>5268</v>
      </c>
      <c r="C2140" s="1324" t="s">
        <v>4067</v>
      </c>
      <c r="D2140" s="1364">
        <f>+IF(ISBLANK(REPORTS!J1737),"",REPORTS!J1737)</f>
        <v>300.4007081567762</v>
      </c>
      <c r="E2140" s="1364">
        <f>+IF(ISBLANK(REPORTS!K1737),"",REPORTS!K1737)</f>
        <v>174.23632799332907</v>
      </c>
      <c r="F2140" s="1364">
        <f>+IF(ISBLANK(REPORTS!L1737),"",REPORTS!L1737)</f>
        <v>14.372739615127262</v>
      </c>
      <c r="G2140" s="1364">
        <f>+IF(ISBLANK(REPORTS!M1737),"",REPORTS!M1737)</f>
        <v>91.877703672850203</v>
      </c>
      <c r="H2140" s="1364">
        <f>+IF(ISBLANK(REPORTS!N1737),"",REPORTS!N1737)</f>
        <v>11.469713088091581</v>
      </c>
      <c r="I2140" s="1364">
        <f>+IF(ISBLANK(REPORTS!O1737),"",REPORTS!O1737)</f>
        <v>8.2312419057397097</v>
      </c>
      <c r="J2140" s="1364">
        <f>+IF(ISBLANK(REPORTS!P1737),"",REPORTS!P1737)</f>
        <v>0.21298188163839027</v>
      </c>
      <c r="K2140" s="1364">
        <f>+IF(ISBLANK(REPORTS!Q1737),"",REPORTS!Q1737)</f>
        <v>0</v>
      </c>
      <c r="L2140" s="1533"/>
      <c r="M2140" s="1533"/>
    </row>
    <row r="2141" spans="1:13">
      <c r="A2141" s="1393">
        <v>106</v>
      </c>
      <c r="B2141" s="1324" t="s">
        <v>5239</v>
      </c>
      <c r="C2141" s="1324" t="s">
        <v>4067</v>
      </c>
      <c r="D2141" s="1364">
        <f>+IF(ISBLANK(REPORTS!J1738),"",REPORTS!J1738)</f>
        <v>326.09333055350851</v>
      </c>
      <c r="E2141" s="1364">
        <f>+IF(ISBLANK(REPORTS!K1738),"",REPORTS!K1738)</f>
        <v>189.13838401840846</v>
      </c>
      <c r="F2141" s="1364">
        <f>+IF(ISBLANK(REPORTS!L1738),"",REPORTS!L1738)</f>
        <v>15.602008926787141</v>
      </c>
      <c r="G2141" s="1364">
        <f>+IF(ISBLANK(REPORTS!M1738),"",REPORTS!M1738)</f>
        <v>99.73580481258999</v>
      </c>
      <c r="H2141" s="1364">
        <f>+IF(ISBLANK(REPORTS!N1738),"",REPORTS!N1738)</f>
        <v>12.450692824056123</v>
      </c>
      <c r="I2141" s="1364">
        <f>+IF(ISBLANK(REPORTS!O1738),"",REPORTS!O1738)</f>
        <v>8.9352422106589628</v>
      </c>
      <c r="J2141" s="1364">
        <f>+IF(ISBLANK(REPORTS!P1738),"",REPORTS!P1738)</f>
        <v>0.23119776100783862</v>
      </c>
      <c r="K2141" s="1364">
        <f>+IF(ISBLANK(REPORTS!Q1738),"",REPORTS!Q1738)</f>
        <v>0</v>
      </c>
      <c r="L2141" s="1533"/>
      <c r="M2141" s="1533"/>
    </row>
    <row r="2142" spans="1:13">
      <c r="A2142" s="1393">
        <v>107</v>
      </c>
      <c r="B2142" s="1324" t="s">
        <v>5240</v>
      </c>
      <c r="C2142" s="1324" t="s">
        <v>4067</v>
      </c>
      <c r="D2142" s="1364">
        <f>+IF(ISBLANK(REPORTS!J1739),"",REPORTS!J1739)</f>
        <v>1136.1837488881017</v>
      </c>
      <c r="E2142" s="1364">
        <f>+IF(ISBLANK(REPORTS!K1739),"",REPORTS!K1739)</f>
        <v>707.17895796960852</v>
      </c>
      <c r="F2142" s="1364">
        <f>+IF(ISBLANK(REPORTS!L1739),"",REPORTS!L1739)</f>
        <v>50.296341137620217</v>
      </c>
      <c r="G2142" s="1364">
        <f>+IF(ISBLANK(REPORTS!M1739),"",REPORTS!M1739)</f>
        <v>336.76540763904814</v>
      </c>
      <c r="H2142" s="1364">
        <f>+IF(ISBLANK(REPORTS!N1739),"",REPORTS!N1739)</f>
        <v>35.420949848037282</v>
      </c>
      <c r="I2142" s="1364">
        <f>+IF(ISBLANK(REPORTS!O1739),"",REPORTS!O1739)</f>
        <v>2.4184734515529909E-5</v>
      </c>
      <c r="J2142" s="1364">
        <f>+IF(ISBLANK(REPORTS!P1739),"",REPORTS!P1739)</f>
        <v>6.5220681090533681</v>
      </c>
      <c r="K2142" s="1364">
        <f>+IF(ISBLANK(REPORTS!Q1739),"",REPORTS!Q1739)</f>
        <v>0</v>
      </c>
      <c r="L2142" s="1533"/>
      <c r="M2142" s="1533"/>
    </row>
    <row r="2143" spans="1:13">
      <c r="A2143" s="1393">
        <v>108</v>
      </c>
      <c r="B2143" s="1324" t="s">
        <v>5241</v>
      </c>
      <c r="C2143" s="1324" t="s">
        <v>4067</v>
      </c>
      <c r="D2143" s="1364">
        <f>+IF(ISBLANK(REPORTS!J1740),"",REPORTS!J1740)</f>
        <v>499.46920952111361</v>
      </c>
      <c r="E2143" s="1364">
        <f>+IF(ISBLANK(REPORTS!K1740),"",REPORTS!K1740)</f>
        <v>364.42934825842514</v>
      </c>
      <c r="F2143" s="1364">
        <f>+IF(ISBLANK(REPORTS!L1740),"",REPORTS!L1740)</f>
        <v>29.343795084925585</v>
      </c>
      <c r="G2143" s="1364">
        <f>+IF(ISBLANK(REPORTS!M1740),"",REPORTS!M1740)</f>
        <v>103.88927217114363</v>
      </c>
      <c r="H2143" s="1364">
        <f>+IF(ISBLANK(REPORTS!N1740),"",REPORTS!N1740)</f>
        <v>0</v>
      </c>
      <c r="I2143" s="1364">
        <f>+IF(ISBLANK(REPORTS!O1740),"",REPORTS!O1740)</f>
        <v>0</v>
      </c>
      <c r="J2143" s="1364">
        <f>+IF(ISBLANK(REPORTS!P1740),"",REPORTS!P1740)</f>
        <v>1.8067940066192076</v>
      </c>
      <c r="K2143" s="1364">
        <f>+IF(ISBLANK(REPORTS!Q1740),"",REPORTS!Q1740)</f>
        <v>0</v>
      </c>
      <c r="L2143" s="1533"/>
      <c r="M2143" s="1533"/>
    </row>
    <row r="2144" spans="1:13">
      <c r="A2144" s="1393">
        <v>109</v>
      </c>
      <c r="B2144" s="1324" t="s">
        <v>5242</v>
      </c>
      <c r="C2144" s="1324" t="s">
        <v>4071</v>
      </c>
      <c r="D2144" s="1364">
        <f>+IF(ISBLANK(REPORTS!J1741),"",REPORTS!J1741)</f>
        <v>487.19159581373538</v>
      </c>
      <c r="E2144" s="1364">
        <f>+IF(ISBLANK(REPORTS!K1741),"",REPORTS!K1741)</f>
        <v>179.60645636343705</v>
      </c>
      <c r="F2144" s="1364">
        <f>+IF(ISBLANK(REPORTS!L1741),"",REPORTS!L1741)</f>
        <v>27.243937861155231</v>
      </c>
      <c r="G2144" s="1364">
        <f>+IF(ISBLANK(REPORTS!M1741),"",REPORTS!M1741)</f>
        <v>13.134281820978284</v>
      </c>
      <c r="H2144" s="1364">
        <f>+IF(ISBLANK(REPORTS!N1741),"",REPORTS!N1741)</f>
        <v>0.84670333447057178</v>
      </c>
      <c r="I2144" s="1364">
        <f>+IF(ISBLANK(REPORTS!O1741),"",REPORTS!O1741)</f>
        <v>0.92378888092477507</v>
      </c>
      <c r="J2144" s="1364">
        <f>+IF(ISBLANK(REPORTS!P1741),"",REPORTS!P1741)</f>
        <v>0.21202057224775719</v>
      </c>
      <c r="K2144" s="1364">
        <f>+IF(ISBLANK(REPORTS!Q1741),"",REPORTS!Q1741)</f>
        <v>265.22440698052179</v>
      </c>
      <c r="L2144" s="1533"/>
      <c r="M2144" s="1533"/>
    </row>
    <row r="2145" spans="1:13">
      <c r="A2145" s="1393">
        <v>110</v>
      </c>
      <c r="B2145" s="1324" t="s">
        <v>5244</v>
      </c>
      <c r="C2145" s="1324" t="s">
        <v>4071</v>
      </c>
      <c r="D2145" s="1366">
        <f>+IF(ISBLANK(REPORTS!J1742),"",REPORTS!J1742)</f>
        <v>148.84268449735839</v>
      </c>
      <c r="E2145" s="1366">
        <f>+IF(ISBLANK(REPORTS!K1742),"",REPORTS!K1742)</f>
        <v>132.7508277456607</v>
      </c>
      <c r="F2145" s="1366">
        <f>+IF(ISBLANK(REPORTS!L1742),"",REPORTS!L1742)</f>
        <v>12.868997701309402</v>
      </c>
      <c r="G2145" s="1366">
        <f>+IF(ISBLANK(REPORTS!M1742),"",REPORTS!M1742)</f>
        <v>3.1695244613474687</v>
      </c>
      <c r="H2145" s="1366">
        <f>+IF(ISBLANK(REPORTS!N1742),"",REPORTS!N1742)</f>
        <v>1.0701438577767416E-2</v>
      </c>
      <c r="I2145" s="1366">
        <f>+IF(ISBLANK(REPORTS!O1742),"",REPORTS!O1742)</f>
        <v>1.8986423283135739E-3</v>
      </c>
      <c r="J2145" s="1366">
        <f>+IF(ISBLANK(REPORTS!P1742),"",REPORTS!P1742)</f>
        <v>4.0734508134727579E-2</v>
      </c>
      <c r="K2145" s="1366">
        <f>+IF(ISBLANK(REPORTS!Q1742),"",REPORTS!Q1742)</f>
        <v>0</v>
      </c>
      <c r="L2145" s="1533"/>
      <c r="M2145" s="1533"/>
    </row>
    <row r="2146" spans="1:13">
      <c r="A2146" s="1393">
        <v>111</v>
      </c>
      <c r="B2146" s="1324" t="s">
        <v>5564</v>
      </c>
      <c r="D2146" s="1366">
        <f>+IF(ISBLANK(REPORTS!J1743),"",REPORTS!J1743)</f>
        <v>7276.3708286366818</v>
      </c>
      <c r="E2146" s="1366">
        <f>+IF(ISBLANK(REPORTS!K1743),"",REPORTS!K1743)</f>
        <v>4240.0529920337613</v>
      </c>
      <c r="F2146" s="1366">
        <f>+IF(ISBLANK(REPORTS!L1743),"",REPORTS!L1743)</f>
        <v>358.45304406901937</v>
      </c>
      <c r="G2146" s="1366">
        <f>+IF(ISBLANK(REPORTS!M1743),"",REPORTS!M1743)</f>
        <v>2013.3854612533116</v>
      </c>
      <c r="H2146" s="1366">
        <f>+IF(ISBLANK(REPORTS!N1743),"",REPORTS!N1743)</f>
        <v>237.96930471786212</v>
      </c>
      <c r="I2146" s="1366">
        <f>+IF(ISBLANK(REPORTS!O1743),"",REPORTS!O1743)</f>
        <v>146.32226085749025</v>
      </c>
      <c r="J2146" s="1366">
        <f>+IF(ISBLANK(REPORTS!P1743),"",REPORTS!P1743)</f>
        <v>14.963358724717439</v>
      </c>
      <c r="K2146" s="1366">
        <f>+IF(ISBLANK(REPORTS!Q1743),"",REPORTS!Q1743)</f>
        <v>265.22440698052179</v>
      </c>
      <c r="L2146" s="1533"/>
      <c r="M2146" s="1533"/>
    </row>
    <row r="2147" spans="1:13">
      <c r="A2147" s="1393">
        <v>112</v>
      </c>
      <c r="D2147" s="1324" t="str">
        <f>+IF(ISBLANK(REPORTS!J1744),"",REPORTS!J1744)</f>
        <v/>
      </c>
      <c r="E2147" s="1324" t="str">
        <f>+IF(ISBLANK(REPORTS!K1744),"",REPORTS!K1744)</f>
        <v/>
      </c>
      <c r="F2147" s="1324" t="str">
        <f>+IF(ISBLANK(REPORTS!L1744),"",REPORTS!L1744)</f>
        <v/>
      </c>
      <c r="G2147" s="1324" t="str">
        <f>+IF(ISBLANK(REPORTS!M1744),"",REPORTS!M1744)</f>
        <v/>
      </c>
      <c r="H2147" s="1324" t="str">
        <f>+IF(ISBLANK(REPORTS!N1744),"",REPORTS!N1744)</f>
        <v/>
      </c>
      <c r="I2147" s="1324" t="str">
        <f>+IF(ISBLANK(REPORTS!O1744),"",REPORTS!O1744)</f>
        <v/>
      </c>
      <c r="J2147" s="1324" t="str">
        <f>+IF(ISBLANK(REPORTS!P1744),"",REPORTS!P1744)</f>
        <v/>
      </c>
      <c r="K2147" s="1324" t="str">
        <f>+IF(ISBLANK(REPORTS!Q1744),"",REPORTS!Q1744)</f>
        <v/>
      </c>
      <c r="L2147" s="1533"/>
      <c r="M2147" s="1533"/>
    </row>
    <row r="2148" spans="1:13">
      <c r="A2148" s="1393">
        <v>113</v>
      </c>
      <c r="B2148" s="1362" t="s">
        <v>6017</v>
      </c>
      <c r="D2148" s="1324" t="str">
        <f>+IF(ISBLANK(REPORTS!J1745),"",REPORTS!J1745)</f>
        <v/>
      </c>
      <c r="E2148" s="1324" t="str">
        <f>+IF(ISBLANK(REPORTS!K1745),"",REPORTS!K1745)</f>
        <v/>
      </c>
      <c r="F2148" s="1324" t="str">
        <f>+IF(ISBLANK(REPORTS!L1745),"",REPORTS!L1745)</f>
        <v/>
      </c>
      <c r="G2148" s="1324" t="str">
        <f>+IF(ISBLANK(REPORTS!M1745),"",REPORTS!M1745)</f>
        <v/>
      </c>
      <c r="H2148" s="1324" t="str">
        <f>+IF(ISBLANK(REPORTS!N1745),"",REPORTS!N1745)</f>
        <v/>
      </c>
      <c r="I2148" s="1324" t="str">
        <f>+IF(ISBLANK(REPORTS!O1745),"",REPORTS!O1745)</f>
        <v/>
      </c>
      <c r="J2148" s="1324" t="str">
        <f>+IF(ISBLANK(REPORTS!P1745),"",REPORTS!P1745)</f>
        <v/>
      </c>
      <c r="K2148" s="1324" t="str">
        <f>+IF(ISBLANK(REPORTS!Q1745),"",REPORTS!Q1745)</f>
        <v/>
      </c>
      <c r="L2148" s="1533"/>
      <c r="M2148" s="1533"/>
    </row>
    <row r="2149" spans="1:13">
      <c r="A2149" s="1393">
        <v>114</v>
      </c>
      <c r="B2149" s="1324" t="s">
        <v>5265</v>
      </c>
      <c r="C2149" s="1324" t="s">
        <v>4067</v>
      </c>
      <c r="D2149" s="1324">
        <f>+IF(ISBLANK(REPORTS!J1746),"",REPORTS!J1746)</f>
        <v>101438.76376111731</v>
      </c>
      <c r="E2149" s="1324">
        <f>+IF(ISBLANK(REPORTS!K1746),"",REPORTS!K1746)</f>
        <v>58247.625920460938</v>
      </c>
      <c r="F2149" s="1324">
        <f>+IF(ISBLANK(REPORTS!L1746),"",REPORTS!L1746)</f>
        <v>4843.9101818869376</v>
      </c>
      <c r="G2149" s="1324">
        <f>+IF(ISBLANK(REPORTS!M1746),"",REPORTS!M1746)</f>
        <v>31349.352278270751</v>
      </c>
      <c r="H2149" s="1324">
        <f>+IF(ISBLANK(REPORTS!N1746),"",REPORTS!N1746)</f>
        <v>4006.6593910871638</v>
      </c>
      <c r="I2149" s="1324">
        <f>+IF(ISBLANK(REPORTS!O1746),"",REPORTS!O1746)</f>
        <v>2883.6053342760811</v>
      </c>
      <c r="J2149" s="1324">
        <f>+IF(ISBLANK(REPORTS!P1746),"",REPORTS!P1746)</f>
        <v>107.61065513544528</v>
      </c>
      <c r="K2149" s="1320">
        <f>+IF(ISBLANK(REPORTS!Q1746),"",REPORTS!Q1746)</f>
        <v>0</v>
      </c>
      <c r="L2149" s="1533"/>
      <c r="M2149" s="1533"/>
    </row>
    <row r="2150" spans="1:13">
      <c r="A2150" s="1393">
        <v>115</v>
      </c>
      <c r="B2150" s="1324" t="s">
        <v>5265</v>
      </c>
      <c r="C2150" s="1324" t="s">
        <v>2067</v>
      </c>
      <c r="D2150" s="1324">
        <f>+IF(ISBLANK(REPORTS!J1747),"",REPORTS!J1747)</f>
        <v>7628.7877112605429</v>
      </c>
      <c r="E2150" s="1324">
        <f>+IF(ISBLANK(REPORTS!K1747),"",REPORTS!K1747)</f>
        <v>3849.7470708846326</v>
      </c>
      <c r="F2150" s="1324">
        <f>+IF(ISBLANK(REPORTS!L1747),"",REPORTS!L1747)</f>
        <v>355.76169568245729</v>
      </c>
      <c r="G2150" s="1324">
        <f>+IF(ISBLANK(REPORTS!M1747),"",REPORTS!M1747)</f>
        <v>2650.2864504366544</v>
      </c>
      <c r="H2150" s="1324">
        <f>+IF(ISBLANK(REPORTS!N1747),"",REPORTS!N1747)</f>
        <v>421.88298958441027</v>
      </c>
      <c r="I2150" s="1324">
        <f>+IF(ISBLANK(REPORTS!O1747),"",REPORTS!O1747)</f>
        <v>310.80620381086248</v>
      </c>
      <c r="J2150" s="1324">
        <f>+IF(ISBLANK(REPORTS!P1747),"",REPORTS!P1747)</f>
        <v>40.303300861525635</v>
      </c>
      <c r="K2150" s="1320">
        <f>+IF(ISBLANK(REPORTS!Q1747),"",REPORTS!Q1747)</f>
        <v>0</v>
      </c>
      <c r="L2150" s="1533"/>
      <c r="M2150" s="1533"/>
    </row>
    <row r="2151" spans="1:13">
      <c r="A2151" s="1393">
        <v>116</v>
      </c>
      <c r="B2151" s="1324" t="s">
        <v>5268</v>
      </c>
      <c r="C2151" s="1324" t="s">
        <v>4067</v>
      </c>
      <c r="D2151" s="1324">
        <f>+IF(ISBLANK(REPORTS!J1748),"",REPORTS!J1748)</f>
        <v>7483.4516221898712</v>
      </c>
      <c r="E2151" s="1324">
        <f>+IF(ISBLANK(REPORTS!K1748),"",REPORTS!K1748)</f>
        <v>4340.4995260051046</v>
      </c>
      <c r="F2151" s="1324">
        <f>+IF(ISBLANK(REPORTS!L1748),"",REPORTS!L1748)</f>
        <v>358.04743020779904</v>
      </c>
      <c r="G2151" s="1324">
        <f>+IF(ISBLANK(REPORTS!M1748),"",REPORTS!M1748)</f>
        <v>2288.8173427169118</v>
      </c>
      <c r="H2151" s="1324">
        <f>+IF(ISBLANK(REPORTS!N1748),"",REPORTS!N1748)</f>
        <v>285.72849758508528</v>
      </c>
      <c r="I2151" s="1324">
        <f>+IF(ISBLANK(REPORTS!O1748),"",REPORTS!O1748)</f>
        <v>205.05311378959078</v>
      </c>
      <c r="J2151" s="1324">
        <f>+IF(ISBLANK(REPORTS!P1748),"",REPORTS!P1748)</f>
        <v>5.3057118853796226</v>
      </c>
      <c r="K2151" s="1320">
        <f>+IF(ISBLANK(REPORTS!Q1748),"",REPORTS!Q1748)</f>
        <v>0</v>
      </c>
      <c r="L2151" s="1533"/>
      <c r="M2151" s="1533"/>
    </row>
    <row r="2152" spans="1:13">
      <c r="A2152" s="1393">
        <v>117</v>
      </c>
      <c r="B2152" s="1324" t="s">
        <v>5239</v>
      </c>
      <c r="C2152" s="1324" t="s">
        <v>4067</v>
      </c>
      <c r="D2152" s="1324">
        <f>+IF(ISBLANK(REPORTS!J1749),"",REPORTS!J1749)</f>
        <v>8123.4950426361193</v>
      </c>
      <c r="E2152" s="1324">
        <f>+IF(ISBLANK(REPORTS!K1749),"",REPORTS!K1749)</f>
        <v>4711.7330561093149</v>
      </c>
      <c r="F2152" s="1324">
        <f>+IF(ISBLANK(REPORTS!L1749),"",REPORTS!L1749)</f>
        <v>388.67045197394077</v>
      </c>
      <c r="G2152" s="1324">
        <f>+IF(ISBLANK(REPORTS!M1749),"",REPORTS!M1749)</f>
        <v>2484.5749362403858</v>
      </c>
      <c r="H2152" s="1324">
        <f>+IF(ISBLANK(REPORTS!N1749),"",REPORTS!N1749)</f>
        <v>310.16623756740245</v>
      </c>
      <c r="I2152" s="1324">
        <f>+IF(ISBLANK(REPORTS!O1749),"",REPORTS!O1749)</f>
        <v>222.59086280555061</v>
      </c>
      <c r="J2152" s="1324">
        <f>+IF(ISBLANK(REPORTS!P1749),"",REPORTS!P1749)</f>
        <v>5.7594979395249091</v>
      </c>
      <c r="K2152" s="1320">
        <f>+IF(ISBLANK(REPORTS!Q1749),"",REPORTS!Q1749)</f>
        <v>0</v>
      </c>
      <c r="L2152" s="1533"/>
      <c r="M2152" s="1533"/>
    </row>
    <row r="2153" spans="1:13">
      <c r="A2153" s="1393">
        <v>118</v>
      </c>
      <c r="B2153" s="1324" t="s">
        <v>5240</v>
      </c>
      <c r="C2153" s="1324" t="s">
        <v>4067</v>
      </c>
      <c r="D2153" s="1324">
        <f>+IF(ISBLANK(REPORTS!J1750),"",REPORTS!J1750)</f>
        <v>28304.114763554495</v>
      </c>
      <c r="E2153" s="1324">
        <f>+IF(ISBLANK(REPORTS!K1750),"",REPORTS!K1750)</f>
        <v>17616.934236500845</v>
      </c>
      <c r="F2153" s="1324">
        <f>+IF(ISBLANK(REPORTS!L1750),"",REPORTS!L1750)</f>
        <v>1252.9605472171684</v>
      </c>
      <c r="G2153" s="1324">
        <f>+IF(ISBLANK(REPORTS!M1750),"",REPORTS!M1750)</f>
        <v>8389.3531794825776</v>
      </c>
      <c r="H2153" s="1324">
        <f>+IF(ISBLANK(REPORTS!N1750),"",REPORTS!N1750)</f>
        <v>882.39127739160563</v>
      </c>
      <c r="I2153" s="1324">
        <f>+IF(ISBLANK(REPORTS!O1750),"",REPORTS!O1750)</f>
        <v>6.0247957420932305E-4</v>
      </c>
      <c r="J2153" s="1324">
        <f>+IF(ISBLANK(REPORTS!P1750),"",REPORTS!P1750)</f>
        <v>162.47492048273088</v>
      </c>
      <c r="K2153" s="1320">
        <f>+IF(ISBLANK(REPORTS!Q1750),"",REPORTS!Q1750)</f>
        <v>0</v>
      </c>
      <c r="L2153" s="1533"/>
      <c r="M2153" s="1533"/>
    </row>
    <row r="2154" spans="1:13">
      <c r="A2154" s="1393">
        <v>119</v>
      </c>
      <c r="B2154" s="1324" t="s">
        <v>5241</v>
      </c>
      <c r="C2154" s="1324" t="s">
        <v>4067</v>
      </c>
      <c r="D2154" s="1324">
        <f>+IF(ISBLANK(REPORTS!J1751),"",REPORTS!J1751)</f>
        <v>12442.559437223341</v>
      </c>
      <c r="E2154" s="1324">
        <f>+IF(ISBLANK(REPORTS!K1751),"",REPORTS!K1751)</f>
        <v>9078.50522101571</v>
      </c>
      <c r="F2154" s="1324">
        <f>+IF(ISBLANK(REPORTS!L1751),"",REPORTS!L1751)</f>
        <v>730.99984443075994</v>
      </c>
      <c r="G2154" s="1324">
        <f>+IF(ISBLANK(REPORTS!M1751),"",REPORTS!M1751)</f>
        <v>2588.0443063121079</v>
      </c>
      <c r="H2154" s="1324">
        <f>+IF(ISBLANK(REPORTS!N1751),"",REPORTS!N1751)</f>
        <v>0</v>
      </c>
      <c r="I2154" s="1324">
        <f>+IF(ISBLANK(REPORTS!O1751),"",REPORTS!O1751)</f>
        <v>0</v>
      </c>
      <c r="J2154" s="1324">
        <f>+IF(ISBLANK(REPORTS!P1751),"",REPORTS!P1751)</f>
        <v>45.010065464762285</v>
      </c>
      <c r="K2154" s="1320">
        <f>+IF(ISBLANK(REPORTS!Q1751),"",REPORTS!Q1751)</f>
        <v>0</v>
      </c>
      <c r="L2154" s="1533"/>
      <c r="M2154" s="1533"/>
    </row>
    <row r="2155" spans="1:13">
      <c r="A2155" s="1393">
        <v>120</v>
      </c>
      <c r="B2155" s="1324" t="s">
        <v>5242</v>
      </c>
      <c r="C2155" s="1324" t="s">
        <v>4071</v>
      </c>
      <c r="D2155" s="1324">
        <f>+IF(ISBLANK(REPORTS!J1752),"",REPORTS!J1752)</f>
        <v>12136.7048712376</v>
      </c>
      <c r="E2155" s="1324">
        <f>+IF(ISBLANK(REPORTS!K1752),"",REPORTS!K1752)</f>
        <v>4474.2778253614406</v>
      </c>
      <c r="F2155" s="1324">
        <f>+IF(ISBLANK(REPORTS!L1752),"",REPORTS!L1752)</f>
        <v>678.68911572438731</v>
      </c>
      <c r="G2155" s="1324">
        <f>+IF(ISBLANK(REPORTS!M1752),"",REPORTS!M1752)</f>
        <v>327.19550896731715</v>
      </c>
      <c r="H2155" s="1324">
        <f>+IF(ISBLANK(REPORTS!N1752),"",REPORTS!N1752)</f>
        <v>21.09270474339408</v>
      </c>
      <c r="I2155" s="1324">
        <f>+IF(ISBLANK(REPORTS!O1752),"",REPORTS!O1752)</f>
        <v>23.013026307213561</v>
      </c>
      <c r="J2155" s="1324">
        <f>+IF(ISBLANK(REPORTS!P1752),"",REPORTS!P1752)</f>
        <v>5.2817641644741009</v>
      </c>
      <c r="K2155" s="1320">
        <f>+IF(ISBLANK(REPORTS!Q1752),"",REPORTS!Q1752)</f>
        <v>6607.1549259693747</v>
      </c>
      <c r="L2155" s="1533"/>
      <c r="M2155" s="1533"/>
    </row>
    <row r="2156" spans="1:13">
      <c r="A2156" s="1393">
        <v>121</v>
      </c>
      <c r="B2156" s="1324" t="s">
        <v>5244</v>
      </c>
      <c r="C2156" s="1324" t="s">
        <v>4071</v>
      </c>
      <c r="D2156" s="1366">
        <f>+IF(ISBLANK(REPORTS!J1753),"",REPORTS!J1753)</f>
        <v>3707.9041377343915</v>
      </c>
      <c r="E2156" s="1366">
        <f>+IF(ISBLANK(REPORTS!K1753),"",REPORTS!K1753)</f>
        <v>3307.0308100666962</v>
      </c>
      <c r="F2156" s="1366">
        <f>+IF(ISBLANK(REPORTS!L1753),"",REPORTS!L1753)</f>
        <v>320.58686650485919</v>
      </c>
      <c r="G2156" s="1366">
        <f>+IF(ISBLANK(REPORTS!M1753),"",REPORTS!M1753)</f>
        <v>78.957813106960074</v>
      </c>
      <c r="H2156" s="1366">
        <f>+IF(ISBLANK(REPORTS!N1753),"",REPORTS!N1753)</f>
        <v>0.26658957755440421</v>
      </c>
      <c r="I2156" s="1366">
        <f>+IF(ISBLANK(REPORTS!O1753),"",REPORTS!O1753)</f>
        <v>4.7298150856426559E-2</v>
      </c>
      <c r="J2156" s="1366">
        <f>+IF(ISBLANK(REPORTS!P1753),"",REPORTS!P1753)</f>
        <v>1.0147603274651515</v>
      </c>
      <c r="K2156" s="1350">
        <f>+IF(ISBLANK(REPORTS!Q1753),"",REPORTS!Q1753)</f>
        <v>0</v>
      </c>
      <c r="L2156" s="1533"/>
      <c r="M2156" s="1533"/>
    </row>
    <row r="2157" spans="1:13">
      <c r="A2157" s="1393">
        <v>122</v>
      </c>
      <c r="B2157" s="1324" t="s">
        <v>5561</v>
      </c>
      <c r="D2157" s="1366">
        <f>+IF(ISBLANK(REPORTS!J1754),"",REPORTS!J1754)</f>
        <v>181265.78134695365</v>
      </c>
      <c r="E2157" s="1366">
        <f>+IF(ISBLANK(REPORTS!K1754),"",REPORTS!K1754)</f>
        <v>105626.35366640468</v>
      </c>
      <c r="F2157" s="1366">
        <f>+IF(ISBLANK(REPORTS!L1754),"",REPORTS!L1754)</f>
        <v>8929.6261336283096</v>
      </c>
      <c r="G2157" s="1366">
        <f>+IF(ISBLANK(REPORTS!M1754),"",REPORTS!M1754)</f>
        <v>50156.581815533653</v>
      </c>
      <c r="H2157" s="1366">
        <f>+IF(ISBLANK(REPORTS!N1754),"",REPORTS!N1754)</f>
        <v>5928.1876875366161</v>
      </c>
      <c r="I2157" s="1366">
        <f>+IF(ISBLANK(REPORTS!O1754),"",REPORTS!O1754)</f>
        <v>3645.1164416197298</v>
      </c>
      <c r="J2157" s="1366">
        <f>+IF(ISBLANK(REPORTS!P1754),"",REPORTS!P1754)</f>
        <v>372.76067626130788</v>
      </c>
      <c r="K2157" s="1366">
        <f>+IF(ISBLANK(REPORTS!Q1754),"",REPORTS!Q1754)</f>
        <v>6607.1549259693747</v>
      </c>
      <c r="L2157" s="1533"/>
      <c r="M2157" s="1533"/>
    </row>
    <row r="2158" spans="1:13">
      <c r="A2158" s="1393">
        <v>123</v>
      </c>
      <c r="D2158" s="1324" t="str">
        <f>+IF(ISBLANK(REPORTS!J1755),"",REPORTS!J1755)</f>
        <v/>
      </c>
      <c r="E2158" s="1324" t="str">
        <f>+IF(ISBLANK(REPORTS!K1755),"",REPORTS!K1755)</f>
        <v/>
      </c>
      <c r="F2158" s="1324" t="str">
        <f>+IF(ISBLANK(REPORTS!L1755),"",REPORTS!L1755)</f>
        <v/>
      </c>
      <c r="G2158" s="1324" t="str">
        <f>+IF(ISBLANK(REPORTS!M1755),"",REPORTS!M1755)</f>
        <v/>
      </c>
      <c r="H2158" s="1324" t="str">
        <f>+IF(ISBLANK(REPORTS!N1755),"",REPORTS!N1755)</f>
        <v/>
      </c>
      <c r="I2158" s="1324" t="str">
        <f>+IF(ISBLANK(REPORTS!O1755),"",REPORTS!O1755)</f>
        <v/>
      </c>
      <c r="J2158" s="1320" t="str">
        <f>+IF(ISBLANK(REPORTS!P1755),"",REPORTS!P1755)</f>
        <v/>
      </c>
      <c r="K2158" s="1320" t="str">
        <f>+IF(ISBLANK(REPORTS!Q1755),"",REPORTS!Q1755)</f>
        <v/>
      </c>
      <c r="L2158" s="1533"/>
      <c r="M2158" s="1533"/>
    </row>
    <row r="2159" spans="1:13">
      <c r="A2159" s="1393">
        <v>124</v>
      </c>
      <c r="B2159" s="1362" t="s">
        <v>6027</v>
      </c>
      <c r="D2159" s="1324" t="str">
        <f>+IF(ISBLANK(REPORTS!J1756),"",REPORTS!J1756)</f>
        <v/>
      </c>
      <c r="E2159" s="1324" t="str">
        <f>+IF(ISBLANK(REPORTS!K1756),"",REPORTS!K1756)</f>
        <v/>
      </c>
      <c r="F2159" s="1324" t="str">
        <f>+IF(ISBLANK(REPORTS!L1756),"",REPORTS!L1756)</f>
        <v/>
      </c>
      <c r="G2159" s="1324" t="str">
        <f>+IF(ISBLANK(REPORTS!M1756),"",REPORTS!M1756)</f>
        <v/>
      </c>
      <c r="H2159" s="1324" t="str">
        <f>+IF(ISBLANK(REPORTS!N1756),"",REPORTS!N1756)</f>
        <v/>
      </c>
      <c r="I2159" s="1324" t="str">
        <f>+IF(ISBLANK(REPORTS!O1756),"",REPORTS!O1756)</f>
        <v/>
      </c>
      <c r="J2159" s="1324" t="str">
        <f>+IF(ISBLANK(REPORTS!P1756),"",REPORTS!P1756)</f>
        <v/>
      </c>
      <c r="K2159" s="1324" t="str">
        <f>+IF(ISBLANK(REPORTS!Q1756),"",REPORTS!Q1756)</f>
        <v/>
      </c>
      <c r="L2159" s="1533"/>
      <c r="M2159" s="1533"/>
    </row>
    <row r="2160" spans="1:13">
      <c r="A2160" s="1393">
        <v>125</v>
      </c>
      <c r="B2160" s="1324" t="s">
        <v>5265</v>
      </c>
      <c r="C2160" s="1324" t="s">
        <v>4067</v>
      </c>
      <c r="D2160" s="1364">
        <f>+IF(ISBLANK(REPORTS!J1757),"",REPORTS!J1757)</f>
        <v>416381.54950565839</v>
      </c>
      <c r="E2160" s="1364">
        <f>+IF(ISBLANK(REPORTS!K1757),"",REPORTS!K1757)</f>
        <v>239092.39265674129</v>
      </c>
      <c r="F2160" s="1364">
        <f>+IF(ISBLANK(REPORTS!L1757),"",REPORTS!L1757)</f>
        <v>19883.077754674156</v>
      </c>
      <c r="G2160" s="1364">
        <f>+IF(ISBLANK(REPORTS!M1757),"",REPORTS!M1757)</f>
        <v>128681.49604390774</v>
      </c>
      <c r="H2160" s="1364">
        <f>+IF(ISBLANK(REPORTS!N1757),"",REPORTS!N1757)</f>
        <v>16446.36610054734</v>
      </c>
      <c r="I2160" s="1364">
        <f>+IF(ISBLANK(REPORTS!O1757),"",REPORTS!O1757)</f>
        <v>11836.501281464667</v>
      </c>
      <c r="J2160" s="1364">
        <f>+IF(ISBLANK(REPORTS!P1757),"",REPORTS!P1757)</f>
        <v>441.71566832314693</v>
      </c>
      <c r="K2160" s="1364">
        <f>+IF(ISBLANK(REPORTS!Q1757),"",REPORTS!Q1757)</f>
        <v>0</v>
      </c>
      <c r="L2160" s="1533"/>
      <c r="M2160" s="1533"/>
    </row>
    <row r="2161" spans="1:13">
      <c r="A2161" s="1393">
        <v>126</v>
      </c>
      <c r="B2161" s="1324" t="s">
        <v>5265</v>
      </c>
      <c r="C2161" s="1324" t="s">
        <v>2067</v>
      </c>
      <c r="D2161" s="1364">
        <f>+IF(ISBLANK(REPORTS!J1758),"",REPORTS!J1758)</f>
        <v>31869.693791254937</v>
      </c>
      <c r="E2161" s="1364">
        <f>+IF(ISBLANK(REPORTS!K1758),"",REPORTS!K1758)</f>
        <v>16082.536959545449</v>
      </c>
      <c r="F2161" s="1364">
        <f>+IF(ISBLANK(REPORTS!L1758),"",REPORTS!L1758)</f>
        <v>1486.2146822255847</v>
      </c>
      <c r="G2161" s="1364">
        <f>+IF(ISBLANK(REPORTS!M1758),"",REPORTS!M1758)</f>
        <v>11071.722117769055</v>
      </c>
      <c r="H2161" s="1364">
        <f>+IF(ISBLANK(REPORTS!N1758),"",REPORTS!N1758)</f>
        <v>1762.4401415638183</v>
      </c>
      <c r="I2161" s="1364">
        <f>+IF(ISBLANK(REPORTS!O1758),"",REPORTS!O1758)</f>
        <v>1298.4105625660222</v>
      </c>
      <c r="J2161" s="1364">
        <f>+IF(ISBLANK(REPORTS!P1758),"",REPORTS!P1758)</f>
        <v>168.36932758499918</v>
      </c>
      <c r="K2161" s="1364">
        <f>+IF(ISBLANK(REPORTS!Q1758),"",REPORTS!Q1758)</f>
        <v>0</v>
      </c>
      <c r="L2161" s="1533"/>
      <c r="M2161" s="1533"/>
    </row>
    <row r="2162" spans="1:13">
      <c r="A2162" s="1393">
        <v>127</v>
      </c>
      <c r="B2162" s="1324" t="s">
        <v>5268</v>
      </c>
      <c r="C2162" s="1324" t="s">
        <v>4067</v>
      </c>
      <c r="D2162" s="1364">
        <f>+IF(ISBLANK(REPORTS!J1759),"",REPORTS!J1759)</f>
        <v>35625.121874852717</v>
      </c>
      <c r="E2162" s="1364">
        <f>+IF(ISBLANK(REPORTS!K1759),"",REPORTS!K1759)</f>
        <v>20663.03524341125</v>
      </c>
      <c r="F2162" s="1364">
        <f>+IF(ISBLANK(REPORTS!L1759),"",REPORTS!L1759)</f>
        <v>1704.4919887379515</v>
      </c>
      <c r="G2162" s="1364">
        <f>+IF(ISBLANK(REPORTS!M1759),"",REPORTS!M1759)</f>
        <v>10895.960968303256</v>
      </c>
      <c r="H2162" s="1364">
        <f>+IF(ISBLANK(REPORTS!N1759),"",REPORTS!N1759)</f>
        <v>1360.2162562799501</v>
      </c>
      <c r="I2162" s="1364">
        <f>+IF(ISBLANK(REPORTS!O1759),"",REPORTS!O1759)</f>
        <v>976.15947003804558</v>
      </c>
      <c r="J2162" s="1364">
        <f>+IF(ISBLANK(REPORTS!P1759),"",REPORTS!P1759)</f>
        <v>25.257948082277039</v>
      </c>
      <c r="K2162" s="1364">
        <f>+IF(ISBLANK(REPORTS!Q1759),"",REPORTS!Q1759)</f>
        <v>0</v>
      </c>
      <c r="L2162" s="1533"/>
      <c r="M2162" s="1533"/>
    </row>
    <row r="2163" spans="1:13">
      <c r="A2163" s="1393">
        <v>128</v>
      </c>
      <c r="B2163" s="1324" t="s">
        <v>5239</v>
      </c>
      <c r="C2163" s="1324" t="s">
        <v>4067</v>
      </c>
      <c r="D2163" s="1364">
        <f>+IF(ISBLANK(REPORTS!J1760),"",REPORTS!J1760)</f>
        <v>39303.854886273002</v>
      </c>
      <c r="E2163" s="1364">
        <f>+IF(ISBLANK(REPORTS!K1760),"",REPORTS!K1760)</f>
        <v>22796.748361168593</v>
      </c>
      <c r="F2163" s="1364">
        <f>+IF(ISBLANK(REPORTS!L1760),"",REPORTS!L1760)</f>
        <v>1880.5017991380082</v>
      </c>
      <c r="G2163" s="1364">
        <f>+IF(ISBLANK(REPORTS!M1760),"",REPORTS!M1760)</f>
        <v>12021.103261038499</v>
      </c>
      <c r="H2163" s="1364">
        <f>+IF(ISBLANK(REPORTS!N1760),"",REPORTS!N1760)</f>
        <v>1500.675353156184</v>
      </c>
      <c r="I2163" s="1364">
        <f>+IF(ISBLANK(REPORTS!O1760),"",REPORTS!O1760)</f>
        <v>1076.9599691761084</v>
      </c>
      <c r="J2163" s="1364">
        <f>+IF(ISBLANK(REPORTS!P1760),"",REPORTS!P1760)</f>
        <v>27.86614259561571</v>
      </c>
      <c r="K2163" s="1364">
        <f>+IF(ISBLANK(REPORTS!Q1760),"",REPORTS!Q1760)</f>
        <v>0</v>
      </c>
      <c r="L2163" s="1533"/>
      <c r="M2163" s="1533"/>
    </row>
    <row r="2164" spans="1:13">
      <c r="A2164" s="1393">
        <v>129</v>
      </c>
      <c r="B2164" s="1324" t="s">
        <v>5240</v>
      </c>
      <c r="C2164" s="1324" t="s">
        <v>4067</v>
      </c>
      <c r="D2164" s="1364">
        <f>+IF(ISBLANK(REPORTS!J1761),"",REPORTS!J1761)</f>
        <v>136454.64479107034</v>
      </c>
      <c r="E2164" s="1364">
        <f>+IF(ISBLANK(REPORTS!K1761),"",REPORTS!K1761)</f>
        <v>84931.555840239263</v>
      </c>
      <c r="F2164" s="1364">
        <f>+IF(ISBLANK(REPORTS!L1761),"",REPORTS!L1761)</f>
        <v>6040.5452647434358</v>
      </c>
      <c r="G2164" s="1364">
        <f>+IF(ISBLANK(REPORTS!M1761),"",REPORTS!M1761)</f>
        <v>40445.222106263464</v>
      </c>
      <c r="H2164" s="1364">
        <f>+IF(ISBLANK(REPORTS!N1761),"",REPORTS!N1761)</f>
        <v>4254.0241703036918</v>
      </c>
      <c r="I2164" s="1364">
        <f>+IF(ISBLANK(REPORTS!O1761),"",REPORTS!O1761)</f>
        <v>2.9045648302156698E-3</v>
      </c>
      <c r="J2164" s="1364">
        <f>+IF(ISBLANK(REPORTS!P1761),"",REPORTS!P1761)</f>
        <v>783.29450495572496</v>
      </c>
      <c r="K2164" s="1364">
        <f>+IF(ISBLANK(REPORTS!Q1761),"",REPORTS!Q1761)</f>
        <v>0</v>
      </c>
      <c r="L2164" s="1533"/>
      <c r="M2164" s="1533"/>
    </row>
    <row r="2165" spans="1:13">
      <c r="A2165" s="1393">
        <v>130</v>
      </c>
      <c r="B2165" s="1324" t="s">
        <v>5241</v>
      </c>
      <c r="C2165" s="1324" t="s">
        <v>4067</v>
      </c>
      <c r="D2165" s="1364">
        <f>+IF(ISBLANK(REPORTS!J1762),"",REPORTS!J1762)</f>
        <v>60653.968204853525</v>
      </c>
      <c r="E2165" s="1364">
        <f>+IF(ISBLANK(REPORTS!K1762),"",REPORTS!K1762)</f>
        <v>44255.152631681143</v>
      </c>
      <c r="F2165" s="1364">
        <f>+IF(ISBLANK(REPORTS!L1762),"",REPORTS!L1762)</f>
        <v>3563.4180849652098</v>
      </c>
      <c r="G2165" s="1364">
        <f>+IF(ISBLANK(REPORTS!M1762),"",REPORTS!M1762)</f>
        <v>12615.986112808729</v>
      </c>
      <c r="H2165" s="1364">
        <f>+IF(ISBLANK(REPORTS!N1762),"",REPORTS!N1762)</f>
        <v>0</v>
      </c>
      <c r="I2165" s="1364">
        <f>+IF(ISBLANK(REPORTS!O1762),"",REPORTS!O1762)</f>
        <v>0</v>
      </c>
      <c r="J2165" s="1364">
        <f>+IF(ISBLANK(REPORTS!P1762),"",REPORTS!P1762)</f>
        <v>219.41137539844453</v>
      </c>
      <c r="K2165" s="1364">
        <f>+IF(ISBLANK(REPORTS!Q1762),"",REPORTS!Q1762)</f>
        <v>0</v>
      </c>
      <c r="L2165" s="1533"/>
      <c r="M2165" s="1533"/>
    </row>
    <row r="2166" spans="1:13">
      <c r="A2166" s="1393">
        <v>131</v>
      </c>
      <c r="B2166" s="1324" t="s">
        <v>5242</v>
      </c>
      <c r="C2166" s="1324" t="s">
        <v>4071</v>
      </c>
      <c r="D2166" s="1364">
        <f>+IF(ISBLANK(REPORTS!J1763),"",REPORTS!J1763)</f>
        <v>51284.269872746292</v>
      </c>
      <c r="E2166" s="1364">
        <f>+IF(ISBLANK(REPORTS!K1763),"",REPORTS!K1763)</f>
        <v>16128.703508893665</v>
      </c>
      <c r="F2166" s="1364">
        <f>+IF(ISBLANK(REPORTS!L1763),"",REPORTS!L1763)</f>
        <v>2952.4674438081129</v>
      </c>
      <c r="G2166" s="1364">
        <f>+IF(ISBLANK(REPORTS!M1763),"",REPORTS!M1763)</f>
        <v>1636.0509257729066</v>
      </c>
      <c r="H2166" s="1364">
        <f>+IF(ISBLANK(REPORTS!N1763),"",REPORTS!N1763)</f>
        <v>119.58276774850761</v>
      </c>
      <c r="I2166" s="1364">
        <f>+IF(ISBLANK(REPORTS!O1763),"",REPORTS!O1763)</f>
        <v>130.46981947384856</v>
      </c>
      <c r="J2166" s="1364">
        <f>+IF(ISBLANK(REPORTS!P1763),"",REPORTS!P1763)</f>
        <v>27.325988790632987</v>
      </c>
      <c r="K2166" s="1364">
        <f>+IF(ISBLANK(REPORTS!Q1763),"",REPORTS!Q1763)</f>
        <v>30289.669418258614</v>
      </c>
      <c r="L2166" s="1533"/>
      <c r="M2166" s="1533"/>
    </row>
    <row r="2167" spans="1:13">
      <c r="A2167" s="1393">
        <v>132</v>
      </c>
      <c r="B2167" s="1324" t="s">
        <v>5244</v>
      </c>
      <c r="C2167" s="1324" t="s">
        <v>4071</v>
      </c>
      <c r="D2167" s="1366">
        <f>+IF(ISBLANK(REPORTS!J1764),"",REPORTS!J1764)</f>
        <v>17450.847997976474</v>
      </c>
      <c r="E2167" s="1366">
        <f>+IF(ISBLANK(REPORTS!K1764),"",REPORTS!K1764)</f>
        <v>15564.181232139741</v>
      </c>
      <c r="F2167" s="1366">
        <f>+IF(ISBLANK(REPORTS!L1764),"",REPORTS!L1764)</f>
        <v>1508.8072586855603</v>
      </c>
      <c r="G2167" s="1366">
        <f>+IF(ISBLANK(REPORTS!M1764),"",REPORTS!M1764)</f>
        <v>371.60636942035654</v>
      </c>
      <c r="H2167" s="1366">
        <f>+IF(ISBLANK(REPORTS!N1764),"",REPORTS!N1764)</f>
        <v>1.2546748844993787</v>
      </c>
      <c r="I2167" s="1366">
        <f>+IF(ISBLANK(REPORTS!O1764),"",REPORTS!O1764)</f>
        <v>0.22260360854021244</v>
      </c>
      <c r="J2167" s="1366">
        <f>+IF(ISBLANK(REPORTS!P1764),"",REPORTS!P1764)</f>
        <v>4.7758592377718312</v>
      </c>
      <c r="K2167" s="1366">
        <f>+IF(ISBLANK(REPORTS!Q1764),"",REPORTS!Q1764)</f>
        <v>0</v>
      </c>
      <c r="L2167" s="1533"/>
      <c r="M2167" s="1533"/>
    </row>
    <row r="2168" spans="1:13">
      <c r="A2168" s="1393">
        <v>133</v>
      </c>
      <c r="B2168" s="1324" t="s">
        <v>6036</v>
      </c>
      <c r="D2168" s="1366">
        <f>+IF(ISBLANK(REPORTS!J1765),"",REPORTS!J1765)</f>
        <v>789023.95092468557</v>
      </c>
      <c r="E2168" s="1366">
        <f>+IF(ISBLANK(REPORTS!K1765),"",REPORTS!K1765)</f>
        <v>459514.3064338204</v>
      </c>
      <c r="F2168" s="1366">
        <f>+IF(ISBLANK(REPORTS!L1765),"",REPORTS!L1765)</f>
        <v>39019.524276978023</v>
      </c>
      <c r="G2168" s="1366">
        <f>+IF(ISBLANK(REPORTS!M1765),"",REPORTS!M1765)</f>
        <v>217739.14790528401</v>
      </c>
      <c r="H2168" s="1366">
        <f>+IF(ISBLANK(REPORTS!N1765),"",REPORTS!N1765)</f>
        <v>25444.559464483988</v>
      </c>
      <c r="I2168" s="1366">
        <f>+IF(ISBLANK(REPORTS!O1765),"",REPORTS!O1765)</f>
        <v>15318.726610892059</v>
      </c>
      <c r="J2168" s="1366">
        <f>+IF(ISBLANK(REPORTS!P1765),"",REPORTS!P1765)</f>
        <v>1698.0168149686131</v>
      </c>
      <c r="K2168" s="1366">
        <f>+IF(ISBLANK(REPORTS!Q1765),"",REPORTS!Q1765)</f>
        <v>30289.669418258614</v>
      </c>
      <c r="L2168" s="1533"/>
      <c r="M2168" s="1533"/>
    </row>
    <row r="2169" spans="1:13">
      <c r="L2169" s="1533"/>
      <c r="M2169" s="1533"/>
    </row>
    <row r="2170" spans="1:13">
      <c r="L2170" s="1533"/>
      <c r="M2170" s="1533"/>
    </row>
    <row r="2171" spans="1:13">
      <c r="L2171" s="1533"/>
      <c r="M2171" s="1533"/>
    </row>
    <row r="2176" spans="1:13">
      <c r="A2176" s="1732" t="str">
        <f>+$A$1</f>
        <v>RATES WITH REVENUE DEFICIENCY ADDITION</v>
      </c>
      <c r="F2176" s="1329" t="s">
        <v>2173</v>
      </c>
      <c r="G2176" s="1329"/>
      <c r="H2176" s="1329"/>
      <c r="I2176" s="1329"/>
      <c r="M2176" s="1334" t="s">
        <v>9458</v>
      </c>
    </row>
    <row r="2177" spans="1:13">
      <c r="A2177" s="1732" t="str">
        <f>+$A$2</f>
        <v>PROD. CAP. ALLOC. METHOD: 12 CP &amp; 1/13th AD</v>
      </c>
      <c r="F2177" s="1336" t="s">
        <v>5141</v>
      </c>
      <c r="G2177" s="1336"/>
      <c r="H2177" s="1336"/>
      <c r="I2177" s="1336"/>
      <c r="L2177" s="1331"/>
      <c r="M2177" s="1409"/>
    </row>
    <row r="2178" spans="1:13">
      <c r="A2178" s="1732" t="str">
        <f>+$A$3</f>
        <v>PROJECTED CALENDAR YEAR 2025; FULLY ADJUSTED DATA</v>
      </c>
      <c r="F2178" s="1336" t="s">
        <v>2181</v>
      </c>
      <c r="J2178" s="1364"/>
      <c r="K2178" s="1364"/>
      <c r="L2178" s="1358"/>
    </row>
    <row r="2179" spans="1:13">
      <c r="A2179" s="1732" t="str">
        <f>+$A$4</f>
        <v>MINIMUM DISTRIBUTION SYSTEM (MDS) NOT EMPLOYED</v>
      </c>
      <c r="D2179" s="1364"/>
      <c r="E2179" s="1364"/>
      <c r="F2179" s="1336"/>
      <c r="G2179" s="1336"/>
      <c r="H2179" s="1336"/>
      <c r="I2179" s="1336"/>
      <c r="J2179" s="1364"/>
      <c r="K2179" s="1364"/>
      <c r="L2179" s="1358"/>
    </row>
    <row r="2180" spans="1:13">
      <c r="A2180" s="1732" t="str">
        <f>+$A$5</f>
        <v>Tampa Electric 2025 OB Budget</v>
      </c>
      <c r="D2180" s="1364"/>
      <c r="E2180" s="1364"/>
      <c r="F2180" s="1336" t="s">
        <v>5912</v>
      </c>
      <c r="G2180" s="1336"/>
      <c r="H2180" s="1336"/>
      <c r="I2180" s="1336"/>
      <c r="J2180" s="1364"/>
      <c r="K2180" s="1364"/>
      <c r="L2180" s="1358"/>
    </row>
    <row r="2181" spans="1:13">
      <c r="D2181" s="1364"/>
      <c r="E2181" s="1364"/>
      <c r="F2181" s="1336"/>
      <c r="G2181" s="1336"/>
      <c r="H2181" s="1336"/>
      <c r="I2181" s="1336"/>
      <c r="J2181" s="1364"/>
      <c r="K2181" s="1364"/>
      <c r="L2181" s="1358"/>
    </row>
    <row r="2182" spans="1:13">
      <c r="D2182" s="1364"/>
      <c r="E2182" s="1364"/>
      <c r="F2182" s="1336"/>
      <c r="G2182" s="1336"/>
      <c r="H2182" s="1336"/>
      <c r="I2182" s="1336"/>
      <c r="J2182" s="1364"/>
      <c r="K2182" s="1364"/>
      <c r="L2182" s="1358"/>
    </row>
    <row r="2185" spans="1:13" ht="28.2">
      <c r="A2185" s="1737" t="s">
        <v>4297</v>
      </c>
      <c r="B2185" s="1741"/>
      <c r="C2185" s="1741"/>
      <c r="D2185" s="1352" t="s">
        <v>4957</v>
      </c>
      <c r="E2185" s="1353" t="s">
        <v>1949</v>
      </c>
      <c r="F2185" s="1353" t="s">
        <v>1950</v>
      </c>
      <c r="G2185" s="1353" t="s">
        <v>1934</v>
      </c>
      <c r="H2185" s="1353" t="s">
        <v>1971</v>
      </c>
      <c r="I2185" s="1353" t="s">
        <v>1972</v>
      </c>
      <c r="J2185" s="1352" t="s">
        <v>5146</v>
      </c>
      <c r="K2185" s="1352" t="s">
        <v>5147</v>
      </c>
      <c r="L2185" s="1350"/>
      <c r="M2185" s="1350"/>
    </row>
    <row r="2186" spans="1:13">
      <c r="A2186" s="1543"/>
      <c r="B2186" s="1447"/>
      <c r="C2186" s="1447"/>
      <c r="D2186" s="1399"/>
      <c r="E2186" s="1360"/>
      <c r="F2186" s="1360"/>
      <c r="G2186" s="1360"/>
      <c r="H2186" s="1360"/>
      <c r="I2186" s="1360"/>
      <c r="J2186" s="1399"/>
      <c r="K2186" s="1399"/>
    </row>
    <row r="2187" spans="1:13">
      <c r="A2187" s="1393">
        <v>134</v>
      </c>
      <c r="B2187" s="1362" t="s">
        <v>6040</v>
      </c>
    </row>
    <row r="2188" spans="1:13">
      <c r="A2188" s="1393">
        <v>135</v>
      </c>
      <c r="B2188" s="1324" t="s">
        <v>5265</v>
      </c>
      <c r="C2188" s="1324" t="s">
        <v>4067</v>
      </c>
      <c r="D2188" s="1324">
        <f>+IF(ISBLANK(REPORTS!J1783),"",REPORTS!J1783)</f>
        <v>51196.763326436805</v>
      </c>
      <c r="E2188" s="1324">
        <f>+IF(ISBLANK(REPORTS!K1783),"",REPORTS!K1783)</f>
        <v>29397.932388049616</v>
      </c>
      <c r="F2188" s="1324">
        <f>+IF(ISBLANK(REPORTS!L1783),"",REPORTS!L1783)</f>
        <v>2444.7510395591153</v>
      </c>
      <c r="G2188" s="1324">
        <f>+IF(ISBLANK(REPORTS!M1783),"",REPORTS!M1783)</f>
        <v>15822.20947415499</v>
      </c>
      <c r="H2188" s="1324">
        <f>+IF(ISBLANK(REPORTS!N1783),"",REPORTS!N1783)</f>
        <v>2022.185454252972</v>
      </c>
      <c r="I2188" s="1324">
        <f>+IF(ISBLANK(REPORTS!O1783),"",REPORTS!O1783)</f>
        <v>1455.3732158393284</v>
      </c>
      <c r="J2188" s="1324">
        <f>+IF(ISBLANK(REPORTS!P1783),"",REPORTS!P1783)</f>
        <v>54.311754580786712</v>
      </c>
      <c r="K2188" s="1324">
        <f>+IF(ISBLANK(REPORTS!Q1783),"",REPORTS!Q1783)</f>
        <v>0</v>
      </c>
    </row>
    <row r="2189" spans="1:13">
      <c r="A2189" s="1393">
        <v>136</v>
      </c>
      <c r="B2189" s="1324" t="s">
        <v>5265</v>
      </c>
      <c r="C2189" s="1324" t="s">
        <v>2067</v>
      </c>
      <c r="D2189" s="1324">
        <f>+IF(ISBLANK(REPORTS!J1784),"",REPORTS!J1784)</f>
        <v>5739.4427931324281</v>
      </c>
      <c r="E2189" s="1324">
        <f>+IF(ISBLANK(REPORTS!K1784),"",REPORTS!K1784)</f>
        <v>2896.3190375264148</v>
      </c>
      <c r="F2189" s="1324">
        <f>+IF(ISBLANK(REPORTS!L1784),"",REPORTS!L1784)</f>
        <v>267.65378427601598</v>
      </c>
      <c r="G2189" s="1324">
        <f>+IF(ISBLANK(REPORTS!M1784),"",REPORTS!M1784)</f>
        <v>1993.91673269956</v>
      </c>
      <c r="H2189" s="1324">
        <f>+IF(ISBLANK(REPORTS!N1784),"",REPORTS!N1784)</f>
        <v>317.39948413314949</v>
      </c>
      <c r="I2189" s="1324">
        <f>+IF(ISBLANK(REPORTS!O1784),"",REPORTS!O1784)</f>
        <v>233.83196571193457</v>
      </c>
      <c r="J2189" s="1324">
        <f>+IF(ISBLANK(REPORTS!P1784),"",REPORTS!P1784)</f>
        <v>30.321788785352023</v>
      </c>
      <c r="K2189" s="1324">
        <f>+IF(ISBLANK(REPORTS!Q1784),"",REPORTS!Q1784)</f>
        <v>0</v>
      </c>
    </row>
    <row r="2190" spans="1:13">
      <c r="A2190" s="1393">
        <v>137</v>
      </c>
      <c r="B2190" s="1324" t="s">
        <v>5268</v>
      </c>
      <c r="C2190" s="1324" t="s">
        <v>4067</v>
      </c>
      <c r="D2190" s="1324">
        <f>+IF(ISBLANK(REPORTS!J1785),"",REPORTS!J1785)</f>
        <v>3579.9638856632278</v>
      </c>
      <c r="E2190" s="1324">
        <f>+IF(ISBLANK(REPORTS!K1785),"",REPORTS!K1785)</f>
        <v>2076.4257368566418</v>
      </c>
      <c r="F2190" s="1324">
        <f>+IF(ISBLANK(REPORTS!L1785),"",REPORTS!L1785)</f>
        <v>171.28417930807112</v>
      </c>
      <c r="G2190" s="1324">
        <f>+IF(ISBLANK(REPORTS!M1785),"",REPORTS!M1785)</f>
        <v>1094.9337072628068</v>
      </c>
      <c r="H2190" s="1324">
        <f>+IF(ISBLANK(REPORTS!N1785),"",REPORTS!N1785)</f>
        <v>136.6879555185912</v>
      </c>
      <c r="I2190" s="1324">
        <f>+IF(ISBLANK(REPORTS!O1785),"",REPORTS!O1785)</f>
        <v>98.094138783877625</v>
      </c>
      <c r="J2190" s="1324">
        <f>+IF(ISBLANK(REPORTS!P1785),"",REPORTS!P1785)</f>
        <v>2.538167933239734</v>
      </c>
      <c r="K2190" s="1324">
        <f>+IF(ISBLANK(REPORTS!Q1785),"",REPORTS!Q1785)</f>
        <v>0</v>
      </c>
    </row>
    <row r="2191" spans="1:13">
      <c r="A2191" s="1393">
        <v>138</v>
      </c>
      <c r="B2191" s="1324" t="s">
        <v>5239</v>
      </c>
      <c r="C2191" s="1324" t="s">
        <v>4067</v>
      </c>
      <c r="D2191" s="1324">
        <f>+IF(ISBLANK(REPORTS!J1786),"",REPORTS!J1786)</f>
        <v>4117.6248100187522</v>
      </c>
      <c r="E2191" s="1324">
        <f>+IF(ISBLANK(REPORTS!K1786),"",REPORTS!K1786)</f>
        <v>2388.2760841478166</v>
      </c>
      <c r="F2191" s="1324">
        <f>+IF(ISBLANK(REPORTS!L1786),"",REPORTS!L1786)</f>
        <v>197.00868746388275</v>
      </c>
      <c r="G2191" s="1324">
        <f>+IF(ISBLANK(REPORTS!M1786),"",REPORTS!M1786)</f>
        <v>1259.3775642281062</v>
      </c>
      <c r="H2191" s="1324">
        <f>+IF(ISBLANK(REPORTS!N1786),"",REPORTS!N1786)</f>
        <v>157.21659068351752</v>
      </c>
      <c r="I2191" s="1324">
        <f>+IF(ISBLANK(REPORTS!O1786),"",REPORTS!O1786)</f>
        <v>112.82651794100083</v>
      </c>
      <c r="J2191" s="1324">
        <f>+IF(ISBLANK(REPORTS!P1786),"",REPORTS!P1786)</f>
        <v>2.9193655544281407</v>
      </c>
      <c r="K2191" s="1324">
        <f>+IF(ISBLANK(REPORTS!Q1786),"",REPORTS!Q1786)</f>
        <v>0</v>
      </c>
    </row>
    <row r="2192" spans="1:13">
      <c r="A2192" s="1393">
        <v>139</v>
      </c>
      <c r="B2192" s="1324" t="s">
        <v>5240</v>
      </c>
      <c r="C2192" s="1324" t="s">
        <v>4067</v>
      </c>
      <c r="D2192" s="1324">
        <f>+IF(ISBLANK(REPORTS!J1787),"",REPORTS!J1787)</f>
        <v>16853.009913513808</v>
      </c>
      <c r="E2192" s="1324">
        <f>+IF(ISBLANK(REPORTS!K1787),"",REPORTS!K1787)</f>
        <v>10489.583221863124</v>
      </c>
      <c r="F2192" s="1324">
        <f>+IF(ISBLANK(REPORTS!L1787),"",REPORTS!L1787)</f>
        <v>746.04546723653868</v>
      </c>
      <c r="G2192" s="1324">
        <f>+IF(ISBLANK(REPORTS!M1787),"",REPORTS!M1787)</f>
        <v>4995.2402144667149</v>
      </c>
      <c r="H2192" s="1324">
        <f>+IF(ISBLANK(REPORTS!N1787),"",REPORTS!N1787)</f>
        <v>525.39883581263837</v>
      </c>
      <c r="I2192" s="1324">
        <f>+IF(ISBLANK(REPORTS!O1787),"",REPORTS!O1787)</f>
        <v>3.5873208972122574E-4</v>
      </c>
      <c r="J2192" s="1324">
        <f>+IF(ISBLANK(REPORTS!P1787),"",REPORTS!P1787)</f>
        <v>96.741815402707303</v>
      </c>
      <c r="K2192" s="1324">
        <f>+IF(ISBLANK(REPORTS!Q1787),"",REPORTS!Q1787)</f>
        <v>0</v>
      </c>
    </row>
    <row r="2193" spans="1:12">
      <c r="A2193" s="1393">
        <v>140</v>
      </c>
      <c r="B2193" s="1324" t="s">
        <v>5241</v>
      </c>
      <c r="C2193" s="1324" t="s">
        <v>4067</v>
      </c>
      <c r="D2193" s="1324">
        <f>+IF(ISBLANK(REPORTS!J1788),"",REPORTS!J1788)</f>
        <v>7339.7985679760041</v>
      </c>
      <c r="E2193" s="1324">
        <f>+IF(ISBLANK(REPORTS!K1788),"",REPORTS!K1788)</f>
        <v>5355.361166387469</v>
      </c>
      <c r="F2193" s="1324">
        <f>+IF(ISBLANK(REPORTS!L1788),"",REPORTS!L1788)</f>
        <v>431.2128576450591</v>
      </c>
      <c r="G2193" s="1324">
        <f>+IF(ISBLANK(REPORTS!M1788),"",REPORTS!M1788)</f>
        <v>1526.6733495763085</v>
      </c>
      <c r="H2193" s="1324">
        <f>+IF(ISBLANK(REPORTS!N1788),"",REPORTS!N1788)</f>
        <v>0</v>
      </c>
      <c r="I2193" s="1324">
        <f>+IF(ISBLANK(REPORTS!O1788),"",REPORTS!O1788)</f>
        <v>0</v>
      </c>
      <c r="J2193" s="1324">
        <f>+IF(ISBLANK(REPORTS!P1788),"",REPORTS!P1788)</f>
        <v>26.55119436716889</v>
      </c>
      <c r="K2193" s="1324">
        <f>+IF(ISBLANK(REPORTS!Q1788),"",REPORTS!Q1788)</f>
        <v>0</v>
      </c>
    </row>
    <row r="2194" spans="1:12">
      <c r="A2194" s="1393">
        <v>141</v>
      </c>
      <c r="B2194" s="1324" t="s">
        <v>5242</v>
      </c>
      <c r="C2194" s="1324" t="s">
        <v>4071</v>
      </c>
      <c r="D2194" s="1324">
        <f>+IF(ISBLANK(REPORTS!J1789),"",REPORTS!J1789)</f>
        <v>8437.1296707808851</v>
      </c>
      <c r="E2194" s="1324">
        <f>+IF(ISBLANK(REPORTS!K1789),"",REPORTS!K1789)</f>
        <v>3110.4045617140023</v>
      </c>
      <c r="F2194" s="1324">
        <f>+IF(ISBLANK(REPORTS!L1789),"",REPORTS!L1789)</f>
        <v>471.80747462061015</v>
      </c>
      <c r="G2194" s="1324">
        <f>+IF(ISBLANK(REPORTS!M1789),"",REPORTS!M1789)</f>
        <v>227.45802638709978</v>
      </c>
      <c r="H2194" s="1324">
        <f>+IF(ISBLANK(REPORTS!N1789),"",REPORTS!N1789)</f>
        <v>14.663113828305843</v>
      </c>
      <c r="I2194" s="1324">
        <f>+IF(ISBLANK(REPORTS!O1789),"",REPORTS!O1789)</f>
        <v>15.99807271668899</v>
      </c>
      <c r="J2194" s="1324">
        <f>+IF(ISBLANK(REPORTS!P1789),"",REPORTS!P1789)</f>
        <v>3.6717486021893762</v>
      </c>
      <c r="K2194" s="1324">
        <f>+IF(ISBLANK(REPORTS!Q1789),"",REPORTS!Q1789)</f>
        <v>4593.1266729119889</v>
      </c>
    </row>
    <row r="2195" spans="1:12">
      <c r="A2195" s="1393">
        <v>142</v>
      </c>
      <c r="B2195" s="1324" t="s">
        <v>5244</v>
      </c>
      <c r="C2195" s="1324" t="s">
        <v>4071</v>
      </c>
      <c r="D2195" s="1366">
        <f>+IF(ISBLANK(REPORTS!J1790),"",REPORTS!J1790)</f>
        <v>4328.749069178054</v>
      </c>
      <c r="E2195" s="1366">
        <f>+IF(ISBLANK(REPORTS!K1790),"",REPORTS!K1790)</f>
        <v>3860.7542183025025</v>
      </c>
      <c r="F2195" s="1366">
        <f>+IF(ISBLANK(REPORTS!L1790),"",REPORTS!L1790)</f>
        <v>374.26536620808031</v>
      </c>
      <c r="G2195" s="1366">
        <f>+IF(ISBLANK(REPORTS!M1790),"",REPORTS!M1790)</f>
        <v>92.178370123648421</v>
      </c>
      <c r="H2195" s="1366">
        <f>+IF(ISBLANK(REPORTS!N1790),"",REPORTS!N1790)</f>
        <v>0.31122686639798519</v>
      </c>
      <c r="I2195" s="1366">
        <f>+IF(ISBLANK(REPORTS!O1790),"",REPORTS!O1790)</f>
        <v>5.5217669844803821E-2</v>
      </c>
      <c r="J2195" s="1366">
        <f>+IF(ISBLANK(REPORTS!P1790),"",REPORTS!P1790)</f>
        <v>1.1846700075794274</v>
      </c>
      <c r="K2195" s="1366">
        <f>+IF(ISBLANK(REPORTS!Q1790),"",REPORTS!Q1790)</f>
        <v>0</v>
      </c>
      <c r="L2195" s="1358"/>
    </row>
    <row r="2196" spans="1:12">
      <c r="A2196" s="1393">
        <v>143</v>
      </c>
      <c r="B2196" s="1324" t="s">
        <v>5491</v>
      </c>
      <c r="D2196" s="1366">
        <f>+IF(ISBLANK(REPORTS!J1791),"",REPORTS!J1791)</f>
        <v>101592.48203669996</v>
      </c>
      <c r="E2196" s="1366">
        <f>+IF(ISBLANK(REPORTS!K1791),"",REPORTS!K1791)</f>
        <v>59575.056414847582</v>
      </c>
      <c r="F2196" s="1366">
        <f>+IF(ISBLANK(REPORTS!L1791),"",REPORTS!L1791)</f>
        <v>5104.0288563173726</v>
      </c>
      <c r="G2196" s="1366">
        <f>+IF(ISBLANK(REPORTS!M1791),"",REPORTS!M1791)</f>
        <v>27011.987438899236</v>
      </c>
      <c r="H2196" s="1366">
        <f>+IF(ISBLANK(REPORTS!N1791),"",REPORTS!N1791)</f>
        <v>3173.8626610955725</v>
      </c>
      <c r="I2196" s="1366">
        <f>+IF(ISBLANK(REPORTS!O1791),"",REPORTS!O1791)</f>
        <v>1916.1794873947651</v>
      </c>
      <c r="J2196" s="1366">
        <f>+IF(ISBLANK(REPORTS!P1791),"",REPORTS!P1791)</f>
        <v>218.24050523345159</v>
      </c>
      <c r="K2196" s="1366">
        <f>+IF(ISBLANK(REPORTS!Q1791),"",REPORTS!Q1791)</f>
        <v>4593.1266729119889</v>
      </c>
      <c r="L2196" s="1358"/>
    </row>
    <row r="2197" spans="1:12">
      <c r="A2197" s="1393">
        <v>144</v>
      </c>
      <c r="D2197" s="1324" t="str">
        <f>+IF(ISBLANK(REPORTS!J1792),"",REPORTS!J1792)</f>
        <v/>
      </c>
      <c r="E2197" s="1324" t="str">
        <f>+IF(ISBLANK(REPORTS!K1792),"",REPORTS!K1792)</f>
        <v/>
      </c>
      <c r="F2197" s="1324" t="str">
        <f>+IF(ISBLANK(REPORTS!L1792),"",REPORTS!L1792)</f>
        <v/>
      </c>
      <c r="G2197" s="1324" t="str">
        <f>+IF(ISBLANK(REPORTS!M1792),"",REPORTS!M1792)</f>
        <v/>
      </c>
      <c r="H2197" s="1324" t="str">
        <f>+IF(ISBLANK(REPORTS!N1792),"",REPORTS!N1792)</f>
        <v/>
      </c>
      <c r="I2197" s="1324" t="str">
        <f>+IF(ISBLANK(REPORTS!O1792),"",REPORTS!O1792)</f>
        <v/>
      </c>
      <c r="J2197" s="1324" t="str">
        <f>+IF(ISBLANK(REPORTS!P1792),"",REPORTS!P1792)</f>
        <v/>
      </c>
      <c r="K2197" s="1324" t="str">
        <f>+IF(ISBLANK(REPORTS!Q1792),"",REPORTS!Q1792)</f>
        <v/>
      </c>
    </row>
    <row r="2198" spans="1:12">
      <c r="A2198" s="1393">
        <v>145</v>
      </c>
      <c r="B2198" s="1362" t="s">
        <v>6042</v>
      </c>
      <c r="D2198" s="1324" t="str">
        <f>+IF(ISBLANK(REPORTS!J1793),"",REPORTS!J1793)</f>
        <v/>
      </c>
      <c r="E2198" s="1324" t="str">
        <f>+IF(ISBLANK(REPORTS!K1793),"",REPORTS!K1793)</f>
        <v/>
      </c>
      <c r="F2198" s="1324" t="str">
        <f>+IF(ISBLANK(REPORTS!L1793),"",REPORTS!L1793)</f>
        <v/>
      </c>
      <c r="G2198" s="1324" t="str">
        <f>+IF(ISBLANK(REPORTS!M1793),"",REPORTS!M1793)</f>
        <v/>
      </c>
      <c r="H2198" s="1324" t="str">
        <f>+IF(ISBLANK(REPORTS!N1793),"",REPORTS!N1793)</f>
        <v/>
      </c>
      <c r="I2198" s="1324" t="str">
        <f>+IF(ISBLANK(REPORTS!O1793),"",REPORTS!O1793)</f>
        <v/>
      </c>
      <c r="J2198" s="1324" t="str">
        <f>+IF(ISBLANK(REPORTS!P1793),"",REPORTS!P1793)</f>
        <v/>
      </c>
      <c r="K2198" s="1324" t="str">
        <f>+IF(ISBLANK(REPORTS!Q1793),"",REPORTS!Q1793)</f>
        <v/>
      </c>
    </row>
    <row r="2199" spans="1:12">
      <c r="A2199" s="1393">
        <v>146</v>
      </c>
      <c r="B2199" s="1324" t="s">
        <v>5265</v>
      </c>
      <c r="C2199" s="1324" t="s">
        <v>4067</v>
      </c>
      <c r="D2199" s="1324">
        <f>+IF(ISBLANK(REPORTS!J1794),"",REPORTS!J1794)</f>
        <v>290551.79552865884</v>
      </c>
      <c r="E2199" s="1324">
        <f>+IF(ISBLANK(REPORTS!K1794),"",REPORTS!K1794)</f>
        <v>166839.10241972734</v>
      </c>
      <c r="F2199" s="1324">
        <f>+IF(ISBLANK(REPORTS!L1794),"",REPORTS!L1794)</f>
        <v>13874.447484801451</v>
      </c>
      <c r="G2199" s="1324">
        <f>+IF(ISBLANK(REPORTS!M1794),"",REPORTS!M1794)</f>
        <v>89794.179812387054</v>
      </c>
      <c r="H2199" s="1324">
        <f>+IF(ISBLANK(REPORTS!N1794),"",REPORTS!N1794)</f>
        <v>11476.303899894016</v>
      </c>
      <c r="I2199" s="1324">
        <f>+IF(ISBLANK(REPORTS!O1794),"",REPORTS!O1794)</f>
        <v>8259.5319225596359</v>
      </c>
      <c r="J2199" s="1324">
        <f>+IF(ISBLANK(REPORTS!P1794),"",REPORTS!P1794)</f>
        <v>308.22998928939768</v>
      </c>
      <c r="K2199" s="1324">
        <f>+IF(ISBLANK(REPORTS!Q1794),"",REPORTS!Q1794)</f>
        <v>0</v>
      </c>
    </row>
    <row r="2200" spans="1:12">
      <c r="A2200" s="1393">
        <v>147</v>
      </c>
      <c r="B2200" s="1324" t="s">
        <v>5265</v>
      </c>
      <c r="C2200" s="1324" t="s">
        <v>2067</v>
      </c>
      <c r="D2200" s="1364">
        <f>+IF(ISBLANK(REPORTS!J1795),"",REPORTS!J1795)</f>
        <v>30632.200099340615</v>
      </c>
      <c r="E2200" s="1364">
        <f>+IF(ISBLANK(REPORTS!K1795),"",REPORTS!K1795)</f>
        <v>15458.055338611979</v>
      </c>
      <c r="F2200" s="1364">
        <f>+IF(ISBLANK(REPORTS!L1795),"",REPORTS!L1795)</f>
        <v>1428.5052700758743</v>
      </c>
      <c r="G2200" s="1364">
        <f>+IF(ISBLANK(REPORTS!M1795),"",REPORTS!M1795)</f>
        <v>10641.809412328281</v>
      </c>
      <c r="H2200" s="1364">
        <f>+IF(ISBLANK(REPORTS!N1795),"",REPORTS!N1795)</f>
        <v>1694.0049513217248</v>
      </c>
      <c r="I2200" s="1364">
        <f>+IF(ISBLANK(REPORTS!O1795),"",REPORTS!O1795)</f>
        <v>1247.9935459729331</v>
      </c>
      <c r="J2200" s="1364">
        <f>+IF(ISBLANK(REPORTS!P1795),"",REPORTS!P1795)</f>
        <v>161.83158102982321</v>
      </c>
      <c r="K2200" s="1364">
        <f>+IF(ISBLANK(REPORTS!Q1795),"",REPORTS!Q1795)</f>
        <v>0</v>
      </c>
      <c r="L2200" s="1358"/>
    </row>
    <row r="2201" spans="1:12">
      <c r="A2201" s="1393">
        <v>148</v>
      </c>
      <c r="B2201" s="1324" t="s">
        <v>5268</v>
      </c>
      <c r="C2201" s="1324" t="s">
        <v>4067</v>
      </c>
      <c r="D2201" s="1364">
        <f>+IF(ISBLANK(REPORTS!J1796),"",REPORTS!J1796)</f>
        <v>14346.725415189947</v>
      </c>
      <c r="E2201" s="1364">
        <f>+IF(ISBLANK(REPORTS!K1796),"",REPORTS!K1796)</f>
        <v>8321.2878238845096</v>
      </c>
      <c r="F2201" s="1364">
        <f>+IF(ISBLANK(REPORTS!L1796),"",REPORTS!L1796)</f>
        <v>686.42231234234964</v>
      </c>
      <c r="G2201" s="1364">
        <f>+IF(ISBLANK(REPORTS!M1796),"",REPORTS!M1796)</f>
        <v>4387.9529927227877</v>
      </c>
      <c r="H2201" s="1364">
        <f>+IF(ISBLANK(REPORTS!N1796),"",REPORTS!N1796)</f>
        <v>547.77775084332268</v>
      </c>
      <c r="I2201" s="1364">
        <f>+IF(ISBLANK(REPORTS!O1796),"",REPORTS!O1796)</f>
        <v>393.1128131230027</v>
      </c>
      <c r="J2201" s="1364">
        <f>+IF(ISBLANK(REPORTS!P1796),"",REPORTS!P1796)</f>
        <v>10.171722273976087</v>
      </c>
      <c r="K2201" s="1364">
        <f>+IF(ISBLANK(REPORTS!Q1796),"",REPORTS!Q1796)</f>
        <v>0</v>
      </c>
      <c r="L2201" s="1358"/>
    </row>
    <row r="2202" spans="1:12">
      <c r="A2202" s="1393">
        <v>149</v>
      </c>
      <c r="B2202" s="1324" t="s">
        <v>5239</v>
      </c>
      <c r="C2202" s="1324" t="s">
        <v>4067</v>
      </c>
      <c r="D2202" s="1364">
        <f>+IF(ISBLANK(REPORTS!J1797),"",REPORTS!J1797)</f>
        <v>15521.081651839251</v>
      </c>
      <c r="E2202" s="1364">
        <f>+IF(ISBLANK(REPORTS!K1797),"",REPORTS!K1797)</f>
        <v>9002.4297548917184</v>
      </c>
      <c r="F2202" s="1364">
        <f>+IF(ISBLANK(REPORTS!L1797),"",REPORTS!L1797)</f>
        <v>742.60965127482791</v>
      </c>
      <c r="G2202" s="1364">
        <f>+IF(ISBLANK(REPORTS!M1797),"",REPORTS!M1797)</f>
        <v>4747.1304226938173</v>
      </c>
      <c r="H2202" s="1364">
        <f>+IF(ISBLANK(REPORTS!N1797),"",REPORTS!N1797)</f>
        <v>592.61629060651421</v>
      </c>
      <c r="I2202" s="1364">
        <f>+IF(ISBLANK(REPORTS!O1797),"",REPORTS!O1797)</f>
        <v>425.29120020699622</v>
      </c>
      <c r="J2202" s="1364">
        <f>+IF(ISBLANK(REPORTS!P1797),"",REPORTS!P1797)</f>
        <v>11.004332165377591</v>
      </c>
      <c r="K2202" s="1364">
        <f>+IF(ISBLANK(REPORTS!Q1797),"",REPORTS!Q1797)</f>
        <v>0</v>
      </c>
      <c r="L2202" s="1358"/>
    </row>
    <row r="2203" spans="1:12">
      <c r="A2203" s="1393">
        <v>150</v>
      </c>
      <c r="B2203" s="1324" t="s">
        <v>5240</v>
      </c>
      <c r="C2203" s="1324" t="s">
        <v>4067</v>
      </c>
      <c r="D2203" s="1364">
        <f>+IF(ISBLANK(REPORTS!J1798),"",REPORTS!J1798)</f>
        <v>76341.163093584852</v>
      </c>
      <c r="E2203" s="1364">
        <f>+IF(ISBLANK(REPORTS!K1798),"",REPORTS!K1798)</f>
        <v>47515.96229002763</v>
      </c>
      <c r="F2203" s="1364">
        <f>+IF(ISBLANK(REPORTS!L1798),"",REPORTS!L1798)</f>
        <v>3379.4544109218741</v>
      </c>
      <c r="G2203" s="1364">
        <f>+IF(ISBLANK(REPORTS!M1798),"",REPORTS!M1798)</f>
        <v>22627.557324252964</v>
      </c>
      <c r="H2203" s="1364">
        <f>+IF(ISBLANK(REPORTS!N1798),"",REPORTS!N1798)</f>
        <v>2379.964078807659</v>
      </c>
      <c r="I2203" s="1364">
        <f>+IF(ISBLANK(REPORTS!O1798),"",REPORTS!O1798)</f>
        <v>1.6249931085812012E-3</v>
      </c>
      <c r="J2203" s="1364">
        <f>+IF(ISBLANK(REPORTS!P1798),"",REPORTS!P1798)</f>
        <v>438.22336458162823</v>
      </c>
      <c r="K2203" s="1364">
        <f>+IF(ISBLANK(REPORTS!Q1798),"",REPORTS!Q1798)</f>
        <v>0</v>
      </c>
      <c r="L2203" s="1358"/>
    </row>
    <row r="2204" spans="1:12">
      <c r="A2204" s="1393">
        <v>151</v>
      </c>
      <c r="B2204" s="1324" t="s">
        <v>5241</v>
      </c>
      <c r="C2204" s="1324" t="s">
        <v>4067</v>
      </c>
      <c r="D2204" s="1364">
        <f>+IF(ISBLANK(REPORTS!J1799),"",REPORTS!J1799)</f>
        <v>43854.637077825559</v>
      </c>
      <c r="E2204" s="1364">
        <f>+IF(ISBLANK(REPORTS!K1799),"",REPORTS!K1799)</f>
        <v>31997.801873923418</v>
      </c>
      <c r="F2204" s="1364">
        <f>+IF(ISBLANK(REPORTS!L1799),"",REPORTS!L1799)</f>
        <v>2576.4580867143418</v>
      </c>
      <c r="G2204" s="1364">
        <f>+IF(ISBLANK(REPORTS!M1799),"",REPORTS!M1799)</f>
        <v>9121.7361160525234</v>
      </c>
      <c r="H2204" s="1364">
        <f>+IF(ISBLANK(REPORTS!N1799),"",REPORTS!N1799)</f>
        <v>0</v>
      </c>
      <c r="I2204" s="1364">
        <f>+IF(ISBLANK(REPORTS!O1799),"",REPORTS!O1799)</f>
        <v>0</v>
      </c>
      <c r="J2204" s="1364">
        <f>+IF(ISBLANK(REPORTS!P1799),"",REPORTS!P1799)</f>
        <v>158.64100113527866</v>
      </c>
      <c r="K2204" s="1364">
        <f>+IF(ISBLANK(REPORTS!Q1799),"",REPORTS!Q1799)</f>
        <v>0</v>
      </c>
      <c r="L2204" s="1358"/>
    </row>
    <row r="2205" spans="1:12">
      <c r="A2205" s="1393">
        <v>152</v>
      </c>
      <c r="B2205" s="1324" t="s">
        <v>5242</v>
      </c>
      <c r="C2205" s="1324" t="s">
        <v>4071</v>
      </c>
      <c r="D2205" s="1364">
        <f>+IF(ISBLANK(REPORTS!J1800),"",REPORTS!J1800)</f>
        <v>47757.415831805716</v>
      </c>
      <c r="E2205" s="1364">
        <f>+IF(ISBLANK(REPORTS!K1800),"",REPORTS!K1800)</f>
        <v>19058.030039976857</v>
      </c>
      <c r="F2205" s="1364">
        <f>+IF(ISBLANK(REPORTS!L1800),"",REPORTS!L1800)</f>
        <v>3755.5686865087068</v>
      </c>
      <c r="G2205" s="1364">
        <f>+IF(ISBLANK(REPORTS!M1800),"",REPORTS!M1800)</f>
        <v>2174.0237328748285</v>
      </c>
      <c r="H2205" s="1364">
        <f>+IF(ISBLANK(REPORTS!N1800),"",REPORTS!N1800)</f>
        <v>164.27153033742925</v>
      </c>
      <c r="I2205" s="1364">
        <f>+IF(ISBLANK(REPORTS!O1800),"",REPORTS!O1800)</f>
        <v>179.2271354087697</v>
      </c>
      <c r="J2205" s="1364">
        <f>+IF(ISBLANK(REPORTS!P1800),"",REPORTS!P1800)</f>
        <v>36.659734650343147</v>
      </c>
      <c r="K2205" s="1364">
        <f>+IF(ISBLANK(REPORTS!Q1800),"",REPORTS!Q1800)</f>
        <v>22389.634972048774</v>
      </c>
      <c r="L2205" s="1358"/>
    </row>
    <row r="2206" spans="1:12">
      <c r="A2206" s="1393">
        <v>153</v>
      </c>
      <c r="B2206" s="1324" t="s">
        <v>5244</v>
      </c>
      <c r="C2206" s="1324" t="s">
        <v>4071</v>
      </c>
      <c r="D2206" s="1366">
        <f>+IF(ISBLANK(REPORTS!J1801),"",REPORTS!J1801)</f>
        <v>12431.05871528412</v>
      </c>
      <c r="E2206" s="1366">
        <f>+IF(ISBLANK(REPORTS!K1801),"",REPORTS!K1801)</f>
        <v>11087.097359078902</v>
      </c>
      <c r="F2206" s="1366">
        <f>+IF(ISBLANK(REPORTS!L1801),"",REPORTS!L1801)</f>
        <v>1074.7942807674417</v>
      </c>
      <c r="G2206" s="1366">
        <f>+IF(ISBLANK(REPORTS!M1801),"",REPORTS!M1801)</f>
        <v>264.71267171507458</v>
      </c>
      <c r="H2206" s="1366">
        <f>+IF(ISBLANK(REPORTS!N1801),"",REPORTS!N1801)</f>
        <v>0.89376385374582712</v>
      </c>
      <c r="I2206" s="1366">
        <f>+IF(ISBLANK(REPORTS!O1801),"",REPORTS!O1801)</f>
        <v>0.15857100630974355</v>
      </c>
      <c r="J2206" s="1366">
        <f>+IF(ISBLANK(REPORTS!P1801),"",REPORTS!P1801)</f>
        <v>3.4020688626454065</v>
      </c>
      <c r="K2206" s="1366">
        <f>+IF(ISBLANK(REPORTS!Q1801),"",REPORTS!Q1801)</f>
        <v>0</v>
      </c>
      <c r="L2206" s="1358"/>
    </row>
    <row r="2207" spans="1:12">
      <c r="A2207" s="1393">
        <v>154</v>
      </c>
      <c r="B2207" s="1324" t="s">
        <v>6043</v>
      </c>
      <c r="D2207" s="1366">
        <f>+IF(ISBLANK(REPORTS!J1802),"",REPORTS!J1802)</f>
        <v>531436.07741352892</v>
      </c>
      <c r="E2207" s="1366">
        <f>+IF(ISBLANK(REPORTS!K1802),"",REPORTS!K1802)</f>
        <v>309279.76690012234</v>
      </c>
      <c r="F2207" s="1366">
        <f>+IF(ISBLANK(REPORTS!L1802),"",REPORTS!L1802)</f>
        <v>27518.260183406866</v>
      </c>
      <c r="G2207" s="1366">
        <f>+IF(ISBLANK(REPORTS!M1802),"",REPORTS!M1802)</f>
        <v>143759.10248502731</v>
      </c>
      <c r="H2207" s="1366">
        <f>+IF(ISBLANK(REPORTS!N1802),"",REPORTS!N1802)</f>
        <v>16855.832265664412</v>
      </c>
      <c r="I2207" s="1366">
        <f>+IF(ISBLANK(REPORTS!O1802),"",REPORTS!O1802)</f>
        <v>10505.316813270758</v>
      </c>
      <c r="J2207" s="1366">
        <f>+IF(ISBLANK(REPORTS!P1802),"",REPORTS!P1802)</f>
        <v>1128.1637939884699</v>
      </c>
      <c r="K2207" s="1366">
        <f>+IF(ISBLANK(REPORTS!Q1802),"",REPORTS!Q1802)</f>
        <v>22389.634972048774</v>
      </c>
      <c r="L2207" s="1358"/>
    </row>
    <row r="2208" spans="1:12">
      <c r="A2208" s="1393">
        <v>155</v>
      </c>
      <c r="D2208" s="1324" t="str">
        <f>+IF(ISBLANK(REPORTS!J1803),"",REPORTS!J1803)</f>
        <v/>
      </c>
      <c r="E2208" s="1324" t="str">
        <f>+IF(ISBLANK(REPORTS!K1803),"",REPORTS!K1803)</f>
        <v/>
      </c>
      <c r="F2208" s="1324" t="str">
        <f>+IF(ISBLANK(REPORTS!L1803),"",REPORTS!L1803)</f>
        <v/>
      </c>
      <c r="G2208" s="1324" t="str">
        <f>+IF(ISBLANK(REPORTS!M1803),"",REPORTS!M1803)</f>
        <v/>
      </c>
      <c r="H2208" s="1324" t="str">
        <f>+IF(ISBLANK(REPORTS!N1803),"",REPORTS!N1803)</f>
        <v/>
      </c>
      <c r="I2208" s="1324" t="str">
        <f>+IF(ISBLANK(REPORTS!O1803),"",REPORTS!O1803)</f>
        <v/>
      </c>
      <c r="J2208" s="1324" t="str">
        <f>+IF(ISBLANK(REPORTS!P1803),"",REPORTS!P1803)</f>
        <v/>
      </c>
      <c r="K2208" s="1324" t="str">
        <f>+IF(ISBLANK(REPORTS!Q1803),"",REPORTS!Q1803)</f>
        <v/>
      </c>
    </row>
    <row r="2209" spans="1:12">
      <c r="A2209" s="1393">
        <v>156</v>
      </c>
      <c r="B2209" s="1362" t="s">
        <v>6045</v>
      </c>
      <c r="D2209" s="1324" t="str">
        <f>+IF(ISBLANK(REPORTS!J1804),"",REPORTS!J1804)</f>
        <v/>
      </c>
      <c r="E2209" s="1324" t="str">
        <f>+IF(ISBLANK(REPORTS!K1804),"",REPORTS!K1804)</f>
        <v/>
      </c>
      <c r="F2209" s="1324" t="str">
        <f>+IF(ISBLANK(REPORTS!L1804),"",REPORTS!L1804)</f>
        <v/>
      </c>
      <c r="G2209" s="1324" t="str">
        <f>+IF(ISBLANK(REPORTS!M1804),"",REPORTS!M1804)</f>
        <v/>
      </c>
      <c r="H2209" s="1324" t="str">
        <f>+IF(ISBLANK(REPORTS!N1804),"",REPORTS!N1804)</f>
        <v/>
      </c>
      <c r="I2209" s="1324" t="str">
        <f>+IF(ISBLANK(REPORTS!O1804),"",REPORTS!O1804)</f>
        <v/>
      </c>
      <c r="J2209" s="1324" t="str">
        <f>+IF(ISBLANK(REPORTS!P1804),"",REPORTS!P1804)</f>
        <v/>
      </c>
      <c r="K2209" s="1324" t="str">
        <f>+IF(ISBLANK(REPORTS!Q1804),"",REPORTS!Q1804)</f>
        <v/>
      </c>
    </row>
    <row r="2210" spans="1:12">
      <c r="A2210" s="1393">
        <v>157</v>
      </c>
      <c r="B2210" s="1324" t="s">
        <v>5265</v>
      </c>
      <c r="C2210" s="1324" t="s">
        <v>4067</v>
      </c>
      <c r="D2210" s="1324">
        <f>+IF(ISBLANK(REPORTS!J1805),"",REPORTS!J1805)</f>
        <v>0</v>
      </c>
      <c r="E2210" s="1324">
        <f>+IF(ISBLANK(REPORTS!K1805),"",REPORTS!K1805)</f>
        <v>0</v>
      </c>
      <c r="F2210" s="1324">
        <f>+IF(ISBLANK(REPORTS!L1805),"",REPORTS!L1805)</f>
        <v>0</v>
      </c>
      <c r="G2210" s="1324">
        <f>+IF(ISBLANK(REPORTS!M1805),"",REPORTS!M1805)</f>
        <v>0</v>
      </c>
      <c r="H2210" s="1324">
        <f>+IF(ISBLANK(REPORTS!N1805),"",REPORTS!N1805)</f>
        <v>0</v>
      </c>
      <c r="I2210" s="1324">
        <f>+IF(ISBLANK(REPORTS!O1805),"",REPORTS!O1805)</f>
        <v>0</v>
      </c>
      <c r="J2210" s="1320">
        <f>+IF(ISBLANK(REPORTS!P1805),"",REPORTS!P1805)</f>
        <v>0</v>
      </c>
      <c r="K2210" s="1320">
        <f>+IF(ISBLANK(REPORTS!Q1805),"",REPORTS!Q1805)</f>
        <v>0</v>
      </c>
    </row>
    <row r="2211" spans="1:12">
      <c r="A2211" s="1393">
        <v>158</v>
      </c>
      <c r="B2211" s="1324" t="s">
        <v>5265</v>
      </c>
      <c r="C2211" s="1324" t="s">
        <v>2067</v>
      </c>
      <c r="D2211" s="1364">
        <f>+IF(ISBLANK(REPORTS!J1806),"",REPORTS!J1806)</f>
        <v>0</v>
      </c>
      <c r="E2211" s="1364">
        <f>+IF(ISBLANK(REPORTS!K1806),"",REPORTS!K1806)</f>
        <v>0</v>
      </c>
      <c r="F2211" s="1364">
        <f>+IF(ISBLANK(REPORTS!L1806),"",REPORTS!L1806)</f>
        <v>0</v>
      </c>
      <c r="G2211" s="1364">
        <f>+IF(ISBLANK(REPORTS!M1806),"",REPORTS!M1806)</f>
        <v>0</v>
      </c>
      <c r="H2211" s="1364">
        <f>+IF(ISBLANK(REPORTS!N1806),"",REPORTS!N1806)</f>
        <v>0</v>
      </c>
      <c r="I2211" s="1364">
        <f>+IF(ISBLANK(REPORTS!O1806),"",REPORTS!O1806)</f>
        <v>0</v>
      </c>
      <c r="J2211" s="1364">
        <f>+IF(ISBLANK(REPORTS!P1806),"",REPORTS!P1806)</f>
        <v>0</v>
      </c>
      <c r="K2211" s="1364">
        <f>+IF(ISBLANK(REPORTS!Q1806),"",REPORTS!Q1806)</f>
        <v>0</v>
      </c>
      <c r="L2211" s="1358"/>
    </row>
    <row r="2212" spans="1:12">
      <c r="A2212" s="1393">
        <v>159</v>
      </c>
      <c r="B2212" s="1324" t="s">
        <v>5268</v>
      </c>
      <c r="C2212" s="1324" t="s">
        <v>4067</v>
      </c>
      <c r="D2212" s="1364">
        <f>+IF(ISBLANK(REPORTS!J1807),"",REPORTS!J1807)</f>
        <v>0</v>
      </c>
      <c r="E2212" s="1364">
        <f>+IF(ISBLANK(REPORTS!K1807),"",REPORTS!K1807)</f>
        <v>0</v>
      </c>
      <c r="F2212" s="1364">
        <f>+IF(ISBLANK(REPORTS!L1807),"",REPORTS!L1807)</f>
        <v>0</v>
      </c>
      <c r="G2212" s="1364">
        <f>+IF(ISBLANK(REPORTS!M1807),"",REPORTS!M1807)</f>
        <v>0</v>
      </c>
      <c r="H2212" s="1364">
        <f>+IF(ISBLANK(REPORTS!N1807),"",REPORTS!N1807)</f>
        <v>0</v>
      </c>
      <c r="I2212" s="1364">
        <f>+IF(ISBLANK(REPORTS!O1807),"",REPORTS!O1807)</f>
        <v>0</v>
      </c>
      <c r="J2212" s="1364">
        <f>+IF(ISBLANK(REPORTS!P1807),"",REPORTS!P1807)</f>
        <v>0</v>
      </c>
      <c r="K2212" s="1364">
        <f>+IF(ISBLANK(REPORTS!Q1807),"",REPORTS!Q1807)</f>
        <v>0</v>
      </c>
      <c r="L2212" s="1358"/>
    </row>
    <row r="2213" spans="1:12">
      <c r="A2213" s="1393">
        <v>160</v>
      </c>
      <c r="B2213" s="1324" t="s">
        <v>5239</v>
      </c>
      <c r="C2213" s="1324" t="s">
        <v>4067</v>
      </c>
      <c r="D2213" s="1364">
        <f>+IF(ISBLANK(REPORTS!J1808),"",REPORTS!J1808)</f>
        <v>0</v>
      </c>
      <c r="E2213" s="1364">
        <f>+IF(ISBLANK(REPORTS!K1808),"",REPORTS!K1808)</f>
        <v>0</v>
      </c>
      <c r="F2213" s="1364">
        <f>+IF(ISBLANK(REPORTS!L1808),"",REPORTS!L1808)</f>
        <v>0</v>
      </c>
      <c r="G2213" s="1364">
        <f>+IF(ISBLANK(REPORTS!M1808),"",REPORTS!M1808)</f>
        <v>0</v>
      </c>
      <c r="H2213" s="1364">
        <f>+IF(ISBLANK(REPORTS!N1808),"",REPORTS!N1808)</f>
        <v>0</v>
      </c>
      <c r="I2213" s="1364">
        <f>+IF(ISBLANK(REPORTS!O1808),"",REPORTS!O1808)</f>
        <v>0</v>
      </c>
      <c r="J2213" s="1364">
        <f>+IF(ISBLANK(REPORTS!P1808),"",REPORTS!P1808)</f>
        <v>0</v>
      </c>
      <c r="K2213" s="1364">
        <f>+IF(ISBLANK(REPORTS!Q1808),"",REPORTS!Q1808)</f>
        <v>0</v>
      </c>
      <c r="L2213" s="1358"/>
    </row>
    <row r="2214" spans="1:12">
      <c r="A2214" s="1393">
        <v>161</v>
      </c>
      <c r="B2214" s="1324" t="s">
        <v>5240</v>
      </c>
      <c r="C2214" s="1324" t="s">
        <v>4067</v>
      </c>
      <c r="D2214" s="1364">
        <f>+IF(ISBLANK(REPORTS!J1809),"",REPORTS!J1809)</f>
        <v>0</v>
      </c>
      <c r="E2214" s="1364">
        <f>+IF(ISBLANK(REPORTS!K1809),"",REPORTS!K1809)</f>
        <v>0</v>
      </c>
      <c r="F2214" s="1364">
        <f>+IF(ISBLANK(REPORTS!L1809),"",REPORTS!L1809)</f>
        <v>0</v>
      </c>
      <c r="G2214" s="1364">
        <f>+IF(ISBLANK(REPORTS!M1809),"",REPORTS!M1809)</f>
        <v>0</v>
      </c>
      <c r="H2214" s="1364">
        <f>+IF(ISBLANK(REPORTS!N1809),"",REPORTS!N1809)</f>
        <v>0</v>
      </c>
      <c r="I2214" s="1364">
        <f>+IF(ISBLANK(REPORTS!O1809),"",REPORTS!O1809)</f>
        <v>0</v>
      </c>
      <c r="J2214" s="1364">
        <f>+IF(ISBLANK(REPORTS!P1809),"",REPORTS!P1809)</f>
        <v>0</v>
      </c>
      <c r="K2214" s="1364">
        <f>+IF(ISBLANK(REPORTS!Q1809),"",REPORTS!Q1809)</f>
        <v>0</v>
      </c>
      <c r="L2214" s="1358"/>
    </row>
    <row r="2215" spans="1:12">
      <c r="A2215" s="1393">
        <v>162</v>
      </c>
      <c r="B2215" s="1324" t="s">
        <v>5241</v>
      </c>
      <c r="C2215" s="1324" t="s">
        <v>4067</v>
      </c>
      <c r="D2215" s="1364">
        <f>+IF(ISBLANK(REPORTS!J1810),"",REPORTS!J1810)</f>
        <v>0</v>
      </c>
      <c r="E2215" s="1364">
        <f>+IF(ISBLANK(REPORTS!K1810),"",REPORTS!K1810)</f>
        <v>0</v>
      </c>
      <c r="F2215" s="1364">
        <f>+IF(ISBLANK(REPORTS!L1810),"",REPORTS!L1810)</f>
        <v>0</v>
      </c>
      <c r="G2215" s="1364">
        <f>+IF(ISBLANK(REPORTS!M1810),"",REPORTS!M1810)</f>
        <v>0</v>
      </c>
      <c r="H2215" s="1364">
        <f>+IF(ISBLANK(REPORTS!N1810),"",REPORTS!N1810)</f>
        <v>0</v>
      </c>
      <c r="I2215" s="1364">
        <f>+IF(ISBLANK(REPORTS!O1810),"",REPORTS!O1810)</f>
        <v>0</v>
      </c>
      <c r="J2215" s="1364">
        <f>+IF(ISBLANK(REPORTS!P1810),"",REPORTS!P1810)</f>
        <v>0</v>
      </c>
      <c r="K2215" s="1364">
        <f>+IF(ISBLANK(REPORTS!Q1810),"",REPORTS!Q1810)</f>
        <v>0</v>
      </c>
      <c r="L2215" s="1358"/>
    </row>
    <row r="2216" spans="1:12">
      <c r="A2216" s="1393">
        <v>163</v>
      </c>
      <c r="B2216" s="1324" t="s">
        <v>5242</v>
      </c>
      <c r="C2216" s="1324" t="s">
        <v>4071</v>
      </c>
      <c r="D2216" s="1364">
        <f>+IF(ISBLANK(REPORTS!J1811),"",REPORTS!J1811)</f>
        <v>0</v>
      </c>
      <c r="E2216" s="1364">
        <f>+IF(ISBLANK(REPORTS!K1811),"",REPORTS!K1811)</f>
        <v>0</v>
      </c>
      <c r="F2216" s="1364">
        <f>+IF(ISBLANK(REPORTS!L1811),"",REPORTS!L1811)</f>
        <v>0</v>
      </c>
      <c r="G2216" s="1364">
        <f>+IF(ISBLANK(REPORTS!M1811),"",REPORTS!M1811)</f>
        <v>0</v>
      </c>
      <c r="H2216" s="1364">
        <f>+IF(ISBLANK(REPORTS!N1811),"",REPORTS!N1811)</f>
        <v>0</v>
      </c>
      <c r="I2216" s="1364">
        <f>+IF(ISBLANK(REPORTS!O1811),"",REPORTS!O1811)</f>
        <v>0</v>
      </c>
      <c r="J2216" s="1364">
        <f>+IF(ISBLANK(REPORTS!P1811),"",REPORTS!P1811)</f>
        <v>0</v>
      </c>
      <c r="K2216" s="1364">
        <f>+IF(ISBLANK(REPORTS!Q1811),"",REPORTS!Q1811)</f>
        <v>0</v>
      </c>
      <c r="L2216" s="1358"/>
    </row>
    <row r="2217" spans="1:12">
      <c r="A2217" s="1393">
        <v>164</v>
      </c>
      <c r="B2217" s="1324" t="s">
        <v>5244</v>
      </c>
      <c r="C2217" s="1324" t="s">
        <v>4071</v>
      </c>
      <c r="D2217" s="1366">
        <f>+IF(ISBLANK(REPORTS!J1812),"",REPORTS!J1812)</f>
        <v>0</v>
      </c>
      <c r="E2217" s="1366">
        <f>+IF(ISBLANK(REPORTS!K1812),"",REPORTS!K1812)</f>
        <v>0</v>
      </c>
      <c r="F2217" s="1366">
        <f>+IF(ISBLANK(REPORTS!L1812),"",REPORTS!L1812)</f>
        <v>0</v>
      </c>
      <c r="G2217" s="1366">
        <f>+IF(ISBLANK(REPORTS!M1812),"",REPORTS!M1812)</f>
        <v>0</v>
      </c>
      <c r="H2217" s="1366">
        <f>+IF(ISBLANK(REPORTS!N1812),"",REPORTS!N1812)</f>
        <v>0</v>
      </c>
      <c r="I2217" s="1366">
        <f>+IF(ISBLANK(REPORTS!O1812),"",REPORTS!O1812)</f>
        <v>0</v>
      </c>
      <c r="J2217" s="1366">
        <f>+IF(ISBLANK(REPORTS!P1812),"",REPORTS!P1812)</f>
        <v>0</v>
      </c>
      <c r="K2217" s="1366">
        <f>+IF(ISBLANK(REPORTS!Q1812),"",REPORTS!Q1812)</f>
        <v>0</v>
      </c>
      <c r="L2217" s="1358"/>
    </row>
    <row r="2218" spans="1:12">
      <c r="A2218" s="1393">
        <v>165</v>
      </c>
      <c r="B2218" s="1324" t="s">
        <v>5546</v>
      </c>
      <c r="D2218" s="1366">
        <f>+IF(ISBLANK(REPORTS!J1813),"",REPORTS!J1813)</f>
        <v>0</v>
      </c>
      <c r="E2218" s="1366">
        <f>+IF(ISBLANK(REPORTS!K1813),"",REPORTS!K1813)</f>
        <v>0</v>
      </c>
      <c r="F2218" s="1366">
        <f>+IF(ISBLANK(REPORTS!L1813),"",REPORTS!L1813)</f>
        <v>0</v>
      </c>
      <c r="G2218" s="1366">
        <f>+IF(ISBLANK(REPORTS!M1813),"",REPORTS!M1813)</f>
        <v>0</v>
      </c>
      <c r="H2218" s="1366">
        <f>+IF(ISBLANK(REPORTS!N1813),"",REPORTS!N1813)</f>
        <v>0</v>
      </c>
      <c r="I2218" s="1366">
        <f>+IF(ISBLANK(REPORTS!O1813),"",REPORTS!O1813)</f>
        <v>0</v>
      </c>
      <c r="J2218" s="1366">
        <f>+IF(ISBLANK(REPORTS!P1813),"",REPORTS!P1813)</f>
        <v>0</v>
      </c>
      <c r="K2218" s="1366">
        <f>+IF(ISBLANK(REPORTS!Q1813),"",REPORTS!Q1813)</f>
        <v>0</v>
      </c>
      <c r="L2218" s="1358"/>
    </row>
    <row r="2219" spans="1:12">
      <c r="A2219" s="1393">
        <v>166</v>
      </c>
      <c r="D2219" s="1364" t="str">
        <f>+IF(ISBLANK(REPORTS!J1814),"",REPORTS!J1814)</f>
        <v/>
      </c>
      <c r="E2219" s="1364" t="str">
        <f>+IF(ISBLANK(REPORTS!K1814),"",REPORTS!K1814)</f>
        <v/>
      </c>
      <c r="F2219" s="1364" t="str">
        <f>+IF(ISBLANK(REPORTS!L1814),"",REPORTS!L1814)</f>
        <v/>
      </c>
      <c r="G2219" s="1364" t="str">
        <f>+IF(ISBLANK(REPORTS!M1814),"",REPORTS!M1814)</f>
        <v/>
      </c>
      <c r="H2219" s="1364" t="str">
        <f>+IF(ISBLANK(REPORTS!N1814),"",REPORTS!N1814)</f>
        <v/>
      </c>
      <c r="I2219" s="1364" t="str">
        <f>+IF(ISBLANK(REPORTS!O1814),"",REPORTS!O1814)</f>
        <v/>
      </c>
      <c r="J2219" s="1364" t="str">
        <f>+IF(ISBLANK(REPORTS!P1814),"",REPORTS!P1814)</f>
        <v/>
      </c>
      <c r="K2219" s="1364" t="str">
        <f>+IF(ISBLANK(REPORTS!Q1814),"",REPORTS!Q1814)</f>
        <v/>
      </c>
      <c r="L2219" s="1358"/>
    </row>
    <row r="2220" spans="1:12">
      <c r="A2220" s="1393">
        <v>167</v>
      </c>
      <c r="B2220" s="1362" t="s">
        <v>6055</v>
      </c>
      <c r="D2220" s="1324" t="str">
        <f>+IF(ISBLANK(REPORTS!J1815),"",REPORTS!J1815)</f>
        <v/>
      </c>
      <c r="E2220" s="1324" t="str">
        <f>+IF(ISBLANK(REPORTS!K1815),"",REPORTS!K1815)</f>
        <v/>
      </c>
      <c r="F2220" s="1324" t="str">
        <f>+IF(ISBLANK(REPORTS!L1815),"",REPORTS!L1815)</f>
        <v/>
      </c>
      <c r="G2220" s="1324" t="str">
        <f>+IF(ISBLANK(REPORTS!M1815),"",REPORTS!M1815)</f>
        <v/>
      </c>
      <c r="H2220" s="1324" t="str">
        <f>+IF(ISBLANK(REPORTS!N1815),"",REPORTS!N1815)</f>
        <v/>
      </c>
      <c r="I2220" s="1324" t="str">
        <f>+IF(ISBLANK(REPORTS!O1815),"",REPORTS!O1815)</f>
        <v/>
      </c>
      <c r="J2220" s="1324" t="str">
        <f>+IF(ISBLANK(REPORTS!P1815),"",REPORTS!P1815)</f>
        <v/>
      </c>
      <c r="K2220" s="1324" t="str">
        <f>+IF(ISBLANK(REPORTS!Q1815),"",REPORTS!Q1815)</f>
        <v/>
      </c>
      <c r="L2220" s="1358"/>
    </row>
    <row r="2221" spans="1:12">
      <c r="A2221" s="1393">
        <v>168</v>
      </c>
      <c r="B2221" s="1324" t="s">
        <v>5265</v>
      </c>
      <c r="C2221" s="1324" t="s">
        <v>4067</v>
      </c>
      <c r="D2221" s="1324">
        <f>+IF(ISBLANK(REPORTS!J1816),"",REPORTS!J1816)</f>
        <v>159622.03248406202</v>
      </c>
      <c r="E2221" s="1324">
        <f>+IF(ISBLANK(REPORTS!K1816),"",REPORTS!K1816)</f>
        <v>91657.312175951331</v>
      </c>
      <c r="F2221" s="1324">
        <f>+IF(ISBLANK(REPORTS!L1816),"",REPORTS!L1816)</f>
        <v>7622.281263441525</v>
      </c>
      <c r="G2221" s="1324">
        <f>+IF(ISBLANK(REPORTS!M1816),"",REPORTS!M1816)</f>
        <v>49330.720744001708</v>
      </c>
      <c r="H2221" s="1324">
        <f>+IF(ISBLANK(REPORTS!N1816),"",REPORTS!N1816)</f>
        <v>6304.79997747996</v>
      </c>
      <c r="I2221" s="1324">
        <f>+IF(ISBLANK(REPORTS!O1816),"",REPORTS!O1816)</f>
        <v>4537.5843244992775</v>
      </c>
      <c r="J2221" s="1324">
        <f>+IF(ISBLANK(REPORTS!P1816),"",REPORTS!P1816)</f>
        <v>169.33399868823523</v>
      </c>
      <c r="K2221" s="1324">
        <f>+IF(ISBLANK(REPORTS!Q1816),"",REPORTS!Q1816)</f>
        <v>0</v>
      </c>
      <c r="L2221" s="1358"/>
    </row>
    <row r="2222" spans="1:12">
      <c r="A2222" s="1393">
        <v>169</v>
      </c>
      <c r="B2222" s="1324" t="s">
        <v>5265</v>
      </c>
      <c r="C2222" s="1324" t="s">
        <v>2067</v>
      </c>
      <c r="D2222" s="1324">
        <f>+IF(ISBLANK(REPORTS!J1817),"",REPORTS!J1817)</f>
        <v>41606.418583842657</v>
      </c>
      <c r="E2222" s="1324">
        <f>+IF(ISBLANK(REPORTS!K1817),"",REPORTS!K1817)</f>
        <v>20996.021141959634</v>
      </c>
      <c r="F2222" s="1324">
        <f>+IF(ISBLANK(REPORTS!L1817),"",REPORTS!L1817)</f>
        <v>1940.278139449782</v>
      </c>
      <c r="G2222" s="1324">
        <f>+IF(ISBLANK(REPORTS!M1817),"",REPORTS!M1817)</f>
        <v>14454.318510028865</v>
      </c>
      <c r="H2222" s="1324">
        <f>+IF(ISBLANK(REPORTS!N1817),"",REPORTS!N1817)</f>
        <v>2300.8950992492</v>
      </c>
      <c r="I2222" s="1324">
        <f>+IF(ISBLANK(REPORTS!O1817),"",REPORTS!O1817)</f>
        <v>1695.0967183320813</v>
      </c>
      <c r="J2222" s="1324">
        <f>+IF(ISBLANK(REPORTS!P1817),"",REPORTS!P1817)</f>
        <v>219.80897482309194</v>
      </c>
      <c r="K2222" s="1324">
        <f>+IF(ISBLANK(REPORTS!Q1817),"",REPORTS!Q1817)</f>
        <v>0</v>
      </c>
      <c r="L2222" s="1358"/>
    </row>
    <row r="2223" spans="1:12">
      <c r="A2223" s="1393">
        <v>170</v>
      </c>
      <c r="B2223" s="1324" t="s">
        <v>5268</v>
      </c>
      <c r="C2223" s="1324" t="s">
        <v>4067</v>
      </c>
      <c r="D2223" s="1324">
        <f>+IF(ISBLANK(REPORTS!J1818),"",REPORTS!J1818)</f>
        <v>3639.0936003281759</v>
      </c>
      <c r="E2223" s="1324">
        <f>+IF(ISBLANK(REPORTS!K1818),"",REPORTS!K1818)</f>
        <v>2110.7217424211058</v>
      </c>
      <c r="F2223" s="1324">
        <f>+IF(ISBLANK(REPORTS!L1818),"",REPORTS!L1818)</f>
        <v>174.11325383858966</v>
      </c>
      <c r="G2223" s="1324">
        <f>+IF(ISBLANK(REPORTS!M1818),"",REPORTS!M1818)</f>
        <v>1113.0185594443501</v>
      </c>
      <c r="H2223" s="1324">
        <f>+IF(ISBLANK(REPORTS!N1818),"",REPORTS!N1818)</f>
        <v>138.94560952463209</v>
      </c>
      <c r="I2223" s="1324">
        <f>+IF(ISBLANK(REPORTS!O1818),"",REPORTS!O1818)</f>
        <v>99.714344635624627</v>
      </c>
      <c r="J2223" s="1324">
        <f>+IF(ISBLANK(REPORTS!P1818),"",REPORTS!P1818)</f>
        <v>2.5800904638734146</v>
      </c>
      <c r="K2223" s="1324">
        <f>+IF(ISBLANK(REPORTS!Q1818),"",REPORTS!Q1818)</f>
        <v>0</v>
      </c>
      <c r="L2223" s="1358"/>
    </row>
    <row r="2224" spans="1:12">
      <c r="A2224" s="1393">
        <v>171</v>
      </c>
      <c r="B2224" s="1324" t="s">
        <v>5239</v>
      </c>
      <c r="C2224" s="1324" t="s">
        <v>4067</v>
      </c>
      <c r="D2224" s="1324">
        <f>+IF(ISBLANK(REPORTS!J1819),"",REPORTS!J1819)</f>
        <v>11120.779364534637</v>
      </c>
      <c r="E2224" s="1324">
        <f>+IF(ISBLANK(REPORTS!K1819),"",REPORTS!K1819)</f>
        <v>6450.1970477688265</v>
      </c>
      <c r="F2224" s="1324">
        <f>+IF(ISBLANK(REPORTS!L1819),"",REPORTS!L1819)</f>
        <v>532.07619617301259</v>
      </c>
      <c r="G2224" s="1324">
        <f>+IF(ISBLANK(REPORTS!M1819),"",REPORTS!M1819)</f>
        <v>3401.2958136324314</v>
      </c>
      <c r="H2224" s="1324">
        <f>+IF(ISBLANK(REPORTS!N1819),"",REPORTS!N1819)</f>
        <v>424.60668421797953</v>
      </c>
      <c r="I2224" s="1324">
        <f>+IF(ISBLANK(REPORTS!O1819),"",REPORTS!O1819)</f>
        <v>304.71907237339212</v>
      </c>
      <c r="J2224" s="1324">
        <f>+IF(ISBLANK(REPORTS!P1819),"",REPORTS!P1819)</f>
        <v>7.8845503689953329</v>
      </c>
      <c r="K2224" s="1324">
        <f>+IF(ISBLANK(REPORTS!Q1819),"",REPORTS!Q1819)</f>
        <v>0</v>
      </c>
      <c r="L2224" s="1358"/>
    </row>
    <row r="2225" spans="1:13">
      <c r="A2225" s="1393">
        <v>172</v>
      </c>
      <c r="B2225" s="1324" t="s">
        <v>5240</v>
      </c>
      <c r="C2225" s="1324" t="s">
        <v>4067</v>
      </c>
      <c r="D2225" s="1324">
        <f>+IF(ISBLANK(REPORTS!J1820),"",REPORTS!J1820)</f>
        <v>58782.428344976914</v>
      </c>
      <c r="E2225" s="1324">
        <f>+IF(ISBLANK(REPORTS!K1820),"",REPORTS!K1820)</f>
        <v>36587.12463068153</v>
      </c>
      <c r="F2225" s="1324">
        <f>+IF(ISBLANK(REPORTS!L1820),"",REPORTS!L1820)</f>
        <v>2602.1680664153319</v>
      </c>
      <c r="G2225" s="1324">
        <f>+IF(ISBLANK(REPORTS!M1820),"",REPORTS!M1820)</f>
        <v>17423.139930475194</v>
      </c>
      <c r="H2225" s="1324">
        <f>+IF(ISBLANK(REPORTS!N1820),"",REPORTS!N1820)</f>
        <v>1832.5640094666878</v>
      </c>
      <c r="I2225" s="1324">
        <f>+IF(ISBLANK(REPORTS!O1820),"",REPORTS!O1820)</f>
        <v>1.2512390052160816E-3</v>
      </c>
      <c r="J2225" s="1324">
        <f>+IF(ISBLANK(REPORTS!P1820),"",REPORTS!P1820)</f>
        <v>337.43045669917126</v>
      </c>
      <c r="K2225" s="1324">
        <f>+IF(ISBLANK(REPORTS!Q1820),"",REPORTS!Q1820)</f>
        <v>0</v>
      </c>
      <c r="L2225" s="1358"/>
    </row>
    <row r="2226" spans="1:13">
      <c r="A2226" s="1393">
        <v>173</v>
      </c>
      <c r="B2226" s="1324" t="s">
        <v>5241</v>
      </c>
      <c r="C2226" s="1324" t="s">
        <v>4067</v>
      </c>
      <c r="D2226" s="1324">
        <f>+IF(ISBLANK(REPORTS!J1821),"",REPORTS!J1821)</f>
        <v>9777.0557636031099</v>
      </c>
      <c r="E2226" s="1324">
        <f>+IF(ISBLANK(REPORTS!K1821),"",REPORTS!K1821)</f>
        <v>7133.6650826431833</v>
      </c>
      <c r="F2226" s="1324">
        <f>+IF(ISBLANK(REPORTS!L1821),"",REPORTS!L1821)</f>
        <v>574.40161553929102</v>
      </c>
      <c r="G2226" s="1324">
        <f>+IF(ISBLANK(REPORTS!M1821),"",REPORTS!M1821)</f>
        <v>2033.621268128391</v>
      </c>
      <c r="H2226" s="1324">
        <f>+IF(ISBLANK(REPORTS!N1821),"",REPORTS!N1821)</f>
        <v>0</v>
      </c>
      <c r="I2226" s="1324">
        <f>+IF(ISBLANK(REPORTS!O1821),"",REPORTS!O1821)</f>
        <v>0</v>
      </c>
      <c r="J2226" s="1324">
        <f>+IF(ISBLANK(REPORTS!P1821),"",REPORTS!P1821)</f>
        <v>35.367797292243573</v>
      </c>
      <c r="K2226" s="1324">
        <f>+IF(ISBLANK(REPORTS!Q1821),"",REPORTS!Q1821)</f>
        <v>0</v>
      </c>
      <c r="L2226" s="1358"/>
    </row>
    <row r="2227" spans="1:13">
      <c r="A2227" s="1393">
        <v>174</v>
      </c>
      <c r="B2227" s="1324" t="s">
        <v>5242</v>
      </c>
      <c r="C2227" s="1324" t="s">
        <v>4071</v>
      </c>
      <c r="D2227" s="1324">
        <f>+IF(ISBLANK(REPORTS!J1822),"",REPORTS!J1822)</f>
        <v>38382.168272878131</v>
      </c>
      <c r="E2227" s="1324">
        <f>+IF(ISBLANK(REPORTS!K1822),"",REPORTS!K1822)</f>
        <v>21544.192211832418</v>
      </c>
      <c r="F2227" s="1324">
        <f>+IF(ISBLANK(REPORTS!L1822),"",REPORTS!L1822)</f>
        <v>4185.9635079673872</v>
      </c>
      <c r="G2227" s="1324">
        <f>+IF(ISBLANK(REPORTS!M1822),"",REPORTS!M1822)</f>
        <v>2403.9105983064192</v>
      </c>
      <c r="H2227" s="1324">
        <f>+IF(ISBLANK(REPORTS!N1822),"",REPORTS!N1822)</f>
        <v>180.57746751043169</v>
      </c>
      <c r="I2227" s="1324">
        <f>+IF(ISBLANK(REPORTS!O1822),"",REPORTS!O1822)</f>
        <v>197.01759735716439</v>
      </c>
      <c r="J2227" s="1324">
        <f>+IF(ISBLANK(REPORTS!P1822),"",REPORTS!P1822)</f>
        <v>40.46714324574485</v>
      </c>
      <c r="K2227" s="1324">
        <f>+IF(ISBLANK(REPORTS!Q1822),"",REPORTS!Q1822)</f>
        <v>9830.0397466585637</v>
      </c>
      <c r="L2227" s="1358"/>
    </row>
    <row r="2228" spans="1:13">
      <c r="A2228" s="1393">
        <v>175</v>
      </c>
      <c r="B2228" s="1324" t="s">
        <v>5244</v>
      </c>
      <c r="C2228" s="1324" t="s">
        <v>4071</v>
      </c>
      <c r="D2228" s="1366">
        <f>+IF(ISBLANK(REPORTS!J1823),"",REPORTS!J1823)</f>
        <v>68841.12898628338</v>
      </c>
      <c r="E2228" s="1366">
        <f>+IF(ISBLANK(REPORTS!K1823),"",REPORTS!K1823)</f>
        <v>59574.211774824587</v>
      </c>
      <c r="F2228" s="1366">
        <f>+IF(ISBLANK(REPORTS!L1823),"",REPORTS!L1823)</f>
        <v>5763.4842927606624</v>
      </c>
      <c r="G2228" s="1366">
        <f>+IF(ISBLANK(REPORTS!M1823),"",REPORTS!M1823)</f>
        <v>2902.9081539985177</v>
      </c>
      <c r="H2228" s="1366">
        <f>+IF(ISBLANK(REPORTS!N1823),"",REPORTS!N1823)</f>
        <v>189.64174066923826</v>
      </c>
      <c r="I2228" s="1366">
        <f>+IF(ISBLANK(REPORTS!O1823),"",REPORTS!O1823)</f>
        <v>109.48647147567513</v>
      </c>
      <c r="J2228" s="1366">
        <f>+IF(ISBLANK(REPORTS!P1823),"",REPORTS!P1823)</f>
        <v>31.191344012645786</v>
      </c>
      <c r="K2228" s="1366">
        <f>+IF(ISBLANK(REPORTS!Q1823),"",REPORTS!Q1823)</f>
        <v>270.20520854205262</v>
      </c>
      <c r="L2228" s="1358"/>
    </row>
    <row r="2229" spans="1:13">
      <c r="A2229" s="1393">
        <v>176</v>
      </c>
      <c r="B2229" s="1324" t="s">
        <v>6056</v>
      </c>
      <c r="D2229" s="1366">
        <f>+IF(ISBLANK(REPORTS!J1824),"",REPORTS!J1824)</f>
        <v>391771.10540050903</v>
      </c>
      <c r="E2229" s="1366">
        <f>+IF(ISBLANK(REPORTS!K1824),"",REPORTS!K1824)</f>
        <v>246053.44580808264</v>
      </c>
      <c r="F2229" s="1366">
        <f>+IF(ISBLANK(REPORTS!L1824),"",REPORTS!L1824)</f>
        <v>23394.766335585584</v>
      </c>
      <c r="G2229" s="1366">
        <f>+IF(ISBLANK(REPORTS!M1824),"",REPORTS!M1824)</f>
        <v>93062.933578015887</v>
      </c>
      <c r="H2229" s="1366">
        <f>+IF(ISBLANK(REPORTS!N1824),"",REPORTS!N1824)</f>
        <v>11372.030588118128</v>
      </c>
      <c r="I2229" s="1366">
        <f>+IF(ISBLANK(REPORTS!O1824),"",REPORTS!O1824)</f>
        <v>6943.6197799122192</v>
      </c>
      <c r="J2229" s="1366">
        <f>+IF(ISBLANK(REPORTS!P1824),"",REPORTS!P1824)</f>
        <v>844.06435559400143</v>
      </c>
      <c r="K2229" s="1366">
        <f>+IF(ISBLANK(REPORTS!Q1824),"",REPORTS!Q1824)</f>
        <v>10100.244955200616</v>
      </c>
      <c r="L2229" s="1358"/>
    </row>
    <row r="2230" spans="1:13">
      <c r="D2230" s="1364"/>
      <c r="E2230" s="1364"/>
      <c r="F2230" s="1364"/>
      <c r="G2230" s="1364"/>
      <c r="H2230" s="1364"/>
      <c r="I2230" s="1364"/>
      <c r="J2230" s="1364"/>
      <c r="K2230" s="1364"/>
      <c r="L2230" s="1358"/>
    </row>
    <row r="2238" spans="1:13">
      <c r="A2238" s="1732" t="str">
        <f>+$A$1</f>
        <v>RATES WITH REVENUE DEFICIENCY ADDITION</v>
      </c>
      <c r="F2238" s="1329" t="s">
        <v>2173</v>
      </c>
      <c r="G2238" s="1329"/>
      <c r="H2238" s="1329"/>
      <c r="I2238" s="1329"/>
      <c r="M2238" s="1334" t="s">
        <v>9459</v>
      </c>
    </row>
    <row r="2239" spans="1:13">
      <c r="A2239" s="1732" t="str">
        <f>+$A$2</f>
        <v>PROD. CAP. ALLOC. METHOD: 12 CP &amp; 1/13th AD</v>
      </c>
      <c r="F2239" s="1336" t="s">
        <v>5141</v>
      </c>
      <c r="G2239" s="1336"/>
      <c r="H2239" s="1336"/>
      <c r="I2239" s="1336"/>
      <c r="L2239" s="1331"/>
      <c r="M2239" s="1409"/>
    </row>
    <row r="2240" spans="1:13">
      <c r="A2240" s="1732" t="str">
        <f>+$A$3</f>
        <v>PROJECTED CALENDAR YEAR 2025; FULLY ADJUSTED DATA</v>
      </c>
      <c r="F2240" s="1336" t="s">
        <v>2181</v>
      </c>
    </row>
    <row r="2241" spans="1:13">
      <c r="A2241" s="1732" t="str">
        <f>+$A$4</f>
        <v>MINIMUM DISTRIBUTION SYSTEM (MDS) NOT EMPLOYED</v>
      </c>
      <c r="F2241" s="1336"/>
      <c r="G2241" s="1336"/>
      <c r="H2241" s="1336"/>
      <c r="I2241" s="1336"/>
    </row>
    <row r="2242" spans="1:13">
      <c r="A2242" s="1732" t="str">
        <f>+$A$5</f>
        <v>Tampa Electric 2025 OB Budget</v>
      </c>
      <c r="F2242" s="1336" t="s">
        <v>5912</v>
      </c>
      <c r="G2242" s="1336"/>
      <c r="H2242" s="1336"/>
      <c r="I2242" s="1336"/>
    </row>
    <row r="2243" spans="1:13">
      <c r="F2243" s="1336"/>
      <c r="G2243" s="1336"/>
      <c r="H2243" s="1336"/>
      <c r="I2243" s="1336"/>
    </row>
    <row r="2244" spans="1:13">
      <c r="F2244" s="1336"/>
      <c r="G2244" s="1336"/>
      <c r="H2244" s="1336"/>
      <c r="I2244" s="1336"/>
    </row>
    <row r="2247" spans="1:13" ht="28.2">
      <c r="A2247" s="1737" t="s">
        <v>4297</v>
      </c>
      <c r="B2247" s="1741"/>
      <c r="C2247" s="1741"/>
      <c r="D2247" s="1352" t="s">
        <v>4957</v>
      </c>
      <c r="E2247" s="1353" t="s">
        <v>1949</v>
      </c>
      <c r="F2247" s="1353" t="s">
        <v>1950</v>
      </c>
      <c r="G2247" s="1353" t="s">
        <v>1934</v>
      </c>
      <c r="H2247" s="1353" t="s">
        <v>1971</v>
      </c>
      <c r="I2247" s="1353" t="s">
        <v>1972</v>
      </c>
      <c r="J2247" s="1352" t="s">
        <v>5146</v>
      </c>
      <c r="K2247" s="1352" t="s">
        <v>5147</v>
      </c>
      <c r="L2247" s="1355"/>
      <c r="M2247" s="1350"/>
    </row>
    <row r="2248" spans="1:13">
      <c r="A2248" s="1543"/>
      <c r="B2248" s="1447"/>
      <c r="C2248" s="1447"/>
      <c r="D2248" s="1399"/>
      <c r="E2248" s="1360"/>
      <c r="F2248" s="1360"/>
      <c r="G2248" s="1360"/>
      <c r="H2248" s="1360"/>
      <c r="I2248" s="1360"/>
      <c r="J2248" s="1399"/>
      <c r="K2248" s="1399"/>
      <c r="L2248" s="1346"/>
    </row>
    <row r="2249" spans="1:13">
      <c r="A2249" s="1393">
        <v>177</v>
      </c>
      <c r="B2249" s="1362" t="s">
        <v>6060</v>
      </c>
    </row>
    <row r="2250" spans="1:13">
      <c r="A2250" s="1393">
        <v>178</v>
      </c>
      <c r="B2250" s="1324" t="s">
        <v>4813</v>
      </c>
      <c r="C2250" s="1324" t="s">
        <v>4067</v>
      </c>
      <c r="D2250" s="1324">
        <f>+IF(ISBLANK(REPORTS!J1842),"",REPORTS!J1842)</f>
        <v>0</v>
      </c>
      <c r="E2250" s="1324">
        <f>+IF(ISBLANK(REPORTS!K1842),"",REPORTS!K1842)</f>
        <v>0</v>
      </c>
      <c r="F2250" s="1324">
        <f>+IF(ISBLANK(REPORTS!L1842),"",REPORTS!L1842)</f>
        <v>0</v>
      </c>
      <c r="G2250" s="1324">
        <f>+IF(ISBLANK(REPORTS!M1842),"",REPORTS!M1842)</f>
        <v>0</v>
      </c>
      <c r="H2250" s="1324">
        <f>+IF(ISBLANK(REPORTS!N1842),"",REPORTS!N1842)</f>
        <v>0</v>
      </c>
      <c r="I2250" s="1324">
        <f>+IF(ISBLANK(REPORTS!O1842),"",REPORTS!O1842)</f>
        <v>0</v>
      </c>
      <c r="J2250" s="1324">
        <f>+IF(ISBLANK(REPORTS!P1842),"",REPORTS!P1842)</f>
        <v>0</v>
      </c>
      <c r="K2250" s="1324">
        <f>+IF(ISBLANK(REPORTS!Q1842),"",REPORTS!Q1842)</f>
        <v>0</v>
      </c>
    </row>
    <row r="2251" spans="1:13">
      <c r="A2251" s="1393">
        <v>179</v>
      </c>
      <c r="B2251" s="1324" t="s">
        <v>4814</v>
      </c>
      <c r="C2251" s="1324" t="s">
        <v>2067</v>
      </c>
      <c r="D2251" s="1366">
        <f>+IF(ISBLANK(REPORTS!J1843),"",REPORTS!J1843)</f>
        <v>626.46090775325297</v>
      </c>
      <c r="E2251" s="1366">
        <f>+IF(ISBLANK(REPORTS!K1843),"",REPORTS!K1843)</f>
        <v>316.13358975594224</v>
      </c>
      <c r="F2251" s="1366">
        <f>+IF(ISBLANK(REPORTS!L1843),"",REPORTS!L1843)</f>
        <v>29.214444451259041</v>
      </c>
      <c r="G2251" s="1366">
        <f>+IF(ISBLANK(REPORTS!M1843),"",REPORTS!M1843)</f>
        <v>217.63626389760336</v>
      </c>
      <c r="H2251" s="1366">
        <f>+IF(ISBLANK(REPORTS!N1843),"",REPORTS!N1843)</f>
        <v>34.64419389080566</v>
      </c>
      <c r="I2251" s="1366">
        <f>+IF(ISBLANK(REPORTS!O1843),"",REPORTS!O1843)</f>
        <v>25.522788671559834</v>
      </c>
      <c r="J2251" s="1366">
        <f>+IF(ISBLANK(REPORTS!P1843),"",REPORTS!P1843)</f>
        <v>3.3096270860828403</v>
      </c>
      <c r="K2251" s="1366">
        <f>+IF(ISBLANK(REPORTS!Q1843),"",REPORTS!Q1843)</f>
        <v>0</v>
      </c>
      <c r="L2251" s="1358"/>
    </row>
    <row r="2252" spans="1:13">
      <c r="A2252" s="1393">
        <v>180</v>
      </c>
      <c r="B2252" s="1324" t="s">
        <v>5519</v>
      </c>
      <c r="D2252" s="1366">
        <f>+IF(ISBLANK(REPORTS!J1844),"",REPORTS!J1844)</f>
        <v>626.46090775325297</v>
      </c>
      <c r="E2252" s="1366">
        <f>+IF(ISBLANK(REPORTS!K1844),"",REPORTS!K1844)</f>
        <v>316.13358975594224</v>
      </c>
      <c r="F2252" s="1366">
        <f>+IF(ISBLANK(REPORTS!L1844),"",REPORTS!L1844)</f>
        <v>29.214444451259041</v>
      </c>
      <c r="G2252" s="1366">
        <f>+IF(ISBLANK(REPORTS!M1844),"",REPORTS!M1844)</f>
        <v>217.63626389760336</v>
      </c>
      <c r="H2252" s="1366">
        <f>+IF(ISBLANK(REPORTS!N1844),"",REPORTS!N1844)</f>
        <v>34.64419389080566</v>
      </c>
      <c r="I2252" s="1366">
        <f>+IF(ISBLANK(REPORTS!O1844),"",REPORTS!O1844)</f>
        <v>25.522788671559834</v>
      </c>
      <c r="J2252" s="1366">
        <f>+IF(ISBLANK(REPORTS!P1844),"",REPORTS!P1844)</f>
        <v>3.3096270860828403</v>
      </c>
      <c r="K2252" s="1366">
        <f>+IF(ISBLANK(REPORTS!Q1844),"",REPORTS!Q1844)</f>
        <v>0</v>
      </c>
      <c r="L2252" s="1358"/>
    </row>
    <row r="2253" spans="1:13">
      <c r="A2253" s="1393">
        <v>181</v>
      </c>
      <c r="D2253" s="1324" t="str">
        <f>+IF(ISBLANK(REPORTS!J1845),"",REPORTS!J1845)</f>
        <v/>
      </c>
      <c r="E2253" s="1324" t="str">
        <f>+IF(ISBLANK(REPORTS!K1845),"",REPORTS!K1845)</f>
        <v/>
      </c>
      <c r="F2253" s="1324" t="str">
        <f>+IF(ISBLANK(REPORTS!L1845),"",REPORTS!L1845)</f>
        <v/>
      </c>
      <c r="G2253" s="1324" t="str">
        <f>+IF(ISBLANK(REPORTS!M1845),"",REPORTS!M1845)</f>
        <v/>
      </c>
      <c r="H2253" s="1324" t="str">
        <f>+IF(ISBLANK(REPORTS!N1845),"",REPORTS!N1845)</f>
        <v/>
      </c>
      <c r="I2253" s="1324" t="str">
        <f>+IF(ISBLANK(REPORTS!O1845),"",REPORTS!O1845)</f>
        <v/>
      </c>
      <c r="J2253" s="1324" t="str">
        <f>+IF(ISBLANK(REPORTS!P1845),"",REPORTS!P1845)</f>
        <v/>
      </c>
      <c r="K2253" s="1324" t="str">
        <f>+IF(ISBLANK(REPORTS!Q1845),"",REPORTS!Q1845)</f>
        <v/>
      </c>
    </row>
    <row r="2254" spans="1:13">
      <c r="A2254" s="1393">
        <v>182</v>
      </c>
      <c r="B2254" s="1362" t="s">
        <v>6062</v>
      </c>
      <c r="D2254" s="1324" t="str">
        <f>+IF(ISBLANK(REPORTS!J1846),"",REPORTS!J1846)</f>
        <v/>
      </c>
      <c r="E2254" s="1324" t="str">
        <f>+IF(ISBLANK(REPORTS!K1846),"",REPORTS!K1846)</f>
        <v/>
      </c>
      <c r="F2254" s="1324" t="str">
        <f>+IF(ISBLANK(REPORTS!L1846),"",REPORTS!L1846)</f>
        <v/>
      </c>
      <c r="G2254" s="1324" t="str">
        <f>+IF(ISBLANK(REPORTS!M1846),"",REPORTS!M1846)</f>
        <v/>
      </c>
      <c r="H2254" s="1324" t="str">
        <f>+IF(ISBLANK(REPORTS!N1846),"",REPORTS!N1846)</f>
        <v/>
      </c>
      <c r="I2254" s="1324" t="str">
        <f>+IF(ISBLANK(REPORTS!O1846),"",REPORTS!O1846)</f>
        <v/>
      </c>
      <c r="J2254" s="1324" t="str">
        <f>+IF(ISBLANK(REPORTS!P1846),"",REPORTS!P1846)</f>
        <v/>
      </c>
      <c r="K2254" s="1324" t="str">
        <f>+IF(ISBLANK(REPORTS!Q1846),"",REPORTS!Q1846)</f>
        <v/>
      </c>
    </row>
    <row r="2255" spans="1:13">
      <c r="A2255" s="1393">
        <v>183</v>
      </c>
      <c r="B2255" s="1324" t="s">
        <v>5265</v>
      </c>
      <c r="C2255" s="1324" t="s">
        <v>4067</v>
      </c>
      <c r="D2255" s="1324">
        <f>+IF(ISBLANK(REPORTS!J1847),"",REPORTS!J1847)</f>
        <v>917752.14084481611</v>
      </c>
      <c r="E2255" s="1324">
        <f>+IF(ISBLANK(REPORTS!K1847),"",REPORTS!K1847)</f>
        <v>526986.73964046955</v>
      </c>
      <c r="F2255" s="1324">
        <f>+IF(ISBLANK(REPORTS!L1847),"",REPORTS!L1847)</f>
        <v>43824.557542476243</v>
      </c>
      <c r="G2255" s="1324">
        <f>+IF(ISBLANK(REPORTS!M1847),"",REPORTS!M1847)</f>
        <v>283628.60607445147</v>
      </c>
      <c r="H2255" s="1324">
        <f>+IF(ISBLANK(REPORTS!N1847),"",REPORTS!N1847)</f>
        <v>36249.655432174288</v>
      </c>
      <c r="I2255" s="1324">
        <f>+IF(ISBLANK(REPORTS!O1847),"",REPORTS!O1847)</f>
        <v>26088.990744362913</v>
      </c>
      <c r="J2255" s="1324">
        <f>+IF(ISBLANK(REPORTS!P1847),"",REPORTS!P1847)</f>
        <v>973.59141088156662</v>
      </c>
      <c r="K2255" s="1324">
        <f>+IF(ISBLANK(REPORTS!Q1847),"",REPORTS!Q1847)</f>
        <v>0</v>
      </c>
    </row>
    <row r="2256" spans="1:13">
      <c r="A2256" s="1393">
        <v>184</v>
      </c>
      <c r="B2256" s="1324" t="s">
        <v>5265</v>
      </c>
      <c r="C2256" s="1324" t="s">
        <v>2067</v>
      </c>
      <c r="D2256" s="1324">
        <f>+IF(ISBLANK(REPORTS!J1848),"",REPORTS!J1848)</f>
        <v>110474.21617532389</v>
      </c>
      <c r="E2256" s="1324">
        <f>+IF(ISBLANK(REPORTS!K1848),"",REPORTS!K1848)</f>
        <v>55749.066067399421</v>
      </c>
      <c r="F2256" s="1324">
        <f>+IF(ISBLANK(REPORTS!L1848),"",REPORTS!L1848)</f>
        <v>5151.8663204785162</v>
      </c>
      <c r="G2256" s="1324">
        <f>+IF(ISBLANK(REPORTS!M1848),"",REPORTS!M1848)</f>
        <v>38379.403036723372</v>
      </c>
      <c r="H2256" s="1324">
        <f>+IF(ISBLANK(REPORTS!N1848),"",REPORTS!N1848)</f>
        <v>6109.3838701586983</v>
      </c>
      <c r="I2256" s="1324">
        <f>+IF(ISBLANK(REPORTS!O1848),"",REPORTS!O1848)</f>
        <v>4500.855581254531</v>
      </c>
      <c r="J2256" s="1324">
        <f>+IF(ISBLANK(REPORTS!P1848),"",REPORTS!P1848)</f>
        <v>583.64129930934928</v>
      </c>
      <c r="K2256" s="1324">
        <f>+IF(ISBLANK(REPORTS!Q1848),"",REPORTS!Q1848)</f>
        <v>0</v>
      </c>
    </row>
    <row r="2257" spans="1:12">
      <c r="A2257" s="1393">
        <v>185</v>
      </c>
      <c r="B2257" s="1324" t="s">
        <v>5268</v>
      </c>
      <c r="C2257" s="1324" t="s">
        <v>4067</v>
      </c>
      <c r="D2257" s="1324">
        <f>+IF(ISBLANK(REPORTS!J1849),"",REPORTS!J1849)</f>
        <v>57190.904776034069</v>
      </c>
      <c r="E2257" s="1324">
        <f>+IF(ISBLANK(REPORTS!K1849),"",REPORTS!K1849)</f>
        <v>33171.47054657351</v>
      </c>
      <c r="F2257" s="1324">
        <f>+IF(ISBLANK(REPORTS!L1849),"",REPORTS!L1849)</f>
        <v>2736.311734226962</v>
      </c>
      <c r="G2257" s="1324">
        <f>+IF(ISBLANK(REPORTS!M1849),"",REPORTS!M1849)</f>
        <v>17491.866227733201</v>
      </c>
      <c r="H2257" s="1324">
        <f>+IF(ISBLANK(REPORTS!N1849),"",REPORTS!N1849)</f>
        <v>2183.6275721664961</v>
      </c>
      <c r="I2257" s="1324">
        <f>+IF(ISBLANK(REPORTS!O1849),"",REPORTS!O1849)</f>
        <v>1567.0807665805507</v>
      </c>
      <c r="J2257" s="1324">
        <f>+IF(ISBLANK(REPORTS!P1849),"",REPORTS!P1849)</f>
        <v>40.547928753366278</v>
      </c>
      <c r="K2257" s="1324">
        <f>+IF(ISBLANK(REPORTS!Q1849),"",REPORTS!Q1849)</f>
        <v>0</v>
      </c>
    </row>
    <row r="2258" spans="1:12">
      <c r="A2258" s="1393">
        <v>186</v>
      </c>
      <c r="B2258" s="1324" t="s">
        <v>5239</v>
      </c>
      <c r="C2258" s="1324" t="s">
        <v>4067</v>
      </c>
      <c r="D2258" s="1364">
        <f>+IF(ISBLANK(REPORTS!J1850),"",REPORTS!J1850)</f>
        <v>70063.340712665638</v>
      </c>
      <c r="E2258" s="1364">
        <f>+IF(ISBLANK(REPORTS!K1850),"",REPORTS!K1850)</f>
        <v>40637.651247976959</v>
      </c>
      <c r="F2258" s="1364">
        <f>+IF(ISBLANK(REPORTS!L1850),"",REPORTS!L1850)</f>
        <v>3352.1963340497318</v>
      </c>
      <c r="G2258" s="1364">
        <f>+IF(ISBLANK(REPORTS!M1850),"",REPORTS!M1850)</f>
        <v>21428.90706159285</v>
      </c>
      <c r="H2258" s="1364">
        <f>+IF(ISBLANK(REPORTS!N1850),"",REPORTS!N1850)</f>
        <v>2675.1149186641951</v>
      </c>
      <c r="I2258" s="1364">
        <f>+IF(ISBLANK(REPORTS!O1850),"",REPORTS!O1850)</f>
        <v>1919.7967596974977</v>
      </c>
      <c r="J2258" s="1364">
        <f>+IF(ISBLANK(REPORTS!P1850),"",REPORTS!P1850)</f>
        <v>49.674390684416778</v>
      </c>
      <c r="K2258" s="1364">
        <f>+IF(ISBLANK(REPORTS!Q1850),"",REPORTS!Q1850)</f>
        <v>0</v>
      </c>
      <c r="L2258" s="1358"/>
    </row>
    <row r="2259" spans="1:12">
      <c r="A2259" s="1393">
        <v>187</v>
      </c>
      <c r="B2259" s="1324" t="s">
        <v>5240</v>
      </c>
      <c r="C2259" s="1324" t="s">
        <v>4067</v>
      </c>
      <c r="D2259" s="1364">
        <f>+IF(ISBLANK(REPORTS!J1851),"",REPORTS!J1851)</f>
        <v>288431.24614314595</v>
      </c>
      <c r="E2259" s="1364">
        <f>+IF(ISBLANK(REPORTS!K1851),"",REPORTS!K1851)</f>
        <v>179524.22598281153</v>
      </c>
      <c r="F2259" s="1364">
        <f>+IF(ISBLANK(REPORTS!L1851),"",REPORTS!L1851)</f>
        <v>12768.21320931718</v>
      </c>
      <c r="G2259" s="1364">
        <f>+IF(ISBLANK(REPORTS!M1851),"",REPORTS!M1851)</f>
        <v>85491.15957545834</v>
      </c>
      <c r="H2259" s="1364">
        <f>+IF(ISBLANK(REPORTS!N1851),"",REPORTS!N1851)</f>
        <v>8991.9510943906753</v>
      </c>
      <c r="I2259" s="1364">
        <f>+IF(ISBLANK(REPORTS!O1851),"",REPORTS!O1851)</f>
        <v>6.1395290337341781E-3</v>
      </c>
      <c r="J2259" s="1364">
        <f>+IF(ISBLANK(REPORTS!P1851),"",REPORTS!P1851)</f>
        <v>1655.6901416392316</v>
      </c>
      <c r="K2259" s="1364">
        <f>+IF(ISBLANK(REPORTS!Q1851),"",REPORTS!Q1851)</f>
        <v>0</v>
      </c>
      <c r="L2259" s="1358"/>
    </row>
    <row r="2260" spans="1:12">
      <c r="A2260" s="1393">
        <v>188</v>
      </c>
      <c r="B2260" s="1324" t="s">
        <v>5241</v>
      </c>
      <c r="C2260" s="1324" t="s">
        <v>4067</v>
      </c>
      <c r="D2260" s="1364">
        <f>+IF(ISBLANK(REPORTS!J1852),"",REPORTS!J1852)</f>
        <v>121625.45961425822</v>
      </c>
      <c r="E2260" s="1364">
        <f>+IF(ISBLANK(REPORTS!K1852),"",REPORTS!K1852)</f>
        <v>88741.980754635209</v>
      </c>
      <c r="F2260" s="1364">
        <f>+IF(ISBLANK(REPORTS!L1852),"",REPORTS!L1852)</f>
        <v>7145.4906448639013</v>
      </c>
      <c r="G2260" s="1364">
        <f>+IF(ISBLANK(REPORTS!M1852),"",REPORTS!M1852)</f>
        <v>25298.016846565952</v>
      </c>
      <c r="H2260" s="1364">
        <f>+IF(ISBLANK(REPORTS!N1852),"",REPORTS!N1852)</f>
        <v>0</v>
      </c>
      <c r="I2260" s="1364">
        <f>+IF(ISBLANK(REPORTS!O1852),"",REPORTS!O1852)</f>
        <v>0</v>
      </c>
      <c r="J2260" s="1364">
        <f>+IF(ISBLANK(REPORTS!P1852),"",REPORTS!P1852)</f>
        <v>439.97136819313562</v>
      </c>
      <c r="K2260" s="1364">
        <f>+IF(ISBLANK(REPORTS!Q1852),"",REPORTS!Q1852)</f>
        <v>0</v>
      </c>
      <c r="L2260" s="1358"/>
    </row>
    <row r="2261" spans="1:12">
      <c r="A2261" s="1393">
        <v>189</v>
      </c>
      <c r="B2261" s="1324" t="s">
        <v>5242</v>
      </c>
      <c r="C2261" s="1324" t="s">
        <v>4071</v>
      </c>
      <c r="D2261" s="1364">
        <f>+IF(ISBLANK(REPORTS!J1853),"",REPORTS!J1853)</f>
        <v>145860.98364821103</v>
      </c>
      <c r="E2261" s="1364">
        <f>+IF(ISBLANK(REPORTS!K1853),"",REPORTS!K1853)</f>
        <v>59841.330322416936</v>
      </c>
      <c r="F2261" s="1364">
        <f>+IF(ISBLANK(REPORTS!L1853),"",REPORTS!L1853)</f>
        <v>11365.807112904818</v>
      </c>
      <c r="G2261" s="1364">
        <f>+IF(ISBLANK(REPORTS!M1853),"",REPORTS!M1853)</f>
        <v>6441.4432833412538</v>
      </c>
      <c r="H2261" s="1364">
        <f>+IF(ISBLANK(REPORTS!N1853),"",REPORTS!N1853)</f>
        <v>479.09487942467439</v>
      </c>
      <c r="I2261" s="1364">
        <f>+IF(ISBLANK(REPORTS!O1853),"",REPORTS!O1853)</f>
        <v>522.7126249564717</v>
      </c>
      <c r="J2261" s="1364">
        <f>+IF(ISBLANK(REPORTS!P1853),"",REPORTS!P1853)</f>
        <v>108.12461528891036</v>
      </c>
      <c r="K2261" s="1364">
        <f>+IF(ISBLANK(REPORTS!Q1853),"",REPORTS!Q1853)</f>
        <v>67102.470809877937</v>
      </c>
      <c r="L2261" s="1358"/>
    </row>
    <row r="2262" spans="1:12">
      <c r="A2262" s="1393">
        <v>190</v>
      </c>
      <c r="B2262" s="1324" t="s">
        <v>5244</v>
      </c>
      <c r="C2262" s="1324" t="s">
        <v>4071</v>
      </c>
      <c r="D2262" s="1366">
        <f>+IF(ISBLANK(REPORTS!J1854),"",REPORTS!J1854)</f>
        <v>103051.78476872202</v>
      </c>
      <c r="E2262" s="1366">
        <f>+IF(ISBLANK(REPORTS!K1854),"",REPORTS!K1854)</f>
        <v>90086.244584345724</v>
      </c>
      <c r="F2262" s="1366">
        <f>+IF(ISBLANK(REPORTS!L1854),"",REPORTS!L1854)</f>
        <v>8721.3511984217439</v>
      </c>
      <c r="G2262" s="1366">
        <f>+IF(ISBLANK(REPORTS!M1854),"",REPORTS!M1854)</f>
        <v>3631.4055652575971</v>
      </c>
      <c r="H2262" s="1366">
        <f>+IF(ISBLANK(REPORTS!N1854),"",REPORTS!N1854)</f>
        <v>192.10140627388145</v>
      </c>
      <c r="I2262" s="1366">
        <f>+IF(ISBLANK(REPORTS!O1854),"",REPORTS!O1854)</f>
        <v>109.92286376036989</v>
      </c>
      <c r="J2262" s="1366">
        <f>+IF(ISBLANK(REPORTS!P1854),"",REPORTS!P1854)</f>
        <v>40.553942120642446</v>
      </c>
      <c r="K2262" s="1366">
        <f>+IF(ISBLANK(REPORTS!Q1854),"",REPORTS!Q1854)</f>
        <v>270.20520854205262</v>
      </c>
      <c r="L2262" s="1358"/>
    </row>
    <row r="2263" spans="1:12">
      <c r="A2263" s="1393">
        <v>191</v>
      </c>
      <c r="B2263" s="1324" t="s">
        <v>6071</v>
      </c>
      <c r="D2263" s="1366">
        <f>+IF(ISBLANK(REPORTS!J1855),"",REPORTS!J1855)</f>
        <v>1814450.0766831769</v>
      </c>
      <c r="E2263" s="1366">
        <f>+IF(ISBLANK(REPORTS!K1855),"",REPORTS!K1855)</f>
        <v>1074738.7091466289</v>
      </c>
      <c r="F2263" s="1366">
        <f>+IF(ISBLANK(REPORTS!L1855),"",REPORTS!L1855)</f>
        <v>95065.794096739104</v>
      </c>
      <c r="G2263" s="1366">
        <f>+IF(ISBLANK(REPORTS!M1855),"",REPORTS!M1855)</f>
        <v>481790.807671124</v>
      </c>
      <c r="H2263" s="1366">
        <f>+IF(ISBLANK(REPORTS!N1855),"",REPORTS!N1855)</f>
        <v>56880.929173252902</v>
      </c>
      <c r="I2263" s="1366">
        <f>+IF(ISBLANK(REPORTS!O1855),"",REPORTS!O1855)</f>
        <v>34709.365480141365</v>
      </c>
      <c r="J2263" s="1366">
        <f>+IF(ISBLANK(REPORTS!P1855),"",REPORTS!P1855)</f>
        <v>3891.7950968706191</v>
      </c>
      <c r="K2263" s="1366">
        <f>+IF(ISBLANK(REPORTS!Q1855),"",REPORTS!Q1855)</f>
        <v>67372.676018419996</v>
      </c>
      <c r="L2263" s="1358"/>
    </row>
    <row r="2264" spans="1:12">
      <c r="A2264" s="1393">
        <v>192</v>
      </c>
      <c r="D2264" s="1324" t="str">
        <f>+IF(ISBLANK(REPORTS!J1856),"",REPORTS!J1856)</f>
        <v/>
      </c>
      <c r="E2264" s="1324" t="str">
        <f>+IF(ISBLANK(REPORTS!K1856),"",REPORTS!K1856)</f>
        <v/>
      </c>
      <c r="F2264" s="1324" t="str">
        <f>+IF(ISBLANK(REPORTS!L1856),"",REPORTS!L1856)</f>
        <v/>
      </c>
      <c r="G2264" s="1324" t="str">
        <f>+IF(ISBLANK(REPORTS!M1856),"",REPORTS!M1856)</f>
        <v/>
      </c>
      <c r="H2264" s="1324" t="str">
        <f>+IF(ISBLANK(REPORTS!N1856),"",REPORTS!N1856)</f>
        <v/>
      </c>
      <c r="I2264" s="1324" t="str">
        <f>+IF(ISBLANK(REPORTS!O1856),"",REPORTS!O1856)</f>
        <v/>
      </c>
      <c r="J2264" s="1324" t="str">
        <f>+IF(ISBLANK(REPORTS!P1856),"",REPORTS!P1856)</f>
        <v/>
      </c>
      <c r="K2264" s="1324" t="str">
        <f>+IF(ISBLANK(REPORTS!Q1856),"",REPORTS!Q1856)</f>
        <v/>
      </c>
    </row>
    <row r="2265" spans="1:12">
      <c r="A2265" s="1393">
        <v>193</v>
      </c>
      <c r="B2265" s="1362" t="s">
        <v>6073</v>
      </c>
      <c r="D2265" s="1324" t="str">
        <f>+IF(ISBLANK(REPORTS!J1857),"",REPORTS!J1857)</f>
        <v/>
      </c>
      <c r="E2265" s="1324" t="str">
        <f>+IF(ISBLANK(REPORTS!K1857),"",REPORTS!K1857)</f>
        <v/>
      </c>
      <c r="F2265" s="1324" t="str">
        <f>+IF(ISBLANK(REPORTS!L1857),"",REPORTS!L1857)</f>
        <v/>
      </c>
      <c r="G2265" s="1324" t="str">
        <f>+IF(ISBLANK(REPORTS!M1857),"",REPORTS!M1857)</f>
        <v/>
      </c>
      <c r="H2265" s="1324" t="str">
        <f>+IF(ISBLANK(REPORTS!N1857),"",REPORTS!N1857)</f>
        <v/>
      </c>
      <c r="I2265" s="1324" t="str">
        <f>+IF(ISBLANK(REPORTS!O1857),"",REPORTS!O1857)</f>
        <v/>
      </c>
      <c r="J2265" s="1324" t="str">
        <f>+IF(ISBLANK(REPORTS!P1857),"",REPORTS!P1857)</f>
        <v/>
      </c>
      <c r="K2265" s="1324" t="str">
        <f>+IF(ISBLANK(REPORTS!Q1857),"",REPORTS!Q1857)</f>
        <v/>
      </c>
    </row>
    <row r="2266" spans="1:12">
      <c r="A2266" s="1393">
        <v>194</v>
      </c>
      <c r="B2266" s="1324" t="s">
        <v>5265</v>
      </c>
      <c r="C2266" s="1324" t="s">
        <v>4067</v>
      </c>
      <c r="D2266" s="1438">
        <f>+IF(ISBLANK(REPORTS!J1858),"",REPORTS!J1858)</f>
        <v>-0.98777670229619818</v>
      </c>
      <c r="E2266" s="1438">
        <f>+IF(ISBLANK(REPORTS!K1858),"",REPORTS!K1858)</f>
        <v>19.489769293628893</v>
      </c>
      <c r="F2266" s="1438">
        <f>+IF(ISBLANK(REPORTS!L1858),"",REPORTS!L1858)</f>
        <v>-4.110284639574119</v>
      </c>
      <c r="G2266" s="1438">
        <f>+IF(ISBLANK(REPORTS!M1858),"",REPORTS!M1858)</f>
        <v>5.7604778134389507</v>
      </c>
      <c r="H2266" s="1438">
        <f>+IF(ISBLANK(REPORTS!N1858),"",REPORTS!N1858)</f>
        <v>-2.4842856837671089E-2</v>
      </c>
      <c r="I2266" s="1438">
        <f>+IF(ISBLANK(REPORTS!O1858),"",REPORTS!O1858)</f>
        <v>3.4649237125925789</v>
      </c>
      <c r="J2266" s="1438">
        <f>+IF(ISBLANK(REPORTS!P1858),"",REPORTS!P1858)</f>
        <v>0.16953964461530338</v>
      </c>
      <c r="K2266" s="1438">
        <f>+IF(ISBLANK(REPORTS!Q1858),"",REPORTS!Q1858)</f>
        <v>0</v>
      </c>
    </row>
    <row r="2267" spans="1:12">
      <c r="A2267" s="1393">
        <v>195</v>
      </c>
      <c r="B2267" s="1324" t="s">
        <v>5265</v>
      </c>
      <c r="C2267" s="1324" t="s">
        <v>2067</v>
      </c>
      <c r="D2267" s="1438">
        <f>+IF(ISBLANK(REPORTS!J1859),"",REPORTS!J1859)</f>
        <v>-0.11890340766949042</v>
      </c>
      <c r="E2267" s="1438">
        <f>+IF(ISBLANK(REPORTS!K1859),"",REPORTS!K1859)</f>
        <v>2.0617908464455219</v>
      </c>
      <c r="F2267" s="1438">
        <f>+IF(ISBLANK(REPORTS!L1859),"",REPORTS!L1859)</f>
        <v>-0.48319111908153184</v>
      </c>
      <c r="G2267" s="1438">
        <f>+IF(ISBLANK(REPORTS!M1859),"",REPORTS!M1859)</f>
        <v>0.77948308087105578</v>
      </c>
      <c r="H2267" s="1438">
        <f>+IF(ISBLANK(REPORTS!N1859),"",REPORTS!N1859)</f>
        <v>-4.1869239043309126E-3</v>
      </c>
      <c r="I2267" s="1438">
        <f>+IF(ISBLANK(REPORTS!O1859),"",REPORTS!O1859)</f>
        <v>0.59776636755536972</v>
      </c>
      <c r="J2267" s="1438">
        <f>+IF(ISBLANK(REPORTS!P1859),"",REPORTS!P1859)</f>
        <v>0.10163435848116566</v>
      </c>
      <c r="K2267" s="1438">
        <f>+IF(ISBLANK(REPORTS!Q1859),"",REPORTS!Q1859)</f>
        <v>0</v>
      </c>
    </row>
    <row r="2268" spans="1:12">
      <c r="A2268" s="1393">
        <v>196</v>
      </c>
      <c r="B2268" s="1324" t="s">
        <v>5268</v>
      </c>
      <c r="C2268" s="1324" t="s">
        <v>4067</v>
      </c>
      <c r="D2268" s="1438">
        <f>+IF(ISBLANK(REPORTS!J1860),"",REPORTS!J1860)</f>
        <v>-6.1554575366072728E-2</v>
      </c>
      <c r="E2268" s="1438">
        <f>+IF(ISBLANK(REPORTS!K1860),"",REPORTS!K1860)</f>
        <v>1.2267942615106284</v>
      </c>
      <c r="F2268" s="1438">
        <f>+IF(ISBLANK(REPORTS!L1860),"",REPORTS!L1860)</f>
        <v>-0.25663739056300816</v>
      </c>
      <c r="G2268" s="1438">
        <f>+IF(ISBLANK(REPORTS!M1860),"",REPORTS!M1860)</f>
        <v>0.3552586204723287</v>
      </c>
      <c r="H2268" s="1438">
        <f>+IF(ISBLANK(REPORTS!N1860),"",REPORTS!N1860)</f>
        <v>-1.4964982843388571E-3</v>
      </c>
      <c r="I2268" s="1438">
        <f>+IF(ISBLANK(REPORTS!O1860),"",REPORTS!O1860)</f>
        <v>0.20812669071324405</v>
      </c>
      <c r="J2268" s="1438">
        <f>+IF(ISBLANK(REPORTS!P1860),"",REPORTS!P1860)</f>
        <v>7.0609511894806683E-3</v>
      </c>
      <c r="K2268" s="1438">
        <f>+IF(ISBLANK(REPORTS!Q1860),"",REPORTS!Q1860)</f>
        <v>0</v>
      </c>
    </row>
    <row r="2269" spans="1:12">
      <c r="A2269" s="1393">
        <v>197</v>
      </c>
      <c r="B2269" s="1324" t="s">
        <v>5239</v>
      </c>
      <c r="C2269" s="1324" t="s">
        <v>4067</v>
      </c>
      <c r="D2269" s="1438">
        <f>+IF(ISBLANK(REPORTS!J1861),"",REPORTS!J1861)</f>
        <v>-7.5409179190042475E-2</v>
      </c>
      <c r="E2269" s="1438">
        <f>+IF(ISBLANK(REPORTS!K1861),"",REPORTS!K1861)</f>
        <v>1.5029191208840782</v>
      </c>
      <c r="F2269" s="1438">
        <f>+IF(ISBLANK(REPORTS!L1861),"",REPORTS!L1861)</f>
        <v>-0.31440091750673616</v>
      </c>
      <c r="G2269" s="1438">
        <f>+IF(ISBLANK(REPORTS!M1861),"",REPORTS!M1861)</f>
        <v>0.43521965362742054</v>
      </c>
      <c r="H2269" s="1438">
        <f>+IF(ISBLANK(REPORTS!N1861),"",REPORTS!N1861)</f>
        <v>-1.8333276870186942E-3</v>
      </c>
      <c r="I2269" s="1438">
        <f>+IF(ISBLANK(REPORTS!O1861),"",REPORTS!O1861)</f>
        <v>0.25497150814358555</v>
      </c>
      <c r="J2269" s="1438">
        <f>+IF(ISBLANK(REPORTS!P1861),"",REPORTS!P1861)</f>
        <v>8.6502186122328403E-3</v>
      </c>
      <c r="K2269" s="1438">
        <f>+IF(ISBLANK(REPORTS!Q1861),"",REPORTS!Q1861)</f>
        <v>0</v>
      </c>
    </row>
    <row r="2270" spans="1:12">
      <c r="A2270" s="1393">
        <v>198</v>
      </c>
      <c r="B2270" s="1324" t="s">
        <v>5240</v>
      </c>
      <c r="C2270" s="1324" t="s">
        <v>4067</v>
      </c>
      <c r="D2270" s="1438">
        <f>+IF(ISBLANK(REPORTS!J1862),"",REPORTS!J1862)</f>
        <v>-0.3104385731992913</v>
      </c>
      <c r="E2270" s="1438">
        <f>+IF(ISBLANK(REPORTS!K1862),"",REPORTS!K1862)</f>
        <v>6.6394189527603062</v>
      </c>
      <c r="F2270" s="1438">
        <f>+IF(ISBLANK(REPORTS!L1862),"",REPORTS!L1862)</f>
        <v>-1.1975247115318262</v>
      </c>
      <c r="G2270" s="1438">
        <f>+IF(ISBLANK(REPORTS!M1862),"",REPORTS!M1862)</f>
        <v>1.7363196709796089</v>
      </c>
      <c r="H2270" s="1438">
        <f>+IF(ISBLANK(REPORTS!N1862),"",REPORTS!N1862)</f>
        <v>-6.1624241959281015E-3</v>
      </c>
      <c r="I2270" s="1438">
        <f>+IF(ISBLANK(REPORTS!O1862),"",REPORTS!O1862)</f>
        <v>8.1540140596403284E-7</v>
      </c>
      <c r="J2270" s="1438">
        <f>+IF(ISBLANK(REPORTS!P1862),"",REPORTS!P1862)</f>
        <v>0.2883192220773641</v>
      </c>
      <c r="K2270" s="1438">
        <f>+IF(ISBLANK(REPORTS!Q1862),"",REPORTS!Q1862)</f>
        <v>0</v>
      </c>
    </row>
    <row r="2271" spans="1:12">
      <c r="A2271" s="1393">
        <v>199</v>
      </c>
      <c r="B2271" s="1324" t="s">
        <v>5241</v>
      </c>
      <c r="C2271" s="1324" t="s">
        <v>4067</v>
      </c>
      <c r="D2271" s="1438">
        <f>+IF(ISBLANK(REPORTS!J1863),"",REPORTS!J1863)</f>
        <v>-0.13090549187108444</v>
      </c>
      <c r="E2271" s="1438">
        <f>+IF(ISBLANK(REPORTS!K1863),"",REPORTS!K1863)</f>
        <v>3.2819815025089012</v>
      </c>
      <c r="F2271" s="1438">
        <f>+IF(ISBLANK(REPORTS!L1863),"",REPORTS!L1863)</f>
        <v>-0.67017220678927025</v>
      </c>
      <c r="G2271" s="1438">
        <f>+IF(ISBLANK(REPORTS!M1863),"",REPORTS!M1863)</f>
        <v>0.51380101177239768</v>
      </c>
      <c r="H2271" s="1438">
        <f>+IF(ISBLANK(REPORTS!N1863),"",REPORTS!N1863)</f>
        <v>0</v>
      </c>
      <c r="I2271" s="1438">
        <f>+IF(ISBLANK(REPORTS!O1863),"",REPORTS!O1863)</f>
        <v>0</v>
      </c>
      <c r="J2271" s="1438">
        <f>+IF(ISBLANK(REPORTS!P1863),"",REPORTS!P1863)</f>
        <v>7.6615907423454949E-2</v>
      </c>
      <c r="K2271" s="1438">
        <f>+IF(ISBLANK(REPORTS!Q1863),"",REPORTS!Q1863)</f>
        <v>0</v>
      </c>
    </row>
    <row r="2272" spans="1:12">
      <c r="A2272" s="1393">
        <v>200</v>
      </c>
      <c r="B2272" s="1324" t="s">
        <v>5242</v>
      </c>
      <c r="C2272" s="1324" t="s">
        <v>4071</v>
      </c>
      <c r="D2272" s="1438">
        <f>+IF(ISBLANK(REPORTS!J1864),"",REPORTS!J1864)</f>
        <v>-0.15699018831934486</v>
      </c>
      <c r="E2272" s="1438">
        <f>+IF(ISBLANK(REPORTS!K1864),"",REPORTS!K1864)</f>
        <v>2.2131367536940973</v>
      </c>
      <c r="F2272" s="1438">
        <f>+IF(ISBLANK(REPORTS!L1864),"",REPORTS!L1864)</f>
        <v>-1.0659937033535487</v>
      </c>
      <c r="G2272" s="1438">
        <f>+IF(ISBLANK(REPORTS!M1864),"",REPORTS!M1864)</f>
        <v>0.13082527758315221</v>
      </c>
      <c r="H2272" s="1438">
        <f>+IF(ISBLANK(REPORTS!N1864),"",REPORTS!N1864)</f>
        <v>-3.2833651408019956E-4</v>
      </c>
      <c r="I2272" s="1438">
        <f>+IF(ISBLANK(REPORTS!O1864),"",REPORTS!O1864)</f>
        <v>6.9422362360818043E-2</v>
      </c>
      <c r="J2272" s="1438">
        <f>+IF(ISBLANK(REPORTS!P1864),"",REPORTS!P1864)</f>
        <v>1.88286468485271E-2</v>
      </c>
      <c r="K2272" s="1438">
        <f>+IF(ISBLANK(REPORTS!Q1864),"",REPORTS!Q1864)</f>
        <v>-47.624587462500514</v>
      </c>
    </row>
    <row r="2273" spans="1:12">
      <c r="A2273" s="1393">
        <v>201</v>
      </c>
      <c r="B2273" s="1324" t="s">
        <v>5244</v>
      </c>
      <c r="C2273" s="1324" t="s">
        <v>4071</v>
      </c>
      <c r="D2273" s="1535">
        <f>+IF(ISBLANK(REPORTS!J1865),"",REPORTS!J1865)</f>
        <v>-0.11091464415531992</v>
      </c>
      <c r="E2273" s="1535">
        <f>+IF(ISBLANK(REPORTS!K1865),"",REPORTS!K1865)</f>
        <v>3.3316969695976977</v>
      </c>
      <c r="F2273" s="1535">
        <f>+IF(ISBLANK(REPORTS!L1865),"",REPORTS!L1865)</f>
        <v>-0.81797142692107905</v>
      </c>
      <c r="G2273" s="1535">
        <f>+IF(ISBLANK(REPORTS!M1865),"",REPORTS!M1865)</f>
        <v>7.3753601513572492E-2</v>
      </c>
      <c r="H2273" s="1535">
        <f>+IF(ISBLANK(REPORTS!N1865),"",REPORTS!N1865)</f>
        <v>-1.3165222337924653E-4</v>
      </c>
      <c r="I2273" s="1535">
        <f>+IF(ISBLANK(REPORTS!O1865),"",REPORTS!O1865)</f>
        <v>1.459904451388888E-2</v>
      </c>
      <c r="J2273" s="1535">
        <f>+IF(ISBLANK(REPORTS!P1865),"",REPORTS!P1865)</f>
        <v>7.06199834760013E-3</v>
      </c>
      <c r="K2273" s="1535">
        <f>+IF(ISBLANK(REPORTS!Q1865),"",REPORTS!Q1865)</f>
        <v>-0.1917725447620903</v>
      </c>
      <c r="L2273" s="1358"/>
    </row>
    <row r="2274" spans="1:12">
      <c r="A2274" s="1393">
        <v>202</v>
      </c>
      <c r="B2274" s="1324" t="s">
        <v>6082</v>
      </c>
      <c r="D2274" s="1421">
        <f>+IF(ISBLANK(REPORTS!J1866),"",REPORTS!J1866)</f>
        <v>-1.9528927620668441</v>
      </c>
      <c r="E2274" s="1366">
        <f>+IF(ISBLANK(REPORTS!K1866),"",REPORTS!K1866)</f>
        <v>39.747507701030123</v>
      </c>
      <c r="F2274" s="1366">
        <f>+IF(ISBLANK(REPORTS!L1866),"",REPORTS!L1866)</f>
        <v>-8.9161761153211199</v>
      </c>
      <c r="G2274" s="1366">
        <f>+IF(ISBLANK(REPORTS!M1866),"",REPORTS!M1866)</f>
        <v>9.7851387302584882</v>
      </c>
      <c r="H2274" s="1366">
        <f>+IF(ISBLANK(REPORTS!N1866),"",REPORTS!N1866)</f>
        <v>-3.89820196467471E-2</v>
      </c>
      <c r="I2274" s="1366">
        <f>+IF(ISBLANK(REPORTS!O1866),"",REPORTS!O1866)</f>
        <v>4.609810501280891</v>
      </c>
      <c r="J2274" s="1366">
        <f>+IF(ISBLANK(REPORTS!P1866),"",REPORTS!P1866)</f>
        <v>0.67771094759512895</v>
      </c>
      <c r="K2274" s="1366">
        <f>+IF(ISBLANK(REPORTS!Q1866),"",REPORTS!Q1866)</f>
        <v>-47.816360007262602</v>
      </c>
      <c r="L2274" s="1358"/>
    </row>
    <row r="2275" spans="1:12">
      <c r="A2275" s="1393">
        <v>203</v>
      </c>
      <c r="D2275" s="1324" t="str">
        <f>+IF(ISBLANK(REPORTS!J1867),"",REPORTS!J1867)</f>
        <v/>
      </c>
      <c r="E2275" s="1324" t="str">
        <f>+IF(ISBLANK(REPORTS!K1867),"",REPORTS!K1867)</f>
        <v/>
      </c>
      <c r="F2275" s="1324" t="str">
        <f>+IF(ISBLANK(REPORTS!L1867),"",REPORTS!L1867)</f>
        <v/>
      </c>
      <c r="G2275" s="1324" t="str">
        <f>+IF(ISBLANK(REPORTS!M1867),"",REPORTS!M1867)</f>
        <v/>
      </c>
      <c r="H2275" s="1324" t="str">
        <f>+IF(ISBLANK(REPORTS!N1867),"",REPORTS!N1867)</f>
        <v/>
      </c>
      <c r="I2275" s="1324" t="str">
        <f>+IF(ISBLANK(REPORTS!O1867),"",REPORTS!O1867)</f>
        <v/>
      </c>
      <c r="J2275" s="1324" t="str">
        <f>+IF(ISBLANK(REPORTS!P1867),"",REPORTS!P1867)</f>
        <v/>
      </c>
      <c r="K2275" s="1324" t="str">
        <f>+IF(ISBLANK(REPORTS!Q1867),"",REPORTS!Q1867)</f>
        <v/>
      </c>
    </row>
    <row r="2276" spans="1:12">
      <c r="A2276" s="1393">
        <v>204</v>
      </c>
      <c r="B2276" s="1362" t="s">
        <v>6084</v>
      </c>
      <c r="D2276" s="1324" t="str">
        <f>+IF(ISBLANK(REPORTS!J1868),"",REPORTS!J1868)</f>
        <v/>
      </c>
      <c r="E2276" s="1324" t="str">
        <f>+IF(ISBLANK(REPORTS!K1868),"",REPORTS!K1868)</f>
        <v/>
      </c>
      <c r="F2276" s="1324" t="str">
        <f>+IF(ISBLANK(REPORTS!L1868),"",REPORTS!L1868)</f>
        <v/>
      </c>
      <c r="G2276" s="1324" t="str">
        <f>+IF(ISBLANK(REPORTS!M1868),"",REPORTS!M1868)</f>
        <v/>
      </c>
      <c r="H2276" s="1324" t="str">
        <f>+IF(ISBLANK(REPORTS!N1868),"",REPORTS!N1868)</f>
        <v/>
      </c>
      <c r="I2276" s="1324" t="str">
        <f>+IF(ISBLANK(REPORTS!O1868),"",REPORTS!O1868)</f>
        <v/>
      </c>
      <c r="J2276" s="1324" t="str">
        <f>+IF(ISBLANK(REPORTS!P1868),"",REPORTS!P1868)</f>
        <v/>
      </c>
      <c r="K2276" s="1324" t="str">
        <f>+IF(ISBLANK(REPORTS!Q1868),"",REPORTS!Q1868)</f>
        <v/>
      </c>
    </row>
    <row r="2277" spans="1:12">
      <c r="A2277" s="1393">
        <v>205</v>
      </c>
      <c r="B2277" s="1324" t="s">
        <v>5265</v>
      </c>
      <c r="C2277" s="1324" t="s">
        <v>4067</v>
      </c>
      <c r="D2277" s="1324">
        <f>+IF(ISBLANK(REPORTS!J1869),"",REPORTS!J1869)</f>
        <v>917751.15306811384</v>
      </c>
      <c r="E2277" s="1324">
        <f>+IF(ISBLANK(REPORTS!K1869),"",REPORTS!K1869)</f>
        <v>527006.22940976312</v>
      </c>
      <c r="F2277" s="1324">
        <f>+IF(ISBLANK(REPORTS!L1869),"",REPORTS!L1869)</f>
        <v>43820.447257836669</v>
      </c>
      <c r="G2277" s="1324">
        <f>+IF(ISBLANK(REPORTS!M1869),"",REPORTS!M1869)</f>
        <v>283634.3665522649</v>
      </c>
      <c r="H2277" s="1324">
        <f>+IF(ISBLANK(REPORTS!N1869),"",REPORTS!N1869)</f>
        <v>36249.63058931745</v>
      </c>
      <c r="I2277" s="1324">
        <f>+IF(ISBLANK(REPORTS!O1869),"",REPORTS!O1869)</f>
        <v>26092.455668075505</v>
      </c>
      <c r="J2277" s="1324">
        <f>+IF(ISBLANK(REPORTS!P1869),"",REPORTS!P1869)</f>
        <v>973.76095052618189</v>
      </c>
      <c r="K2277" s="1324">
        <f>+IF(ISBLANK(REPORTS!Q1869),"",REPORTS!Q1869)</f>
        <v>0</v>
      </c>
    </row>
    <row r="2278" spans="1:12">
      <c r="A2278" s="1393">
        <v>206</v>
      </c>
      <c r="B2278" s="1324" t="s">
        <v>5265</v>
      </c>
      <c r="C2278" s="1324" t="s">
        <v>2067</v>
      </c>
      <c r="D2278" s="1324">
        <f>+IF(ISBLANK(REPORTS!J1870),"",REPORTS!J1870)</f>
        <v>110474.09727191622</v>
      </c>
      <c r="E2278" s="1324">
        <f>+IF(ISBLANK(REPORTS!K1870),"",REPORTS!K1870)</f>
        <v>55751.127858245869</v>
      </c>
      <c r="F2278" s="1324">
        <f>+IF(ISBLANK(REPORTS!L1870),"",REPORTS!L1870)</f>
        <v>5151.3831293594349</v>
      </c>
      <c r="G2278" s="1324">
        <f>+IF(ISBLANK(REPORTS!M1870),"",REPORTS!M1870)</f>
        <v>38380.182519804242</v>
      </c>
      <c r="H2278" s="1324">
        <f>+IF(ISBLANK(REPORTS!N1870),"",REPORTS!N1870)</f>
        <v>6109.3796832347944</v>
      </c>
      <c r="I2278" s="1324">
        <f>+IF(ISBLANK(REPORTS!O1870),"",REPORTS!O1870)</f>
        <v>4501.4533476220868</v>
      </c>
      <c r="J2278" s="1324">
        <f>+IF(ISBLANK(REPORTS!P1870),"",REPORTS!P1870)</f>
        <v>583.74293366783047</v>
      </c>
      <c r="K2278" s="1324">
        <f>+IF(ISBLANK(REPORTS!Q1870),"",REPORTS!Q1870)</f>
        <v>0</v>
      </c>
    </row>
    <row r="2279" spans="1:12">
      <c r="A2279" s="1393">
        <v>207</v>
      </c>
      <c r="B2279" s="1324" t="s">
        <v>5268</v>
      </c>
      <c r="C2279" s="1324" t="s">
        <v>4067</v>
      </c>
      <c r="D2279" s="1324">
        <f>+IF(ISBLANK(REPORTS!J1871),"",REPORTS!J1871)</f>
        <v>57190.843221458701</v>
      </c>
      <c r="E2279" s="1324">
        <f>+IF(ISBLANK(REPORTS!K1871),"",REPORTS!K1871)</f>
        <v>33172.697340835017</v>
      </c>
      <c r="F2279" s="1324">
        <f>+IF(ISBLANK(REPORTS!L1871),"",REPORTS!L1871)</f>
        <v>2736.0550968363991</v>
      </c>
      <c r="G2279" s="1324">
        <f>+IF(ISBLANK(REPORTS!M1871),"",REPORTS!M1871)</f>
        <v>17492.221486353672</v>
      </c>
      <c r="H2279" s="1324">
        <f>+IF(ISBLANK(REPORTS!N1871),"",REPORTS!N1871)</f>
        <v>2183.6260756682118</v>
      </c>
      <c r="I2279" s="1324">
        <f>+IF(ISBLANK(REPORTS!O1871),"",REPORTS!O1871)</f>
        <v>1567.288893271264</v>
      </c>
      <c r="J2279" s="1324">
        <f>+IF(ISBLANK(REPORTS!P1871),"",REPORTS!P1871)</f>
        <v>40.554989704555759</v>
      </c>
      <c r="K2279" s="1324">
        <f>+IF(ISBLANK(REPORTS!Q1871),"",REPORTS!Q1871)</f>
        <v>0</v>
      </c>
    </row>
    <row r="2280" spans="1:12">
      <c r="A2280" s="1393">
        <v>208</v>
      </c>
      <c r="B2280" s="1324" t="s">
        <v>5239</v>
      </c>
      <c r="C2280" s="1324" t="s">
        <v>4067</v>
      </c>
      <c r="D2280" s="1324">
        <f>+IF(ISBLANK(REPORTS!J1872),"",REPORTS!J1872)</f>
        <v>70063.265303486449</v>
      </c>
      <c r="E2280" s="1324">
        <f>+IF(ISBLANK(REPORTS!K1872),"",REPORTS!K1872)</f>
        <v>40639.15416709784</v>
      </c>
      <c r="F2280" s="1324">
        <f>+IF(ISBLANK(REPORTS!L1872),"",REPORTS!L1872)</f>
        <v>3351.8819331322252</v>
      </c>
      <c r="G2280" s="1324">
        <f>+IF(ISBLANK(REPORTS!M1872),"",REPORTS!M1872)</f>
        <v>21429.342281246478</v>
      </c>
      <c r="H2280" s="1324">
        <f>+IF(ISBLANK(REPORTS!N1872),"",REPORTS!N1872)</f>
        <v>2675.113085336508</v>
      </c>
      <c r="I2280" s="1324">
        <f>+IF(ISBLANK(REPORTS!O1872),"",REPORTS!O1872)</f>
        <v>1920.0517312056413</v>
      </c>
      <c r="J2280" s="1324">
        <f>+IF(ISBLANK(REPORTS!P1872),"",REPORTS!P1872)</f>
        <v>49.68304090302901</v>
      </c>
      <c r="K2280" s="1324">
        <f>+IF(ISBLANK(REPORTS!Q1872),"",REPORTS!Q1872)</f>
        <v>0</v>
      </c>
    </row>
    <row r="2281" spans="1:12">
      <c r="A2281" s="1393">
        <v>209</v>
      </c>
      <c r="B2281" s="1324" t="s">
        <v>5240</v>
      </c>
      <c r="C2281" s="1324" t="s">
        <v>4067</v>
      </c>
      <c r="D2281" s="1324">
        <f>+IF(ISBLANK(REPORTS!J1873),"",REPORTS!J1873)</f>
        <v>288430.93570457277</v>
      </c>
      <c r="E2281" s="1324">
        <f>+IF(ISBLANK(REPORTS!K1873),"",REPORTS!K1873)</f>
        <v>179530.86540176428</v>
      </c>
      <c r="F2281" s="1324">
        <f>+IF(ISBLANK(REPORTS!L1873),"",REPORTS!L1873)</f>
        <v>12767.015684605649</v>
      </c>
      <c r="G2281" s="1324">
        <f>+IF(ISBLANK(REPORTS!M1873),"",REPORTS!M1873)</f>
        <v>85492.895895129317</v>
      </c>
      <c r="H2281" s="1324">
        <f>+IF(ISBLANK(REPORTS!N1873),"",REPORTS!N1873)</f>
        <v>8991.94493196648</v>
      </c>
      <c r="I2281" s="1324">
        <f>+IF(ISBLANK(REPORTS!O1873),"",REPORTS!O1873)</f>
        <v>6.1403444351401425E-3</v>
      </c>
      <c r="J2281" s="1324">
        <f>+IF(ISBLANK(REPORTS!P1873),"",REPORTS!P1873)</f>
        <v>1655.978460861309</v>
      </c>
      <c r="K2281" s="1324">
        <f>+IF(ISBLANK(REPORTS!Q1873),"",REPORTS!Q1873)</f>
        <v>0</v>
      </c>
    </row>
    <row r="2282" spans="1:12">
      <c r="A2282" s="1393">
        <v>210</v>
      </c>
      <c r="B2282" s="1324" t="s">
        <v>5241</v>
      </c>
      <c r="C2282" s="1324" t="s">
        <v>4067</v>
      </c>
      <c r="D2282" s="1324">
        <f>+IF(ISBLANK(REPORTS!J1874),"",REPORTS!J1874)</f>
        <v>121625.32870876635</v>
      </c>
      <c r="E2282" s="1324">
        <f>+IF(ISBLANK(REPORTS!K1874),"",REPORTS!K1874)</f>
        <v>88745.262736137724</v>
      </c>
      <c r="F2282" s="1324">
        <f>+IF(ISBLANK(REPORTS!L1874),"",REPORTS!L1874)</f>
        <v>7144.8204726571121</v>
      </c>
      <c r="G2282" s="1324">
        <f>+IF(ISBLANK(REPORTS!M1874),"",REPORTS!M1874)</f>
        <v>25298.530647577725</v>
      </c>
      <c r="H2282" s="1324">
        <f>+IF(ISBLANK(REPORTS!N1874),"",REPORTS!N1874)</f>
        <v>0</v>
      </c>
      <c r="I2282" s="1324">
        <f>+IF(ISBLANK(REPORTS!O1874),"",REPORTS!O1874)</f>
        <v>0</v>
      </c>
      <c r="J2282" s="1324">
        <f>+IF(ISBLANK(REPORTS!P1874),"",REPORTS!P1874)</f>
        <v>440.04798410055906</v>
      </c>
      <c r="K2282" s="1324">
        <f>+IF(ISBLANK(REPORTS!Q1874),"",REPORTS!Q1874)</f>
        <v>0</v>
      </c>
    </row>
    <row r="2283" spans="1:12">
      <c r="A2283" s="1393">
        <v>211</v>
      </c>
      <c r="B2283" s="1324" t="s">
        <v>5242</v>
      </c>
      <c r="C2283" s="1324" t="s">
        <v>4071</v>
      </c>
      <c r="D2283" s="1324">
        <f>+IF(ISBLANK(REPORTS!J1875),"",REPORTS!J1875)</f>
        <v>145860.82665802271</v>
      </c>
      <c r="E2283" s="1324">
        <f>+IF(ISBLANK(REPORTS!K1875),"",REPORTS!K1875)</f>
        <v>59843.543459170629</v>
      </c>
      <c r="F2283" s="1324">
        <f>+IF(ISBLANK(REPORTS!L1875),"",REPORTS!L1875)</f>
        <v>11364.741119201464</v>
      </c>
      <c r="G2283" s="1324">
        <f>+IF(ISBLANK(REPORTS!M1875),"",REPORTS!M1875)</f>
        <v>6441.5741086188373</v>
      </c>
      <c r="H2283" s="1324">
        <f>+IF(ISBLANK(REPORTS!N1875),"",REPORTS!N1875)</f>
        <v>479.0945510881603</v>
      </c>
      <c r="I2283" s="1324">
        <f>+IF(ISBLANK(REPORTS!O1875),"",REPORTS!O1875)</f>
        <v>522.7820473188325</v>
      </c>
      <c r="J2283" s="1324">
        <f>+IF(ISBLANK(REPORTS!P1875),"",REPORTS!P1875)</f>
        <v>108.1434439357589</v>
      </c>
      <c r="K2283" s="1324">
        <f>+IF(ISBLANK(REPORTS!Q1875),"",REPORTS!Q1875)</f>
        <v>67054.846222415435</v>
      </c>
    </row>
    <row r="2284" spans="1:12">
      <c r="A2284" s="1393">
        <v>212</v>
      </c>
      <c r="B2284" s="1324" t="s">
        <v>5244</v>
      </c>
      <c r="C2284" s="1324" t="s">
        <v>4071</v>
      </c>
      <c r="D2284" s="1366">
        <f>+IF(ISBLANK(REPORTS!J1876),"",REPORTS!J1876)</f>
        <v>103051.67385407786</v>
      </c>
      <c r="E2284" s="1366">
        <f>+IF(ISBLANK(REPORTS!K1876),"",REPORTS!K1876)</f>
        <v>90089.576281315327</v>
      </c>
      <c r="F2284" s="1366">
        <f>+IF(ISBLANK(REPORTS!L1876),"",REPORTS!L1876)</f>
        <v>8720.5332269948231</v>
      </c>
      <c r="G2284" s="1366">
        <f>+IF(ISBLANK(REPORTS!M1876),"",REPORTS!M1876)</f>
        <v>3631.4793188591107</v>
      </c>
      <c r="H2284" s="1366">
        <f>+IF(ISBLANK(REPORTS!N1876),"",REPORTS!N1876)</f>
        <v>192.10127462165806</v>
      </c>
      <c r="I2284" s="1366">
        <f>+IF(ISBLANK(REPORTS!O1876),"",REPORTS!O1876)</f>
        <v>109.93746280488378</v>
      </c>
      <c r="J2284" s="1366">
        <f>+IF(ISBLANK(REPORTS!P1876),"",REPORTS!P1876)</f>
        <v>40.561004118990049</v>
      </c>
      <c r="K2284" s="1366">
        <f>+IF(ISBLANK(REPORTS!Q1876),"",REPORTS!Q1876)</f>
        <v>270.01343599729051</v>
      </c>
      <c r="L2284" s="1358"/>
    </row>
    <row r="2285" spans="1:12">
      <c r="A2285" s="1393">
        <v>213</v>
      </c>
      <c r="B2285" s="1324" t="s">
        <v>6093</v>
      </c>
      <c r="D2285" s="1366">
        <f>+IF(ISBLANK(REPORTS!J1877),"",REPORTS!J1877)</f>
        <v>1814448.1237904148</v>
      </c>
      <c r="E2285" s="1366">
        <f>+IF(ISBLANK(REPORTS!K1877),"",REPORTS!K1877)</f>
        <v>1074778.4566543298</v>
      </c>
      <c r="F2285" s="1366">
        <f>+IF(ISBLANK(REPORTS!L1877),"",REPORTS!L1877)</f>
        <v>95056.877920623781</v>
      </c>
      <c r="G2285" s="1366">
        <f>+IF(ISBLANK(REPORTS!M1877),"",REPORTS!M1877)</f>
        <v>481800.59280985425</v>
      </c>
      <c r="H2285" s="1366">
        <f>+IF(ISBLANK(REPORTS!N1877),"",REPORTS!N1877)</f>
        <v>56880.890191233259</v>
      </c>
      <c r="I2285" s="1366">
        <f>+IF(ISBLANK(REPORTS!O1877),"",REPORTS!O1877)</f>
        <v>34713.975290642644</v>
      </c>
      <c r="J2285" s="1366">
        <f>+IF(ISBLANK(REPORTS!P1877),"",REPORTS!P1877)</f>
        <v>3892.4728078182143</v>
      </c>
      <c r="K2285" s="1366">
        <f>+IF(ISBLANK(REPORTS!Q1877),"",REPORTS!Q1877)</f>
        <v>67324.859658412723</v>
      </c>
      <c r="L2285" s="1358"/>
    </row>
    <row r="2289" spans="1:13">
      <c r="D2289" s="1364"/>
      <c r="E2289" s="1364"/>
      <c r="F2289" s="1364"/>
      <c r="G2289" s="1364"/>
      <c r="H2289" s="1364"/>
      <c r="I2289" s="1364"/>
      <c r="J2289" s="1364"/>
      <c r="K2289" s="1364"/>
      <c r="L2289" s="1358"/>
    </row>
    <row r="2290" spans="1:13">
      <c r="D2290" s="1364"/>
      <c r="E2290" s="1364"/>
      <c r="F2290" s="1364"/>
      <c r="G2290" s="1364"/>
      <c r="H2290" s="1364"/>
      <c r="I2290" s="1364"/>
      <c r="J2290" s="1364"/>
      <c r="K2290" s="1364"/>
      <c r="L2290" s="1358"/>
    </row>
    <row r="2291" spans="1:13">
      <c r="E2291" s="1329"/>
      <c r="F2291" s="1329"/>
      <c r="G2291" s="1329"/>
      <c r="H2291" s="1329"/>
      <c r="I2291" s="1329"/>
      <c r="K2291" s="1536"/>
      <c r="L2291" s="1415"/>
    </row>
    <row r="2292" spans="1:13">
      <c r="E2292" s="1329"/>
      <c r="F2292" s="1329"/>
      <c r="G2292" s="1329"/>
      <c r="H2292" s="1329"/>
      <c r="I2292" s="1329"/>
      <c r="K2292" s="1536"/>
      <c r="L2292" s="1415"/>
    </row>
    <row r="2293" spans="1:13">
      <c r="E2293" s="1329"/>
      <c r="F2293" s="1329"/>
      <c r="G2293" s="1329"/>
      <c r="H2293" s="1329"/>
      <c r="I2293" s="1329"/>
      <c r="K2293" s="1536"/>
      <c r="L2293" s="1415"/>
    </row>
    <row r="2294" spans="1:13">
      <c r="E2294" s="1329"/>
      <c r="F2294" s="1329"/>
      <c r="G2294" s="1329"/>
      <c r="H2294" s="1329"/>
      <c r="I2294" s="1329"/>
      <c r="K2294" s="1536"/>
      <c r="L2294" s="1415"/>
    </row>
    <row r="2295" spans="1:13">
      <c r="E2295" s="1329"/>
      <c r="F2295" s="1329"/>
      <c r="G2295" s="1329"/>
      <c r="H2295" s="1329"/>
      <c r="I2295" s="1329"/>
      <c r="K2295" s="1536"/>
      <c r="L2295" s="1415"/>
    </row>
    <row r="2296" spans="1:13">
      <c r="E2296" s="1329"/>
      <c r="F2296" s="1329"/>
      <c r="G2296" s="1329"/>
      <c r="H2296" s="1329"/>
      <c r="I2296" s="1329"/>
      <c r="K2296" s="1536"/>
      <c r="L2296" s="1415"/>
    </row>
    <row r="2297" spans="1:13">
      <c r="E2297" s="1329"/>
      <c r="F2297" s="1329"/>
      <c r="G2297" s="1329"/>
      <c r="H2297" s="1329"/>
      <c r="I2297" s="1329"/>
      <c r="K2297" s="1536"/>
      <c r="L2297" s="1415"/>
    </row>
    <row r="2298" spans="1:13">
      <c r="E2298" s="1329"/>
      <c r="F2298" s="1329"/>
      <c r="G2298" s="1329"/>
      <c r="H2298" s="1329"/>
      <c r="I2298" s="1329"/>
      <c r="K2298" s="1536"/>
      <c r="L2298" s="1415"/>
    </row>
    <row r="2299" spans="1:13">
      <c r="E2299" s="1329"/>
      <c r="F2299" s="1329"/>
      <c r="G2299" s="1329"/>
      <c r="H2299" s="1329"/>
      <c r="I2299" s="1329"/>
      <c r="K2299" s="1536"/>
      <c r="L2299" s="1415"/>
    </row>
    <row r="2300" spans="1:13">
      <c r="A2300" s="1732" t="str">
        <f>+$A$1</f>
        <v>RATES WITH REVENUE DEFICIENCY ADDITION</v>
      </c>
      <c r="F2300" s="1329" t="s">
        <v>2173</v>
      </c>
      <c r="G2300" s="1329"/>
      <c r="H2300" s="1329"/>
      <c r="I2300" s="1329"/>
      <c r="M2300" s="1334" t="s">
        <v>9460</v>
      </c>
    </row>
    <row r="2301" spans="1:13">
      <c r="A2301" s="1732" t="str">
        <f>+$A$2</f>
        <v>PROD. CAP. ALLOC. METHOD: 12 CP &amp; 1/13th AD</v>
      </c>
      <c r="F2301" s="1336" t="s">
        <v>5141</v>
      </c>
      <c r="G2301" s="1336"/>
      <c r="H2301" s="1336"/>
      <c r="I2301" s="1336"/>
      <c r="L2301" s="1331"/>
      <c r="M2301" s="1409"/>
    </row>
    <row r="2302" spans="1:13">
      <c r="A2302" s="1732" t="str">
        <f>+$A$3</f>
        <v>PROJECTED CALENDAR YEAR 2025; FULLY ADJUSTED DATA</v>
      </c>
      <c r="F2302" s="1336" t="s">
        <v>2181</v>
      </c>
    </row>
    <row r="2303" spans="1:13">
      <c r="A2303" s="1732" t="str">
        <f>+$A$4</f>
        <v>MINIMUM DISTRIBUTION SYSTEM (MDS) NOT EMPLOYED</v>
      </c>
      <c r="F2303" s="1336"/>
      <c r="G2303" s="1336"/>
      <c r="H2303" s="1336"/>
      <c r="I2303" s="1336"/>
    </row>
    <row r="2304" spans="1:13">
      <c r="A2304" s="1732" t="str">
        <f>+$A$5</f>
        <v>Tampa Electric 2025 OB Budget</v>
      </c>
      <c r="F2304" s="1336" t="s">
        <v>5912</v>
      </c>
      <c r="G2304" s="1336"/>
      <c r="H2304" s="1336"/>
      <c r="I2304" s="1336"/>
    </row>
    <row r="2305" spans="1:13">
      <c r="F2305" s="1336"/>
      <c r="G2305" s="1336"/>
      <c r="H2305" s="1336"/>
      <c r="I2305" s="1336"/>
    </row>
    <row r="2306" spans="1:13">
      <c r="F2306" s="1336"/>
      <c r="G2306" s="1336"/>
      <c r="H2306" s="1336"/>
      <c r="I2306" s="1336"/>
    </row>
    <row r="2309" spans="1:13" ht="28.2">
      <c r="A2309" s="1737" t="s">
        <v>4297</v>
      </c>
      <c r="B2309" s="1741"/>
      <c r="C2309" s="1741"/>
      <c r="D2309" s="1352" t="s">
        <v>4957</v>
      </c>
      <c r="E2309" s="1353" t="s">
        <v>1949</v>
      </c>
      <c r="F2309" s="1353" t="s">
        <v>1950</v>
      </c>
      <c r="G2309" s="1353" t="s">
        <v>1934</v>
      </c>
      <c r="H2309" s="1353" t="s">
        <v>1971</v>
      </c>
      <c r="I2309" s="1353" t="s">
        <v>1972</v>
      </c>
      <c r="J2309" s="1352" t="s">
        <v>5146</v>
      </c>
      <c r="K2309" s="1352" t="s">
        <v>5147</v>
      </c>
      <c r="L2309" s="1355"/>
      <c r="M2309" s="1350"/>
    </row>
    <row r="2310" spans="1:13">
      <c r="A2310" s="1543"/>
      <c r="B2310" s="1447"/>
      <c r="C2310" s="1447"/>
      <c r="D2310" s="1399"/>
      <c r="E2310" s="1360"/>
      <c r="F2310" s="1360"/>
      <c r="G2310" s="1360"/>
      <c r="H2310" s="1360"/>
      <c r="I2310" s="1360"/>
      <c r="J2310" s="1399"/>
      <c r="K2310" s="1399"/>
      <c r="L2310" s="1346"/>
    </row>
    <row r="2311" spans="1:13">
      <c r="A2311" s="1393">
        <v>214</v>
      </c>
      <c r="B2311" s="1362" t="s">
        <v>6097</v>
      </c>
    </row>
    <row r="2312" spans="1:13">
      <c r="A2312" s="1393">
        <v>215</v>
      </c>
      <c r="B2312" s="1324" t="s">
        <v>5265</v>
      </c>
      <c r="C2312" s="1324" t="s">
        <v>4067</v>
      </c>
      <c r="D2312" s="1324">
        <f>+IF(ISBLANK(REPORTS!J1895),"",REPORTS!J1895)</f>
        <v>1850.9373105288485</v>
      </c>
      <c r="E2312" s="1324">
        <f>+IF(ISBLANK(REPORTS!K1895),"",REPORTS!K1895)</f>
        <v>1062.835350791551</v>
      </c>
      <c r="F2312" s="1324">
        <f>+IF(ISBLANK(REPORTS!L1895),"",REPORTS!L1895)</f>
        <v>88.386074041862514</v>
      </c>
      <c r="G2312" s="1324">
        <f>+IF(ISBLANK(REPORTS!M1895),"",REPORTS!M1895)</f>
        <v>572.02674442495356</v>
      </c>
      <c r="H2312" s="1324">
        <f>+IF(ISBLANK(REPORTS!N1895),"",REPORTS!N1895)</f>
        <v>73.108889369043141</v>
      </c>
      <c r="I2312" s="1324">
        <f>+IF(ISBLANK(REPORTS!O1895),"",REPORTS!O1895)</f>
        <v>52.616697051048732</v>
      </c>
      <c r="J2312" s="1324">
        <f>+IF(ISBLANK(REPORTS!P1895),"",REPORTS!P1895)</f>
        <v>1.9635548503894207</v>
      </c>
      <c r="K2312" s="1324">
        <f>+IF(ISBLANK(REPORTS!Q1895),"",REPORTS!Q1895)</f>
        <v>0</v>
      </c>
    </row>
    <row r="2313" spans="1:13">
      <c r="A2313" s="1393">
        <v>216</v>
      </c>
      <c r="B2313" s="1324" t="s">
        <v>5265</v>
      </c>
      <c r="C2313" s="1324" t="s">
        <v>2067</v>
      </c>
      <c r="D2313" s="1364">
        <f>+IF(ISBLANK(REPORTS!J1896),"",REPORTS!J1896)</f>
        <v>683.45100159561605</v>
      </c>
      <c r="E2313" s="1364">
        <f>+IF(ISBLANK(REPORTS!K1896),"",REPORTS!K1896)</f>
        <v>232.12329599623095</v>
      </c>
      <c r="F2313" s="1364">
        <f>+IF(ISBLANK(REPORTS!L1896),"",REPORTS!L1896)</f>
        <v>33.039675971418788</v>
      </c>
      <c r="G2313" s="1364">
        <f>+IF(ISBLANK(REPORTS!M1896),"",REPORTS!M1896)</f>
        <v>321.66119075112124</v>
      </c>
      <c r="H2313" s="1364">
        <f>+IF(ISBLANK(REPORTS!N1896),"",REPORTS!N1896)</f>
        <v>60.124362646580593</v>
      </c>
      <c r="I2313" s="1364">
        <f>+IF(ISBLANK(REPORTS!O1896),"",REPORTS!O1896)</f>
        <v>32.559563027653994</v>
      </c>
      <c r="J2313" s="1364">
        <f>+IF(ISBLANK(REPORTS!P1896),"",REPORTS!P1896)</f>
        <v>3.9429132026103617</v>
      </c>
      <c r="K2313" s="1364">
        <f>+IF(ISBLANK(REPORTS!Q1896),"",REPORTS!Q1896)</f>
        <v>0</v>
      </c>
      <c r="L2313" s="1358"/>
    </row>
    <row r="2314" spans="1:13">
      <c r="A2314" s="1393">
        <v>217</v>
      </c>
      <c r="B2314" s="1324" t="s">
        <v>5268</v>
      </c>
      <c r="C2314" s="1324" t="s">
        <v>4067</v>
      </c>
      <c r="D2314" s="1364">
        <f>+IF(ISBLANK(REPORTS!J1897),"",REPORTS!J1897)</f>
        <v>931.87196742411015</v>
      </c>
      <c r="E2314" s="1364">
        <f>+IF(ISBLANK(REPORTS!K1897),"",REPORTS!K1897)</f>
        <v>540.49789283172697</v>
      </c>
      <c r="F2314" s="1364">
        <f>+IF(ISBLANK(REPORTS!L1897),"",REPORTS!L1897)</f>
        <v>44.585624396841048</v>
      </c>
      <c r="G2314" s="1364">
        <f>+IF(ISBLANK(REPORTS!M1897),"",REPORTS!M1897)</f>
        <v>285.01349750262563</v>
      </c>
      <c r="H2314" s="1364">
        <f>+IF(ISBLANK(REPORTS!N1897),"",REPORTS!N1897)</f>
        <v>35.580156141349192</v>
      </c>
      <c r="I2314" s="1364">
        <f>+IF(ISBLANK(REPORTS!O1897),"",REPORTS!O1897)</f>
        <v>25.53410621469742</v>
      </c>
      <c r="J2314" s="1364">
        <f>+IF(ISBLANK(REPORTS!P1897),"",REPORTS!P1897)</f>
        <v>0.66069033686989576</v>
      </c>
      <c r="K2314" s="1364">
        <f>+IF(ISBLANK(REPORTS!Q1897),"",REPORTS!Q1897)</f>
        <v>0</v>
      </c>
      <c r="L2314" s="1358"/>
    </row>
    <row r="2315" spans="1:13">
      <c r="A2315" s="1393">
        <v>218</v>
      </c>
      <c r="B2315" s="1324" t="s">
        <v>5239</v>
      </c>
      <c r="C2315" s="1324" t="s">
        <v>4067</v>
      </c>
      <c r="D2315" s="1364">
        <f>+IF(ISBLANK(REPORTS!J1898),"",REPORTS!J1898)</f>
        <v>255.6580146588625</v>
      </c>
      <c r="E2315" s="1364">
        <f>+IF(ISBLANK(REPORTS!K1898),"",REPORTS!K1898)</f>
        <v>148.28498231428051</v>
      </c>
      <c r="F2315" s="1364">
        <f>+IF(ISBLANK(REPORTS!L1898),"",REPORTS!L1898)</f>
        <v>12.232015356283817</v>
      </c>
      <c r="G2315" s="1364">
        <f>+IF(ISBLANK(REPORTS!M1898),"",REPORTS!M1898)</f>
        <v>78.193128959460836</v>
      </c>
      <c r="H2315" s="1364">
        <f>+IF(ISBLANK(REPORTS!N1898),"",REPORTS!N1898)</f>
        <v>9.7613753802401604</v>
      </c>
      <c r="I2315" s="1364">
        <f>+IF(ISBLANK(REPORTS!O1898),"",REPORTS!O1898)</f>
        <v>7.0052530059282994</v>
      </c>
      <c r="J2315" s="1364">
        <f>+IF(ISBLANK(REPORTS!P1898),"",REPORTS!P1898)</f>
        <v>0.18125964266889311</v>
      </c>
      <c r="K2315" s="1364">
        <f>+IF(ISBLANK(REPORTS!Q1898),"",REPORTS!Q1898)</f>
        <v>0</v>
      </c>
      <c r="L2315" s="1358"/>
    </row>
    <row r="2316" spans="1:13">
      <c r="A2316" s="1393">
        <v>219</v>
      </c>
      <c r="B2316" s="1324" t="s">
        <v>5240</v>
      </c>
      <c r="C2316" s="1324" t="s">
        <v>4067</v>
      </c>
      <c r="D2316" s="1364">
        <f>+IF(ISBLANK(REPORTS!J1899),"",REPORTS!J1899)</f>
        <v>14945.554128665908</v>
      </c>
      <c r="E2316" s="1364">
        <f>+IF(ISBLANK(REPORTS!K1899),"",REPORTS!K1899)</f>
        <v>9302.3521990449226</v>
      </c>
      <c r="F2316" s="1364">
        <f>+IF(ISBLANK(REPORTS!L1899),"",REPORTS!L1899)</f>
        <v>661.60661924780038</v>
      </c>
      <c r="G2316" s="1364">
        <f>+IF(ISBLANK(REPORTS!M1899),"",REPORTS!M1899)</f>
        <v>4429.8694057692665</v>
      </c>
      <c r="H2316" s="1364">
        <f>+IF(ISBLANK(REPORTS!N1899),"",REPORTS!N1899)</f>
        <v>465.93319413402276</v>
      </c>
      <c r="I2316" s="1364">
        <f>+IF(ISBLANK(REPORTS!O1899),"",REPORTS!O1899)</f>
        <v>3.181301080419388E-4</v>
      </c>
      <c r="J2316" s="1364">
        <f>+IF(ISBLANK(REPORTS!P1899),"",REPORTS!P1899)</f>
        <v>85.792392339791192</v>
      </c>
      <c r="K2316" s="1364">
        <f>+IF(ISBLANK(REPORTS!Q1899),"",REPORTS!Q1899)</f>
        <v>0</v>
      </c>
      <c r="L2316" s="1358"/>
    </row>
    <row r="2317" spans="1:13">
      <c r="A2317" s="1393">
        <v>220</v>
      </c>
      <c r="B2317" s="1324" t="s">
        <v>5241</v>
      </c>
      <c r="C2317" s="1324" t="s">
        <v>4067</v>
      </c>
      <c r="D2317" s="1364">
        <f>+IF(ISBLANK(REPORTS!J1900),"",REPORTS!J1900)</f>
        <v>348.69066960232243</v>
      </c>
      <c r="E2317" s="1364">
        <f>+IF(ISBLANK(REPORTS!K1900),"",REPORTS!K1900)</f>
        <v>254.41631044445109</v>
      </c>
      <c r="F2317" s="1364">
        <f>+IF(ISBLANK(REPORTS!L1900),"",REPORTS!L1900)</f>
        <v>20.485562196409056</v>
      </c>
      <c r="G2317" s="1364">
        <f>+IF(ISBLANK(REPORTS!M1900),"",REPORTS!M1900)</f>
        <v>72.52743349802563</v>
      </c>
      <c r="H2317" s="1364">
        <f>+IF(ISBLANK(REPORTS!N1900),"",REPORTS!N1900)</f>
        <v>0</v>
      </c>
      <c r="I2317" s="1364">
        <f>+IF(ISBLANK(REPORTS!O1900),"",REPORTS!O1900)</f>
        <v>0</v>
      </c>
      <c r="J2317" s="1364">
        <f>+IF(ISBLANK(REPORTS!P1900),"",REPORTS!P1900)</f>
        <v>1.2613634634366437</v>
      </c>
      <c r="K2317" s="1364">
        <f>+IF(ISBLANK(REPORTS!Q1900),"",REPORTS!Q1900)</f>
        <v>0</v>
      </c>
      <c r="L2317" s="1358"/>
    </row>
    <row r="2318" spans="1:13">
      <c r="A2318" s="1393">
        <v>221</v>
      </c>
      <c r="B2318" s="1324" t="s">
        <v>5242</v>
      </c>
      <c r="C2318" s="1324" t="s">
        <v>4071</v>
      </c>
      <c r="D2318" s="1364">
        <f>+IF(ISBLANK(REPORTS!J1901),"",REPORTS!J1901)</f>
        <v>216.09497132613194</v>
      </c>
      <c r="E2318" s="1364">
        <f>+IF(ISBLANK(REPORTS!K1901),"",REPORTS!K1901)</f>
        <v>79.664863621095478</v>
      </c>
      <c r="F2318" s="1364">
        <f>+IF(ISBLANK(REPORTS!L1901),"",REPORTS!L1901)</f>
        <v>12.084112331790104</v>
      </c>
      <c r="G2318" s="1364">
        <f>+IF(ISBLANK(REPORTS!M1901),"",REPORTS!M1901)</f>
        <v>5.8257414082708596</v>
      </c>
      <c r="H2318" s="1364">
        <f>+IF(ISBLANK(REPORTS!N1901),"",REPORTS!N1901)</f>
        <v>0.37555724350818143</v>
      </c>
      <c r="I2318" s="1364">
        <f>+IF(ISBLANK(REPORTS!O1901),"",REPORTS!O1901)</f>
        <v>0.40974871785588124</v>
      </c>
      <c r="J2318" s="1364">
        <f>+IF(ISBLANK(REPORTS!P1901),"",REPORTS!P1901)</f>
        <v>9.4042220502395357E-2</v>
      </c>
      <c r="K2318" s="1364">
        <f>+IF(ISBLANK(REPORTS!Q1901),"",REPORTS!Q1901)</f>
        <v>117.64090578310908</v>
      </c>
      <c r="L2318" s="1358"/>
    </row>
    <row r="2319" spans="1:13">
      <c r="A2319" s="1393">
        <v>222</v>
      </c>
      <c r="B2319" s="1324" t="s">
        <v>5244</v>
      </c>
      <c r="C2319" s="1324" t="s">
        <v>4071</v>
      </c>
      <c r="D2319" s="1366">
        <f>+IF(ISBLANK(REPORTS!J1902),"",REPORTS!J1902)</f>
        <v>21497.128382830353</v>
      </c>
      <c r="E2319" s="1366">
        <f>+IF(ISBLANK(REPORTS!K1902),"",REPORTS!K1902)</f>
        <v>19178.418704941017</v>
      </c>
      <c r="F2319" s="1366">
        <f>+IF(ISBLANK(REPORTS!L1902),"",REPORTS!L1902)</f>
        <v>1858.7024168937448</v>
      </c>
      <c r="G2319" s="1366">
        <f>+IF(ISBLANK(REPORTS!M1902),"",REPORTS!M1902)</f>
        <v>454.56569322625199</v>
      </c>
      <c r="H2319" s="1366">
        <f>+IF(ISBLANK(REPORTS!N1902),"",REPORTS!N1902)</f>
        <v>3.7671811553707593E-3</v>
      </c>
      <c r="I2319" s="1366">
        <f>+IF(ISBLANK(REPORTS!O1902),"",REPORTS!O1902)</f>
        <v>6.683708501464251E-4</v>
      </c>
      <c r="J2319" s="1366">
        <f>+IF(ISBLANK(REPORTS!P1902),"",REPORTS!P1902)</f>
        <v>5.4371322173328691</v>
      </c>
      <c r="K2319" s="1366">
        <f>+IF(ISBLANK(REPORTS!Q1902),"",REPORTS!Q1902)</f>
        <v>0</v>
      </c>
      <c r="L2319" s="1358"/>
    </row>
    <row r="2320" spans="1:13">
      <c r="A2320" s="1393">
        <v>223</v>
      </c>
      <c r="D2320" s="1324" t="str">
        <f>+IF(ISBLANK(REPORTS!J1903),"",REPORTS!J1903)</f>
        <v/>
      </c>
      <c r="E2320" s="1324" t="str">
        <f>+IF(ISBLANK(REPORTS!K1903),"",REPORTS!K1903)</f>
        <v/>
      </c>
      <c r="F2320" s="1324" t="str">
        <f>+IF(ISBLANK(REPORTS!L1903),"",REPORTS!L1903)</f>
        <v/>
      </c>
      <c r="G2320" s="1324" t="str">
        <f>+IF(ISBLANK(REPORTS!M1903),"",REPORTS!M1903)</f>
        <v/>
      </c>
      <c r="H2320" s="1324" t="str">
        <f>+IF(ISBLANK(REPORTS!N1903),"",REPORTS!N1903)</f>
        <v/>
      </c>
      <c r="I2320" s="1324" t="str">
        <f>+IF(ISBLANK(REPORTS!O1903),"",REPORTS!O1903)</f>
        <v/>
      </c>
      <c r="J2320" s="1324" t="str">
        <f>+IF(ISBLANK(REPORTS!P1903),"",REPORTS!P1903)</f>
        <v/>
      </c>
      <c r="K2320" s="1324" t="str">
        <f>+IF(ISBLANK(REPORTS!Q1903),"",REPORTS!Q1903)</f>
        <v/>
      </c>
    </row>
    <row r="2321" spans="1:12">
      <c r="A2321" s="1393">
        <v>224</v>
      </c>
      <c r="B2321" s="1324" t="s">
        <v>6098</v>
      </c>
      <c r="D2321" s="1366">
        <f>+IF(ISBLANK(REPORTS!J1904),"",REPORTS!J1904)</f>
        <v>40729.386446632154</v>
      </c>
      <c r="E2321" s="1366">
        <f>+IF(ISBLANK(REPORTS!K1904),"",REPORTS!K1904)</f>
        <v>30798.593599985274</v>
      </c>
      <c r="F2321" s="1366">
        <f>+IF(ISBLANK(REPORTS!L1904),"",REPORTS!L1904)</f>
        <v>2731.1221004361505</v>
      </c>
      <c r="G2321" s="1366">
        <f>+IF(ISBLANK(REPORTS!M1904),"",REPORTS!M1904)</f>
        <v>6219.6828355399766</v>
      </c>
      <c r="H2321" s="1366">
        <f>+IF(ISBLANK(REPORTS!N1904),"",REPORTS!N1904)</f>
        <v>644.88730209589937</v>
      </c>
      <c r="I2321" s="1366">
        <f>+IF(ISBLANK(REPORTS!O1904),"",REPORTS!O1904)</f>
        <v>118.12635451814251</v>
      </c>
      <c r="J2321" s="1366">
        <f>+IF(ISBLANK(REPORTS!P1904),"",REPORTS!P1904)</f>
        <v>99.333348273601672</v>
      </c>
      <c r="K2321" s="1366">
        <f>+IF(ISBLANK(REPORTS!Q1904),"",REPORTS!Q1904)</f>
        <v>117.64090578310908</v>
      </c>
      <c r="L2321" s="1358"/>
    </row>
    <row r="2322" spans="1:12">
      <c r="A2322" s="1393">
        <v>225</v>
      </c>
      <c r="D2322" s="1324" t="str">
        <f>+IF(ISBLANK(REPORTS!J1905),"",REPORTS!J1905)</f>
        <v/>
      </c>
      <c r="E2322" s="1324" t="str">
        <f>+IF(ISBLANK(REPORTS!K1905),"",REPORTS!K1905)</f>
        <v/>
      </c>
      <c r="F2322" s="1324" t="str">
        <f>+IF(ISBLANK(REPORTS!L1905),"",REPORTS!L1905)</f>
        <v/>
      </c>
      <c r="G2322" s="1324" t="str">
        <f>+IF(ISBLANK(REPORTS!M1905),"",REPORTS!M1905)</f>
        <v/>
      </c>
      <c r="H2322" s="1324" t="str">
        <f>+IF(ISBLANK(REPORTS!N1905),"",REPORTS!N1905)</f>
        <v/>
      </c>
      <c r="I2322" s="1324" t="str">
        <f>+IF(ISBLANK(REPORTS!O1905),"",REPORTS!O1905)</f>
        <v/>
      </c>
      <c r="J2322" s="1324" t="str">
        <f>+IF(ISBLANK(REPORTS!P1905),"",REPORTS!P1905)</f>
        <v/>
      </c>
      <c r="K2322" s="1324" t="str">
        <f>+IF(ISBLANK(REPORTS!Q1905),"",REPORTS!Q1905)</f>
        <v/>
      </c>
    </row>
    <row r="2323" spans="1:12">
      <c r="A2323" s="1393">
        <v>226</v>
      </c>
      <c r="B2323" s="1362" t="s">
        <v>6100</v>
      </c>
      <c r="D2323" s="1324" t="str">
        <f>+IF(ISBLANK(REPORTS!J1906),"",REPORTS!J1906)</f>
        <v/>
      </c>
      <c r="E2323" s="1324" t="str">
        <f>+IF(ISBLANK(REPORTS!K1906),"",REPORTS!K1906)</f>
        <v/>
      </c>
      <c r="F2323" s="1324" t="str">
        <f>+IF(ISBLANK(REPORTS!L1906),"",REPORTS!L1906)</f>
        <v/>
      </c>
      <c r="G2323" s="1324" t="str">
        <f>+IF(ISBLANK(REPORTS!M1906),"",REPORTS!M1906)</f>
        <v/>
      </c>
      <c r="H2323" s="1324" t="str">
        <f>+IF(ISBLANK(REPORTS!N1906),"",REPORTS!N1906)</f>
        <v/>
      </c>
      <c r="I2323" s="1324" t="str">
        <f>+IF(ISBLANK(REPORTS!O1906),"",REPORTS!O1906)</f>
        <v/>
      </c>
      <c r="J2323" s="1324" t="str">
        <f>+IF(ISBLANK(REPORTS!P1906),"",REPORTS!P1906)</f>
        <v/>
      </c>
      <c r="K2323" s="1324" t="str">
        <f>+IF(ISBLANK(REPORTS!Q1906),"",REPORTS!Q1906)</f>
        <v/>
      </c>
    </row>
    <row r="2324" spans="1:12">
      <c r="A2324" s="1393">
        <v>227</v>
      </c>
      <c r="B2324" s="1324" t="s">
        <v>5265</v>
      </c>
      <c r="C2324" s="1324" t="s">
        <v>4067</v>
      </c>
      <c r="D2324" s="1324">
        <f>+IF(ISBLANK(REPORTS!J1907),"",REPORTS!J1907)</f>
        <v>915900.21575758501</v>
      </c>
      <c r="E2324" s="1324">
        <f>+IF(ISBLANK(REPORTS!K1907),"",REPORTS!K1907)</f>
        <v>525943.39405897155</v>
      </c>
      <c r="F2324" s="1324">
        <f>+IF(ISBLANK(REPORTS!L1907),"",REPORTS!L1907)</f>
        <v>43732.061183794809</v>
      </c>
      <c r="G2324" s="1324">
        <f>+IF(ISBLANK(REPORTS!M1907),"",REPORTS!M1907)</f>
        <v>283062.33980783995</v>
      </c>
      <c r="H2324" s="1324">
        <f>+IF(ISBLANK(REPORTS!N1907),"",REPORTS!N1907)</f>
        <v>36176.521699948404</v>
      </c>
      <c r="I2324" s="1324">
        <f>+IF(ISBLANK(REPORTS!O1907),"",REPORTS!O1907)</f>
        <v>26039.838971024456</v>
      </c>
      <c r="J2324" s="1324">
        <f>+IF(ISBLANK(REPORTS!P1907),"",REPORTS!P1907)</f>
        <v>971.79739567579247</v>
      </c>
      <c r="K2324" s="1324">
        <f>+IF(ISBLANK(REPORTS!Q1907),"",REPORTS!Q1907)</f>
        <v>0</v>
      </c>
    </row>
    <row r="2325" spans="1:12">
      <c r="A2325" s="1393">
        <v>228</v>
      </c>
      <c r="B2325" s="1324" t="s">
        <v>5265</v>
      </c>
      <c r="C2325" s="1324" t="s">
        <v>2067</v>
      </c>
      <c r="D2325" s="1364">
        <f>+IF(ISBLANK(REPORTS!J1908),"",REPORTS!J1908)</f>
        <v>109790.64627032061</v>
      </c>
      <c r="E2325" s="1364">
        <f>+IF(ISBLANK(REPORTS!K1908),"",REPORTS!K1908)</f>
        <v>55519.00456224964</v>
      </c>
      <c r="F2325" s="1364">
        <f>+IF(ISBLANK(REPORTS!L1908),"",REPORTS!L1908)</f>
        <v>5118.3434533880163</v>
      </c>
      <c r="G2325" s="1364">
        <f>+IF(ISBLANK(REPORTS!M1908),"",REPORTS!M1908)</f>
        <v>38058.521329053125</v>
      </c>
      <c r="H2325" s="1364">
        <f>+IF(ISBLANK(REPORTS!N1908),"",REPORTS!N1908)</f>
        <v>6049.2553205882141</v>
      </c>
      <c r="I2325" s="1364">
        <f>+IF(ISBLANK(REPORTS!O1908),"",REPORTS!O1908)</f>
        <v>4468.8937845944329</v>
      </c>
      <c r="J2325" s="1364">
        <f>+IF(ISBLANK(REPORTS!P1908),"",REPORTS!P1908)</f>
        <v>579.80002046522009</v>
      </c>
      <c r="K2325" s="1364">
        <f>+IF(ISBLANK(REPORTS!Q1908),"",REPORTS!Q1908)</f>
        <v>0</v>
      </c>
      <c r="L2325" s="1358"/>
    </row>
    <row r="2326" spans="1:12">
      <c r="A2326" s="1393">
        <v>229</v>
      </c>
      <c r="B2326" s="1324" t="s">
        <v>5268</v>
      </c>
      <c r="C2326" s="1324" t="s">
        <v>4067</v>
      </c>
      <c r="D2326" s="1364">
        <f>+IF(ISBLANK(REPORTS!J1909),"",REPORTS!J1909)</f>
        <v>56258.971254034594</v>
      </c>
      <c r="E2326" s="1364">
        <f>+IF(ISBLANK(REPORTS!K1909),"",REPORTS!K1909)</f>
        <v>32632.199448003288</v>
      </c>
      <c r="F2326" s="1364">
        <f>+IF(ISBLANK(REPORTS!L1909),"",REPORTS!L1909)</f>
        <v>2691.4694724395581</v>
      </c>
      <c r="G2326" s="1364">
        <f>+IF(ISBLANK(REPORTS!M1909),"",REPORTS!M1909)</f>
        <v>17207.207988851045</v>
      </c>
      <c r="H2326" s="1364">
        <f>+IF(ISBLANK(REPORTS!N1909),"",REPORTS!N1909)</f>
        <v>2148.0459195268627</v>
      </c>
      <c r="I2326" s="1364">
        <f>+IF(ISBLANK(REPORTS!O1909),"",REPORTS!O1909)</f>
        <v>1541.7547870565666</v>
      </c>
      <c r="J2326" s="1364">
        <f>+IF(ISBLANK(REPORTS!P1909),"",REPORTS!P1909)</f>
        <v>39.894299367685861</v>
      </c>
      <c r="K2326" s="1364">
        <f>+IF(ISBLANK(REPORTS!Q1909),"",REPORTS!Q1909)</f>
        <v>0</v>
      </c>
      <c r="L2326" s="1358"/>
    </row>
    <row r="2327" spans="1:12">
      <c r="A2327" s="1393">
        <v>230</v>
      </c>
      <c r="B2327" s="1324" t="s">
        <v>5239</v>
      </c>
      <c r="C2327" s="1324" t="s">
        <v>4067</v>
      </c>
      <c r="D2327" s="1364">
        <f>+IF(ISBLANK(REPORTS!J1910),"",REPORTS!J1910)</f>
        <v>69807.607288827581</v>
      </c>
      <c r="E2327" s="1364">
        <f>+IF(ISBLANK(REPORTS!K1910),"",REPORTS!K1910)</f>
        <v>40490.869184783558</v>
      </c>
      <c r="F2327" s="1364">
        <f>+IF(ISBLANK(REPORTS!L1910),"",REPORTS!L1910)</f>
        <v>3339.6499177759415</v>
      </c>
      <c r="G2327" s="1364">
        <f>+IF(ISBLANK(REPORTS!M1910),"",REPORTS!M1910)</f>
        <v>21351.149152287016</v>
      </c>
      <c r="H2327" s="1364">
        <f>+IF(ISBLANK(REPORTS!N1910),"",REPORTS!N1910)</f>
        <v>2665.3517099562678</v>
      </c>
      <c r="I2327" s="1364">
        <f>+IF(ISBLANK(REPORTS!O1910),"",REPORTS!O1910)</f>
        <v>1913.046478199713</v>
      </c>
      <c r="J2327" s="1364">
        <f>+IF(ISBLANK(REPORTS!P1910),"",REPORTS!P1910)</f>
        <v>49.501781260360119</v>
      </c>
      <c r="K2327" s="1364">
        <f>+IF(ISBLANK(REPORTS!Q1910),"",REPORTS!Q1910)</f>
        <v>0</v>
      </c>
      <c r="L2327" s="1358"/>
    </row>
    <row r="2328" spans="1:12">
      <c r="A2328" s="1393">
        <v>231</v>
      </c>
      <c r="B2328" s="1324" t="s">
        <v>5240</v>
      </c>
      <c r="C2328" s="1324" t="s">
        <v>4067</v>
      </c>
      <c r="D2328" s="1364">
        <f>+IF(ISBLANK(REPORTS!J1911),"",REPORTS!J1911)</f>
        <v>273485.38157590688</v>
      </c>
      <c r="E2328" s="1364">
        <f>+IF(ISBLANK(REPORTS!K1911),"",REPORTS!K1911)</f>
        <v>170228.51320271936</v>
      </c>
      <c r="F2328" s="1364">
        <f>+IF(ISBLANK(REPORTS!L1911),"",REPORTS!L1911)</f>
        <v>12105.409065357848</v>
      </c>
      <c r="G2328" s="1364">
        <f>+IF(ISBLANK(REPORTS!M1911),"",REPORTS!M1911)</f>
        <v>81063.026489360054</v>
      </c>
      <c r="H2328" s="1364">
        <f>+IF(ISBLANK(REPORTS!N1911),"",REPORTS!N1911)</f>
        <v>8526.0117378324576</v>
      </c>
      <c r="I2328" s="1364">
        <f>+IF(ISBLANK(REPORTS!O1911),"",REPORTS!O1911)</f>
        <v>5.8222143270982036E-3</v>
      </c>
      <c r="J2328" s="1364">
        <f>+IF(ISBLANK(REPORTS!P1911),"",REPORTS!P1911)</f>
        <v>1570.1860685215179</v>
      </c>
      <c r="K2328" s="1364">
        <f>+IF(ISBLANK(REPORTS!Q1911),"",REPORTS!Q1911)</f>
        <v>0</v>
      </c>
      <c r="L2328" s="1358"/>
    </row>
    <row r="2329" spans="1:12">
      <c r="A2329" s="1393">
        <v>232</v>
      </c>
      <c r="B2329" s="1324" t="s">
        <v>5241</v>
      </c>
      <c r="C2329" s="1324" t="s">
        <v>4067</v>
      </c>
      <c r="D2329" s="1364">
        <f>+IF(ISBLANK(REPORTS!J1912),"",REPORTS!J1912)</f>
        <v>121276.63803916403</v>
      </c>
      <c r="E2329" s="1364">
        <f>+IF(ISBLANK(REPORTS!K1912),"",REPORTS!K1912)</f>
        <v>88490.846425693278</v>
      </c>
      <c r="F2329" s="1364">
        <f>+IF(ISBLANK(REPORTS!L1912),"",REPORTS!L1912)</f>
        <v>7124.3349104607032</v>
      </c>
      <c r="G2329" s="1364">
        <f>+IF(ISBLANK(REPORTS!M1912),"",REPORTS!M1912)</f>
        <v>25226.003214079701</v>
      </c>
      <c r="H2329" s="1364">
        <f>+IF(ISBLANK(REPORTS!N1912),"",REPORTS!N1912)</f>
        <v>0</v>
      </c>
      <c r="I2329" s="1364">
        <f>+IF(ISBLANK(REPORTS!O1912),"",REPORTS!O1912)</f>
        <v>0</v>
      </c>
      <c r="J2329" s="1364">
        <f>+IF(ISBLANK(REPORTS!P1912),"",REPORTS!P1912)</f>
        <v>438.78662063712244</v>
      </c>
      <c r="K2329" s="1364">
        <f>+IF(ISBLANK(REPORTS!Q1912),"",REPORTS!Q1912)</f>
        <v>0</v>
      </c>
      <c r="L2329" s="1358"/>
    </row>
    <row r="2330" spans="1:12">
      <c r="A2330" s="1393">
        <v>233</v>
      </c>
      <c r="B2330" s="1324" t="s">
        <v>5242</v>
      </c>
      <c r="C2330" s="1324" t="s">
        <v>4071</v>
      </c>
      <c r="D2330" s="1364">
        <f>+IF(ISBLANK(REPORTS!J1913),"",REPORTS!J1913)</f>
        <v>145644.73168669658</v>
      </c>
      <c r="E2330" s="1364">
        <f>+IF(ISBLANK(REPORTS!K1913),"",REPORTS!K1913)</f>
        <v>59763.878595549533</v>
      </c>
      <c r="F2330" s="1364">
        <f>+IF(ISBLANK(REPORTS!L1913),"",REPORTS!L1913)</f>
        <v>11352.657006869675</v>
      </c>
      <c r="G2330" s="1364">
        <f>+IF(ISBLANK(REPORTS!M1913),"",REPORTS!M1913)</f>
        <v>6435.7483672105664</v>
      </c>
      <c r="H2330" s="1364">
        <f>+IF(ISBLANK(REPORTS!N1913),"",REPORTS!N1913)</f>
        <v>478.71899384465212</v>
      </c>
      <c r="I2330" s="1364">
        <f>+IF(ISBLANK(REPORTS!O1913),"",REPORTS!O1913)</f>
        <v>522.37229860097659</v>
      </c>
      <c r="J2330" s="1364">
        <f>+IF(ISBLANK(REPORTS!P1913),"",REPORTS!P1913)</f>
        <v>108.04940171525649</v>
      </c>
      <c r="K2330" s="1364">
        <f>+IF(ISBLANK(REPORTS!Q1913),"",REPORTS!Q1913)</f>
        <v>66937.205316632331</v>
      </c>
      <c r="L2330" s="1358"/>
    </row>
    <row r="2331" spans="1:12">
      <c r="A2331" s="1393">
        <v>234</v>
      </c>
      <c r="B2331" s="1324" t="s">
        <v>5244</v>
      </c>
      <c r="C2331" s="1324" t="s">
        <v>4071</v>
      </c>
      <c r="D2331" s="1366">
        <f>+IF(ISBLANK(REPORTS!J1914),"",REPORTS!J1914)</f>
        <v>81554.545471247504</v>
      </c>
      <c r="E2331" s="1366">
        <f>+IF(ISBLANK(REPORTS!K1914),"",REPORTS!K1914)</f>
        <v>70911.157576374302</v>
      </c>
      <c r="F2331" s="1366">
        <f>+IF(ISBLANK(REPORTS!L1914),"",REPORTS!L1914)</f>
        <v>6861.830810101078</v>
      </c>
      <c r="G2331" s="1366">
        <f>+IF(ISBLANK(REPORTS!M1914),"",REPORTS!M1914)</f>
        <v>3176.9136256328588</v>
      </c>
      <c r="H2331" s="1366">
        <f>+IF(ISBLANK(REPORTS!N1914),"",REPORTS!N1914)</f>
        <v>192.09750744050268</v>
      </c>
      <c r="I2331" s="1366">
        <f>+IF(ISBLANK(REPORTS!O1914),"",REPORTS!O1914)</f>
        <v>109.93679443403363</v>
      </c>
      <c r="J2331" s="1366">
        <f>+IF(ISBLANK(REPORTS!P1914),"",REPORTS!P1914)</f>
        <v>35.123871901657182</v>
      </c>
      <c r="K2331" s="1366">
        <f>+IF(ISBLANK(REPORTS!Q1914),"",REPORTS!Q1914)</f>
        <v>270.01343599729051</v>
      </c>
      <c r="L2331" s="1358"/>
    </row>
    <row r="2332" spans="1:12">
      <c r="A2332" s="1393">
        <v>235</v>
      </c>
      <c r="D2332" s="1324" t="str">
        <f>+IF(ISBLANK(REPORTS!J1915),"",REPORTS!J1915)</f>
        <v/>
      </c>
      <c r="E2332" s="1324" t="str">
        <f>+IF(ISBLANK(REPORTS!K1915),"",REPORTS!K1915)</f>
        <v/>
      </c>
      <c r="F2332" s="1324" t="str">
        <f>+IF(ISBLANK(REPORTS!L1915),"",REPORTS!L1915)</f>
        <v/>
      </c>
      <c r="G2332" s="1324" t="str">
        <f>+IF(ISBLANK(REPORTS!M1915),"",REPORTS!M1915)</f>
        <v/>
      </c>
      <c r="H2332" s="1324" t="str">
        <f>+IF(ISBLANK(REPORTS!N1915),"",REPORTS!N1915)</f>
        <v/>
      </c>
      <c r="I2332" s="1324" t="str">
        <f>+IF(ISBLANK(REPORTS!O1915),"",REPORTS!O1915)</f>
        <v/>
      </c>
      <c r="J2332" s="1324" t="str">
        <f>+IF(ISBLANK(REPORTS!P1915),"",REPORTS!P1915)</f>
        <v/>
      </c>
      <c r="K2332" s="1324" t="str">
        <f>+IF(ISBLANK(REPORTS!Q1915),"",REPORTS!Q1915)</f>
        <v/>
      </c>
    </row>
    <row r="2333" spans="1:12" ht="15" thickBot="1">
      <c r="A2333" s="1393">
        <v>236</v>
      </c>
      <c r="B2333" s="1324" t="s">
        <v>6109</v>
      </c>
      <c r="D2333" s="1380">
        <f>+IF(ISBLANK(REPORTS!J1916),"",REPORTS!J1916)</f>
        <v>1773718.737343783</v>
      </c>
      <c r="E2333" s="1380">
        <f>+IF(ISBLANK(REPORTS!K1916),"",REPORTS!K1916)</f>
        <v>1043979.8630543444</v>
      </c>
      <c r="F2333" s="1380">
        <f>+IF(ISBLANK(REPORTS!L1916),"",REPORTS!L1916)</f>
        <v>92325.755820187624</v>
      </c>
      <c r="G2333" s="1380">
        <f>+IF(ISBLANK(REPORTS!M1916),"",REPORTS!M1916)</f>
        <v>475580.90997431427</v>
      </c>
      <c r="H2333" s="1380">
        <f>+IF(ISBLANK(REPORTS!N1916),"",REPORTS!N1916)</f>
        <v>56236.002889137359</v>
      </c>
      <c r="I2333" s="1380">
        <f>+IF(ISBLANK(REPORTS!O1916),"",REPORTS!O1916)</f>
        <v>34595.848936124501</v>
      </c>
      <c r="J2333" s="1380">
        <f>+IF(ISBLANK(REPORTS!P1916),"",REPORTS!P1916)</f>
        <v>3793.1394595446127</v>
      </c>
      <c r="K2333" s="1380">
        <f>+IF(ISBLANK(REPORTS!Q1916),"",REPORTS!Q1916)</f>
        <v>67207.218752629618</v>
      </c>
      <c r="L2333" s="1358"/>
    </row>
    <row r="2334" spans="1:12" ht="15" thickTop="1">
      <c r="D2334" s="1324" t="str">
        <f>+IF(ISBLANK(REPORTS!J1917),"",REPORTS!J1917)</f>
        <v/>
      </c>
      <c r="E2334" s="1324" t="str">
        <f>+IF(ISBLANK(REPORTS!K1917),"",REPORTS!K1917)</f>
        <v/>
      </c>
      <c r="F2334" s="1324" t="str">
        <f>+IF(ISBLANK(REPORTS!L1917),"",REPORTS!L1917)</f>
        <v/>
      </c>
      <c r="G2334" s="1324" t="str">
        <f>+IF(ISBLANK(REPORTS!M1917),"",REPORTS!M1917)</f>
        <v/>
      </c>
      <c r="H2334" s="1324" t="str">
        <f>+IF(ISBLANK(REPORTS!N1917),"",REPORTS!N1917)</f>
        <v/>
      </c>
      <c r="I2334" s="1324" t="str">
        <f>+IF(ISBLANK(REPORTS!O1917),"",REPORTS!O1917)</f>
        <v/>
      </c>
      <c r="J2334" s="1324" t="str">
        <f>+IF(ISBLANK(REPORTS!P1917),"",REPORTS!P1917)</f>
        <v/>
      </c>
      <c r="K2334" s="1324" t="str">
        <f>+IF(ISBLANK(REPORTS!Q1917),"",REPORTS!Q1917)</f>
        <v/>
      </c>
    </row>
    <row r="2335" spans="1:12">
      <c r="D2335" s="1324" t="str">
        <f>+IF(ISBLANK(REPORTS!J1918),"",REPORTS!J1918)</f>
        <v/>
      </c>
      <c r="E2335" s="1324" t="str">
        <f>+IF(ISBLANK(REPORTS!K1918),"",REPORTS!K1918)</f>
        <v/>
      </c>
      <c r="F2335" s="1324" t="str">
        <f>+IF(ISBLANK(REPORTS!L1918),"",REPORTS!L1918)</f>
        <v/>
      </c>
      <c r="G2335" s="1324" t="str">
        <f>+IF(ISBLANK(REPORTS!M1918),"",REPORTS!M1918)</f>
        <v/>
      </c>
      <c r="H2335" s="1324" t="str">
        <f>+IF(ISBLANK(REPORTS!N1918),"",REPORTS!N1918)</f>
        <v/>
      </c>
      <c r="I2335" s="1324" t="str">
        <f>+IF(ISBLANK(REPORTS!O1918),"",REPORTS!O1918)</f>
        <v/>
      </c>
      <c r="J2335" s="1324" t="str">
        <f>+IF(ISBLANK(REPORTS!P1918),"",REPORTS!P1918)</f>
        <v/>
      </c>
      <c r="K2335" s="1324" t="str">
        <f>+IF(ISBLANK(REPORTS!Q1918),"",REPORTS!Q1918)</f>
        <v/>
      </c>
    </row>
    <row r="2336" spans="1:12">
      <c r="A2336" s="1324"/>
    </row>
    <row r="2362" spans="1:13">
      <c r="A2362" s="1732" t="str">
        <f>+$A$1</f>
        <v>RATES WITH REVENUE DEFICIENCY ADDITION</v>
      </c>
      <c r="B2362" s="1326"/>
      <c r="F2362" s="1329" t="s">
        <v>2173</v>
      </c>
      <c r="G2362" s="1329"/>
      <c r="H2362" s="1329"/>
      <c r="I2362" s="1329"/>
      <c r="L2362" s="1332"/>
      <c r="M2362" s="1334" t="s">
        <v>4767</v>
      </c>
    </row>
    <row r="2363" spans="1:13">
      <c r="A2363" s="1732" t="str">
        <f>+$A$2</f>
        <v>PROD. CAP. ALLOC. METHOD: 12 CP &amp; 1/13th AD</v>
      </c>
      <c r="B2363" s="1326"/>
      <c r="F2363" s="1336" t="s">
        <v>5141</v>
      </c>
      <c r="G2363" s="1336"/>
      <c r="H2363" s="1336"/>
      <c r="I2363" s="1336"/>
    </row>
    <row r="2364" spans="1:13">
      <c r="A2364" s="1732" t="str">
        <f>+$A$3</f>
        <v>PROJECTED CALENDAR YEAR 2025; FULLY ADJUSTED DATA</v>
      </c>
      <c r="F2364" s="1336"/>
      <c r="L2364" s="1331"/>
    </row>
    <row r="2365" spans="1:13">
      <c r="A2365" s="1732" t="str">
        <f>+$A$4</f>
        <v>MINIMUM DISTRIBUTION SYSTEM (MDS) NOT EMPLOYED</v>
      </c>
    </row>
    <row r="2366" spans="1:13">
      <c r="A2366" s="1732" t="str">
        <f>+$A$5</f>
        <v>Tampa Electric 2025 OB Budget</v>
      </c>
      <c r="F2366" s="1336" t="s">
        <v>6112</v>
      </c>
      <c r="G2366" s="1336"/>
      <c r="H2366" s="1336"/>
      <c r="I2366" s="1336"/>
    </row>
    <row r="2367" spans="1:13">
      <c r="F2367" s="1336"/>
      <c r="G2367" s="1336"/>
      <c r="H2367" s="1336"/>
      <c r="I2367" s="1336"/>
    </row>
    <row r="2369" spans="1:13" ht="28.2">
      <c r="A2369" s="1737" t="s">
        <v>6113</v>
      </c>
      <c r="B2369" s="1353"/>
      <c r="C2369" s="1353" t="s">
        <v>6114</v>
      </c>
      <c r="D2369" s="1352" t="s">
        <v>4957</v>
      </c>
      <c r="E2369" s="1353" t="s">
        <v>1949</v>
      </c>
      <c r="F2369" s="1353" t="s">
        <v>1950</v>
      </c>
      <c r="G2369" s="1353" t="s">
        <v>1934</v>
      </c>
      <c r="H2369" s="1353" t="s">
        <v>1971</v>
      </c>
      <c r="I2369" s="1353" t="s">
        <v>1972</v>
      </c>
      <c r="J2369" s="1352" t="s">
        <v>5146</v>
      </c>
      <c r="K2369" s="1352" t="s">
        <v>5147</v>
      </c>
      <c r="L2369" s="1355"/>
      <c r="M2369" s="1350"/>
    </row>
    <row r="2371" spans="1:13">
      <c r="A2371" s="1393">
        <v>101</v>
      </c>
      <c r="B2371" s="1324" t="s">
        <v>4783</v>
      </c>
      <c r="C2371" s="1344" t="s">
        <v>6115</v>
      </c>
      <c r="D2371" s="1324">
        <f>+IF(ISBLANK(REPORTS!J1932),"",REPORTS!J1932)</f>
        <v>3929693.4213738362</v>
      </c>
      <c r="E2371" s="1324">
        <f>+IF(ISBLANK(REPORTS!K1932),"",REPORTS!K1932)</f>
        <v>2293413.5539451065</v>
      </c>
      <c r="F2371" s="1324">
        <f>+IF(ISBLANK(REPORTS!L1932),"",REPORTS!L1932)</f>
        <v>189971.77408652118</v>
      </c>
      <c r="G2371" s="1324">
        <f>+IF(ISBLANK(REPORTS!M1932),"",REPORTS!M1932)</f>
        <v>1182868.1660745537</v>
      </c>
      <c r="H2371" s="1324">
        <f>+IF(ISBLANK(REPORTS!N1932),"",REPORTS!N1932)</f>
        <v>151725.93203270945</v>
      </c>
      <c r="I2371" s="1324">
        <f>+IF(ISBLANK(REPORTS!O1932),"",REPORTS!O1932)</f>
        <v>108896.00045594225</v>
      </c>
      <c r="J2371" s="1324">
        <f>+IF(ISBLANK(REPORTS!P1932),"",REPORTS!P1932)</f>
        <v>2817.891048503418</v>
      </c>
      <c r="K2371" s="1324">
        <f>+IF(ISBLANK(REPORTS!Q1932),"",REPORTS!Q1932)</f>
        <v>0</v>
      </c>
      <c r="L2371" s="1324"/>
      <c r="M2371" s="1324"/>
    </row>
    <row r="2372" spans="1:13">
      <c r="B2372" s="1324" t="s">
        <v>6117</v>
      </c>
      <c r="C2372" s="1344" t="s">
        <v>3179</v>
      </c>
      <c r="D2372" s="1374">
        <f>+IF(ISBLANK(REPORTS!J1933),"",REPORTS!J1933)</f>
        <v>0.99999997360341175</v>
      </c>
      <c r="E2372" s="1374">
        <f>+IF(ISBLANK(REPORTS!K1933),"",REPORTS!K1933)</f>
        <v>0.58361131722670623</v>
      </c>
      <c r="F2372" s="1374">
        <f>+IF(ISBLANK(REPORTS!L1933),"",REPORTS!L1933)</f>
        <v>4.834264501481296E-2</v>
      </c>
      <c r="G2372" s="1374">
        <f>+IF(ISBLANK(REPORTS!M1933),"",REPORTS!M1933)</f>
        <v>0.30100774773952171</v>
      </c>
      <c r="H2372" s="1374">
        <f>+IF(ISBLANK(REPORTS!N1933),"",REPORTS!N1933)</f>
        <v>3.8610119356248779E-2</v>
      </c>
      <c r="I2372" s="1374">
        <f>+IF(ISBLANK(REPORTS!O1933),"",REPORTS!O1933)</f>
        <v>2.771106770407341E-2</v>
      </c>
      <c r="J2372" s="1374">
        <f>+IF(ISBLANK(REPORTS!P1933),"",REPORTS!P1933)</f>
        <v>7.1707656204851524E-4</v>
      </c>
      <c r="K2372" s="1374">
        <f>+IF(ISBLANK(REPORTS!Q1933),"",REPORTS!Q1933)</f>
        <v>0</v>
      </c>
      <c r="L2372" s="1374"/>
      <c r="M2372" s="1324"/>
    </row>
    <row r="2373" spans="1:13">
      <c r="C2373" s="1344"/>
      <c r="D2373" s="1324" t="str">
        <f>+IF(ISBLANK(REPORTS!J1934),"",REPORTS!J1934)</f>
        <v/>
      </c>
      <c r="E2373" s="1324" t="str">
        <f>+IF(ISBLANK(REPORTS!K1934),"",REPORTS!K1934)</f>
        <v/>
      </c>
      <c r="F2373" s="1324" t="str">
        <f>+IF(ISBLANK(REPORTS!L1934),"",REPORTS!L1934)</f>
        <v/>
      </c>
      <c r="G2373" s="1324" t="str">
        <f>+IF(ISBLANK(REPORTS!M1934),"",REPORTS!M1934)</f>
        <v/>
      </c>
      <c r="H2373" s="1324" t="str">
        <f>+IF(ISBLANK(REPORTS!N1934),"",REPORTS!N1934)</f>
        <v/>
      </c>
      <c r="I2373" s="1324" t="str">
        <f>+IF(ISBLANK(REPORTS!O1934),"",REPORTS!O1934)</f>
        <v/>
      </c>
      <c r="J2373" s="1324" t="str">
        <f>+IF(ISBLANK(REPORTS!P1934),"",REPORTS!P1934)</f>
        <v/>
      </c>
      <c r="K2373" s="1324" t="str">
        <f>+IF(ISBLANK(REPORTS!Q1934),"",REPORTS!Q1934)</f>
        <v/>
      </c>
      <c r="L2373" s="1324"/>
      <c r="M2373" s="1324"/>
    </row>
    <row r="2374" spans="1:13">
      <c r="A2374" s="1393">
        <v>105</v>
      </c>
      <c r="B2374" s="1324" t="s">
        <v>4786</v>
      </c>
      <c r="C2374" s="1344" t="s">
        <v>6115</v>
      </c>
      <c r="D2374" s="1324">
        <f>+IF(ISBLANK(REPORTS!J1935),"",REPORTS!J1935)</f>
        <v>4697937.6521934383</v>
      </c>
      <c r="E2374" s="1324">
        <f>+IF(ISBLANK(REPORTS!K1935),"",REPORTS!K1935)</f>
        <v>2924071.6184645439</v>
      </c>
      <c r="F2374" s="1324">
        <f>+IF(ISBLANK(REPORTS!L1935),"",REPORTS!L1935)</f>
        <v>207967.30725046038</v>
      </c>
      <c r="G2374" s="1324">
        <f>+IF(ISBLANK(REPORTS!M1935),"",REPORTS!M1935)</f>
        <v>1392470.9714005697</v>
      </c>
      <c r="H2374" s="1324">
        <f>+IF(ISBLANK(REPORTS!N1935),"",REPORTS!N1935)</f>
        <v>146459.94904468433</v>
      </c>
      <c r="I2374" s="1324">
        <f>+IF(ISBLANK(REPORTS!O1935),"",REPORTS!O1935)</f>
        <v>0.1</v>
      </c>
      <c r="J2374" s="1324">
        <f>+IF(ISBLANK(REPORTS!P1935),"",REPORTS!P1935)</f>
        <v>26967.70603318101</v>
      </c>
      <c r="K2374" s="1324">
        <f>+IF(ISBLANK(REPORTS!Q1935),"",REPORTS!Q1935)</f>
        <v>0</v>
      </c>
      <c r="L2374" s="1324"/>
      <c r="M2374" s="1324"/>
    </row>
    <row r="2375" spans="1:13">
      <c r="B2375" s="1324" t="s">
        <v>6117</v>
      </c>
      <c r="C2375" s="1344" t="s">
        <v>3179</v>
      </c>
      <c r="D2375" s="1374">
        <f>+IF(ISBLANK(REPORTS!J1936),"",REPORTS!J1936)</f>
        <v>1.0000000000000002</v>
      </c>
      <c r="E2375" s="1374">
        <f>+IF(ISBLANK(REPORTS!K1936),"",REPORTS!K1936)</f>
        <v>0.62241601207698294</v>
      </c>
      <c r="F2375" s="1374">
        <f>+IF(ISBLANK(REPORTS!L1936),"",REPORTS!L1936)</f>
        <v>4.4267787835234836E-2</v>
      </c>
      <c r="G2375" s="1374">
        <f>+IF(ISBLANK(REPORTS!M1936),"",REPORTS!M1936)</f>
        <v>0.29640047920824014</v>
      </c>
      <c r="H2375" s="1374">
        <f>+IF(ISBLANK(REPORTS!N1936),"",REPORTS!N1936)</f>
        <v>3.1175370957999639E-2</v>
      </c>
      <c r="I2375" s="1374">
        <f>+IF(ISBLANK(REPORTS!O1936),"",REPORTS!O1936)</f>
        <v>2.1285935958156154E-8</v>
      </c>
      <c r="J2375" s="1374">
        <f>+IF(ISBLANK(REPORTS!P1936),"",REPORTS!P1936)</f>
        <v>5.7403286356067229E-3</v>
      </c>
      <c r="K2375" s="1374">
        <f>+IF(ISBLANK(REPORTS!Q1936),"",REPORTS!Q1936)</f>
        <v>0</v>
      </c>
      <c r="L2375" s="1374"/>
      <c r="M2375" s="1324"/>
    </row>
    <row r="2376" spans="1:13">
      <c r="C2376" s="1344"/>
      <c r="D2376" s="1324" t="str">
        <f>+IF(ISBLANK(REPORTS!J1937),"",REPORTS!J1937)</f>
        <v/>
      </c>
      <c r="E2376" s="1324" t="str">
        <f>+IF(ISBLANK(REPORTS!K1937),"",REPORTS!K1937)</f>
        <v/>
      </c>
      <c r="F2376" s="1324" t="str">
        <f>+IF(ISBLANK(REPORTS!L1937),"",REPORTS!L1937)</f>
        <v/>
      </c>
      <c r="G2376" s="1324" t="str">
        <f>+IF(ISBLANK(REPORTS!M1937),"",REPORTS!M1937)</f>
        <v/>
      </c>
      <c r="H2376" s="1324" t="str">
        <f>+IF(ISBLANK(REPORTS!N1937),"",REPORTS!N1937)</f>
        <v/>
      </c>
      <c r="I2376" s="1324" t="str">
        <f>+IF(ISBLANK(REPORTS!O1937),"",REPORTS!O1937)</f>
        <v/>
      </c>
      <c r="J2376" s="1324" t="str">
        <f>+IF(ISBLANK(REPORTS!P1937),"",REPORTS!P1937)</f>
        <v/>
      </c>
      <c r="K2376" s="1324" t="str">
        <f>+IF(ISBLANK(REPORTS!Q1937),"",REPORTS!Q1937)</f>
        <v/>
      </c>
      <c r="L2376" s="1324"/>
      <c r="M2376" s="1324"/>
    </row>
    <row r="2377" spans="1:13">
      <c r="A2377" s="1393">
        <v>106</v>
      </c>
      <c r="B2377" s="1324" t="s">
        <v>4788</v>
      </c>
      <c r="C2377" s="1344" t="s">
        <v>6115</v>
      </c>
      <c r="D2377" s="1324">
        <f>+IF(ISBLANK(REPORTS!J1938),"",REPORTS!J1938)</f>
        <v>7187229.5482128784</v>
      </c>
      <c r="E2377" s="1324">
        <f>+IF(ISBLANK(REPORTS!K1938),"",REPORTS!K1938)</f>
        <v>5244041.7349253921</v>
      </c>
      <c r="F2377" s="1324">
        <f>+IF(ISBLANK(REPORTS!L1938),"",REPORTS!L1938)</f>
        <v>422249.43414087628</v>
      </c>
      <c r="G2377" s="1324">
        <f>+IF(ISBLANK(REPORTS!M1938),"",REPORTS!M1938)</f>
        <v>1494939.0922549148</v>
      </c>
      <c r="H2377" s="1324">
        <f>+IF(ISBLANK(REPORTS!N1938),"",REPORTS!N1938)</f>
        <v>0</v>
      </c>
      <c r="I2377" s="1324">
        <f>+IF(ISBLANK(REPORTS!O1938),"",REPORTS!O1938)</f>
        <v>0</v>
      </c>
      <c r="J2377" s="1324">
        <f>+IF(ISBLANK(REPORTS!P1938),"",REPORTS!P1938)</f>
        <v>25999.286891694905</v>
      </c>
      <c r="K2377" s="1324">
        <f>+IF(ISBLANK(REPORTS!Q1938),"",REPORTS!Q1938)</f>
        <v>0</v>
      </c>
      <c r="L2377" s="1324"/>
      <c r="M2377" s="1324"/>
    </row>
    <row r="2378" spans="1:13">
      <c r="B2378" s="1324" t="s">
        <v>6117</v>
      </c>
      <c r="C2378" s="1344" t="s">
        <v>3179</v>
      </c>
      <c r="D2378" s="1374">
        <f>+IF(ISBLANK(REPORTS!J1939),"",REPORTS!J1939)</f>
        <v>0.99999999999999989</v>
      </c>
      <c r="E2378" s="1374">
        <f>+IF(ISBLANK(REPORTS!K1939),"",REPORTS!K1939)</f>
        <v>0.72963326129319683</v>
      </c>
      <c r="F2378" s="1374">
        <f>+IF(ISBLANK(REPORTS!L1939),"",REPORTS!L1939)</f>
        <v>5.8749958006540863E-2</v>
      </c>
      <c r="G2378" s="1374">
        <f>+IF(ISBLANK(REPORTS!M1939),"",REPORTS!M1939)</f>
        <v>0.2079993524941241</v>
      </c>
      <c r="H2378" s="1374">
        <f>+IF(ISBLANK(REPORTS!N1939),"",REPORTS!N1939)</f>
        <v>0</v>
      </c>
      <c r="I2378" s="1374">
        <f>+IF(ISBLANK(REPORTS!O1939),"",REPORTS!O1939)</f>
        <v>0</v>
      </c>
      <c r="J2378" s="1374">
        <f>+IF(ISBLANK(REPORTS!P1939),"",REPORTS!P1939)</f>
        <v>3.6174282061381619E-3</v>
      </c>
      <c r="K2378" s="1374">
        <f>+IF(ISBLANK(REPORTS!Q1939),"",REPORTS!Q1939)</f>
        <v>0</v>
      </c>
      <c r="L2378" s="1374"/>
      <c r="M2378" s="1324"/>
    </row>
    <row r="2379" spans="1:13">
      <c r="C2379" s="1344"/>
      <c r="D2379" s="1324" t="str">
        <f>+IF(ISBLANK(REPORTS!J1940),"",REPORTS!J1940)</f>
        <v/>
      </c>
      <c r="E2379" s="1324" t="str">
        <f>+IF(ISBLANK(REPORTS!K1940),"",REPORTS!K1940)</f>
        <v/>
      </c>
      <c r="F2379" s="1324" t="str">
        <f>+IF(ISBLANK(REPORTS!L1940),"",REPORTS!L1940)</f>
        <v/>
      </c>
      <c r="G2379" s="1324" t="str">
        <f>+IF(ISBLANK(REPORTS!M1940),"",REPORTS!M1940)</f>
        <v/>
      </c>
      <c r="H2379" s="1324" t="str">
        <f>+IF(ISBLANK(REPORTS!N1940),"",REPORTS!N1940)</f>
        <v/>
      </c>
      <c r="I2379" s="1324" t="str">
        <f>+IF(ISBLANK(REPORTS!O1940),"",REPORTS!O1940)</f>
        <v/>
      </c>
      <c r="J2379" s="1324" t="str">
        <f>+IF(ISBLANK(REPORTS!P1940),"",REPORTS!P1940)</f>
        <v/>
      </c>
      <c r="K2379" s="1324" t="str">
        <f>+IF(ISBLANK(REPORTS!Q1940),"",REPORTS!Q1940)</f>
        <v/>
      </c>
      <c r="L2379" s="1324"/>
      <c r="M2379" s="1324"/>
    </row>
    <row r="2380" spans="1:13">
      <c r="A2380" s="1393">
        <v>117</v>
      </c>
      <c r="B2380" s="1324" t="s">
        <v>9327</v>
      </c>
      <c r="C2380" s="1344" t="s">
        <v>6115</v>
      </c>
      <c r="D2380" s="1324">
        <f>+IF(ISBLANK(REPORTS!J1941),"",REPORTS!J1941)</f>
        <v>3974499.896269511</v>
      </c>
      <c r="E2380" s="1324">
        <f>+IF(ISBLANK(REPORTS!K1941),"",REPORTS!K1941)</f>
        <v>2305261.7678066748</v>
      </c>
      <c r="F2380" s="1324">
        <f>+IF(ISBLANK(REPORTS!L1941),"",REPORTS!L1941)</f>
        <v>190160.84369421427</v>
      </c>
      <c r="G2380" s="1324">
        <f>+IF(ISBLANK(REPORTS!M1941),"",REPORTS!M1941)</f>
        <v>1215602.739280649</v>
      </c>
      <c r="H2380" s="1324">
        <f>+IF(ISBLANK(REPORTS!N1941),"",REPORTS!N1941)</f>
        <v>151751.88420351513</v>
      </c>
      <c r="I2380" s="1324">
        <f>+IF(ISBLANK(REPORTS!O1941),"",REPORTS!O1941)</f>
        <v>108904.77023595448</v>
      </c>
      <c r="J2380" s="1324">
        <f>+IF(ISBLANK(REPORTS!P1941),"",REPORTS!P1941)</f>
        <v>2817.891048503418</v>
      </c>
      <c r="K2380" s="1324">
        <f>+IF(ISBLANK(REPORTS!Q1941),"",REPORTS!Q1941)</f>
        <v>0</v>
      </c>
      <c r="L2380" s="1324"/>
      <c r="M2380" s="1324"/>
    </row>
    <row r="2381" spans="1:13">
      <c r="B2381" s="1324" t="s">
        <v>6117</v>
      </c>
      <c r="C2381" s="1344" t="s">
        <v>3179</v>
      </c>
      <c r="D2381" s="1374">
        <f>+IF(ISBLANK(REPORTS!J1942),"",REPORTS!J1942)</f>
        <v>1</v>
      </c>
      <c r="E2381" s="1374">
        <f>+IF(ISBLANK(REPORTS!K1942),"",REPORTS!K1942)</f>
        <v>0.58001304012371646</v>
      </c>
      <c r="F2381" s="1374">
        <f>+IF(ISBLANK(REPORTS!L1942),"",REPORTS!L1942)</f>
        <v>4.7845225476719815E-2</v>
      </c>
      <c r="G2381" s="1374">
        <f>+IF(ISBLANK(REPORTS!M1942),"",REPORTS!M1942)</f>
        <v>0.3058504896230142</v>
      </c>
      <c r="H2381" s="1374">
        <f>+IF(ISBLANK(REPORTS!N1942),"",REPORTS!N1942)</f>
        <v>3.8181378327862163E-2</v>
      </c>
      <c r="I2381" s="1374">
        <f>+IF(ISBLANK(REPORTS!O1942),"",REPORTS!O1942)</f>
        <v>2.7400873840297026E-2</v>
      </c>
      <c r="J2381" s="1374">
        <f>+IF(ISBLANK(REPORTS!P1942),"",REPORTS!P1942)</f>
        <v>7.0899260839038069E-4</v>
      </c>
      <c r="K2381" s="1374">
        <f>+IF(ISBLANK(REPORTS!Q1942),"",REPORTS!Q1942)</f>
        <v>0</v>
      </c>
      <c r="L2381" s="1374"/>
      <c r="M2381" s="1324"/>
    </row>
    <row r="2382" spans="1:13">
      <c r="C2382" s="1344"/>
      <c r="D2382" s="1324" t="str">
        <f>+IF(ISBLANK(REPORTS!J1943),"",REPORTS!J1943)</f>
        <v/>
      </c>
      <c r="E2382" s="1324" t="str">
        <f>+IF(ISBLANK(REPORTS!K1943),"",REPORTS!K1943)</f>
        <v/>
      </c>
      <c r="F2382" s="1324" t="str">
        <f>+IF(ISBLANK(REPORTS!L1943),"",REPORTS!L1943)</f>
        <v/>
      </c>
      <c r="G2382" s="1324" t="str">
        <f>+IF(ISBLANK(REPORTS!M1943),"",REPORTS!M1943)</f>
        <v/>
      </c>
      <c r="H2382" s="1324" t="str">
        <f>+IF(ISBLANK(REPORTS!N1943),"",REPORTS!N1943)</f>
        <v/>
      </c>
      <c r="I2382" s="1324" t="str">
        <f>+IF(ISBLANK(REPORTS!O1943),"",REPORTS!O1943)</f>
        <v/>
      </c>
      <c r="J2382" s="1324" t="str">
        <f>+IF(ISBLANK(REPORTS!P1943),"",REPORTS!P1943)</f>
        <v/>
      </c>
      <c r="K2382" s="1324" t="str">
        <f>+IF(ISBLANK(REPORTS!Q1943),"",REPORTS!Q1943)</f>
        <v/>
      </c>
      <c r="L2382" s="1324"/>
      <c r="M2382" s="1324"/>
    </row>
    <row r="2383" spans="1:13">
      <c r="A2383" s="1393">
        <v>118</v>
      </c>
      <c r="B2383" s="1324" t="s">
        <v>9327</v>
      </c>
      <c r="C2383" s="1344" t="s">
        <v>6115</v>
      </c>
      <c r="D2383" s="1324">
        <f>+IF(ISBLANK(REPORTS!J1944),"",REPORTS!J1944)</f>
        <v>3974499.896269511</v>
      </c>
      <c r="E2383" s="1324">
        <f>+IF(ISBLANK(REPORTS!K1944),"",REPORTS!K1944)</f>
        <v>2305261.7678066748</v>
      </c>
      <c r="F2383" s="1324">
        <f>+IF(ISBLANK(REPORTS!L1944),"",REPORTS!L1944)</f>
        <v>190160.84369421427</v>
      </c>
      <c r="G2383" s="1324">
        <f>+IF(ISBLANK(REPORTS!M1944),"",REPORTS!M1944)</f>
        <v>1215602.739280649</v>
      </c>
      <c r="H2383" s="1324">
        <f>+IF(ISBLANK(REPORTS!N1944),"",REPORTS!N1944)</f>
        <v>151751.88420351513</v>
      </c>
      <c r="I2383" s="1324">
        <f>+IF(ISBLANK(REPORTS!O1944),"",REPORTS!O1944)</f>
        <v>108904.77023595448</v>
      </c>
      <c r="J2383" s="1324">
        <f>+IF(ISBLANK(REPORTS!P1944),"",REPORTS!P1944)</f>
        <v>2817.891048503418</v>
      </c>
      <c r="K2383" s="1324">
        <f>+IF(ISBLANK(REPORTS!Q1944),"",REPORTS!Q1944)</f>
        <v>0</v>
      </c>
      <c r="L2383" s="1387"/>
      <c r="M2383" s="1324"/>
    </row>
    <row r="2384" spans="1:13">
      <c r="B2384" s="1324" t="s">
        <v>6117</v>
      </c>
      <c r="C2384" s="1344" t="s">
        <v>3179</v>
      </c>
      <c r="D2384" s="1374">
        <f>+IF(ISBLANK(REPORTS!J1945),"",REPORTS!J1945)</f>
        <v>1</v>
      </c>
      <c r="E2384" s="1374">
        <f>+IF(ISBLANK(REPORTS!K1945),"",REPORTS!K1945)</f>
        <v>0.58001304012371646</v>
      </c>
      <c r="F2384" s="1374">
        <f>+IF(ISBLANK(REPORTS!L1945),"",REPORTS!L1945)</f>
        <v>4.7845225476719815E-2</v>
      </c>
      <c r="G2384" s="1374">
        <f>+IF(ISBLANK(REPORTS!M1945),"",REPORTS!M1945)</f>
        <v>0.3058504896230142</v>
      </c>
      <c r="H2384" s="1374">
        <f>+IF(ISBLANK(REPORTS!N1945),"",REPORTS!N1945)</f>
        <v>3.8181378327862163E-2</v>
      </c>
      <c r="I2384" s="1374">
        <f>+IF(ISBLANK(REPORTS!O1945),"",REPORTS!O1945)</f>
        <v>2.7400873840297026E-2</v>
      </c>
      <c r="J2384" s="1374">
        <f>+IF(ISBLANK(REPORTS!P1945),"",REPORTS!P1945)</f>
        <v>7.0899260839038069E-4</v>
      </c>
      <c r="K2384" s="1374">
        <f>+IF(ISBLANK(REPORTS!Q1945),"",REPORTS!Q1945)</f>
        <v>0</v>
      </c>
      <c r="L2384" s="1374"/>
      <c r="M2384" s="1324"/>
    </row>
    <row r="2385" spans="1:13">
      <c r="D2385" s="1324" t="str">
        <f>+IF(ISBLANK(REPORTS!J1946),"",REPORTS!J1946)</f>
        <v/>
      </c>
      <c r="E2385" s="1324" t="str">
        <f>+IF(ISBLANK(REPORTS!K1946),"",REPORTS!K1946)</f>
        <v/>
      </c>
      <c r="F2385" s="1324" t="str">
        <f>+IF(ISBLANK(REPORTS!L1946),"",REPORTS!L1946)</f>
        <v/>
      </c>
      <c r="G2385" s="1324" t="str">
        <f>+IF(ISBLANK(REPORTS!M1946),"",REPORTS!M1946)</f>
        <v/>
      </c>
      <c r="H2385" s="1324" t="str">
        <f>+IF(ISBLANK(REPORTS!N1946),"",REPORTS!N1946)</f>
        <v/>
      </c>
      <c r="I2385" s="1324" t="str">
        <f>+IF(ISBLANK(REPORTS!O1946),"",REPORTS!O1946)</f>
        <v/>
      </c>
      <c r="J2385" s="1324" t="str">
        <f>+IF(ISBLANK(REPORTS!P1946),"",REPORTS!P1946)</f>
        <v/>
      </c>
      <c r="K2385" s="1324" t="str">
        <f>+IF(ISBLANK(REPORTS!Q1946),"",REPORTS!Q1946)</f>
        <v/>
      </c>
      <c r="L2385" s="1324"/>
      <c r="M2385" s="1324"/>
    </row>
    <row r="2386" spans="1:13">
      <c r="A2386" s="1393">
        <v>121</v>
      </c>
      <c r="B2386" s="1324" t="s">
        <v>9475</v>
      </c>
      <c r="C2386" s="1344" t="s">
        <v>3179</v>
      </c>
      <c r="D2386" s="1374">
        <f>+IF(ISBLANK(REPORTS!J1947),"",REPORTS!J1947)</f>
        <v>1</v>
      </c>
      <c r="E2386" s="1374">
        <f>+IF(ISBLANK(REPORTS!K1947),"",REPORTS!K1947)</f>
        <v>0.57421466666954735</v>
      </c>
      <c r="F2386" s="1374">
        <f>+IF(ISBLANK(REPORTS!L1947),"",REPORTS!L1947)</f>
        <v>4.7752062449164689E-2</v>
      </c>
      <c r="G2386" s="1374">
        <f>+IF(ISBLANK(REPORTS!M1947),"",REPORTS!M1947)</f>
        <v>0.30904706559808581</v>
      </c>
      <c r="H2386" s="1374">
        <f>+IF(ISBLANK(REPORTS!N1947),"",REPORTS!N1947)</f>
        <v>3.9498306589408221E-2</v>
      </c>
      <c r="I2386" s="1374">
        <f>+IF(ISBLANK(REPORTS!O1947),"",REPORTS!O1947)</f>
        <v>2.842705517455647E-2</v>
      </c>
      <c r="J2386" s="1374">
        <f>+IF(ISBLANK(REPORTS!P1947),"",REPORTS!P1947)</f>
        <v>1.0608435192375021E-3</v>
      </c>
      <c r="K2386" s="1374">
        <f>+IF(ISBLANK(REPORTS!Q1947),"",REPORTS!Q1947)</f>
        <v>0</v>
      </c>
      <c r="L2386" s="1387"/>
      <c r="M2386" s="1324"/>
    </row>
    <row r="2387" spans="1:13">
      <c r="B2387" s="1324" t="s">
        <v>6117</v>
      </c>
      <c r="C2387" s="1344" t="s">
        <v>3179</v>
      </c>
      <c r="D2387" s="1374">
        <f>+IF(ISBLANK(REPORTS!J1948),"",REPORTS!J1948)</f>
        <v>1</v>
      </c>
      <c r="E2387" s="1374">
        <f>+IF(ISBLANK(REPORTS!K1948),"",REPORTS!K1948)</f>
        <v>0.57421466666954735</v>
      </c>
      <c r="F2387" s="1374">
        <f>+IF(ISBLANK(REPORTS!L1948),"",REPORTS!L1948)</f>
        <v>4.7752062449164689E-2</v>
      </c>
      <c r="G2387" s="1374">
        <f>+IF(ISBLANK(REPORTS!M1948),"",REPORTS!M1948)</f>
        <v>0.30904706559808581</v>
      </c>
      <c r="H2387" s="1374">
        <f>+IF(ISBLANK(REPORTS!N1948),"",REPORTS!N1948)</f>
        <v>3.9498306589408221E-2</v>
      </c>
      <c r="I2387" s="1374">
        <f>+IF(ISBLANK(REPORTS!O1948),"",REPORTS!O1948)</f>
        <v>2.842705517455647E-2</v>
      </c>
      <c r="J2387" s="1374">
        <f>+IF(ISBLANK(REPORTS!P1948),"",REPORTS!P1948)</f>
        <v>1.0608435192375021E-3</v>
      </c>
      <c r="K2387" s="1374">
        <f>+IF(ISBLANK(REPORTS!Q1948),"",REPORTS!Q1948)</f>
        <v>0</v>
      </c>
      <c r="L2387" s="1374"/>
      <c r="M2387" s="1324"/>
    </row>
    <row r="2388" spans="1:13">
      <c r="C2388" s="1502"/>
      <c r="D2388" s="1324" t="str">
        <f>+IF(ISBLANK(REPORTS!J1952),"",REPORTS!J1952)</f>
        <v/>
      </c>
      <c r="E2388" s="1324" t="str">
        <f>+IF(ISBLANK(REPORTS!K1952),"",REPORTS!K1952)</f>
        <v/>
      </c>
      <c r="F2388" s="1324" t="str">
        <f>+IF(ISBLANK(REPORTS!L1952),"",REPORTS!L1952)</f>
        <v/>
      </c>
      <c r="G2388" s="1324" t="str">
        <f>+IF(ISBLANK(REPORTS!M1952),"",REPORTS!M1952)</f>
        <v/>
      </c>
      <c r="H2388" s="1324" t="str">
        <f>+IF(ISBLANK(REPORTS!N1952),"",REPORTS!N1952)</f>
        <v/>
      </c>
      <c r="I2388" s="1324" t="str">
        <f>+IF(ISBLANK(REPORTS!O1952),"",REPORTS!O1952)</f>
        <v/>
      </c>
      <c r="J2388" s="1324" t="str">
        <f>+IF(ISBLANK(REPORTS!P1952),"",REPORTS!P1952)</f>
        <v/>
      </c>
      <c r="K2388" s="1324" t="str">
        <f>+IF(ISBLANK(REPORTS!Q1952),"",REPORTS!Q1952)</f>
        <v/>
      </c>
      <c r="L2388" s="1324"/>
      <c r="M2388" s="1324"/>
    </row>
    <row r="2389" spans="1:13">
      <c r="A2389" s="1393">
        <v>122</v>
      </c>
      <c r="B2389" s="1324" t="s">
        <v>9474</v>
      </c>
      <c r="C2389" s="1344" t="s">
        <v>3179</v>
      </c>
      <c r="D2389" s="1374">
        <f>+IF(ISBLANK(REPORTS!J1953),"",REPORTS!J1953)</f>
        <v>1</v>
      </c>
      <c r="E2389" s="1374">
        <f>+IF(ISBLANK(REPORTS!K1950),"",REPORTS!K1950)</f>
        <v>0.57421466666954735</v>
      </c>
      <c r="F2389" s="1374">
        <f>+IF(ISBLANK(REPORTS!L1950),"",REPORTS!L1950)</f>
        <v>4.7752062449164689E-2</v>
      </c>
      <c r="G2389" s="1374">
        <f>+IF(ISBLANK(REPORTS!M1950),"",REPORTS!M1950)</f>
        <v>0.30904706559808581</v>
      </c>
      <c r="H2389" s="1374">
        <f>+IF(ISBLANK(REPORTS!N1950),"",REPORTS!N1950)</f>
        <v>3.9498306589408221E-2</v>
      </c>
      <c r="I2389" s="1374">
        <f>+IF(ISBLANK(REPORTS!O1950),"",REPORTS!O1950)</f>
        <v>2.842705517455647E-2</v>
      </c>
      <c r="J2389" s="1374">
        <f>+IF(ISBLANK(REPORTS!P1950),"",REPORTS!P1950)</f>
        <v>1.0608435192375021E-3</v>
      </c>
      <c r="K2389" s="1374">
        <f>+IF(ISBLANK(REPORTS!Q1950),"",REPORTS!Q1950)</f>
        <v>0</v>
      </c>
      <c r="L2389" s="1387"/>
      <c r="M2389" s="1324"/>
    </row>
    <row r="2390" spans="1:13">
      <c r="B2390" s="1324" t="s">
        <v>6117</v>
      </c>
      <c r="C2390" s="1344" t="s">
        <v>3179</v>
      </c>
      <c r="D2390" s="1374">
        <f>+IF(ISBLANK(REPORTS!J1954),"",REPORTS!J1954)</f>
        <v>1</v>
      </c>
      <c r="E2390" s="1374">
        <f>+IF(ISBLANK(REPORTS!K1951),"",REPORTS!K1951)</f>
        <v>0.57421466666954735</v>
      </c>
      <c r="F2390" s="1374">
        <f>+IF(ISBLANK(REPORTS!L1951),"",REPORTS!L1951)</f>
        <v>4.7752062449164689E-2</v>
      </c>
      <c r="G2390" s="1374">
        <f>+IF(ISBLANK(REPORTS!M1951),"",REPORTS!M1951)</f>
        <v>0.30904706559808581</v>
      </c>
      <c r="H2390" s="1374">
        <f>+IF(ISBLANK(REPORTS!N1951),"",REPORTS!N1951)</f>
        <v>3.9498306589408221E-2</v>
      </c>
      <c r="I2390" s="1374">
        <f>+IF(ISBLANK(REPORTS!O1951),"",REPORTS!O1951)</f>
        <v>2.842705517455647E-2</v>
      </c>
      <c r="J2390" s="1374">
        <f>+IF(ISBLANK(REPORTS!P1951),"",REPORTS!P1951)</f>
        <v>1.0608435192375021E-3</v>
      </c>
      <c r="K2390" s="1374">
        <f>+IF(ISBLANK(REPORTS!Q1951),"",REPORTS!Q1951)</f>
        <v>0</v>
      </c>
      <c r="L2390" s="1374"/>
      <c r="M2390" s="1324"/>
    </row>
    <row r="2391" spans="1:13">
      <c r="C2391" s="1502"/>
      <c r="D2391" s="1324" t="str">
        <f>+IF(ISBLANK(REPORTS!J1955),"",REPORTS!J1955)</f>
        <v/>
      </c>
      <c r="E2391" s="1324" t="str">
        <f>+IF(ISBLANK(REPORTS!K1955),"",REPORTS!K1955)</f>
        <v/>
      </c>
      <c r="F2391" s="1324" t="str">
        <f>+IF(ISBLANK(REPORTS!L1955),"",REPORTS!L1955)</f>
        <v/>
      </c>
      <c r="G2391" s="1324" t="str">
        <f>+IF(ISBLANK(REPORTS!M1955),"",REPORTS!M1955)</f>
        <v/>
      </c>
      <c r="H2391" s="1324" t="str">
        <f>+IF(ISBLANK(REPORTS!N1955),"",REPORTS!N1955)</f>
        <v/>
      </c>
      <c r="I2391" s="1324" t="str">
        <f>+IF(ISBLANK(REPORTS!O1955),"",REPORTS!O1955)</f>
        <v/>
      </c>
      <c r="J2391" s="1324" t="str">
        <f>+IF(ISBLANK(REPORTS!P1955),"",REPORTS!P1955)</f>
        <v/>
      </c>
      <c r="K2391" s="1324" t="str">
        <f>+IF(ISBLANK(REPORTS!Q1955),"",REPORTS!Q1955)</f>
        <v/>
      </c>
      <c r="L2391" s="1374"/>
      <c r="M2391" s="1324"/>
    </row>
    <row r="2392" spans="1:13">
      <c r="A2392" s="1393">
        <v>123</v>
      </c>
      <c r="B2392" s="1324" t="s">
        <v>9327</v>
      </c>
      <c r="C2392" s="1344" t="s">
        <v>3179</v>
      </c>
      <c r="D2392" s="1374">
        <f>+IF(ISBLANK(REPORTS!J1956),"",REPORTS!J1956)</f>
        <v>0</v>
      </c>
      <c r="E2392" s="1374">
        <f>+IF(ISBLANK(REPORTS!K1953),"",REPORTS!K1953)</f>
        <v>0.58001304012371646</v>
      </c>
      <c r="F2392" s="1374">
        <f>+IF(ISBLANK(REPORTS!L1953),"",REPORTS!L1953)</f>
        <v>4.7845225476719815E-2</v>
      </c>
      <c r="G2392" s="1374">
        <f>+IF(ISBLANK(REPORTS!M1953),"",REPORTS!M1953)</f>
        <v>0.3058504896230142</v>
      </c>
      <c r="H2392" s="1374">
        <f>+IF(ISBLANK(REPORTS!N1953),"",REPORTS!N1953)</f>
        <v>3.8181378327862163E-2</v>
      </c>
      <c r="I2392" s="1374">
        <f>+IF(ISBLANK(REPORTS!O1953),"",REPORTS!O1953)</f>
        <v>2.7400873840297026E-2</v>
      </c>
      <c r="J2392" s="1374">
        <f>+IF(ISBLANK(REPORTS!P1953),"",REPORTS!P1953)</f>
        <v>7.0899260839038069E-4</v>
      </c>
      <c r="K2392" s="1374">
        <f>+IF(ISBLANK(REPORTS!Q1953),"",REPORTS!Q1953)</f>
        <v>0</v>
      </c>
      <c r="L2392" s="1374"/>
      <c r="M2392" s="1324"/>
    </row>
    <row r="2393" spans="1:13">
      <c r="B2393" s="1324" t="s">
        <v>6117</v>
      </c>
      <c r="C2393" s="1344" t="s">
        <v>3179</v>
      </c>
      <c r="D2393" s="1374">
        <f>+IF(ISBLANK(REPORTS!J1957),"",REPORTS!J1957)</f>
        <v>0</v>
      </c>
      <c r="E2393" s="1374">
        <f>+IF(ISBLANK(REPORTS!K1954),"",REPORTS!K1954)</f>
        <v>0.58001304012371646</v>
      </c>
      <c r="F2393" s="1374">
        <f>+IF(ISBLANK(REPORTS!L1954),"",REPORTS!L1954)</f>
        <v>4.7845225476719815E-2</v>
      </c>
      <c r="G2393" s="1374">
        <f>+IF(ISBLANK(REPORTS!M1954),"",REPORTS!M1954)</f>
        <v>0.3058504896230142</v>
      </c>
      <c r="H2393" s="1374">
        <f>+IF(ISBLANK(REPORTS!N1954),"",REPORTS!N1954)</f>
        <v>3.8181378327862163E-2</v>
      </c>
      <c r="I2393" s="1374">
        <f>+IF(ISBLANK(REPORTS!O1954),"",REPORTS!O1954)</f>
        <v>2.7400873840297026E-2</v>
      </c>
      <c r="J2393" s="1374">
        <f>+IF(ISBLANK(REPORTS!P1954),"",REPORTS!P1954)</f>
        <v>7.0899260839038069E-4</v>
      </c>
      <c r="K2393" s="1374">
        <f>+IF(ISBLANK(REPORTS!Q1954),"",REPORTS!Q1954)</f>
        <v>0</v>
      </c>
      <c r="L2393" s="1374"/>
      <c r="M2393" s="1324"/>
    </row>
    <row r="2394" spans="1:13">
      <c r="L2394" s="1374"/>
      <c r="M2394" s="1324"/>
    </row>
    <row r="2395" spans="1:13">
      <c r="A2395" s="1393">
        <v>124</v>
      </c>
      <c r="B2395" s="1324" t="s">
        <v>6118</v>
      </c>
      <c r="C2395" s="1502" t="s">
        <v>3179</v>
      </c>
      <c r="D2395" s="1374">
        <f>+IF(ISBLANK(REPORTS!J1956),"",REPORTS!J1956)</f>
        <v>0</v>
      </c>
      <c r="E2395" s="1374">
        <f>+IF(ISBLANK(REPORTS!K1956),"",REPORTS!K1956)</f>
        <v>0</v>
      </c>
      <c r="F2395" s="1374">
        <f>+IF(ISBLANK(REPORTS!L1956),"",REPORTS!L1956)</f>
        <v>0</v>
      </c>
      <c r="G2395" s="1374">
        <f>+IF(ISBLANK(REPORTS!M1956),"",REPORTS!M1956)</f>
        <v>0</v>
      </c>
      <c r="H2395" s="1374">
        <f>+IF(ISBLANK(REPORTS!N1956),"",REPORTS!N1956)</f>
        <v>0</v>
      </c>
      <c r="I2395" s="1374">
        <f>+IF(ISBLANK(REPORTS!O1956),"",REPORTS!O1956)</f>
        <v>0</v>
      </c>
      <c r="J2395" s="1374">
        <f>+IF(ISBLANK(REPORTS!P1956),"",REPORTS!P1956)</f>
        <v>0</v>
      </c>
      <c r="K2395" s="1374">
        <f>+IF(ISBLANK(REPORTS!Q1956),"",REPORTS!Q1956)</f>
        <v>0</v>
      </c>
      <c r="L2395" s="1374"/>
      <c r="M2395" s="1324"/>
    </row>
    <row r="2396" spans="1:13">
      <c r="B2396" s="1324" t="s">
        <v>6117</v>
      </c>
      <c r="C2396" s="1344" t="s">
        <v>3179</v>
      </c>
      <c r="D2396" s="1374">
        <f>+IF(ISBLANK(REPORTS!J1957),"",REPORTS!J1957)</f>
        <v>0</v>
      </c>
      <c r="E2396" s="1374">
        <f>+IF(ISBLANK(REPORTS!K1957),"",REPORTS!K1957)</f>
        <v>0</v>
      </c>
      <c r="F2396" s="1374">
        <f>+IF(ISBLANK(REPORTS!L1957),"",REPORTS!L1957)</f>
        <v>0</v>
      </c>
      <c r="G2396" s="1374">
        <f>+IF(ISBLANK(REPORTS!M1957),"",REPORTS!M1957)</f>
        <v>0</v>
      </c>
      <c r="H2396" s="1374">
        <f>+IF(ISBLANK(REPORTS!N1957),"",REPORTS!N1957)</f>
        <v>0</v>
      </c>
      <c r="I2396" s="1374">
        <f>+IF(ISBLANK(REPORTS!O1957),"",REPORTS!O1957)</f>
        <v>0</v>
      </c>
      <c r="J2396" s="1374">
        <f>+IF(ISBLANK(REPORTS!P1957),"",REPORTS!P1957)</f>
        <v>0</v>
      </c>
      <c r="K2396" s="1374">
        <f>+IF(ISBLANK(REPORTS!Q1957),"",REPORTS!Q1957)</f>
        <v>0</v>
      </c>
      <c r="L2396" s="1374"/>
      <c r="M2396" s="1324"/>
    </row>
    <row r="2397" spans="1:13">
      <c r="C2397" s="1502"/>
      <c r="D2397" s="1374" t="str">
        <f>+IF(ISBLANK(REPORTS!J1958),"",REPORTS!J1958)</f>
        <v/>
      </c>
      <c r="E2397" s="1374" t="str">
        <f>+IF(ISBLANK(REPORTS!K1958),"",REPORTS!K1958)</f>
        <v/>
      </c>
      <c r="F2397" s="1374" t="str">
        <f>+IF(ISBLANK(REPORTS!L1958),"",REPORTS!L1958)</f>
        <v/>
      </c>
      <c r="G2397" s="1374" t="str">
        <f>+IF(ISBLANK(REPORTS!M1958),"",REPORTS!M1958)</f>
        <v/>
      </c>
      <c r="H2397" s="1374" t="str">
        <f>+IF(ISBLANK(REPORTS!N1958),"",REPORTS!N1958)</f>
        <v/>
      </c>
      <c r="I2397" s="1374" t="str">
        <f>+IF(ISBLANK(REPORTS!O1958),"",REPORTS!O1958)</f>
        <v/>
      </c>
      <c r="J2397" s="1374" t="str">
        <f>+IF(ISBLANK(REPORTS!P1958),"",REPORTS!P1958)</f>
        <v/>
      </c>
      <c r="K2397" s="1374" t="str">
        <f>+IF(ISBLANK(REPORTS!Q1958),"",REPORTS!Q1958)</f>
        <v/>
      </c>
      <c r="L2397" s="1374"/>
      <c r="M2397" s="1324"/>
    </row>
    <row r="2398" spans="1:13">
      <c r="A2398" s="1393">
        <v>125</v>
      </c>
      <c r="B2398" s="1324" t="s">
        <v>6119</v>
      </c>
      <c r="C2398" s="1502" t="s">
        <v>3179</v>
      </c>
      <c r="D2398" s="1374">
        <f>+IF(ISBLANK(REPORTS!J1959),"",REPORTS!J1959)</f>
        <v>0</v>
      </c>
      <c r="E2398" s="1374">
        <f>+IF(ISBLANK(REPORTS!K1959),"",REPORTS!K1959)</f>
        <v>0</v>
      </c>
      <c r="F2398" s="1374">
        <f>+IF(ISBLANK(REPORTS!L1959),"",REPORTS!L1959)</f>
        <v>0</v>
      </c>
      <c r="G2398" s="1374">
        <f>+IF(ISBLANK(REPORTS!M1959),"",REPORTS!M1959)</f>
        <v>0</v>
      </c>
      <c r="H2398" s="1374">
        <f>+IF(ISBLANK(REPORTS!N1959),"",REPORTS!N1959)</f>
        <v>0</v>
      </c>
      <c r="I2398" s="1374">
        <f>+IF(ISBLANK(REPORTS!O1959),"",REPORTS!O1959)</f>
        <v>0</v>
      </c>
      <c r="J2398" s="1374">
        <f>+IF(ISBLANK(REPORTS!P1959),"",REPORTS!P1959)</f>
        <v>0</v>
      </c>
      <c r="K2398" s="1374">
        <f>+IF(ISBLANK(REPORTS!Q1959),"",REPORTS!Q1959)</f>
        <v>0</v>
      </c>
      <c r="L2398" s="1374"/>
      <c r="M2398" s="1324"/>
    </row>
    <row r="2399" spans="1:13">
      <c r="B2399" s="1324" t="s">
        <v>6117</v>
      </c>
      <c r="C2399" s="1344" t="s">
        <v>3179</v>
      </c>
      <c r="D2399" s="1374">
        <f>+IF(ISBLANK(REPORTS!J1960),"",REPORTS!J1960)</f>
        <v>0</v>
      </c>
      <c r="E2399" s="1374">
        <f>+IF(ISBLANK(REPORTS!K1960),"",REPORTS!K1960)</f>
        <v>0</v>
      </c>
      <c r="F2399" s="1374">
        <f>+IF(ISBLANK(REPORTS!L1960),"",REPORTS!L1960)</f>
        <v>0</v>
      </c>
      <c r="G2399" s="1374">
        <f>+IF(ISBLANK(REPORTS!M1960),"",REPORTS!M1960)</f>
        <v>0</v>
      </c>
      <c r="H2399" s="1374">
        <f>+IF(ISBLANK(REPORTS!N1960),"",REPORTS!N1960)</f>
        <v>0</v>
      </c>
      <c r="I2399" s="1374">
        <f>+IF(ISBLANK(REPORTS!O1960),"",REPORTS!O1960)</f>
        <v>0</v>
      </c>
      <c r="J2399" s="1374">
        <f>+IF(ISBLANK(REPORTS!P1960),"",REPORTS!P1960)</f>
        <v>0</v>
      </c>
      <c r="K2399" s="1374">
        <f>+IF(ISBLANK(REPORTS!Q1960),"",REPORTS!Q1960)</f>
        <v>0</v>
      </c>
      <c r="L2399" s="1374"/>
      <c r="M2399" s="1324"/>
    </row>
    <row r="2400" spans="1:13">
      <c r="C2400" s="1502"/>
      <c r="D2400" s="1374" t="str">
        <f>+IF(ISBLANK(REPORTS!J1961),"",REPORTS!J1961)</f>
        <v/>
      </c>
      <c r="E2400" s="1374" t="str">
        <f>+IF(ISBLANK(REPORTS!K1961),"",REPORTS!K1961)</f>
        <v/>
      </c>
      <c r="F2400" s="1374" t="str">
        <f>+IF(ISBLANK(REPORTS!L1961),"",REPORTS!L1961)</f>
        <v/>
      </c>
      <c r="G2400" s="1374" t="str">
        <f>+IF(ISBLANK(REPORTS!M1961),"",REPORTS!M1961)</f>
        <v/>
      </c>
      <c r="H2400" s="1374" t="str">
        <f>+IF(ISBLANK(REPORTS!N1961),"",REPORTS!N1961)</f>
        <v/>
      </c>
      <c r="I2400" s="1374" t="str">
        <f>+IF(ISBLANK(REPORTS!O1961),"",REPORTS!O1961)</f>
        <v/>
      </c>
      <c r="J2400" s="1374" t="str">
        <f>+IF(ISBLANK(REPORTS!P1961),"",REPORTS!P1961)</f>
        <v/>
      </c>
      <c r="K2400" s="1374" t="str">
        <f>+IF(ISBLANK(REPORTS!Q1961),"",REPORTS!Q1961)</f>
        <v/>
      </c>
      <c r="L2400" s="1324"/>
      <c r="M2400" s="1324"/>
    </row>
    <row r="2401" spans="1:13">
      <c r="A2401" s="1393">
        <v>126</v>
      </c>
      <c r="B2401" s="1324" t="s">
        <v>6120</v>
      </c>
      <c r="C2401" s="1502" t="s">
        <v>3179</v>
      </c>
      <c r="D2401" s="1374">
        <f>+IF(ISBLANK(REPORTS!J1962),"",REPORTS!J1962)</f>
        <v>0</v>
      </c>
      <c r="E2401" s="1374">
        <f>+IF(ISBLANK(REPORTS!K1962),"",REPORTS!K1962)</f>
        <v>0</v>
      </c>
      <c r="F2401" s="1374">
        <f>+IF(ISBLANK(REPORTS!L1962),"",REPORTS!L1962)</f>
        <v>0</v>
      </c>
      <c r="G2401" s="1374">
        <f>+IF(ISBLANK(REPORTS!M1962),"",REPORTS!M1962)</f>
        <v>0</v>
      </c>
      <c r="H2401" s="1374">
        <f>+IF(ISBLANK(REPORTS!N1962),"",REPORTS!N1962)</f>
        <v>0</v>
      </c>
      <c r="I2401" s="1374">
        <f>+IF(ISBLANK(REPORTS!O1962),"",REPORTS!O1962)</f>
        <v>0</v>
      </c>
      <c r="J2401" s="1374">
        <f>+IF(ISBLANK(REPORTS!P1962),"",REPORTS!P1962)</f>
        <v>0</v>
      </c>
      <c r="K2401" s="1374">
        <f>+IF(ISBLANK(REPORTS!Q1962),"",REPORTS!Q1962)</f>
        <v>0</v>
      </c>
      <c r="L2401" s="1324"/>
      <c r="M2401" s="1324"/>
    </row>
    <row r="2402" spans="1:13">
      <c r="B2402" s="1324" t="s">
        <v>6117</v>
      </c>
      <c r="C2402" s="1344" t="s">
        <v>3179</v>
      </c>
      <c r="D2402" s="1374">
        <f>+IF(ISBLANK(REPORTS!J1963),"",REPORTS!J1963)</f>
        <v>0</v>
      </c>
      <c r="E2402" s="1374">
        <f>+IF(ISBLANK(REPORTS!K1963),"",REPORTS!K1963)</f>
        <v>0</v>
      </c>
      <c r="F2402" s="1374">
        <f>+IF(ISBLANK(REPORTS!L1963),"",REPORTS!L1963)</f>
        <v>0</v>
      </c>
      <c r="G2402" s="1374">
        <f>+IF(ISBLANK(REPORTS!M1963),"",REPORTS!M1963)</f>
        <v>0</v>
      </c>
      <c r="H2402" s="1374">
        <f>+IF(ISBLANK(REPORTS!N1963),"",REPORTS!N1963)</f>
        <v>0</v>
      </c>
      <c r="I2402" s="1374">
        <f>+IF(ISBLANK(REPORTS!O1963),"",REPORTS!O1963)</f>
        <v>0</v>
      </c>
      <c r="J2402" s="1374">
        <f>+IF(ISBLANK(REPORTS!P1963),"",REPORTS!P1963)</f>
        <v>0</v>
      </c>
      <c r="K2402" s="1374">
        <f>+IF(ISBLANK(REPORTS!Q1963),"",REPORTS!Q1963)</f>
        <v>0</v>
      </c>
      <c r="L2402" s="1374"/>
      <c r="M2402" s="1324"/>
    </row>
    <row r="2403" spans="1:13">
      <c r="C2403" s="1502"/>
      <c r="D2403" s="1374" t="str">
        <f>+IF(ISBLANK(REPORTS!J1964),"",REPORTS!J1964)</f>
        <v/>
      </c>
      <c r="E2403" s="1374" t="str">
        <f>+IF(ISBLANK(REPORTS!K1964),"",REPORTS!K1964)</f>
        <v/>
      </c>
      <c r="F2403" s="1374" t="str">
        <f>+IF(ISBLANK(REPORTS!L1964),"",REPORTS!L1964)</f>
        <v/>
      </c>
      <c r="G2403" s="1374" t="str">
        <f>+IF(ISBLANK(REPORTS!M1964),"",REPORTS!M1964)</f>
        <v/>
      </c>
      <c r="H2403" s="1374" t="str">
        <f>+IF(ISBLANK(REPORTS!N1964),"",REPORTS!N1964)</f>
        <v/>
      </c>
      <c r="I2403" s="1374" t="str">
        <f>+IF(ISBLANK(REPORTS!O1964),"",REPORTS!O1964)</f>
        <v/>
      </c>
      <c r="J2403" s="1374" t="str">
        <f>+IF(ISBLANK(REPORTS!P1964),"",REPORTS!P1964)</f>
        <v/>
      </c>
      <c r="K2403" s="1374" t="str">
        <f>+IF(ISBLANK(REPORTS!Q1964),"",REPORTS!Q1964)</f>
        <v/>
      </c>
      <c r="L2403" s="1324"/>
      <c r="M2403" s="1324"/>
    </row>
    <row r="2404" spans="1:13">
      <c r="A2404" s="1393">
        <v>128</v>
      </c>
      <c r="B2404" s="1324" t="s">
        <v>6121</v>
      </c>
      <c r="C2404" s="1502" t="s">
        <v>3179</v>
      </c>
      <c r="D2404" s="1374">
        <f>+IF(ISBLANK(REPORTS!J1965),"",REPORTS!J1965)</f>
        <v>0</v>
      </c>
      <c r="E2404" s="1374">
        <f>+IF(ISBLANK(REPORTS!K1965),"",REPORTS!K1965)</f>
        <v>0</v>
      </c>
      <c r="F2404" s="1374">
        <f>+IF(ISBLANK(REPORTS!L1965),"",REPORTS!L1965)</f>
        <v>0</v>
      </c>
      <c r="G2404" s="1374">
        <f>+IF(ISBLANK(REPORTS!M1965),"",REPORTS!M1965)</f>
        <v>0</v>
      </c>
      <c r="H2404" s="1374">
        <f>+IF(ISBLANK(REPORTS!N1965),"",REPORTS!N1965)</f>
        <v>0</v>
      </c>
      <c r="I2404" s="1374">
        <f>+IF(ISBLANK(REPORTS!O1965),"",REPORTS!O1965)</f>
        <v>0</v>
      </c>
      <c r="J2404" s="1374">
        <f>+IF(ISBLANK(REPORTS!P1965),"",REPORTS!P1965)</f>
        <v>0</v>
      </c>
      <c r="K2404" s="1374">
        <f>+IF(ISBLANK(REPORTS!Q1965),"",REPORTS!Q1965)</f>
        <v>0</v>
      </c>
      <c r="L2404" s="1324"/>
      <c r="M2404" s="1324"/>
    </row>
    <row r="2405" spans="1:13">
      <c r="B2405" s="1324" t="s">
        <v>6117</v>
      </c>
      <c r="C2405" s="1344" t="s">
        <v>3179</v>
      </c>
      <c r="D2405" s="1374">
        <f>+IF(ISBLANK(REPORTS!J1966),"",REPORTS!J1966)</f>
        <v>0</v>
      </c>
      <c r="E2405" s="1374">
        <f>+IF(ISBLANK(REPORTS!K1966),"",REPORTS!K1966)</f>
        <v>0</v>
      </c>
      <c r="F2405" s="1374">
        <f>+IF(ISBLANK(REPORTS!L1966),"",REPORTS!L1966)</f>
        <v>0</v>
      </c>
      <c r="G2405" s="1374">
        <f>+IF(ISBLANK(REPORTS!M1966),"",REPORTS!M1966)</f>
        <v>0</v>
      </c>
      <c r="H2405" s="1374">
        <f>+IF(ISBLANK(REPORTS!N1966),"",REPORTS!N1966)</f>
        <v>0</v>
      </c>
      <c r="I2405" s="1374">
        <f>+IF(ISBLANK(REPORTS!O1966),"",REPORTS!O1966)</f>
        <v>0</v>
      </c>
      <c r="J2405" s="1374">
        <f>+IF(ISBLANK(REPORTS!P1966),"",REPORTS!P1966)</f>
        <v>0</v>
      </c>
      <c r="K2405" s="1374">
        <f>+IF(ISBLANK(REPORTS!Q1966),"",REPORTS!Q1966)</f>
        <v>0</v>
      </c>
      <c r="L2405" s="1374"/>
      <c r="M2405" s="1324"/>
    </row>
    <row r="2406" spans="1:13">
      <c r="C2406" s="1344"/>
      <c r="D2406" s="1324" t="str">
        <f>+IF(ISBLANK(REPORTS!J1967),"",REPORTS!J1967)</f>
        <v/>
      </c>
      <c r="E2406" s="1324" t="str">
        <f>+IF(ISBLANK(REPORTS!K1967),"",REPORTS!K1967)</f>
        <v/>
      </c>
      <c r="F2406" s="1324" t="str">
        <f>+IF(ISBLANK(REPORTS!L1967),"",REPORTS!L1967)</f>
        <v/>
      </c>
      <c r="G2406" s="1324" t="str">
        <f>+IF(ISBLANK(REPORTS!M1967),"",REPORTS!M1967)</f>
        <v/>
      </c>
      <c r="H2406" s="1324" t="str">
        <f>+IF(ISBLANK(REPORTS!N1967),"",REPORTS!N1967)</f>
        <v/>
      </c>
      <c r="I2406" s="1324" t="str">
        <f>+IF(ISBLANK(REPORTS!O1967),"",REPORTS!O1967)</f>
        <v/>
      </c>
      <c r="J2406" s="1324" t="str">
        <f>+IF(ISBLANK(REPORTS!P1967),"",REPORTS!P1967)</f>
        <v/>
      </c>
      <c r="K2406" s="1324" t="str">
        <f>+IF(ISBLANK(REPORTS!Q1967),"",REPORTS!Q1967)</f>
        <v/>
      </c>
      <c r="L2406" s="1324"/>
      <c r="M2406" s="1324"/>
    </row>
    <row r="2407" spans="1:13">
      <c r="A2407" s="1393">
        <v>201</v>
      </c>
      <c r="B2407" s="1324" t="s">
        <v>4790</v>
      </c>
      <c r="C2407" s="1344" t="s">
        <v>6122</v>
      </c>
      <c r="D2407" s="1324">
        <f>+IF(ISBLANK(REPORTS!J1968),"",REPORTS!J1968)</f>
        <v>21513101.492999993</v>
      </c>
      <c r="E2407" s="1324">
        <f>+IF(ISBLANK(REPORTS!K1968),"",REPORTS!K1968)</f>
        <v>10856246.44346484</v>
      </c>
      <c r="F2407" s="1324">
        <f>+IF(ISBLANK(REPORTS!L1968),"",REPORTS!L1968)</f>
        <v>1003244.2579626911</v>
      </c>
      <c r="G2407" s="1324">
        <f>+IF(ISBLANK(REPORTS!M1968),"",REPORTS!M1968)</f>
        <v>7473780.0489070648</v>
      </c>
      <c r="H2407" s="1324">
        <f>+IF(ISBLANK(REPORTS!N1968),"",REPORTS!N1968)</f>
        <v>1189705.6146552546</v>
      </c>
      <c r="I2407" s="1324">
        <f>+IF(ISBLANK(REPORTS!O1968),"",REPORTS!O1968)</f>
        <v>876470.24144709064</v>
      </c>
      <c r="J2407" s="1324">
        <f>+IF(ISBLANK(REPORTS!P1968),"",REPORTS!P1968)</f>
        <v>113654.88656305107</v>
      </c>
      <c r="K2407" s="1324">
        <f>+IF(ISBLANK(REPORTS!Q1968),"",REPORTS!Q1968)</f>
        <v>0</v>
      </c>
      <c r="L2407" s="1324"/>
      <c r="M2407" s="1324"/>
    </row>
    <row r="2408" spans="1:13">
      <c r="B2408" s="1324" t="s">
        <v>6117</v>
      </c>
      <c r="C2408" s="1344" t="s">
        <v>3179</v>
      </c>
      <c r="D2408" s="1374">
        <f>+IF(ISBLANK(REPORTS!J1969),"",REPORTS!J1969)</f>
        <v>0.99999999999999978</v>
      </c>
      <c r="E2408" s="1374">
        <f>+IF(ISBLANK(REPORTS!K1969),"",REPORTS!K1969)</f>
        <v>0.50463418521951764</v>
      </c>
      <c r="F2408" s="1374">
        <f>+IF(ISBLANK(REPORTS!L1969),"",REPORTS!L1969)</f>
        <v>4.6634106118503195E-2</v>
      </c>
      <c r="G2408" s="1374">
        <f>+IF(ISBLANK(REPORTS!M1969),"",REPORTS!M1969)</f>
        <v>0.34740597729894546</v>
      </c>
      <c r="H2408" s="1374">
        <f>+IF(ISBLANK(REPORTS!N1969),"",REPORTS!N1969)</f>
        <v>5.5301445727960939E-2</v>
      </c>
      <c r="I2408" s="1374">
        <f>+IF(ISBLANK(REPORTS!O1969),"",REPORTS!O1969)</f>
        <v>4.0741231185669788E-2</v>
      </c>
      <c r="J2408" s="1374">
        <f>+IF(ISBLANK(REPORTS!P1969),"",REPORTS!P1969)</f>
        <v>5.2830544494029599E-3</v>
      </c>
      <c r="K2408" s="1374">
        <f>+IF(ISBLANK(REPORTS!Q1969),"",REPORTS!Q1969)</f>
        <v>0</v>
      </c>
      <c r="L2408" s="1374"/>
      <c r="M2408" s="1324"/>
    </row>
    <row r="2409" spans="1:13">
      <c r="C2409" s="1344"/>
      <c r="D2409" s="1324" t="str">
        <f>+IF(ISBLANK(REPORTS!J1970),"",REPORTS!J1970)</f>
        <v/>
      </c>
      <c r="E2409" s="1324" t="str">
        <f>+IF(ISBLANK(REPORTS!K1970),"",REPORTS!K1970)</f>
        <v/>
      </c>
      <c r="F2409" s="1324" t="str">
        <f>+IF(ISBLANK(REPORTS!L1970),"",REPORTS!L1970)</f>
        <v/>
      </c>
      <c r="G2409" s="1324" t="str">
        <f>+IF(ISBLANK(REPORTS!M1970),"",REPORTS!M1970)</f>
        <v/>
      </c>
      <c r="H2409" s="1324" t="str">
        <f>+IF(ISBLANK(REPORTS!N1970),"",REPORTS!N1970)</f>
        <v/>
      </c>
      <c r="I2409" s="1324" t="str">
        <f>+IF(ISBLANK(REPORTS!O1970),"",REPORTS!O1970)</f>
        <v/>
      </c>
      <c r="J2409" s="1324" t="str">
        <f>+IF(ISBLANK(REPORTS!P1970),"",REPORTS!P1970)</f>
        <v/>
      </c>
      <c r="K2409" s="1324" t="str">
        <f>+IF(ISBLANK(REPORTS!Q1970),"",REPORTS!Q1970)</f>
        <v/>
      </c>
    </row>
    <row r="2410" spans="1:13">
      <c r="A2410" s="1393">
        <v>202</v>
      </c>
      <c r="B2410" s="1324" t="s">
        <v>4792</v>
      </c>
      <c r="C2410" s="1344" t="s">
        <v>3179</v>
      </c>
      <c r="D2410" s="1374">
        <f>+IF(ISBLANK(REPORTS!J1971),"",REPORTS!J1971)</f>
        <v>0</v>
      </c>
      <c r="E2410" s="1374">
        <f>+IF(ISBLANK(REPORTS!K1971),"",REPORTS!K1971)</f>
        <v>0</v>
      </c>
      <c r="F2410" s="1374">
        <f>+IF(ISBLANK(REPORTS!L1971),"",REPORTS!L1971)</f>
        <v>0</v>
      </c>
      <c r="G2410" s="1374">
        <f>+IF(ISBLANK(REPORTS!M1971),"",REPORTS!M1971)</f>
        <v>0</v>
      </c>
      <c r="H2410" s="1374">
        <f>+IF(ISBLANK(REPORTS!N1971),"",REPORTS!N1971)</f>
        <v>0</v>
      </c>
      <c r="I2410" s="1374">
        <f>+IF(ISBLANK(REPORTS!O1971),"",REPORTS!O1971)</f>
        <v>0</v>
      </c>
      <c r="J2410" s="1374">
        <f>+IF(ISBLANK(REPORTS!P1971),"",REPORTS!P1971)</f>
        <v>0</v>
      </c>
      <c r="K2410" s="1374">
        <f>+IF(ISBLANK(REPORTS!Q1971),"",REPORTS!Q1971)</f>
        <v>0</v>
      </c>
    </row>
    <row r="2411" spans="1:13">
      <c r="B2411" s="1324" t="s">
        <v>6117</v>
      </c>
      <c r="C2411" s="1344" t="s">
        <v>3179</v>
      </c>
      <c r="D2411" s="1374">
        <f>+IF(ISBLANK(REPORTS!J1972),"",REPORTS!J1972)</f>
        <v>0</v>
      </c>
      <c r="E2411" s="1374">
        <f>+IF(ISBLANK(REPORTS!K1972),"",REPORTS!K1972)</f>
        <v>0</v>
      </c>
      <c r="F2411" s="1374">
        <f>+IF(ISBLANK(REPORTS!L1972),"",REPORTS!L1972)</f>
        <v>0</v>
      </c>
      <c r="G2411" s="1374">
        <f>+IF(ISBLANK(REPORTS!M1972),"",REPORTS!M1972)</f>
        <v>0</v>
      </c>
      <c r="H2411" s="1374">
        <f>+IF(ISBLANK(REPORTS!N1972),"",REPORTS!N1972)</f>
        <v>0</v>
      </c>
      <c r="I2411" s="1374">
        <f>+IF(ISBLANK(REPORTS!O1972),"",REPORTS!O1972)</f>
        <v>0</v>
      </c>
      <c r="J2411" s="1374">
        <f>+IF(ISBLANK(REPORTS!P1972),"",REPORTS!P1972)</f>
        <v>0</v>
      </c>
      <c r="K2411" s="1374">
        <f>+IF(ISBLANK(REPORTS!Q1972),"",REPORTS!Q1972)</f>
        <v>0</v>
      </c>
    </row>
    <row r="2412" spans="1:13">
      <c r="C2412" s="1344"/>
      <c r="D2412" s="1324" t="str">
        <f>+IF(ISBLANK(REPORTS!J1973),"",REPORTS!J1973)</f>
        <v/>
      </c>
      <c r="E2412" s="1324" t="str">
        <f>+IF(ISBLANK(REPORTS!K1973),"",REPORTS!K1973)</f>
        <v/>
      </c>
      <c r="F2412" s="1324" t="str">
        <f>+IF(ISBLANK(REPORTS!L1973),"",REPORTS!L1973)</f>
        <v/>
      </c>
      <c r="G2412" s="1324" t="str">
        <f>+IF(ISBLANK(REPORTS!M1973),"",REPORTS!M1973)</f>
        <v/>
      </c>
      <c r="H2412" s="1324" t="str">
        <f>+IF(ISBLANK(REPORTS!N1973),"",REPORTS!N1973)</f>
        <v/>
      </c>
      <c r="I2412" s="1324" t="str">
        <f>+IF(ISBLANK(REPORTS!O1973),"",REPORTS!O1973)</f>
        <v/>
      </c>
      <c r="J2412" s="1324" t="str">
        <f>+IF(ISBLANK(REPORTS!P1973),"",REPORTS!P1973)</f>
        <v/>
      </c>
      <c r="K2412" s="1324" t="str">
        <f>+IF(ISBLANK(REPORTS!Q1973),"",REPORTS!Q1973)</f>
        <v/>
      </c>
    </row>
    <row r="2413" spans="1:13">
      <c r="A2413" s="1393">
        <v>204</v>
      </c>
      <c r="B2413" s="1324" t="s">
        <v>4800</v>
      </c>
      <c r="C2413" s="1344" t="s">
        <v>6122</v>
      </c>
      <c r="D2413" s="1324">
        <f>+IF(ISBLANK(REPORTS!J1974),"",REPORTS!J1974)</f>
        <v>21513101.492999993</v>
      </c>
      <c r="E2413" s="1324">
        <f>+IF(ISBLANK(REPORTS!K1974),"",REPORTS!K1974)</f>
        <v>10856246.44346484</v>
      </c>
      <c r="F2413" s="1324">
        <f>+IF(ISBLANK(REPORTS!L1974),"",REPORTS!L1974)</f>
        <v>1003244.2579626911</v>
      </c>
      <c r="G2413" s="1324">
        <f>+IF(ISBLANK(REPORTS!M1974),"",REPORTS!M1974)</f>
        <v>7473780.0489070648</v>
      </c>
      <c r="H2413" s="1324">
        <f>+IF(ISBLANK(REPORTS!N1974),"",REPORTS!N1974)</f>
        <v>1189705.6146552546</v>
      </c>
      <c r="I2413" s="1324">
        <f>+IF(ISBLANK(REPORTS!O1974),"",REPORTS!O1974)</f>
        <v>876470.24144709064</v>
      </c>
      <c r="J2413" s="1324">
        <f>+IF(ISBLANK(REPORTS!P1974),"",REPORTS!P1974)</f>
        <v>113654.88656305107</v>
      </c>
      <c r="K2413" s="1324">
        <f>+IF(ISBLANK(REPORTS!Q1974),"",REPORTS!Q1974)</f>
        <v>0</v>
      </c>
    </row>
    <row r="2414" spans="1:13">
      <c r="B2414" s="1324" t="s">
        <v>6117</v>
      </c>
      <c r="C2414" s="1344" t="s">
        <v>3179</v>
      </c>
      <c r="D2414" s="1374">
        <f>+IF(ISBLANK(REPORTS!J1975),"",REPORTS!J1975)</f>
        <v>0.99999999999999978</v>
      </c>
      <c r="E2414" s="1374">
        <f>+IF(ISBLANK(REPORTS!K1975),"",REPORTS!K1975)</f>
        <v>0.50463418521951764</v>
      </c>
      <c r="F2414" s="1374">
        <f>+IF(ISBLANK(REPORTS!L1975),"",REPORTS!L1975)</f>
        <v>4.6634106118503195E-2</v>
      </c>
      <c r="G2414" s="1374">
        <f>+IF(ISBLANK(REPORTS!M1975),"",REPORTS!M1975)</f>
        <v>0.34740597729894546</v>
      </c>
      <c r="H2414" s="1374">
        <f>+IF(ISBLANK(REPORTS!N1975),"",REPORTS!N1975)</f>
        <v>5.5301445727960939E-2</v>
      </c>
      <c r="I2414" s="1374">
        <f>+IF(ISBLANK(REPORTS!O1975),"",REPORTS!O1975)</f>
        <v>4.0741231185669788E-2</v>
      </c>
      <c r="J2414" s="1374">
        <f>+IF(ISBLANK(REPORTS!P1975),"",REPORTS!P1975)</f>
        <v>5.2830544494029599E-3</v>
      </c>
      <c r="K2414" s="1374">
        <f>+IF(ISBLANK(REPORTS!Q1975),"",REPORTS!Q1975)</f>
        <v>0</v>
      </c>
    </row>
    <row r="2415" spans="1:13">
      <c r="C2415" s="1344"/>
      <c r="D2415" s="1324" t="str">
        <f>+IF(ISBLANK(REPORTS!J1976),"",REPORTS!J1976)</f>
        <v/>
      </c>
      <c r="E2415" s="1324" t="str">
        <f>+IF(ISBLANK(REPORTS!K1976),"",REPORTS!K1976)</f>
        <v/>
      </c>
      <c r="F2415" s="1324" t="str">
        <f>+IF(ISBLANK(REPORTS!L1976),"",REPORTS!L1976)</f>
        <v/>
      </c>
      <c r="G2415" s="1324" t="str">
        <f>+IF(ISBLANK(REPORTS!M1976),"",REPORTS!M1976)</f>
        <v/>
      </c>
      <c r="H2415" s="1324" t="str">
        <f>+IF(ISBLANK(REPORTS!N1976),"",REPORTS!N1976)</f>
        <v/>
      </c>
      <c r="I2415" s="1324" t="str">
        <f>+IF(ISBLANK(REPORTS!O1976),"",REPORTS!O1976)</f>
        <v/>
      </c>
      <c r="J2415" s="1324" t="str">
        <f>+IF(ISBLANK(REPORTS!P1976),"",REPORTS!P1976)</f>
        <v/>
      </c>
      <c r="K2415" s="1324" t="str">
        <f>+IF(ISBLANK(REPORTS!Q1976),"",REPORTS!Q1976)</f>
        <v/>
      </c>
    </row>
    <row r="2416" spans="1:13">
      <c r="A2416" s="1393">
        <v>205</v>
      </c>
      <c r="B2416" s="1324" t="s">
        <v>4810</v>
      </c>
      <c r="C2416" s="1344" t="s">
        <v>3179</v>
      </c>
      <c r="D2416" s="1374">
        <f>+IF(ISBLANK(REPORTS!J1977),"",REPORTS!J1977)</f>
        <v>0</v>
      </c>
      <c r="E2416" s="1374">
        <f>+IF(ISBLANK(REPORTS!K1977),"",REPORTS!K1977)</f>
        <v>0</v>
      </c>
      <c r="F2416" s="1374">
        <f>+IF(ISBLANK(REPORTS!L1977),"",REPORTS!L1977)</f>
        <v>0</v>
      </c>
      <c r="G2416" s="1374">
        <f>+IF(ISBLANK(REPORTS!M1977),"",REPORTS!M1977)</f>
        <v>0</v>
      </c>
      <c r="H2416" s="1374">
        <f>+IF(ISBLANK(REPORTS!N1977),"",REPORTS!N1977)</f>
        <v>0</v>
      </c>
      <c r="I2416" s="1374">
        <f>+IF(ISBLANK(REPORTS!O1977),"",REPORTS!O1977)</f>
        <v>0</v>
      </c>
      <c r="J2416" s="1374">
        <f>+IF(ISBLANK(REPORTS!P1977),"",REPORTS!P1977)</f>
        <v>0</v>
      </c>
      <c r="K2416" s="1374">
        <f>+IF(ISBLANK(REPORTS!Q1977),"",REPORTS!Q1977)</f>
        <v>0</v>
      </c>
    </row>
    <row r="2417" spans="1:13">
      <c r="B2417" s="1324" t="s">
        <v>6117</v>
      </c>
      <c r="C2417" s="1344" t="s">
        <v>3179</v>
      </c>
      <c r="D2417" s="1374">
        <f>+IF(ISBLANK(REPORTS!J1978),"",REPORTS!J1978)</f>
        <v>0</v>
      </c>
      <c r="E2417" s="1374">
        <f>+IF(ISBLANK(REPORTS!K1978),"",REPORTS!K1978)</f>
        <v>0</v>
      </c>
      <c r="F2417" s="1374">
        <f>+IF(ISBLANK(REPORTS!L1978),"",REPORTS!L1978)</f>
        <v>0</v>
      </c>
      <c r="G2417" s="1374">
        <f>+IF(ISBLANK(REPORTS!M1978),"",REPORTS!M1978)</f>
        <v>0</v>
      </c>
      <c r="H2417" s="1374">
        <f>+IF(ISBLANK(REPORTS!N1978),"",REPORTS!N1978)</f>
        <v>0</v>
      </c>
      <c r="I2417" s="1374">
        <f>+IF(ISBLANK(REPORTS!O1978),"",REPORTS!O1978)</f>
        <v>0</v>
      </c>
      <c r="J2417" s="1374">
        <f>+IF(ISBLANK(REPORTS!P1978),"",REPORTS!P1978)</f>
        <v>0</v>
      </c>
      <c r="K2417" s="1374">
        <f>+IF(ISBLANK(REPORTS!Q1978),"",REPORTS!Q1978)</f>
        <v>0</v>
      </c>
    </row>
    <row r="2424" spans="1:13">
      <c r="A2424" s="1732" t="str">
        <f>+$A$1</f>
        <v>RATES WITH REVENUE DEFICIENCY ADDITION</v>
      </c>
      <c r="B2424" s="1326"/>
      <c r="F2424" s="1329" t="s">
        <v>2173</v>
      </c>
      <c r="G2424" s="1329"/>
      <c r="H2424" s="1329"/>
      <c r="I2424" s="1329"/>
      <c r="L2424" s="1332"/>
      <c r="M2424" s="1334" t="s">
        <v>4851</v>
      </c>
    </row>
    <row r="2425" spans="1:13">
      <c r="A2425" s="1732" t="str">
        <f>+$A$2</f>
        <v>PROD. CAP. ALLOC. METHOD: 12 CP &amp; 1/13th AD</v>
      </c>
      <c r="B2425" s="1326"/>
      <c r="F2425" s="1336" t="s">
        <v>5141</v>
      </c>
      <c r="G2425" s="1336"/>
      <c r="H2425" s="1336"/>
      <c r="I2425" s="1336"/>
    </row>
    <row r="2426" spans="1:13">
      <c r="A2426" s="1732" t="str">
        <f>+$A$3</f>
        <v>PROJECTED CALENDAR YEAR 2025; FULLY ADJUSTED DATA</v>
      </c>
      <c r="F2426" s="1336"/>
    </row>
    <row r="2427" spans="1:13">
      <c r="A2427" s="1732" t="str">
        <f>+$A$4</f>
        <v>MINIMUM DISTRIBUTION SYSTEM (MDS) NOT EMPLOYED</v>
      </c>
    </row>
    <row r="2428" spans="1:13">
      <c r="A2428" s="1732" t="str">
        <f>+$A$5</f>
        <v>Tampa Electric 2025 OB Budget</v>
      </c>
      <c r="F2428" s="1336" t="s">
        <v>6112</v>
      </c>
      <c r="G2428" s="1336"/>
      <c r="H2428" s="1336"/>
      <c r="I2428" s="1336"/>
    </row>
    <row r="2431" spans="1:13" ht="28.2">
      <c r="A2431" s="1737" t="s">
        <v>6113</v>
      </c>
      <c r="B2431" s="1353"/>
      <c r="C2431" s="1353" t="s">
        <v>6114</v>
      </c>
      <c r="D2431" s="1352" t="s">
        <v>4957</v>
      </c>
      <c r="E2431" s="1353" t="s">
        <v>1949</v>
      </c>
      <c r="F2431" s="1353" t="s">
        <v>1950</v>
      </c>
      <c r="G2431" s="1353" t="s">
        <v>1934</v>
      </c>
      <c r="H2431" s="1353" t="s">
        <v>1971</v>
      </c>
      <c r="I2431" s="1353" t="s">
        <v>1972</v>
      </c>
      <c r="J2431" s="1352" t="s">
        <v>5146</v>
      </c>
      <c r="K2431" s="1352" t="s">
        <v>5147</v>
      </c>
      <c r="L2431" s="1355"/>
      <c r="M2431" s="1350"/>
    </row>
    <row r="2433" spans="1:13">
      <c r="A2433" s="1393">
        <v>308</v>
      </c>
      <c r="B2433" s="1324" t="s">
        <v>4837</v>
      </c>
      <c r="C2433" s="1344" t="s">
        <v>6125</v>
      </c>
      <c r="D2433" s="1324">
        <f>+IF(ISBLANK(REPORTS!J1990),"",REPORTS!J1990)</f>
        <v>255853086.6769709</v>
      </c>
      <c r="E2433" s="1324">
        <f>+IF(ISBLANK(REPORTS!K1990),"",REPORTS!K1990)</f>
        <v>174663821.41775307</v>
      </c>
      <c r="F2433" s="1324">
        <f>+IF(ISBLANK(REPORTS!L1990),"",REPORTS!L1990)</f>
        <v>45550089.690557122</v>
      </c>
      <c r="G2433" s="1324">
        <f>+IF(ISBLANK(REPORTS!M1990),"",REPORTS!M1990)</f>
        <v>29969441.063496064</v>
      </c>
      <c r="H2433" s="1324">
        <f>+IF(ISBLANK(REPORTS!N1990),"",REPORTS!N1990)</f>
        <v>2463581.8057832038</v>
      </c>
      <c r="I2433" s="1324">
        <f>+IF(ISBLANK(REPORTS!O1990),"",REPORTS!O1990)</f>
        <v>2687871.1666514659</v>
      </c>
      <c r="J2433" s="1324">
        <f>+IF(ISBLANK(REPORTS!P1990),"",REPORTS!P1990)</f>
        <v>518281.53272996884</v>
      </c>
      <c r="K2433" s="1324">
        <f>+IF(ISBLANK(REPORTS!Q1990),"",REPORTS!Q1990)</f>
        <v>0</v>
      </c>
      <c r="L2433" s="1324"/>
      <c r="M2433" s="1324"/>
    </row>
    <row r="2434" spans="1:13">
      <c r="A2434" s="1393">
        <v>308</v>
      </c>
      <c r="B2434" s="1324" t="s">
        <v>6117</v>
      </c>
      <c r="C2434" s="1344" t="s">
        <v>3179</v>
      </c>
      <c r="D2434" s="1374">
        <f>+IF(ISBLANK(REPORTS!J1991),"",REPORTS!J1991)</f>
        <v>1</v>
      </c>
      <c r="E2434" s="1374">
        <f>+IF(ISBLANK(REPORTS!K1991),"",REPORTS!K1991)</f>
        <v>0.68267232452143956</v>
      </c>
      <c r="F2434" s="1374">
        <f>+IF(ISBLANK(REPORTS!L1991),"",REPORTS!L1991)</f>
        <v>0.17803220700661981</v>
      </c>
      <c r="G2434" s="1374">
        <f>+IF(ISBLANK(REPORTS!M1991),"",REPORTS!M1991)</f>
        <v>0.11713535080909222</v>
      </c>
      <c r="H2434" s="1374">
        <f>+IF(ISBLANK(REPORTS!N1991),"",REPORTS!N1991)</f>
        <v>9.6288922591487684E-3</v>
      </c>
      <c r="I2434" s="1374">
        <f>+IF(ISBLANK(REPORTS!O1991),"",REPORTS!O1991)</f>
        <v>1.0505525657562445E-2</v>
      </c>
      <c r="J2434" s="1374">
        <f>+IF(ISBLANK(REPORTS!P1991),"",REPORTS!P1991)</f>
        <v>2.0256997461372385E-3</v>
      </c>
      <c r="K2434" s="1374">
        <f>+IF(ISBLANK(REPORTS!Q1991),"",REPORTS!Q1991)</f>
        <v>0</v>
      </c>
      <c r="L2434" s="1374"/>
      <c r="M2434" s="1324"/>
    </row>
    <row r="2435" spans="1:13">
      <c r="D2435" s="1324" t="str">
        <f>+IF(ISBLANK(REPORTS!J1992),"",REPORTS!J1992)</f>
        <v/>
      </c>
      <c r="E2435" s="1324" t="str">
        <f>+IF(ISBLANK(REPORTS!K1992),"",REPORTS!K1992)</f>
        <v/>
      </c>
      <c r="F2435" s="1324" t="str">
        <f>+IF(ISBLANK(REPORTS!L1992),"",REPORTS!L1992)</f>
        <v/>
      </c>
      <c r="G2435" s="1324" t="str">
        <f>+IF(ISBLANK(REPORTS!M1992),"",REPORTS!M1992)</f>
        <v/>
      </c>
      <c r="H2435" s="1324" t="str">
        <f>+IF(ISBLANK(REPORTS!N1992),"",REPORTS!N1992)</f>
        <v/>
      </c>
      <c r="I2435" s="1324" t="str">
        <f>+IF(ISBLANK(REPORTS!O1992),"",REPORTS!O1992)</f>
        <v/>
      </c>
      <c r="J2435" s="1324" t="str">
        <f>+IF(ISBLANK(REPORTS!P1992),"",REPORTS!P1992)</f>
        <v/>
      </c>
      <c r="K2435" s="1324" t="str">
        <f>+IF(ISBLANK(REPORTS!Q1992),"",REPORTS!Q1992)</f>
        <v/>
      </c>
      <c r="L2435" s="1324"/>
      <c r="M2435" s="1324"/>
    </row>
    <row r="2436" spans="1:13">
      <c r="A2436" s="1393">
        <v>309</v>
      </c>
      <c r="B2436" s="1324" t="s">
        <v>4839</v>
      </c>
      <c r="C2436" s="1344" t="s">
        <v>3179</v>
      </c>
      <c r="D2436" s="1374">
        <f>+IF(ISBLANK(REPORTS!J1993),"",REPORTS!J1993)</f>
        <v>1</v>
      </c>
      <c r="E2436" s="1374">
        <f>+IF(ISBLANK(REPORTS!K1993),"",REPORTS!K1993)</f>
        <v>0</v>
      </c>
      <c r="F2436" s="1374">
        <f>+IF(ISBLANK(REPORTS!L1993),"",REPORTS!L1993)</f>
        <v>0</v>
      </c>
      <c r="G2436" s="1374">
        <f>+IF(ISBLANK(REPORTS!M1993),"",REPORTS!M1993)</f>
        <v>0</v>
      </c>
      <c r="H2436" s="1374">
        <f>+IF(ISBLANK(REPORTS!N1993),"",REPORTS!N1993)</f>
        <v>0</v>
      </c>
      <c r="I2436" s="1374">
        <f>+IF(ISBLANK(REPORTS!O1993),"",REPORTS!O1993)</f>
        <v>0</v>
      </c>
      <c r="J2436" s="1374">
        <f>+IF(ISBLANK(REPORTS!P1993),"",REPORTS!P1993)</f>
        <v>0</v>
      </c>
      <c r="K2436" s="1374">
        <f>+IF(ISBLANK(REPORTS!Q1993),"",REPORTS!Q1993)</f>
        <v>0</v>
      </c>
      <c r="L2436" s="1324"/>
      <c r="M2436" s="1324"/>
    </row>
    <row r="2437" spans="1:13">
      <c r="A2437" s="1393">
        <v>309</v>
      </c>
      <c r="B2437" s="1324" t="s">
        <v>6117</v>
      </c>
      <c r="C2437" s="1344" t="s">
        <v>3179</v>
      </c>
      <c r="D2437" s="1374">
        <f>+IF(ISBLANK(REPORTS!J1994),"",REPORTS!J1994)</f>
        <v>0</v>
      </c>
      <c r="E2437" s="1374">
        <f>+IF(ISBLANK(REPORTS!K1994),"",REPORTS!K1994)</f>
        <v>0</v>
      </c>
      <c r="F2437" s="1374">
        <f>+IF(ISBLANK(REPORTS!L1994),"",REPORTS!L1994)</f>
        <v>0</v>
      </c>
      <c r="G2437" s="1374">
        <f>+IF(ISBLANK(REPORTS!M1994),"",REPORTS!M1994)</f>
        <v>0</v>
      </c>
      <c r="H2437" s="1374">
        <f>+IF(ISBLANK(REPORTS!N1994),"",REPORTS!N1994)</f>
        <v>0</v>
      </c>
      <c r="I2437" s="1374">
        <f>+IF(ISBLANK(REPORTS!O1994),"",REPORTS!O1994)</f>
        <v>0</v>
      </c>
      <c r="J2437" s="1374">
        <f>+IF(ISBLANK(REPORTS!P1994),"",REPORTS!P1994)</f>
        <v>0</v>
      </c>
      <c r="K2437" s="1374">
        <f>+IF(ISBLANK(REPORTS!Q1994),"",REPORTS!Q1994)</f>
        <v>0</v>
      </c>
      <c r="L2437" s="1374"/>
      <c r="M2437" s="1374"/>
    </row>
    <row r="2438" spans="1:13">
      <c r="D2438" s="1324" t="str">
        <f>+IF(ISBLANK(REPORTS!J1995),"",REPORTS!J1995)</f>
        <v/>
      </c>
      <c r="E2438" s="1324" t="str">
        <f>+IF(ISBLANK(REPORTS!K1995),"",REPORTS!K1995)</f>
        <v/>
      </c>
      <c r="F2438" s="1324" t="str">
        <f>+IF(ISBLANK(REPORTS!L1995),"",REPORTS!L1995)</f>
        <v/>
      </c>
      <c r="G2438" s="1324" t="str">
        <f>+IF(ISBLANK(REPORTS!M1995),"",REPORTS!M1995)</f>
        <v/>
      </c>
      <c r="H2438" s="1324" t="str">
        <f>+IF(ISBLANK(REPORTS!N1995),"",REPORTS!N1995)</f>
        <v/>
      </c>
      <c r="I2438" s="1324" t="str">
        <f>+IF(ISBLANK(REPORTS!O1995),"",REPORTS!O1995)</f>
        <v/>
      </c>
      <c r="J2438" s="1324" t="str">
        <f>+IF(ISBLANK(REPORTS!P1995),"",REPORTS!P1995)</f>
        <v/>
      </c>
      <c r="K2438" s="1324" t="str">
        <f>+IF(ISBLANK(REPORTS!Q1995),"",REPORTS!Q1995)</f>
        <v/>
      </c>
      <c r="L2438" s="1324"/>
      <c r="M2438" s="1324"/>
    </row>
    <row r="2439" spans="1:13">
      <c r="A2439" s="1393">
        <v>310</v>
      </c>
      <c r="B2439" s="1324" t="s">
        <v>4821</v>
      </c>
      <c r="C2439" s="1344" t="s">
        <v>3179</v>
      </c>
      <c r="D2439" s="1374">
        <f>+IF(ISBLANK(REPORTS!J1996),"",REPORTS!J1996)</f>
        <v>1</v>
      </c>
      <c r="E2439" s="1374">
        <f>+IF(ISBLANK(REPORTS!K1996),"",REPORTS!K1996)</f>
        <v>0</v>
      </c>
      <c r="F2439" s="1374">
        <f>+IF(ISBLANK(REPORTS!L1996),"",REPORTS!L1996)</f>
        <v>0</v>
      </c>
      <c r="G2439" s="1374">
        <f>+IF(ISBLANK(REPORTS!M1996),"",REPORTS!M1996)</f>
        <v>0</v>
      </c>
      <c r="H2439" s="1374">
        <f>+IF(ISBLANK(REPORTS!N1996),"",REPORTS!N1996)</f>
        <v>0</v>
      </c>
      <c r="I2439" s="1374">
        <f>+IF(ISBLANK(REPORTS!O1996),"",REPORTS!O1996)</f>
        <v>0</v>
      </c>
      <c r="J2439" s="1374">
        <f>+IF(ISBLANK(REPORTS!P1996),"",REPORTS!P1996)</f>
        <v>0</v>
      </c>
      <c r="K2439" s="1374">
        <f>+IF(ISBLANK(REPORTS!Q1996),"",REPORTS!Q1996)</f>
        <v>1</v>
      </c>
      <c r="L2439" s="1324"/>
      <c r="M2439" s="1324"/>
    </row>
    <row r="2440" spans="1:13">
      <c r="A2440" s="1393">
        <v>310</v>
      </c>
      <c r="B2440" s="1324" t="s">
        <v>6117</v>
      </c>
      <c r="C2440" s="1344" t="s">
        <v>3179</v>
      </c>
      <c r="D2440" s="1374">
        <f>+IF(ISBLANK(REPORTS!J1997),"",REPORTS!J1997)</f>
        <v>1</v>
      </c>
      <c r="E2440" s="1374">
        <f>+IF(ISBLANK(REPORTS!K1997),"",REPORTS!K1997)</f>
        <v>0</v>
      </c>
      <c r="F2440" s="1374">
        <f>+IF(ISBLANK(REPORTS!L1997),"",REPORTS!L1997)</f>
        <v>0</v>
      </c>
      <c r="G2440" s="1374">
        <f>+IF(ISBLANK(REPORTS!M1997),"",REPORTS!M1997)</f>
        <v>0</v>
      </c>
      <c r="H2440" s="1374">
        <f>+IF(ISBLANK(REPORTS!N1997),"",REPORTS!N1997)</f>
        <v>0</v>
      </c>
      <c r="I2440" s="1374">
        <f>+IF(ISBLANK(REPORTS!O1997),"",REPORTS!O1997)</f>
        <v>0</v>
      </c>
      <c r="J2440" s="1374">
        <f>+IF(ISBLANK(REPORTS!P1997),"",REPORTS!P1997)</f>
        <v>0</v>
      </c>
      <c r="K2440" s="1374">
        <f>+IF(ISBLANK(REPORTS!Q1997),"",REPORTS!Q1997)</f>
        <v>1</v>
      </c>
      <c r="L2440" s="1374"/>
      <c r="M2440" s="1324"/>
    </row>
    <row r="2441" spans="1:13">
      <c r="D2441" s="1324" t="str">
        <f>+IF(ISBLANK(REPORTS!J1998),"",REPORTS!J1998)</f>
        <v/>
      </c>
      <c r="E2441" s="1324" t="str">
        <f>+IF(ISBLANK(REPORTS!K1998),"",REPORTS!K1998)</f>
        <v/>
      </c>
      <c r="F2441" s="1324" t="str">
        <f>+IF(ISBLANK(REPORTS!L1998),"",REPORTS!L1998)</f>
        <v/>
      </c>
      <c r="G2441" s="1324" t="str">
        <f>+IF(ISBLANK(REPORTS!M1998),"",REPORTS!M1998)</f>
        <v/>
      </c>
      <c r="H2441" s="1324" t="str">
        <f>+IF(ISBLANK(REPORTS!N1998),"",REPORTS!N1998)</f>
        <v/>
      </c>
      <c r="I2441" s="1324" t="str">
        <f>+IF(ISBLANK(REPORTS!O1998),"",REPORTS!O1998)</f>
        <v/>
      </c>
      <c r="J2441" s="1324" t="str">
        <f>+IF(ISBLANK(REPORTS!P1998),"",REPORTS!P1998)</f>
        <v/>
      </c>
      <c r="K2441" s="1324" t="str">
        <f>+IF(ISBLANK(REPORTS!Q1998),"",REPORTS!Q1998)</f>
        <v/>
      </c>
      <c r="L2441" s="1324"/>
      <c r="M2441" s="1324"/>
    </row>
    <row r="2442" spans="1:13">
      <c r="A2442" s="1393">
        <v>311</v>
      </c>
      <c r="B2442" s="1324" t="s">
        <v>4843</v>
      </c>
      <c r="C2442" s="1344" t="s">
        <v>2334</v>
      </c>
      <c r="D2442" s="1324">
        <f>+IF(ISBLANK(REPORTS!J1999),"",REPORTS!J1999)</f>
        <v>57640822.250094414</v>
      </c>
      <c r="E2442" s="1324">
        <f>+IF(ISBLANK(REPORTS!K1999),"",REPORTS!K1999)</f>
        <v>51110226.705206528</v>
      </c>
      <c r="F2442" s="1324">
        <f>+IF(ISBLANK(REPORTS!L1999),"",REPORTS!L1999)</f>
        <v>5004319.6476968629</v>
      </c>
      <c r="G2442" s="1324">
        <f>+IF(ISBLANK(REPORTS!M1999),"",REPORTS!M1999)</f>
        <v>1451202.7702471646</v>
      </c>
      <c r="H2442" s="1324">
        <f>+IF(ISBLANK(REPORTS!N1999),"",REPORTS!N1999)</f>
        <v>21794.185529936356</v>
      </c>
      <c r="I2442" s="1324">
        <f>+IF(ISBLANK(REPORTS!O1999),"",REPORTS!O1999)</f>
        <v>7817.4795922597805</v>
      </c>
      <c r="J2442" s="1324">
        <f>+IF(ISBLANK(REPORTS!P1999),"",REPORTS!P1999)</f>
        <v>45461.461821655656</v>
      </c>
      <c r="K2442" s="1324">
        <f>+IF(ISBLANK(REPORTS!Q1999),"",REPORTS!Q1999)</f>
        <v>0</v>
      </c>
      <c r="L2442" s="1324"/>
      <c r="M2442" s="1324"/>
    </row>
    <row r="2443" spans="1:13">
      <c r="A2443" s="1393">
        <v>311</v>
      </c>
      <c r="B2443" s="1324" t="s">
        <v>6117</v>
      </c>
      <c r="C2443" s="1344" t="s">
        <v>3179</v>
      </c>
      <c r="D2443" s="1374">
        <f>+IF(ISBLANK(REPORTS!J2000),"",REPORTS!J2000)</f>
        <v>0.99999999999999989</v>
      </c>
      <c r="E2443" s="1374">
        <f>+IF(ISBLANK(REPORTS!K2000),"",REPORTS!K2000)</f>
        <v>0.88670190170860741</v>
      </c>
      <c r="F2443" s="1374">
        <f>+IF(ISBLANK(REPORTS!L2000),"",REPORTS!L2000)</f>
        <v>8.6819019096984973E-2</v>
      </c>
      <c r="G2443" s="1374">
        <f>+IF(ISBLANK(REPORTS!M2000),"",REPORTS!M2000)</f>
        <v>2.5176649353658164E-2</v>
      </c>
      <c r="H2443" s="1374">
        <f>+IF(ISBLANK(REPORTS!N2000),"",REPORTS!N2000)</f>
        <v>3.7810330732921939E-4</v>
      </c>
      <c r="I2443" s="1374">
        <f>+IF(ISBLANK(REPORTS!O2000),"",REPORTS!O2000)</f>
        <v>1.3562401241156783E-4</v>
      </c>
      <c r="J2443" s="1374">
        <f>+IF(ISBLANK(REPORTS!P2000),"",REPORTS!P2000)</f>
        <v>7.8870252100855819E-4</v>
      </c>
      <c r="K2443" s="1374">
        <f>+IF(ISBLANK(REPORTS!Q2000),"",REPORTS!Q2000)</f>
        <v>0</v>
      </c>
      <c r="L2443" s="1374"/>
      <c r="M2443" s="1324"/>
    </row>
    <row r="2444" spans="1:13">
      <c r="D2444" s="1324" t="str">
        <f>+IF(ISBLANK(REPORTS!J2001),"",REPORTS!J2001)</f>
        <v/>
      </c>
      <c r="E2444" s="1324" t="str">
        <f>+IF(ISBLANK(REPORTS!K2001),"",REPORTS!K2001)</f>
        <v/>
      </c>
      <c r="F2444" s="1324" t="str">
        <f>+IF(ISBLANK(REPORTS!L2001),"",REPORTS!L2001)</f>
        <v/>
      </c>
      <c r="G2444" s="1324" t="str">
        <f>+IF(ISBLANK(REPORTS!M2001),"",REPORTS!M2001)</f>
        <v/>
      </c>
      <c r="H2444" s="1324" t="str">
        <f>+IF(ISBLANK(REPORTS!N2001),"",REPORTS!N2001)</f>
        <v/>
      </c>
      <c r="I2444" s="1324" t="str">
        <f>+IF(ISBLANK(REPORTS!O2001),"",REPORTS!O2001)</f>
        <v/>
      </c>
      <c r="J2444" s="1324" t="str">
        <f>+IF(ISBLANK(REPORTS!P2001),"",REPORTS!P2001)</f>
        <v/>
      </c>
      <c r="K2444" s="1324" t="str">
        <f>+IF(ISBLANK(REPORTS!Q2001),"",REPORTS!Q2001)</f>
        <v/>
      </c>
      <c r="L2444" s="1324"/>
      <c r="M2444" s="1324"/>
    </row>
    <row r="2445" spans="1:13">
      <c r="A2445" s="1393">
        <v>401</v>
      </c>
      <c r="B2445" s="1324" t="s">
        <v>6130</v>
      </c>
      <c r="C2445" s="1502" t="s">
        <v>6115</v>
      </c>
      <c r="D2445" s="1324">
        <f>+IF(ISBLANK(REPORTS!J2002),"",REPORTS!J2002)</f>
        <v>35356244.437981486</v>
      </c>
      <c r="E2445" s="1324">
        <f>+IF(ISBLANK(REPORTS!K2002),"",REPORTS!K2002)</f>
        <v>10290068.453940002</v>
      </c>
      <c r="F2445" s="1324">
        <f>+IF(ISBLANK(REPORTS!L2002),"",REPORTS!L2002)</f>
        <v>950935.90074000007</v>
      </c>
      <c r="G2445" s="1324">
        <f>+IF(ISBLANK(REPORTS!M2002),"",REPORTS!M2002)</f>
        <v>18168858.210000001</v>
      </c>
      <c r="H2445" s="1324">
        <f>+IF(ISBLANK(REPORTS!N2002),"",REPORTS!N2002)</f>
        <v>2634852.5689424397</v>
      </c>
      <c r="I2445" s="1324">
        <f>+IF(ISBLANK(REPORTS!O2002),"",REPORTS!O2002)</f>
        <v>3203801.7791090398</v>
      </c>
      <c r="J2445" s="1324">
        <f>+IF(ISBLANK(REPORTS!P2002),"",REPORTS!P2002)</f>
        <v>107727.52524999999</v>
      </c>
      <c r="K2445" s="1324">
        <f>+IF(ISBLANK(REPORTS!Q2002),"",REPORTS!Q2002)</f>
        <v>0</v>
      </c>
      <c r="L2445" s="1324"/>
      <c r="M2445" s="1324"/>
    </row>
    <row r="2446" spans="1:13">
      <c r="A2446" s="1393">
        <v>401</v>
      </c>
      <c r="B2446" s="1324" t="s">
        <v>6117</v>
      </c>
      <c r="C2446" s="1502"/>
      <c r="D2446" s="1374">
        <f>+IF(ISBLANK(REPORTS!J2003),"",REPORTS!J2003)</f>
        <v>0.99999999999999978</v>
      </c>
      <c r="E2446" s="1374">
        <f>+IF(ISBLANK(REPORTS!K2003),"",REPORTS!K2003)</f>
        <v>0.29103963437038249</v>
      </c>
      <c r="F2446" s="1374">
        <f>+IF(ISBLANK(REPORTS!L2003),"",REPORTS!L2003)</f>
        <v>2.6895840207464345E-2</v>
      </c>
      <c r="G2446" s="1374">
        <f>+IF(ISBLANK(REPORTS!M2003),"",REPORTS!M2003)</f>
        <v>0.5138797544481869</v>
      </c>
      <c r="H2446" s="1374">
        <f>+IF(ISBLANK(REPORTS!N2003),"",REPORTS!N2003)</f>
        <v>7.452297637449147E-2</v>
      </c>
      <c r="I2446" s="1374">
        <f>+IF(ISBLANK(REPORTS!O2003),"",REPORTS!O2003)</f>
        <v>9.0614878079849234E-2</v>
      </c>
      <c r="J2446" s="1374">
        <f>+IF(ISBLANK(REPORTS!P2003),"",REPORTS!P2003)</f>
        <v>3.046916519625415E-3</v>
      </c>
      <c r="K2446" s="1374">
        <f>+IF(ISBLANK(REPORTS!Q2003),"",REPORTS!Q2003)</f>
        <v>0</v>
      </c>
      <c r="L2446" s="1374"/>
      <c r="M2446" s="1324"/>
    </row>
    <row r="2447" spans="1:13">
      <c r="C2447" s="907"/>
      <c r="D2447" s="1324" t="str">
        <f>+IF(ISBLANK(REPORTS!J2004),"",REPORTS!J2004)</f>
        <v/>
      </c>
      <c r="E2447" s="1324" t="str">
        <f>+IF(ISBLANK(REPORTS!K2004),"",REPORTS!K2004)</f>
        <v/>
      </c>
      <c r="F2447" s="1324" t="str">
        <f>+IF(ISBLANK(REPORTS!L2004),"",REPORTS!L2004)</f>
        <v/>
      </c>
      <c r="G2447" s="1324" t="str">
        <f>+IF(ISBLANK(REPORTS!M2004),"",REPORTS!M2004)</f>
        <v/>
      </c>
      <c r="H2447" s="1324" t="str">
        <f>+IF(ISBLANK(REPORTS!N2004),"",REPORTS!N2004)</f>
        <v/>
      </c>
      <c r="I2447" s="1324" t="str">
        <f>+IF(ISBLANK(REPORTS!O2004),"",REPORTS!O2004)</f>
        <v/>
      </c>
      <c r="J2447" s="1324" t="str">
        <f>+IF(ISBLANK(REPORTS!P2004),"",REPORTS!P2004)</f>
        <v/>
      </c>
      <c r="K2447" s="1324" t="str">
        <f>+IF(ISBLANK(REPORTS!Q2004),"",REPORTS!Q2004)</f>
        <v/>
      </c>
      <c r="L2447" s="1324"/>
      <c r="M2447" s="1324"/>
    </row>
    <row r="2448" spans="1:13">
      <c r="A2448" s="1393">
        <v>402</v>
      </c>
      <c r="B2448" s="1324" t="s">
        <v>6131</v>
      </c>
      <c r="C2448" s="1502" t="s">
        <v>6115</v>
      </c>
      <c r="D2448" s="1324">
        <f>+IF(ISBLANK(REPORTS!J2005),"",REPORTS!J2005)</f>
        <v>32150017.252903681</v>
      </c>
      <c r="E2448" s="1324">
        <f>+IF(ISBLANK(REPORTS!K2005),"",REPORTS!K2005)</f>
        <v>10290068.453940002</v>
      </c>
      <c r="F2448" s="1324">
        <f>+IF(ISBLANK(REPORTS!L2005),"",REPORTS!L2005)</f>
        <v>950935.90074000007</v>
      </c>
      <c r="G2448" s="1324">
        <f>+IF(ISBLANK(REPORTS!M2005),"",REPORTS!M2005)</f>
        <v>18166432.804031242</v>
      </c>
      <c r="H2448" s="1324">
        <f>+IF(ISBLANK(REPORTS!N2005),"",REPORTS!N2005)</f>
        <v>2634852.5689424397</v>
      </c>
      <c r="I2448" s="1324">
        <f>+IF(ISBLANK(REPORTS!O2005),"",REPORTS!O2005)</f>
        <v>0</v>
      </c>
      <c r="J2448" s="1324">
        <f>+IF(ISBLANK(REPORTS!P2005),"",REPORTS!P2005)</f>
        <v>107727.52524999999</v>
      </c>
      <c r="K2448" s="1324">
        <f>+IF(ISBLANK(REPORTS!Q2005),"",REPORTS!Q2005)</f>
        <v>0</v>
      </c>
      <c r="L2448" s="1324"/>
      <c r="M2448" s="1324"/>
    </row>
    <row r="2449" spans="1:13">
      <c r="A2449" s="1393">
        <v>402</v>
      </c>
      <c r="B2449" s="1324" t="s">
        <v>6117</v>
      </c>
      <c r="C2449" s="1502"/>
      <c r="D2449" s="1374">
        <f>+IF(ISBLANK(REPORTS!J2006),"",REPORTS!J2006)</f>
        <v>1.0000000000000002</v>
      </c>
      <c r="E2449" s="1374">
        <f>+IF(ISBLANK(REPORTS!K2006),"",REPORTS!K2006)</f>
        <v>0.32006416584459652</v>
      </c>
      <c r="F2449" s="1374">
        <f>+IF(ISBLANK(REPORTS!L2006),"",REPORTS!L2006)</f>
        <v>2.9578083683737828E-2</v>
      </c>
      <c r="G2449" s="1374">
        <f>+IF(ISBLANK(REPORTS!M2006),"",REPORTS!M2006)</f>
        <v>0.56505203904332313</v>
      </c>
      <c r="H2449" s="1374">
        <f>+IF(ISBLANK(REPORTS!N2006),"",REPORTS!N2006)</f>
        <v>8.1954934836138194E-2</v>
      </c>
      <c r="I2449" s="1374">
        <f>+IF(ISBLANK(REPORTS!O2006),"",REPORTS!O2006)</f>
        <v>0</v>
      </c>
      <c r="J2449" s="1374">
        <f>+IF(ISBLANK(REPORTS!P2006),"",REPORTS!P2006)</f>
        <v>3.3507765922044849E-3</v>
      </c>
      <c r="K2449" s="1374">
        <f>+IF(ISBLANK(REPORTS!Q2006),"",REPORTS!Q2006)</f>
        <v>0</v>
      </c>
      <c r="L2449" s="1374"/>
      <c r="M2449" s="1324"/>
    </row>
    <row r="2450" spans="1:13">
      <c r="D2450" s="1324" t="str">
        <f>+IF(ISBLANK(REPORTS!J2007),"",REPORTS!J2007)</f>
        <v/>
      </c>
      <c r="E2450" s="1324" t="str">
        <f>+IF(ISBLANK(REPORTS!K2007),"",REPORTS!K2007)</f>
        <v/>
      </c>
      <c r="F2450" s="1324" t="str">
        <f>+IF(ISBLANK(REPORTS!L2007),"",REPORTS!L2007)</f>
        <v/>
      </c>
      <c r="G2450" s="1324" t="str">
        <f>+IF(ISBLANK(REPORTS!M2007),"",REPORTS!M2007)</f>
        <v/>
      </c>
      <c r="H2450" s="1324" t="str">
        <f>+IF(ISBLANK(REPORTS!N2007),"",REPORTS!N2007)</f>
        <v/>
      </c>
      <c r="I2450" s="1324" t="str">
        <f>+IF(ISBLANK(REPORTS!O2007),"",REPORTS!O2007)</f>
        <v/>
      </c>
      <c r="J2450" s="1324" t="str">
        <f>+IF(ISBLANK(REPORTS!P2007),"",REPORTS!P2007)</f>
        <v/>
      </c>
      <c r="K2450" s="1324" t="str">
        <f>+IF(ISBLANK(REPORTS!Q2007),"",REPORTS!Q2007)</f>
        <v/>
      </c>
      <c r="L2450" s="1324"/>
      <c r="M2450" s="1324"/>
    </row>
    <row r="2451" spans="1:13">
      <c r="A2451" s="1393">
        <v>403</v>
      </c>
      <c r="B2451" s="1324" t="s">
        <v>6132</v>
      </c>
      <c r="C2451" s="1502" t="s">
        <v>6115</v>
      </c>
      <c r="D2451" s="1324">
        <f>+IF(ISBLANK(REPORTS!J2008),"",REPORTS!J2008)</f>
        <v>29287373.041316651</v>
      </c>
      <c r="E2451" s="1324">
        <f>+IF(ISBLANK(REPORTS!K2008),"",REPORTS!K2008)</f>
        <v>10290068.453940002</v>
      </c>
      <c r="F2451" s="1324">
        <f>+IF(ISBLANK(REPORTS!L2008),"",REPORTS!L2008)</f>
        <v>950935.90074000007</v>
      </c>
      <c r="G2451" s="1324">
        <f>+IF(ISBLANK(REPORTS!M2008),"",REPORTS!M2008)</f>
        <v>17938641.16138665</v>
      </c>
      <c r="H2451" s="1324">
        <f>+IF(ISBLANK(REPORTS!N2008),"",REPORTS!N2008)</f>
        <v>0</v>
      </c>
      <c r="I2451" s="1324">
        <f>+IF(ISBLANK(REPORTS!O2008),"",REPORTS!O2008)</f>
        <v>0</v>
      </c>
      <c r="J2451" s="1324">
        <f>+IF(ISBLANK(REPORTS!P2008),"",REPORTS!P2008)</f>
        <v>107727.52524999999</v>
      </c>
      <c r="K2451" s="1324">
        <f>+IF(ISBLANK(REPORTS!Q2008),"",REPORTS!Q2008)</f>
        <v>0</v>
      </c>
      <c r="L2451" s="1324"/>
      <c r="M2451" s="1324"/>
    </row>
    <row r="2452" spans="1:13">
      <c r="A2452" s="1393">
        <v>403</v>
      </c>
      <c r="B2452" s="1324" t="s">
        <v>6117</v>
      </c>
      <c r="C2452" s="1502"/>
      <c r="D2452" s="1374">
        <f>+IF(ISBLANK(REPORTS!J2009),"",REPORTS!J2009)</f>
        <v>1</v>
      </c>
      <c r="E2452" s="1374">
        <f>+IF(ISBLANK(REPORTS!K2009),"",REPORTS!K2009)</f>
        <v>0.35134829059005968</v>
      </c>
      <c r="F2452" s="1374">
        <f>+IF(ISBLANK(REPORTS!L2009),"",REPORTS!L2009)</f>
        <v>3.2469142910102722E-2</v>
      </c>
      <c r="G2452" s="1374">
        <f>+IF(ISBLANK(REPORTS!M2009),"",REPORTS!M2009)</f>
        <v>0.61250427397773177</v>
      </c>
      <c r="H2452" s="1374">
        <f>+IF(ISBLANK(REPORTS!N2009),"",REPORTS!N2009)</f>
        <v>0</v>
      </c>
      <c r="I2452" s="1374">
        <f>+IF(ISBLANK(REPORTS!O2009),"",REPORTS!O2009)</f>
        <v>0</v>
      </c>
      <c r="J2452" s="1374">
        <f>+IF(ISBLANK(REPORTS!P2009),"",REPORTS!P2009)</f>
        <v>3.6782925221058669E-3</v>
      </c>
      <c r="K2452" s="1374">
        <f>+IF(ISBLANK(REPORTS!Q2009),"",REPORTS!Q2009)</f>
        <v>0</v>
      </c>
      <c r="L2452" s="1374"/>
      <c r="M2452" s="1324"/>
    </row>
    <row r="2453" spans="1:13">
      <c r="D2453" s="1324" t="str">
        <f>+IF(ISBLANK(REPORTS!J2010),"",REPORTS!J2010)</f>
        <v/>
      </c>
      <c r="E2453" s="1324" t="str">
        <f>+IF(ISBLANK(REPORTS!K2010),"",REPORTS!K2010)</f>
        <v/>
      </c>
      <c r="F2453" s="1324" t="str">
        <f>+IF(ISBLANK(REPORTS!L2010),"",REPORTS!L2010)</f>
        <v/>
      </c>
      <c r="G2453" s="1324" t="str">
        <f>+IF(ISBLANK(REPORTS!M2010),"",REPORTS!M2010)</f>
        <v/>
      </c>
      <c r="H2453" s="1324" t="str">
        <f>+IF(ISBLANK(REPORTS!N2010),"",REPORTS!N2010)</f>
        <v/>
      </c>
      <c r="I2453" s="1324" t="str">
        <f>+IF(ISBLANK(REPORTS!O2010),"",REPORTS!O2010)</f>
        <v/>
      </c>
      <c r="J2453" s="1324" t="str">
        <f>+IF(ISBLANK(REPORTS!P2010),"",REPORTS!P2010)</f>
        <v/>
      </c>
      <c r="K2453" s="1324" t="str">
        <f>+IF(ISBLANK(REPORTS!Q2010),"",REPORTS!Q2010)</f>
        <v/>
      </c>
      <c r="L2453" s="1324"/>
      <c r="M2453" s="1324"/>
    </row>
    <row r="2454" spans="1:13">
      <c r="A2454" s="1393">
        <v>404</v>
      </c>
      <c r="B2454" s="1324" t="s">
        <v>6133</v>
      </c>
      <c r="C2454" s="1344" t="s">
        <v>6122</v>
      </c>
      <c r="D2454" s="1324">
        <f>+IF(ISBLANK(REPORTS!J2011),"",REPORTS!J2011)</f>
        <v>20434223.836788256</v>
      </c>
      <c r="E2454" s="1324">
        <f>+IF(ISBLANK(REPORTS!K2011),"",REPORTS!K2011)</f>
        <v>10290068.453940002</v>
      </c>
      <c r="F2454" s="1324">
        <f>+IF(ISBLANK(REPORTS!L2011),"",REPORTS!L2011)</f>
        <v>950935.90074000007</v>
      </c>
      <c r="G2454" s="1324">
        <f>+IF(ISBLANK(REPORTS!M2011),"",REPORTS!M2011)</f>
        <v>7089279.4422360742</v>
      </c>
      <c r="H2454" s="1324">
        <f>+IF(ISBLANK(REPORTS!N2011),"",REPORTS!N2011)</f>
        <v>1148446.0116341452</v>
      </c>
      <c r="I2454" s="1324">
        <f>+IF(ISBLANK(REPORTS!O2011),"",REPORTS!O2011)</f>
        <v>847766.50298803649</v>
      </c>
      <c r="J2454" s="1324">
        <f>+IF(ISBLANK(REPORTS!P2011),"",REPORTS!P2011)</f>
        <v>107727.52524999999</v>
      </c>
      <c r="K2454" s="1324">
        <f>+IF(ISBLANK(REPORTS!Q2011),"",REPORTS!Q2011)</f>
        <v>0</v>
      </c>
      <c r="L2454" s="1324"/>
      <c r="M2454" s="1324"/>
    </row>
    <row r="2455" spans="1:13">
      <c r="A2455" s="1393">
        <v>404</v>
      </c>
      <c r="B2455" s="1324" t="s">
        <v>6117</v>
      </c>
      <c r="C2455" s="1502"/>
      <c r="D2455" s="1374">
        <f>+IF(ISBLANK(REPORTS!J2012),"",REPORTS!J2012)</f>
        <v>1</v>
      </c>
      <c r="E2455" s="1374">
        <f>+IF(ISBLANK(REPORTS!K2012),"",REPORTS!K2012)</f>
        <v>0.50357031106875361</v>
      </c>
      <c r="F2455" s="1374">
        <f>+IF(ISBLANK(REPORTS!L2012),"",REPORTS!L2012)</f>
        <v>4.6536433599597055E-2</v>
      </c>
      <c r="G2455" s="1374">
        <f>+IF(ISBLANK(REPORTS!M2012),"",REPORTS!M2012)</f>
        <v>0.34693167202529429</v>
      </c>
      <c r="H2455" s="1374">
        <f>+IF(ISBLANK(REPORTS!N2012),"",REPORTS!N2012)</f>
        <v>5.6202086304181928E-2</v>
      </c>
      <c r="I2455" s="1374">
        <f>+IF(ISBLANK(REPORTS!O2012),"",REPORTS!O2012)</f>
        <v>4.1487580333821182E-2</v>
      </c>
      <c r="J2455" s="1374">
        <f>+IF(ISBLANK(REPORTS!P2012),"",REPORTS!P2012)</f>
        <v>5.2719166683520115E-3</v>
      </c>
      <c r="K2455" s="1374">
        <f>+IF(ISBLANK(REPORTS!Q2012),"",REPORTS!Q2012)</f>
        <v>0</v>
      </c>
      <c r="L2455" s="1374"/>
      <c r="M2455" s="1324"/>
    </row>
    <row r="2456" spans="1:13">
      <c r="D2456" s="1324" t="str">
        <f>+IF(ISBLANK(REPORTS!J2013),"",REPORTS!J2013)</f>
        <v/>
      </c>
      <c r="E2456" s="1324" t="str">
        <f>+IF(ISBLANK(REPORTS!K2013),"",REPORTS!K2013)</f>
        <v/>
      </c>
      <c r="F2456" s="1324" t="str">
        <f>+IF(ISBLANK(REPORTS!L2013),"",REPORTS!L2013)</f>
        <v/>
      </c>
      <c r="G2456" s="1324" t="str">
        <f>+IF(ISBLANK(REPORTS!M2013),"",REPORTS!M2013)</f>
        <v/>
      </c>
      <c r="H2456" s="1324" t="str">
        <f>+IF(ISBLANK(REPORTS!N2013),"",REPORTS!N2013)</f>
        <v/>
      </c>
      <c r="I2456" s="1324" t="str">
        <f>+IF(ISBLANK(REPORTS!O2013),"",REPORTS!O2013)</f>
        <v/>
      </c>
      <c r="J2456" s="1324" t="str">
        <f>+IF(ISBLANK(REPORTS!P2013),"",REPORTS!P2013)</f>
        <v/>
      </c>
      <c r="K2456" s="1324" t="str">
        <f>+IF(ISBLANK(REPORTS!Q2013),"",REPORTS!Q2013)</f>
        <v/>
      </c>
      <c r="L2456" s="1324"/>
      <c r="M2456" s="1324"/>
    </row>
    <row r="2457" spans="1:13">
      <c r="A2457" s="1393">
        <v>405</v>
      </c>
      <c r="B2457" s="1324" t="s">
        <v>6134</v>
      </c>
      <c r="C2457" s="1344" t="s">
        <v>6122</v>
      </c>
      <c r="D2457" s="1324">
        <f>+IF(ISBLANK(REPORTS!J2014),"",REPORTS!J2014)</f>
        <v>19585405.539539233</v>
      </c>
      <c r="E2457" s="1324">
        <f>+IF(ISBLANK(REPORTS!K2014),"",REPORTS!K2014)</f>
        <v>10290068.453940002</v>
      </c>
      <c r="F2457" s="1324">
        <f>+IF(ISBLANK(REPORTS!L2014),"",REPORTS!L2014)</f>
        <v>950935.90074000007</v>
      </c>
      <c r="G2457" s="1324">
        <f>+IF(ISBLANK(REPORTS!M2014),"",REPORTS!M2014)</f>
        <v>7088227.647975089</v>
      </c>
      <c r="H2457" s="1324">
        <f>+IF(ISBLANK(REPORTS!N2014),"",REPORTS!N2014)</f>
        <v>1148446.0116341452</v>
      </c>
      <c r="I2457" s="1324">
        <f>+IF(ISBLANK(REPORTS!O2014),"",REPORTS!O2014)</f>
        <v>0</v>
      </c>
      <c r="J2457" s="1324">
        <f>+IF(ISBLANK(REPORTS!P2014),"",REPORTS!P2014)</f>
        <v>107727.52524999999</v>
      </c>
      <c r="K2457" s="1324">
        <f>+IF(ISBLANK(REPORTS!Q2014),"",REPORTS!Q2014)</f>
        <v>0</v>
      </c>
      <c r="L2457" s="1324"/>
      <c r="M2457" s="1324"/>
    </row>
    <row r="2458" spans="1:13">
      <c r="A2458" s="1393">
        <v>405</v>
      </c>
      <c r="B2458" s="1324" t="s">
        <v>6117</v>
      </c>
      <c r="C2458" s="1502"/>
      <c r="D2458" s="1374">
        <f>+IF(ISBLANK(REPORTS!J2015),"",REPORTS!J2015)</f>
        <v>1.0000000000000002</v>
      </c>
      <c r="E2458" s="1374">
        <f>+IF(ISBLANK(REPORTS!K2015),"",REPORTS!K2015)</f>
        <v>0.52539470950276201</v>
      </c>
      <c r="F2458" s="1374">
        <f>+IF(ISBLANK(REPORTS!L2015),"",REPORTS!L2015)</f>
        <v>4.8553291317876474E-2</v>
      </c>
      <c r="G2458" s="1374">
        <f>+IF(ISBLANK(REPORTS!M2015),"",REPORTS!M2015)</f>
        <v>0.36191375428327471</v>
      </c>
      <c r="H2458" s="1374">
        <f>+IF(ISBLANK(REPORTS!N2015),"",REPORTS!N2015)</f>
        <v>5.8637846906751542E-2</v>
      </c>
      <c r="I2458" s="1374">
        <f>+IF(ISBLANK(REPORTS!O2015),"",REPORTS!O2015)</f>
        <v>0</v>
      </c>
      <c r="J2458" s="1374">
        <f>+IF(ISBLANK(REPORTS!P2015),"",REPORTS!P2015)</f>
        <v>5.5003979893353998E-3</v>
      </c>
      <c r="K2458" s="1374">
        <f>+IF(ISBLANK(REPORTS!Q2015),"",REPORTS!Q2015)</f>
        <v>0</v>
      </c>
      <c r="L2458" s="1374"/>
      <c r="M2458" s="1324"/>
    </row>
    <row r="2459" spans="1:13">
      <c r="D2459" s="1374" t="str">
        <f>+IF(ISBLANK(REPORTS!J2016),"",REPORTS!J2016)</f>
        <v/>
      </c>
      <c r="E2459" s="1374" t="str">
        <f>+IF(ISBLANK(REPORTS!K2016),"",REPORTS!K2016)</f>
        <v/>
      </c>
      <c r="F2459" s="1374" t="str">
        <f>+IF(ISBLANK(REPORTS!L2016),"",REPORTS!L2016)</f>
        <v/>
      </c>
      <c r="G2459" s="1374" t="str">
        <f>+IF(ISBLANK(REPORTS!M2016),"",REPORTS!M2016)</f>
        <v/>
      </c>
      <c r="H2459" s="1374" t="str">
        <f>+IF(ISBLANK(REPORTS!N2016),"",REPORTS!N2016)</f>
        <v/>
      </c>
      <c r="I2459" s="1374" t="str">
        <f>+IF(ISBLANK(REPORTS!O2016),"",REPORTS!O2016)</f>
        <v/>
      </c>
      <c r="J2459" s="1374" t="str">
        <f>+IF(ISBLANK(REPORTS!P2016),"",REPORTS!P2016)</f>
        <v/>
      </c>
      <c r="K2459" s="1374" t="str">
        <f>+IF(ISBLANK(REPORTS!Q2016),"",REPORTS!Q2016)</f>
        <v/>
      </c>
      <c r="L2459" s="1374"/>
      <c r="M2459" s="1324"/>
    </row>
    <row r="2460" spans="1:13">
      <c r="A2460" s="1393">
        <v>406</v>
      </c>
      <c r="B2460" s="1324" t="s">
        <v>6135</v>
      </c>
      <c r="C2460" s="1344" t="s">
        <v>6122</v>
      </c>
      <c r="D2460" s="1324">
        <f>+IF(ISBLANK(REPORTS!J2017),"",REPORTS!J2017)</f>
        <v>18353841.420239165</v>
      </c>
      <c r="E2460" s="1324">
        <f>+IF(ISBLANK(REPORTS!K2017),"",REPORTS!K2017)</f>
        <v>10290068.453940002</v>
      </c>
      <c r="F2460" s="1324">
        <f>+IF(ISBLANK(REPORTS!L2017),"",REPORTS!L2017)</f>
        <v>950935.90074000007</v>
      </c>
      <c r="G2460" s="1324">
        <f>+IF(ISBLANK(REPORTS!M2017),"",REPORTS!M2017)</f>
        <v>7005109.5403091656</v>
      </c>
      <c r="H2460" s="1324">
        <f>+IF(ISBLANK(REPORTS!N2017),"",REPORTS!N2017)</f>
        <v>0</v>
      </c>
      <c r="I2460" s="1324">
        <f>+IF(ISBLANK(REPORTS!O2017),"",REPORTS!O2017)</f>
        <v>0</v>
      </c>
      <c r="J2460" s="1324">
        <f>+IF(ISBLANK(REPORTS!P2017),"",REPORTS!P2017)</f>
        <v>107727.52524999999</v>
      </c>
      <c r="K2460" s="1324">
        <f>+IF(ISBLANK(REPORTS!Q2017),"",REPORTS!Q2017)</f>
        <v>0</v>
      </c>
      <c r="L2460" s="1324"/>
      <c r="M2460" s="1324"/>
    </row>
    <row r="2461" spans="1:13">
      <c r="A2461" s="1393">
        <v>406</v>
      </c>
      <c r="B2461" s="1324" t="s">
        <v>6117</v>
      </c>
      <c r="C2461" s="1502"/>
      <c r="D2461" s="1374">
        <f>+IF(ISBLANK(REPORTS!J2018),"",REPORTS!J2018)</f>
        <v>1</v>
      </c>
      <c r="E2461" s="1374">
        <f>+IF(ISBLANK(REPORTS!K2018),"",REPORTS!K2018)</f>
        <v>0.56064930595907447</v>
      </c>
      <c r="F2461" s="1374">
        <f>+IF(ISBLANK(REPORTS!L2018),"",REPORTS!L2018)</f>
        <v>5.1811273671100978E-2</v>
      </c>
      <c r="G2461" s="1374">
        <f>+IF(ISBLANK(REPORTS!M2018),"",REPORTS!M2018)</f>
        <v>0.3816699392741012</v>
      </c>
      <c r="H2461" s="1374">
        <f>+IF(ISBLANK(REPORTS!N2018),"",REPORTS!N2018)</f>
        <v>0</v>
      </c>
      <c r="I2461" s="1374">
        <f>+IF(ISBLANK(REPORTS!O2018),"",REPORTS!O2018)</f>
        <v>0</v>
      </c>
      <c r="J2461" s="1374">
        <f>+IF(ISBLANK(REPORTS!P2018),"",REPORTS!P2018)</f>
        <v>5.8694810957234597E-3</v>
      </c>
      <c r="K2461" s="1374">
        <f>+IF(ISBLANK(REPORTS!Q2018),"",REPORTS!Q2018)</f>
        <v>0</v>
      </c>
      <c r="L2461" s="1374"/>
      <c r="M2461" s="1324"/>
    </row>
    <row r="2462" spans="1:13">
      <c r="C2462" s="1502"/>
      <c r="D2462" s="1374" t="str">
        <f>+IF(ISBLANK(REPORTS!J2019),"",REPORTS!J2019)</f>
        <v/>
      </c>
      <c r="E2462" s="1374" t="str">
        <f>+IF(ISBLANK(REPORTS!K2019),"",REPORTS!K2019)</f>
        <v/>
      </c>
      <c r="F2462" s="1374" t="str">
        <f>+IF(ISBLANK(REPORTS!L2019),"",REPORTS!L2019)</f>
        <v/>
      </c>
      <c r="G2462" s="1374" t="str">
        <f>+IF(ISBLANK(REPORTS!M2019),"",REPORTS!M2019)</f>
        <v/>
      </c>
      <c r="H2462" s="1374" t="str">
        <f>+IF(ISBLANK(REPORTS!N2019),"",REPORTS!N2019)</f>
        <v/>
      </c>
      <c r="I2462" s="1374" t="str">
        <f>+IF(ISBLANK(REPORTS!O2019),"",REPORTS!O2019)</f>
        <v/>
      </c>
      <c r="J2462" s="1374" t="str">
        <f>+IF(ISBLANK(REPORTS!P2019),"",REPORTS!P2019)</f>
        <v/>
      </c>
      <c r="K2462" s="1374" t="str">
        <f>+IF(ISBLANK(REPORTS!Q2019),"",REPORTS!Q2019)</f>
        <v/>
      </c>
      <c r="L2462" s="1374"/>
      <c r="M2462" s="1324"/>
    </row>
    <row r="2463" spans="1:13">
      <c r="A2463" s="1393">
        <v>412</v>
      </c>
      <c r="B2463" s="1324" t="s">
        <v>4795</v>
      </c>
      <c r="C2463" s="1344" t="s">
        <v>6136</v>
      </c>
      <c r="D2463" s="1364">
        <f>+IF(ISBLANK(REPORTS!J2020),"",REPORTS!J2020)</f>
        <v>10348044</v>
      </c>
      <c r="E2463" s="1364">
        <f>+IF(ISBLANK(REPORTS!K2020),"",REPORTS!K2020)</f>
        <v>9229284</v>
      </c>
      <c r="F2463" s="1364">
        <f>+IF(ISBLANK(REPORTS!L2020),"",REPORTS!L2020)</f>
        <v>894696</v>
      </c>
      <c r="G2463" s="1364">
        <f>+IF(ISBLANK(REPORTS!M2020),"",REPORTS!M2020)</f>
        <v>220356</v>
      </c>
      <c r="H2463" s="1364">
        <f>+IF(ISBLANK(REPORTS!N2020),"",REPORTS!N2020)</f>
        <v>744</v>
      </c>
      <c r="I2463" s="1364">
        <f>+IF(ISBLANK(REPORTS!O2020),"",REPORTS!O2020)</f>
        <v>132</v>
      </c>
      <c r="J2463" s="1364">
        <f>+IF(ISBLANK(REPORTS!P2020),"",REPORTS!P2020)</f>
        <v>2832</v>
      </c>
      <c r="K2463" s="1364">
        <f>+IF(ISBLANK(REPORTS!Q2020),"",REPORTS!Q2020)</f>
        <v>0</v>
      </c>
      <c r="L2463" s="1374"/>
      <c r="M2463" s="1324"/>
    </row>
    <row r="2464" spans="1:13">
      <c r="A2464" s="1393">
        <v>412</v>
      </c>
      <c r="B2464" s="1324" t="s">
        <v>6117</v>
      </c>
      <c r="C2464" s="1502"/>
      <c r="D2464" s="1374">
        <f>+IF(ISBLANK(REPORTS!J2021),"",REPORTS!J2021)</f>
        <v>1</v>
      </c>
      <c r="E2464" s="1374">
        <f>+IF(ISBLANK(REPORTS!K2021),"",REPORTS!K2021)</f>
        <v>0.89188681455161956</v>
      </c>
      <c r="F2464" s="1374">
        <f>+IF(ISBLANK(REPORTS!L2021),"",REPORTS!L2021)</f>
        <v>8.646039773313681E-2</v>
      </c>
      <c r="G2464" s="1374">
        <f>+IF(ISBLANK(REPORTS!M2021),"",REPORTS!M2021)</f>
        <v>2.1294459126768306E-2</v>
      </c>
      <c r="H2464" s="1374">
        <f>+IF(ISBLANK(REPORTS!N2021),"",REPORTS!N2021)</f>
        <v>7.1897645584035008E-5</v>
      </c>
      <c r="I2464" s="1374">
        <f>+IF(ISBLANK(REPORTS!O2021),"",REPORTS!O2021)</f>
        <v>1.2756033893941696E-5</v>
      </c>
      <c r="J2464" s="1374">
        <f>+IF(ISBLANK(REPORTS!P2021),"",REPORTS!P2021)</f>
        <v>2.7367490899729455E-4</v>
      </c>
      <c r="K2464" s="1374">
        <f>+IF(ISBLANK(REPORTS!Q2021),"",REPORTS!Q2021)</f>
        <v>0</v>
      </c>
      <c r="L2464" s="1374"/>
      <c r="M2464" s="1324"/>
    </row>
    <row r="2465" spans="1:13">
      <c r="A2465" s="1543"/>
      <c r="B2465" s="1360"/>
      <c r="C2465" s="1447"/>
      <c r="D2465" s="1399" t="str">
        <f>+IF(ISBLANK(REPORTS!J2022),"",REPORTS!J2022)</f>
        <v/>
      </c>
      <c r="E2465" s="1360" t="str">
        <f>+IF(ISBLANK(REPORTS!K2022),"",REPORTS!K2022)</f>
        <v/>
      </c>
      <c r="F2465" s="1360" t="str">
        <f>+IF(ISBLANK(REPORTS!L2022),"",REPORTS!L2022)</f>
        <v/>
      </c>
      <c r="G2465" s="1360" t="str">
        <f>+IF(ISBLANK(REPORTS!M2022),"",REPORTS!M2022)</f>
        <v/>
      </c>
      <c r="H2465" s="1360" t="str">
        <f>+IF(ISBLANK(REPORTS!N2022),"",REPORTS!N2022)</f>
        <v/>
      </c>
      <c r="I2465" s="1360" t="str">
        <f>+IF(ISBLANK(REPORTS!O2022),"",REPORTS!O2022)</f>
        <v/>
      </c>
      <c r="J2465" s="1399" t="str">
        <f>+IF(ISBLANK(REPORTS!P2022),"",REPORTS!P2022)</f>
        <v/>
      </c>
      <c r="K2465" s="1399" t="str">
        <f>+IF(ISBLANK(REPORTS!Q2022),"",REPORTS!Q2022)</f>
        <v/>
      </c>
      <c r="L2465" s="1374"/>
      <c r="M2465" s="1324"/>
    </row>
    <row r="2466" spans="1:13">
      <c r="A2466" s="1544">
        <v>418</v>
      </c>
      <c r="B2466" s="1324" t="s">
        <v>4824</v>
      </c>
      <c r="C2466" s="1511" t="s">
        <v>6137</v>
      </c>
      <c r="D2466" s="1364">
        <f>+IF(ISBLANK(REPORTS!J2023),"",REPORTS!J2023)</f>
        <v>862322</v>
      </c>
      <c r="E2466" s="1545">
        <f>+IF(ISBLANK(REPORTS!K2023),"",REPORTS!K2023)</f>
        <v>769107</v>
      </c>
      <c r="F2466" s="1545">
        <f>+IF(ISBLANK(REPORTS!L2023),"",REPORTS!L2023)</f>
        <v>74558</v>
      </c>
      <c r="G2466" s="1545">
        <f>+IF(ISBLANK(REPORTS!M2023),"",REPORTS!M2023)</f>
        <v>18359</v>
      </c>
      <c r="H2466" s="1545">
        <f>+IF(ISBLANK(REPORTS!N2023),"",REPORTS!N2023)</f>
        <v>62</v>
      </c>
      <c r="I2466" s="1545">
        <f>+IF(ISBLANK(REPORTS!O2023),"",REPORTS!O2023)</f>
        <v>0</v>
      </c>
      <c r="J2466" s="1545">
        <f>+IF(ISBLANK(REPORTS!P2023),"",REPORTS!P2023)</f>
        <v>236</v>
      </c>
      <c r="K2466" s="1545">
        <f>+IF(ISBLANK(REPORTS!Q2023),"",REPORTS!Q2023)</f>
        <v>0</v>
      </c>
      <c r="L2466" s="1545"/>
      <c r="M2466" s="1545"/>
    </row>
    <row r="2467" spans="1:13">
      <c r="A2467" s="1393">
        <v>418</v>
      </c>
      <c r="B2467" s="1324" t="s">
        <v>6117</v>
      </c>
      <c r="C2467" s="1502" t="s">
        <v>3179</v>
      </c>
      <c r="D2467" s="1374">
        <f>+IF(ISBLANK(REPORTS!J2024),"",REPORTS!J2024)</f>
        <v>0.99999999999999989</v>
      </c>
      <c r="E2467" s="1374">
        <f>+IF(ISBLANK(REPORTS!K2024),"",REPORTS!K2024)</f>
        <v>0.89190232882844223</v>
      </c>
      <c r="F2467" s="1374">
        <f>+IF(ISBLANK(REPORTS!L2024),"",REPORTS!L2024)</f>
        <v>8.6461901702612254E-2</v>
      </c>
      <c r="G2467" s="1374">
        <f>+IF(ISBLANK(REPORTS!M2024),"",REPORTS!M2024)</f>
        <v>2.1290190903166101E-2</v>
      </c>
      <c r="H2467" s="1374">
        <f>+IF(ISBLANK(REPORTS!N2024),"",REPORTS!N2024)</f>
        <v>7.1898896235976812E-5</v>
      </c>
      <c r="I2467" s="1374">
        <f>+IF(ISBLANK(REPORTS!O2024),"",REPORTS!O2024)</f>
        <v>0</v>
      </c>
      <c r="J2467" s="1374">
        <f>+IF(ISBLANK(REPORTS!P2024),"",REPORTS!P2024)</f>
        <v>2.7367966954339564E-4</v>
      </c>
      <c r="K2467" s="1374">
        <f>+IF(ISBLANK(REPORTS!Q2024),"",REPORTS!Q2024)</f>
        <v>0</v>
      </c>
      <c r="L2467" s="1360"/>
      <c r="M2467" s="1324"/>
    </row>
    <row r="2468" spans="1:13">
      <c r="A2468" s="1543"/>
      <c r="B2468" s="1360"/>
      <c r="C2468" s="1447"/>
      <c r="D2468" s="1399" t="str">
        <f>+IF(ISBLANK(REPORTS!J2025),"",REPORTS!J2025)</f>
        <v/>
      </c>
      <c r="E2468" s="1360" t="str">
        <f>+IF(ISBLANK(REPORTS!K2025),"",REPORTS!K2025)</f>
        <v/>
      </c>
      <c r="F2468" s="1360" t="str">
        <f>+IF(ISBLANK(REPORTS!L2025),"",REPORTS!L2025)</f>
        <v/>
      </c>
      <c r="G2468" s="1360" t="str">
        <f>+IF(ISBLANK(REPORTS!M2025),"",REPORTS!M2025)</f>
        <v/>
      </c>
      <c r="H2468" s="1360" t="str">
        <f>+IF(ISBLANK(REPORTS!N2025),"",REPORTS!N2025)</f>
        <v/>
      </c>
      <c r="I2468" s="1360" t="str">
        <f>+IF(ISBLANK(REPORTS!O2025),"",REPORTS!O2025)</f>
        <v/>
      </c>
      <c r="J2468" s="1399" t="str">
        <f>+IF(ISBLANK(REPORTS!P2025),"",REPORTS!P2025)</f>
        <v/>
      </c>
      <c r="K2468" s="1399" t="str">
        <f>+IF(ISBLANK(REPORTS!Q2025),"",REPORTS!Q2025)</f>
        <v/>
      </c>
      <c r="L2468" s="1360"/>
      <c r="M2468" s="1324"/>
    </row>
    <row r="2469" spans="1:13">
      <c r="A2469" s="1544">
        <v>420</v>
      </c>
      <c r="B2469" s="1324" t="s">
        <v>4781</v>
      </c>
      <c r="C2469" s="1511" t="s">
        <v>6137</v>
      </c>
      <c r="D2469" s="1364">
        <f>+IF(ISBLANK(REPORTS!J2026),"",REPORTS!J2026)</f>
        <v>862093</v>
      </c>
      <c r="E2469" s="1545">
        <f>+IF(ISBLANK(REPORTS!K2026),"",REPORTS!K2026)</f>
        <v>769107</v>
      </c>
      <c r="F2469" s="1545">
        <f>+IF(ISBLANK(REPORTS!L2026),"",REPORTS!L2026)</f>
        <v>74539</v>
      </c>
      <c r="G2469" s="1545">
        <f>+IF(ISBLANK(REPORTS!M2026),"",REPORTS!M2026)</f>
        <v>18229</v>
      </c>
      <c r="H2469" s="1545">
        <f>+IF(ISBLANK(REPORTS!N2026),"",REPORTS!N2026)</f>
        <v>0</v>
      </c>
      <c r="I2469" s="1545">
        <f>+IF(ISBLANK(REPORTS!O2026),"",REPORTS!O2026)</f>
        <v>0</v>
      </c>
      <c r="J2469" s="1545">
        <f>+IF(ISBLANK(REPORTS!P2026),"",REPORTS!P2026)</f>
        <v>218</v>
      </c>
      <c r="K2469" s="1545">
        <f>+IF(ISBLANK(REPORTS!Q2026),"",REPORTS!Q2026)</f>
        <v>0</v>
      </c>
      <c r="L2469" s="1360"/>
      <c r="M2469" s="1324"/>
    </row>
    <row r="2470" spans="1:13">
      <c r="A2470" s="1393">
        <v>420</v>
      </c>
      <c r="B2470" s="1324" t="s">
        <v>6117</v>
      </c>
      <c r="C2470" s="1502" t="s">
        <v>3179</v>
      </c>
      <c r="D2470" s="1374">
        <f>+IF(ISBLANK(REPORTS!J2027),"",REPORTS!J2027)</f>
        <v>1</v>
      </c>
      <c r="E2470" s="1374">
        <f>+IF(ISBLANK(REPORTS!K2027),"",REPORTS!K2027)</f>
        <v>0.89213924715778925</v>
      </c>
      <c r="F2470" s="1374">
        <f>+IF(ISBLANK(REPORTS!L2027),"",REPORTS!L2027)</f>
        <v>8.6462829416315876E-2</v>
      </c>
      <c r="G2470" s="1374">
        <f>+IF(ISBLANK(REPORTS!M2027),"",REPORTS!M2027)</f>
        <v>2.114505047599273E-2</v>
      </c>
      <c r="H2470" s="1374">
        <f>+IF(ISBLANK(REPORTS!N2027),"",REPORTS!N2027)</f>
        <v>0</v>
      </c>
      <c r="I2470" s="1374">
        <f>+IF(ISBLANK(REPORTS!O2027),"",REPORTS!O2027)</f>
        <v>0</v>
      </c>
      <c r="J2470" s="1374">
        <f>+IF(ISBLANK(REPORTS!P2027),"",REPORTS!P2027)</f>
        <v>2.5287294990215673E-4</v>
      </c>
      <c r="K2470" s="1374">
        <f>+IF(ISBLANK(REPORTS!Q2027),"",REPORTS!Q2027)</f>
        <v>0</v>
      </c>
      <c r="L2470" s="1360"/>
      <c r="M2470" s="1324"/>
    </row>
    <row r="2471" spans="1:13">
      <c r="A2471" s="1324"/>
      <c r="D2471" s="1545"/>
      <c r="E2471" s="1545"/>
      <c r="F2471" s="1545"/>
      <c r="G2471" s="1326"/>
      <c r="H2471" s="1326"/>
      <c r="I2471" s="1326"/>
      <c r="J2471" s="1545"/>
      <c r="K2471" s="1545"/>
      <c r="L2471" s="1324"/>
      <c r="M2471" s="1324"/>
    </row>
    <row r="2472" spans="1:13">
      <c r="A2472" s="1324"/>
      <c r="D2472" s="1374"/>
      <c r="E2472" s="1374"/>
      <c r="F2472" s="1374"/>
      <c r="G2472" s="1374"/>
      <c r="H2472" s="1374"/>
      <c r="I2472" s="1374"/>
      <c r="J2472" s="1374"/>
      <c r="K2472" s="1374"/>
      <c r="L2472" s="1324"/>
      <c r="M2472" s="1324"/>
    </row>
    <row r="2473" spans="1:13">
      <c r="A2473" s="1324"/>
      <c r="L2473" s="1324"/>
      <c r="M2473" s="1324"/>
    </row>
    <row r="2474" spans="1:13">
      <c r="L2474" s="1324"/>
    </row>
    <row r="2475" spans="1:13">
      <c r="L2475" s="1324"/>
    </row>
    <row r="2476" spans="1:13">
      <c r="L2476" s="1324"/>
    </row>
    <row r="2477" spans="1:13">
      <c r="L2477" s="1324"/>
    </row>
    <row r="2478" spans="1:13">
      <c r="L2478" s="1324"/>
    </row>
    <row r="2479" spans="1:13">
      <c r="L2479" s="1324"/>
    </row>
    <row r="2480" spans="1:13">
      <c r="L2480" s="1324"/>
    </row>
    <row r="2481" spans="1:13">
      <c r="L2481" s="1324"/>
    </row>
    <row r="2482" spans="1:13">
      <c r="L2482" s="1324"/>
    </row>
    <row r="2483" spans="1:13">
      <c r="L2483" s="1324"/>
    </row>
    <row r="2484" spans="1:13">
      <c r="L2484" s="1324"/>
    </row>
    <row r="2485" spans="1:13">
      <c r="L2485" s="1324"/>
    </row>
    <row r="2486" spans="1:13">
      <c r="A2486" s="1732" t="str">
        <f>+$A$1</f>
        <v>RATES WITH REVENUE DEFICIENCY ADDITION</v>
      </c>
      <c r="B2486" s="1326"/>
      <c r="F2486" s="1329" t="s">
        <v>2173</v>
      </c>
      <c r="G2486" s="1329"/>
      <c r="H2486" s="1329"/>
      <c r="I2486" s="1329"/>
      <c r="L2486" s="1334"/>
      <c r="M2486" s="1334" t="s">
        <v>4867</v>
      </c>
    </row>
    <row r="2487" spans="1:13">
      <c r="A2487" s="1732" t="str">
        <f>+$A$2</f>
        <v>PROD. CAP. ALLOC. METHOD: 12 CP &amp; 1/13th AD</v>
      </c>
      <c r="B2487" s="1326"/>
      <c r="F2487" s="1336" t="s">
        <v>5141</v>
      </c>
      <c r="G2487" s="1336"/>
      <c r="H2487" s="1336"/>
      <c r="I2487" s="1336"/>
      <c r="L2487" s="1324"/>
    </row>
    <row r="2488" spans="1:13">
      <c r="A2488" s="1732" t="str">
        <f>+$A$3</f>
        <v>PROJECTED CALENDAR YEAR 2025; FULLY ADJUSTED DATA</v>
      </c>
      <c r="F2488" s="1336"/>
      <c r="L2488" s="1324"/>
    </row>
    <row r="2489" spans="1:13">
      <c r="A2489" s="1732" t="str">
        <f>+$A$4</f>
        <v>MINIMUM DISTRIBUTION SYSTEM (MDS) NOT EMPLOYED</v>
      </c>
      <c r="L2489" s="1324"/>
    </row>
    <row r="2490" spans="1:13">
      <c r="A2490" s="1732" t="str">
        <f>+$A$5</f>
        <v>Tampa Electric 2025 OB Budget</v>
      </c>
      <c r="F2490" s="1336" t="s">
        <v>6112</v>
      </c>
      <c r="G2490" s="1336"/>
      <c r="H2490" s="1336"/>
      <c r="I2490" s="1336"/>
      <c r="L2490" s="1324"/>
    </row>
    <row r="2491" spans="1:13">
      <c r="A2491" s="1733"/>
      <c r="F2491" s="1336"/>
      <c r="G2491" s="1336"/>
      <c r="H2491" s="1336"/>
      <c r="I2491" s="1336"/>
      <c r="L2491" s="1324"/>
    </row>
    <row r="2492" spans="1:13">
      <c r="L2492" s="1324"/>
    </row>
    <row r="2493" spans="1:13" ht="28.2">
      <c r="A2493" s="1737" t="s">
        <v>6113</v>
      </c>
      <c r="B2493" s="1353"/>
      <c r="C2493" s="1353" t="s">
        <v>6114</v>
      </c>
      <c r="D2493" s="1352" t="s">
        <v>4957</v>
      </c>
      <c r="E2493" s="1353" t="s">
        <v>1949</v>
      </c>
      <c r="F2493" s="1353" t="s">
        <v>1950</v>
      </c>
      <c r="G2493" s="1353" t="s">
        <v>1934</v>
      </c>
      <c r="H2493" s="1353" t="s">
        <v>1971</v>
      </c>
      <c r="I2493" s="1353" t="s">
        <v>1972</v>
      </c>
      <c r="J2493" s="1352" t="s">
        <v>5146</v>
      </c>
      <c r="K2493" s="1352" t="s">
        <v>5147</v>
      </c>
      <c r="L2493" s="1360"/>
    </row>
    <row r="2494" spans="1:13">
      <c r="A2494" s="1543"/>
      <c r="B2494" s="1360"/>
      <c r="C2494" s="1447"/>
      <c r="D2494" s="1399"/>
      <c r="E2494" s="1360"/>
      <c r="F2494" s="1360"/>
      <c r="G2494" s="1360"/>
      <c r="H2494" s="1360"/>
      <c r="I2494" s="1360"/>
      <c r="J2494" s="1399"/>
      <c r="K2494" s="1399"/>
      <c r="L2494" s="1360"/>
    </row>
    <row r="2495" spans="1:13">
      <c r="A2495" s="1393">
        <v>501</v>
      </c>
      <c r="B2495" s="1324" t="s">
        <v>4778</v>
      </c>
      <c r="C2495" s="1344" t="s">
        <v>6125</v>
      </c>
      <c r="D2495" s="1364">
        <f>+IF(ISBLANK(REPORTS!J2042),"",REPORTS!J2042)</f>
        <v>1774352.2642492782</v>
      </c>
      <c r="E2495" s="1326">
        <f>+IF(ISBLANK(REPORTS!K2042),"",REPORTS!K2042)</f>
        <v>1031095.7438643834</v>
      </c>
      <c r="F2495" s="1326">
        <f>+IF(ISBLANK(REPORTS!L2042),"",REPORTS!L2042)</f>
        <v>95215.926359999998</v>
      </c>
      <c r="G2495" s="1326">
        <f>+IF(ISBLANK(REPORTS!M2042),"",REPORTS!M2042)</f>
        <v>472409.06597747206</v>
      </c>
      <c r="H2495" s="1326">
        <f>+IF(ISBLANK(REPORTS!N2042),"",REPORTS!N2042)</f>
        <v>56248.638876056895</v>
      </c>
      <c r="I2495" s="1326">
        <f>+IF(ISBLANK(REPORTS!O2042),"",REPORTS!O2042)</f>
        <v>33101.5829713657</v>
      </c>
      <c r="J2495" s="1326">
        <f>+IF(ISBLANK(REPORTS!P2042),"",REPORTS!P2042)</f>
        <v>3573.4600599999999</v>
      </c>
      <c r="K2495" s="1326">
        <f>+IF(ISBLANK(REPORTS!Q2042),"",REPORTS!Q2042)</f>
        <v>82707.846140000009</v>
      </c>
      <c r="L2495" s="1324"/>
      <c r="M2495" s="1324"/>
    </row>
    <row r="2496" spans="1:13">
      <c r="A2496" s="1393">
        <v>501</v>
      </c>
      <c r="B2496" s="1324" t="s">
        <v>6117</v>
      </c>
      <c r="C2496" s="1502" t="s">
        <v>3179</v>
      </c>
      <c r="D2496" s="1374">
        <f>+IF(ISBLANK(REPORTS!J2043),"",REPORTS!J2043)</f>
        <v>1</v>
      </c>
      <c r="E2496" s="1374">
        <f>+IF(ISBLANK(REPORTS!K2043),"",REPORTS!K2043)</f>
        <v>0.58111107058024702</v>
      </c>
      <c r="F2496" s="1374">
        <f>+IF(ISBLANK(REPORTS!L2043),"",REPORTS!L2043)</f>
        <v>5.3662357964913747E-2</v>
      </c>
      <c r="G2496" s="1374">
        <f>+IF(ISBLANK(REPORTS!M2043),"",REPORTS!M2043)</f>
        <v>0.26624311051185012</v>
      </c>
      <c r="H2496" s="1374">
        <f>+IF(ISBLANK(REPORTS!N2043),"",REPORTS!N2043)</f>
        <v>3.1700942371697245E-2</v>
      </c>
      <c r="I2496" s="1374">
        <f>+IF(ISBLANK(REPORTS!O2043),"",REPORTS!O2043)</f>
        <v>1.8655586964503271E-2</v>
      </c>
      <c r="J2496" s="1374">
        <f>+IF(ISBLANK(REPORTS!P2043),"",REPORTS!P2043)</f>
        <v>2.0139518696485658E-3</v>
      </c>
      <c r="K2496" s="1374">
        <f>+IF(ISBLANK(REPORTS!Q2043),"",REPORTS!Q2043)</f>
        <v>4.6612979737139959E-2</v>
      </c>
      <c r="L2496" s="1374"/>
      <c r="M2496" s="1324"/>
    </row>
    <row r="2497" spans="1:13">
      <c r="D2497" s="1324" t="str">
        <f>+IF(ISBLANK(REPORTS!J2044),"",REPORTS!J2044)</f>
        <v/>
      </c>
      <c r="E2497" s="1324" t="str">
        <f>+IF(ISBLANK(REPORTS!K2044),"",REPORTS!K2044)</f>
        <v/>
      </c>
      <c r="F2497" s="1324" t="str">
        <f>+IF(ISBLANK(REPORTS!L2044),"",REPORTS!L2044)</f>
        <v/>
      </c>
      <c r="G2497" s="1324" t="str">
        <f>+IF(ISBLANK(REPORTS!M2044),"",REPORTS!M2044)</f>
        <v/>
      </c>
      <c r="H2497" s="1324" t="str">
        <f>+IF(ISBLANK(REPORTS!N2044),"",REPORTS!N2044)</f>
        <v/>
      </c>
      <c r="I2497" s="1324" t="str">
        <f>+IF(ISBLANK(REPORTS!O2044),"",REPORTS!O2044)</f>
        <v/>
      </c>
      <c r="J2497" s="1324" t="str">
        <f>+IF(ISBLANK(REPORTS!P2044),"",REPORTS!P2044)</f>
        <v/>
      </c>
      <c r="K2497" s="1324" t="str">
        <f>+IF(ISBLANK(REPORTS!Q2044),"",REPORTS!Q2044)</f>
        <v/>
      </c>
      <c r="L2497" s="1324"/>
      <c r="M2497" s="1324"/>
    </row>
    <row r="2498" spans="1:13">
      <c r="A2498" s="1393">
        <v>507</v>
      </c>
      <c r="B2498" s="1324" t="s">
        <v>4842</v>
      </c>
      <c r="C2498" s="1344" t="s">
        <v>6125</v>
      </c>
      <c r="D2498" s="1364">
        <f>+IF(ISBLANK(REPORTS!J2045),"",REPORTS!J2045)</f>
        <v>1774352.2642492782</v>
      </c>
      <c r="E2498" s="1324">
        <f>+IF(ISBLANK(REPORTS!K2045),"",REPORTS!K2045)</f>
        <v>1031095.7438643834</v>
      </c>
      <c r="F2498" s="1324">
        <f>+IF(ISBLANK(REPORTS!L2045),"",REPORTS!L2045)</f>
        <v>95215.926359999998</v>
      </c>
      <c r="G2498" s="1324">
        <f>+IF(ISBLANK(REPORTS!M2045),"",REPORTS!M2045)</f>
        <v>472409.06597747206</v>
      </c>
      <c r="H2498" s="1324">
        <f>+IF(ISBLANK(REPORTS!N2045),"",REPORTS!N2045)</f>
        <v>56248.638876056895</v>
      </c>
      <c r="I2498" s="1324">
        <f>+IF(ISBLANK(REPORTS!O2045),"",REPORTS!O2045)</f>
        <v>33101.5829713657</v>
      </c>
      <c r="J2498" s="1324">
        <f>+IF(ISBLANK(REPORTS!P2045),"",REPORTS!P2045)</f>
        <v>3573.4600599999999</v>
      </c>
      <c r="K2498" s="1324">
        <f>+IF(ISBLANK(REPORTS!Q2045),"",REPORTS!Q2045)</f>
        <v>82707.846140000009</v>
      </c>
      <c r="L2498" s="1324"/>
      <c r="M2498" s="1324"/>
    </row>
    <row r="2499" spans="1:13">
      <c r="A2499" s="1393">
        <v>507</v>
      </c>
      <c r="B2499" s="1324" t="s">
        <v>6117</v>
      </c>
      <c r="C2499" s="1344" t="s">
        <v>3179</v>
      </c>
      <c r="D2499" s="1374">
        <f>+IF(ISBLANK(REPORTS!J2046),"",REPORTS!J2046)</f>
        <v>1</v>
      </c>
      <c r="E2499" s="1374">
        <f>+IF(ISBLANK(REPORTS!K2046),"",REPORTS!K2046)</f>
        <v>0.58111107058024702</v>
      </c>
      <c r="F2499" s="1374">
        <f>+IF(ISBLANK(REPORTS!L2046),"",REPORTS!L2046)</f>
        <v>5.3662357964913747E-2</v>
      </c>
      <c r="G2499" s="1374">
        <f>+IF(ISBLANK(REPORTS!M2046),"",REPORTS!M2046)</f>
        <v>0.26624311051185012</v>
      </c>
      <c r="H2499" s="1374">
        <f>+IF(ISBLANK(REPORTS!N2046),"",REPORTS!N2046)</f>
        <v>3.1700942371697245E-2</v>
      </c>
      <c r="I2499" s="1374">
        <f>+IF(ISBLANK(REPORTS!O2046),"",REPORTS!O2046)</f>
        <v>1.8655586964503271E-2</v>
      </c>
      <c r="J2499" s="1374">
        <f>+IF(ISBLANK(REPORTS!P2046),"",REPORTS!P2046)</f>
        <v>2.0139518696485658E-3</v>
      </c>
      <c r="K2499" s="1374">
        <f>+IF(ISBLANK(REPORTS!Q2046),"",REPORTS!Q2046)</f>
        <v>4.6612979737139959E-2</v>
      </c>
      <c r="L2499" s="1374"/>
      <c r="M2499" s="1324"/>
    </row>
    <row r="2500" spans="1:13">
      <c r="D2500" s="1324" t="str">
        <f>+IF(ISBLANK(REPORTS!J2047),"",REPORTS!J2047)</f>
        <v/>
      </c>
      <c r="E2500" s="1324" t="str">
        <f>+IF(ISBLANK(REPORTS!K2047),"",REPORTS!K2047)</f>
        <v/>
      </c>
      <c r="F2500" s="1324" t="str">
        <f>+IF(ISBLANK(REPORTS!L2047),"",REPORTS!L2047)</f>
        <v/>
      </c>
      <c r="G2500" s="1324" t="str">
        <f>+IF(ISBLANK(REPORTS!M2047),"",REPORTS!M2047)</f>
        <v/>
      </c>
      <c r="H2500" s="1324" t="str">
        <f>+IF(ISBLANK(REPORTS!N2047),"",REPORTS!N2047)</f>
        <v/>
      </c>
      <c r="I2500" s="1324" t="str">
        <f>+IF(ISBLANK(REPORTS!O2047),"",REPORTS!O2047)</f>
        <v/>
      </c>
      <c r="J2500" s="1324" t="str">
        <f>+IF(ISBLANK(REPORTS!P2047),"",REPORTS!P2047)</f>
        <v/>
      </c>
      <c r="K2500" s="1324" t="str">
        <f>+IF(ISBLANK(REPORTS!Q2047),"",REPORTS!Q2047)</f>
        <v/>
      </c>
      <c r="L2500" s="1324"/>
    </row>
    <row r="2501" spans="1:13">
      <c r="A2501" s="1393">
        <v>508</v>
      </c>
      <c r="B2501" s="1324" t="s">
        <v>4802</v>
      </c>
      <c r="C2501" s="1344" t="s">
        <v>6125</v>
      </c>
      <c r="D2501" s="1410">
        <f>+IF(ISBLANK(REPORTS!J2048),"",REPORTS!J2048)</f>
        <v>-70.099129249415967</v>
      </c>
      <c r="E2501" s="1410">
        <f>+IF(ISBLANK(REPORTS!K2048),"",REPORTS!K2048)</f>
        <v>-161.08847186830459</v>
      </c>
      <c r="F2501" s="1410">
        <f>+IF(ISBLANK(REPORTS!L2048),"",REPORTS!L2048)</f>
        <v>-1.9674397927552434</v>
      </c>
      <c r="G2501" s="1410">
        <f>+IF(ISBLANK(REPORTS!M2048),"",REPORTS!M2048)</f>
        <v>69.541555740602192</v>
      </c>
      <c r="H2501" s="1410">
        <f>+IF(ISBLANK(REPORTS!N2048),"",REPORTS!N2048)</f>
        <v>21.01500523825645</v>
      </c>
      <c r="I2501" s="1410">
        <f>+IF(ISBLANK(REPORTS!O2048),"",REPORTS!O2048)</f>
        <v>2.4002214327852136</v>
      </c>
      <c r="J2501" s="1410">
        <f>+IF(ISBLANK(REPORTS!P2048),"",REPORTS!P2048)</f>
        <v>0</v>
      </c>
      <c r="K2501" s="1410">
        <f>+IF(ISBLANK(REPORTS!Q2048),"",REPORTS!Q2048)</f>
        <v>0</v>
      </c>
      <c r="L2501" s="1324"/>
    </row>
    <row r="2502" spans="1:13">
      <c r="A2502" s="1393">
        <v>508</v>
      </c>
      <c r="B2502" s="1324" t="s">
        <v>6117</v>
      </c>
      <c r="C2502" s="1502" t="s">
        <v>3179</v>
      </c>
      <c r="D2502" s="1374">
        <f>+IF(ISBLANK(REPORTS!J2049),"",REPORTS!J2049)</f>
        <v>1</v>
      </c>
      <c r="E2502" s="1374">
        <f>+IF(ISBLANK(REPORTS!K2049),"",REPORTS!K2049)</f>
        <v>2.2980095985949314</v>
      </c>
      <c r="F2502" s="1374">
        <f>+IF(ISBLANK(REPORTS!L2049),"",REPORTS!L2049)</f>
        <v>2.8066536828938358E-2</v>
      </c>
      <c r="G2502" s="1374">
        <f>+IF(ISBLANK(REPORTS!M2049),"",REPORTS!M2049)</f>
        <v>-0.99204592817651271</v>
      </c>
      <c r="H2502" s="1374">
        <f>+IF(ISBLANK(REPORTS!N2049),"",REPORTS!N2049)</f>
        <v>-0.29978981855087078</v>
      </c>
      <c r="I2502" s="1374">
        <f>+IF(ISBLANK(REPORTS!O2049),"",REPORTS!O2049)</f>
        <v>-3.4240388696485997E-2</v>
      </c>
      <c r="J2502" s="1374">
        <f>+IF(ISBLANK(REPORTS!P2049),"",REPORTS!P2049)</f>
        <v>0</v>
      </c>
      <c r="K2502" s="1374">
        <f>+IF(ISBLANK(REPORTS!Q2049),"",REPORTS!Q2049)</f>
        <v>0</v>
      </c>
      <c r="L2502" s="1324"/>
    </row>
    <row r="2503" spans="1:13">
      <c r="D2503" s="1324" t="str">
        <f>+IF(ISBLANK(REPORTS!J2050),"",REPORTS!J2050)</f>
        <v/>
      </c>
      <c r="E2503" s="1324" t="str">
        <f>+IF(ISBLANK(REPORTS!K2050),"",REPORTS!K2050)</f>
        <v/>
      </c>
      <c r="F2503" s="1324" t="str">
        <f>+IF(ISBLANK(REPORTS!L2050),"",REPORTS!L2050)</f>
        <v/>
      </c>
      <c r="G2503" s="1324" t="str">
        <f>+IF(ISBLANK(REPORTS!M2050),"",REPORTS!M2050)</f>
        <v/>
      </c>
      <c r="H2503" s="1324" t="str">
        <f>+IF(ISBLANK(REPORTS!N2050),"",REPORTS!N2050)</f>
        <v/>
      </c>
      <c r="I2503" s="1324" t="str">
        <f>+IF(ISBLANK(REPORTS!O2050),"",REPORTS!O2050)</f>
        <v/>
      </c>
      <c r="J2503" s="1324" t="str">
        <f>+IF(ISBLANK(REPORTS!P2050),"",REPORTS!P2050)</f>
        <v/>
      </c>
      <c r="K2503" s="1324" t="str">
        <f>+IF(ISBLANK(REPORTS!Q2050),"",REPORTS!Q2050)</f>
        <v/>
      </c>
      <c r="L2503" s="1324"/>
    </row>
    <row r="2504" spans="1:13">
      <c r="A2504" s="1393">
        <v>607</v>
      </c>
      <c r="B2504" s="1324" t="s">
        <v>6142</v>
      </c>
      <c r="C2504" s="1344" t="s">
        <v>6125</v>
      </c>
      <c r="D2504" s="1324">
        <f>+IF(ISBLANK(REPORTS!J2051),"",REPORTS!J2051)</f>
        <v>18434.779499890956</v>
      </c>
      <c r="E2504" s="1324">
        <f>+IF(ISBLANK(REPORTS!K2051),"",REPORTS!K2051)</f>
        <v>10347.576773275841</v>
      </c>
      <c r="F2504" s="1324">
        <f>+IF(ISBLANK(REPORTS!L2051),"",REPORTS!L2051)</f>
        <v>2010.4990868506331</v>
      </c>
      <c r="G2504" s="1324">
        <f>+IF(ISBLANK(REPORTS!M2051),"",REPORTS!M2051)</f>
        <v>1154.5872422362431</v>
      </c>
      <c r="H2504" s="1324">
        <f>+IF(ISBLANK(REPORTS!N2051),"",REPORTS!N2051)</f>
        <v>86.730529983003223</v>
      </c>
      <c r="I2504" s="1324">
        <f>+IF(ISBLANK(REPORTS!O2051),"",REPORTS!O2051)</f>
        <v>94.626648996379828</v>
      </c>
      <c r="J2504" s="1324">
        <f>+IF(ISBLANK(REPORTS!P2051),"",REPORTS!P2051)</f>
        <v>19.436183423044227</v>
      </c>
      <c r="K2504" s="1324">
        <f>+IF(ISBLANK(REPORTS!Q2051),"",REPORTS!Q2051)</f>
        <v>4721.3230351258117</v>
      </c>
      <c r="L2504" s="1324"/>
      <c r="M2504" s="1324"/>
    </row>
    <row r="2505" spans="1:13">
      <c r="A2505" s="1393">
        <v>607</v>
      </c>
      <c r="B2505" s="1324" t="s">
        <v>6117</v>
      </c>
      <c r="C2505" s="1502" t="s">
        <v>3179</v>
      </c>
      <c r="D2505" s="1374">
        <f>+IF(ISBLANK(REPORTS!J2052),"",REPORTS!J2052)</f>
        <v>1</v>
      </c>
      <c r="E2505" s="1374">
        <f>+IF(ISBLANK(REPORTS!K2052),"",REPORTS!K2052)</f>
        <v>0.56130732528355165</v>
      </c>
      <c r="F2505" s="1374">
        <f>+IF(ISBLANK(REPORTS!L2052),"",REPORTS!L2052)</f>
        <v>0.10906011036706599</v>
      </c>
      <c r="G2505" s="1374">
        <f>+IF(ISBLANK(REPORTS!M2052),"",REPORTS!M2052)</f>
        <v>6.2630922287032112E-2</v>
      </c>
      <c r="H2505" s="1374">
        <f>+IF(ISBLANK(REPORTS!N2052),"",REPORTS!N2052)</f>
        <v>4.7047229386994426E-3</v>
      </c>
      <c r="I2505" s="1374">
        <f>+IF(ISBLANK(REPORTS!O2052),"",REPORTS!O2052)</f>
        <v>5.1330502215629729E-3</v>
      </c>
      <c r="J2505" s="1374">
        <f>+IF(ISBLANK(REPORTS!P2052),"",REPORTS!P2052)</f>
        <v>1.0543214483883137E-3</v>
      </c>
      <c r="K2505" s="1374">
        <f>+IF(ISBLANK(REPORTS!Q2052),"",REPORTS!Q2052)</f>
        <v>0.25610954745369963</v>
      </c>
      <c r="L2505" s="1374"/>
      <c r="M2505" s="1374"/>
    </row>
    <row r="2506" spans="1:13">
      <c r="D2506" s="1324" t="str">
        <f>+IF(ISBLANK(REPORTS!J2053),"",REPORTS!J2053)</f>
        <v/>
      </c>
      <c r="E2506" s="1324" t="str">
        <f>+IF(ISBLANK(REPORTS!K2053),"",REPORTS!K2053)</f>
        <v/>
      </c>
      <c r="F2506" s="1324" t="str">
        <f>+IF(ISBLANK(REPORTS!L2053),"",REPORTS!L2053)</f>
        <v/>
      </c>
      <c r="G2506" s="1324" t="str">
        <f>+IF(ISBLANK(REPORTS!M2053),"",REPORTS!M2053)</f>
        <v/>
      </c>
      <c r="H2506" s="1324" t="str">
        <f>+IF(ISBLANK(REPORTS!N2053),"",REPORTS!N2053)</f>
        <v/>
      </c>
      <c r="I2506" s="1324" t="str">
        <f>+IF(ISBLANK(REPORTS!O2053),"",REPORTS!O2053)</f>
        <v/>
      </c>
      <c r="J2506" s="1324" t="str">
        <f>+IF(ISBLANK(REPORTS!P2053),"",REPORTS!P2053)</f>
        <v/>
      </c>
      <c r="K2506" s="1324" t="str">
        <f>+IF(ISBLANK(REPORTS!Q2053),"",REPORTS!Q2053)</f>
        <v/>
      </c>
      <c r="L2506" s="1324"/>
      <c r="M2506" s="1324"/>
    </row>
    <row r="2507" spans="1:13">
      <c r="A2507" s="1393">
        <v>907</v>
      </c>
      <c r="B2507" s="1324" t="s">
        <v>6144</v>
      </c>
      <c r="C2507" s="1344" t="s">
        <v>6125</v>
      </c>
      <c r="D2507" s="1324">
        <f>+IF(ISBLANK(REPORTS!J2054),"",REPORTS!J2054)</f>
        <v>830246.67682678136</v>
      </c>
      <c r="E2507" s="1324">
        <f>+IF(ISBLANK(REPORTS!K2054),"",REPORTS!K2054)</f>
        <v>306076.01775911805</v>
      </c>
      <c r="F2507" s="1324">
        <f>+IF(ISBLANK(REPORTS!L2054),"",REPORTS!L2054)</f>
        <v>46427.707430214577</v>
      </c>
      <c r="G2507" s="1324">
        <f>+IF(ISBLANK(REPORTS!M2054),"",REPORTS!M2054)</f>
        <v>22382.762609359015</v>
      </c>
      <c r="H2507" s="1324">
        <f>+IF(ISBLANK(REPORTS!N2054),"",REPORTS!N2054)</f>
        <v>1442.907956013079</v>
      </c>
      <c r="I2507" s="1324">
        <f>+IF(ISBLANK(REPORTS!O2054),"",REPORTS!O2054)</f>
        <v>1574.273150579053</v>
      </c>
      <c r="J2507" s="1324">
        <f>+IF(ISBLANK(REPORTS!P2054),"",REPORTS!P2054)</f>
        <v>361.31447471625313</v>
      </c>
      <c r="K2507" s="1324">
        <f>+IF(ISBLANK(REPORTS!Q2054),"",REPORTS!Q2054)</f>
        <v>451981.69344678143</v>
      </c>
      <c r="L2507" s="1324"/>
      <c r="M2507" s="1324"/>
    </row>
    <row r="2508" spans="1:13">
      <c r="A2508" s="1393">
        <v>907</v>
      </c>
      <c r="B2508" s="1324" t="s">
        <v>6117</v>
      </c>
      <c r="C2508" s="1502" t="s">
        <v>3179</v>
      </c>
      <c r="D2508" s="1374">
        <f>+IF(ISBLANK(REPORTS!J2055),"",REPORTS!J2055)</f>
        <v>1</v>
      </c>
      <c r="E2508" s="1374">
        <f>+IF(ISBLANK(REPORTS!K2055),"",REPORTS!K2055)</f>
        <v>0.36865672131196769</v>
      </c>
      <c r="F2508" s="1374">
        <f>+IF(ISBLANK(REPORTS!L2055),"",REPORTS!L2055)</f>
        <v>5.5920377312032324E-2</v>
      </c>
      <c r="G2508" s="1374">
        <f>+IF(ISBLANK(REPORTS!M2055),"",REPORTS!M2055)</f>
        <v>2.6959171574051175E-2</v>
      </c>
      <c r="H2508" s="1374">
        <f>+IF(ISBLANK(REPORTS!N2055),"",REPORTS!N2055)</f>
        <v>1.7379268069194816E-3</v>
      </c>
      <c r="I2508" s="1374">
        <f>+IF(ISBLANK(REPORTS!O2055),"",REPORTS!O2055)</f>
        <v>1.8961511012557798E-3</v>
      </c>
      <c r="J2508" s="1374">
        <f>+IF(ISBLANK(REPORTS!P2055),"",REPORTS!P2055)</f>
        <v>4.3518930554134098E-4</v>
      </c>
      <c r="K2508" s="1374">
        <f>+IF(ISBLANK(REPORTS!Q2055),"",REPORTS!Q2055)</f>
        <v>0.54439446258823232</v>
      </c>
      <c r="L2508" s="1374"/>
      <c r="M2508" s="1374"/>
    </row>
    <row r="2509" spans="1:13">
      <c r="D2509" s="1324" t="str">
        <f>+IF(ISBLANK(REPORTS!J2056),"",REPORTS!J2056)</f>
        <v/>
      </c>
      <c r="E2509" s="1324" t="str">
        <f>+IF(ISBLANK(REPORTS!K2056),"",REPORTS!K2056)</f>
        <v/>
      </c>
      <c r="F2509" s="1324" t="str">
        <f>+IF(ISBLANK(REPORTS!L2056),"",REPORTS!L2056)</f>
        <v/>
      </c>
      <c r="G2509" s="1324" t="str">
        <f>+IF(ISBLANK(REPORTS!M2056),"",REPORTS!M2056)</f>
        <v/>
      </c>
      <c r="H2509" s="1324" t="str">
        <f>+IF(ISBLANK(REPORTS!N2056),"",REPORTS!N2056)</f>
        <v/>
      </c>
      <c r="I2509" s="1324" t="str">
        <f>+IF(ISBLANK(REPORTS!O2056),"",REPORTS!O2056)</f>
        <v/>
      </c>
      <c r="J2509" s="1324" t="str">
        <f>+IF(ISBLANK(REPORTS!P2056),"",REPORTS!P2056)</f>
        <v/>
      </c>
      <c r="K2509" s="1324" t="str">
        <f>+IF(ISBLANK(REPORTS!Q2056),"",REPORTS!Q2056)</f>
        <v/>
      </c>
      <c r="L2509" s="1324"/>
      <c r="M2509" s="1324"/>
    </row>
    <row r="2510" spans="1:13">
      <c r="A2510" s="1393">
        <v>817</v>
      </c>
      <c r="B2510" s="1324" t="s">
        <v>6146</v>
      </c>
      <c r="C2510" s="1344" t="s">
        <v>6115</v>
      </c>
      <c r="D2510" s="1324">
        <f>+IF(ISBLANK(REPORTS!J2057),"",REPORTS!J2057)</f>
        <v>3974499.896269511</v>
      </c>
      <c r="E2510" s="1324">
        <f>+IF(ISBLANK(REPORTS!K2057),"",REPORTS!K2057)</f>
        <v>2305261.7678066748</v>
      </c>
      <c r="F2510" s="1324">
        <f>+IF(ISBLANK(REPORTS!L2057),"",REPORTS!L2057)</f>
        <v>190160.84369421427</v>
      </c>
      <c r="G2510" s="1324">
        <f>+IF(ISBLANK(REPORTS!M2057),"",REPORTS!M2057)</f>
        <v>1215602.739280649</v>
      </c>
      <c r="H2510" s="1324">
        <f>+IF(ISBLANK(REPORTS!N2057),"",REPORTS!N2057)</f>
        <v>151751.88420351513</v>
      </c>
      <c r="I2510" s="1324">
        <f>+IF(ISBLANK(REPORTS!O2057),"",REPORTS!O2057)</f>
        <v>108904.77023595448</v>
      </c>
      <c r="J2510" s="1324">
        <f>+IF(ISBLANK(REPORTS!P2057),"",REPORTS!P2057)</f>
        <v>2817.891048503418</v>
      </c>
      <c r="K2510" s="1324">
        <f>+IF(ISBLANK(REPORTS!Q2057),"",REPORTS!Q2057)</f>
        <v>0</v>
      </c>
      <c r="L2510" s="1324"/>
      <c r="M2510" s="1324"/>
    </row>
    <row r="2511" spans="1:13">
      <c r="A2511" s="1393">
        <v>817</v>
      </c>
      <c r="B2511" s="1324" t="s">
        <v>6117</v>
      </c>
      <c r="C2511" s="1344" t="s">
        <v>3179</v>
      </c>
      <c r="D2511" s="1374">
        <f>+IF(ISBLANK(REPORTS!J2058),"",REPORTS!J2058)</f>
        <v>1</v>
      </c>
      <c r="E2511" s="1374">
        <f>+IF(ISBLANK(REPORTS!K2058),"",REPORTS!K2058)</f>
        <v>0.58001304012371646</v>
      </c>
      <c r="F2511" s="1374">
        <f>+IF(ISBLANK(REPORTS!L2058),"",REPORTS!L2058)</f>
        <v>4.7845225476719815E-2</v>
      </c>
      <c r="G2511" s="1374">
        <f>+IF(ISBLANK(REPORTS!M2058),"",REPORTS!M2058)</f>
        <v>0.3058504896230142</v>
      </c>
      <c r="H2511" s="1374">
        <f>+IF(ISBLANK(REPORTS!N2058),"",REPORTS!N2058)</f>
        <v>3.8181378327862163E-2</v>
      </c>
      <c r="I2511" s="1374">
        <f>+IF(ISBLANK(REPORTS!O2058),"",REPORTS!O2058)</f>
        <v>2.7400873840297026E-2</v>
      </c>
      <c r="J2511" s="1374">
        <f>+IF(ISBLANK(REPORTS!P2058),"",REPORTS!P2058)</f>
        <v>7.0899260839038069E-4</v>
      </c>
      <c r="K2511" s="1374">
        <f>+IF(ISBLANK(REPORTS!Q2058),"",REPORTS!Q2058)</f>
        <v>0</v>
      </c>
      <c r="L2511" s="1374"/>
      <c r="M2511" s="1374"/>
    </row>
    <row r="2512" spans="1:13">
      <c r="A2512" s="1324"/>
    </row>
    <row r="2513" spans="1:13">
      <c r="A2513" s="1324"/>
      <c r="L2513" s="1324"/>
      <c r="M2513" s="1324"/>
    </row>
    <row r="2514" spans="1:13">
      <c r="A2514" s="1324"/>
      <c r="L2514" s="1324"/>
      <c r="M2514" s="1324"/>
    </row>
    <row r="2515" spans="1:13">
      <c r="A2515" s="1324"/>
    </row>
    <row r="2516" spans="1:13">
      <c r="A2516" s="1324"/>
      <c r="L2516" s="1324"/>
      <c r="M2516" s="1324"/>
    </row>
    <row r="2517" spans="1:13">
      <c r="A2517" s="1324"/>
      <c r="L2517" s="1324"/>
      <c r="M2517" s="1324"/>
    </row>
    <row r="2518" spans="1:13">
      <c r="A2518" s="1324"/>
    </row>
    <row r="2519" spans="1:13">
      <c r="A2519" s="1324"/>
    </row>
    <row r="2520" spans="1:13">
      <c r="A2520" s="1324"/>
    </row>
    <row r="2521" spans="1:13">
      <c r="L2521" s="1324"/>
    </row>
    <row r="2522" spans="1:13">
      <c r="A2522" s="1734"/>
      <c r="L2522" s="1324"/>
    </row>
    <row r="2523" spans="1:13">
      <c r="L2523" s="1324"/>
    </row>
    <row r="2524" spans="1:13">
      <c r="L2524" s="1324"/>
    </row>
    <row r="2525" spans="1:13">
      <c r="B2525" s="1761"/>
      <c r="C2525" s="1761"/>
      <c r="L2525" s="1324"/>
    </row>
    <row r="2526" spans="1:13">
      <c r="B2526" s="1761"/>
      <c r="C2526" s="1761"/>
      <c r="L2526" s="1324"/>
    </row>
    <row r="2527" spans="1:13">
      <c r="L2527" s="1324"/>
    </row>
    <row r="2528" spans="1:13">
      <c r="D2528" s="1374"/>
      <c r="E2528" s="1374"/>
      <c r="F2528" s="1374"/>
      <c r="G2528" s="1374"/>
      <c r="H2528" s="1374"/>
      <c r="I2528" s="1374"/>
      <c r="J2528" s="1374"/>
      <c r="K2528" s="1374"/>
      <c r="L2528" s="1324"/>
    </row>
    <row r="2529" spans="1:12">
      <c r="L2529" s="1324"/>
    </row>
    <row r="2530" spans="1:12">
      <c r="L2530" s="1324"/>
    </row>
    <row r="2531" spans="1:12">
      <c r="D2531" s="1374"/>
      <c r="E2531" s="1374"/>
      <c r="F2531" s="1374"/>
      <c r="G2531" s="1374"/>
      <c r="H2531" s="1374"/>
      <c r="I2531" s="1374"/>
      <c r="J2531" s="1374"/>
      <c r="K2531" s="1374"/>
      <c r="L2531" s="1324"/>
    </row>
    <row r="2532" spans="1:12">
      <c r="L2532" s="1324"/>
    </row>
    <row r="2533" spans="1:12">
      <c r="A2533" s="1324"/>
      <c r="L2533" s="1324"/>
    </row>
    <row r="2534" spans="1:12">
      <c r="A2534" s="1324"/>
      <c r="L2534" s="1324"/>
    </row>
    <row r="2535" spans="1:12">
      <c r="L2535" s="1324"/>
    </row>
    <row r="2536" spans="1:12">
      <c r="A2536" s="1324"/>
      <c r="L2536" s="1324"/>
    </row>
    <row r="2537" spans="1:12">
      <c r="A2537" s="1324"/>
      <c r="L2537" s="1324"/>
    </row>
    <row r="2538" spans="1:12">
      <c r="L2538" s="1324"/>
    </row>
    <row r="2539" spans="1:12">
      <c r="A2539" s="1324"/>
      <c r="L2539" s="1324"/>
    </row>
    <row r="2540" spans="1:12">
      <c r="A2540" s="1324"/>
      <c r="L2540" s="1324"/>
    </row>
    <row r="2541" spans="1:12">
      <c r="L2541" s="1324"/>
    </row>
    <row r="2542" spans="1:12">
      <c r="L2542" s="1324"/>
    </row>
    <row r="2543" spans="1:12">
      <c r="L2543" s="1324"/>
    </row>
    <row r="2544" spans="1:12">
      <c r="L2544" s="1324"/>
    </row>
    <row r="2545" spans="12:12">
      <c r="L2545" s="1324"/>
    </row>
    <row r="2546" spans="12:12">
      <c r="L2546" s="1324"/>
    </row>
    <row r="2547" spans="12:12">
      <c r="L2547" s="1324"/>
    </row>
    <row r="2548" spans="12:12">
      <c r="L2548" s="1324"/>
    </row>
    <row r="2549" spans="12:12">
      <c r="L2549" s="1324"/>
    </row>
    <row r="2550" spans="12:12">
      <c r="L2550" s="1324"/>
    </row>
    <row r="2551" spans="12:12">
      <c r="L2551" s="1324"/>
    </row>
    <row r="2552" spans="12:12">
      <c r="L2552" s="1324"/>
    </row>
    <row r="2553" spans="12:12">
      <c r="L2553" s="1324"/>
    </row>
  </sheetData>
  <mergeCells count="10">
    <mergeCell ref="J129:K129"/>
    <mergeCell ref="J249:K249"/>
    <mergeCell ref="J309:K309"/>
    <mergeCell ref="J370:K370"/>
    <mergeCell ref="J1936:K1936"/>
    <mergeCell ref="J1263:K1263"/>
    <mergeCell ref="J1502:K1502"/>
    <mergeCell ref="J1564:K1564"/>
    <mergeCell ref="J1688:K1688"/>
    <mergeCell ref="J1812:K1812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rowBreaks count="41" manualBreakCount="41">
    <brk id="60" max="13" man="1"/>
    <brk id="120" max="13" man="1"/>
    <brk id="180" max="13" man="1"/>
    <brk id="240" max="13" man="1"/>
    <brk id="300" max="13" man="1"/>
    <brk id="361" max="13" man="1"/>
    <brk id="421" max="13" man="1"/>
    <brk id="480" max="13" man="1"/>
    <brk id="540" max="13" man="1"/>
    <brk id="600" max="13" man="1"/>
    <brk id="659" max="13" man="1"/>
    <brk id="719" max="13" man="1"/>
    <brk id="779" max="13" man="1"/>
    <brk id="838" max="13" man="1"/>
    <brk id="898" max="13" man="1"/>
    <brk id="957" max="13" man="1"/>
    <brk id="1017" max="13" man="1"/>
    <brk id="1076" max="13" man="1"/>
    <brk id="1135" max="13" man="1"/>
    <brk id="1195" max="13" man="1"/>
    <brk id="1254" max="13" man="1"/>
    <brk id="1314" max="13" man="1"/>
    <brk id="1374" max="13" man="1"/>
    <brk id="1433" max="13" man="1"/>
    <brk id="1493" max="13" man="1"/>
    <brk id="1554" max="13" man="1"/>
    <brk id="1615" max="13" man="1"/>
    <brk id="1676" max="13" man="1"/>
    <brk id="1737" max="13" man="1"/>
    <brk id="1798" max="13" man="1"/>
    <brk id="1859" max="13" man="1"/>
    <brk id="1920" max="13" man="1"/>
    <brk id="1986" max="13" man="1"/>
    <brk id="2050" max="13" man="1"/>
    <brk id="2111" max="13" man="1"/>
    <brk id="2173" max="13" man="1"/>
    <brk id="2235" max="13" man="1"/>
    <brk id="2297" max="13" man="1"/>
    <brk id="2360" max="13" man="1"/>
    <brk id="2421" max="13" man="1"/>
    <brk id="2483" max="13" man="1"/>
  </rowBreaks>
  <customProperties>
    <customPr name="_pios_id" r:id="rId2"/>
    <customPr name="EpmWorksheetKeyString_GUID" r:id="rId3"/>
  </customPropertie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O58"/>
  <sheetViews>
    <sheetView tabSelected="1" showOutlineSymbols="0" workbookViewId="0"/>
  </sheetViews>
  <sheetFormatPr defaultRowHeight="14.4"/>
  <cols>
    <col min="2" max="2" width="17.88671875" customWidth="1"/>
    <col min="5" max="5" width="15.44140625" hidden="1" customWidth="1"/>
    <col min="6" max="6" width="1.109375" hidden="1" customWidth="1"/>
    <col min="7" max="7" width="15.44140625" hidden="1" customWidth="1"/>
    <col min="8" max="8" width="12.6640625" hidden="1" customWidth="1"/>
    <col min="9" max="9" width="15.44140625" hidden="1" customWidth="1"/>
    <col min="10" max="10" width="1.109375" hidden="1" customWidth="1"/>
    <col min="11" max="11" width="15.44140625" hidden="1" customWidth="1"/>
    <col min="12" max="12" width="0" hidden="1" customWidth="1"/>
    <col min="13" max="13" width="11.44140625" hidden="1" customWidth="1"/>
    <col min="14" max="14" width="4.109375" hidden="1" customWidth="1"/>
    <col min="15" max="15" width="15.88671875" hidden="1" customWidth="1"/>
    <col min="16" max="16" width="0" hidden="1" customWidth="1"/>
    <col min="17" max="17" width="11.5546875" hidden="1" customWidth="1"/>
    <col min="18" max="18" width="4.109375" hidden="1" customWidth="1"/>
    <col min="19" max="19" width="15.88671875" hidden="1" customWidth="1"/>
    <col min="20" max="20" width="5.88671875" hidden="1" customWidth="1"/>
    <col min="21" max="21" width="15.88671875" hidden="1" customWidth="1"/>
    <col min="22" max="22" width="3.88671875" hidden="1" customWidth="1"/>
    <col min="23" max="23" width="15.88671875" hidden="1" customWidth="1"/>
    <col min="24" max="24" width="5.88671875" hidden="1" customWidth="1"/>
    <col min="25" max="25" width="15.88671875" hidden="1" customWidth="1"/>
    <col min="26" max="26" width="3.88671875" hidden="1" customWidth="1"/>
    <col min="27" max="27" width="15.88671875" hidden="1" customWidth="1"/>
    <col min="28" max="28" width="5.88671875" hidden="1" customWidth="1"/>
    <col min="29" max="29" width="15.88671875" hidden="1" customWidth="1"/>
    <col min="30" max="30" width="3.88671875" hidden="1" customWidth="1"/>
    <col min="31" max="31" width="16.88671875" hidden="1" customWidth="1"/>
    <col min="32" max="32" width="4.88671875" customWidth="1"/>
    <col min="33" max="33" width="12.109375" customWidth="1"/>
    <col min="34" max="34" width="4.88671875" customWidth="1"/>
    <col min="35" max="35" width="16.44140625" bestFit="1" customWidth="1"/>
    <col min="37" max="37" width="9.88671875" bestFit="1" customWidth="1"/>
    <col min="40" max="41" width="12.6640625" bestFit="1" customWidth="1"/>
  </cols>
  <sheetData>
    <row r="1" spans="1:37" ht="15.6">
      <c r="A1" s="650" t="s">
        <v>9263</v>
      </c>
      <c r="H1" s="2107" t="s">
        <v>116</v>
      </c>
    </row>
    <row r="2" spans="1:37">
      <c r="H2" s="96"/>
    </row>
    <row r="5" spans="1:37">
      <c r="A5" s="62"/>
    </row>
    <row r="6" spans="1:37">
      <c r="B6" s="834"/>
    </row>
    <row r="10" spans="1:37" ht="15" thickBot="1">
      <c r="A10" s="946"/>
      <c r="B10" s="946"/>
      <c r="C10" s="946"/>
      <c r="D10" s="946"/>
      <c r="E10" s="946"/>
      <c r="F10" s="946"/>
      <c r="G10" s="946"/>
      <c r="H10" s="946"/>
      <c r="I10" s="946"/>
      <c r="J10" s="946"/>
      <c r="K10" s="946"/>
      <c r="L10" s="946"/>
      <c r="M10" s="946"/>
    </row>
    <row r="11" spans="1:37">
      <c r="B11" s="1595"/>
      <c r="C11" s="1595"/>
    </row>
    <row r="12" spans="1:37">
      <c r="B12" s="62" t="s">
        <v>2173</v>
      </c>
      <c r="G12" s="430" t="s">
        <v>7085</v>
      </c>
      <c r="H12" s="430"/>
      <c r="I12" s="430"/>
      <c r="J12" s="430"/>
      <c r="K12" s="430"/>
      <c r="L12" s="430"/>
    </row>
    <row r="13" spans="1:37">
      <c r="B13" s="62" t="s">
        <v>7086</v>
      </c>
    </row>
    <row r="14" spans="1:37">
      <c r="B14" s="2262" t="s">
        <v>9263</v>
      </c>
      <c r="C14" s="1962"/>
      <c r="D14" s="1962"/>
      <c r="E14" s="1962"/>
      <c r="I14" s="3042" t="s">
        <v>2360</v>
      </c>
    </row>
    <row r="15" spans="1:37">
      <c r="E15" s="3043" t="s">
        <v>7087</v>
      </c>
      <c r="F15" s="3044"/>
      <c r="G15" s="3044"/>
      <c r="I15" s="3043" t="s">
        <v>7088</v>
      </c>
      <c r="J15" s="3045"/>
      <c r="K15" s="3045"/>
      <c r="M15" s="3043" t="s">
        <v>7089</v>
      </c>
      <c r="N15" s="3045"/>
      <c r="O15" s="3045"/>
      <c r="Q15" s="3043" t="s">
        <v>7090</v>
      </c>
      <c r="R15" s="3044"/>
      <c r="S15" s="3044"/>
      <c r="U15" s="3043" t="s">
        <v>7091</v>
      </c>
      <c r="V15" s="3045"/>
      <c r="W15" s="3045"/>
      <c r="Y15" s="3046" t="s">
        <v>7092</v>
      </c>
      <c r="Z15" s="3044"/>
      <c r="AA15" s="3044"/>
      <c r="AC15" s="3046" t="s">
        <v>9482</v>
      </c>
      <c r="AD15" s="3044"/>
      <c r="AE15" s="3044"/>
      <c r="AG15" s="3046" t="s">
        <v>9146</v>
      </c>
      <c r="AH15" s="3044"/>
      <c r="AI15" s="3044"/>
      <c r="AK15" s="33" t="s">
        <v>7093</v>
      </c>
    </row>
    <row r="16" spans="1:37">
      <c r="E16" s="3047" t="s">
        <v>7094</v>
      </c>
      <c r="F16" s="33"/>
      <c r="G16" s="3047" t="s">
        <v>7095</v>
      </c>
      <c r="I16" s="3047" t="s">
        <v>7094</v>
      </c>
      <c r="J16" s="33"/>
      <c r="K16" s="3047" t="s">
        <v>7095</v>
      </c>
      <c r="M16" s="3047" t="s">
        <v>7094</v>
      </c>
      <c r="N16" s="33"/>
      <c r="O16" s="3047" t="s">
        <v>7095</v>
      </c>
      <c r="Q16" s="3047" t="s">
        <v>7094</v>
      </c>
      <c r="R16" s="33"/>
      <c r="S16" s="3047" t="s">
        <v>7095</v>
      </c>
      <c r="U16" s="996" t="s">
        <v>7094</v>
      </c>
      <c r="V16" s="976"/>
      <c r="W16" s="996" t="s">
        <v>7095</v>
      </c>
      <c r="Y16" s="3047" t="s">
        <v>7094</v>
      </c>
      <c r="Z16" s="33"/>
      <c r="AA16" s="3047" t="s">
        <v>7095</v>
      </c>
      <c r="AC16" s="3047" t="s">
        <v>7094</v>
      </c>
      <c r="AD16" s="33"/>
      <c r="AE16" s="3047" t="s">
        <v>7095</v>
      </c>
      <c r="AG16" s="3047" t="s">
        <v>7094</v>
      </c>
      <c r="AH16" s="33"/>
      <c r="AI16" s="3047" t="s">
        <v>7095</v>
      </c>
      <c r="AK16" s="529" t="s">
        <v>7096</v>
      </c>
    </row>
    <row r="17" spans="2:41">
      <c r="U17" s="763"/>
      <c r="V17" s="763"/>
      <c r="W17" s="763"/>
      <c r="AC17" s="328"/>
    </row>
    <row r="18" spans="2:41">
      <c r="B18" t="s">
        <v>7097</v>
      </c>
      <c r="E18" s="3048">
        <v>0</v>
      </c>
      <c r="F18" s="3048"/>
      <c r="G18" s="3048">
        <v>1</v>
      </c>
      <c r="I18" s="1590">
        <v>0</v>
      </c>
      <c r="J18" s="3048"/>
      <c r="K18" s="3048">
        <v>1</v>
      </c>
      <c r="M18" s="1590">
        <v>0</v>
      </c>
      <c r="N18" s="3048"/>
      <c r="O18" s="3048">
        <v>1</v>
      </c>
      <c r="Q18" s="1590">
        <v>0</v>
      </c>
      <c r="R18" s="3048"/>
      <c r="S18" s="3048">
        <v>1</v>
      </c>
      <c r="U18" s="1590">
        <v>0</v>
      </c>
      <c r="V18" s="1590"/>
      <c r="W18" s="1590">
        <v>1</v>
      </c>
      <c r="Y18" s="1542">
        <v>0</v>
      </c>
      <c r="Z18" s="3048"/>
      <c r="AA18" s="3048">
        <v>1</v>
      </c>
      <c r="AC18" s="1542">
        <v>0</v>
      </c>
      <c r="AD18" s="3048"/>
      <c r="AE18" s="3048">
        <v>1</v>
      </c>
      <c r="AG18" s="1591">
        <f>+REPORTS!I131</f>
        <v>0</v>
      </c>
      <c r="AH18" s="3048"/>
      <c r="AI18" s="3048">
        <f>1-AG18</f>
        <v>1</v>
      </c>
      <c r="AK18" s="2857">
        <f>+AG18-AC18</f>
        <v>0</v>
      </c>
    </row>
    <row r="19" spans="2:41">
      <c r="B19" s="531" t="s">
        <v>7098</v>
      </c>
      <c r="E19" s="3048"/>
      <c r="F19" s="3048"/>
      <c r="G19" s="3048"/>
      <c r="I19" s="1590"/>
      <c r="J19" s="3048"/>
      <c r="K19" s="3048"/>
      <c r="M19" s="1590"/>
      <c r="N19" s="3048"/>
      <c r="O19" s="3048"/>
      <c r="Q19" s="1590"/>
      <c r="R19" s="3048"/>
      <c r="S19" s="3048"/>
      <c r="U19" s="1590"/>
      <c r="V19" s="1590"/>
      <c r="W19" s="1590"/>
      <c r="Y19" s="1542"/>
      <c r="Z19" s="3048"/>
      <c r="AA19" s="3048"/>
      <c r="AC19" s="1542"/>
      <c r="AD19" s="3048"/>
      <c r="AE19" s="3048"/>
      <c r="AG19" s="1591"/>
      <c r="AH19" s="3048"/>
      <c r="AI19" s="3048"/>
    </row>
    <row r="20" spans="2:41">
      <c r="B20" t="s">
        <v>7099</v>
      </c>
      <c r="E20" s="3048">
        <v>1</v>
      </c>
      <c r="F20" s="3048"/>
      <c r="G20" s="3048">
        <v>0</v>
      </c>
      <c r="I20" s="1590">
        <v>1</v>
      </c>
      <c r="J20" s="3048"/>
      <c r="K20" s="3048">
        <v>0</v>
      </c>
      <c r="M20" s="1590">
        <v>1</v>
      </c>
      <c r="N20" s="3048"/>
      <c r="O20" s="3048">
        <v>0</v>
      </c>
      <c r="Q20" s="1590">
        <v>1</v>
      </c>
      <c r="R20" s="3048"/>
      <c r="S20" s="3048">
        <v>0</v>
      </c>
      <c r="U20" s="1590">
        <v>1</v>
      </c>
      <c r="V20" s="1590"/>
      <c r="W20" s="1590">
        <v>0</v>
      </c>
      <c r="Y20" s="1542">
        <v>1</v>
      </c>
      <c r="Z20" s="3048"/>
      <c r="AA20" s="3048">
        <v>0</v>
      </c>
      <c r="AC20" s="1542">
        <v>1</v>
      </c>
      <c r="AD20" s="3048"/>
      <c r="AE20" s="3048">
        <v>0</v>
      </c>
      <c r="AG20" s="1591">
        <f>+REPORTS!I21</f>
        <v>1</v>
      </c>
      <c r="AH20" s="3048"/>
      <c r="AI20" s="3048">
        <f>1-AG20</f>
        <v>0</v>
      </c>
      <c r="AK20" s="2857">
        <f t="shared" ref="AK20:AK25" si="0">+AG20-AC20</f>
        <v>0</v>
      </c>
    </row>
    <row r="21" spans="2:41">
      <c r="B21" t="s">
        <v>7100</v>
      </c>
      <c r="E21" s="3048">
        <v>0.99395179933140676</v>
      </c>
      <c r="F21" s="3048"/>
      <c r="G21" s="3048">
        <v>6.0482006685932399E-3</v>
      </c>
      <c r="I21" s="1590">
        <v>0.9933350944030408</v>
      </c>
      <c r="J21" s="3048"/>
      <c r="K21" s="3048">
        <v>6.664905596959203E-3</v>
      </c>
      <c r="M21" s="1590">
        <v>0.99571070948346552</v>
      </c>
      <c r="N21" s="3048"/>
      <c r="O21" s="3048">
        <v>4.289290516534483E-3</v>
      </c>
      <c r="Q21" s="1590">
        <v>0.9958404058599839</v>
      </c>
      <c r="R21" s="3048"/>
      <c r="S21" s="3048">
        <v>4.1595941400160985E-3</v>
      </c>
      <c r="U21" s="1590">
        <v>0.99513744409782001</v>
      </c>
      <c r="V21" s="1590"/>
      <c r="W21" s="1590">
        <v>4.862555902179988E-3</v>
      </c>
      <c r="Y21" s="1542">
        <v>0.99628448642913603</v>
      </c>
      <c r="Z21" s="3048"/>
      <c r="AA21" s="3048">
        <v>3.7155135708639708E-3</v>
      </c>
      <c r="AC21" s="1542">
        <v>0.99663463335522184</v>
      </c>
      <c r="AD21" s="3048"/>
      <c r="AE21" s="3048">
        <v>3.3653666447781561E-3</v>
      </c>
      <c r="AG21" s="1591">
        <f>+REPORTS!I22</f>
        <v>0.99568781839843457</v>
      </c>
      <c r="AH21" s="3048"/>
      <c r="AI21" s="3048">
        <f>1-AG21</f>
        <v>4.3121816015654346E-3</v>
      </c>
      <c r="AK21" s="2857">
        <f t="shared" si="0"/>
        <v>-9.4681495678727856E-4</v>
      </c>
    </row>
    <row r="22" spans="2:41">
      <c r="B22" t="s">
        <v>1825</v>
      </c>
      <c r="E22" s="3048">
        <v>0.99070998101145236</v>
      </c>
      <c r="F22" s="3048"/>
      <c r="G22" s="3048">
        <v>9.2900189885476436E-3</v>
      </c>
      <c r="I22" s="1590">
        <v>0.9905274056079425</v>
      </c>
      <c r="J22" s="3048"/>
      <c r="K22" s="3048">
        <v>9.4725943920574984E-3</v>
      </c>
      <c r="M22" s="1590">
        <v>0.99323173232829864</v>
      </c>
      <c r="N22" s="3048"/>
      <c r="O22" s="3048">
        <v>6.7682676717013557E-3</v>
      </c>
      <c r="Q22" s="1590">
        <v>0.99374536231768307</v>
      </c>
      <c r="R22" s="3048"/>
      <c r="S22" s="3048">
        <v>6.2546376823169325E-3</v>
      </c>
      <c r="U22" s="1590">
        <v>0.99350097233374224</v>
      </c>
      <c r="V22" s="1590"/>
      <c r="W22" s="1590">
        <v>6.4990276662577617E-3</v>
      </c>
      <c r="Y22" s="1542">
        <v>0.99370557604593079</v>
      </c>
      <c r="Z22" s="3048"/>
      <c r="AA22" s="3048">
        <v>6.294423954069206E-3</v>
      </c>
      <c r="AC22" s="1542">
        <v>0.99508240458371566</v>
      </c>
      <c r="AD22" s="3048"/>
      <c r="AE22" s="3048">
        <v>4.9175954162843372E-3</v>
      </c>
      <c r="AG22" s="1591">
        <f>+REPORTS!I23</f>
        <v>0.99543313682465195</v>
      </c>
      <c r="AH22" s="3048"/>
      <c r="AI22" s="3048">
        <f>1-AG22</f>
        <v>4.566863175348046E-3</v>
      </c>
      <c r="AK22" s="2857">
        <f t="shared" si="0"/>
        <v>3.5073224093629118E-4</v>
      </c>
    </row>
    <row r="23" spans="2:41">
      <c r="B23" t="s">
        <v>7101</v>
      </c>
      <c r="E23" s="3048">
        <v>0.99009949669495811</v>
      </c>
      <c r="F23" s="3048"/>
      <c r="G23" s="3048">
        <v>9.9005033050418856E-3</v>
      </c>
      <c r="I23" s="1590">
        <v>0.9894999272904953</v>
      </c>
      <c r="J23" s="3048"/>
      <c r="K23" s="3048">
        <v>1.0500072709504704E-2</v>
      </c>
      <c r="M23" s="1590">
        <v>0.99231920152814423</v>
      </c>
      <c r="N23" s="3048"/>
      <c r="O23" s="3048">
        <v>7.6807984718557654E-3</v>
      </c>
      <c r="Q23" s="1590">
        <v>0.99298911569332504</v>
      </c>
      <c r="R23" s="3048"/>
      <c r="S23" s="3048">
        <v>7.0108843066749582E-3</v>
      </c>
      <c r="U23" s="1590">
        <v>0.99252943846727404</v>
      </c>
      <c r="V23" s="1590"/>
      <c r="W23" s="1590">
        <v>7.4705615327259611E-3</v>
      </c>
      <c r="Y23" s="1542">
        <v>0.99292401465465996</v>
      </c>
      <c r="Z23" s="3048"/>
      <c r="AA23" s="3048">
        <v>7.0759853453400412E-3</v>
      </c>
      <c r="AC23" s="1542">
        <v>0.99382070239478659</v>
      </c>
      <c r="AD23" s="3048"/>
      <c r="AE23" s="3048">
        <v>6.1792976052134074E-3</v>
      </c>
      <c r="AG23" s="1591">
        <f>+REPORTS!I24</f>
        <v>0.99449895942896105</v>
      </c>
      <c r="AH23" s="3048"/>
      <c r="AI23" s="3048">
        <f>1-AG23</f>
        <v>5.5010405710389509E-3</v>
      </c>
      <c r="AK23" s="2857">
        <f t="shared" si="0"/>
        <v>6.7825703417445649E-4</v>
      </c>
    </row>
    <row r="24" spans="2:41">
      <c r="B24" s="96" t="s">
        <v>9454</v>
      </c>
      <c r="E24" s="3048">
        <v>0.99335961742979495</v>
      </c>
      <c r="F24" s="3048"/>
      <c r="G24" s="3048">
        <v>6.6403825702050501E-3</v>
      </c>
      <c r="I24" s="1590">
        <v>0.99673377648709338</v>
      </c>
      <c r="J24" s="3048"/>
      <c r="K24" s="3048">
        <v>3.2662235129066186E-3</v>
      </c>
      <c r="M24" s="1590">
        <v>0.98774703437370914</v>
      </c>
      <c r="N24" s="3048"/>
      <c r="O24" s="3048">
        <v>1.2252965626290857E-2</v>
      </c>
      <c r="Q24" s="1590">
        <v>0.99275147520132612</v>
      </c>
      <c r="R24" s="3048"/>
      <c r="S24" s="3048">
        <v>7.2485247986738832E-3</v>
      </c>
      <c r="U24" s="1590">
        <v>0.99541609729366742</v>
      </c>
      <c r="V24" s="1590"/>
      <c r="W24" s="1590">
        <v>4.5839027063325766E-3</v>
      </c>
      <c r="Y24" s="1542">
        <v>0.99063323743592013</v>
      </c>
      <c r="Z24" s="3048"/>
      <c r="AA24" s="3048">
        <v>9.3667625640798668E-3</v>
      </c>
      <c r="AC24" s="1542">
        <v>0.99168736553787762</v>
      </c>
      <c r="AD24" s="3048"/>
      <c r="AE24" s="3048">
        <v>8.3126344621223813E-3</v>
      </c>
      <c r="AG24" s="1591">
        <f>+REPORTS!I849</f>
        <v>0.98771014071323771</v>
      </c>
      <c r="AH24" s="3048"/>
      <c r="AI24" s="3048">
        <f>1-AG24</f>
        <v>1.2289859286762295E-2</v>
      </c>
      <c r="AK24" s="2857">
        <f t="shared" si="0"/>
        <v>-3.9772248246399133E-3</v>
      </c>
    </row>
    <row r="25" spans="2:41">
      <c r="B25" t="s">
        <v>7102</v>
      </c>
      <c r="E25" s="3048">
        <v>0.98897721303655584</v>
      </c>
      <c r="F25" s="3048"/>
      <c r="G25" s="3048">
        <v>1.1022786963444164E-2</v>
      </c>
      <c r="I25" s="1590">
        <v>0.98899578408938082</v>
      </c>
      <c r="J25" s="3048"/>
      <c r="K25" s="3048">
        <v>1.1004215910619175E-2</v>
      </c>
      <c r="M25" s="1590">
        <v>0.99181305230584482</v>
      </c>
      <c r="N25" s="3048"/>
      <c r="O25" s="3048">
        <v>8.1869476941551778E-3</v>
      </c>
      <c r="Q25" s="1590">
        <v>0.99251270707545902</v>
      </c>
      <c r="R25" s="3048"/>
      <c r="S25" s="3048">
        <v>7.4872929245409781E-3</v>
      </c>
      <c r="U25" s="1590">
        <v>0.99235806418315708</v>
      </c>
      <c r="V25" s="1590"/>
      <c r="W25" s="1590">
        <v>7.6419358168429152E-3</v>
      </c>
      <c r="Y25" s="1542">
        <v>0</v>
      </c>
      <c r="Z25" s="3048"/>
      <c r="AA25" s="3048">
        <v>0</v>
      </c>
      <c r="AC25" s="1542">
        <v>0.99351052889122593</v>
      </c>
      <c r="AD25" s="3048"/>
      <c r="AE25" s="3048">
        <v>6.4894711087740697E-3</v>
      </c>
      <c r="AG25" s="1591">
        <f>+REPORTS!I26</f>
        <v>0</v>
      </c>
      <c r="AH25" s="3048"/>
      <c r="AI25" s="3048">
        <f>IF(AG25=0,0,1-AG25)</f>
        <v>0</v>
      </c>
      <c r="AK25" s="2857">
        <f t="shared" si="0"/>
        <v>-0.99351052889122593</v>
      </c>
    </row>
    <row r="26" spans="2:41">
      <c r="E26" s="3048"/>
      <c r="F26" s="3048"/>
      <c r="G26" s="3048"/>
      <c r="I26" s="1590"/>
      <c r="J26" s="3048"/>
      <c r="K26" s="3048"/>
      <c r="M26" s="1590"/>
      <c r="N26" s="3048"/>
      <c r="O26" s="3048"/>
      <c r="Q26" s="1590"/>
      <c r="R26" s="3048"/>
      <c r="S26" s="3048"/>
      <c r="U26" s="1590"/>
      <c r="V26" s="1590"/>
      <c r="W26" s="1590"/>
      <c r="Y26" s="1542"/>
      <c r="Z26" s="3048"/>
      <c r="AA26" s="3048"/>
      <c r="AC26" s="1542"/>
      <c r="AD26" s="3048"/>
      <c r="AE26" s="3048"/>
      <c r="AG26" s="1591"/>
      <c r="AH26" s="3048"/>
      <c r="AI26" s="3048"/>
    </row>
    <row r="27" spans="2:41">
      <c r="B27" s="531" t="s">
        <v>7103</v>
      </c>
      <c r="E27" s="3048"/>
      <c r="F27" s="3048"/>
      <c r="G27" s="3048"/>
      <c r="I27" s="1590"/>
      <c r="J27" s="3048"/>
      <c r="K27" s="3048"/>
      <c r="M27" s="1590"/>
      <c r="N27" s="3048"/>
      <c r="O27" s="3048"/>
      <c r="Q27" s="1590"/>
      <c r="R27" s="3048"/>
      <c r="S27" s="3048"/>
      <c r="U27" s="1590"/>
      <c r="V27" s="1590"/>
      <c r="W27" s="1590"/>
      <c r="Y27" s="1542"/>
      <c r="Z27" s="3048"/>
      <c r="AA27" s="3048"/>
      <c r="AC27" s="1542"/>
      <c r="AD27" s="3048"/>
      <c r="AE27" s="3048"/>
      <c r="AG27" s="1591"/>
      <c r="AH27" s="3048"/>
      <c r="AI27" s="3048"/>
    </row>
    <row r="28" spans="2:41">
      <c r="B28" t="s">
        <v>7104</v>
      </c>
      <c r="E28" s="3048">
        <v>0.98902390594626599</v>
      </c>
      <c r="F28" s="3048"/>
      <c r="G28" s="3048">
        <v>1.0976094053734009E-2</v>
      </c>
      <c r="I28" s="1590">
        <v>0.98898389428194156</v>
      </c>
      <c r="J28" s="3048"/>
      <c r="K28" s="3048">
        <v>1.1016105718058444E-2</v>
      </c>
      <c r="M28" s="1590">
        <v>0.99181305230584471</v>
      </c>
      <c r="N28" s="3048"/>
      <c r="O28" s="3048">
        <v>8.1869476941552888E-3</v>
      </c>
      <c r="Q28" s="1590">
        <v>0.99251270707545924</v>
      </c>
      <c r="R28" s="3048"/>
      <c r="S28" s="3048">
        <v>7.487292924540756E-3</v>
      </c>
      <c r="U28" s="1590">
        <v>0.9923580641831572</v>
      </c>
      <c r="V28" s="1590"/>
      <c r="W28" s="1590">
        <v>7.6419358168428042E-3</v>
      </c>
      <c r="Y28" s="1542">
        <v>0.99250911705615175</v>
      </c>
      <c r="Z28" s="3048"/>
      <c r="AA28" s="3048">
        <v>7.4908829438482538E-3</v>
      </c>
      <c r="AC28" s="1542">
        <v>0.99351052889122593</v>
      </c>
      <c r="AD28" s="3048"/>
      <c r="AE28" s="3048">
        <v>6.4894711087740697E-3</v>
      </c>
      <c r="AG28" s="1591">
        <f>+REPORTS!I35</f>
        <v>0.99451296220285546</v>
      </c>
      <c r="AH28" s="3048"/>
      <c r="AI28" s="3048">
        <f t="shared" ref="AI28:AI33" si="1">1-AG28</f>
        <v>5.487037797144545E-3</v>
      </c>
      <c r="AK28" s="2857">
        <f t="shared" ref="AK28:AK33" si="2">+AG28-AC28</f>
        <v>1.0024333116295248E-3</v>
      </c>
    </row>
    <row r="29" spans="2:41">
      <c r="B29" t="s">
        <v>131</v>
      </c>
      <c r="E29" s="3048">
        <v>0.94994395088090722</v>
      </c>
      <c r="F29" s="3048"/>
      <c r="G29" s="3048">
        <v>5.0056049119092783E-2</v>
      </c>
      <c r="I29" s="1590">
        <v>0.97447039670907076</v>
      </c>
      <c r="J29" s="3048"/>
      <c r="K29" s="3048">
        <v>2.5529603290929237E-2</v>
      </c>
      <c r="M29" s="1590">
        <v>0.96316665688554282</v>
      </c>
      <c r="N29" s="3048"/>
      <c r="O29" s="3048">
        <v>3.6833343114457184E-2</v>
      </c>
      <c r="Q29" s="1590">
        <v>0.95742485101997266</v>
      </c>
      <c r="R29" s="3048"/>
      <c r="S29" s="3048">
        <v>4.2575148980027344E-2</v>
      </c>
      <c r="U29" s="1590">
        <v>0.95922037493772094</v>
      </c>
      <c r="V29" s="1590"/>
      <c r="W29" s="1590">
        <v>4.0779625062279057E-2</v>
      </c>
      <c r="Y29" s="1542">
        <v>0.96934599448828351</v>
      </c>
      <c r="Z29" s="3048"/>
      <c r="AA29" s="3048">
        <v>3.0654005511716487E-2</v>
      </c>
      <c r="AC29" s="1542">
        <v>0.9724319230497559</v>
      </c>
      <c r="AD29" s="3048"/>
      <c r="AE29" s="3048">
        <v>2.7568076950244103E-2</v>
      </c>
      <c r="AG29" s="1591">
        <f>+REPORTS!I36</f>
        <v>0.97897700849918134</v>
      </c>
      <c r="AH29" s="3048"/>
      <c r="AI29" s="3048">
        <f t="shared" si="1"/>
        <v>2.1022991500818655E-2</v>
      </c>
      <c r="AK29" s="2857">
        <f t="shared" si="2"/>
        <v>6.5450854494254473E-3</v>
      </c>
    </row>
    <row r="30" spans="2:41">
      <c r="B30" t="s">
        <v>5139</v>
      </c>
      <c r="E30" s="3048">
        <v>0.98851021816716544</v>
      </c>
      <c r="F30" s="3048"/>
      <c r="G30" s="3048">
        <v>1.1489781832834556E-2</v>
      </c>
      <c r="I30" s="1590">
        <v>0.99473349954636303</v>
      </c>
      <c r="J30" s="3048"/>
      <c r="K30" s="3048">
        <v>5.2665004536369686E-3</v>
      </c>
      <c r="M30" s="1590">
        <v>0.99367565587914952</v>
      </c>
      <c r="N30" s="3048"/>
      <c r="O30" s="3048">
        <v>6.324344120850478E-3</v>
      </c>
      <c r="Q30" s="1590">
        <v>0.99803745577714409</v>
      </c>
      <c r="R30" s="3048"/>
      <c r="S30" s="3048">
        <v>1.9625442228559109E-3</v>
      </c>
      <c r="U30" s="1590">
        <v>0.99591777450852303</v>
      </c>
      <c r="V30" s="1590"/>
      <c r="W30" s="1590">
        <v>4.0822254914769651E-3</v>
      </c>
      <c r="Y30" s="1542">
        <v>0.99547959622048365</v>
      </c>
      <c r="Z30" s="3048"/>
      <c r="AA30" s="3048">
        <v>4.5204037795163465E-3</v>
      </c>
      <c r="AC30" s="1542">
        <v>0.99428655703391244</v>
      </c>
      <c r="AD30" s="3048"/>
      <c r="AE30" s="3048">
        <v>5.7134429660875563E-3</v>
      </c>
      <c r="AG30" s="1591">
        <f>+REPORTS!I1314</f>
        <v>0.99655866997400921</v>
      </c>
      <c r="AH30" s="3048"/>
      <c r="AI30" s="3048">
        <f t="shared" si="1"/>
        <v>3.4413300259907853E-3</v>
      </c>
      <c r="AK30" s="2857">
        <f t="shared" si="2"/>
        <v>2.272112940096771E-3</v>
      </c>
    </row>
    <row r="31" spans="2:41">
      <c r="B31" t="s">
        <v>2342</v>
      </c>
      <c r="E31" s="3048">
        <v>0.98950677828410871</v>
      </c>
      <c r="F31" s="3048"/>
      <c r="G31" s="3048">
        <v>1.0493221715891288E-2</v>
      </c>
      <c r="I31" s="1590">
        <v>0.99349315511106062</v>
      </c>
      <c r="J31" s="3048"/>
      <c r="K31" s="3048">
        <v>6.5068448889393782E-3</v>
      </c>
      <c r="M31" s="1590">
        <v>0.99419332153348983</v>
      </c>
      <c r="N31" s="3048"/>
      <c r="O31" s="3048">
        <v>5.8066784665101734E-3</v>
      </c>
      <c r="Q31" s="1590">
        <v>0.99583924592821005</v>
      </c>
      <c r="R31" s="3048"/>
      <c r="S31" s="3048">
        <v>4.1607540717899516E-3</v>
      </c>
      <c r="U31" s="1590">
        <v>0.9964584590263742</v>
      </c>
      <c r="V31" s="1590"/>
      <c r="W31" s="1590">
        <v>3.5415409736258008E-3</v>
      </c>
      <c r="Y31" s="1542">
        <v>0.99791107617961772</v>
      </c>
      <c r="Z31" s="3048"/>
      <c r="AA31" s="3048">
        <v>2.0889238203822824E-3</v>
      </c>
      <c r="AC31" s="1542">
        <v>0.98776807641254616</v>
      </c>
      <c r="AD31" s="3048"/>
      <c r="AE31" s="3048">
        <v>1.2231923587453841E-2</v>
      </c>
      <c r="AG31" s="1591">
        <f>+REPORTS!I38</f>
        <v>0.99378663145800572</v>
      </c>
      <c r="AH31" s="3048"/>
      <c r="AI31" s="3048">
        <f t="shared" si="1"/>
        <v>6.2133685419942797E-3</v>
      </c>
      <c r="AK31" s="2857">
        <f t="shared" si="2"/>
        <v>6.0185550454595615E-3</v>
      </c>
      <c r="AN31" s="64"/>
      <c r="AO31" s="64"/>
    </row>
    <row r="32" spans="2:41">
      <c r="B32" t="s">
        <v>7105</v>
      </c>
      <c r="E32" s="3048">
        <v>0.99122447295928839</v>
      </c>
      <c r="F32" s="3048"/>
      <c r="G32" s="3048">
        <v>8.7755270407116059E-3</v>
      </c>
      <c r="I32" s="1590">
        <v>0.99143456325281687</v>
      </c>
      <c r="J32" s="3048"/>
      <c r="K32" s="3048">
        <v>8.5654367471831305E-3</v>
      </c>
      <c r="M32" s="1590">
        <v>0.99438987029384251</v>
      </c>
      <c r="N32" s="3048"/>
      <c r="O32" s="3048">
        <v>5.6101297061574851E-3</v>
      </c>
      <c r="Q32" s="1590">
        <v>0.99442917669012987</v>
      </c>
      <c r="R32" s="3048"/>
      <c r="S32" s="3048">
        <v>5.5708233098701321E-3</v>
      </c>
      <c r="U32" s="1590">
        <v>0.99452553730884297</v>
      </c>
      <c r="V32" s="1590"/>
      <c r="W32" s="1590">
        <v>5.4744626911570338E-3</v>
      </c>
      <c r="Y32" s="1542">
        <v>0.99435710622551143</v>
      </c>
      <c r="Z32" s="3048"/>
      <c r="AA32" s="3048">
        <v>5.6428937744885665E-3</v>
      </c>
      <c r="AC32" s="1542">
        <v>0.99474659689989464</v>
      </c>
      <c r="AD32" s="3048"/>
      <c r="AE32" s="3048">
        <v>5.2534031001053583E-3</v>
      </c>
      <c r="AG32" s="1591">
        <f>+REPORTS!I39</f>
        <v>0.99533018792854322</v>
      </c>
      <c r="AH32" s="3048"/>
      <c r="AI32" s="3048">
        <f t="shared" si="1"/>
        <v>4.6698120714567803E-3</v>
      </c>
      <c r="AK32" s="2857">
        <f t="shared" si="2"/>
        <v>5.8359102864857793E-4</v>
      </c>
    </row>
    <row r="33" spans="2:37">
      <c r="B33" t="s">
        <v>2341</v>
      </c>
      <c r="E33" s="3048">
        <v>1</v>
      </c>
      <c r="F33" s="3048"/>
      <c r="G33" s="3048">
        <v>0</v>
      </c>
      <c r="I33" s="1590">
        <v>0.99484816565847289</v>
      </c>
      <c r="J33" s="3048"/>
      <c r="K33" s="3048">
        <v>5.1518343415271062E-3</v>
      </c>
      <c r="M33" s="1590">
        <v>1</v>
      </c>
      <c r="N33" s="3048"/>
      <c r="O33" s="3048">
        <v>0</v>
      </c>
      <c r="Q33" s="1590">
        <v>1</v>
      </c>
      <c r="R33" s="3048"/>
      <c r="S33" s="3048">
        <v>0</v>
      </c>
      <c r="U33" s="1590">
        <v>1</v>
      </c>
      <c r="V33" s="1590"/>
      <c r="W33" s="1590">
        <v>0</v>
      </c>
      <c r="Y33" s="1542">
        <v>1</v>
      </c>
      <c r="Z33" s="3048"/>
      <c r="AA33" s="3048">
        <v>0</v>
      </c>
      <c r="AC33" s="1542">
        <v>1</v>
      </c>
      <c r="AD33" s="3048"/>
      <c r="AE33" s="3048">
        <v>0</v>
      </c>
      <c r="AG33" s="1591">
        <f>+REPORTS!I1302</f>
        <v>1</v>
      </c>
      <c r="AH33" s="3048"/>
      <c r="AI33" s="3048">
        <f t="shared" si="1"/>
        <v>0</v>
      </c>
      <c r="AK33" s="2857">
        <f t="shared" si="2"/>
        <v>0</v>
      </c>
    </row>
    <row r="34" spans="2:37">
      <c r="AC34" s="328"/>
    </row>
    <row r="37" spans="2:37">
      <c r="B37" s="1595" t="s">
        <v>7106</v>
      </c>
    </row>
    <row r="38" spans="2:37">
      <c r="B38" s="361" t="s">
        <v>7107</v>
      </c>
    </row>
    <row r="39" spans="2:37">
      <c r="E39" s="3049" t="s">
        <v>7108</v>
      </c>
      <c r="F39" s="3044"/>
      <c r="G39" s="3044"/>
      <c r="I39" s="3049" t="s">
        <v>7109</v>
      </c>
      <c r="J39" s="3044"/>
      <c r="K39" s="3044"/>
      <c r="M39" s="3043" t="s">
        <v>7110</v>
      </c>
      <c r="N39" s="3044"/>
      <c r="O39" s="3044"/>
      <c r="Q39" s="3043" t="s">
        <v>7111</v>
      </c>
      <c r="R39" s="3044"/>
      <c r="S39" s="3044"/>
      <c r="U39" s="3043" t="s">
        <v>7112</v>
      </c>
      <c r="V39" s="3045"/>
      <c r="W39" s="3045"/>
    </row>
    <row r="40" spans="2:37">
      <c r="E40" s="2479" t="s">
        <v>7094</v>
      </c>
      <c r="G40" s="2479" t="s">
        <v>7095</v>
      </c>
      <c r="I40" s="2479" t="s">
        <v>7094</v>
      </c>
      <c r="K40" s="2479" t="s">
        <v>7095</v>
      </c>
      <c r="M40" s="3041" t="s">
        <v>7094</v>
      </c>
      <c r="N40" s="33"/>
      <c r="O40" s="3041" t="s">
        <v>7095</v>
      </c>
      <c r="Q40" s="3041" t="s">
        <v>7094</v>
      </c>
      <c r="R40" s="33"/>
      <c r="S40" s="3041" t="s">
        <v>7095</v>
      </c>
      <c r="U40" s="3040" t="s">
        <v>7094</v>
      </c>
      <c r="V40" s="976"/>
      <c r="W40" s="3040" t="s">
        <v>7095</v>
      </c>
    </row>
    <row r="41" spans="2:37">
      <c r="Q41" s="994"/>
      <c r="U41" s="763"/>
      <c r="V41" s="763"/>
      <c r="W41" s="763"/>
    </row>
    <row r="42" spans="2:37">
      <c r="B42" t="s">
        <v>7097</v>
      </c>
      <c r="E42" s="1590">
        <v>0.96487599999999996</v>
      </c>
      <c r="F42" s="763"/>
      <c r="G42" s="1590">
        <v>3.5124000000000044E-2</v>
      </c>
      <c r="H42" s="763"/>
      <c r="I42" s="1590">
        <v>0</v>
      </c>
      <c r="J42" s="763"/>
      <c r="K42" s="1590">
        <v>1</v>
      </c>
      <c r="L42" s="763"/>
      <c r="M42" s="1590">
        <v>0</v>
      </c>
      <c r="N42" s="1590"/>
      <c r="O42" s="1590">
        <v>1</v>
      </c>
      <c r="Q42" s="1590">
        <v>0</v>
      </c>
      <c r="S42" s="3048">
        <v>1</v>
      </c>
      <c r="U42" s="1590">
        <v>0</v>
      </c>
      <c r="V42" s="1590"/>
      <c r="W42" s="1590">
        <v>1</v>
      </c>
    </row>
    <row r="43" spans="2:37">
      <c r="B43" s="531" t="s">
        <v>7098</v>
      </c>
      <c r="E43" s="1590"/>
      <c r="F43" s="763"/>
      <c r="G43" s="1590"/>
      <c r="H43" s="763"/>
      <c r="I43" s="1590"/>
      <c r="J43" s="763"/>
      <c r="K43" s="1590"/>
      <c r="L43" s="763"/>
      <c r="M43" s="1590"/>
      <c r="N43" s="1590"/>
      <c r="O43" s="1590"/>
      <c r="Q43" s="1590"/>
      <c r="S43" s="3048"/>
      <c r="U43" s="1590"/>
      <c r="V43" s="1590"/>
      <c r="W43" s="1590"/>
    </row>
    <row r="44" spans="2:37">
      <c r="B44" t="s">
        <v>7099</v>
      </c>
      <c r="E44" s="1590">
        <v>0.942249</v>
      </c>
      <c r="F44" s="763"/>
      <c r="G44" s="1590">
        <v>5.7750999999999997E-2</v>
      </c>
      <c r="H44" s="763"/>
      <c r="I44" s="1590">
        <v>0.94982835461988169</v>
      </c>
      <c r="J44" s="763"/>
      <c r="K44" s="1590">
        <v>5.0171645380118313E-2</v>
      </c>
      <c r="L44" s="763"/>
      <c r="M44" s="1590">
        <v>1</v>
      </c>
      <c r="N44" s="1590"/>
      <c r="O44" s="1590">
        <v>0</v>
      </c>
      <c r="Q44" s="1590">
        <v>1</v>
      </c>
      <c r="S44" s="3048">
        <v>0</v>
      </c>
      <c r="U44" s="1590">
        <v>1</v>
      </c>
      <c r="V44" s="1590"/>
      <c r="W44" s="1590">
        <v>0</v>
      </c>
    </row>
    <row r="45" spans="2:37">
      <c r="B45" t="s">
        <v>7100</v>
      </c>
      <c r="E45" s="1590">
        <v>0.96225799999999995</v>
      </c>
      <c r="F45" s="763"/>
      <c r="G45" s="1590">
        <v>3.7742000000000053E-2</v>
      </c>
      <c r="H45" s="763"/>
      <c r="I45" s="1590">
        <v>0.97122182052202466</v>
      </c>
      <c r="J45" s="763"/>
      <c r="K45" s="1590">
        <v>2.8778179477975341E-2</v>
      </c>
      <c r="L45" s="763"/>
      <c r="M45" s="1590">
        <v>0.99576024856238332</v>
      </c>
      <c r="N45" s="1590"/>
      <c r="O45" s="1590">
        <v>4.2397514376166789E-3</v>
      </c>
      <c r="Q45" s="1590">
        <v>0.99382104929253656</v>
      </c>
      <c r="S45" s="3048">
        <v>6.1789507074634376E-3</v>
      </c>
      <c r="U45" s="1590">
        <v>0.99538343502520077</v>
      </c>
      <c r="V45" s="1590"/>
      <c r="W45" s="1590">
        <v>4.616564974799231E-3</v>
      </c>
    </row>
    <row r="46" spans="2:37">
      <c r="B46" t="s">
        <v>1825</v>
      </c>
      <c r="E46" s="1590">
        <v>0.94439600000000001</v>
      </c>
      <c r="F46" s="763"/>
      <c r="G46" s="1590">
        <v>5.5603999999999987E-2</v>
      </c>
      <c r="H46" s="763"/>
      <c r="I46" s="1590">
        <v>0.96542454167402336</v>
      </c>
      <c r="J46" s="763"/>
      <c r="K46" s="1590">
        <v>3.4575458325976638E-2</v>
      </c>
      <c r="L46" s="763"/>
      <c r="M46" s="1590">
        <v>0.99366543307284894</v>
      </c>
      <c r="N46" s="1590"/>
      <c r="O46" s="1590">
        <v>6.3345669271510641E-3</v>
      </c>
      <c r="Q46" s="1590">
        <v>0.99165992173076645</v>
      </c>
      <c r="S46" s="3048">
        <v>8.3400782692335529E-3</v>
      </c>
      <c r="U46" s="1590">
        <v>0.9937982405496113</v>
      </c>
      <c r="V46" s="1590"/>
      <c r="W46" s="1590">
        <v>6.2017594503886997E-3</v>
      </c>
    </row>
    <row r="47" spans="2:37">
      <c r="B47" t="s">
        <v>7101</v>
      </c>
      <c r="E47" s="1590">
        <v>0.94073700000000005</v>
      </c>
      <c r="F47" s="763"/>
      <c r="G47" s="1590">
        <v>5.9262999999999955E-2</v>
      </c>
      <c r="H47" s="763"/>
      <c r="I47" s="1590">
        <v>0.96514836546767158</v>
      </c>
      <c r="J47" s="763"/>
      <c r="K47" s="1590">
        <v>3.4851634532328424E-2</v>
      </c>
      <c r="L47" s="763"/>
      <c r="M47" s="1590">
        <v>0.99275537112252144</v>
      </c>
      <c r="N47" s="1590"/>
      <c r="O47" s="1590">
        <v>7.244628877478565E-3</v>
      </c>
      <c r="Q47" s="1590">
        <v>0.99022099882589365</v>
      </c>
      <c r="S47" s="3048">
        <v>9.7790011741063498E-3</v>
      </c>
      <c r="U47" s="1590">
        <v>0.99264371305232701</v>
      </c>
      <c r="V47" s="1590"/>
      <c r="W47" s="1590">
        <v>7.3562869476729853E-3</v>
      </c>
    </row>
    <row r="48" spans="2:37">
      <c r="B48" t="s">
        <v>7113</v>
      </c>
      <c r="E48" s="1590">
        <v>0.93668799999999997</v>
      </c>
      <c r="F48" s="763"/>
      <c r="G48" s="1590">
        <v>6.3312000000000035E-2</v>
      </c>
      <c r="H48" s="763"/>
      <c r="I48" s="1590">
        <v>0.96641269575046351</v>
      </c>
      <c r="J48" s="763"/>
      <c r="K48" s="1590">
        <v>3.3587304249536487E-2</v>
      </c>
      <c r="L48" s="763"/>
      <c r="M48" s="1590">
        <v>0.99147607777309443</v>
      </c>
      <c r="N48" s="1590"/>
      <c r="O48" s="1590">
        <v>8.523922226905567E-3</v>
      </c>
      <c r="Q48" s="1590">
        <v>0.99047112139250926</v>
      </c>
      <c r="S48" s="3048">
        <v>9.5288786074907428E-3</v>
      </c>
      <c r="U48" s="1590">
        <v>0.99230762025465136</v>
      </c>
      <c r="V48" s="1590"/>
      <c r="W48" s="1590">
        <v>7.6923797453486431E-3</v>
      </c>
    </row>
    <row r="49" spans="2:23">
      <c r="B49" t="s">
        <v>7102</v>
      </c>
      <c r="E49" s="1590">
        <v>0.93023299999999998</v>
      </c>
      <c r="F49" s="763"/>
      <c r="G49" s="1590">
        <v>6.9767000000000023E-2</v>
      </c>
      <c r="H49" s="763"/>
      <c r="I49" s="1590">
        <v>0.96324359968443152</v>
      </c>
      <c r="J49" s="763"/>
      <c r="K49" s="1590">
        <v>3.6756400315568483E-2</v>
      </c>
      <c r="L49" s="763"/>
      <c r="M49" s="1590">
        <v>0.99222029057195915</v>
      </c>
      <c r="N49" s="1590"/>
      <c r="O49" s="1590">
        <v>7.7797094280408485E-3</v>
      </c>
      <c r="Q49" s="1590">
        <v>0.98970098518055383</v>
      </c>
      <c r="S49" s="3048">
        <v>1.0299014819446173E-2</v>
      </c>
      <c r="U49" s="1590">
        <v>0.99230014768183927</v>
      </c>
      <c r="V49" s="1590"/>
      <c r="W49" s="1590">
        <v>7.699852318160727E-3</v>
      </c>
    </row>
    <row r="50" spans="2:23">
      <c r="E50" s="1590"/>
      <c r="F50" s="763"/>
      <c r="G50" s="1590"/>
      <c r="H50" s="763"/>
      <c r="I50" s="1590"/>
      <c r="J50" s="763"/>
      <c r="K50" s="1590"/>
      <c r="L50" s="763"/>
      <c r="M50" s="1590"/>
      <c r="N50" s="1590"/>
      <c r="O50" s="1590"/>
      <c r="Q50" s="1590"/>
      <c r="S50" s="3048"/>
      <c r="U50" s="1590"/>
      <c r="V50" s="1590"/>
      <c r="W50" s="1590"/>
    </row>
    <row r="51" spans="2:23">
      <c r="B51" s="531" t="s">
        <v>7103</v>
      </c>
      <c r="E51" s="1590"/>
      <c r="F51" s="763"/>
      <c r="G51" s="1590"/>
      <c r="H51" s="763"/>
      <c r="I51" s="1590"/>
      <c r="J51" s="763"/>
      <c r="K51" s="1590"/>
      <c r="L51" s="763"/>
      <c r="M51" s="1590"/>
      <c r="N51" s="1590"/>
      <c r="O51" s="1590"/>
      <c r="Q51" s="1590"/>
      <c r="S51" s="3048"/>
      <c r="U51" s="1590"/>
      <c r="V51" s="1590"/>
      <c r="W51" s="1590"/>
    </row>
    <row r="52" spans="2:23">
      <c r="B52" t="s">
        <v>7104</v>
      </c>
      <c r="E52" s="1590">
        <v>0.93284800000000001</v>
      </c>
      <c r="F52" s="763"/>
      <c r="G52" s="1590">
        <v>6.7151999999999989E-2</v>
      </c>
      <c r="H52" s="763"/>
      <c r="I52" s="1590">
        <v>0.96324931865017982</v>
      </c>
      <c r="J52" s="763"/>
      <c r="K52" s="1590">
        <v>3.675068134982018E-2</v>
      </c>
      <c r="L52" s="763"/>
      <c r="M52" s="1590">
        <v>0.99222029057195915</v>
      </c>
      <c r="N52" s="1590"/>
      <c r="O52" s="1590">
        <v>7.7797094280408485E-3</v>
      </c>
      <c r="Q52" s="1590">
        <v>0.98970098518055394</v>
      </c>
      <c r="S52" s="3048">
        <v>1.0299014819446062E-2</v>
      </c>
      <c r="U52" s="1590">
        <v>0.99230014768183938</v>
      </c>
      <c r="V52" s="1590"/>
      <c r="W52" s="1590">
        <v>7.699852318160616E-3</v>
      </c>
    </row>
    <row r="53" spans="2:23">
      <c r="B53" t="s">
        <v>131</v>
      </c>
      <c r="E53" s="1590">
        <v>0.94847000000000004</v>
      </c>
      <c r="F53" s="763"/>
      <c r="G53" s="1590">
        <v>5.1529999999999965E-2</v>
      </c>
      <c r="H53" s="763"/>
      <c r="I53" s="1590">
        <v>0.86724935503819756</v>
      </c>
      <c r="J53" s="763"/>
      <c r="K53" s="1590">
        <v>0.13275064496180244</v>
      </c>
      <c r="L53" s="763"/>
      <c r="M53" s="1590">
        <v>0.93794931397826919</v>
      </c>
      <c r="N53" s="1590"/>
      <c r="O53" s="1590">
        <v>6.2050686021730805E-2</v>
      </c>
      <c r="Q53" s="1590">
        <v>0.91679198575996412</v>
      </c>
      <c r="S53" s="3048">
        <v>8.3208014240035877E-2</v>
      </c>
      <c r="U53" s="1590">
        <v>0.94530119465290197</v>
      </c>
      <c r="V53" s="1590"/>
      <c r="W53" s="1590">
        <v>5.4698805347098034E-2</v>
      </c>
    </row>
    <row r="54" spans="2:23">
      <c r="B54" t="s">
        <v>5139</v>
      </c>
      <c r="E54" s="1590">
        <v>0.95083600000000001</v>
      </c>
      <c r="F54" s="763"/>
      <c r="G54" s="1590">
        <v>4.9163999999999985E-2</v>
      </c>
      <c r="H54" s="763"/>
      <c r="I54" s="1590">
        <v>0.95621439044720324</v>
      </c>
      <c r="J54" s="763"/>
      <c r="K54" s="1590">
        <v>4.3785609552796756E-2</v>
      </c>
      <c r="L54" s="763"/>
      <c r="M54" s="1590">
        <v>0.99156442050583116</v>
      </c>
      <c r="N54" s="1590"/>
      <c r="O54" s="1590">
        <v>8.4355794941688433E-3</v>
      </c>
      <c r="Q54" s="1590">
        <v>0.98899826020102377</v>
      </c>
      <c r="S54" s="3048">
        <v>1.1001739798976229E-2</v>
      </c>
      <c r="U54" s="1590">
        <v>0.99163873126179369</v>
      </c>
      <c r="V54" s="1590"/>
      <c r="W54" s="1590">
        <v>8.3612687382063067E-3</v>
      </c>
    </row>
    <row r="55" spans="2:23">
      <c r="B55" t="s">
        <v>2342</v>
      </c>
      <c r="E55" s="1590">
        <v>0.99229999999999996</v>
      </c>
      <c r="F55" s="763"/>
      <c r="G55" s="1590">
        <v>7.7000000000000401E-3</v>
      </c>
      <c r="H55" s="763"/>
      <c r="I55" s="1590">
        <v>0.94266570015296558</v>
      </c>
      <c r="J55" s="763"/>
      <c r="K55" s="1590">
        <v>5.733429984703442E-2</v>
      </c>
      <c r="L55" s="763"/>
      <c r="M55" s="1590">
        <v>0.9891639177353988</v>
      </c>
      <c r="N55" s="1590"/>
      <c r="O55" s="1590">
        <v>1.0836082264601199E-2</v>
      </c>
      <c r="Q55" s="1590">
        <v>0.98935827845410373</v>
      </c>
      <c r="S55" s="3048">
        <v>1.0641721545896266E-2</v>
      </c>
      <c r="U55" s="1590">
        <v>0.99061125820147022</v>
      </c>
      <c r="V55" s="1590"/>
      <c r="W55" s="1590">
        <v>9.3887417985297761E-3</v>
      </c>
    </row>
    <row r="56" spans="2:23">
      <c r="B56" t="s">
        <v>7105</v>
      </c>
      <c r="E56" s="1590">
        <v>0.93668600000000002</v>
      </c>
      <c r="F56" s="763"/>
      <c r="G56" s="1590">
        <v>6.3313999999999981E-2</v>
      </c>
      <c r="H56" s="763"/>
      <c r="I56" s="1590">
        <v>0.96569617189215307</v>
      </c>
      <c r="J56" s="763"/>
      <c r="K56" s="1590">
        <v>3.4303828107846934E-2</v>
      </c>
      <c r="L56" s="763"/>
      <c r="M56" s="1590">
        <v>0.99382533568901676</v>
      </c>
      <c r="N56" s="1590"/>
      <c r="O56" s="1590">
        <v>6.1746643109832355E-3</v>
      </c>
      <c r="Q56" s="1590">
        <v>0.99161609204968149</v>
      </c>
      <c r="S56" s="3048">
        <v>8.3839079503185143E-3</v>
      </c>
      <c r="U56" s="1590">
        <v>0.9937207173293896</v>
      </c>
      <c r="V56" s="1590"/>
      <c r="W56" s="1590">
        <v>6.2792826706103977E-3</v>
      </c>
    </row>
    <row r="57" spans="2:23">
      <c r="B57" t="s">
        <v>2341</v>
      </c>
      <c r="E57" s="1590">
        <v>0.94653399999999999</v>
      </c>
      <c r="F57" s="763"/>
      <c r="G57" s="1590">
        <v>5.3466000000000014E-2</v>
      </c>
      <c r="H57" s="763"/>
      <c r="I57" s="1590">
        <v>0.9643322755523438</v>
      </c>
      <c r="J57" s="763"/>
      <c r="K57" s="1590">
        <v>3.5667724447656202E-2</v>
      </c>
      <c r="L57" s="763"/>
      <c r="M57" s="1590">
        <v>1</v>
      </c>
      <c r="N57" s="1590"/>
      <c r="O57" s="1590">
        <v>0</v>
      </c>
      <c r="Q57" s="1590">
        <v>1</v>
      </c>
      <c r="S57" s="3048">
        <v>0</v>
      </c>
      <c r="U57" s="1590">
        <v>1</v>
      </c>
      <c r="V57" s="1590"/>
      <c r="W57" s="1590">
        <v>0</v>
      </c>
    </row>
    <row r="58" spans="2:23">
      <c r="E58" s="285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T73"/>
  <sheetViews>
    <sheetView tabSelected="1" showOutlineSymbols="0" workbookViewId="0"/>
  </sheetViews>
  <sheetFormatPr defaultRowHeight="14.4"/>
  <cols>
    <col min="2" max="2" width="34.88671875" customWidth="1"/>
    <col min="4" max="4" width="12.6640625" bestFit="1" customWidth="1"/>
    <col min="5" max="5" width="14.44140625" customWidth="1"/>
    <col min="6" max="6" width="12.6640625" bestFit="1" customWidth="1"/>
    <col min="7" max="7" width="6.109375" customWidth="1"/>
    <col min="8" max="8" width="12.6640625" bestFit="1" customWidth="1"/>
    <col min="9" max="9" width="12.109375" customWidth="1"/>
    <col min="10" max="10" width="10.44140625" customWidth="1"/>
    <col min="11" max="13" width="12.109375" customWidth="1"/>
    <col min="14" max="14" width="10.44140625" customWidth="1"/>
    <col min="15" max="15" width="13.88671875" customWidth="1"/>
    <col min="16" max="16" width="19.88671875" customWidth="1"/>
    <col min="17" max="17" width="4.88671875" customWidth="1"/>
    <col min="18" max="18" width="13.44140625" customWidth="1"/>
    <col min="20" max="20" width="18.88671875" customWidth="1"/>
  </cols>
  <sheetData>
    <row r="1" spans="1:20">
      <c r="A1" s="3050"/>
    </row>
    <row r="4" spans="1:20">
      <c r="H4" s="2107" t="s">
        <v>116</v>
      </c>
    </row>
    <row r="5" spans="1:20">
      <c r="H5" s="2107"/>
    </row>
    <row r="6" spans="1:20" ht="15.6">
      <c r="A6" s="3165" t="s">
        <v>7114</v>
      </c>
      <c r="B6" s="3165"/>
      <c r="C6" s="3165"/>
      <c r="D6" s="3165"/>
      <c r="E6" s="3165"/>
      <c r="F6" s="3165"/>
      <c r="G6" s="3165"/>
      <c r="H6" s="3165"/>
      <c r="I6" s="3165"/>
      <c r="J6" s="3165"/>
      <c r="K6" s="3165"/>
      <c r="L6" s="3165"/>
      <c r="M6" s="3165"/>
      <c r="N6" s="3165"/>
      <c r="O6" s="3165"/>
      <c r="P6" s="3165"/>
    </row>
    <row r="7" spans="1:20" ht="15.6">
      <c r="A7" s="3165" t="s">
        <v>7115</v>
      </c>
      <c r="B7" s="3165"/>
      <c r="C7" s="3165"/>
      <c r="D7" s="3165"/>
      <c r="E7" s="3165"/>
      <c r="F7" s="3165"/>
      <c r="G7" s="3165"/>
      <c r="H7" s="3165"/>
      <c r="I7" s="3165"/>
      <c r="J7" s="3165"/>
      <c r="K7" s="3165"/>
      <c r="L7" s="3165"/>
      <c r="M7" s="3165"/>
      <c r="N7" s="3165"/>
      <c r="O7" s="3165"/>
      <c r="P7" s="3165"/>
    </row>
    <row r="8" spans="1:20">
      <c r="A8" s="3066" t="s">
        <v>9263</v>
      </c>
      <c r="B8" s="3066"/>
      <c r="C8" s="3066"/>
      <c r="D8" s="3066"/>
      <c r="E8" s="3066"/>
      <c r="F8" s="3066"/>
      <c r="G8" s="3066"/>
      <c r="H8" s="3066"/>
      <c r="I8" s="3066"/>
      <c r="J8" s="3066"/>
      <c r="K8" s="3066"/>
      <c r="L8" s="3066"/>
      <c r="M8" s="3066"/>
      <c r="N8" s="3066"/>
      <c r="O8" s="3066"/>
      <c r="P8" s="3066"/>
    </row>
    <row r="9" spans="1:20" ht="21">
      <c r="A9" s="3051"/>
      <c r="B9" s="1416"/>
      <c r="C9" s="1416"/>
      <c r="D9" s="1336"/>
      <c r="E9" s="1336"/>
      <c r="F9" s="1336"/>
      <c r="G9" s="3052"/>
      <c r="H9" s="1336"/>
      <c r="I9" s="1336"/>
      <c r="J9" s="1336"/>
      <c r="K9" s="1336"/>
      <c r="L9" s="1336"/>
      <c r="M9" s="1336"/>
      <c r="N9" s="1336"/>
      <c r="O9" s="1336"/>
    </row>
    <row r="10" spans="1:20" ht="28.2">
      <c r="A10" s="1737" t="s">
        <v>4297</v>
      </c>
      <c r="B10" s="1741" t="s">
        <v>1918</v>
      </c>
      <c r="C10" s="1741"/>
      <c r="D10" s="1352" t="s">
        <v>5144</v>
      </c>
      <c r="E10" s="1352" t="s">
        <v>4956</v>
      </c>
      <c r="F10" s="1352" t="s">
        <v>4957</v>
      </c>
      <c r="G10" s="1742"/>
      <c r="H10" s="1352" t="s">
        <v>4957</v>
      </c>
      <c r="I10" s="1353" t="s">
        <v>1949</v>
      </c>
      <c r="J10" s="1353" t="s">
        <v>1950</v>
      </c>
      <c r="K10" s="1352" t="s">
        <v>1934</v>
      </c>
      <c r="L10" s="1352" t="s">
        <v>1971</v>
      </c>
      <c r="M10" s="1352" t="s">
        <v>1972</v>
      </c>
      <c r="N10" s="1352" t="s">
        <v>5146</v>
      </c>
      <c r="O10" s="1352" t="s">
        <v>5147</v>
      </c>
    </row>
    <row r="11" spans="1:20">
      <c r="A11" s="1393"/>
      <c r="B11" s="1324"/>
      <c r="C11" s="1324"/>
      <c r="D11" s="1324"/>
      <c r="E11" s="1592"/>
      <c r="F11" s="1592"/>
      <c r="G11" s="1440"/>
      <c r="H11" s="1592"/>
      <c r="I11" s="1592"/>
      <c r="J11" s="1592"/>
      <c r="K11" s="1592"/>
      <c r="L11" s="1592"/>
      <c r="M11" s="1592"/>
      <c r="N11" s="1592"/>
      <c r="O11" s="1592"/>
      <c r="P11" s="3053" t="s">
        <v>7116</v>
      </c>
      <c r="R11" s="3054" t="s">
        <v>7117</v>
      </c>
      <c r="T11" s="3055" t="s">
        <v>7118</v>
      </c>
    </row>
    <row r="12" spans="1:20">
      <c r="A12" s="3056" t="s">
        <v>7119</v>
      </c>
      <c r="B12" s="1324"/>
      <c r="C12" s="1324"/>
      <c r="D12" s="1324"/>
      <c r="E12" s="1592"/>
      <c r="F12" s="1592"/>
      <c r="G12" s="1440"/>
      <c r="H12" s="1592"/>
      <c r="I12" s="1592"/>
      <c r="J12" s="1592"/>
      <c r="K12" s="1592"/>
      <c r="L12" s="1592"/>
      <c r="M12" s="1592"/>
      <c r="N12" s="1592"/>
      <c r="O12" s="1592"/>
      <c r="P12" s="3057" t="s">
        <v>7120</v>
      </c>
      <c r="R12" s="3058" t="s">
        <v>7120</v>
      </c>
      <c r="T12" s="36" t="s">
        <v>7120</v>
      </c>
    </row>
    <row r="13" spans="1:20">
      <c r="A13" s="1393">
        <v>1</v>
      </c>
      <c r="B13" s="1324" t="s">
        <v>2331</v>
      </c>
      <c r="C13" s="1324"/>
      <c r="D13" s="1324">
        <f>+REPORTS!F1610</f>
        <v>9856591.999058811</v>
      </c>
      <c r="E13" s="1324">
        <f>+REPORTS!G1610</f>
        <v>58441.656915840184</v>
      </c>
      <c r="F13" s="1324">
        <f>+REPORTS!H1610</f>
        <v>9798150.3421429694</v>
      </c>
      <c r="G13" s="1440"/>
      <c r="H13" s="1324">
        <f>+REPORTS!J1610</f>
        <v>9798150.3421429694</v>
      </c>
      <c r="I13" s="1324">
        <f>+REPORTS!K1610</f>
        <v>5681396.8392728139</v>
      </c>
      <c r="J13" s="1324">
        <f>+REPORTS!L1610</f>
        <v>483539.77741282765</v>
      </c>
      <c r="K13" s="1324">
        <f>+REPORTS!M1610</f>
        <v>2713734.1237357799</v>
      </c>
      <c r="L13" s="1324">
        <f>+REPORTS!N1610</f>
        <v>320751.06854768272</v>
      </c>
      <c r="M13" s="1324">
        <f>+REPORTS!O1610</f>
        <v>197369.89764278464</v>
      </c>
      <c r="N13" s="1324">
        <f>+REPORTS!P1610</f>
        <v>20199.950856588403</v>
      </c>
      <c r="O13" s="1324">
        <f>+REPORTS!Q1610</f>
        <v>381158.68467449257</v>
      </c>
      <c r="P13" s="3059">
        <f>+H13-SUM(I13:O13)</f>
        <v>0</v>
      </c>
      <c r="R13" s="3060">
        <f>+F13-H13</f>
        <v>0</v>
      </c>
      <c r="T13" s="2845">
        <f>+D13-SUM(E13+F13)</f>
        <v>0</v>
      </c>
    </row>
    <row r="14" spans="1:20">
      <c r="A14" s="1393">
        <v>2</v>
      </c>
      <c r="B14" s="1324" t="s">
        <v>7121</v>
      </c>
      <c r="C14" s="1747"/>
      <c r="D14" s="3061">
        <f>+REPORTS!F1612</f>
        <v>7.37</v>
      </c>
      <c r="E14" s="3061">
        <f>+REPORTS!G1612</f>
        <v>7.37</v>
      </c>
      <c r="F14" s="3061">
        <f>+REPORTS!H1612</f>
        <v>7.37</v>
      </c>
      <c r="G14" s="1404"/>
      <c r="H14" s="3061">
        <f>+REPORTS!J1612</f>
        <v>7.37</v>
      </c>
      <c r="I14" s="3061">
        <f>+REPORTS!K1612</f>
        <v>7.37</v>
      </c>
      <c r="J14" s="3061">
        <f>+REPORTS!L1612</f>
        <v>7.37</v>
      </c>
      <c r="K14" s="3061">
        <f>+REPORTS!M1612</f>
        <v>7.37</v>
      </c>
      <c r="L14" s="3061">
        <f>+REPORTS!N1612</f>
        <v>7.37</v>
      </c>
      <c r="M14" s="3061">
        <f>+REPORTS!O1612</f>
        <v>7.37</v>
      </c>
      <c r="N14" s="3061">
        <f>+REPORTS!P1612</f>
        <v>7.37</v>
      </c>
      <c r="O14" s="3061">
        <f>+REPORTS!Q1612</f>
        <v>7.37</v>
      </c>
      <c r="P14" s="3059"/>
      <c r="R14" s="3060">
        <f t="shared" ref="R14:R33" si="0">+F14-H14</f>
        <v>0</v>
      </c>
      <c r="T14" s="2845">
        <f>D14-SUM(E14+F14)/2</f>
        <v>0</v>
      </c>
    </row>
    <row r="15" spans="1:20">
      <c r="A15" s="1393">
        <v>3</v>
      </c>
      <c r="B15" s="1324" t="s">
        <v>7122</v>
      </c>
      <c r="C15" s="1364"/>
      <c r="D15" s="1324">
        <f>+REPORTS!F1623</f>
        <v>726430.83033063426</v>
      </c>
      <c r="E15" s="1324">
        <f>+REPORTS!G1623</f>
        <v>4307.1501146974224</v>
      </c>
      <c r="F15" s="1324">
        <f>+REPORTS!H1623</f>
        <v>722123.68021593685</v>
      </c>
      <c r="G15" s="1440"/>
      <c r="H15" s="1324">
        <f>+REPORTS!J1623</f>
        <v>722123.68021593685</v>
      </c>
      <c r="I15" s="1324">
        <f>+REPORTS!K1623</f>
        <v>418718.94705440634</v>
      </c>
      <c r="J15" s="1324">
        <f>+REPORTS!L1623</f>
        <v>35636.881595325402</v>
      </c>
      <c r="K15" s="1324">
        <f>+REPORTS!M1623</f>
        <v>200002.20491932699</v>
      </c>
      <c r="L15" s="1324">
        <f>+REPORTS!N1623</f>
        <v>23639.35375196422</v>
      </c>
      <c r="M15" s="1324">
        <f>+REPORTS!O1623</f>
        <v>14546.161456273228</v>
      </c>
      <c r="N15" s="1324">
        <f>+REPORTS!P1623</f>
        <v>1488.7363781305655</v>
      </c>
      <c r="O15" s="1324">
        <f>+REPORTS!Q1623</f>
        <v>28091.395060510105</v>
      </c>
      <c r="P15" s="3059">
        <f t="shared" ref="P15:P33" si="1">+H15-SUM(I15:O15)</f>
        <v>0</v>
      </c>
      <c r="R15" s="3060">
        <f t="shared" si="0"/>
        <v>0</v>
      </c>
      <c r="T15" s="2845">
        <f t="shared" ref="T15:T33" si="2">+D15-SUM(E15+F15)</f>
        <v>0</v>
      </c>
    </row>
    <row r="16" spans="1:20">
      <c r="A16" s="1393">
        <v>4</v>
      </c>
      <c r="B16" s="1324" t="s">
        <v>7123</v>
      </c>
      <c r="C16" s="1364"/>
      <c r="D16" s="1324">
        <f>+REPORTS!F1634</f>
        <v>-89202.684840000002</v>
      </c>
      <c r="E16" s="1324">
        <f>+REPORTS!G1634</f>
        <v>-222.4709677940678</v>
      </c>
      <c r="F16" s="1324">
        <f>+REPORTS!H1634</f>
        <v>-88980.233557245301</v>
      </c>
      <c r="G16" s="1440"/>
      <c r="H16" s="1324">
        <f>+REPORTS!J1634</f>
        <v>-88980.233557245301</v>
      </c>
      <c r="I16" s="1324">
        <f>+REPORTS!K1634</f>
        <v>-49972.183680318427</v>
      </c>
      <c r="J16" s="1324">
        <f>+REPORTS!L1634</f>
        <v>-4334.4919267986588</v>
      </c>
      <c r="K16" s="1324">
        <f>+REPORTS!M1634</f>
        <v>-25247.150934644862</v>
      </c>
      <c r="L16" s="1324">
        <f>+REPORTS!N1634</f>
        <v>-3201.5320346282801</v>
      </c>
      <c r="M16" s="1324">
        <f>+REPORTS!O1634</f>
        <v>-2223.19671979757</v>
      </c>
      <c r="N16" s="1324">
        <f>+REPORTS!P1634</f>
        <v>-130.39819478609846</v>
      </c>
      <c r="O16" s="1324">
        <f>+REPORTS!Q1634</f>
        <v>-3871.280066271413</v>
      </c>
      <c r="P16" s="3059">
        <f t="shared" si="1"/>
        <v>0</v>
      </c>
      <c r="R16" s="3060">
        <f t="shared" si="0"/>
        <v>0</v>
      </c>
      <c r="T16" s="2845">
        <f t="shared" si="2"/>
        <v>1.968503936950583E-2</v>
      </c>
    </row>
    <row r="17" spans="1:20">
      <c r="A17" s="1393">
        <v>5</v>
      </c>
      <c r="B17" s="1324" t="s">
        <v>7124</v>
      </c>
      <c r="C17" s="1364"/>
      <c r="D17" s="1366">
        <f>+REPORTS!F1645</f>
        <v>182346.95199999996</v>
      </c>
      <c r="E17" s="1366">
        <f>+REPORTS!G1645</f>
        <v>1081.1706530462825</v>
      </c>
      <c r="F17" s="1366">
        <f>+REPORTS!H1645</f>
        <v>181265.78134695365</v>
      </c>
      <c r="G17" s="1440"/>
      <c r="H17" s="1366">
        <f>+REPORTS!J1645</f>
        <v>181265.78134695365</v>
      </c>
      <c r="I17" s="1366">
        <f>+REPORTS!K1645</f>
        <v>105626.35366640468</v>
      </c>
      <c r="J17" s="1366">
        <f>+REPORTS!L1645</f>
        <v>8929.6261336283096</v>
      </c>
      <c r="K17" s="1366">
        <f>+REPORTS!M1645</f>
        <v>50156.581815533653</v>
      </c>
      <c r="L17" s="1366">
        <f>+REPORTS!N1645</f>
        <v>5928.1876875366161</v>
      </c>
      <c r="M17" s="1366">
        <f>+REPORTS!O1645</f>
        <v>3645.1164416197298</v>
      </c>
      <c r="N17" s="1366">
        <f>+REPORTS!P1645</f>
        <v>372.76067626130788</v>
      </c>
      <c r="O17" s="1366">
        <f>+REPORTS!Q1645</f>
        <v>6607.1549259693747</v>
      </c>
      <c r="P17" s="3059">
        <f t="shared" si="1"/>
        <v>0</v>
      </c>
      <c r="R17" s="3060">
        <f t="shared" si="0"/>
        <v>0</v>
      </c>
      <c r="T17" s="2845">
        <f t="shared" si="2"/>
        <v>0</v>
      </c>
    </row>
    <row r="18" spans="1:20">
      <c r="A18" s="1393">
        <v>6</v>
      </c>
      <c r="B18" s="1324" t="s">
        <v>7125</v>
      </c>
      <c r="C18" s="1364"/>
      <c r="D18" s="1324">
        <f>+REPORTS!F1682</f>
        <v>462200.9646706343</v>
      </c>
      <c r="E18" s="1324">
        <f>+REPORTS!G1682</f>
        <v>3046.9088452203887</v>
      </c>
      <c r="F18" s="1324">
        <f>+REPORTS!H1682</f>
        <v>459154.03614037455</v>
      </c>
      <c r="G18" s="1440"/>
      <c r="H18" s="1324">
        <f>+REPORTS!J1682</f>
        <v>459154.03614037455</v>
      </c>
      <c r="I18" s="1324">
        <f>+REPORTS!K1682</f>
        <v>267360.46269971703</v>
      </c>
      <c r="J18" s="1324">
        <f>+REPORTS!L1682</f>
        <v>22731.216578967451</v>
      </c>
      <c r="K18" s="1324">
        <f>+REPORTS!M1682</f>
        <v>126611.85763040179</v>
      </c>
      <c r="L18" s="1324">
        <f>+REPORTS!N1682</f>
        <v>14747.603334517184</v>
      </c>
      <c r="M18" s="1324">
        <f>+REPORTS!O1682</f>
        <v>8824.1705557134192</v>
      </c>
      <c r="N18" s="1324">
        <f>+REPORTS!P1682</f>
        <v>1000.5408658078767</v>
      </c>
      <c r="O18" s="1324">
        <f>+REPORTS!Q1682</f>
        <v>17878.184475249836</v>
      </c>
      <c r="P18" s="3059">
        <f t="shared" si="1"/>
        <v>0</v>
      </c>
      <c r="R18" s="3060">
        <f t="shared" si="0"/>
        <v>0</v>
      </c>
      <c r="T18" s="2845">
        <f t="shared" si="2"/>
        <v>1.9685039354953915E-2</v>
      </c>
    </row>
    <row r="19" spans="1:20">
      <c r="A19" s="1393">
        <v>7</v>
      </c>
      <c r="B19" s="1326" t="s">
        <v>7126</v>
      </c>
      <c r="C19" s="1364"/>
      <c r="D19" s="1593">
        <f>+REPORTS!F1694</f>
        <v>122863.54233794296</v>
      </c>
      <c r="E19" s="1593">
        <f>+REPORTS!G1694</f>
        <v>809.93779429909068</v>
      </c>
      <c r="F19" s="1593">
        <f>+REPORTS!H1694</f>
        <v>122053.60454364389</v>
      </c>
      <c r="G19" s="1440"/>
      <c r="H19" s="1593">
        <f>+REPORTS!J1694</f>
        <v>122053.60454364389</v>
      </c>
      <c r="I19" s="1593">
        <f>+REPORTS!K1694</f>
        <v>71070.502742962737</v>
      </c>
      <c r="J19" s="1593">
        <f>+REPORTS!L1694</f>
        <v>6042.4752931432458</v>
      </c>
      <c r="K19" s="1593">
        <f>+REPORTS!M1694</f>
        <v>33656.316585296678</v>
      </c>
      <c r="L19" s="1593">
        <f>+REPORTS!N1694</f>
        <v>3920.2489876564664</v>
      </c>
      <c r="M19" s="1593">
        <f>+REPORTS!O1694</f>
        <v>2345.6655907592635</v>
      </c>
      <c r="N19" s="1593">
        <f>+REPORTS!P1694</f>
        <v>265.96655926538494</v>
      </c>
      <c r="O19" s="1593">
        <f>+REPORTS!Q1694</f>
        <v>4752.4287845600829</v>
      </c>
      <c r="P19" s="3059">
        <f t="shared" si="1"/>
        <v>0</v>
      </c>
      <c r="R19" s="3060">
        <f t="shared" si="0"/>
        <v>0</v>
      </c>
      <c r="T19" s="2845">
        <f t="shared" si="2"/>
        <v>0</v>
      </c>
    </row>
    <row r="20" spans="1:20">
      <c r="A20" s="1393">
        <v>8</v>
      </c>
      <c r="B20" s="1324" t="s">
        <v>7127</v>
      </c>
      <c r="C20" s="1364"/>
      <c r="D20" s="1324">
        <f>+REPORTS!F1705</f>
        <v>585064.50700857735</v>
      </c>
      <c r="E20" s="1324">
        <f>+REPORTS!G1705</f>
        <v>3856.8466395194796</v>
      </c>
      <c r="F20" s="1324">
        <f>+REPORTS!H1705</f>
        <v>581207.64068401849</v>
      </c>
      <c r="G20" s="1440"/>
      <c r="H20" s="1324">
        <f>+REPORTS!J1705</f>
        <v>581207.64068401849</v>
      </c>
      <c r="I20" s="1324">
        <f>+REPORTS!K1705</f>
        <v>338430.96544267976</v>
      </c>
      <c r="J20" s="1324">
        <f>+REPORTS!L1705</f>
        <v>28773.691872110699</v>
      </c>
      <c r="K20" s="1324">
        <f>+REPORTS!M1705</f>
        <v>160268.17421569847</v>
      </c>
      <c r="L20" s="1324">
        <f>+REPORTS!N1705</f>
        <v>18667.852322173654</v>
      </c>
      <c r="M20" s="1324">
        <f>+REPORTS!O1705</f>
        <v>11169.836146472682</v>
      </c>
      <c r="N20" s="1324">
        <f>+REPORTS!P1705</f>
        <v>1266.5074250732616</v>
      </c>
      <c r="O20" s="1324">
        <f>+REPORTS!Q1705</f>
        <v>22630.613259809921</v>
      </c>
      <c r="P20" s="3059">
        <f t="shared" si="1"/>
        <v>0</v>
      </c>
      <c r="R20" s="3060">
        <f t="shared" si="0"/>
        <v>0</v>
      </c>
      <c r="T20" s="2845">
        <f t="shared" si="2"/>
        <v>1.9685039413161576E-2</v>
      </c>
    </row>
    <row r="21" spans="1:20">
      <c r="A21" s="1393">
        <v>9</v>
      </c>
      <c r="B21" s="1324" t="s">
        <v>7128</v>
      </c>
      <c r="C21" s="1364"/>
      <c r="D21" s="1593">
        <f>+REPORTS!F1731</f>
        <v>34051.372278089504</v>
      </c>
      <c r="E21" s="1593">
        <f>+REPORTS!G1731</f>
        <v>224.47255573922899</v>
      </c>
      <c r="F21" s="1593">
        <f>+REPORTS!H1731</f>
        <v>33826.899722350274</v>
      </c>
      <c r="G21" s="1374"/>
      <c r="H21" s="1593">
        <f>+REPORTS!J1731</f>
        <v>33826.899722350274</v>
      </c>
      <c r="I21" s="1593">
        <f>+REPORTS!K1731</f>
        <v>19697.040316769722</v>
      </c>
      <c r="J21" s="1593">
        <f>+REPORTS!L1731</f>
        <v>1674.6593153080303</v>
      </c>
      <c r="K21" s="1593">
        <f>+REPORTS!M1731</f>
        <v>9327.7773353052035</v>
      </c>
      <c r="L21" s="1593">
        <f>+REPORTS!N1731</f>
        <v>1086.4887594915883</v>
      </c>
      <c r="M21" s="1593">
        <f>+REPORTS!O1731</f>
        <v>650.09628365714036</v>
      </c>
      <c r="N21" s="1593">
        <f>+REPORTS!P1731</f>
        <v>73.712072358761262</v>
      </c>
      <c r="O21" s="1593">
        <f>+REPORTS!Q1731</f>
        <v>1317.1256394598367</v>
      </c>
      <c r="P21" s="3059">
        <f t="shared" si="1"/>
        <v>0</v>
      </c>
      <c r="R21" s="3060">
        <f t="shared" si="0"/>
        <v>0</v>
      </c>
      <c r="T21" s="2845">
        <f t="shared" si="2"/>
        <v>0</v>
      </c>
    </row>
    <row r="22" spans="1:20">
      <c r="A22" s="1393">
        <v>10</v>
      </c>
      <c r="B22" s="1324" t="s">
        <v>7129</v>
      </c>
      <c r="C22" s="1364"/>
      <c r="D22" s="1324">
        <f>+REPORTS!F1743</f>
        <v>7319.7711799999997</v>
      </c>
      <c r="E22" s="1324">
        <f>+REPORTS!G1743</f>
        <v>43.400351363317334</v>
      </c>
      <c r="F22" s="1324">
        <f>+REPORTS!H1743</f>
        <v>7276.3708286366818</v>
      </c>
      <c r="G22" s="1374"/>
      <c r="H22" s="1324">
        <f>+REPORTS!J1743</f>
        <v>7276.3708286366818</v>
      </c>
      <c r="I22" s="1324">
        <f>+REPORTS!K1743</f>
        <v>4240.0529920337613</v>
      </c>
      <c r="J22" s="1324">
        <f>+REPORTS!L1743</f>
        <v>358.45304406901937</v>
      </c>
      <c r="K22" s="1324">
        <f>+REPORTS!M1743</f>
        <v>2013.3854612533116</v>
      </c>
      <c r="L22" s="1324">
        <f>+REPORTS!N1743</f>
        <v>237.96930471786212</v>
      </c>
      <c r="M22" s="1324">
        <f>+REPORTS!O1743</f>
        <v>146.32226085749025</v>
      </c>
      <c r="N22" s="1324">
        <f>+REPORTS!P1743</f>
        <v>14.963358724717439</v>
      </c>
      <c r="O22" s="1324">
        <f>+REPORTS!Q1743</f>
        <v>265.22440698052179</v>
      </c>
      <c r="P22" s="3059">
        <f t="shared" si="1"/>
        <v>0</v>
      </c>
      <c r="R22" s="3060">
        <f t="shared" si="0"/>
        <v>0</v>
      </c>
      <c r="T22" s="2845">
        <f t="shared" si="2"/>
        <v>0</v>
      </c>
    </row>
    <row r="23" spans="1:20">
      <c r="A23" s="1393">
        <v>11</v>
      </c>
      <c r="B23" s="1324" t="s">
        <v>7130</v>
      </c>
      <c r="C23" s="1364"/>
      <c r="D23" s="1593">
        <f>+REPORTS!F1754</f>
        <v>182346.95199999996</v>
      </c>
      <c r="E23" s="1593">
        <f>+REPORTS!G1754</f>
        <v>1081.1706530462825</v>
      </c>
      <c r="F23" s="1593">
        <f>+REPORTS!H1754</f>
        <v>181265.78134695365</v>
      </c>
      <c r="G23" s="1374"/>
      <c r="H23" s="1593">
        <f>+REPORTS!J1754</f>
        <v>181265.78134695365</v>
      </c>
      <c r="I23" s="1593">
        <f>+REPORTS!K1754</f>
        <v>105626.35366640468</v>
      </c>
      <c r="J23" s="1593">
        <f>+REPORTS!L1754</f>
        <v>8929.6261336283096</v>
      </c>
      <c r="K23" s="1593">
        <f>+REPORTS!M1754</f>
        <v>50156.581815533653</v>
      </c>
      <c r="L23" s="1593">
        <f>+REPORTS!N1754</f>
        <v>5928.1876875366161</v>
      </c>
      <c r="M23" s="1593">
        <f>+REPORTS!O1754</f>
        <v>3645.1164416197298</v>
      </c>
      <c r="N23" s="1593">
        <f>+REPORTS!P1754</f>
        <v>372.76067626130788</v>
      </c>
      <c r="O23" s="1593">
        <f>+REPORTS!Q1754</f>
        <v>6607.1549259693747</v>
      </c>
      <c r="P23" s="3059">
        <f t="shared" si="1"/>
        <v>0</v>
      </c>
      <c r="R23" s="3060">
        <f t="shared" si="0"/>
        <v>0</v>
      </c>
      <c r="T23" s="2845">
        <f t="shared" si="2"/>
        <v>0</v>
      </c>
    </row>
    <row r="24" spans="1:20">
      <c r="A24" s="1393">
        <v>12</v>
      </c>
      <c r="B24" s="1324" t="s">
        <v>7131</v>
      </c>
      <c r="C24" s="1364"/>
      <c r="D24" s="1364">
        <f>+REPORTS!F1765</f>
        <v>794143.06010666676</v>
      </c>
      <c r="E24" s="1364">
        <f>+REPORTS!G1765</f>
        <v>5119.0894969416731</v>
      </c>
      <c r="F24" s="1364">
        <f>+REPORTS!H1765</f>
        <v>789023.95092468557</v>
      </c>
      <c r="G24" s="1374"/>
      <c r="H24" s="1364">
        <f>+REPORTS!J1765</f>
        <v>789023.95092468557</v>
      </c>
      <c r="I24" s="1364">
        <f>+REPORTS!K1765</f>
        <v>459514.3064338204</v>
      </c>
      <c r="J24" s="1364">
        <f>+REPORTS!L1765</f>
        <v>39019.524276978023</v>
      </c>
      <c r="K24" s="1364">
        <f>+REPORTS!M1765</f>
        <v>217739.14790528401</v>
      </c>
      <c r="L24" s="1364">
        <f>+REPORTS!N1765</f>
        <v>25444.559464483988</v>
      </c>
      <c r="M24" s="1364">
        <f>+REPORTS!O1765</f>
        <v>15318.726610892059</v>
      </c>
      <c r="N24" s="1364">
        <f>+REPORTS!P1765</f>
        <v>1698.0168149686131</v>
      </c>
      <c r="O24" s="1364">
        <f>+REPORTS!Q1765</f>
        <v>30289.669418258614</v>
      </c>
      <c r="P24" s="3059">
        <f t="shared" si="1"/>
        <v>0</v>
      </c>
      <c r="R24" s="3060">
        <f t="shared" si="0"/>
        <v>0</v>
      </c>
      <c r="T24" s="2845">
        <f t="shared" si="2"/>
        <v>1.9685039529576898E-2</v>
      </c>
    </row>
    <row r="25" spans="1:20">
      <c r="A25" s="1393">
        <v>13</v>
      </c>
      <c r="B25" s="1324" t="s">
        <v>7132</v>
      </c>
      <c r="C25" s="1364"/>
      <c r="D25" s="1324">
        <f>+REPORTS!F1791</f>
        <v>102154.43774323718</v>
      </c>
      <c r="E25" s="1324">
        <f>+REPORTS!G1791</f>
        <v>561.95570653723053</v>
      </c>
      <c r="F25" s="1324">
        <f>+REPORTS!H1791</f>
        <v>101592.48203669996</v>
      </c>
      <c r="G25" s="1374"/>
      <c r="H25" s="1324">
        <f>+REPORTS!J1791</f>
        <v>101592.48203669996</v>
      </c>
      <c r="I25" s="1324">
        <f>+REPORTS!K1791</f>
        <v>59575.056414847582</v>
      </c>
      <c r="J25" s="1324">
        <f>+REPORTS!L1791</f>
        <v>5104.0288563173726</v>
      </c>
      <c r="K25" s="1324">
        <f>+REPORTS!M1791</f>
        <v>27011.987438899236</v>
      </c>
      <c r="L25" s="1324">
        <f>+REPORTS!N1791</f>
        <v>3173.8626610955725</v>
      </c>
      <c r="M25" s="1324">
        <f>+REPORTS!O1791</f>
        <v>1916.1794873947651</v>
      </c>
      <c r="N25" s="1324">
        <f>+REPORTS!P1791</f>
        <v>218.24050523345159</v>
      </c>
      <c r="O25" s="1324">
        <f>+REPORTS!Q1791</f>
        <v>4593.1266729119889</v>
      </c>
      <c r="P25" s="3059">
        <f t="shared" si="1"/>
        <v>0</v>
      </c>
      <c r="R25" s="3060">
        <f t="shared" si="0"/>
        <v>0</v>
      </c>
      <c r="T25" s="2845">
        <f t="shared" si="2"/>
        <v>0</v>
      </c>
    </row>
    <row r="26" spans="1:20">
      <c r="A26" s="1393">
        <v>14</v>
      </c>
      <c r="B26" s="1324" t="s">
        <v>7133</v>
      </c>
      <c r="C26" s="1364"/>
      <c r="D26" s="1324">
        <f>+REPORTS!F1802</f>
        <v>533874.20787373558</v>
      </c>
      <c r="E26" s="1324">
        <f>+REPORTS!G1802</f>
        <v>2438.1304602066384</v>
      </c>
      <c r="F26" s="1324">
        <f>+REPORTS!H1802</f>
        <v>531436.07741352892</v>
      </c>
      <c r="G26" s="1374"/>
      <c r="H26" s="1324">
        <f>+REPORTS!J1802</f>
        <v>531436.07741352892</v>
      </c>
      <c r="I26" s="1324">
        <f>+REPORTS!K1802</f>
        <v>309279.76690012234</v>
      </c>
      <c r="J26" s="1324">
        <f>+REPORTS!L1802</f>
        <v>27518.260183406866</v>
      </c>
      <c r="K26" s="1324">
        <f>+REPORTS!M1802</f>
        <v>143759.10248502731</v>
      </c>
      <c r="L26" s="1324">
        <f>+REPORTS!N1802</f>
        <v>16855.832265664412</v>
      </c>
      <c r="M26" s="1324">
        <f>+REPORTS!O1802</f>
        <v>10505.316813270758</v>
      </c>
      <c r="N26" s="1324">
        <f>+REPORTS!P1802</f>
        <v>1128.1637939884699</v>
      </c>
      <c r="O26" s="1324">
        <f>+REPORTS!Q1802</f>
        <v>22389.634972048774</v>
      </c>
      <c r="P26" s="3059">
        <f t="shared" si="1"/>
        <v>0</v>
      </c>
      <c r="R26" s="3060">
        <f t="shared" si="0"/>
        <v>0</v>
      </c>
      <c r="T26" s="2845">
        <f t="shared" si="2"/>
        <v>0</v>
      </c>
    </row>
    <row r="27" spans="1:20">
      <c r="A27" s="1393">
        <v>15</v>
      </c>
      <c r="B27" s="1324" t="s">
        <v>7134</v>
      </c>
      <c r="C27" s="1364"/>
      <c r="D27" s="1324">
        <f>+REPORTS!F1813</f>
        <v>0</v>
      </c>
      <c r="E27" s="1324">
        <f>+REPORTS!G1813</f>
        <v>0</v>
      </c>
      <c r="F27" s="1324">
        <f>+REPORTS!H1813</f>
        <v>0</v>
      </c>
      <c r="G27" s="1374"/>
      <c r="H27" s="1324">
        <f>+REPORTS!J1813</f>
        <v>0</v>
      </c>
      <c r="I27" s="1324">
        <f>+REPORTS!K1813</f>
        <v>0</v>
      </c>
      <c r="J27" s="1324">
        <f>+REPORTS!L1813</f>
        <v>0</v>
      </c>
      <c r="K27" s="1324">
        <f>+REPORTS!M1813</f>
        <v>0</v>
      </c>
      <c r="L27" s="1324">
        <f>+REPORTS!N1813</f>
        <v>0</v>
      </c>
      <c r="M27" s="1324">
        <f>+REPORTS!O1813</f>
        <v>0</v>
      </c>
      <c r="N27" s="1324">
        <f>+REPORTS!P1813</f>
        <v>0</v>
      </c>
      <c r="O27" s="1324">
        <f>+REPORTS!Q1813</f>
        <v>0</v>
      </c>
      <c r="P27" s="3059">
        <f t="shared" si="1"/>
        <v>0</v>
      </c>
      <c r="R27" s="3060">
        <f t="shared" si="0"/>
        <v>0</v>
      </c>
      <c r="T27" s="2845">
        <f t="shared" si="2"/>
        <v>0</v>
      </c>
    </row>
    <row r="28" spans="1:20">
      <c r="A28" s="1393">
        <v>16</v>
      </c>
      <c r="B28" s="1324" t="s">
        <v>7135</v>
      </c>
      <c r="C28" s="1364"/>
      <c r="D28" s="1364">
        <f>+REPORTS!F1824</f>
        <v>393467.81005182274</v>
      </c>
      <c r="E28" s="1364">
        <f>+REPORTS!G1824</f>
        <v>1696.7046513136961</v>
      </c>
      <c r="F28" s="1364">
        <f>+REPORTS!H1824</f>
        <v>391771.10540050903</v>
      </c>
      <c r="G28" s="1374"/>
      <c r="H28" s="1364">
        <f>+REPORTS!J1824</f>
        <v>391771.10540050903</v>
      </c>
      <c r="I28" s="1364">
        <f>+REPORTS!K1824</f>
        <v>246053.44580808264</v>
      </c>
      <c r="J28" s="1364">
        <f>+REPORTS!L1824</f>
        <v>23394.766335585584</v>
      </c>
      <c r="K28" s="1364">
        <f>+REPORTS!M1824</f>
        <v>93062.933578015887</v>
      </c>
      <c r="L28" s="1364">
        <f>+REPORTS!N1824</f>
        <v>11372.030588118128</v>
      </c>
      <c r="M28" s="1364">
        <f>+REPORTS!O1824</f>
        <v>6943.6197799122192</v>
      </c>
      <c r="N28" s="1364">
        <f>+REPORTS!P1824</f>
        <v>844.06435559400143</v>
      </c>
      <c r="O28" s="1364">
        <f>+REPORTS!Q1824</f>
        <v>10100.244955200616</v>
      </c>
      <c r="P28" s="3059">
        <f t="shared" si="1"/>
        <v>0</v>
      </c>
      <c r="R28" s="3060">
        <f t="shared" si="0"/>
        <v>0</v>
      </c>
      <c r="T28" s="2845">
        <f t="shared" si="2"/>
        <v>0</v>
      </c>
    </row>
    <row r="29" spans="1:20">
      <c r="A29" s="1393">
        <v>17</v>
      </c>
      <c r="B29" s="1324" t="s">
        <v>7136</v>
      </c>
      <c r="C29" s="1364"/>
      <c r="D29" s="1593">
        <f>+REPORTS!F1844</f>
        <v>626.46090775325297</v>
      </c>
      <c r="E29" s="1593">
        <f>+REPORTS!G1844</f>
        <v>0</v>
      </c>
      <c r="F29" s="1593">
        <f>+REPORTS!H1844</f>
        <v>626.46090775325297</v>
      </c>
      <c r="G29" s="1374"/>
      <c r="H29" s="1593">
        <f>+REPORTS!J1844</f>
        <v>626.46090775325297</v>
      </c>
      <c r="I29" s="1593">
        <f>+REPORTS!K1844</f>
        <v>316.13358975594224</v>
      </c>
      <c r="J29" s="1593">
        <f>+REPORTS!L1844</f>
        <v>29.214444451259041</v>
      </c>
      <c r="K29" s="1593">
        <f>+REPORTS!M1844</f>
        <v>217.63626389760336</v>
      </c>
      <c r="L29" s="1593">
        <f>+REPORTS!N1844</f>
        <v>34.64419389080566</v>
      </c>
      <c r="M29" s="1593">
        <f>+REPORTS!O1844</f>
        <v>25.522788671559834</v>
      </c>
      <c r="N29" s="1593">
        <f>+REPORTS!P1844</f>
        <v>3.3096270860828403</v>
      </c>
      <c r="O29" s="1593">
        <f>+REPORTS!Q1844</f>
        <v>0</v>
      </c>
      <c r="P29" s="3059">
        <f t="shared" si="1"/>
        <v>0</v>
      </c>
      <c r="R29" s="3060">
        <f t="shared" si="0"/>
        <v>0</v>
      </c>
      <c r="T29" s="2845">
        <f t="shared" si="2"/>
        <v>0</v>
      </c>
    </row>
    <row r="30" spans="1:20">
      <c r="A30" s="1393">
        <v>18</v>
      </c>
      <c r="B30" s="1324" t="s">
        <v>7137</v>
      </c>
      <c r="C30" s="1364"/>
      <c r="D30" s="1324">
        <f>+REPORTS!F1855</f>
        <v>1824265.9766832155</v>
      </c>
      <c r="E30" s="1324">
        <f>+REPORTS!G1855</f>
        <v>9815.8803149992382</v>
      </c>
      <c r="F30" s="1324">
        <f>+REPORTS!H1855</f>
        <v>1814450.0766831769</v>
      </c>
      <c r="G30" s="1374"/>
      <c r="H30" s="1324">
        <f>+REPORTS!J1855</f>
        <v>1814450.0766831769</v>
      </c>
      <c r="I30" s="1324">
        <f>+REPORTS!K1855</f>
        <v>1074738.7091466289</v>
      </c>
      <c r="J30" s="1324">
        <f>+REPORTS!L1855</f>
        <v>95065.794096739104</v>
      </c>
      <c r="K30" s="1324">
        <f>+REPORTS!M1855</f>
        <v>481790.807671124</v>
      </c>
      <c r="L30" s="1324">
        <f>+REPORTS!N1855</f>
        <v>56880.929173252902</v>
      </c>
      <c r="M30" s="1324">
        <f>+REPORTS!O1855</f>
        <v>34709.365480141365</v>
      </c>
      <c r="N30" s="1324">
        <f>+REPORTS!P1855</f>
        <v>3891.7950968706191</v>
      </c>
      <c r="O30" s="1324">
        <f>+REPORTS!Q1855</f>
        <v>67372.676018419996</v>
      </c>
      <c r="P30" s="3059">
        <f t="shared" si="1"/>
        <v>0</v>
      </c>
      <c r="R30" s="3060">
        <f t="shared" si="0"/>
        <v>0</v>
      </c>
      <c r="T30" s="2845">
        <f t="shared" si="2"/>
        <v>1.9685039296746254E-2</v>
      </c>
    </row>
    <row r="31" spans="1:20">
      <c r="A31" s="1393">
        <v>19</v>
      </c>
      <c r="B31" s="1324" t="s">
        <v>7138</v>
      </c>
      <c r="C31" s="1364"/>
      <c r="D31" s="1324">
        <f>REPORTS!F1866</f>
        <v>3.6314812560675582</v>
      </c>
      <c r="E31" s="1324">
        <f>REPORTS!G1866</f>
        <v>5.5843740181344028</v>
      </c>
      <c r="F31" s="1324">
        <f>REPORTS!H1866</f>
        <v>-1.9528927620668441</v>
      </c>
      <c r="G31" s="1374"/>
      <c r="H31" s="1324">
        <f>REPORTS!J1866</f>
        <v>-1.9528927620668441</v>
      </c>
      <c r="I31" s="1324">
        <f>REPORTS!K1866</f>
        <v>39.747507701030123</v>
      </c>
      <c r="J31" s="1324">
        <f>REPORTS!L1866</f>
        <v>-8.9161761153211199</v>
      </c>
      <c r="K31" s="1324">
        <f>REPORTS!M1866</f>
        <v>9.7851387302584882</v>
      </c>
      <c r="L31" s="1324">
        <f>REPORTS!N1866</f>
        <v>-3.89820196467471E-2</v>
      </c>
      <c r="M31" s="1324">
        <f>REPORTS!O1866</f>
        <v>4.609810501280891</v>
      </c>
      <c r="N31" s="1324">
        <f>REPORTS!P1866</f>
        <v>0.67771094759512895</v>
      </c>
      <c r="O31" s="1324">
        <f>REPORTS!Q1866</f>
        <v>-47.816360007262602</v>
      </c>
      <c r="P31" s="3059">
        <f t="shared" si="1"/>
        <v>-1.5425000010069745E-3</v>
      </c>
      <c r="R31" s="3060">
        <f t="shared" si="0"/>
        <v>0</v>
      </c>
      <c r="T31" s="2845">
        <f t="shared" si="2"/>
        <v>0</v>
      </c>
    </row>
    <row r="32" spans="1:20">
      <c r="A32" s="1393">
        <v>20</v>
      </c>
      <c r="B32" s="1324" t="s">
        <v>7139</v>
      </c>
      <c r="C32" s="1364"/>
      <c r="D32" s="1593">
        <f>-REPORTS!F1904</f>
        <v>-40811.65069322077</v>
      </c>
      <c r="E32" s="1593">
        <f>-REPORTS!G1904</f>
        <v>-82.26424658862237</v>
      </c>
      <c r="F32" s="1593">
        <f>-REPORTS!H1904</f>
        <v>-40729.386446632154</v>
      </c>
      <c r="G32" s="1374"/>
      <c r="H32" s="1593">
        <f>-REPORTS!J1904</f>
        <v>-40729.386446632154</v>
      </c>
      <c r="I32" s="1593">
        <f>-REPORTS!K1904</f>
        <v>-30798.593599985274</v>
      </c>
      <c r="J32" s="1593">
        <f>-REPORTS!L1904</f>
        <v>-2731.1221004361505</v>
      </c>
      <c r="K32" s="1593">
        <f>-REPORTS!M1904</f>
        <v>-6219.6828355399766</v>
      </c>
      <c r="L32" s="1593">
        <f>-REPORTS!N1904</f>
        <v>-644.88730209589937</v>
      </c>
      <c r="M32" s="1593">
        <f>-REPORTS!O1904</f>
        <v>-118.12635451814251</v>
      </c>
      <c r="N32" s="1593">
        <f>-REPORTS!P1904</f>
        <v>-99.333348273601672</v>
      </c>
      <c r="O32" s="1593">
        <f>-REPORTS!Q1904</f>
        <v>-117.64090578310908</v>
      </c>
      <c r="P32" s="3059">
        <f t="shared" si="1"/>
        <v>0</v>
      </c>
      <c r="R32" s="3060">
        <f t="shared" si="0"/>
        <v>0</v>
      </c>
      <c r="T32" s="2845">
        <f t="shared" si="2"/>
        <v>0</v>
      </c>
    </row>
    <row r="33" spans="1:20" ht="15" thickBot="1">
      <c r="A33" s="1393">
        <v>21</v>
      </c>
      <c r="B33" s="1324" t="s">
        <v>7140</v>
      </c>
      <c r="C33" s="1364"/>
      <c r="D33" s="1594">
        <f>+REPORTS!F1916</f>
        <v>1783457.957471251</v>
      </c>
      <c r="E33" s="1594">
        <f>+REPORTS!G1916</f>
        <v>9739.2004424287516</v>
      </c>
      <c r="F33" s="1594">
        <f>+REPORTS!H1916</f>
        <v>1773718.737343783</v>
      </c>
      <c r="G33" s="1374"/>
      <c r="H33" s="1594">
        <f>+REPORTS!J1916</f>
        <v>1773718.737343783</v>
      </c>
      <c r="I33" s="1594">
        <f>+REPORTS!K1916</f>
        <v>1043979.8630543444</v>
      </c>
      <c r="J33" s="1594">
        <f>+REPORTS!L1916</f>
        <v>92325.755820187624</v>
      </c>
      <c r="K33" s="1594">
        <f>+REPORTS!M1916</f>
        <v>475580.90997431427</v>
      </c>
      <c r="L33" s="1594">
        <f>+REPORTS!N1916</f>
        <v>56236.002889137359</v>
      </c>
      <c r="M33" s="1594">
        <f>+REPORTS!O1916</f>
        <v>34595.848936124501</v>
      </c>
      <c r="N33" s="1594">
        <f>+REPORTS!P1916</f>
        <v>3793.1394595446127</v>
      </c>
      <c r="O33" s="1594">
        <f>+REPORTS!Q1916</f>
        <v>67207.218752629618</v>
      </c>
      <c r="P33" s="3059">
        <f t="shared" si="1"/>
        <v>-1.5424992889165878E-3</v>
      </c>
      <c r="R33" s="3060">
        <f t="shared" si="0"/>
        <v>0</v>
      </c>
      <c r="T33" s="2845">
        <f t="shared" si="2"/>
        <v>1.9685039296746254E-2</v>
      </c>
    </row>
    <row r="34" spans="1:20" ht="15" thickTop="1">
      <c r="A34" s="1393"/>
      <c r="B34" s="1324"/>
      <c r="C34" s="1364"/>
      <c r="D34" s="1324"/>
      <c r="E34" s="1324"/>
      <c r="F34" s="1324"/>
      <c r="G34" s="1324"/>
      <c r="H34" s="1324"/>
      <c r="I34" s="1324"/>
      <c r="J34" s="1324"/>
      <c r="K34" s="1324"/>
      <c r="L34" s="1324"/>
      <c r="M34" s="1324"/>
      <c r="N34" s="1324"/>
      <c r="O34" s="1324"/>
    </row>
    <row r="35" spans="1:20">
      <c r="A35" s="1393"/>
      <c r="B35" s="1324"/>
      <c r="C35" s="1420" t="s">
        <v>7141</v>
      </c>
      <c r="D35" s="1324">
        <f>+D33-REPORTS!F1916</f>
        <v>0</v>
      </c>
      <c r="E35" s="1324">
        <f>+E33-REPORTS!G1916</f>
        <v>0</v>
      </c>
      <c r="F35" s="1324">
        <f>+F33-REPORTS!H1916</f>
        <v>0</v>
      </c>
      <c r="G35" s="1374"/>
      <c r="H35" s="1324">
        <f>+H33-REPORTS!J1916</f>
        <v>0</v>
      </c>
      <c r="I35" s="1324">
        <f>+I33-REPORTS!K1916</f>
        <v>0</v>
      </c>
      <c r="J35" s="1324">
        <f>+J33-REPORTS!L1916</f>
        <v>0</v>
      </c>
      <c r="K35" s="1324">
        <f>+K33-REPORTS!M1916</f>
        <v>0</v>
      </c>
      <c r="L35" s="1324">
        <f>+L33-REPORTS!N1916</f>
        <v>0</v>
      </c>
      <c r="M35" s="1324">
        <f>+M33-REPORTS!O1916</f>
        <v>0</v>
      </c>
      <c r="N35" s="1324">
        <f>+N33-REPORTS!P1916</f>
        <v>0</v>
      </c>
      <c r="O35" s="1324">
        <f>+O33-REPORTS!Q1916</f>
        <v>0</v>
      </c>
    </row>
    <row r="37" spans="1:20">
      <c r="D37" s="162"/>
    </row>
    <row r="38" spans="1:20">
      <c r="D38" s="162"/>
    </row>
    <row r="73" spans="4:4">
      <c r="D73" s="162"/>
    </row>
  </sheetData>
  <mergeCells count="3">
    <mergeCell ref="A6:P6"/>
    <mergeCell ref="A7:P7"/>
    <mergeCell ref="A8:P8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</sheetPr>
  <dimension ref="A1:M131"/>
  <sheetViews>
    <sheetView tabSelected="1" showOutlineSymbols="0" workbookViewId="0"/>
  </sheetViews>
  <sheetFormatPr defaultRowHeight="14.4"/>
  <cols>
    <col min="1" max="1" width="27.88671875" style="2049" bestFit="1" customWidth="1"/>
    <col min="2" max="2" width="53.109375" style="2049" bestFit="1" customWidth="1"/>
    <col min="3" max="4" width="19.6640625" style="2049" customWidth="1"/>
    <col min="5" max="5" width="19.6640625" style="24" customWidth="1"/>
    <col min="7" max="7" width="12.5546875" style="33" bestFit="1" customWidth="1"/>
    <col min="9" max="9" width="14.6640625" bestFit="1" customWidth="1"/>
    <col min="10" max="10" width="40" bestFit="1" customWidth="1"/>
    <col min="11" max="11" width="15.33203125" bestFit="1" customWidth="1"/>
    <col min="13" max="13" width="12.6640625" bestFit="1" customWidth="1"/>
  </cols>
  <sheetData>
    <row r="1" spans="1:13" ht="17.399999999999999">
      <c r="B1" s="2050"/>
      <c r="C1" s="2051" t="s">
        <v>9303</v>
      </c>
      <c r="D1" s="2050"/>
      <c r="E1" s="2050"/>
    </row>
    <row r="2" spans="1:13" ht="18" thickBot="1">
      <c r="A2" s="2052"/>
      <c r="B2" s="2052"/>
      <c r="C2" s="2051"/>
      <c r="D2" s="2052"/>
      <c r="E2" s="2052"/>
    </row>
    <row r="3" spans="1:13" ht="17.399999999999999">
      <c r="A3" s="2051" t="s">
        <v>9181</v>
      </c>
      <c r="B3" s="2053"/>
      <c r="C3" s="2054" t="s">
        <v>111</v>
      </c>
      <c r="D3" s="2054" t="s">
        <v>112</v>
      </c>
      <c r="E3" s="2053" t="s">
        <v>9182</v>
      </c>
      <c r="I3" s="3069" t="s">
        <v>610</v>
      </c>
      <c r="J3" s="3070"/>
      <c r="K3" s="3071"/>
      <c r="M3" s="1962" t="s">
        <v>116</v>
      </c>
    </row>
    <row r="4" spans="1:13" ht="15" thickBot="1">
      <c r="A4" s="2055" t="s">
        <v>113</v>
      </c>
      <c r="B4" s="2055"/>
      <c r="C4" s="2055"/>
      <c r="D4" s="2055"/>
      <c r="E4" s="52" t="s">
        <v>8966</v>
      </c>
      <c r="G4" s="33" t="s">
        <v>123</v>
      </c>
      <c r="I4" s="2056" t="s">
        <v>117</v>
      </c>
      <c r="J4" s="58" t="s">
        <v>35</v>
      </c>
      <c r="K4" s="2057"/>
    </row>
    <row r="5" spans="1:13">
      <c r="A5" s="2058" t="s">
        <v>8534</v>
      </c>
      <c r="B5" s="2058" t="s">
        <v>44</v>
      </c>
      <c r="C5" s="2059">
        <v>2539819.7231102325</v>
      </c>
      <c r="D5" s="2059">
        <v>3097529.0640881676</v>
      </c>
      <c r="E5" s="2059">
        <f>+SUM(C5:D5)</f>
        <v>5637348.7871984001</v>
      </c>
      <c r="G5" s="33" t="str">
        <f>+MID(A5,2,3)</f>
        <v>500</v>
      </c>
      <c r="I5" s="2060" t="s">
        <v>1492</v>
      </c>
      <c r="J5" s="38" t="s">
        <v>1491</v>
      </c>
      <c r="K5" s="1659">
        <f>+SUMIFS(E:E,A:A,"&gt;=A5")</f>
        <v>1203361865.3056536</v>
      </c>
    </row>
    <row r="6" spans="1:13">
      <c r="A6" s="2058" t="s">
        <v>8535</v>
      </c>
      <c r="B6" s="2058" t="s">
        <v>45</v>
      </c>
      <c r="C6" s="2059">
        <v>39958.363692713174</v>
      </c>
      <c r="D6" s="2059">
        <v>15495785.310971584</v>
      </c>
      <c r="E6" s="2059">
        <f t="shared" ref="E6:E69" si="0">+SUM(C6:D6)</f>
        <v>15535743.674664298</v>
      </c>
      <c r="G6" s="33" t="str">
        <f t="shared" ref="G6:G70" si="1">+MID(A6,2,3)</f>
        <v>501</v>
      </c>
      <c r="I6" s="59" t="str">
        <f>+INDEX(A:A,MATCH(J6,B:B,0))</f>
        <v>9501000</v>
      </c>
      <c r="J6" t="s">
        <v>45</v>
      </c>
      <c r="K6" s="57">
        <f>+SUMIFS(E:E,B:B,J6)</f>
        <v>15535743.674664298</v>
      </c>
    </row>
    <row r="7" spans="1:13">
      <c r="A7" s="2058" t="s">
        <v>8536</v>
      </c>
      <c r="B7" s="2058" t="s">
        <v>46</v>
      </c>
      <c r="C7" s="2059">
        <v>10112351.417302402</v>
      </c>
      <c r="D7" s="2059">
        <v>-2591563.7750897016</v>
      </c>
      <c r="E7" s="2059">
        <f t="shared" si="0"/>
        <v>7520787.6422127001</v>
      </c>
      <c r="G7" s="33" t="str">
        <f t="shared" si="1"/>
        <v>502</v>
      </c>
      <c r="I7" s="59" t="str">
        <f>+INDEX(A:A,MATCH(J7,B:B,0))</f>
        <v>9547000</v>
      </c>
      <c r="J7" t="s">
        <v>55</v>
      </c>
      <c r="K7" s="57">
        <f>+SUMIFS(E:E,B:B,J7)</f>
        <v>670558862.80952358</v>
      </c>
    </row>
    <row r="8" spans="1:13">
      <c r="A8" s="2058" t="s">
        <v>8537</v>
      </c>
      <c r="B8" s="2058" t="s">
        <v>47</v>
      </c>
      <c r="C8" s="2059">
        <v>0</v>
      </c>
      <c r="D8" s="2059">
        <v>2242779.1811436</v>
      </c>
      <c r="E8" s="2059">
        <f t="shared" si="0"/>
        <v>2242779.1811436</v>
      </c>
      <c r="G8" s="33" t="str">
        <f t="shared" si="1"/>
        <v>505</v>
      </c>
      <c r="I8" s="59" t="str">
        <f>+INDEX(A:A,MATCH(J8,B:B,0))</f>
        <v>9555000</v>
      </c>
      <c r="J8" t="s">
        <v>62</v>
      </c>
      <c r="K8" s="57">
        <f>+SUMIFS(E:E,B:B,J8)</f>
        <v>16783255.023564801</v>
      </c>
    </row>
    <row r="9" spans="1:13">
      <c r="A9" s="2058" t="s">
        <v>8538</v>
      </c>
      <c r="B9" s="2058" t="s">
        <v>48</v>
      </c>
      <c r="C9" s="2059">
        <v>935691.06737945741</v>
      </c>
      <c r="D9" s="2059">
        <v>4040151.9652139419</v>
      </c>
      <c r="E9" s="2059">
        <f t="shared" si="0"/>
        <v>4975843.0325933993</v>
      </c>
      <c r="G9" s="33" t="str">
        <f t="shared" si="1"/>
        <v>506</v>
      </c>
      <c r="I9" s="59">
        <v>9509000</v>
      </c>
      <c r="J9" t="s">
        <v>8540</v>
      </c>
      <c r="K9" s="57">
        <f>+SUMIFS(E:E,B:B,J9)</f>
        <v>10030</v>
      </c>
    </row>
    <row r="10" spans="1:13">
      <c r="A10" s="2061" t="s">
        <v>8616</v>
      </c>
      <c r="B10" s="2058" t="s">
        <v>8615</v>
      </c>
      <c r="C10" s="2059">
        <v>0</v>
      </c>
      <c r="D10" s="2059">
        <v>24000</v>
      </c>
      <c r="E10" s="2059">
        <f t="shared" si="0"/>
        <v>24000</v>
      </c>
      <c r="G10" s="33" t="str">
        <f t="shared" si="1"/>
        <v>507</v>
      </c>
      <c r="I10" s="59"/>
      <c r="K10" s="2062"/>
    </row>
    <row r="11" spans="1:13">
      <c r="A11" s="2058" t="s">
        <v>8539</v>
      </c>
      <c r="B11" s="2058" t="s">
        <v>8540</v>
      </c>
      <c r="C11" s="2059">
        <v>0</v>
      </c>
      <c r="D11" s="2059">
        <v>10030</v>
      </c>
      <c r="E11" s="2059">
        <f t="shared" si="0"/>
        <v>10030</v>
      </c>
      <c r="G11" s="33" t="str">
        <f t="shared" si="1"/>
        <v>509</v>
      </c>
      <c r="I11" s="30" t="s">
        <v>1495</v>
      </c>
      <c r="J11" t="s">
        <v>8499</v>
      </c>
      <c r="K11" s="2063">
        <v>-48859</v>
      </c>
    </row>
    <row r="12" spans="1:13">
      <c r="A12" s="2058" t="s">
        <v>8541</v>
      </c>
      <c r="B12" s="2058" t="s">
        <v>49</v>
      </c>
      <c r="C12" s="2059">
        <v>0</v>
      </c>
      <c r="D12" s="2059">
        <v>0</v>
      </c>
      <c r="E12" s="2059">
        <f t="shared" si="0"/>
        <v>0</v>
      </c>
      <c r="G12" s="33" t="str">
        <f t="shared" si="1"/>
        <v>510</v>
      </c>
      <c r="I12" s="30" t="s">
        <v>1497</v>
      </c>
      <c r="J12" t="s">
        <v>1496</v>
      </c>
      <c r="K12" s="2063">
        <v>-2.6380952000000004</v>
      </c>
    </row>
    <row r="13" spans="1:13">
      <c r="A13" s="2058" t="s">
        <v>8542</v>
      </c>
      <c r="B13" s="2058" t="s">
        <v>50</v>
      </c>
      <c r="C13" s="2059">
        <v>1247898.5669689921</v>
      </c>
      <c r="D13" s="2059">
        <v>2561999.9999999078</v>
      </c>
      <c r="E13" s="2059">
        <f t="shared" si="0"/>
        <v>3809898.5669689002</v>
      </c>
      <c r="G13" s="33" t="str">
        <f t="shared" si="1"/>
        <v>511</v>
      </c>
      <c r="I13" s="30" t="s">
        <v>1499</v>
      </c>
      <c r="J13" t="s">
        <v>1500</v>
      </c>
      <c r="K13" s="2063">
        <v>-11698519</v>
      </c>
    </row>
    <row r="14" spans="1:13">
      <c r="A14" s="2058" t="s">
        <v>8543</v>
      </c>
      <c r="B14" s="2058" t="s">
        <v>51</v>
      </c>
      <c r="C14" s="2059">
        <v>3406967.6362274415</v>
      </c>
      <c r="D14" s="2059">
        <v>16904159.999999359</v>
      </c>
      <c r="E14" s="2059">
        <f t="shared" si="0"/>
        <v>20311127.636226799</v>
      </c>
      <c r="G14" s="33" t="str">
        <f t="shared" si="1"/>
        <v>512</v>
      </c>
      <c r="I14" s="30" t="s">
        <v>7202</v>
      </c>
      <c r="J14" t="s">
        <v>7203</v>
      </c>
      <c r="K14" s="2063">
        <v>-5522708.6771975989</v>
      </c>
    </row>
    <row r="15" spans="1:13">
      <c r="A15" s="2058" t="s">
        <v>8544</v>
      </c>
      <c r="B15" s="2058" t="s">
        <v>52</v>
      </c>
      <c r="C15" s="2059">
        <v>15892.726221085275</v>
      </c>
      <c r="D15" s="2059">
        <v>2000000.0000004147</v>
      </c>
      <c r="E15" s="2059">
        <f t="shared" si="0"/>
        <v>2015892.7262215</v>
      </c>
      <c r="G15" s="33" t="str">
        <f t="shared" si="1"/>
        <v>513</v>
      </c>
      <c r="I15" s="2064" t="s">
        <v>7202</v>
      </c>
      <c r="J15" s="2065" t="s">
        <v>7203</v>
      </c>
      <c r="K15" s="2066"/>
    </row>
    <row r="16" spans="1:13">
      <c r="A16" s="2058" t="s">
        <v>8545</v>
      </c>
      <c r="B16" s="2058" t="s">
        <v>53</v>
      </c>
      <c r="C16" s="2059">
        <v>15892.711546046517</v>
      </c>
      <c r="D16" s="2059">
        <v>2000000.0146754535</v>
      </c>
      <c r="E16" s="2059">
        <f t="shared" si="0"/>
        <v>2015892.7262215</v>
      </c>
      <c r="G16" s="33" t="str">
        <f t="shared" si="1"/>
        <v>514</v>
      </c>
      <c r="I16" s="2064" t="s">
        <v>1501</v>
      </c>
      <c r="J16" s="2065"/>
      <c r="K16" s="2066">
        <v>48125</v>
      </c>
    </row>
    <row r="17" spans="1:11">
      <c r="A17" s="2058" t="s">
        <v>8546</v>
      </c>
      <c r="B17" s="2058" t="s">
        <v>54</v>
      </c>
      <c r="C17" s="2059">
        <v>0</v>
      </c>
      <c r="D17" s="2059">
        <v>0</v>
      </c>
      <c r="E17" s="2059">
        <f t="shared" si="0"/>
        <v>0</v>
      </c>
      <c r="G17" s="33" t="str">
        <f t="shared" si="1"/>
        <v>546</v>
      </c>
      <c r="I17" s="2067" t="s">
        <v>122</v>
      </c>
      <c r="J17" s="2068"/>
      <c r="K17" s="2069">
        <v>483252009.48000002</v>
      </c>
    </row>
    <row r="18" spans="1:11">
      <c r="A18" s="2058" t="s">
        <v>8547</v>
      </c>
      <c r="B18" s="2058" t="s">
        <v>55</v>
      </c>
      <c r="C18" s="2059">
        <v>0</v>
      </c>
      <c r="D18" s="2059">
        <v>670558862.80952358</v>
      </c>
      <c r="E18" s="2059">
        <f t="shared" si="0"/>
        <v>670558862.80952358</v>
      </c>
      <c r="G18" s="33" t="str">
        <f t="shared" si="1"/>
        <v>547</v>
      </c>
      <c r="I18" s="30"/>
      <c r="K18" s="2062"/>
    </row>
    <row r="19" spans="1:11">
      <c r="A19" s="2058" t="s">
        <v>8548</v>
      </c>
      <c r="B19" s="2058" t="s">
        <v>56</v>
      </c>
      <c r="C19" s="2059">
        <v>9743830.9216275942</v>
      </c>
      <c r="D19" s="2059">
        <v>19524311.7852147</v>
      </c>
      <c r="E19" s="2059">
        <f t="shared" si="0"/>
        <v>29268142.706842296</v>
      </c>
      <c r="G19" s="33" t="str">
        <f t="shared" si="1"/>
        <v>548</v>
      </c>
      <c r="I19" s="30" t="s">
        <v>1503</v>
      </c>
      <c r="K19" s="2070">
        <f>+K5-SUM(K6:K9)+SUM(K11:K16)</f>
        <v>483252009.48260814</v>
      </c>
    </row>
    <row r="20" spans="1:11" ht="15" thickBot="1">
      <c r="A20" s="2058" t="s">
        <v>8549</v>
      </c>
      <c r="B20" s="2058" t="s">
        <v>57</v>
      </c>
      <c r="C20" s="2059">
        <v>3108504.3455310073</v>
      </c>
      <c r="D20" s="2059">
        <v>6218179.9325832929</v>
      </c>
      <c r="E20" s="2059">
        <f t="shared" si="0"/>
        <v>9326684.2781143002</v>
      </c>
      <c r="G20" s="33" t="str">
        <f t="shared" si="1"/>
        <v>549</v>
      </c>
      <c r="I20" s="2071" t="s">
        <v>1438</v>
      </c>
      <c r="J20" s="946"/>
      <c r="K20" s="2072">
        <f>+K19-K17</f>
        <v>2.6081204414367676E-3</v>
      </c>
    </row>
    <row r="21" spans="1:11">
      <c r="A21" s="2058" t="s">
        <v>8550</v>
      </c>
      <c r="B21" s="2058" t="s">
        <v>8551</v>
      </c>
      <c r="C21" s="2059">
        <v>0</v>
      </c>
      <c r="D21" s="2059">
        <v>0</v>
      </c>
      <c r="E21" s="2059">
        <f t="shared" si="0"/>
        <v>0</v>
      </c>
      <c r="G21" s="33" t="str">
        <f t="shared" si="1"/>
        <v>550</v>
      </c>
    </row>
    <row r="22" spans="1:11">
      <c r="A22" s="2058" t="s">
        <v>8552</v>
      </c>
      <c r="B22" s="2058" t="s">
        <v>58</v>
      </c>
      <c r="C22" s="2059">
        <v>0</v>
      </c>
      <c r="D22" s="2059">
        <v>0</v>
      </c>
      <c r="E22" s="2059">
        <f t="shared" si="0"/>
        <v>0</v>
      </c>
      <c r="G22" s="33" t="str">
        <f t="shared" si="1"/>
        <v>551</v>
      </c>
    </row>
    <row r="23" spans="1:11">
      <c r="A23" s="2058" t="s">
        <v>8553</v>
      </c>
      <c r="B23" s="2058" t="s">
        <v>59</v>
      </c>
      <c r="C23" s="2059">
        <v>1878519.7654972095</v>
      </c>
      <c r="D23" s="2059">
        <v>-1.0943040251731873E-7</v>
      </c>
      <c r="E23" s="2059">
        <f t="shared" si="0"/>
        <v>1878519.7654971001</v>
      </c>
      <c r="G23" s="33" t="str">
        <f t="shared" si="1"/>
        <v>552</v>
      </c>
    </row>
    <row r="24" spans="1:11">
      <c r="A24" s="2058" t="s">
        <v>8554</v>
      </c>
      <c r="B24" s="2058" t="s">
        <v>60</v>
      </c>
      <c r="C24" s="2059">
        <v>6454578.2426973656</v>
      </c>
      <c r="D24" s="2059">
        <v>30786805.233307533</v>
      </c>
      <c r="E24" s="2059">
        <f t="shared" si="0"/>
        <v>37241383.476004899</v>
      </c>
      <c r="G24" s="33" t="str">
        <f t="shared" si="1"/>
        <v>553</v>
      </c>
    </row>
    <row r="25" spans="1:11">
      <c r="A25" s="2058" t="s">
        <v>8555</v>
      </c>
      <c r="B25" s="2058" t="s">
        <v>61</v>
      </c>
      <c r="C25" s="2059">
        <v>82373.272272868213</v>
      </c>
      <c r="D25" s="2059">
        <v>1184060.4123249317</v>
      </c>
      <c r="E25" s="2059">
        <f t="shared" si="0"/>
        <v>1266433.6845978</v>
      </c>
      <c r="G25" s="33" t="str">
        <f t="shared" si="1"/>
        <v>554</v>
      </c>
    </row>
    <row r="26" spans="1:11">
      <c r="A26" s="2058" t="s">
        <v>8556</v>
      </c>
      <c r="B26" s="2058" t="s">
        <v>62</v>
      </c>
      <c r="C26" s="2059">
        <v>0</v>
      </c>
      <c r="D26" s="2059">
        <v>16783255.023564801</v>
      </c>
      <c r="E26" s="2059">
        <f t="shared" si="0"/>
        <v>16783255.023564801</v>
      </c>
      <c r="G26" s="33" t="str">
        <f t="shared" si="1"/>
        <v>555</v>
      </c>
    </row>
    <row r="27" spans="1:11">
      <c r="A27" s="2058" t="s">
        <v>8557</v>
      </c>
      <c r="B27" s="2058" t="s">
        <v>63</v>
      </c>
      <c r="C27" s="2059">
        <v>-990199.36521046504</v>
      </c>
      <c r="D27" s="2059">
        <v>34489.187906965148</v>
      </c>
      <c r="E27" s="2059">
        <f t="shared" si="0"/>
        <v>-955710.17730349989</v>
      </c>
      <c r="G27" s="33" t="str">
        <f t="shared" si="1"/>
        <v>556</v>
      </c>
    </row>
    <row r="28" spans="1:11">
      <c r="A28" s="2058" t="s">
        <v>8558</v>
      </c>
      <c r="B28" s="2058" t="s">
        <v>8559</v>
      </c>
      <c r="C28" s="2059">
        <v>0</v>
      </c>
      <c r="D28" s="2059">
        <v>0</v>
      </c>
      <c r="E28" s="2059">
        <f t="shared" si="0"/>
        <v>0</v>
      </c>
      <c r="G28" s="33" t="str">
        <f t="shared" si="1"/>
        <v>557</v>
      </c>
    </row>
    <row r="29" spans="1:11">
      <c r="A29" s="2058" t="s">
        <v>8560</v>
      </c>
      <c r="B29" s="2058" t="s">
        <v>64</v>
      </c>
      <c r="C29" s="2059">
        <v>706532.05174643418</v>
      </c>
      <c r="D29" s="2059">
        <v>209804.07000006584</v>
      </c>
      <c r="E29" s="2059">
        <f t="shared" si="0"/>
        <v>916336.12174650002</v>
      </c>
      <c r="G29" s="33" t="str">
        <f t="shared" si="1"/>
        <v>560</v>
      </c>
    </row>
    <row r="30" spans="1:11">
      <c r="A30" s="2058" t="s">
        <v>8561</v>
      </c>
      <c r="B30" s="2058" t="s">
        <v>65</v>
      </c>
      <c r="C30" s="2059">
        <v>0</v>
      </c>
      <c r="D30" s="2059">
        <v>0</v>
      </c>
      <c r="E30" s="2059">
        <f t="shared" si="0"/>
        <v>0</v>
      </c>
      <c r="G30" s="33" t="str">
        <f t="shared" si="1"/>
        <v>561</v>
      </c>
    </row>
    <row r="31" spans="1:11">
      <c r="A31" s="2058" t="s">
        <v>8562</v>
      </c>
      <c r="B31" s="2058" t="s">
        <v>66</v>
      </c>
      <c r="C31" s="2059">
        <v>1449302.6790658913</v>
      </c>
      <c r="D31" s="2059">
        <v>160884.49139520875</v>
      </c>
      <c r="E31" s="2059">
        <f t="shared" si="0"/>
        <v>1610187.1704611001</v>
      </c>
      <c r="G31" s="33" t="str">
        <f t="shared" si="1"/>
        <v>561</v>
      </c>
    </row>
    <row r="32" spans="1:11">
      <c r="A32" s="2058" t="s">
        <v>8563</v>
      </c>
      <c r="B32" s="2058" t="s">
        <v>67</v>
      </c>
      <c r="C32" s="2059">
        <v>1030425.4977873644</v>
      </c>
      <c r="D32" s="2059">
        <v>3.2557635451667011E-2</v>
      </c>
      <c r="E32" s="2059">
        <f t="shared" si="0"/>
        <v>1030425.5303449999</v>
      </c>
      <c r="G32" s="33" t="str">
        <f t="shared" si="1"/>
        <v>561</v>
      </c>
    </row>
    <row r="33" spans="1:7">
      <c r="A33" s="2058" t="s">
        <v>8564</v>
      </c>
      <c r="B33" s="2058" t="s">
        <v>8565</v>
      </c>
      <c r="C33" s="2059">
        <v>0</v>
      </c>
      <c r="D33" s="2059">
        <v>0</v>
      </c>
      <c r="E33" s="2059">
        <f t="shared" si="0"/>
        <v>0</v>
      </c>
      <c r="G33" s="33" t="str">
        <f t="shared" si="1"/>
        <v>561</v>
      </c>
    </row>
    <row r="34" spans="1:7">
      <c r="A34" s="2058" t="s">
        <v>8566</v>
      </c>
      <c r="B34" s="2058" t="s">
        <v>68</v>
      </c>
      <c r="C34" s="2059">
        <v>1278601.4770803875</v>
      </c>
      <c r="D34" s="2059">
        <v>365074.30691301264</v>
      </c>
      <c r="E34" s="2059">
        <f t="shared" si="0"/>
        <v>1643675.7839934002</v>
      </c>
      <c r="G34" s="33" t="str">
        <f t="shared" si="1"/>
        <v>562</v>
      </c>
    </row>
    <row r="35" spans="1:7">
      <c r="A35" s="2058" t="s">
        <v>8567</v>
      </c>
      <c r="B35" s="2058" t="s">
        <v>69</v>
      </c>
      <c r="C35" s="2059">
        <v>0</v>
      </c>
      <c r="D35" s="2059">
        <v>463601.15131130011</v>
      </c>
      <c r="E35" s="2059">
        <f t="shared" si="0"/>
        <v>463601.15131130011</v>
      </c>
      <c r="G35" s="33" t="str">
        <f t="shared" si="1"/>
        <v>563</v>
      </c>
    </row>
    <row r="36" spans="1:7">
      <c r="A36" s="2058" t="s">
        <v>8568</v>
      </c>
      <c r="B36" s="2058" t="s">
        <v>70</v>
      </c>
      <c r="C36" s="2059">
        <v>1257322.2075843411</v>
      </c>
      <c r="D36" s="2059">
        <v>543809.49034525896</v>
      </c>
      <c r="E36" s="2059">
        <f t="shared" si="0"/>
        <v>1801131.6979296</v>
      </c>
      <c r="G36" s="33" t="str">
        <f t="shared" si="1"/>
        <v>566</v>
      </c>
    </row>
    <row r="37" spans="1:7">
      <c r="A37" s="2058" t="s">
        <v>8569</v>
      </c>
      <c r="B37" s="2058" t="s">
        <v>8570</v>
      </c>
      <c r="C37" s="2059">
        <v>0</v>
      </c>
      <c r="D37" s="2059">
        <v>0</v>
      </c>
      <c r="E37" s="2059">
        <f t="shared" si="0"/>
        <v>0</v>
      </c>
      <c r="G37" s="33" t="str">
        <f t="shared" si="1"/>
        <v>567</v>
      </c>
    </row>
    <row r="38" spans="1:7">
      <c r="A38" s="2058" t="s">
        <v>8571</v>
      </c>
      <c r="B38" s="2058" t="s">
        <v>8572</v>
      </c>
      <c r="C38" s="2059">
        <v>0</v>
      </c>
      <c r="D38" s="2059">
        <v>0</v>
      </c>
      <c r="E38" s="2059">
        <f t="shared" si="0"/>
        <v>0</v>
      </c>
      <c r="G38" s="33" t="str">
        <f t="shared" si="1"/>
        <v>569</v>
      </c>
    </row>
    <row r="39" spans="1:7">
      <c r="A39" s="2073" t="s">
        <v>8573</v>
      </c>
      <c r="B39" s="2074" t="s">
        <v>71</v>
      </c>
      <c r="C39" s="2059">
        <v>135273.91615837207</v>
      </c>
      <c r="D39" s="2059">
        <v>1459393.3225057279</v>
      </c>
      <c r="E39" s="2059">
        <f t="shared" si="0"/>
        <v>1594667.2386640999</v>
      </c>
      <c r="G39" s="33" t="str">
        <f t="shared" si="1"/>
        <v>569</v>
      </c>
    </row>
    <row r="40" spans="1:7">
      <c r="A40" s="2058" t="s">
        <v>8574</v>
      </c>
      <c r="B40" s="2058" t="s">
        <v>72</v>
      </c>
      <c r="C40" s="2059">
        <v>0</v>
      </c>
      <c r="D40" s="2059">
        <v>286565.01999959996</v>
      </c>
      <c r="E40" s="2059">
        <f t="shared" si="0"/>
        <v>286565.01999959996</v>
      </c>
      <c r="G40" s="33" t="str">
        <f t="shared" si="1"/>
        <v>569</v>
      </c>
    </row>
    <row r="41" spans="1:7">
      <c r="A41" s="2073" t="s">
        <v>8575</v>
      </c>
      <c r="B41" s="2074" t="s">
        <v>73</v>
      </c>
      <c r="C41" s="2059">
        <v>786502.22570248053</v>
      </c>
      <c r="D41" s="2059">
        <v>442848.00000001944</v>
      </c>
      <c r="E41" s="2059">
        <f t="shared" si="0"/>
        <v>1229350.2257025</v>
      </c>
      <c r="G41" s="33" t="str">
        <f t="shared" si="1"/>
        <v>570</v>
      </c>
    </row>
    <row r="42" spans="1:7">
      <c r="A42" s="2058" t="s">
        <v>8576</v>
      </c>
      <c r="B42" s="2058" t="s">
        <v>74</v>
      </c>
      <c r="C42" s="2059">
        <v>899287.11093945731</v>
      </c>
      <c r="D42" s="2059">
        <v>4857924.2086886438</v>
      </c>
      <c r="E42" s="2059">
        <f t="shared" si="0"/>
        <v>5757211.3196281008</v>
      </c>
      <c r="G42" s="33" t="str">
        <f t="shared" si="1"/>
        <v>571</v>
      </c>
    </row>
    <row r="43" spans="1:7">
      <c r="A43" s="2058" t="s">
        <v>8577</v>
      </c>
      <c r="B43" s="2058" t="s">
        <v>75</v>
      </c>
      <c r="C43" s="2059">
        <v>947798.97956480633</v>
      </c>
      <c r="D43" s="2059">
        <v>620992.88643639383</v>
      </c>
      <c r="E43" s="2059">
        <f t="shared" si="0"/>
        <v>1568791.8660012002</v>
      </c>
      <c r="G43" s="33" t="str">
        <f t="shared" si="1"/>
        <v>580</v>
      </c>
    </row>
    <row r="44" spans="1:7">
      <c r="A44" s="2058" t="s">
        <v>8578</v>
      </c>
      <c r="B44" s="2058" t="s">
        <v>76</v>
      </c>
      <c r="C44" s="2059">
        <v>661908.38291806192</v>
      </c>
      <c r="D44" s="2059">
        <v>520181.49999983795</v>
      </c>
      <c r="E44" s="2059">
        <f t="shared" si="0"/>
        <v>1182089.8829178999</v>
      </c>
      <c r="G44" s="33" t="str">
        <f t="shared" si="1"/>
        <v>581</v>
      </c>
    </row>
    <row r="45" spans="1:7">
      <c r="A45" s="2058" t="s">
        <v>8579</v>
      </c>
      <c r="B45" s="2058" t="s">
        <v>77</v>
      </c>
      <c r="C45" s="2059">
        <v>435832.06715837214</v>
      </c>
      <c r="D45" s="2059">
        <v>600830.41860442783</v>
      </c>
      <c r="E45" s="2059">
        <f t="shared" si="0"/>
        <v>1036662.4857628</v>
      </c>
      <c r="G45" s="33" t="str">
        <f t="shared" si="1"/>
        <v>582</v>
      </c>
    </row>
    <row r="46" spans="1:7">
      <c r="A46" s="2058" t="s">
        <v>8580</v>
      </c>
      <c r="B46" s="2058" t="s">
        <v>78</v>
      </c>
      <c r="C46" s="2059">
        <v>3616819.7414265885</v>
      </c>
      <c r="D46" s="2059">
        <v>4506114.9152559116</v>
      </c>
      <c r="E46" s="2059">
        <f t="shared" si="0"/>
        <v>8122934.6566825006</v>
      </c>
      <c r="G46" s="33" t="str">
        <f t="shared" si="1"/>
        <v>583</v>
      </c>
    </row>
    <row r="47" spans="1:7">
      <c r="A47" s="2058" t="s">
        <v>8581</v>
      </c>
      <c r="B47" s="2058" t="s">
        <v>79</v>
      </c>
      <c r="C47" s="2059">
        <v>0</v>
      </c>
      <c r="D47" s="2059">
        <v>901532.33442349976</v>
      </c>
      <c r="E47" s="2059">
        <f t="shared" si="0"/>
        <v>901532.33442349976</v>
      </c>
      <c r="G47" s="33" t="str">
        <f t="shared" si="1"/>
        <v>584</v>
      </c>
    </row>
    <row r="48" spans="1:7">
      <c r="A48" s="2058" t="s">
        <v>8582</v>
      </c>
      <c r="B48" s="2058" t="s">
        <v>80</v>
      </c>
      <c r="C48" s="2059">
        <v>1475280.9850902325</v>
      </c>
      <c r="D48" s="2059">
        <v>382251.88758786768</v>
      </c>
      <c r="E48" s="2059">
        <f t="shared" si="0"/>
        <v>1857532.8726781001</v>
      </c>
      <c r="G48" s="33" t="str">
        <f t="shared" si="1"/>
        <v>585</v>
      </c>
    </row>
    <row r="49" spans="1:7">
      <c r="A49" s="2058" t="s">
        <v>8583</v>
      </c>
      <c r="B49" s="2058" t="s">
        <v>81</v>
      </c>
      <c r="C49" s="2059">
        <v>4209337.6616344191</v>
      </c>
      <c r="D49" s="2059">
        <v>1394544.5237207804</v>
      </c>
      <c r="E49" s="2059">
        <f t="shared" si="0"/>
        <v>5603882.1853551995</v>
      </c>
      <c r="G49" s="33" t="str">
        <f t="shared" si="1"/>
        <v>586</v>
      </c>
    </row>
    <row r="50" spans="1:7">
      <c r="A50" s="2058" t="s">
        <v>8584</v>
      </c>
      <c r="B50" s="2058" t="s">
        <v>82</v>
      </c>
      <c r="C50" s="2059">
        <v>0</v>
      </c>
      <c r="D50" s="2059">
        <v>0</v>
      </c>
      <c r="E50" s="2059">
        <f t="shared" si="0"/>
        <v>0</v>
      </c>
      <c r="G50" s="33" t="str">
        <f t="shared" si="1"/>
        <v>587</v>
      </c>
    </row>
    <row r="51" spans="1:7">
      <c r="A51" s="2058" t="s">
        <v>8585</v>
      </c>
      <c r="B51" s="2058" t="s">
        <v>83</v>
      </c>
      <c r="C51" s="2059">
        <v>6974090.4751129448</v>
      </c>
      <c r="D51" s="2059">
        <v>5558798.3144579586</v>
      </c>
      <c r="E51" s="2059">
        <f t="shared" si="0"/>
        <v>12532888.789570903</v>
      </c>
      <c r="G51" s="33" t="str">
        <f t="shared" si="1"/>
        <v>588</v>
      </c>
    </row>
    <row r="52" spans="1:7">
      <c r="A52" s="2058" t="s">
        <v>8586</v>
      </c>
      <c r="B52" s="2058" t="s">
        <v>84</v>
      </c>
      <c r="C52" s="2059">
        <v>0</v>
      </c>
      <c r="D52" s="2059">
        <v>377004</v>
      </c>
      <c r="E52" s="2059">
        <f t="shared" si="0"/>
        <v>377004</v>
      </c>
      <c r="G52" s="33" t="str">
        <f t="shared" si="1"/>
        <v>589</v>
      </c>
    </row>
    <row r="53" spans="1:7">
      <c r="A53" s="2058" t="s">
        <v>8587</v>
      </c>
      <c r="B53" s="2058" t="s">
        <v>85</v>
      </c>
      <c r="C53" s="2059">
        <v>118184.18573713177</v>
      </c>
      <c r="D53" s="2059">
        <v>-292404.00000003178</v>
      </c>
      <c r="E53" s="2059">
        <f t="shared" si="0"/>
        <v>-174219.81426290001</v>
      </c>
      <c r="G53" s="33" t="str">
        <f t="shared" si="1"/>
        <v>591</v>
      </c>
    </row>
    <row r="54" spans="1:7">
      <c r="A54" s="2058" t="s">
        <v>8588</v>
      </c>
      <c r="B54" s="2058" t="s">
        <v>86</v>
      </c>
      <c r="C54" s="2059">
        <v>1729459.8107459692</v>
      </c>
      <c r="D54" s="2059">
        <v>779389.34883673047</v>
      </c>
      <c r="E54" s="2059">
        <f t="shared" si="0"/>
        <v>2508849.1595826996</v>
      </c>
      <c r="G54" s="33" t="str">
        <f t="shared" si="1"/>
        <v>592</v>
      </c>
    </row>
    <row r="55" spans="1:7">
      <c r="A55" s="2058" t="s">
        <v>8589</v>
      </c>
      <c r="B55" s="2058" t="s">
        <v>87</v>
      </c>
      <c r="C55" s="2059">
        <v>9516058.8996930998</v>
      </c>
      <c r="D55" s="2059">
        <v>32728606.004045196</v>
      </c>
      <c r="E55" s="2059">
        <f t="shared" si="0"/>
        <v>42244664.903738298</v>
      </c>
      <c r="G55" s="33" t="str">
        <f t="shared" si="1"/>
        <v>593</v>
      </c>
    </row>
    <row r="56" spans="1:7">
      <c r="A56" s="2058" t="s">
        <v>8590</v>
      </c>
      <c r="B56" s="2058" t="s">
        <v>88</v>
      </c>
      <c r="C56" s="2059">
        <v>3666408.3323287596</v>
      </c>
      <c r="D56" s="2059">
        <v>1149336.8200003407</v>
      </c>
      <c r="E56" s="2059">
        <f t="shared" si="0"/>
        <v>4815745.1523291003</v>
      </c>
      <c r="G56" s="33" t="str">
        <f t="shared" si="1"/>
        <v>594</v>
      </c>
    </row>
    <row r="57" spans="1:7">
      <c r="A57" s="2058" t="s">
        <v>8591</v>
      </c>
      <c r="B57" s="2058" t="s">
        <v>89</v>
      </c>
      <c r="C57" s="2059">
        <v>203217.24187116278</v>
      </c>
      <c r="D57" s="2059">
        <v>15228.000000137225</v>
      </c>
      <c r="E57" s="2059">
        <f t="shared" si="0"/>
        <v>218445.24187130001</v>
      </c>
      <c r="G57" s="33" t="str">
        <f t="shared" si="1"/>
        <v>595</v>
      </c>
    </row>
    <row r="58" spans="1:7">
      <c r="A58" s="2058" t="s">
        <v>8592</v>
      </c>
      <c r="B58" s="2058" t="s">
        <v>90</v>
      </c>
      <c r="C58" s="2059">
        <v>0</v>
      </c>
      <c r="D58" s="2059">
        <v>620651.97059160005</v>
      </c>
      <c r="E58" s="2059">
        <f t="shared" si="0"/>
        <v>620651.97059160005</v>
      </c>
      <c r="G58" s="33" t="str">
        <f t="shared" si="1"/>
        <v>596</v>
      </c>
    </row>
    <row r="59" spans="1:7">
      <c r="A59" s="2058" t="s">
        <v>8593</v>
      </c>
      <c r="B59" s="2058" t="s">
        <v>91</v>
      </c>
      <c r="C59" s="2059">
        <v>755250.25187124033</v>
      </c>
      <c r="D59" s="2059">
        <v>108000.00000025949</v>
      </c>
      <c r="E59" s="2059">
        <f t="shared" si="0"/>
        <v>863250.25187149982</v>
      </c>
      <c r="G59" s="33" t="str">
        <f t="shared" si="1"/>
        <v>597</v>
      </c>
    </row>
    <row r="60" spans="1:7">
      <c r="A60" s="2058" t="s">
        <v>8594</v>
      </c>
      <c r="B60" s="2058" t="s">
        <v>92</v>
      </c>
      <c r="C60" s="2059">
        <v>0</v>
      </c>
      <c r="D60" s="2059">
        <v>0</v>
      </c>
      <c r="E60" s="2059">
        <f t="shared" si="0"/>
        <v>0</v>
      </c>
      <c r="G60" s="33" t="str">
        <f t="shared" si="1"/>
        <v>598</v>
      </c>
    </row>
    <row r="61" spans="1:7">
      <c r="A61" s="2058" t="s">
        <v>8595</v>
      </c>
      <c r="B61" s="2058" t="s">
        <v>93</v>
      </c>
      <c r="C61" s="2059">
        <v>0</v>
      </c>
      <c r="D61" s="2059">
        <v>0</v>
      </c>
      <c r="E61" s="2059">
        <f t="shared" si="0"/>
        <v>0</v>
      </c>
      <c r="G61" s="33" t="str">
        <f t="shared" si="1"/>
        <v>901</v>
      </c>
    </row>
    <row r="62" spans="1:7">
      <c r="A62" s="2058" t="s">
        <v>8596</v>
      </c>
      <c r="B62" s="2058" t="s">
        <v>94</v>
      </c>
      <c r="C62" s="2059">
        <v>0</v>
      </c>
      <c r="D62" s="2059">
        <v>4394426.2944155997</v>
      </c>
      <c r="E62" s="2059">
        <f t="shared" si="0"/>
        <v>4394426.2944155997</v>
      </c>
      <c r="G62" s="33" t="str">
        <f t="shared" si="1"/>
        <v>902</v>
      </c>
    </row>
    <row r="63" spans="1:7">
      <c r="A63" s="2058" t="s">
        <v>8597</v>
      </c>
      <c r="B63" s="2058" t="s">
        <v>95</v>
      </c>
      <c r="C63" s="2059">
        <v>14760428.95844442</v>
      </c>
      <c r="D63" s="2059">
        <v>14616176.916393679</v>
      </c>
      <c r="E63" s="2059">
        <f t="shared" si="0"/>
        <v>29376605.874838099</v>
      </c>
      <c r="G63" s="33" t="str">
        <f t="shared" si="1"/>
        <v>903</v>
      </c>
    </row>
    <row r="64" spans="1:7">
      <c r="A64" s="2058" t="s">
        <v>8598</v>
      </c>
      <c r="B64" s="2058" t="s">
        <v>96</v>
      </c>
      <c r="C64" s="2059">
        <v>0</v>
      </c>
      <c r="D64" s="2059">
        <v>5796780.4260914996</v>
      </c>
      <c r="E64" s="2059">
        <f t="shared" si="0"/>
        <v>5796780.4260914996</v>
      </c>
      <c r="G64" s="33" t="str">
        <f t="shared" si="1"/>
        <v>904</v>
      </c>
    </row>
    <row r="65" spans="1:7">
      <c r="A65" s="2058" t="s">
        <v>8599</v>
      </c>
      <c r="B65" s="2058" t="s">
        <v>97</v>
      </c>
      <c r="C65" s="2059">
        <v>5338204.0889010858</v>
      </c>
      <c r="D65" s="2059">
        <v>57362460.580393322</v>
      </c>
      <c r="E65" s="2059">
        <f t="shared" si="0"/>
        <v>62700664.669294409</v>
      </c>
      <c r="G65" s="33" t="str">
        <f t="shared" si="1"/>
        <v>908</v>
      </c>
    </row>
    <row r="66" spans="1:7">
      <c r="A66" s="2058" t="s">
        <v>8600</v>
      </c>
      <c r="B66" s="2058" t="s">
        <v>98</v>
      </c>
      <c r="C66" s="2059">
        <v>0</v>
      </c>
      <c r="D66" s="2059">
        <v>5484158.9778819988</v>
      </c>
      <c r="E66" s="2059">
        <f t="shared" si="0"/>
        <v>5484158.9778819988</v>
      </c>
      <c r="G66" s="33" t="str">
        <f t="shared" si="1"/>
        <v>909</v>
      </c>
    </row>
    <row r="67" spans="1:7">
      <c r="A67" s="2058" t="s">
        <v>8601</v>
      </c>
      <c r="B67" s="2058" t="s">
        <v>99</v>
      </c>
      <c r="C67" s="2059">
        <v>0</v>
      </c>
      <c r="D67" s="2059">
        <v>335002</v>
      </c>
      <c r="E67" s="2059">
        <f t="shared" si="0"/>
        <v>335002</v>
      </c>
      <c r="G67" s="33" t="str">
        <f t="shared" si="1"/>
        <v>912</v>
      </c>
    </row>
    <row r="68" spans="1:7">
      <c r="A68" s="2058" t="s">
        <v>8602</v>
      </c>
      <c r="B68" s="2058" t="s">
        <v>100</v>
      </c>
      <c r="C68" s="2059">
        <v>73042403.672304392</v>
      </c>
      <c r="D68" s="2059">
        <v>0</v>
      </c>
      <c r="E68" s="2059">
        <f t="shared" si="0"/>
        <v>73042403.672304392</v>
      </c>
      <c r="G68" s="33" t="str">
        <f t="shared" si="1"/>
        <v>920</v>
      </c>
    </row>
    <row r="69" spans="1:7">
      <c r="A69" s="2058" t="s">
        <v>8603</v>
      </c>
      <c r="B69" s="2058" t="s">
        <v>101</v>
      </c>
      <c r="C69" s="2059">
        <v>0</v>
      </c>
      <c r="D69" s="2059">
        <v>5202840.3527058</v>
      </c>
      <c r="E69" s="2059">
        <f t="shared" si="0"/>
        <v>5202840.3527058</v>
      </c>
      <c r="G69" s="33" t="str">
        <f t="shared" si="1"/>
        <v>921</v>
      </c>
    </row>
    <row r="70" spans="1:7">
      <c r="A70" s="2058" t="s">
        <v>8604</v>
      </c>
      <c r="B70" s="2058" t="s">
        <v>102</v>
      </c>
      <c r="C70" s="2059">
        <v>0</v>
      </c>
      <c r="D70" s="2059">
        <v>-58310661.032536194</v>
      </c>
      <c r="E70" s="2059">
        <f t="shared" ref="E70:E79" si="2">+SUM(C70:D70)</f>
        <v>-58310661.032536194</v>
      </c>
      <c r="G70" s="33" t="str">
        <f t="shared" si="1"/>
        <v>922</v>
      </c>
    </row>
    <row r="71" spans="1:7">
      <c r="A71" s="2058" t="s">
        <v>8605</v>
      </c>
      <c r="B71" s="2058" t="s">
        <v>103</v>
      </c>
      <c r="C71" s="2059">
        <v>0</v>
      </c>
      <c r="D71" s="2059">
        <v>35273257.629188798</v>
      </c>
      <c r="E71" s="2059">
        <f t="shared" si="2"/>
        <v>35273257.629188798</v>
      </c>
      <c r="G71" s="33" t="str">
        <f t="shared" ref="G71:G79" si="3">+MID(A71,2,3)</f>
        <v>923</v>
      </c>
    </row>
    <row r="72" spans="1:7">
      <c r="A72" s="2058" t="s">
        <v>8606</v>
      </c>
      <c r="B72" s="2058" t="s">
        <v>104</v>
      </c>
      <c r="C72" s="2059">
        <v>0</v>
      </c>
      <c r="D72" s="2059">
        <v>19611570.9332962</v>
      </c>
      <c r="E72" s="2059">
        <f t="shared" si="2"/>
        <v>19611570.9332962</v>
      </c>
      <c r="G72" s="33" t="str">
        <f t="shared" si="3"/>
        <v>924</v>
      </c>
    </row>
    <row r="73" spans="1:7">
      <c r="A73" s="2058" t="s">
        <v>8607</v>
      </c>
      <c r="B73" s="2058" t="s">
        <v>105</v>
      </c>
      <c r="C73" s="2059">
        <v>0</v>
      </c>
      <c r="D73" s="2059">
        <v>23695104.766964599</v>
      </c>
      <c r="E73" s="2059">
        <f t="shared" si="2"/>
        <v>23695104.766964599</v>
      </c>
      <c r="G73" s="33" t="str">
        <f t="shared" si="3"/>
        <v>925</v>
      </c>
    </row>
    <row r="74" spans="1:7">
      <c r="A74" s="2058" t="s">
        <v>8608</v>
      </c>
      <c r="B74" s="2058" t="s">
        <v>106</v>
      </c>
      <c r="C74" s="2059">
        <v>0</v>
      </c>
      <c r="D74" s="2059">
        <v>42359125.328111202</v>
      </c>
      <c r="E74" s="2059">
        <f t="shared" si="2"/>
        <v>42359125.328111202</v>
      </c>
      <c r="G74" s="33" t="str">
        <f t="shared" si="3"/>
        <v>926</v>
      </c>
    </row>
    <row r="75" spans="1:7">
      <c r="A75" s="2058" t="s">
        <v>8609</v>
      </c>
      <c r="B75" s="2058" t="s">
        <v>107</v>
      </c>
      <c r="C75" s="2059">
        <v>0</v>
      </c>
      <c r="D75" s="2059">
        <v>2105652.6666672002</v>
      </c>
      <c r="E75" s="2059">
        <f t="shared" si="2"/>
        <v>2105652.6666672002</v>
      </c>
      <c r="G75" s="33" t="str">
        <f t="shared" si="3"/>
        <v>928</v>
      </c>
    </row>
    <row r="76" spans="1:7">
      <c r="A76" s="2058" t="s">
        <v>8610</v>
      </c>
      <c r="B76" s="2058" t="s">
        <v>8611</v>
      </c>
      <c r="C76" s="2059">
        <v>0</v>
      </c>
      <c r="D76" s="2059">
        <v>107999.99999960003</v>
      </c>
      <c r="E76" s="2059">
        <f t="shared" si="2"/>
        <v>107999.99999960003</v>
      </c>
      <c r="G76" s="33" t="str">
        <f t="shared" si="3"/>
        <v>930</v>
      </c>
    </row>
    <row r="77" spans="1:7">
      <c r="A77" s="2058" t="s">
        <v>8612</v>
      </c>
      <c r="B77" s="2058" t="s">
        <v>108</v>
      </c>
      <c r="C77" s="2059">
        <v>1432324.6106558139</v>
      </c>
      <c r="D77" s="2059">
        <v>16879139.378937986</v>
      </c>
      <c r="E77" s="2059">
        <f t="shared" si="2"/>
        <v>18311463.9895938</v>
      </c>
      <c r="G77" s="33" t="str">
        <f t="shared" si="3"/>
        <v>930</v>
      </c>
    </row>
    <row r="78" spans="1:7">
      <c r="A78" s="2058" t="s">
        <v>8613</v>
      </c>
      <c r="B78" s="2058" t="s">
        <v>109</v>
      </c>
      <c r="C78" s="2059">
        <v>0</v>
      </c>
      <c r="D78" s="2059">
        <v>1860414.3854999996</v>
      </c>
      <c r="E78" s="2059">
        <f t="shared" si="2"/>
        <v>1860414.3854999996</v>
      </c>
      <c r="G78" s="33" t="str">
        <f t="shared" si="3"/>
        <v>931</v>
      </c>
    </row>
    <row r="79" spans="1:7">
      <c r="A79" s="2058" t="s">
        <v>8614</v>
      </c>
      <c r="B79" s="2058" t="s">
        <v>110</v>
      </c>
      <c r="C79" s="2059">
        <v>957786.59950131783</v>
      </c>
      <c r="D79" s="2059">
        <v>976495.03264788212</v>
      </c>
      <c r="E79" s="2059">
        <f t="shared" si="2"/>
        <v>1934281.6321492</v>
      </c>
      <c r="G79" s="33" t="str">
        <f t="shared" si="3"/>
        <v>935</v>
      </c>
    </row>
    <row r="80" spans="1:7">
      <c r="A80" s="2058" t="s">
        <v>2360</v>
      </c>
      <c r="B80" s="2058" t="s">
        <v>2360</v>
      </c>
      <c r="C80" s="2059"/>
      <c r="D80" s="2059"/>
      <c r="E80" s="2075"/>
      <c r="G80" s="33" t="str">
        <f t="shared" ref="G80:G87" si="4">+MID(A80,2,3)</f>
        <v/>
      </c>
    </row>
    <row r="81" spans="1:7">
      <c r="A81" s="2058"/>
      <c r="B81" s="2058"/>
      <c r="C81" s="2058"/>
      <c r="D81" s="2058"/>
      <c r="E81" s="2076"/>
      <c r="G81" s="33" t="str">
        <f t="shared" si="4"/>
        <v/>
      </c>
    </row>
    <row r="82" spans="1:7">
      <c r="A82" s="2077" t="s">
        <v>8661</v>
      </c>
      <c r="B82" s="2078"/>
      <c r="C82" s="2079">
        <v>175976121.50588849</v>
      </c>
      <c r="D82" s="2079">
        <v>1027385743.7997649</v>
      </c>
      <c r="E82" s="2079">
        <f>+SUM(E5:E79)</f>
        <v>1203361865.3056536</v>
      </c>
      <c r="G82" s="33" t="str">
        <f t="shared" si="4"/>
        <v>ota</v>
      </c>
    </row>
    <row r="83" spans="1:7">
      <c r="A83" s="2006"/>
      <c r="E83" s="23"/>
      <c r="G83" s="33" t="str">
        <f t="shared" si="4"/>
        <v/>
      </c>
    </row>
    <row r="84" spans="1:7">
      <c r="A84" s="2006"/>
      <c r="E84" s="23"/>
      <c r="G84" s="33" t="str">
        <f t="shared" si="4"/>
        <v/>
      </c>
    </row>
    <row r="85" spans="1:7">
      <c r="A85" s="2006"/>
      <c r="E85" s="23"/>
      <c r="G85" s="33" t="str">
        <f t="shared" si="4"/>
        <v/>
      </c>
    </row>
    <row r="86" spans="1:7">
      <c r="A86" s="2006"/>
      <c r="E86" s="23"/>
      <c r="G86" s="33" t="str">
        <f t="shared" si="4"/>
        <v/>
      </c>
    </row>
    <row r="87" spans="1:7">
      <c r="A87" s="2006"/>
      <c r="E87" s="23"/>
      <c r="G87" s="33" t="str">
        <f t="shared" si="4"/>
        <v/>
      </c>
    </row>
    <row r="88" spans="1:7">
      <c r="A88" s="2006"/>
      <c r="E88" s="23"/>
      <c r="G88" s="33" t="str">
        <f>+MID(A88,2,3)</f>
        <v/>
      </c>
    </row>
    <row r="89" spans="1:7">
      <c r="A89" s="2006"/>
      <c r="E89" s="23"/>
      <c r="G89" s="33" t="str">
        <f t="shared" ref="G89:G125" si="5">+MID(A89,2,3)</f>
        <v/>
      </c>
    </row>
    <row r="90" spans="1:7">
      <c r="A90" s="2006"/>
      <c r="E90" s="23"/>
      <c r="G90" s="33" t="str">
        <f t="shared" si="5"/>
        <v/>
      </c>
    </row>
    <row r="91" spans="1:7">
      <c r="A91" s="2006"/>
      <c r="E91" s="23"/>
      <c r="G91" s="33" t="str">
        <f t="shared" si="5"/>
        <v/>
      </c>
    </row>
    <row r="92" spans="1:7">
      <c r="A92" s="2006"/>
      <c r="E92" s="23"/>
      <c r="G92" s="33" t="str">
        <f t="shared" si="5"/>
        <v/>
      </c>
    </row>
    <row r="93" spans="1:7">
      <c r="A93" s="2006"/>
      <c r="E93" s="23"/>
      <c r="G93" s="33" t="str">
        <f t="shared" si="5"/>
        <v/>
      </c>
    </row>
    <row r="94" spans="1:7">
      <c r="A94" s="2006"/>
      <c r="E94" s="23"/>
      <c r="G94" s="33" t="str">
        <f t="shared" si="5"/>
        <v/>
      </c>
    </row>
    <row r="95" spans="1:7">
      <c r="A95" s="2006"/>
      <c r="E95" s="23"/>
      <c r="G95" s="33" t="str">
        <f t="shared" si="5"/>
        <v/>
      </c>
    </row>
    <row r="96" spans="1:7">
      <c r="A96" s="2006"/>
      <c r="E96" s="23"/>
      <c r="G96" s="33" t="str">
        <f t="shared" si="5"/>
        <v/>
      </c>
    </row>
    <row r="97" spans="1:7">
      <c r="A97" s="2006"/>
      <c r="E97" s="23"/>
      <c r="G97" s="33" t="str">
        <f t="shared" si="5"/>
        <v/>
      </c>
    </row>
    <row r="98" spans="1:7">
      <c r="A98" s="2006"/>
      <c r="E98" s="23"/>
      <c r="G98" s="33" t="str">
        <f t="shared" si="5"/>
        <v/>
      </c>
    </row>
    <row r="99" spans="1:7">
      <c r="A99" s="2006"/>
      <c r="E99" s="23"/>
      <c r="G99" s="33" t="str">
        <f t="shared" si="5"/>
        <v/>
      </c>
    </row>
    <row r="100" spans="1:7">
      <c r="A100" s="2006"/>
      <c r="E100" s="23"/>
      <c r="G100" s="33" t="str">
        <f t="shared" si="5"/>
        <v/>
      </c>
    </row>
    <row r="101" spans="1:7">
      <c r="A101" s="2006"/>
      <c r="E101" s="23"/>
      <c r="G101" s="33" t="str">
        <f t="shared" si="5"/>
        <v/>
      </c>
    </row>
    <row r="102" spans="1:7">
      <c r="A102" s="2006"/>
      <c r="E102" s="23"/>
      <c r="G102" s="33" t="str">
        <f t="shared" si="5"/>
        <v/>
      </c>
    </row>
    <row r="103" spans="1:7">
      <c r="A103" s="2006"/>
      <c r="E103" s="23"/>
      <c r="G103" s="33" t="str">
        <f t="shared" si="5"/>
        <v/>
      </c>
    </row>
    <row r="104" spans="1:7">
      <c r="A104" s="2006"/>
      <c r="E104" s="23"/>
      <c r="G104" s="33" t="str">
        <f t="shared" si="5"/>
        <v/>
      </c>
    </row>
    <row r="105" spans="1:7">
      <c r="A105" s="2006"/>
      <c r="E105" s="23"/>
      <c r="G105" s="33" t="str">
        <f t="shared" si="5"/>
        <v/>
      </c>
    </row>
    <row r="106" spans="1:7">
      <c r="A106" s="2006"/>
      <c r="E106" s="23"/>
      <c r="G106" s="33" t="str">
        <f t="shared" si="5"/>
        <v/>
      </c>
    </row>
    <row r="107" spans="1:7">
      <c r="A107" s="2006"/>
      <c r="E107" s="23"/>
      <c r="G107" s="33" t="str">
        <f t="shared" si="5"/>
        <v/>
      </c>
    </row>
    <row r="108" spans="1:7">
      <c r="A108" s="2006"/>
      <c r="E108" s="23"/>
      <c r="G108" s="33" t="str">
        <f t="shared" si="5"/>
        <v/>
      </c>
    </row>
    <row r="109" spans="1:7">
      <c r="A109" s="2006"/>
      <c r="E109" s="23"/>
      <c r="G109" s="33" t="str">
        <f t="shared" si="5"/>
        <v/>
      </c>
    </row>
    <row r="110" spans="1:7">
      <c r="A110" s="2006"/>
      <c r="E110" s="23"/>
      <c r="G110" s="33" t="str">
        <f t="shared" si="5"/>
        <v/>
      </c>
    </row>
    <row r="111" spans="1:7">
      <c r="A111" s="2006"/>
      <c r="E111" s="23"/>
      <c r="G111" s="33" t="str">
        <f t="shared" si="5"/>
        <v/>
      </c>
    </row>
    <row r="112" spans="1:7">
      <c r="A112" s="2006"/>
      <c r="E112" s="23"/>
      <c r="G112" s="33" t="str">
        <f t="shared" si="5"/>
        <v/>
      </c>
    </row>
    <row r="113" spans="1:7">
      <c r="A113" s="2006"/>
      <c r="E113" s="23"/>
      <c r="G113" s="33" t="str">
        <f t="shared" si="5"/>
        <v/>
      </c>
    </row>
    <row r="114" spans="1:7">
      <c r="A114" s="2006"/>
      <c r="E114" s="23"/>
      <c r="G114" s="33" t="str">
        <f t="shared" si="5"/>
        <v/>
      </c>
    </row>
    <row r="115" spans="1:7">
      <c r="A115" s="2006"/>
      <c r="E115" s="23"/>
      <c r="G115" s="33" t="str">
        <f t="shared" si="5"/>
        <v/>
      </c>
    </row>
    <row r="116" spans="1:7">
      <c r="A116" s="2006"/>
      <c r="E116" s="23"/>
      <c r="G116" s="33" t="str">
        <f t="shared" si="5"/>
        <v/>
      </c>
    </row>
    <row r="117" spans="1:7">
      <c r="A117" s="2006"/>
      <c r="E117" s="23"/>
      <c r="G117" s="33" t="str">
        <f t="shared" si="5"/>
        <v/>
      </c>
    </row>
    <row r="118" spans="1:7">
      <c r="A118" s="2006"/>
      <c r="E118" s="23"/>
      <c r="G118" s="33" t="str">
        <f t="shared" si="5"/>
        <v/>
      </c>
    </row>
    <row r="119" spans="1:7">
      <c r="A119" s="2006"/>
      <c r="E119" s="23"/>
      <c r="G119" s="33" t="str">
        <f t="shared" si="5"/>
        <v/>
      </c>
    </row>
    <row r="120" spans="1:7">
      <c r="A120" s="2006"/>
      <c r="E120" s="23"/>
      <c r="G120" s="33" t="str">
        <f t="shared" si="5"/>
        <v/>
      </c>
    </row>
    <row r="121" spans="1:7">
      <c r="A121" s="2006"/>
      <c r="E121" s="23"/>
      <c r="G121" s="33" t="str">
        <f t="shared" si="5"/>
        <v/>
      </c>
    </row>
    <row r="122" spans="1:7">
      <c r="A122" s="2006"/>
      <c r="E122" s="23"/>
      <c r="G122" s="33" t="str">
        <f t="shared" si="5"/>
        <v/>
      </c>
    </row>
    <row r="123" spans="1:7">
      <c r="A123" s="2006"/>
      <c r="E123" s="23"/>
      <c r="G123" s="33" t="str">
        <f t="shared" si="5"/>
        <v/>
      </c>
    </row>
    <row r="124" spans="1:7">
      <c r="A124" s="2006"/>
      <c r="E124" s="23"/>
      <c r="G124" s="33" t="str">
        <f t="shared" si="5"/>
        <v/>
      </c>
    </row>
    <row r="125" spans="1:7">
      <c r="A125" s="2006"/>
      <c r="E125" s="23"/>
      <c r="G125" s="33" t="str">
        <f t="shared" si="5"/>
        <v/>
      </c>
    </row>
    <row r="126" spans="1:7">
      <c r="A126" s="2006"/>
      <c r="E126" s="23"/>
    </row>
    <row r="127" spans="1:7">
      <c r="A127" s="2006"/>
      <c r="E127" s="23"/>
    </row>
    <row r="128" spans="1:7">
      <c r="A128" s="2006"/>
      <c r="E128" s="23"/>
    </row>
    <row r="129" spans="1:5">
      <c r="A129" s="2006"/>
      <c r="E129" s="23"/>
    </row>
    <row r="130" spans="1:5">
      <c r="A130" s="2006"/>
      <c r="E130" s="23"/>
    </row>
    <row r="131" spans="1:5">
      <c r="A131" s="2006"/>
      <c r="E131" s="23"/>
    </row>
  </sheetData>
  <mergeCells count="1">
    <mergeCell ref="I3:K3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  <customPr name="FPMExcelClientCellBasedFunctionStatus" r:id="rId4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8" tint="0.59999389629810485"/>
  </sheetPr>
  <dimension ref="A1:O4"/>
  <sheetViews>
    <sheetView tabSelected="1" showOutlineSymbols="0" workbookViewId="0"/>
  </sheetViews>
  <sheetFormatPr defaultRowHeight="14.4"/>
  <cols>
    <col min="2" max="2" width="20" bestFit="1" customWidth="1"/>
    <col min="4" max="15" width="9.5546875" bestFit="1" customWidth="1"/>
  </cols>
  <sheetData>
    <row r="1" spans="1:15">
      <c r="A1" s="328"/>
    </row>
    <row r="2" spans="1:15" ht="15.6">
      <c r="B2" s="29"/>
      <c r="C2" s="29"/>
      <c r="D2" s="85">
        <v>45658</v>
      </c>
      <c r="E2" s="85">
        <v>45689</v>
      </c>
      <c r="F2" s="85">
        <v>45717</v>
      </c>
      <c r="G2" s="85">
        <v>45748</v>
      </c>
      <c r="H2" s="85">
        <v>45778</v>
      </c>
      <c r="I2" s="85">
        <v>45809</v>
      </c>
      <c r="J2" s="85">
        <v>45839</v>
      </c>
      <c r="K2" s="85">
        <v>45870</v>
      </c>
      <c r="L2" s="85">
        <v>45901</v>
      </c>
      <c r="M2" s="85">
        <v>45931</v>
      </c>
      <c r="N2" s="85">
        <v>45962</v>
      </c>
      <c r="O2" s="85">
        <v>45992</v>
      </c>
    </row>
    <row r="3" spans="1:15">
      <c r="B3" s="86" t="s">
        <v>1875</v>
      </c>
      <c r="C3" s="87"/>
      <c r="D3" s="87">
        <v>1</v>
      </c>
      <c r="E3" s="87">
        <v>1</v>
      </c>
      <c r="F3" s="87">
        <v>1</v>
      </c>
      <c r="G3" s="87">
        <v>1</v>
      </c>
      <c r="H3" s="87">
        <v>1</v>
      </c>
      <c r="I3" s="87">
        <v>1</v>
      </c>
      <c r="J3" s="87">
        <v>1</v>
      </c>
      <c r="K3" s="87">
        <v>1</v>
      </c>
      <c r="L3" s="87">
        <v>1</v>
      </c>
      <c r="M3" s="87">
        <v>1</v>
      </c>
      <c r="N3" s="87">
        <v>1</v>
      </c>
      <c r="O3" s="87">
        <v>1</v>
      </c>
    </row>
    <row r="4" spans="1:15">
      <c r="B4" s="86" t="s">
        <v>1876</v>
      </c>
      <c r="C4" s="87"/>
      <c r="D4" s="87">
        <v>1</v>
      </c>
      <c r="E4" s="87">
        <v>1</v>
      </c>
      <c r="F4" s="87">
        <v>1</v>
      </c>
      <c r="G4" s="87">
        <v>1</v>
      </c>
      <c r="H4" s="87">
        <v>1</v>
      </c>
      <c r="I4" s="87">
        <v>1</v>
      </c>
      <c r="J4" s="87">
        <v>1</v>
      </c>
      <c r="K4" s="87">
        <v>1</v>
      </c>
      <c r="L4" s="87">
        <v>1</v>
      </c>
      <c r="M4" s="87">
        <v>1</v>
      </c>
      <c r="N4" s="87">
        <v>1</v>
      </c>
      <c r="O4" s="87">
        <v>1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8" tint="0.59999389629810485"/>
  </sheetPr>
  <dimension ref="A1:N210"/>
  <sheetViews>
    <sheetView tabSelected="1" showOutlineSymbols="0" workbookViewId="0"/>
  </sheetViews>
  <sheetFormatPr defaultRowHeight="14.4"/>
  <cols>
    <col min="1" max="1" width="9.109375" style="328"/>
    <col min="2" max="2" width="34.44140625" style="328" bestFit="1" customWidth="1"/>
    <col min="3" max="3" width="14.5546875" style="328" bestFit="1" customWidth="1"/>
    <col min="4" max="5" width="15" style="328" bestFit="1" customWidth="1"/>
    <col min="6" max="6" width="9.109375" style="328"/>
    <col min="7" max="7" width="12.33203125" style="328" bestFit="1" customWidth="1"/>
    <col min="8" max="8" width="16.5546875" style="328" customWidth="1"/>
    <col min="9" max="9" width="4.5546875" style="328" customWidth="1"/>
    <col min="10" max="10" width="15" style="328" bestFit="1" customWidth="1"/>
    <col min="11" max="11" width="13.88671875" style="328" customWidth="1"/>
    <col min="12" max="12" width="2.6640625" style="328" customWidth="1"/>
    <col min="13" max="13" width="11.5546875" style="328" customWidth="1"/>
    <col min="14" max="14" width="13.33203125" style="328" customWidth="1"/>
  </cols>
  <sheetData>
    <row r="1" spans="1:14" ht="15.6">
      <c r="A1" s="2080"/>
      <c r="B1" s="2080"/>
      <c r="C1" s="2080"/>
      <c r="D1" s="2080"/>
      <c r="E1" s="2080"/>
      <c r="F1" s="2080"/>
      <c r="G1" s="2080"/>
      <c r="H1" s="2080"/>
      <c r="I1" s="2080"/>
      <c r="J1" s="2081" t="s">
        <v>8250</v>
      </c>
      <c r="K1" s="2080"/>
      <c r="L1" s="2080"/>
      <c r="M1" s="2080"/>
      <c r="N1" s="2080"/>
    </row>
    <row r="2" spans="1:14" ht="15.6">
      <c r="A2"/>
      <c r="B2"/>
      <c r="C2"/>
      <c r="D2"/>
      <c r="E2"/>
      <c r="F2"/>
      <c r="G2"/>
      <c r="H2"/>
      <c r="I2"/>
      <c r="J2" s="2081" t="s">
        <v>8250</v>
      </c>
      <c r="K2"/>
      <c r="L2"/>
      <c r="M2"/>
      <c r="N2"/>
    </row>
    <row r="3" spans="1:14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14">
      <c r="A4" s="1064" t="s">
        <v>9377</v>
      </c>
      <c r="B4"/>
      <c r="C4"/>
      <c r="D4"/>
      <c r="E4"/>
      <c r="F4"/>
      <c r="G4"/>
      <c r="H4"/>
      <c r="I4"/>
      <c r="J4" s="96" t="s">
        <v>2672</v>
      </c>
      <c r="K4"/>
      <c r="L4"/>
      <c r="M4" s="96" t="s">
        <v>2673</v>
      </c>
      <c r="N4"/>
    </row>
    <row r="5" spans="1:14">
      <c r="A5"/>
      <c r="B5"/>
      <c r="C5"/>
      <c r="D5"/>
      <c r="E5"/>
      <c r="F5"/>
      <c r="G5"/>
      <c r="H5"/>
      <c r="I5"/>
      <c r="J5" s="96" t="s">
        <v>2674</v>
      </c>
      <c r="K5"/>
      <c r="L5"/>
      <c r="M5" s="96" t="s">
        <v>2675</v>
      </c>
      <c r="N5"/>
    </row>
    <row r="6" spans="1:14">
      <c r="A6"/>
      <c r="B6"/>
      <c r="C6"/>
      <c r="D6"/>
      <c r="E6"/>
      <c r="F6"/>
      <c r="G6"/>
      <c r="H6"/>
      <c r="I6"/>
      <c r="J6" s="96" t="s">
        <v>2676</v>
      </c>
      <c r="K6"/>
      <c r="L6"/>
      <c r="M6" s="96" t="s">
        <v>2677</v>
      </c>
      <c r="N6"/>
    </row>
    <row r="7" spans="1:14" ht="40.200000000000003">
      <c r="A7" s="77" t="s">
        <v>2678</v>
      </c>
      <c r="B7" s="514" t="s">
        <v>2679</v>
      </c>
      <c r="C7" s="515" t="s">
        <v>9304</v>
      </c>
      <c r="D7" s="515" t="s">
        <v>9305</v>
      </c>
      <c r="E7" s="2082" t="s">
        <v>9481</v>
      </c>
      <c r="F7" s="515" t="s">
        <v>2680</v>
      </c>
      <c r="G7" s="77" t="s">
        <v>2681</v>
      </c>
      <c r="H7" s="515" t="s">
        <v>9306</v>
      </c>
      <c r="I7" s="62"/>
      <c r="J7" s="77" t="s">
        <v>2619</v>
      </c>
      <c r="K7" s="77" t="s">
        <v>2682</v>
      </c>
      <c r="L7" s="62"/>
      <c r="M7" s="77" t="s">
        <v>2619</v>
      </c>
      <c r="N7" s="77" t="s">
        <v>2682</v>
      </c>
    </row>
    <row r="8" spans="1:14">
      <c r="A8" s="2083" t="s">
        <v>2683</v>
      </c>
      <c r="B8" s="762" t="s">
        <v>2684</v>
      </c>
      <c r="C8" s="1665">
        <v>434997.83999999997</v>
      </c>
      <c r="D8" s="1665">
        <v>816536.5199999999</v>
      </c>
      <c r="E8" s="1877">
        <f>SUM(C8:D8)</f>
        <v>1251534.3599999999</v>
      </c>
      <c r="F8" s="60" t="s">
        <v>2685</v>
      </c>
      <c r="G8" s="162">
        <f>$E8*0%</f>
        <v>0</v>
      </c>
      <c r="H8" s="162">
        <f>$E8*0%</f>
        <v>0</v>
      </c>
      <c r="I8"/>
      <c r="J8" s="2084">
        <f>C8/$E8</f>
        <v>0.34757163199258867</v>
      </c>
      <c r="K8" s="2084">
        <f>D8/$E8</f>
        <v>0.65242836800741133</v>
      </c>
      <c r="L8"/>
      <c r="M8" s="162">
        <f>K8*0</f>
        <v>0</v>
      </c>
      <c r="N8" s="162">
        <f>K8*0</f>
        <v>0</v>
      </c>
    </row>
    <row r="9" spans="1:14">
      <c r="A9" s="2083" t="s">
        <v>2686</v>
      </c>
      <c r="B9" s="762" t="s">
        <v>2687</v>
      </c>
      <c r="C9" s="1665">
        <v>5011929.0999999987</v>
      </c>
      <c r="D9" s="1665">
        <v>1463489.2299999997</v>
      </c>
      <c r="E9" s="1877">
        <f t="shared" ref="E9:E35" si="0">SUM(C9:D9)</f>
        <v>6475418.3299999982</v>
      </c>
      <c r="F9" s="60" t="s">
        <v>2685</v>
      </c>
      <c r="G9" s="162">
        <f t="shared" ref="G9:H35" si="1">$E9*0%</f>
        <v>0</v>
      </c>
      <c r="H9" s="162">
        <f t="shared" si="1"/>
        <v>0</v>
      </c>
      <c r="I9"/>
      <c r="J9" s="2084">
        <f t="shared" ref="J9:K35" si="2">C9/$E9</f>
        <v>0.77399309891381185</v>
      </c>
      <c r="K9" s="2084">
        <f t="shared" si="2"/>
        <v>0.22600690108618823</v>
      </c>
      <c r="L9"/>
      <c r="M9" s="162">
        <f t="shared" ref="M9:M35" si="3">K9*0</f>
        <v>0</v>
      </c>
      <c r="N9" s="162">
        <f t="shared" ref="N9:N35" si="4">K9*0</f>
        <v>0</v>
      </c>
    </row>
    <row r="10" spans="1:14">
      <c r="A10" s="2083" t="s">
        <v>2688</v>
      </c>
      <c r="B10" s="762" t="s">
        <v>2689</v>
      </c>
      <c r="C10" s="1665">
        <v>3846555.100000001</v>
      </c>
      <c r="D10" s="1665">
        <v>422239.27999999997</v>
      </c>
      <c r="E10" s="1877">
        <f t="shared" si="0"/>
        <v>4268794.3800000008</v>
      </c>
      <c r="F10" s="60" t="s">
        <v>2685</v>
      </c>
      <c r="G10" s="162">
        <f t="shared" si="1"/>
        <v>0</v>
      </c>
      <c r="H10" s="162">
        <f t="shared" si="1"/>
        <v>0</v>
      </c>
      <c r="I10"/>
      <c r="J10" s="2084">
        <f t="shared" si="2"/>
        <v>0.90108699496554345</v>
      </c>
      <c r="K10" s="2084">
        <f t="shared" si="2"/>
        <v>9.8913005034456561E-2</v>
      </c>
      <c r="L10"/>
      <c r="M10" s="162">
        <f t="shared" si="3"/>
        <v>0</v>
      </c>
      <c r="N10" s="162">
        <f t="shared" si="4"/>
        <v>0</v>
      </c>
    </row>
    <row r="11" spans="1:14">
      <c r="A11" s="2083" t="s">
        <v>2690</v>
      </c>
      <c r="B11" s="762" t="s">
        <v>2691</v>
      </c>
      <c r="C11" s="1665">
        <v>187318.72</v>
      </c>
      <c r="D11" s="1665">
        <v>0</v>
      </c>
      <c r="E11" s="1877">
        <f t="shared" si="0"/>
        <v>187318.72</v>
      </c>
      <c r="F11" s="60" t="s">
        <v>2685</v>
      </c>
      <c r="G11" s="162">
        <f t="shared" si="1"/>
        <v>0</v>
      </c>
      <c r="H11" s="162">
        <f t="shared" si="1"/>
        <v>0</v>
      </c>
      <c r="I11"/>
      <c r="J11" s="2084">
        <f t="shared" si="2"/>
        <v>1</v>
      </c>
      <c r="K11" s="2084">
        <f t="shared" si="2"/>
        <v>0</v>
      </c>
      <c r="L11"/>
      <c r="M11" s="162">
        <f t="shared" si="3"/>
        <v>0</v>
      </c>
      <c r="N11" s="162">
        <f t="shared" si="4"/>
        <v>0</v>
      </c>
    </row>
    <row r="12" spans="1:14">
      <c r="A12" s="2083" t="s">
        <v>2692</v>
      </c>
      <c r="B12" s="762" t="s">
        <v>2693</v>
      </c>
      <c r="C12" s="1665">
        <v>0</v>
      </c>
      <c r="D12" s="1665">
        <v>61999.3</v>
      </c>
      <c r="E12" s="1877">
        <f t="shared" si="0"/>
        <v>61999.3</v>
      </c>
      <c r="F12" s="60" t="s">
        <v>2685</v>
      </c>
      <c r="G12" s="162">
        <f t="shared" si="1"/>
        <v>0</v>
      </c>
      <c r="H12" s="162">
        <f t="shared" si="1"/>
        <v>0</v>
      </c>
      <c r="I12"/>
      <c r="J12" s="2084">
        <f t="shared" si="2"/>
        <v>0</v>
      </c>
      <c r="K12" s="2084">
        <f t="shared" si="2"/>
        <v>1</v>
      </c>
      <c r="L12"/>
      <c r="M12" s="162">
        <f t="shared" si="3"/>
        <v>0</v>
      </c>
      <c r="N12" s="162">
        <f t="shared" si="4"/>
        <v>0</v>
      </c>
    </row>
    <row r="13" spans="1:14">
      <c r="A13" s="2083" t="s">
        <v>2694</v>
      </c>
      <c r="B13" s="762" t="s">
        <v>2695</v>
      </c>
      <c r="C13" s="1665">
        <v>21480</v>
      </c>
      <c r="D13" s="1665">
        <v>36082.39</v>
      </c>
      <c r="E13" s="1877">
        <f t="shared" si="0"/>
        <v>57562.39</v>
      </c>
      <c r="F13" s="60" t="s">
        <v>2685</v>
      </c>
      <c r="G13" s="162">
        <f t="shared" si="1"/>
        <v>0</v>
      </c>
      <c r="H13" s="162">
        <f t="shared" si="1"/>
        <v>0</v>
      </c>
      <c r="I13"/>
      <c r="J13" s="2084">
        <f t="shared" si="2"/>
        <v>0.37316032221733669</v>
      </c>
      <c r="K13" s="2084">
        <f t="shared" si="2"/>
        <v>0.62683967778266325</v>
      </c>
      <c r="L13"/>
      <c r="M13" s="162">
        <f t="shared" si="3"/>
        <v>0</v>
      </c>
      <c r="N13" s="162">
        <f t="shared" si="4"/>
        <v>0</v>
      </c>
    </row>
    <row r="14" spans="1:14">
      <c r="A14" s="2083" t="s">
        <v>2696</v>
      </c>
      <c r="B14" s="762" t="s">
        <v>2697</v>
      </c>
      <c r="C14" s="1665">
        <v>1421617.1500000001</v>
      </c>
      <c r="D14" s="1665">
        <v>0</v>
      </c>
      <c r="E14" s="1877">
        <f t="shared" si="0"/>
        <v>1421617.1500000001</v>
      </c>
      <c r="F14" s="60" t="s">
        <v>2685</v>
      </c>
      <c r="G14" s="162">
        <f t="shared" si="1"/>
        <v>0</v>
      </c>
      <c r="H14" s="162">
        <f t="shared" si="1"/>
        <v>0</v>
      </c>
      <c r="I14"/>
      <c r="J14" s="2084">
        <f t="shared" si="2"/>
        <v>1</v>
      </c>
      <c r="K14" s="2084">
        <f t="shared" si="2"/>
        <v>0</v>
      </c>
      <c r="L14"/>
      <c r="M14" s="162">
        <f t="shared" si="3"/>
        <v>0</v>
      </c>
      <c r="N14" s="162">
        <f t="shared" si="4"/>
        <v>0</v>
      </c>
    </row>
    <row r="15" spans="1:14">
      <c r="A15" s="2083" t="s">
        <v>2698</v>
      </c>
      <c r="B15" s="762" t="s">
        <v>2699</v>
      </c>
      <c r="C15" s="1665">
        <v>2253684.9600000004</v>
      </c>
      <c r="D15" s="1665">
        <v>120880.65</v>
      </c>
      <c r="E15" s="1877">
        <f t="shared" si="0"/>
        <v>2374565.6100000003</v>
      </c>
      <c r="F15" s="60" t="s">
        <v>2685</v>
      </c>
      <c r="G15" s="162">
        <f t="shared" si="1"/>
        <v>0</v>
      </c>
      <c r="H15" s="162">
        <f t="shared" si="1"/>
        <v>0</v>
      </c>
      <c r="I15"/>
      <c r="J15" s="2084">
        <f t="shared" si="2"/>
        <v>0.94909357337151035</v>
      </c>
      <c r="K15" s="2084">
        <f t="shared" si="2"/>
        <v>5.0906426628489737E-2</v>
      </c>
      <c r="L15"/>
      <c r="M15" s="162">
        <f t="shared" si="3"/>
        <v>0</v>
      </c>
      <c r="N15" s="162">
        <f t="shared" si="4"/>
        <v>0</v>
      </c>
    </row>
    <row r="16" spans="1:14">
      <c r="A16" s="2083" t="s">
        <v>2700</v>
      </c>
      <c r="B16" s="762" t="s">
        <v>2701</v>
      </c>
      <c r="C16" s="1665">
        <v>760056.73</v>
      </c>
      <c r="D16" s="1665">
        <v>336234.63</v>
      </c>
      <c r="E16" s="1877">
        <f t="shared" si="0"/>
        <v>1096291.3599999999</v>
      </c>
      <c r="F16" s="60" t="s">
        <v>2685</v>
      </c>
      <c r="G16" s="162">
        <f t="shared" si="1"/>
        <v>0</v>
      </c>
      <c r="H16" s="162">
        <f t="shared" si="1"/>
        <v>0</v>
      </c>
      <c r="I16"/>
      <c r="J16" s="2084">
        <f t="shared" si="2"/>
        <v>0.69329811191798507</v>
      </c>
      <c r="K16" s="2084">
        <f t="shared" si="2"/>
        <v>0.30670188808201504</v>
      </c>
      <c r="L16"/>
      <c r="M16" s="162">
        <f t="shared" si="3"/>
        <v>0</v>
      </c>
      <c r="N16" s="162">
        <f t="shared" si="4"/>
        <v>0</v>
      </c>
    </row>
    <row r="17" spans="1:14">
      <c r="A17" s="2083" t="s">
        <v>2702</v>
      </c>
      <c r="B17" s="762" t="s">
        <v>2703</v>
      </c>
      <c r="C17" s="1665">
        <v>436436.12999999989</v>
      </c>
      <c r="D17" s="1665">
        <v>0</v>
      </c>
      <c r="E17" s="1877">
        <f t="shared" si="0"/>
        <v>436436.12999999989</v>
      </c>
      <c r="F17" s="60" t="s">
        <v>2685</v>
      </c>
      <c r="G17" s="162">
        <f t="shared" si="1"/>
        <v>0</v>
      </c>
      <c r="H17" s="162">
        <f t="shared" si="1"/>
        <v>0</v>
      </c>
      <c r="I17"/>
      <c r="J17" s="2084">
        <f t="shared" si="2"/>
        <v>1</v>
      </c>
      <c r="K17" s="2084">
        <f t="shared" si="2"/>
        <v>0</v>
      </c>
      <c r="L17"/>
      <c r="M17" s="162">
        <f t="shared" si="3"/>
        <v>0</v>
      </c>
      <c r="N17" s="162">
        <f t="shared" si="4"/>
        <v>0</v>
      </c>
    </row>
    <row r="18" spans="1:14">
      <c r="A18" s="2083" t="s">
        <v>2704</v>
      </c>
      <c r="B18" s="762" t="s">
        <v>2705</v>
      </c>
      <c r="C18" s="1665">
        <v>3337961.89</v>
      </c>
      <c r="D18" s="1665">
        <v>105847.20999999999</v>
      </c>
      <c r="E18" s="1877">
        <f t="shared" si="0"/>
        <v>3443809.1</v>
      </c>
      <c r="F18" s="60" t="s">
        <v>2685</v>
      </c>
      <c r="G18" s="162">
        <f t="shared" si="1"/>
        <v>0</v>
      </c>
      <c r="H18" s="162">
        <f t="shared" si="1"/>
        <v>0</v>
      </c>
      <c r="I18"/>
      <c r="J18" s="2084">
        <f t="shared" si="2"/>
        <v>0.96926449552618932</v>
      </c>
      <c r="K18" s="2084">
        <f t="shared" si="2"/>
        <v>3.0735504473810696E-2</v>
      </c>
      <c r="L18"/>
      <c r="M18" s="162">
        <f t="shared" si="3"/>
        <v>0</v>
      </c>
      <c r="N18" s="162">
        <f t="shared" si="4"/>
        <v>0</v>
      </c>
    </row>
    <row r="19" spans="1:14">
      <c r="A19" s="2083" t="s">
        <v>2706</v>
      </c>
      <c r="B19" s="762" t="s">
        <v>2707</v>
      </c>
      <c r="C19" s="1665">
        <v>1535407.2300000002</v>
      </c>
      <c r="D19" s="1665">
        <v>110003.62</v>
      </c>
      <c r="E19" s="1877">
        <f t="shared" si="0"/>
        <v>1645410.85</v>
      </c>
      <c r="F19" s="60" t="s">
        <v>2685</v>
      </c>
      <c r="G19" s="162">
        <f t="shared" si="1"/>
        <v>0</v>
      </c>
      <c r="H19" s="162">
        <f t="shared" si="1"/>
        <v>0</v>
      </c>
      <c r="I19"/>
      <c r="J19" s="2084">
        <f t="shared" si="2"/>
        <v>0.93314519592477474</v>
      </c>
      <c r="K19" s="2084">
        <f t="shared" si="2"/>
        <v>6.6854804075225344E-2</v>
      </c>
      <c r="L19"/>
      <c r="M19" s="162">
        <f t="shared" si="3"/>
        <v>0</v>
      </c>
      <c r="N19" s="162">
        <f t="shared" si="4"/>
        <v>0</v>
      </c>
    </row>
    <row r="20" spans="1:14">
      <c r="A20" s="2083" t="s">
        <v>2708</v>
      </c>
      <c r="B20" s="762" t="s">
        <v>2709</v>
      </c>
      <c r="C20" s="1665">
        <v>0</v>
      </c>
      <c r="D20" s="1665">
        <v>142973.51999999999</v>
      </c>
      <c r="E20" s="1877">
        <f t="shared" si="0"/>
        <v>142973.51999999999</v>
      </c>
      <c r="F20" s="60" t="s">
        <v>2685</v>
      </c>
      <c r="G20" s="162">
        <f t="shared" si="1"/>
        <v>0</v>
      </c>
      <c r="H20" s="162">
        <f t="shared" si="1"/>
        <v>0</v>
      </c>
      <c r="I20"/>
      <c r="J20" s="2084">
        <f t="shared" si="2"/>
        <v>0</v>
      </c>
      <c r="K20" s="2084">
        <f t="shared" si="2"/>
        <v>1</v>
      </c>
      <c r="L20"/>
      <c r="M20" s="162">
        <f t="shared" si="3"/>
        <v>0</v>
      </c>
      <c r="N20" s="162">
        <f t="shared" si="4"/>
        <v>0</v>
      </c>
    </row>
    <row r="21" spans="1:14">
      <c r="A21" s="2083" t="s">
        <v>2710</v>
      </c>
      <c r="B21" s="762" t="s">
        <v>2711</v>
      </c>
      <c r="C21" s="1665">
        <v>35555665.029999979</v>
      </c>
      <c r="D21" s="1665">
        <v>8562533.8299999982</v>
      </c>
      <c r="E21" s="1877">
        <f t="shared" si="0"/>
        <v>44118198.859999977</v>
      </c>
      <c r="F21" s="60" t="s">
        <v>2685</v>
      </c>
      <c r="G21" s="162">
        <f t="shared" si="1"/>
        <v>0</v>
      </c>
      <c r="H21" s="162">
        <f t="shared" si="1"/>
        <v>0</v>
      </c>
      <c r="I21"/>
      <c r="J21" s="2084">
        <f t="shared" si="2"/>
        <v>0.80591832732856028</v>
      </c>
      <c r="K21" s="2084">
        <f t="shared" si="2"/>
        <v>0.19408167267143966</v>
      </c>
      <c r="L21"/>
      <c r="M21" s="162">
        <f t="shared" si="3"/>
        <v>0</v>
      </c>
      <c r="N21" s="162">
        <f t="shared" si="4"/>
        <v>0</v>
      </c>
    </row>
    <row r="22" spans="1:14">
      <c r="A22" s="2083" t="s">
        <v>2712</v>
      </c>
      <c r="B22" s="762" t="s">
        <v>2713</v>
      </c>
      <c r="C22" s="1665">
        <v>0</v>
      </c>
      <c r="D22" s="1665">
        <v>152704.20000000001</v>
      </c>
      <c r="E22" s="1877">
        <f t="shared" si="0"/>
        <v>152704.20000000001</v>
      </c>
      <c r="F22" s="60" t="s">
        <v>2685</v>
      </c>
      <c r="G22" s="162">
        <f t="shared" si="1"/>
        <v>0</v>
      </c>
      <c r="H22" s="162">
        <f t="shared" si="1"/>
        <v>0</v>
      </c>
      <c r="I22"/>
      <c r="J22" s="2084">
        <f t="shared" si="2"/>
        <v>0</v>
      </c>
      <c r="K22" s="2084">
        <f t="shared" si="2"/>
        <v>1</v>
      </c>
      <c r="L22"/>
      <c r="M22" s="162">
        <f t="shared" si="3"/>
        <v>0</v>
      </c>
      <c r="N22" s="162">
        <f t="shared" si="4"/>
        <v>0</v>
      </c>
    </row>
    <row r="23" spans="1:14">
      <c r="A23" s="2083" t="s">
        <v>2714</v>
      </c>
      <c r="B23" s="762" t="s">
        <v>2715</v>
      </c>
      <c r="C23" s="1665">
        <v>236682.47</v>
      </c>
      <c r="D23" s="1665">
        <v>604119.96</v>
      </c>
      <c r="E23" s="1877">
        <f t="shared" si="0"/>
        <v>840802.42999999993</v>
      </c>
      <c r="F23" s="60" t="s">
        <v>2685</v>
      </c>
      <c r="G23" s="162">
        <f t="shared" si="1"/>
        <v>0</v>
      </c>
      <c r="H23" s="162">
        <f t="shared" si="1"/>
        <v>0</v>
      </c>
      <c r="I23"/>
      <c r="J23" s="2084">
        <f t="shared" si="2"/>
        <v>0.28149593953956581</v>
      </c>
      <c r="K23" s="2084">
        <f t="shared" si="2"/>
        <v>0.71850406046043425</v>
      </c>
      <c r="L23"/>
      <c r="M23" s="162">
        <f t="shared" si="3"/>
        <v>0</v>
      </c>
      <c r="N23" s="162">
        <f t="shared" si="4"/>
        <v>0</v>
      </c>
    </row>
    <row r="24" spans="1:14">
      <c r="A24" s="2083" t="s">
        <v>2716</v>
      </c>
      <c r="B24" s="762" t="s">
        <v>2717</v>
      </c>
      <c r="C24" s="1665">
        <v>0</v>
      </c>
      <c r="D24" s="1665">
        <v>229812.49999999997</v>
      </c>
      <c r="E24" s="1877">
        <f t="shared" si="0"/>
        <v>229812.49999999997</v>
      </c>
      <c r="F24" s="60" t="s">
        <v>2685</v>
      </c>
      <c r="G24" s="162">
        <f t="shared" si="1"/>
        <v>0</v>
      </c>
      <c r="H24" s="162">
        <f t="shared" si="1"/>
        <v>0</v>
      </c>
      <c r="I24"/>
      <c r="J24" s="2084">
        <f t="shared" si="2"/>
        <v>0</v>
      </c>
      <c r="K24" s="2084">
        <f t="shared" si="2"/>
        <v>1</v>
      </c>
      <c r="L24"/>
      <c r="M24" s="162">
        <f t="shared" si="3"/>
        <v>0</v>
      </c>
      <c r="N24" s="162">
        <f t="shared" si="4"/>
        <v>0</v>
      </c>
    </row>
    <row r="25" spans="1:14">
      <c r="A25" s="2083" t="s">
        <v>2718</v>
      </c>
      <c r="B25" s="762" t="s">
        <v>2719</v>
      </c>
      <c r="C25" s="1665">
        <v>0</v>
      </c>
      <c r="D25" s="1665">
        <v>176428.54</v>
      </c>
      <c r="E25" s="1877">
        <f t="shared" si="0"/>
        <v>176428.54</v>
      </c>
      <c r="F25" s="60" t="s">
        <v>2685</v>
      </c>
      <c r="G25" s="162">
        <f t="shared" si="1"/>
        <v>0</v>
      </c>
      <c r="H25" s="162">
        <f t="shared" si="1"/>
        <v>0</v>
      </c>
      <c r="I25"/>
      <c r="J25" s="2084">
        <f t="shared" si="2"/>
        <v>0</v>
      </c>
      <c r="K25" s="2084">
        <f t="shared" si="2"/>
        <v>1</v>
      </c>
      <c r="L25"/>
      <c r="M25" s="162">
        <f t="shared" si="3"/>
        <v>0</v>
      </c>
      <c r="N25" s="162">
        <f t="shared" si="4"/>
        <v>0</v>
      </c>
    </row>
    <row r="26" spans="1:14">
      <c r="A26" s="2083" t="s">
        <v>2720</v>
      </c>
      <c r="B26" s="762" t="s">
        <v>2721</v>
      </c>
      <c r="C26" s="1665">
        <v>643349.4</v>
      </c>
      <c r="D26" s="1665">
        <v>0</v>
      </c>
      <c r="E26" s="1877">
        <f t="shared" si="0"/>
        <v>643349.4</v>
      </c>
      <c r="F26" s="60" t="s">
        <v>2685</v>
      </c>
      <c r="G26" s="162">
        <f t="shared" si="1"/>
        <v>0</v>
      </c>
      <c r="H26" s="162">
        <f t="shared" si="1"/>
        <v>0</v>
      </c>
      <c r="I26"/>
      <c r="J26" s="2084">
        <f t="shared" si="2"/>
        <v>1</v>
      </c>
      <c r="K26" s="2084">
        <f t="shared" si="2"/>
        <v>0</v>
      </c>
      <c r="L26"/>
      <c r="M26" s="162">
        <f t="shared" si="3"/>
        <v>0</v>
      </c>
      <c r="N26" s="162">
        <f t="shared" si="4"/>
        <v>0</v>
      </c>
    </row>
    <row r="27" spans="1:14">
      <c r="A27" s="2083" t="s">
        <v>2722</v>
      </c>
      <c r="B27" s="762" t="s">
        <v>2723</v>
      </c>
      <c r="C27" s="1665">
        <v>0</v>
      </c>
      <c r="D27" s="1665">
        <v>86267.22</v>
      </c>
      <c r="E27" s="1877">
        <f t="shared" si="0"/>
        <v>86267.22</v>
      </c>
      <c r="F27" s="60" t="s">
        <v>2685</v>
      </c>
      <c r="G27" s="162">
        <f t="shared" si="1"/>
        <v>0</v>
      </c>
      <c r="H27" s="162">
        <f t="shared" si="1"/>
        <v>0</v>
      </c>
      <c r="I27"/>
      <c r="J27" s="2084">
        <f t="shared" si="2"/>
        <v>0</v>
      </c>
      <c r="K27" s="2084">
        <f t="shared" si="2"/>
        <v>1</v>
      </c>
      <c r="L27"/>
      <c r="M27" s="162">
        <f t="shared" si="3"/>
        <v>0</v>
      </c>
      <c r="N27" s="162">
        <f t="shared" si="4"/>
        <v>0</v>
      </c>
    </row>
    <row r="28" spans="1:14">
      <c r="A28" s="2083" t="s">
        <v>2724</v>
      </c>
      <c r="B28" s="762" t="s">
        <v>2725</v>
      </c>
      <c r="C28" s="1665">
        <v>1871326.699999999</v>
      </c>
      <c r="D28" s="1665">
        <v>18084.45</v>
      </c>
      <c r="E28" s="1877">
        <f t="shared" si="0"/>
        <v>1889411.149999999</v>
      </c>
      <c r="F28" s="60" t="s">
        <v>2685</v>
      </c>
      <c r="G28" s="162">
        <f t="shared" si="1"/>
        <v>0</v>
      </c>
      <c r="H28" s="162">
        <f t="shared" si="1"/>
        <v>0</v>
      </c>
      <c r="I28"/>
      <c r="J28" s="2084">
        <f t="shared" si="2"/>
        <v>0.99042852583991581</v>
      </c>
      <c r="K28" s="2084">
        <f t="shared" si="2"/>
        <v>9.5714741600842201E-3</v>
      </c>
      <c r="L28"/>
      <c r="M28" s="162">
        <f t="shared" si="3"/>
        <v>0</v>
      </c>
      <c r="N28" s="162">
        <f t="shared" si="4"/>
        <v>0</v>
      </c>
    </row>
    <row r="29" spans="1:14">
      <c r="A29" s="2083" t="s">
        <v>2726</v>
      </c>
      <c r="B29" s="762" t="s">
        <v>2727</v>
      </c>
      <c r="C29" s="1665">
        <v>74667.12</v>
      </c>
      <c r="D29" s="1665">
        <v>53389.120000000003</v>
      </c>
      <c r="E29" s="1877">
        <f t="shared" si="0"/>
        <v>128056.23999999999</v>
      </c>
      <c r="F29" s="60" t="s">
        <v>2685</v>
      </c>
      <c r="G29" s="162">
        <f t="shared" si="1"/>
        <v>0</v>
      </c>
      <c r="H29" s="162">
        <f t="shared" si="1"/>
        <v>0</v>
      </c>
      <c r="I29"/>
      <c r="J29" s="2084">
        <f t="shared" si="2"/>
        <v>0.58308068392450063</v>
      </c>
      <c r="K29" s="2084">
        <f t="shared" si="2"/>
        <v>0.41691931607549937</v>
      </c>
      <c r="L29"/>
      <c r="M29" s="162">
        <f t="shared" si="3"/>
        <v>0</v>
      </c>
      <c r="N29" s="162">
        <f t="shared" si="4"/>
        <v>0</v>
      </c>
    </row>
    <row r="30" spans="1:14">
      <c r="A30" s="2083" t="s">
        <v>2728</v>
      </c>
      <c r="B30" s="762" t="s">
        <v>2729</v>
      </c>
      <c r="C30" s="1665">
        <v>15992092.780000001</v>
      </c>
      <c r="D30" s="1665">
        <v>64530.55</v>
      </c>
      <c r="E30" s="1877">
        <f t="shared" si="0"/>
        <v>16056623.330000002</v>
      </c>
      <c r="F30" s="60" t="s">
        <v>2685</v>
      </c>
      <c r="G30" s="162">
        <f t="shared" si="1"/>
        <v>0</v>
      </c>
      <c r="H30" s="162">
        <f t="shared" si="1"/>
        <v>0</v>
      </c>
      <c r="I30"/>
      <c r="J30" s="2084">
        <f t="shared" si="2"/>
        <v>0.9959810634730758</v>
      </c>
      <c r="K30" s="2084">
        <f t="shared" si="2"/>
        <v>4.0189365269241821E-3</v>
      </c>
      <c r="L30"/>
      <c r="M30" s="162">
        <f t="shared" si="3"/>
        <v>0</v>
      </c>
      <c r="N30" s="162">
        <f t="shared" si="4"/>
        <v>0</v>
      </c>
    </row>
    <row r="31" spans="1:14">
      <c r="A31" s="2083" t="s">
        <v>2730</v>
      </c>
      <c r="B31" s="762" t="s">
        <v>2731</v>
      </c>
      <c r="C31" s="1665">
        <v>90428651.620000169</v>
      </c>
      <c r="D31" s="1665">
        <v>44736.4</v>
      </c>
      <c r="E31" s="1877">
        <f t="shared" si="0"/>
        <v>90473388.020000175</v>
      </c>
      <c r="F31" s="60" t="s">
        <v>2685</v>
      </c>
      <c r="G31" s="162">
        <f t="shared" si="1"/>
        <v>0</v>
      </c>
      <c r="H31" s="162">
        <f t="shared" si="1"/>
        <v>0</v>
      </c>
      <c r="I31"/>
      <c r="J31" s="2084">
        <f t="shared" si="2"/>
        <v>0.99950552973665452</v>
      </c>
      <c r="K31" s="2084">
        <f t="shared" si="2"/>
        <v>4.9447026334539952E-4</v>
      </c>
      <c r="L31"/>
      <c r="M31" s="162">
        <f t="shared" si="3"/>
        <v>0</v>
      </c>
      <c r="N31" s="162">
        <f t="shared" si="4"/>
        <v>0</v>
      </c>
    </row>
    <row r="32" spans="1:14">
      <c r="A32" s="2083" t="s">
        <v>2732</v>
      </c>
      <c r="B32" s="762" t="s">
        <v>2733</v>
      </c>
      <c r="C32" s="1665">
        <v>0</v>
      </c>
      <c r="D32" s="1665">
        <v>498559.83</v>
      </c>
      <c r="E32" s="1877">
        <f t="shared" si="0"/>
        <v>498559.83</v>
      </c>
      <c r="F32" s="60" t="s">
        <v>2685</v>
      </c>
      <c r="G32" s="162">
        <f t="shared" si="1"/>
        <v>0</v>
      </c>
      <c r="H32" s="162">
        <f t="shared" si="1"/>
        <v>0</v>
      </c>
      <c r="I32"/>
      <c r="J32" s="2084">
        <f t="shared" si="2"/>
        <v>0</v>
      </c>
      <c r="K32" s="2084">
        <f t="shared" si="2"/>
        <v>1</v>
      </c>
      <c r="L32"/>
      <c r="M32" s="162">
        <f t="shared" si="3"/>
        <v>0</v>
      </c>
      <c r="N32" s="162">
        <f t="shared" si="4"/>
        <v>0</v>
      </c>
    </row>
    <row r="33" spans="1:14">
      <c r="A33" s="2083" t="s">
        <v>2734</v>
      </c>
      <c r="B33" s="762" t="s">
        <v>2735</v>
      </c>
      <c r="C33" s="1665">
        <v>0</v>
      </c>
      <c r="D33" s="1665">
        <v>649594.46</v>
      </c>
      <c r="E33" s="1877">
        <f t="shared" si="0"/>
        <v>649594.46</v>
      </c>
      <c r="F33" s="60" t="s">
        <v>2685</v>
      </c>
      <c r="G33" s="162">
        <f t="shared" si="1"/>
        <v>0</v>
      </c>
      <c r="H33" s="162">
        <f t="shared" si="1"/>
        <v>0</v>
      </c>
      <c r="I33"/>
      <c r="J33" s="2084">
        <f t="shared" si="2"/>
        <v>0</v>
      </c>
      <c r="K33" s="2084">
        <f t="shared" si="2"/>
        <v>1</v>
      </c>
      <c r="L33"/>
      <c r="M33" s="162">
        <f t="shared" si="3"/>
        <v>0</v>
      </c>
      <c r="N33" s="162">
        <f t="shared" si="4"/>
        <v>0</v>
      </c>
    </row>
    <row r="34" spans="1:14">
      <c r="A34" s="2083" t="s">
        <v>2736</v>
      </c>
      <c r="B34" s="762" t="s">
        <v>2737</v>
      </c>
      <c r="C34" s="1665">
        <v>129494.06</v>
      </c>
      <c r="D34" s="1665">
        <v>0</v>
      </c>
      <c r="E34" s="1877">
        <f t="shared" si="0"/>
        <v>129494.06</v>
      </c>
      <c r="F34" s="60" t="s">
        <v>2685</v>
      </c>
      <c r="G34" s="162">
        <f t="shared" si="1"/>
        <v>0</v>
      </c>
      <c r="H34" s="162">
        <f t="shared" si="1"/>
        <v>0</v>
      </c>
      <c r="I34"/>
      <c r="J34" s="2084">
        <f t="shared" si="2"/>
        <v>1</v>
      </c>
      <c r="K34" s="2084">
        <f t="shared" si="2"/>
        <v>0</v>
      </c>
      <c r="L34"/>
      <c r="M34" s="162">
        <f t="shared" si="3"/>
        <v>0</v>
      </c>
      <c r="N34" s="162">
        <f t="shared" si="4"/>
        <v>0</v>
      </c>
    </row>
    <row r="35" spans="1:14">
      <c r="A35" s="2083" t="s">
        <v>2738</v>
      </c>
      <c r="B35" s="762" t="s">
        <v>2739</v>
      </c>
      <c r="C35" s="1665">
        <v>1868095.85</v>
      </c>
      <c r="D35" s="1665">
        <v>6128867.54</v>
      </c>
      <c r="E35" s="1877">
        <f t="shared" si="0"/>
        <v>7996963.3900000006</v>
      </c>
      <c r="F35" s="60" t="s">
        <v>2685</v>
      </c>
      <c r="G35" s="162">
        <f t="shared" si="1"/>
        <v>0</v>
      </c>
      <c r="H35" s="162">
        <f t="shared" si="1"/>
        <v>0</v>
      </c>
      <c r="I35"/>
      <c r="J35" s="2084">
        <f t="shared" si="2"/>
        <v>0.23360065050891773</v>
      </c>
      <c r="K35" s="2084">
        <f t="shared" si="2"/>
        <v>0.76639934949108224</v>
      </c>
      <c r="L35"/>
      <c r="M35" s="162">
        <f t="shared" si="3"/>
        <v>0</v>
      </c>
      <c r="N35" s="162">
        <f t="shared" si="4"/>
        <v>0</v>
      </c>
    </row>
    <row r="36" spans="1:14">
      <c r="A36" s="33"/>
      <c r="B36"/>
      <c r="C36" s="1665"/>
      <c r="D36" s="1665"/>
      <c r="E36" s="1665"/>
      <c r="F36" s="60"/>
      <c r="G36" s="162"/>
      <c r="H36" s="162"/>
      <c r="I36"/>
      <c r="J36" s="2084"/>
      <c r="K36" s="2084"/>
      <c r="L36"/>
      <c r="M36" s="162"/>
      <c r="N36" s="162"/>
    </row>
    <row r="37" spans="1:14" ht="15" thickBot="1">
      <c r="A37" s="33"/>
      <c r="B37" s="60" t="s">
        <v>2740</v>
      </c>
      <c r="C37" s="2085">
        <f>SUM(C8:C36)</f>
        <v>166047469.88000014</v>
      </c>
      <c r="D37" s="2085">
        <f>SUM(D8:D36)</f>
        <v>20885914.949999996</v>
      </c>
      <c r="E37" s="2085">
        <f>SUM(E8:E36)</f>
        <v>186933384.83000016</v>
      </c>
      <c r="F37" s="60"/>
      <c r="G37" s="2085">
        <f>SUM(G8:G36)</f>
        <v>0</v>
      </c>
      <c r="H37" s="2085">
        <f>SUM(H8:H36)</f>
        <v>0</v>
      </c>
      <c r="I37"/>
      <c r="J37" s="2084"/>
      <c r="K37" s="2084"/>
      <c r="L37"/>
      <c r="M37" s="2085">
        <f>SUM(M8:M36)</f>
        <v>0</v>
      </c>
      <c r="N37" s="2085">
        <f>SUM(N8:N36)</f>
        <v>0</v>
      </c>
    </row>
    <row r="38" spans="1:14" ht="15" thickTop="1">
      <c r="A38" s="33"/>
      <c r="B38" s="60"/>
      <c r="C38" s="2086">
        <v>0</v>
      </c>
      <c r="D38" s="2086">
        <v>0</v>
      </c>
      <c r="E38" s="2086">
        <v>0</v>
      </c>
      <c r="F38" s="60"/>
      <c r="G38" s="2086"/>
      <c r="H38" s="2086"/>
      <c r="I38"/>
      <c r="J38" s="2084"/>
      <c r="K38" s="2084"/>
      <c r="L38"/>
      <c r="M38" s="2086"/>
      <c r="N38" s="2086"/>
    </row>
    <row r="39" spans="1:14">
      <c r="A39" s="33"/>
      <c r="B39"/>
      <c r="C39" s="1666"/>
      <c r="D39" s="1666"/>
      <c r="E39" s="1666"/>
      <c r="F39" s="60"/>
      <c r="G39" s="162"/>
      <c r="H39" s="162"/>
      <c r="I39"/>
      <c r="J39" s="2084"/>
      <c r="K39" s="2084"/>
      <c r="L39"/>
      <c r="M39"/>
      <c r="N39"/>
    </row>
    <row r="40" spans="1:14">
      <c r="A40" s="2083" t="s">
        <v>2741</v>
      </c>
      <c r="B40" s="762" t="s">
        <v>2742</v>
      </c>
      <c r="C40" s="1665">
        <v>84973.69</v>
      </c>
      <c r="D40" s="1665">
        <v>1924369.51</v>
      </c>
      <c r="E40" s="1878">
        <f>SUM(C40:D40)</f>
        <v>2009343.2</v>
      </c>
      <c r="F40" s="60" t="s">
        <v>2743</v>
      </c>
      <c r="G40" s="162">
        <f>$E40*100%</f>
        <v>2009343.2</v>
      </c>
      <c r="H40" s="162">
        <f>$E40*0%</f>
        <v>0</v>
      </c>
      <c r="I40"/>
      <c r="J40" s="2084">
        <f>C40/$E40</f>
        <v>4.2289286369794871E-2</v>
      </c>
      <c r="K40" s="2084">
        <f>D40/$E40</f>
        <v>0.95771071363020521</v>
      </c>
      <c r="L40"/>
      <c r="M40" s="162">
        <f>J40*$G40</f>
        <v>84973.69</v>
      </c>
      <c r="N40" s="162">
        <f>K40*$G40</f>
        <v>1924369.51</v>
      </c>
    </row>
    <row r="41" spans="1:14">
      <c r="A41" s="2083" t="s">
        <v>2744</v>
      </c>
      <c r="B41" s="762" t="s">
        <v>2745</v>
      </c>
      <c r="C41" s="1665">
        <v>134311.53</v>
      </c>
      <c r="D41" s="1665">
        <v>681724.49</v>
      </c>
      <c r="E41" s="1878">
        <f t="shared" ref="E41:E81" si="5">SUM(C41:D41)</f>
        <v>816036.02</v>
      </c>
      <c r="F41" s="60" t="s">
        <v>2743</v>
      </c>
      <c r="G41" s="162">
        <f t="shared" ref="G41:G81" si="6">$E41*100%</f>
        <v>816036.02</v>
      </c>
      <c r="H41" s="162">
        <f t="shared" ref="H41:H81" si="7">$E41*0%</f>
        <v>0</v>
      </c>
      <c r="I41"/>
      <c r="J41" s="2084">
        <f t="shared" ref="J41:K81" si="8">C41/$E41</f>
        <v>0.1645901978689617</v>
      </c>
      <c r="K41" s="2084">
        <f t="shared" si="8"/>
        <v>0.83540980213103821</v>
      </c>
      <c r="L41"/>
      <c r="M41" s="162">
        <f t="shared" ref="M41:N81" si="9">J41*$G41</f>
        <v>134311.53</v>
      </c>
      <c r="N41" s="162">
        <f t="shared" si="9"/>
        <v>681724.49</v>
      </c>
    </row>
    <row r="42" spans="1:14">
      <c r="A42" s="2083" t="s">
        <v>2746</v>
      </c>
      <c r="B42" s="762" t="s">
        <v>2747</v>
      </c>
      <c r="C42" s="1665">
        <v>0</v>
      </c>
      <c r="D42" s="1665">
        <v>2953335.79</v>
      </c>
      <c r="E42" s="1878">
        <f t="shared" si="5"/>
        <v>2953335.79</v>
      </c>
      <c r="F42" s="60" t="s">
        <v>2743</v>
      </c>
      <c r="G42" s="162">
        <f t="shared" si="6"/>
        <v>2953335.79</v>
      </c>
      <c r="H42" s="162">
        <f t="shared" si="7"/>
        <v>0</v>
      </c>
      <c r="I42"/>
      <c r="J42" s="2084">
        <f t="shared" si="8"/>
        <v>0</v>
      </c>
      <c r="K42" s="2084">
        <f t="shared" si="8"/>
        <v>1</v>
      </c>
      <c r="L42"/>
      <c r="M42" s="162">
        <f t="shared" si="9"/>
        <v>0</v>
      </c>
      <c r="N42" s="162">
        <f t="shared" si="9"/>
        <v>2953335.79</v>
      </c>
    </row>
    <row r="43" spans="1:14">
      <c r="A43" s="2083" t="s">
        <v>2748</v>
      </c>
      <c r="B43" s="762" t="s">
        <v>2749</v>
      </c>
      <c r="C43" s="1665">
        <v>259903.73</v>
      </c>
      <c r="D43" s="1665">
        <v>164197.33999999997</v>
      </c>
      <c r="E43" s="1878">
        <f t="shared" si="5"/>
        <v>424101.06999999995</v>
      </c>
      <c r="F43" s="60" t="s">
        <v>2743</v>
      </c>
      <c r="G43" s="162">
        <f t="shared" si="6"/>
        <v>424101.06999999995</v>
      </c>
      <c r="H43" s="162">
        <f t="shared" si="7"/>
        <v>0</v>
      </c>
      <c r="I43"/>
      <c r="J43" s="2084">
        <f t="shared" si="8"/>
        <v>0.61283441232534508</v>
      </c>
      <c r="K43" s="2084">
        <f t="shared" si="8"/>
        <v>0.38716558767465498</v>
      </c>
      <c r="L43"/>
      <c r="M43" s="162">
        <f t="shared" si="9"/>
        <v>259903.73</v>
      </c>
      <c r="N43" s="162">
        <f t="shared" si="9"/>
        <v>164197.33999999997</v>
      </c>
    </row>
    <row r="44" spans="1:14">
      <c r="A44" s="2083" t="s">
        <v>2750</v>
      </c>
      <c r="B44" s="762" t="s">
        <v>2751</v>
      </c>
      <c r="C44" s="1665">
        <v>15898.36</v>
      </c>
      <c r="D44" s="1665">
        <v>2120452.6899999995</v>
      </c>
      <c r="E44" s="1878">
        <f t="shared" si="5"/>
        <v>2136351.0499999993</v>
      </c>
      <c r="F44" s="60" t="s">
        <v>2743</v>
      </c>
      <c r="G44" s="162">
        <f t="shared" si="6"/>
        <v>2136351.0499999993</v>
      </c>
      <c r="H44" s="162">
        <f t="shared" si="7"/>
        <v>0</v>
      </c>
      <c r="I44"/>
      <c r="J44" s="2084">
        <f t="shared" si="8"/>
        <v>7.4418293753734932E-3</v>
      </c>
      <c r="K44" s="2084">
        <f t="shared" si="8"/>
        <v>0.99255817062462659</v>
      </c>
      <c r="L44"/>
      <c r="M44" s="162">
        <f t="shared" si="9"/>
        <v>15898.360000000002</v>
      </c>
      <c r="N44" s="162">
        <f t="shared" si="9"/>
        <v>2120452.6899999995</v>
      </c>
    </row>
    <row r="45" spans="1:14">
      <c r="A45" s="2083" t="s">
        <v>2752</v>
      </c>
      <c r="B45" s="762" t="s">
        <v>2753</v>
      </c>
      <c r="C45" s="1665">
        <v>0</v>
      </c>
      <c r="D45" s="1665">
        <v>40759169.170000002</v>
      </c>
      <c r="E45" s="1878">
        <f t="shared" si="5"/>
        <v>40759169.170000002</v>
      </c>
      <c r="F45" s="60" t="s">
        <v>2743</v>
      </c>
      <c r="G45" s="162">
        <f t="shared" si="6"/>
        <v>40759169.170000002</v>
      </c>
      <c r="H45" s="162">
        <f t="shared" si="7"/>
        <v>0</v>
      </c>
      <c r="I45"/>
      <c r="J45" s="2084">
        <f t="shared" si="8"/>
        <v>0</v>
      </c>
      <c r="K45" s="2084">
        <f t="shared" si="8"/>
        <v>1</v>
      </c>
      <c r="L45"/>
      <c r="M45" s="162">
        <f t="shared" si="9"/>
        <v>0</v>
      </c>
      <c r="N45" s="162">
        <f t="shared" si="9"/>
        <v>40759169.170000002</v>
      </c>
    </row>
    <row r="46" spans="1:14">
      <c r="A46" s="2083" t="s">
        <v>2754</v>
      </c>
      <c r="B46" s="762" t="s">
        <v>2755</v>
      </c>
      <c r="C46" s="1665">
        <v>25988.09</v>
      </c>
      <c r="D46" s="1665">
        <v>2439830.5899999994</v>
      </c>
      <c r="E46" s="1878">
        <f t="shared" si="5"/>
        <v>2465818.6799999992</v>
      </c>
      <c r="F46" s="60" t="s">
        <v>2743</v>
      </c>
      <c r="G46" s="162">
        <f t="shared" si="6"/>
        <v>2465818.6799999992</v>
      </c>
      <c r="H46" s="162">
        <f t="shared" si="7"/>
        <v>0</v>
      </c>
      <c r="I46"/>
      <c r="J46" s="2084">
        <f t="shared" si="8"/>
        <v>1.0539335357780649E-2</v>
      </c>
      <c r="K46" s="2084">
        <f t="shared" si="8"/>
        <v>0.98946066464221938</v>
      </c>
      <c r="L46"/>
      <c r="M46" s="162">
        <f t="shared" si="9"/>
        <v>25988.09</v>
      </c>
      <c r="N46" s="162">
        <f t="shared" si="9"/>
        <v>2439830.5899999994</v>
      </c>
    </row>
    <row r="47" spans="1:14">
      <c r="A47" s="2083" t="s">
        <v>2756</v>
      </c>
      <c r="B47" s="762" t="s">
        <v>2757</v>
      </c>
      <c r="C47" s="1665">
        <v>0</v>
      </c>
      <c r="D47" s="1665">
        <v>43616.47</v>
      </c>
      <c r="E47" s="1878">
        <f t="shared" si="5"/>
        <v>43616.47</v>
      </c>
      <c r="F47" s="60" t="s">
        <v>2743</v>
      </c>
      <c r="G47" s="162">
        <f t="shared" si="6"/>
        <v>43616.47</v>
      </c>
      <c r="H47" s="162">
        <f t="shared" si="7"/>
        <v>0</v>
      </c>
      <c r="I47"/>
      <c r="J47" s="2084">
        <f t="shared" si="8"/>
        <v>0</v>
      </c>
      <c r="K47" s="2084">
        <f t="shared" si="8"/>
        <v>1</v>
      </c>
      <c r="L47"/>
      <c r="M47" s="162">
        <f t="shared" si="9"/>
        <v>0</v>
      </c>
      <c r="N47" s="162">
        <f t="shared" si="9"/>
        <v>43616.47</v>
      </c>
    </row>
    <row r="48" spans="1:14">
      <c r="A48" s="2083" t="s">
        <v>2758</v>
      </c>
      <c r="B48" s="762" t="s">
        <v>2759</v>
      </c>
      <c r="C48" s="1665">
        <v>0</v>
      </c>
      <c r="D48" s="1665">
        <v>389830.83999999997</v>
      </c>
      <c r="E48" s="1878">
        <f t="shared" si="5"/>
        <v>389830.83999999997</v>
      </c>
      <c r="F48" s="60" t="s">
        <v>2743</v>
      </c>
      <c r="G48" s="162">
        <f t="shared" si="6"/>
        <v>389830.83999999997</v>
      </c>
      <c r="H48" s="162">
        <f t="shared" si="7"/>
        <v>0</v>
      </c>
      <c r="I48"/>
      <c r="J48" s="2084">
        <f t="shared" si="8"/>
        <v>0</v>
      </c>
      <c r="K48" s="2084">
        <f t="shared" si="8"/>
        <v>1</v>
      </c>
      <c r="L48"/>
      <c r="M48" s="162">
        <f t="shared" si="9"/>
        <v>0</v>
      </c>
      <c r="N48" s="162">
        <f t="shared" si="9"/>
        <v>389830.83999999997</v>
      </c>
    </row>
    <row r="49" spans="1:14">
      <c r="A49" s="2083" t="s">
        <v>2760</v>
      </c>
      <c r="B49" s="762" t="s">
        <v>2761</v>
      </c>
      <c r="C49" s="1665">
        <v>142721.09999999998</v>
      </c>
      <c r="D49" s="1665">
        <v>119953.59999999999</v>
      </c>
      <c r="E49" s="1878">
        <f t="shared" si="5"/>
        <v>262674.69999999995</v>
      </c>
      <c r="F49" s="60" t="s">
        <v>2743</v>
      </c>
      <c r="G49" s="162">
        <f t="shared" si="6"/>
        <v>262674.69999999995</v>
      </c>
      <c r="H49" s="162">
        <f t="shared" si="7"/>
        <v>0</v>
      </c>
      <c r="I49"/>
      <c r="J49" s="2084">
        <f t="shared" si="8"/>
        <v>0.54333782431273359</v>
      </c>
      <c r="K49" s="2084">
        <f t="shared" si="8"/>
        <v>0.45666217568726647</v>
      </c>
      <c r="L49"/>
      <c r="M49" s="162">
        <f t="shared" si="9"/>
        <v>142721.09999999998</v>
      </c>
      <c r="N49" s="162">
        <f t="shared" si="9"/>
        <v>119953.59999999999</v>
      </c>
    </row>
    <row r="50" spans="1:14">
      <c r="A50" s="2083" t="s">
        <v>2762</v>
      </c>
      <c r="B50" s="762" t="s">
        <v>2763</v>
      </c>
      <c r="C50" s="1665">
        <v>0</v>
      </c>
      <c r="D50" s="1665">
        <v>6153596.2999999961</v>
      </c>
      <c r="E50" s="1878">
        <f t="shared" si="5"/>
        <v>6153596.2999999961</v>
      </c>
      <c r="F50" s="60" t="s">
        <v>2743</v>
      </c>
      <c r="G50" s="162">
        <f t="shared" si="6"/>
        <v>6153596.2999999961</v>
      </c>
      <c r="H50" s="162">
        <f t="shared" si="7"/>
        <v>0</v>
      </c>
      <c r="I50"/>
      <c r="J50" s="2084">
        <f t="shared" si="8"/>
        <v>0</v>
      </c>
      <c r="K50" s="2084">
        <f t="shared" si="8"/>
        <v>1</v>
      </c>
      <c r="L50"/>
      <c r="M50" s="162">
        <f t="shared" si="9"/>
        <v>0</v>
      </c>
      <c r="N50" s="162">
        <f t="shared" si="9"/>
        <v>6153596.2999999961</v>
      </c>
    </row>
    <row r="51" spans="1:14">
      <c r="A51" s="2083" t="s">
        <v>2764</v>
      </c>
      <c r="B51" s="762" t="s">
        <v>2765</v>
      </c>
      <c r="C51" s="1665">
        <v>23321.97</v>
      </c>
      <c r="D51" s="1665">
        <v>858214.02000000014</v>
      </c>
      <c r="E51" s="1878">
        <f t="shared" si="5"/>
        <v>881535.99000000011</v>
      </c>
      <c r="F51" s="60" t="s">
        <v>2743</v>
      </c>
      <c r="G51" s="162">
        <f t="shared" si="6"/>
        <v>881535.99000000011</v>
      </c>
      <c r="H51" s="162">
        <f t="shared" si="7"/>
        <v>0</v>
      </c>
      <c r="I51"/>
      <c r="J51" s="2084">
        <f t="shared" si="8"/>
        <v>2.6456061084925188E-2</v>
      </c>
      <c r="K51" s="2084">
        <f t="shared" si="8"/>
        <v>0.97354393891507485</v>
      </c>
      <c r="L51"/>
      <c r="M51" s="162">
        <f t="shared" si="9"/>
        <v>23321.97</v>
      </c>
      <c r="N51" s="162">
        <f t="shared" si="9"/>
        <v>858214.02000000014</v>
      </c>
    </row>
    <row r="52" spans="1:14">
      <c r="A52" s="2083" t="s">
        <v>2766</v>
      </c>
      <c r="B52" s="762" t="s">
        <v>2767</v>
      </c>
      <c r="C52" s="1665">
        <v>0</v>
      </c>
      <c r="D52" s="1665">
        <v>481.65</v>
      </c>
      <c r="E52" s="1878">
        <f t="shared" si="5"/>
        <v>481.65</v>
      </c>
      <c r="F52" s="60" t="s">
        <v>2743</v>
      </c>
      <c r="G52" s="162">
        <f t="shared" si="6"/>
        <v>481.65</v>
      </c>
      <c r="H52" s="162">
        <f t="shared" si="7"/>
        <v>0</v>
      </c>
      <c r="I52"/>
      <c r="J52" s="2084">
        <f t="shared" si="8"/>
        <v>0</v>
      </c>
      <c r="K52" s="2084">
        <f t="shared" si="8"/>
        <v>1</v>
      </c>
      <c r="L52"/>
      <c r="M52" s="162">
        <f t="shared" si="9"/>
        <v>0</v>
      </c>
      <c r="N52" s="162">
        <f t="shared" si="9"/>
        <v>481.65</v>
      </c>
    </row>
    <row r="53" spans="1:14">
      <c r="A53" s="2083" t="s">
        <v>2768</v>
      </c>
      <c r="B53" s="762" t="s">
        <v>2769</v>
      </c>
      <c r="C53" s="1665">
        <v>603978.02</v>
      </c>
      <c r="D53" s="1665">
        <v>5022084.8299999991</v>
      </c>
      <c r="E53" s="1878">
        <f t="shared" si="5"/>
        <v>5626062.8499999996</v>
      </c>
      <c r="F53" s="60" t="s">
        <v>2743</v>
      </c>
      <c r="G53" s="162">
        <f t="shared" si="6"/>
        <v>5626062.8499999996</v>
      </c>
      <c r="H53" s="162">
        <f t="shared" si="7"/>
        <v>0</v>
      </c>
      <c r="I53"/>
      <c r="J53" s="2084">
        <f t="shared" si="8"/>
        <v>0.10735358564293324</v>
      </c>
      <c r="K53" s="2084">
        <f t="shared" si="8"/>
        <v>0.89264641435706671</v>
      </c>
      <c r="L53"/>
      <c r="M53" s="162">
        <f t="shared" si="9"/>
        <v>603978.02</v>
      </c>
      <c r="N53" s="162">
        <f t="shared" si="9"/>
        <v>5022084.8299999991</v>
      </c>
    </row>
    <row r="54" spans="1:14">
      <c r="A54" s="2083" t="s">
        <v>2770</v>
      </c>
      <c r="B54" s="762" t="s">
        <v>2771</v>
      </c>
      <c r="C54" s="1665">
        <v>257399.05</v>
      </c>
      <c r="D54" s="1665">
        <v>76063882.889999971</v>
      </c>
      <c r="E54" s="1878">
        <f t="shared" si="5"/>
        <v>76321281.939999968</v>
      </c>
      <c r="F54" s="60" t="s">
        <v>2743</v>
      </c>
      <c r="G54" s="162">
        <f t="shared" si="6"/>
        <v>76321281.939999968</v>
      </c>
      <c r="H54" s="162">
        <f t="shared" si="7"/>
        <v>0</v>
      </c>
      <c r="I54"/>
      <c r="J54" s="2084">
        <f t="shared" si="8"/>
        <v>3.3725724130571396E-3</v>
      </c>
      <c r="K54" s="2084">
        <f t="shared" si="8"/>
        <v>0.99662742758694289</v>
      </c>
      <c r="L54"/>
      <c r="M54" s="162">
        <f t="shared" si="9"/>
        <v>257399.05</v>
      </c>
      <c r="N54" s="162">
        <f t="shared" si="9"/>
        <v>76063882.889999971</v>
      </c>
    </row>
    <row r="55" spans="1:14">
      <c r="A55" s="2083" t="s">
        <v>2772</v>
      </c>
      <c r="B55" s="762" t="s">
        <v>2773</v>
      </c>
      <c r="C55" s="1665">
        <v>0</v>
      </c>
      <c r="D55" s="1665">
        <v>75681.149999999994</v>
      </c>
      <c r="E55" s="1878">
        <f t="shared" si="5"/>
        <v>75681.149999999994</v>
      </c>
      <c r="F55" s="60" t="s">
        <v>2743</v>
      </c>
      <c r="G55" s="162">
        <f t="shared" si="6"/>
        <v>75681.149999999994</v>
      </c>
      <c r="H55" s="162">
        <f t="shared" si="7"/>
        <v>0</v>
      </c>
      <c r="I55"/>
      <c r="J55" s="2084">
        <f t="shared" si="8"/>
        <v>0</v>
      </c>
      <c r="K55" s="2084">
        <f t="shared" si="8"/>
        <v>1</v>
      </c>
      <c r="L55"/>
      <c r="M55" s="162">
        <f t="shared" si="9"/>
        <v>0</v>
      </c>
      <c r="N55" s="162">
        <f t="shared" si="9"/>
        <v>75681.149999999994</v>
      </c>
    </row>
    <row r="56" spans="1:14">
      <c r="A56" s="2083" t="s">
        <v>2774</v>
      </c>
      <c r="B56" s="762" t="s">
        <v>2775</v>
      </c>
      <c r="C56" s="1665">
        <v>0</v>
      </c>
      <c r="D56" s="1665">
        <v>1074581.33</v>
      </c>
      <c r="E56" s="1878">
        <f t="shared" si="5"/>
        <v>1074581.33</v>
      </c>
      <c r="F56" s="60" t="s">
        <v>2743</v>
      </c>
      <c r="G56" s="162">
        <f t="shared" si="6"/>
        <v>1074581.33</v>
      </c>
      <c r="H56" s="162">
        <f t="shared" si="7"/>
        <v>0</v>
      </c>
      <c r="I56"/>
      <c r="J56" s="2084">
        <f t="shared" si="8"/>
        <v>0</v>
      </c>
      <c r="K56" s="2084">
        <f t="shared" si="8"/>
        <v>1</v>
      </c>
      <c r="L56"/>
      <c r="M56" s="162">
        <f t="shared" si="9"/>
        <v>0</v>
      </c>
      <c r="N56" s="162">
        <f t="shared" si="9"/>
        <v>1074581.33</v>
      </c>
    </row>
    <row r="57" spans="1:14">
      <c r="A57" s="2083" t="s">
        <v>2776</v>
      </c>
      <c r="B57" s="762" t="s">
        <v>2777</v>
      </c>
      <c r="C57" s="1665">
        <v>51183.01</v>
      </c>
      <c r="D57" s="1665">
        <v>11026954.709999999</v>
      </c>
      <c r="E57" s="1878">
        <f t="shared" si="5"/>
        <v>11078137.719999999</v>
      </c>
      <c r="F57" s="60" t="s">
        <v>2743</v>
      </c>
      <c r="G57" s="162">
        <f t="shared" si="6"/>
        <v>11078137.719999999</v>
      </c>
      <c r="H57" s="162">
        <f t="shared" si="7"/>
        <v>0</v>
      </c>
      <c r="I57"/>
      <c r="J57" s="2084">
        <f t="shared" si="8"/>
        <v>4.620181775461806E-3</v>
      </c>
      <c r="K57" s="2084">
        <f t="shared" si="8"/>
        <v>0.99537981822453825</v>
      </c>
      <c r="L57"/>
      <c r="M57" s="162">
        <f t="shared" si="9"/>
        <v>51183.009999999995</v>
      </c>
      <c r="N57" s="162">
        <f t="shared" si="9"/>
        <v>11026954.709999999</v>
      </c>
    </row>
    <row r="58" spans="1:14">
      <c r="A58" s="2083" t="s">
        <v>2778</v>
      </c>
      <c r="B58" s="762" t="s">
        <v>2779</v>
      </c>
      <c r="C58" s="1665">
        <v>10699.53</v>
      </c>
      <c r="D58" s="1665">
        <v>1724718.5200000003</v>
      </c>
      <c r="E58" s="1878">
        <f t="shared" si="5"/>
        <v>1735418.0500000003</v>
      </c>
      <c r="F58" s="60" t="s">
        <v>2743</v>
      </c>
      <c r="G58" s="162">
        <f t="shared" si="6"/>
        <v>1735418.0500000003</v>
      </c>
      <c r="H58" s="162">
        <f t="shared" si="7"/>
        <v>0</v>
      </c>
      <c r="I58"/>
      <c r="J58" s="2084">
        <f t="shared" si="8"/>
        <v>6.165390523626281E-3</v>
      </c>
      <c r="K58" s="2084">
        <f t="shared" si="8"/>
        <v>0.9938346094763737</v>
      </c>
      <c r="L58"/>
      <c r="M58" s="162">
        <f t="shared" si="9"/>
        <v>10699.53</v>
      </c>
      <c r="N58" s="162">
        <f t="shared" si="9"/>
        <v>1724718.5200000003</v>
      </c>
    </row>
    <row r="59" spans="1:14">
      <c r="A59" s="2083" t="s">
        <v>2780</v>
      </c>
      <c r="B59" s="762" t="s">
        <v>2781</v>
      </c>
      <c r="C59" s="1665">
        <v>0</v>
      </c>
      <c r="D59" s="1665">
        <v>1193049.3500000001</v>
      </c>
      <c r="E59" s="1878">
        <f t="shared" si="5"/>
        <v>1193049.3500000001</v>
      </c>
      <c r="F59" s="60" t="s">
        <v>2743</v>
      </c>
      <c r="G59" s="162">
        <f t="shared" si="6"/>
        <v>1193049.3500000001</v>
      </c>
      <c r="H59" s="162">
        <f t="shared" si="7"/>
        <v>0</v>
      </c>
      <c r="I59"/>
      <c r="J59" s="2084">
        <f t="shared" si="8"/>
        <v>0</v>
      </c>
      <c r="K59" s="2084">
        <f t="shared" si="8"/>
        <v>1</v>
      </c>
      <c r="L59"/>
      <c r="M59" s="162">
        <f t="shared" si="9"/>
        <v>0</v>
      </c>
      <c r="N59" s="162">
        <f t="shared" si="9"/>
        <v>1193049.3500000001</v>
      </c>
    </row>
    <row r="60" spans="1:14">
      <c r="A60" s="2083" t="s">
        <v>2782</v>
      </c>
      <c r="B60" s="762" t="s">
        <v>2783</v>
      </c>
      <c r="C60" s="1665">
        <v>0</v>
      </c>
      <c r="D60" s="1665">
        <v>63924.91</v>
      </c>
      <c r="E60" s="1878">
        <f t="shared" si="5"/>
        <v>63924.91</v>
      </c>
      <c r="F60" s="60" t="s">
        <v>2743</v>
      </c>
      <c r="G60" s="162">
        <f t="shared" si="6"/>
        <v>63924.91</v>
      </c>
      <c r="H60" s="162">
        <f t="shared" si="7"/>
        <v>0</v>
      </c>
      <c r="I60"/>
      <c r="J60" s="2084">
        <f t="shared" si="8"/>
        <v>0</v>
      </c>
      <c r="K60" s="2084">
        <f t="shared" si="8"/>
        <v>1</v>
      </c>
      <c r="L60"/>
      <c r="M60" s="162">
        <f t="shared" si="9"/>
        <v>0</v>
      </c>
      <c r="N60" s="162">
        <f t="shared" si="9"/>
        <v>63924.91</v>
      </c>
    </row>
    <row r="61" spans="1:14">
      <c r="A61" s="2083" t="s">
        <v>2784</v>
      </c>
      <c r="B61" s="762" t="s">
        <v>2785</v>
      </c>
      <c r="C61" s="1665">
        <v>0</v>
      </c>
      <c r="D61" s="1665">
        <v>123458.04000000001</v>
      </c>
      <c r="E61" s="1878">
        <f t="shared" si="5"/>
        <v>123458.04000000001</v>
      </c>
      <c r="F61" s="60" t="s">
        <v>2743</v>
      </c>
      <c r="G61" s="162">
        <f t="shared" si="6"/>
        <v>123458.04000000001</v>
      </c>
      <c r="H61" s="162">
        <f t="shared" si="7"/>
        <v>0</v>
      </c>
      <c r="I61"/>
      <c r="J61" s="2084">
        <f t="shared" si="8"/>
        <v>0</v>
      </c>
      <c r="K61" s="2084">
        <f t="shared" si="8"/>
        <v>1</v>
      </c>
      <c r="L61"/>
      <c r="M61" s="162">
        <f t="shared" si="9"/>
        <v>0</v>
      </c>
      <c r="N61" s="162">
        <f t="shared" si="9"/>
        <v>123458.04000000001</v>
      </c>
    </row>
    <row r="62" spans="1:14">
      <c r="A62" s="2083" t="s">
        <v>2786</v>
      </c>
      <c r="B62" s="762" t="s">
        <v>2787</v>
      </c>
      <c r="C62" s="1665">
        <v>728566.15999999992</v>
      </c>
      <c r="D62" s="1665">
        <v>931242.09</v>
      </c>
      <c r="E62" s="1878">
        <f t="shared" si="5"/>
        <v>1659808.25</v>
      </c>
      <c r="F62" s="60" t="s">
        <v>2743</v>
      </c>
      <c r="G62" s="162">
        <f t="shared" si="6"/>
        <v>1659808.25</v>
      </c>
      <c r="H62" s="162">
        <f t="shared" si="7"/>
        <v>0</v>
      </c>
      <c r="I62"/>
      <c r="J62" s="2084">
        <f t="shared" si="8"/>
        <v>0.43894598065770546</v>
      </c>
      <c r="K62" s="2084">
        <f t="shared" si="8"/>
        <v>0.56105401934229449</v>
      </c>
      <c r="L62"/>
      <c r="M62" s="162">
        <f t="shared" si="9"/>
        <v>728566.15999999992</v>
      </c>
      <c r="N62" s="162">
        <f t="shared" si="9"/>
        <v>931242.09</v>
      </c>
    </row>
    <row r="63" spans="1:14">
      <c r="A63" s="2083" t="s">
        <v>8246</v>
      </c>
      <c r="B63" s="762" t="s">
        <v>8247</v>
      </c>
      <c r="C63" s="1665">
        <v>0</v>
      </c>
      <c r="D63" s="1665">
        <v>63665.85</v>
      </c>
      <c r="E63" s="1878">
        <f t="shared" si="5"/>
        <v>63665.85</v>
      </c>
      <c r="F63" s="60" t="s">
        <v>2743</v>
      </c>
      <c r="G63" s="162">
        <f t="shared" si="6"/>
        <v>63665.85</v>
      </c>
      <c r="H63" s="162">
        <f t="shared" si="7"/>
        <v>0</v>
      </c>
      <c r="I63"/>
      <c r="J63" s="2084">
        <f t="shared" si="8"/>
        <v>0</v>
      </c>
      <c r="K63" s="2084">
        <f t="shared" si="8"/>
        <v>1</v>
      </c>
      <c r="L63"/>
      <c r="M63" s="162">
        <f t="shared" si="9"/>
        <v>0</v>
      </c>
      <c r="N63" s="162">
        <f t="shared" si="9"/>
        <v>63665.85</v>
      </c>
    </row>
    <row r="64" spans="1:14">
      <c r="A64" s="2083" t="s">
        <v>2788</v>
      </c>
      <c r="B64" s="762" t="s">
        <v>2789</v>
      </c>
      <c r="C64" s="1665">
        <v>16747.2</v>
      </c>
      <c r="D64" s="1665">
        <v>31833.870000000003</v>
      </c>
      <c r="E64" s="1878">
        <f t="shared" si="5"/>
        <v>48581.070000000007</v>
      </c>
      <c r="F64" s="60" t="s">
        <v>2743</v>
      </c>
      <c r="G64" s="162">
        <f t="shared" si="6"/>
        <v>48581.070000000007</v>
      </c>
      <c r="H64" s="162">
        <f t="shared" si="7"/>
        <v>0</v>
      </c>
      <c r="I64"/>
      <c r="J64" s="2084">
        <f t="shared" si="8"/>
        <v>0.3447268658347788</v>
      </c>
      <c r="K64" s="2084">
        <f t="shared" si="8"/>
        <v>0.65527313416522115</v>
      </c>
      <c r="L64"/>
      <c r="M64" s="162">
        <f t="shared" si="9"/>
        <v>16747.2</v>
      </c>
      <c r="N64" s="162">
        <f t="shared" si="9"/>
        <v>31833.870000000006</v>
      </c>
    </row>
    <row r="65" spans="1:14">
      <c r="A65" s="2083" t="s">
        <v>2790</v>
      </c>
      <c r="B65" s="762" t="s">
        <v>2791</v>
      </c>
      <c r="C65" s="1665">
        <v>0</v>
      </c>
      <c r="D65" s="1665">
        <v>566758.09</v>
      </c>
      <c r="E65" s="1878">
        <f t="shared" si="5"/>
        <v>566758.09</v>
      </c>
      <c r="F65" s="60" t="s">
        <v>2743</v>
      </c>
      <c r="G65" s="162">
        <f t="shared" si="6"/>
        <v>566758.09</v>
      </c>
      <c r="H65" s="162">
        <f t="shared" si="7"/>
        <v>0</v>
      </c>
      <c r="I65"/>
      <c r="J65" s="2084">
        <f t="shared" si="8"/>
        <v>0</v>
      </c>
      <c r="K65" s="2084">
        <f t="shared" si="8"/>
        <v>1</v>
      </c>
      <c r="L65"/>
      <c r="M65" s="162">
        <f t="shared" si="9"/>
        <v>0</v>
      </c>
      <c r="N65" s="162">
        <f t="shared" si="9"/>
        <v>566758.09</v>
      </c>
    </row>
    <row r="66" spans="1:14">
      <c r="A66" s="2083" t="s">
        <v>2792</v>
      </c>
      <c r="B66" s="762" t="s">
        <v>2793</v>
      </c>
      <c r="C66" s="1665">
        <v>0</v>
      </c>
      <c r="D66" s="1665">
        <v>9366069.8000000007</v>
      </c>
      <c r="E66" s="1878">
        <f t="shared" si="5"/>
        <v>9366069.8000000007</v>
      </c>
      <c r="F66" s="60" t="s">
        <v>2743</v>
      </c>
      <c r="G66" s="162">
        <f t="shared" si="6"/>
        <v>9366069.8000000007</v>
      </c>
      <c r="H66" s="162">
        <f t="shared" si="7"/>
        <v>0</v>
      </c>
      <c r="I66"/>
      <c r="J66" s="2084">
        <f t="shared" si="8"/>
        <v>0</v>
      </c>
      <c r="K66" s="2084">
        <f t="shared" si="8"/>
        <v>1</v>
      </c>
      <c r="L66"/>
      <c r="M66" s="162">
        <f t="shared" si="9"/>
        <v>0</v>
      </c>
      <c r="N66" s="162">
        <f t="shared" si="9"/>
        <v>9366069.8000000007</v>
      </c>
    </row>
    <row r="67" spans="1:14">
      <c r="A67" s="2083" t="s">
        <v>2794</v>
      </c>
      <c r="B67" s="762" t="s">
        <v>2795</v>
      </c>
      <c r="C67" s="1665">
        <v>59537.38</v>
      </c>
      <c r="D67" s="1665">
        <v>6366984.370000001</v>
      </c>
      <c r="E67" s="1878">
        <f t="shared" si="5"/>
        <v>6426521.7500000009</v>
      </c>
      <c r="F67" s="60" t="s">
        <v>2743</v>
      </c>
      <c r="G67" s="162">
        <f t="shared" si="6"/>
        <v>6426521.7500000009</v>
      </c>
      <c r="H67" s="162">
        <f t="shared" si="7"/>
        <v>0</v>
      </c>
      <c r="I67"/>
      <c r="J67" s="2084">
        <f t="shared" si="8"/>
        <v>9.2643240490083122E-3</v>
      </c>
      <c r="K67" s="2084">
        <f t="shared" si="8"/>
        <v>0.99073567595099166</v>
      </c>
      <c r="L67"/>
      <c r="M67" s="162">
        <f t="shared" si="9"/>
        <v>59537.37999999999</v>
      </c>
      <c r="N67" s="162">
        <f t="shared" si="9"/>
        <v>6366984.370000001</v>
      </c>
    </row>
    <row r="68" spans="1:14">
      <c r="A68" s="2083" t="s">
        <v>2796</v>
      </c>
      <c r="B68" s="762" t="s">
        <v>2797</v>
      </c>
      <c r="C68" s="1665">
        <v>205961.15</v>
      </c>
      <c r="D68" s="1665">
        <v>14505186.150000002</v>
      </c>
      <c r="E68" s="1878">
        <f t="shared" si="5"/>
        <v>14711147.300000003</v>
      </c>
      <c r="F68" s="60" t="s">
        <v>2743</v>
      </c>
      <c r="G68" s="162">
        <f t="shared" si="6"/>
        <v>14711147.300000003</v>
      </c>
      <c r="H68" s="162">
        <f t="shared" si="7"/>
        <v>0</v>
      </c>
      <c r="I68"/>
      <c r="J68" s="2084">
        <f t="shared" si="8"/>
        <v>1.4000345846581249E-2</v>
      </c>
      <c r="K68" s="2084">
        <f t="shared" si="8"/>
        <v>0.98599965415341873</v>
      </c>
      <c r="L68"/>
      <c r="M68" s="162">
        <f t="shared" si="9"/>
        <v>205961.15</v>
      </c>
      <c r="N68" s="162">
        <f t="shared" si="9"/>
        <v>14505186.150000002</v>
      </c>
    </row>
    <row r="69" spans="1:14">
      <c r="A69" s="2083" t="s">
        <v>2798</v>
      </c>
      <c r="B69" s="762" t="s">
        <v>2799</v>
      </c>
      <c r="C69" s="1665">
        <v>0</v>
      </c>
      <c r="D69" s="1665">
        <v>46699.06</v>
      </c>
      <c r="E69" s="1878">
        <f t="shared" si="5"/>
        <v>46699.06</v>
      </c>
      <c r="F69" s="60" t="s">
        <v>2743</v>
      </c>
      <c r="G69" s="162">
        <f t="shared" si="6"/>
        <v>46699.06</v>
      </c>
      <c r="H69" s="162">
        <f t="shared" si="7"/>
        <v>0</v>
      </c>
      <c r="I69"/>
      <c r="J69" s="2084">
        <f t="shared" si="8"/>
        <v>0</v>
      </c>
      <c r="K69" s="2084">
        <f t="shared" si="8"/>
        <v>1</v>
      </c>
      <c r="L69"/>
      <c r="M69" s="162">
        <f t="shared" si="9"/>
        <v>0</v>
      </c>
      <c r="N69" s="162">
        <f t="shared" si="9"/>
        <v>46699.06</v>
      </c>
    </row>
    <row r="70" spans="1:14">
      <c r="A70" s="2083" t="s">
        <v>2800</v>
      </c>
      <c r="B70" s="762" t="s">
        <v>2801</v>
      </c>
      <c r="C70" s="1665">
        <v>0</v>
      </c>
      <c r="D70" s="1665">
        <v>865109.0900000002</v>
      </c>
      <c r="E70" s="1878">
        <f t="shared" si="5"/>
        <v>865109.0900000002</v>
      </c>
      <c r="F70" s="60" t="s">
        <v>2743</v>
      </c>
      <c r="G70" s="162">
        <f t="shared" si="6"/>
        <v>865109.0900000002</v>
      </c>
      <c r="H70" s="162">
        <f t="shared" si="7"/>
        <v>0</v>
      </c>
      <c r="I70"/>
      <c r="J70" s="2084">
        <f t="shared" si="8"/>
        <v>0</v>
      </c>
      <c r="K70" s="2084">
        <f t="shared" si="8"/>
        <v>1</v>
      </c>
      <c r="L70"/>
      <c r="M70" s="162">
        <f t="shared" si="9"/>
        <v>0</v>
      </c>
      <c r="N70" s="162">
        <f t="shared" si="9"/>
        <v>865109.0900000002</v>
      </c>
    </row>
    <row r="71" spans="1:14">
      <c r="A71" s="2083" t="s">
        <v>2802</v>
      </c>
      <c r="B71" s="762" t="s">
        <v>2803</v>
      </c>
      <c r="C71" s="1665">
        <v>0</v>
      </c>
      <c r="D71" s="1665">
        <v>13650.34</v>
      </c>
      <c r="E71" s="1878">
        <f t="shared" si="5"/>
        <v>13650.34</v>
      </c>
      <c r="F71" s="60" t="s">
        <v>2743</v>
      </c>
      <c r="G71" s="162">
        <f t="shared" si="6"/>
        <v>13650.34</v>
      </c>
      <c r="H71" s="162">
        <f t="shared" si="7"/>
        <v>0</v>
      </c>
      <c r="I71"/>
      <c r="J71" s="2084">
        <f t="shared" si="8"/>
        <v>0</v>
      </c>
      <c r="K71" s="2084">
        <f t="shared" si="8"/>
        <v>1</v>
      </c>
      <c r="L71"/>
      <c r="M71" s="162">
        <f t="shared" si="9"/>
        <v>0</v>
      </c>
      <c r="N71" s="162">
        <f t="shared" si="9"/>
        <v>13650.34</v>
      </c>
    </row>
    <row r="72" spans="1:14">
      <c r="A72" s="2083" t="s">
        <v>2804</v>
      </c>
      <c r="B72" s="762" t="s">
        <v>2805</v>
      </c>
      <c r="C72" s="1665">
        <v>0</v>
      </c>
      <c r="D72" s="1665">
        <v>3969172.560000001</v>
      </c>
      <c r="E72" s="1878">
        <f t="shared" si="5"/>
        <v>3969172.560000001</v>
      </c>
      <c r="F72" s="60" t="s">
        <v>2743</v>
      </c>
      <c r="G72" s="162">
        <f t="shared" si="6"/>
        <v>3969172.560000001</v>
      </c>
      <c r="H72" s="162">
        <f t="shared" si="7"/>
        <v>0</v>
      </c>
      <c r="I72"/>
      <c r="J72" s="2084">
        <f t="shared" si="8"/>
        <v>0</v>
      </c>
      <c r="K72" s="2084">
        <f t="shared" si="8"/>
        <v>1</v>
      </c>
      <c r="L72"/>
      <c r="M72" s="162">
        <f t="shared" si="9"/>
        <v>0</v>
      </c>
      <c r="N72" s="162">
        <f t="shared" si="9"/>
        <v>3969172.560000001</v>
      </c>
    </row>
    <row r="73" spans="1:14">
      <c r="A73" s="2083" t="s">
        <v>2806</v>
      </c>
      <c r="B73" s="762" t="s">
        <v>2807</v>
      </c>
      <c r="C73" s="1665">
        <v>0</v>
      </c>
      <c r="D73" s="1665">
        <v>4643501.8499999987</v>
      </c>
      <c r="E73" s="1878">
        <f t="shared" si="5"/>
        <v>4643501.8499999987</v>
      </c>
      <c r="F73" s="60" t="s">
        <v>2743</v>
      </c>
      <c r="G73" s="162">
        <f t="shared" si="6"/>
        <v>4643501.8499999987</v>
      </c>
      <c r="H73" s="162">
        <f t="shared" si="7"/>
        <v>0</v>
      </c>
      <c r="I73"/>
      <c r="J73" s="2084">
        <f t="shared" si="8"/>
        <v>0</v>
      </c>
      <c r="K73" s="2084">
        <f t="shared" si="8"/>
        <v>1</v>
      </c>
      <c r="L73"/>
      <c r="M73" s="162">
        <f t="shared" si="9"/>
        <v>0</v>
      </c>
      <c r="N73" s="162">
        <f t="shared" si="9"/>
        <v>4643501.8499999987</v>
      </c>
    </row>
    <row r="74" spans="1:14">
      <c r="A74" s="2083" t="s">
        <v>8248</v>
      </c>
      <c r="B74" s="762" t="s">
        <v>8249</v>
      </c>
      <c r="C74" s="1665">
        <v>0</v>
      </c>
      <c r="D74" s="1665">
        <v>90071.25</v>
      </c>
      <c r="E74" s="1878">
        <f t="shared" si="5"/>
        <v>90071.25</v>
      </c>
      <c r="F74" s="60" t="s">
        <v>2743</v>
      </c>
      <c r="G74" s="162">
        <f t="shared" si="6"/>
        <v>90071.25</v>
      </c>
      <c r="H74" s="162">
        <f t="shared" si="7"/>
        <v>0</v>
      </c>
      <c r="I74"/>
      <c r="J74" s="2084">
        <f t="shared" si="8"/>
        <v>0</v>
      </c>
      <c r="K74" s="2084">
        <f t="shared" si="8"/>
        <v>1</v>
      </c>
      <c r="L74"/>
      <c r="M74" s="162">
        <f t="shared" si="9"/>
        <v>0</v>
      </c>
      <c r="N74" s="162">
        <f t="shared" si="9"/>
        <v>90071.25</v>
      </c>
    </row>
    <row r="75" spans="1:14">
      <c r="A75" s="2083" t="s">
        <v>2808</v>
      </c>
      <c r="B75" s="762" t="s">
        <v>2809</v>
      </c>
      <c r="C75" s="1665">
        <v>44737.45</v>
      </c>
      <c r="D75" s="1665">
        <v>6083828.9000000022</v>
      </c>
      <c r="E75" s="1878">
        <f t="shared" si="5"/>
        <v>6128566.3500000024</v>
      </c>
      <c r="F75" s="60" t="s">
        <v>2743</v>
      </c>
      <c r="G75" s="162">
        <f t="shared" si="6"/>
        <v>6128566.3500000024</v>
      </c>
      <c r="H75" s="162">
        <f t="shared" si="7"/>
        <v>0</v>
      </c>
      <c r="I75"/>
      <c r="J75" s="2084">
        <f t="shared" si="8"/>
        <v>7.2998230654710916E-3</v>
      </c>
      <c r="K75" s="2084">
        <f t="shared" si="8"/>
        <v>0.99270017693452883</v>
      </c>
      <c r="L75"/>
      <c r="M75" s="162">
        <f t="shared" si="9"/>
        <v>44737.45</v>
      </c>
      <c r="N75" s="162">
        <f t="shared" si="9"/>
        <v>6083828.9000000022</v>
      </c>
    </row>
    <row r="76" spans="1:14">
      <c r="A76" s="2083" t="s">
        <v>2810</v>
      </c>
      <c r="B76" s="762" t="s">
        <v>2811</v>
      </c>
      <c r="C76" s="1665">
        <v>0</v>
      </c>
      <c r="D76" s="1665">
        <v>1217530.1399999999</v>
      </c>
      <c r="E76" s="1878">
        <f t="shared" si="5"/>
        <v>1217530.1399999999</v>
      </c>
      <c r="F76" s="60" t="s">
        <v>2743</v>
      </c>
      <c r="G76" s="162">
        <f t="shared" si="6"/>
        <v>1217530.1399999999</v>
      </c>
      <c r="H76" s="162">
        <f t="shared" si="7"/>
        <v>0</v>
      </c>
      <c r="I76"/>
      <c r="J76" s="2084">
        <f t="shared" si="8"/>
        <v>0</v>
      </c>
      <c r="K76" s="2084">
        <f t="shared" si="8"/>
        <v>1</v>
      </c>
      <c r="L76"/>
      <c r="M76" s="162">
        <f t="shared" si="9"/>
        <v>0</v>
      </c>
      <c r="N76" s="162">
        <f t="shared" si="9"/>
        <v>1217530.1399999999</v>
      </c>
    </row>
    <row r="77" spans="1:14">
      <c r="A77" s="2083" t="s">
        <v>2812</v>
      </c>
      <c r="B77" s="762" t="s">
        <v>2813</v>
      </c>
      <c r="C77" s="1665">
        <v>24071</v>
      </c>
      <c r="D77" s="1665">
        <v>11761159.590000004</v>
      </c>
      <c r="E77" s="1878">
        <f t="shared" si="5"/>
        <v>11785230.590000004</v>
      </c>
      <c r="F77" s="60" t="s">
        <v>2743</v>
      </c>
      <c r="G77" s="162">
        <f t="shared" si="6"/>
        <v>11785230.590000004</v>
      </c>
      <c r="H77" s="162">
        <f t="shared" si="7"/>
        <v>0</v>
      </c>
      <c r="I77"/>
      <c r="J77" s="2084">
        <f t="shared" si="8"/>
        <v>2.0424717035595987E-3</v>
      </c>
      <c r="K77" s="2084">
        <f t="shared" si="8"/>
        <v>0.99795752829644035</v>
      </c>
      <c r="L77"/>
      <c r="M77" s="162">
        <f t="shared" si="9"/>
        <v>24071.000000000004</v>
      </c>
      <c r="N77" s="162">
        <f t="shared" si="9"/>
        <v>11761159.590000004</v>
      </c>
    </row>
    <row r="78" spans="1:14">
      <c r="A78" s="2083" t="s">
        <v>2814</v>
      </c>
      <c r="B78" s="762" t="s">
        <v>2815</v>
      </c>
      <c r="C78" s="1665">
        <v>0</v>
      </c>
      <c r="D78" s="1665">
        <v>4159816.72</v>
      </c>
      <c r="E78" s="1878">
        <f t="shared" si="5"/>
        <v>4159816.72</v>
      </c>
      <c r="F78" s="60" t="s">
        <v>2743</v>
      </c>
      <c r="G78" s="162">
        <f t="shared" si="6"/>
        <v>4159816.72</v>
      </c>
      <c r="H78" s="162">
        <f t="shared" si="7"/>
        <v>0</v>
      </c>
      <c r="I78"/>
      <c r="J78" s="2084">
        <f t="shared" si="8"/>
        <v>0</v>
      </c>
      <c r="K78" s="2084">
        <f t="shared" si="8"/>
        <v>1</v>
      </c>
      <c r="L78"/>
      <c r="M78" s="162">
        <f t="shared" si="9"/>
        <v>0</v>
      </c>
      <c r="N78" s="162">
        <f t="shared" si="9"/>
        <v>4159816.72</v>
      </c>
    </row>
    <row r="79" spans="1:14">
      <c r="A79" s="2083" t="s">
        <v>2816</v>
      </c>
      <c r="B79" s="762" t="s">
        <v>2817</v>
      </c>
      <c r="C79" s="1665">
        <v>945104.99999999988</v>
      </c>
      <c r="D79" s="1665">
        <v>22142205.590000018</v>
      </c>
      <c r="E79" s="1878">
        <f t="shared" si="5"/>
        <v>23087310.590000018</v>
      </c>
      <c r="F79" s="60" t="s">
        <v>2743</v>
      </c>
      <c r="G79" s="162">
        <f t="shared" si="6"/>
        <v>23087310.590000018</v>
      </c>
      <c r="H79" s="162">
        <f t="shared" si="7"/>
        <v>0</v>
      </c>
      <c r="I79"/>
      <c r="J79" s="2084">
        <f t="shared" si="8"/>
        <v>4.09361236041655E-2</v>
      </c>
      <c r="K79" s="2084">
        <f t="shared" si="8"/>
        <v>0.95906387639583446</v>
      </c>
      <c r="L79"/>
      <c r="M79" s="162">
        <f t="shared" si="9"/>
        <v>945104.99999999988</v>
      </c>
      <c r="N79" s="162">
        <f t="shared" si="9"/>
        <v>22142205.590000018</v>
      </c>
    </row>
    <row r="80" spans="1:14">
      <c r="A80" s="2083" t="s">
        <v>2818</v>
      </c>
      <c r="B80" s="762" t="s">
        <v>2819</v>
      </c>
      <c r="C80" s="1665">
        <v>23633.62</v>
      </c>
      <c r="D80" s="1665">
        <v>113437.35</v>
      </c>
      <c r="E80" s="1878">
        <f t="shared" si="5"/>
        <v>137070.97</v>
      </c>
      <c r="F80" s="60" t="s">
        <v>2743</v>
      </c>
      <c r="G80" s="162">
        <f t="shared" si="6"/>
        <v>137070.97</v>
      </c>
      <c r="H80" s="162">
        <f t="shared" si="7"/>
        <v>0</v>
      </c>
      <c r="I80"/>
      <c r="J80" s="2084">
        <f t="shared" si="8"/>
        <v>0.17241885718033512</v>
      </c>
      <c r="K80" s="2084">
        <f t="shared" si="8"/>
        <v>0.82758114281966488</v>
      </c>
      <c r="L80"/>
      <c r="M80" s="162">
        <f t="shared" si="9"/>
        <v>23633.62</v>
      </c>
      <c r="N80" s="162">
        <f t="shared" si="9"/>
        <v>113437.35</v>
      </c>
    </row>
    <row r="81" spans="1:14">
      <c r="A81" s="2083" t="s">
        <v>2820</v>
      </c>
      <c r="B81" s="762" t="s">
        <v>2821</v>
      </c>
      <c r="C81" s="1665">
        <v>7053.22</v>
      </c>
      <c r="D81" s="1665">
        <v>283540.22000000003</v>
      </c>
      <c r="E81" s="1878">
        <f t="shared" si="5"/>
        <v>290593.44</v>
      </c>
      <c r="F81" s="60" t="s">
        <v>2743</v>
      </c>
      <c r="G81" s="162">
        <f t="shared" si="6"/>
        <v>290593.44</v>
      </c>
      <c r="H81" s="162">
        <f t="shared" si="7"/>
        <v>0</v>
      </c>
      <c r="I81"/>
      <c r="J81" s="2084">
        <f t="shared" si="8"/>
        <v>2.4271779844720516E-2</v>
      </c>
      <c r="K81" s="2084">
        <f t="shared" si="8"/>
        <v>0.9757282201552796</v>
      </c>
      <c r="L81"/>
      <c r="M81" s="162">
        <f t="shared" si="9"/>
        <v>7053.22</v>
      </c>
      <c r="N81" s="162">
        <f t="shared" si="9"/>
        <v>283540.22000000003</v>
      </c>
    </row>
    <row r="82" spans="1:14">
      <c r="A82" s="33"/>
      <c r="B82"/>
      <c r="C82"/>
      <c r="D82"/>
      <c r="E82"/>
      <c r="F82" s="62"/>
      <c r="G82"/>
      <c r="H82"/>
      <c r="I82"/>
      <c r="J82"/>
      <c r="K82"/>
      <c r="L82"/>
      <c r="M82"/>
      <c r="N82"/>
    </row>
    <row r="83" spans="1:14" ht="15" thickBot="1">
      <c r="A83" s="33"/>
      <c r="B83" s="60" t="s">
        <v>2822</v>
      </c>
      <c r="C83" s="2085">
        <f>SUM(C40:C82)</f>
        <v>3665790.2600000007</v>
      </c>
      <c r="D83" s="2085">
        <f>SUM(D40:D82)</f>
        <v>242198571.07000005</v>
      </c>
      <c r="E83" s="2085">
        <f>SUM(E40:E82)</f>
        <v>245864361.33000001</v>
      </c>
      <c r="F83" s="60"/>
      <c r="G83" s="2085">
        <f>SUM(G40:G82)</f>
        <v>245864361.33000001</v>
      </c>
      <c r="H83" s="2085">
        <f>SUM(H40:H82)</f>
        <v>0</v>
      </c>
      <c r="I83"/>
      <c r="J83" s="2084"/>
      <c r="K83" s="2084"/>
      <c r="L83"/>
      <c r="M83" s="2085">
        <f>SUM(M40:M82)</f>
        <v>3665790.2600000007</v>
      </c>
      <c r="N83" s="2085">
        <f>SUM(N40:N82)</f>
        <v>242198571.07000005</v>
      </c>
    </row>
    <row r="84" spans="1:14" ht="15" thickTop="1">
      <c r="A84" s="33"/>
      <c r="B84" s="60"/>
      <c r="C84" s="2086">
        <v>0</v>
      </c>
      <c r="D84" s="2086">
        <v>0</v>
      </c>
      <c r="E84" s="2086">
        <v>0</v>
      </c>
      <c r="F84" s="60"/>
      <c r="G84" s="2086"/>
      <c r="H84" s="2086"/>
      <c r="I84"/>
      <c r="J84" s="2084"/>
      <c r="K84" s="2084"/>
      <c r="L84"/>
      <c r="M84" s="2086"/>
      <c r="N84" s="2086"/>
    </row>
    <row r="85" spans="1:14">
      <c r="A85" s="33"/>
      <c r="B85"/>
      <c r="C85" s="1666"/>
      <c r="D85" s="1666"/>
      <c r="E85" s="1666"/>
      <c r="F85" s="60"/>
      <c r="G85" s="162"/>
      <c r="H85" s="162"/>
      <c r="I85"/>
      <c r="J85" s="2084"/>
      <c r="K85" s="2084"/>
      <c r="L85"/>
      <c r="M85" s="162"/>
      <c r="N85" s="162"/>
    </row>
    <row r="86" spans="1:14">
      <c r="A86" s="2083" t="s">
        <v>2823</v>
      </c>
      <c r="B86" s="762" t="s">
        <v>2824</v>
      </c>
      <c r="C86" s="1665">
        <v>2505335.0499999998</v>
      </c>
      <c r="D86" s="1665">
        <v>1580309.4499999997</v>
      </c>
      <c r="E86" s="1878">
        <f>SUM(C86:D86)</f>
        <v>4085644.4999999995</v>
      </c>
      <c r="F86" s="60" t="s">
        <v>2825</v>
      </c>
      <c r="G86" s="162">
        <f>$E86*0%</f>
        <v>0</v>
      </c>
      <c r="H86" s="162">
        <f>$E86*100%</f>
        <v>4085644.4999999995</v>
      </c>
      <c r="I86"/>
      <c r="J86" s="2084">
        <f t="shared" ref="J86:K123" si="10">C86/$E86</f>
        <v>0.61320436714452276</v>
      </c>
      <c r="K86" s="2084">
        <f t="shared" si="10"/>
        <v>0.38679563285547724</v>
      </c>
      <c r="L86"/>
      <c r="M86" s="162">
        <f>J86*$G86</f>
        <v>0</v>
      </c>
      <c r="N86" s="162">
        <f>K86*$G86</f>
        <v>0</v>
      </c>
    </row>
    <row r="87" spans="1:14">
      <c r="A87" s="2083" t="s">
        <v>2826</v>
      </c>
      <c r="B87" s="762" t="s">
        <v>2827</v>
      </c>
      <c r="C87" s="1665">
        <v>9561784.7300000004</v>
      </c>
      <c r="D87" s="1665">
        <v>122404.55</v>
      </c>
      <c r="E87" s="1878">
        <f t="shared" ref="E87:E118" si="11">SUM(C87:D87)</f>
        <v>9684189.2800000012</v>
      </c>
      <c r="F87" s="60" t="s">
        <v>2825</v>
      </c>
      <c r="G87" s="162">
        <f>$E87*5%</f>
        <v>484209.46400000009</v>
      </c>
      <c r="H87" s="162">
        <f>$E87*95%</f>
        <v>9199979.8160000015</v>
      </c>
      <c r="I87"/>
      <c r="J87" s="2084">
        <f t="shared" si="10"/>
        <v>0.98736037199801607</v>
      </c>
      <c r="K87" s="2084">
        <f t="shared" si="10"/>
        <v>1.2639628001983868E-2</v>
      </c>
      <c r="L87"/>
      <c r="M87" s="162">
        <f t="shared" ref="M87:N118" si="12">J87*$G87</f>
        <v>478089.23650000006</v>
      </c>
      <c r="N87" s="162">
        <f t="shared" si="12"/>
        <v>6120.2275000000009</v>
      </c>
    </row>
    <row r="88" spans="1:14">
      <c r="A88" s="2083" t="s">
        <v>2828</v>
      </c>
      <c r="B88" s="762" t="s">
        <v>2829</v>
      </c>
      <c r="C88" s="1665">
        <v>37772.620000000003</v>
      </c>
      <c r="D88" s="1665">
        <v>3535064.3499999996</v>
      </c>
      <c r="E88" s="1878">
        <f t="shared" si="11"/>
        <v>3572836.9699999997</v>
      </c>
      <c r="F88" s="60" t="s">
        <v>2825</v>
      </c>
      <c r="G88" s="162">
        <f>$E88*0%</f>
        <v>0</v>
      </c>
      <c r="H88" s="162">
        <f>$E88*100%</f>
        <v>3572836.9699999997</v>
      </c>
      <c r="I88"/>
      <c r="J88" s="2084">
        <f t="shared" si="10"/>
        <v>1.0572164450033667E-2</v>
      </c>
      <c r="K88" s="2084">
        <f t="shared" si="10"/>
        <v>0.98942783554996627</v>
      </c>
      <c r="L88"/>
      <c r="M88" s="162">
        <f t="shared" si="12"/>
        <v>0</v>
      </c>
      <c r="N88" s="162">
        <f t="shared" si="12"/>
        <v>0</v>
      </c>
    </row>
    <row r="89" spans="1:14">
      <c r="A89" s="2083" t="s">
        <v>2830</v>
      </c>
      <c r="B89" s="762" t="s">
        <v>2831</v>
      </c>
      <c r="C89" s="1665">
        <v>9402.8700000000008</v>
      </c>
      <c r="D89" s="1665">
        <v>906585.21000000008</v>
      </c>
      <c r="E89" s="1878">
        <f t="shared" si="11"/>
        <v>915988.08000000007</v>
      </c>
      <c r="F89" s="60" t="s">
        <v>2825</v>
      </c>
      <c r="G89" s="162">
        <f t="shared" ref="G89:G118" si="13">$E89*0%</f>
        <v>0</v>
      </c>
      <c r="H89" s="162">
        <f t="shared" ref="H89:H118" si="14">$E89*100%</f>
        <v>915988.08000000007</v>
      </c>
      <c r="I89"/>
      <c r="J89" s="2084">
        <f t="shared" si="10"/>
        <v>1.026527550445853E-2</v>
      </c>
      <c r="K89" s="2084">
        <f t="shared" si="10"/>
        <v>0.98973472449554145</v>
      </c>
      <c r="L89"/>
      <c r="M89" s="162">
        <f t="shared" si="12"/>
        <v>0</v>
      </c>
      <c r="N89" s="162">
        <f t="shared" si="12"/>
        <v>0</v>
      </c>
    </row>
    <row r="90" spans="1:14">
      <c r="A90" s="2083" t="s">
        <v>2832</v>
      </c>
      <c r="B90" s="762" t="s">
        <v>2833</v>
      </c>
      <c r="C90" s="1665">
        <v>0</v>
      </c>
      <c r="D90" s="1665">
        <v>19952827.629999999</v>
      </c>
      <c r="E90" s="1878">
        <f t="shared" si="11"/>
        <v>19952827.629999999</v>
      </c>
      <c r="F90" s="60" t="s">
        <v>2825</v>
      </c>
      <c r="G90" s="162">
        <f t="shared" si="13"/>
        <v>0</v>
      </c>
      <c r="H90" s="162">
        <f t="shared" si="14"/>
        <v>19952827.629999999</v>
      </c>
      <c r="I90"/>
      <c r="J90" s="2084">
        <f t="shared" si="10"/>
        <v>0</v>
      </c>
      <c r="K90" s="2084">
        <f t="shared" si="10"/>
        <v>1</v>
      </c>
      <c r="L90"/>
      <c r="M90" s="162">
        <f t="shared" si="12"/>
        <v>0</v>
      </c>
      <c r="N90" s="162">
        <f t="shared" si="12"/>
        <v>0</v>
      </c>
    </row>
    <row r="91" spans="1:14">
      <c r="A91" s="2083" t="s">
        <v>2834</v>
      </c>
      <c r="B91" s="762" t="s">
        <v>2835</v>
      </c>
      <c r="C91" s="1665">
        <v>3622866.8900000155</v>
      </c>
      <c r="D91" s="1665">
        <v>243681.03</v>
      </c>
      <c r="E91" s="1878">
        <f t="shared" si="11"/>
        <v>3866547.9200000153</v>
      </c>
      <c r="F91" s="60" t="s">
        <v>2825</v>
      </c>
      <c r="G91" s="162">
        <f t="shared" si="13"/>
        <v>0</v>
      </c>
      <c r="H91" s="162">
        <f t="shared" si="14"/>
        <v>3866547.9200000153</v>
      </c>
      <c r="I91"/>
      <c r="J91" s="2084">
        <f t="shared" si="10"/>
        <v>0.93697710851078786</v>
      </c>
      <c r="K91" s="2084">
        <f t="shared" si="10"/>
        <v>6.3022891489212168E-2</v>
      </c>
      <c r="L91"/>
      <c r="M91" s="162">
        <f t="shared" si="12"/>
        <v>0</v>
      </c>
      <c r="N91" s="162">
        <f t="shared" si="12"/>
        <v>0</v>
      </c>
    </row>
    <row r="92" spans="1:14">
      <c r="A92" s="2083" t="s">
        <v>2836</v>
      </c>
      <c r="B92" s="762" t="s">
        <v>2837</v>
      </c>
      <c r="C92" s="1665">
        <v>43318.51</v>
      </c>
      <c r="D92" s="1665">
        <v>33608.259999999995</v>
      </c>
      <c r="E92" s="1878">
        <f t="shared" si="11"/>
        <v>76926.76999999999</v>
      </c>
      <c r="F92" s="60" t="s">
        <v>2825</v>
      </c>
      <c r="G92" s="162">
        <f t="shared" si="13"/>
        <v>0</v>
      </c>
      <c r="H92" s="162">
        <f t="shared" si="14"/>
        <v>76926.76999999999</v>
      </c>
      <c r="I92"/>
      <c r="J92" s="2084">
        <f t="shared" si="10"/>
        <v>0.56311359491630819</v>
      </c>
      <c r="K92" s="2084">
        <f t="shared" si="10"/>
        <v>0.43688640508369192</v>
      </c>
      <c r="L92"/>
      <c r="M92" s="162">
        <f t="shared" si="12"/>
        <v>0</v>
      </c>
      <c r="N92" s="162">
        <f t="shared" si="12"/>
        <v>0</v>
      </c>
    </row>
    <row r="93" spans="1:14">
      <c r="A93" s="2083" t="s">
        <v>2838</v>
      </c>
      <c r="B93" s="762" t="s">
        <v>2839</v>
      </c>
      <c r="C93" s="1665">
        <v>0</v>
      </c>
      <c r="D93" s="1665">
        <v>196673.93</v>
      </c>
      <c r="E93" s="1878">
        <f t="shared" si="11"/>
        <v>196673.93</v>
      </c>
      <c r="F93" s="60" t="s">
        <v>2825</v>
      </c>
      <c r="G93" s="162">
        <f t="shared" si="13"/>
        <v>0</v>
      </c>
      <c r="H93" s="162">
        <f t="shared" si="14"/>
        <v>196673.93</v>
      </c>
      <c r="I93"/>
      <c r="J93" s="2084">
        <f t="shared" si="10"/>
        <v>0</v>
      </c>
      <c r="K93" s="2084">
        <f t="shared" si="10"/>
        <v>1</v>
      </c>
      <c r="L93"/>
      <c r="M93" s="162">
        <f t="shared" si="12"/>
        <v>0</v>
      </c>
      <c r="N93" s="162">
        <f t="shared" si="12"/>
        <v>0</v>
      </c>
    </row>
    <row r="94" spans="1:14">
      <c r="A94" s="2083" t="s">
        <v>2840</v>
      </c>
      <c r="B94" s="762" t="s">
        <v>2841</v>
      </c>
      <c r="C94" s="1665">
        <v>0</v>
      </c>
      <c r="D94" s="1665">
        <v>23362.27</v>
      </c>
      <c r="E94" s="1878">
        <f t="shared" si="11"/>
        <v>23362.27</v>
      </c>
      <c r="F94" s="60" t="s">
        <v>2825</v>
      </c>
      <c r="G94" s="162">
        <f t="shared" si="13"/>
        <v>0</v>
      </c>
      <c r="H94" s="162">
        <f t="shared" si="14"/>
        <v>23362.27</v>
      </c>
      <c r="I94"/>
      <c r="J94" s="2084">
        <f t="shared" si="10"/>
        <v>0</v>
      </c>
      <c r="K94" s="2084">
        <f t="shared" si="10"/>
        <v>1</v>
      </c>
      <c r="L94"/>
      <c r="M94" s="162">
        <f t="shared" si="12"/>
        <v>0</v>
      </c>
      <c r="N94" s="162">
        <f t="shared" si="12"/>
        <v>0</v>
      </c>
    </row>
    <row r="95" spans="1:14">
      <c r="A95" s="2083" t="s">
        <v>2842</v>
      </c>
      <c r="B95" s="762" t="s">
        <v>2843</v>
      </c>
      <c r="C95" s="1665">
        <v>0</v>
      </c>
      <c r="D95" s="1665">
        <v>16812.29</v>
      </c>
      <c r="E95" s="1878">
        <f t="shared" si="11"/>
        <v>16812.29</v>
      </c>
      <c r="F95" s="60" t="s">
        <v>2825</v>
      </c>
      <c r="G95" s="162">
        <f t="shared" si="13"/>
        <v>0</v>
      </c>
      <c r="H95" s="162">
        <f t="shared" si="14"/>
        <v>16812.29</v>
      </c>
      <c r="I95"/>
      <c r="J95" s="2084">
        <f t="shared" si="10"/>
        <v>0</v>
      </c>
      <c r="K95" s="2084">
        <f t="shared" si="10"/>
        <v>1</v>
      </c>
      <c r="L95"/>
      <c r="M95" s="162">
        <f t="shared" si="12"/>
        <v>0</v>
      </c>
      <c r="N95" s="162">
        <f t="shared" si="12"/>
        <v>0</v>
      </c>
    </row>
    <row r="96" spans="1:14">
      <c r="A96" s="2083" t="s">
        <v>2844</v>
      </c>
      <c r="B96" s="762" t="s">
        <v>2845</v>
      </c>
      <c r="C96" s="1665">
        <v>0</v>
      </c>
      <c r="D96" s="1665">
        <v>3026444.6399999997</v>
      </c>
      <c r="E96" s="1878">
        <f t="shared" si="11"/>
        <v>3026444.6399999997</v>
      </c>
      <c r="F96" s="60" t="s">
        <v>2825</v>
      </c>
      <c r="G96" s="162">
        <f t="shared" si="13"/>
        <v>0</v>
      </c>
      <c r="H96" s="162">
        <f t="shared" si="14"/>
        <v>3026444.6399999997</v>
      </c>
      <c r="I96"/>
      <c r="J96" s="2084">
        <f t="shared" si="10"/>
        <v>0</v>
      </c>
      <c r="K96" s="2084">
        <f t="shared" si="10"/>
        <v>1</v>
      </c>
      <c r="L96"/>
      <c r="M96" s="162">
        <f t="shared" si="12"/>
        <v>0</v>
      </c>
      <c r="N96" s="162">
        <f t="shared" si="12"/>
        <v>0</v>
      </c>
    </row>
    <row r="97" spans="1:14">
      <c r="A97" s="2083" t="s">
        <v>2846</v>
      </c>
      <c r="B97" s="762" t="s">
        <v>2847</v>
      </c>
      <c r="C97" s="1665">
        <v>0</v>
      </c>
      <c r="D97" s="1665">
        <v>8655746.8000000007</v>
      </c>
      <c r="E97" s="1878">
        <f t="shared" si="11"/>
        <v>8655746.8000000007</v>
      </c>
      <c r="F97" s="60" t="s">
        <v>2825</v>
      </c>
      <c r="G97" s="162">
        <f t="shared" si="13"/>
        <v>0</v>
      </c>
      <c r="H97" s="162">
        <f t="shared" si="14"/>
        <v>8655746.8000000007</v>
      </c>
      <c r="I97"/>
      <c r="J97" s="2084">
        <f t="shared" si="10"/>
        <v>0</v>
      </c>
      <c r="K97" s="2084">
        <f t="shared" si="10"/>
        <v>1</v>
      </c>
      <c r="L97"/>
      <c r="M97" s="162">
        <f t="shared" si="12"/>
        <v>0</v>
      </c>
      <c r="N97" s="162">
        <f t="shared" si="12"/>
        <v>0</v>
      </c>
    </row>
    <row r="98" spans="1:14">
      <c r="A98" s="2083" t="s">
        <v>2848</v>
      </c>
      <c r="B98" s="762" t="s">
        <v>2849</v>
      </c>
      <c r="C98" s="1665">
        <v>0</v>
      </c>
      <c r="D98" s="1665">
        <v>3273068.6</v>
      </c>
      <c r="E98" s="1878">
        <f t="shared" si="11"/>
        <v>3273068.6</v>
      </c>
      <c r="F98" s="60" t="s">
        <v>2825</v>
      </c>
      <c r="G98" s="162">
        <f t="shared" si="13"/>
        <v>0</v>
      </c>
      <c r="H98" s="162">
        <f t="shared" si="14"/>
        <v>3273068.6</v>
      </c>
      <c r="I98"/>
      <c r="J98" s="2084">
        <f t="shared" si="10"/>
        <v>0</v>
      </c>
      <c r="K98" s="2084">
        <f t="shared" si="10"/>
        <v>1</v>
      </c>
      <c r="L98"/>
      <c r="M98" s="162">
        <f t="shared" si="12"/>
        <v>0</v>
      </c>
      <c r="N98" s="162">
        <f t="shared" si="12"/>
        <v>0</v>
      </c>
    </row>
    <row r="99" spans="1:14">
      <c r="A99" s="2083" t="s">
        <v>2850</v>
      </c>
      <c r="B99" s="762" t="s">
        <v>2851</v>
      </c>
      <c r="C99" s="1665">
        <v>0</v>
      </c>
      <c r="D99" s="1665">
        <v>734009.73</v>
      </c>
      <c r="E99" s="1878">
        <f t="shared" si="11"/>
        <v>734009.73</v>
      </c>
      <c r="F99" s="60" t="s">
        <v>2825</v>
      </c>
      <c r="G99" s="162">
        <f t="shared" si="13"/>
        <v>0</v>
      </c>
      <c r="H99" s="162">
        <f t="shared" si="14"/>
        <v>734009.73</v>
      </c>
      <c r="I99"/>
      <c r="J99" s="2084">
        <f t="shared" si="10"/>
        <v>0</v>
      </c>
      <c r="K99" s="2084">
        <f t="shared" si="10"/>
        <v>1</v>
      </c>
      <c r="L99"/>
      <c r="M99" s="162">
        <f t="shared" si="12"/>
        <v>0</v>
      </c>
      <c r="N99" s="162">
        <f t="shared" si="12"/>
        <v>0</v>
      </c>
    </row>
    <row r="100" spans="1:14">
      <c r="A100" s="2083" t="s">
        <v>2852</v>
      </c>
      <c r="B100" s="762" t="s">
        <v>2853</v>
      </c>
      <c r="C100" s="1665">
        <v>0</v>
      </c>
      <c r="D100" s="1665">
        <v>27324191.52</v>
      </c>
      <c r="E100" s="1878">
        <f t="shared" si="11"/>
        <v>27324191.52</v>
      </c>
      <c r="F100" s="60" t="s">
        <v>2825</v>
      </c>
      <c r="G100" s="162">
        <f t="shared" si="13"/>
        <v>0</v>
      </c>
      <c r="H100" s="162">
        <f t="shared" si="14"/>
        <v>27324191.52</v>
      </c>
      <c r="I100"/>
      <c r="J100" s="2084">
        <f t="shared" si="10"/>
        <v>0</v>
      </c>
      <c r="K100" s="2084">
        <f t="shared" si="10"/>
        <v>1</v>
      </c>
      <c r="L100"/>
      <c r="M100" s="162">
        <f t="shared" si="12"/>
        <v>0</v>
      </c>
      <c r="N100" s="162">
        <f t="shared" si="12"/>
        <v>0</v>
      </c>
    </row>
    <row r="101" spans="1:14">
      <c r="A101" s="2083" t="s">
        <v>2854</v>
      </c>
      <c r="B101" s="762" t="s">
        <v>2855</v>
      </c>
      <c r="C101" s="1665">
        <v>0</v>
      </c>
      <c r="D101" s="1665">
        <v>9535129.8300000001</v>
      </c>
      <c r="E101" s="1878">
        <f t="shared" si="11"/>
        <v>9535129.8300000001</v>
      </c>
      <c r="F101" s="60" t="s">
        <v>2825</v>
      </c>
      <c r="G101" s="162">
        <f t="shared" si="13"/>
        <v>0</v>
      </c>
      <c r="H101" s="162">
        <f t="shared" si="14"/>
        <v>9535129.8300000001</v>
      </c>
      <c r="I101"/>
      <c r="J101" s="2084">
        <f t="shared" si="10"/>
        <v>0</v>
      </c>
      <c r="K101" s="2084">
        <f t="shared" si="10"/>
        <v>1</v>
      </c>
      <c r="L101"/>
      <c r="M101" s="162">
        <f t="shared" si="12"/>
        <v>0</v>
      </c>
      <c r="N101" s="162">
        <f t="shared" si="12"/>
        <v>0</v>
      </c>
    </row>
    <row r="102" spans="1:14">
      <c r="A102" s="2083" t="s">
        <v>2856</v>
      </c>
      <c r="B102" s="762" t="s">
        <v>2857</v>
      </c>
      <c r="C102" s="1665">
        <v>0</v>
      </c>
      <c r="D102" s="1665">
        <v>26572526.970000003</v>
      </c>
      <c r="E102" s="1878">
        <f t="shared" si="11"/>
        <v>26572526.970000003</v>
      </c>
      <c r="F102" s="60" t="s">
        <v>2825</v>
      </c>
      <c r="G102" s="162">
        <f t="shared" si="13"/>
        <v>0</v>
      </c>
      <c r="H102" s="162">
        <f t="shared" si="14"/>
        <v>26572526.970000003</v>
      </c>
      <c r="I102"/>
      <c r="J102" s="2084">
        <f t="shared" si="10"/>
        <v>0</v>
      </c>
      <c r="K102" s="2084">
        <f t="shared" si="10"/>
        <v>1</v>
      </c>
      <c r="L102"/>
      <c r="M102" s="162">
        <f t="shared" si="12"/>
        <v>0</v>
      </c>
      <c r="N102" s="162">
        <f t="shared" si="12"/>
        <v>0</v>
      </c>
    </row>
    <row r="103" spans="1:14">
      <c r="A103" s="2083" t="s">
        <v>2858</v>
      </c>
      <c r="B103" s="762" t="s">
        <v>2859</v>
      </c>
      <c r="C103" s="1665">
        <v>0</v>
      </c>
      <c r="D103" s="1665">
        <v>1510986.6099999999</v>
      </c>
      <c r="E103" s="1878">
        <f t="shared" si="11"/>
        <v>1510986.6099999999</v>
      </c>
      <c r="F103" s="60" t="s">
        <v>2825</v>
      </c>
      <c r="G103" s="162">
        <f t="shared" si="13"/>
        <v>0</v>
      </c>
      <c r="H103" s="162">
        <f t="shared" si="14"/>
        <v>1510986.6099999999</v>
      </c>
      <c r="I103"/>
      <c r="J103" s="2084">
        <f t="shared" si="10"/>
        <v>0</v>
      </c>
      <c r="K103" s="2084">
        <f t="shared" si="10"/>
        <v>1</v>
      </c>
      <c r="L103"/>
      <c r="M103" s="162">
        <f t="shared" si="12"/>
        <v>0</v>
      </c>
      <c r="N103" s="162">
        <f t="shared" si="12"/>
        <v>0</v>
      </c>
    </row>
    <row r="104" spans="1:14">
      <c r="A104" s="2083" t="s">
        <v>2860</v>
      </c>
      <c r="B104" s="762" t="s">
        <v>2861</v>
      </c>
      <c r="C104" s="1665">
        <v>0</v>
      </c>
      <c r="D104" s="1665">
        <v>75035.47</v>
      </c>
      <c r="E104" s="1878">
        <f t="shared" si="11"/>
        <v>75035.47</v>
      </c>
      <c r="F104" s="60" t="s">
        <v>2825</v>
      </c>
      <c r="G104" s="162">
        <f t="shared" si="13"/>
        <v>0</v>
      </c>
      <c r="H104" s="162">
        <f t="shared" si="14"/>
        <v>75035.47</v>
      </c>
      <c r="I104"/>
      <c r="J104" s="2084">
        <f t="shared" si="10"/>
        <v>0</v>
      </c>
      <c r="K104" s="2084">
        <f t="shared" si="10"/>
        <v>1</v>
      </c>
      <c r="L104"/>
      <c r="M104" s="162">
        <f t="shared" si="12"/>
        <v>0</v>
      </c>
      <c r="N104" s="162">
        <f t="shared" si="12"/>
        <v>0</v>
      </c>
    </row>
    <row r="105" spans="1:14">
      <c r="A105" s="2083" t="s">
        <v>2862</v>
      </c>
      <c r="B105" s="762" t="s">
        <v>2863</v>
      </c>
      <c r="C105" s="1665">
        <v>0</v>
      </c>
      <c r="D105" s="1665">
        <v>33798.6</v>
      </c>
      <c r="E105" s="1878">
        <f t="shared" si="11"/>
        <v>33798.6</v>
      </c>
      <c r="F105" s="60" t="s">
        <v>2825</v>
      </c>
      <c r="G105" s="162">
        <f t="shared" si="13"/>
        <v>0</v>
      </c>
      <c r="H105" s="162">
        <f t="shared" si="14"/>
        <v>33798.6</v>
      </c>
      <c r="I105"/>
      <c r="J105" s="2084">
        <f t="shared" si="10"/>
        <v>0</v>
      </c>
      <c r="K105" s="2084">
        <f t="shared" si="10"/>
        <v>1</v>
      </c>
      <c r="L105"/>
      <c r="M105" s="162">
        <f t="shared" si="12"/>
        <v>0</v>
      </c>
      <c r="N105" s="162">
        <f t="shared" si="12"/>
        <v>0</v>
      </c>
    </row>
    <row r="106" spans="1:14">
      <c r="A106" s="2083" t="s">
        <v>2864</v>
      </c>
      <c r="B106" s="762" t="s">
        <v>2865</v>
      </c>
      <c r="C106" s="1665">
        <v>0</v>
      </c>
      <c r="D106" s="1665">
        <v>2536440.8299999996</v>
      </c>
      <c r="E106" s="1878">
        <f t="shared" si="11"/>
        <v>2536440.8299999996</v>
      </c>
      <c r="F106" s="60" t="s">
        <v>2825</v>
      </c>
      <c r="G106" s="162">
        <f t="shared" si="13"/>
        <v>0</v>
      </c>
      <c r="H106" s="162">
        <f t="shared" si="14"/>
        <v>2536440.8299999996</v>
      </c>
      <c r="I106"/>
      <c r="J106" s="2084">
        <f t="shared" si="10"/>
        <v>0</v>
      </c>
      <c r="K106" s="2084">
        <f t="shared" si="10"/>
        <v>1</v>
      </c>
      <c r="L106"/>
      <c r="M106" s="162">
        <f t="shared" si="12"/>
        <v>0</v>
      </c>
      <c r="N106" s="162">
        <f t="shared" si="12"/>
        <v>0</v>
      </c>
    </row>
    <row r="107" spans="1:14">
      <c r="A107" s="2083" t="s">
        <v>2866</v>
      </c>
      <c r="B107" s="762" t="s">
        <v>2867</v>
      </c>
      <c r="C107" s="1665">
        <v>0</v>
      </c>
      <c r="D107" s="1665">
        <v>16327.49</v>
      </c>
      <c r="E107" s="1878">
        <f t="shared" si="11"/>
        <v>16327.49</v>
      </c>
      <c r="F107" s="60" t="s">
        <v>2825</v>
      </c>
      <c r="G107" s="162">
        <f t="shared" si="13"/>
        <v>0</v>
      </c>
      <c r="H107" s="162">
        <f t="shared" si="14"/>
        <v>16327.49</v>
      </c>
      <c r="I107"/>
      <c r="J107" s="2084">
        <f t="shared" si="10"/>
        <v>0</v>
      </c>
      <c r="K107" s="2084">
        <f t="shared" si="10"/>
        <v>1</v>
      </c>
      <c r="L107"/>
      <c r="M107" s="162">
        <f t="shared" si="12"/>
        <v>0</v>
      </c>
      <c r="N107" s="162">
        <f t="shared" si="12"/>
        <v>0</v>
      </c>
    </row>
    <row r="108" spans="1:14">
      <c r="A108" s="2083" t="s">
        <v>2868</v>
      </c>
      <c r="B108" s="762" t="s">
        <v>2869</v>
      </c>
      <c r="C108" s="1665">
        <v>0</v>
      </c>
      <c r="D108" s="1665">
        <v>1010880.54</v>
      </c>
      <c r="E108" s="1878">
        <f t="shared" si="11"/>
        <v>1010880.54</v>
      </c>
      <c r="F108" s="60" t="s">
        <v>2825</v>
      </c>
      <c r="G108" s="162">
        <f t="shared" si="13"/>
        <v>0</v>
      </c>
      <c r="H108" s="162">
        <f t="shared" si="14"/>
        <v>1010880.54</v>
      </c>
      <c r="I108"/>
      <c r="J108" s="2084">
        <f t="shared" si="10"/>
        <v>0</v>
      </c>
      <c r="K108" s="2084">
        <f t="shared" si="10"/>
        <v>1</v>
      </c>
      <c r="L108"/>
      <c r="M108" s="162">
        <f t="shared" si="12"/>
        <v>0</v>
      </c>
      <c r="N108" s="162">
        <f t="shared" si="12"/>
        <v>0</v>
      </c>
    </row>
    <row r="109" spans="1:14">
      <c r="A109" s="2083" t="s">
        <v>2870</v>
      </c>
      <c r="B109" s="762" t="s">
        <v>2871</v>
      </c>
      <c r="C109" s="1665">
        <v>0</v>
      </c>
      <c r="D109" s="1665">
        <v>4528314.8499999987</v>
      </c>
      <c r="E109" s="1878">
        <f t="shared" si="11"/>
        <v>4528314.8499999987</v>
      </c>
      <c r="F109" s="60" t="s">
        <v>2825</v>
      </c>
      <c r="G109" s="162">
        <f t="shared" si="13"/>
        <v>0</v>
      </c>
      <c r="H109" s="162">
        <f t="shared" si="14"/>
        <v>4528314.8499999987</v>
      </c>
      <c r="I109"/>
      <c r="J109" s="2084">
        <f t="shared" si="10"/>
        <v>0</v>
      </c>
      <c r="K109" s="2084">
        <f t="shared" si="10"/>
        <v>1</v>
      </c>
      <c r="L109"/>
      <c r="M109" s="162">
        <f t="shared" si="12"/>
        <v>0</v>
      </c>
      <c r="N109" s="162">
        <f t="shared" si="12"/>
        <v>0</v>
      </c>
    </row>
    <row r="110" spans="1:14">
      <c r="A110" s="2083" t="s">
        <v>2872</v>
      </c>
      <c r="B110" s="762" t="s">
        <v>2873</v>
      </c>
      <c r="C110" s="1665">
        <v>7705538.3500000006</v>
      </c>
      <c r="D110" s="1665">
        <v>2445340.3499999996</v>
      </c>
      <c r="E110" s="1878">
        <f t="shared" si="11"/>
        <v>10150878.699999999</v>
      </c>
      <c r="F110" s="60" t="s">
        <v>2825</v>
      </c>
      <c r="G110" s="162">
        <f t="shared" si="13"/>
        <v>0</v>
      </c>
      <c r="H110" s="162">
        <f t="shared" si="14"/>
        <v>10150878.699999999</v>
      </c>
      <c r="I110"/>
      <c r="J110" s="2084">
        <f t="shared" si="10"/>
        <v>0.75910062347607421</v>
      </c>
      <c r="K110" s="2084">
        <f t="shared" si="10"/>
        <v>0.24089937652392593</v>
      </c>
      <c r="L110"/>
      <c r="M110" s="162">
        <f t="shared" si="12"/>
        <v>0</v>
      </c>
      <c r="N110" s="162">
        <f t="shared" si="12"/>
        <v>0</v>
      </c>
    </row>
    <row r="111" spans="1:14">
      <c r="A111" s="2083" t="s">
        <v>2874</v>
      </c>
      <c r="B111" s="762" t="s">
        <v>2875</v>
      </c>
      <c r="C111" s="1665">
        <v>0</v>
      </c>
      <c r="D111" s="1665">
        <v>435586.27</v>
      </c>
      <c r="E111" s="1878">
        <f t="shared" si="11"/>
        <v>435586.27</v>
      </c>
      <c r="F111" s="60" t="s">
        <v>2825</v>
      </c>
      <c r="G111" s="162">
        <f t="shared" si="13"/>
        <v>0</v>
      </c>
      <c r="H111" s="162">
        <f t="shared" si="14"/>
        <v>435586.27</v>
      </c>
      <c r="I111"/>
      <c r="J111" s="2084">
        <f t="shared" si="10"/>
        <v>0</v>
      </c>
      <c r="K111" s="2084">
        <f t="shared" si="10"/>
        <v>1</v>
      </c>
      <c r="L111"/>
      <c r="M111" s="162">
        <f t="shared" si="12"/>
        <v>0</v>
      </c>
      <c r="N111" s="162">
        <f t="shared" si="12"/>
        <v>0</v>
      </c>
    </row>
    <row r="112" spans="1:14">
      <c r="A112" s="2083" t="s">
        <v>2876</v>
      </c>
      <c r="B112" s="762" t="s">
        <v>2877</v>
      </c>
      <c r="C112" s="1665">
        <v>69048.89</v>
      </c>
      <c r="D112" s="1665">
        <v>282916.07</v>
      </c>
      <c r="E112" s="1878">
        <f t="shared" si="11"/>
        <v>351964.96</v>
      </c>
      <c r="F112" s="60" t="s">
        <v>2825</v>
      </c>
      <c r="G112" s="162">
        <f t="shared" si="13"/>
        <v>0</v>
      </c>
      <c r="H112" s="162">
        <f t="shared" si="14"/>
        <v>351964.96</v>
      </c>
      <c r="I112"/>
      <c r="J112" s="2084">
        <f t="shared" si="10"/>
        <v>0.19618114825975858</v>
      </c>
      <c r="K112" s="2084">
        <f t="shared" si="10"/>
        <v>0.80381885174024137</v>
      </c>
      <c r="L112"/>
      <c r="M112" s="162">
        <f t="shared" si="12"/>
        <v>0</v>
      </c>
      <c r="N112" s="162">
        <f t="shared" si="12"/>
        <v>0</v>
      </c>
    </row>
    <row r="113" spans="1:14">
      <c r="A113" s="2083" t="s">
        <v>2878</v>
      </c>
      <c r="B113" s="762" t="s">
        <v>2879</v>
      </c>
      <c r="C113" s="1665">
        <v>10154.950000000001</v>
      </c>
      <c r="D113" s="1665">
        <v>3647553.2200000011</v>
      </c>
      <c r="E113" s="1878">
        <f t="shared" si="11"/>
        <v>3657708.1700000013</v>
      </c>
      <c r="F113" s="60" t="s">
        <v>2825</v>
      </c>
      <c r="G113" s="162">
        <f t="shared" si="13"/>
        <v>0</v>
      </c>
      <c r="H113" s="162">
        <f t="shared" si="14"/>
        <v>3657708.1700000013</v>
      </c>
      <c r="I113"/>
      <c r="J113" s="2084">
        <f t="shared" si="10"/>
        <v>2.7763149841448388E-3</v>
      </c>
      <c r="K113" s="2084">
        <f t="shared" si="10"/>
        <v>0.99722368501585512</v>
      </c>
      <c r="L113"/>
      <c r="M113" s="162">
        <f t="shared" si="12"/>
        <v>0</v>
      </c>
      <c r="N113" s="162">
        <f t="shared" si="12"/>
        <v>0</v>
      </c>
    </row>
    <row r="114" spans="1:14">
      <c r="A114" s="2083" t="s">
        <v>2880</v>
      </c>
      <c r="B114" s="762" t="s">
        <v>2881</v>
      </c>
      <c r="C114" s="1665">
        <v>0</v>
      </c>
      <c r="D114" s="1665">
        <v>1851001.5900000003</v>
      </c>
      <c r="E114" s="1878">
        <f t="shared" si="11"/>
        <v>1851001.5900000003</v>
      </c>
      <c r="F114" s="60" t="s">
        <v>2825</v>
      </c>
      <c r="G114" s="162">
        <f t="shared" si="13"/>
        <v>0</v>
      </c>
      <c r="H114" s="162">
        <f t="shared" si="14"/>
        <v>1851001.5900000003</v>
      </c>
      <c r="I114"/>
      <c r="J114" s="2084">
        <f t="shared" si="10"/>
        <v>0</v>
      </c>
      <c r="K114" s="2084">
        <f t="shared" si="10"/>
        <v>1</v>
      </c>
      <c r="L114"/>
      <c r="M114" s="162">
        <f t="shared" si="12"/>
        <v>0</v>
      </c>
      <c r="N114" s="162">
        <f t="shared" si="12"/>
        <v>0</v>
      </c>
    </row>
    <row r="115" spans="1:14">
      <c r="A115" s="2083" t="s">
        <v>9378</v>
      </c>
      <c r="B115" s="762" t="s">
        <v>9379</v>
      </c>
      <c r="C115" s="1665">
        <v>0</v>
      </c>
      <c r="D115" s="1665">
        <v>14699692.630000001</v>
      </c>
      <c r="E115" s="1878">
        <f t="shared" si="11"/>
        <v>14699692.630000001</v>
      </c>
      <c r="F115" s="60" t="s">
        <v>2825</v>
      </c>
      <c r="G115" s="162">
        <f t="shared" si="13"/>
        <v>0</v>
      </c>
      <c r="H115" s="162">
        <f t="shared" si="14"/>
        <v>14699692.630000001</v>
      </c>
      <c r="I115"/>
      <c r="J115" s="2084">
        <f t="shared" si="10"/>
        <v>0</v>
      </c>
      <c r="K115" s="2084">
        <f t="shared" si="10"/>
        <v>1</v>
      </c>
      <c r="L115"/>
      <c r="M115" s="162">
        <f t="shared" si="12"/>
        <v>0</v>
      </c>
      <c r="N115" s="162">
        <f t="shared" si="12"/>
        <v>0</v>
      </c>
    </row>
    <row r="116" spans="1:14">
      <c r="A116" s="2083" t="s">
        <v>2882</v>
      </c>
      <c r="B116" s="762" t="s">
        <v>2883</v>
      </c>
      <c r="C116" s="1665">
        <v>0</v>
      </c>
      <c r="D116" s="1665">
        <v>24917979.140000001</v>
      </c>
      <c r="E116" s="1878">
        <f t="shared" si="11"/>
        <v>24917979.140000001</v>
      </c>
      <c r="F116" s="60" t="s">
        <v>2825</v>
      </c>
      <c r="G116" s="162">
        <f t="shared" si="13"/>
        <v>0</v>
      </c>
      <c r="H116" s="162">
        <f t="shared" si="14"/>
        <v>24917979.140000001</v>
      </c>
      <c r="I116"/>
      <c r="J116" s="2084">
        <f t="shared" si="10"/>
        <v>0</v>
      </c>
      <c r="K116" s="2084">
        <f t="shared" si="10"/>
        <v>1</v>
      </c>
      <c r="L116"/>
      <c r="M116" s="162">
        <f t="shared" si="12"/>
        <v>0</v>
      </c>
      <c r="N116" s="162">
        <f t="shared" si="12"/>
        <v>0</v>
      </c>
    </row>
    <row r="117" spans="1:14">
      <c r="A117" s="2083" t="s">
        <v>2884</v>
      </c>
      <c r="B117" s="762" t="s">
        <v>2885</v>
      </c>
      <c r="C117" s="1665">
        <v>1404424.18</v>
      </c>
      <c r="D117" s="1665">
        <v>1914439.7699999991</v>
      </c>
      <c r="E117" s="1878">
        <f t="shared" si="11"/>
        <v>3318863.9499999993</v>
      </c>
      <c r="F117" s="60" t="s">
        <v>2825</v>
      </c>
      <c r="G117" s="162">
        <f t="shared" si="13"/>
        <v>0</v>
      </c>
      <c r="H117" s="162">
        <f t="shared" si="14"/>
        <v>3318863.9499999993</v>
      </c>
      <c r="I117"/>
      <c r="J117" s="2084">
        <f t="shared" si="10"/>
        <v>0.42316413120821067</v>
      </c>
      <c r="K117" s="2084">
        <f t="shared" si="10"/>
        <v>0.57683586879178927</v>
      </c>
      <c r="L117"/>
      <c r="M117" s="162">
        <f t="shared" si="12"/>
        <v>0</v>
      </c>
      <c r="N117" s="162">
        <f t="shared" si="12"/>
        <v>0</v>
      </c>
    </row>
    <row r="118" spans="1:14">
      <c r="A118" s="2083" t="s">
        <v>2886</v>
      </c>
      <c r="B118" s="762" t="s">
        <v>2887</v>
      </c>
      <c r="C118" s="1665">
        <v>762062.03</v>
      </c>
      <c r="D118" s="1665">
        <v>1995344.63</v>
      </c>
      <c r="E118" s="1878">
        <f t="shared" si="11"/>
        <v>2757406.66</v>
      </c>
      <c r="F118" s="60" t="s">
        <v>2825</v>
      </c>
      <c r="G118" s="162">
        <f t="shared" si="13"/>
        <v>0</v>
      </c>
      <c r="H118" s="162">
        <f t="shared" si="14"/>
        <v>2757406.66</v>
      </c>
      <c r="I118"/>
      <c r="J118" s="2084">
        <f t="shared" si="10"/>
        <v>0.27636911198292385</v>
      </c>
      <c r="K118" s="2084">
        <f t="shared" si="10"/>
        <v>0.72363088801707609</v>
      </c>
      <c r="L118"/>
      <c r="M118" s="162">
        <f t="shared" si="12"/>
        <v>0</v>
      </c>
      <c r="N118" s="162">
        <f t="shared" si="12"/>
        <v>0</v>
      </c>
    </row>
    <row r="119" spans="1:14">
      <c r="A119" s="33"/>
      <c r="B119"/>
      <c r="C119" s="1666"/>
      <c r="D119" s="1666"/>
      <c r="E119" s="1666"/>
      <c r="F119" s="33"/>
      <c r="G119" s="162"/>
      <c r="H119" s="162"/>
      <c r="I119"/>
      <c r="J119" s="2084"/>
      <c r="K119" s="2084"/>
      <c r="L119"/>
      <c r="M119" s="162"/>
      <c r="N119" s="162"/>
    </row>
    <row r="120" spans="1:14" ht="15" thickBot="1">
      <c r="A120" s="33"/>
      <c r="B120" s="60" t="s">
        <v>2888</v>
      </c>
      <c r="C120" s="2085">
        <f>SUM(C86:C119)</f>
        <v>25731709.070000015</v>
      </c>
      <c r="D120" s="2085">
        <f>SUM(D86:D119)</f>
        <v>167634085.11999997</v>
      </c>
      <c r="E120" s="2085">
        <f>SUM(E86:E119)</f>
        <v>193365794.18999997</v>
      </c>
      <c r="F120" s="33"/>
      <c r="G120" s="2085">
        <f>SUM(G86:G119)</f>
        <v>484209.46400000009</v>
      </c>
      <c r="H120" s="2085">
        <f>SUM(H86:H119)</f>
        <v>192881584.72599998</v>
      </c>
      <c r="I120"/>
      <c r="J120" s="2084"/>
      <c r="K120" s="2084"/>
      <c r="L120"/>
      <c r="M120" s="2085">
        <f>SUM(M86:M119)</f>
        <v>478089.23650000006</v>
      </c>
      <c r="N120" s="2085">
        <f>SUM(N86:N119)</f>
        <v>6120.2275000000009</v>
      </c>
    </row>
    <row r="121" spans="1:14" ht="15" thickTop="1">
      <c r="A121" s="33"/>
      <c r="B121" s="60"/>
      <c r="C121" s="2086">
        <v>0</v>
      </c>
      <c r="D121" s="2086">
        <v>0</v>
      </c>
      <c r="E121" s="2086">
        <v>0</v>
      </c>
      <c r="F121" s="33"/>
      <c r="G121" s="2086"/>
      <c r="H121" s="2086"/>
      <c r="I121"/>
      <c r="J121" s="2084"/>
      <c r="K121" s="2084"/>
      <c r="L121"/>
      <c r="M121" s="2086"/>
      <c r="N121" s="2086"/>
    </row>
    <row r="122" spans="1:14">
      <c r="A122" s="33"/>
      <c r="B122"/>
      <c r="C122" s="1666"/>
      <c r="D122" s="1666"/>
      <c r="E122" s="1666"/>
      <c r="F122" s="33"/>
      <c r="G122"/>
      <c r="H122"/>
      <c r="I122"/>
      <c r="J122" s="2084"/>
      <c r="K122" s="2084"/>
      <c r="L122"/>
      <c r="M122"/>
      <c r="N122"/>
    </row>
    <row r="123" spans="1:14">
      <c r="A123" s="2083" t="s">
        <v>2889</v>
      </c>
      <c r="B123" s="762" t="s">
        <v>2890</v>
      </c>
      <c r="C123" s="1665">
        <v>4174468.9499999997</v>
      </c>
      <c r="D123" s="1665">
        <v>578102.62</v>
      </c>
      <c r="E123" s="1878">
        <f>SUM(C123:D123)</f>
        <v>4752571.5699999994</v>
      </c>
      <c r="F123" s="60" t="s">
        <v>2891</v>
      </c>
      <c r="G123" s="162">
        <f>$E123*50%</f>
        <v>2376285.7849999997</v>
      </c>
      <c r="H123" s="162">
        <f>$E123*50%</f>
        <v>2376285.7849999997</v>
      </c>
      <c r="I123"/>
      <c r="J123" s="2084">
        <f t="shared" si="10"/>
        <v>0.87836003908932192</v>
      </c>
      <c r="K123" s="2084">
        <f t="shared" si="10"/>
        <v>0.12163996091067811</v>
      </c>
      <c r="L123"/>
      <c r="M123" s="162">
        <f t="shared" ref="M123:N138" si="15">J123*$G123</f>
        <v>2087234.4749999999</v>
      </c>
      <c r="N123" s="162">
        <f t="shared" si="15"/>
        <v>289051.31</v>
      </c>
    </row>
    <row r="124" spans="1:14">
      <c r="A124" s="2083" t="s">
        <v>2892</v>
      </c>
      <c r="B124" s="762" t="s">
        <v>2893</v>
      </c>
      <c r="C124" s="1665">
        <v>0</v>
      </c>
      <c r="D124" s="1665">
        <v>95700.579999999987</v>
      </c>
      <c r="E124" s="1878">
        <f t="shared" ref="E124:E156" si="16">SUM(C124:D124)</f>
        <v>95700.579999999987</v>
      </c>
      <c r="F124" s="60" t="s">
        <v>2891</v>
      </c>
      <c r="G124" s="162">
        <f t="shared" ref="G124:H156" si="17">$E124*50%</f>
        <v>47850.289999999994</v>
      </c>
      <c r="H124" s="162">
        <f t="shared" si="17"/>
        <v>47850.289999999994</v>
      </c>
      <c r="I124"/>
      <c r="J124" s="2084">
        <f t="shared" ref="J124:K156" si="18">C124/$E124</f>
        <v>0</v>
      </c>
      <c r="K124" s="2084">
        <f t="shared" si="18"/>
        <v>1</v>
      </c>
      <c r="L124"/>
      <c r="M124" s="162">
        <f t="shared" si="15"/>
        <v>0</v>
      </c>
      <c r="N124" s="162">
        <f t="shared" si="15"/>
        <v>47850.289999999994</v>
      </c>
    </row>
    <row r="125" spans="1:14">
      <c r="A125" s="2083" t="s">
        <v>2894</v>
      </c>
      <c r="B125" s="762" t="s">
        <v>2895</v>
      </c>
      <c r="C125" s="1665">
        <v>2118030.8699999996</v>
      </c>
      <c r="D125" s="1665">
        <v>120314.94</v>
      </c>
      <c r="E125" s="1878">
        <f t="shared" si="16"/>
        <v>2238345.8099999996</v>
      </c>
      <c r="F125" s="60" t="s">
        <v>2891</v>
      </c>
      <c r="G125" s="162">
        <f t="shared" si="17"/>
        <v>1119172.9049999998</v>
      </c>
      <c r="H125" s="162">
        <f t="shared" si="17"/>
        <v>1119172.9049999998</v>
      </c>
      <c r="I125"/>
      <c r="J125" s="2084">
        <f t="shared" si="18"/>
        <v>0.94624827876797113</v>
      </c>
      <c r="K125" s="2084">
        <f t="shared" si="18"/>
        <v>5.3751721232028947E-2</v>
      </c>
      <c r="L125"/>
      <c r="M125" s="162">
        <f t="shared" si="15"/>
        <v>1059015.4349999998</v>
      </c>
      <c r="N125" s="162">
        <f t="shared" si="15"/>
        <v>60157.47</v>
      </c>
    </row>
    <row r="126" spans="1:14">
      <c r="A126" s="2083" t="s">
        <v>2896</v>
      </c>
      <c r="B126" s="762" t="s">
        <v>2897</v>
      </c>
      <c r="C126" s="1665">
        <v>396415.56</v>
      </c>
      <c r="D126" s="1665">
        <v>1797961.1900000004</v>
      </c>
      <c r="E126" s="1878">
        <f t="shared" si="16"/>
        <v>2194376.7500000005</v>
      </c>
      <c r="F126" s="60" t="s">
        <v>2891</v>
      </c>
      <c r="G126" s="162">
        <f t="shared" si="17"/>
        <v>1097188.3750000002</v>
      </c>
      <c r="H126" s="162">
        <f t="shared" si="17"/>
        <v>1097188.3750000002</v>
      </c>
      <c r="I126"/>
      <c r="J126" s="2084">
        <f t="shared" si="18"/>
        <v>0.18065063804563183</v>
      </c>
      <c r="K126" s="2084">
        <f t="shared" si="18"/>
        <v>0.81934936195436814</v>
      </c>
      <c r="L126"/>
      <c r="M126" s="162">
        <f t="shared" si="15"/>
        <v>198207.78</v>
      </c>
      <c r="N126" s="162">
        <f t="shared" si="15"/>
        <v>898980.5950000002</v>
      </c>
    </row>
    <row r="127" spans="1:14">
      <c r="A127" s="2083" t="s">
        <v>2898</v>
      </c>
      <c r="B127" s="762" t="s">
        <v>2899</v>
      </c>
      <c r="C127" s="1665">
        <v>1586419.3300000008</v>
      </c>
      <c r="D127" s="1665">
        <v>722043.98000000021</v>
      </c>
      <c r="E127" s="1878">
        <f t="shared" si="16"/>
        <v>2308463.310000001</v>
      </c>
      <c r="F127" s="60" t="s">
        <v>2891</v>
      </c>
      <c r="G127" s="162">
        <f t="shared" si="17"/>
        <v>1154231.6550000005</v>
      </c>
      <c r="H127" s="162">
        <f t="shared" si="17"/>
        <v>1154231.6550000005</v>
      </c>
      <c r="I127"/>
      <c r="J127" s="2084">
        <f t="shared" si="18"/>
        <v>0.68721877585310209</v>
      </c>
      <c r="K127" s="2084">
        <f t="shared" si="18"/>
        <v>0.31278122414689791</v>
      </c>
      <c r="L127"/>
      <c r="M127" s="162">
        <f t="shared" si="15"/>
        <v>793209.66500000039</v>
      </c>
      <c r="N127" s="162">
        <f t="shared" si="15"/>
        <v>361021.99000000011</v>
      </c>
    </row>
    <row r="128" spans="1:14">
      <c r="A128" s="2083" t="s">
        <v>2900</v>
      </c>
      <c r="B128" s="762" t="s">
        <v>2901</v>
      </c>
      <c r="C128" s="1665">
        <v>0</v>
      </c>
      <c r="D128" s="1665">
        <v>1201.6799999999998</v>
      </c>
      <c r="E128" s="1878">
        <f t="shared" si="16"/>
        <v>1201.6799999999998</v>
      </c>
      <c r="F128" s="60" t="s">
        <v>2891</v>
      </c>
      <c r="G128" s="162">
        <f t="shared" si="17"/>
        <v>600.83999999999992</v>
      </c>
      <c r="H128" s="162">
        <f t="shared" si="17"/>
        <v>600.83999999999992</v>
      </c>
      <c r="I128"/>
      <c r="J128" s="2084">
        <f t="shared" si="18"/>
        <v>0</v>
      </c>
      <c r="K128" s="2084">
        <f t="shared" si="18"/>
        <v>1</v>
      </c>
      <c r="L128"/>
      <c r="M128" s="162">
        <f t="shared" si="15"/>
        <v>0</v>
      </c>
      <c r="N128" s="162">
        <f t="shared" si="15"/>
        <v>600.83999999999992</v>
      </c>
    </row>
    <row r="129" spans="1:14">
      <c r="A129" s="2083" t="s">
        <v>2902</v>
      </c>
      <c r="B129" s="762" t="s">
        <v>2903</v>
      </c>
      <c r="C129" s="1665">
        <v>0</v>
      </c>
      <c r="D129" s="1665">
        <v>513347.63</v>
      </c>
      <c r="E129" s="1878">
        <f t="shared" si="16"/>
        <v>513347.63</v>
      </c>
      <c r="F129" s="60" t="s">
        <v>2891</v>
      </c>
      <c r="G129" s="162">
        <f t="shared" si="17"/>
        <v>256673.815</v>
      </c>
      <c r="H129" s="162">
        <f t="shared" si="17"/>
        <v>256673.815</v>
      </c>
      <c r="I129"/>
      <c r="J129" s="2084">
        <f t="shared" si="18"/>
        <v>0</v>
      </c>
      <c r="K129" s="2084">
        <f t="shared" si="18"/>
        <v>1</v>
      </c>
      <c r="L129"/>
      <c r="M129" s="162">
        <f t="shared" si="15"/>
        <v>0</v>
      </c>
      <c r="N129" s="162">
        <f t="shared" si="15"/>
        <v>256673.815</v>
      </c>
    </row>
    <row r="130" spans="1:14">
      <c r="A130" s="2083" t="s">
        <v>2904</v>
      </c>
      <c r="B130" s="762" t="s">
        <v>2905</v>
      </c>
      <c r="C130" s="1665">
        <v>0</v>
      </c>
      <c r="D130" s="1665">
        <v>364951.11000000004</v>
      </c>
      <c r="E130" s="1878">
        <f t="shared" si="16"/>
        <v>364951.11000000004</v>
      </c>
      <c r="F130" s="60" t="s">
        <v>2891</v>
      </c>
      <c r="G130" s="162">
        <f t="shared" si="17"/>
        <v>182475.55500000002</v>
      </c>
      <c r="H130" s="162">
        <f t="shared" si="17"/>
        <v>182475.55500000002</v>
      </c>
      <c r="I130"/>
      <c r="J130" s="2084">
        <f t="shared" si="18"/>
        <v>0</v>
      </c>
      <c r="K130" s="2084">
        <f t="shared" si="18"/>
        <v>1</v>
      </c>
      <c r="L130"/>
      <c r="M130" s="162">
        <f t="shared" si="15"/>
        <v>0</v>
      </c>
      <c r="N130" s="162">
        <f t="shared" si="15"/>
        <v>182475.55500000002</v>
      </c>
    </row>
    <row r="131" spans="1:14">
      <c r="A131" s="2083" t="s">
        <v>2906</v>
      </c>
      <c r="B131" s="762" t="s">
        <v>2907</v>
      </c>
      <c r="C131" s="1665">
        <v>5300.24</v>
      </c>
      <c r="D131" s="1665">
        <v>3790210.899999999</v>
      </c>
      <c r="E131" s="1878">
        <f t="shared" si="16"/>
        <v>3795511.1399999992</v>
      </c>
      <c r="F131" s="60" t="s">
        <v>2891</v>
      </c>
      <c r="G131" s="162">
        <f t="shared" si="17"/>
        <v>1897755.5699999996</v>
      </c>
      <c r="H131" s="162">
        <f t="shared" si="17"/>
        <v>1897755.5699999996</v>
      </c>
      <c r="I131"/>
      <c r="J131" s="2084">
        <f t="shared" si="18"/>
        <v>1.3964495965094179E-3</v>
      </c>
      <c r="K131" s="2084">
        <f t="shared" si="18"/>
        <v>0.99860355040349047</v>
      </c>
      <c r="L131"/>
      <c r="M131" s="162">
        <f t="shared" si="15"/>
        <v>2650.12</v>
      </c>
      <c r="N131" s="162">
        <f t="shared" si="15"/>
        <v>1895105.4499999995</v>
      </c>
    </row>
    <row r="132" spans="1:14">
      <c r="A132" s="2083" t="s">
        <v>2908</v>
      </c>
      <c r="B132" s="762" t="s">
        <v>2909</v>
      </c>
      <c r="C132" s="1665">
        <v>1494894.7799999998</v>
      </c>
      <c r="D132" s="1665">
        <v>9420768.4200000037</v>
      </c>
      <c r="E132" s="1878">
        <f t="shared" si="16"/>
        <v>10915663.200000003</v>
      </c>
      <c r="F132" s="60" t="s">
        <v>2891</v>
      </c>
      <c r="G132" s="162">
        <f t="shared" si="17"/>
        <v>5457831.6000000015</v>
      </c>
      <c r="H132" s="162">
        <f t="shared" si="17"/>
        <v>5457831.6000000015</v>
      </c>
      <c r="I132"/>
      <c r="J132" s="2084">
        <f t="shared" si="18"/>
        <v>0.13694951489525614</v>
      </c>
      <c r="K132" s="2084">
        <f t="shared" si="18"/>
        <v>0.86305048510474391</v>
      </c>
      <c r="L132"/>
      <c r="M132" s="162">
        <f t="shared" si="15"/>
        <v>747447.3899999999</v>
      </c>
      <c r="N132" s="162">
        <f t="shared" si="15"/>
        <v>4710384.2100000018</v>
      </c>
    </row>
    <row r="133" spans="1:14">
      <c r="A133" s="2083" t="s">
        <v>2910</v>
      </c>
      <c r="B133" s="762" t="s">
        <v>2911</v>
      </c>
      <c r="C133" s="1665">
        <v>0</v>
      </c>
      <c r="D133" s="1665">
        <v>2070426.23</v>
      </c>
      <c r="E133" s="1878">
        <f t="shared" si="16"/>
        <v>2070426.23</v>
      </c>
      <c r="F133" s="60" t="s">
        <v>2891</v>
      </c>
      <c r="G133" s="162">
        <f t="shared" si="17"/>
        <v>1035213.115</v>
      </c>
      <c r="H133" s="162">
        <f t="shared" si="17"/>
        <v>1035213.115</v>
      </c>
      <c r="I133"/>
      <c r="J133" s="2084">
        <f t="shared" si="18"/>
        <v>0</v>
      </c>
      <c r="K133" s="2084">
        <f t="shared" si="18"/>
        <v>1</v>
      </c>
      <c r="L133"/>
      <c r="M133" s="162">
        <f t="shared" si="15"/>
        <v>0</v>
      </c>
      <c r="N133" s="162">
        <f t="shared" si="15"/>
        <v>1035213.115</v>
      </c>
    </row>
    <row r="134" spans="1:14">
      <c r="A134" s="2083" t="s">
        <v>2912</v>
      </c>
      <c r="B134" s="762" t="s">
        <v>2913</v>
      </c>
      <c r="C134" s="1665">
        <v>0</v>
      </c>
      <c r="D134" s="1665">
        <v>10025.290000000001</v>
      </c>
      <c r="E134" s="1878">
        <f t="shared" si="16"/>
        <v>10025.290000000001</v>
      </c>
      <c r="F134" s="60" t="s">
        <v>2891</v>
      </c>
      <c r="G134" s="162">
        <f t="shared" si="17"/>
        <v>5012.6450000000004</v>
      </c>
      <c r="H134" s="162">
        <f t="shared" si="17"/>
        <v>5012.6450000000004</v>
      </c>
      <c r="I134"/>
      <c r="J134" s="2084">
        <f t="shared" si="18"/>
        <v>0</v>
      </c>
      <c r="K134" s="2084">
        <f t="shared" si="18"/>
        <v>1</v>
      </c>
      <c r="L134"/>
      <c r="M134" s="162">
        <f t="shared" si="15"/>
        <v>0</v>
      </c>
      <c r="N134" s="162">
        <f t="shared" si="15"/>
        <v>5012.6450000000004</v>
      </c>
    </row>
    <row r="135" spans="1:14">
      <c r="A135" s="2083" t="s">
        <v>2914</v>
      </c>
      <c r="B135" s="762" t="s">
        <v>2915</v>
      </c>
      <c r="C135" s="1665">
        <v>0</v>
      </c>
      <c r="D135" s="1665">
        <v>9310616.5600000005</v>
      </c>
      <c r="E135" s="1878">
        <f t="shared" si="16"/>
        <v>9310616.5600000005</v>
      </c>
      <c r="F135" s="60" t="s">
        <v>2891</v>
      </c>
      <c r="G135" s="162">
        <f t="shared" si="17"/>
        <v>4655308.28</v>
      </c>
      <c r="H135" s="162">
        <f t="shared" si="17"/>
        <v>4655308.28</v>
      </c>
      <c r="I135"/>
      <c r="J135" s="2084">
        <f t="shared" si="18"/>
        <v>0</v>
      </c>
      <c r="K135" s="2084">
        <f t="shared" si="18"/>
        <v>1</v>
      </c>
      <c r="L135"/>
      <c r="M135" s="162">
        <f t="shared" si="15"/>
        <v>0</v>
      </c>
      <c r="N135" s="162">
        <f t="shared" si="15"/>
        <v>4655308.28</v>
      </c>
    </row>
    <row r="136" spans="1:14">
      <c r="A136" s="2083" t="s">
        <v>2916</v>
      </c>
      <c r="B136" s="762" t="s">
        <v>2917</v>
      </c>
      <c r="C136" s="1665">
        <v>0</v>
      </c>
      <c r="D136" s="1665">
        <v>5893441.9999999991</v>
      </c>
      <c r="E136" s="1878">
        <f t="shared" si="16"/>
        <v>5893441.9999999991</v>
      </c>
      <c r="F136" s="60" t="s">
        <v>2891</v>
      </c>
      <c r="G136" s="162">
        <f t="shared" si="17"/>
        <v>2946720.9999999995</v>
      </c>
      <c r="H136" s="162">
        <f t="shared" si="17"/>
        <v>2946720.9999999995</v>
      </c>
      <c r="I136"/>
      <c r="J136" s="2084">
        <f t="shared" si="18"/>
        <v>0</v>
      </c>
      <c r="K136" s="2084">
        <f t="shared" si="18"/>
        <v>1</v>
      </c>
      <c r="L136"/>
      <c r="M136" s="162">
        <f t="shared" si="15"/>
        <v>0</v>
      </c>
      <c r="N136" s="162">
        <f t="shared" si="15"/>
        <v>2946720.9999999995</v>
      </c>
    </row>
    <row r="137" spans="1:14">
      <c r="A137" s="2083" t="s">
        <v>2918</v>
      </c>
      <c r="B137" s="762" t="s">
        <v>2919</v>
      </c>
      <c r="C137" s="1665">
        <v>0</v>
      </c>
      <c r="D137" s="1665">
        <v>42266.99</v>
      </c>
      <c r="E137" s="1878">
        <f t="shared" si="16"/>
        <v>42266.99</v>
      </c>
      <c r="F137" s="60" t="s">
        <v>2891</v>
      </c>
      <c r="G137" s="162">
        <f t="shared" si="17"/>
        <v>21133.494999999999</v>
      </c>
      <c r="H137" s="162">
        <f t="shared" si="17"/>
        <v>21133.494999999999</v>
      </c>
      <c r="I137"/>
      <c r="J137" s="2084">
        <f t="shared" si="18"/>
        <v>0</v>
      </c>
      <c r="K137" s="2084">
        <f t="shared" si="18"/>
        <v>1</v>
      </c>
      <c r="L137"/>
      <c r="M137" s="162">
        <f t="shared" si="15"/>
        <v>0</v>
      </c>
      <c r="N137" s="162">
        <f t="shared" si="15"/>
        <v>21133.494999999999</v>
      </c>
    </row>
    <row r="138" spans="1:14">
      <c r="A138" s="2083" t="s">
        <v>2920</v>
      </c>
      <c r="B138" s="762" t="s">
        <v>2921</v>
      </c>
      <c r="C138" s="1665">
        <v>1281996.2800000003</v>
      </c>
      <c r="D138" s="1665">
        <v>97482.65</v>
      </c>
      <c r="E138" s="1878">
        <f t="shared" si="16"/>
        <v>1379478.9300000002</v>
      </c>
      <c r="F138" s="60" t="s">
        <v>2891</v>
      </c>
      <c r="G138" s="162">
        <f t="shared" si="17"/>
        <v>689739.46500000008</v>
      </c>
      <c r="H138" s="162">
        <f t="shared" si="17"/>
        <v>689739.46500000008</v>
      </c>
      <c r="I138"/>
      <c r="J138" s="2084">
        <f t="shared" si="18"/>
        <v>0.92933371588357649</v>
      </c>
      <c r="K138" s="2084">
        <f t="shared" si="18"/>
        <v>7.0666284116423575E-2</v>
      </c>
      <c r="L138"/>
      <c r="M138" s="162">
        <f t="shared" si="15"/>
        <v>640998.14000000013</v>
      </c>
      <c r="N138" s="162">
        <f t="shared" si="15"/>
        <v>48741.324999999997</v>
      </c>
    </row>
    <row r="139" spans="1:14">
      <c r="A139" s="2083" t="s">
        <v>2922</v>
      </c>
      <c r="B139" s="762" t="s">
        <v>2923</v>
      </c>
      <c r="C139" s="1665">
        <v>0</v>
      </c>
      <c r="D139" s="1665">
        <v>300662.37</v>
      </c>
      <c r="E139" s="1878">
        <f t="shared" si="16"/>
        <v>300662.37</v>
      </c>
      <c r="F139" s="60" t="s">
        <v>2891</v>
      </c>
      <c r="G139" s="162">
        <f t="shared" si="17"/>
        <v>150331.185</v>
      </c>
      <c r="H139" s="162">
        <f t="shared" si="17"/>
        <v>150331.185</v>
      </c>
      <c r="I139"/>
      <c r="J139" s="2084">
        <f t="shared" si="18"/>
        <v>0</v>
      </c>
      <c r="K139" s="2084">
        <f t="shared" si="18"/>
        <v>1</v>
      </c>
      <c r="L139"/>
      <c r="M139" s="162">
        <f t="shared" ref="M139:N156" si="19">J139*$G139</f>
        <v>0</v>
      </c>
      <c r="N139" s="162">
        <f t="shared" si="19"/>
        <v>150331.185</v>
      </c>
    </row>
    <row r="140" spans="1:14">
      <c r="A140" s="2083" t="s">
        <v>9380</v>
      </c>
      <c r="B140" s="762" t="s">
        <v>9381</v>
      </c>
      <c r="C140" s="1665">
        <v>0</v>
      </c>
      <c r="D140" s="1665">
        <v>98168.94</v>
      </c>
      <c r="E140" s="1878">
        <f t="shared" si="16"/>
        <v>98168.94</v>
      </c>
      <c r="F140" s="60" t="s">
        <v>2891</v>
      </c>
      <c r="G140" s="162">
        <f t="shared" si="17"/>
        <v>49084.47</v>
      </c>
      <c r="H140" s="162">
        <f t="shared" si="17"/>
        <v>49084.47</v>
      </c>
      <c r="I140"/>
      <c r="J140" s="2084">
        <f t="shared" si="18"/>
        <v>0</v>
      </c>
      <c r="K140" s="2084">
        <f t="shared" si="18"/>
        <v>1</v>
      </c>
      <c r="L140"/>
      <c r="M140" s="162">
        <f t="shared" si="19"/>
        <v>0</v>
      </c>
      <c r="N140" s="162">
        <f t="shared" si="19"/>
        <v>49084.47</v>
      </c>
    </row>
    <row r="141" spans="1:14">
      <c r="A141" s="2083" t="s">
        <v>2924</v>
      </c>
      <c r="B141" s="762" t="s">
        <v>2925</v>
      </c>
      <c r="C141" s="1665">
        <v>0</v>
      </c>
      <c r="D141" s="1665">
        <v>90440.540000000008</v>
      </c>
      <c r="E141" s="1878">
        <f t="shared" si="16"/>
        <v>90440.540000000008</v>
      </c>
      <c r="F141" s="60" t="s">
        <v>2891</v>
      </c>
      <c r="G141" s="162">
        <f t="shared" si="17"/>
        <v>45220.270000000004</v>
      </c>
      <c r="H141" s="162">
        <f t="shared" si="17"/>
        <v>45220.270000000004</v>
      </c>
      <c r="I141"/>
      <c r="J141" s="2084">
        <f t="shared" si="18"/>
        <v>0</v>
      </c>
      <c r="K141" s="2084">
        <f t="shared" si="18"/>
        <v>1</v>
      </c>
      <c r="L141"/>
      <c r="M141" s="162">
        <f t="shared" si="19"/>
        <v>0</v>
      </c>
      <c r="N141" s="162">
        <f t="shared" si="19"/>
        <v>45220.270000000004</v>
      </c>
    </row>
    <row r="142" spans="1:14">
      <c r="A142" s="2083" t="s">
        <v>2926</v>
      </c>
      <c r="B142" s="762" t="s">
        <v>2927</v>
      </c>
      <c r="C142" s="1665">
        <v>3038301.79</v>
      </c>
      <c r="D142" s="1665">
        <v>53831.55</v>
      </c>
      <c r="E142" s="1878">
        <f t="shared" si="16"/>
        <v>3092133.34</v>
      </c>
      <c r="F142" s="60" t="s">
        <v>2891</v>
      </c>
      <c r="G142" s="162">
        <f t="shared" si="17"/>
        <v>1546066.67</v>
      </c>
      <c r="H142" s="162">
        <f t="shared" si="17"/>
        <v>1546066.67</v>
      </c>
      <c r="I142"/>
      <c r="J142" s="2084">
        <f t="shared" si="18"/>
        <v>0.98259080573802171</v>
      </c>
      <c r="K142" s="2084">
        <f t="shared" si="18"/>
        <v>1.7409194261978369E-2</v>
      </c>
      <c r="L142"/>
      <c r="M142" s="162">
        <f t="shared" si="19"/>
        <v>1519150.895</v>
      </c>
      <c r="N142" s="162">
        <f t="shared" si="19"/>
        <v>26915.775000000001</v>
      </c>
    </row>
    <row r="143" spans="1:14">
      <c r="A143" s="2083" t="s">
        <v>2928</v>
      </c>
      <c r="B143" s="762" t="s">
        <v>2929</v>
      </c>
      <c r="C143" s="1665">
        <v>15359635.449999999</v>
      </c>
      <c r="D143" s="1665">
        <v>6604795.2600000063</v>
      </c>
      <c r="E143" s="1878">
        <f t="shared" si="16"/>
        <v>21964430.710000005</v>
      </c>
      <c r="F143" s="60" t="s">
        <v>2891</v>
      </c>
      <c r="G143" s="162">
        <f t="shared" si="17"/>
        <v>10982215.355000002</v>
      </c>
      <c r="H143" s="162">
        <f t="shared" si="17"/>
        <v>10982215.355000002</v>
      </c>
      <c r="I143"/>
      <c r="J143" s="2084">
        <f t="shared" si="18"/>
        <v>0.69929585941906691</v>
      </c>
      <c r="K143" s="2084">
        <f t="shared" si="18"/>
        <v>0.30070414058093314</v>
      </c>
      <c r="L143"/>
      <c r="M143" s="162">
        <f t="shared" si="19"/>
        <v>7679817.7249999996</v>
      </c>
      <c r="N143" s="162">
        <f t="shared" si="19"/>
        <v>3302397.6300000031</v>
      </c>
    </row>
    <row r="144" spans="1:14">
      <c r="A144" s="2083" t="s">
        <v>2930</v>
      </c>
      <c r="B144" s="762" t="s">
        <v>2931</v>
      </c>
      <c r="C144" s="1665">
        <v>0</v>
      </c>
      <c r="D144" s="1665">
        <v>51617.15</v>
      </c>
      <c r="E144" s="1878">
        <f t="shared" si="16"/>
        <v>51617.15</v>
      </c>
      <c r="F144" s="60" t="s">
        <v>2891</v>
      </c>
      <c r="G144" s="162">
        <f t="shared" si="17"/>
        <v>25808.575000000001</v>
      </c>
      <c r="H144" s="162">
        <f t="shared" si="17"/>
        <v>25808.575000000001</v>
      </c>
      <c r="I144"/>
      <c r="J144" s="2084">
        <f t="shared" si="18"/>
        <v>0</v>
      </c>
      <c r="K144" s="2084">
        <f t="shared" si="18"/>
        <v>1</v>
      </c>
      <c r="L144"/>
      <c r="M144" s="162">
        <f t="shared" si="19"/>
        <v>0</v>
      </c>
      <c r="N144" s="162">
        <f t="shared" si="19"/>
        <v>25808.575000000001</v>
      </c>
    </row>
    <row r="145" spans="1:14">
      <c r="A145" s="2083" t="s">
        <v>2932</v>
      </c>
      <c r="B145" s="762" t="s">
        <v>2933</v>
      </c>
      <c r="C145" s="1665">
        <v>87173.48</v>
      </c>
      <c r="D145" s="1665">
        <v>1602644</v>
      </c>
      <c r="E145" s="1878">
        <f t="shared" si="16"/>
        <v>1689817.48</v>
      </c>
      <c r="F145" s="60" t="s">
        <v>2891</v>
      </c>
      <c r="G145" s="162">
        <f t="shared" si="17"/>
        <v>844908.74</v>
      </c>
      <c r="H145" s="162">
        <f t="shared" si="17"/>
        <v>844908.74</v>
      </c>
      <c r="I145"/>
      <c r="J145" s="2084">
        <f t="shared" si="18"/>
        <v>5.1587512279728576E-2</v>
      </c>
      <c r="K145" s="2084">
        <f t="shared" si="18"/>
        <v>0.94841248772027142</v>
      </c>
      <c r="L145"/>
      <c r="M145" s="162">
        <f t="shared" si="19"/>
        <v>43586.74</v>
      </c>
      <c r="N145" s="162">
        <f t="shared" si="19"/>
        <v>801322</v>
      </c>
    </row>
    <row r="146" spans="1:14">
      <c r="A146" s="2083" t="s">
        <v>2934</v>
      </c>
      <c r="B146" s="762" t="s">
        <v>2935</v>
      </c>
      <c r="C146" s="1665">
        <v>70616.55</v>
      </c>
      <c r="D146" s="1665">
        <v>10854878.209999993</v>
      </c>
      <c r="E146" s="1878">
        <f t="shared" si="16"/>
        <v>10925494.759999994</v>
      </c>
      <c r="F146" s="60" t="s">
        <v>2891</v>
      </c>
      <c r="G146" s="162">
        <f t="shared" si="17"/>
        <v>5462747.3799999971</v>
      </c>
      <c r="H146" s="162">
        <f t="shared" si="17"/>
        <v>5462747.3799999971</v>
      </c>
      <c r="I146"/>
      <c r="J146" s="2084">
        <f t="shared" si="18"/>
        <v>6.4634647264248963E-3</v>
      </c>
      <c r="K146" s="2084">
        <f t="shared" si="18"/>
        <v>0.99353653527357499</v>
      </c>
      <c r="L146"/>
      <c r="M146" s="162">
        <f t="shared" si="19"/>
        <v>35308.275000000001</v>
      </c>
      <c r="N146" s="162">
        <f t="shared" si="19"/>
        <v>5427439.1049999967</v>
      </c>
    </row>
    <row r="147" spans="1:14">
      <c r="A147" s="2083" t="s">
        <v>2936</v>
      </c>
      <c r="B147" s="762" t="s">
        <v>2937</v>
      </c>
      <c r="C147" s="1665">
        <v>480916.97000000003</v>
      </c>
      <c r="D147" s="1665">
        <v>5192268.3099999996</v>
      </c>
      <c r="E147" s="1878">
        <f t="shared" si="16"/>
        <v>5673185.2799999993</v>
      </c>
      <c r="F147" s="60" t="s">
        <v>2891</v>
      </c>
      <c r="G147" s="162">
        <f t="shared" si="17"/>
        <v>2836592.6399999997</v>
      </c>
      <c r="H147" s="162">
        <f t="shared" si="17"/>
        <v>2836592.6399999997</v>
      </c>
      <c r="I147"/>
      <c r="J147" s="2084">
        <f t="shared" si="18"/>
        <v>8.4770185753566665E-2</v>
      </c>
      <c r="K147" s="2084">
        <f t="shared" si="18"/>
        <v>0.91522981424643335</v>
      </c>
      <c r="L147"/>
      <c r="M147" s="162">
        <f t="shared" si="19"/>
        <v>240458.48500000002</v>
      </c>
      <c r="N147" s="162">
        <f t="shared" si="19"/>
        <v>2596134.1549999998</v>
      </c>
    </row>
    <row r="148" spans="1:14">
      <c r="A148" s="2083" t="s">
        <v>2938</v>
      </c>
      <c r="B148" s="762" t="s">
        <v>2939</v>
      </c>
      <c r="C148" s="1665">
        <v>572452.01999999979</v>
      </c>
      <c r="D148" s="1665">
        <v>12371940.540000001</v>
      </c>
      <c r="E148" s="1878">
        <f t="shared" si="16"/>
        <v>12944392.560000001</v>
      </c>
      <c r="F148" s="60" t="s">
        <v>2891</v>
      </c>
      <c r="G148" s="162">
        <f t="shared" si="17"/>
        <v>6472196.2800000003</v>
      </c>
      <c r="H148" s="162">
        <f t="shared" si="17"/>
        <v>6472196.2800000003</v>
      </c>
      <c r="I148"/>
      <c r="J148" s="2084">
        <f t="shared" si="18"/>
        <v>4.4223938461891002E-2</v>
      </c>
      <c r="K148" s="2084">
        <f t="shared" si="18"/>
        <v>0.95577606153810901</v>
      </c>
      <c r="L148"/>
      <c r="M148" s="162">
        <f t="shared" si="19"/>
        <v>286226.00999999989</v>
      </c>
      <c r="N148" s="162">
        <f t="shared" si="19"/>
        <v>6185970.2700000005</v>
      </c>
    </row>
    <row r="149" spans="1:14">
      <c r="A149" s="2083" t="s">
        <v>2940</v>
      </c>
      <c r="B149" s="762" t="s">
        <v>2941</v>
      </c>
      <c r="C149" s="1665">
        <v>0</v>
      </c>
      <c r="D149" s="1665">
        <v>1455331.8500000003</v>
      </c>
      <c r="E149" s="1878">
        <f t="shared" si="16"/>
        <v>1455331.8500000003</v>
      </c>
      <c r="F149" s="60" t="s">
        <v>2891</v>
      </c>
      <c r="G149" s="162">
        <f t="shared" si="17"/>
        <v>727665.92500000016</v>
      </c>
      <c r="H149" s="162">
        <f t="shared" si="17"/>
        <v>727665.92500000016</v>
      </c>
      <c r="I149"/>
      <c r="J149" s="2084">
        <f t="shared" si="18"/>
        <v>0</v>
      </c>
      <c r="K149" s="2084">
        <f t="shared" si="18"/>
        <v>1</v>
      </c>
      <c r="L149"/>
      <c r="M149" s="162">
        <f t="shared" si="19"/>
        <v>0</v>
      </c>
      <c r="N149" s="162">
        <f t="shared" si="19"/>
        <v>727665.92500000016</v>
      </c>
    </row>
    <row r="150" spans="1:14">
      <c r="A150" s="2083" t="s">
        <v>2942</v>
      </c>
      <c r="B150" s="762" t="s">
        <v>2943</v>
      </c>
      <c r="C150" s="1665">
        <v>4665.83</v>
      </c>
      <c r="D150" s="1665">
        <v>241902.40000000002</v>
      </c>
      <c r="E150" s="1878">
        <f t="shared" si="16"/>
        <v>246568.23</v>
      </c>
      <c r="F150" s="60" t="s">
        <v>2891</v>
      </c>
      <c r="G150" s="162">
        <f t="shared" si="17"/>
        <v>123284.11500000001</v>
      </c>
      <c r="H150" s="162">
        <f t="shared" si="17"/>
        <v>123284.11500000001</v>
      </c>
      <c r="I150"/>
      <c r="J150" s="2084">
        <f t="shared" si="18"/>
        <v>1.8923078613980397E-2</v>
      </c>
      <c r="K150" s="2084">
        <f t="shared" si="18"/>
        <v>0.98107692138601965</v>
      </c>
      <c r="L150"/>
      <c r="M150" s="162">
        <f t="shared" si="19"/>
        <v>2332.915</v>
      </c>
      <c r="N150" s="162">
        <f t="shared" si="19"/>
        <v>120951.20000000001</v>
      </c>
    </row>
    <row r="151" spans="1:14">
      <c r="A151" s="2083" t="s">
        <v>2944</v>
      </c>
      <c r="B151" s="762" t="s">
        <v>2945</v>
      </c>
      <c r="C151" s="1665">
        <v>441746.3899999999</v>
      </c>
      <c r="D151" s="1665">
        <v>625324.48999999987</v>
      </c>
      <c r="E151" s="1878">
        <f t="shared" si="16"/>
        <v>1067070.8799999999</v>
      </c>
      <c r="F151" s="60" t="s">
        <v>2891</v>
      </c>
      <c r="G151" s="162">
        <f t="shared" si="17"/>
        <v>533535.43999999994</v>
      </c>
      <c r="H151" s="162">
        <f t="shared" si="17"/>
        <v>533535.43999999994</v>
      </c>
      <c r="I151"/>
      <c r="J151" s="2084">
        <f t="shared" si="18"/>
        <v>0.41398036276652955</v>
      </c>
      <c r="K151" s="2084">
        <f t="shared" si="18"/>
        <v>0.58601963723347028</v>
      </c>
      <c r="L151"/>
      <c r="M151" s="162">
        <f t="shared" si="19"/>
        <v>220873.19499999995</v>
      </c>
      <c r="N151" s="162">
        <f t="shared" si="19"/>
        <v>312662.24499999994</v>
      </c>
    </row>
    <row r="152" spans="1:14">
      <c r="A152" s="2083" t="s">
        <v>2946</v>
      </c>
      <c r="B152" s="762" t="s">
        <v>2947</v>
      </c>
      <c r="C152" s="1665">
        <v>45696.68</v>
      </c>
      <c r="D152" s="1665">
        <v>1487964.45</v>
      </c>
      <c r="E152" s="1878">
        <f t="shared" si="16"/>
        <v>1533661.13</v>
      </c>
      <c r="F152" s="60" t="s">
        <v>2891</v>
      </c>
      <c r="G152" s="162">
        <f t="shared" si="17"/>
        <v>766830.56499999994</v>
      </c>
      <c r="H152" s="162">
        <f t="shared" si="17"/>
        <v>766830.56499999994</v>
      </c>
      <c r="I152"/>
      <c r="J152" s="2084">
        <f t="shared" si="18"/>
        <v>2.9795812846870551E-2</v>
      </c>
      <c r="K152" s="2084">
        <f t="shared" si="18"/>
        <v>0.9702041871531295</v>
      </c>
      <c r="L152"/>
      <c r="M152" s="162">
        <f t="shared" si="19"/>
        <v>22848.34</v>
      </c>
      <c r="N152" s="162">
        <f t="shared" si="19"/>
        <v>743982.22499999998</v>
      </c>
    </row>
    <row r="153" spans="1:14">
      <c r="A153" s="2083" t="s">
        <v>2948</v>
      </c>
      <c r="B153" s="762" t="s">
        <v>2949</v>
      </c>
      <c r="C153" s="1665">
        <v>155628.49</v>
      </c>
      <c r="D153" s="1665">
        <v>10792766.379999999</v>
      </c>
      <c r="E153" s="1878">
        <f t="shared" si="16"/>
        <v>10948394.869999999</v>
      </c>
      <c r="F153" s="60" t="s">
        <v>2891</v>
      </c>
      <c r="G153" s="162">
        <f t="shared" si="17"/>
        <v>5474197.4349999996</v>
      </c>
      <c r="H153" s="162">
        <f t="shared" si="17"/>
        <v>5474197.4349999996</v>
      </c>
      <c r="I153"/>
      <c r="J153" s="2084">
        <f t="shared" si="18"/>
        <v>1.4214731186435551E-2</v>
      </c>
      <c r="K153" s="2084">
        <f t="shared" si="18"/>
        <v>0.98578526881356443</v>
      </c>
      <c r="L153"/>
      <c r="M153" s="162">
        <f t="shared" si="19"/>
        <v>77814.244999999995</v>
      </c>
      <c r="N153" s="162">
        <f t="shared" si="19"/>
        <v>5396383.1899999995</v>
      </c>
    </row>
    <row r="154" spans="1:14">
      <c r="A154" s="2083" t="s">
        <v>2950</v>
      </c>
      <c r="B154" s="762" t="s">
        <v>2951</v>
      </c>
      <c r="C154" s="1665">
        <v>427710.93999999994</v>
      </c>
      <c r="D154" s="1665">
        <v>3493511.9200000004</v>
      </c>
      <c r="E154" s="1878">
        <f t="shared" si="16"/>
        <v>3921222.8600000003</v>
      </c>
      <c r="F154" s="60" t="s">
        <v>2891</v>
      </c>
      <c r="G154" s="162">
        <f t="shared" si="17"/>
        <v>1960611.4300000002</v>
      </c>
      <c r="H154" s="162">
        <f t="shared" si="17"/>
        <v>1960611.4300000002</v>
      </c>
      <c r="I154"/>
      <c r="J154" s="2084">
        <f t="shared" si="18"/>
        <v>0.10907590699907321</v>
      </c>
      <c r="K154" s="2084">
        <f t="shared" si="18"/>
        <v>0.89092409300092679</v>
      </c>
      <c r="L154"/>
      <c r="M154" s="162">
        <f t="shared" si="19"/>
        <v>213855.46999999997</v>
      </c>
      <c r="N154" s="162">
        <f t="shared" si="19"/>
        <v>1746755.9600000002</v>
      </c>
    </row>
    <row r="155" spans="1:14">
      <c r="A155" s="2083" t="s">
        <v>2952</v>
      </c>
      <c r="B155" s="762" t="s">
        <v>2953</v>
      </c>
      <c r="C155" s="1665">
        <v>774854.2</v>
      </c>
      <c r="D155" s="1665">
        <v>5763718.6500000004</v>
      </c>
      <c r="E155" s="1878">
        <f t="shared" si="16"/>
        <v>6538572.8500000006</v>
      </c>
      <c r="F155" s="60" t="s">
        <v>2891</v>
      </c>
      <c r="G155" s="162">
        <f t="shared" si="17"/>
        <v>3269286.4250000003</v>
      </c>
      <c r="H155" s="162">
        <f t="shared" si="17"/>
        <v>3269286.4250000003</v>
      </c>
      <c r="I155"/>
      <c r="J155" s="2084">
        <f t="shared" si="18"/>
        <v>0.11850509549648895</v>
      </c>
      <c r="K155" s="2084">
        <f t="shared" si="18"/>
        <v>0.88149490450351098</v>
      </c>
      <c r="L155"/>
      <c r="M155" s="162">
        <f t="shared" si="19"/>
        <v>387427.1</v>
      </c>
      <c r="N155" s="162">
        <f t="shared" si="19"/>
        <v>2881859.3250000002</v>
      </c>
    </row>
    <row r="156" spans="1:14">
      <c r="A156" s="2083" t="s">
        <v>2954</v>
      </c>
      <c r="B156" s="762" t="s">
        <v>2955</v>
      </c>
      <c r="C156" s="1665">
        <v>13658.52</v>
      </c>
      <c r="D156" s="1665">
        <v>3572171.0200000009</v>
      </c>
      <c r="E156" s="1878">
        <f t="shared" si="16"/>
        <v>3585829.540000001</v>
      </c>
      <c r="F156" s="60" t="s">
        <v>2891</v>
      </c>
      <c r="G156" s="162">
        <f t="shared" si="17"/>
        <v>1792914.7700000005</v>
      </c>
      <c r="H156" s="162">
        <f t="shared" si="17"/>
        <v>1792914.7700000005</v>
      </c>
      <c r="I156"/>
      <c r="J156" s="2084">
        <f t="shared" si="18"/>
        <v>3.8090265718542763E-3</v>
      </c>
      <c r="K156" s="2084">
        <f t="shared" si="18"/>
        <v>0.99619097342814567</v>
      </c>
      <c r="L156"/>
      <c r="M156" s="162">
        <f t="shared" si="19"/>
        <v>6829.26</v>
      </c>
      <c r="N156" s="162">
        <f t="shared" si="19"/>
        <v>1786085.5100000005</v>
      </c>
    </row>
    <row r="157" spans="1:14">
      <c r="A157" s="33"/>
      <c r="B157"/>
      <c r="C157" s="1666"/>
      <c r="D157" s="1666"/>
      <c r="E157" s="1666"/>
      <c r="F157" s="33"/>
      <c r="G157" s="162"/>
      <c r="H157" s="162"/>
      <c r="I157"/>
      <c r="J157" s="2084"/>
      <c r="K157" s="2084"/>
      <c r="L157"/>
      <c r="M157" s="162"/>
      <c r="N157" s="162"/>
    </row>
    <row r="158" spans="1:14" ht="15" thickBot="1">
      <c r="A158"/>
      <c r="B158" s="60" t="s">
        <v>2956</v>
      </c>
      <c r="C158" s="2085">
        <f>SUM(C123:C157)</f>
        <v>32530583.319999997</v>
      </c>
      <c r="D158" s="2085">
        <f>SUM(D123:D157)</f>
        <v>99482800.799999997</v>
      </c>
      <c r="E158" s="2085">
        <f>SUM(E123:E157)</f>
        <v>132013384.12</v>
      </c>
      <c r="F158" s="33"/>
      <c r="G158" s="2085">
        <f>SUM(G123:G157)</f>
        <v>66006692.060000002</v>
      </c>
      <c r="H158" s="2085">
        <f>SUM(H123:H157)</f>
        <v>66006692.060000002</v>
      </c>
      <c r="I158"/>
      <c r="J158" s="2084"/>
      <c r="K158" s="2084"/>
      <c r="L158"/>
      <c r="M158" s="2085">
        <f>SUM(M123:M157)</f>
        <v>16265291.659999998</v>
      </c>
      <c r="N158" s="2085">
        <f>SUM(N123:N157)</f>
        <v>49741400.399999999</v>
      </c>
    </row>
    <row r="159" spans="1:14" ht="15" thickTop="1">
      <c r="A159"/>
      <c r="B159" s="60"/>
      <c r="C159" s="2086">
        <v>0</v>
      </c>
      <c r="D159" s="2086">
        <v>0</v>
      </c>
      <c r="E159" s="2086">
        <v>0</v>
      </c>
      <c r="F159" s="33"/>
      <c r="G159" s="2086"/>
      <c r="H159" s="2086"/>
      <c r="I159"/>
      <c r="J159" s="2084"/>
      <c r="K159" s="2084"/>
      <c r="L159"/>
      <c r="M159" s="2086"/>
      <c r="N159" s="2086"/>
    </row>
    <row r="160" spans="1:14">
      <c r="A160"/>
      <c r="B160"/>
      <c r="C160"/>
      <c r="D160"/>
      <c r="E160"/>
      <c r="F160"/>
      <c r="G160" s="162"/>
      <c r="H160" s="162"/>
      <c r="I160"/>
      <c r="J160"/>
      <c r="K160"/>
      <c r="L160"/>
      <c r="M160"/>
      <c r="N160"/>
    </row>
    <row r="161" spans="1:14" ht="15" thickBot="1">
      <c r="A161" s="2087" t="s">
        <v>115</v>
      </c>
      <c r="B161" s="2087"/>
      <c r="C161" s="2088">
        <f>SUM(C158,C120,C83,C37)</f>
        <v>227975552.53000015</v>
      </c>
      <c r="D161" s="2088">
        <f>SUM(D158,D120,D83,D37)</f>
        <v>530201371.94</v>
      </c>
      <c r="E161" s="2088">
        <f>SUM(E158,E120,E83,E37)</f>
        <v>758176924.47000015</v>
      </c>
      <c r="F161" s="2087"/>
      <c r="G161" s="2088">
        <f>SUM(G158,G120,G83,G37)</f>
        <v>312355262.85400003</v>
      </c>
      <c r="H161" s="2088">
        <f>SUM(H158,H120,H83,H37)</f>
        <v>258888276.78599998</v>
      </c>
      <c r="I161" s="2087"/>
      <c r="J161" s="2087"/>
      <c r="K161" s="2087"/>
      <c r="L161" s="2087"/>
      <c r="M161" s="2089">
        <f>SUM(M158,M120,M83,M37)</f>
        <v>20409171.156500001</v>
      </c>
      <c r="N161" s="2089">
        <f>SUM(N158,N120,N83,N37)</f>
        <v>291946091.69750005</v>
      </c>
    </row>
    <row r="162" spans="1:14" ht="15" thickBot="1">
      <c r="A162"/>
      <c r="B162"/>
      <c r="C162" s="162">
        <v>0</v>
      </c>
      <c r="D162" s="162">
        <v>0</v>
      </c>
      <c r="E162" s="162">
        <v>0</v>
      </c>
      <c r="F162"/>
      <c r="G162"/>
      <c r="H162"/>
      <c r="I162"/>
      <c r="J162"/>
      <c r="K162"/>
      <c r="L162"/>
      <c r="M162" s="3073">
        <f>SUM(M161:N161)</f>
        <v>312355262.85400003</v>
      </c>
      <c r="N162" s="3074"/>
    </row>
    <row r="163" spans="1:14">
      <c r="A163" s="2080"/>
      <c r="B163" s="2080"/>
      <c r="C163" s="2080"/>
      <c r="D163" s="2080"/>
      <c r="E163" s="2080"/>
      <c r="F163" s="2080"/>
      <c r="G163" s="2080"/>
      <c r="H163" s="2080"/>
      <c r="I163" s="2080"/>
      <c r="J163" s="2080"/>
      <c r="K163" s="2080"/>
      <c r="L163" s="2080"/>
      <c r="M163" s="2080"/>
      <c r="N163" s="2080"/>
    </row>
    <row r="164" spans="1:14">
      <c r="A164" s="2080"/>
      <c r="B164" s="61"/>
      <c r="C164" s="2090"/>
      <c r="D164" s="2080"/>
      <c r="E164" s="2080"/>
      <c r="F164" s="2080"/>
      <c r="G164" s="2080"/>
      <c r="H164" s="2080"/>
      <c r="I164" s="2090"/>
      <c r="J164" s="2080"/>
      <c r="K164" s="2080"/>
      <c r="L164" s="2080"/>
      <c r="M164" s="2080"/>
      <c r="N164" s="2080"/>
    </row>
    <row r="165" spans="1:14">
      <c r="A165" s="2080"/>
      <c r="B165" s="61"/>
      <c r="C165" s="2090"/>
      <c r="D165" s="2080"/>
      <c r="E165" s="2080"/>
      <c r="F165" s="2080"/>
      <c r="G165" s="2080"/>
      <c r="H165" s="2080"/>
      <c r="I165" s="2090"/>
      <c r="J165" s="2080"/>
      <c r="K165" s="2080"/>
      <c r="L165" s="2080"/>
      <c r="M165" s="2080"/>
      <c r="N165" s="2080"/>
    </row>
    <row r="166" spans="1:14">
      <c r="A166" s="2080"/>
      <c r="B166" s="61"/>
      <c r="C166" s="2090"/>
      <c r="D166" s="2080"/>
      <c r="E166" s="2080"/>
      <c r="F166" s="2080"/>
      <c r="G166" s="2080"/>
      <c r="H166" s="2080"/>
      <c r="I166" s="2090"/>
      <c r="J166" s="2080"/>
      <c r="K166" s="2080"/>
      <c r="L166" s="2080"/>
      <c r="M166" s="2080"/>
      <c r="N166" s="2080"/>
    </row>
    <row r="167" spans="1:14">
      <c r="A167" s="2080"/>
      <c r="B167" s="61"/>
      <c r="C167" s="2090"/>
      <c r="D167" s="60" t="s">
        <v>2957</v>
      </c>
      <c r="E167" s="2080"/>
      <c r="F167" s="2080"/>
      <c r="G167" s="2080"/>
      <c r="H167" s="2080"/>
      <c r="I167" s="2090"/>
      <c r="J167" s="60" t="s">
        <v>2958</v>
      </c>
      <c r="K167" s="2080"/>
      <c r="L167" s="2080"/>
      <c r="M167" s="2080"/>
      <c r="N167" s="60" t="s">
        <v>2959</v>
      </c>
    </row>
    <row r="168" spans="1:14">
      <c r="A168" s="2080"/>
      <c r="B168" s="61"/>
      <c r="C168" s="2090"/>
      <c r="D168" s="2091" t="s">
        <v>9309</v>
      </c>
      <c r="E168" s="2080"/>
      <c r="F168" s="62" t="s">
        <v>8251</v>
      </c>
      <c r="G168" s="2080"/>
      <c r="H168" s="2080"/>
      <c r="I168" s="2090"/>
      <c r="J168" s="2091" t="s">
        <v>9309</v>
      </c>
      <c r="K168" s="2080"/>
      <c r="L168" s="2080"/>
      <c r="M168" s="2080"/>
      <c r="N168" s="2080"/>
    </row>
    <row r="169" spans="1:14">
      <c r="A169" s="2080"/>
      <c r="B169" s="61" t="s">
        <v>2740</v>
      </c>
      <c r="C169" s="2090" t="s">
        <v>2685</v>
      </c>
      <c r="D169" s="2092">
        <v>128360483</v>
      </c>
      <c r="E169" s="2080"/>
      <c r="F169" s="293" t="s">
        <v>2740</v>
      </c>
      <c r="G169" s="2080"/>
      <c r="H169" s="2093">
        <v>0</v>
      </c>
      <c r="I169" s="2090" t="s">
        <v>2685</v>
      </c>
      <c r="J169" s="2080" t="s">
        <v>9307</v>
      </c>
      <c r="K169" s="96"/>
      <c r="L169" s="2080"/>
      <c r="M169" s="2080"/>
      <c r="N169" s="2092">
        <v>128360483</v>
      </c>
    </row>
    <row r="170" spans="1:14">
      <c r="A170" s="2080"/>
      <c r="B170" s="61" t="s">
        <v>2822</v>
      </c>
      <c r="C170" s="2090" t="s">
        <v>2743</v>
      </c>
      <c r="D170" s="2092">
        <v>154551680</v>
      </c>
      <c r="E170" s="2080"/>
      <c r="F170" s="293" t="s">
        <v>2822</v>
      </c>
      <c r="G170" s="2080"/>
      <c r="H170" s="2094">
        <v>1</v>
      </c>
      <c r="I170" s="2090" t="s">
        <v>2743</v>
      </c>
      <c r="J170" s="2092">
        <v>154551680</v>
      </c>
      <c r="K170" s="293"/>
      <c r="L170" s="2080"/>
      <c r="M170" s="2080"/>
      <c r="N170" s="2080" t="s">
        <v>9307</v>
      </c>
    </row>
    <row r="171" spans="1:14">
      <c r="A171" s="2080"/>
      <c r="B171" s="61" t="s">
        <v>2888</v>
      </c>
      <c r="C171" s="2090" t="s">
        <v>2825</v>
      </c>
      <c r="D171" s="2092">
        <v>107326621</v>
      </c>
      <c r="E171" s="2080"/>
      <c r="F171" s="293" t="s">
        <v>2888</v>
      </c>
      <c r="G171" s="2080"/>
      <c r="H171" s="293" t="s">
        <v>8252</v>
      </c>
      <c r="I171" s="2090" t="s">
        <v>2825</v>
      </c>
      <c r="J171" s="2092">
        <v>10652</v>
      </c>
      <c r="K171" s="293"/>
      <c r="L171" s="2080"/>
      <c r="M171" s="2080"/>
      <c r="N171" s="2092">
        <v>107315969</v>
      </c>
    </row>
    <row r="172" spans="1:14">
      <c r="A172" s="2080"/>
      <c r="B172" s="61" t="s">
        <v>2956</v>
      </c>
      <c r="C172" s="2090" t="s">
        <v>2891</v>
      </c>
      <c r="D172" s="2092">
        <v>83941998</v>
      </c>
      <c r="E172" s="2080"/>
      <c r="F172" s="293" t="s">
        <v>2956</v>
      </c>
      <c r="G172" s="2080"/>
      <c r="H172" s="293" t="s">
        <v>8253</v>
      </c>
      <c r="I172" s="2090" t="s">
        <v>2891</v>
      </c>
      <c r="J172" s="2092">
        <v>41970999</v>
      </c>
      <c r="K172" s="293"/>
      <c r="L172" s="2080"/>
      <c r="M172" s="2080"/>
      <c r="N172" s="2092">
        <v>41970999</v>
      </c>
    </row>
    <row r="173" spans="1:14" ht="15" thickBot="1">
      <c r="A173" s="2080"/>
      <c r="B173" s="96"/>
      <c r="C173" s="2080"/>
      <c r="D173" s="2095">
        <v>474180783</v>
      </c>
      <c r="E173" s="2080"/>
      <c r="F173" s="2080"/>
      <c r="G173" s="2080"/>
      <c r="H173" s="2080"/>
      <c r="I173" s="2080"/>
      <c r="J173" s="2095">
        <v>196533331</v>
      </c>
      <c r="K173" s="2080"/>
      <c r="L173" s="2080"/>
      <c r="M173" s="2080"/>
      <c r="N173" s="2095">
        <v>277647451</v>
      </c>
    </row>
    <row r="174" spans="1:14" ht="15" thickTop="1">
      <c r="A174" s="2080"/>
      <c r="B174" s="2080"/>
      <c r="C174" s="2080"/>
      <c r="D174" s="2080" t="s">
        <v>9308</v>
      </c>
      <c r="E174" s="2080"/>
      <c r="F174" s="2080"/>
      <c r="G174" s="2080"/>
      <c r="H174" s="2080"/>
      <c r="I174" s="2080"/>
      <c r="J174" s="2080"/>
      <c r="K174" s="2080"/>
      <c r="L174" s="2080"/>
      <c r="M174" s="2080"/>
      <c r="N174" s="2080"/>
    </row>
    <row r="175" spans="1:14">
      <c r="A175" s="2080"/>
      <c r="B175" s="61"/>
      <c r="C175" s="2090"/>
      <c r="D175" s="2080"/>
      <c r="E175" s="2080"/>
      <c r="F175" s="2080"/>
      <c r="G175" s="2080"/>
      <c r="H175" s="2080"/>
      <c r="I175" s="2080"/>
      <c r="J175" s="2080"/>
      <c r="K175" s="2080"/>
      <c r="L175" s="2080"/>
      <c r="M175" s="2080"/>
      <c r="N175" s="2080"/>
    </row>
    <row r="176" spans="1:14">
      <c r="A176" s="2080"/>
      <c r="B176" s="61"/>
      <c r="C176" s="2090"/>
      <c r="D176" s="2080"/>
      <c r="E176" s="2080"/>
      <c r="F176" s="2080"/>
      <c r="G176" s="2080"/>
      <c r="H176" s="2080"/>
      <c r="I176" s="2080"/>
      <c r="J176" s="77" t="s">
        <v>8254</v>
      </c>
      <c r="K176" s="77" t="s">
        <v>8255</v>
      </c>
      <c r="L176" s="2080"/>
      <c r="M176" s="2080"/>
      <c r="N176" s="2080"/>
    </row>
    <row r="177" spans="1:14">
      <c r="A177" s="2080"/>
      <c r="B177" s="61"/>
      <c r="C177" s="2090"/>
      <c r="D177" s="2080"/>
      <c r="E177" s="2080"/>
      <c r="F177" s="2080"/>
      <c r="G177" s="2080"/>
      <c r="H177" s="288" t="s">
        <v>2960</v>
      </c>
      <c r="I177" s="2080"/>
      <c r="J177" s="2096">
        <v>196533331</v>
      </c>
      <c r="K177" s="2097">
        <v>0.41449999999999998</v>
      </c>
      <c r="L177" s="2080"/>
      <c r="M177" s="2080"/>
      <c r="N177" s="2080"/>
    </row>
    <row r="178" spans="1:14">
      <c r="A178" s="2080"/>
      <c r="B178" s="61"/>
      <c r="C178" s="2090"/>
      <c r="D178" s="2080"/>
      <c r="E178" s="2080"/>
      <c r="F178" s="2080"/>
      <c r="G178" s="2080"/>
      <c r="H178" s="288" t="s">
        <v>2494</v>
      </c>
      <c r="I178" s="2080"/>
      <c r="J178" s="2096">
        <v>128360483</v>
      </c>
      <c r="K178" s="2097">
        <v>0.2707</v>
      </c>
      <c r="L178" s="2080"/>
      <c r="M178" s="2080"/>
      <c r="N178" s="2080"/>
    </row>
    <row r="179" spans="1:14">
      <c r="A179" s="2080"/>
      <c r="B179" s="2080"/>
      <c r="C179" s="2080"/>
      <c r="D179" s="2080"/>
      <c r="E179" s="2080"/>
      <c r="F179" s="2080"/>
      <c r="G179" s="2080"/>
      <c r="H179" s="288" t="s">
        <v>2498</v>
      </c>
      <c r="I179" s="2080"/>
      <c r="J179" s="2096">
        <v>149286968</v>
      </c>
      <c r="K179" s="2097">
        <v>0.31480000000000002</v>
      </c>
      <c r="L179" s="2080"/>
      <c r="M179" s="2080"/>
      <c r="N179" s="2080"/>
    </row>
    <row r="180" spans="1:14" ht="15" thickBot="1">
      <c r="A180" s="2080"/>
      <c r="B180" s="2080"/>
      <c r="C180" s="2080"/>
      <c r="D180" s="2080"/>
      <c r="E180" s="2080"/>
      <c r="F180" s="2080"/>
      <c r="G180" s="2080"/>
      <c r="H180" s="288" t="s">
        <v>115</v>
      </c>
      <c r="I180" s="2080"/>
      <c r="J180" s="2095">
        <v>474180783</v>
      </c>
      <c r="K180" s="2098">
        <v>1</v>
      </c>
      <c r="L180" s="2080"/>
      <c r="M180" s="2080"/>
      <c r="N180" s="2080"/>
    </row>
    <row r="181" spans="1:14" ht="15" thickTop="1">
      <c r="A181" s="2080"/>
      <c r="B181" s="2080"/>
      <c r="C181" s="2080"/>
      <c r="D181" s="2080"/>
      <c r="E181" s="2080"/>
      <c r="F181" s="2080"/>
      <c r="G181" s="2080"/>
      <c r="H181" s="2080"/>
      <c r="I181" s="2080"/>
      <c r="J181" s="2080" t="s">
        <v>8154</v>
      </c>
      <c r="K181" s="2080"/>
      <c r="L181" s="3072"/>
      <c r="M181" s="3072"/>
      <c r="N181" s="2080"/>
    </row>
    <row r="182" spans="1:14">
      <c r="A182" s="2080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>
      <c r="A183" s="2080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>
      <c r="B210"/>
      <c r="C210"/>
      <c r="D210"/>
      <c r="E210"/>
      <c r="F210"/>
      <c r="G210"/>
      <c r="H210"/>
      <c r="I210"/>
      <c r="J210"/>
      <c r="K210"/>
      <c r="L210"/>
      <c r="M210"/>
      <c r="N210"/>
    </row>
  </sheetData>
  <mergeCells count="2">
    <mergeCell ref="L181:M181"/>
    <mergeCell ref="M162:N162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8" tint="0.59999389629810485"/>
  </sheetPr>
  <dimension ref="A1:S29"/>
  <sheetViews>
    <sheetView tabSelected="1" showOutlineSymbols="0" workbookViewId="0"/>
  </sheetViews>
  <sheetFormatPr defaultRowHeight="14.4"/>
  <cols>
    <col min="1" max="1" width="15.6640625" style="33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A1" s="328"/>
      <c r="Q1" s="81" t="s">
        <v>1877</v>
      </c>
      <c r="R1" s="2099" t="s">
        <v>1887</v>
      </c>
      <c r="S1" s="2100"/>
    </row>
    <row r="2" spans="1:19">
      <c r="Q2" s="2101">
        <v>1</v>
      </c>
      <c r="R2" s="2102">
        <v>0.5</v>
      </c>
      <c r="S2" s="2103" t="s">
        <v>116</v>
      </c>
    </row>
    <row r="3" spans="1:19" ht="15" thickBot="1">
      <c r="B3" t="s">
        <v>1884</v>
      </c>
      <c r="Q3" s="2104">
        <v>2</v>
      </c>
      <c r="R3" s="2105">
        <v>0.5</v>
      </c>
      <c r="S3" s="2106" t="s">
        <v>116</v>
      </c>
    </row>
    <row r="4" spans="1:19" ht="15" thickBot="1">
      <c r="Q4" s="81" t="s">
        <v>1877</v>
      </c>
      <c r="R4" s="2099" t="s">
        <v>1887</v>
      </c>
      <c r="S4" s="2100"/>
    </row>
    <row r="5" spans="1:19">
      <c r="A5" s="2107"/>
      <c r="B5" s="1962" t="s">
        <v>1532</v>
      </c>
      <c r="C5" s="2108" t="s">
        <v>8966</v>
      </c>
      <c r="D5" s="2108" t="s">
        <v>8966</v>
      </c>
      <c r="E5" s="2108" t="s">
        <v>8966</v>
      </c>
      <c r="F5" s="2108" t="s">
        <v>8966</v>
      </c>
      <c r="G5" s="2108" t="s">
        <v>8966</v>
      </c>
      <c r="H5" s="2108" t="s">
        <v>8966</v>
      </c>
      <c r="I5" s="2108" t="s">
        <v>8966</v>
      </c>
      <c r="J5" s="2108" t="s">
        <v>8966</v>
      </c>
      <c r="K5" s="2108" t="s">
        <v>8966</v>
      </c>
      <c r="L5" s="2108" t="s">
        <v>8966</v>
      </c>
      <c r="M5" s="2108" t="s">
        <v>8966</v>
      </c>
      <c r="N5" s="2108" t="s">
        <v>8966</v>
      </c>
      <c r="O5" s="2108" t="s">
        <v>8966</v>
      </c>
      <c r="P5" s="2109" t="s">
        <v>19</v>
      </c>
      <c r="Q5" s="2101">
        <v>3</v>
      </c>
      <c r="R5" s="2102">
        <v>0.5</v>
      </c>
      <c r="S5" s="2103" t="s">
        <v>116</v>
      </c>
    </row>
    <row r="6" spans="1:19" ht="15" thickBot="1">
      <c r="A6" s="1985" t="s">
        <v>1877</v>
      </c>
      <c r="B6" s="1962" t="s">
        <v>120</v>
      </c>
      <c r="C6" s="2110">
        <v>45627</v>
      </c>
      <c r="D6" s="2110">
        <v>45658</v>
      </c>
      <c r="E6" s="2110">
        <v>45689</v>
      </c>
      <c r="F6" s="2110">
        <v>45717</v>
      </c>
      <c r="G6" s="2110">
        <v>45748</v>
      </c>
      <c r="H6" s="2110">
        <v>45778</v>
      </c>
      <c r="I6" s="2110">
        <v>45809</v>
      </c>
      <c r="J6" s="2110">
        <v>45839</v>
      </c>
      <c r="K6" s="2110">
        <v>45870</v>
      </c>
      <c r="L6" s="2110">
        <v>45901</v>
      </c>
      <c r="M6" s="2110">
        <v>45931</v>
      </c>
      <c r="N6" s="2110">
        <v>45962</v>
      </c>
      <c r="O6" s="2110">
        <v>45992</v>
      </c>
      <c r="P6" s="2111" t="s">
        <v>1839</v>
      </c>
      <c r="Q6" s="2104">
        <v>4</v>
      </c>
      <c r="R6" s="2105">
        <v>0.5</v>
      </c>
      <c r="S6" s="2106" t="s">
        <v>116</v>
      </c>
    </row>
    <row r="7" spans="1:19">
      <c r="A7" s="2107">
        <v>3</v>
      </c>
      <c r="B7" s="1962" t="s">
        <v>8967</v>
      </c>
      <c r="C7" s="2112">
        <v>13763262.999999998</v>
      </c>
      <c r="D7" s="2112">
        <v>13763262.999999998</v>
      </c>
      <c r="E7" s="2112">
        <v>13763262.999999998</v>
      </c>
      <c r="F7" s="2112">
        <v>13763262.999999998</v>
      </c>
      <c r="G7" s="2112">
        <v>13763262.999999998</v>
      </c>
      <c r="H7" s="2112">
        <v>13763262.999999998</v>
      </c>
      <c r="I7" s="2112">
        <v>13763262.999999998</v>
      </c>
      <c r="J7" s="2112">
        <v>13763262.999999998</v>
      </c>
      <c r="K7" s="2112">
        <v>13763262.999999998</v>
      </c>
      <c r="L7" s="2112">
        <v>13763262.999999998</v>
      </c>
      <c r="M7" s="2112">
        <v>13763262.999999998</v>
      </c>
      <c r="N7" s="2112">
        <v>13763262.999999998</v>
      </c>
      <c r="O7" s="2112">
        <v>13763262.999999998</v>
      </c>
      <c r="P7" s="64">
        <f>+AVERAGE(C7:O7)</f>
        <v>13763262.999999998</v>
      </c>
    </row>
    <row r="8" spans="1:19">
      <c r="A8" s="2107">
        <v>4</v>
      </c>
      <c r="B8" s="1962" t="s">
        <v>8968</v>
      </c>
      <c r="C8" s="2112">
        <v>866211</v>
      </c>
      <c r="D8" s="2112">
        <v>866211</v>
      </c>
      <c r="E8" s="2112">
        <v>866211</v>
      </c>
      <c r="F8" s="2112">
        <v>866211</v>
      </c>
      <c r="G8" s="2112">
        <v>866211</v>
      </c>
      <c r="H8" s="2112">
        <v>866211</v>
      </c>
      <c r="I8" s="2112">
        <v>866211</v>
      </c>
      <c r="J8" s="2112">
        <v>866211</v>
      </c>
      <c r="K8" s="2112">
        <v>866211</v>
      </c>
      <c r="L8" s="2112">
        <v>866211</v>
      </c>
      <c r="M8" s="2112">
        <v>866211</v>
      </c>
      <c r="N8" s="2112">
        <v>866211</v>
      </c>
      <c r="O8" s="2112">
        <v>866211</v>
      </c>
      <c r="P8" s="64">
        <f t="shared" ref="P8:P26" si="0">+AVERAGE(C8:O8)</f>
        <v>866211</v>
      </c>
    </row>
    <row r="9" spans="1:19">
      <c r="A9" s="2107" t="s">
        <v>1878</v>
      </c>
      <c r="B9" s="1962" t="s">
        <v>8969</v>
      </c>
      <c r="C9" s="2112">
        <v>120737</v>
      </c>
      <c r="D9" s="2112">
        <v>120737</v>
      </c>
      <c r="E9" s="2112">
        <v>120737</v>
      </c>
      <c r="F9" s="2112">
        <v>120737</v>
      </c>
      <c r="G9" s="2112">
        <v>120737</v>
      </c>
      <c r="H9" s="2112">
        <v>120737</v>
      </c>
      <c r="I9" s="2112">
        <v>120737</v>
      </c>
      <c r="J9" s="2112">
        <v>120737</v>
      </c>
      <c r="K9" s="2112">
        <v>120737</v>
      </c>
      <c r="L9" s="2112">
        <v>120737</v>
      </c>
      <c r="M9" s="2112">
        <v>120737</v>
      </c>
      <c r="N9" s="2112">
        <v>120737</v>
      </c>
      <c r="O9" s="2112">
        <v>120737</v>
      </c>
      <c r="P9" s="64">
        <f t="shared" si="0"/>
        <v>120737</v>
      </c>
    </row>
    <row r="10" spans="1:19">
      <c r="A10" s="2107" t="s">
        <v>1878</v>
      </c>
      <c r="B10" s="1962" t="s">
        <v>8970</v>
      </c>
      <c r="C10" s="2112">
        <v>28490542.319999993</v>
      </c>
      <c r="D10" s="2112">
        <v>28490542.319999993</v>
      </c>
      <c r="E10" s="2112">
        <v>28490542.319999993</v>
      </c>
      <c r="F10" s="2112">
        <v>28490542.319999993</v>
      </c>
      <c r="G10" s="2112">
        <v>28490542.319999993</v>
      </c>
      <c r="H10" s="2112">
        <v>28490542.319999993</v>
      </c>
      <c r="I10" s="2112">
        <v>28490542.319999993</v>
      </c>
      <c r="J10" s="2112">
        <v>28490542.319999993</v>
      </c>
      <c r="K10" s="2112">
        <v>28490542.319999993</v>
      </c>
      <c r="L10" s="2112">
        <v>28490542.319999993</v>
      </c>
      <c r="M10" s="2112">
        <v>28490542.319999993</v>
      </c>
      <c r="N10" s="2112">
        <v>28490542.319999993</v>
      </c>
      <c r="O10" s="2112">
        <v>28490542.319999993</v>
      </c>
      <c r="P10" s="64">
        <f t="shared" si="0"/>
        <v>28490542.319999993</v>
      </c>
    </row>
    <row r="11" spans="1:19">
      <c r="A11" s="2107" t="s">
        <v>1878</v>
      </c>
      <c r="B11" s="1962" t="s">
        <v>8971</v>
      </c>
      <c r="C11" s="2112">
        <v>22652291.899999995</v>
      </c>
      <c r="D11" s="2112">
        <v>22652291.899999995</v>
      </c>
      <c r="E11" s="2112">
        <v>22652291.899999995</v>
      </c>
      <c r="F11" s="2112">
        <v>22652291.899999995</v>
      </c>
      <c r="G11" s="2112">
        <v>22652291.899999995</v>
      </c>
      <c r="H11" s="2112">
        <v>22652291.899999995</v>
      </c>
      <c r="I11" s="2112">
        <v>22652291.899999995</v>
      </c>
      <c r="J11" s="2112">
        <v>22652291.899999995</v>
      </c>
      <c r="K11" s="2112">
        <v>22652291.899999995</v>
      </c>
      <c r="L11" s="2112">
        <v>22652291.899999995</v>
      </c>
      <c r="M11" s="2112">
        <v>22652291.899999995</v>
      </c>
      <c r="N11" s="2112">
        <v>22652291.899999995</v>
      </c>
      <c r="O11" s="2112">
        <v>22652291.899999995</v>
      </c>
      <c r="P11" s="64">
        <f t="shared" si="0"/>
        <v>22652291.899999999</v>
      </c>
    </row>
    <row r="12" spans="1:19">
      <c r="A12" s="2107" t="s">
        <v>1878</v>
      </c>
      <c r="B12" s="1962" t="s">
        <v>8972</v>
      </c>
      <c r="C12" s="2112">
        <v>351594</v>
      </c>
      <c r="D12" s="2112">
        <v>351594</v>
      </c>
      <c r="E12" s="2112">
        <v>351594</v>
      </c>
      <c r="F12" s="2112">
        <v>351594</v>
      </c>
      <c r="G12" s="2112">
        <v>351594</v>
      </c>
      <c r="H12" s="2112">
        <v>351594</v>
      </c>
      <c r="I12" s="2112">
        <v>351594</v>
      </c>
      <c r="J12" s="2112">
        <v>351594</v>
      </c>
      <c r="K12" s="2112">
        <v>351594</v>
      </c>
      <c r="L12" s="2112">
        <v>351594</v>
      </c>
      <c r="M12" s="2112">
        <v>351594</v>
      </c>
      <c r="N12" s="2112">
        <v>351594</v>
      </c>
      <c r="O12" s="2112">
        <v>351594</v>
      </c>
      <c r="P12" s="64">
        <f t="shared" si="0"/>
        <v>351594</v>
      </c>
    </row>
    <row r="13" spans="1:19">
      <c r="A13" s="2107" t="s">
        <v>3426</v>
      </c>
      <c r="B13" s="1962" t="s">
        <v>8973</v>
      </c>
      <c r="C13" s="2112">
        <v>1561473</v>
      </c>
      <c r="D13" s="2112">
        <v>1561473</v>
      </c>
      <c r="E13" s="2112">
        <v>1561473</v>
      </c>
      <c r="F13" s="2112">
        <v>1561473</v>
      </c>
      <c r="G13" s="2112">
        <v>1561473</v>
      </c>
      <c r="H13" s="2112">
        <v>1561473</v>
      </c>
      <c r="I13" s="2112">
        <v>1561473</v>
      </c>
      <c r="J13" s="2112">
        <v>1561473</v>
      </c>
      <c r="K13" s="2112">
        <v>1561473</v>
      </c>
      <c r="L13" s="2112">
        <v>1561473</v>
      </c>
      <c r="M13" s="2112">
        <v>1561473</v>
      </c>
      <c r="N13" s="2112">
        <v>1561473</v>
      </c>
      <c r="O13" s="2112">
        <v>1561473</v>
      </c>
      <c r="P13" s="64">
        <f t="shared" si="0"/>
        <v>1561473</v>
      </c>
    </row>
    <row r="14" spans="1:19">
      <c r="A14" s="2107">
        <v>4</v>
      </c>
      <c r="B14" s="1962" t="s">
        <v>8974</v>
      </c>
      <c r="C14" s="2112">
        <v>2871386</v>
      </c>
      <c r="D14" s="2112">
        <v>2871386</v>
      </c>
      <c r="E14" s="2112">
        <v>2871386</v>
      </c>
      <c r="F14" s="2112">
        <v>2871386</v>
      </c>
      <c r="G14" s="2112">
        <v>2871386</v>
      </c>
      <c r="H14" s="2112">
        <v>2871386</v>
      </c>
      <c r="I14" s="2112">
        <v>2871386</v>
      </c>
      <c r="J14" s="2112">
        <v>2871386</v>
      </c>
      <c r="K14" s="2112">
        <v>2871386</v>
      </c>
      <c r="L14" s="2112">
        <v>2871386</v>
      </c>
      <c r="M14" s="2112">
        <v>2871386</v>
      </c>
      <c r="N14" s="2112">
        <v>2871386</v>
      </c>
      <c r="O14" s="2112">
        <v>2871386</v>
      </c>
      <c r="P14" s="64">
        <f t="shared" si="0"/>
        <v>2871386</v>
      </c>
    </row>
    <row r="15" spans="1:19">
      <c r="A15" s="2107">
        <v>4</v>
      </c>
      <c r="B15" s="1962" t="s">
        <v>8975</v>
      </c>
      <c r="C15" s="2112">
        <v>71243951.170000017</v>
      </c>
      <c r="D15" s="2112">
        <v>71243951.170000017</v>
      </c>
      <c r="E15" s="2112">
        <v>71243951.170000017</v>
      </c>
      <c r="F15" s="2112">
        <v>71243951.170000017</v>
      </c>
      <c r="G15" s="2112">
        <v>71243951.170000017</v>
      </c>
      <c r="H15" s="2112">
        <v>71243951.170000017</v>
      </c>
      <c r="I15" s="2112">
        <v>71243951.170000017</v>
      </c>
      <c r="J15" s="2112">
        <v>71243951.170000017</v>
      </c>
      <c r="K15" s="2112">
        <v>71243951.170000017</v>
      </c>
      <c r="L15" s="2112">
        <v>71243951.170000017</v>
      </c>
      <c r="M15" s="2112">
        <v>71243951.170000017</v>
      </c>
      <c r="N15" s="2112">
        <v>71243951.170000017</v>
      </c>
      <c r="O15" s="2112">
        <v>71243951.170000017</v>
      </c>
      <c r="P15" s="64">
        <f t="shared" si="0"/>
        <v>71243951.170000046</v>
      </c>
    </row>
    <row r="16" spans="1:19">
      <c r="A16" s="2107" t="s">
        <v>1878</v>
      </c>
      <c r="B16" s="1962" t="s">
        <v>8976</v>
      </c>
      <c r="C16" s="2112">
        <v>24467806</v>
      </c>
      <c r="D16" s="2112">
        <v>24467806</v>
      </c>
      <c r="E16" s="2112">
        <v>24467806</v>
      </c>
      <c r="F16" s="2112">
        <v>24467806</v>
      </c>
      <c r="G16" s="2112">
        <v>24467806</v>
      </c>
      <c r="H16" s="2112">
        <v>24467806</v>
      </c>
      <c r="I16" s="2112">
        <v>24467806</v>
      </c>
      <c r="J16" s="2112">
        <v>24467806</v>
      </c>
      <c r="K16" s="2112">
        <v>24467806</v>
      </c>
      <c r="L16" s="2112">
        <v>24467806</v>
      </c>
      <c r="M16" s="2112">
        <v>24467806</v>
      </c>
      <c r="N16" s="2112">
        <v>24467806</v>
      </c>
      <c r="O16" s="2112">
        <v>24467806</v>
      </c>
      <c r="P16" s="64">
        <f t="shared" si="0"/>
        <v>24467806</v>
      </c>
    </row>
    <row r="17" spans="1:16">
      <c r="A17" s="2107" t="s">
        <v>1878</v>
      </c>
      <c r="B17" s="1962" t="s">
        <v>8977</v>
      </c>
      <c r="C17" s="2112">
        <v>7064223.6899999995</v>
      </c>
      <c r="D17" s="2112">
        <v>7064223.6899999995</v>
      </c>
      <c r="E17" s="2112">
        <v>7064223.6899999995</v>
      </c>
      <c r="F17" s="2112">
        <v>7064223.6899999995</v>
      </c>
      <c r="G17" s="2112">
        <v>7064223.6899999995</v>
      </c>
      <c r="H17" s="2112">
        <v>7064223.6899999995</v>
      </c>
      <c r="I17" s="2112">
        <v>7064223.6899999995</v>
      </c>
      <c r="J17" s="2112">
        <v>7064223.6899999995</v>
      </c>
      <c r="K17" s="2112">
        <v>7064223.6899999995</v>
      </c>
      <c r="L17" s="2112">
        <v>7064223.6899999995</v>
      </c>
      <c r="M17" s="2112">
        <v>7064223.6899999995</v>
      </c>
      <c r="N17" s="2112">
        <v>7064223.6899999995</v>
      </c>
      <c r="O17" s="2112">
        <v>7064223.6899999995</v>
      </c>
      <c r="P17" s="64">
        <f t="shared" si="0"/>
        <v>7064223.6899999985</v>
      </c>
    </row>
    <row r="18" spans="1:16">
      <c r="A18" s="2107" t="s">
        <v>1878</v>
      </c>
      <c r="B18" s="1962" t="s">
        <v>8978</v>
      </c>
      <c r="C18" s="2112">
        <v>21467359.109999999</v>
      </c>
      <c r="D18" s="2112">
        <v>21467359.109999999</v>
      </c>
      <c r="E18" s="2112">
        <v>21467359.109999999</v>
      </c>
      <c r="F18" s="2112">
        <v>21467359.109999999</v>
      </c>
      <c r="G18" s="2112">
        <v>21467359.109999999</v>
      </c>
      <c r="H18" s="2112">
        <v>21467359.109999999</v>
      </c>
      <c r="I18" s="2112">
        <v>21467359.109999999</v>
      </c>
      <c r="J18" s="2112">
        <v>21467359.109999999</v>
      </c>
      <c r="K18" s="2112">
        <v>21467359.109999999</v>
      </c>
      <c r="L18" s="2112">
        <v>21467359.109999999</v>
      </c>
      <c r="M18" s="2112">
        <v>21467359.109999999</v>
      </c>
      <c r="N18" s="2112">
        <v>21467359.109999999</v>
      </c>
      <c r="O18" s="2112">
        <v>21467359.109999999</v>
      </c>
      <c r="P18" s="64">
        <f t="shared" si="0"/>
        <v>21467359.110000007</v>
      </c>
    </row>
    <row r="19" spans="1:16">
      <c r="A19" s="2107" t="s">
        <v>1878</v>
      </c>
      <c r="B19" s="1962" t="s">
        <v>8979</v>
      </c>
      <c r="C19" s="2112">
        <v>503214.19999999995</v>
      </c>
      <c r="D19" s="2112">
        <v>503214.19999999995</v>
      </c>
      <c r="E19" s="2112">
        <v>503214.19999999995</v>
      </c>
      <c r="F19" s="2112">
        <v>503214.19999999995</v>
      </c>
      <c r="G19" s="2112">
        <v>503214.19999999995</v>
      </c>
      <c r="H19" s="2112">
        <v>503214.19999999995</v>
      </c>
      <c r="I19" s="2112">
        <v>503214.19999999995</v>
      </c>
      <c r="J19" s="2112">
        <v>503214.19999999995</v>
      </c>
      <c r="K19" s="2112">
        <v>503214.19999999995</v>
      </c>
      <c r="L19" s="2112">
        <v>503214.19999999995</v>
      </c>
      <c r="M19" s="2112">
        <v>503214.19999999995</v>
      </c>
      <c r="N19" s="2112">
        <v>503214.19999999995</v>
      </c>
      <c r="O19" s="2112">
        <v>503214.19999999995</v>
      </c>
      <c r="P19" s="64">
        <f t="shared" si="0"/>
        <v>503214.20000000013</v>
      </c>
    </row>
    <row r="20" spans="1:16">
      <c r="A20" s="2107"/>
      <c r="B20" s="1962"/>
      <c r="C20" s="2112"/>
      <c r="D20" s="2112"/>
      <c r="E20" s="2112"/>
      <c r="F20" s="2112"/>
      <c r="G20" s="2112"/>
      <c r="H20" s="2112"/>
      <c r="I20" s="2112"/>
      <c r="J20" s="2112"/>
      <c r="K20" s="2112"/>
      <c r="L20" s="2112"/>
      <c r="M20" s="2112"/>
      <c r="N20" s="2112"/>
      <c r="O20" s="2112"/>
      <c r="P20" s="64"/>
    </row>
    <row r="21" spans="1:16" ht="14.25" customHeight="1">
      <c r="A21" s="2107"/>
      <c r="B21" s="1962" t="s">
        <v>119</v>
      </c>
      <c r="C21" s="2112"/>
      <c r="D21" s="2112"/>
      <c r="E21" s="2112"/>
      <c r="F21" s="2112"/>
      <c r="G21" s="2112"/>
      <c r="H21" s="2112"/>
      <c r="I21" s="2112"/>
      <c r="J21" s="2112"/>
      <c r="K21" s="2112"/>
      <c r="L21" s="2112"/>
      <c r="M21" s="2112"/>
      <c r="N21" s="2112"/>
      <c r="O21" s="2112"/>
      <c r="P21" s="64"/>
    </row>
    <row r="22" spans="1:16">
      <c r="A22" s="2107" t="s">
        <v>1883</v>
      </c>
      <c r="B22" s="1962" t="s">
        <v>8980</v>
      </c>
      <c r="C22" s="2112">
        <v>3958137.38</v>
      </c>
      <c r="D22" s="2112">
        <v>3958137.38</v>
      </c>
      <c r="E22" s="2112">
        <v>3958137.38</v>
      </c>
      <c r="F22" s="2112">
        <v>3958137.38</v>
      </c>
      <c r="G22" s="2112">
        <v>3958137.38</v>
      </c>
      <c r="H22" s="2112">
        <v>3958137.38</v>
      </c>
      <c r="I22" s="2112">
        <v>3958137.38</v>
      </c>
      <c r="J22" s="2112">
        <v>3958137.38</v>
      </c>
      <c r="K22" s="2112">
        <v>3958137.38</v>
      </c>
      <c r="L22" s="2112">
        <v>4737824.08</v>
      </c>
      <c r="M22" s="2112">
        <v>4737824.08</v>
      </c>
      <c r="N22" s="2112">
        <v>4737824.08</v>
      </c>
      <c r="O22" s="2112">
        <v>4737824.08</v>
      </c>
      <c r="P22" s="64">
        <f t="shared" si="0"/>
        <v>4198040.9799999986</v>
      </c>
    </row>
    <row r="23" spans="1:16">
      <c r="A23" s="2107" t="s">
        <v>1883</v>
      </c>
      <c r="B23" s="1962" t="s">
        <v>8981</v>
      </c>
      <c r="C23" s="2112">
        <v>1308034.29</v>
      </c>
      <c r="D23" s="2112">
        <v>1308034.29</v>
      </c>
      <c r="E23" s="2112">
        <v>1308034.29</v>
      </c>
      <c r="F23" s="2112">
        <v>1308034.29</v>
      </c>
      <c r="G23" s="2112">
        <v>1308034.29</v>
      </c>
      <c r="H23" s="2112">
        <v>1308034.29</v>
      </c>
      <c r="I23" s="2112">
        <v>1308034.29</v>
      </c>
      <c r="J23" s="2112">
        <v>1308034.29</v>
      </c>
      <c r="K23" s="2112">
        <v>1308034.29</v>
      </c>
      <c r="L23" s="2112">
        <v>1308034.29</v>
      </c>
      <c r="M23" s="2112">
        <v>1308034.29</v>
      </c>
      <c r="N23" s="2112">
        <v>1308034.29</v>
      </c>
      <c r="O23" s="2112">
        <v>1308034.29</v>
      </c>
      <c r="P23" s="64">
        <f t="shared" si="0"/>
        <v>1308034.2899999996</v>
      </c>
    </row>
    <row r="24" spans="1:16">
      <c r="A24" s="2107" t="s">
        <v>1883</v>
      </c>
      <c r="B24" s="1962" t="s">
        <v>8982</v>
      </c>
      <c r="C24" s="2112">
        <v>32803042.719999999</v>
      </c>
      <c r="D24" s="2112">
        <v>32803042.719999999</v>
      </c>
      <c r="E24" s="2112">
        <v>32803042.719999999</v>
      </c>
      <c r="F24" s="2112">
        <v>32803042.719999999</v>
      </c>
      <c r="G24" s="2112">
        <v>32803042.719999999</v>
      </c>
      <c r="H24" s="2112">
        <v>32803042.719999999</v>
      </c>
      <c r="I24" s="2112">
        <v>32803042.719999999</v>
      </c>
      <c r="J24" s="2112">
        <v>32803042.719999999</v>
      </c>
      <c r="K24" s="2112">
        <v>32803042.719999999</v>
      </c>
      <c r="L24" s="2112">
        <v>32803042.719999999</v>
      </c>
      <c r="M24" s="2112">
        <v>32803042.719999999</v>
      </c>
      <c r="N24" s="2112">
        <v>32803042.719999999</v>
      </c>
      <c r="O24" s="2112">
        <v>32803042.719999999</v>
      </c>
      <c r="P24" s="64">
        <f t="shared" si="0"/>
        <v>32803042.72000001</v>
      </c>
    </row>
    <row r="25" spans="1:16">
      <c r="A25" s="2107" t="s">
        <v>1883</v>
      </c>
      <c r="B25" s="1962" t="s">
        <v>8983</v>
      </c>
      <c r="C25" s="2112">
        <v>11515546.68</v>
      </c>
      <c r="D25" s="2112">
        <v>11515546.68</v>
      </c>
      <c r="E25" s="2112">
        <v>11515546.68</v>
      </c>
      <c r="F25" s="2112">
        <v>11515546.68</v>
      </c>
      <c r="G25" s="2112">
        <v>11515546.68</v>
      </c>
      <c r="H25" s="2112">
        <v>11515546.68</v>
      </c>
      <c r="I25" s="2112">
        <v>11515546.68</v>
      </c>
      <c r="J25" s="2112">
        <v>11515546.68</v>
      </c>
      <c r="K25" s="2112">
        <v>11515546.68</v>
      </c>
      <c r="L25" s="2112">
        <v>11515546.68</v>
      </c>
      <c r="M25" s="2112">
        <v>11515546.68</v>
      </c>
      <c r="N25" s="2112">
        <v>11515546.68</v>
      </c>
      <c r="O25" s="2112">
        <v>11515546.68</v>
      </c>
      <c r="P25" s="64">
        <f t="shared" si="0"/>
        <v>11515546.680000003</v>
      </c>
    </row>
    <row r="26" spans="1:16">
      <c r="A26" s="2107" t="s">
        <v>8985</v>
      </c>
      <c r="B26" s="1962" t="s">
        <v>8984</v>
      </c>
      <c r="C26" s="2112">
        <v>17110928.950000003</v>
      </c>
      <c r="D26" s="2112">
        <v>17110928.950000003</v>
      </c>
      <c r="E26" s="2112">
        <v>17110928.950000003</v>
      </c>
      <c r="F26" s="2112">
        <v>17110928.950000003</v>
      </c>
      <c r="G26" s="2112">
        <v>17110928.950000003</v>
      </c>
      <c r="H26" s="2112">
        <v>17110928.950000003</v>
      </c>
      <c r="I26" s="2112">
        <v>17110928.950000003</v>
      </c>
      <c r="J26" s="2112">
        <v>17110928.950000003</v>
      </c>
      <c r="K26" s="2112">
        <v>17110928.950000003</v>
      </c>
      <c r="L26" s="2112">
        <v>17110928.950000003</v>
      </c>
      <c r="M26" s="2112">
        <v>17110928.950000003</v>
      </c>
      <c r="N26" s="2112">
        <v>17110928.950000003</v>
      </c>
      <c r="O26" s="2112">
        <v>17110928.950000003</v>
      </c>
      <c r="P26" s="64">
        <f t="shared" si="0"/>
        <v>17110928.949999996</v>
      </c>
    </row>
    <row r="29" spans="1:16"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8" tint="0.59999389629810485"/>
  </sheetPr>
  <dimension ref="A1:S26"/>
  <sheetViews>
    <sheetView tabSelected="1" showOutlineSymbols="0" workbookViewId="0"/>
  </sheetViews>
  <sheetFormatPr defaultRowHeight="14.4"/>
  <cols>
    <col min="1" max="1" width="15.6640625" style="33" bestFit="1" customWidth="1"/>
    <col min="2" max="2" width="49.88671875" bestFit="1" customWidth="1"/>
    <col min="3" max="15" width="11.109375" bestFit="1" customWidth="1"/>
    <col min="16" max="16" width="13.5546875" bestFit="1" customWidth="1"/>
    <col min="17" max="17" width="15.6640625" bestFit="1" customWidth="1"/>
    <col min="18" max="18" width="10.88671875" bestFit="1" customWidth="1"/>
    <col min="19" max="20" width="12.6640625" bestFit="1" customWidth="1"/>
  </cols>
  <sheetData>
    <row r="1" spans="1:19" ht="15" thickBot="1">
      <c r="Q1" s="81" t="s">
        <v>1877</v>
      </c>
      <c r="R1" s="2099" t="s">
        <v>1887</v>
      </c>
      <c r="S1" s="2100"/>
    </row>
    <row r="2" spans="1:19">
      <c r="Q2" s="2101">
        <v>1</v>
      </c>
      <c r="R2" s="2102">
        <v>0.5</v>
      </c>
      <c r="S2" s="2103" t="s">
        <v>116</v>
      </c>
    </row>
    <row r="3" spans="1:19" ht="15" thickBot="1">
      <c r="B3" t="s">
        <v>1884</v>
      </c>
      <c r="Q3" s="2104">
        <v>2</v>
      </c>
      <c r="R3" s="2105">
        <v>0.5</v>
      </c>
      <c r="S3" s="2106" t="s">
        <v>116</v>
      </c>
    </row>
    <row r="4" spans="1:19" ht="15" thickBot="1">
      <c r="Q4" s="81" t="s">
        <v>1877</v>
      </c>
      <c r="R4" s="2099" t="s">
        <v>1887</v>
      </c>
      <c r="S4" s="2100"/>
    </row>
    <row r="5" spans="1:19">
      <c r="A5" s="2107"/>
      <c r="B5" s="1962" t="s">
        <v>1532</v>
      </c>
      <c r="C5" s="2108" t="s">
        <v>7187</v>
      </c>
      <c r="D5" s="2108" t="s">
        <v>7187</v>
      </c>
      <c r="E5" s="2108" t="s">
        <v>7187</v>
      </c>
      <c r="F5" s="2108" t="s">
        <v>7187</v>
      </c>
      <c r="G5" s="2108" t="s">
        <v>7187</v>
      </c>
      <c r="H5" s="2108" t="s">
        <v>7187</v>
      </c>
      <c r="I5" s="2108" t="s">
        <v>7187</v>
      </c>
      <c r="J5" s="2108" t="s">
        <v>7187</v>
      </c>
      <c r="K5" s="2108" t="s">
        <v>7187</v>
      </c>
      <c r="L5" s="2108" t="s">
        <v>7187</v>
      </c>
      <c r="M5" s="2108" t="s">
        <v>7187</v>
      </c>
      <c r="N5" s="2108" t="s">
        <v>7187</v>
      </c>
      <c r="O5" s="2108" t="s">
        <v>7187</v>
      </c>
      <c r="P5" s="2109" t="s">
        <v>19</v>
      </c>
      <c r="Q5" s="2101">
        <v>3</v>
      </c>
      <c r="R5" s="2102">
        <v>0.5</v>
      </c>
      <c r="S5" s="2103" t="s">
        <v>116</v>
      </c>
    </row>
    <row r="6" spans="1:19" ht="15" thickBot="1">
      <c r="A6" s="1985" t="s">
        <v>1877</v>
      </c>
      <c r="B6" s="1962" t="s">
        <v>120</v>
      </c>
      <c r="C6" s="2110">
        <v>45627</v>
      </c>
      <c r="D6" s="2110">
        <v>45658</v>
      </c>
      <c r="E6" s="2110">
        <v>45689</v>
      </c>
      <c r="F6" s="2110">
        <v>45717</v>
      </c>
      <c r="G6" s="2110">
        <v>45748</v>
      </c>
      <c r="H6" s="2110">
        <v>45778</v>
      </c>
      <c r="I6" s="2110">
        <v>45809</v>
      </c>
      <c r="J6" s="2110">
        <v>45839</v>
      </c>
      <c r="K6" s="2110">
        <v>45870</v>
      </c>
      <c r="L6" s="2110">
        <v>45901</v>
      </c>
      <c r="M6" s="2110">
        <v>45931</v>
      </c>
      <c r="N6" s="2110">
        <v>45962</v>
      </c>
      <c r="O6" s="2110">
        <v>45992</v>
      </c>
      <c r="P6" s="2111" t="s">
        <v>1839</v>
      </c>
      <c r="Q6" s="2104">
        <v>4</v>
      </c>
      <c r="R6" s="2105">
        <v>0.5</v>
      </c>
      <c r="S6" s="2106" t="s">
        <v>116</v>
      </c>
    </row>
    <row r="7" spans="1:19">
      <c r="A7" s="2107">
        <v>3</v>
      </c>
      <c r="B7" s="1962" t="s">
        <v>8967</v>
      </c>
      <c r="C7" s="2112">
        <v>8097645</v>
      </c>
      <c r="D7" s="2112">
        <v>8158647</v>
      </c>
      <c r="E7" s="2112">
        <v>8219649</v>
      </c>
      <c r="F7" s="2112">
        <v>8280651</v>
      </c>
      <c r="G7" s="2112">
        <v>8341653</v>
      </c>
      <c r="H7" s="2112">
        <v>8402655</v>
      </c>
      <c r="I7" s="2112">
        <v>8463657</v>
      </c>
      <c r="J7" s="2112">
        <v>8524659</v>
      </c>
      <c r="K7" s="2112">
        <v>8585661</v>
      </c>
      <c r="L7" s="2112">
        <v>8646663</v>
      </c>
      <c r="M7" s="2112">
        <v>8707665</v>
      </c>
      <c r="N7" s="2112">
        <v>8768667</v>
      </c>
      <c r="O7" s="2112">
        <v>8829669</v>
      </c>
      <c r="P7" s="64">
        <f t="shared" ref="P7:P19" si="0">+AVERAGE(C7:O7)</f>
        <v>8463657</v>
      </c>
    </row>
    <row r="8" spans="1:19">
      <c r="A8" s="2107">
        <v>4</v>
      </c>
      <c r="B8" s="1962" t="s">
        <v>8968</v>
      </c>
      <c r="C8" s="2112">
        <v>866211</v>
      </c>
      <c r="D8" s="2112">
        <v>866211</v>
      </c>
      <c r="E8" s="2112">
        <v>866211</v>
      </c>
      <c r="F8" s="2112">
        <v>866211</v>
      </c>
      <c r="G8" s="2112">
        <v>866211</v>
      </c>
      <c r="H8" s="2112">
        <v>866211</v>
      </c>
      <c r="I8" s="2112">
        <v>866211</v>
      </c>
      <c r="J8" s="2112">
        <v>866211</v>
      </c>
      <c r="K8" s="2112">
        <v>866211</v>
      </c>
      <c r="L8" s="2112">
        <v>866211</v>
      </c>
      <c r="M8" s="2112">
        <v>866211</v>
      </c>
      <c r="N8" s="2112">
        <v>866211</v>
      </c>
      <c r="O8" s="2112">
        <v>866211</v>
      </c>
      <c r="P8" s="64">
        <f t="shared" si="0"/>
        <v>866211</v>
      </c>
    </row>
    <row r="9" spans="1:19">
      <c r="A9" s="2107" t="s">
        <v>1878</v>
      </c>
      <c r="B9" s="1962" t="s">
        <v>8969</v>
      </c>
      <c r="C9" s="2112">
        <v>77515</v>
      </c>
      <c r="D9" s="2112">
        <v>77769</v>
      </c>
      <c r="E9" s="2112">
        <v>78023</v>
      </c>
      <c r="F9" s="2112">
        <v>78277</v>
      </c>
      <c r="G9" s="2112">
        <v>78531</v>
      </c>
      <c r="H9" s="2112">
        <v>78785</v>
      </c>
      <c r="I9" s="2112">
        <v>79039</v>
      </c>
      <c r="J9" s="2112">
        <v>79293</v>
      </c>
      <c r="K9" s="2112">
        <v>79547</v>
      </c>
      <c r="L9" s="2112">
        <v>79801</v>
      </c>
      <c r="M9" s="2112">
        <v>80055</v>
      </c>
      <c r="N9" s="2112">
        <v>80309</v>
      </c>
      <c r="O9" s="2112">
        <v>80563</v>
      </c>
      <c r="P9" s="64">
        <f t="shared" si="0"/>
        <v>79039</v>
      </c>
    </row>
    <row r="10" spans="1:19">
      <c r="A10" s="2107" t="s">
        <v>1878</v>
      </c>
      <c r="B10" s="1962" t="s">
        <v>8970</v>
      </c>
      <c r="C10" s="2112">
        <v>23902081.600000001</v>
      </c>
      <c r="D10" s="2112">
        <v>24029575.600000001</v>
      </c>
      <c r="E10" s="2112">
        <v>24157069.600000001</v>
      </c>
      <c r="F10" s="2112">
        <v>24284563.600000001</v>
      </c>
      <c r="G10" s="2112">
        <v>24412057.600000001</v>
      </c>
      <c r="H10" s="2112">
        <v>24539551.600000001</v>
      </c>
      <c r="I10" s="2112">
        <v>24667045.600000001</v>
      </c>
      <c r="J10" s="2112">
        <v>24794539.600000001</v>
      </c>
      <c r="K10" s="2112">
        <v>24922033.600000001</v>
      </c>
      <c r="L10" s="2112">
        <v>25049527.600000001</v>
      </c>
      <c r="M10" s="2112">
        <v>25177021.600000001</v>
      </c>
      <c r="N10" s="2112">
        <v>25304515.600000001</v>
      </c>
      <c r="O10" s="2112">
        <v>25432009.600000001</v>
      </c>
      <c r="P10" s="64">
        <f t="shared" si="0"/>
        <v>24667045.600000001</v>
      </c>
    </row>
    <row r="11" spans="1:19">
      <c r="A11" s="2107" t="s">
        <v>1878</v>
      </c>
      <c r="B11" s="1962" t="s">
        <v>8971</v>
      </c>
      <c r="C11" s="2112">
        <v>13157776</v>
      </c>
      <c r="D11" s="2112">
        <v>13257673</v>
      </c>
      <c r="E11" s="2112">
        <v>13357570</v>
      </c>
      <c r="F11" s="2112">
        <v>13457467</v>
      </c>
      <c r="G11" s="2112">
        <v>13557364</v>
      </c>
      <c r="H11" s="2112">
        <v>13657261</v>
      </c>
      <c r="I11" s="2112">
        <v>13757158</v>
      </c>
      <c r="J11" s="2112">
        <v>13857055</v>
      </c>
      <c r="K11" s="2112">
        <v>13956952</v>
      </c>
      <c r="L11" s="2112">
        <v>14056849</v>
      </c>
      <c r="M11" s="2112">
        <v>14156746</v>
      </c>
      <c r="N11" s="2112">
        <v>14256643</v>
      </c>
      <c r="O11" s="2112">
        <v>14356540</v>
      </c>
      <c r="P11" s="64">
        <f t="shared" si="0"/>
        <v>13757158</v>
      </c>
    </row>
    <row r="12" spans="1:19">
      <c r="A12" s="2107" t="s">
        <v>1878</v>
      </c>
      <c r="B12" s="1962" t="s">
        <v>8972</v>
      </c>
      <c r="C12" s="2112">
        <v>193903</v>
      </c>
      <c r="D12" s="2112">
        <v>194723</v>
      </c>
      <c r="E12" s="2112">
        <v>195543</v>
      </c>
      <c r="F12" s="2112">
        <v>196363</v>
      </c>
      <c r="G12" s="2112">
        <v>197183</v>
      </c>
      <c r="H12" s="2112">
        <v>198003</v>
      </c>
      <c r="I12" s="2112">
        <v>198823</v>
      </c>
      <c r="J12" s="2112">
        <v>199643</v>
      </c>
      <c r="K12" s="2112">
        <v>200463</v>
      </c>
      <c r="L12" s="2112">
        <v>201283</v>
      </c>
      <c r="M12" s="2112">
        <v>202103</v>
      </c>
      <c r="N12" s="2112">
        <v>202923</v>
      </c>
      <c r="O12" s="2112">
        <v>203743</v>
      </c>
      <c r="P12" s="64">
        <f t="shared" si="0"/>
        <v>198823</v>
      </c>
    </row>
    <row r="13" spans="1:19">
      <c r="A13" s="2107" t="s">
        <v>1872</v>
      </c>
      <c r="B13" s="1962" t="s">
        <v>8973</v>
      </c>
      <c r="C13" s="2112">
        <v>1140822</v>
      </c>
      <c r="D13" s="2112">
        <v>1145676</v>
      </c>
      <c r="E13" s="2112">
        <v>1150530</v>
      </c>
      <c r="F13" s="2112">
        <v>1155384</v>
      </c>
      <c r="G13" s="2112">
        <v>1160238</v>
      </c>
      <c r="H13" s="2112">
        <v>1165092</v>
      </c>
      <c r="I13" s="2112">
        <v>1169946</v>
      </c>
      <c r="J13" s="2112">
        <v>1174800</v>
      </c>
      <c r="K13" s="2112">
        <v>1179654</v>
      </c>
      <c r="L13" s="2112">
        <v>1184508</v>
      </c>
      <c r="M13" s="2112">
        <v>1189362</v>
      </c>
      <c r="N13" s="2112">
        <v>1194216</v>
      </c>
      <c r="O13" s="2112">
        <v>1199070</v>
      </c>
      <c r="P13" s="64">
        <f t="shared" si="0"/>
        <v>1169946</v>
      </c>
    </row>
    <row r="14" spans="1:19">
      <c r="A14" s="2107">
        <v>4</v>
      </c>
      <c r="B14" s="1962" t="s">
        <v>8974</v>
      </c>
      <c r="C14" s="2112">
        <v>1480989</v>
      </c>
      <c r="D14" s="2112">
        <v>1493862</v>
      </c>
      <c r="E14" s="2112">
        <v>1506735</v>
      </c>
      <c r="F14" s="2112">
        <v>1519608</v>
      </c>
      <c r="G14" s="2112">
        <v>1532481</v>
      </c>
      <c r="H14" s="2112">
        <v>1545354</v>
      </c>
      <c r="I14" s="2112">
        <v>1558227</v>
      </c>
      <c r="J14" s="2112">
        <v>1571100</v>
      </c>
      <c r="K14" s="2112">
        <v>1583973</v>
      </c>
      <c r="L14" s="2112">
        <v>1596846</v>
      </c>
      <c r="M14" s="2112">
        <v>1609719</v>
      </c>
      <c r="N14" s="2112">
        <v>1622592</v>
      </c>
      <c r="O14" s="2112">
        <v>1635465</v>
      </c>
      <c r="P14" s="64">
        <f t="shared" si="0"/>
        <v>1558227</v>
      </c>
    </row>
    <row r="15" spans="1:19">
      <c r="A15" s="2107">
        <v>4</v>
      </c>
      <c r="B15" s="1962" t="s">
        <v>8975</v>
      </c>
      <c r="C15" s="2112">
        <v>38437992</v>
      </c>
      <c r="D15" s="2112">
        <v>38704492</v>
      </c>
      <c r="E15" s="2112">
        <v>38970992</v>
      </c>
      <c r="F15" s="2112">
        <v>39237492</v>
      </c>
      <c r="G15" s="2112">
        <v>39503992</v>
      </c>
      <c r="H15" s="2112">
        <v>39770492</v>
      </c>
      <c r="I15" s="2112">
        <v>40036992</v>
      </c>
      <c r="J15" s="2112">
        <v>40303492</v>
      </c>
      <c r="K15" s="2112">
        <v>40569992</v>
      </c>
      <c r="L15" s="2112">
        <v>40836492</v>
      </c>
      <c r="M15" s="2112">
        <v>41102992</v>
      </c>
      <c r="N15" s="2112">
        <v>41369492</v>
      </c>
      <c r="O15" s="2112">
        <v>41635992</v>
      </c>
      <c r="P15" s="64">
        <f t="shared" si="0"/>
        <v>40036992</v>
      </c>
    </row>
    <row r="16" spans="1:19">
      <c r="A16" s="2107" t="s">
        <v>1878</v>
      </c>
      <c r="B16" s="1962" t="s">
        <v>8976</v>
      </c>
      <c r="C16" s="2112">
        <v>9357121</v>
      </c>
      <c r="D16" s="2112">
        <v>9466819</v>
      </c>
      <c r="E16" s="2112">
        <v>9576517</v>
      </c>
      <c r="F16" s="2112">
        <v>9686215</v>
      </c>
      <c r="G16" s="2112">
        <v>9795913</v>
      </c>
      <c r="H16" s="2112">
        <v>9905611</v>
      </c>
      <c r="I16" s="2112">
        <v>10015309</v>
      </c>
      <c r="J16" s="2112">
        <v>10125007</v>
      </c>
      <c r="K16" s="2112">
        <v>10234705</v>
      </c>
      <c r="L16" s="2112">
        <v>10344403</v>
      </c>
      <c r="M16" s="2112">
        <v>10454101</v>
      </c>
      <c r="N16" s="2112">
        <v>10563799</v>
      </c>
      <c r="O16" s="2112">
        <v>10673497</v>
      </c>
      <c r="P16" s="64">
        <f t="shared" si="0"/>
        <v>10015309</v>
      </c>
    </row>
    <row r="17" spans="1:16">
      <c r="A17" s="2107" t="s">
        <v>1878</v>
      </c>
      <c r="B17" s="1962" t="s">
        <v>8977</v>
      </c>
      <c r="C17" s="2112">
        <v>2506481</v>
      </c>
      <c r="D17" s="2112">
        <v>2534882</v>
      </c>
      <c r="E17" s="2112">
        <v>2563283</v>
      </c>
      <c r="F17" s="2112">
        <v>2591684</v>
      </c>
      <c r="G17" s="2112">
        <v>2620085</v>
      </c>
      <c r="H17" s="2112">
        <v>2648486</v>
      </c>
      <c r="I17" s="2112">
        <v>2676887</v>
      </c>
      <c r="J17" s="2112">
        <v>2705288</v>
      </c>
      <c r="K17" s="2112">
        <v>2733459.83</v>
      </c>
      <c r="L17" s="2112">
        <v>2761443.83</v>
      </c>
      <c r="M17" s="2112">
        <v>2789427.83</v>
      </c>
      <c r="N17" s="2112">
        <v>2817411.83</v>
      </c>
      <c r="O17" s="2112">
        <v>2845395.83</v>
      </c>
      <c r="P17" s="64">
        <f t="shared" si="0"/>
        <v>2676478.0884615378</v>
      </c>
    </row>
    <row r="18" spans="1:16">
      <c r="A18" s="2107" t="s">
        <v>1878</v>
      </c>
      <c r="B18" s="1962" t="s">
        <v>8978</v>
      </c>
      <c r="C18" s="2112">
        <v>6460827</v>
      </c>
      <c r="D18" s="2112">
        <v>6505908</v>
      </c>
      <c r="E18" s="2112">
        <v>6550989</v>
      </c>
      <c r="F18" s="2112">
        <v>6596070</v>
      </c>
      <c r="G18" s="2112">
        <v>6641151</v>
      </c>
      <c r="H18" s="2112">
        <v>6686232</v>
      </c>
      <c r="I18" s="2112">
        <v>6731313</v>
      </c>
      <c r="J18" s="2112">
        <v>6776394</v>
      </c>
      <c r="K18" s="2112">
        <v>6821475</v>
      </c>
      <c r="L18" s="2112">
        <v>6866556</v>
      </c>
      <c r="M18" s="2112">
        <v>6911637</v>
      </c>
      <c r="N18" s="2112">
        <v>6956718</v>
      </c>
      <c r="O18" s="2112">
        <v>7001799</v>
      </c>
      <c r="P18" s="64">
        <f t="shared" si="0"/>
        <v>6731313</v>
      </c>
    </row>
    <row r="19" spans="1:16">
      <c r="A19" s="2107" t="s">
        <v>1878</v>
      </c>
      <c r="B19" s="1962" t="s">
        <v>8979</v>
      </c>
      <c r="C19" s="2112">
        <v>31852</v>
      </c>
      <c r="D19" s="2112">
        <v>32993</v>
      </c>
      <c r="E19" s="2112">
        <v>34134</v>
      </c>
      <c r="F19" s="2112">
        <v>35275</v>
      </c>
      <c r="G19" s="2112">
        <v>36416</v>
      </c>
      <c r="H19" s="2112">
        <v>37557</v>
      </c>
      <c r="I19" s="2112">
        <v>38698</v>
      </c>
      <c r="J19" s="2112">
        <v>39839</v>
      </c>
      <c r="K19" s="2112">
        <v>40980</v>
      </c>
      <c r="L19" s="2112">
        <v>42121</v>
      </c>
      <c r="M19" s="2112">
        <v>43262</v>
      </c>
      <c r="N19" s="2112">
        <v>44403</v>
      </c>
      <c r="O19" s="2112">
        <v>45544</v>
      </c>
      <c r="P19" s="64">
        <f t="shared" si="0"/>
        <v>38698</v>
      </c>
    </row>
    <row r="20" spans="1:16">
      <c r="A20" s="2107"/>
      <c r="B20" s="1962"/>
      <c r="C20" s="2112"/>
      <c r="D20" s="2112"/>
      <c r="E20" s="2112"/>
      <c r="F20" s="2112"/>
      <c r="G20" s="2112"/>
      <c r="H20" s="2112"/>
      <c r="I20" s="2112"/>
      <c r="J20" s="2112"/>
      <c r="K20" s="2112"/>
      <c r="L20" s="2112"/>
      <c r="M20" s="2112"/>
      <c r="N20" s="2112"/>
      <c r="O20" s="2112"/>
      <c r="P20" s="64"/>
    </row>
    <row r="21" spans="1:16">
      <c r="A21" s="2107"/>
      <c r="B21" s="1962" t="s">
        <v>119</v>
      </c>
      <c r="C21" s="2112"/>
      <c r="D21" s="2112"/>
      <c r="E21" s="2112"/>
      <c r="F21" s="2112"/>
      <c r="G21" s="2112"/>
      <c r="H21" s="2112"/>
      <c r="I21" s="2112"/>
      <c r="J21" s="2112"/>
      <c r="K21" s="2112"/>
      <c r="L21" s="2112"/>
      <c r="M21" s="2112"/>
      <c r="N21" s="2112"/>
      <c r="O21" s="2112"/>
      <c r="P21" s="64"/>
    </row>
    <row r="22" spans="1:16">
      <c r="A22" s="2107" t="s">
        <v>1883</v>
      </c>
      <c r="B22" s="1962" t="s">
        <v>8980</v>
      </c>
      <c r="C22" s="2112">
        <v>537228</v>
      </c>
      <c r="D22" s="2112">
        <v>548021</v>
      </c>
      <c r="E22" s="2112">
        <v>558814</v>
      </c>
      <c r="F22" s="2112">
        <v>569607</v>
      </c>
      <c r="G22" s="2112">
        <v>580400</v>
      </c>
      <c r="H22" s="2112">
        <v>591193</v>
      </c>
      <c r="I22" s="2112">
        <v>601986</v>
      </c>
      <c r="J22" s="2112">
        <v>612779</v>
      </c>
      <c r="K22" s="2112">
        <v>623572</v>
      </c>
      <c r="L22" s="2112">
        <v>634365</v>
      </c>
      <c r="M22" s="2112">
        <v>648654</v>
      </c>
      <c r="N22" s="2112">
        <v>662943</v>
      </c>
      <c r="O22" s="2112">
        <v>677232</v>
      </c>
      <c r="P22" s="64">
        <f>+AVERAGE(C22:O22)</f>
        <v>603599.5384615385</v>
      </c>
    </row>
    <row r="23" spans="1:16">
      <c r="A23" s="2107" t="s">
        <v>1883</v>
      </c>
      <c r="B23" s="1962" t="s">
        <v>8981</v>
      </c>
      <c r="C23" s="2112">
        <v>60059</v>
      </c>
      <c r="D23" s="2112">
        <v>63863</v>
      </c>
      <c r="E23" s="2112">
        <v>67667</v>
      </c>
      <c r="F23" s="2112">
        <v>71471</v>
      </c>
      <c r="G23" s="2112">
        <v>75275</v>
      </c>
      <c r="H23" s="2112">
        <v>79079</v>
      </c>
      <c r="I23" s="2112">
        <v>82883</v>
      </c>
      <c r="J23" s="2112">
        <v>86687</v>
      </c>
      <c r="K23" s="2112">
        <v>90491</v>
      </c>
      <c r="L23" s="2112">
        <v>94295</v>
      </c>
      <c r="M23" s="2112">
        <v>98099</v>
      </c>
      <c r="N23" s="2112">
        <v>101903</v>
      </c>
      <c r="O23" s="2112">
        <v>105707</v>
      </c>
      <c r="P23" s="64">
        <f>+AVERAGE(C23:O23)</f>
        <v>82883</v>
      </c>
    </row>
    <row r="24" spans="1:16">
      <c r="A24" s="2107" t="s">
        <v>1883</v>
      </c>
      <c r="B24" s="1962" t="s">
        <v>8982</v>
      </c>
      <c r="C24" s="2112">
        <v>1018417</v>
      </c>
      <c r="D24" s="2112">
        <v>1087417</v>
      </c>
      <c r="E24" s="2112">
        <v>1156417</v>
      </c>
      <c r="F24" s="2112">
        <v>1225417</v>
      </c>
      <c r="G24" s="2112">
        <v>1294417</v>
      </c>
      <c r="H24" s="2112">
        <v>1363417</v>
      </c>
      <c r="I24" s="2112">
        <v>1432417</v>
      </c>
      <c r="J24" s="2112">
        <v>1501417</v>
      </c>
      <c r="K24" s="2112">
        <v>1570417</v>
      </c>
      <c r="L24" s="2112">
        <v>1639417</v>
      </c>
      <c r="M24" s="2112">
        <v>1708417</v>
      </c>
      <c r="N24" s="2112">
        <v>1777417</v>
      </c>
      <c r="O24" s="2112">
        <v>1846417</v>
      </c>
      <c r="P24" s="64">
        <f>+AVERAGE(C24:O24)</f>
        <v>1432417</v>
      </c>
    </row>
    <row r="25" spans="1:16">
      <c r="A25" s="2107" t="s">
        <v>1883</v>
      </c>
      <c r="B25" s="1962" t="s">
        <v>8983</v>
      </c>
      <c r="C25" s="2112">
        <v>751156</v>
      </c>
      <c r="D25" s="2112">
        <v>788582</v>
      </c>
      <c r="E25" s="2112">
        <v>826008</v>
      </c>
      <c r="F25" s="2112">
        <v>863434</v>
      </c>
      <c r="G25" s="2112">
        <v>900860</v>
      </c>
      <c r="H25" s="2112">
        <v>938286</v>
      </c>
      <c r="I25" s="2112">
        <v>975712</v>
      </c>
      <c r="J25" s="2112">
        <v>1013138</v>
      </c>
      <c r="K25" s="2112">
        <v>1050564</v>
      </c>
      <c r="L25" s="2112">
        <v>1087990</v>
      </c>
      <c r="M25" s="2112">
        <v>1125416</v>
      </c>
      <c r="N25" s="2112">
        <v>1162842</v>
      </c>
      <c r="O25" s="2112">
        <v>1200268</v>
      </c>
      <c r="P25" s="64">
        <f>+AVERAGE(C25:O25)</f>
        <v>975712</v>
      </c>
    </row>
    <row r="26" spans="1:16">
      <c r="A26" s="2107" t="s">
        <v>8985</v>
      </c>
      <c r="B26" s="1962" t="s">
        <v>8984</v>
      </c>
      <c r="C26" s="2112">
        <v>701662</v>
      </c>
      <c r="D26" s="2112">
        <v>779659</v>
      </c>
      <c r="E26" s="2112">
        <v>857656</v>
      </c>
      <c r="F26" s="2112">
        <v>935653</v>
      </c>
      <c r="G26" s="2112">
        <v>1013650</v>
      </c>
      <c r="H26" s="2112">
        <v>1091647</v>
      </c>
      <c r="I26" s="2112">
        <v>1169644</v>
      </c>
      <c r="J26" s="2112">
        <v>1247641</v>
      </c>
      <c r="K26" s="2112">
        <v>1325638</v>
      </c>
      <c r="L26" s="2112">
        <v>1403635</v>
      </c>
      <c r="M26" s="2112">
        <v>1481632</v>
      </c>
      <c r="N26" s="2112">
        <v>1559629</v>
      </c>
      <c r="O26" s="2112">
        <v>1637626</v>
      </c>
      <c r="P26" s="64">
        <f>+AVERAGE(C26:O26)</f>
        <v>1169644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8" tint="0.59999389629810485"/>
  </sheetPr>
  <dimension ref="A1:S28"/>
  <sheetViews>
    <sheetView tabSelected="1" showOutlineSymbols="0" workbookViewId="0"/>
  </sheetViews>
  <sheetFormatPr defaultRowHeight="14.4"/>
  <cols>
    <col min="1" max="1" width="15.6640625" bestFit="1" customWidth="1"/>
    <col min="2" max="2" width="50.5546875" bestFit="1" customWidth="1"/>
    <col min="3" max="16" width="12.33203125" bestFit="1" customWidth="1"/>
    <col min="17" max="17" width="15.6640625" bestFit="1" customWidth="1"/>
    <col min="18" max="18" width="10.88671875" bestFit="1" customWidth="1"/>
    <col min="19" max="19" width="12.6640625" bestFit="1" customWidth="1"/>
  </cols>
  <sheetData>
    <row r="1" spans="1:19" ht="15" thickBot="1">
      <c r="Q1" s="81" t="s">
        <v>1877</v>
      </c>
      <c r="R1" s="2099" t="s">
        <v>1887</v>
      </c>
      <c r="S1" s="2100"/>
    </row>
    <row r="2" spans="1:19" ht="15" customHeight="1">
      <c r="A2" s="3075" t="s">
        <v>8986</v>
      </c>
      <c r="B2" s="3075"/>
      <c r="C2" s="3075"/>
      <c r="D2" s="3075"/>
      <c r="E2" s="3075"/>
      <c r="F2" s="3075"/>
      <c r="G2" s="3075"/>
      <c r="H2" s="3075"/>
      <c r="I2" s="3075"/>
      <c r="J2" s="3075"/>
      <c r="K2" s="3075"/>
      <c r="L2" s="3075"/>
      <c r="M2" s="3075"/>
      <c r="N2" s="3075"/>
      <c r="O2" s="3075"/>
      <c r="P2" s="2113"/>
      <c r="Q2" s="2101">
        <v>1</v>
      </c>
      <c r="R2" s="2102">
        <v>0.5</v>
      </c>
      <c r="S2" s="2103" t="s">
        <v>116</v>
      </c>
    </row>
    <row r="3" spans="1:19" ht="15.75" customHeight="1" thickBot="1">
      <c r="A3" s="3075"/>
      <c r="B3" s="3075"/>
      <c r="C3" s="3075"/>
      <c r="D3" s="3075"/>
      <c r="E3" s="3075"/>
      <c r="F3" s="3075"/>
      <c r="G3" s="3075"/>
      <c r="H3" s="3075"/>
      <c r="I3" s="3075"/>
      <c r="J3" s="3075"/>
      <c r="K3" s="3075"/>
      <c r="L3" s="3075"/>
      <c r="M3" s="3075"/>
      <c r="N3" s="3075"/>
      <c r="O3" s="3075"/>
      <c r="P3" s="2113"/>
      <c r="Q3" s="2104">
        <v>2</v>
      </c>
      <c r="R3" s="2105">
        <v>0.5</v>
      </c>
      <c r="S3" s="2106" t="s">
        <v>116</v>
      </c>
    </row>
    <row r="4" spans="1:19" ht="15" thickBot="1">
      <c r="A4" s="3076" t="s">
        <v>8617</v>
      </c>
      <c r="B4" s="3076"/>
      <c r="C4" s="3076"/>
      <c r="D4" s="3076"/>
      <c r="E4" s="3076"/>
      <c r="F4" s="3076"/>
      <c r="G4" s="3076"/>
      <c r="H4" s="3076"/>
      <c r="I4" s="3076"/>
      <c r="J4" s="3076"/>
      <c r="K4" s="3076"/>
      <c r="L4" s="3076"/>
      <c r="M4" s="3076"/>
      <c r="N4" s="3076"/>
      <c r="O4" s="3076"/>
      <c r="P4" s="2114"/>
      <c r="Q4" s="81" t="s">
        <v>1877</v>
      </c>
      <c r="R4" s="2099" t="s">
        <v>1887</v>
      </c>
      <c r="S4" s="2100"/>
    </row>
    <row r="5" spans="1:19" ht="15.6">
      <c r="B5" s="2115" t="s">
        <v>1886</v>
      </c>
      <c r="C5" s="2116"/>
      <c r="D5" s="2117"/>
      <c r="E5" s="2118"/>
      <c r="F5" s="2118"/>
      <c r="G5" s="2118"/>
      <c r="H5" s="2118"/>
      <c r="I5" s="2118"/>
      <c r="J5" s="2118"/>
      <c r="K5" s="2118"/>
      <c r="L5" s="2118"/>
      <c r="M5" s="2118"/>
      <c r="N5" s="2118"/>
      <c r="O5" s="2118"/>
      <c r="P5" s="2118"/>
      <c r="Q5" s="2101">
        <v>3</v>
      </c>
      <c r="R5" s="2102">
        <v>0.5</v>
      </c>
      <c r="S5" s="2103" t="s">
        <v>116</v>
      </c>
    </row>
    <row r="6" spans="1:19" ht="16.2" thickBot="1">
      <c r="A6" s="1962"/>
      <c r="B6" s="2119"/>
      <c r="C6" s="2120"/>
      <c r="D6" s="2120">
        <v>45658</v>
      </c>
      <c r="E6" s="2120">
        <v>45689</v>
      </c>
      <c r="F6" s="2120">
        <v>45717</v>
      </c>
      <c r="G6" s="2120">
        <v>45748</v>
      </c>
      <c r="H6" s="2120">
        <v>45778</v>
      </c>
      <c r="I6" s="2120">
        <v>45809</v>
      </c>
      <c r="J6" s="2120">
        <v>45839</v>
      </c>
      <c r="K6" s="2120">
        <v>45870</v>
      </c>
      <c r="L6" s="2120">
        <v>45901</v>
      </c>
      <c r="M6" s="2120">
        <v>45931</v>
      </c>
      <c r="N6" s="2120">
        <v>45962</v>
      </c>
      <c r="O6" s="2120">
        <v>45992</v>
      </c>
      <c r="P6" s="2121" t="s">
        <v>115</v>
      </c>
      <c r="Q6" s="2104">
        <v>4</v>
      </c>
      <c r="R6" s="2105">
        <v>0.5</v>
      </c>
      <c r="S6" s="2106" t="s">
        <v>116</v>
      </c>
    </row>
    <row r="7" spans="1:19">
      <c r="A7" s="1962"/>
      <c r="B7" s="2119"/>
      <c r="C7" s="2119"/>
      <c r="D7" s="2122"/>
      <c r="E7" s="2122"/>
      <c r="F7" s="2122"/>
      <c r="G7" s="2122"/>
      <c r="H7" s="2122"/>
      <c r="I7" s="2122"/>
      <c r="J7" s="2122"/>
      <c r="K7" s="2122"/>
      <c r="L7" s="2122"/>
      <c r="M7" s="2122"/>
      <c r="N7" s="2122"/>
      <c r="O7" s="2122"/>
      <c r="P7" s="2122"/>
    </row>
    <row r="8" spans="1:19">
      <c r="A8" s="1985" t="s">
        <v>1877</v>
      </c>
      <c r="B8" s="2123" t="s">
        <v>120</v>
      </c>
      <c r="C8" s="2119"/>
      <c r="D8" s="2122"/>
      <c r="E8" s="2122"/>
      <c r="F8" s="2122"/>
      <c r="G8" s="2122"/>
      <c r="H8" s="2122"/>
      <c r="I8" s="2122"/>
      <c r="J8" s="2122"/>
      <c r="K8" s="2122"/>
      <c r="L8" s="2122"/>
      <c r="M8" s="2122"/>
      <c r="N8" s="2122"/>
      <c r="O8" s="2122"/>
      <c r="P8" s="2122"/>
    </row>
    <row r="9" spans="1:19">
      <c r="A9" s="2107">
        <v>3</v>
      </c>
      <c r="B9" s="1962" t="s">
        <v>8967</v>
      </c>
      <c r="C9" s="2119"/>
      <c r="D9" s="2122">
        <v>61002</v>
      </c>
      <c r="E9" s="2122">
        <v>61002</v>
      </c>
      <c r="F9" s="2122">
        <v>61002</v>
      </c>
      <c r="G9" s="2122">
        <v>61002</v>
      </c>
      <c r="H9" s="2122">
        <v>61002</v>
      </c>
      <c r="I9" s="2122">
        <v>61002</v>
      </c>
      <c r="J9" s="2122">
        <v>61002</v>
      </c>
      <c r="K9" s="2122">
        <v>61002</v>
      </c>
      <c r="L9" s="2122">
        <v>61002</v>
      </c>
      <c r="M9" s="2122">
        <v>61002</v>
      </c>
      <c r="N9" s="2122">
        <v>61002</v>
      </c>
      <c r="O9" s="2122">
        <v>61002</v>
      </c>
      <c r="P9" s="2122">
        <f>+SUM(D9:O9)</f>
        <v>732024</v>
      </c>
    </row>
    <row r="10" spans="1:19">
      <c r="A10" s="2107" t="s">
        <v>1878</v>
      </c>
      <c r="B10" s="1962" t="s">
        <v>8969</v>
      </c>
      <c r="C10" s="2119"/>
      <c r="D10" s="2122">
        <v>254</v>
      </c>
      <c r="E10" s="2122">
        <v>254</v>
      </c>
      <c r="F10" s="2122">
        <v>254</v>
      </c>
      <c r="G10" s="2122">
        <v>254</v>
      </c>
      <c r="H10" s="2122">
        <v>254</v>
      </c>
      <c r="I10" s="2122">
        <v>254</v>
      </c>
      <c r="J10" s="2122">
        <v>254</v>
      </c>
      <c r="K10" s="2122">
        <v>254</v>
      </c>
      <c r="L10" s="2122">
        <v>254</v>
      </c>
      <c r="M10" s="2122">
        <v>254</v>
      </c>
      <c r="N10" s="2122">
        <v>254</v>
      </c>
      <c r="O10" s="2122">
        <v>254</v>
      </c>
      <c r="P10" s="2122">
        <f t="shared" ref="P10:P20" si="0">+SUM(D10:O10)</f>
        <v>3048</v>
      </c>
    </row>
    <row r="11" spans="1:19">
      <c r="A11" s="2107" t="s">
        <v>1878</v>
      </c>
      <c r="B11" s="1962" t="s">
        <v>8970</v>
      </c>
      <c r="C11" s="2119"/>
      <c r="D11" s="2122">
        <v>127494</v>
      </c>
      <c r="E11" s="2122">
        <v>127494</v>
      </c>
      <c r="F11" s="2122">
        <v>127494</v>
      </c>
      <c r="G11" s="2122">
        <v>127494</v>
      </c>
      <c r="H11" s="2122">
        <v>127494</v>
      </c>
      <c r="I11" s="2122">
        <v>127494</v>
      </c>
      <c r="J11" s="2122">
        <v>127494</v>
      </c>
      <c r="K11" s="2122">
        <v>127494</v>
      </c>
      <c r="L11" s="2122">
        <v>127494</v>
      </c>
      <c r="M11" s="2122">
        <v>127494</v>
      </c>
      <c r="N11" s="2122">
        <v>127494</v>
      </c>
      <c r="O11" s="2122">
        <v>127494</v>
      </c>
      <c r="P11" s="2122">
        <f t="shared" si="0"/>
        <v>1529928</v>
      </c>
    </row>
    <row r="12" spans="1:19">
      <c r="A12" s="2107" t="s">
        <v>1878</v>
      </c>
      <c r="B12" s="1962" t="s">
        <v>8971</v>
      </c>
      <c r="C12" s="2119"/>
      <c r="D12" s="2122">
        <v>99897</v>
      </c>
      <c r="E12" s="2122">
        <v>99897</v>
      </c>
      <c r="F12" s="2122">
        <v>99897</v>
      </c>
      <c r="G12" s="2122">
        <v>99897</v>
      </c>
      <c r="H12" s="2122">
        <v>99897</v>
      </c>
      <c r="I12" s="2122">
        <v>99897</v>
      </c>
      <c r="J12" s="2122">
        <v>99897</v>
      </c>
      <c r="K12" s="2122">
        <v>99897</v>
      </c>
      <c r="L12" s="2122">
        <v>99897</v>
      </c>
      <c r="M12" s="2122">
        <v>99897</v>
      </c>
      <c r="N12" s="2122">
        <v>99897</v>
      </c>
      <c r="O12" s="2122">
        <v>99897</v>
      </c>
      <c r="P12" s="2122">
        <f t="shared" si="0"/>
        <v>1198764</v>
      </c>
    </row>
    <row r="13" spans="1:19">
      <c r="A13" s="2107" t="s">
        <v>1878</v>
      </c>
      <c r="B13" s="1962" t="s">
        <v>8972</v>
      </c>
      <c r="C13" s="2119"/>
      <c r="D13" s="2122">
        <v>820</v>
      </c>
      <c r="E13" s="2122">
        <v>820</v>
      </c>
      <c r="F13" s="2122">
        <v>820</v>
      </c>
      <c r="G13" s="2122">
        <v>820</v>
      </c>
      <c r="H13" s="2122">
        <v>820</v>
      </c>
      <c r="I13" s="2122">
        <v>820</v>
      </c>
      <c r="J13" s="2122">
        <v>820</v>
      </c>
      <c r="K13" s="2122">
        <v>820</v>
      </c>
      <c r="L13" s="2122">
        <v>820</v>
      </c>
      <c r="M13" s="2122">
        <v>820</v>
      </c>
      <c r="N13" s="2122">
        <v>820</v>
      </c>
      <c r="O13" s="2122">
        <v>820</v>
      </c>
      <c r="P13" s="2122">
        <f t="shared" si="0"/>
        <v>9840</v>
      </c>
    </row>
    <row r="14" spans="1:19">
      <c r="A14" s="2107" t="s">
        <v>1872</v>
      </c>
      <c r="B14" s="1962" t="s">
        <v>8973</v>
      </c>
      <c r="C14" s="2119"/>
      <c r="D14" s="2122">
        <v>4854</v>
      </c>
      <c r="E14" s="2122">
        <v>4854</v>
      </c>
      <c r="F14" s="2122">
        <v>4854</v>
      </c>
      <c r="G14" s="2122">
        <v>4854</v>
      </c>
      <c r="H14" s="2122">
        <v>4854</v>
      </c>
      <c r="I14" s="2122">
        <v>4854</v>
      </c>
      <c r="J14" s="2122">
        <v>4854</v>
      </c>
      <c r="K14" s="2122">
        <v>4854</v>
      </c>
      <c r="L14" s="2122">
        <v>4854</v>
      </c>
      <c r="M14" s="2122">
        <v>4854</v>
      </c>
      <c r="N14" s="2122">
        <v>4854</v>
      </c>
      <c r="O14" s="2122">
        <v>4854</v>
      </c>
      <c r="P14" s="2122">
        <f t="shared" si="0"/>
        <v>58248</v>
      </c>
    </row>
    <row r="15" spans="1:19">
      <c r="A15" s="2107">
        <v>4</v>
      </c>
      <c r="B15" s="1962" t="s">
        <v>8974</v>
      </c>
      <c r="C15" s="2119"/>
      <c r="D15" s="2122">
        <v>12873</v>
      </c>
      <c r="E15" s="2122">
        <v>12873</v>
      </c>
      <c r="F15" s="2122">
        <v>12873</v>
      </c>
      <c r="G15" s="2122">
        <v>12873</v>
      </c>
      <c r="H15" s="2122">
        <v>12873</v>
      </c>
      <c r="I15" s="2122">
        <v>12873</v>
      </c>
      <c r="J15" s="2122">
        <v>12873</v>
      </c>
      <c r="K15" s="2122">
        <v>12873</v>
      </c>
      <c r="L15" s="2122">
        <v>12873</v>
      </c>
      <c r="M15" s="2122">
        <v>12873</v>
      </c>
      <c r="N15" s="2122">
        <v>12873</v>
      </c>
      <c r="O15" s="2122">
        <v>12873</v>
      </c>
      <c r="P15" s="2122">
        <f t="shared" si="0"/>
        <v>154476</v>
      </c>
    </row>
    <row r="16" spans="1:19">
      <c r="A16" s="2107">
        <v>4</v>
      </c>
      <c r="B16" s="1962" t="s">
        <v>8975</v>
      </c>
      <c r="C16" s="2119"/>
      <c r="D16" s="2122">
        <v>266500</v>
      </c>
      <c r="E16" s="2122">
        <v>266500</v>
      </c>
      <c r="F16" s="2122">
        <v>266500</v>
      </c>
      <c r="G16" s="2122">
        <v>266500</v>
      </c>
      <c r="H16" s="2122">
        <v>266500</v>
      </c>
      <c r="I16" s="2122">
        <v>266500</v>
      </c>
      <c r="J16" s="2122">
        <v>266500</v>
      </c>
      <c r="K16" s="2122">
        <v>266500</v>
      </c>
      <c r="L16" s="2122">
        <v>266500</v>
      </c>
      <c r="M16" s="2122">
        <v>266500</v>
      </c>
      <c r="N16" s="2122">
        <v>266500</v>
      </c>
      <c r="O16" s="2122">
        <v>266500</v>
      </c>
      <c r="P16" s="2122">
        <f t="shared" si="0"/>
        <v>3198000</v>
      </c>
    </row>
    <row r="17" spans="1:16">
      <c r="A17" s="2107" t="s">
        <v>1878</v>
      </c>
      <c r="B17" s="1962" t="s">
        <v>8976</v>
      </c>
      <c r="C17" s="2119"/>
      <c r="D17" s="2122">
        <v>109698</v>
      </c>
      <c r="E17" s="2122">
        <v>109698</v>
      </c>
      <c r="F17" s="2122">
        <v>109698</v>
      </c>
      <c r="G17" s="2122">
        <v>109698</v>
      </c>
      <c r="H17" s="2122">
        <v>109698</v>
      </c>
      <c r="I17" s="2122">
        <v>109698</v>
      </c>
      <c r="J17" s="2122">
        <v>109698</v>
      </c>
      <c r="K17" s="2122">
        <v>109698</v>
      </c>
      <c r="L17" s="2122">
        <v>109698</v>
      </c>
      <c r="M17" s="2122">
        <v>109698</v>
      </c>
      <c r="N17" s="2122">
        <v>109698</v>
      </c>
      <c r="O17" s="2122">
        <v>109698</v>
      </c>
      <c r="P17" s="2122">
        <f t="shared" si="0"/>
        <v>1316376</v>
      </c>
    </row>
    <row r="18" spans="1:16">
      <c r="A18" s="2107" t="s">
        <v>1878</v>
      </c>
      <c r="B18" s="1962" t="s">
        <v>8977</v>
      </c>
      <c r="C18" s="2119"/>
      <c r="D18" s="2122">
        <v>28401</v>
      </c>
      <c r="E18" s="2122">
        <v>28401</v>
      </c>
      <c r="F18" s="2122">
        <v>28401</v>
      </c>
      <c r="G18" s="2122">
        <v>28401</v>
      </c>
      <c r="H18" s="2122">
        <v>28401</v>
      </c>
      <c r="I18" s="2122">
        <v>28401</v>
      </c>
      <c r="J18" s="2122">
        <v>28401</v>
      </c>
      <c r="K18" s="2122">
        <v>28171.83</v>
      </c>
      <c r="L18" s="2122">
        <v>27984</v>
      </c>
      <c r="M18" s="2122">
        <v>27984</v>
      </c>
      <c r="N18" s="2122">
        <v>27984</v>
      </c>
      <c r="O18" s="2122">
        <v>27984</v>
      </c>
      <c r="P18" s="2122">
        <f t="shared" si="0"/>
        <v>338914.83</v>
      </c>
    </row>
    <row r="19" spans="1:16">
      <c r="A19" s="2107" t="s">
        <v>1878</v>
      </c>
      <c r="B19" s="2123" t="s">
        <v>8978</v>
      </c>
      <c r="C19" s="2119"/>
      <c r="D19" s="2122">
        <v>45081</v>
      </c>
      <c r="E19" s="2122">
        <v>45081</v>
      </c>
      <c r="F19" s="2122">
        <v>45081</v>
      </c>
      <c r="G19" s="2122">
        <v>45081</v>
      </c>
      <c r="H19" s="2122">
        <v>45081</v>
      </c>
      <c r="I19" s="2122">
        <v>45081</v>
      </c>
      <c r="J19" s="2122">
        <v>45081</v>
      </c>
      <c r="K19" s="2122">
        <v>45081</v>
      </c>
      <c r="L19" s="2122">
        <v>45081</v>
      </c>
      <c r="M19" s="2122">
        <v>45081</v>
      </c>
      <c r="N19" s="2122">
        <v>45081</v>
      </c>
      <c r="O19" s="2122">
        <v>45081</v>
      </c>
      <c r="P19" s="2122">
        <f t="shared" si="0"/>
        <v>540972</v>
      </c>
    </row>
    <row r="20" spans="1:16">
      <c r="A20" s="2107" t="s">
        <v>1878</v>
      </c>
      <c r="B20" s="1962" t="s">
        <v>8979</v>
      </c>
      <c r="C20" s="2119"/>
      <c r="D20" s="2122">
        <v>1141</v>
      </c>
      <c r="E20" s="2122">
        <v>1141</v>
      </c>
      <c r="F20" s="2122">
        <v>1141</v>
      </c>
      <c r="G20" s="2122">
        <v>1141</v>
      </c>
      <c r="H20" s="2122">
        <v>1141</v>
      </c>
      <c r="I20" s="2122">
        <v>1141</v>
      </c>
      <c r="J20" s="2122">
        <v>1141</v>
      </c>
      <c r="K20" s="2122">
        <v>1141</v>
      </c>
      <c r="L20" s="2122">
        <v>1141</v>
      </c>
      <c r="M20" s="2122">
        <v>1141</v>
      </c>
      <c r="N20" s="2122">
        <v>1141</v>
      </c>
      <c r="O20" s="2122">
        <v>1141</v>
      </c>
      <c r="P20" s="2122">
        <f t="shared" si="0"/>
        <v>13692</v>
      </c>
    </row>
    <row r="21" spans="1:16">
      <c r="A21" s="2107"/>
      <c r="B21" s="1962"/>
      <c r="C21" s="2119"/>
      <c r="D21" s="2122"/>
      <c r="E21" s="2122"/>
      <c r="F21" s="2122"/>
      <c r="G21" s="2122"/>
      <c r="H21" s="2122"/>
      <c r="I21" s="2122"/>
      <c r="J21" s="2122"/>
      <c r="K21" s="2122"/>
      <c r="L21" s="2122"/>
      <c r="M21" s="2122"/>
      <c r="N21" s="2122"/>
      <c r="O21" s="2122"/>
      <c r="P21" s="2122"/>
    </row>
    <row r="22" spans="1:16">
      <c r="A22" s="2107"/>
      <c r="B22" s="1962" t="s">
        <v>119</v>
      </c>
      <c r="C22" s="2119"/>
      <c r="D22" s="2122"/>
      <c r="E22" s="2122"/>
      <c r="F22" s="2122"/>
      <c r="G22" s="2122"/>
      <c r="H22" s="2122"/>
      <c r="I22" s="2122"/>
      <c r="J22" s="2122"/>
      <c r="K22" s="2122"/>
      <c r="L22" s="2122"/>
      <c r="M22" s="2122"/>
      <c r="N22" s="2122"/>
      <c r="O22" s="2122"/>
      <c r="P22" s="2122"/>
    </row>
    <row r="23" spans="1:16">
      <c r="A23" s="2107" t="s">
        <v>1883</v>
      </c>
      <c r="B23" s="1962" t="s">
        <v>8980</v>
      </c>
      <c r="C23" s="2119"/>
      <c r="D23" s="2122">
        <v>10793</v>
      </c>
      <c r="E23" s="2122">
        <v>10793</v>
      </c>
      <c r="F23" s="2122">
        <v>10793</v>
      </c>
      <c r="G23" s="2122">
        <v>10793</v>
      </c>
      <c r="H23" s="2122">
        <v>10793</v>
      </c>
      <c r="I23" s="2122">
        <v>10793</v>
      </c>
      <c r="J23" s="2122">
        <v>10793</v>
      </c>
      <c r="K23" s="2122">
        <v>10793</v>
      </c>
      <c r="L23" s="2122">
        <v>10793</v>
      </c>
      <c r="M23" s="2122">
        <v>14289</v>
      </c>
      <c r="N23" s="2122">
        <v>14289</v>
      </c>
      <c r="O23" s="2122">
        <v>14289</v>
      </c>
      <c r="P23" s="2122">
        <f>+SUM(D23:O23)</f>
        <v>140004</v>
      </c>
    </row>
    <row r="24" spans="1:16">
      <c r="A24" s="2107" t="s">
        <v>1883</v>
      </c>
      <c r="B24" s="1962" t="s">
        <v>8981</v>
      </c>
      <c r="C24" s="2119"/>
      <c r="D24" s="2122">
        <v>3804</v>
      </c>
      <c r="E24" s="2122">
        <v>3804</v>
      </c>
      <c r="F24" s="2122">
        <v>3804</v>
      </c>
      <c r="G24" s="2122">
        <v>3804</v>
      </c>
      <c r="H24" s="2122">
        <v>3804</v>
      </c>
      <c r="I24" s="2122">
        <v>3804</v>
      </c>
      <c r="J24" s="2122">
        <v>3804</v>
      </c>
      <c r="K24" s="2122">
        <v>3804</v>
      </c>
      <c r="L24" s="2122">
        <v>3804</v>
      </c>
      <c r="M24" s="2122">
        <v>3804</v>
      </c>
      <c r="N24" s="2122">
        <v>3804</v>
      </c>
      <c r="O24" s="2122">
        <v>3804</v>
      </c>
      <c r="P24" s="2122">
        <f>+SUM(D24:O24)</f>
        <v>45648</v>
      </c>
    </row>
    <row r="25" spans="1:16">
      <c r="A25" s="2107" t="s">
        <v>1883</v>
      </c>
      <c r="B25" s="1962" t="s">
        <v>8982</v>
      </c>
      <c r="C25" s="2119"/>
      <c r="D25" s="2122">
        <v>69000</v>
      </c>
      <c r="E25" s="2122">
        <v>69000</v>
      </c>
      <c r="F25" s="2122">
        <v>69000</v>
      </c>
      <c r="G25" s="2122">
        <v>69000</v>
      </c>
      <c r="H25" s="2122">
        <v>69000</v>
      </c>
      <c r="I25" s="2122">
        <v>69000</v>
      </c>
      <c r="J25" s="2122">
        <v>69000</v>
      </c>
      <c r="K25" s="2122">
        <v>69000</v>
      </c>
      <c r="L25" s="2122">
        <v>69000</v>
      </c>
      <c r="M25" s="2122">
        <v>69000</v>
      </c>
      <c r="N25" s="2122">
        <v>69000</v>
      </c>
      <c r="O25" s="2122">
        <v>69000</v>
      </c>
      <c r="P25" s="2122">
        <f>+SUM(D25:O25)</f>
        <v>828000</v>
      </c>
    </row>
    <row r="26" spans="1:16">
      <c r="A26" s="2107" t="s">
        <v>1883</v>
      </c>
      <c r="B26" s="1962" t="s">
        <v>8983</v>
      </c>
      <c r="C26" s="2119"/>
      <c r="D26" s="2122">
        <v>37426</v>
      </c>
      <c r="E26" s="2122">
        <v>37426</v>
      </c>
      <c r="F26" s="2122">
        <v>37426</v>
      </c>
      <c r="G26" s="2122">
        <v>37426</v>
      </c>
      <c r="H26" s="2122">
        <v>37426</v>
      </c>
      <c r="I26" s="2122">
        <v>37426</v>
      </c>
      <c r="J26" s="2122">
        <v>37426</v>
      </c>
      <c r="K26" s="2122">
        <v>37426</v>
      </c>
      <c r="L26" s="2122">
        <v>37426</v>
      </c>
      <c r="M26" s="2122">
        <v>37426</v>
      </c>
      <c r="N26" s="2122">
        <v>37426</v>
      </c>
      <c r="O26" s="2122">
        <v>37426</v>
      </c>
      <c r="P26" s="2122">
        <f>+SUM(D26:O26)</f>
        <v>449112</v>
      </c>
    </row>
    <row r="27" spans="1:16">
      <c r="A27" s="2107" t="s">
        <v>8985</v>
      </c>
      <c r="B27" s="1962" t="s">
        <v>8984</v>
      </c>
      <c r="C27" s="2119"/>
      <c r="D27" s="2122">
        <v>77997</v>
      </c>
      <c r="E27" s="2122">
        <v>77997</v>
      </c>
      <c r="F27" s="2122">
        <v>77997</v>
      </c>
      <c r="G27" s="2122">
        <v>77997</v>
      </c>
      <c r="H27" s="2122">
        <v>77997</v>
      </c>
      <c r="I27" s="2122">
        <v>77997</v>
      </c>
      <c r="J27" s="2122">
        <v>77997</v>
      </c>
      <c r="K27" s="2122">
        <v>77997</v>
      </c>
      <c r="L27" s="2122">
        <v>77997</v>
      </c>
      <c r="M27" s="2122">
        <v>77997</v>
      </c>
      <c r="N27" s="2122">
        <v>77997</v>
      </c>
      <c r="O27" s="2122">
        <v>77997</v>
      </c>
      <c r="P27" s="2122">
        <f>+SUM(D27:O27)</f>
        <v>935964</v>
      </c>
    </row>
    <row r="28" spans="1:16"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</row>
  </sheetData>
  <mergeCells count="2">
    <mergeCell ref="A2:O3"/>
    <mergeCell ref="A4:O4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8" tint="0.59999389629810485"/>
  </sheetPr>
  <dimension ref="A1:X138"/>
  <sheetViews>
    <sheetView tabSelected="1" showOutlineSymbols="0" workbookViewId="0"/>
  </sheetViews>
  <sheetFormatPr defaultColWidth="12.5546875" defaultRowHeight="17.399999999999999"/>
  <cols>
    <col min="1" max="1" width="24.6640625" style="2125" customWidth="1"/>
    <col min="2" max="2" width="13.109375" style="2125" customWidth="1"/>
    <col min="3" max="3" width="6.44140625" style="2131" customWidth="1"/>
    <col min="4" max="4" width="73.5546875" style="2125" customWidth="1"/>
    <col min="5" max="5" width="12.109375" style="2134" customWidth="1"/>
    <col min="6" max="6" width="20.44140625" style="2125" bestFit="1" customWidth="1"/>
    <col min="7" max="7" width="19.44140625" style="2125" bestFit="1" customWidth="1"/>
    <col min="8" max="8" width="19.88671875" style="2125" bestFit="1" customWidth="1"/>
    <col min="9" max="9" width="19" style="2125" bestFit="1" customWidth="1"/>
    <col min="10" max="10" width="19.44140625" style="2125" bestFit="1" customWidth="1"/>
    <col min="11" max="11" width="19.88671875" style="2125" bestFit="1" customWidth="1"/>
    <col min="12" max="12" width="18.5546875" style="2125" bestFit="1" customWidth="1"/>
    <col min="13" max="13" width="20" style="2125" bestFit="1" customWidth="1"/>
    <col min="14" max="14" width="19.44140625" style="2125" bestFit="1" customWidth="1"/>
    <col min="15" max="15" width="18.109375" style="2125" customWidth="1"/>
    <col min="16" max="17" width="18.5546875" style="2125" bestFit="1" customWidth="1"/>
    <col min="18" max="18" width="19.33203125" style="2125" bestFit="1" customWidth="1"/>
    <col min="19" max="19" width="4.88671875" style="2125" bestFit="1" customWidth="1"/>
    <col min="20" max="20" width="16.109375" style="2131" bestFit="1" customWidth="1"/>
    <col min="21" max="21" width="27.5546875" style="2131" bestFit="1" customWidth="1"/>
    <col min="22" max="22" width="16.44140625" style="2125" customWidth="1"/>
    <col min="23" max="23" width="14.5546875" style="2125" bestFit="1" customWidth="1"/>
    <col min="24" max="24" width="15.44140625" style="2125" bestFit="1" customWidth="1"/>
    <col min="25" max="26" width="12.5546875" style="2125"/>
    <col min="27" max="27" width="14.5546875" style="2125" bestFit="1" customWidth="1"/>
    <col min="28" max="34" width="16.44140625" style="2125" customWidth="1"/>
    <col min="35" max="16384" width="12.5546875" style="2125"/>
  </cols>
  <sheetData>
    <row r="1" spans="2:21">
      <c r="B1" s="3079" t="s">
        <v>4537</v>
      </c>
      <c r="C1" s="3079"/>
      <c r="D1" s="3079"/>
      <c r="E1" s="3079"/>
      <c r="F1" s="3079"/>
      <c r="G1" s="3079"/>
      <c r="H1" s="3079"/>
      <c r="I1" s="3079"/>
      <c r="J1" s="3079"/>
      <c r="K1" s="3079"/>
      <c r="L1" s="3079"/>
      <c r="M1" s="3079"/>
      <c r="N1" s="3079"/>
      <c r="O1" s="3079"/>
      <c r="P1" s="3079"/>
      <c r="Q1" s="3079"/>
      <c r="R1" s="3079"/>
      <c r="S1" s="3079"/>
      <c r="T1" s="3079"/>
      <c r="U1" s="2124" t="s">
        <v>4538</v>
      </c>
    </row>
    <row r="2" spans="2:21">
      <c r="B2" s="3078" t="s">
        <v>4539</v>
      </c>
      <c r="C2" s="3078"/>
      <c r="D2" s="3078"/>
      <c r="E2" s="3078"/>
      <c r="F2" s="3078"/>
      <c r="G2" s="3078"/>
      <c r="H2" s="3078"/>
      <c r="I2" s="3078"/>
      <c r="J2" s="3078"/>
      <c r="K2" s="3078"/>
      <c r="L2" s="3078"/>
      <c r="M2" s="3078"/>
      <c r="N2" s="3078"/>
      <c r="O2" s="3078"/>
      <c r="P2" s="3078"/>
      <c r="Q2" s="3078"/>
      <c r="R2" s="3078"/>
      <c r="S2" s="3078"/>
      <c r="T2" s="3078"/>
      <c r="U2" s="2124"/>
    </row>
    <row r="3" spans="2:21">
      <c r="B3" s="3078" t="s">
        <v>4540</v>
      </c>
      <c r="C3" s="3078"/>
      <c r="D3" s="3078"/>
      <c r="E3" s="3078"/>
      <c r="F3" s="3078"/>
      <c r="G3" s="3078"/>
      <c r="H3" s="3078"/>
      <c r="I3" s="3078"/>
      <c r="J3" s="3078"/>
      <c r="K3" s="3078"/>
      <c r="L3" s="3078"/>
      <c r="M3" s="3078"/>
      <c r="N3" s="3078"/>
      <c r="O3" s="3078"/>
      <c r="P3" s="3078"/>
      <c r="Q3" s="3078"/>
      <c r="R3" s="3078"/>
      <c r="S3" s="3078"/>
      <c r="T3" s="3078"/>
      <c r="U3" s="2124"/>
    </row>
    <row r="4" spans="2:21" s="889" customFormat="1">
      <c r="B4" s="3080" t="s">
        <v>9183</v>
      </c>
      <c r="C4" s="3080"/>
      <c r="D4" s="3080"/>
      <c r="E4" s="3080"/>
      <c r="F4" s="3080"/>
      <c r="G4" s="3080"/>
      <c r="H4" s="3080"/>
      <c r="I4" s="3080"/>
      <c r="J4" s="3080"/>
      <c r="K4" s="3080"/>
      <c r="L4" s="3080"/>
      <c r="M4" s="3080"/>
      <c r="N4" s="3080"/>
      <c r="O4" s="3080"/>
      <c r="P4" s="3080"/>
      <c r="Q4" s="3080"/>
      <c r="R4" s="3080"/>
      <c r="S4" s="3080"/>
      <c r="T4" s="3080"/>
      <c r="U4" s="2126"/>
    </row>
    <row r="5" spans="2:21">
      <c r="B5" s="2127" t="s">
        <v>2477</v>
      </c>
      <c r="C5" s="2128"/>
      <c r="D5" s="2129"/>
      <c r="E5" s="2130"/>
      <c r="F5" s="2129"/>
      <c r="G5" s="2129"/>
      <c r="H5" s="2129"/>
      <c r="I5" s="2129"/>
      <c r="J5" s="2129"/>
      <c r="K5" s="2129"/>
      <c r="L5" s="2129"/>
      <c r="M5" s="2129"/>
      <c r="N5" s="2129"/>
      <c r="O5" s="2129"/>
      <c r="P5" s="2129"/>
      <c r="Q5" s="2129"/>
      <c r="R5" s="2129"/>
    </row>
    <row r="6" spans="2:21">
      <c r="B6" s="3080" t="s">
        <v>4541</v>
      </c>
      <c r="C6" s="3080"/>
      <c r="D6" s="3080"/>
      <c r="E6" s="3080"/>
      <c r="F6" s="3080"/>
      <c r="G6" s="3080"/>
      <c r="H6" s="3080"/>
      <c r="I6" s="3080"/>
      <c r="J6" s="3080"/>
      <c r="K6" s="3080"/>
      <c r="L6" s="3080"/>
      <c r="M6" s="3080"/>
      <c r="N6" s="3080"/>
      <c r="O6" s="3080"/>
      <c r="P6" s="3080"/>
      <c r="Q6" s="3080"/>
      <c r="R6" s="3080"/>
      <c r="S6" s="3080"/>
      <c r="T6" s="3080"/>
    </row>
    <row r="7" spans="2:21">
      <c r="B7" s="3078" t="s">
        <v>4542</v>
      </c>
      <c r="C7" s="3078"/>
      <c r="D7" s="3078"/>
      <c r="E7" s="3078"/>
      <c r="F7" s="3078"/>
      <c r="G7" s="3078"/>
      <c r="H7" s="3078"/>
      <c r="I7" s="3078"/>
      <c r="J7" s="3078"/>
      <c r="K7" s="3078"/>
      <c r="L7" s="3078"/>
      <c r="M7" s="3078"/>
      <c r="N7" s="3078"/>
      <c r="O7" s="3078"/>
      <c r="P7" s="3078"/>
      <c r="Q7" s="3078"/>
      <c r="R7" s="3078"/>
      <c r="S7" s="3078"/>
      <c r="T7" s="3078"/>
    </row>
    <row r="8" spans="2:21">
      <c r="B8" s="2129"/>
      <c r="C8" s="2129"/>
      <c r="D8" s="2132" t="s">
        <v>9382</v>
      </c>
      <c r="E8" s="2133"/>
      <c r="F8" s="2129"/>
      <c r="G8" s="2129"/>
      <c r="H8" s="2129"/>
      <c r="I8" s="2129"/>
      <c r="J8" s="2129"/>
      <c r="K8" s="2129"/>
      <c r="L8" s="2129"/>
      <c r="M8" s="889"/>
      <c r="N8" s="2129"/>
      <c r="O8" s="2129"/>
      <c r="P8" s="2129"/>
      <c r="Q8" s="2129"/>
      <c r="R8" s="2129"/>
      <c r="T8" s="2125"/>
      <c r="U8" s="2125"/>
    </row>
    <row r="9" spans="2:21">
      <c r="B9" s="2129"/>
      <c r="C9" s="2125"/>
      <c r="D9" s="2129"/>
      <c r="E9" s="2130"/>
      <c r="F9" s="2129"/>
      <c r="G9" s="2129"/>
      <c r="H9" s="2129"/>
      <c r="I9" s="2129"/>
      <c r="R9" s="2124" t="s">
        <v>4543</v>
      </c>
    </row>
    <row r="10" spans="2:21">
      <c r="C10" s="2125"/>
      <c r="F10" s="2135" t="s">
        <v>114</v>
      </c>
      <c r="G10" s="2135" t="s">
        <v>114</v>
      </c>
      <c r="H10" s="2135" t="s">
        <v>114</v>
      </c>
      <c r="I10" s="2135" t="s">
        <v>114</v>
      </c>
      <c r="J10" s="2135" t="s">
        <v>114</v>
      </c>
      <c r="K10" s="2135" t="s">
        <v>114</v>
      </c>
      <c r="L10" s="2135" t="s">
        <v>114</v>
      </c>
      <c r="M10" s="2135" t="s">
        <v>114</v>
      </c>
      <c r="N10" s="2135" t="s">
        <v>114</v>
      </c>
      <c r="O10" s="2135" t="s">
        <v>114</v>
      </c>
      <c r="P10" s="2135" t="s">
        <v>114</v>
      </c>
      <c r="Q10" s="2135" t="s">
        <v>114</v>
      </c>
      <c r="R10" s="2124" t="s">
        <v>4544</v>
      </c>
      <c r="T10" s="3077" t="s">
        <v>4545</v>
      </c>
      <c r="U10" s="3077"/>
    </row>
    <row r="11" spans="2:21" ht="18" thickBot="1">
      <c r="B11" s="2136" t="s">
        <v>2430</v>
      </c>
      <c r="C11" s="2125"/>
      <c r="F11" s="2137" t="s">
        <v>1357</v>
      </c>
      <c r="G11" s="2137" t="s">
        <v>1358</v>
      </c>
      <c r="H11" s="2137" t="s">
        <v>1359</v>
      </c>
      <c r="I11" s="2137" t="s">
        <v>1360</v>
      </c>
      <c r="J11" s="2137" t="s">
        <v>1361</v>
      </c>
      <c r="K11" s="2138" t="s">
        <v>1362</v>
      </c>
      <c r="L11" s="2137" t="s">
        <v>1363</v>
      </c>
      <c r="M11" s="2137" t="s">
        <v>1364</v>
      </c>
      <c r="N11" s="2137" t="s">
        <v>1365</v>
      </c>
      <c r="O11" s="2137" t="s">
        <v>1366</v>
      </c>
      <c r="P11" s="2137" t="s">
        <v>1367</v>
      </c>
      <c r="Q11" s="2137" t="s">
        <v>1368</v>
      </c>
      <c r="R11" s="2137" t="s">
        <v>122</v>
      </c>
      <c r="S11" s="2139"/>
      <c r="T11" s="2140" t="s">
        <v>2623</v>
      </c>
      <c r="U11" s="2140" t="s">
        <v>2624</v>
      </c>
    </row>
    <row r="12" spans="2:21">
      <c r="C12" s="2125"/>
      <c r="T12" s="2125"/>
      <c r="U12" s="2125"/>
    </row>
    <row r="13" spans="2:21">
      <c r="B13" s="2141" t="s">
        <v>8987</v>
      </c>
      <c r="C13" s="2125" t="s">
        <v>4546</v>
      </c>
      <c r="T13" s="2125"/>
      <c r="U13" s="2125"/>
    </row>
    <row r="14" spans="2:21">
      <c r="B14" s="2124"/>
      <c r="C14" s="2142" t="s">
        <v>4547</v>
      </c>
      <c r="D14" s="1642"/>
      <c r="E14" s="2143"/>
      <c r="T14" s="2125"/>
      <c r="U14" s="2125"/>
    </row>
    <row r="15" spans="2:21" ht="18" thickBot="1">
      <c r="B15" s="2124"/>
      <c r="C15" s="2144" t="s">
        <v>2306</v>
      </c>
      <c r="D15" s="2145" t="s">
        <v>4548</v>
      </c>
      <c r="E15" s="2146" t="s">
        <v>113</v>
      </c>
      <c r="F15" s="2145"/>
      <c r="G15" s="2145"/>
      <c r="H15" s="2145"/>
      <c r="I15" s="2145"/>
      <c r="J15" s="2145"/>
      <c r="K15" s="2145"/>
      <c r="L15" s="2145"/>
      <c r="M15" s="2145"/>
      <c r="N15" s="2145"/>
      <c r="O15" s="2145"/>
      <c r="P15" s="2145"/>
      <c r="Q15" s="2145"/>
      <c r="R15" s="2145"/>
      <c r="T15" s="2125"/>
      <c r="U15" s="2125"/>
    </row>
    <row r="16" spans="2:21" ht="18" thickTop="1">
      <c r="B16" s="2124"/>
      <c r="C16" s="2125"/>
      <c r="S16" s="2124"/>
      <c r="T16" s="2125"/>
      <c r="U16" s="2125"/>
    </row>
    <row r="17" spans="2:24" ht="15.75" customHeight="1">
      <c r="B17" s="2124"/>
      <c r="C17" s="2147" t="s">
        <v>4549</v>
      </c>
      <c r="D17" s="2125" t="s">
        <v>4550</v>
      </c>
      <c r="F17" s="2148">
        <v>0</v>
      </c>
      <c r="G17" s="2148">
        <v>0</v>
      </c>
      <c r="H17" s="2148">
        <v>0</v>
      </c>
      <c r="I17" s="2148">
        <v>0</v>
      </c>
      <c r="J17" s="2148">
        <v>0</v>
      </c>
      <c r="K17" s="2148">
        <v>0</v>
      </c>
      <c r="L17" s="2148">
        <v>0</v>
      </c>
      <c r="M17" s="2148">
        <v>0</v>
      </c>
      <c r="N17" s="2148">
        <v>0</v>
      </c>
      <c r="O17" s="2148">
        <v>0</v>
      </c>
      <c r="P17" s="2148">
        <v>0</v>
      </c>
      <c r="Q17" s="2148">
        <v>0</v>
      </c>
      <c r="R17" s="2148">
        <f>SUM(F17:Q17)</f>
        <v>0</v>
      </c>
      <c r="S17" s="1678"/>
      <c r="T17" s="2125"/>
      <c r="U17" s="2125">
        <f>R17</f>
        <v>0</v>
      </c>
    </row>
    <row r="18" spans="2:24" ht="18">
      <c r="B18" s="1679">
        <v>0</v>
      </c>
      <c r="C18" s="2147"/>
      <c r="E18" s="2149">
        <v>501</v>
      </c>
      <c r="F18" s="2125">
        <f>F17*$B$18</f>
        <v>0</v>
      </c>
      <c r="G18" s="2125">
        <f t="shared" ref="G18:Q18" si="0">G17*$B$18</f>
        <v>0</v>
      </c>
      <c r="H18" s="2125">
        <f t="shared" si="0"/>
        <v>0</v>
      </c>
      <c r="I18" s="2125">
        <f t="shared" si="0"/>
        <v>0</v>
      </c>
      <c r="J18" s="2125">
        <f t="shared" si="0"/>
        <v>0</v>
      </c>
      <c r="K18" s="2125">
        <f t="shared" si="0"/>
        <v>0</v>
      </c>
      <c r="L18" s="2125">
        <f t="shared" si="0"/>
        <v>0</v>
      </c>
      <c r="M18" s="2125">
        <f t="shared" si="0"/>
        <v>0</v>
      </c>
      <c r="N18" s="2125">
        <f t="shared" si="0"/>
        <v>0</v>
      </c>
      <c r="O18" s="2125">
        <f t="shared" si="0"/>
        <v>0</v>
      </c>
      <c r="P18" s="2125">
        <f t="shared" si="0"/>
        <v>0</v>
      </c>
      <c r="Q18" s="2125">
        <f t="shared" si="0"/>
        <v>0</v>
      </c>
      <c r="R18" s="2125">
        <f>SUM(F18:Q18)</f>
        <v>0</v>
      </c>
      <c r="S18" s="1678"/>
      <c r="T18" s="2125"/>
      <c r="U18" s="2125">
        <f t="shared" ref="U18:U21" si="1">R18</f>
        <v>0</v>
      </c>
    </row>
    <row r="19" spans="2:24" ht="18">
      <c r="B19" s="1679">
        <v>0</v>
      </c>
      <c r="C19" s="2147"/>
      <c r="E19" s="2149">
        <v>502</v>
      </c>
      <c r="F19" s="2125">
        <f>F17*$B$19</f>
        <v>0</v>
      </c>
      <c r="G19" s="2125">
        <f t="shared" ref="G19:Q19" si="2">G17*$B$19</f>
        <v>0</v>
      </c>
      <c r="H19" s="2125">
        <f t="shared" si="2"/>
        <v>0</v>
      </c>
      <c r="I19" s="2125">
        <f t="shared" si="2"/>
        <v>0</v>
      </c>
      <c r="J19" s="2125">
        <f t="shared" si="2"/>
        <v>0</v>
      </c>
      <c r="K19" s="2125">
        <f t="shared" si="2"/>
        <v>0</v>
      </c>
      <c r="L19" s="2125">
        <f t="shared" si="2"/>
        <v>0</v>
      </c>
      <c r="M19" s="2125">
        <f t="shared" si="2"/>
        <v>0</v>
      </c>
      <c r="N19" s="2125">
        <f t="shared" si="2"/>
        <v>0</v>
      </c>
      <c r="O19" s="2125">
        <f t="shared" si="2"/>
        <v>0</v>
      </c>
      <c r="P19" s="2125">
        <f t="shared" si="2"/>
        <v>0</v>
      </c>
      <c r="Q19" s="2125">
        <f t="shared" si="2"/>
        <v>0</v>
      </c>
      <c r="R19" s="2125">
        <f t="shared" ref="R19:R21" si="3">SUM(F19:Q19)</f>
        <v>0</v>
      </c>
      <c r="S19" s="1678"/>
      <c r="T19" s="2125"/>
      <c r="U19" s="2125">
        <f t="shared" si="1"/>
        <v>0</v>
      </c>
    </row>
    <row r="20" spans="2:24" ht="18">
      <c r="B20" s="1679">
        <v>0</v>
      </c>
      <c r="C20" s="2147"/>
      <c r="E20" s="2149">
        <v>511</v>
      </c>
      <c r="F20" s="2125">
        <f>F17*$B$20</f>
        <v>0</v>
      </c>
      <c r="G20" s="2125">
        <f t="shared" ref="G20:Q20" si="4">G17*$B$20</f>
        <v>0</v>
      </c>
      <c r="H20" s="2125">
        <f t="shared" si="4"/>
        <v>0</v>
      </c>
      <c r="I20" s="2125">
        <f t="shared" si="4"/>
        <v>0</v>
      </c>
      <c r="J20" s="2125">
        <f t="shared" si="4"/>
        <v>0</v>
      </c>
      <c r="K20" s="2125">
        <f t="shared" si="4"/>
        <v>0</v>
      </c>
      <c r="L20" s="2125">
        <f t="shared" si="4"/>
        <v>0</v>
      </c>
      <c r="M20" s="2125">
        <f t="shared" si="4"/>
        <v>0</v>
      </c>
      <c r="N20" s="2125">
        <f t="shared" si="4"/>
        <v>0</v>
      </c>
      <c r="O20" s="2125">
        <f t="shared" si="4"/>
        <v>0</v>
      </c>
      <c r="P20" s="2125">
        <f t="shared" si="4"/>
        <v>0</v>
      </c>
      <c r="Q20" s="2125">
        <f t="shared" si="4"/>
        <v>0</v>
      </c>
      <c r="R20" s="2125">
        <f t="shared" si="3"/>
        <v>0</v>
      </c>
      <c r="S20" s="1678"/>
      <c r="T20" s="2125"/>
      <c r="U20" s="2125">
        <f t="shared" si="1"/>
        <v>0</v>
      </c>
    </row>
    <row r="21" spans="2:24" ht="18">
      <c r="B21" s="1679">
        <v>0</v>
      </c>
      <c r="C21" s="2147"/>
      <c r="E21" s="2150">
        <v>512</v>
      </c>
      <c r="F21" s="2125">
        <f>F17*$B$21</f>
        <v>0</v>
      </c>
      <c r="G21" s="2125">
        <f t="shared" ref="G21:Q21" si="5">G17*$B$21</f>
        <v>0</v>
      </c>
      <c r="H21" s="2125">
        <f t="shared" si="5"/>
        <v>0</v>
      </c>
      <c r="I21" s="2125">
        <f t="shared" si="5"/>
        <v>0</v>
      </c>
      <c r="J21" s="2125">
        <f t="shared" si="5"/>
        <v>0</v>
      </c>
      <c r="K21" s="2125">
        <f t="shared" si="5"/>
        <v>0</v>
      </c>
      <c r="L21" s="2125">
        <f t="shared" si="5"/>
        <v>0</v>
      </c>
      <c r="M21" s="2125">
        <f t="shared" si="5"/>
        <v>0</v>
      </c>
      <c r="N21" s="2125">
        <f t="shared" si="5"/>
        <v>0</v>
      </c>
      <c r="O21" s="2125">
        <f t="shared" si="5"/>
        <v>0</v>
      </c>
      <c r="P21" s="2125">
        <f t="shared" si="5"/>
        <v>0</v>
      </c>
      <c r="Q21" s="2125">
        <f t="shared" si="5"/>
        <v>0</v>
      </c>
      <c r="R21" s="2125">
        <f t="shared" si="3"/>
        <v>0</v>
      </c>
      <c r="S21" s="1678"/>
      <c r="T21" s="2125"/>
      <c r="U21" s="2125">
        <f t="shared" si="1"/>
        <v>0</v>
      </c>
    </row>
    <row r="22" spans="2:24" ht="15.75" customHeight="1">
      <c r="B22" s="1817">
        <f>SUM(B18:B21)</f>
        <v>0</v>
      </c>
      <c r="C22" s="2147"/>
      <c r="E22" s="2149"/>
      <c r="F22" s="2148"/>
      <c r="G22" s="2148"/>
      <c r="H22" s="2148"/>
      <c r="I22" s="2148"/>
      <c r="J22" s="2148"/>
      <c r="K22" s="2148"/>
      <c r="L22" s="2148"/>
      <c r="M22" s="2148"/>
      <c r="N22" s="2148"/>
      <c r="O22" s="2148"/>
      <c r="P22" s="2148"/>
      <c r="Q22" s="2148"/>
      <c r="S22" s="1678"/>
      <c r="T22" s="2125"/>
      <c r="U22" s="2125"/>
    </row>
    <row r="23" spans="2:24" ht="15.75" customHeight="1">
      <c r="B23" s="1680"/>
      <c r="C23" s="2147"/>
      <c r="E23" s="2149"/>
      <c r="F23" s="2148"/>
      <c r="G23" s="2148"/>
      <c r="H23" s="2148"/>
      <c r="I23" s="2148"/>
      <c r="J23" s="2148"/>
      <c r="K23" s="2148"/>
      <c r="L23" s="2148"/>
      <c r="M23" s="2148"/>
      <c r="N23" s="2148"/>
      <c r="O23" s="2148"/>
      <c r="P23" s="2148"/>
      <c r="Q23" s="2148"/>
      <c r="S23" s="1678"/>
      <c r="T23" s="2125"/>
      <c r="U23" s="2125"/>
    </row>
    <row r="24" spans="2:24" ht="19.8">
      <c r="B24" s="2124"/>
      <c r="C24" s="2147" t="s">
        <v>8988</v>
      </c>
      <c r="D24" s="2125" t="s">
        <v>8256</v>
      </c>
      <c r="E24" s="2151">
        <v>509</v>
      </c>
      <c r="F24" s="2148">
        <v>0</v>
      </c>
      <c r="G24" s="2148">
        <v>0</v>
      </c>
      <c r="H24" s="2148">
        <v>0</v>
      </c>
      <c r="I24" s="2148">
        <v>0</v>
      </c>
      <c r="J24" s="2148">
        <v>0</v>
      </c>
      <c r="K24" s="2148">
        <v>0</v>
      </c>
      <c r="L24" s="2148">
        <v>0</v>
      </c>
      <c r="M24" s="2148">
        <v>0</v>
      </c>
      <c r="N24" s="2148">
        <v>0</v>
      </c>
      <c r="O24" s="2148">
        <v>0</v>
      </c>
      <c r="P24" s="2148">
        <v>0</v>
      </c>
      <c r="Q24" s="2148">
        <v>0</v>
      </c>
      <c r="R24" s="2148">
        <v>0</v>
      </c>
      <c r="S24" s="1678"/>
      <c r="T24" s="2125"/>
      <c r="U24" s="2125">
        <f>R24</f>
        <v>0</v>
      </c>
      <c r="W24" s="2152"/>
      <c r="X24" s="2152"/>
    </row>
    <row r="25" spans="2:24">
      <c r="B25" s="2124"/>
      <c r="C25" s="2147"/>
      <c r="E25" s="2151"/>
      <c r="F25" s="1681"/>
      <c r="G25" s="1681"/>
      <c r="H25" s="1681"/>
      <c r="I25" s="1681"/>
      <c r="J25" s="1681"/>
      <c r="K25" s="1681"/>
      <c r="L25" s="1681"/>
      <c r="M25" s="1681"/>
      <c r="N25" s="1681"/>
      <c r="O25" s="1681"/>
      <c r="P25" s="1681"/>
      <c r="Q25" s="1681"/>
      <c r="R25" s="1682"/>
      <c r="S25" s="1678"/>
      <c r="T25" s="2125"/>
      <c r="U25" s="2125"/>
      <c r="W25" s="2152"/>
      <c r="X25" s="2152"/>
    </row>
    <row r="26" spans="2:24">
      <c r="B26" s="2124"/>
      <c r="C26" s="2147" t="s">
        <v>4551</v>
      </c>
      <c r="D26" s="2153" t="s">
        <v>4553</v>
      </c>
      <c r="E26" s="2149"/>
      <c r="F26" s="2148">
        <v>0</v>
      </c>
      <c r="G26" s="2148">
        <v>0</v>
      </c>
      <c r="H26" s="2148">
        <v>0</v>
      </c>
      <c r="I26" s="2148">
        <v>0</v>
      </c>
      <c r="J26" s="2148">
        <v>0</v>
      </c>
      <c r="K26" s="2148">
        <v>0</v>
      </c>
      <c r="L26" s="2148">
        <v>0</v>
      </c>
      <c r="M26" s="2148">
        <v>0</v>
      </c>
      <c r="N26" s="2148">
        <v>0</v>
      </c>
      <c r="O26" s="2148">
        <v>0</v>
      </c>
      <c r="P26" s="2148">
        <v>0</v>
      </c>
      <c r="Q26" s="2148">
        <v>0</v>
      </c>
      <c r="R26" s="2125">
        <f t="shared" ref="R26:R70" si="6">SUM(F26:Q26)</f>
        <v>0</v>
      </c>
      <c r="S26" s="1678"/>
      <c r="T26" s="2125"/>
      <c r="U26" s="2125">
        <f>R26</f>
        <v>0</v>
      </c>
      <c r="W26" s="2152"/>
      <c r="X26" s="2152"/>
    </row>
    <row r="27" spans="2:24" ht="18">
      <c r="B27" s="1683"/>
      <c r="C27" s="2147"/>
      <c r="D27" s="2153"/>
      <c r="E27" s="2149">
        <v>501</v>
      </c>
      <c r="F27" s="2125">
        <f>F26*$B$18</f>
        <v>0</v>
      </c>
      <c r="G27" s="2125">
        <f t="shared" ref="G27:Q27" si="7">G26*$B$18</f>
        <v>0</v>
      </c>
      <c r="H27" s="2125">
        <f t="shared" si="7"/>
        <v>0</v>
      </c>
      <c r="I27" s="2125">
        <f t="shared" si="7"/>
        <v>0</v>
      </c>
      <c r="J27" s="2125">
        <f t="shared" si="7"/>
        <v>0</v>
      </c>
      <c r="K27" s="2125">
        <f t="shared" si="7"/>
        <v>0</v>
      </c>
      <c r="L27" s="2125">
        <f t="shared" si="7"/>
        <v>0</v>
      </c>
      <c r="M27" s="2125">
        <f t="shared" si="7"/>
        <v>0</v>
      </c>
      <c r="N27" s="2125">
        <f t="shared" si="7"/>
        <v>0</v>
      </c>
      <c r="O27" s="2125">
        <f t="shared" si="7"/>
        <v>0</v>
      </c>
      <c r="P27" s="2125">
        <f t="shared" si="7"/>
        <v>0</v>
      </c>
      <c r="Q27" s="2125">
        <f t="shared" si="7"/>
        <v>0</v>
      </c>
      <c r="R27" s="2125">
        <f>SUM(F27:Q27)</f>
        <v>0</v>
      </c>
      <c r="S27" s="1678"/>
      <c r="T27" s="2125"/>
      <c r="U27" s="2125">
        <f t="shared" ref="U27:U30" si="8">R27</f>
        <v>0</v>
      </c>
      <c r="W27" s="2152"/>
      <c r="X27" s="2152"/>
    </row>
    <row r="28" spans="2:24" ht="18">
      <c r="B28" s="1683"/>
      <c r="C28" s="2147"/>
      <c r="D28" s="2153"/>
      <c r="E28" s="2149">
        <v>502</v>
      </c>
      <c r="F28" s="2125">
        <f>F26*$B$19</f>
        <v>0</v>
      </c>
      <c r="G28" s="2125">
        <f t="shared" ref="G28:Q28" si="9">G26*$B$19</f>
        <v>0</v>
      </c>
      <c r="H28" s="2125">
        <f t="shared" si="9"/>
        <v>0</v>
      </c>
      <c r="I28" s="2125">
        <f t="shared" si="9"/>
        <v>0</v>
      </c>
      <c r="J28" s="2125">
        <f t="shared" si="9"/>
        <v>0</v>
      </c>
      <c r="K28" s="2125">
        <f t="shared" si="9"/>
        <v>0</v>
      </c>
      <c r="L28" s="2125">
        <f t="shared" si="9"/>
        <v>0</v>
      </c>
      <c r="M28" s="2125">
        <f t="shared" si="9"/>
        <v>0</v>
      </c>
      <c r="N28" s="2125">
        <f t="shared" si="9"/>
        <v>0</v>
      </c>
      <c r="O28" s="2125">
        <f t="shared" si="9"/>
        <v>0</v>
      </c>
      <c r="P28" s="2125">
        <f t="shared" si="9"/>
        <v>0</v>
      </c>
      <c r="Q28" s="2125">
        <f t="shared" si="9"/>
        <v>0</v>
      </c>
      <c r="R28" s="2125">
        <f t="shared" ref="R28:R30" si="10">SUM(F28:Q28)</f>
        <v>0</v>
      </c>
      <c r="S28" s="1678"/>
      <c r="T28" s="2125"/>
      <c r="U28" s="2125">
        <f t="shared" si="8"/>
        <v>0</v>
      </c>
      <c r="W28" s="2152"/>
      <c r="X28" s="2152"/>
    </row>
    <row r="29" spans="2:24" ht="18">
      <c r="B29" s="1683"/>
      <c r="C29" s="2147"/>
      <c r="D29" s="2153"/>
      <c r="E29" s="2149">
        <v>511</v>
      </c>
      <c r="F29" s="2125">
        <f>F26*$B$20</f>
        <v>0</v>
      </c>
      <c r="G29" s="2125">
        <f t="shared" ref="G29:Q29" si="11">G26*$B$20</f>
        <v>0</v>
      </c>
      <c r="H29" s="2125">
        <f t="shared" si="11"/>
        <v>0</v>
      </c>
      <c r="I29" s="2125">
        <f t="shared" si="11"/>
        <v>0</v>
      </c>
      <c r="J29" s="2125">
        <f t="shared" si="11"/>
        <v>0</v>
      </c>
      <c r="K29" s="2125">
        <f t="shared" si="11"/>
        <v>0</v>
      </c>
      <c r="L29" s="2125">
        <f t="shared" si="11"/>
        <v>0</v>
      </c>
      <c r="M29" s="2125">
        <f t="shared" si="11"/>
        <v>0</v>
      </c>
      <c r="N29" s="2125">
        <f t="shared" si="11"/>
        <v>0</v>
      </c>
      <c r="O29" s="2125">
        <f t="shared" si="11"/>
        <v>0</v>
      </c>
      <c r="P29" s="2125">
        <f t="shared" si="11"/>
        <v>0</v>
      </c>
      <c r="Q29" s="2125">
        <f t="shared" si="11"/>
        <v>0</v>
      </c>
      <c r="R29" s="2125">
        <f t="shared" si="10"/>
        <v>0</v>
      </c>
      <c r="S29" s="1678"/>
      <c r="T29" s="2125"/>
      <c r="U29" s="2125">
        <f t="shared" si="8"/>
        <v>0</v>
      </c>
      <c r="W29" s="2152"/>
      <c r="X29" s="2152"/>
    </row>
    <row r="30" spans="2:24" ht="18">
      <c r="B30" s="1683"/>
      <c r="C30" s="2147"/>
      <c r="D30" s="2153"/>
      <c r="E30" s="2150">
        <v>512</v>
      </c>
      <c r="F30" s="2125">
        <f>F26*$B$21</f>
        <v>0</v>
      </c>
      <c r="G30" s="2125">
        <f t="shared" ref="G30:Q30" si="12">G26*$B$21</f>
        <v>0</v>
      </c>
      <c r="H30" s="2125">
        <f t="shared" si="12"/>
        <v>0</v>
      </c>
      <c r="I30" s="2125">
        <f t="shared" si="12"/>
        <v>0</v>
      </c>
      <c r="J30" s="2125">
        <f t="shared" si="12"/>
        <v>0</v>
      </c>
      <c r="K30" s="2125">
        <f t="shared" si="12"/>
        <v>0</v>
      </c>
      <c r="L30" s="2125">
        <f t="shared" si="12"/>
        <v>0</v>
      </c>
      <c r="M30" s="2125">
        <f t="shared" si="12"/>
        <v>0</v>
      </c>
      <c r="N30" s="2125">
        <f t="shared" si="12"/>
        <v>0</v>
      </c>
      <c r="O30" s="2125">
        <f t="shared" si="12"/>
        <v>0</v>
      </c>
      <c r="P30" s="2125">
        <f t="shared" si="12"/>
        <v>0</v>
      </c>
      <c r="Q30" s="2125">
        <f t="shared" si="12"/>
        <v>0</v>
      </c>
      <c r="R30" s="2125">
        <f t="shared" si="10"/>
        <v>0</v>
      </c>
      <c r="S30" s="1678"/>
      <c r="T30" s="2125"/>
      <c r="U30" s="2125">
        <f t="shared" si="8"/>
        <v>0</v>
      </c>
      <c r="W30" s="2152"/>
      <c r="X30" s="2152"/>
    </row>
    <row r="31" spans="2:24">
      <c r="B31" s="1680"/>
      <c r="C31" s="2147"/>
      <c r="D31" s="2153"/>
      <c r="E31" s="2149"/>
      <c r="F31" s="2148"/>
      <c r="G31" s="2148"/>
      <c r="H31" s="2148"/>
      <c r="I31" s="2148"/>
      <c r="J31" s="2148"/>
      <c r="K31" s="2148"/>
      <c r="L31" s="2148"/>
      <c r="M31" s="2148"/>
      <c r="N31" s="2148"/>
      <c r="O31" s="2148"/>
      <c r="P31" s="2148"/>
      <c r="Q31" s="2148"/>
      <c r="S31" s="1678"/>
      <c r="T31" s="2125"/>
      <c r="U31" s="2125"/>
      <c r="W31" s="2152"/>
      <c r="X31" s="2152"/>
    </row>
    <row r="32" spans="2:24">
      <c r="B32" s="2124"/>
      <c r="C32" s="2147"/>
      <c r="D32" s="2153"/>
      <c r="E32" s="2149"/>
      <c r="F32" s="2148"/>
      <c r="G32" s="2148"/>
      <c r="H32" s="2148"/>
      <c r="I32" s="2148"/>
      <c r="J32" s="2148"/>
      <c r="K32" s="2148"/>
      <c r="L32" s="2148"/>
      <c r="M32" s="2148"/>
      <c r="N32" s="2148"/>
      <c r="O32" s="2148"/>
      <c r="P32" s="2148"/>
      <c r="Q32" s="2148"/>
      <c r="S32" s="1678"/>
      <c r="T32" s="2125"/>
      <c r="U32" s="2125"/>
      <c r="W32" s="2152"/>
      <c r="X32" s="2152"/>
    </row>
    <row r="33" spans="2:24">
      <c r="B33" s="2154"/>
      <c r="C33" s="2147" t="s">
        <v>4552</v>
      </c>
      <c r="D33" s="2125" t="s">
        <v>4554</v>
      </c>
      <c r="E33" s="2149">
        <v>512</v>
      </c>
      <c r="F33" s="2148">
        <v>26780</v>
      </c>
      <c r="G33" s="2148">
        <v>26780</v>
      </c>
      <c r="H33" s="2148">
        <v>26780</v>
      </c>
      <c r="I33" s="2148">
        <v>26780</v>
      </c>
      <c r="J33" s="2148">
        <v>26780</v>
      </c>
      <c r="K33" s="2148">
        <v>26780</v>
      </c>
      <c r="L33" s="2148">
        <v>26780</v>
      </c>
      <c r="M33" s="2148">
        <v>26780</v>
      </c>
      <c r="N33" s="2148">
        <v>26780</v>
      </c>
      <c r="O33" s="2148">
        <v>26780</v>
      </c>
      <c r="P33" s="2148">
        <v>26780</v>
      </c>
      <c r="Q33" s="2148">
        <v>26780</v>
      </c>
      <c r="R33" s="2148">
        <f t="shared" si="6"/>
        <v>321360</v>
      </c>
      <c r="T33" s="2125"/>
      <c r="U33" s="2125">
        <f t="shared" ref="U33:U44" si="13">R33</f>
        <v>321360</v>
      </c>
      <c r="W33" s="2152"/>
      <c r="X33" s="2152"/>
    </row>
    <row r="34" spans="2:24">
      <c r="B34" s="2154"/>
      <c r="C34" s="2147"/>
      <c r="E34" s="2155"/>
      <c r="F34" s="2148">
        <v>0</v>
      </c>
      <c r="G34" s="2148">
        <v>0</v>
      </c>
      <c r="H34" s="2148">
        <v>0</v>
      </c>
      <c r="I34" s="2148">
        <v>0</v>
      </c>
      <c r="J34" s="2148">
        <v>0</v>
      </c>
      <c r="K34" s="2148">
        <v>0</v>
      </c>
      <c r="L34" s="2148">
        <v>0</v>
      </c>
      <c r="M34" s="2148">
        <v>0</v>
      </c>
      <c r="N34" s="2148">
        <v>0</v>
      </c>
      <c r="O34" s="2148">
        <v>0</v>
      </c>
      <c r="P34" s="2148">
        <v>0</v>
      </c>
      <c r="Q34" s="2148">
        <v>0</v>
      </c>
      <c r="R34" s="2148">
        <f t="shared" si="6"/>
        <v>0</v>
      </c>
      <c r="T34" s="2125"/>
      <c r="U34" s="2125">
        <f t="shared" si="13"/>
        <v>0</v>
      </c>
      <c r="W34" s="2152"/>
      <c r="X34" s="2152"/>
    </row>
    <row r="35" spans="2:24" ht="19.8">
      <c r="B35" s="2154"/>
      <c r="C35" s="2147" t="s">
        <v>8989</v>
      </c>
      <c r="D35" s="2125" t="s">
        <v>8257</v>
      </c>
      <c r="E35" s="2156">
        <v>0</v>
      </c>
      <c r="F35" s="2148">
        <v>0</v>
      </c>
      <c r="G35" s="2148">
        <v>0</v>
      </c>
      <c r="H35" s="2148">
        <v>0</v>
      </c>
      <c r="I35" s="2148">
        <v>0</v>
      </c>
      <c r="J35" s="2148">
        <v>0</v>
      </c>
      <c r="K35" s="2148">
        <v>0</v>
      </c>
      <c r="L35" s="2148">
        <v>0</v>
      </c>
      <c r="M35" s="2148">
        <v>0</v>
      </c>
      <c r="N35" s="2148">
        <v>0</v>
      </c>
      <c r="O35" s="2148">
        <v>0</v>
      </c>
      <c r="P35" s="2148">
        <v>0</v>
      </c>
      <c r="Q35" s="2148">
        <v>0</v>
      </c>
      <c r="R35" s="2148">
        <f t="shared" si="6"/>
        <v>0</v>
      </c>
      <c r="T35" s="2125"/>
      <c r="U35" s="2125">
        <f t="shared" si="13"/>
        <v>0</v>
      </c>
      <c r="W35" s="2152"/>
      <c r="X35" s="2152"/>
    </row>
    <row r="36" spans="2:24">
      <c r="B36" s="2154"/>
      <c r="C36" s="2147" t="s">
        <v>8990</v>
      </c>
      <c r="D36" s="2125" t="s">
        <v>4557</v>
      </c>
      <c r="E36" s="2149" t="s">
        <v>4469</v>
      </c>
      <c r="F36" s="2148">
        <v>29588.449500000002</v>
      </c>
      <c r="G36" s="2148">
        <v>25286.5</v>
      </c>
      <c r="H36" s="2148">
        <v>27861.5</v>
      </c>
      <c r="I36" s="2148">
        <v>27861.5</v>
      </c>
      <c r="J36" s="2148">
        <v>25286.5</v>
      </c>
      <c r="K36" s="2148">
        <v>25286.5</v>
      </c>
      <c r="L36" s="2148">
        <v>25286.5</v>
      </c>
      <c r="M36" s="2148">
        <v>25286.5</v>
      </c>
      <c r="N36" s="2148">
        <v>25286.5</v>
      </c>
      <c r="O36" s="2148">
        <v>25286.5</v>
      </c>
      <c r="P36" s="2148">
        <v>25286.5</v>
      </c>
      <c r="Q36" s="2148">
        <v>25286.5</v>
      </c>
      <c r="R36" s="2148">
        <f t="shared" si="6"/>
        <v>312889.94949999999</v>
      </c>
      <c r="T36" s="2125"/>
      <c r="U36" s="2125">
        <f t="shared" si="13"/>
        <v>312889.94949999999</v>
      </c>
      <c r="W36" s="2152"/>
      <c r="X36" s="2152"/>
    </row>
    <row r="37" spans="2:24">
      <c r="B37" s="2154"/>
      <c r="C37" s="2147" t="s">
        <v>4555</v>
      </c>
      <c r="D37" s="2125" t="s">
        <v>4559</v>
      </c>
      <c r="E37" s="2149">
        <v>512</v>
      </c>
      <c r="F37" s="2148">
        <v>0</v>
      </c>
      <c r="G37" s="2148">
        <v>0</v>
      </c>
      <c r="H37" s="2148">
        <v>0</v>
      </c>
      <c r="I37" s="2148">
        <v>0</v>
      </c>
      <c r="J37" s="2148">
        <v>0</v>
      </c>
      <c r="K37" s="2148">
        <v>0</v>
      </c>
      <c r="L37" s="2148">
        <v>0</v>
      </c>
      <c r="M37" s="2148">
        <v>0</v>
      </c>
      <c r="N37" s="2148">
        <v>0</v>
      </c>
      <c r="O37" s="2148">
        <v>0</v>
      </c>
      <c r="P37" s="2148">
        <v>0</v>
      </c>
      <c r="Q37" s="2148">
        <v>0</v>
      </c>
      <c r="R37" s="2148">
        <f t="shared" si="6"/>
        <v>0</v>
      </c>
      <c r="T37" s="2125"/>
      <c r="U37" s="2125">
        <f t="shared" si="13"/>
        <v>0</v>
      </c>
      <c r="W37" s="2152"/>
      <c r="X37" s="2152"/>
    </row>
    <row r="38" spans="2:24">
      <c r="B38" s="2154"/>
      <c r="C38" s="2147"/>
      <c r="E38" s="2155"/>
      <c r="F38" s="2148">
        <v>0</v>
      </c>
      <c r="G38" s="2148">
        <v>0</v>
      </c>
      <c r="H38" s="2148">
        <v>0</v>
      </c>
      <c r="I38" s="2148">
        <v>0</v>
      </c>
      <c r="J38" s="2148">
        <v>0</v>
      </c>
      <c r="K38" s="2148">
        <v>0</v>
      </c>
      <c r="L38" s="2148">
        <v>0</v>
      </c>
      <c r="M38" s="2148">
        <v>0</v>
      </c>
      <c r="N38" s="2148">
        <v>0</v>
      </c>
      <c r="O38" s="2148">
        <v>0</v>
      </c>
      <c r="P38" s="2148">
        <v>0</v>
      </c>
      <c r="Q38" s="2148">
        <v>0</v>
      </c>
      <c r="R38" s="2148">
        <f t="shared" si="6"/>
        <v>0</v>
      </c>
      <c r="T38" s="2125"/>
      <c r="U38" s="2125">
        <f t="shared" si="13"/>
        <v>0</v>
      </c>
      <c r="W38" s="2152"/>
      <c r="X38" s="2152"/>
    </row>
    <row r="39" spans="2:24">
      <c r="B39" s="2154"/>
      <c r="C39" s="2147"/>
      <c r="E39" s="2155"/>
      <c r="F39" s="2148">
        <v>0</v>
      </c>
      <c r="G39" s="2148">
        <v>0</v>
      </c>
      <c r="H39" s="2148">
        <v>0</v>
      </c>
      <c r="I39" s="2148">
        <v>0</v>
      </c>
      <c r="J39" s="2148">
        <v>0</v>
      </c>
      <c r="K39" s="2148">
        <v>0</v>
      </c>
      <c r="L39" s="2148">
        <v>0</v>
      </c>
      <c r="M39" s="2148">
        <v>0</v>
      </c>
      <c r="N39" s="2148">
        <v>0</v>
      </c>
      <c r="O39" s="2148">
        <v>0</v>
      </c>
      <c r="P39" s="2148">
        <v>0</v>
      </c>
      <c r="Q39" s="2148">
        <v>0</v>
      </c>
      <c r="R39" s="2148">
        <f t="shared" si="6"/>
        <v>0</v>
      </c>
      <c r="T39" s="2125"/>
      <c r="U39" s="2125">
        <f t="shared" si="13"/>
        <v>0</v>
      </c>
      <c r="W39" s="2152"/>
      <c r="X39" s="2152"/>
    </row>
    <row r="40" spans="2:24">
      <c r="B40" s="2154"/>
      <c r="C40" s="2147"/>
      <c r="E40" s="2155"/>
      <c r="F40" s="2148">
        <v>0</v>
      </c>
      <c r="G40" s="2148">
        <v>0</v>
      </c>
      <c r="H40" s="2148">
        <v>0</v>
      </c>
      <c r="I40" s="2148">
        <v>0</v>
      </c>
      <c r="J40" s="2148">
        <v>0</v>
      </c>
      <c r="K40" s="2148">
        <v>0</v>
      </c>
      <c r="L40" s="2148">
        <v>0</v>
      </c>
      <c r="M40" s="2148">
        <v>0</v>
      </c>
      <c r="N40" s="2148">
        <v>0</v>
      </c>
      <c r="O40" s="2148">
        <v>0</v>
      </c>
      <c r="P40" s="2148">
        <v>0</v>
      </c>
      <c r="Q40" s="2148">
        <v>0</v>
      </c>
      <c r="R40" s="2148">
        <f t="shared" si="6"/>
        <v>0</v>
      </c>
      <c r="T40" s="2125"/>
      <c r="U40" s="2125">
        <f t="shared" si="13"/>
        <v>0</v>
      </c>
      <c r="W40" s="2152"/>
      <c r="X40" s="2152"/>
    </row>
    <row r="41" spans="2:24">
      <c r="B41" s="2154"/>
      <c r="C41" s="2147"/>
      <c r="E41" s="2149"/>
      <c r="F41" s="2148"/>
      <c r="G41" s="2148"/>
      <c r="H41" s="2148"/>
      <c r="I41" s="2148"/>
      <c r="J41" s="2148"/>
      <c r="K41" s="2148"/>
      <c r="L41" s="2148"/>
      <c r="M41" s="2148"/>
      <c r="N41" s="2148"/>
      <c r="O41" s="2148"/>
      <c r="P41" s="2148"/>
      <c r="Q41" s="2148"/>
      <c r="R41" s="2148"/>
      <c r="T41" s="2125"/>
      <c r="U41" s="2125"/>
      <c r="W41" s="2152"/>
      <c r="X41" s="2152"/>
    </row>
    <row r="42" spans="2:24">
      <c r="B42" s="2154"/>
      <c r="C42" s="2147"/>
      <c r="E42" s="2151"/>
      <c r="F42" s="1684">
        <v>0</v>
      </c>
      <c r="G42" s="1684">
        <v>0</v>
      </c>
      <c r="H42" s="1684">
        <v>0</v>
      </c>
      <c r="I42" s="1684">
        <v>0</v>
      </c>
      <c r="J42" s="1684">
        <v>0</v>
      </c>
      <c r="K42" s="1684">
        <v>0</v>
      </c>
      <c r="L42" s="1684">
        <v>0</v>
      </c>
      <c r="M42" s="1684">
        <v>0</v>
      </c>
      <c r="N42" s="1684">
        <v>0</v>
      </c>
      <c r="O42" s="1684">
        <v>0</v>
      </c>
      <c r="P42" s="1684">
        <v>0</v>
      </c>
      <c r="Q42" s="1684">
        <v>0</v>
      </c>
      <c r="R42" s="2148">
        <f t="shared" si="6"/>
        <v>0</v>
      </c>
      <c r="T42" s="2125"/>
      <c r="U42" s="2125">
        <f t="shared" si="13"/>
        <v>0</v>
      </c>
      <c r="W42" s="2152"/>
      <c r="X42" s="2152"/>
    </row>
    <row r="43" spans="2:24">
      <c r="B43" s="1685">
        <v>0.33329999999999999</v>
      </c>
      <c r="C43" s="2147"/>
      <c r="E43" s="2151"/>
      <c r="F43" s="1686">
        <f>F42*$B$43</f>
        <v>0</v>
      </c>
      <c r="G43" s="1686">
        <f t="shared" ref="G43:Q43" si="14">G42*$B$43</f>
        <v>0</v>
      </c>
      <c r="H43" s="1686">
        <f t="shared" si="14"/>
        <v>0</v>
      </c>
      <c r="I43" s="1686">
        <f t="shared" si="14"/>
        <v>0</v>
      </c>
      <c r="J43" s="1686">
        <f t="shared" si="14"/>
        <v>0</v>
      </c>
      <c r="K43" s="1686">
        <f t="shared" si="14"/>
        <v>0</v>
      </c>
      <c r="L43" s="1686">
        <f t="shared" si="14"/>
        <v>0</v>
      </c>
      <c r="M43" s="1686">
        <f t="shared" si="14"/>
        <v>0</v>
      </c>
      <c r="N43" s="1686">
        <f t="shared" si="14"/>
        <v>0</v>
      </c>
      <c r="O43" s="1686">
        <f t="shared" si="14"/>
        <v>0</v>
      </c>
      <c r="P43" s="1686">
        <f t="shared" si="14"/>
        <v>0</v>
      </c>
      <c r="Q43" s="1686">
        <f t="shared" si="14"/>
        <v>0</v>
      </c>
      <c r="R43" s="2125">
        <f>SUM(F43:Q43)</f>
        <v>0</v>
      </c>
      <c r="T43" s="2125"/>
      <c r="U43" s="2125">
        <f t="shared" si="13"/>
        <v>0</v>
      </c>
      <c r="W43" s="2152"/>
      <c r="X43" s="2152"/>
    </row>
    <row r="44" spans="2:24">
      <c r="B44" s="1685">
        <v>0.66669999999999996</v>
      </c>
      <c r="C44" s="2147"/>
      <c r="E44" s="2151"/>
      <c r="F44" s="1686">
        <f>F42*$B$44</f>
        <v>0</v>
      </c>
      <c r="G44" s="1686">
        <f t="shared" ref="G44:Q44" si="15">G42*$B$44</f>
        <v>0</v>
      </c>
      <c r="H44" s="1686">
        <f t="shared" si="15"/>
        <v>0</v>
      </c>
      <c r="I44" s="1686">
        <f t="shared" si="15"/>
        <v>0</v>
      </c>
      <c r="J44" s="1686">
        <f t="shared" si="15"/>
        <v>0</v>
      </c>
      <c r="K44" s="1686">
        <f t="shared" si="15"/>
        <v>0</v>
      </c>
      <c r="L44" s="1686">
        <f t="shared" si="15"/>
        <v>0</v>
      </c>
      <c r="M44" s="1686">
        <f t="shared" si="15"/>
        <v>0</v>
      </c>
      <c r="N44" s="1686">
        <f t="shared" si="15"/>
        <v>0</v>
      </c>
      <c r="O44" s="1686">
        <f t="shared" si="15"/>
        <v>0</v>
      </c>
      <c r="P44" s="1686">
        <f t="shared" si="15"/>
        <v>0</v>
      </c>
      <c r="Q44" s="1686">
        <f t="shared" si="15"/>
        <v>0</v>
      </c>
      <c r="R44" s="2125">
        <f>SUM(F44:Q44)</f>
        <v>0</v>
      </c>
      <c r="T44" s="2125"/>
      <c r="U44" s="2125">
        <f t="shared" si="13"/>
        <v>0</v>
      </c>
      <c r="W44" s="2152"/>
      <c r="X44" s="2152"/>
    </row>
    <row r="45" spans="2:24">
      <c r="B45" s="1818">
        <f>SUM(B43:B44)</f>
        <v>1</v>
      </c>
      <c r="C45" s="2147"/>
      <c r="E45" s="2151"/>
      <c r="F45" s="1684"/>
      <c r="G45" s="2148"/>
      <c r="H45" s="2148"/>
      <c r="I45" s="2148"/>
      <c r="J45" s="2148"/>
      <c r="K45" s="2148"/>
      <c r="L45" s="2148"/>
      <c r="M45" s="2148"/>
      <c r="N45" s="2148"/>
      <c r="O45" s="2148"/>
      <c r="P45" s="2148"/>
      <c r="Q45" s="2148"/>
      <c r="T45" s="2125"/>
      <c r="U45" s="2125"/>
      <c r="W45" s="2152"/>
      <c r="X45" s="2152"/>
    </row>
    <row r="46" spans="2:24">
      <c r="B46" s="2154"/>
      <c r="C46" s="2147"/>
      <c r="E46" s="2151"/>
      <c r="F46" s="1684">
        <v>0</v>
      </c>
      <c r="G46" s="1684">
        <v>0</v>
      </c>
      <c r="H46" s="1684">
        <v>0</v>
      </c>
      <c r="I46" s="1684">
        <v>0</v>
      </c>
      <c r="J46" s="1684">
        <v>0</v>
      </c>
      <c r="K46" s="1684">
        <v>0</v>
      </c>
      <c r="L46" s="1684">
        <v>0</v>
      </c>
      <c r="M46" s="1684">
        <v>0</v>
      </c>
      <c r="N46" s="1684">
        <v>0</v>
      </c>
      <c r="O46" s="1684">
        <v>0</v>
      </c>
      <c r="P46" s="1684">
        <v>0</v>
      </c>
      <c r="Q46" s="1684">
        <v>0</v>
      </c>
      <c r="R46" s="2148">
        <f t="shared" si="6"/>
        <v>0</v>
      </c>
      <c r="T46" s="2125"/>
      <c r="U46" s="2125">
        <f t="shared" ref="U46:U48" si="16">R46</f>
        <v>0</v>
      </c>
      <c r="W46" s="2152"/>
      <c r="X46" s="2152"/>
    </row>
    <row r="47" spans="2:24">
      <c r="B47" s="1687"/>
      <c r="C47" s="2147"/>
      <c r="E47" s="2151"/>
      <c r="F47" s="1686">
        <f>F46*$B$43</f>
        <v>0</v>
      </c>
      <c r="G47" s="1686">
        <f t="shared" ref="G47:Q47" si="17">G46*$B$43</f>
        <v>0</v>
      </c>
      <c r="H47" s="1686">
        <f t="shared" si="17"/>
        <v>0</v>
      </c>
      <c r="I47" s="1686">
        <f t="shared" si="17"/>
        <v>0</v>
      </c>
      <c r="J47" s="1686">
        <f t="shared" si="17"/>
        <v>0</v>
      </c>
      <c r="K47" s="1686">
        <f t="shared" si="17"/>
        <v>0</v>
      </c>
      <c r="L47" s="1686">
        <f t="shared" si="17"/>
        <v>0</v>
      </c>
      <c r="M47" s="1686">
        <f t="shared" si="17"/>
        <v>0</v>
      </c>
      <c r="N47" s="1686">
        <f t="shared" si="17"/>
        <v>0</v>
      </c>
      <c r="O47" s="1686">
        <f t="shared" si="17"/>
        <v>0</v>
      </c>
      <c r="P47" s="1686">
        <f t="shared" si="17"/>
        <v>0</v>
      </c>
      <c r="Q47" s="1686">
        <f t="shared" si="17"/>
        <v>0</v>
      </c>
      <c r="R47" s="2125">
        <f>SUM(F47:Q47)</f>
        <v>0</v>
      </c>
      <c r="T47" s="2125"/>
      <c r="U47" s="2125">
        <f t="shared" si="16"/>
        <v>0</v>
      </c>
      <c r="W47" s="2152"/>
      <c r="X47" s="2152"/>
    </row>
    <row r="48" spans="2:24">
      <c r="B48" s="1687"/>
      <c r="C48" s="2147"/>
      <c r="E48" s="2151"/>
      <c r="F48" s="1686">
        <f>F46*$B$44</f>
        <v>0</v>
      </c>
      <c r="G48" s="1686">
        <f t="shared" ref="G48:Q48" si="18">G46*$B$44</f>
        <v>0</v>
      </c>
      <c r="H48" s="1686">
        <f t="shared" si="18"/>
        <v>0</v>
      </c>
      <c r="I48" s="1686">
        <f t="shared" si="18"/>
        <v>0</v>
      </c>
      <c r="J48" s="1686">
        <f t="shared" si="18"/>
        <v>0</v>
      </c>
      <c r="K48" s="1686">
        <f t="shared" si="18"/>
        <v>0</v>
      </c>
      <c r="L48" s="1686">
        <f t="shared" si="18"/>
        <v>0</v>
      </c>
      <c r="M48" s="1686">
        <f t="shared" si="18"/>
        <v>0</v>
      </c>
      <c r="N48" s="1686">
        <f t="shared" si="18"/>
        <v>0</v>
      </c>
      <c r="O48" s="1686">
        <f t="shared" si="18"/>
        <v>0</v>
      </c>
      <c r="P48" s="1686">
        <f t="shared" si="18"/>
        <v>0</v>
      </c>
      <c r="Q48" s="1686">
        <f t="shared" si="18"/>
        <v>0</v>
      </c>
      <c r="R48" s="2125">
        <f>SUM(F48:Q48)</f>
        <v>0</v>
      </c>
      <c r="T48" s="2125"/>
      <c r="U48" s="2125">
        <f t="shared" si="16"/>
        <v>0</v>
      </c>
      <c r="W48" s="2152"/>
      <c r="X48" s="2152"/>
    </row>
    <row r="49" spans="1:24">
      <c r="B49" s="1687"/>
      <c r="C49" s="2147"/>
      <c r="E49" s="2151"/>
      <c r="F49" s="1684"/>
      <c r="G49" s="2148"/>
      <c r="H49" s="2148"/>
      <c r="I49" s="2148"/>
      <c r="J49" s="2148"/>
      <c r="K49" s="2148"/>
      <c r="L49" s="2148"/>
      <c r="M49" s="2148"/>
      <c r="N49" s="2148"/>
      <c r="O49" s="2148"/>
      <c r="P49" s="2148"/>
      <c r="Q49" s="2148"/>
      <c r="T49" s="2125"/>
      <c r="U49" s="2125"/>
      <c r="W49" s="2152"/>
      <c r="X49" s="2152"/>
    </row>
    <row r="50" spans="1:24">
      <c r="B50" s="2154"/>
      <c r="C50" s="2147" t="s">
        <v>4556</v>
      </c>
      <c r="D50" s="2125" t="s">
        <v>4563</v>
      </c>
      <c r="E50" s="2151"/>
      <c r="F50" s="1684">
        <v>0</v>
      </c>
      <c r="G50" s="1684">
        <v>0</v>
      </c>
      <c r="H50" s="1684">
        <v>0</v>
      </c>
      <c r="I50" s="1684">
        <v>0</v>
      </c>
      <c r="J50" s="1684">
        <v>0</v>
      </c>
      <c r="K50" s="1684">
        <v>0</v>
      </c>
      <c r="L50" s="1684">
        <v>0</v>
      </c>
      <c r="M50" s="1684">
        <v>0</v>
      </c>
      <c r="N50" s="1684">
        <v>0</v>
      </c>
      <c r="O50" s="1684">
        <v>0</v>
      </c>
      <c r="P50" s="1684">
        <v>0</v>
      </c>
      <c r="Q50" s="1684">
        <v>0</v>
      </c>
      <c r="R50" s="2148">
        <f t="shared" si="6"/>
        <v>0</v>
      </c>
      <c r="T50" s="2125"/>
      <c r="U50" s="2125">
        <f t="shared" ref="U50:U52" si="19">R50</f>
        <v>0</v>
      </c>
      <c r="W50" s="2152"/>
      <c r="X50" s="2152"/>
    </row>
    <row r="51" spans="1:24">
      <c r="B51" s="1687"/>
      <c r="C51" s="2147"/>
      <c r="E51" s="2151">
        <v>502</v>
      </c>
      <c r="F51" s="1686">
        <f>F50*$B$43</f>
        <v>0</v>
      </c>
      <c r="G51" s="1686">
        <f t="shared" ref="G51:Q51" si="20">G50*$B$43</f>
        <v>0</v>
      </c>
      <c r="H51" s="1686">
        <f t="shared" si="20"/>
        <v>0</v>
      </c>
      <c r="I51" s="1686">
        <f t="shared" si="20"/>
        <v>0</v>
      </c>
      <c r="J51" s="1686">
        <f t="shared" si="20"/>
        <v>0</v>
      </c>
      <c r="K51" s="1686">
        <f t="shared" si="20"/>
        <v>0</v>
      </c>
      <c r="L51" s="1686">
        <f t="shared" si="20"/>
        <v>0</v>
      </c>
      <c r="M51" s="1686">
        <f t="shared" si="20"/>
        <v>0</v>
      </c>
      <c r="N51" s="1686">
        <f t="shared" si="20"/>
        <v>0</v>
      </c>
      <c r="O51" s="1686">
        <f t="shared" si="20"/>
        <v>0</v>
      </c>
      <c r="P51" s="1686">
        <f t="shared" si="20"/>
        <v>0</v>
      </c>
      <c r="Q51" s="1686">
        <f t="shared" si="20"/>
        <v>0</v>
      </c>
      <c r="R51" s="2125">
        <f>SUM(F51:Q51)</f>
        <v>0</v>
      </c>
      <c r="T51" s="2125"/>
      <c r="U51" s="2125">
        <f t="shared" si="19"/>
        <v>0</v>
      </c>
      <c r="W51" s="2152"/>
      <c r="X51" s="2152"/>
    </row>
    <row r="52" spans="1:24">
      <c r="B52" s="1687"/>
      <c r="C52" s="2147"/>
      <c r="E52" s="2151">
        <v>512</v>
      </c>
      <c r="F52" s="1686">
        <f>F50*$B$44</f>
        <v>0</v>
      </c>
      <c r="G52" s="1686">
        <f t="shared" ref="G52:Q52" si="21">G50*$B$44</f>
        <v>0</v>
      </c>
      <c r="H52" s="1686">
        <f t="shared" si="21"/>
        <v>0</v>
      </c>
      <c r="I52" s="1686">
        <f t="shared" si="21"/>
        <v>0</v>
      </c>
      <c r="J52" s="1686">
        <f t="shared" si="21"/>
        <v>0</v>
      </c>
      <c r="K52" s="1686">
        <f t="shared" si="21"/>
        <v>0</v>
      </c>
      <c r="L52" s="1686">
        <f t="shared" si="21"/>
        <v>0</v>
      </c>
      <c r="M52" s="1686">
        <f t="shared" si="21"/>
        <v>0</v>
      </c>
      <c r="N52" s="1686">
        <f t="shared" si="21"/>
        <v>0</v>
      </c>
      <c r="O52" s="1686">
        <f t="shared" si="21"/>
        <v>0</v>
      </c>
      <c r="P52" s="1686">
        <f t="shared" si="21"/>
        <v>0</v>
      </c>
      <c r="Q52" s="1686">
        <f t="shared" si="21"/>
        <v>0</v>
      </c>
      <c r="R52" s="2125">
        <f>SUM(F52:Q52)</f>
        <v>0</v>
      </c>
      <c r="T52" s="2125"/>
      <c r="U52" s="2125">
        <f t="shared" si="19"/>
        <v>0</v>
      </c>
      <c r="W52" s="2152"/>
      <c r="X52" s="2152"/>
    </row>
    <row r="53" spans="1:24">
      <c r="B53" s="1687"/>
      <c r="C53" s="2147"/>
      <c r="E53" s="2151"/>
      <c r="F53" s="1684"/>
      <c r="G53" s="2148"/>
      <c r="H53" s="2148"/>
      <c r="I53" s="2148"/>
      <c r="J53" s="2148"/>
      <c r="K53" s="2148"/>
      <c r="L53" s="2148"/>
      <c r="M53" s="2148"/>
      <c r="N53" s="2148"/>
      <c r="O53" s="2148"/>
      <c r="P53" s="2148"/>
      <c r="Q53" s="2148"/>
      <c r="T53" s="2125"/>
      <c r="U53" s="2125"/>
      <c r="W53" s="2152"/>
      <c r="X53" s="2152"/>
    </row>
    <row r="54" spans="1:24">
      <c r="B54" s="2154"/>
      <c r="C54" s="2147" t="s">
        <v>4558</v>
      </c>
      <c r="D54" s="2125" t="s">
        <v>4564</v>
      </c>
      <c r="E54" s="2151"/>
      <c r="F54" s="1684">
        <v>66950</v>
      </c>
      <c r="G54" s="1684">
        <v>66950</v>
      </c>
      <c r="H54" s="1684">
        <v>66950</v>
      </c>
      <c r="I54" s="1684">
        <v>66950</v>
      </c>
      <c r="J54" s="1684">
        <v>66950</v>
      </c>
      <c r="K54" s="1684">
        <v>66950</v>
      </c>
      <c r="L54" s="1684">
        <v>66950</v>
      </c>
      <c r="M54" s="1684">
        <v>66950</v>
      </c>
      <c r="N54" s="1684">
        <v>66950</v>
      </c>
      <c r="O54" s="1684">
        <v>66950</v>
      </c>
      <c r="P54" s="1684">
        <v>66950</v>
      </c>
      <c r="Q54" s="1684">
        <v>66950</v>
      </c>
      <c r="R54" s="2148">
        <f t="shared" si="6"/>
        <v>803400</v>
      </c>
      <c r="T54" s="2125"/>
      <c r="U54" s="2125">
        <f t="shared" ref="U54:U56" si="22">R54</f>
        <v>803400</v>
      </c>
      <c r="W54" s="2152"/>
      <c r="X54" s="2152"/>
    </row>
    <row r="55" spans="1:24">
      <c r="B55" s="1687"/>
      <c r="C55" s="2147"/>
      <c r="E55" s="2151">
        <v>502</v>
      </c>
      <c r="F55" s="1686">
        <f>F54*$B$43</f>
        <v>22314.434999999998</v>
      </c>
      <c r="G55" s="1686">
        <f t="shared" ref="G55:Q55" si="23">G54*$B$43</f>
        <v>22314.434999999998</v>
      </c>
      <c r="H55" s="1686">
        <f t="shared" si="23"/>
        <v>22314.434999999998</v>
      </c>
      <c r="I55" s="1686">
        <f t="shared" si="23"/>
        <v>22314.434999999998</v>
      </c>
      <c r="J55" s="1686">
        <f t="shared" si="23"/>
        <v>22314.434999999998</v>
      </c>
      <c r="K55" s="1686">
        <f t="shared" si="23"/>
        <v>22314.434999999998</v>
      </c>
      <c r="L55" s="1686">
        <f t="shared" si="23"/>
        <v>22314.434999999998</v>
      </c>
      <c r="M55" s="1686">
        <f t="shared" si="23"/>
        <v>22314.434999999998</v>
      </c>
      <c r="N55" s="1686">
        <f t="shared" si="23"/>
        <v>22314.434999999998</v>
      </c>
      <c r="O55" s="1686">
        <f t="shared" si="23"/>
        <v>22314.434999999998</v>
      </c>
      <c r="P55" s="1686">
        <f t="shared" si="23"/>
        <v>22314.434999999998</v>
      </c>
      <c r="Q55" s="1686">
        <f t="shared" si="23"/>
        <v>22314.434999999998</v>
      </c>
      <c r="R55" s="2125">
        <f>SUM(F55:Q55)</f>
        <v>267773.21999999997</v>
      </c>
      <c r="T55" s="2125"/>
      <c r="U55" s="2125">
        <f t="shared" si="22"/>
        <v>267773.21999999997</v>
      </c>
      <c r="W55" s="2152"/>
      <c r="X55" s="2152"/>
    </row>
    <row r="56" spans="1:24">
      <c r="B56" s="1687"/>
      <c r="C56" s="2147"/>
      <c r="E56" s="2151">
        <v>512</v>
      </c>
      <c r="F56" s="1686">
        <f>F54*$B$44</f>
        <v>44635.564999999995</v>
      </c>
      <c r="G56" s="1686">
        <f t="shared" ref="G56:Q56" si="24">G54*$B$44</f>
        <v>44635.564999999995</v>
      </c>
      <c r="H56" s="1686">
        <f t="shared" si="24"/>
        <v>44635.564999999995</v>
      </c>
      <c r="I56" s="1686">
        <f t="shared" si="24"/>
        <v>44635.564999999995</v>
      </c>
      <c r="J56" s="1686">
        <f t="shared" si="24"/>
        <v>44635.564999999995</v>
      </c>
      <c r="K56" s="1686">
        <f t="shared" si="24"/>
        <v>44635.564999999995</v>
      </c>
      <c r="L56" s="1686">
        <f t="shared" si="24"/>
        <v>44635.564999999995</v>
      </c>
      <c r="M56" s="1686">
        <f t="shared" si="24"/>
        <v>44635.564999999995</v>
      </c>
      <c r="N56" s="1686">
        <f t="shared" si="24"/>
        <v>44635.564999999995</v>
      </c>
      <c r="O56" s="1686">
        <f t="shared" si="24"/>
        <v>44635.564999999995</v>
      </c>
      <c r="P56" s="1686">
        <f t="shared" si="24"/>
        <v>44635.564999999995</v>
      </c>
      <c r="Q56" s="1686">
        <f t="shared" si="24"/>
        <v>44635.564999999995</v>
      </c>
      <c r="R56" s="2125">
        <f>SUM(F56:Q56)</f>
        <v>535626.77999999991</v>
      </c>
      <c r="T56" s="2125"/>
      <c r="U56" s="2125">
        <f t="shared" si="22"/>
        <v>535626.77999999991</v>
      </c>
      <c r="W56" s="2152"/>
      <c r="X56" s="2152"/>
    </row>
    <row r="57" spans="1:24">
      <c r="B57" s="1687"/>
      <c r="C57" s="2147"/>
      <c r="E57" s="2151"/>
      <c r="F57" s="1684"/>
      <c r="G57" s="2148"/>
      <c r="H57" s="2148"/>
      <c r="I57" s="2148"/>
      <c r="J57" s="2148"/>
      <c r="K57" s="2148"/>
      <c r="L57" s="2148"/>
      <c r="M57" s="2148"/>
      <c r="N57" s="2148"/>
      <c r="O57" s="2148"/>
      <c r="P57" s="2148"/>
      <c r="Q57" s="2148"/>
      <c r="T57" s="2125"/>
      <c r="U57" s="2125"/>
      <c r="W57" s="2152"/>
      <c r="X57" s="2152"/>
    </row>
    <row r="58" spans="1:24">
      <c r="B58" s="2154"/>
      <c r="C58" s="2147" t="s">
        <v>4560</v>
      </c>
      <c r="D58" s="2125" t="s">
        <v>4565</v>
      </c>
      <c r="E58" s="2151"/>
      <c r="F58" s="2148">
        <v>0</v>
      </c>
      <c r="G58" s="2148">
        <v>0</v>
      </c>
      <c r="H58" s="2148">
        <v>0</v>
      </c>
      <c r="I58" s="2148">
        <v>0</v>
      </c>
      <c r="J58" s="2148">
        <v>0</v>
      </c>
      <c r="K58" s="2148">
        <v>1030</v>
      </c>
      <c r="L58" s="2148">
        <v>0</v>
      </c>
      <c r="M58" s="2148">
        <v>0</v>
      </c>
      <c r="N58" s="2148">
        <v>0</v>
      </c>
      <c r="O58" s="2148">
        <v>0</v>
      </c>
      <c r="P58" s="2148">
        <v>0</v>
      </c>
      <c r="Q58" s="2148">
        <v>0</v>
      </c>
      <c r="R58" s="2148">
        <f t="shared" si="6"/>
        <v>1030</v>
      </c>
      <c r="T58" s="2125"/>
      <c r="U58" s="2125">
        <f t="shared" ref="U58:U60" si="25">R58</f>
        <v>1030</v>
      </c>
      <c r="W58" s="2152"/>
      <c r="X58" s="2152"/>
    </row>
    <row r="59" spans="1:24">
      <c r="B59" s="2154"/>
      <c r="C59" s="2147"/>
      <c r="D59" s="2141" t="s">
        <v>4566</v>
      </c>
      <c r="E59" s="2151">
        <v>506</v>
      </c>
      <c r="F59" s="2125">
        <v>0</v>
      </c>
      <c r="G59" s="2125">
        <v>0</v>
      </c>
      <c r="H59" s="2125">
        <v>0</v>
      </c>
      <c r="I59" s="2125">
        <v>0</v>
      </c>
      <c r="J59" s="2125">
        <v>0</v>
      </c>
      <c r="K59" s="2125">
        <v>1030</v>
      </c>
      <c r="L59" s="2125">
        <v>0</v>
      </c>
      <c r="M59" s="2125">
        <v>0</v>
      </c>
      <c r="N59" s="2125">
        <v>0</v>
      </c>
      <c r="O59" s="2125">
        <v>0</v>
      </c>
      <c r="P59" s="2125">
        <v>0</v>
      </c>
      <c r="Q59" s="2125">
        <v>0</v>
      </c>
      <c r="R59" s="2125">
        <f t="shared" si="6"/>
        <v>1030</v>
      </c>
      <c r="T59" s="2125"/>
      <c r="U59" s="2125">
        <f t="shared" si="25"/>
        <v>1030</v>
      </c>
      <c r="W59" s="2152"/>
      <c r="X59" s="2152"/>
    </row>
    <row r="60" spans="1:24">
      <c r="A60" s="2157"/>
      <c r="C60" s="2147"/>
      <c r="D60" s="2141" t="s">
        <v>4567</v>
      </c>
      <c r="E60" s="2151">
        <v>549</v>
      </c>
      <c r="F60" s="2125">
        <v>0</v>
      </c>
      <c r="G60" s="2125">
        <v>0</v>
      </c>
      <c r="H60" s="2125">
        <v>0</v>
      </c>
      <c r="I60" s="2125">
        <v>0</v>
      </c>
      <c r="J60" s="2125">
        <v>0</v>
      </c>
      <c r="K60" s="2125">
        <v>0</v>
      </c>
      <c r="L60" s="2125">
        <v>0</v>
      </c>
      <c r="M60" s="2125">
        <v>0</v>
      </c>
      <c r="N60" s="2125">
        <v>0</v>
      </c>
      <c r="O60" s="2125">
        <v>0</v>
      </c>
      <c r="P60" s="2125">
        <v>0</v>
      </c>
      <c r="Q60" s="2125">
        <v>0</v>
      </c>
      <c r="R60" s="2125">
        <f t="shared" si="6"/>
        <v>0</v>
      </c>
      <c r="T60" s="2125"/>
      <c r="U60" s="2125">
        <f t="shared" si="25"/>
        <v>0</v>
      </c>
      <c r="W60" s="2152"/>
      <c r="X60" s="2152"/>
    </row>
    <row r="61" spans="1:24">
      <c r="B61" s="2154"/>
      <c r="C61" s="2147"/>
      <c r="D61" s="2141"/>
      <c r="E61" s="2151"/>
      <c r="F61" s="2148"/>
      <c r="G61" s="2148"/>
      <c r="H61" s="2148"/>
      <c r="I61" s="2148"/>
      <c r="J61" s="2148"/>
      <c r="K61" s="2148"/>
      <c r="L61" s="2148"/>
      <c r="M61" s="2148"/>
      <c r="N61" s="2148"/>
      <c r="O61" s="2148"/>
      <c r="P61" s="2148"/>
      <c r="Q61" s="2148"/>
      <c r="R61" s="2148"/>
      <c r="T61" s="2125"/>
      <c r="U61" s="2125"/>
      <c r="W61" s="2152"/>
      <c r="X61" s="2152"/>
    </row>
    <row r="62" spans="1:24">
      <c r="B62" s="2154"/>
      <c r="C62" s="2147" t="s">
        <v>4561</v>
      </c>
      <c r="D62" s="2125" t="s">
        <v>4568</v>
      </c>
      <c r="E62" s="2151"/>
      <c r="F62" s="2148">
        <v>12404.29</v>
      </c>
      <c r="G62" s="2148">
        <v>0</v>
      </c>
      <c r="H62" s="2148">
        <v>0</v>
      </c>
      <c r="I62" s="2148">
        <v>4448.3640000000005</v>
      </c>
      <c r="J62" s="2148">
        <v>0</v>
      </c>
      <c r="K62" s="2148">
        <v>0</v>
      </c>
      <c r="L62" s="2148">
        <v>4448.57</v>
      </c>
      <c r="M62" s="2148">
        <v>0</v>
      </c>
      <c r="N62" s="2148">
        <v>0</v>
      </c>
      <c r="O62" s="2148">
        <v>4448.57</v>
      </c>
      <c r="P62" s="2148">
        <v>0</v>
      </c>
      <c r="Q62" s="2148">
        <v>0</v>
      </c>
      <c r="R62" s="2148">
        <f t="shared" si="6"/>
        <v>25749.794000000002</v>
      </c>
      <c r="T62" s="2125"/>
      <c r="U62" s="2125">
        <f t="shared" ref="U62:U66" si="26">R62</f>
        <v>25749.794000000002</v>
      </c>
      <c r="W62" s="2152"/>
      <c r="X62" s="2152"/>
    </row>
    <row r="63" spans="1:24">
      <c r="B63" s="2154"/>
      <c r="C63" s="2147"/>
      <c r="D63" s="2141" t="s">
        <v>4566</v>
      </c>
      <c r="E63" s="2151">
        <v>506</v>
      </c>
      <c r="F63" s="2125">
        <v>0</v>
      </c>
      <c r="G63" s="2125">
        <v>0</v>
      </c>
      <c r="H63" s="2125">
        <v>0</v>
      </c>
      <c r="I63" s="2125">
        <v>0</v>
      </c>
      <c r="J63" s="2125">
        <v>0</v>
      </c>
      <c r="K63" s="2125">
        <v>0</v>
      </c>
      <c r="L63" s="2125">
        <v>0</v>
      </c>
      <c r="M63" s="2125">
        <v>0</v>
      </c>
      <c r="N63" s="2125">
        <v>0</v>
      </c>
      <c r="O63" s="2125">
        <v>0</v>
      </c>
      <c r="P63" s="2125">
        <v>0</v>
      </c>
      <c r="Q63" s="2125">
        <v>0</v>
      </c>
      <c r="R63" s="2125">
        <f t="shared" si="6"/>
        <v>0</v>
      </c>
      <c r="T63" s="2125"/>
      <c r="U63" s="2125">
        <f t="shared" si="26"/>
        <v>0</v>
      </c>
      <c r="W63" s="2152"/>
      <c r="X63" s="2152"/>
    </row>
    <row r="64" spans="1:24">
      <c r="A64" s="2157"/>
      <c r="C64" s="2147"/>
      <c r="D64" s="2141" t="s">
        <v>4569</v>
      </c>
      <c r="E64" s="2151" t="s">
        <v>4469</v>
      </c>
      <c r="F64" s="2125">
        <v>0</v>
      </c>
      <c r="G64" s="2125">
        <v>0</v>
      </c>
      <c r="H64" s="2125">
        <v>0</v>
      </c>
      <c r="I64" s="2125">
        <v>0</v>
      </c>
      <c r="J64" s="2125">
        <v>0</v>
      </c>
      <c r="K64" s="2125">
        <v>0</v>
      </c>
      <c r="L64" s="2125">
        <v>0</v>
      </c>
      <c r="M64" s="2125">
        <v>0</v>
      </c>
      <c r="N64" s="2125">
        <v>0</v>
      </c>
      <c r="O64" s="2125">
        <v>0</v>
      </c>
      <c r="P64" s="2125">
        <v>0</v>
      </c>
      <c r="Q64" s="2125">
        <v>0</v>
      </c>
      <c r="R64" s="2125">
        <f t="shared" si="6"/>
        <v>0</v>
      </c>
      <c r="T64" s="2125"/>
      <c r="U64" s="2125">
        <f t="shared" si="26"/>
        <v>0</v>
      </c>
      <c r="W64" s="2152"/>
      <c r="X64" s="2152"/>
    </row>
    <row r="65" spans="1:24">
      <c r="A65" s="2157"/>
      <c r="C65" s="2147"/>
      <c r="D65" s="2141" t="s">
        <v>4567</v>
      </c>
      <c r="E65" s="2151">
        <v>548</v>
      </c>
      <c r="F65" s="2125">
        <v>0</v>
      </c>
      <c r="G65" s="2125">
        <v>0</v>
      </c>
      <c r="H65" s="2125">
        <v>0</v>
      </c>
      <c r="I65" s="2125">
        <v>0</v>
      </c>
      <c r="J65" s="2125">
        <v>0</v>
      </c>
      <c r="K65" s="2125">
        <v>0</v>
      </c>
      <c r="L65" s="2125">
        <v>0</v>
      </c>
      <c r="M65" s="2125">
        <v>0</v>
      </c>
      <c r="N65" s="2125">
        <v>0</v>
      </c>
      <c r="O65" s="2125">
        <v>0</v>
      </c>
      <c r="P65" s="2125">
        <v>0</v>
      </c>
      <c r="Q65" s="2125">
        <v>0</v>
      </c>
      <c r="R65" s="2125">
        <f t="shared" si="6"/>
        <v>0</v>
      </c>
      <c r="T65" s="2125"/>
      <c r="U65" s="2125">
        <f t="shared" si="26"/>
        <v>0</v>
      </c>
      <c r="W65" s="2152"/>
      <c r="X65" s="2152"/>
    </row>
    <row r="66" spans="1:24">
      <c r="A66" s="2157"/>
      <c r="C66" s="2147"/>
      <c r="D66" s="2141" t="s">
        <v>8991</v>
      </c>
      <c r="E66" s="2151">
        <v>548</v>
      </c>
      <c r="F66" s="2125">
        <v>12404.29</v>
      </c>
      <c r="G66" s="2125">
        <v>0</v>
      </c>
      <c r="H66" s="2125">
        <v>0</v>
      </c>
      <c r="I66" s="2125">
        <v>4448.3640000000005</v>
      </c>
      <c r="J66" s="2125">
        <v>0</v>
      </c>
      <c r="K66" s="2125">
        <v>0</v>
      </c>
      <c r="L66" s="2125">
        <v>4448.57</v>
      </c>
      <c r="M66" s="2125">
        <v>0</v>
      </c>
      <c r="N66" s="2125">
        <v>0</v>
      </c>
      <c r="O66" s="2125">
        <v>4448.57</v>
      </c>
      <c r="P66" s="2125">
        <v>0</v>
      </c>
      <c r="Q66" s="2125">
        <v>0</v>
      </c>
      <c r="R66" s="2125">
        <f>SUM(F66:Q66)</f>
        <v>25749.794000000002</v>
      </c>
      <c r="T66" s="2125"/>
      <c r="U66" s="2125">
        <f t="shared" si="26"/>
        <v>25749.794000000002</v>
      </c>
      <c r="W66" s="2152"/>
      <c r="X66" s="2152"/>
    </row>
    <row r="67" spans="1:24">
      <c r="B67" s="2154"/>
      <c r="C67" s="2147"/>
      <c r="D67" s="2141"/>
      <c r="E67" s="2151"/>
      <c r="F67" s="2148"/>
      <c r="G67" s="2148"/>
      <c r="H67" s="2148"/>
      <c r="I67" s="2148"/>
      <c r="J67" s="2148"/>
      <c r="K67" s="2148"/>
      <c r="L67" s="2148"/>
      <c r="M67" s="2148"/>
      <c r="N67" s="2148"/>
      <c r="O67" s="2148"/>
      <c r="P67" s="2148"/>
      <c r="Q67" s="2148"/>
      <c r="R67" s="2148"/>
      <c r="T67" s="2125"/>
      <c r="U67" s="2125"/>
      <c r="W67" s="2152"/>
      <c r="X67" s="2152"/>
    </row>
    <row r="68" spans="1:24">
      <c r="B68" s="2154"/>
      <c r="C68" s="2147"/>
      <c r="D68" s="2141"/>
      <c r="E68" s="2151"/>
      <c r="F68" s="2148">
        <f>SUM(F69:F70)</f>
        <v>20600</v>
      </c>
      <c r="G68" s="2148">
        <f t="shared" ref="G68:Q68" si="27">SUM(G69:G70)</f>
        <v>20600</v>
      </c>
      <c r="H68" s="2148">
        <f t="shared" si="27"/>
        <v>20600</v>
      </c>
      <c r="I68" s="2148">
        <f t="shared" si="27"/>
        <v>20600</v>
      </c>
      <c r="J68" s="2148">
        <f t="shared" si="27"/>
        <v>30900</v>
      </c>
      <c r="K68" s="2148">
        <f t="shared" si="27"/>
        <v>20600</v>
      </c>
      <c r="L68" s="2148">
        <f t="shared" si="27"/>
        <v>25750</v>
      </c>
      <c r="M68" s="2148">
        <f t="shared" si="27"/>
        <v>20600</v>
      </c>
      <c r="N68" s="2148">
        <f t="shared" si="27"/>
        <v>20600</v>
      </c>
      <c r="O68" s="2148">
        <f t="shared" si="27"/>
        <v>20600</v>
      </c>
      <c r="P68" s="2148">
        <f t="shared" si="27"/>
        <v>20600</v>
      </c>
      <c r="Q68" s="2148">
        <f t="shared" si="27"/>
        <v>20600</v>
      </c>
      <c r="R68" s="2148">
        <f>SUM(F68:Q68)</f>
        <v>262650</v>
      </c>
      <c r="T68" s="2125"/>
      <c r="U68" s="2125">
        <f>R68</f>
        <v>262650</v>
      </c>
      <c r="W68" s="2152"/>
      <c r="X68" s="2152"/>
    </row>
    <row r="69" spans="1:24">
      <c r="A69" s="2157"/>
      <c r="C69" s="2147" t="s">
        <v>4562</v>
      </c>
      <c r="D69" s="2158" t="s">
        <v>4570</v>
      </c>
      <c r="E69" s="2159">
        <v>502</v>
      </c>
      <c r="F69" s="2148">
        <v>20600</v>
      </c>
      <c r="G69" s="2148">
        <v>20600</v>
      </c>
      <c r="H69" s="2148">
        <v>20600</v>
      </c>
      <c r="I69" s="2148">
        <v>20600</v>
      </c>
      <c r="J69" s="2148">
        <v>20600</v>
      </c>
      <c r="K69" s="2148">
        <v>20600</v>
      </c>
      <c r="L69" s="2148">
        <v>20600</v>
      </c>
      <c r="M69" s="2148">
        <v>20600</v>
      </c>
      <c r="N69" s="2148">
        <v>20600</v>
      </c>
      <c r="O69" s="2148">
        <v>20600</v>
      </c>
      <c r="P69" s="2148">
        <v>20600</v>
      </c>
      <c r="Q69" s="2148">
        <v>20600</v>
      </c>
      <c r="R69" s="2148">
        <f t="shared" si="6"/>
        <v>247200</v>
      </c>
      <c r="T69" s="2125"/>
      <c r="U69" s="2125">
        <f>R69</f>
        <v>247200</v>
      </c>
      <c r="W69" s="2152"/>
      <c r="X69" s="2152"/>
    </row>
    <row r="70" spans="1:24">
      <c r="A70" s="2157"/>
      <c r="C70" s="2147" t="s">
        <v>8992</v>
      </c>
      <c r="D70" s="2158" t="s">
        <v>8993</v>
      </c>
      <c r="E70" s="2159">
        <v>512</v>
      </c>
      <c r="F70" s="2160">
        <v>0</v>
      </c>
      <c r="G70" s="2160">
        <v>0</v>
      </c>
      <c r="H70" s="2160">
        <v>0</v>
      </c>
      <c r="I70" s="2160">
        <v>0</v>
      </c>
      <c r="J70" s="2160">
        <v>10300</v>
      </c>
      <c r="K70" s="2160">
        <v>0</v>
      </c>
      <c r="L70" s="2160">
        <v>5150</v>
      </c>
      <c r="M70" s="2160">
        <v>0</v>
      </c>
      <c r="N70" s="2160">
        <v>0</v>
      </c>
      <c r="O70" s="2160">
        <v>0</v>
      </c>
      <c r="P70" s="2160">
        <v>0</v>
      </c>
      <c r="Q70" s="2160">
        <v>0</v>
      </c>
      <c r="R70" s="2160">
        <f t="shared" si="6"/>
        <v>15450</v>
      </c>
      <c r="T70" s="2125"/>
      <c r="U70" s="2125">
        <f>R70</f>
        <v>15450</v>
      </c>
      <c r="W70" s="2152"/>
      <c r="X70" s="2152"/>
    </row>
    <row r="71" spans="1:24">
      <c r="B71" s="2154"/>
      <c r="C71" s="2125"/>
      <c r="D71" s="2161"/>
      <c r="E71" s="2151"/>
      <c r="T71" s="2125"/>
      <c r="U71" s="2125"/>
      <c r="W71" s="2152"/>
      <c r="X71" s="2152"/>
    </row>
    <row r="72" spans="1:24" ht="18" thickBot="1">
      <c r="B72" s="2154"/>
      <c r="C72" s="2144" t="s">
        <v>2307</v>
      </c>
      <c r="D72" s="2162" t="s">
        <v>3180</v>
      </c>
      <c r="E72" s="2146"/>
      <c r="F72" s="1879"/>
      <c r="G72" s="1879"/>
      <c r="H72" s="1879"/>
      <c r="I72" s="1879"/>
      <c r="J72" s="1879"/>
      <c r="K72" s="1879"/>
      <c r="L72" s="1879"/>
      <c r="M72" s="1879"/>
      <c r="N72" s="1879"/>
      <c r="O72" s="1879"/>
      <c r="P72" s="1879"/>
      <c r="Q72" s="1879"/>
      <c r="R72" s="1879"/>
      <c r="T72" s="2125"/>
      <c r="U72" s="2125"/>
      <c r="W72" s="2152"/>
      <c r="X72" s="2152"/>
    </row>
    <row r="73" spans="1:24" ht="18" thickTop="1">
      <c r="B73" s="2154"/>
      <c r="C73" s="2125"/>
      <c r="D73" s="2161"/>
      <c r="E73" s="2151"/>
      <c r="T73" s="2125"/>
      <c r="U73" s="2125"/>
      <c r="W73" s="2152"/>
      <c r="X73" s="2152"/>
    </row>
    <row r="74" spans="1:24">
      <c r="A74" s="2157"/>
      <c r="C74" s="2147" t="s">
        <v>4571</v>
      </c>
      <c r="D74" s="2125" t="s">
        <v>4572</v>
      </c>
      <c r="E74" s="2151">
        <v>512</v>
      </c>
      <c r="F74" s="2148">
        <v>0</v>
      </c>
      <c r="G74" s="2148">
        <v>0</v>
      </c>
      <c r="H74" s="2148">
        <v>0</v>
      </c>
      <c r="I74" s="2148">
        <v>0</v>
      </c>
      <c r="J74" s="2148">
        <v>0</v>
      </c>
      <c r="K74" s="2148">
        <v>0</v>
      </c>
      <c r="L74" s="2148">
        <v>0</v>
      </c>
      <c r="M74" s="2148">
        <v>0</v>
      </c>
      <c r="N74" s="2148">
        <v>0</v>
      </c>
      <c r="O74" s="2148">
        <v>0</v>
      </c>
      <c r="P74" s="2148">
        <v>0</v>
      </c>
      <c r="Q74" s="2148">
        <v>0</v>
      </c>
      <c r="R74" s="2125">
        <f>SUM(F74:Q74)</f>
        <v>0</v>
      </c>
      <c r="T74" s="2125"/>
      <c r="U74" s="2125">
        <f t="shared" ref="U74" si="28">R74</f>
        <v>0</v>
      </c>
      <c r="W74" s="2152"/>
      <c r="X74" s="2152"/>
    </row>
    <row r="75" spans="1:24">
      <c r="B75" s="2154"/>
      <c r="C75" s="2125"/>
      <c r="D75" s="2161"/>
      <c r="E75" s="2151"/>
      <c r="T75" s="2125"/>
      <c r="U75" s="2125"/>
      <c r="W75" s="2152"/>
      <c r="X75" s="2152"/>
    </row>
    <row r="76" spans="1:24" ht="18" thickBot="1">
      <c r="B76" s="2154"/>
      <c r="C76" s="2144" t="s">
        <v>2308</v>
      </c>
      <c r="D76" s="2162" t="s">
        <v>4573</v>
      </c>
      <c r="E76" s="2146"/>
      <c r="F76" s="1879"/>
      <c r="G76" s="1879"/>
      <c r="H76" s="1879"/>
      <c r="I76" s="1879"/>
      <c r="J76" s="1879"/>
      <c r="K76" s="1879"/>
      <c r="L76" s="1879"/>
      <c r="M76" s="1879"/>
      <c r="N76" s="1879"/>
      <c r="O76" s="1879"/>
      <c r="P76" s="1879"/>
      <c r="Q76" s="1879"/>
      <c r="R76" s="1879"/>
      <c r="T76" s="2125"/>
      <c r="U76" s="2125"/>
      <c r="W76" s="2152"/>
      <c r="X76" s="2152"/>
    </row>
    <row r="77" spans="1:24" ht="18" thickTop="1">
      <c r="B77" s="2154"/>
      <c r="C77" s="2163"/>
      <c r="D77" s="2142"/>
      <c r="E77" s="2164"/>
      <c r="F77" s="2165"/>
      <c r="G77" s="1688"/>
      <c r="T77" s="2125"/>
      <c r="U77" s="2125"/>
      <c r="W77" s="2152"/>
      <c r="X77" s="2152"/>
    </row>
    <row r="78" spans="1:24">
      <c r="B78" s="2154"/>
      <c r="C78" s="2147" t="s">
        <v>4574</v>
      </c>
      <c r="D78" s="2125" t="s">
        <v>4575</v>
      </c>
      <c r="E78" s="2151"/>
      <c r="F78" s="2148">
        <v>35535</v>
      </c>
      <c r="G78" s="2148">
        <v>0</v>
      </c>
      <c r="H78" s="2148">
        <v>0</v>
      </c>
      <c r="I78" s="2148">
        <v>0</v>
      </c>
      <c r="J78" s="2148">
        <v>0</v>
      </c>
      <c r="K78" s="2148">
        <v>0</v>
      </c>
      <c r="L78" s="2148">
        <v>0</v>
      </c>
      <c r="M78" s="2148">
        <v>0</v>
      </c>
      <c r="N78" s="2148">
        <v>0</v>
      </c>
      <c r="O78" s="2148">
        <v>0</v>
      </c>
      <c r="P78" s="2148">
        <v>0</v>
      </c>
      <c r="Q78" s="2148">
        <v>0</v>
      </c>
      <c r="R78" s="2125">
        <f t="shared" ref="R78:R93" si="29">SUM(F78:Q78)</f>
        <v>35535</v>
      </c>
      <c r="T78" s="2125"/>
      <c r="U78" s="2125"/>
      <c r="W78" s="2152"/>
      <c r="X78" s="2152"/>
    </row>
    <row r="79" spans="1:24">
      <c r="B79" s="2154"/>
      <c r="C79" s="2147"/>
      <c r="D79" s="2166" t="s">
        <v>4566</v>
      </c>
      <c r="E79" s="1689">
        <v>506</v>
      </c>
      <c r="F79" s="2125">
        <v>11845</v>
      </c>
      <c r="G79" s="2125">
        <v>0</v>
      </c>
      <c r="H79" s="2125">
        <v>0</v>
      </c>
      <c r="I79" s="2125">
        <v>0</v>
      </c>
      <c r="J79" s="2125">
        <v>0</v>
      </c>
      <c r="K79" s="2125">
        <v>0</v>
      </c>
      <c r="L79" s="2125">
        <v>0</v>
      </c>
      <c r="M79" s="2125">
        <v>0</v>
      </c>
      <c r="N79" s="2125">
        <v>0</v>
      </c>
      <c r="O79" s="2125">
        <v>0</v>
      </c>
      <c r="P79" s="2125">
        <v>0</v>
      </c>
      <c r="Q79" s="2125">
        <v>0</v>
      </c>
      <c r="R79" s="2125">
        <f t="shared" si="29"/>
        <v>11845</v>
      </c>
      <c r="T79" s="2125">
        <f t="shared" ref="T79:T81" si="30">R79</f>
        <v>11845</v>
      </c>
      <c r="U79" s="2125"/>
      <c r="W79" s="2152"/>
      <c r="X79" s="2152"/>
    </row>
    <row r="80" spans="1:24">
      <c r="B80" s="2154"/>
      <c r="C80" s="2147"/>
      <c r="D80" s="2166" t="s">
        <v>4569</v>
      </c>
      <c r="E80" s="1689">
        <v>506</v>
      </c>
      <c r="F80" s="2125">
        <v>11845</v>
      </c>
      <c r="G80" s="2125">
        <v>0</v>
      </c>
      <c r="H80" s="2125">
        <v>0</v>
      </c>
      <c r="I80" s="2125">
        <v>0</v>
      </c>
      <c r="J80" s="2125">
        <v>0</v>
      </c>
      <c r="K80" s="2125">
        <v>0</v>
      </c>
      <c r="L80" s="2125">
        <v>0</v>
      </c>
      <c r="M80" s="2125">
        <v>0</v>
      </c>
      <c r="N80" s="2125">
        <v>0</v>
      </c>
      <c r="O80" s="2125">
        <v>0</v>
      </c>
      <c r="P80" s="2125">
        <v>0</v>
      </c>
      <c r="Q80" s="2125">
        <v>0</v>
      </c>
      <c r="R80" s="2125">
        <f t="shared" si="29"/>
        <v>11845</v>
      </c>
      <c r="T80" s="2125">
        <f t="shared" si="30"/>
        <v>11845</v>
      </c>
      <c r="U80" s="2125"/>
      <c r="W80" s="2152"/>
      <c r="X80" s="2152"/>
    </row>
    <row r="81" spans="1:24">
      <c r="B81" s="2154"/>
      <c r="C81" s="2147"/>
      <c r="D81" s="2166" t="s">
        <v>4567</v>
      </c>
      <c r="E81" s="2149">
        <v>549</v>
      </c>
      <c r="F81" s="2125">
        <v>11845</v>
      </c>
      <c r="G81" s="2125">
        <v>0</v>
      </c>
      <c r="H81" s="2125">
        <v>0</v>
      </c>
      <c r="I81" s="2125">
        <v>0</v>
      </c>
      <c r="J81" s="2125">
        <v>0</v>
      </c>
      <c r="K81" s="2125">
        <v>0</v>
      </c>
      <c r="L81" s="2125">
        <v>0</v>
      </c>
      <c r="M81" s="2125">
        <v>0</v>
      </c>
      <c r="N81" s="2125">
        <v>0</v>
      </c>
      <c r="O81" s="2125">
        <v>0</v>
      </c>
      <c r="P81" s="2125">
        <v>0</v>
      </c>
      <c r="Q81" s="2125">
        <v>0</v>
      </c>
      <c r="R81" s="2125">
        <f t="shared" si="29"/>
        <v>11845</v>
      </c>
      <c r="T81" s="2125">
        <f t="shared" si="30"/>
        <v>11845</v>
      </c>
      <c r="U81" s="2125"/>
      <c r="W81" s="2152"/>
      <c r="X81" s="2152"/>
    </row>
    <row r="82" spans="1:24">
      <c r="B82" s="2154"/>
      <c r="C82" s="2147"/>
      <c r="D82" s="2166"/>
      <c r="E82" s="2149"/>
      <c r="F82" s="2148"/>
      <c r="G82" s="2148"/>
      <c r="H82" s="2148"/>
      <c r="I82" s="2148"/>
      <c r="J82" s="2148"/>
      <c r="K82" s="2148"/>
      <c r="L82" s="2148"/>
      <c r="M82" s="2148"/>
      <c r="N82" s="2148"/>
      <c r="O82" s="2148"/>
      <c r="P82" s="2148"/>
      <c r="Q82" s="2148"/>
      <c r="T82" s="2125"/>
      <c r="U82" s="2125"/>
      <c r="W82" s="2152"/>
      <c r="X82" s="2152"/>
    </row>
    <row r="83" spans="1:24">
      <c r="B83" s="2154"/>
      <c r="C83" s="2147" t="s">
        <v>4576</v>
      </c>
      <c r="D83" s="2125" t="s">
        <v>8258</v>
      </c>
      <c r="E83" s="2156">
        <v>506</v>
      </c>
      <c r="F83" s="2148">
        <v>20600</v>
      </c>
      <c r="G83" s="2148">
        <v>20600</v>
      </c>
      <c r="H83" s="2148">
        <v>20600</v>
      </c>
      <c r="I83" s="2148">
        <v>20600</v>
      </c>
      <c r="J83" s="2148">
        <v>20600</v>
      </c>
      <c r="K83" s="2148">
        <v>20600</v>
      </c>
      <c r="L83" s="2148">
        <v>20600</v>
      </c>
      <c r="M83" s="2148">
        <v>20600</v>
      </c>
      <c r="N83" s="2148">
        <v>20600</v>
      </c>
      <c r="O83" s="2148">
        <v>20600</v>
      </c>
      <c r="P83" s="2148">
        <v>20600</v>
      </c>
      <c r="Q83" s="2148">
        <v>20600</v>
      </c>
      <c r="R83" s="2125">
        <f t="shared" si="29"/>
        <v>247200</v>
      </c>
      <c r="U83" s="2125">
        <f>R83</f>
        <v>247200</v>
      </c>
      <c r="W83" s="2152"/>
      <c r="X83" s="2152"/>
    </row>
    <row r="84" spans="1:24">
      <c r="B84" s="2154"/>
      <c r="C84" s="2147"/>
      <c r="E84" s="2151"/>
      <c r="F84" s="2148"/>
      <c r="G84" s="2148"/>
      <c r="H84" s="2148"/>
      <c r="I84" s="2148"/>
      <c r="J84" s="2148"/>
      <c r="K84" s="2148"/>
      <c r="L84" s="2148"/>
      <c r="M84" s="2148"/>
      <c r="N84" s="2148"/>
      <c r="O84" s="2148"/>
      <c r="P84" s="2148"/>
      <c r="Q84" s="2148"/>
      <c r="T84" s="2125"/>
      <c r="U84" s="2125"/>
      <c r="W84" s="2152"/>
      <c r="X84" s="2152"/>
    </row>
    <row r="85" spans="1:24">
      <c r="B85" s="2154"/>
      <c r="C85" s="2147" t="s">
        <v>4577</v>
      </c>
      <c r="D85" s="2125" t="s">
        <v>4578</v>
      </c>
      <c r="E85" s="2151"/>
      <c r="F85" s="2148">
        <f>SUM(F86:F87)</f>
        <v>0</v>
      </c>
      <c r="G85" s="2148">
        <f t="shared" ref="G85:Q85" si="31">SUM(G86:G87)</f>
        <v>0</v>
      </c>
      <c r="H85" s="2148">
        <f t="shared" si="31"/>
        <v>0</v>
      </c>
      <c r="I85" s="2148">
        <f t="shared" si="31"/>
        <v>5150</v>
      </c>
      <c r="J85" s="2148">
        <f t="shared" si="31"/>
        <v>0</v>
      </c>
      <c r="K85" s="2148">
        <f t="shared" si="31"/>
        <v>0</v>
      </c>
      <c r="L85" s="2148">
        <f t="shared" si="31"/>
        <v>0</v>
      </c>
      <c r="M85" s="2148">
        <f t="shared" si="31"/>
        <v>0</v>
      </c>
      <c r="N85" s="2148">
        <f t="shared" si="31"/>
        <v>0</v>
      </c>
      <c r="O85" s="2148">
        <f t="shared" si="31"/>
        <v>0</v>
      </c>
      <c r="P85" s="2148">
        <f t="shared" si="31"/>
        <v>0</v>
      </c>
      <c r="Q85" s="2148">
        <f t="shared" si="31"/>
        <v>0</v>
      </c>
      <c r="R85" s="2148">
        <f>SUM(F85:Q85)</f>
        <v>5150</v>
      </c>
      <c r="T85" s="2125"/>
      <c r="U85" s="2125"/>
      <c r="W85" s="2152"/>
      <c r="X85" s="2152"/>
    </row>
    <row r="86" spans="1:24">
      <c r="B86" s="2154"/>
      <c r="C86" s="2147"/>
      <c r="D86" s="2166" t="s">
        <v>4566</v>
      </c>
      <c r="E86" s="2151">
        <v>506</v>
      </c>
      <c r="F86" s="2125">
        <v>0</v>
      </c>
      <c r="G86" s="2125">
        <v>0</v>
      </c>
      <c r="H86" s="2125">
        <v>0</v>
      </c>
      <c r="I86" s="2125">
        <v>5150</v>
      </c>
      <c r="J86" s="2125">
        <v>0</v>
      </c>
      <c r="K86" s="2125">
        <v>0</v>
      </c>
      <c r="L86" s="2125">
        <v>0</v>
      </c>
      <c r="M86" s="2125">
        <v>0</v>
      </c>
      <c r="N86" s="2125">
        <v>0</v>
      </c>
      <c r="O86" s="2125">
        <v>0</v>
      </c>
      <c r="P86" s="2125">
        <v>0</v>
      </c>
      <c r="Q86" s="2125">
        <v>0</v>
      </c>
      <c r="R86" s="2125">
        <f>SUM(F86:Q86)</f>
        <v>5150</v>
      </c>
      <c r="T86" s="2125">
        <f>R86</f>
        <v>5150</v>
      </c>
      <c r="U86" s="2125"/>
      <c r="W86" s="2152"/>
      <c r="X86" s="2152"/>
    </row>
    <row r="87" spans="1:24">
      <c r="A87" s="2157"/>
      <c r="C87" s="2147"/>
      <c r="D87" s="2166" t="s">
        <v>4569</v>
      </c>
      <c r="E87" s="2167" t="s">
        <v>4469</v>
      </c>
      <c r="F87" s="2125">
        <v>0</v>
      </c>
      <c r="G87" s="2125">
        <v>0</v>
      </c>
      <c r="H87" s="2125">
        <v>0</v>
      </c>
      <c r="I87" s="2125">
        <v>0</v>
      </c>
      <c r="J87" s="2125">
        <v>0</v>
      </c>
      <c r="K87" s="2125">
        <v>0</v>
      </c>
      <c r="L87" s="2125">
        <v>0</v>
      </c>
      <c r="M87" s="2125">
        <v>0</v>
      </c>
      <c r="N87" s="2125">
        <v>0</v>
      </c>
      <c r="O87" s="2125">
        <v>0</v>
      </c>
      <c r="P87" s="2125">
        <v>0</v>
      </c>
      <c r="Q87" s="2125">
        <v>0</v>
      </c>
      <c r="R87" s="2125">
        <f>SUM(F87:Q87)</f>
        <v>0</v>
      </c>
      <c r="T87" s="2125">
        <f>R87</f>
        <v>0</v>
      </c>
      <c r="U87" s="2125"/>
      <c r="W87" s="2152"/>
      <c r="X87" s="2152"/>
    </row>
    <row r="88" spans="1:24">
      <c r="B88" s="2154"/>
      <c r="C88" s="2147"/>
      <c r="E88" s="2151"/>
      <c r="F88" s="2148"/>
      <c r="G88" s="2148"/>
      <c r="H88" s="2148"/>
      <c r="I88" s="2148"/>
      <c r="J88" s="2148"/>
      <c r="K88" s="2148"/>
      <c r="L88" s="2148"/>
      <c r="M88" s="2148"/>
      <c r="N88" s="2148"/>
      <c r="O88" s="2148"/>
      <c r="P88" s="2148"/>
      <c r="Q88" s="2148"/>
      <c r="T88" s="2125"/>
      <c r="U88" s="2125"/>
      <c r="W88" s="2152"/>
      <c r="X88" s="2152"/>
    </row>
    <row r="89" spans="1:24">
      <c r="B89" s="2154"/>
      <c r="C89" s="2147" t="s">
        <v>4579</v>
      </c>
      <c r="D89" s="2125" t="s">
        <v>4580</v>
      </c>
      <c r="E89" s="2151"/>
      <c r="F89" s="2148">
        <v>0</v>
      </c>
      <c r="G89" s="2148">
        <v>0</v>
      </c>
      <c r="H89" s="2148">
        <v>0</v>
      </c>
      <c r="I89" s="2148">
        <v>0</v>
      </c>
      <c r="J89" s="2148">
        <v>0</v>
      </c>
      <c r="K89" s="2148">
        <v>0</v>
      </c>
      <c r="L89" s="2148">
        <v>0</v>
      </c>
      <c r="M89" s="2148">
        <v>0</v>
      </c>
      <c r="N89" s="2148">
        <v>0</v>
      </c>
      <c r="O89" s="2148">
        <v>0</v>
      </c>
      <c r="P89" s="2148">
        <v>0</v>
      </c>
      <c r="Q89" s="2148">
        <v>0</v>
      </c>
      <c r="R89" s="2148">
        <f t="shared" si="29"/>
        <v>0</v>
      </c>
      <c r="T89" s="2125"/>
      <c r="U89" s="2125"/>
      <c r="W89" s="2152"/>
      <c r="X89" s="2152"/>
    </row>
    <row r="90" spans="1:24">
      <c r="B90" s="2154"/>
      <c r="C90" s="2147"/>
      <c r="D90" s="2166" t="s">
        <v>4566</v>
      </c>
      <c r="E90" s="2149">
        <v>502</v>
      </c>
      <c r="F90" s="2125">
        <v>0</v>
      </c>
      <c r="G90" s="2125">
        <v>0</v>
      </c>
      <c r="H90" s="2125">
        <v>0</v>
      </c>
      <c r="I90" s="2125">
        <v>0</v>
      </c>
      <c r="J90" s="2125">
        <v>0</v>
      </c>
      <c r="K90" s="2125">
        <v>0</v>
      </c>
      <c r="L90" s="2125">
        <v>0</v>
      </c>
      <c r="M90" s="2125">
        <v>0</v>
      </c>
      <c r="N90" s="2125">
        <v>0</v>
      </c>
      <c r="O90" s="2125">
        <v>0</v>
      </c>
      <c r="P90" s="2125">
        <v>0</v>
      </c>
      <c r="Q90" s="2125">
        <v>0</v>
      </c>
      <c r="R90" s="2125">
        <f t="shared" si="29"/>
        <v>0</v>
      </c>
      <c r="T90" s="2125">
        <f t="shared" ref="T90:T91" si="32">R90</f>
        <v>0</v>
      </c>
      <c r="U90" s="2125"/>
      <c r="W90" s="2152"/>
      <c r="X90" s="2152"/>
    </row>
    <row r="91" spans="1:24">
      <c r="B91" s="2154"/>
      <c r="C91" s="2147"/>
      <c r="D91" s="2166" t="s">
        <v>4569</v>
      </c>
      <c r="E91" s="2156">
        <v>0</v>
      </c>
      <c r="F91" s="2125">
        <v>0</v>
      </c>
      <c r="G91" s="2125">
        <v>0</v>
      </c>
      <c r="H91" s="2125">
        <v>0</v>
      </c>
      <c r="I91" s="2125">
        <v>0</v>
      </c>
      <c r="J91" s="2125">
        <v>0</v>
      </c>
      <c r="K91" s="2125">
        <v>0</v>
      </c>
      <c r="L91" s="2125">
        <v>0</v>
      </c>
      <c r="M91" s="2125">
        <v>0</v>
      </c>
      <c r="N91" s="2125">
        <v>0</v>
      </c>
      <c r="O91" s="2125">
        <v>0</v>
      </c>
      <c r="P91" s="2125">
        <v>0</v>
      </c>
      <c r="Q91" s="2125">
        <v>0</v>
      </c>
      <c r="R91" s="2125">
        <f t="shared" si="29"/>
        <v>0</v>
      </c>
      <c r="T91" s="2125">
        <f t="shared" si="32"/>
        <v>0</v>
      </c>
      <c r="U91" s="2125"/>
      <c r="W91" s="2152"/>
      <c r="X91" s="2152"/>
    </row>
    <row r="92" spans="1:24">
      <c r="B92" s="2154"/>
      <c r="C92" s="2147"/>
      <c r="D92" s="2166"/>
      <c r="E92" s="2149"/>
      <c r="T92" s="2125"/>
      <c r="U92" s="2125"/>
      <c r="W92" s="2152"/>
      <c r="X92" s="2152"/>
    </row>
    <row r="93" spans="1:24">
      <c r="B93" s="2154"/>
      <c r="C93" s="2147" t="s">
        <v>4581</v>
      </c>
      <c r="D93" s="2125" t="s">
        <v>4582</v>
      </c>
      <c r="E93" s="2151">
        <v>512</v>
      </c>
      <c r="F93" s="2160">
        <v>5150</v>
      </c>
      <c r="G93" s="2160">
        <v>5150</v>
      </c>
      <c r="H93" s="2160">
        <v>5150</v>
      </c>
      <c r="I93" s="2160">
        <v>5150</v>
      </c>
      <c r="J93" s="2160">
        <v>5150</v>
      </c>
      <c r="K93" s="2160">
        <v>5150</v>
      </c>
      <c r="L93" s="2160">
        <v>5150</v>
      </c>
      <c r="M93" s="2160">
        <v>5150</v>
      </c>
      <c r="N93" s="2160">
        <v>5150</v>
      </c>
      <c r="O93" s="2160">
        <v>5150</v>
      </c>
      <c r="P93" s="2160">
        <v>5150</v>
      </c>
      <c r="Q93" s="2160">
        <v>5150</v>
      </c>
      <c r="R93" s="2168">
        <f t="shared" si="29"/>
        <v>61800</v>
      </c>
      <c r="T93" s="2125"/>
      <c r="U93" s="2125">
        <f>R93</f>
        <v>61800</v>
      </c>
      <c r="W93" s="2152"/>
      <c r="X93" s="2152"/>
    </row>
    <row r="94" spans="1:24">
      <c r="B94" s="2154"/>
      <c r="C94" s="2147"/>
      <c r="E94" s="2151"/>
      <c r="F94" s="2148"/>
      <c r="G94" s="2148"/>
      <c r="H94" s="2148"/>
      <c r="I94" s="2148"/>
      <c r="J94" s="2148"/>
      <c r="K94" s="2148"/>
      <c r="L94" s="2148"/>
      <c r="M94" s="2148"/>
      <c r="N94" s="2148"/>
      <c r="O94" s="2148"/>
      <c r="P94" s="2148"/>
      <c r="Q94" s="2148"/>
      <c r="T94" s="2125"/>
      <c r="U94" s="2125"/>
      <c r="W94" s="2152"/>
      <c r="X94" s="2152"/>
    </row>
    <row r="95" spans="1:24">
      <c r="B95" s="2169"/>
      <c r="C95" s="2147"/>
      <c r="F95" s="2165"/>
      <c r="G95" s="1688"/>
      <c r="T95" s="2125"/>
      <c r="U95" s="2125"/>
      <c r="W95" s="2152"/>
      <c r="X95" s="2152"/>
    </row>
    <row r="96" spans="1:24">
      <c r="B96" s="2141" t="s">
        <v>8994</v>
      </c>
      <c r="C96" s="2125" t="s">
        <v>8259</v>
      </c>
      <c r="D96" s="2161"/>
      <c r="F96" s="2125">
        <f>F17+F26+SUM(F33:F42)+F46+F50+F54+F58+F62+F68+F74+F78+F83+F85+F89+F93</f>
        <v>217607.7395</v>
      </c>
      <c r="G96" s="2125">
        <f t="shared" ref="G96:Q96" si="33">G17+G26+SUM(G33:G42)+G46+G50+G54+G58+G62+G68+G74+G78+G83+G85+G89+G93</f>
        <v>165366.5</v>
      </c>
      <c r="H96" s="2125">
        <f t="shared" si="33"/>
        <v>167941.5</v>
      </c>
      <c r="I96" s="2125">
        <f t="shared" si="33"/>
        <v>177539.864</v>
      </c>
      <c r="J96" s="2125">
        <f t="shared" si="33"/>
        <v>175666.5</v>
      </c>
      <c r="K96" s="2125">
        <f t="shared" si="33"/>
        <v>166396.5</v>
      </c>
      <c r="L96" s="2125">
        <f t="shared" si="33"/>
        <v>174965.07</v>
      </c>
      <c r="M96" s="2125">
        <f t="shared" si="33"/>
        <v>165366.5</v>
      </c>
      <c r="N96" s="2125">
        <f t="shared" si="33"/>
        <v>165366.5</v>
      </c>
      <c r="O96" s="2125">
        <f t="shared" si="33"/>
        <v>169815.07</v>
      </c>
      <c r="P96" s="2125">
        <f t="shared" si="33"/>
        <v>165366.5</v>
      </c>
      <c r="Q96" s="2125">
        <f t="shared" si="33"/>
        <v>165366.5</v>
      </c>
      <c r="R96" s="2125">
        <f>SUM(F96:Q96)</f>
        <v>2076764.7435000001</v>
      </c>
      <c r="T96" s="2125">
        <f>T79+T80+T81+T86+T87+T91+T90</f>
        <v>40685</v>
      </c>
      <c r="U96" s="2125">
        <f>U17+U26+SUM(U33:U42)+U46+U50+U54+U58+U62+U68+U78+U83+U89+U93+U74</f>
        <v>2036079.7435000001</v>
      </c>
      <c r="W96" s="2152"/>
      <c r="X96" s="2152"/>
    </row>
    <row r="97" spans="2:24">
      <c r="B97" s="2141"/>
      <c r="C97" s="2125"/>
      <c r="D97" s="2161"/>
      <c r="F97" s="2125">
        <v>0</v>
      </c>
      <c r="G97" s="2125">
        <v>0</v>
      </c>
      <c r="H97" s="2125">
        <v>0</v>
      </c>
      <c r="I97" s="2125">
        <v>0</v>
      </c>
      <c r="J97" s="2125">
        <v>0</v>
      </c>
      <c r="K97" s="2125">
        <v>0</v>
      </c>
      <c r="L97" s="2125">
        <v>0</v>
      </c>
      <c r="M97" s="2125">
        <v>0</v>
      </c>
      <c r="N97" s="2125">
        <v>0</v>
      </c>
      <c r="O97" s="2125">
        <v>0</v>
      </c>
      <c r="P97" s="2125">
        <v>0</v>
      </c>
      <c r="Q97" s="2125">
        <v>0</v>
      </c>
      <c r="R97" s="2125">
        <v>0</v>
      </c>
      <c r="T97" s="2125"/>
      <c r="U97" s="2125"/>
      <c r="W97" s="2152"/>
      <c r="X97" s="2152"/>
    </row>
    <row r="98" spans="2:24">
      <c r="B98" s="2141" t="s">
        <v>8995</v>
      </c>
      <c r="C98" s="2125" t="s">
        <v>4583</v>
      </c>
      <c r="F98" s="2125">
        <f>F17+F26+SUM(F33:F42)+F46+F50+F54+F58+F62+F68+F74+F83+F93</f>
        <v>182072.7395</v>
      </c>
      <c r="G98" s="2125">
        <f t="shared" ref="G98:Q98" si="34">G17+G26+SUM(G33:G42)+G46+G50+G54+G58+G62+G68+G74+G83+G93</f>
        <v>165366.5</v>
      </c>
      <c r="H98" s="2125">
        <f t="shared" si="34"/>
        <v>167941.5</v>
      </c>
      <c r="I98" s="2125">
        <f t="shared" si="34"/>
        <v>172389.864</v>
      </c>
      <c r="J98" s="2125">
        <f t="shared" si="34"/>
        <v>175666.5</v>
      </c>
      <c r="K98" s="2125">
        <f t="shared" si="34"/>
        <v>166396.5</v>
      </c>
      <c r="L98" s="2125">
        <f t="shared" si="34"/>
        <v>174965.07</v>
      </c>
      <c r="M98" s="2125">
        <f t="shared" si="34"/>
        <v>165366.5</v>
      </c>
      <c r="N98" s="2125">
        <f t="shared" si="34"/>
        <v>165366.5</v>
      </c>
      <c r="O98" s="2125">
        <f t="shared" si="34"/>
        <v>169815.07</v>
      </c>
      <c r="P98" s="2125">
        <f t="shared" si="34"/>
        <v>165366.5</v>
      </c>
      <c r="Q98" s="2125">
        <f t="shared" si="34"/>
        <v>165366.5</v>
      </c>
      <c r="R98" s="2125">
        <f t="shared" ref="R98:R99" si="35">SUM(F98:Q98)</f>
        <v>2036079.7435000001</v>
      </c>
      <c r="T98" s="2125"/>
      <c r="U98" s="2125"/>
      <c r="W98" s="2152"/>
      <c r="X98" s="2152"/>
    </row>
    <row r="99" spans="2:24">
      <c r="B99" s="2141" t="s">
        <v>8996</v>
      </c>
      <c r="C99" s="2125" t="s">
        <v>4584</v>
      </c>
      <c r="F99" s="2125">
        <f>F78+F85+F89</f>
        <v>35535</v>
      </c>
      <c r="G99" s="2125">
        <f t="shared" ref="G99:Q99" si="36">G78+G85+G89</f>
        <v>0</v>
      </c>
      <c r="H99" s="2125">
        <f t="shared" si="36"/>
        <v>0</v>
      </c>
      <c r="I99" s="2125">
        <f t="shared" si="36"/>
        <v>5150</v>
      </c>
      <c r="J99" s="2125">
        <f t="shared" si="36"/>
        <v>0</v>
      </c>
      <c r="K99" s="2125">
        <f t="shared" si="36"/>
        <v>0</v>
      </c>
      <c r="L99" s="2125">
        <f t="shared" si="36"/>
        <v>0</v>
      </c>
      <c r="M99" s="2125">
        <f t="shared" si="36"/>
        <v>0</v>
      </c>
      <c r="N99" s="2125">
        <f t="shared" si="36"/>
        <v>0</v>
      </c>
      <c r="O99" s="2125">
        <f t="shared" si="36"/>
        <v>0</v>
      </c>
      <c r="P99" s="2125">
        <f t="shared" si="36"/>
        <v>0</v>
      </c>
      <c r="Q99" s="2125">
        <f t="shared" si="36"/>
        <v>0</v>
      </c>
      <c r="R99" s="2125">
        <f t="shared" si="35"/>
        <v>40685</v>
      </c>
      <c r="T99" s="2125"/>
      <c r="U99" s="2125"/>
      <c r="W99" s="2152"/>
      <c r="X99" s="2152"/>
    </row>
    <row r="100" spans="2:24">
      <c r="B100" s="2141"/>
      <c r="C100" s="2125"/>
      <c r="T100" s="2152"/>
      <c r="U100" s="2152"/>
      <c r="W100" s="2152"/>
      <c r="X100" s="2152"/>
    </row>
    <row r="101" spans="2:24">
      <c r="B101" s="2141" t="s">
        <v>8997</v>
      </c>
      <c r="C101" s="2125" t="s">
        <v>4585</v>
      </c>
      <c r="F101" s="2170">
        <v>1</v>
      </c>
      <c r="G101" s="2170">
        <v>1</v>
      </c>
      <c r="H101" s="2170">
        <v>1</v>
      </c>
      <c r="I101" s="2170">
        <v>1</v>
      </c>
      <c r="J101" s="2170">
        <v>1</v>
      </c>
      <c r="K101" s="2170">
        <v>1</v>
      </c>
      <c r="L101" s="2170">
        <v>1</v>
      </c>
      <c r="M101" s="2170">
        <v>1</v>
      </c>
      <c r="N101" s="2170">
        <v>1</v>
      </c>
      <c r="O101" s="2170">
        <v>1</v>
      </c>
      <c r="P101" s="2170">
        <v>1</v>
      </c>
      <c r="Q101" s="2170">
        <v>1</v>
      </c>
      <c r="T101" s="2152"/>
      <c r="U101" s="2152"/>
      <c r="W101" s="2152"/>
      <c r="X101" s="2152"/>
    </row>
    <row r="102" spans="2:24">
      <c r="B102" s="2141" t="s">
        <v>8998</v>
      </c>
      <c r="C102" s="2125" t="s">
        <v>4586</v>
      </c>
      <c r="F102" s="2170">
        <v>1</v>
      </c>
      <c r="G102" s="2170">
        <v>1</v>
      </c>
      <c r="H102" s="2170">
        <v>1</v>
      </c>
      <c r="I102" s="2170">
        <v>1</v>
      </c>
      <c r="J102" s="2170">
        <v>1</v>
      </c>
      <c r="K102" s="2170">
        <v>1</v>
      </c>
      <c r="L102" s="2170">
        <v>1</v>
      </c>
      <c r="M102" s="2170">
        <v>1</v>
      </c>
      <c r="N102" s="2170">
        <v>1</v>
      </c>
      <c r="O102" s="2170">
        <v>1</v>
      </c>
      <c r="P102" s="2170">
        <v>1</v>
      </c>
      <c r="Q102" s="2170">
        <v>1</v>
      </c>
      <c r="T102" s="2125"/>
      <c r="U102" s="2125"/>
    </row>
    <row r="103" spans="2:24">
      <c r="B103" s="2141"/>
      <c r="C103" s="2125"/>
      <c r="F103" s="2170"/>
      <c r="G103" s="2170"/>
      <c r="H103" s="2170"/>
      <c r="I103" s="2170"/>
      <c r="J103" s="2170"/>
      <c r="K103" s="2170"/>
      <c r="L103" s="2170"/>
      <c r="M103" s="2170"/>
      <c r="N103" s="2170"/>
      <c r="O103" s="2170"/>
      <c r="P103" s="2170"/>
      <c r="Q103" s="2170"/>
      <c r="R103" s="2152"/>
      <c r="T103" s="2125"/>
      <c r="U103" s="2125"/>
    </row>
    <row r="104" spans="2:24">
      <c r="B104" s="2141" t="s">
        <v>8999</v>
      </c>
      <c r="C104" s="2125" t="s">
        <v>4587</v>
      </c>
      <c r="F104" s="2125">
        <f>ROUND(F98*F101,2)</f>
        <v>182072.74</v>
      </c>
      <c r="G104" s="2125">
        <f t="shared" ref="G104:Q105" si="37">ROUND(G98*G101,2)</f>
        <v>165366.5</v>
      </c>
      <c r="H104" s="2125">
        <f t="shared" si="37"/>
        <v>167941.5</v>
      </c>
      <c r="I104" s="2125">
        <f t="shared" si="37"/>
        <v>172389.86</v>
      </c>
      <c r="J104" s="2125">
        <f t="shared" si="37"/>
        <v>175666.5</v>
      </c>
      <c r="K104" s="2125">
        <f t="shared" si="37"/>
        <v>166396.5</v>
      </c>
      <c r="L104" s="2125">
        <f t="shared" si="37"/>
        <v>174965.07</v>
      </c>
      <c r="M104" s="2125">
        <f t="shared" si="37"/>
        <v>165366.5</v>
      </c>
      <c r="N104" s="2125">
        <f t="shared" si="37"/>
        <v>165366.5</v>
      </c>
      <c r="O104" s="2125">
        <f t="shared" si="37"/>
        <v>169815.07</v>
      </c>
      <c r="P104" s="2125">
        <f t="shared" si="37"/>
        <v>165366.5</v>
      </c>
      <c r="Q104" s="2125">
        <f t="shared" si="37"/>
        <v>165366.5</v>
      </c>
      <c r="R104" s="2125">
        <f>SUM(F104:Q104)</f>
        <v>2036079.74</v>
      </c>
      <c r="T104" s="2152"/>
      <c r="U104" s="2152"/>
    </row>
    <row r="105" spans="2:24">
      <c r="B105" s="2141" t="s">
        <v>9000</v>
      </c>
      <c r="C105" s="2125" t="s">
        <v>4588</v>
      </c>
      <c r="F105" s="2171">
        <f>ROUND(F99*F102,2)</f>
        <v>35535</v>
      </c>
      <c r="G105" s="2171">
        <f t="shared" si="37"/>
        <v>0</v>
      </c>
      <c r="H105" s="2171">
        <f t="shared" si="37"/>
        <v>0</v>
      </c>
      <c r="I105" s="2171">
        <f t="shared" si="37"/>
        <v>5150</v>
      </c>
      <c r="J105" s="2171">
        <f t="shared" si="37"/>
        <v>0</v>
      </c>
      <c r="K105" s="2171">
        <f t="shared" si="37"/>
        <v>0</v>
      </c>
      <c r="L105" s="2171">
        <f t="shared" si="37"/>
        <v>0</v>
      </c>
      <c r="M105" s="2171">
        <f t="shared" si="37"/>
        <v>0</v>
      </c>
      <c r="N105" s="2171">
        <f t="shared" si="37"/>
        <v>0</v>
      </c>
      <c r="O105" s="2171">
        <f t="shared" si="37"/>
        <v>0</v>
      </c>
      <c r="P105" s="2171">
        <f t="shared" si="37"/>
        <v>0</v>
      </c>
      <c r="Q105" s="2171">
        <f t="shared" si="37"/>
        <v>0</v>
      </c>
      <c r="R105" s="2171">
        <f>SUM(F105:Q105)</f>
        <v>40685</v>
      </c>
      <c r="T105" s="2152"/>
      <c r="U105" s="2152"/>
    </row>
    <row r="106" spans="2:24">
      <c r="B106" s="2141"/>
      <c r="C106" s="2125"/>
      <c r="T106" s="2152"/>
      <c r="U106" s="2152"/>
    </row>
    <row r="107" spans="2:24">
      <c r="B107" s="2141" t="s">
        <v>9001</v>
      </c>
      <c r="C107" s="2125" t="s">
        <v>4589</v>
      </c>
      <c r="F107" s="2172"/>
      <c r="G107" s="2172"/>
      <c r="H107" s="2172"/>
      <c r="I107" s="2172"/>
      <c r="J107" s="2172"/>
      <c r="K107" s="2172"/>
      <c r="L107" s="2172"/>
      <c r="M107" s="2172"/>
      <c r="N107" s="2172"/>
      <c r="O107" s="2172"/>
      <c r="P107" s="2172"/>
      <c r="Q107" s="2172"/>
      <c r="R107" s="2172"/>
      <c r="T107" s="2152"/>
      <c r="U107" s="2152"/>
      <c r="V107" s="2152"/>
      <c r="W107" s="2152"/>
    </row>
    <row r="108" spans="2:24" ht="18" thickBot="1">
      <c r="C108" s="2125" t="s">
        <v>4590</v>
      </c>
      <c r="F108" s="2173">
        <f>SUM(F104:F105)</f>
        <v>217607.74</v>
      </c>
      <c r="G108" s="2173">
        <f t="shared" ref="G108:R108" si="38">SUM(G104:G105)</f>
        <v>165366.5</v>
      </c>
      <c r="H108" s="2173">
        <f t="shared" si="38"/>
        <v>167941.5</v>
      </c>
      <c r="I108" s="2173">
        <f t="shared" si="38"/>
        <v>177539.86</v>
      </c>
      <c r="J108" s="2173">
        <f t="shared" si="38"/>
        <v>175666.5</v>
      </c>
      <c r="K108" s="2173">
        <f t="shared" si="38"/>
        <v>166396.5</v>
      </c>
      <c r="L108" s="2173">
        <f t="shared" si="38"/>
        <v>174965.07</v>
      </c>
      <c r="M108" s="2173">
        <f t="shared" si="38"/>
        <v>165366.5</v>
      </c>
      <c r="N108" s="2173">
        <f t="shared" si="38"/>
        <v>165366.5</v>
      </c>
      <c r="O108" s="2173">
        <f t="shared" si="38"/>
        <v>169815.07</v>
      </c>
      <c r="P108" s="2173">
        <f t="shared" si="38"/>
        <v>165366.5</v>
      </c>
      <c r="Q108" s="2173">
        <f t="shared" si="38"/>
        <v>165366.5</v>
      </c>
      <c r="R108" s="2173">
        <f t="shared" si="38"/>
        <v>2076764.74</v>
      </c>
      <c r="T108" s="2152"/>
      <c r="U108" s="2152"/>
      <c r="V108" s="2152"/>
      <c r="W108" s="2152"/>
    </row>
    <row r="109" spans="2:24">
      <c r="C109" s="2125"/>
      <c r="F109" s="2172"/>
      <c r="G109" s="2172"/>
      <c r="H109" s="2172"/>
      <c r="I109" s="2172"/>
      <c r="J109" s="2172"/>
      <c r="K109" s="2172"/>
      <c r="L109" s="2172"/>
      <c r="M109" s="2172"/>
      <c r="N109" s="2172"/>
      <c r="O109" s="2172"/>
      <c r="P109" s="2172"/>
      <c r="Q109" s="2172"/>
      <c r="R109" s="2172">
        <v>4.2600000000093132</v>
      </c>
      <c r="S109" s="2125" t="s">
        <v>8260</v>
      </c>
      <c r="T109" s="2174" t="s">
        <v>9184</v>
      </c>
      <c r="U109" s="2152"/>
      <c r="V109" s="2152"/>
      <c r="W109" s="2152"/>
    </row>
    <row r="110" spans="2:24">
      <c r="B110" s="3078" t="s">
        <v>3707</v>
      </c>
      <c r="C110" s="3078"/>
      <c r="U110" s="2152"/>
      <c r="V110" s="2152"/>
      <c r="W110" s="2152"/>
    </row>
    <row r="111" spans="2:24">
      <c r="B111" s="2141" t="s">
        <v>2957</v>
      </c>
      <c r="C111" s="2125" t="s">
        <v>4591</v>
      </c>
      <c r="T111" s="2125"/>
      <c r="U111" s="2125"/>
    </row>
    <row r="112" spans="2:24">
      <c r="B112" s="2141" t="s">
        <v>2958</v>
      </c>
      <c r="C112" s="2125" t="s">
        <v>4592</v>
      </c>
      <c r="G112" s="1690"/>
      <c r="T112" s="2125"/>
      <c r="U112" s="2125"/>
    </row>
    <row r="113" spans="2:24">
      <c r="G113" s="1690"/>
      <c r="T113" s="2125"/>
      <c r="U113" s="2125"/>
    </row>
    <row r="114" spans="2:24" s="2131" customFormat="1">
      <c r="B114" s="2125"/>
      <c r="D114" s="2125"/>
      <c r="E114" s="2134"/>
      <c r="F114" s="2125"/>
      <c r="G114" s="2125"/>
      <c r="H114" s="2125"/>
      <c r="I114" s="2125"/>
      <c r="J114" s="2125"/>
      <c r="K114" s="2125"/>
      <c r="L114" s="2125"/>
      <c r="M114" s="2125"/>
      <c r="N114" s="2125"/>
      <c r="O114" s="2125"/>
      <c r="P114" s="2125"/>
      <c r="Q114" s="2125"/>
      <c r="R114" s="2125"/>
      <c r="S114" s="2125"/>
      <c r="T114" s="2125"/>
      <c r="U114" s="2125"/>
      <c r="V114" s="2125"/>
      <c r="W114" s="2125"/>
      <c r="X114" s="2125"/>
    </row>
    <row r="115" spans="2:24" s="2131" customFormat="1">
      <c r="B115" s="2125"/>
      <c r="D115" s="2125"/>
      <c r="E115" s="2134"/>
      <c r="F115" s="2125"/>
      <c r="G115" s="2125"/>
      <c r="H115" s="2125"/>
      <c r="I115" s="2125"/>
      <c r="J115" s="2125"/>
      <c r="K115" s="2125"/>
      <c r="L115" s="2125"/>
      <c r="M115" s="2125"/>
      <c r="N115" s="2125"/>
      <c r="O115" s="2125"/>
      <c r="P115" s="2125"/>
      <c r="Q115" s="2125"/>
      <c r="R115" s="2125"/>
      <c r="S115" s="2125"/>
      <c r="T115" s="2125"/>
      <c r="U115" s="2125"/>
      <c r="V115" s="2125"/>
      <c r="W115" s="2125"/>
      <c r="X115" s="2125"/>
    </row>
    <row r="116" spans="2:24" s="2131" customFormat="1">
      <c r="B116" s="2125"/>
      <c r="D116" s="2125"/>
      <c r="E116" s="2134"/>
      <c r="F116" s="2125"/>
      <c r="G116" s="2125"/>
      <c r="H116" s="2125"/>
      <c r="I116" s="2125"/>
      <c r="J116" s="2125"/>
      <c r="K116" s="2125"/>
      <c r="L116" s="2125"/>
      <c r="M116" s="2125"/>
      <c r="N116" s="2125"/>
      <c r="O116" s="2125"/>
      <c r="P116" s="2125"/>
      <c r="Q116" s="2125"/>
      <c r="R116" s="2125"/>
      <c r="S116" s="2125"/>
      <c r="T116" s="2125"/>
      <c r="U116" s="2125"/>
      <c r="V116" s="2125"/>
      <c r="W116" s="2125"/>
      <c r="X116" s="2125"/>
    </row>
    <row r="117" spans="2:24" s="2131" customFormat="1">
      <c r="B117" s="2125"/>
      <c r="D117" s="2125"/>
      <c r="E117" s="2134"/>
      <c r="F117" s="2125"/>
      <c r="G117" s="2125"/>
      <c r="H117" s="2125"/>
      <c r="I117" s="2125"/>
      <c r="J117" s="2125"/>
      <c r="K117" s="2125"/>
      <c r="L117" s="2125"/>
      <c r="M117" s="2125"/>
      <c r="N117" s="2125"/>
      <c r="O117" s="2125"/>
      <c r="P117" s="2125"/>
      <c r="Q117" s="2125"/>
      <c r="R117" s="2125"/>
      <c r="S117" s="2125"/>
      <c r="T117" s="2125"/>
      <c r="V117" s="2125"/>
      <c r="W117" s="2125"/>
      <c r="X117" s="2125"/>
    </row>
    <row r="118" spans="2:24" s="2131" customFormat="1">
      <c r="B118" s="2125"/>
      <c r="D118" s="2125"/>
      <c r="E118" s="2134"/>
      <c r="F118" s="2125"/>
      <c r="G118" s="2125"/>
      <c r="H118" s="2125"/>
      <c r="I118" s="2125"/>
      <c r="J118" s="2125"/>
      <c r="K118" s="2125"/>
      <c r="L118" s="2125"/>
      <c r="M118" s="2125"/>
      <c r="N118" s="2125"/>
      <c r="O118" s="2125"/>
      <c r="P118" s="2125"/>
      <c r="Q118" s="2125"/>
      <c r="R118" s="2125"/>
      <c r="S118" s="2125"/>
      <c r="T118" s="2125"/>
      <c r="V118" s="2125"/>
      <c r="W118" s="2125"/>
      <c r="X118" s="2125"/>
    </row>
    <row r="119" spans="2:24" s="2131" customFormat="1">
      <c r="B119" s="2125"/>
      <c r="D119" s="2125"/>
      <c r="E119" s="2134"/>
      <c r="F119" s="2125"/>
      <c r="G119" s="2125"/>
      <c r="H119" s="2125"/>
      <c r="I119" s="2125"/>
      <c r="J119" s="2125"/>
      <c r="K119" s="2125"/>
      <c r="L119" s="2125"/>
      <c r="M119" s="2125"/>
      <c r="N119" s="2125"/>
      <c r="O119" s="2125"/>
      <c r="P119" s="2125"/>
      <c r="Q119" s="2125"/>
      <c r="R119" s="2125"/>
      <c r="S119" s="2125"/>
      <c r="T119" s="2125"/>
      <c r="V119" s="2125"/>
      <c r="W119" s="2125"/>
      <c r="X119" s="2125"/>
    </row>
    <row r="120" spans="2:24" s="2131" customFormat="1">
      <c r="B120" s="2125"/>
      <c r="D120" s="2125"/>
      <c r="E120" s="2134"/>
      <c r="F120" s="2125"/>
      <c r="G120" s="2125"/>
      <c r="H120" s="2125"/>
      <c r="I120" s="2125"/>
      <c r="J120" s="2125"/>
      <c r="K120" s="2125"/>
      <c r="L120" s="2125"/>
      <c r="M120" s="2125"/>
      <c r="N120" s="2125"/>
      <c r="O120" s="2125"/>
      <c r="P120" s="2125"/>
      <c r="Q120" s="2125"/>
      <c r="R120" s="2125"/>
      <c r="S120" s="2125"/>
      <c r="T120" s="2125"/>
      <c r="V120" s="2125"/>
      <c r="W120" s="2125"/>
      <c r="X120" s="2125"/>
    </row>
    <row r="121" spans="2:24" s="2131" customFormat="1">
      <c r="B121" s="2125"/>
      <c r="D121" s="2125"/>
      <c r="E121" s="2134"/>
      <c r="F121" s="2125"/>
      <c r="G121" s="2125"/>
      <c r="H121" s="2125"/>
      <c r="I121" s="2125"/>
      <c r="J121" s="2125"/>
      <c r="K121" s="2125"/>
      <c r="L121" s="2125"/>
      <c r="M121" s="2125"/>
      <c r="N121" s="2125"/>
      <c r="O121" s="2125"/>
      <c r="P121" s="2125"/>
      <c r="Q121" s="2125"/>
      <c r="R121" s="2125"/>
      <c r="S121" s="2125"/>
      <c r="T121" s="2125"/>
      <c r="V121" s="2125"/>
      <c r="W121" s="2125"/>
      <c r="X121" s="2125"/>
    </row>
    <row r="122" spans="2:24" s="2131" customFormat="1">
      <c r="B122" s="2125"/>
      <c r="D122" s="2125"/>
      <c r="E122" s="2134"/>
      <c r="F122" s="2125"/>
      <c r="G122" s="2125"/>
      <c r="H122" s="2125"/>
      <c r="I122" s="2125"/>
      <c r="J122" s="2125"/>
      <c r="K122" s="2125"/>
      <c r="L122" s="2125"/>
      <c r="M122" s="2125"/>
      <c r="N122" s="2125"/>
      <c r="O122" s="2125"/>
      <c r="P122" s="2125"/>
      <c r="Q122" s="2125"/>
      <c r="R122" s="2125"/>
      <c r="S122" s="2125"/>
      <c r="T122" s="2125"/>
      <c r="V122" s="2125"/>
      <c r="W122" s="2125"/>
      <c r="X122" s="2125"/>
    </row>
    <row r="123" spans="2:24" s="2131" customFormat="1">
      <c r="B123" s="2125"/>
      <c r="D123" s="2125"/>
      <c r="E123" s="2134"/>
      <c r="F123" s="2125"/>
      <c r="G123" s="2125"/>
      <c r="H123" s="2125"/>
      <c r="I123" s="2125"/>
      <c r="J123" s="2125"/>
      <c r="K123" s="2125"/>
      <c r="L123" s="2125"/>
      <c r="M123" s="2125"/>
      <c r="N123" s="2125"/>
      <c r="O123" s="2125"/>
      <c r="P123" s="2125"/>
      <c r="Q123" s="2125"/>
      <c r="R123" s="2125"/>
      <c r="S123" s="2125"/>
      <c r="T123" s="2125"/>
      <c r="V123" s="2125"/>
      <c r="W123" s="2125"/>
      <c r="X123" s="2125"/>
    </row>
    <row r="124" spans="2:24" s="2131" customFormat="1">
      <c r="B124" s="2125"/>
      <c r="D124" s="2125"/>
      <c r="E124" s="2134"/>
      <c r="F124" s="2125"/>
      <c r="G124" s="2125"/>
      <c r="H124" s="2125"/>
      <c r="I124" s="2125"/>
      <c r="J124" s="2125"/>
      <c r="K124" s="2125"/>
      <c r="L124" s="2125"/>
      <c r="M124" s="2125"/>
      <c r="N124" s="2125"/>
      <c r="O124" s="2125"/>
      <c r="P124" s="2125"/>
      <c r="Q124" s="2125"/>
      <c r="R124" s="2125"/>
      <c r="S124" s="2125"/>
      <c r="T124" s="2125"/>
      <c r="V124" s="2125"/>
      <c r="W124" s="2125"/>
      <c r="X124" s="2125"/>
    </row>
    <row r="126" spans="2:24" s="2131" customFormat="1">
      <c r="B126" s="2125"/>
      <c r="D126" s="2125"/>
      <c r="E126" s="2134"/>
      <c r="F126" s="2125"/>
      <c r="G126" s="2125"/>
      <c r="H126" s="2125"/>
      <c r="I126" s="2125"/>
      <c r="J126" s="2125"/>
      <c r="K126" s="2125"/>
      <c r="L126" s="2125"/>
      <c r="M126" s="1690"/>
      <c r="N126" s="1690"/>
      <c r="O126" s="2125"/>
      <c r="P126" s="2125"/>
      <c r="Q126" s="2125"/>
      <c r="R126" s="2125"/>
      <c r="S126" s="2125"/>
      <c r="V126" s="2125"/>
      <c r="W126" s="2125"/>
      <c r="X126" s="2125"/>
    </row>
    <row r="127" spans="2:24" s="2131" customFormat="1">
      <c r="B127" s="2125"/>
      <c r="D127" s="2125"/>
      <c r="E127" s="2134"/>
      <c r="F127" s="889"/>
      <c r="G127" s="2125"/>
      <c r="H127" s="2125"/>
      <c r="I127" s="2125"/>
      <c r="J127" s="2125"/>
      <c r="K127" s="2125"/>
      <c r="L127" s="2125"/>
      <c r="M127" s="1690"/>
      <c r="N127" s="1690"/>
      <c r="O127" s="2125"/>
      <c r="P127" s="2125"/>
      <c r="Q127" s="2125"/>
      <c r="R127" s="2125"/>
      <c r="S127" s="2125"/>
      <c r="V127" s="2125"/>
      <c r="W127" s="2125"/>
      <c r="X127" s="2125"/>
    </row>
    <row r="128" spans="2:24" s="2131" customFormat="1">
      <c r="B128" s="2125"/>
      <c r="D128" s="2125"/>
      <c r="E128" s="2134"/>
      <c r="F128" s="2125"/>
      <c r="G128" s="2125"/>
      <c r="H128" s="2125"/>
      <c r="I128" s="2125"/>
      <c r="J128" s="2125"/>
      <c r="K128" s="2125"/>
      <c r="L128" s="2125"/>
      <c r="M128" s="1690"/>
      <c r="N128" s="1690"/>
      <c r="O128" s="2125"/>
      <c r="P128" s="2125"/>
      <c r="Q128" s="2125"/>
      <c r="R128" s="2125"/>
      <c r="S128" s="2125"/>
      <c r="V128" s="2125"/>
      <c r="W128" s="2125"/>
      <c r="X128" s="2125"/>
    </row>
    <row r="129" spans="2:24" s="2131" customFormat="1">
      <c r="B129" s="2125"/>
      <c r="D129" s="2125"/>
      <c r="E129" s="2134"/>
      <c r="F129" s="2125"/>
      <c r="G129" s="2125"/>
      <c r="H129" s="2125"/>
      <c r="I129" s="2125"/>
      <c r="J129" s="2125"/>
      <c r="K129" s="2125"/>
      <c r="L129" s="2125"/>
      <c r="M129" s="1690"/>
      <c r="N129" s="1690"/>
      <c r="O129" s="2125"/>
      <c r="P129" s="2125"/>
      <c r="Q129" s="2125"/>
      <c r="R129" s="2125"/>
      <c r="S129" s="2125"/>
      <c r="V129" s="2125"/>
      <c r="W129" s="2125"/>
      <c r="X129" s="2125"/>
    </row>
    <row r="130" spans="2:24">
      <c r="M130" s="1691"/>
      <c r="N130" s="1690"/>
    </row>
    <row r="131" spans="2:24">
      <c r="J131" s="2175"/>
      <c r="K131" s="907"/>
      <c r="M131" s="1691"/>
      <c r="N131" s="1690"/>
    </row>
    <row r="132" spans="2:24">
      <c r="J132" s="2175"/>
      <c r="K132" s="1692"/>
      <c r="M132" s="1691"/>
      <c r="N132" s="1690"/>
    </row>
    <row r="133" spans="2:24">
      <c r="J133" s="2175"/>
      <c r="K133" s="1692"/>
      <c r="M133" s="1691"/>
      <c r="N133" s="1690"/>
    </row>
    <row r="134" spans="2:24">
      <c r="J134" s="2175"/>
      <c r="K134" s="1692"/>
      <c r="M134" s="1691"/>
      <c r="N134" s="1690"/>
    </row>
    <row r="135" spans="2:24">
      <c r="J135" s="2175"/>
      <c r="K135" s="1692"/>
      <c r="M135" s="1691"/>
    </row>
    <row r="136" spans="2:24">
      <c r="J136" s="2175"/>
      <c r="K136" s="1692"/>
    </row>
    <row r="137" spans="2:24">
      <c r="J137" s="2175"/>
      <c r="K137" s="907"/>
    </row>
    <row r="138" spans="2:24">
      <c r="J138" s="2175"/>
      <c r="K138" s="907"/>
    </row>
  </sheetData>
  <mergeCells count="8">
    <mergeCell ref="T10:U10"/>
    <mergeCell ref="B110:C110"/>
    <mergeCell ref="B1:T1"/>
    <mergeCell ref="B2:T2"/>
    <mergeCell ref="B3:T3"/>
    <mergeCell ref="B4:T4"/>
    <mergeCell ref="B6:T6"/>
    <mergeCell ref="B7:T7"/>
  </mergeCells>
  <conditionalFormatting sqref="F108:R108">
    <cfRule type="cellIs" dxfId="2" priority="1" stopIfTrue="1" operator="notEqual">
      <formula>SUM(F104:F105)</formula>
    </cfRule>
  </conditionalFormatting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</sheetPr>
  <dimension ref="B1:G26"/>
  <sheetViews>
    <sheetView tabSelected="1" showOutlineSymbols="0" workbookViewId="0"/>
  </sheetViews>
  <sheetFormatPr defaultColWidth="9.109375" defaultRowHeight="14.4"/>
  <cols>
    <col min="1" max="1" width="9.109375" style="1"/>
    <col min="2" max="2" width="26.6640625" style="1" bestFit="1" customWidth="1"/>
    <col min="3" max="3" width="30.5546875" style="1" bestFit="1" customWidth="1"/>
    <col min="4" max="4" width="19.6640625" style="1" bestFit="1" customWidth="1"/>
    <col min="5" max="5" width="55.33203125" style="1" bestFit="1" customWidth="1"/>
    <col min="6" max="6" width="9.109375" style="1"/>
    <col min="7" max="7" width="12.6640625" style="1" bestFit="1" customWidth="1"/>
    <col min="8" max="16384" width="9.109375" style="1"/>
  </cols>
  <sheetData>
    <row r="1" spans="2:7" ht="15" thickBot="1"/>
    <row r="2" spans="2:7" ht="15" thickBot="1">
      <c r="B2" s="2" t="s">
        <v>7</v>
      </c>
      <c r="C2" s="3" t="s">
        <v>8</v>
      </c>
      <c r="D2" s="4" t="s">
        <v>11</v>
      </c>
      <c r="E2" s="5" t="s">
        <v>2</v>
      </c>
      <c r="G2" s="29" t="s">
        <v>116</v>
      </c>
    </row>
    <row r="3" spans="2:7" ht="15" thickBot="1">
      <c r="B3" s="9" t="s">
        <v>4</v>
      </c>
      <c r="C3" s="10" t="s">
        <v>1</v>
      </c>
      <c r="D3" s="14">
        <f>+D19</f>
        <v>1.3436401402136453</v>
      </c>
      <c r="E3" s="13" t="s">
        <v>37</v>
      </c>
    </row>
    <row r="6" spans="2:7" ht="15" thickBot="1"/>
    <row r="7" spans="2:7" ht="15" thickBot="1">
      <c r="B7" s="15" t="s">
        <v>22</v>
      </c>
      <c r="C7" s="4" t="s">
        <v>35</v>
      </c>
      <c r="D7" s="4" t="s">
        <v>36</v>
      </c>
      <c r="E7" s="5" t="s">
        <v>2</v>
      </c>
    </row>
    <row r="8" spans="2:7">
      <c r="B8" s="16">
        <v>1</v>
      </c>
      <c r="C8" s="17" t="s">
        <v>24</v>
      </c>
      <c r="D8" s="28">
        <v>1</v>
      </c>
      <c r="E8" s="25" t="s">
        <v>116</v>
      </c>
      <c r="F8" s="18"/>
    </row>
    <row r="9" spans="2:7">
      <c r="B9" s="16">
        <v>2</v>
      </c>
      <c r="C9" s="17" t="s">
        <v>25</v>
      </c>
      <c r="D9" s="28">
        <v>0</v>
      </c>
      <c r="E9" s="25" t="s">
        <v>116</v>
      </c>
      <c r="F9" s="18"/>
    </row>
    <row r="10" spans="2:7">
      <c r="B10" s="16">
        <v>3</v>
      </c>
      <c r="C10" s="17" t="s">
        <v>26</v>
      </c>
      <c r="D10" s="19">
        <f>+'Tax &amp; Debt Inputs'!C11</f>
        <v>8.4800000000000001E-4</v>
      </c>
      <c r="E10" s="12" t="s">
        <v>37</v>
      </c>
      <c r="F10" s="18"/>
    </row>
    <row r="11" spans="2:7">
      <c r="B11" s="16">
        <v>4</v>
      </c>
      <c r="C11" s="17" t="s">
        <v>27</v>
      </c>
      <c r="D11" s="19">
        <f>+'Tax &amp; Debt Inputs'!C10</f>
        <v>2.2369999999999998E-3</v>
      </c>
      <c r="E11" s="12" t="s">
        <v>37</v>
      </c>
      <c r="F11" s="18"/>
    </row>
    <row r="12" spans="2:7">
      <c r="B12" s="16">
        <v>5</v>
      </c>
      <c r="C12" s="17" t="s">
        <v>28</v>
      </c>
      <c r="D12" s="19">
        <f>+D8-D9-D10-D11</f>
        <v>0.996915</v>
      </c>
      <c r="E12" s="12" t="s">
        <v>38</v>
      </c>
      <c r="F12" s="18"/>
    </row>
    <row r="13" spans="2:7">
      <c r="B13" s="16">
        <v>6</v>
      </c>
      <c r="C13" s="17" t="s">
        <v>29</v>
      </c>
      <c r="D13" s="19">
        <f>+'Tax &amp; Debt Inputs'!C4</f>
        <v>5.5E-2</v>
      </c>
      <c r="E13" s="12" t="s">
        <v>37</v>
      </c>
      <c r="F13" s="18"/>
    </row>
    <row r="14" spans="2:7">
      <c r="B14" s="16">
        <v>7</v>
      </c>
      <c r="C14" s="17" t="s">
        <v>30</v>
      </c>
      <c r="D14" s="20">
        <f>+D12*D13</f>
        <v>5.4830324999999999E-2</v>
      </c>
      <c r="E14" s="12" t="s">
        <v>39</v>
      </c>
      <c r="F14" s="18"/>
    </row>
    <row r="15" spans="2:7">
      <c r="B15" s="16">
        <v>8</v>
      </c>
      <c r="C15" s="17" t="s">
        <v>31</v>
      </c>
      <c r="D15" s="20">
        <f>+D12-D14</f>
        <v>0.94208467500000004</v>
      </c>
      <c r="E15" s="12" t="s">
        <v>40</v>
      </c>
      <c r="F15" s="18"/>
    </row>
    <row r="16" spans="2:7">
      <c r="B16" s="16">
        <v>9</v>
      </c>
      <c r="C16" s="17" t="s">
        <v>32</v>
      </c>
      <c r="D16" s="20">
        <f>+'Tax &amp; Debt Inputs'!C3</f>
        <v>0.21</v>
      </c>
      <c r="E16" s="12" t="s">
        <v>37</v>
      </c>
      <c r="F16" s="18"/>
    </row>
    <row r="17" spans="2:6">
      <c r="B17" s="16">
        <v>10</v>
      </c>
      <c r="C17" s="17" t="s">
        <v>33</v>
      </c>
      <c r="D17" s="20">
        <f>+D15*D16</f>
        <v>0.19783778175</v>
      </c>
      <c r="E17" s="12" t="s">
        <v>41</v>
      </c>
      <c r="F17" s="18"/>
    </row>
    <row r="18" spans="2:6">
      <c r="B18" s="16">
        <v>11</v>
      </c>
      <c r="C18" s="17" t="s">
        <v>34</v>
      </c>
      <c r="D18" s="20">
        <f>+D15-D17</f>
        <v>0.74424689325000004</v>
      </c>
      <c r="E18" s="12" t="s">
        <v>42</v>
      </c>
      <c r="F18" s="18"/>
    </row>
    <row r="19" spans="2:6" ht="15" thickBot="1">
      <c r="B19" s="21">
        <v>12</v>
      </c>
      <c r="C19" s="22" t="s">
        <v>23</v>
      </c>
      <c r="D19" s="14">
        <f>100%/D18</f>
        <v>1.3436401402136453</v>
      </c>
      <c r="E19" s="13" t="s">
        <v>43</v>
      </c>
      <c r="F19" s="18"/>
    </row>
    <row r="20" spans="2:6">
      <c r="B20" s="18"/>
      <c r="C20" s="18"/>
      <c r="D20" s="18"/>
      <c r="E20" s="18"/>
      <c r="F20" s="18"/>
    </row>
    <row r="21" spans="2:6">
      <c r="B21" s="18"/>
      <c r="C21" s="18"/>
      <c r="D21" s="18"/>
      <c r="E21" s="18"/>
      <c r="F21" s="18"/>
    </row>
    <row r="22" spans="2:6">
      <c r="B22" s="18"/>
      <c r="C22" s="18"/>
      <c r="D22" s="18"/>
      <c r="E22" s="18"/>
      <c r="F22" s="18"/>
    </row>
    <row r="23" spans="2:6">
      <c r="B23" s="18"/>
      <c r="C23" s="18"/>
      <c r="D23" s="18"/>
      <c r="E23" s="18"/>
      <c r="F23" s="18"/>
    </row>
    <row r="24" spans="2:6">
      <c r="B24" s="18"/>
      <c r="C24" s="18"/>
      <c r="D24" s="18"/>
      <c r="E24" s="18"/>
      <c r="F24" s="18"/>
    </row>
    <row r="25" spans="2:6">
      <c r="B25" s="18"/>
      <c r="C25" s="18"/>
      <c r="D25" s="18"/>
      <c r="E25" s="18"/>
      <c r="F25" s="18"/>
    </row>
    <row r="26" spans="2:6">
      <c r="B26" s="18"/>
      <c r="C26" s="18"/>
      <c r="D26" s="18"/>
      <c r="E26" s="18"/>
      <c r="F26" s="1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  <customPr name="FPMExcelClientCellBasedFunctionStatus" r:id="rId4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8" tint="0.59999389629810485"/>
  </sheetPr>
  <dimension ref="A2:K58"/>
  <sheetViews>
    <sheetView tabSelected="1" showOutlineSymbols="0" workbookViewId="0"/>
  </sheetViews>
  <sheetFormatPr defaultRowHeight="14.4"/>
  <cols>
    <col min="1" max="1" width="10.33203125" bestFit="1" customWidth="1"/>
    <col min="4" max="4" width="39.44140625" bestFit="1" customWidth="1"/>
    <col min="5" max="5" width="13.88671875" bestFit="1" customWidth="1"/>
    <col min="7" max="7" width="12.6640625" bestFit="1" customWidth="1"/>
  </cols>
  <sheetData>
    <row r="2" spans="1:11">
      <c r="B2" t="s">
        <v>113</v>
      </c>
      <c r="D2" t="s">
        <v>1900</v>
      </c>
    </row>
    <row r="4" spans="1:11">
      <c r="D4" t="s">
        <v>1532</v>
      </c>
    </row>
    <row r="5" spans="1:11">
      <c r="D5" t="s">
        <v>120</v>
      </c>
    </row>
    <row r="6" spans="1:11">
      <c r="D6" t="s">
        <v>1901</v>
      </c>
    </row>
    <row r="9" spans="1:11">
      <c r="E9" s="2176" t="s">
        <v>114</v>
      </c>
    </row>
    <row r="10" spans="1:11">
      <c r="A10" t="s">
        <v>19</v>
      </c>
      <c r="D10" t="s">
        <v>119</v>
      </c>
      <c r="E10" s="2177">
        <v>45992</v>
      </c>
    </row>
    <row r="11" spans="1:11">
      <c r="A11" s="33" t="str">
        <f>IFERROR(+LEFT(B11,(FIND(".",B11,1)-1)),B11)</f>
        <v>303</v>
      </c>
      <c r="B11" s="1962">
        <v>303.14999999999998</v>
      </c>
      <c r="C11" s="1962" t="s">
        <v>8261</v>
      </c>
      <c r="D11" s="1962" t="s">
        <v>1902</v>
      </c>
      <c r="E11" s="2112">
        <v>4937464</v>
      </c>
      <c r="G11" s="1962" t="s">
        <v>116</v>
      </c>
      <c r="K11" t="e">
        <f>+_xlfn.XMATCH(A11,'SPP ADJ T&amp;D'!P:P)</f>
        <v>#N/A</v>
      </c>
    </row>
    <row r="12" spans="1:11">
      <c r="A12" s="33">
        <f t="shared" ref="A12:A56" si="0">IFERROR(+LEFT(B12,(FIND(".",B12,1)-1)),B12)</f>
        <v>355</v>
      </c>
      <c r="B12" s="1962">
        <v>355</v>
      </c>
      <c r="C12" s="1962" t="s">
        <v>8261</v>
      </c>
      <c r="D12" s="1962" t="s">
        <v>1902</v>
      </c>
      <c r="E12" s="2112">
        <v>6661</v>
      </c>
      <c r="K12">
        <f>+_xlfn.XMATCH(A12,'SPP ADJ T&amp;D'!P:P)</f>
        <v>11</v>
      </c>
    </row>
    <row r="13" spans="1:11">
      <c r="A13" s="33">
        <f t="shared" si="0"/>
        <v>356</v>
      </c>
      <c r="B13" s="1962">
        <v>356</v>
      </c>
      <c r="C13" s="1962" t="s">
        <v>8261</v>
      </c>
      <c r="D13" s="1962" t="s">
        <v>1902</v>
      </c>
      <c r="E13" s="2112">
        <v>614</v>
      </c>
      <c r="K13">
        <f>+_xlfn.XMATCH(A13,'SPP ADJ T&amp;D'!P:P)</f>
        <v>12</v>
      </c>
    </row>
    <row r="14" spans="1:11">
      <c r="A14" s="33">
        <f t="shared" si="0"/>
        <v>364</v>
      </c>
      <c r="B14" s="1962">
        <v>364</v>
      </c>
      <c r="C14" s="1962" t="s">
        <v>8261</v>
      </c>
      <c r="D14" s="1962" t="s">
        <v>1902</v>
      </c>
      <c r="E14" s="2112">
        <v>6857832</v>
      </c>
      <c r="K14">
        <f>+_xlfn.XMATCH(A14,'SPP ADJ T&amp;D'!P:P)</f>
        <v>19</v>
      </c>
    </row>
    <row r="15" spans="1:11">
      <c r="A15" s="33">
        <f t="shared" si="0"/>
        <v>365</v>
      </c>
      <c r="B15" s="1962">
        <v>365</v>
      </c>
      <c r="C15" s="1962" t="s">
        <v>8261</v>
      </c>
      <c r="D15" s="1962" t="s">
        <v>1902</v>
      </c>
      <c r="E15" s="2112">
        <v>810231</v>
      </c>
      <c r="K15">
        <f>+_xlfn.XMATCH(A15,'SPP ADJ T&amp;D'!P:P)</f>
        <v>20</v>
      </c>
    </row>
    <row r="16" spans="1:11">
      <c r="A16" s="33">
        <f t="shared" si="0"/>
        <v>366</v>
      </c>
      <c r="B16" s="1962">
        <v>366</v>
      </c>
      <c r="C16" s="1962" t="s">
        <v>8261</v>
      </c>
      <c r="D16" s="1962" t="s">
        <v>1902</v>
      </c>
      <c r="E16" s="2112">
        <v>38090919</v>
      </c>
      <c r="K16">
        <f>+_xlfn.XMATCH(A16,'SPP ADJ T&amp;D'!P:P)</f>
        <v>21</v>
      </c>
    </row>
    <row r="17" spans="1:11">
      <c r="A17" s="33">
        <f t="shared" si="0"/>
        <v>367</v>
      </c>
      <c r="B17" s="1962">
        <v>367</v>
      </c>
      <c r="C17" s="1962" t="s">
        <v>8261</v>
      </c>
      <c r="D17" s="1962" t="s">
        <v>1902</v>
      </c>
      <c r="E17" s="2112">
        <v>398004836</v>
      </c>
      <c r="K17">
        <f>+_xlfn.XMATCH(A17,'SPP ADJ T&amp;D'!P:P)</f>
        <v>22</v>
      </c>
    </row>
    <row r="18" spans="1:11">
      <c r="A18" s="33">
        <f t="shared" si="0"/>
        <v>368</v>
      </c>
      <c r="B18" s="1962">
        <v>368</v>
      </c>
      <c r="C18" s="1962" t="s">
        <v>8261</v>
      </c>
      <c r="D18" s="1962" t="s">
        <v>1902</v>
      </c>
      <c r="E18" s="2112">
        <v>37343678</v>
      </c>
      <c r="K18">
        <f>+_xlfn.XMATCH(A18,'SPP ADJ T&amp;D'!P:P)</f>
        <v>23</v>
      </c>
    </row>
    <row r="19" spans="1:11">
      <c r="A19" s="33">
        <f t="shared" si="0"/>
        <v>369</v>
      </c>
      <c r="B19" s="1962">
        <v>369</v>
      </c>
      <c r="C19" s="1962" t="s">
        <v>8261</v>
      </c>
      <c r="D19" s="1962" t="s">
        <v>1902</v>
      </c>
      <c r="E19" s="2112">
        <v>2647636</v>
      </c>
      <c r="K19">
        <f>+_xlfn.XMATCH(A19,'SPP ADJ T&amp;D'!P:P)</f>
        <v>24</v>
      </c>
    </row>
    <row r="20" spans="1:11">
      <c r="A20" s="33" t="str">
        <f t="shared" si="0"/>
        <v>369</v>
      </c>
      <c r="B20" s="1962">
        <v>369.02</v>
      </c>
      <c r="C20" s="1962" t="s">
        <v>8261</v>
      </c>
      <c r="D20" s="1962" t="s">
        <v>1902</v>
      </c>
      <c r="E20" s="2112">
        <v>8118312</v>
      </c>
      <c r="K20" t="e">
        <f>+_xlfn.XMATCH(A20,'SPP ADJ T&amp;D'!P:P)</f>
        <v>#N/A</v>
      </c>
    </row>
    <row r="21" spans="1:11">
      <c r="A21" s="33">
        <f t="shared" si="0"/>
        <v>370</v>
      </c>
      <c r="B21" s="1962">
        <v>370</v>
      </c>
      <c r="C21" s="1962" t="s">
        <v>8261</v>
      </c>
      <c r="D21" s="1962" t="s">
        <v>1902</v>
      </c>
      <c r="E21" s="2112">
        <v>2476</v>
      </c>
      <c r="K21">
        <f>+_xlfn.XMATCH(A21,'SPP ADJ T&amp;D'!P:P)</f>
        <v>26</v>
      </c>
    </row>
    <row r="22" spans="1:11">
      <c r="A22" s="33">
        <f t="shared" si="0"/>
        <v>373</v>
      </c>
      <c r="B22" s="1962">
        <v>373</v>
      </c>
      <c r="C22" s="1962" t="s">
        <v>8261</v>
      </c>
      <c r="D22" s="1962" t="s">
        <v>1902</v>
      </c>
      <c r="E22" s="2112">
        <v>1314241</v>
      </c>
      <c r="K22">
        <f>+_xlfn.XMATCH(A22,'SPP ADJ T&amp;D'!P:P)</f>
        <v>28</v>
      </c>
    </row>
    <row r="23" spans="1:11">
      <c r="A23" s="33">
        <f t="shared" si="0"/>
        <v>390</v>
      </c>
      <c r="B23" s="1962">
        <v>390</v>
      </c>
      <c r="C23" s="1962" t="s">
        <v>8261</v>
      </c>
      <c r="D23" s="1962" t="s">
        <v>1902</v>
      </c>
      <c r="E23" s="2112">
        <v>26890</v>
      </c>
      <c r="K23" t="e">
        <f>+_xlfn.XMATCH(A23,'SPP ADJ T&amp;D'!P:P)</f>
        <v>#N/A</v>
      </c>
    </row>
    <row r="24" spans="1:11">
      <c r="A24" s="33" t="str">
        <f t="shared" si="0"/>
        <v>391</v>
      </c>
      <c r="B24" s="1962">
        <v>391.01</v>
      </c>
      <c r="C24" s="1962" t="s">
        <v>8261</v>
      </c>
      <c r="D24" s="1962" t="s">
        <v>1902</v>
      </c>
      <c r="E24" s="2112">
        <v>91149</v>
      </c>
      <c r="K24" t="e">
        <f>+_xlfn.XMATCH(A24,'SPP ADJ T&amp;D'!P:P)</f>
        <v>#N/A</v>
      </c>
    </row>
    <row r="25" spans="1:11">
      <c r="A25" s="33" t="str">
        <f t="shared" si="0"/>
        <v>391</v>
      </c>
      <c r="B25" s="1962">
        <v>391.02</v>
      </c>
      <c r="C25" s="1962" t="s">
        <v>8261</v>
      </c>
      <c r="D25" s="1962" t="s">
        <v>1902</v>
      </c>
      <c r="E25" s="2112">
        <v>47345</v>
      </c>
      <c r="K25" t="e">
        <f>+_xlfn.XMATCH(A25,'SPP ADJ T&amp;D'!P:P)</f>
        <v>#N/A</v>
      </c>
    </row>
    <row r="26" spans="1:11">
      <c r="A26" s="33" t="str">
        <f t="shared" si="0"/>
        <v>392</v>
      </c>
      <c r="B26" s="1962">
        <v>392.02</v>
      </c>
      <c r="C26" s="1962" t="s">
        <v>8261</v>
      </c>
      <c r="D26" s="1962" t="s">
        <v>1902</v>
      </c>
      <c r="E26" s="2112">
        <v>39131</v>
      </c>
      <c r="K26" t="e">
        <f>+_xlfn.XMATCH(A26,'SPP ADJ T&amp;D'!P:P)</f>
        <v>#N/A</v>
      </c>
    </row>
    <row r="27" spans="1:11">
      <c r="A27" s="33">
        <f t="shared" si="0"/>
        <v>394</v>
      </c>
      <c r="B27" s="1962">
        <v>394</v>
      </c>
      <c r="C27" s="1962" t="s">
        <v>8261</v>
      </c>
      <c r="D27" s="1962" t="s">
        <v>1902</v>
      </c>
      <c r="E27" s="2112">
        <v>121555</v>
      </c>
      <c r="K27" t="e">
        <f>+_xlfn.XMATCH(A27,'SPP ADJ T&amp;D'!P:P)</f>
        <v>#N/A</v>
      </c>
    </row>
    <row r="28" spans="1:11">
      <c r="A28" s="33" t="str">
        <f t="shared" si="0"/>
        <v>397</v>
      </c>
      <c r="B28" s="1962">
        <v>397.25</v>
      </c>
      <c r="C28" s="1962" t="s">
        <v>8261</v>
      </c>
      <c r="D28" s="1962" t="s">
        <v>1902</v>
      </c>
      <c r="E28" s="2112">
        <v>56643</v>
      </c>
      <c r="K28" t="e">
        <f>+_xlfn.XMATCH(A28,'SPP ADJ T&amp;D'!P:P)</f>
        <v>#N/A</v>
      </c>
    </row>
    <row r="29" spans="1:11">
      <c r="A29" s="33">
        <f t="shared" si="0"/>
        <v>398</v>
      </c>
      <c r="B29" s="1962">
        <v>398</v>
      </c>
      <c r="C29" s="1962" t="s">
        <v>8261</v>
      </c>
      <c r="D29" s="1962" t="s">
        <v>1902</v>
      </c>
      <c r="E29" s="2112">
        <v>6009</v>
      </c>
      <c r="K29" t="e">
        <f>+_xlfn.XMATCH(A29,'SPP ADJ T&amp;D'!P:P)</f>
        <v>#N/A</v>
      </c>
    </row>
    <row r="30" spans="1:11">
      <c r="A30" s="33">
        <f t="shared" si="0"/>
        <v>355</v>
      </c>
      <c r="B30" s="1962">
        <v>355</v>
      </c>
      <c r="C30" s="1962" t="s">
        <v>8262</v>
      </c>
      <c r="D30" s="1962" t="s">
        <v>1903</v>
      </c>
      <c r="E30" s="2112">
        <v>80384433</v>
      </c>
      <c r="K30">
        <f>+_xlfn.XMATCH(A30,'SPP ADJ T&amp;D'!P:P)</f>
        <v>11</v>
      </c>
    </row>
    <row r="31" spans="1:11">
      <c r="A31" s="33">
        <f t="shared" si="0"/>
        <v>356</v>
      </c>
      <c r="B31" s="1962">
        <v>356</v>
      </c>
      <c r="C31" s="1962" t="s">
        <v>8262</v>
      </c>
      <c r="D31" s="1962" t="s">
        <v>1903</v>
      </c>
      <c r="E31" s="2112">
        <v>2298912</v>
      </c>
      <c r="K31">
        <f>+_xlfn.XMATCH(A31,'SPP ADJ T&amp;D'!P:P)</f>
        <v>12</v>
      </c>
    </row>
    <row r="32" spans="1:11">
      <c r="A32" s="33">
        <f t="shared" si="0"/>
        <v>364</v>
      </c>
      <c r="B32" s="1962">
        <v>364</v>
      </c>
      <c r="C32" s="1962" t="s">
        <v>8262</v>
      </c>
      <c r="D32" s="1962" t="s">
        <v>1903</v>
      </c>
      <c r="E32" s="2112">
        <v>94073</v>
      </c>
      <c r="K32">
        <f>+_xlfn.XMATCH(A32,'SPP ADJ T&amp;D'!P:P)</f>
        <v>19</v>
      </c>
    </row>
    <row r="33" spans="1:11">
      <c r="A33" s="33">
        <f t="shared" si="0"/>
        <v>365</v>
      </c>
      <c r="B33" s="1962">
        <v>365</v>
      </c>
      <c r="C33" s="1962" t="s">
        <v>8262</v>
      </c>
      <c r="D33" s="1962" t="s">
        <v>1903</v>
      </c>
      <c r="E33" s="2112">
        <v>49440</v>
      </c>
      <c r="K33">
        <f>+_xlfn.XMATCH(A33,'SPP ADJ T&amp;D'!P:P)</f>
        <v>20</v>
      </c>
    </row>
    <row r="34" spans="1:11">
      <c r="A34" s="33">
        <f t="shared" si="0"/>
        <v>366</v>
      </c>
      <c r="B34" s="1962">
        <v>366</v>
      </c>
      <c r="C34" s="1962" t="s">
        <v>8262</v>
      </c>
      <c r="D34" s="1962" t="s">
        <v>1903</v>
      </c>
      <c r="E34" s="2112">
        <v>13570</v>
      </c>
      <c r="K34">
        <f>+_xlfn.XMATCH(A34,'SPP ADJ T&amp;D'!P:P)</f>
        <v>21</v>
      </c>
    </row>
    <row r="35" spans="1:11">
      <c r="A35" s="33">
        <f t="shared" si="0"/>
        <v>367</v>
      </c>
      <c r="B35" s="1962">
        <v>367</v>
      </c>
      <c r="C35" s="1962" t="s">
        <v>8262</v>
      </c>
      <c r="D35" s="1962" t="s">
        <v>1903</v>
      </c>
      <c r="E35" s="2112">
        <v>35117</v>
      </c>
      <c r="K35">
        <f>+_xlfn.XMATCH(A35,'SPP ADJ T&amp;D'!P:P)</f>
        <v>22</v>
      </c>
    </row>
    <row r="36" spans="1:11">
      <c r="A36" s="33">
        <f t="shared" si="0"/>
        <v>368</v>
      </c>
      <c r="B36" s="1962">
        <v>368</v>
      </c>
      <c r="C36" s="1962" t="s">
        <v>8262</v>
      </c>
      <c r="D36" s="1962" t="s">
        <v>1903</v>
      </c>
      <c r="E36" s="2112">
        <v>368515</v>
      </c>
      <c r="K36">
        <f>+_xlfn.XMATCH(A36,'SPP ADJ T&amp;D'!P:P)</f>
        <v>23</v>
      </c>
    </row>
    <row r="37" spans="1:11">
      <c r="A37" s="33">
        <f t="shared" si="0"/>
        <v>369</v>
      </c>
      <c r="B37" s="1962">
        <v>369</v>
      </c>
      <c r="C37" s="1962" t="s">
        <v>8262</v>
      </c>
      <c r="D37" s="1962" t="s">
        <v>1903</v>
      </c>
      <c r="E37" s="2112">
        <v>5875</v>
      </c>
      <c r="K37">
        <f>+_xlfn.XMATCH(A37,'SPP ADJ T&amp;D'!P:P)</f>
        <v>24</v>
      </c>
    </row>
    <row r="38" spans="1:11">
      <c r="A38" s="33" t="str">
        <f t="shared" si="0"/>
        <v>369</v>
      </c>
      <c r="B38" s="1962">
        <v>369.02</v>
      </c>
      <c r="C38" s="1962" t="s">
        <v>8262</v>
      </c>
      <c r="D38" s="1962" t="s">
        <v>1903</v>
      </c>
      <c r="E38" s="2112">
        <v>5201</v>
      </c>
      <c r="K38" t="e">
        <f>+_xlfn.XMATCH(A38,'SPP ADJ T&amp;D'!P:P)</f>
        <v>#N/A</v>
      </c>
    </row>
    <row r="39" spans="1:11">
      <c r="A39" s="33">
        <f t="shared" si="0"/>
        <v>373</v>
      </c>
      <c r="B39" s="1962">
        <v>373</v>
      </c>
      <c r="C39" s="1962" t="s">
        <v>8262</v>
      </c>
      <c r="D39" s="1962" t="s">
        <v>1903</v>
      </c>
      <c r="E39" s="2112">
        <v>0</v>
      </c>
      <c r="K39">
        <f>+_xlfn.XMATCH(A39,'SPP ADJ T&amp;D'!P:P)</f>
        <v>28</v>
      </c>
    </row>
    <row r="40" spans="1:11">
      <c r="A40" s="33">
        <f t="shared" si="0"/>
        <v>397</v>
      </c>
      <c r="B40" s="1962">
        <v>397</v>
      </c>
      <c r="C40" s="1962" t="s">
        <v>8262</v>
      </c>
      <c r="D40" s="1962" t="s">
        <v>1903</v>
      </c>
      <c r="E40" s="2112">
        <v>31830</v>
      </c>
      <c r="K40">
        <f>+_xlfn.XMATCH(A40,'SPP ADJ T&amp;D'!P:P)</f>
        <v>31</v>
      </c>
    </row>
    <row r="41" spans="1:11">
      <c r="A41" s="33" t="str">
        <f t="shared" si="0"/>
        <v>397</v>
      </c>
      <c r="B41" s="1962">
        <v>397.25</v>
      </c>
      <c r="C41" s="1962" t="s">
        <v>8262</v>
      </c>
      <c r="D41" s="1962" t="s">
        <v>1903</v>
      </c>
      <c r="E41" s="2112">
        <v>35229</v>
      </c>
      <c r="K41" t="e">
        <f>+_xlfn.XMATCH(A41,'SPP ADJ T&amp;D'!P:P)</f>
        <v>#N/A</v>
      </c>
    </row>
    <row r="42" spans="1:11">
      <c r="A42" s="33">
        <f t="shared" si="0"/>
        <v>367</v>
      </c>
      <c r="B42" s="1962">
        <v>367</v>
      </c>
      <c r="C42" s="1962" t="s">
        <v>9131</v>
      </c>
      <c r="D42" s="1962" t="s">
        <v>1904</v>
      </c>
      <c r="E42" s="2112">
        <v>1035756</v>
      </c>
      <c r="K42">
        <f>+_xlfn.XMATCH(A42,'SPP ADJ T&amp;D'!P:P)</f>
        <v>22</v>
      </c>
    </row>
    <row r="43" spans="1:11">
      <c r="A43" s="33">
        <f t="shared" si="0"/>
        <v>353</v>
      </c>
      <c r="B43" s="1962">
        <v>353</v>
      </c>
      <c r="C43" s="1962" t="s">
        <v>8263</v>
      </c>
      <c r="D43" s="1962" t="s">
        <v>1905</v>
      </c>
      <c r="E43" s="2112">
        <v>218384</v>
      </c>
      <c r="K43">
        <f>+_xlfn.XMATCH(A43,'SPP ADJ T&amp;D'!P:P)</f>
        <v>9</v>
      </c>
    </row>
    <row r="44" spans="1:11">
      <c r="A44" s="33">
        <f t="shared" si="0"/>
        <v>355</v>
      </c>
      <c r="B44" s="1962">
        <v>355</v>
      </c>
      <c r="C44" s="1962" t="s">
        <v>8263</v>
      </c>
      <c r="D44" s="1962" t="s">
        <v>1905</v>
      </c>
      <c r="E44" s="2112">
        <v>96570</v>
      </c>
      <c r="K44">
        <f>+_xlfn.XMATCH(A44,'SPP ADJ T&amp;D'!P:P)</f>
        <v>11</v>
      </c>
    </row>
    <row r="45" spans="1:11">
      <c r="A45" s="33">
        <f t="shared" si="0"/>
        <v>356</v>
      </c>
      <c r="B45" s="1962">
        <v>356</v>
      </c>
      <c r="C45" s="1962" t="s">
        <v>8263</v>
      </c>
      <c r="D45" s="1962" t="s">
        <v>1905</v>
      </c>
      <c r="E45" s="2112">
        <v>137495</v>
      </c>
      <c r="K45">
        <f>+_xlfn.XMATCH(A45,'SPP ADJ T&amp;D'!P:P)</f>
        <v>12</v>
      </c>
    </row>
    <row r="46" spans="1:11">
      <c r="A46" s="33">
        <f t="shared" si="0"/>
        <v>361</v>
      </c>
      <c r="B46" s="1962">
        <v>361</v>
      </c>
      <c r="C46" s="1962" t="s">
        <v>8263</v>
      </c>
      <c r="D46" s="1962" t="s">
        <v>1905</v>
      </c>
      <c r="E46" s="2112">
        <v>202811</v>
      </c>
      <c r="K46">
        <f>+_xlfn.XMATCH(A46,'SPP ADJ T&amp;D'!P:P)</f>
        <v>17</v>
      </c>
    </row>
    <row r="47" spans="1:11">
      <c r="A47" s="33">
        <f t="shared" si="0"/>
        <v>362</v>
      </c>
      <c r="B47" s="1962">
        <v>362</v>
      </c>
      <c r="C47" s="1962" t="s">
        <v>8263</v>
      </c>
      <c r="D47" s="1962" t="s">
        <v>1905</v>
      </c>
      <c r="E47" s="2112">
        <v>6837228</v>
      </c>
      <c r="K47">
        <f>+_xlfn.XMATCH(A47,'SPP ADJ T&amp;D'!P:P)</f>
        <v>18</v>
      </c>
    </row>
    <row r="48" spans="1:11">
      <c r="A48" s="33">
        <f t="shared" si="0"/>
        <v>364</v>
      </c>
      <c r="B48" s="1962">
        <v>364</v>
      </c>
      <c r="C48" s="1962" t="s">
        <v>8263</v>
      </c>
      <c r="D48" s="1962" t="s">
        <v>1905</v>
      </c>
      <c r="E48" s="2112">
        <v>68806180</v>
      </c>
      <c r="K48">
        <f>+_xlfn.XMATCH(A48,'SPP ADJ T&amp;D'!P:P)</f>
        <v>19</v>
      </c>
    </row>
    <row r="49" spans="1:11">
      <c r="A49" s="33">
        <f t="shared" si="0"/>
        <v>365</v>
      </c>
      <c r="B49" s="1962">
        <v>365</v>
      </c>
      <c r="C49" s="1962" t="s">
        <v>8263</v>
      </c>
      <c r="D49" s="1962" t="s">
        <v>1905</v>
      </c>
      <c r="E49" s="2112">
        <v>7880688</v>
      </c>
      <c r="K49">
        <f>+_xlfn.XMATCH(A49,'SPP ADJ T&amp;D'!P:P)</f>
        <v>20</v>
      </c>
    </row>
    <row r="50" spans="1:11">
      <c r="A50" s="33">
        <f t="shared" si="0"/>
        <v>366</v>
      </c>
      <c r="B50" s="1962">
        <v>366</v>
      </c>
      <c r="C50" s="1962" t="s">
        <v>8263</v>
      </c>
      <c r="D50" s="1962" t="s">
        <v>1905</v>
      </c>
      <c r="E50" s="2112">
        <v>157625</v>
      </c>
      <c r="K50">
        <f>+_xlfn.XMATCH(A50,'SPP ADJ T&amp;D'!P:P)</f>
        <v>21</v>
      </c>
    </row>
    <row r="51" spans="1:11">
      <c r="A51" s="33">
        <f t="shared" si="0"/>
        <v>367</v>
      </c>
      <c r="B51" s="1962">
        <v>367</v>
      </c>
      <c r="C51" s="1962" t="s">
        <v>8263</v>
      </c>
      <c r="D51" s="1962" t="s">
        <v>1905</v>
      </c>
      <c r="E51" s="2112">
        <v>763278</v>
      </c>
      <c r="K51">
        <f>+_xlfn.XMATCH(A51,'SPP ADJ T&amp;D'!P:P)</f>
        <v>22</v>
      </c>
    </row>
    <row r="52" spans="1:11">
      <c r="A52" s="33">
        <f t="shared" si="0"/>
        <v>368</v>
      </c>
      <c r="B52" s="1962">
        <v>368</v>
      </c>
      <c r="C52" s="1962" t="s">
        <v>8263</v>
      </c>
      <c r="D52" s="1962" t="s">
        <v>1905</v>
      </c>
      <c r="E52" s="2112">
        <v>4896454</v>
      </c>
      <c r="K52">
        <f>+_xlfn.XMATCH(A52,'SPP ADJ T&amp;D'!P:P)</f>
        <v>23</v>
      </c>
    </row>
    <row r="53" spans="1:11">
      <c r="A53" s="33">
        <f t="shared" si="0"/>
        <v>369</v>
      </c>
      <c r="B53" s="1962">
        <v>369</v>
      </c>
      <c r="C53" s="1962" t="s">
        <v>8263</v>
      </c>
      <c r="D53" s="1962" t="s">
        <v>1905</v>
      </c>
      <c r="E53" s="2112">
        <v>147595</v>
      </c>
      <c r="K53">
        <f>+_xlfn.XMATCH(A53,'SPP ADJ T&amp;D'!P:P)</f>
        <v>24</v>
      </c>
    </row>
    <row r="54" spans="1:11">
      <c r="A54" s="33" t="str">
        <f t="shared" si="0"/>
        <v>369</v>
      </c>
      <c r="B54" s="1962">
        <v>369.02</v>
      </c>
      <c r="C54" s="1962" t="s">
        <v>8263</v>
      </c>
      <c r="D54" s="1962" t="s">
        <v>1905</v>
      </c>
      <c r="E54" s="2112">
        <v>1204</v>
      </c>
      <c r="K54" t="e">
        <f>+_xlfn.XMATCH(A54,'SPP ADJ T&amp;D'!P:P)</f>
        <v>#N/A</v>
      </c>
    </row>
    <row r="55" spans="1:11">
      <c r="A55" s="33">
        <f t="shared" si="0"/>
        <v>373</v>
      </c>
      <c r="B55" s="1962">
        <v>373</v>
      </c>
      <c r="C55" s="1962" t="s">
        <v>8263</v>
      </c>
      <c r="D55" s="1962" t="s">
        <v>1905</v>
      </c>
      <c r="E55" s="2112">
        <v>4817</v>
      </c>
      <c r="K55">
        <f>+_xlfn.XMATCH(A55,'SPP ADJ T&amp;D'!P:P)</f>
        <v>28</v>
      </c>
    </row>
    <row r="56" spans="1:11">
      <c r="A56" s="33">
        <f t="shared" si="0"/>
        <v>397</v>
      </c>
      <c r="B56" s="1962">
        <v>397</v>
      </c>
      <c r="C56" s="1962" t="s">
        <v>8263</v>
      </c>
      <c r="D56" s="1962" t="s">
        <v>1905</v>
      </c>
      <c r="E56" s="2112">
        <v>663592</v>
      </c>
      <c r="K56">
        <f>+_xlfn.XMATCH(A56,'SPP ADJ T&amp;D'!P:P)</f>
        <v>31</v>
      </c>
    </row>
    <row r="57" spans="1:11">
      <c r="B57" s="1962"/>
      <c r="C57" s="1962"/>
      <c r="E57" s="64"/>
    </row>
    <row r="58" spans="1:11">
      <c r="B58" s="1962"/>
      <c r="C58" s="1962"/>
      <c r="E58" s="64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8" tint="0.59999389629810485"/>
  </sheetPr>
  <dimension ref="A2:G56"/>
  <sheetViews>
    <sheetView tabSelected="1" showOutlineSymbols="0" workbookViewId="0"/>
  </sheetViews>
  <sheetFormatPr defaultRowHeight="14.4"/>
  <cols>
    <col min="4" max="4" width="39.44140625" bestFit="1" customWidth="1"/>
    <col min="5" max="5" width="9.88671875" bestFit="1" customWidth="1"/>
    <col min="7" max="7" width="12.6640625" bestFit="1" customWidth="1"/>
  </cols>
  <sheetData>
    <row r="2" spans="1:7">
      <c r="B2" t="s">
        <v>113</v>
      </c>
      <c r="D2" t="s">
        <v>1900</v>
      </c>
    </row>
    <row r="4" spans="1:7">
      <c r="D4" t="s">
        <v>1885</v>
      </c>
    </row>
    <row r="5" spans="1:7">
      <c r="D5" t="s">
        <v>120</v>
      </c>
    </row>
    <row r="6" spans="1:7">
      <c r="D6" t="s">
        <v>1901</v>
      </c>
    </row>
    <row r="9" spans="1:7">
      <c r="E9" s="2176" t="s">
        <v>114</v>
      </c>
    </row>
    <row r="10" spans="1:7">
      <c r="A10" t="s">
        <v>19</v>
      </c>
      <c r="D10" t="s">
        <v>119</v>
      </c>
      <c r="E10" s="2177">
        <v>45992</v>
      </c>
    </row>
    <row r="11" spans="1:7">
      <c r="A11" s="33" t="str">
        <f>IFERROR(+LEFT(B11,(FIND(".",B11,1)-1)),B11)</f>
        <v>303</v>
      </c>
      <c r="B11" s="1962">
        <v>303.14999999999998</v>
      </c>
      <c r="C11" s="1962" t="s">
        <v>8261</v>
      </c>
      <c r="D11" s="1962" t="s">
        <v>1902</v>
      </c>
      <c r="E11" s="2112">
        <v>763514</v>
      </c>
      <c r="G11" s="1962" t="s">
        <v>116</v>
      </c>
    </row>
    <row r="12" spans="1:7">
      <c r="A12" s="33">
        <f t="shared" ref="A12:A56" si="0">IFERROR(+LEFT(B12,(FIND(".",B12,1)-1)),B12)</f>
        <v>355</v>
      </c>
      <c r="B12" s="1962">
        <v>355</v>
      </c>
      <c r="C12" s="1962" t="s">
        <v>8261</v>
      </c>
      <c r="D12" s="1962" t="s">
        <v>1902</v>
      </c>
      <c r="E12" s="2112">
        <v>103</v>
      </c>
    </row>
    <row r="13" spans="1:7">
      <c r="A13" s="33">
        <f t="shared" si="0"/>
        <v>356</v>
      </c>
      <c r="B13" s="1962">
        <v>356</v>
      </c>
      <c r="C13" s="1962" t="s">
        <v>8261</v>
      </c>
      <c r="D13" s="1962" t="s">
        <v>1902</v>
      </c>
      <c r="E13" s="2112">
        <v>-88</v>
      </c>
    </row>
    <row r="14" spans="1:7">
      <c r="A14" s="33">
        <f t="shared" si="0"/>
        <v>364</v>
      </c>
      <c r="B14" s="1962">
        <v>364</v>
      </c>
      <c r="C14" s="1962" t="s">
        <v>8261</v>
      </c>
      <c r="D14" s="1962" t="s">
        <v>1902</v>
      </c>
      <c r="E14" s="2112">
        <v>-2368498</v>
      </c>
    </row>
    <row r="15" spans="1:7">
      <c r="A15" s="33">
        <f t="shared" si="0"/>
        <v>365</v>
      </c>
      <c r="B15" s="1962">
        <v>365</v>
      </c>
      <c r="C15" s="1962" t="s">
        <v>8261</v>
      </c>
      <c r="D15" s="1962" t="s">
        <v>1902</v>
      </c>
      <c r="E15" s="2112">
        <v>-100687</v>
      </c>
    </row>
    <row r="16" spans="1:7">
      <c r="A16" s="33">
        <f t="shared" si="0"/>
        <v>366</v>
      </c>
      <c r="B16" s="1962">
        <v>366</v>
      </c>
      <c r="C16" s="1962" t="s">
        <v>8261</v>
      </c>
      <c r="D16" s="1962" t="s">
        <v>1902</v>
      </c>
      <c r="E16" s="2112">
        <v>1479908</v>
      </c>
    </row>
    <row r="17" spans="1:5">
      <c r="A17" s="33">
        <f t="shared" si="0"/>
        <v>367</v>
      </c>
      <c r="B17" s="1962">
        <v>367</v>
      </c>
      <c r="C17" s="1962" t="s">
        <v>8261</v>
      </c>
      <c r="D17" s="1962" t="s">
        <v>1902</v>
      </c>
      <c r="E17" s="2112">
        <v>11392345</v>
      </c>
    </row>
    <row r="18" spans="1:5">
      <c r="A18" s="33">
        <f t="shared" si="0"/>
        <v>368</v>
      </c>
      <c r="B18" s="1962">
        <v>368</v>
      </c>
      <c r="C18" s="1962" t="s">
        <v>8261</v>
      </c>
      <c r="D18" s="1962" t="s">
        <v>1902</v>
      </c>
      <c r="E18" s="2112">
        <v>3117901</v>
      </c>
    </row>
    <row r="19" spans="1:5">
      <c r="A19" s="33">
        <f t="shared" si="0"/>
        <v>369</v>
      </c>
      <c r="B19" s="1962">
        <v>369</v>
      </c>
      <c r="C19" s="1962" t="s">
        <v>8261</v>
      </c>
      <c r="D19" s="1962" t="s">
        <v>1902</v>
      </c>
      <c r="E19" s="2112">
        <v>104084</v>
      </c>
    </row>
    <row r="20" spans="1:5">
      <c r="A20" s="33" t="str">
        <f t="shared" si="0"/>
        <v>369</v>
      </c>
      <c r="B20" s="1962">
        <v>369.02</v>
      </c>
      <c r="C20" s="1962" t="s">
        <v>8261</v>
      </c>
      <c r="D20" s="1962" t="s">
        <v>1902</v>
      </c>
      <c r="E20" s="2112">
        <v>408023</v>
      </c>
    </row>
    <row r="21" spans="1:5">
      <c r="A21" s="33">
        <f t="shared" si="0"/>
        <v>370</v>
      </c>
      <c r="B21" s="1962">
        <v>370</v>
      </c>
      <c r="C21" s="1962" t="s">
        <v>8261</v>
      </c>
      <c r="D21" s="1962" t="s">
        <v>1902</v>
      </c>
      <c r="E21" s="2112">
        <v>316</v>
      </c>
    </row>
    <row r="22" spans="1:5">
      <c r="A22" s="33">
        <f t="shared" si="0"/>
        <v>373</v>
      </c>
      <c r="B22" s="1962">
        <v>373</v>
      </c>
      <c r="C22" s="1962" t="s">
        <v>8261</v>
      </c>
      <c r="D22" s="1962" t="s">
        <v>1902</v>
      </c>
      <c r="E22" s="2112">
        <v>83483</v>
      </c>
    </row>
    <row r="23" spans="1:5">
      <c r="A23" s="33">
        <f t="shared" si="0"/>
        <v>390</v>
      </c>
      <c r="B23" s="1962">
        <v>390</v>
      </c>
      <c r="C23" s="1962" t="s">
        <v>8261</v>
      </c>
      <c r="D23" s="1962" t="s">
        <v>1902</v>
      </c>
      <c r="E23" s="2112">
        <v>967</v>
      </c>
    </row>
    <row r="24" spans="1:5">
      <c r="A24" s="33" t="str">
        <f t="shared" si="0"/>
        <v>391</v>
      </c>
      <c r="B24" s="1962">
        <v>391.01</v>
      </c>
      <c r="C24" s="1962" t="s">
        <v>8261</v>
      </c>
      <c r="D24" s="1962" t="s">
        <v>1902</v>
      </c>
      <c r="E24" s="2112">
        <v>32076</v>
      </c>
    </row>
    <row r="25" spans="1:5">
      <c r="A25" s="33" t="str">
        <f t="shared" si="0"/>
        <v>391</v>
      </c>
      <c r="B25" s="1962">
        <v>391.02</v>
      </c>
      <c r="C25" s="1962" t="s">
        <v>8261</v>
      </c>
      <c r="D25" s="1962" t="s">
        <v>1902</v>
      </c>
      <c r="E25" s="2112">
        <v>29128</v>
      </c>
    </row>
    <row r="26" spans="1:5">
      <c r="A26" s="33" t="str">
        <f t="shared" si="0"/>
        <v>392</v>
      </c>
      <c r="B26" s="1962">
        <v>392.02</v>
      </c>
      <c r="C26" s="1962" t="s">
        <v>8261</v>
      </c>
      <c r="D26" s="1962" t="s">
        <v>1902</v>
      </c>
      <c r="E26" s="2112">
        <v>10430</v>
      </c>
    </row>
    <row r="27" spans="1:5">
      <c r="A27" s="33">
        <f t="shared" si="0"/>
        <v>394</v>
      </c>
      <c r="B27" s="1962">
        <v>394</v>
      </c>
      <c r="C27" s="1962" t="s">
        <v>8261</v>
      </c>
      <c r="D27" s="1962" t="s">
        <v>1902</v>
      </c>
      <c r="E27" s="2112">
        <v>42776</v>
      </c>
    </row>
    <row r="28" spans="1:5">
      <c r="A28" s="33" t="str">
        <f t="shared" si="0"/>
        <v>397</v>
      </c>
      <c r="B28" s="1962">
        <v>397.25</v>
      </c>
      <c r="C28" s="1962" t="s">
        <v>8261</v>
      </c>
      <c r="D28" s="1962" t="s">
        <v>1902</v>
      </c>
      <c r="E28" s="2112">
        <v>7567</v>
      </c>
    </row>
    <row r="29" spans="1:5">
      <c r="A29" s="33">
        <f t="shared" si="0"/>
        <v>398</v>
      </c>
      <c r="B29" s="1962">
        <v>398</v>
      </c>
      <c r="C29" s="1962" t="s">
        <v>8261</v>
      </c>
      <c r="D29" s="1962" t="s">
        <v>1902</v>
      </c>
      <c r="E29" s="2112">
        <v>2114</v>
      </c>
    </row>
    <row r="30" spans="1:5">
      <c r="A30" s="33">
        <f t="shared" si="0"/>
        <v>355</v>
      </c>
      <c r="B30" s="1962">
        <v>355</v>
      </c>
      <c r="C30" s="1962" t="s">
        <v>8262</v>
      </c>
      <c r="D30" s="1962" t="s">
        <v>1903</v>
      </c>
      <c r="E30" s="2112">
        <v>2435113</v>
      </c>
    </row>
    <row r="31" spans="1:5">
      <c r="A31" s="33">
        <f t="shared" si="0"/>
        <v>356</v>
      </c>
      <c r="B31" s="1962">
        <v>356</v>
      </c>
      <c r="C31" s="1962" t="s">
        <v>8262</v>
      </c>
      <c r="D31" s="1962" t="s">
        <v>1903</v>
      </c>
      <c r="E31" s="2112">
        <v>65855</v>
      </c>
    </row>
    <row r="32" spans="1:5">
      <c r="A32" s="33">
        <f t="shared" si="0"/>
        <v>364</v>
      </c>
      <c r="B32" s="1962">
        <v>364</v>
      </c>
      <c r="C32" s="1962" t="s">
        <v>8262</v>
      </c>
      <c r="D32" s="1962" t="s">
        <v>1903</v>
      </c>
      <c r="E32" s="2112">
        <v>18206</v>
      </c>
    </row>
    <row r="33" spans="1:5">
      <c r="A33" s="33">
        <f t="shared" si="0"/>
        <v>365</v>
      </c>
      <c r="B33" s="1962">
        <v>365</v>
      </c>
      <c r="C33" s="1962" t="s">
        <v>8262</v>
      </c>
      <c r="D33" s="1962" t="s">
        <v>1903</v>
      </c>
      <c r="E33" s="2112">
        <v>16</v>
      </c>
    </row>
    <row r="34" spans="1:5">
      <c r="A34" s="33">
        <f t="shared" si="0"/>
        <v>366</v>
      </c>
      <c r="B34" s="1962">
        <v>366</v>
      </c>
      <c r="C34" s="1962" t="s">
        <v>8262</v>
      </c>
      <c r="D34" s="1962" t="s">
        <v>1903</v>
      </c>
      <c r="E34" s="2112">
        <v>698</v>
      </c>
    </row>
    <row r="35" spans="1:5">
      <c r="A35" s="33">
        <f t="shared" si="0"/>
        <v>367</v>
      </c>
      <c r="B35" s="1962">
        <v>367</v>
      </c>
      <c r="C35" s="1962" t="s">
        <v>8262</v>
      </c>
      <c r="D35" s="1962" t="s">
        <v>1903</v>
      </c>
      <c r="E35" s="2112">
        <v>2872</v>
      </c>
    </row>
    <row r="36" spans="1:5">
      <c r="A36" s="33">
        <f t="shared" si="0"/>
        <v>368</v>
      </c>
      <c r="B36" s="1962">
        <v>368</v>
      </c>
      <c r="C36" s="1962" t="s">
        <v>8262</v>
      </c>
      <c r="D36" s="1962" t="s">
        <v>1903</v>
      </c>
      <c r="E36" s="2112">
        <v>41920</v>
      </c>
    </row>
    <row r="37" spans="1:5">
      <c r="A37" s="33">
        <f t="shared" si="0"/>
        <v>369</v>
      </c>
      <c r="B37" s="1962">
        <v>369</v>
      </c>
      <c r="C37" s="1962" t="s">
        <v>8262</v>
      </c>
      <c r="D37" s="1962" t="s">
        <v>1903</v>
      </c>
      <c r="E37" s="2112">
        <v>791</v>
      </c>
    </row>
    <row r="38" spans="1:5">
      <c r="A38" s="33" t="str">
        <f t="shared" si="0"/>
        <v>369</v>
      </c>
      <c r="B38" s="1962">
        <v>369.02</v>
      </c>
      <c r="C38" s="1962" t="s">
        <v>8262</v>
      </c>
      <c r="D38" s="1962" t="s">
        <v>1903</v>
      </c>
      <c r="E38" s="2112">
        <v>309</v>
      </c>
    </row>
    <row r="39" spans="1:5">
      <c r="A39" s="33">
        <f t="shared" si="0"/>
        <v>373</v>
      </c>
      <c r="B39" s="1962">
        <v>373</v>
      </c>
      <c r="C39" s="1962" t="s">
        <v>8262</v>
      </c>
      <c r="D39" s="1962" t="s">
        <v>1903</v>
      </c>
      <c r="E39" s="2112">
        <v>5</v>
      </c>
    </row>
    <row r="40" spans="1:5">
      <c r="A40" s="33">
        <f t="shared" si="0"/>
        <v>397</v>
      </c>
      <c r="B40" s="1962">
        <v>397</v>
      </c>
      <c r="C40" s="1962" t="s">
        <v>9131</v>
      </c>
      <c r="D40" s="1962" t="s">
        <v>1903</v>
      </c>
      <c r="E40" s="2112">
        <v>7406</v>
      </c>
    </row>
    <row r="41" spans="1:5">
      <c r="A41" s="33" t="str">
        <f t="shared" si="0"/>
        <v>397</v>
      </c>
      <c r="B41" s="1962">
        <v>397.25</v>
      </c>
      <c r="C41" s="1962" t="s">
        <v>8263</v>
      </c>
      <c r="D41" s="1962" t="s">
        <v>1903</v>
      </c>
      <c r="E41" s="2112">
        <v>2058</v>
      </c>
    </row>
    <row r="42" spans="1:5">
      <c r="A42" s="33">
        <f t="shared" si="0"/>
        <v>367</v>
      </c>
      <c r="B42" s="1962">
        <v>367</v>
      </c>
      <c r="C42" s="1962" t="s">
        <v>8263</v>
      </c>
      <c r="D42" s="1962" t="s">
        <v>1904</v>
      </c>
      <c r="E42" s="2112">
        <v>13382</v>
      </c>
    </row>
    <row r="43" spans="1:5">
      <c r="A43" s="33">
        <f t="shared" si="0"/>
        <v>353</v>
      </c>
      <c r="B43" s="1962">
        <v>353</v>
      </c>
      <c r="C43" s="1962" t="s">
        <v>8263</v>
      </c>
      <c r="D43" s="1962" t="s">
        <v>1905</v>
      </c>
      <c r="E43" s="2112">
        <v>9758</v>
      </c>
    </row>
    <row r="44" spans="1:5">
      <c r="A44" s="33">
        <f t="shared" si="0"/>
        <v>355</v>
      </c>
      <c r="B44" s="1962">
        <v>355</v>
      </c>
      <c r="C44" s="1962" t="s">
        <v>8263</v>
      </c>
      <c r="D44" s="1962" t="s">
        <v>1905</v>
      </c>
      <c r="E44" s="2112">
        <v>8443</v>
      </c>
    </row>
    <row r="45" spans="1:5">
      <c r="A45" s="33">
        <f t="shared" si="0"/>
        <v>356</v>
      </c>
      <c r="B45" s="1962">
        <v>356</v>
      </c>
      <c r="C45" s="1962" t="s">
        <v>8263</v>
      </c>
      <c r="D45" s="1962" t="s">
        <v>1905</v>
      </c>
      <c r="E45" s="2112">
        <v>12555</v>
      </c>
    </row>
    <row r="46" spans="1:5">
      <c r="A46" s="33">
        <f t="shared" si="0"/>
        <v>361</v>
      </c>
      <c r="B46" s="1962">
        <v>361</v>
      </c>
      <c r="C46" s="1962" t="s">
        <v>8263</v>
      </c>
      <c r="D46" s="1962" t="s">
        <v>1905</v>
      </c>
      <c r="E46" s="2112">
        <v>10096</v>
      </c>
    </row>
    <row r="47" spans="1:5">
      <c r="A47" s="33">
        <f t="shared" si="0"/>
        <v>362</v>
      </c>
      <c r="B47" s="1962">
        <v>362</v>
      </c>
      <c r="C47" s="1962" t="s">
        <v>8263</v>
      </c>
      <c r="D47" s="1962" t="s">
        <v>1905</v>
      </c>
      <c r="E47" s="2112">
        <v>418291</v>
      </c>
    </row>
    <row r="48" spans="1:5">
      <c r="A48" s="33">
        <f t="shared" si="0"/>
        <v>364</v>
      </c>
      <c r="B48" s="1962">
        <v>364</v>
      </c>
      <c r="C48" s="1962" t="s">
        <v>8263</v>
      </c>
      <c r="D48" s="1962" t="s">
        <v>1905</v>
      </c>
      <c r="E48" s="2112">
        <v>2161954</v>
      </c>
    </row>
    <row r="49" spans="1:5">
      <c r="A49" s="33">
        <f t="shared" si="0"/>
        <v>365</v>
      </c>
      <c r="B49" s="1962">
        <v>365</v>
      </c>
      <c r="C49" s="1962" t="s">
        <v>8263</v>
      </c>
      <c r="D49" s="1962" t="s">
        <v>1905</v>
      </c>
      <c r="E49" s="2112">
        <v>318732</v>
      </c>
    </row>
    <row r="50" spans="1:5">
      <c r="A50" s="33">
        <f t="shared" si="0"/>
        <v>366</v>
      </c>
      <c r="B50" s="1962">
        <v>366</v>
      </c>
      <c r="C50" s="1962" t="s">
        <v>8263</v>
      </c>
      <c r="D50" s="1962" t="s">
        <v>1905</v>
      </c>
      <c r="E50" s="2112">
        <v>4527</v>
      </c>
    </row>
    <row r="51" spans="1:5">
      <c r="A51" s="33">
        <f t="shared" si="0"/>
        <v>367</v>
      </c>
      <c r="B51" s="1962">
        <v>367</v>
      </c>
      <c r="C51" s="1962" t="s">
        <v>8263</v>
      </c>
      <c r="D51" s="1962" t="s">
        <v>1905</v>
      </c>
      <c r="E51" s="2112">
        <v>14513</v>
      </c>
    </row>
    <row r="52" spans="1:5">
      <c r="A52" s="33">
        <f t="shared" si="0"/>
        <v>368</v>
      </c>
      <c r="B52" s="1962">
        <v>368</v>
      </c>
      <c r="C52" s="1962" t="s">
        <v>8263</v>
      </c>
      <c r="D52" s="1962" t="s">
        <v>1905</v>
      </c>
      <c r="E52" s="2112">
        <v>286423</v>
      </c>
    </row>
    <row r="53" spans="1:5">
      <c r="A53" s="33">
        <f t="shared" si="0"/>
        <v>369</v>
      </c>
      <c r="B53" s="1962">
        <v>369</v>
      </c>
      <c r="C53" s="1962" t="s">
        <v>8263</v>
      </c>
      <c r="D53" s="1962" t="s">
        <v>1905</v>
      </c>
      <c r="E53" s="2112">
        <v>6284</v>
      </c>
    </row>
    <row r="54" spans="1:5">
      <c r="A54" s="33" t="str">
        <f t="shared" si="0"/>
        <v>369</v>
      </c>
      <c r="B54" s="1962">
        <v>369.02</v>
      </c>
      <c r="C54" s="1962" t="s">
        <v>8263</v>
      </c>
      <c r="D54" s="1962" t="s">
        <v>1905</v>
      </c>
      <c r="E54" s="2112">
        <v>62</v>
      </c>
    </row>
    <row r="55" spans="1:5">
      <c r="A55" s="33">
        <f t="shared" si="0"/>
        <v>373</v>
      </c>
      <c r="B55" s="1962">
        <v>373</v>
      </c>
      <c r="C55" s="1962" t="s">
        <v>8264</v>
      </c>
      <c r="D55" s="1962" t="s">
        <v>1905</v>
      </c>
      <c r="E55" s="2112">
        <v>-256</v>
      </c>
    </row>
    <row r="56" spans="1:5">
      <c r="A56" s="33">
        <f t="shared" si="0"/>
        <v>397</v>
      </c>
      <c r="B56" s="1962">
        <v>397</v>
      </c>
      <c r="C56" s="1962" t="s">
        <v>8264</v>
      </c>
      <c r="D56" s="1962" t="s">
        <v>1905</v>
      </c>
      <c r="E56" s="2112">
        <v>271438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8" tint="0.59999389629810485"/>
  </sheetPr>
  <dimension ref="A2:G103"/>
  <sheetViews>
    <sheetView tabSelected="1" showOutlineSymbols="0" workbookViewId="0"/>
  </sheetViews>
  <sheetFormatPr defaultRowHeight="14.4"/>
  <cols>
    <col min="3" max="3" width="50.88671875" bestFit="1" customWidth="1"/>
    <col min="4" max="4" width="36.44140625" bestFit="1" customWidth="1"/>
    <col min="5" max="5" width="9.88671875" bestFit="1" customWidth="1"/>
    <col min="6" max="6" width="12.6640625" bestFit="1" customWidth="1"/>
    <col min="7" max="7" width="17.88671875" bestFit="1" customWidth="1"/>
  </cols>
  <sheetData>
    <row r="2" spans="1:6">
      <c r="C2" t="s">
        <v>1907</v>
      </c>
      <c r="D2" s="2178">
        <v>1</v>
      </c>
      <c r="F2" s="1962"/>
    </row>
    <row r="3" spans="1:6">
      <c r="C3" t="s">
        <v>1908</v>
      </c>
      <c r="D3" s="2178">
        <v>0.93374588999999997</v>
      </c>
    </row>
    <row r="5" spans="1:6" ht="15.6">
      <c r="B5" s="2179" t="s">
        <v>113</v>
      </c>
      <c r="C5" s="2179"/>
      <c r="D5" s="2115" t="s">
        <v>1906</v>
      </c>
    </row>
    <row r="6" spans="1:6">
      <c r="B6" s="2180"/>
      <c r="C6" s="2180"/>
      <c r="D6" s="2180"/>
    </row>
    <row r="7" spans="1:6">
      <c r="B7" s="2180"/>
      <c r="C7" s="2180"/>
      <c r="D7" s="2180"/>
    </row>
    <row r="8" spans="1:6" ht="15.6">
      <c r="A8" t="s">
        <v>19</v>
      </c>
      <c r="B8" s="2119"/>
      <c r="C8" s="2181" t="s">
        <v>119</v>
      </c>
      <c r="D8" s="2182" t="s">
        <v>115</v>
      </c>
    </row>
    <row r="9" spans="1:6">
      <c r="A9" t="str">
        <f>+IF(B9="","",LEFT(B9,3))</f>
        <v>303</v>
      </c>
      <c r="B9" s="2183">
        <v>303.14999999999998</v>
      </c>
      <c r="C9" s="2183" t="s">
        <v>1902</v>
      </c>
      <c r="D9" s="2112">
        <v>330810.12000000005</v>
      </c>
      <c r="F9" s="64"/>
    </row>
    <row r="10" spans="1:6">
      <c r="A10" t="str">
        <f t="shared" ref="A10:A73" si="0">+IF(B10="","",LEFT(B10,3))</f>
        <v>355</v>
      </c>
      <c r="B10" s="2119">
        <v>355</v>
      </c>
      <c r="C10" s="2119" t="s">
        <v>1902</v>
      </c>
      <c r="D10" s="2112">
        <v>34.08</v>
      </c>
      <c r="F10" s="64"/>
    </row>
    <row r="11" spans="1:6">
      <c r="A11" t="str">
        <f t="shared" si="0"/>
        <v>356</v>
      </c>
      <c r="B11" s="2119">
        <v>356</v>
      </c>
      <c r="C11" s="2119" t="s">
        <v>1902</v>
      </c>
      <c r="D11" s="2112">
        <v>-59.27999999999998</v>
      </c>
      <c r="F11" s="64"/>
    </row>
    <row r="12" spans="1:6">
      <c r="A12" t="str">
        <f t="shared" si="0"/>
        <v>364</v>
      </c>
      <c r="B12" s="2119">
        <v>364</v>
      </c>
      <c r="C12" s="2119" t="s">
        <v>1902</v>
      </c>
      <c r="D12" s="2112">
        <v>-3469441.1000000006</v>
      </c>
      <c r="F12" s="64"/>
    </row>
    <row r="13" spans="1:6">
      <c r="A13" t="str">
        <f t="shared" si="0"/>
        <v>365</v>
      </c>
      <c r="B13" s="2119">
        <v>365</v>
      </c>
      <c r="C13" s="2119" t="s">
        <v>1902</v>
      </c>
      <c r="D13" s="2112">
        <v>-48854.399999999994</v>
      </c>
      <c r="F13" s="64"/>
    </row>
    <row r="14" spans="1:6">
      <c r="A14" t="str">
        <f t="shared" si="0"/>
        <v>366</v>
      </c>
      <c r="B14" s="2119">
        <v>366</v>
      </c>
      <c r="C14" s="2119" t="s">
        <v>1902</v>
      </c>
      <c r="D14" s="2112">
        <v>665857.19999999984</v>
      </c>
      <c r="F14" s="64"/>
    </row>
    <row r="15" spans="1:6">
      <c r="A15" t="str">
        <f t="shared" si="0"/>
        <v>367</v>
      </c>
      <c r="B15" s="2119">
        <v>367</v>
      </c>
      <c r="C15" s="2119" t="s">
        <v>1902</v>
      </c>
      <c r="D15" s="2112">
        <v>13987604.309999999</v>
      </c>
      <c r="F15" s="64"/>
    </row>
    <row r="16" spans="1:6">
      <c r="A16" t="str">
        <f t="shared" si="0"/>
        <v>368</v>
      </c>
      <c r="B16" s="2119">
        <v>368</v>
      </c>
      <c r="C16" s="2119" t="s">
        <v>1902</v>
      </c>
      <c r="D16" s="2112">
        <v>1359619.4400000004</v>
      </c>
      <c r="F16" s="64"/>
    </row>
    <row r="17" spans="1:6">
      <c r="A17" t="str">
        <f t="shared" si="0"/>
        <v>369</v>
      </c>
      <c r="B17" s="2119">
        <v>369</v>
      </c>
      <c r="C17" s="2119" t="s">
        <v>1902</v>
      </c>
      <c r="D17" s="2112">
        <v>58212.359999999993</v>
      </c>
      <c r="F17" s="64"/>
    </row>
    <row r="18" spans="1:6">
      <c r="A18" t="str">
        <f t="shared" si="0"/>
        <v>369</v>
      </c>
      <c r="B18" s="2184">
        <v>369.02</v>
      </c>
      <c r="C18" s="2184" t="s">
        <v>1902</v>
      </c>
      <c r="D18" s="2112">
        <v>212279.15999999995</v>
      </c>
      <c r="F18" s="64"/>
    </row>
    <row r="19" spans="1:6">
      <c r="A19" t="str">
        <f t="shared" si="0"/>
        <v>370</v>
      </c>
      <c r="B19" s="2183">
        <v>370</v>
      </c>
      <c r="C19" s="2183" t="s">
        <v>1902</v>
      </c>
      <c r="D19" s="2112">
        <v>180.72</v>
      </c>
      <c r="F19" s="64"/>
    </row>
    <row r="20" spans="1:6">
      <c r="A20" t="str">
        <f t="shared" si="0"/>
        <v>373</v>
      </c>
      <c r="B20" s="2119">
        <v>373</v>
      </c>
      <c r="C20" s="2119" t="s">
        <v>1902</v>
      </c>
      <c r="D20" s="2112">
        <v>44136.120000000017</v>
      </c>
      <c r="F20" s="64"/>
    </row>
    <row r="21" spans="1:6">
      <c r="A21" t="str">
        <f t="shared" si="0"/>
        <v>390</v>
      </c>
      <c r="B21" s="2119">
        <v>390</v>
      </c>
      <c r="C21" s="2119" t="s">
        <v>1902</v>
      </c>
      <c r="D21" s="2112">
        <v>457.08000000000015</v>
      </c>
      <c r="F21" s="64"/>
    </row>
    <row r="22" spans="1:6">
      <c r="A22" t="str">
        <f t="shared" si="0"/>
        <v>391</v>
      </c>
      <c r="B22" s="2119">
        <v>391.01</v>
      </c>
      <c r="C22" s="2119" t="s">
        <v>1902</v>
      </c>
      <c r="D22" s="2112">
        <v>13034.280000000004</v>
      </c>
      <c r="F22" s="64"/>
    </row>
    <row r="23" spans="1:6">
      <c r="A23" t="str">
        <f t="shared" si="0"/>
        <v>391</v>
      </c>
      <c r="B23" s="2119">
        <v>391.02</v>
      </c>
      <c r="C23" s="2119" t="s">
        <v>1902</v>
      </c>
      <c r="D23" s="2112">
        <v>11836.320000000002</v>
      </c>
      <c r="F23" s="64"/>
    </row>
    <row r="24" spans="1:6">
      <c r="A24" t="str">
        <f t="shared" si="0"/>
        <v>392</v>
      </c>
      <c r="B24" s="2119">
        <v>392.02</v>
      </c>
      <c r="C24" s="2119" t="s">
        <v>1902</v>
      </c>
      <c r="D24" s="2112">
        <v>2727.48</v>
      </c>
      <c r="F24" s="64"/>
    </row>
    <row r="25" spans="1:6">
      <c r="A25" t="str">
        <f t="shared" si="0"/>
        <v>394</v>
      </c>
      <c r="B25" s="2119">
        <v>394</v>
      </c>
      <c r="C25" s="2119" t="s">
        <v>1902</v>
      </c>
      <c r="D25" s="2112">
        <v>17382.360000000004</v>
      </c>
      <c r="F25" s="64"/>
    </row>
    <row r="26" spans="1:6">
      <c r="A26" t="str">
        <f t="shared" si="0"/>
        <v>397</v>
      </c>
      <c r="B26" s="2119">
        <v>397.25</v>
      </c>
      <c r="C26" s="2119" t="s">
        <v>1902</v>
      </c>
      <c r="D26" s="2112">
        <v>1625.64</v>
      </c>
      <c r="F26" s="64"/>
    </row>
    <row r="27" spans="1:6">
      <c r="A27" t="str">
        <f t="shared" si="0"/>
        <v>398</v>
      </c>
      <c r="B27" s="2119">
        <v>398</v>
      </c>
      <c r="C27" s="2119" t="s">
        <v>1902</v>
      </c>
      <c r="D27" s="2112">
        <v>859.20000000000016</v>
      </c>
      <c r="F27" s="64"/>
    </row>
    <row r="28" spans="1:6">
      <c r="A28" t="str">
        <f t="shared" si="0"/>
        <v>355</v>
      </c>
      <c r="B28" s="2184">
        <v>355</v>
      </c>
      <c r="C28" s="2184" t="s">
        <v>1903</v>
      </c>
      <c r="D28" s="2112">
        <v>2047645.75</v>
      </c>
      <c r="F28" s="64"/>
    </row>
    <row r="29" spans="1:6">
      <c r="A29" t="str">
        <f t="shared" si="0"/>
        <v>356</v>
      </c>
      <c r="B29" s="2119">
        <v>356</v>
      </c>
      <c r="C29" s="2119" t="s">
        <v>1903</v>
      </c>
      <c r="D29" s="2112">
        <v>16704.480000000003</v>
      </c>
      <c r="F29" s="64"/>
    </row>
    <row r="30" spans="1:6">
      <c r="A30" t="str">
        <f t="shared" si="0"/>
        <v>364</v>
      </c>
      <c r="B30" s="2183">
        <v>364</v>
      </c>
      <c r="C30" s="2183" t="s">
        <v>1903</v>
      </c>
      <c r="D30" s="2112">
        <v>4995.24</v>
      </c>
      <c r="F30" s="64"/>
    </row>
    <row r="31" spans="1:6">
      <c r="A31" t="str">
        <f t="shared" si="0"/>
        <v>365</v>
      </c>
      <c r="B31" s="2119">
        <v>365</v>
      </c>
      <c r="C31" s="2119" t="s">
        <v>1903</v>
      </c>
      <c r="D31" s="2112">
        <v>45.720000000000027</v>
      </c>
      <c r="F31" s="64"/>
    </row>
    <row r="32" spans="1:6">
      <c r="A32" t="str">
        <f t="shared" si="0"/>
        <v>366</v>
      </c>
      <c r="B32" s="2119">
        <v>366</v>
      </c>
      <c r="C32" s="2119" t="s">
        <v>1903</v>
      </c>
      <c r="D32" s="2112">
        <v>206.88000000000002</v>
      </c>
      <c r="F32" s="64"/>
    </row>
    <row r="33" spans="1:7">
      <c r="A33" t="str">
        <f t="shared" si="0"/>
        <v>367</v>
      </c>
      <c r="B33" s="2119">
        <v>367</v>
      </c>
      <c r="C33" s="2119" t="s">
        <v>1903</v>
      </c>
      <c r="D33" s="2112">
        <v>1034.5200000000002</v>
      </c>
      <c r="F33" s="64"/>
    </row>
    <row r="34" spans="1:7">
      <c r="A34" t="str">
        <f t="shared" si="0"/>
        <v>368</v>
      </c>
      <c r="B34" s="2119">
        <v>368</v>
      </c>
      <c r="C34" s="2119" t="s">
        <v>1903</v>
      </c>
      <c r="D34" s="2112">
        <v>10047.120000000001</v>
      </c>
      <c r="F34" s="64"/>
    </row>
    <row r="35" spans="1:7">
      <c r="A35" t="str">
        <f t="shared" si="0"/>
        <v>369</v>
      </c>
      <c r="B35" s="2119">
        <v>369</v>
      </c>
      <c r="C35" s="2119" t="s">
        <v>1903</v>
      </c>
      <c r="D35" s="2112">
        <v>137.52000000000004</v>
      </c>
      <c r="F35" s="64"/>
    </row>
    <row r="36" spans="1:7">
      <c r="A36" t="str">
        <f t="shared" si="0"/>
        <v>369</v>
      </c>
      <c r="B36" s="2119">
        <v>369.02</v>
      </c>
      <c r="C36" s="2119" t="s">
        <v>1903</v>
      </c>
      <c r="D36" s="2112">
        <v>108.59999999999998</v>
      </c>
      <c r="F36" s="64"/>
    </row>
    <row r="37" spans="1:7">
      <c r="A37" t="str">
        <f t="shared" si="0"/>
        <v>373</v>
      </c>
      <c r="B37" s="2119">
        <v>373</v>
      </c>
      <c r="C37" s="2119" t="s">
        <v>1903</v>
      </c>
      <c r="D37" s="2112">
        <v>0</v>
      </c>
      <c r="F37" s="64"/>
    </row>
    <row r="38" spans="1:7">
      <c r="A38" t="str">
        <f t="shared" si="0"/>
        <v>397</v>
      </c>
      <c r="B38" s="2119">
        <v>397</v>
      </c>
      <c r="C38" s="2119" t="s">
        <v>1903</v>
      </c>
      <c r="D38" s="2112">
        <v>4551.72</v>
      </c>
      <c r="F38" s="64"/>
    </row>
    <row r="39" spans="1:7">
      <c r="A39" t="str">
        <f t="shared" si="0"/>
        <v>397</v>
      </c>
      <c r="B39" s="2119">
        <v>397.25</v>
      </c>
      <c r="C39" s="2119" t="s">
        <v>1903</v>
      </c>
      <c r="D39" s="2112">
        <v>1011.12</v>
      </c>
      <c r="F39" s="64"/>
    </row>
    <row r="40" spans="1:7">
      <c r="A40" t="str">
        <f t="shared" si="0"/>
        <v>367</v>
      </c>
      <c r="B40" s="2119">
        <v>367</v>
      </c>
      <c r="C40" s="2119" t="s">
        <v>1904</v>
      </c>
      <c r="D40" s="2112">
        <v>21215.46</v>
      </c>
      <c r="F40" s="64"/>
    </row>
    <row r="41" spans="1:7">
      <c r="A41" t="str">
        <f t="shared" si="0"/>
        <v>353</v>
      </c>
      <c r="B41" s="2184">
        <v>353</v>
      </c>
      <c r="C41" s="2184" t="s">
        <v>1905</v>
      </c>
      <c r="D41" s="2112">
        <v>-1500.4799999999996</v>
      </c>
      <c r="F41" s="64"/>
    </row>
    <row r="42" spans="1:7">
      <c r="A42" t="str">
        <f t="shared" si="0"/>
        <v>355</v>
      </c>
      <c r="B42" s="2185">
        <v>355</v>
      </c>
      <c r="C42" s="2186" t="s">
        <v>1905</v>
      </c>
      <c r="D42" s="2112">
        <v>2484.12</v>
      </c>
      <c r="F42" s="64"/>
    </row>
    <row r="43" spans="1:7">
      <c r="A43" t="str">
        <f t="shared" si="0"/>
        <v>356</v>
      </c>
      <c r="B43" s="2119">
        <v>356</v>
      </c>
      <c r="C43" s="2119" t="s">
        <v>1905</v>
      </c>
      <c r="D43" s="2112">
        <v>3936.6000000000004</v>
      </c>
      <c r="G43" s="64"/>
    </row>
    <row r="44" spans="1:7">
      <c r="A44" t="str">
        <f t="shared" si="0"/>
        <v>361</v>
      </c>
      <c r="B44" s="2119">
        <v>361</v>
      </c>
      <c r="C44" s="2119" t="s">
        <v>1905</v>
      </c>
      <c r="D44" s="2112">
        <v>5232.4800000000005</v>
      </c>
    </row>
    <row r="45" spans="1:7">
      <c r="A45" t="str">
        <f t="shared" si="0"/>
        <v>362</v>
      </c>
      <c r="B45" s="2119">
        <v>362</v>
      </c>
      <c r="C45" s="2119" t="s">
        <v>1905</v>
      </c>
      <c r="D45" s="2112">
        <v>183081.24</v>
      </c>
    </row>
    <row r="46" spans="1:7">
      <c r="A46" t="str">
        <f t="shared" si="0"/>
        <v>364</v>
      </c>
      <c r="B46" s="2119">
        <v>364</v>
      </c>
      <c r="C46" s="2119" t="s">
        <v>1905</v>
      </c>
      <c r="D46" s="2112">
        <v>2811413.25</v>
      </c>
    </row>
    <row r="47" spans="1:7">
      <c r="A47" t="str">
        <f t="shared" si="0"/>
        <v>365</v>
      </c>
      <c r="B47" s="2119">
        <v>365</v>
      </c>
      <c r="C47" s="2119" t="s">
        <v>1905</v>
      </c>
      <c r="D47" s="2112">
        <v>160642.79999999996</v>
      </c>
    </row>
    <row r="48" spans="1:7">
      <c r="A48" t="str">
        <f t="shared" si="0"/>
        <v>366</v>
      </c>
      <c r="B48" s="2119">
        <v>366</v>
      </c>
      <c r="C48" s="2119" t="s">
        <v>1905</v>
      </c>
      <c r="D48" s="2112">
        <v>2456.52</v>
      </c>
    </row>
    <row r="49" spans="1:4">
      <c r="A49" t="str">
        <f t="shared" si="0"/>
        <v>367</v>
      </c>
      <c r="B49" s="2119">
        <v>367</v>
      </c>
      <c r="C49" s="2119" t="s">
        <v>1905</v>
      </c>
      <c r="D49" s="2112">
        <v>9304.92</v>
      </c>
    </row>
    <row r="50" spans="1:4">
      <c r="A50" t="str">
        <f t="shared" si="0"/>
        <v>368</v>
      </c>
      <c r="B50" s="2119">
        <v>368</v>
      </c>
      <c r="C50" s="2119" t="s">
        <v>1905</v>
      </c>
      <c r="D50" s="2112">
        <v>124158.35999999999</v>
      </c>
    </row>
    <row r="51" spans="1:4">
      <c r="A51" t="str">
        <f t="shared" si="0"/>
        <v>369</v>
      </c>
      <c r="B51" s="2119">
        <v>369</v>
      </c>
      <c r="C51" s="2119" t="s">
        <v>1905</v>
      </c>
      <c r="D51" s="2112">
        <v>3453.72</v>
      </c>
    </row>
    <row r="52" spans="1:4">
      <c r="A52" t="str">
        <f t="shared" si="0"/>
        <v>369</v>
      </c>
      <c r="B52" s="2119">
        <v>369.02</v>
      </c>
      <c r="C52" s="2119" t="s">
        <v>1905</v>
      </c>
      <c r="D52" s="2112">
        <v>31.799999999999994</v>
      </c>
    </row>
    <row r="53" spans="1:4">
      <c r="A53" t="str">
        <f t="shared" si="0"/>
        <v>373</v>
      </c>
      <c r="B53" s="2119">
        <v>373</v>
      </c>
      <c r="C53" s="2119" t="s">
        <v>1905</v>
      </c>
      <c r="D53" s="2112">
        <v>-207.36</v>
      </c>
    </row>
    <row r="54" spans="1:4">
      <c r="A54" t="str">
        <f t="shared" si="0"/>
        <v>397</v>
      </c>
      <c r="B54" s="2119">
        <v>397</v>
      </c>
      <c r="C54" s="2119" t="s">
        <v>1905</v>
      </c>
      <c r="D54" s="2112">
        <v>94893.60000000002</v>
      </c>
    </row>
    <row r="55" spans="1:4">
      <c r="A55" t="str">
        <f t="shared" si="0"/>
        <v/>
      </c>
    </row>
    <row r="56" spans="1:4">
      <c r="A56" t="str">
        <f t="shared" si="0"/>
        <v/>
      </c>
    </row>
    <row r="57" spans="1:4">
      <c r="A57" t="str">
        <f t="shared" si="0"/>
        <v/>
      </c>
    </row>
    <row r="58" spans="1:4">
      <c r="A58" t="str">
        <f t="shared" si="0"/>
        <v/>
      </c>
    </row>
    <row r="59" spans="1:4">
      <c r="A59" t="str">
        <f t="shared" si="0"/>
        <v/>
      </c>
    </row>
    <row r="60" spans="1:4">
      <c r="A60" t="str">
        <f t="shared" si="0"/>
        <v/>
      </c>
    </row>
    <row r="61" spans="1:4">
      <c r="A61" t="str">
        <f t="shared" si="0"/>
        <v/>
      </c>
    </row>
    <row r="62" spans="1:4">
      <c r="A62" t="str">
        <f t="shared" si="0"/>
        <v/>
      </c>
    </row>
    <row r="63" spans="1:4">
      <c r="A63" t="str">
        <f t="shared" si="0"/>
        <v/>
      </c>
    </row>
    <row r="64" spans="1:4">
      <c r="A64" t="str">
        <f t="shared" si="0"/>
        <v/>
      </c>
    </row>
    <row r="65" spans="1:1">
      <c r="A65" t="str">
        <f t="shared" si="0"/>
        <v/>
      </c>
    </row>
    <row r="66" spans="1:1">
      <c r="A66" t="str">
        <f t="shared" si="0"/>
        <v/>
      </c>
    </row>
    <row r="67" spans="1:1">
      <c r="A67" t="str">
        <f t="shared" si="0"/>
        <v/>
      </c>
    </row>
    <row r="68" spans="1:1">
      <c r="A68" t="str">
        <f t="shared" si="0"/>
        <v/>
      </c>
    </row>
    <row r="69" spans="1:1">
      <c r="A69" t="str">
        <f t="shared" si="0"/>
        <v/>
      </c>
    </row>
    <row r="70" spans="1:1">
      <c r="A70" t="str">
        <f t="shared" si="0"/>
        <v/>
      </c>
    </row>
    <row r="71" spans="1:1">
      <c r="A71" t="str">
        <f t="shared" si="0"/>
        <v/>
      </c>
    </row>
    <row r="72" spans="1:1">
      <c r="A72" t="str">
        <f t="shared" si="0"/>
        <v/>
      </c>
    </row>
    <row r="73" spans="1:1">
      <c r="A73" t="str">
        <f t="shared" si="0"/>
        <v/>
      </c>
    </row>
    <row r="74" spans="1:1">
      <c r="A74" t="str">
        <f t="shared" ref="A74:A103" si="1">+IF(B74="","",LEFT(B74,3))</f>
        <v/>
      </c>
    </row>
    <row r="75" spans="1:1">
      <c r="A75" t="str">
        <f t="shared" si="1"/>
        <v/>
      </c>
    </row>
    <row r="76" spans="1:1">
      <c r="A76" t="str">
        <f t="shared" si="1"/>
        <v/>
      </c>
    </row>
    <row r="77" spans="1:1">
      <c r="A77" t="str">
        <f t="shared" si="1"/>
        <v/>
      </c>
    </row>
    <row r="78" spans="1:1">
      <c r="A78" t="str">
        <f t="shared" si="1"/>
        <v/>
      </c>
    </row>
    <row r="79" spans="1:1">
      <c r="A79" t="str">
        <f t="shared" si="1"/>
        <v/>
      </c>
    </row>
    <row r="80" spans="1:1">
      <c r="A80" t="str">
        <f t="shared" si="1"/>
        <v/>
      </c>
    </row>
    <row r="81" spans="1:1">
      <c r="A81" t="str">
        <f t="shared" si="1"/>
        <v/>
      </c>
    </row>
    <row r="82" spans="1:1">
      <c r="A82" t="str">
        <f t="shared" si="1"/>
        <v/>
      </c>
    </row>
    <row r="83" spans="1:1">
      <c r="A83" t="str">
        <f t="shared" si="1"/>
        <v/>
      </c>
    </row>
    <row r="84" spans="1:1">
      <c r="A84" t="str">
        <f t="shared" si="1"/>
        <v/>
      </c>
    </row>
    <row r="85" spans="1:1">
      <c r="A85" t="str">
        <f t="shared" si="1"/>
        <v/>
      </c>
    </row>
    <row r="86" spans="1:1">
      <c r="A86" t="str">
        <f t="shared" si="1"/>
        <v/>
      </c>
    </row>
    <row r="87" spans="1:1">
      <c r="A87" t="str">
        <f t="shared" si="1"/>
        <v/>
      </c>
    </row>
    <row r="88" spans="1:1">
      <c r="A88" t="str">
        <f t="shared" si="1"/>
        <v/>
      </c>
    </row>
    <row r="89" spans="1:1">
      <c r="A89" t="str">
        <f t="shared" si="1"/>
        <v/>
      </c>
    </row>
    <row r="90" spans="1:1">
      <c r="A90" t="str">
        <f t="shared" si="1"/>
        <v/>
      </c>
    </row>
    <row r="91" spans="1:1">
      <c r="A91" t="str">
        <f t="shared" si="1"/>
        <v/>
      </c>
    </row>
    <row r="92" spans="1:1">
      <c r="A92" t="str">
        <f t="shared" si="1"/>
        <v/>
      </c>
    </row>
    <row r="93" spans="1:1">
      <c r="A93" t="str">
        <f t="shared" si="1"/>
        <v/>
      </c>
    </row>
    <row r="94" spans="1:1">
      <c r="A94" t="str">
        <f t="shared" si="1"/>
        <v/>
      </c>
    </row>
    <row r="95" spans="1:1">
      <c r="A95" t="str">
        <f t="shared" si="1"/>
        <v/>
      </c>
    </row>
    <row r="96" spans="1:1">
      <c r="A96" t="str">
        <f t="shared" si="1"/>
        <v/>
      </c>
    </row>
    <row r="97" spans="1:1">
      <c r="A97" t="str">
        <f t="shared" si="1"/>
        <v/>
      </c>
    </row>
    <row r="98" spans="1:1">
      <c r="A98" t="str">
        <f t="shared" si="1"/>
        <v/>
      </c>
    </row>
    <row r="99" spans="1:1">
      <c r="A99" t="str">
        <f t="shared" si="1"/>
        <v/>
      </c>
    </row>
    <row r="100" spans="1:1">
      <c r="A100" t="str">
        <f t="shared" si="1"/>
        <v/>
      </c>
    </row>
    <row r="101" spans="1:1">
      <c r="A101" t="str">
        <f t="shared" si="1"/>
        <v/>
      </c>
    </row>
    <row r="102" spans="1:1">
      <c r="A102" t="str">
        <f t="shared" si="1"/>
        <v/>
      </c>
    </row>
    <row r="103" spans="1:1">
      <c r="A103" t="str">
        <f t="shared" si="1"/>
        <v/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187" t="s">
        <v>9191</v>
      </c>
      <c r="B2" s="2188"/>
      <c r="C2" s="2188"/>
      <c r="D2" s="2188"/>
      <c r="E2" s="2188"/>
      <c r="F2" s="2188"/>
      <c r="G2" s="2189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1962"/>
      <c r="D9" s="1962"/>
      <c r="E9" s="2190">
        <v>1.0278933458468449</v>
      </c>
      <c r="F9" s="2190">
        <v>1.0185886978132481</v>
      </c>
      <c r="G9" s="2191">
        <v>1.0205822632998902</v>
      </c>
      <c r="I9" s="1962" t="s">
        <v>116</v>
      </c>
    </row>
    <row r="10" spans="1:9">
      <c r="A10" s="39" t="s">
        <v>1924</v>
      </c>
      <c r="C10" s="1962"/>
      <c r="D10" s="2192">
        <v>0.98104753778322229</v>
      </c>
      <c r="E10" s="2192">
        <v>0.99495567486959402</v>
      </c>
      <c r="F10" s="1962"/>
      <c r="G10" s="2193"/>
    </row>
    <row r="11" spans="1:9">
      <c r="A11" s="39"/>
      <c r="C11" s="1962"/>
      <c r="D11" s="1962"/>
      <c r="E11" s="1962"/>
      <c r="F11" s="1962"/>
      <c r="G11" s="2193"/>
    </row>
    <row r="12" spans="1:9">
      <c r="A12" s="39" t="s">
        <v>1925</v>
      </c>
      <c r="C12" s="1962"/>
      <c r="D12" s="1962"/>
      <c r="E12" s="1962"/>
      <c r="F12" s="1962"/>
      <c r="G12" s="2193"/>
    </row>
    <row r="13" spans="1:9">
      <c r="A13" s="39" t="s">
        <v>1926</v>
      </c>
      <c r="B13" s="96"/>
      <c r="C13" s="2194">
        <v>2843.5622308308061</v>
      </c>
      <c r="D13" s="2195">
        <v>2843.5622308308061</v>
      </c>
      <c r="E13" s="2195">
        <v>2922.8786955723954</v>
      </c>
      <c r="F13" s="2195">
        <v>2977.2112043891716</v>
      </c>
      <c r="G13" s="2196">
        <v>3038.4889492972929</v>
      </c>
    </row>
    <row r="14" spans="1:9">
      <c r="A14" s="39"/>
      <c r="C14" s="2197"/>
      <c r="D14" s="2197"/>
      <c r="E14" s="2197"/>
      <c r="F14" s="2197"/>
      <c r="G14" s="2198"/>
    </row>
    <row r="15" spans="1:9">
      <c r="A15" s="39" t="s">
        <v>1927</v>
      </c>
      <c r="C15" s="2197"/>
      <c r="D15" s="2197"/>
      <c r="E15" s="2197"/>
      <c r="F15" s="2197"/>
      <c r="G15" s="2198"/>
    </row>
    <row r="16" spans="1:9">
      <c r="A16" s="39" t="s">
        <v>1928</v>
      </c>
      <c r="B16" s="96"/>
      <c r="C16" s="2199">
        <v>183.45039196864943</v>
      </c>
      <c r="D16" s="2199">
        <v>183.45039196864943</v>
      </c>
      <c r="E16" s="2199">
        <v>188.56743719757023</v>
      </c>
      <c r="F16" s="2199">
        <v>192.07266030505451</v>
      </c>
      <c r="G16" s="2200">
        <v>196.02595037216352</v>
      </c>
    </row>
    <row r="17" spans="1:7">
      <c r="A17" s="39" t="s">
        <v>1929</v>
      </c>
      <c r="B17" s="96"/>
      <c r="C17" s="2199">
        <v>0</v>
      </c>
      <c r="D17" s="2199">
        <v>0</v>
      </c>
      <c r="E17" s="2199">
        <v>0</v>
      </c>
      <c r="F17" s="2199">
        <v>0</v>
      </c>
      <c r="G17" s="2200">
        <v>0</v>
      </c>
    </row>
    <row r="18" spans="1:7">
      <c r="A18" s="39" t="s">
        <v>1930</v>
      </c>
      <c r="B18" s="96"/>
      <c r="C18" s="2199">
        <v>2.1482231869728707E-2</v>
      </c>
      <c r="D18" s="2201">
        <v>2.1075090681885615E-2</v>
      </c>
      <c r="E18" s="2199">
        <v>2.1482231869728707E-2</v>
      </c>
      <c r="F18" s="2199">
        <v>2.1881558586309222E-2</v>
      </c>
      <c r="G18" s="2200">
        <v>2.2331930586544611E-2</v>
      </c>
    </row>
    <row r="19" spans="1:7">
      <c r="A19" s="39" t="s">
        <v>1931</v>
      </c>
      <c r="B19" s="96"/>
      <c r="C19" s="2199">
        <v>2.8235274948470487E-2</v>
      </c>
      <c r="D19" s="2197"/>
      <c r="E19" s="2199">
        <v>2.8235274948470487E-2</v>
      </c>
      <c r="F19" s="2199">
        <v>2.8760131942161579E-2</v>
      </c>
      <c r="G19" s="2200">
        <v>2.9352080550334732E-2</v>
      </c>
    </row>
    <row r="20" spans="1:7">
      <c r="A20" s="39" t="s">
        <v>1932</v>
      </c>
      <c r="B20" s="96"/>
      <c r="C20" s="2199">
        <v>0</v>
      </c>
      <c r="D20" s="2197"/>
      <c r="E20" s="2199">
        <v>0</v>
      </c>
      <c r="F20" s="2199">
        <v>0</v>
      </c>
      <c r="G20" s="2200">
        <v>0</v>
      </c>
    </row>
    <row r="21" spans="1:7">
      <c r="A21" s="39" t="s">
        <v>1933</v>
      </c>
      <c r="B21" s="96"/>
      <c r="C21" s="2202">
        <v>183.50010947546761</v>
      </c>
      <c r="D21" s="2203">
        <v>183.4714670593313</v>
      </c>
      <c r="E21" s="2203">
        <v>188.61715470438841</v>
      </c>
      <c r="F21" s="2203">
        <v>192.12330199558298</v>
      </c>
      <c r="G21" s="2204">
        <v>196.07763438330039</v>
      </c>
    </row>
    <row r="22" spans="1:7">
      <c r="A22" s="39"/>
      <c r="C22" s="2197"/>
      <c r="D22" s="2197"/>
      <c r="E22" s="2197"/>
      <c r="F22" s="2197"/>
      <c r="G22" s="2198"/>
    </row>
    <row r="23" spans="1:7">
      <c r="A23" s="39" t="s">
        <v>1934</v>
      </c>
      <c r="C23" s="2197"/>
      <c r="D23" s="2197"/>
      <c r="E23" s="2197"/>
      <c r="F23" s="2197"/>
      <c r="G23" s="2198"/>
    </row>
    <row r="24" spans="1:7">
      <c r="A24" s="39" t="s">
        <v>1928</v>
      </c>
      <c r="B24" s="96"/>
      <c r="C24" s="2199">
        <v>962.71390666491118</v>
      </c>
      <c r="D24" s="2199">
        <v>962.71390666491118</v>
      </c>
      <c r="E24" s="2199">
        <v>989.56721861508265</v>
      </c>
      <c r="F24" s="2199">
        <v>1007.9619846078149</v>
      </c>
      <c r="G24" s="2200">
        <v>1028.7081235712928</v>
      </c>
    </row>
    <row r="25" spans="1:7">
      <c r="A25" s="39" t="s">
        <v>1929</v>
      </c>
      <c r="B25" s="96"/>
      <c r="C25" s="2199">
        <v>0</v>
      </c>
      <c r="D25" s="2199">
        <v>0</v>
      </c>
      <c r="E25" s="2199">
        <v>0</v>
      </c>
      <c r="F25" s="2199">
        <v>0</v>
      </c>
      <c r="G25" s="2200">
        <v>0</v>
      </c>
    </row>
    <row r="26" spans="1:7">
      <c r="A26" s="39" t="s">
        <v>1930</v>
      </c>
      <c r="B26" s="96"/>
      <c r="C26" s="2199">
        <v>21.533592291820121</v>
      </c>
      <c r="D26" s="2199">
        <v>21.125477697517905</v>
      </c>
      <c r="E26" s="2199">
        <v>21.533592291820121</v>
      </c>
      <c r="F26" s="2199">
        <v>21.933873731766454</v>
      </c>
      <c r="G26" s="2200">
        <v>22.385322496100216</v>
      </c>
    </row>
    <row r="27" spans="1:7">
      <c r="A27" s="39" t="s">
        <v>1931</v>
      </c>
      <c r="B27" s="96"/>
      <c r="C27" s="2199">
        <v>8.8994506282522252</v>
      </c>
      <c r="D27" s="2197"/>
      <c r="E27" s="2199">
        <v>8.8994506282522252</v>
      </c>
      <c r="F27" s="2199">
        <v>9.0648798266847272</v>
      </c>
      <c r="G27" s="2200">
        <v>9.2514555700594148</v>
      </c>
    </row>
    <row r="28" spans="1:7">
      <c r="A28" s="39" t="s">
        <v>1932</v>
      </c>
      <c r="B28" s="96"/>
      <c r="C28" s="2199">
        <v>7.9824756290559854E-3</v>
      </c>
      <c r="D28" s="2197"/>
      <c r="E28" s="2199">
        <v>7.9824756290559854E-3</v>
      </c>
      <c r="F28" s="2199">
        <v>8.1308594563261252E-3</v>
      </c>
      <c r="G28" s="2200">
        <v>8.2982109465106323E-3</v>
      </c>
    </row>
    <row r="29" spans="1:7">
      <c r="A29" s="39" t="s">
        <v>1935</v>
      </c>
      <c r="B29" s="96"/>
      <c r="C29" s="2199">
        <v>3.7270561322093443E-2</v>
      </c>
      <c r="D29" s="2197"/>
      <c r="E29" s="2199">
        <v>3.7082556492992066E-2</v>
      </c>
      <c r="F29" s="2199">
        <v>3.7270561322093443E-2</v>
      </c>
      <c r="G29" s="2200">
        <v>3.8037673828559472E-2</v>
      </c>
    </row>
    <row r="30" spans="1:7">
      <c r="A30" s="39" t="s">
        <v>1936</v>
      </c>
      <c r="B30" s="96"/>
      <c r="C30" s="2199">
        <v>8.6989328468914592E-2</v>
      </c>
      <c r="D30" s="2197"/>
      <c r="E30" s="2197"/>
      <c r="F30" s="2199">
        <v>8.6989328468914592E-2</v>
      </c>
      <c r="G30" s="2200">
        <v>8.8779765731742427E-2</v>
      </c>
    </row>
    <row r="31" spans="1:7">
      <c r="A31" s="39" t="s">
        <v>1933</v>
      </c>
      <c r="B31" s="96"/>
      <c r="C31" s="2202">
        <v>993.27919195040363</v>
      </c>
      <c r="D31" s="2203">
        <v>983.83938436242909</v>
      </c>
      <c r="E31" s="2203">
        <v>1020.0453265672771</v>
      </c>
      <c r="F31" s="2203">
        <v>1039.0931289155135</v>
      </c>
      <c r="G31" s="2204">
        <v>1060.4800172879591</v>
      </c>
    </row>
    <row r="32" spans="1:7">
      <c r="A32" s="39"/>
      <c r="C32" s="2197"/>
      <c r="D32" s="2197"/>
      <c r="E32" s="2197"/>
      <c r="F32" s="2197"/>
      <c r="G32" s="2198"/>
    </row>
    <row r="33" spans="1:7">
      <c r="A33" s="39" t="s">
        <v>1937</v>
      </c>
      <c r="C33" s="2197"/>
      <c r="D33" s="2197"/>
      <c r="E33" s="2197"/>
      <c r="F33" s="2197"/>
      <c r="G33" s="2198"/>
    </row>
    <row r="34" spans="1:7">
      <c r="A34" s="39" t="s">
        <v>1930</v>
      </c>
      <c r="B34" s="96"/>
      <c r="C34" s="2199">
        <v>1E-4</v>
      </c>
      <c r="D34" s="2199">
        <v>9.8104753778322239E-5</v>
      </c>
      <c r="E34" s="2199">
        <v>1E-4</v>
      </c>
      <c r="F34" s="2199">
        <v>1.0185886978132482E-4</v>
      </c>
      <c r="G34" s="2200">
        <v>1.0395535585859327E-4</v>
      </c>
    </row>
    <row r="35" spans="1:7">
      <c r="A35" s="39" t="s">
        <v>1931</v>
      </c>
      <c r="B35" s="96"/>
      <c r="C35" s="2199">
        <v>116.4660583523804</v>
      </c>
      <c r="D35" s="2197"/>
      <c r="E35" s="2199">
        <v>116.4660583523804</v>
      </c>
      <c r="F35" s="2199">
        <v>118.63101071659293</v>
      </c>
      <c r="G35" s="2200">
        <v>121.07270541469394</v>
      </c>
    </row>
    <row r="36" spans="1:7">
      <c r="A36" s="39" t="s">
        <v>1932</v>
      </c>
      <c r="B36" s="96"/>
      <c r="C36" s="2199">
        <v>1E-4</v>
      </c>
      <c r="D36" s="2197"/>
      <c r="E36" s="2199">
        <v>1E-4</v>
      </c>
      <c r="F36" s="2199">
        <v>1.0185886978132482E-4</v>
      </c>
      <c r="G36" s="2200">
        <v>1.0395535585859327E-4</v>
      </c>
    </row>
    <row r="37" spans="1:7">
      <c r="A37" s="39" t="s">
        <v>1935</v>
      </c>
      <c r="B37" s="96"/>
      <c r="C37" s="2199">
        <v>1E-4</v>
      </c>
      <c r="D37" s="2197"/>
      <c r="E37" s="2199">
        <v>9.949556748695941E-5</v>
      </c>
      <c r="F37" s="2199">
        <v>1E-4</v>
      </c>
      <c r="G37" s="2200">
        <v>1.0205822632998903E-4</v>
      </c>
    </row>
    <row r="38" spans="1:7">
      <c r="A38" s="39" t="s">
        <v>1936</v>
      </c>
      <c r="B38" s="96"/>
      <c r="C38" s="2199">
        <v>85.043941647619604</v>
      </c>
      <c r="D38" s="2197"/>
      <c r="E38" s="2197"/>
      <c r="F38" s="2199">
        <v>85.043941647619604</v>
      </c>
      <c r="G38" s="2200">
        <v>86.794338446671404</v>
      </c>
    </row>
    <row r="39" spans="1:7">
      <c r="A39" s="39" t="s">
        <v>1933</v>
      </c>
      <c r="B39" s="96"/>
      <c r="C39" s="2202">
        <v>201.51030000000003</v>
      </c>
      <c r="D39" s="2203">
        <v>9.8104753778322239E-5</v>
      </c>
      <c r="E39" s="2203">
        <v>116.46635784794789</v>
      </c>
      <c r="F39" s="2203">
        <v>203.67525608195211</v>
      </c>
      <c r="G39" s="2204">
        <v>207.86735383030339</v>
      </c>
    </row>
    <row r="40" spans="1:7">
      <c r="A40" s="39"/>
      <c r="C40" s="2197"/>
      <c r="D40" s="2197"/>
      <c r="E40" s="2197"/>
      <c r="F40" s="2197"/>
      <c r="G40" s="2198"/>
    </row>
    <row r="41" spans="1:7">
      <c r="A41" s="39" t="s">
        <v>1938</v>
      </c>
      <c r="C41" s="2197"/>
      <c r="D41" s="2197"/>
      <c r="E41" s="2197"/>
      <c r="F41" s="2197"/>
      <c r="G41" s="2198"/>
    </row>
    <row r="42" spans="1:7">
      <c r="A42" s="39" t="s">
        <v>1926</v>
      </c>
      <c r="B42" s="96"/>
      <c r="C42" s="2194">
        <v>9.4390000000000001</v>
      </c>
      <c r="D42" s="2195">
        <v>9.4390000000000001</v>
      </c>
      <c r="E42" s="2195">
        <v>9.7022852914483693</v>
      </c>
      <c r="F42" s="2195">
        <v>9.8826381408290249</v>
      </c>
      <c r="G42" s="2196">
        <v>10.086045201141106</v>
      </c>
    </row>
    <row r="43" spans="1:7">
      <c r="A43" s="39"/>
      <c r="C43" s="2197"/>
      <c r="D43" s="2197"/>
      <c r="E43" s="2197"/>
      <c r="F43" s="2197"/>
      <c r="G43" s="2198"/>
    </row>
    <row r="44" spans="1:7">
      <c r="A44" s="39" t="s">
        <v>115</v>
      </c>
      <c r="C44" s="2197"/>
      <c r="D44" s="2197"/>
      <c r="E44" s="2197"/>
      <c r="F44" s="2197"/>
      <c r="G44" s="2198"/>
    </row>
    <row r="45" spans="1:7">
      <c r="A45" s="39" t="s">
        <v>1928</v>
      </c>
      <c r="C45" s="2197">
        <v>3999.1655294643665</v>
      </c>
      <c r="D45" s="2197">
        <v>3999.1655294643665</v>
      </c>
      <c r="E45" s="2197">
        <v>4110.7156366764966</v>
      </c>
      <c r="F45" s="2197">
        <v>4187.1284874428693</v>
      </c>
      <c r="G45" s="2198">
        <v>4273.3090684418903</v>
      </c>
    </row>
    <row r="46" spans="1:7">
      <c r="A46" s="39" t="s">
        <v>1929</v>
      </c>
      <c r="C46" s="2197">
        <v>0</v>
      </c>
      <c r="D46" s="2197">
        <v>0</v>
      </c>
      <c r="E46" s="2197">
        <v>0</v>
      </c>
      <c r="F46" s="2197">
        <v>0</v>
      </c>
      <c r="G46" s="2198">
        <v>0</v>
      </c>
    </row>
    <row r="47" spans="1:7">
      <c r="A47" s="39" t="s">
        <v>1930</v>
      </c>
      <c r="C47" s="2197">
        <v>21.55517452368985</v>
      </c>
      <c r="D47" s="2197">
        <v>21.14665089295357</v>
      </c>
      <c r="E47" s="2197">
        <v>21.55517452368985</v>
      </c>
      <c r="F47" s="2197">
        <v>21.955857149222542</v>
      </c>
      <c r="G47" s="2198">
        <v>22.407758382042619</v>
      </c>
    </row>
    <row r="48" spans="1:7">
      <c r="A48" s="39" t="s">
        <v>1931</v>
      </c>
      <c r="C48" s="2197">
        <v>125.3937442555811</v>
      </c>
      <c r="D48" s="2197">
        <v>0</v>
      </c>
      <c r="E48" s="2197">
        <v>125.3937442555811</v>
      </c>
      <c r="F48" s="2197">
        <v>127.72465067521982</v>
      </c>
      <c r="G48" s="2198">
        <v>130.3535130653037</v>
      </c>
    </row>
    <row r="49" spans="1:7">
      <c r="A49" s="39" t="s">
        <v>1932</v>
      </c>
      <c r="C49" s="2197">
        <v>8.0824756290559848E-3</v>
      </c>
      <c r="D49" s="2197">
        <v>0</v>
      </c>
      <c r="E49" s="2197">
        <v>8.0824756290559848E-3</v>
      </c>
      <c r="F49" s="2197">
        <v>8.2327183261074501E-3</v>
      </c>
      <c r="G49" s="2198">
        <v>8.402166302369226E-3</v>
      </c>
    </row>
    <row r="50" spans="1:7">
      <c r="A50" s="39" t="s">
        <v>1935</v>
      </c>
      <c r="C50" s="2197">
        <v>3.7370561322093446E-2</v>
      </c>
      <c r="D50" s="2197">
        <v>0</v>
      </c>
      <c r="E50" s="2197">
        <v>3.7182052060479025E-2</v>
      </c>
      <c r="F50" s="2197">
        <v>3.7370561322093446E-2</v>
      </c>
      <c r="G50" s="2198">
        <v>3.8139732054889464E-2</v>
      </c>
    </row>
    <row r="51" spans="1:7" ht="15" thickBot="1">
      <c r="A51" s="39" t="s">
        <v>1936</v>
      </c>
      <c r="C51" s="2197">
        <v>85.130930976088521</v>
      </c>
      <c r="D51" s="2197">
        <v>0</v>
      </c>
      <c r="E51" s="2197">
        <v>0</v>
      </c>
      <c r="F51" s="2197">
        <v>85.130930976088521</v>
      </c>
      <c r="G51" s="2198">
        <v>86.883118212403147</v>
      </c>
    </row>
    <row r="52" spans="1:7" ht="15" thickBot="1">
      <c r="A52" s="39" t="s">
        <v>115</v>
      </c>
      <c r="C52" s="2205">
        <v>4231.2908322566764</v>
      </c>
      <c r="D52" s="2206">
        <v>4020.3121803573199</v>
      </c>
      <c r="E52" s="2206">
        <v>4257.7098199834563</v>
      </c>
      <c r="F52" s="2206">
        <v>4421.9855295230482</v>
      </c>
      <c r="G52" s="2207">
        <v>4512.9999999999973</v>
      </c>
    </row>
    <row r="53" spans="1:7">
      <c r="A53" s="39"/>
      <c r="C53" s="2197"/>
      <c r="D53" s="2197"/>
      <c r="E53" s="2197"/>
      <c r="F53" s="2197"/>
      <c r="G53" s="2198"/>
    </row>
    <row r="54" spans="1:7">
      <c r="A54" s="39" t="s">
        <v>1939</v>
      </c>
      <c r="C54" s="2197"/>
      <c r="D54" s="2197">
        <v>111.55010721213009</v>
      </c>
      <c r="E54" s="2197">
        <v>79.144590054241945</v>
      </c>
      <c r="F54" s="2197">
        <v>91.014470476948148</v>
      </c>
      <c r="G54" s="2198">
        <v>281.70916774332017</v>
      </c>
    </row>
    <row r="55" spans="1:7">
      <c r="A55" s="39"/>
      <c r="C55" s="2197"/>
      <c r="D55" s="2197"/>
      <c r="E55" s="2197"/>
      <c r="F55" s="2197"/>
      <c r="G55" s="2198"/>
    </row>
    <row r="56" spans="1:7">
      <c r="A56" s="39" t="s">
        <v>1940</v>
      </c>
      <c r="C56" s="2197"/>
      <c r="D56" s="2197"/>
      <c r="E56" s="2197"/>
      <c r="F56" s="2197"/>
      <c r="G56" s="2198"/>
    </row>
    <row r="57" spans="1:7">
      <c r="A57" s="39" t="s">
        <v>1941</v>
      </c>
      <c r="C57" s="2199">
        <v>0</v>
      </c>
      <c r="D57" s="2197"/>
      <c r="E57" s="2197"/>
      <c r="F57" s="2199">
        <v>0</v>
      </c>
      <c r="G57" s="2200">
        <v>0</v>
      </c>
    </row>
    <row r="58" spans="1:7">
      <c r="A58" s="39" t="s">
        <v>1942</v>
      </c>
      <c r="C58" s="2199">
        <v>0</v>
      </c>
      <c r="D58" s="2197"/>
      <c r="E58" s="2197"/>
      <c r="F58" s="2199">
        <v>0</v>
      </c>
      <c r="G58" s="2200">
        <v>0</v>
      </c>
    </row>
    <row r="59" spans="1:7">
      <c r="A59" s="39" t="s">
        <v>1943</v>
      </c>
      <c r="C59" s="2199">
        <v>0</v>
      </c>
      <c r="D59" s="2197"/>
      <c r="E59" s="2197"/>
      <c r="F59" s="2199">
        <v>0</v>
      </c>
      <c r="G59" s="2200">
        <v>0</v>
      </c>
    </row>
    <row r="60" spans="1:7">
      <c r="A60" s="39" t="s">
        <v>1933</v>
      </c>
      <c r="C60" s="2202">
        <v>0</v>
      </c>
      <c r="D60" s="2203"/>
      <c r="E60" s="2203"/>
      <c r="F60" s="2203">
        <v>0</v>
      </c>
      <c r="G60" s="2204">
        <v>0</v>
      </c>
    </row>
    <row r="61" spans="1:7">
      <c r="A61" s="102"/>
      <c r="C61" s="2197"/>
      <c r="D61" s="2197"/>
      <c r="E61" s="2197"/>
      <c r="F61" s="2197"/>
      <c r="G61" s="2198"/>
    </row>
    <row r="62" spans="1:7">
      <c r="A62" s="39" t="s">
        <v>1944</v>
      </c>
      <c r="C62" s="2194">
        <v>0</v>
      </c>
      <c r="D62" s="2203"/>
      <c r="E62" s="2203"/>
      <c r="F62" s="2195">
        <v>0</v>
      </c>
      <c r="G62" s="2196">
        <v>0</v>
      </c>
    </row>
    <row r="63" spans="1:7">
      <c r="A63" s="39"/>
      <c r="C63" s="2197"/>
      <c r="D63" s="2197"/>
      <c r="E63" s="2197"/>
      <c r="F63" s="2197"/>
      <c r="G63" s="2198"/>
    </row>
    <row r="64" spans="1:7">
      <c r="A64" s="39" t="s">
        <v>1945</v>
      </c>
      <c r="C64" s="2197"/>
      <c r="D64" s="2197">
        <v>0</v>
      </c>
      <c r="E64" s="2197">
        <v>0</v>
      </c>
      <c r="F64" s="2197">
        <v>0</v>
      </c>
      <c r="G64" s="2198">
        <v>0</v>
      </c>
    </row>
    <row r="65" spans="1:7" ht="15" thickBot="1">
      <c r="A65" s="39"/>
      <c r="C65" s="2197"/>
      <c r="D65" s="2197"/>
      <c r="E65" s="2197"/>
      <c r="F65" s="2197"/>
      <c r="G65" s="2198"/>
    </row>
    <row r="66" spans="1:7" ht="15" thickBot="1">
      <c r="A66" s="39" t="s">
        <v>115</v>
      </c>
      <c r="C66" s="2205">
        <v>4231.2908322566764</v>
      </c>
      <c r="D66" s="2206">
        <v>4020.3121803573199</v>
      </c>
      <c r="E66" s="2206">
        <v>4257.7098199834563</v>
      </c>
      <c r="F66" s="2206">
        <v>4421.9855295230482</v>
      </c>
      <c r="G66" s="2207">
        <v>4512.9999999999973</v>
      </c>
    </row>
    <row r="67" spans="1:7">
      <c r="A67" s="39"/>
      <c r="C67" s="2197"/>
      <c r="D67" s="2197"/>
      <c r="E67" s="2197"/>
      <c r="F67" s="2197"/>
      <c r="G67" s="2198"/>
    </row>
    <row r="68" spans="1:7" ht="15" thickBot="1">
      <c r="A68" s="82" t="s">
        <v>1946</v>
      </c>
      <c r="B68" s="32"/>
      <c r="C68" s="2208"/>
      <c r="D68" s="2209">
        <v>111.55010721213009</v>
      </c>
      <c r="E68" s="2209">
        <v>79.144590054241945</v>
      </c>
      <c r="F68" s="2209">
        <v>91.014470476948148</v>
      </c>
      <c r="G68" s="2210">
        <v>281.70916774332017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2187" t="s">
        <v>9002</v>
      </c>
      <c r="B70" s="2211"/>
      <c r="C70" s="2211"/>
      <c r="D70" s="2211"/>
      <c r="E70" s="2211"/>
      <c r="F70" s="2211"/>
      <c r="G70" s="2189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1962"/>
      <c r="D77" s="1962"/>
      <c r="E77" s="2190">
        <v>1.0278933458468449</v>
      </c>
      <c r="F77" s="2190">
        <v>1.0185886978132481</v>
      </c>
      <c r="G77" s="2191">
        <v>1.0205822632998902</v>
      </c>
    </row>
    <row r="78" spans="1:7">
      <c r="A78" s="39" t="s">
        <v>1924</v>
      </c>
      <c r="C78" s="1962"/>
      <c r="D78" s="2192">
        <v>0.98104753778322229</v>
      </c>
      <c r="E78" s="2192">
        <v>0.99495567486959402</v>
      </c>
      <c r="F78" s="1962"/>
      <c r="G78" s="2193"/>
    </row>
    <row r="79" spans="1:7">
      <c r="A79" s="39"/>
      <c r="C79" s="1962"/>
      <c r="D79" s="1962"/>
      <c r="E79" s="1962"/>
      <c r="F79" s="1962"/>
      <c r="G79" s="2193"/>
    </row>
    <row r="80" spans="1:7">
      <c r="A80" s="39" t="s">
        <v>1925</v>
      </c>
      <c r="C80" s="1962"/>
      <c r="D80" s="1962"/>
      <c r="E80" s="1962"/>
      <c r="F80" s="1962"/>
      <c r="G80" s="2193"/>
    </row>
    <row r="81" spans="1:7">
      <c r="A81" s="39" t="s">
        <v>1926</v>
      </c>
      <c r="B81" s="96"/>
      <c r="C81" s="2194">
        <v>2843.5622308308061</v>
      </c>
      <c r="D81" s="2195">
        <v>2843.5622308308061</v>
      </c>
      <c r="E81" s="2195">
        <v>2922.8786955723954</v>
      </c>
      <c r="F81" s="2195">
        <v>2977.2112043891716</v>
      </c>
      <c r="G81" s="2196">
        <v>3038.4889492972929</v>
      </c>
    </row>
    <row r="82" spans="1:7">
      <c r="A82" s="39"/>
      <c r="C82" s="2197"/>
      <c r="D82" s="2197"/>
      <c r="E82" s="2197"/>
      <c r="F82" s="2197"/>
      <c r="G82" s="2198"/>
    </row>
    <row r="83" spans="1:7">
      <c r="A83" s="39" t="s">
        <v>1927</v>
      </c>
      <c r="C83" s="2197"/>
      <c r="D83" s="2197"/>
      <c r="E83" s="2197"/>
      <c r="F83" s="2197"/>
      <c r="G83" s="2198"/>
    </row>
    <row r="84" spans="1:7">
      <c r="A84" s="39" t="s">
        <v>1928</v>
      </c>
      <c r="B84" s="96"/>
      <c r="C84" s="2199">
        <v>183.45039196864943</v>
      </c>
      <c r="D84" s="2199">
        <v>183.45039196864943</v>
      </c>
      <c r="E84" s="2199">
        <v>188.56743719757023</v>
      </c>
      <c r="F84" s="2199">
        <v>192.07266030505451</v>
      </c>
      <c r="G84" s="2200">
        <v>196.02595037216352</v>
      </c>
    </row>
    <row r="85" spans="1:7">
      <c r="A85" s="39" t="s">
        <v>1929</v>
      </c>
      <c r="B85" s="96"/>
      <c r="C85" s="2199">
        <v>0</v>
      </c>
      <c r="D85" s="2199">
        <v>0</v>
      </c>
      <c r="E85" s="2199">
        <v>0</v>
      </c>
      <c r="F85" s="2199">
        <v>0</v>
      </c>
      <c r="G85" s="2200">
        <v>0</v>
      </c>
    </row>
    <row r="86" spans="1:7">
      <c r="A86" s="39" t="s">
        <v>1930</v>
      </c>
      <c r="B86" s="96"/>
      <c r="C86" s="2199">
        <v>2.1482231869728707E-2</v>
      </c>
      <c r="D86" s="2201">
        <v>2.1075090681885615E-2</v>
      </c>
      <c r="E86" s="2199">
        <v>2.1482231869728707E-2</v>
      </c>
      <c r="F86" s="2199">
        <v>2.1881558586309222E-2</v>
      </c>
      <c r="G86" s="2200">
        <v>2.2331930586544611E-2</v>
      </c>
    </row>
    <row r="87" spans="1:7">
      <c r="A87" s="39" t="s">
        <v>1931</v>
      </c>
      <c r="B87" s="96"/>
      <c r="C87" s="2199">
        <v>2.8235274948470487E-2</v>
      </c>
      <c r="D87" s="2197"/>
      <c r="E87" s="2199">
        <v>2.8235274948470487E-2</v>
      </c>
      <c r="F87" s="2199">
        <v>2.8760131942161579E-2</v>
      </c>
      <c r="G87" s="2200">
        <v>2.9352080550334732E-2</v>
      </c>
    </row>
    <row r="88" spans="1:7">
      <c r="A88" s="39" t="s">
        <v>1932</v>
      </c>
      <c r="B88" s="96"/>
      <c r="C88" s="2199">
        <v>0</v>
      </c>
      <c r="D88" s="2197"/>
      <c r="E88" s="2199">
        <v>0</v>
      </c>
      <c r="F88" s="2199">
        <v>0</v>
      </c>
      <c r="G88" s="2200">
        <v>0</v>
      </c>
    </row>
    <row r="89" spans="1:7">
      <c r="A89" s="39" t="s">
        <v>1933</v>
      </c>
      <c r="B89" s="96"/>
      <c r="C89" s="2202">
        <v>183.50010947546761</v>
      </c>
      <c r="D89" s="2203">
        <v>183.4714670593313</v>
      </c>
      <c r="E89" s="2203">
        <v>188.61715470438841</v>
      </c>
      <c r="F89" s="2203">
        <v>192.12330199558298</v>
      </c>
      <c r="G89" s="2204">
        <v>196.07763438330039</v>
      </c>
    </row>
    <row r="90" spans="1:7">
      <c r="A90" s="39"/>
      <c r="C90" s="2197"/>
      <c r="D90" s="2197"/>
      <c r="E90" s="2197"/>
      <c r="F90" s="2197"/>
      <c r="G90" s="2198"/>
    </row>
    <row r="91" spans="1:7">
      <c r="A91" s="39" t="s">
        <v>1934</v>
      </c>
      <c r="C91" s="2197"/>
      <c r="D91" s="2197"/>
      <c r="E91" s="2197"/>
      <c r="F91" s="2197"/>
      <c r="G91" s="2198"/>
    </row>
    <row r="92" spans="1:7">
      <c r="A92" s="39" t="s">
        <v>1928</v>
      </c>
      <c r="B92" s="96"/>
      <c r="C92" s="2199">
        <v>962.71390666491118</v>
      </c>
      <c r="D92" s="2199">
        <v>962.71390666491118</v>
      </c>
      <c r="E92" s="2199">
        <v>989.56721861508265</v>
      </c>
      <c r="F92" s="2199">
        <v>1007.9619846078149</v>
      </c>
      <c r="G92" s="2200">
        <v>1028.7081235712928</v>
      </c>
    </row>
    <row r="93" spans="1:7">
      <c r="A93" s="39" t="s">
        <v>1929</v>
      </c>
      <c r="B93" s="96"/>
      <c r="C93" s="2199">
        <v>0</v>
      </c>
      <c r="D93" s="2199">
        <v>0</v>
      </c>
      <c r="E93" s="2199">
        <v>0</v>
      </c>
      <c r="F93" s="2199">
        <v>0</v>
      </c>
      <c r="G93" s="2200">
        <v>0</v>
      </c>
    </row>
    <row r="94" spans="1:7">
      <c r="A94" s="39" t="s">
        <v>1930</v>
      </c>
      <c r="B94" s="96"/>
      <c r="C94" s="2199">
        <v>21.533592291820121</v>
      </c>
      <c r="D94" s="2199">
        <v>21.125477697517905</v>
      </c>
      <c r="E94" s="2199">
        <v>21.533592291820121</v>
      </c>
      <c r="F94" s="2199">
        <v>21.933873731766454</v>
      </c>
      <c r="G94" s="2200">
        <v>22.385322496100216</v>
      </c>
    </row>
    <row r="95" spans="1:7">
      <c r="A95" s="39" t="s">
        <v>1931</v>
      </c>
      <c r="B95" s="96"/>
      <c r="C95" s="2199">
        <v>8.8994506282522252</v>
      </c>
      <c r="D95" s="2197"/>
      <c r="E95" s="2199">
        <v>8.8994506282522252</v>
      </c>
      <c r="F95" s="2199">
        <v>9.0648798266847272</v>
      </c>
      <c r="G95" s="2200">
        <v>9.2514555700594148</v>
      </c>
    </row>
    <row r="96" spans="1:7">
      <c r="A96" s="39" t="s">
        <v>1932</v>
      </c>
      <c r="B96" s="96"/>
      <c r="C96" s="2199">
        <v>7.9824756290559854E-3</v>
      </c>
      <c r="D96" s="2197"/>
      <c r="E96" s="2199">
        <v>7.9824756290559854E-3</v>
      </c>
      <c r="F96" s="2199">
        <v>8.1308594563261252E-3</v>
      </c>
      <c r="G96" s="2200">
        <v>8.2982109465106323E-3</v>
      </c>
    </row>
    <row r="97" spans="1:7">
      <c r="A97" s="39" t="s">
        <v>1935</v>
      </c>
      <c r="B97" s="96"/>
      <c r="C97" s="2199">
        <v>3.7270561322093443E-2</v>
      </c>
      <c r="D97" s="2197"/>
      <c r="E97" s="2199">
        <v>3.7082556492992066E-2</v>
      </c>
      <c r="F97" s="2199">
        <v>3.7270561322093443E-2</v>
      </c>
      <c r="G97" s="2200">
        <v>3.8037673828559472E-2</v>
      </c>
    </row>
    <row r="98" spans="1:7">
      <c r="A98" s="39" t="s">
        <v>1936</v>
      </c>
      <c r="B98" s="96"/>
      <c r="C98" s="2199">
        <v>8.6989328468914592E-2</v>
      </c>
      <c r="D98" s="2197"/>
      <c r="E98" s="2197"/>
      <c r="F98" s="2199">
        <v>8.6989328468914592E-2</v>
      </c>
      <c r="G98" s="2200">
        <v>8.8779765731742427E-2</v>
      </c>
    </row>
    <row r="99" spans="1:7">
      <c r="A99" s="39" t="s">
        <v>1933</v>
      </c>
      <c r="B99" s="96"/>
      <c r="C99" s="2202">
        <v>993.27919195040363</v>
      </c>
      <c r="D99" s="2203">
        <v>983.83938436242909</v>
      </c>
      <c r="E99" s="2203">
        <v>1020.0453265672771</v>
      </c>
      <c r="F99" s="2203">
        <v>1039.0931289155135</v>
      </c>
      <c r="G99" s="2204">
        <v>1060.4800172879591</v>
      </c>
    </row>
    <row r="100" spans="1:7">
      <c r="A100" s="39"/>
      <c r="C100" s="2197"/>
      <c r="D100" s="2197"/>
      <c r="E100" s="2197"/>
      <c r="F100" s="2197"/>
      <c r="G100" s="2198"/>
    </row>
    <row r="101" spans="1:7">
      <c r="A101" s="39" t="s">
        <v>1937</v>
      </c>
      <c r="C101" s="2197"/>
      <c r="D101" s="2197"/>
      <c r="E101" s="2197"/>
      <c r="F101" s="2197"/>
      <c r="G101" s="2198"/>
    </row>
    <row r="102" spans="1:7">
      <c r="A102" s="39" t="s">
        <v>1930</v>
      </c>
      <c r="B102" s="96"/>
      <c r="C102" s="2199">
        <v>1E-4</v>
      </c>
      <c r="D102" s="2199">
        <v>9.8104753778322239E-5</v>
      </c>
      <c r="E102" s="2199">
        <v>1E-4</v>
      </c>
      <c r="F102" s="2199">
        <v>1.0185886978132482E-4</v>
      </c>
      <c r="G102" s="2200">
        <v>1.0395535585859327E-4</v>
      </c>
    </row>
    <row r="103" spans="1:7">
      <c r="A103" s="39" t="s">
        <v>1931</v>
      </c>
      <c r="B103" s="96"/>
      <c r="C103" s="2199">
        <v>116.4660583523804</v>
      </c>
      <c r="D103" s="2197"/>
      <c r="E103" s="2199">
        <v>116.4660583523804</v>
      </c>
      <c r="F103" s="2199">
        <v>118.63101071659293</v>
      </c>
      <c r="G103" s="2200">
        <v>121.07270541469394</v>
      </c>
    </row>
    <row r="104" spans="1:7">
      <c r="A104" s="39" t="s">
        <v>1932</v>
      </c>
      <c r="B104" s="96"/>
      <c r="C104" s="2199">
        <v>1E-4</v>
      </c>
      <c r="D104" s="2197"/>
      <c r="E104" s="2199">
        <v>1E-4</v>
      </c>
      <c r="F104" s="2199">
        <v>1.0185886978132482E-4</v>
      </c>
      <c r="G104" s="2200">
        <v>1.0395535585859327E-4</v>
      </c>
    </row>
    <row r="105" spans="1:7">
      <c r="A105" s="39" t="s">
        <v>1935</v>
      </c>
      <c r="B105" s="96"/>
      <c r="C105" s="2199">
        <v>1E-4</v>
      </c>
      <c r="D105" s="2197"/>
      <c r="E105" s="2199">
        <v>9.949556748695941E-5</v>
      </c>
      <c r="F105" s="2199">
        <v>1E-4</v>
      </c>
      <c r="G105" s="2200">
        <v>1.0205822632998903E-4</v>
      </c>
    </row>
    <row r="106" spans="1:7">
      <c r="A106" s="39" t="s">
        <v>1936</v>
      </c>
      <c r="B106" s="96"/>
      <c r="C106" s="2199">
        <v>85.043941647619604</v>
      </c>
      <c r="D106" s="2197"/>
      <c r="E106" s="2197"/>
      <c r="F106" s="2199">
        <v>85.043941647619604</v>
      </c>
      <c r="G106" s="2200">
        <v>86.794338446671404</v>
      </c>
    </row>
    <row r="107" spans="1:7">
      <c r="A107" s="39" t="s">
        <v>1933</v>
      </c>
      <c r="B107" s="96"/>
      <c r="C107" s="2202">
        <v>201.51030000000003</v>
      </c>
      <c r="D107" s="2203">
        <v>9.8104753778322239E-5</v>
      </c>
      <c r="E107" s="2203">
        <v>116.46635784794789</v>
      </c>
      <c r="F107" s="2203">
        <v>203.67525608195211</v>
      </c>
      <c r="G107" s="2204">
        <v>207.86735383030339</v>
      </c>
    </row>
    <row r="108" spans="1:7">
      <c r="A108" s="39"/>
      <c r="C108" s="2197"/>
      <c r="D108" s="2197"/>
      <c r="E108" s="2197"/>
      <c r="F108" s="2197"/>
      <c r="G108" s="2198"/>
    </row>
    <row r="109" spans="1:7">
      <c r="A109" s="39" t="s">
        <v>1938</v>
      </c>
      <c r="C109" s="2197"/>
      <c r="D109" s="2197"/>
      <c r="E109" s="2197"/>
      <c r="F109" s="2197"/>
      <c r="G109" s="2198"/>
    </row>
    <row r="110" spans="1:7">
      <c r="A110" s="39" t="s">
        <v>1926</v>
      </c>
      <c r="B110" s="96"/>
      <c r="C110" s="2194">
        <v>9.4390000000000001</v>
      </c>
      <c r="D110" s="2195">
        <v>9.4390000000000001</v>
      </c>
      <c r="E110" s="2195">
        <v>9.7022852914483693</v>
      </c>
      <c r="F110" s="2195">
        <v>9.8826381408290249</v>
      </c>
      <c r="G110" s="2196">
        <v>10.086045201141106</v>
      </c>
    </row>
    <row r="111" spans="1:7">
      <c r="A111" s="39"/>
      <c r="C111" s="2197"/>
      <c r="D111" s="2197"/>
      <c r="E111" s="2197"/>
      <c r="F111" s="2197"/>
      <c r="G111" s="2198"/>
    </row>
    <row r="112" spans="1:7">
      <c r="A112" s="39" t="s">
        <v>115</v>
      </c>
      <c r="C112" s="2197"/>
      <c r="D112" s="2197"/>
      <c r="E112" s="2197"/>
      <c r="F112" s="2197"/>
      <c r="G112" s="2198"/>
    </row>
    <row r="113" spans="1:7">
      <c r="A113" s="39" t="s">
        <v>1928</v>
      </c>
      <c r="C113" s="2197">
        <v>3999.1655294643665</v>
      </c>
      <c r="D113" s="2197">
        <v>3999.1655294643665</v>
      </c>
      <c r="E113" s="2197">
        <v>4110.7156366764966</v>
      </c>
      <c r="F113" s="2197">
        <v>4187.1284874428693</v>
      </c>
      <c r="G113" s="2198">
        <v>4273.3090684418903</v>
      </c>
    </row>
    <row r="114" spans="1:7">
      <c r="A114" s="39" t="s">
        <v>1929</v>
      </c>
      <c r="C114" s="2197">
        <v>0</v>
      </c>
      <c r="D114" s="2197">
        <v>0</v>
      </c>
      <c r="E114" s="2197">
        <v>0</v>
      </c>
      <c r="F114" s="2197">
        <v>0</v>
      </c>
      <c r="G114" s="2198">
        <v>0</v>
      </c>
    </row>
    <row r="115" spans="1:7">
      <c r="A115" s="39" t="s">
        <v>1930</v>
      </c>
      <c r="C115" s="2197">
        <v>21.55517452368985</v>
      </c>
      <c r="D115" s="2197">
        <v>21.14665089295357</v>
      </c>
      <c r="E115" s="2197">
        <v>21.55517452368985</v>
      </c>
      <c r="F115" s="2197">
        <v>21.955857149222542</v>
      </c>
      <c r="G115" s="2198">
        <v>22.407758382042619</v>
      </c>
    </row>
    <row r="116" spans="1:7">
      <c r="A116" s="39" t="s">
        <v>1931</v>
      </c>
      <c r="C116" s="2197">
        <v>125.3937442555811</v>
      </c>
      <c r="D116" s="2197">
        <v>0</v>
      </c>
      <c r="E116" s="2197">
        <v>125.3937442555811</v>
      </c>
      <c r="F116" s="2197">
        <v>127.72465067521982</v>
      </c>
      <c r="G116" s="2198">
        <v>130.3535130653037</v>
      </c>
    </row>
    <row r="117" spans="1:7">
      <c r="A117" s="39" t="s">
        <v>1932</v>
      </c>
      <c r="C117" s="2197">
        <v>8.0824756290559848E-3</v>
      </c>
      <c r="D117" s="2197">
        <v>0</v>
      </c>
      <c r="E117" s="2197">
        <v>8.0824756290559848E-3</v>
      </c>
      <c r="F117" s="2197">
        <v>8.2327183261074501E-3</v>
      </c>
      <c r="G117" s="2198">
        <v>8.402166302369226E-3</v>
      </c>
    </row>
    <row r="118" spans="1:7">
      <c r="A118" s="39" t="s">
        <v>1935</v>
      </c>
      <c r="C118" s="2197">
        <v>3.7370561322093446E-2</v>
      </c>
      <c r="D118" s="2197">
        <v>0</v>
      </c>
      <c r="E118" s="2197">
        <v>3.7182052060479025E-2</v>
      </c>
      <c r="F118" s="2197">
        <v>3.7370561322093446E-2</v>
      </c>
      <c r="G118" s="2198">
        <v>3.8139732054889464E-2</v>
      </c>
    </row>
    <row r="119" spans="1:7" ht="15" thickBot="1">
      <c r="A119" s="39" t="s">
        <v>1936</v>
      </c>
      <c r="C119" s="2197">
        <v>85.130930976088521</v>
      </c>
      <c r="D119" s="2197">
        <v>0</v>
      </c>
      <c r="E119" s="2197">
        <v>0</v>
      </c>
      <c r="F119" s="2197">
        <v>85.130930976088521</v>
      </c>
      <c r="G119" s="2198">
        <v>86.883118212403147</v>
      </c>
    </row>
    <row r="120" spans="1:7" ht="15" thickBot="1">
      <c r="A120" s="39" t="s">
        <v>115</v>
      </c>
      <c r="C120" s="2205">
        <v>4231.2908322566764</v>
      </c>
      <c r="D120" s="2206">
        <v>4020.3121803573199</v>
      </c>
      <c r="E120" s="2206">
        <v>4257.7098199834563</v>
      </c>
      <c r="F120" s="2206">
        <v>4421.9855295230482</v>
      </c>
      <c r="G120" s="2207">
        <v>4512.9999999999973</v>
      </c>
    </row>
    <row r="121" spans="1:7">
      <c r="A121" s="39"/>
      <c r="C121" s="2197"/>
      <c r="D121" s="2197"/>
      <c r="E121" s="2197"/>
      <c r="F121" s="2197"/>
      <c r="G121" s="2198"/>
    </row>
    <row r="122" spans="1:7">
      <c r="A122" s="39" t="s">
        <v>1939</v>
      </c>
      <c r="C122" s="2197"/>
      <c r="D122" s="2197">
        <v>111.55010721213009</v>
      </c>
      <c r="E122" s="2197">
        <v>79.144590054241945</v>
      </c>
      <c r="F122" s="2197">
        <v>91.014470476948148</v>
      </c>
      <c r="G122" s="2198">
        <v>281.70916774332017</v>
      </c>
    </row>
    <row r="123" spans="1:7">
      <c r="A123" s="39"/>
      <c r="C123" s="2197"/>
      <c r="D123" s="2197"/>
      <c r="E123" s="2197"/>
      <c r="F123" s="2197"/>
      <c r="G123" s="2198"/>
    </row>
    <row r="124" spans="1:7">
      <c r="A124" s="39" t="s">
        <v>1940</v>
      </c>
      <c r="C124" s="2197"/>
      <c r="D124" s="2197"/>
      <c r="E124" s="2197"/>
      <c r="F124" s="2197"/>
      <c r="G124" s="2198"/>
    </row>
    <row r="125" spans="1:7">
      <c r="A125" s="39" t="s">
        <v>1941</v>
      </c>
      <c r="C125" s="2199">
        <v>0</v>
      </c>
      <c r="D125" s="2197"/>
      <c r="E125" s="2197"/>
      <c r="F125" s="2199">
        <v>0</v>
      </c>
      <c r="G125" s="2200">
        <v>0</v>
      </c>
    </row>
    <row r="126" spans="1:7">
      <c r="A126" s="39" t="s">
        <v>1942</v>
      </c>
      <c r="C126" s="2199">
        <v>0</v>
      </c>
      <c r="D126" s="2197"/>
      <c r="E126" s="2197"/>
      <c r="F126" s="2199">
        <v>0</v>
      </c>
      <c r="G126" s="2200">
        <v>0</v>
      </c>
    </row>
    <row r="127" spans="1:7">
      <c r="A127" s="39" t="s">
        <v>1943</v>
      </c>
      <c r="C127" s="2199">
        <v>0</v>
      </c>
      <c r="D127" s="2197"/>
      <c r="E127" s="2197"/>
      <c r="F127" s="2199">
        <v>0</v>
      </c>
      <c r="G127" s="2200">
        <v>0</v>
      </c>
    </row>
    <row r="128" spans="1:7">
      <c r="A128" s="39" t="s">
        <v>1933</v>
      </c>
      <c r="C128" s="2202">
        <v>0</v>
      </c>
      <c r="D128" s="2203"/>
      <c r="E128" s="2203"/>
      <c r="F128" s="2203">
        <v>0</v>
      </c>
      <c r="G128" s="2204">
        <v>0</v>
      </c>
    </row>
    <row r="129" spans="1:7">
      <c r="A129" s="102"/>
      <c r="C129" s="2197"/>
      <c r="D129" s="2197"/>
      <c r="E129" s="2197"/>
      <c r="F129" s="2197"/>
      <c r="G129" s="2198"/>
    </row>
    <row r="130" spans="1:7">
      <c r="A130" s="39" t="s">
        <v>1944</v>
      </c>
      <c r="C130" s="2194">
        <v>0</v>
      </c>
      <c r="D130" s="2203"/>
      <c r="E130" s="2203"/>
      <c r="F130" s="2195">
        <v>0</v>
      </c>
      <c r="G130" s="2196">
        <v>0</v>
      </c>
    </row>
    <row r="131" spans="1:7">
      <c r="A131" s="39"/>
      <c r="C131" s="2197"/>
      <c r="D131" s="2197"/>
      <c r="E131" s="2197"/>
      <c r="F131" s="2197"/>
      <c r="G131" s="2198"/>
    </row>
    <row r="132" spans="1:7">
      <c r="A132" s="39" t="s">
        <v>1945</v>
      </c>
      <c r="C132" s="2197"/>
      <c r="D132" s="2197">
        <v>0</v>
      </c>
      <c r="E132" s="2197">
        <v>0</v>
      </c>
      <c r="F132" s="2197">
        <v>0</v>
      </c>
      <c r="G132" s="2198">
        <v>0</v>
      </c>
    </row>
    <row r="133" spans="1:7" ht="15" thickBot="1">
      <c r="A133" s="39"/>
      <c r="C133" s="2197"/>
      <c r="D133" s="2197"/>
      <c r="E133" s="2197"/>
      <c r="F133" s="2197"/>
      <c r="G133" s="2198"/>
    </row>
    <row r="134" spans="1:7" ht="15" thickBot="1">
      <c r="A134" s="39" t="s">
        <v>115</v>
      </c>
      <c r="C134" s="2205">
        <v>4231.2908322566764</v>
      </c>
      <c r="D134" s="2206">
        <v>4020.3121803573199</v>
      </c>
      <c r="E134" s="2206">
        <v>4257.7098199834563</v>
      </c>
      <c r="F134" s="2206">
        <v>4421.9855295230482</v>
      </c>
      <c r="G134" s="2207">
        <v>4512.9999999999973</v>
      </c>
    </row>
    <row r="135" spans="1:7">
      <c r="A135" s="39"/>
      <c r="C135" s="2197"/>
      <c r="D135" s="2197"/>
      <c r="E135" s="2197"/>
      <c r="F135" s="2197"/>
      <c r="G135" s="2198"/>
    </row>
    <row r="136" spans="1:7" ht="15" thickBot="1">
      <c r="A136" s="82" t="s">
        <v>1946</v>
      </c>
      <c r="B136" s="32"/>
      <c r="C136" s="2208"/>
      <c r="D136" s="2209">
        <v>111.55010721213009</v>
      </c>
      <c r="E136" s="2209">
        <v>79.144590054241945</v>
      </c>
      <c r="F136" s="2209">
        <v>91.014470476948148</v>
      </c>
      <c r="G136" s="2210">
        <v>281.70916774332017</v>
      </c>
    </row>
    <row r="137" spans="1:7" ht="15" thickBot="1"/>
    <row r="138" spans="1:7" ht="15" thickBot="1">
      <c r="A138" s="2212" t="s">
        <v>9003</v>
      </c>
      <c r="B138" s="2213"/>
      <c r="C138" s="2213"/>
      <c r="D138" s="2213"/>
      <c r="E138" s="2213"/>
      <c r="F138" s="2213"/>
      <c r="G138" s="2214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1962"/>
      <c r="D145" s="1962"/>
      <c r="E145" s="2190">
        <v>1.0281631691097597</v>
      </c>
      <c r="F145" s="2190">
        <v>1.0182639898638426</v>
      </c>
      <c r="G145" s="2191">
        <v>1.0203022210754804</v>
      </c>
    </row>
    <row r="146" spans="1:7">
      <c r="A146" s="39" t="s">
        <v>1924</v>
      </c>
      <c r="C146" s="1962"/>
      <c r="D146" s="2192">
        <v>0.98079454761043972</v>
      </c>
      <c r="E146" s="2192">
        <v>0.99491252728146029</v>
      </c>
      <c r="F146" s="1962"/>
      <c r="G146" s="2193"/>
    </row>
    <row r="147" spans="1:7">
      <c r="A147" s="39"/>
      <c r="C147" s="1962"/>
      <c r="D147" s="1962"/>
      <c r="E147" s="1962"/>
      <c r="F147" s="1962"/>
      <c r="G147" s="2193"/>
    </row>
    <row r="148" spans="1:7">
      <c r="A148" s="39" t="s">
        <v>1925</v>
      </c>
      <c r="C148" s="1962"/>
      <c r="D148" s="1962"/>
      <c r="E148" s="1962"/>
      <c r="F148" s="1962"/>
      <c r="G148" s="2193"/>
    </row>
    <row r="149" spans="1:7">
      <c r="A149" s="39" t="s">
        <v>1926</v>
      </c>
      <c r="B149" s="96"/>
      <c r="C149" s="2194">
        <v>2804.9963474392621</v>
      </c>
      <c r="D149" s="2195">
        <v>2804.9963474392621</v>
      </c>
      <c r="E149" s="2195">
        <v>2883.9939339244524</v>
      </c>
      <c r="F149" s="2195">
        <v>2936.6671699010321</v>
      </c>
      <c r="G149" s="2196">
        <v>2996.2880360094682</v>
      </c>
    </row>
    <row r="150" spans="1:7">
      <c r="A150" s="39"/>
      <c r="C150" s="2197"/>
      <c r="D150" s="2197"/>
      <c r="E150" s="2197"/>
      <c r="F150" s="2197"/>
      <c r="G150" s="2198"/>
    </row>
    <row r="151" spans="1:7">
      <c r="A151" s="39" t="s">
        <v>1927</v>
      </c>
      <c r="C151" s="2197"/>
      <c r="D151" s="2197"/>
      <c r="E151" s="2197"/>
      <c r="F151" s="2197"/>
      <c r="G151" s="2198"/>
    </row>
    <row r="152" spans="1:7">
      <c r="A152" s="39" t="s">
        <v>1928</v>
      </c>
      <c r="B152" s="96"/>
      <c r="C152" s="2199">
        <v>182.96692299519958</v>
      </c>
      <c r="D152" s="2199">
        <v>182.96692299519958</v>
      </c>
      <c r="E152" s="2199">
        <v>188.11985138900576</v>
      </c>
      <c r="F152" s="2199">
        <v>191.55567044796214</v>
      </c>
      <c r="G152" s="2200">
        <v>195.44467601765854</v>
      </c>
    </row>
    <row r="153" spans="1:7">
      <c r="A153" s="39" t="s">
        <v>1929</v>
      </c>
      <c r="B153" s="96"/>
      <c r="C153" s="2199">
        <v>0</v>
      </c>
      <c r="D153" s="2199">
        <v>0</v>
      </c>
      <c r="E153" s="2199">
        <v>0</v>
      </c>
      <c r="F153" s="2199">
        <v>0</v>
      </c>
      <c r="G153" s="2200">
        <v>0</v>
      </c>
    </row>
    <row r="154" spans="1:7">
      <c r="A154" s="39" t="s">
        <v>1930</v>
      </c>
      <c r="B154" s="96"/>
      <c r="C154" s="2199">
        <v>2.14256171496509E-2</v>
      </c>
      <c r="D154" s="2201">
        <v>2.1014128479566335E-2</v>
      </c>
      <c r="E154" s="2199">
        <v>2.14256171496509E-2</v>
      </c>
      <c r="F154" s="2199">
        <v>2.1816934404098695E-2</v>
      </c>
      <c r="G154" s="2200">
        <v>2.2259866629559963E-2</v>
      </c>
    </row>
    <row r="155" spans="1:7">
      <c r="A155" s="39" t="s">
        <v>1931</v>
      </c>
      <c r="B155" s="96"/>
      <c r="C155" s="2199">
        <v>2.8160863118395225E-2</v>
      </c>
      <c r="D155" s="2197"/>
      <c r="E155" s="2199">
        <v>2.8160863118395225E-2</v>
      </c>
      <c r="F155" s="2199">
        <v>2.8675192836946653E-2</v>
      </c>
      <c r="G155" s="2200">
        <v>2.9257362941304377E-2</v>
      </c>
    </row>
    <row r="156" spans="1:7">
      <c r="A156" s="39" t="s">
        <v>1932</v>
      </c>
      <c r="B156" s="96"/>
      <c r="C156" s="2199">
        <v>0</v>
      </c>
      <c r="D156" s="2197"/>
      <c r="E156" s="2199">
        <v>0</v>
      </c>
      <c r="F156" s="2199">
        <v>0</v>
      </c>
      <c r="G156" s="2200">
        <v>0</v>
      </c>
    </row>
    <row r="157" spans="1:7">
      <c r="A157" s="39" t="s">
        <v>1933</v>
      </c>
      <c r="B157" s="96"/>
      <c r="C157" s="2202">
        <v>183.01650947546761</v>
      </c>
      <c r="D157" s="2203">
        <v>182.98793712367916</v>
      </c>
      <c r="E157" s="2203">
        <v>188.16943786927379</v>
      </c>
      <c r="F157" s="2203">
        <v>191.60616257520317</v>
      </c>
      <c r="G157" s="2204">
        <v>195.4961932472294</v>
      </c>
    </row>
    <row r="158" spans="1:7">
      <c r="A158" s="39"/>
      <c r="C158" s="2197"/>
      <c r="D158" s="2197"/>
      <c r="E158" s="2197"/>
      <c r="F158" s="2197"/>
      <c r="G158" s="2198"/>
    </row>
    <row r="159" spans="1:7">
      <c r="A159" s="39" t="s">
        <v>1934</v>
      </c>
      <c r="C159" s="2197"/>
      <c r="D159" s="2197"/>
      <c r="E159" s="2197"/>
      <c r="F159" s="2197"/>
      <c r="G159" s="2198"/>
    </row>
    <row r="160" spans="1:7">
      <c r="A160" s="39" t="s">
        <v>1928</v>
      </c>
      <c r="B160" s="96"/>
      <c r="C160" s="2199">
        <v>874.09762640562337</v>
      </c>
      <c r="D160" s="2199">
        <v>874.09762640562337</v>
      </c>
      <c r="E160" s="2199">
        <v>898.71498567652452</v>
      </c>
      <c r="F160" s="2199">
        <v>915.12910706540401</v>
      </c>
      <c r="G160" s="2200">
        <v>933.70826050965286</v>
      </c>
    </row>
    <row r="161" spans="1:7">
      <c r="A161" s="39" t="s">
        <v>1929</v>
      </c>
      <c r="B161" s="96"/>
      <c r="C161" s="2199">
        <v>0</v>
      </c>
      <c r="D161" s="2199">
        <v>0</v>
      </c>
      <c r="E161" s="2199">
        <v>0</v>
      </c>
      <c r="F161" s="2199">
        <v>0</v>
      </c>
      <c r="G161" s="2200">
        <v>0</v>
      </c>
    </row>
    <row r="162" spans="1:7">
      <c r="A162" s="39" t="s">
        <v>1930</v>
      </c>
      <c r="B162" s="96"/>
      <c r="C162" s="2199">
        <v>19.5089800287647</v>
      </c>
      <c r="D162" s="2199">
        <v>19.134301241653379</v>
      </c>
      <c r="E162" s="2199">
        <v>19.5089800287647</v>
      </c>
      <c r="F162" s="2199">
        <v>19.865291842263964</v>
      </c>
      <c r="G162" s="2200">
        <v>20.268601388974545</v>
      </c>
    </row>
    <row r="163" spans="1:7">
      <c r="A163" s="39" t="s">
        <v>1931</v>
      </c>
      <c r="B163" s="96"/>
      <c r="C163" s="2199">
        <v>8.0627143962181442</v>
      </c>
      <c r="D163" s="2197"/>
      <c r="E163" s="2199">
        <v>8.0627143962181442</v>
      </c>
      <c r="F163" s="2199">
        <v>8.20997173022573</v>
      </c>
      <c r="G163" s="2200">
        <v>8.3766523913162168</v>
      </c>
    </row>
    <row r="164" spans="1:7">
      <c r="A164" s="39" t="s">
        <v>1932</v>
      </c>
      <c r="B164" s="96"/>
      <c r="C164" s="2199">
        <v>7.2319544048630793E-3</v>
      </c>
      <c r="D164" s="2197"/>
      <c r="E164" s="2199">
        <v>7.2319544048630793E-3</v>
      </c>
      <c r="F164" s="2199">
        <v>7.3640387468092705E-3</v>
      </c>
      <c r="G164" s="2200">
        <v>7.5135450894553962E-3</v>
      </c>
    </row>
    <row r="165" spans="1:7">
      <c r="A165" s="39" t="s">
        <v>1935</v>
      </c>
      <c r="B165" s="96"/>
      <c r="C165" s="2199">
        <v>3.3766341752916706E-2</v>
      </c>
      <c r="D165" s="2197"/>
      <c r="E165" s="2199">
        <v>3.3594556410443857E-2</v>
      </c>
      <c r="F165" s="2199">
        <v>3.3766341752916706E-2</v>
      </c>
      <c r="G165" s="2200">
        <v>3.4451873488094649E-2</v>
      </c>
    </row>
    <row r="166" spans="1:7">
      <c r="A166" s="39" t="s">
        <v>1936</v>
      </c>
      <c r="B166" s="96"/>
      <c r="C166" s="2199">
        <v>7.8810495193612815E-2</v>
      </c>
      <c r="D166" s="2197"/>
      <c r="E166" s="2197"/>
      <c r="F166" s="2199">
        <v>7.8810495193612815E-2</v>
      </c>
      <c r="G166" s="2200">
        <v>8.0410523290101635E-2</v>
      </c>
    </row>
    <row r="167" spans="1:7">
      <c r="A167" s="39" t="s">
        <v>1933</v>
      </c>
      <c r="B167" s="96"/>
      <c r="C167" s="2202">
        <v>901.7891296219575</v>
      </c>
      <c r="D167" s="2203">
        <v>893.23192764727673</v>
      </c>
      <c r="E167" s="2203">
        <v>926.32750661232262</v>
      </c>
      <c r="F167" s="2203">
        <v>943.32431151358696</v>
      </c>
      <c r="G167" s="2204">
        <v>962.47589023181126</v>
      </c>
    </row>
    <row r="168" spans="1:7">
      <c r="A168" s="39"/>
      <c r="C168" s="2197"/>
      <c r="D168" s="2197"/>
      <c r="E168" s="2197"/>
      <c r="F168" s="2197"/>
      <c r="G168" s="2198"/>
    </row>
    <row r="169" spans="1:7">
      <c r="A169" s="39" t="s">
        <v>1937</v>
      </c>
      <c r="C169" s="2197"/>
      <c r="D169" s="2197"/>
      <c r="E169" s="2197"/>
      <c r="F169" s="2197"/>
      <c r="G169" s="2198"/>
    </row>
    <row r="170" spans="1:7">
      <c r="A170" s="39" t="s">
        <v>1930</v>
      </c>
      <c r="B170" s="96"/>
      <c r="C170" s="2199">
        <v>1E-4</v>
      </c>
      <c r="D170" s="2199">
        <v>9.8079454761043974E-5</v>
      </c>
      <c r="E170" s="2199">
        <v>1E-4</v>
      </c>
      <c r="F170" s="2199">
        <v>1.0182639898638427E-4</v>
      </c>
      <c r="G170" s="2200">
        <v>1.0389370104992592E-4</v>
      </c>
    </row>
    <row r="171" spans="1:7">
      <c r="A171" s="39" t="s">
        <v>1931</v>
      </c>
      <c r="B171" s="96"/>
      <c r="C171" s="2199">
        <v>116.4660583523804</v>
      </c>
      <c r="D171" s="2197"/>
      <c r="E171" s="2199">
        <v>116.4660583523804</v>
      </c>
      <c r="F171" s="2199">
        <v>118.59319326160998</v>
      </c>
      <c r="G171" s="2200">
        <v>121.00089848925437</v>
      </c>
    </row>
    <row r="172" spans="1:7">
      <c r="A172" s="39" t="s">
        <v>1932</v>
      </c>
      <c r="B172" s="96"/>
      <c r="C172" s="2199">
        <v>1E-4</v>
      </c>
      <c r="D172" s="2197"/>
      <c r="E172" s="2199">
        <v>1E-4</v>
      </c>
      <c r="F172" s="2199">
        <v>1.0182639898638427E-4</v>
      </c>
      <c r="G172" s="2200">
        <v>1.0389370104992592E-4</v>
      </c>
    </row>
    <row r="173" spans="1:7">
      <c r="A173" s="39" t="s">
        <v>1935</v>
      </c>
      <c r="B173" s="96"/>
      <c r="C173" s="2199">
        <v>1E-4</v>
      </c>
      <c r="D173" s="2197"/>
      <c r="E173" s="2199">
        <v>9.9491252728146028E-5</v>
      </c>
      <c r="F173" s="2199">
        <v>1E-4</v>
      </c>
      <c r="G173" s="2200">
        <v>1.0203022210754805E-4</v>
      </c>
    </row>
    <row r="174" spans="1:7">
      <c r="A174" s="39" t="s">
        <v>1936</v>
      </c>
      <c r="B174" s="96"/>
      <c r="C174" s="2199">
        <v>85.043941647619604</v>
      </c>
      <c r="D174" s="2197"/>
      <c r="E174" s="2197"/>
      <c r="F174" s="2199">
        <v>85.043941647619604</v>
      </c>
      <c r="G174" s="2200">
        <v>86.770522552079839</v>
      </c>
    </row>
    <row r="175" spans="1:7">
      <c r="A175" s="39" t="s">
        <v>1933</v>
      </c>
      <c r="B175" s="96"/>
      <c r="C175" s="2202">
        <v>201.51030000000003</v>
      </c>
      <c r="D175" s="2203">
        <v>9.8079454761043974E-5</v>
      </c>
      <c r="E175" s="2203">
        <v>116.46635784363313</v>
      </c>
      <c r="F175" s="2203">
        <v>203.63743856202757</v>
      </c>
      <c r="G175" s="2204">
        <v>207.77173085895842</v>
      </c>
    </row>
    <row r="176" spans="1:7">
      <c r="A176" s="39"/>
      <c r="C176" s="2197"/>
      <c r="D176" s="2197"/>
      <c r="E176" s="2197"/>
      <c r="F176" s="2197"/>
      <c r="G176" s="2198"/>
    </row>
    <row r="177" spans="1:7">
      <c r="A177" s="39" t="s">
        <v>1938</v>
      </c>
      <c r="C177" s="2197"/>
      <c r="D177" s="2197"/>
      <c r="E177" s="2197"/>
      <c r="F177" s="2197"/>
      <c r="G177" s="2198"/>
    </row>
    <row r="178" spans="1:7">
      <c r="A178" s="39" t="s">
        <v>1926</v>
      </c>
      <c r="B178" s="96"/>
      <c r="C178" s="2194">
        <v>9.4390000000000001</v>
      </c>
      <c r="D178" s="2195">
        <v>9.4390000000000001</v>
      </c>
      <c r="E178" s="2195">
        <v>9.7048321532270219</v>
      </c>
      <c r="F178" s="2195">
        <v>9.8820811093038543</v>
      </c>
      <c r="G178" s="2196">
        <v>10.08270930467077</v>
      </c>
    </row>
    <row r="179" spans="1:7">
      <c r="A179" s="39"/>
      <c r="C179" s="2197"/>
      <c r="D179" s="2197"/>
      <c r="E179" s="2197"/>
      <c r="F179" s="2197"/>
      <c r="G179" s="2198"/>
    </row>
    <row r="180" spans="1:7">
      <c r="A180" s="39" t="s">
        <v>115</v>
      </c>
      <c r="C180" s="2197"/>
      <c r="D180" s="2197"/>
      <c r="E180" s="2197"/>
      <c r="F180" s="2197"/>
      <c r="G180" s="2198"/>
    </row>
    <row r="181" spans="1:7">
      <c r="A181" s="39" t="s">
        <v>1928</v>
      </c>
      <c r="C181" s="2197">
        <v>3871.4998968400851</v>
      </c>
      <c r="D181" s="2197">
        <v>3871.4998968400851</v>
      </c>
      <c r="E181" s="2197">
        <v>3980.5336031432098</v>
      </c>
      <c r="F181" s="2197">
        <v>4053.2340285237024</v>
      </c>
      <c r="G181" s="2198">
        <v>4135.5236818414505</v>
      </c>
    </row>
    <row r="182" spans="1:7">
      <c r="A182" s="39" t="s">
        <v>1929</v>
      </c>
      <c r="C182" s="2197">
        <v>0</v>
      </c>
      <c r="D182" s="2197">
        <v>0</v>
      </c>
      <c r="E182" s="2197">
        <v>0</v>
      </c>
      <c r="F182" s="2197">
        <v>0</v>
      </c>
      <c r="G182" s="2198">
        <v>0</v>
      </c>
    </row>
    <row r="183" spans="1:7">
      <c r="A183" s="39" t="s">
        <v>1930</v>
      </c>
      <c r="C183" s="2197">
        <v>19.530505645914349</v>
      </c>
      <c r="D183" s="2197">
        <v>19.155413449587709</v>
      </c>
      <c r="E183" s="2197">
        <v>19.530505645914349</v>
      </c>
      <c r="F183" s="2197">
        <v>19.88721060306705</v>
      </c>
      <c r="G183" s="2198">
        <v>20.290965149305155</v>
      </c>
    </row>
    <row r="184" spans="1:7">
      <c r="A184" s="39" t="s">
        <v>1931</v>
      </c>
      <c r="C184" s="2197">
        <v>124.55693361171694</v>
      </c>
      <c r="D184" s="2197">
        <v>0</v>
      </c>
      <c r="E184" s="2197">
        <v>124.55693361171694</v>
      </c>
      <c r="F184" s="2197">
        <v>126.83184018467266</v>
      </c>
      <c r="G184" s="2198">
        <v>129.40680824351188</v>
      </c>
    </row>
    <row r="185" spans="1:7">
      <c r="A185" s="39" t="s">
        <v>1932</v>
      </c>
      <c r="C185" s="2197">
        <v>7.3319544048630796E-3</v>
      </c>
      <c r="D185" s="2197">
        <v>0</v>
      </c>
      <c r="E185" s="2197">
        <v>7.3319544048630796E-3</v>
      </c>
      <c r="F185" s="2197">
        <v>7.4658651457956545E-3</v>
      </c>
      <c r="G185" s="2198">
        <v>7.6174387905053225E-3</v>
      </c>
    </row>
    <row r="186" spans="1:7">
      <c r="A186" s="39" t="s">
        <v>1935</v>
      </c>
      <c r="C186" s="2197">
        <v>3.3866341752916709E-2</v>
      </c>
      <c r="D186" s="2197">
        <v>0</v>
      </c>
      <c r="E186" s="2197">
        <v>3.3694047663172001E-2</v>
      </c>
      <c r="F186" s="2197">
        <v>3.3866341752916709E-2</v>
      </c>
      <c r="G186" s="2198">
        <v>3.45539037102022E-2</v>
      </c>
    </row>
    <row r="187" spans="1:7" ht="15" thickBot="1">
      <c r="A187" s="39" t="s">
        <v>1936</v>
      </c>
      <c r="C187" s="2197">
        <v>85.122752142813212</v>
      </c>
      <c r="D187" s="2197">
        <v>0</v>
      </c>
      <c r="E187" s="2197">
        <v>0</v>
      </c>
      <c r="F187" s="2197">
        <v>85.122752142813212</v>
      </c>
      <c r="G187" s="2198">
        <v>86.850933075369937</v>
      </c>
    </row>
    <row r="188" spans="1:7" ht="15" thickBot="1">
      <c r="A188" s="39" t="s">
        <v>115</v>
      </c>
      <c r="C188" s="2205">
        <v>4100.7512865366871</v>
      </c>
      <c r="D188" s="2206">
        <v>3890.6553102896728</v>
      </c>
      <c r="E188" s="2206">
        <v>4124.6620684029085</v>
      </c>
      <c r="F188" s="2206">
        <v>4285.1171636611543</v>
      </c>
      <c r="G188" s="2207">
        <v>4372.1145596521374</v>
      </c>
    </row>
    <row r="189" spans="1:7">
      <c r="A189" s="39"/>
      <c r="C189" s="2197"/>
      <c r="D189" s="2197"/>
      <c r="E189" s="2197"/>
      <c r="F189" s="2197"/>
      <c r="G189" s="2198"/>
    </row>
    <row r="190" spans="1:7">
      <c r="A190" s="39" t="s">
        <v>1939</v>
      </c>
      <c r="C190" s="2197"/>
      <c r="D190" s="2197">
        <v>109.03370630312489</v>
      </c>
      <c r="E190" s="2197">
        <v>75.332170821341492</v>
      </c>
      <c r="F190" s="2197">
        <v>86.997395990984245</v>
      </c>
      <c r="G190" s="2198">
        <v>271.36327311545062</v>
      </c>
    </row>
    <row r="191" spans="1:7">
      <c r="A191" s="39"/>
      <c r="C191" s="2197"/>
      <c r="D191" s="2197"/>
      <c r="E191" s="2197"/>
      <c r="F191" s="2197"/>
      <c r="G191" s="2198"/>
    </row>
    <row r="192" spans="1:7">
      <c r="A192" s="39" t="s">
        <v>1940</v>
      </c>
      <c r="C192" s="2197"/>
      <c r="D192" s="2197"/>
      <c r="E192" s="2197"/>
      <c r="F192" s="2197"/>
      <c r="G192" s="2198"/>
    </row>
    <row r="193" spans="1:7">
      <c r="A193" s="39" t="s">
        <v>1941</v>
      </c>
      <c r="C193" s="2199">
        <v>0</v>
      </c>
      <c r="D193" s="2197"/>
      <c r="E193" s="2197"/>
      <c r="F193" s="2199">
        <v>0</v>
      </c>
      <c r="G193" s="2200">
        <v>0</v>
      </c>
    </row>
    <row r="194" spans="1:7">
      <c r="A194" s="39" t="s">
        <v>1942</v>
      </c>
      <c r="C194" s="2199">
        <v>0</v>
      </c>
      <c r="D194" s="2197"/>
      <c r="E194" s="2197"/>
      <c r="F194" s="2199">
        <v>0</v>
      </c>
      <c r="G194" s="2200">
        <v>0</v>
      </c>
    </row>
    <row r="195" spans="1:7">
      <c r="A195" s="39" t="s">
        <v>1943</v>
      </c>
      <c r="C195" s="2199">
        <v>0</v>
      </c>
      <c r="D195" s="2197"/>
      <c r="E195" s="2197"/>
      <c r="F195" s="2199">
        <v>0</v>
      </c>
      <c r="G195" s="2200">
        <v>0</v>
      </c>
    </row>
    <row r="196" spans="1:7">
      <c r="A196" s="39" t="s">
        <v>1933</v>
      </c>
      <c r="C196" s="2202">
        <v>0</v>
      </c>
      <c r="D196" s="2203"/>
      <c r="E196" s="2203"/>
      <c r="F196" s="2203">
        <v>0</v>
      </c>
      <c r="G196" s="2204">
        <v>0</v>
      </c>
    </row>
    <row r="197" spans="1:7">
      <c r="A197" s="102"/>
      <c r="C197" s="2197"/>
      <c r="D197" s="2197"/>
      <c r="E197" s="2197"/>
      <c r="F197" s="2197"/>
      <c r="G197" s="2198"/>
    </row>
    <row r="198" spans="1:7">
      <c r="A198" s="39" t="s">
        <v>1944</v>
      </c>
      <c r="C198" s="2194">
        <v>0</v>
      </c>
      <c r="D198" s="2203"/>
      <c r="E198" s="2203"/>
      <c r="F198" s="2195">
        <v>0</v>
      </c>
      <c r="G198" s="2196">
        <v>0</v>
      </c>
    </row>
    <row r="199" spans="1:7">
      <c r="A199" s="39"/>
      <c r="C199" s="2197"/>
      <c r="D199" s="2197"/>
      <c r="E199" s="2197"/>
      <c r="F199" s="2197"/>
      <c r="G199" s="2198"/>
    </row>
    <row r="200" spans="1:7">
      <c r="A200" s="39" t="s">
        <v>1945</v>
      </c>
      <c r="C200" s="2197"/>
      <c r="D200" s="2197">
        <v>0</v>
      </c>
      <c r="E200" s="2197">
        <v>0</v>
      </c>
      <c r="F200" s="2197">
        <v>0</v>
      </c>
      <c r="G200" s="2198">
        <v>0</v>
      </c>
    </row>
    <row r="201" spans="1:7" ht="15" thickBot="1">
      <c r="A201" s="39"/>
      <c r="C201" s="2197"/>
      <c r="D201" s="2197"/>
      <c r="E201" s="2197"/>
      <c r="F201" s="2197"/>
      <c r="G201" s="2198"/>
    </row>
    <row r="202" spans="1:7" ht="15" thickBot="1">
      <c r="A202" s="39" t="s">
        <v>115</v>
      </c>
      <c r="C202" s="2205">
        <v>4100.7512865366871</v>
      </c>
      <c r="D202" s="2206">
        <v>3890.6553102896728</v>
      </c>
      <c r="E202" s="2206">
        <v>4124.6620684029085</v>
      </c>
      <c r="F202" s="2206">
        <v>4285.1171636611543</v>
      </c>
      <c r="G202" s="2207">
        <v>4372.1145596521374</v>
      </c>
    </row>
    <row r="203" spans="1:7">
      <c r="A203" s="39"/>
      <c r="C203" s="2197"/>
      <c r="D203" s="2197"/>
      <c r="E203" s="2197"/>
      <c r="F203" s="2197"/>
      <c r="G203" s="2198"/>
    </row>
    <row r="204" spans="1:7" ht="15" thickBot="1">
      <c r="A204" s="82" t="s">
        <v>1946</v>
      </c>
      <c r="B204" s="32"/>
      <c r="C204" s="2208"/>
      <c r="D204" s="2209">
        <v>109.03370630312489</v>
      </c>
      <c r="E204" s="2209">
        <v>75.332170821341492</v>
      </c>
      <c r="F204" s="2209">
        <v>86.997395990984245</v>
      </c>
      <c r="G204" s="2210">
        <v>271.36327311545062</v>
      </c>
    </row>
    <row r="205" spans="1:7" ht="15" thickBot="1"/>
    <row r="206" spans="1:7" ht="15" thickBot="1">
      <c r="A206" s="2187" t="s">
        <v>9004</v>
      </c>
      <c r="B206" s="2215"/>
      <c r="C206" s="2215"/>
      <c r="D206" s="2215"/>
      <c r="E206" s="2215"/>
      <c r="F206" s="2215"/>
      <c r="G206" s="2216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1962"/>
      <c r="D213" s="1962"/>
      <c r="E213" s="2190">
        <v>1.0278933458468449</v>
      </c>
      <c r="F213" s="2190">
        <v>1.0185886978132481</v>
      </c>
      <c r="G213" s="2191">
        <v>1.0205822632998902</v>
      </c>
    </row>
    <row r="214" spans="1:7">
      <c r="A214" s="39" t="s">
        <v>1924</v>
      </c>
      <c r="C214" s="1962"/>
      <c r="D214" s="2192">
        <v>0.98104753778322229</v>
      </c>
      <c r="E214" s="2192">
        <v>0.99495567486959402</v>
      </c>
      <c r="F214" s="1962"/>
      <c r="G214" s="2193"/>
    </row>
    <row r="215" spans="1:7">
      <c r="A215" s="39"/>
      <c r="C215" s="1962"/>
      <c r="D215" s="1962"/>
      <c r="E215" s="1962"/>
      <c r="F215" s="1962"/>
      <c r="G215" s="2193"/>
    </row>
    <row r="216" spans="1:7">
      <c r="A216" s="39" t="s">
        <v>1925</v>
      </c>
      <c r="C216" s="1962"/>
      <c r="D216" s="1962"/>
      <c r="E216" s="1962"/>
      <c r="F216" s="1962"/>
      <c r="G216" s="2193"/>
    </row>
    <row r="217" spans="1:7">
      <c r="A217" s="39" t="s">
        <v>1926</v>
      </c>
      <c r="B217" s="96"/>
      <c r="C217" s="2194">
        <v>2843.5622308308061</v>
      </c>
      <c r="D217" s="2195">
        <v>2843.5622308308061</v>
      </c>
      <c r="E217" s="2195">
        <v>2922.8786955723954</v>
      </c>
      <c r="F217" s="2195">
        <v>2977.2112043891716</v>
      </c>
      <c r="G217" s="2196">
        <v>3038.4889492972929</v>
      </c>
    </row>
    <row r="218" spans="1:7">
      <c r="A218" s="39"/>
      <c r="C218" s="2197"/>
      <c r="D218" s="2197"/>
      <c r="E218" s="2197"/>
      <c r="F218" s="2197"/>
      <c r="G218" s="2198"/>
    </row>
    <row r="219" spans="1:7">
      <c r="A219" s="39" t="s">
        <v>1927</v>
      </c>
      <c r="C219" s="2197"/>
      <c r="D219" s="2197"/>
      <c r="E219" s="2197"/>
      <c r="F219" s="2197"/>
      <c r="G219" s="2198"/>
    </row>
    <row r="220" spans="1:7">
      <c r="A220" s="39" t="s">
        <v>1928</v>
      </c>
      <c r="B220" s="96"/>
      <c r="C220" s="2199">
        <v>183.45039196864943</v>
      </c>
      <c r="D220" s="2199">
        <v>183.45039196864943</v>
      </c>
      <c r="E220" s="2199">
        <v>188.56743719757023</v>
      </c>
      <c r="F220" s="2199">
        <v>192.07266030505451</v>
      </c>
      <c r="G220" s="2200">
        <v>196.02595037216352</v>
      </c>
    </row>
    <row r="221" spans="1:7">
      <c r="A221" s="39" t="s">
        <v>1929</v>
      </c>
      <c r="B221" s="96"/>
      <c r="C221" s="2199">
        <v>0</v>
      </c>
      <c r="D221" s="2199">
        <v>0</v>
      </c>
      <c r="E221" s="2199">
        <v>0</v>
      </c>
      <c r="F221" s="2199">
        <v>0</v>
      </c>
      <c r="G221" s="2200">
        <v>0</v>
      </c>
    </row>
    <row r="222" spans="1:7">
      <c r="A222" s="39" t="s">
        <v>1930</v>
      </c>
      <c r="B222" s="96"/>
      <c r="C222" s="2199">
        <v>2.1482231869728707E-2</v>
      </c>
      <c r="D222" s="2201">
        <v>2.1075090681885615E-2</v>
      </c>
      <c r="E222" s="2199">
        <v>2.1482231869728707E-2</v>
      </c>
      <c r="F222" s="2199">
        <v>2.1881558586309222E-2</v>
      </c>
      <c r="G222" s="2200">
        <v>2.2331930586544611E-2</v>
      </c>
    </row>
    <row r="223" spans="1:7">
      <c r="A223" s="39" t="s">
        <v>1931</v>
      </c>
      <c r="B223" s="96"/>
      <c r="C223" s="2199">
        <v>2.8235274948470487E-2</v>
      </c>
      <c r="D223" s="2197"/>
      <c r="E223" s="2199">
        <v>2.8235274948470487E-2</v>
      </c>
      <c r="F223" s="2199">
        <v>2.8760131942161579E-2</v>
      </c>
      <c r="G223" s="2200">
        <v>2.9352080550334732E-2</v>
      </c>
    </row>
    <row r="224" spans="1:7">
      <c r="A224" s="39" t="s">
        <v>1932</v>
      </c>
      <c r="B224" s="96"/>
      <c r="C224" s="2199">
        <v>0</v>
      </c>
      <c r="D224" s="2197"/>
      <c r="E224" s="2199">
        <v>0</v>
      </c>
      <c r="F224" s="2199">
        <v>0</v>
      </c>
      <c r="G224" s="2200">
        <v>0</v>
      </c>
    </row>
    <row r="225" spans="1:7">
      <c r="A225" s="39" t="s">
        <v>1933</v>
      </c>
      <c r="B225" s="96"/>
      <c r="C225" s="2202">
        <v>183.50010947546761</v>
      </c>
      <c r="D225" s="2203">
        <v>183.4714670593313</v>
      </c>
      <c r="E225" s="2203">
        <v>188.61715470438841</v>
      </c>
      <c r="F225" s="2203">
        <v>192.12330199558298</v>
      </c>
      <c r="G225" s="2204">
        <v>196.07763438330039</v>
      </c>
    </row>
    <row r="226" spans="1:7">
      <c r="A226" s="39"/>
      <c r="C226" s="2197"/>
      <c r="D226" s="2197"/>
      <c r="E226" s="2197"/>
      <c r="F226" s="2197"/>
      <c r="G226" s="2198"/>
    </row>
    <row r="227" spans="1:7">
      <c r="A227" s="39" t="s">
        <v>1934</v>
      </c>
      <c r="C227" s="2197"/>
      <c r="D227" s="2197"/>
      <c r="E227" s="2197"/>
      <c r="F227" s="2197"/>
      <c r="G227" s="2198"/>
    </row>
    <row r="228" spans="1:7">
      <c r="A228" s="39" t="s">
        <v>1928</v>
      </c>
      <c r="B228" s="96"/>
      <c r="C228" s="2199">
        <v>962.71390666491118</v>
      </c>
      <c r="D228" s="2199">
        <v>962.71390666491118</v>
      </c>
      <c r="E228" s="2199">
        <v>989.56721861508265</v>
      </c>
      <c r="F228" s="2199">
        <v>1007.9619846078149</v>
      </c>
      <c r="G228" s="2200">
        <v>1028.7081235712928</v>
      </c>
    </row>
    <row r="229" spans="1:7">
      <c r="A229" s="39" t="s">
        <v>1929</v>
      </c>
      <c r="B229" s="96"/>
      <c r="C229" s="2199">
        <v>0</v>
      </c>
      <c r="D229" s="2199">
        <v>0</v>
      </c>
      <c r="E229" s="2199">
        <v>0</v>
      </c>
      <c r="F229" s="2199">
        <v>0</v>
      </c>
      <c r="G229" s="2200">
        <v>0</v>
      </c>
    </row>
    <row r="230" spans="1:7">
      <c r="A230" s="39" t="s">
        <v>1930</v>
      </c>
      <c r="B230" s="96"/>
      <c r="C230" s="2199">
        <v>21.533592291820121</v>
      </c>
      <c r="D230" s="2199">
        <v>21.125477697517905</v>
      </c>
      <c r="E230" s="2199">
        <v>21.533592291820121</v>
      </c>
      <c r="F230" s="2199">
        <v>21.933873731766454</v>
      </c>
      <c r="G230" s="2200">
        <v>22.385322496100216</v>
      </c>
    </row>
    <row r="231" spans="1:7">
      <c r="A231" s="39" t="s">
        <v>1931</v>
      </c>
      <c r="B231" s="96"/>
      <c r="C231" s="2199">
        <v>8.8994506282522252</v>
      </c>
      <c r="D231" s="2197"/>
      <c r="E231" s="2199">
        <v>8.8994506282522252</v>
      </c>
      <c r="F231" s="2199">
        <v>9.0648798266847272</v>
      </c>
      <c r="G231" s="2200">
        <v>9.2514555700594148</v>
      </c>
    </row>
    <row r="232" spans="1:7">
      <c r="A232" s="39" t="s">
        <v>1932</v>
      </c>
      <c r="B232" s="96"/>
      <c r="C232" s="2199">
        <v>7.9824756290559854E-3</v>
      </c>
      <c r="D232" s="2197"/>
      <c r="E232" s="2199">
        <v>7.9824756290559854E-3</v>
      </c>
      <c r="F232" s="2199">
        <v>8.1308594563261252E-3</v>
      </c>
      <c r="G232" s="2200">
        <v>8.2982109465106323E-3</v>
      </c>
    </row>
    <row r="233" spans="1:7">
      <c r="A233" s="39" t="s">
        <v>1935</v>
      </c>
      <c r="B233" s="96"/>
      <c r="C233" s="2199">
        <v>3.7270561322093443E-2</v>
      </c>
      <c r="D233" s="2197"/>
      <c r="E233" s="2199">
        <v>3.7082556492992066E-2</v>
      </c>
      <c r="F233" s="2199">
        <v>3.7270561322093443E-2</v>
      </c>
      <c r="G233" s="2200">
        <v>3.8037673828559472E-2</v>
      </c>
    </row>
    <row r="234" spans="1:7">
      <c r="A234" s="39" t="s">
        <v>1936</v>
      </c>
      <c r="B234" s="96"/>
      <c r="C234" s="2199">
        <v>8.6989328468914592E-2</v>
      </c>
      <c r="D234" s="2197"/>
      <c r="E234" s="2197"/>
      <c r="F234" s="2199">
        <v>8.6989328468914592E-2</v>
      </c>
      <c r="G234" s="2200">
        <v>8.8779765731742427E-2</v>
      </c>
    </row>
    <row r="235" spans="1:7">
      <c r="A235" s="39" t="s">
        <v>1933</v>
      </c>
      <c r="B235" s="96"/>
      <c r="C235" s="2202">
        <v>993.27919195040363</v>
      </c>
      <c r="D235" s="2203">
        <v>983.83938436242909</v>
      </c>
      <c r="E235" s="2203">
        <v>1020.0453265672771</v>
      </c>
      <c r="F235" s="2203">
        <v>1039.0931289155135</v>
      </c>
      <c r="G235" s="2204">
        <v>1060.4800172879591</v>
      </c>
    </row>
    <row r="236" spans="1:7">
      <c r="A236" s="39"/>
      <c r="C236" s="2197"/>
      <c r="D236" s="2197"/>
      <c r="E236" s="2197"/>
      <c r="F236" s="2197"/>
      <c r="G236" s="2198"/>
    </row>
    <row r="237" spans="1:7">
      <c r="A237" s="39" t="s">
        <v>1937</v>
      </c>
      <c r="C237" s="2197"/>
      <c r="D237" s="2197"/>
      <c r="E237" s="2197"/>
      <c r="F237" s="2197"/>
      <c r="G237" s="2198"/>
    </row>
    <row r="238" spans="1:7">
      <c r="A238" s="39" t="s">
        <v>1930</v>
      </c>
      <c r="B238" s="96"/>
      <c r="C238" s="2199">
        <v>1E-4</v>
      </c>
      <c r="D238" s="2199">
        <v>9.8104753778322239E-5</v>
      </c>
      <c r="E238" s="2199">
        <v>1E-4</v>
      </c>
      <c r="F238" s="2199">
        <v>1.0185886978132482E-4</v>
      </c>
      <c r="G238" s="2200">
        <v>1.0395535585859327E-4</v>
      </c>
    </row>
    <row r="239" spans="1:7">
      <c r="A239" s="39" t="s">
        <v>1931</v>
      </c>
      <c r="B239" s="96"/>
      <c r="C239" s="2199">
        <v>116.4660583523804</v>
      </c>
      <c r="D239" s="2197"/>
      <c r="E239" s="2199">
        <v>116.4660583523804</v>
      </c>
      <c r="F239" s="2199">
        <v>118.63101071659293</v>
      </c>
      <c r="G239" s="2200">
        <v>121.07270541469394</v>
      </c>
    </row>
    <row r="240" spans="1:7">
      <c r="A240" s="39" t="s">
        <v>1932</v>
      </c>
      <c r="B240" s="96"/>
      <c r="C240" s="2199">
        <v>1E-4</v>
      </c>
      <c r="D240" s="2197"/>
      <c r="E240" s="2199">
        <v>1E-4</v>
      </c>
      <c r="F240" s="2199">
        <v>1.0185886978132482E-4</v>
      </c>
      <c r="G240" s="2200">
        <v>1.0395535585859327E-4</v>
      </c>
    </row>
    <row r="241" spans="1:7">
      <c r="A241" s="39" t="s">
        <v>1935</v>
      </c>
      <c r="B241" s="96"/>
      <c r="C241" s="2199">
        <v>1E-4</v>
      </c>
      <c r="D241" s="2197"/>
      <c r="E241" s="2199">
        <v>9.949556748695941E-5</v>
      </c>
      <c r="F241" s="2199">
        <v>1E-4</v>
      </c>
      <c r="G241" s="2200">
        <v>1.0205822632998903E-4</v>
      </c>
    </row>
    <row r="242" spans="1:7">
      <c r="A242" s="39" t="s">
        <v>1936</v>
      </c>
      <c r="B242" s="96"/>
      <c r="C242" s="2199">
        <v>85.043941647619604</v>
      </c>
      <c r="D242" s="2197"/>
      <c r="E242" s="2197"/>
      <c r="F242" s="2199">
        <v>85.043941647619604</v>
      </c>
      <c r="G242" s="2200">
        <v>86.794338446671404</v>
      </c>
    </row>
    <row r="243" spans="1:7">
      <c r="A243" s="39" t="s">
        <v>1933</v>
      </c>
      <c r="B243" s="96"/>
      <c r="C243" s="2202">
        <v>201.51030000000003</v>
      </c>
      <c r="D243" s="2203">
        <v>9.8104753778322239E-5</v>
      </c>
      <c r="E243" s="2203">
        <v>116.46635784794789</v>
      </c>
      <c r="F243" s="2203">
        <v>203.67525608195211</v>
      </c>
      <c r="G243" s="2204">
        <v>207.86735383030339</v>
      </c>
    </row>
    <row r="244" spans="1:7">
      <c r="A244" s="39"/>
      <c r="C244" s="2197"/>
      <c r="D244" s="2197"/>
      <c r="E244" s="2197"/>
      <c r="F244" s="2197"/>
      <c r="G244" s="2198"/>
    </row>
    <row r="245" spans="1:7">
      <c r="A245" s="39" t="s">
        <v>1938</v>
      </c>
      <c r="C245" s="2197"/>
      <c r="D245" s="2197"/>
      <c r="E245" s="2197"/>
      <c r="F245" s="2197"/>
      <c r="G245" s="2198"/>
    </row>
    <row r="246" spans="1:7">
      <c r="A246" s="39" t="s">
        <v>1926</v>
      </c>
      <c r="B246" s="96"/>
      <c r="C246" s="2194">
        <v>9.4390000000000001</v>
      </c>
      <c r="D246" s="2195">
        <v>9.4390000000000001</v>
      </c>
      <c r="E246" s="2195">
        <v>9.7022852914483693</v>
      </c>
      <c r="F246" s="2195">
        <v>9.8826381408290249</v>
      </c>
      <c r="G246" s="2196">
        <v>10.086045201141106</v>
      </c>
    </row>
    <row r="247" spans="1:7">
      <c r="A247" s="39"/>
      <c r="C247" s="2197"/>
      <c r="D247" s="2197"/>
      <c r="E247" s="2197"/>
      <c r="F247" s="2197"/>
      <c r="G247" s="2198"/>
    </row>
    <row r="248" spans="1:7">
      <c r="A248" s="39" t="s">
        <v>115</v>
      </c>
      <c r="C248" s="2197"/>
      <c r="D248" s="2197"/>
      <c r="E248" s="2197"/>
      <c r="F248" s="2197"/>
      <c r="G248" s="2198"/>
    </row>
    <row r="249" spans="1:7">
      <c r="A249" s="39" t="s">
        <v>1928</v>
      </c>
      <c r="C249" s="2197">
        <v>3999.1655294643665</v>
      </c>
      <c r="D249" s="2197">
        <v>3999.1655294643665</v>
      </c>
      <c r="E249" s="2197">
        <v>4110.7156366764966</v>
      </c>
      <c r="F249" s="2197">
        <v>4187.1284874428693</v>
      </c>
      <c r="G249" s="2198">
        <v>4273.3090684418903</v>
      </c>
    </row>
    <row r="250" spans="1:7">
      <c r="A250" s="39" t="s">
        <v>1929</v>
      </c>
      <c r="C250" s="2197">
        <v>0</v>
      </c>
      <c r="D250" s="2197">
        <v>0</v>
      </c>
      <c r="E250" s="2197">
        <v>0</v>
      </c>
      <c r="F250" s="2197">
        <v>0</v>
      </c>
      <c r="G250" s="2198">
        <v>0</v>
      </c>
    </row>
    <row r="251" spans="1:7">
      <c r="A251" s="39" t="s">
        <v>1930</v>
      </c>
      <c r="C251" s="2197">
        <v>21.55517452368985</v>
      </c>
      <c r="D251" s="2197">
        <v>21.14665089295357</v>
      </c>
      <c r="E251" s="2197">
        <v>21.55517452368985</v>
      </c>
      <c r="F251" s="2197">
        <v>21.955857149222542</v>
      </c>
      <c r="G251" s="2198">
        <v>22.407758382042619</v>
      </c>
    </row>
    <row r="252" spans="1:7">
      <c r="A252" s="39" t="s">
        <v>1931</v>
      </c>
      <c r="C252" s="2197">
        <v>125.3937442555811</v>
      </c>
      <c r="D252" s="2197">
        <v>0</v>
      </c>
      <c r="E252" s="2197">
        <v>125.3937442555811</v>
      </c>
      <c r="F252" s="2197">
        <v>127.72465067521982</v>
      </c>
      <c r="G252" s="2198">
        <v>130.3535130653037</v>
      </c>
    </row>
    <row r="253" spans="1:7">
      <c r="A253" s="39" t="s">
        <v>1932</v>
      </c>
      <c r="C253" s="2197">
        <v>8.0824756290559848E-3</v>
      </c>
      <c r="D253" s="2197">
        <v>0</v>
      </c>
      <c r="E253" s="2197">
        <v>8.0824756290559848E-3</v>
      </c>
      <c r="F253" s="2197">
        <v>8.2327183261074501E-3</v>
      </c>
      <c r="G253" s="2198">
        <v>8.402166302369226E-3</v>
      </c>
    </row>
    <row r="254" spans="1:7">
      <c r="A254" s="39" t="s">
        <v>1935</v>
      </c>
      <c r="C254" s="2197">
        <v>3.7370561322093446E-2</v>
      </c>
      <c r="D254" s="2197">
        <v>0</v>
      </c>
      <c r="E254" s="2197">
        <v>3.7182052060479025E-2</v>
      </c>
      <c r="F254" s="2197">
        <v>3.7370561322093446E-2</v>
      </c>
      <c r="G254" s="2198">
        <v>3.8139732054889464E-2</v>
      </c>
    </row>
    <row r="255" spans="1:7" ht="15" thickBot="1">
      <c r="A255" s="39" t="s">
        <v>1936</v>
      </c>
      <c r="C255" s="2197">
        <v>85.130930976088521</v>
      </c>
      <c r="D255" s="2197">
        <v>0</v>
      </c>
      <c r="E255" s="2197">
        <v>0</v>
      </c>
      <c r="F255" s="2197">
        <v>85.130930976088521</v>
      </c>
      <c r="G255" s="2198">
        <v>86.883118212403147</v>
      </c>
    </row>
    <row r="256" spans="1:7" ht="15" thickBot="1">
      <c r="A256" s="39" t="s">
        <v>115</v>
      </c>
      <c r="C256" s="2205">
        <v>4231.2908322566764</v>
      </c>
      <c r="D256" s="2206">
        <v>4020.3121803573199</v>
      </c>
      <c r="E256" s="2206">
        <v>4257.7098199834563</v>
      </c>
      <c r="F256" s="2206">
        <v>4421.9855295230482</v>
      </c>
      <c r="G256" s="2207">
        <v>4512.9999999999973</v>
      </c>
    </row>
    <row r="257" spans="1:7">
      <c r="A257" s="39"/>
      <c r="C257" s="2197"/>
      <c r="D257" s="2197"/>
      <c r="E257" s="2197"/>
      <c r="F257" s="2197"/>
      <c r="G257" s="2198"/>
    </row>
    <row r="258" spans="1:7">
      <c r="A258" s="39" t="s">
        <v>1939</v>
      </c>
      <c r="C258" s="2197"/>
      <c r="D258" s="2197">
        <v>111.55010721213009</v>
      </c>
      <c r="E258" s="2197">
        <v>79.144590054241945</v>
      </c>
      <c r="F258" s="2197">
        <v>91.014470476948148</v>
      </c>
      <c r="G258" s="2198">
        <v>281.70916774332017</v>
      </c>
    </row>
    <row r="259" spans="1:7">
      <c r="A259" s="39"/>
      <c r="C259" s="2197"/>
      <c r="D259" s="2197"/>
      <c r="E259" s="2197"/>
      <c r="F259" s="2197"/>
      <c r="G259" s="2198"/>
    </row>
    <row r="260" spans="1:7">
      <c r="A260" s="39" t="s">
        <v>1940</v>
      </c>
      <c r="C260" s="2197"/>
      <c r="D260" s="2197"/>
      <c r="E260" s="2197"/>
      <c r="F260" s="2197"/>
      <c r="G260" s="2198"/>
    </row>
    <row r="261" spans="1:7">
      <c r="A261" s="39" t="s">
        <v>1941</v>
      </c>
      <c r="C261" s="2199">
        <v>0</v>
      </c>
      <c r="D261" s="2197"/>
      <c r="E261" s="2197"/>
      <c r="F261" s="2199">
        <v>0</v>
      </c>
      <c r="G261" s="2200">
        <v>0</v>
      </c>
    </row>
    <row r="262" spans="1:7">
      <c r="A262" s="39" t="s">
        <v>1942</v>
      </c>
      <c r="C262" s="2199">
        <v>0</v>
      </c>
      <c r="D262" s="2197"/>
      <c r="E262" s="2197"/>
      <c r="F262" s="2199">
        <v>0</v>
      </c>
      <c r="G262" s="2200">
        <v>0</v>
      </c>
    </row>
    <row r="263" spans="1:7">
      <c r="A263" s="39" t="s">
        <v>1943</v>
      </c>
      <c r="C263" s="2199">
        <v>0</v>
      </c>
      <c r="D263" s="2197"/>
      <c r="E263" s="2197"/>
      <c r="F263" s="2199">
        <v>0</v>
      </c>
      <c r="G263" s="2200">
        <v>0</v>
      </c>
    </row>
    <row r="264" spans="1:7">
      <c r="A264" s="39" t="s">
        <v>1933</v>
      </c>
      <c r="C264" s="2202">
        <v>0</v>
      </c>
      <c r="D264" s="2203"/>
      <c r="E264" s="2203"/>
      <c r="F264" s="2203">
        <v>0</v>
      </c>
      <c r="G264" s="2204">
        <v>0</v>
      </c>
    </row>
    <row r="265" spans="1:7">
      <c r="A265" s="102"/>
      <c r="C265" s="2197"/>
      <c r="D265" s="2197"/>
      <c r="E265" s="2197"/>
      <c r="F265" s="2197"/>
      <c r="G265" s="2198"/>
    </row>
    <row r="266" spans="1:7">
      <c r="A266" s="39" t="s">
        <v>1944</v>
      </c>
      <c r="C266" s="2194">
        <v>0</v>
      </c>
      <c r="D266" s="2203"/>
      <c r="E266" s="2203"/>
      <c r="F266" s="2195">
        <v>0</v>
      </c>
      <c r="G266" s="2196">
        <v>0</v>
      </c>
    </row>
    <row r="267" spans="1:7">
      <c r="A267" s="39"/>
      <c r="C267" s="2197"/>
      <c r="D267" s="2197"/>
      <c r="E267" s="2197"/>
      <c r="F267" s="2197"/>
      <c r="G267" s="2198"/>
    </row>
    <row r="268" spans="1:7">
      <c r="A268" s="39" t="s">
        <v>1945</v>
      </c>
      <c r="C268" s="2197"/>
      <c r="D268" s="2197">
        <v>0</v>
      </c>
      <c r="E268" s="2197">
        <v>0</v>
      </c>
      <c r="F268" s="2197">
        <v>0</v>
      </c>
      <c r="G268" s="2198">
        <v>0</v>
      </c>
    </row>
    <row r="269" spans="1:7" ht="15" thickBot="1">
      <c r="A269" s="39"/>
      <c r="C269" s="2197"/>
      <c r="D269" s="2197"/>
      <c r="E269" s="2197"/>
      <c r="F269" s="2197"/>
      <c r="G269" s="2198"/>
    </row>
    <row r="270" spans="1:7" ht="15" thickBot="1">
      <c r="A270" s="39" t="s">
        <v>115</v>
      </c>
      <c r="C270" s="2205">
        <v>4231.2908322566764</v>
      </c>
      <c r="D270" s="2206">
        <v>4020.3121803573199</v>
      </c>
      <c r="E270" s="2206">
        <v>4257.7098199834563</v>
      </c>
      <c r="F270" s="2206">
        <v>4421.9855295230482</v>
      </c>
      <c r="G270" s="2207">
        <v>4512.9999999999973</v>
      </c>
    </row>
    <row r="271" spans="1:7">
      <c r="A271" s="39"/>
      <c r="C271" s="2197"/>
      <c r="D271" s="2197"/>
      <c r="E271" s="2197"/>
      <c r="F271" s="2197"/>
      <c r="G271" s="2198"/>
    </row>
    <row r="272" spans="1:7" ht="15" thickBot="1">
      <c r="A272" s="82" t="s">
        <v>1946</v>
      </c>
      <c r="B272" s="32"/>
      <c r="C272" s="2208"/>
      <c r="D272" s="2209">
        <v>111.55010721213009</v>
      </c>
      <c r="E272" s="2209">
        <v>79.144590054241945</v>
      </c>
      <c r="F272" s="2209">
        <v>91.014470476948148</v>
      </c>
      <c r="G272" s="2210">
        <v>281.70916774332017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2187" t="s">
        <v>9190</v>
      </c>
      <c r="B2" s="2188"/>
      <c r="C2" s="2188"/>
      <c r="D2" s="2188"/>
      <c r="E2" s="2188"/>
      <c r="F2" s="2188"/>
      <c r="G2" s="2189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1962"/>
      <c r="D9" s="1962"/>
      <c r="E9" s="2190">
        <v>1.0302103954291721</v>
      </c>
      <c r="F9" s="2190">
        <v>1.0162992960916115</v>
      </c>
      <c r="G9" s="2191">
        <v>1.0185621737313579</v>
      </c>
      <c r="I9" s="1962" t="s">
        <v>116</v>
      </c>
    </row>
    <row r="10" spans="1:9">
      <c r="A10" s="39" t="s">
        <v>1924</v>
      </c>
      <c r="C10" s="1962"/>
      <c r="D10" s="2192">
        <v>0.97894569823507793</v>
      </c>
      <c r="E10" s="2192">
        <v>0.99459736335232063</v>
      </c>
      <c r="F10" s="1962"/>
      <c r="G10" s="2193"/>
    </row>
    <row r="11" spans="1:9">
      <c r="A11" s="39"/>
      <c r="C11" s="1962"/>
      <c r="D11" s="1962"/>
      <c r="E11" s="1962"/>
      <c r="F11" s="1962"/>
      <c r="G11" s="2193"/>
    </row>
    <row r="12" spans="1:9">
      <c r="A12" s="39" t="s">
        <v>1925</v>
      </c>
      <c r="C12" s="1962"/>
      <c r="D12" s="1962"/>
      <c r="E12" s="1962"/>
      <c r="F12" s="1962"/>
      <c r="G12" s="2193"/>
    </row>
    <row r="13" spans="1:9">
      <c r="A13" s="39" t="s">
        <v>1926</v>
      </c>
      <c r="B13" s="96"/>
      <c r="C13" s="2194">
        <v>2045.7077937432869</v>
      </c>
      <c r="D13" s="2195">
        <v>2045.7077937432869</v>
      </c>
      <c r="E13" s="2195">
        <v>2107.5094351248108</v>
      </c>
      <c r="F13" s="2195">
        <v>2141.8603554237752</v>
      </c>
      <c r="G13" s="2196">
        <v>2181.6179394494593</v>
      </c>
    </row>
    <row r="14" spans="1:9">
      <c r="A14" s="39"/>
      <c r="C14" s="2197"/>
      <c r="D14" s="2197"/>
      <c r="E14" s="2197"/>
      <c r="F14" s="2197"/>
      <c r="G14" s="2198"/>
    </row>
    <row r="15" spans="1:9">
      <c r="A15" s="39" t="s">
        <v>1927</v>
      </c>
      <c r="C15" s="2197"/>
      <c r="D15" s="2197"/>
      <c r="E15" s="2197"/>
      <c r="F15" s="2197"/>
      <c r="G15" s="2198"/>
    </row>
    <row r="16" spans="1:9">
      <c r="A16" s="39" t="s">
        <v>1928</v>
      </c>
      <c r="B16" s="96"/>
      <c r="C16" s="2199">
        <v>146.01659661655978</v>
      </c>
      <c r="D16" s="2199">
        <v>146.01659661655978</v>
      </c>
      <c r="E16" s="2199">
        <v>150.42781573956796</v>
      </c>
      <c r="F16" s="2199">
        <v>152.87968324872156</v>
      </c>
      <c r="G16" s="2200">
        <v>155.7174624891793</v>
      </c>
    </row>
    <row r="17" spans="1:7">
      <c r="A17" s="39" t="s">
        <v>1929</v>
      </c>
      <c r="B17" s="96"/>
      <c r="C17" s="2199">
        <v>0</v>
      </c>
      <c r="D17" s="2199">
        <v>0</v>
      </c>
      <c r="E17" s="2199">
        <v>0</v>
      </c>
      <c r="F17" s="2199">
        <v>0</v>
      </c>
      <c r="G17" s="2200">
        <v>0</v>
      </c>
    </row>
    <row r="18" spans="1:7">
      <c r="A18" s="39" t="s">
        <v>1930</v>
      </c>
      <c r="B18" s="96"/>
      <c r="C18" s="2199">
        <v>1.7098695465756403E-2</v>
      </c>
      <c r="D18" s="2201">
        <v>1.6738694371633864E-2</v>
      </c>
      <c r="E18" s="2199">
        <v>1.7098695465756403E-2</v>
      </c>
      <c r="F18" s="2199">
        <v>1.7377392165933061E-2</v>
      </c>
      <c r="G18" s="2200">
        <v>1.769995433831505E-2</v>
      </c>
    </row>
    <row r="19" spans="1:7">
      <c r="A19" s="39" t="s">
        <v>1931</v>
      </c>
      <c r="B19" s="96"/>
      <c r="C19" s="2199">
        <v>2.2473752758255406E-2</v>
      </c>
      <c r="D19" s="2197"/>
      <c r="E19" s="2199">
        <v>2.2473752758255406E-2</v>
      </c>
      <c r="F19" s="2199">
        <v>2.2840059108751882E-2</v>
      </c>
      <c r="G19" s="2200">
        <v>2.3264020253963017E-2</v>
      </c>
    </row>
    <row r="20" spans="1:7">
      <c r="A20" s="39" t="s">
        <v>1932</v>
      </c>
      <c r="B20" s="96"/>
      <c r="C20" s="2199">
        <v>0</v>
      </c>
      <c r="D20" s="2197"/>
      <c r="E20" s="2199">
        <v>0</v>
      </c>
      <c r="F20" s="2199">
        <v>0</v>
      </c>
      <c r="G20" s="2200">
        <v>0</v>
      </c>
    </row>
    <row r="21" spans="1:7">
      <c r="A21" s="39" t="s">
        <v>1933</v>
      </c>
      <c r="B21" s="96"/>
      <c r="C21" s="2202">
        <v>146.0561690647838</v>
      </c>
      <c r="D21" s="2203">
        <v>146.03333531093142</v>
      </c>
      <c r="E21" s="2203">
        <v>150.46738818779198</v>
      </c>
      <c r="F21" s="2203">
        <v>152.91990069999625</v>
      </c>
      <c r="G21" s="2204">
        <v>155.7584264637716</v>
      </c>
    </row>
    <row r="22" spans="1:7">
      <c r="A22" s="39"/>
      <c r="C22" s="2197"/>
      <c r="D22" s="2197"/>
      <c r="E22" s="2197"/>
      <c r="F22" s="2197"/>
      <c r="G22" s="2198"/>
    </row>
    <row r="23" spans="1:7">
      <c r="A23" s="39" t="s">
        <v>1934</v>
      </c>
      <c r="C23" s="2197"/>
      <c r="D23" s="2197"/>
      <c r="E23" s="2197"/>
      <c r="F23" s="2197"/>
      <c r="G23" s="2198"/>
    </row>
    <row r="24" spans="1:7">
      <c r="A24" s="39" t="s">
        <v>1928</v>
      </c>
      <c r="B24" s="96"/>
      <c r="C24" s="2199">
        <v>900.28355589625096</v>
      </c>
      <c r="D24" s="2199">
        <v>900.28355589625096</v>
      </c>
      <c r="E24" s="2199">
        <v>927.48147811825788</v>
      </c>
      <c r="F24" s="2199">
        <v>942.59877334959288</v>
      </c>
      <c r="G24" s="2200">
        <v>960.09545553947294</v>
      </c>
    </row>
    <row r="25" spans="1:7">
      <c r="A25" s="39" t="s">
        <v>1929</v>
      </c>
      <c r="B25" s="96"/>
      <c r="C25" s="2199">
        <v>0</v>
      </c>
      <c r="D25" s="2199">
        <v>0</v>
      </c>
      <c r="E25" s="2199">
        <v>0</v>
      </c>
      <c r="F25" s="2199">
        <v>0</v>
      </c>
      <c r="G25" s="2200">
        <v>0</v>
      </c>
    </row>
    <row r="26" spans="1:7">
      <c r="A26" s="39" t="s">
        <v>1930</v>
      </c>
      <c r="B26" s="96"/>
      <c r="C26" s="2199">
        <v>20.536888015888461</v>
      </c>
      <c r="D26" s="2199">
        <v>20.104498178289536</v>
      </c>
      <c r="E26" s="2199">
        <v>20.536888015888461</v>
      </c>
      <c r="F26" s="2199">
        <v>20.871624834459695</v>
      </c>
      <c r="G26" s="2200">
        <v>21.259047560692661</v>
      </c>
    </row>
    <row r="27" spans="1:7">
      <c r="A27" s="39" t="s">
        <v>1931</v>
      </c>
      <c r="B27" s="96"/>
      <c r="C27" s="2199">
        <v>8.4875304816080863</v>
      </c>
      <c r="D27" s="2197"/>
      <c r="E27" s="2199">
        <v>8.4875304816080863</v>
      </c>
      <c r="F27" s="2199">
        <v>8.6258712540143954</v>
      </c>
      <c r="G27" s="2200">
        <v>8.7859861748157364</v>
      </c>
    </row>
    <row r="28" spans="1:7">
      <c r="A28" s="39" t="s">
        <v>1932</v>
      </c>
      <c r="B28" s="96"/>
      <c r="C28" s="2199">
        <v>7.6129986052422376E-3</v>
      </c>
      <c r="D28" s="2197"/>
      <c r="E28" s="2199">
        <v>7.6129986052422376E-3</v>
      </c>
      <c r="F28" s="2199">
        <v>7.7370851236541064E-3</v>
      </c>
      <c r="G28" s="2200">
        <v>7.8807022418936785E-3</v>
      </c>
    </row>
    <row r="29" spans="1:7">
      <c r="A29" s="39" t="s">
        <v>1935</v>
      </c>
      <c r="B29" s="96"/>
      <c r="C29" s="2199">
        <v>3.554545538841164E-2</v>
      </c>
      <c r="D29" s="2197"/>
      <c r="E29" s="2199">
        <v>3.5353416208471752E-2</v>
      </c>
      <c r="F29" s="2199">
        <v>3.554545538841164E-2</v>
      </c>
      <c r="G29" s="2200">
        <v>3.6205256306691573E-2</v>
      </c>
    </row>
    <row r="30" spans="1:7">
      <c r="A30" s="39" t="s">
        <v>1936</v>
      </c>
      <c r="B30" s="96"/>
      <c r="C30" s="2199">
        <v>8.296293870215346E-2</v>
      </c>
      <c r="D30" s="2197"/>
      <c r="E30" s="2197"/>
      <c r="F30" s="2199">
        <v>8.296293870215346E-2</v>
      </c>
      <c r="G30" s="2200">
        <v>8.4502911183606838E-2</v>
      </c>
    </row>
    <row r="31" spans="1:7">
      <c r="A31" s="39" t="s">
        <v>1933</v>
      </c>
      <c r="B31" s="96"/>
      <c r="C31" s="2202">
        <v>929.43409578644344</v>
      </c>
      <c r="D31" s="2203">
        <v>920.38805407454049</v>
      </c>
      <c r="E31" s="2203">
        <v>956.54886303056833</v>
      </c>
      <c r="F31" s="2203">
        <v>972.22251491728116</v>
      </c>
      <c r="G31" s="2204">
        <v>990.2690781447136</v>
      </c>
    </row>
    <row r="32" spans="1:7">
      <c r="A32" s="39"/>
      <c r="C32" s="2197"/>
      <c r="D32" s="2197"/>
      <c r="E32" s="2197"/>
      <c r="F32" s="2197"/>
      <c r="G32" s="2198"/>
    </row>
    <row r="33" spans="1:7">
      <c r="A33" s="39" t="s">
        <v>1937</v>
      </c>
      <c r="C33" s="2197"/>
      <c r="D33" s="2197"/>
      <c r="E33" s="2197"/>
      <c r="F33" s="2197"/>
      <c r="G33" s="2198"/>
    </row>
    <row r="34" spans="1:7">
      <c r="A34" s="39" t="s">
        <v>1930</v>
      </c>
      <c r="B34" s="96"/>
      <c r="C34" s="2199">
        <v>1E-4</v>
      </c>
      <c r="D34" s="2199">
        <v>9.7894569823507805E-5</v>
      </c>
      <c r="E34" s="2199">
        <v>1E-4</v>
      </c>
      <c r="F34" s="2199">
        <v>1.0162992960916116E-4</v>
      </c>
      <c r="G34" s="2200">
        <v>1.0351640201887208E-4</v>
      </c>
    </row>
    <row r="35" spans="1:7">
      <c r="A35" s="39" t="s">
        <v>1931</v>
      </c>
      <c r="B35" s="96"/>
      <c r="C35" s="2199">
        <v>101.64121394397111</v>
      </c>
      <c r="D35" s="2197"/>
      <c r="E35" s="2199">
        <v>101.64121394397111</v>
      </c>
      <c r="F35" s="2199">
        <v>103.29789418515473</v>
      </c>
      <c r="G35" s="2200">
        <v>105.21532764310301</v>
      </c>
    </row>
    <row r="36" spans="1:7">
      <c r="A36" s="39" t="s">
        <v>1932</v>
      </c>
      <c r="B36" s="96"/>
      <c r="C36" s="2199">
        <v>1E-4</v>
      </c>
      <c r="D36" s="2197"/>
      <c r="E36" s="2199">
        <v>1E-4</v>
      </c>
      <c r="F36" s="2199">
        <v>1.0162992960916116E-4</v>
      </c>
      <c r="G36" s="2200">
        <v>1.0351640201887208E-4</v>
      </c>
    </row>
    <row r="37" spans="1:7">
      <c r="A37" s="39" t="s">
        <v>1935</v>
      </c>
      <c r="B37" s="96"/>
      <c r="C37" s="2199">
        <v>1E-4</v>
      </c>
      <c r="D37" s="2197"/>
      <c r="E37" s="2199">
        <v>9.945973633523207E-5</v>
      </c>
      <c r="F37" s="2199">
        <v>1E-4</v>
      </c>
      <c r="G37" s="2200">
        <v>1.018562173731358E-4</v>
      </c>
    </row>
    <row r="38" spans="1:7">
      <c r="A38" s="39" t="s">
        <v>1936</v>
      </c>
      <c r="B38" s="96"/>
      <c r="C38" s="2199">
        <v>74.218786056028904</v>
      </c>
      <c r="D38" s="2197"/>
      <c r="E38" s="2197"/>
      <c r="F38" s="2199">
        <v>74.218786056028904</v>
      </c>
      <c r="G38" s="2200">
        <v>75.596448056931393</v>
      </c>
    </row>
    <row r="39" spans="1:7">
      <c r="A39" s="39" t="s">
        <v>1933</v>
      </c>
      <c r="B39" s="96"/>
      <c r="C39" s="2202">
        <v>175.86030000000002</v>
      </c>
      <c r="D39" s="2203">
        <v>9.7894569823507805E-5</v>
      </c>
      <c r="E39" s="2203">
        <v>101.64151340370745</v>
      </c>
      <c r="F39" s="2203">
        <v>177.51698350104283</v>
      </c>
      <c r="G39" s="2204">
        <v>180.81208458905581</v>
      </c>
    </row>
    <row r="40" spans="1:7">
      <c r="A40" s="39"/>
      <c r="C40" s="2197"/>
      <c r="D40" s="2197"/>
      <c r="E40" s="2197"/>
      <c r="F40" s="2197"/>
      <c r="G40" s="2198"/>
    </row>
    <row r="41" spans="1:7">
      <c r="A41" s="39" t="s">
        <v>1938</v>
      </c>
      <c r="C41" s="2197"/>
      <c r="D41" s="2197"/>
      <c r="E41" s="2197"/>
      <c r="F41" s="2197"/>
      <c r="G41" s="2198"/>
    </row>
    <row r="42" spans="1:7">
      <c r="A42" s="39" t="s">
        <v>1926</v>
      </c>
      <c r="B42" s="96"/>
      <c r="C42" s="2194">
        <v>10.823399999999999</v>
      </c>
      <c r="D42" s="2195">
        <v>10.823399999999999</v>
      </c>
      <c r="E42" s="2195">
        <v>11.150379193888101</v>
      </c>
      <c r="F42" s="2195">
        <v>11.332122525903028</v>
      </c>
      <c r="G42" s="2196">
        <v>11.542471352973875</v>
      </c>
    </row>
    <row r="43" spans="1:7">
      <c r="A43" s="39"/>
      <c r="C43" s="2197"/>
      <c r="D43" s="2197"/>
      <c r="E43" s="2197"/>
      <c r="F43" s="2197"/>
      <c r="G43" s="2198"/>
    </row>
    <row r="44" spans="1:7">
      <c r="A44" s="39" t="s">
        <v>115</v>
      </c>
      <c r="C44" s="2197"/>
      <c r="D44" s="2197"/>
      <c r="E44" s="2197"/>
      <c r="F44" s="2197"/>
      <c r="G44" s="2198"/>
    </row>
    <row r="45" spans="1:7">
      <c r="A45" s="39" t="s">
        <v>1928</v>
      </c>
      <c r="C45" s="2197">
        <v>3102.8313462560977</v>
      </c>
      <c r="D45" s="2197">
        <v>3102.8313462560977</v>
      </c>
      <c r="E45" s="2197">
        <v>3196.5691081765249</v>
      </c>
      <c r="F45" s="2197">
        <v>3248.6709345479926</v>
      </c>
      <c r="G45" s="2198">
        <v>3308.9733288310854</v>
      </c>
    </row>
    <row r="46" spans="1:7">
      <c r="A46" s="39" t="s">
        <v>1929</v>
      </c>
      <c r="C46" s="2197">
        <v>0</v>
      </c>
      <c r="D46" s="2197">
        <v>0</v>
      </c>
      <c r="E46" s="2197">
        <v>0</v>
      </c>
      <c r="F46" s="2197">
        <v>0</v>
      </c>
      <c r="G46" s="2198">
        <v>0</v>
      </c>
    </row>
    <row r="47" spans="1:7">
      <c r="A47" s="39" t="s">
        <v>1930</v>
      </c>
      <c r="C47" s="2197">
        <v>20.554086711354216</v>
      </c>
      <c r="D47" s="2197">
        <v>20.121334767230991</v>
      </c>
      <c r="E47" s="2197">
        <v>20.554086711354216</v>
      </c>
      <c r="F47" s="2197">
        <v>20.889103856555238</v>
      </c>
      <c r="G47" s="2198">
        <v>21.276851031432994</v>
      </c>
    </row>
    <row r="48" spans="1:7">
      <c r="A48" s="39" t="s">
        <v>1931</v>
      </c>
      <c r="C48" s="2197">
        <v>110.15121817833744</v>
      </c>
      <c r="D48" s="2197">
        <v>0</v>
      </c>
      <c r="E48" s="2197">
        <v>110.15121817833744</v>
      </c>
      <c r="F48" s="2197">
        <v>111.94660549827788</v>
      </c>
      <c r="G48" s="2198">
        <v>114.0245778381727</v>
      </c>
    </row>
    <row r="49" spans="1:7">
      <c r="A49" s="39" t="s">
        <v>1932</v>
      </c>
      <c r="C49" s="2197">
        <v>7.7129986052422378E-3</v>
      </c>
      <c r="D49" s="2197">
        <v>0</v>
      </c>
      <c r="E49" s="2197">
        <v>7.7129986052422378E-3</v>
      </c>
      <c r="F49" s="2197">
        <v>7.8387150532632684E-3</v>
      </c>
      <c r="G49" s="2198">
        <v>7.9842186439125513E-3</v>
      </c>
    </row>
    <row r="50" spans="1:7">
      <c r="A50" s="39" t="s">
        <v>1935</v>
      </c>
      <c r="C50" s="2197">
        <v>3.5645455388411643E-2</v>
      </c>
      <c r="D50" s="2197">
        <v>0</v>
      </c>
      <c r="E50" s="2197">
        <v>3.5452875944806984E-2</v>
      </c>
      <c r="F50" s="2197">
        <v>3.5645455388411643E-2</v>
      </c>
      <c r="G50" s="2198">
        <v>3.6307112524064711E-2</v>
      </c>
    </row>
    <row r="51" spans="1:7" ht="15" thickBot="1">
      <c r="A51" s="39" t="s">
        <v>1936</v>
      </c>
      <c r="C51" s="2197">
        <v>74.301748994731057</v>
      </c>
      <c r="D51" s="2197">
        <v>0</v>
      </c>
      <c r="E51" s="2197">
        <v>0</v>
      </c>
      <c r="F51" s="2197">
        <v>74.301748994731057</v>
      </c>
      <c r="G51" s="2198">
        <v>75.680950968114999</v>
      </c>
    </row>
    <row r="52" spans="1:7" ht="15" thickBot="1">
      <c r="A52" s="39" t="s">
        <v>115</v>
      </c>
      <c r="C52" s="2205">
        <v>3307.8817585945139</v>
      </c>
      <c r="D52" s="2206">
        <v>3122.9526810233288</v>
      </c>
      <c r="E52" s="2206">
        <v>3327.3175789407665</v>
      </c>
      <c r="F52" s="2206">
        <v>3455.8518770679984</v>
      </c>
      <c r="G52" s="2207">
        <v>3519.9999999999741</v>
      </c>
    </row>
    <row r="53" spans="1:7">
      <c r="A53" s="39"/>
      <c r="C53" s="2197"/>
      <c r="D53" s="2197"/>
      <c r="E53" s="2197"/>
      <c r="F53" s="2197"/>
      <c r="G53" s="2198"/>
    </row>
    <row r="54" spans="1:7">
      <c r="A54" s="39" t="s">
        <v>1939</v>
      </c>
      <c r="C54" s="2197"/>
      <c r="D54" s="2197">
        <v>93.737761920427772</v>
      </c>
      <c r="E54" s="2197">
        <v>54.232356553056981</v>
      </c>
      <c r="F54" s="2197">
        <v>64.148122931975664</v>
      </c>
      <c r="G54" s="2198">
        <v>212.11824140546042</v>
      </c>
    </row>
    <row r="55" spans="1:7">
      <c r="A55" s="39"/>
      <c r="C55" s="2197"/>
      <c r="D55" s="2197"/>
      <c r="E55" s="2197"/>
      <c r="F55" s="2197"/>
      <c r="G55" s="2198"/>
    </row>
    <row r="56" spans="1:7">
      <c r="A56" s="39" t="s">
        <v>1940</v>
      </c>
      <c r="C56" s="2197"/>
      <c r="D56" s="2197"/>
      <c r="E56" s="2197"/>
      <c r="F56" s="2197"/>
      <c r="G56" s="2198"/>
    </row>
    <row r="57" spans="1:7">
      <c r="A57" s="39" t="s">
        <v>1941</v>
      </c>
      <c r="C57" s="2199">
        <v>0</v>
      </c>
      <c r="D57" s="2197"/>
      <c r="E57" s="2197"/>
      <c r="F57" s="2199">
        <v>0</v>
      </c>
      <c r="G57" s="2200">
        <v>0</v>
      </c>
    </row>
    <row r="58" spans="1:7">
      <c r="A58" s="39" t="s">
        <v>1942</v>
      </c>
      <c r="C58" s="2199">
        <v>0</v>
      </c>
      <c r="D58" s="2197"/>
      <c r="E58" s="2197"/>
      <c r="F58" s="2199">
        <v>0</v>
      </c>
      <c r="G58" s="2200">
        <v>0</v>
      </c>
    </row>
    <row r="59" spans="1:7">
      <c r="A59" s="39" t="s">
        <v>1943</v>
      </c>
      <c r="C59" s="2199">
        <v>0</v>
      </c>
      <c r="D59" s="2197"/>
      <c r="E59" s="2197"/>
      <c r="F59" s="2199">
        <v>0</v>
      </c>
      <c r="G59" s="2200">
        <v>0</v>
      </c>
    </row>
    <row r="60" spans="1:7">
      <c r="A60" s="39" t="s">
        <v>1933</v>
      </c>
      <c r="C60" s="2202">
        <v>0</v>
      </c>
      <c r="D60" s="2203"/>
      <c r="E60" s="2203"/>
      <c r="F60" s="2203">
        <v>0</v>
      </c>
      <c r="G60" s="2204">
        <v>0</v>
      </c>
    </row>
    <row r="61" spans="1:7">
      <c r="A61" s="102"/>
      <c r="C61" s="2197"/>
      <c r="D61" s="2197"/>
      <c r="E61" s="2197"/>
      <c r="F61" s="2197"/>
      <c r="G61" s="2198"/>
    </row>
    <row r="62" spans="1:7">
      <c r="A62" s="39" t="s">
        <v>1944</v>
      </c>
      <c r="C62" s="2194">
        <v>0</v>
      </c>
      <c r="D62" s="2203"/>
      <c r="E62" s="2203"/>
      <c r="F62" s="2195">
        <v>0</v>
      </c>
      <c r="G62" s="2196">
        <v>0</v>
      </c>
    </row>
    <row r="63" spans="1:7">
      <c r="A63" s="39"/>
      <c r="C63" s="2197"/>
      <c r="D63" s="2197"/>
      <c r="E63" s="2197"/>
      <c r="F63" s="2197"/>
      <c r="G63" s="2198"/>
    </row>
    <row r="64" spans="1:7">
      <c r="A64" s="39" t="s">
        <v>1945</v>
      </c>
      <c r="C64" s="2197"/>
      <c r="D64" s="2197">
        <v>0</v>
      </c>
      <c r="E64" s="2197">
        <v>0</v>
      </c>
      <c r="F64" s="2197">
        <v>0</v>
      </c>
      <c r="G64" s="2198">
        <v>0</v>
      </c>
    </row>
    <row r="65" spans="1:7" ht="15" thickBot="1">
      <c r="A65" s="39"/>
      <c r="C65" s="2197"/>
      <c r="D65" s="2197"/>
      <c r="E65" s="2197"/>
      <c r="F65" s="2197"/>
      <c r="G65" s="2198"/>
    </row>
    <row r="66" spans="1:7" ht="15" thickBot="1">
      <c r="A66" s="39" t="s">
        <v>115</v>
      </c>
      <c r="C66" s="2205">
        <v>3307.8817585945139</v>
      </c>
      <c r="D66" s="2206">
        <v>3122.9526810233288</v>
      </c>
      <c r="E66" s="2206">
        <v>3327.3175789407665</v>
      </c>
      <c r="F66" s="2206">
        <v>3455.8518770679984</v>
      </c>
      <c r="G66" s="2207">
        <v>3519.9999999999741</v>
      </c>
    </row>
    <row r="67" spans="1:7">
      <c r="A67" s="39"/>
      <c r="C67" s="2197"/>
      <c r="D67" s="2197"/>
      <c r="E67" s="2197"/>
      <c r="F67" s="2197"/>
      <c r="G67" s="2198"/>
    </row>
    <row r="68" spans="1:7" ht="15" thickBot="1">
      <c r="A68" s="82" t="s">
        <v>1946</v>
      </c>
      <c r="B68" s="32"/>
      <c r="C68" s="2208"/>
      <c r="D68" s="2209">
        <v>93.737761920427772</v>
      </c>
      <c r="E68" s="2209">
        <v>54.232356553056981</v>
      </c>
      <c r="F68" s="2209">
        <v>64.148122931975664</v>
      </c>
      <c r="G68" s="2210">
        <v>212.11824140546042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2187" t="s">
        <v>9005</v>
      </c>
      <c r="B70" s="2211"/>
      <c r="C70" s="2211"/>
      <c r="D70" s="2211"/>
      <c r="E70" s="2211"/>
      <c r="F70" s="2211"/>
      <c r="G70" s="2189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1962"/>
      <c r="D77" s="1962"/>
      <c r="E77" s="2190">
        <v>1.0302103954291721</v>
      </c>
      <c r="F77" s="2190">
        <v>1.0162992960916115</v>
      </c>
      <c r="G77" s="2191">
        <v>1.0185621737313579</v>
      </c>
    </row>
    <row r="78" spans="1:7">
      <c r="A78" s="39" t="s">
        <v>1924</v>
      </c>
      <c r="C78" s="1962"/>
      <c r="D78" s="2192">
        <v>0.97894569823507793</v>
      </c>
      <c r="E78" s="2192">
        <v>0.99459736335232063</v>
      </c>
      <c r="F78" s="1962"/>
      <c r="G78" s="2193"/>
    </row>
    <row r="79" spans="1:7">
      <c r="A79" s="39"/>
      <c r="C79" s="1962"/>
      <c r="D79" s="1962"/>
      <c r="E79" s="1962"/>
      <c r="F79" s="1962"/>
      <c r="G79" s="2193"/>
    </row>
    <row r="80" spans="1:7">
      <c r="A80" s="39" t="s">
        <v>1925</v>
      </c>
      <c r="C80" s="1962"/>
      <c r="D80" s="1962"/>
      <c r="E80" s="1962"/>
      <c r="F80" s="1962"/>
      <c r="G80" s="2193"/>
    </row>
    <row r="81" spans="1:7">
      <c r="A81" s="39" t="s">
        <v>1926</v>
      </c>
      <c r="B81" s="96"/>
      <c r="C81" s="2194">
        <v>2045.7077937432869</v>
      </c>
      <c r="D81" s="2195">
        <v>2045.7077937432869</v>
      </c>
      <c r="E81" s="2195">
        <v>2107.5094351248108</v>
      </c>
      <c r="F81" s="2195">
        <v>2141.8603554237752</v>
      </c>
      <c r="G81" s="2196">
        <v>2181.6179394494593</v>
      </c>
    </row>
    <row r="82" spans="1:7">
      <c r="A82" s="39"/>
      <c r="C82" s="2197"/>
      <c r="D82" s="2197"/>
      <c r="E82" s="2197"/>
      <c r="F82" s="2197"/>
      <c r="G82" s="2198"/>
    </row>
    <row r="83" spans="1:7">
      <c r="A83" s="39" t="s">
        <v>1927</v>
      </c>
      <c r="C83" s="2197"/>
      <c r="D83" s="2197"/>
      <c r="E83" s="2197"/>
      <c r="F83" s="2197"/>
      <c r="G83" s="2198"/>
    </row>
    <row r="84" spans="1:7">
      <c r="A84" s="39" t="s">
        <v>1928</v>
      </c>
      <c r="B84" s="96"/>
      <c r="C84" s="2199">
        <v>146.01659661655978</v>
      </c>
      <c r="D84" s="2199">
        <v>146.01659661655978</v>
      </c>
      <c r="E84" s="2199">
        <v>150.42781573956796</v>
      </c>
      <c r="F84" s="2199">
        <v>152.87968324872156</v>
      </c>
      <c r="G84" s="2200">
        <v>155.7174624891793</v>
      </c>
    </row>
    <row r="85" spans="1:7">
      <c r="A85" s="39" t="s">
        <v>1929</v>
      </c>
      <c r="B85" s="96"/>
      <c r="C85" s="2199">
        <v>0</v>
      </c>
      <c r="D85" s="2199">
        <v>0</v>
      </c>
      <c r="E85" s="2199">
        <v>0</v>
      </c>
      <c r="F85" s="2199">
        <v>0</v>
      </c>
      <c r="G85" s="2200">
        <v>0</v>
      </c>
    </row>
    <row r="86" spans="1:7">
      <c r="A86" s="39" t="s">
        <v>1930</v>
      </c>
      <c r="B86" s="96"/>
      <c r="C86" s="2199">
        <v>1.7098695465756403E-2</v>
      </c>
      <c r="D86" s="2201">
        <v>1.6738694371633864E-2</v>
      </c>
      <c r="E86" s="2199">
        <v>1.7098695465756403E-2</v>
      </c>
      <c r="F86" s="2199">
        <v>1.7377392165933061E-2</v>
      </c>
      <c r="G86" s="2200">
        <v>1.769995433831505E-2</v>
      </c>
    </row>
    <row r="87" spans="1:7">
      <c r="A87" s="39" t="s">
        <v>1931</v>
      </c>
      <c r="B87" s="96"/>
      <c r="C87" s="2199">
        <v>2.2473752758255406E-2</v>
      </c>
      <c r="D87" s="2197"/>
      <c r="E87" s="2199">
        <v>2.2473752758255406E-2</v>
      </c>
      <c r="F87" s="2199">
        <v>2.2840059108751882E-2</v>
      </c>
      <c r="G87" s="2200">
        <v>2.3264020253963017E-2</v>
      </c>
    </row>
    <row r="88" spans="1:7">
      <c r="A88" s="39" t="s">
        <v>1932</v>
      </c>
      <c r="B88" s="96"/>
      <c r="C88" s="2199">
        <v>0</v>
      </c>
      <c r="D88" s="2197"/>
      <c r="E88" s="2199">
        <v>0</v>
      </c>
      <c r="F88" s="2199">
        <v>0</v>
      </c>
      <c r="G88" s="2200">
        <v>0</v>
      </c>
    </row>
    <row r="89" spans="1:7">
      <c r="A89" s="39" t="s">
        <v>1933</v>
      </c>
      <c r="B89" s="96"/>
      <c r="C89" s="2202">
        <v>146.0561690647838</v>
      </c>
      <c r="D89" s="2203">
        <v>146.03333531093142</v>
      </c>
      <c r="E89" s="2203">
        <v>150.46738818779198</v>
      </c>
      <c r="F89" s="2203">
        <v>152.91990069999625</v>
      </c>
      <c r="G89" s="2204">
        <v>155.7584264637716</v>
      </c>
    </row>
    <row r="90" spans="1:7">
      <c r="A90" s="39"/>
      <c r="C90" s="2197"/>
      <c r="D90" s="2197"/>
      <c r="E90" s="2197"/>
      <c r="F90" s="2197"/>
      <c r="G90" s="2198"/>
    </row>
    <row r="91" spans="1:7">
      <c r="A91" s="39" t="s">
        <v>1934</v>
      </c>
      <c r="C91" s="2197"/>
      <c r="D91" s="2197"/>
      <c r="E91" s="2197"/>
      <c r="F91" s="2197"/>
      <c r="G91" s="2198"/>
    </row>
    <row r="92" spans="1:7">
      <c r="A92" s="39" t="s">
        <v>1928</v>
      </c>
      <c r="B92" s="96"/>
      <c r="C92" s="2199">
        <v>900.28355589625096</v>
      </c>
      <c r="D92" s="2199">
        <v>900.28355589625096</v>
      </c>
      <c r="E92" s="2199">
        <v>927.48147811825788</v>
      </c>
      <c r="F92" s="2199">
        <v>942.59877334959288</v>
      </c>
      <c r="G92" s="2200">
        <v>960.09545553947294</v>
      </c>
    </row>
    <row r="93" spans="1:7">
      <c r="A93" s="39" t="s">
        <v>1929</v>
      </c>
      <c r="B93" s="96"/>
      <c r="C93" s="2199">
        <v>0</v>
      </c>
      <c r="D93" s="2199">
        <v>0</v>
      </c>
      <c r="E93" s="2199">
        <v>0</v>
      </c>
      <c r="F93" s="2199">
        <v>0</v>
      </c>
      <c r="G93" s="2200">
        <v>0</v>
      </c>
    </row>
    <row r="94" spans="1:7">
      <c r="A94" s="39" t="s">
        <v>1930</v>
      </c>
      <c r="B94" s="96"/>
      <c r="C94" s="2199">
        <v>20.536888015888461</v>
      </c>
      <c r="D94" s="2199">
        <v>20.104498178289536</v>
      </c>
      <c r="E94" s="2199">
        <v>20.536888015888461</v>
      </c>
      <c r="F94" s="2199">
        <v>20.871624834459695</v>
      </c>
      <c r="G94" s="2200">
        <v>21.259047560692661</v>
      </c>
    </row>
    <row r="95" spans="1:7">
      <c r="A95" s="39" t="s">
        <v>1931</v>
      </c>
      <c r="B95" s="96"/>
      <c r="C95" s="2199">
        <v>8.4875304816080863</v>
      </c>
      <c r="D95" s="2197"/>
      <c r="E95" s="2199">
        <v>8.4875304816080863</v>
      </c>
      <c r="F95" s="2199">
        <v>8.6258712540143954</v>
      </c>
      <c r="G95" s="2200">
        <v>8.7859861748157364</v>
      </c>
    </row>
    <row r="96" spans="1:7">
      <c r="A96" s="39" t="s">
        <v>1932</v>
      </c>
      <c r="B96" s="96"/>
      <c r="C96" s="2199">
        <v>7.6129986052422376E-3</v>
      </c>
      <c r="D96" s="2197"/>
      <c r="E96" s="2199">
        <v>7.6129986052422376E-3</v>
      </c>
      <c r="F96" s="2199">
        <v>7.7370851236541064E-3</v>
      </c>
      <c r="G96" s="2200">
        <v>7.8807022418936785E-3</v>
      </c>
    </row>
    <row r="97" spans="1:7">
      <c r="A97" s="39" t="s">
        <v>1935</v>
      </c>
      <c r="B97" s="96"/>
      <c r="C97" s="2199">
        <v>3.554545538841164E-2</v>
      </c>
      <c r="D97" s="2197"/>
      <c r="E97" s="2199">
        <v>3.5353416208471752E-2</v>
      </c>
      <c r="F97" s="2199">
        <v>3.554545538841164E-2</v>
      </c>
      <c r="G97" s="2200">
        <v>3.6205256306691573E-2</v>
      </c>
    </row>
    <row r="98" spans="1:7">
      <c r="A98" s="39" t="s">
        <v>1936</v>
      </c>
      <c r="B98" s="96"/>
      <c r="C98" s="2199">
        <v>8.296293870215346E-2</v>
      </c>
      <c r="D98" s="2197"/>
      <c r="E98" s="2197"/>
      <c r="F98" s="2199">
        <v>8.296293870215346E-2</v>
      </c>
      <c r="G98" s="2200">
        <v>8.4502911183606838E-2</v>
      </c>
    </row>
    <row r="99" spans="1:7">
      <c r="A99" s="39" t="s">
        <v>1933</v>
      </c>
      <c r="B99" s="96"/>
      <c r="C99" s="2202">
        <v>929.43409578644344</v>
      </c>
      <c r="D99" s="2203">
        <v>920.38805407454049</v>
      </c>
      <c r="E99" s="2203">
        <v>956.54886303056833</v>
      </c>
      <c r="F99" s="2203">
        <v>972.22251491728116</v>
      </c>
      <c r="G99" s="2204">
        <v>990.2690781447136</v>
      </c>
    </row>
    <row r="100" spans="1:7">
      <c r="A100" s="39"/>
      <c r="C100" s="2197"/>
      <c r="D100" s="2197"/>
      <c r="E100" s="2197"/>
      <c r="F100" s="2197"/>
      <c r="G100" s="2198"/>
    </row>
    <row r="101" spans="1:7">
      <c r="A101" s="39" t="s">
        <v>1937</v>
      </c>
      <c r="C101" s="2197"/>
      <c r="D101" s="2197"/>
      <c r="E101" s="2197"/>
      <c r="F101" s="2197"/>
      <c r="G101" s="2198"/>
    </row>
    <row r="102" spans="1:7">
      <c r="A102" s="39" t="s">
        <v>1930</v>
      </c>
      <c r="B102" s="96"/>
      <c r="C102" s="2199">
        <v>1E-4</v>
      </c>
      <c r="D102" s="2199">
        <v>9.7894569823507805E-5</v>
      </c>
      <c r="E102" s="2199">
        <v>1E-4</v>
      </c>
      <c r="F102" s="2199">
        <v>1.0162992960916116E-4</v>
      </c>
      <c r="G102" s="2200">
        <v>1.0351640201887208E-4</v>
      </c>
    </row>
    <row r="103" spans="1:7">
      <c r="A103" s="39" t="s">
        <v>1931</v>
      </c>
      <c r="B103" s="96"/>
      <c r="C103" s="2199">
        <v>101.64121394397111</v>
      </c>
      <c r="D103" s="2197"/>
      <c r="E103" s="2199">
        <v>101.64121394397111</v>
      </c>
      <c r="F103" s="2199">
        <v>103.29789418515473</v>
      </c>
      <c r="G103" s="2200">
        <v>105.21532764310301</v>
      </c>
    </row>
    <row r="104" spans="1:7">
      <c r="A104" s="39" t="s">
        <v>1932</v>
      </c>
      <c r="B104" s="96"/>
      <c r="C104" s="2199">
        <v>1E-4</v>
      </c>
      <c r="D104" s="2197"/>
      <c r="E104" s="2199">
        <v>1E-4</v>
      </c>
      <c r="F104" s="2199">
        <v>1.0162992960916116E-4</v>
      </c>
      <c r="G104" s="2200">
        <v>1.0351640201887208E-4</v>
      </c>
    </row>
    <row r="105" spans="1:7">
      <c r="A105" s="39" t="s">
        <v>1935</v>
      </c>
      <c r="B105" s="96"/>
      <c r="C105" s="2199">
        <v>1E-4</v>
      </c>
      <c r="D105" s="2197"/>
      <c r="E105" s="2199">
        <v>9.945973633523207E-5</v>
      </c>
      <c r="F105" s="2199">
        <v>1E-4</v>
      </c>
      <c r="G105" s="2200">
        <v>1.018562173731358E-4</v>
      </c>
    </row>
    <row r="106" spans="1:7">
      <c r="A106" s="39" t="s">
        <v>1936</v>
      </c>
      <c r="B106" s="96"/>
      <c r="C106" s="2199">
        <v>74.218786056028904</v>
      </c>
      <c r="D106" s="2197"/>
      <c r="E106" s="2197"/>
      <c r="F106" s="2199">
        <v>74.218786056028904</v>
      </c>
      <c r="G106" s="2200">
        <v>75.596448056931393</v>
      </c>
    </row>
    <row r="107" spans="1:7">
      <c r="A107" s="39" t="s">
        <v>1933</v>
      </c>
      <c r="B107" s="96"/>
      <c r="C107" s="2202">
        <v>175.86030000000002</v>
      </c>
      <c r="D107" s="2203">
        <v>9.7894569823507805E-5</v>
      </c>
      <c r="E107" s="2203">
        <v>101.64151340370745</v>
      </c>
      <c r="F107" s="2203">
        <v>177.51698350104283</v>
      </c>
      <c r="G107" s="2204">
        <v>180.81208458905581</v>
      </c>
    </row>
    <row r="108" spans="1:7">
      <c r="A108" s="39"/>
      <c r="C108" s="2197"/>
      <c r="D108" s="2197"/>
      <c r="E108" s="2197"/>
      <c r="F108" s="2197"/>
      <c r="G108" s="2198"/>
    </row>
    <row r="109" spans="1:7">
      <c r="A109" s="39" t="s">
        <v>1938</v>
      </c>
      <c r="C109" s="2197"/>
      <c r="D109" s="2197"/>
      <c r="E109" s="2197"/>
      <c r="F109" s="2197"/>
      <c r="G109" s="2198"/>
    </row>
    <row r="110" spans="1:7">
      <c r="A110" s="39" t="s">
        <v>1926</v>
      </c>
      <c r="B110" s="96"/>
      <c r="C110" s="2194">
        <v>10.823399999999999</v>
      </c>
      <c r="D110" s="2195">
        <v>10.823399999999999</v>
      </c>
      <c r="E110" s="2195">
        <v>11.150379193888101</v>
      </c>
      <c r="F110" s="2195">
        <v>11.332122525903028</v>
      </c>
      <c r="G110" s="2196">
        <v>11.542471352973875</v>
      </c>
    </row>
    <row r="111" spans="1:7">
      <c r="A111" s="39"/>
      <c r="C111" s="2197"/>
      <c r="D111" s="2197"/>
      <c r="E111" s="2197"/>
      <c r="F111" s="2197"/>
      <c r="G111" s="2198"/>
    </row>
    <row r="112" spans="1:7">
      <c r="A112" s="39" t="s">
        <v>115</v>
      </c>
      <c r="C112" s="2197"/>
      <c r="D112" s="2197"/>
      <c r="E112" s="2197"/>
      <c r="F112" s="2197"/>
      <c r="G112" s="2198"/>
    </row>
    <row r="113" spans="1:7">
      <c r="A113" s="39" t="s">
        <v>1928</v>
      </c>
      <c r="C113" s="2197">
        <v>3102.8313462560977</v>
      </c>
      <c r="D113" s="2197">
        <v>3102.8313462560977</v>
      </c>
      <c r="E113" s="2197">
        <v>3196.5691081765249</v>
      </c>
      <c r="F113" s="2197">
        <v>3248.6709345479926</v>
      </c>
      <c r="G113" s="2198">
        <v>3308.9733288310854</v>
      </c>
    </row>
    <row r="114" spans="1:7">
      <c r="A114" s="39" t="s">
        <v>1929</v>
      </c>
      <c r="C114" s="2197">
        <v>0</v>
      </c>
      <c r="D114" s="2197">
        <v>0</v>
      </c>
      <c r="E114" s="2197">
        <v>0</v>
      </c>
      <c r="F114" s="2197">
        <v>0</v>
      </c>
      <c r="G114" s="2198">
        <v>0</v>
      </c>
    </row>
    <row r="115" spans="1:7">
      <c r="A115" s="39" t="s">
        <v>1930</v>
      </c>
      <c r="C115" s="2197">
        <v>20.554086711354216</v>
      </c>
      <c r="D115" s="2197">
        <v>20.121334767230991</v>
      </c>
      <c r="E115" s="2197">
        <v>20.554086711354216</v>
      </c>
      <c r="F115" s="2197">
        <v>20.889103856555238</v>
      </c>
      <c r="G115" s="2198">
        <v>21.276851031432994</v>
      </c>
    </row>
    <row r="116" spans="1:7">
      <c r="A116" s="39" t="s">
        <v>1931</v>
      </c>
      <c r="C116" s="2197">
        <v>110.15121817833744</v>
      </c>
      <c r="D116" s="2197">
        <v>0</v>
      </c>
      <c r="E116" s="2197">
        <v>110.15121817833744</v>
      </c>
      <c r="F116" s="2197">
        <v>111.94660549827788</v>
      </c>
      <c r="G116" s="2198">
        <v>114.0245778381727</v>
      </c>
    </row>
    <row r="117" spans="1:7">
      <c r="A117" s="39" t="s">
        <v>1932</v>
      </c>
      <c r="C117" s="2197">
        <v>7.7129986052422378E-3</v>
      </c>
      <c r="D117" s="2197">
        <v>0</v>
      </c>
      <c r="E117" s="2197">
        <v>7.7129986052422378E-3</v>
      </c>
      <c r="F117" s="2197">
        <v>7.8387150532632684E-3</v>
      </c>
      <c r="G117" s="2198">
        <v>7.9842186439125513E-3</v>
      </c>
    </row>
    <row r="118" spans="1:7">
      <c r="A118" s="39" t="s">
        <v>1935</v>
      </c>
      <c r="C118" s="2197">
        <v>3.5645455388411643E-2</v>
      </c>
      <c r="D118" s="2197">
        <v>0</v>
      </c>
      <c r="E118" s="2197">
        <v>3.5452875944806984E-2</v>
      </c>
      <c r="F118" s="2197">
        <v>3.5645455388411643E-2</v>
      </c>
      <c r="G118" s="2198">
        <v>3.6307112524064711E-2</v>
      </c>
    </row>
    <row r="119" spans="1:7" ht="15" thickBot="1">
      <c r="A119" s="39" t="s">
        <v>1936</v>
      </c>
      <c r="C119" s="2197">
        <v>74.301748994731057</v>
      </c>
      <c r="D119" s="2197">
        <v>0</v>
      </c>
      <c r="E119" s="2197">
        <v>0</v>
      </c>
      <c r="F119" s="2197">
        <v>74.301748994731057</v>
      </c>
      <c r="G119" s="2198">
        <v>75.680950968114999</v>
      </c>
    </row>
    <row r="120" spans="1:7" ht="15" thickBot="1">
      <c r="A120" s="39" t="s">
        <v>115</v>
      </c>
      <c r="C120" s="2205">
        <v>3307.8817585945139</v>
      </c>
      <c r="D120" s="2206">
        <v>3122.9526810233288</v>
      </c>
      <c r="E120" s="2206">
        <v>3327.3175789407665</v>
      </c>
      <c r="F120" s="2206">
        <v>3455.8518770679984</v>
      </c>
      <c r="G120" s="2207">
        <v>3519.9999999999741</v>
      </c>
    </row>
    <row r="121" spans="1:7">
      <c r="A121" s="39"/>
      <c r="C121" s="2197"/>
      <c r="D121" s="2197"/>
      <c r="E121" s="2197"/>
      <c r="F121" s="2197"/>
      <c r="G121" s="2198"/>
    </row>
    <row r="122" spans="1:7">
      <c r="A122" s="39" t="s">
        <v>1939</v>
      </c>
      <c r="C122" s="2197"/>
      <c r="D122" s="2197">
        <v>93.737761920427772</v>
      </c>
      <c r="E122" s="2197">
        <v>54.232356553056981</v>
      </c>
      <c r="F122" s="2197">
        <v>64.148122931975664</v>
      </c>
      <c r="G122" s="2198">
        <v>212.11824140546042</v>
      </c>
    </row>
    <row r="123" spans="1:7">
      <c r="A123" s="39"/>
      <c r="C123" s="2197"/>
      <c r="D123" s="2197"/>
      <c r="E123" s="2197"/>
      <c r="F123" s="2197"/>
      <c r="G123" s="2198"/>
    </row>
    <row r="124" spans="1:7">
      <c r="A124" s="39" t="s">
        <v>1940</v>
      </c>
      <c r="C124" s="2197"/>
      <c r="D124" s="2197"/>
      <c r="E124" s="2197"/>
      <c r="F124" s="2197"/>
      <c r="G124" s="2198"/>
    </row>
    <row r="125" spans="1:7">
      <c r="A125" s="39" t="s">
        <v>1941</v>
      </c>
      <c r="C125" s="2199">
        <v>0</v>
      </c>
      <c r="D125" s="2197"/>
      <c r="E125" s="2197"/>
      <c r="F125" s="2199">
        <v>0</v>
      </c>
      <c r="G125" s="2200">
        <v>0</v>
      </c>
    </row>
    <row r="126" spans="1:7">
      <c r="A126" s="39" t="s">
        <v>1942</v>
      </c>
      <c r="C126" s="2199">
        <v>0</v>
      </c>
      <c r="D126" s="2197"/>
      <c r="E126" s="2197"/>
      <c r="F126" s="2199">
        <v>0</v>
      </c>
      <c r="G126" s="2200">
        <v>0</v>
      </c>
    </row>
    <row r="127" spans="1:7">
      <c r="A127" s="39" t="s">
        <v>1943</v>
      </c>
      <c r="C127" s="2199">
        <v>0</v>
      </c>
      <c r="D127" s="2197"/>
      <c r="E127" s="2197"/>
      <c r="F127" s="2199">
        <v>0</v>
      </c>
      <c r="G127" s="2200">
        <v>0</v>
      </c>
    </row>
    <row r="128" spans="1:7">
      <c r="A128" s="39" t="s">
        <v>1933</v>
      </c>
      <c r="C128" s="2202">
        <v>0</v>
      </c>
      <c r="D128" s="2203"/>
      <c r="E128" s="2203"/>
      <c r="F128" s="2203">
        <v>0</v>
      </c>
      <c r="G128" s="2204">
        <v>0</v>
      </c>
    </row>
    <row r="129" spans="1:7">
      <c r="A129" s="102"/>
      <c r="C129" s="2197"/>
      <c r="D129" s="2197"/>
      <c r="E129" s="2197"/>
      <c r="F129" s="2197"/>
      <c r="G129" s="2198"/>
    </row>
    <row r="130" spans="1:7">
      <c r="A130" s="39" t="s">
        <v>1944</v>
      </c>
      <c r="C130" s="2194">
        <v>0</v>
      </c>
      <c r="D130" s="2203"/>
      <c r="E130" s="2203"/>
      <c r="F130" s="2195">
        <v>0</v>
      </c>
      <c r="G130" s="2196">
        <v>0</v>
      </c>
    </row>
    <row r="131" spans="1:7">
      <c r="A131" s="39"/>
      <c r="C131" s="2197"/>
      <c r="D131" s="2197"/>
      <c r="E131" s="2197"/>
      <c r="F131" s="2197"/>
      <c r="G131" s="2198"/>
    </row>
    <row r="132" spans="1:7">
      <c r="A132" s="39" t="s">
        <v>1945</v>
      </c>
      <c r="C132" s="2197"/>
      <c r="D132" s="2197">
        <v>0</v>
      </c>
      <c r="E132" s="2197">
        <v>0</v>
      </c>
      <c r="F132" s="2197">
        <v>0</v>
      </c>
      <c r="G132" s="2198">
        <v>0</v>
      </c>
    </row>
    <row r="133" spans="1:7" ht="15" thickBot="1">
      <c r="A133" s="39"/>
      <c r="C133" s="2197"/>
      <c r="D133" s="2197"/>
      <c r="E133" s="2197"/>
      <c r="F133" s="2197"/>
      <c r="G133" s="2198"/>
    </row>
    <row r="134" spans="1:7" ht="15" thickBot="1">
      <c r="A134" s="39" t="s">
        <v>115</v>
      </c>
      <c r="C134" s="2205">
        <v>3307.8817585945139</v>
      </c>
      <c r="D134" s="2206">
        <v>3122.9526810233288</v>
      </c>
      <c r="E134" s="2206">
        <v>3327.3175789407665</v>
      </c>
      <c r="F134" s="2206">
        <v>3455.8518770679984</v>
      </c>
      <c r="G134" s="2207">
        <v>3519.9999999999741</v>
      </c>
    </row>
    <row r="135" spans="1:7">
      <c r="A135" s="39"/>
      <c r="C135" s="2197"/>
      <c r="D135" s="2197"/>
      <c r="E135" s="2197"/>
      <c r="F135" s="2197"/>
      <c r="G135" s="2198"/>
    </row>
    <row r="136" spans="1:7" ht="15" thickBot="1">
      <c r="A136" s="82" t="s">
        <v>1946</v>
      </c>
      <c r="B136" s="32"/>
      <c r="C136" s="2208"/>
      <c r="D136" s="2209">
        <v>93.737761920427772</v>
      </c>
      <c r="E136" s="2209">
        <v>54.232356553056981</v>
      </c>
      <c r="F136" s="2209">
        <v>64.148122931975664</v>
      </c>
      <c r="G136" s="2210">
        <v>212.11824140546042</v>
      </c>
    </row>
    <row r="137" spans="1:7" ht="15" thickBot="1"/>
    <row r="138" spans="1:7" ht="15" thickBot="1">
      <c r="A138" s="2212" t="s">
        <v>9006</v>
      </c>
      <c r="B138" s="2213"/>
      <c r="C138" s="2213"/>
      <c r="D138" s="2213"/>
      <c r="E138" s="2213"/>
      <c r="F138" s="2213"/>
      <c r="G138" s="2214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1962"/>
      <c r="D145" s="1962"/>
      <c r="E145" s="2190">
        <v>1.0306205739767356</v>
      </c>
      <c r="F145" s="2190">
        <v>1.0160202573868022</v>
      </c>
      <c r="G145" s="2191">
        <v>1.0182906455787037</v>
      </c>
    </row>
    <row r="146" spans="1:7">
      <c r="A146" s="39" t="s">
        <v>1924</v>
      </c>
      <c r="C146" s="1962"/>
      <c r="D146" s="2192">
        <v>0.97856382261436503</v>
      </c>
      <c r="E146" s="2192">
        <v>0.99453375762409468</v>
      </c>
      <c r="F146" s="1962"/>
      <c r="G146" s="2193"/>
    </row>
    <row r="147" spans="1:7">
      <c r="A147" s="39"/>
      <c r="C147" s="1962"/>
      <c r="D147" s="1962"/>
      <c r="E147" s="1962"/>
      <c r="F147" s="1962"/>
      <c r="G147" s="2193"/>
    </row>
    <row r="148" spans="1:7">
      <c r="A148" s="39" t="s">
        <v>1925</v>
      </c>
      <c r="C148" s="1962"/>
      <c r="D148" s="1962"/>
      <c r="E148" s="1962"/>
      <c r="F148" s="1962"/>
      <c r="G148" s="2193"/>
    </row>
    <row r="149" spans="1:7">
      <c r="A149" s="39" t="s">
        <v>1926</v>
      </c>
      <c r="B149" s="96"/>
      <c r="C149" s="2194">
        <v>2017.41210802808</v>
      </c>
      <c r="D149" s="2195">
        <v>2017.41210802808</v>
      </c>
      <c r="E149" s="2195">
        <v>2079.1864247235158</v>
      </c>
      <c r="F149" s="2195">
        <v>2112.4955264027317</v>
      </c>
      <c r="G149" s="2196">
        <v>2151.1344333627612</v>
      </c>
    </row>
    <row r="150" spans="1:7">
      <c r="A150" s="39"/>
      <c r="C150" s="2197"/>
      <c r="D150" s="2197"/>
      <c r="E150" s="2197"/>
      <c r="F150" s="2197"/>
      <c r="G150" s="2198"/>
    </row>
    <row r="151" spans="1:7">
      <c r="A151" s="39" t="s">
        <v>1927</v>
      </c>
      <c r="C151" s="2197"/>
      <c r="D151" s="2197"/>
      <c r="E151" s="2197"/>
      <c r="F151" s="2197"/>
      <c r="G151" s="2198"/>
    </row>
    <row r="152" spans="1:7">
      <c r="A152" s="39" t="s">
        <v>1928</v>
      </c>
      <c r="B152" s="96"/>
      <c r="C152" s="2199">
        <v>145.53312764310994</v>
      </c>
      <c r="D152" s="2199">
        <v>145.53312764310994</v>
      </c>
      <c r="E152" s="2199">
        <v>149.98943554417147</v>
      </c>
      <c r="F152" s="2199">
        <v>152.39230490689027</v>
      </c>
      <c r="G152" s="2200">
        <v>155.17965854486397</v>
      </c>
    </row>
    <row r="153" spans="1:7">
      <c r="A153" s="39" t="s">
        <v>1929</v>
      </c>
      <c r="B153" s="96"/>
      <c r="C153" s="2199">
        <v>0</v>
      </c>
      <c r="D153" s="2199">
        <v>0</v>
      </c>
      <c r="E153" s="2199">
        <v>0</v>
      </c>
      <c r="F153" s="2199">
        <v>0</v>
      </c>
      <c r="G153" s="2200">
        <v>0</v>
      </c>
    </row>
    <row r="154" spans="1:7">
      <c r="A154" s="39" t="s">
        <v>1930</v>
      </c>
      <c r="B154" s="96"/>
      <c r="C154" s="2199">
        <v>1.7042080745678596E-2</v>
      </c>
      <c r="D154" s="2201">
        <v>1.6676763679793916E-2</v>
      </c>
      <c r="E154" s="2199">
        <v>1.7042080745678596E-2</v>
      </c>
      <c r="F154" s="2199">
        <v>1.7315099265631035E-2</v>
      </c>
      <c r="G154" s="2200">
        <v>1.7631803609458766E-2</v>
      </c>
    </row>
    <row r="155" spans="1:7">
      <c r="A155" s="39" t="s">
        <v>1931</v>
      </c>
      <c r="B155" s="96"/>
      <c r="C155" s="2199">
        <v>2.2399340928180144E-2</v>
      </c>
      <c r="D155" s="2197"/>
      <c r="E155" s="2199">
        <v>2.2399340928180144E-2</v>
      </c>
      <c r="F155" s="2199">
        <v>2.2758184135144324E-2</v>
      </c>
      <c r="G155" s="2200">
        <v>2.3174446015175126E-2</v>
      </c>
    </row>
    <row r="156" spans="1:7">
      <c r="A156" s="39" t="s">
        <v>1932</v>
      </c>
      <c r="B156" s="96"/>
      <c r="C156" s="2199">
        <v>0</v>
      </c>
      <c r="D156" s="2197"/>
      <c r="E156" s="2199">
        <v>0</v>
      </c>
      <c r="F156" s="2199">
        <v>0</v>
      </c>
      <c r="G156" s="2200">
        <v>0</v>
      </c>
    </row>
    <row r="157" spans="1:7">
      <c r="A157" s="39" t="s">
        <v>1933</v>
      </c>
      <c r="B157" s="96"/>
      <c r="C157" s="2202">
        <v>145.57256906478381</v>
      </c>
      <c r="D157" s="2203">
        <v>145.54980440678972</v>
      </c>
      <c r="E157" s="2203">
        <v>150.02887696584534</v>
      </c>
      <c r="F157" s="2203">
        <v>152.43237819029105</v>
      </c>
      <c r="G157" s="2204">
        <v>155.22046479448858</v>
      </c>
    </row>
    <row r="158" spans="1:7">
      <c r="A158" s="39"/>
      <c r="C158" s="2197"/>
      <c r="D158" s="2197"/>
      <c r="E158" s="2197"/>
      <c r="F158" s="2197"/>
      <c r="G158" s="2198"/>
    </row>
    <row r="159" spans="1:7">
      <c r="A159" s="39" t="s">
        <v>1934</v>
      </c>
      <c r="C159" s="2197"/>
      <c r="D159" s="2197"/>
      <c r="E159" s="2197"/>
      <c r="F159" s="2197"/>
      <c r="G159" s="2198"/>
    </row>
    <row r="160" spans="1:7">
      <c r="A160" s="39" t="s">
        <v>1928</v>
      </c>
      <c r="B160" s="96"/>
      <c r="C160" s="2199">
        <v>811.66727563696315</v>
      </c>
      <c r="D160" s="2199">
        <v>811.66727563696315</v>
      </c>
      <c r="E160" s="2199">
        <v>836.52099349510024</v>
      </c>
      <c r="F160" s="2199">
        <v>849.92227512035527</v>
      </c>
      <c r="G160" s="2200">
        <v>865.46790222402717</v>
      </c>
    </row>
    <row r="161" spans="1:7">
      <c r="A161" s="39" t="s">
        <v>1929</v>
      </c>
      <c r="B161" s="96"/>
      <c r="C161" s="2199">
        <v>0</v>
      </c>
      <c r="D161" s="2199">
        <v>0</v>
      </c>
      <c r="E161" s="2199">
        <v>0</v>
      </c>
      <c r="F161" s="2199">
        <v>0</v>
      </c>
      <c r="G161" s="2200">
        <v>0</v>
      </c>
    </row>
    <row r="162" spans="1:7">
      <c r="A162" s="39" t="s">
        <v>1930</v>
      </c>
      <c r="B162" s="96"/>
      <c r="C162" s="2199">
        <v>18.512275752833045</v>
      </c>
      <c r="D162" s="2199">
        <v>18.115443325983527</v>
      </c>
      <c r="E162" s="2199">
        <v>18.512275752833045</v>
      </c>
      <c r="F162" s="2199">
        <v>18.808847175208889</v>
      </c>
      <c r="G162" s="2200">
        <v>19.152873132634639</v>
      </c>
    </row>
    <row r="163" spans="1:7">
      <c r="A163" s="39" t="s">
        <v>1931</v>
      </c>
      <c r="B163" s="96"/>
      <c r="C163" s="2199">
        <v>7.6507942495740053</v>
      </c>
      <c r="D163" s="2197"/>
      <c r="E163" s="2199">
        <v>7.6507942495740053</v>
      </c>
      <c r="F163" s="2199">
        <v>7.7733619426656473</v>
      </c>
      <c r="G163" s="2200">
        <v>7.9155417509139285</v>
      </c>
    </row>
    <row r="164" spans="1:7">
      <c r="A164" s="39" t="s">
        <v>1932</v>
      </c>
      <c r="B164" s="96"/>
      <c r="C164" s="2199">
        <v>6.8624773810493315E-3</v>
      </c>
      <c r="D164" s="2197"/>
      <c r="E164" s="2199">
        <v>6.8624773810493315E-3</v>
      </c>
      <c r="F164" s="2199">
        <v>6.9724160350048501E-3</v>
      </c>
      <c r="G164" s="2200">
        <v>7.0999460255283947E-3</v>
      </c>
    </row>
    <row r="165" spans="1:7">
      <c r="A165" s="39" t="s">
        <v>1935</v>
      </c>
      <c r="B165" s="96"/>
      <c r="C165" s="2199">
        <v>3.2041235819234903E-2</v>
      </c>
      <c r="D165" s="2197"/>
      <c r="E165" s="2199">
        <v>3.1866090658223427E-2</v>
      </c>
      <c r="F165" s="2199">
        <v>3.2041235819234903E-2</v>
      </c>
      <c r="G165" s="2200">
        <v>3.2627290707508194E-2</v>
      </c>
    </row>
    <row r="166" spans="1:7">
      <c r="A166" s="39" t="s">
        <v>1936</v>
      </c>
      <c r="B166" s="96"/>
      <c r="C166" s="2199">
        <v>7.4784105426851682E-2</v>
      </c>
      <c r="D166" s="2197"/>
      <c r="E166" s="2197"/>
      <c r="F166" s="2199">
        <v>7.4784105426851682E-2</v>
      </c>
      <c r="G166" s="2200">
        <v>7.6151954994134644E-2</v>
      </c>
    </row>
    <row r="167" spans="1:7">
      <c r="A167" s="39" t="s">
        <v>1933</v>
      </c>
      <c r="B167" s="96"/>
      <c r="C167" s="2202">
        <v>837.94403345799731</v>
      </c>
      <c r="D167" s="2203">
        <v>829.78271896294666</v>
      </c>
      <c r="E167" s="2203">
        <v>862.72279206554663</v>
      </c>
      <c r="F167" s="2203">
        <v>876.61828199551087</v>
      </c>
      <c r="G167" s="2204">
        <v>892.65219629930289</v>
      </c>
    </row>
    <row r="168" spans="1:7">
      <c r="A168" s="39"/>
      <c r="C168" s="2197"/>
      <c r="D168" s="2197"/>
      <c r="E168" s="2197"/>
      <c r="F168" s="2197"/>
      <c r="G168" s="2198"/>
    </row>
    <row r="169" spans="1:7">
      <c r="A169" s="39" t="s">
        <v>1937</v>
      </c>
      <c r="C169" s="2197"/>
      <c r="D169" s="2197"/>
      <c r="E169" s="2197"/>
      <c r="F169" s="2197"/>
      <c r="G169" s="2198"/>
    </row>
    <row r="170" spans="1:7">
      <c r="A170" s="39" t="s">
        <v>1930</v>
      </c>
      <c r="B170" s="96"/>
      <c r="C170" s="2199">
        <v>1E-4</v>
      </c>
      <c r="D170" s="2199">
        <v>9.7856382261436514E-5</v>
      </c>
      <c r="E170" s="2199">
        <v>1E-4</v>
      </c>
      <c r="F170" s="2199">
        <v>1.0160202573868022E-4</v>
      </c>
      <c r="G170" s="2200">
        <v>1.0346039238154477E-4</v>
      </c>
    </row>
    <row r="171" spans="1:7">
      <c r="A171" s="39" t="s">
        <v>1931</v>
      </c>
      <c r="B171" s="96"/>
      <c r="C171" s="2199">
        <v>101.64121394397111</v>
      </c>
      <c r="D171" s="2197"/>
      <c r="E171" s="2199">
        <v>101.64121394397111</v>
      </c>
      <c r="F171" s="2199">
        <v>103.26953235246056</v>
      </c>
      <c r="G171" s="2200">
        <v>105.15839876779789</v>
      </c>
    </row>
    <row r="172" spans="1:7">
      <c r="A172" s="39" t="s">
        <v>1932</v>
      </c>
      <c r="B172" s="96"/>
      <c r="C172" s="2199">
        <v>1E-4</v>
      </c>
      <c r="D172" s="2197"/>
      <c r="E172" s="2199">
        <v>1E-4</v>
      </c>
      <c r="F172" s="2199">
        <v>1.0160202573868022E-4</v>
      </c>
      <c r="G172" s="2200">
        <v>1.0346039238154477E-4</v>
      </c>
    </row>
    <row r="173" spans="1:7">
      <c r="A173" s="39" t="s">
        <v>1935</v>
      </c>
      <c r="B173" s="96"/>
      <c r="C173" s="2199">
        <v>1E-4</v>
      </c>
      <c r="D173" s="2197"/>
      <c r="E173" s="2199">
        <v>9.9453375762409467E-5</v>
      </c>
      <c r="F173" s="2199">
        <v>1E-4</v>
      </c>
      <c r="G173" s="2200">
        <v>1.0182906455787038E-4</v>
      </c>
    </row>
    <row r="174" spans="1:7">
      <c r="A174" s="39" t="s">
        <v>1936</v>
      </c>
      <c r="B174" s="96"/>
      <c r="C174" s="2199">
        <v>74.218786056028904</v>
      </c>
      <c r="D174" s="2197"/>
      <c r="E174" s="2197"/>
      <c r="F174" s="2199">
        <v>74.218786056028904</v>
      </c>
      <c r="G174" s="2200">
        <v>75.576295567061365</v>
      </c>
    </row>
    <row r="175" spans="1:7">
      <c r="A175" s="39" t="s">
        <v>1933</v>
      </c>
      <c r="B175" s="96"/>
      <c r="C175" s="2202">
        <v>175.86030000000002</v>
      </c>
      <c r="D175" s="2203">
        <v>9.7856382261436514E-5</v>
      </c>
      <c r="E175" s="2203">
        <v>101.64151339734688</v>
      </c>
      <c r="F175" s="2203">
        <v>177.48862161254095</v>
      </c>
      <c r="G175" s="2204">
        <v>180.73500308470858</v>
      </c>
    </row>
    <row r="176" spans="1:7">
      <c r="A176" s="39"/>
      <c r="C176" s="2197"/>
      <c r="D176" s="2197"/>
      <c r="E176" s="2197"/>
      <c r="F176" s="2197"/>
      <c r="G176" s="2198"/>
    </row>
    <row r="177" spans="1:7">
      <c r="A177" s="39" t="s">
        <v>1938</v>
      </c>
      <c r="C177" s="2197"/>
      <c r="D177" s="2197"/>
      <c r="E177" s="2197"/>
      <c r="F177" s="2197"/>
      <c r="G177" s="2198"/>
    </row>
    <row r="178" spans="1:7">
      <c r="A178" s="39" t="s">
        <v>1926</v>
      </c>
      <c r="B178" s="96"/>
      <c r="C178" s="2194">
        <v>10.823399999999999</v>
      </c>
      <c r="D178" s="2195">
        <v>10.823399999999999</v>
      </c>
      <c r="E178" s="2195">
        <v>11.154818720379799</v>
      </c>
      <c r="F178" s="2195">
        <v>11.333521787383404</v>
      </c>
      <c r="G178" s="2196">
        <v>11.540819217554951</v>
      </c>
    </row>
    <row r="179" spans="1:7">
      <c r="A179" s="39"/>
      <c r="C179" s="2197"/>
      <c r="D179" s="2197"/>
      <c r="E179" s="2197"/>
      <c r="F179" s="2197"/>
      <c r="G179" s="2198"/>
    </row>
    <row r="180" spans="1:7">
      <c r="A180" s="39" t="s">
        <v>115</v>
      </c>
      <c r="C180" s="2197"/>
      <c r="D180" s="2197"/>
      <c r="E180" s="2197"/>
      <c r="F180" s="2197"/>
      <c r="G180" s="2198"/>
    </row>
    <row r="181" spans="1:7">
      <c r="A181" s="39" t="s">
        <v>1928</v>
      </c>
      <c r="C181" s="2197">
        <v>2985.4359113081532</v>
      </c>
      <c r="D181" s="2197">
        <v>2985.4359113081532</v>
      </c>
      <c r="E181" s="2197">
        <v>3076.8516724831675</v>
      </c>
      <c r="F181" s="2197">
        <v>3126.1436282173604</v>
      </c>
      <c r="G181" s="2198">
        <v>3183.3228133492071</v>
      </c>
    </row>
    <row r="182" spans="1:7">
      <c r="A182" s="39" t="s">
        <v>1929</v>
      </c>
      <c r="C182" s="2197">
        <v>0</v>
      </c>
      <c r="D182" s="2197">
        <v>0</v>
      </c>
      <c r="E182" s="2197">
        <v>0</v>
      </c>
      <c r="F182" s="2197">
        <v>0</v>
      </c>
      <c r="G182" s="2198">
        <v>0</v>
      </c>
    </row>
    <row r="183" spans="1:7">
      <c r="A183" s="39" t="s">
        <v>1930</v>
      </c>
      <c r="C183" s="2197">
        <v>18.529417833578723</v>
      </c>
      <c r="D183" s="2197">
        <v>18.132217946045582</v>
      </c>
      <c r="E183" s="2197">
        <v>18.529417833578723</v>
      </c>
      <c r="F183" s="2197">
        <v>18.82626387650026</v>
      </c>
      <c r="G183" s="2198">
        <v>19.170608396636478</v>
      </c>
    </row>
    <row r="184" spans="1:7">
      <c r="A184" s="39" t="s">
        <v>1931</v>
      </c>
      <c r="C184" s="2197">
        <v>109.31440753447329</v>
      </c>
      <c r="D184" s="2197">
        <v>0</v>
      </c>
      <c r="E184" s="2197">
        <v>109.31440753447329</v>
      </c>
      <c r="F184" s="2197">
        <v>111.06565247926135</v>
      </c>
      <c r="G184" s="2198">
        <v>113.097114964727</v>
      </c>
    </row>
    <row r="185" spans="1:7">
      <c r="A185" s="39" t="s">
        <v>1932</v>
      </c>
      <c r="C185" s="2197">
        <v>6.9624773810493317E-3</v>
      </c>
      <c r="D185" s="2197">
        <v>0</v>
      </c>
      <c r="E185" s="2197">
        <v>6.9624773810493317E-3</v>
      </c>
      <c r="F185" s="2197">
        <v>7.0740180607435305E-3</v>
      </c>
      <c r="G185" s="2198">
        <v>7.2034064179099392E-3</v>
      </c>
    </row>
    <row r="186" spans="1:7">
      <c r="A186" s="39" t="s">
        <v>1935</v>
      </c>
      <c r="C186" s="2197">
        <v>3.2141235819234906E-2</v>
      </c>
      <c r="D186" s="2197">
        <v>0</v>
      </c>
      <c r="E186" s="2197">
        <v>3.1965544033985833E-2</v>
      </c>
      <c r="F186" s="2197">
        <v>3.2141235819234906E-2</v>
      </c>
      <c r="G186" s="2198">
        <v>3.2729119772066065E-2</v>
      </c>
    </row>
    <row r="187" spans="1:7" ht="15" thickBot="1">
      <c r="A187" s="39" t="s">
        <v>1936</v>
      </c>
      <c r="C187" s="2197">
        <v>74.293570161455762</v>
      </c>
      <c r="D187" s="2197">
        <v>0</v>
      </c>
      <c r="E187" s="2197">
        <v>0</v>
      </c>
      <c r="F187" s="2197">
        <v>74.293570161455762</v>
      </c>
      <c r="G187" s="2198">
        <v>75.652447522055496</v>
      </c>
    </row>
    <row r="188" spans="1:7" ht="15" thickBot="1">
      <c r="A188" s="39" t="s">
        <v>115</v>
      </c>
      <c r="C188" s="2205">
        <v>3187.6124105508616</v>
      </c>
      <c r="D188" s="2206">
        <v>3003.568129254199</v>
      </c>
      <c r="E188" s="2206">
        <v>3204.7344258726348</v>
      </c>
      <c r="F188" s="2206">
        <v>3330.3683299884578</v>
      </c>
      <c r="G188" s="2207">
        <v>3391.2829167588161</v>
      </c>
    </row>
    <row r="189" spans="1:7">
      <c r="A189" s="39"/>
      <c r="C189" s="2197"/>
      <c r="D189" s="2197"/>
      <c r="E189" s="2197"/>
      <c r="F189" s="2197"/>
      <c r="G189" s="2198"/>
    </row>
    <row r="190" spans="1:7">
      <c r="A190" s="39" t="s">
        <v>1939</v>
      </c>
      <c r="C190" s="2197"/>
      <c r="D190" s="2197">
        <v>91.415761175014268</v>
      </c>
      <c r="E190" s="2197">
        <v>51.340158262582413</v>
      </c>
      <c r="F190" s="2197">
        <v>60.914586770358156</v>
      </c>
      <c r="G190" s="2198">
        <v>203.67050620795482</v>
      </c>
    </row>
    <row r="191" spans="1:7">
      <c r="A191" s="39"/>
      <c r="C191" s="2197"/>
      <c r="D191" s="2197"/>
      <c r="E191" s="2197"/>
      <c r="F191" s="2197"/>
      <c r="G191" s="2198"/>
    </row>
    <row r="192" spans="1:7">
      <c r="A192" s="39" t="s">
        <v>1940</v>
      </c>
      <c r="C192" s="2197"/>
      <c r="D192" s="2197"/>
      <c r="E192" s="2197"/>
      <c r="F192" s="2197"/>
      <c r="G192" s="2198"/>
    </row>
    <row r="193" spans="1:7">
      <c r="A193" s="39" t="s">
        <v>1941</v>
      </c>
      <c r="C193" s="2199">
        <v>0</v>
      </c>
      <c r="D193" s="2197"/>
      <c r="E193" s="2197"/>
      <c r="F193" s="2199">
        <v>0</v>
      </c>
      <c r="G193" s="2200">
        <v>0</v>
      </c>
    </row>
    <row r="194" spans="1:7">
      <c r="A194" s="39" t="s">
        <v>1942</v>
      </c>
      <c r="C194" s="2199">
        <v>0</v>
      </c>
      <c r="D194" s="2197"/>
      <c r="E194" s="2197"/>
      <c r="F194" s="2199">
        <v>0</v>
      </c>
      <c r="G194" s="2200">
        <v>0</v>
      </c>
    </row>
    <row r="195" spans="1:7">
      <c r="A195" s="39" t="s">
        <v>1943</v>
      </c>
      <c r="C195" s="2199">
        <v>0</v>
      </c>
      <c r="D195" s="2197"/>
      <c r="E195" s="2197"/>
      <c r="F195" s="2199">
        <v>0</v>
      </c>
      <c r="G195" s="2200">
        <v>0</v>
      </c>
    </row>
    <row r="196" spans="1:7">
      <c r="A196" s="39" t="s">
        <v>1933</v>
      </c>
      <c r="C196" s="2202">
        <v>0</v>
      </c>
      <c r="D196" s="2203"/>
      <c r="E196" s="2203"/>
      <c r="F196" s="2203">
        <v>0</v>
      </c>
      <c r="G196" s="2204">
        <v>0</v>
      </c>
    </row>
    <row r="197" spans="1:7">
      <c r="A197" s="102"/>
      <c r="C197" s="2197"/>
      <c r="D197" s="2197"/>
      <c r="E197" s="2197"/>
      <c r="F197" s="2197"/>
      <c r="G197" s="2198"/>
    </row>
    <row r="198" spans="1:7">
      <c r="A198" s="39" t="s">
        <v>1944</v>
      </c>
      <c r="C198" s="2194">
        <v>0</v>
      </c>
      <c r="D198" s="2203"/>
      <c r="E198" s="2203"/>
      <c r="F198" s="2195">
        <v>0</v>
      </c>
      <c r="G198" s="2196">
        <v>0</v>
      </c>
    </row>
    <row r="199" spans="1:7">
      <c r="A199" s="39"/>
      <c r="C199" s="2197"/>
      <c r="D199" s="2197"/>
      <c r="E199" s="2197"/>
      <c r="F199" s="2197"/>
      <c r="G199" s="2198"/>
    </row>
    <row r="200" spans="1:7">
      <c r="A200" s="39" t="s">
        <v>1945</v>
      </c>
      <c r="C200" s="2197"/>
      <c r="D200" s="2197">
        <v>0</v>
      </c>
      <c r="E200" s="2197">
        <v>0</v>
      </c>
      <c r="F200" s="2197">
        <v>0</v>
      </c>
      <c r="G200" s="2198">
        <v>0</v>
      </c>
    </row>
    <row r="201" spans="1:7" ht="15" thickBot="1">
      <c r="A201" s="39"/>
      <c r="C201" s="2197"/>
      <c r="D201" s="2197"/>
      <c r="E201" s="2197"/>
      <c r="F201" s="2197"/>
      <c r="G201" s="2198"/>
    </row>
    <row r="202" spans="1:7" ht="15" thickBot="1">
      <c r="A202" s="39" t="s">
        <v>115</v>
      </c>
      <c r="C202" s="2205">
        <v>3187.6124105508616</v>
      </c>
      <c r="D202" s="2206">
        <v>3003.568129254199</v>
      </c>
      <c r="E202" s="2206">
        <v>3204.7344258726348</v>
      </c>
      <c r="F202" s="2206">
        <v>3330.3683299884578</v>
      </c>
      <c r="G202" s="2207">
        <v>3391.2829167588161</v>
      </c>
    </row>
    <row r="203" spans="1:7">
      <c r="A203" s="39"/>
      <c r="C203" s="2197"/>
      <c r="D203" s="2197"/>
      <c r="E203" s="2197"/>
      <c r="F203" s="2197"/>
      <c r="G203" s="2198"/>
    </row>
    <row r="204" spans="1:7" ht="15" thickBot="1">
      <c r="A204" s="82" t="s">
        <v>1946</v>
      </c>
      <c r="B204" s="32"/>
      <c r="C204" s="2208"/>
      <c r="D204" s="2209">
        <v>91.415761175014282</v>
      </c>
      <c r="E204" s="2209">
        <v>51.34015826258242</v>
      </c>
      <c r="F204" s="2209">
        <v>60.914586770358156</v>
      </c>
      <c r="G204" s="2210">
        <v>203.67050620795487</v>
      </c>
    </row>
    <row r="205" spans="1:7" ht="15" thickBot="1"/>
    <row r="206" spans="1:7" ht="15" thickBot="1">
      <c r="A206" s="2187" t="s">
        <v>9007</v>
      </c>
      <c r="B206" s="2215"/>
      <c r="C206" s="2215"/>
      <c r="D206" s="2215"/>
      <c r="E206" s="2215"/>
      <c r="F206" s="2215"/>
      <c r="G206" s="2216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1962"/>
      <c r="D213" s="1962"/>
      <c r="E213" s="2190">
        <v>1.0302103954291721</v>
      </c>
      <c r="F213" s="2190">
        <v>1.0162992960916115</v>
      </c>
      <c r="G213" s="2191">
        <v>1.0185621737313579</v>
      </c>
    </row>
    <row r="214" spans="1:7">
      <c r="A214" s="39" t="s">
        <v>1924</v>
      </c>
      <c r="C214" s="1962"/>
      <c r="D214" s="2192">
        <v>0.97894569823507793</v>
      </c>
      <c r="E214" s="2192">
        <v>0.99459736335232063</v>
      </c>
      <c r="F214" s="1962"/>
      <c r="G214" s="2193"/>
    </row>
    <row r="215" spans="1:7">
      <c r="A215" s="39"/>
      <c r="C215" s="1962"/>
      <c r="D215" s="1962"/>
      <c r="E215" s="1962"/>
      <c r="F215" s="1962"/>
      <c r="G215" s="2193"/>
    </row>
    <row r="216" spans="1:7">
      <c r="A216" s="39" t="s">
        <v>1925</v>
      </c>
      <c r="C216" s="1962"/>
      <c r="D216" s="1962"/>
      <c r="E216" s="1962"/>
      <c r="F216" s="1962"/>
      <c r="G216" s="2193"/>
    </row>
    <row r="217" spans="1:7">
      <c r="A217" s="39" t="s">
        <v>1926</v>
      </c>
      <c r="B217" s="96"/>
      <c r="C217" s="2194">
        <v>2045.7077937432869</v>
      </c>
      <c r="D217" s="2195">
        <v>2045.7077937432869</v>
      </c>
      <c r="E217" s="2195">
        <v>2107.5094351248108</v>
      </c>
      <c r="F217" s="2195">
        <v>2141.8603554237752</v>
      </c>
      <c r="G217" s="2196">
        <v>2181.6179394494593</v>
      </c>
    </row>
    <row r="218" spans="1:7">
      <c r="A218" s="39"/>
      <c r="C218" s="2197"/>
      <c r="D218" s="2197"/>
      <c r="E218" s="2197"/>
      <c r="F218" s="2197"/>
      <c r="G218" s="2198"/>
    </row>
    <row r="219" spans="1:7">
      <c r="A219" s="39" t="s">
        <v>1927</v>
      </c>
      <c r="C219" s="2197"/>
      <c r="D219" s="2197"/>
      <c r="E219" s="2197"/>
      <c r="F219" s="2197"/>
      <c r="G219" s="2198"/>
    </row>
    <row r="220" spans="1:7">
      <c r="A220" s="39" t="s">
        <v>1928</v>
      </c>
      <c r="B220" s="96"/>
      <c r="C220" s="2199">
        <v>146.01659661655978</v>
      </c>
      <c r="D220" s="2199">
        <v>146.01659661655978</v>
      </c>
      <c r="E220" s="2199">
        <v>150.42781573956796</v>
      </c>
      <c r="F220" s="2199">
        <v>152.87968324872156</v>
      </c>
      <c r="G220" s="2200">
        <v>155.7174624891793</v>
      </c>
    </row>
    <row r="221" spans="1:7">
      <c r="A221" s="39" t="s">
        <v>1929</v>
      </c>
      <c r="B221" s="96"/>
      <c r="C221" s="2199">
        <v>0</v>
      </c>
      <c r="D221" s="2199">
        <v>0</v>
      </c>
      <c r="E221" s="2199">
        <v>0</v>
      </c>
      <c r="F221" s="2199">
        <v>0</v>
      </c>
      <c r="G221" s="2200">
        <v>0</v>
      </c>
    </row>
    <row r="222" spans="1:7">
      <c r="A222" s="39" t="s">
        <v>1930</v>
      </c>
      <c r="B222" s="96"/>
      <c r="C222" s="2199">
        <v>1.7098695465756403E-2</v>
      </c>
      <c r="D222" s="2201">
        <v>1.6738694371633864E-2</v>
      </c>
      <c r="E222" s="2199">
        <v>1.7098695465756403E-2</v>
      </c>
      <c r="F222" s="2199">
        <v>1.7377392165933061E-2</v>
      </c>
      <c r="G222" s="2200">
        <v>1.769995433831505E-2</v>
      </c>
    </row>
    <row r="223" spans="1:7">
      <c r="A223" s="39" t="s">
        <v>1931</v>
      </c>
      <c r="B223" s="96"/>
      <c r="C223" s="2199">
        <v>2.2473752758255406E-2</v>
      </c>
      <c r="D223" s="2197"/>
      <c r="E223" s="2199">
        <v>2.2473752758255406E-2</v>
      </c>
      <c r="F223" s="2199">
        <v>2.2840059108751882E-2</v>
      </c>
      <c r="G223" s="2200">
        <v>2.3264020253963017E-2</v>
      </c>
    </row>
    <row r="224" spans="1:7">
      <c r="A224" s="39" t="s">
        <v>1932</v>
      </c>
      <c r="B224" s="96"/>
      <c r="C224" s="2199">
        <v>0</v>
      </c>
      <c r="D224" s="2197"/>
      <c r="E224" s="2199">
        <v>0</v>
      </c>
      <c r="F224" s="2199">
        <v>0</v>
      </c>
      <c r="G224" s="2200">
        <v>0</v>
      </c>
    </row>
    <row r="225" spans="1:7">
      <c r="A225" s="39" t="s">
        <v>1933</v>
      </c>
      <c r="B225" s="96"/>
      <c r="C225" s="2202">
        <v>146.0561690647838</v>
      </c>
      <c r="D225" s="2203">
        <v>146.03333531093142</v>
      </c>
      <c r="E225" s="2203">
        <v>150.46738818779198</v>
      </c>
      <c r="F225" s="2203">
        <v>152.91990069999625</v>
      </c>
      <c r="G225" s="2204">
        <v>155.7584264637716</v>
      </c>
    </row>
    <row r="226" spans="1:7">
      <c r="A226" s="39"/>
      <c r="C226" s="2197"/>
      <c r="D226" s="2197"/>
      <c r="E226" s="2197"/>
      <c r="F226" s="2197"/>
      <c r="G226" s="2198"/>
    </row>
    <row r="227" spans="1:7">
      <c r="A227" s="39" t="s">
        <v>1934</v>
      </c>
      <c r="C227" s="2197"/>
      <c r="D227" s="2197"/>
      <c r="E227" s="2197"/>
      <c r="F227" s="2197"/>
      <c r="G227" s="2198"/>
    </row>
    <row r="228" spans="1:7">
      <c r="A228" s="39" t="s">
        <v>1928</v>
      </c>
      <c r="B228" s="96"/>
      <c r="C228" s="2199">
        <v>900.28355589625096</v>
      </c>
      <c r="D228" s="2199">
        <v>900.28355589625096</v>
      </c>
      <c r="E228" s="2199">
        <v>927.48147811825788</v>
      </c>
      <c r="F228" s="2199">
        <v>942.59877334959288</v>
      </c>
      <c r="G228" s="2200">
        <v>960.09545553947294</v>
      </c>
    </row>
    <row r="229" spans="1:7">
      <c r="A229" s="39" t="s">
        <v>1929</v>
      </c>
      <c r="B229" s="96"/>
      <c r="C229" s="2199">
        <v>0</v>
      </c>
      <c r="D229" s="2199">
        <v>0</v>
      </c>
      <c r="E229" s="2199">
        <v>0</v>
      </c>
      <c r="F229" s="2199">
        <v>0</v>
      </c>
      <c r="G229" s="2200">
        <v>0</v>
      </c>
    </row>
    <row r="230" spans="1:7">
      <c r="A230" s="39" t="s">
        <v>1930</v>
      </c>
      <c r="B230" s="96"/>
      <c r="C230" s="2199">
        <v>20.536888015888461</v>
      </c>
      <c r="D230" s="2199">
        <v>20.104498178289536</v>
      </c>
      <c r="E230" s="2199">
        <v>20.536888015888461</v>
      </c>
      <c r="F230" s="2199">
        <v>20.871624834459695</v>
      </c>
      <c r="G230" s="2200">
        <v>21.259047560692661</v>
      </c>
    </row>
    <row r="231" spans="1:7">
      <c r="A231" s="39" t="s">
        <v>1931</v>
      </c>
      <c r="B231" s="96"/>
      <c r="C231" s="2199">
        <v>8.4875304816080863</v>
      </c>
      <c r="D231" s="2197"/>
      <c r="E231" s="2199">
        <v>8.4875304816080863</v>
      </c>
      <c r="F231" s="2199">
        <v>8.6258712540143954</v>
      </c>
      <c r="G231" s="2200">
        <v>8.7859861748157364</v>
      </c>
    </row>
    <row r="232" spans="1:7">
      <c r="A232" s="39" t="s">
        <v>1932</v>
      </c>
      <c r="B232" s="96"/>
      <c r="C232" s="2199">
        <v>7.6129986052422376E-3</v>
      </c>
      <c r="D232" s="2197"/>
      <c r="E232" s="2199">
        <v>7.6129986052422376E-3</v>
      </c>
      <c r="F232" s="2199">
        <v>7.7370851236541064E-3</v>
      </c>
      <c r="G232" s="2200">
        <v>7.8807022418936785E-3</v>
      </c>
    </row>
    <row r="233" spans="1:7">
      <c r="A233" s="39" t="s">
        <v>1935</v>
      </c>
      <c r="B233" s="96"/>
      <c r="C233" s="2199">
        <v>3.554545538841164E-2</v>
      </c>
      <c r="D233" s="2197"/>
      <c r="E233" s="2199">
        <v>3.5353416208471752E-2</v>
      </c>
      <c r="F233" s="2199">
        <v>3.554545538841164E-2</v>
      </c>
      <c r="G233" s="2200">
        <v>3.6205256306691573E-2</v>
      </c>
    </row>
    <row r="234" spans="1:7">
      <c r="A234" s="39" t="s">
        <v>1936</v>
      </c>
      <c r="B234" s="96"/>
      <c r="C234" s="2199">
        <v>8.296293870215346E-2</v>
      </c>
      <c r="D234" s="2197"/>
      <c r="E234" s="2197"/>
      <c r="F234" s="2199">
        <v>8.296293870215346E-2</v>
      </c>
      <c r="G234" s="2200">
        <v>8.4502911183606838E-2</v>
      </c>
    </row>
    <row r="235" spans="1:7">
      <c r="A235" s="39" t="s">
        <v>1933</v>
      </c>
      <c r="B235" s="96"/>
      <c r="C235" s="2202">
        <v>929.43409578644344</v>
      </c>
      <c r="D235" s="2203">
        <v>920.38805407454049</v>
      </c>
      <c r="E235" s="2203">
        <v>956.54886303056833</v>
      </c>
      <c r="F235" s="2203">
        <v>972.22251491728116</v>
      </c>
      <c r="G235" s="2204">
        <v>990.2690781447136</v>
      </c>
    </row>
    <row r="236" spans="1:7">
      <c r="A236" s="39"/>
      <c r="C236" s="2197"/>
      <c r="D236" s="2197"/>
      <c r="E236" s="2197"/>
      <c r="F236" s="2197"/>
      <c r="G236" s="2198"/>
    </row>
    <row r="237" spans="1:7">
      <c r="A237" s="39" t="s">
        <v>1937</v>
      </c>
      <c r="C237" s="2197"/>
      <c r="D237" s="2197"/>
      <c r="E237" s="2197"/>
      <c r="F237" s="2197"/>
      <c r="G237" s="2198"/>
    </row>
    <row r="238" spans="1:7">
      <c r="A238" s="39" t="s">
        <v>1930</v>
      </c>
      <c r="B238" s="96"/>
      <c r="C238" s="2199">
        <v>1E-4</v>
      </c>
      <c r="D238" s="2199">
        <v>9.7894569823507805E-5</v>
      </c>
      <c r="E238" s="2199">
        <v>1E-4</v>
      </c>
      <c r="F238" s="2199">
        <v>1.0162992960916116E-4</v>
      </c>
      <c r="G238" s="2200">
        <v>1.0351640201887208E-4</v>
      </c>
    </row>
    <row r="239" spans="1:7">
      <c r="A239" s="39" t="s">
        <v>1931</v>
      </c>
      <c r="B239" s="96"/>
      <c r="C239" s="2199">
        <v>101.64121394397111</v>
      </c>
      <c r="D239" s="2197"/>
      <c r="E239" s="2199">
        <v>101.64121394397111</v>
      </c>
      <c r="F239" s="2199">
        <v>103.29789418515473</v>
      </c>
      <c r="G239" s="2200">
        <v>105.21532764310301</v>
      </c>
    </row>
    <row r="240" spans="1:7">
      <c r="A240" s="39" t="s">
        <v>1932</v>
      </c>
      <c r="B240" s="96"/>
      <c r="C240" s="2199">
        <v>1E-4</v>
      </c>
      <c r="D240" s="2197"/>
      <c r="E240" s="2199">
        <v>1E-4</v>
      </c>
      <c r="F240" s="2199">
        <v>1.0162992960916116E-4</v>
      </c>
      <c r="G240" s="2200">
        <v>1.0351640201887208E-4</v>
      </c>
    </row>
    <row r="241" spans="1:7">
      <c r="A241" s="39" t="s">
        <v>1935</v>
      </c>
      <c r="B241" s="96"/>
      <c r="C241" s="2199">
        <v>1E-4</v>
      </c>
      <c r="D241" s="2197"/>
      <c r="E241" s="2199">
        <v>9.945973633523207E-5</v>
      </c>
      <c r="F241" s="2199">
        <v>1E-4</v>
      </c>
      <c r="G241" s="2200">
        <v>1.018562173731358E-4</v>
      </c>
    </row>
    <row r="242" spans="1:7">
      <c r="A242" s="39" t="s">
        <v>1936</v>
      </c>
      <c r="B242" s="96"/>
      <c r="C242" s="2199">
        <v>74.218786056028904</v>
      </c>
      <c r="D242" s="2197"/>
      <c r="E242" s="2197"/>
      <c r="F242" s="2199">
        <v>74.218786056028904</v>
      </c>
      <c r="G242" s="2200">
        <v>75.596448056931393</v>
      </c>
    </row>
    <row r="243" spans="1:7">
      <c r="A243" s="39" t="s">
        <v>1933</v>
      </c>
      <c r="B243" s="96"/>
      <c r="C243" s="2202">
        <v>175.86030000000002</v>
      </c>
      <c r="D243" s="2203">
        <v>9.7894569823507805E-5</v>
      </c>
      <c r="E243" s="2203">
        <v>101.64151340370745</v>
      </c>
      <c r="F243" s="2203">
        <v>177.51698350104283</v>
      </c>
      <c r="G243" s="2204">
        <v>180.81208458905581</v>
      </c>
    </row>
    <row r="244" spans="1:7">
      <c r="A244" s="39"/>
      <c r="C244" s="2197"/>
      <c r="D244" s="2197"/>
      <c r="E244" s="2197"/>
      <c r="F244" s="2197"/>
      <c r="G244" s="2198"/>
    </row>
    <row r="245" spans="1:7">
      <c r="A245" s="39" t="s">
        <v>1938</v>
      </c>
      <c r="C245" s="2197"/>
      <c r="D245" s="2197"/>
      <c r="E245" s="2197"/>
      <c r="F245" s="2197"/>
      <c r="G245" s="2198"/>
    </row>
    <row r="246" spans="1:7">
      <c r="A246" s="39" t="s">
        <v>1926</v>
      </c>
      <c r="B246" s="96"/>
      <c r="C246" s="2194">
        <v>10.823399999999999</v>
      </c>
      <c r="D246" s="2195">
        <v>10.823399999999999</v>
      </c>
      <c r="E246" s="2195">
        <v>11.150379193888101</v>
      </c>
      <c r="F246" s="2195">
        <v>11.332122525903028</v>
      </c>
      <c r="G246" s="2196">
        <v>11.542471352973875</v>
      </c>
    </row>
    <row r="247" spans="1:7">
      <c r="A247" s="39"/>
      <c r="C247" s="2197"/>
      <c r="D247" s="2197"/>
      <c r="E247" s="2197"/>
      <c r="F247" s="2197"/>
      <c r="G247" s="2198"/>
    </row>
    <row r="248" spans="1:7">
      <c r="A248" s="39" t="s">
        <v>115</v>
      </c>
      <c r="C248" s="2197"/>
      <c r="D248" s="2197"/>
      <c r="E248" s="2197"/>
      <c r="F248" s="2197"/>
      <c r="G248" s="2198"/>
    </row>
    <row r="249" spans="1:7">
      <c r="A249" s="39" t="s">
        <v>1928</v>
      </c>
      <c r="C249" s="2197">
        <v>3102.8313462560977</v>
      </c>
      <c r="D249" s="2197">
        <v>3102.8313462560977</v>
      </c>
      <c r="E249" s="2197">
        <v>3196.5691081765249</v>
      </c>
      <c r="F249" s="2197">
        <v>3248.6709345479926</v>
      </c>
      <c r="G249" s="2198">
        <v>3308.9733288310854</v>
      </c>
    </row>
    <row r="250" spans="1:7">
      <c r="A250" s="39" t="s">
        <v>1929</v>
      </c>
      <c r="C250" s="2197">
        <v>0</v>
      </c>
      <c r="D250" s="2197">
        <v>0</v>
      </c>
      <c r="E250" s="2197">
        <v>0</v>
      </c>
      <c r="F250" s="2197">
        <v>0</v>
      </c>
      <c r="G250" s="2198">
        <v>0</v>
      </c>
    </row>
    <row r="251" spans="1:7">
      <c r="A251" s="39" t="s">
        <v>1930</v>
      </c>
      <c r="C251" s="2197">
        <v>20.554086711354216</v>
      </c>
      <c r="D251" s="2197">
        <v>20.121334767230991</v>
      </c>
      <c r="E251" s="2197">
        <v>20.554086711354216</v>
      </c>
      <c r="F251" s="2197">
        <v>20.889103856555238</v>
      </c>
      <c r="G251" s="2198">
        <v>21.276851031432994</v>
      </c>
    </row>
    <row r="252" spans="1:7">
      <c r="A252" s="39" t="s">
        <v>1931</v>
      </c>
      <c r="C252" s="2197">
        <v>110.15121817833744</v>
      </c>
      <c r="D252" s="2197">
        <v>0</v>
      </c>
      <c r="E252" s="2197">
        <v>110.15121817833744</v>
      </c>
      <c r="F252" s="2197">
        <v>111.94660549827788</v>
      </c>
      <c r="G252" s="2198">
        <v>114.0245778381727</v>
      </c>
    </row>
    <row r="253" spans="1:7">
      <c r="A253" s="39" t="s">
        <v>1932</v>
      </c>
      <c r="C253" s="2197">
        <v>7.7129986052422378E-3</v>
      </c>
      <c r="D253" s="2197">
        <v>0</v>
      </c>
      <c r="E253" s="2197">
        <v>7.7129986052422378E-3</v>
      </c>
      <c r="F253" s="2197">
        <v>7.8387150532632684E-3</v>
      </c>
      <c r="G253" s="2198">
        <v>7.9842186439125513E-3</v>
      </c>
    </row>
    <row r="254" spans="1:7">
      <c r="A254" s="39" t="s">
        <v>1935</v>
      </c>
      <c r="C254" s="2197">
        <v>3.5645455388411643E-2</v>
      </c>
      <c r="D254" s="2197">
        <v>0</v>
      </c>
      <c r="E254" s="2197">
        <v>3.5452875944806984E-2</v>
      </c>
      <c r="F254" s="2197">
        <v>3.5645455388411643E-2</v>
      </c>
      <c r="G254" s="2198">
        <v>3.6307112524064711E-2</v>
      </c>
    </row>
    <row r="255" spans="1:7" ht="15" thickBot="1">
      <c r="A255" s="39" t="s">
        <v>1936</v>
      </c>
      <c r="C255" s="2197">
        <v>74.301748994731057</v>
      </c>
      <c r="D255" s="2197">
        <v>0</v>
      </c>
      <c r="E255" s="2197">
        <v>0</v>
      </c>
      <c r="F255" s="2197">
        <v>74.301748994731057</v>
      </c>
      <c r="G255" s="2198">
        <v>75.680950968114999</v>
      </c>
    </row>
    <row r="256" spans="1:7" ht="15" thickBot="1">
      <c r="A256" s="39" t="s">
        <v>115</v>
      </c>
      <c r="C256" s="2205">
        <v>3307.8817585945139</v>
      </c>
      <c r="D256" s="2206">
        <v>3122.9526810233288</v>
      </c>
      <c r="E256" s="2206">
        <v>3327.3175789407665</v>
      </c>
      <c r="F256" s="2206">
        <v>3455.8518770679984</v>
      </c>
      <c r="G256" s="2207">
        <v>3519.9999999999741</v>
      </c>
    </row>
    <row r="257" spans="1:7">
      <c r="A257" s="39"/>
      <c r="C257" s="2197"/>
      <c r="D257" s="2197"/>
      <c r="E257" s="2197"/>
      <c r="F257" s="2197"/>
      <c r="G257" s="2198"/>
    </row>
    <row r="258" spans="1:7">
      <c r="A258" s="39" t="s">
        <v>1939</v>
      </c>
      <c r="C258" s="2197"/>
      <c r="D258" s="2197">
        <v>93.737761920427772</v>
      </c>
      <c r="E258" s="2197">
        <v>54.232356553056981</v>
      </c>
      <c r="F258" s="2197">
        <v>64.148122931975664</v>
      </c>
      <c r="G258" s="2198">
        <v>212.11824140546042</v>
      </c>
    </row>
    <row r="259" spans="1:7">
      <c r="A259" s="39"/>
      <c r="C259" s="2197"/>
      <c r="D259" s="2197"/>
      <c r="E259" s="2197"/>
      <c r="F259" s="2197"/>
      <c r="G259" s="2198"/>
    </row>
    <row r="260" spans="1:7">
      <c r="A260" s="39" t="s">
        <v>1940</v>
      </c>
      <c r="C260" s="2197"/>
      <c r="D260" s="2197"/>
      <c r="E260" s="2197"/>
      <c r="F260" s="2197"/>
      <c r="G260" s="2198"/>
    </row>
    <row r="261" spans="1:7">
      <c r="A261" s="39" t="s">
        <v>1941</v>
      </c>
      <c r="C261" s="2199">
        <v>0</v>
      </c>
      <c r="D261" s="2197"/>
      <c r="E261" s="2197"/>
      <c r="F261" s="2199">
        <v>0</v>
      </c>
      <c r="G261" s="2200">
        <v>0</v>
      </c>
    </row>
    <row r="262" spans="1:7">
      <c r="A262" s="39" t="s">
        <v>1942</v>
      </c>
      <c r="C262" s="2199">
        <v>0</v>
      </c>
      <c r="D262" s="2197"/>
      <c r="E262" s="2197"/>
      <c r="F262" s="2199">
        <v>0</v>
      </c>
      <c r="G262" s="2200">
        <v>0</v>
      </c>
    </row>
    <row r="263" spans="1:7">
      <c r="A263" s="39" t="s">
        <v>1943</v>
      </c>
      <c r="C263" s="2199">
        <v>0</v>
      </c>
      <c r="D263" s="2197"/>
      <c r="E263" s="2197"/>
      <c r="F263" s="2199">
        <v>0</v>
      </c>
      <c r="G263" s="2200">
        <v>0</v>
      </c>
    </row>
    <row r="264" spans="1:7">
      <c r="A264" s="39" t="s">
        <v>1933</v>
      </c>
      <c r="C264" s="2202">
        <v>0</v>
      </c>
      <c r="D264" s="2203"/>
      <c r="E264" s="2203"/>
      <c r="F264" s="2203">
        <v>0</v>
      </c>
      <c r="G264" s="2204">
        <v>0</v>
      </c>
    </row>
    <row r="265" spans="1:7">
      <c r="A265" s="102"/>
      <c r="C265" s="2197"/>
      <c r="D265" s="2197"/>
      <c r="E265" s="2197"/>
      <c r="F265" s="2197"/>
      <c r="G265" s="2198"/>
    </row>
    <row r="266" spans="1:7">
      <c r="A266" s="39" t="s">
        <v>1944</v>
      </c>
      <c r="C266" s="2194">
        <v>0</v>
      </c>
      <c r="D266" s="2203"/>
      <c r="E266" s="2203"/>
      <c r="F266" s="2195">
        <v>0</v>
      </c>
      <c r="G266" s="2196">
        <v>0</v>
      </c>
    </row>
    <row r="267" spans="1:7">
      <c r="A267" s="39"/>
      <c r="C267" s="2197"/>
      <c r="D267" s="2197"/>
      <c r="E267" s="2197"/>
      <c r="F267" s="2197"/>
      <c r="G267" s="2198"/>
    </row>
    <row r="268" spans="1:7">
      <c r="A268" s="39" t="s">
        <v>1945</v>
      </c>
      <c r="C268" s="2197"/>
      <c r="D268" s="2197">
        <v>0</v>
      </c>
      <c r="E268" s="2197">
        <v>0</v>
      </c>
      <c r="F268" s="2197">
        <v>0</v>
      </c>
      <c r="G268" s="2198">
        <v>0</v>
      </c>
    </row>
    <row r="269" spans="1:7" ht="15" thickBot="1">
      <c r="A269" s="39"/>
      <c r="C269" s="2197"/>
      <c r="D269" s="2197"/>
      <c r="E269" s="2197"/>
      <c r="F269" s="2197"/>
      <c r="G269" s="2198"/>
    </row>
    <row r="270" spans="1:7" ht="15" thickBot="1">
      <c r="A270" s="39" t="s">
        <v>115</v>
      </c>
      <c r="C270" s="2205">
        <v>3307.8817585945139</v>
      </c>
      <c r="D270" s="2206">
        <v>3122.9526810233288</v>
      </c>
      <c r="E270" s="2206">
        <v>3327.3175789407665</v>
      </c>
      <c r="F270" s="2206">
        <v>3455.8518770679984</v>
      </c>
      <c r="G270" s="2207">
        <v>3519.9999999999741</v>
      </c>
    </row>
    <row r="271" spans="1:7">
      <c r="A271" s="39"/>
      <c r="C271" s="2197"/>
      <c r="D271" s="2197"/>
      <c r="E271" s="2197"/>
      <c r="F271" s="2197"/>
      <c r="G271" s="2198"/>
    </row>
    <row r="272" spans="1:7" ht="15" thickBot="1">
      <c r="A272" s="82" t="s">
        <v>1946</v>
      </c>
      <c r="B272" s="32"/>
      <c r="C272" s="2208"/>
      <c r="D272" s="2209">
        <v>93.737761920427772</v>
      </c>
      <c r="E272" s="2209">
        <v>54.232356553056981</v>
      </c>
      <c r="F272" s="2209">
        <v>64.148122931975664</v>
      </c>
      <c r="G272" s="2210">
        <v>212.11824140546042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9189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1.0311791697742285</v>
      </c>
      <c r="F9" s="299">
        <v>1.016602371597715</v>
      </c>
      <c r="G9" s="300">
        <v>1.0186480947860184</v>
      </c>
      <c r="I9" s="29" t="s">
        <v>116</v>
      </c>
    </row>
    <row r="10" spans="1:9">
      <c r="A10" s="39" t="s">
        <v>1924</v>
      </c>
      <c r="C10" s="29"/>
      <c r="D10" s="301">
        <v>0.97836541694279955</v>
      </c>
      <c r="E10" s="301">
        <v>0.99454771226813299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1728.670330150112</v>
      </c>
      <c r="D13" s="304">
        <v>1728.670330150112</v>
      </c>
      <c r="E13" s="304">
        <v>1782.5688358575339</v>
      </c>
      <c r="F13" s="304">
        <v>1812.163706068947</v>
      </c>
      <c r="G13" s="305">
        <v>1845.957106627503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172.11032279264805</v>
      </c>
      <c r="D16" s="308">
        <v>172.11032279264805</v>
      </c>
      <c r="E16" s="308">
        <v>177.47657976689729</v>
      </c>
      <c r="F16" s="308">
        <v>180.42311189407883</v>
      </c>
      <c r="G16" s="309">
        <v>183.787659186268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2.0154297964309432E-2</v>
      </c>
      <c r="D18" s="310">
        <v>1.9718268131041015E-2</v>
      </c>
      <c r="E18" s="308">
        <v>2.0154297964309432E-2</v>
      </c>
      <c r="F18" s="308">
        <v>2.048890710840397E-2</v>
      </c>
      <c r="G18" s="309">
        <v>2.0870986190223415E-2</v>
      </c>
    </row>
    <row r="19" spans="1:7">
      <c r="A19" s="39" t="s">
        <v>1931</v>
      </c>
      <c r="B19" s="96"/>
      <c r="C19" s="308">
        <v>2.6489898622570934E-2</v>
      </c>
      <c r="D19" s="306"/>
      <c r="E19" s="308">
        <v>2.6489898622570934E-2</v>
      </c>
      <c r="F19" s="308">
        <v>2.6929693763088656E-2</v>
      </c>
      <c r="G19" s="309">
        <v>2.743188124494118E-2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172.15696698923492</v>
      </c>
      <c r="D21" s="312">
        <v>172.13004106077909</v>
      </c>
      <c r="E21" s="312">
        <v>177.52322396348416</v>
      </c>
      <c r="F21" s="312">
        <v>180.47053049495034</v>
      </c>
      <c r="G21" s="313">
        <v>183.83596205370318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1129.3432789805008</v>
      </c>
      <c r="D24" s="308">
        <v>1129.3432789805008</v>
      </c>
      <c r="E24" s="308">
        <v>1164.5552648092178</v>
      </c>
      <c r="F24" s="308">
        <v>1183.8896440616559</v>
      </c>
      <c r="G24" s="309">
        <v>1205.9669303603032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26.526407983110101</v>
      </c>
      <c r="D26" s="308">
        <v>25.952520206390322</v>
      </c>
      <c r="E26" s="308">
        <v>26.526407983110101</v>
      </c>
      <c r="F26" s="308">
        <v>26.96680926559829</v>
      </c>
      <c r="G26" s="309">
        <v>27.469688880859646</v>
      </c>
    </row>
    <row r="27" spans="1:7">
      <c r="A27" s="39" t="s">
        <v>1931</v>
      </c>
      <c r="B27" s="96"/>
      <c r="C27" s="308">
        <v>10.962892535131688</v>
      </c>
      <c r="D27" s="306"/>
      <c r="E27" s="308">
        <v>10.962892535131688</v>
      </c>
      <c r="F27" s="308">
        <v>11.14490255078576</v>
      </c>
      <c r="G27" s="309">
        <v>11.352733749933751</v>
      </c>
    </row>
    <row r="28" spans="1:7">
      <c r="A28" s="39" t="s">
        <v>1932</v>
      </c>
      <c r="B28" s="96"/>
      <c r="C28" s="308">
        <v>9.8333061377784033E-3</v>
      </c>
      <c r="D28" s="306"/>
      <c r="E28" s="308">
        <v>9.8333061377784033E-3</v>
      </c>
      <c r="F28" s="308">
        <v>9.996562340311892E-3</v>
      </c>
      <c r="G28" s="309">
        <v>1.018297918236837E-2</v>
      </c>
    </row>
    <row r="29" spans="1:7">
      <c r="A29" s="39" t="s">
        <v>1935</v>
      </c>
      <c r="B29" s="96"/>
      <c r="C29" s="308">
        <v>4.591217767993732E-2</v>
      </c>
      <c r="D29" s="306"/>
      <c r="E29" s="308">
        <v>4.5661851276829701E-2</v>
      </c>
      <c r="F29" s="308">
        <v>4.591217767993732E-2</v>
      </c>
      <c r="G29" s="309">
        <v>4.6768352321145311E-2</v>
      </c>
    </row>
    <row r="30" spans="1:7">
      <c r="A30" s="39" t="s">
        <v>1936</v>
      </c>
      <c r="B30" s="96"/>
      <c r="C30" s="308">
        <v>0.10715882356608698</v>
      </c>
      <c r="D30" s="306"/>
      <c r="E30" s="306"/>
      <c r="F30" s="308">
        <v>0.10715882356608698</v>
      </c>
      <c r="G30" s="309">
        <v>0.1091571314651056</v>
      </c>
    </row>
    <row r="31" spans="1:7">
      <c r="A31" s="39" t="s">
        <v>1933</v>
      </c>
      <c r="B31" s="96"/>
      <c r="C31" s="311">
        <v>1166.9954838061265</v>
      </c>
      <c r="D31" s="312">
        <v>1155.2957991868911</v>
      </c>
      <c r="E31" s="312">
        <v>1202.1000604848743</v>
      </c>
      <c r="F31" s="312">
        <v>1222.1644234416262</v>
      </c>
      <c r="G31" s="313">
        <v>1244.9554614540652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9.7836541694279957E-5</v>
      </c>
      <c r="E34" s="308">
        <v>1E-4</v>
      </c>
      <c r="F34" s="308">
        <v>1.0166023715977152E-4</v>
      </c>
      <c r="G34" s="309">
        <v>1.0355600689829604E-4</v>
      </c>
    </row>
    <row r="35" spans="1:7">
      <c r="A35" s="39" t="s">
        <v>1931</v>
      </c>
      <c r="B35" s="96"/>
      <c r="C35" s="308">
        <v>160.87123558037595</v>
      </c>
      <c r="D35" s="306"/>
      <c r="E35" s="308">
        <v>160.87123558037595</v>
      </c>
      <c r="F35" s="308">
        <v>163.54207961286491</v>
      </c>
      <c r="G35" s="309">
        <v>166.59182781498816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1.0166023715977152E-4</v>
      </c>
      <c r="G36" s="309">
        <v>1.0355600689829604E-4</v>
      </c>
    </row>
    <row r="37" spans="1:7">
      <c r="A37" s="39" t="s">
        <v>1935</v>
      </c>
      <c r="B37" s="96"/>
      <c r="C37" s="308">
        <v>1E-4</v>
      </c>
      <c r="D37" s="306"/>
      <c r="E37" s="308">
        <v>9.9454771226813301E-5</v>
      </c>
      <c r="F37" s="308">
        <v>1E-4</v>
      </c>
      <c r="G37" s="309">
        <v>1.0186480947860184E-4</v>
      </c>
    </row>
    <row r="38" spans="1:7">
      <c r="A38" s="39" t="s">
        <v>1936</v>
      </c>
      <c r="B38" s="96"/>
      <c r="C38" s="308">
        <v>117.46876441962405</v>
      </c>
      <c r="D38" s="306"/>
      <c r="E38" s="306"/>
      <c r="F38" s="308">
        <v>117.46876441962405</v>
      </c>
      <c r="G38" s="309">
        <v>119.65933307291766</v>
      </c>
    </row>
    <row r="39" spans="1:7">
      <c r="A39" s="39" t="s">
        <v>1933</v>
      </c>
      <c r="B39" s="96"/>
      <c r="C39" s="311">
        <v>278.34030000000001</v>
      </c>
      <c r="D39" s="312">
        <v>9.7836541694279957E-5</v>
      </c>
      <c r="E39" s="312">
        <v>160.87153503514719</v>
      </c>
      <c r="F39" s="312">
        <v>281.01114735296329</v>
      </c>
      <c r="G39" s="313">
        <v>286.25146986472907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3030.1239319232609</v>
      </c>
      <c r="D45" s="306">
        <v>3030.1239319232609</v>
      </c>
      <c r="E45" s="306">
        <v>3124.6006804336489</v>
      </c>
      <c r="F45" s="306">
        <v>3176.4764620246815</v>
      </c>
      <c r="G45" s="307">
        <v>3235.7116961740739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26.546662281074411</v>
      </c>
      <c r="D47" s="306">
        <v>25.972336311063057</v>
      </c>
      <c r="E47" s="306">
        <v>26.546662281074411</v>
      </c>
      <c r="F47" s="306">
        <v>26.987399832943854</v>
      </c>
      <c r="G47" s="307">
        <v>27.49066342305677</v>
      </c>
    </row>
    <row r="48" spans="1:7">
      <c r="A48" s="39" t="s">
        <v>1931</v>
      </c>
      <c r="C48" s="306">
        <v>171.86061801413021</v>
      </c>
      <c r="D48" s="306">
        <v>0</v>
      </c>
      <c r="E48" s="306">
        <v>171.86061801413021</v>
      </c>
      <c r="F48" s="306">
        <v>174.71391185741376</v>
      </c>
      <c r="G48" s="307">
        <v>177.97199344616686</v>
      </c>
    </row>
    <row r="49" spans="1:7">
      <c r="A49" s="39" t="s">
        <v>1932</v>
      </c>
      <c r="C49" s="306">
        <v>9.9333061377784027E-3</v>
      </c>
      <c r="D49" s="306">
        <v>0</v>
      </c>
      <c r="E49" s="306">
        <v>9.9333061377784027E-3</v>
      </c>
      <c r="F49" s="306">
        <v>1.0098222577471663E-2</v>
      </c>
      <c r="G49" s="307">
        <v>1.0286535189266666E-2</v>
      </c>
    </row>
    <row r="50" spans="1:7">
      <c r="A50" s="39" t="s">
        <v>1935</v>
      </c>
      <c r="C50" s="306">
        <v>4.6012177679937323E-2</v>
      </c>
      <c r="D50" s="306">
        <v>0</v>
      </c>
      <c r="E50" s="306">
        <v>4.5761306048056512E-2</v>
      </c>
      <c r="F50" s="306">
        <v>4.6012177679937323E-2</v>
      </c>
      <c r="G50" s="307">
        <v>4.6870217130623913E-2</v>
      </c>
    </row>
    <row r="51" spans="1:7" ht="15" thickBot="1">
      <c r="A51" s="39" t="s">
        <v>1936</v>
      </c>
      <c r="C51" s="306">
        <v>117.57592324319013</v>
      </c>
      <c r="D51" s="306">
        <v>0</v>
      </c>
      <c r="E51" s="306">
        <v>0</v>
      </c>
      <c r="F51" s="306">
        <v>117.57592324319013</v>
      </c>
      <c r="G51" s="307">
        <v>119.76849020438277</v>
      </c>
    </row>
    <row r="52" spans="1:7" ht="15" thickBot="1">
      <c r="A52" s="39" t="s">
        <v>115</v>
      </c>
      <c r="C52" s="314">
        <v>3346.1630809454732</v>
      </c>
      <c r="D52" s="315">
        <v>3056.0962682343238</v>
      </c>
      <c r="E52" s="315">
        <v>3323.0636553410391</v>
      </c>
      <c r="F52" s="315">
        <v>3495.809807358487</v>
      </c>
      <c r="G52" s="316">
        <v>3561.0000000000005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94.476748510387978</v>
      </c>
      <c r="E54" s="306">
        <v>55.169977902625924</v>
      </c>
      <c r="F54" s="306">
        <v>65.190192641513349</v>
      </c>
      <c r="G54" s="307">
        <v>214.83691905452724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3346.1630809454732</v>
      </c>
      <c r="D66" s="315">
        <v>3056.0962682343238</v>
      </c>
      <c r="E66" s="315">
        <v>3323.0636553410391</v>
      </c>
      <c r="F66" s="315">
        <v>3495.809807358487</v>
      </c>
      <c r="G66" s="316">
        <v>3561.0000000000005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94.476748510387978</v>
      </c>
      <c r="E68" s="318">
        <v>55.169977902625924</v>
      </c>
      <c r="F68" s="318">
        <v>65.190192641513349</v>
      </c>
      <c r="G68" s="319">
        <v>214.83691905452724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9008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1.0311791697742285</v>
      </c>
      <c r="F77" s="299">
        <v>1.016602371597715</v>
      </c>
      <c r="G77" s="300">
        <v>1.0186480947860184</v>
      </c>
    </row>
    <row r="78" spans="1:7">
      <c r="A78" s="39" t="s">
        <v>1924</v>
      </c>
      <c r="C78" s="29"/>
      <c r="D78" s="301">
        <v>0.97836541694279955</v>
      </c>
      <c r="E78" s="301">
        <v>0.99454771226813299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1728.670330150112</v>
      </c>
      <c r="D81" s="304">
        <v>1728.670330150112</v>
      </c>
      <c r="E81" s="304">
        <v>1782.5688358575339</v>
      </c>
      <c r="F81" s="304">
        <v>1812.163706068947</v>
      </c>
      <c r="G81" s="305">
        <v>1845.957106627503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172.11032279264805</v>
      </c>
      <c r="D84" s="308">
        <v>172.11032279264805</v>
      </c>
      <c r="E84" s="308">
        <v>177.47657976689729</v>
      </c>
      <c r="F84" s="308">
        <v>180.42311189407883</v>
      </c>
      <c r="G84" s="309">
        <v>183.787659186268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2.0154297964309432E-2</v>
      </c>
      <c r="D86" s="310">
        <v>1.9718268131041015E-2</v>
      </c>
      <c r="E86" s="308">
        <v>2.0154297964309432E-2</v>
      </c>
      <c r="F86" s="308">
        <v>2.048890710840397E-2</v>
      </c>
      <c r="G86" s="309">
        <v>2.0870986190223415E-2</v>
      </c>
    </row>
    <row r="87" spans="1:7">
      <c r="A87" s="39" t="s">
        <v>1931</v>
      </c>
      <c r="B87" s="96"/>
      <c r="C87" s="308">
        <v>2.6489898622570934E-2</v>
      </c>
      <c r="D87" s="306"/>
      <c r="E87" s="308">
        <v>2.6489898622570934E-2</v>
      </c>
      <c r="F87" s="308">
        <v>2.6929693763088656E-2</v>
      </c>
      <c r="G87" s="309">
        <v>2.743188124494118E-2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172.15696698923492</v>
      </c>
      <c r="D89" s="312">
        <v>172.13004106077909</v>
      </c>
      <c r="E89" s="312">
        <v>177.52322396348416</v>
      </c>
      <c r="F89" s="312">
        <v>180.47053049495034</v>
      </c>
      <c r="G89" s="313">
        <v>183.83596205370318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1129.3432789805008</v>
      </c>
      <c r="D92" s="308">
        <v>1129.3432789805008</v>
      </c>
      <c r="E92" s="308">
        <v>1164.5552648092178</v>
      </c>
      <c r="F92" s="308">
        <v>1183.8896440616559</v>
      </c>
      <c r="G92" s="309">
        <v>1205.9669303603032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26.526407983110101</v>
      </c>
      <c r="D94" s="308">
        <v>25.952520206390322</v>
      </c>
      <c r="E94" s="308">
        <v>26.526407983110101</v>
      </c>
      <c r="F94" s="308">
        <v>26.96680926559829</v>
      </c>
      <c r="G94" s="309">
        <v>27.469688880859646</v>
      </c>
    </row>
    <row r="95" spans="1:7">
      <c r="A95" s="39" t="s">
        <v>1931</v>
      </c>
      <c r="B95" s="96"/>
      <c r="C95" s="308">
        <v>10.962892535131688</v>
      </c>
      <c r="D95" s="306"/>
      <c r="E95" s="308">
        <v>10.962892535131688</v>
      </c>
      <c r="F95" s="308">
        <v>11.14490255078576</v>
      </c>
      <c r="G95" s="309">
        <v>11.352733749933751</v>
      </c>
    </row>
    <row r="96" spans="1:7">
      <c r="A96" s="39" t="s">
        <v>1932</v>
      </c>
      <c r="B96" s="96"/>
      <c r="C96" s="308">
        <v>9.8333061377784033E-3</v>
      </c>
      <c r="D96" s="306"/>
      <c r="E96" s="308">
        <v>9.8333061377784033E-3</v>
      </c>
      <c r="F96" s="308">
        <v>9.996562340311892E-3</v>
      </c>
      <c r="G96" s="309">
        <v>1.018297918236837E-2</v>
      </c>
    </row>
    <row r="97" spans="1:7">
      <c r="A97" s="39" t="s">
        <v>1935</v>
      </c>
      <c r="B97" s="96"/>
      <c r="C97" s="308">
        <v>4.591217767993732E-2</v>
      </c>
      <c r="D97" s="306"/>
      <c r="E97" s="308">
        <v>4.5661851276829701E-2</v>
      </c>
      <c r="F97" s="308">
        <v>4.591217767993732E-2</v>
      </c>
      <c r="G97" s="309">
        <v>4.6768352321145311E-2</v>
      </c>
    </row>
    <row r="98" spans="1:7">
      <c r="A98" s="39" t="s">
        <v>1936</v>
      </c>
      <c r="B98" s="96"/>
      <c r="C98" s="308">
        <v>0.10715882356608698</v>
      </c>
      <c r="D98" s="306"/>
      <c r="E98" s="306"/>
      <c r="F98" s="308">
        <v>0.10715882356608698</v>
      </c>
      <c r="G98" s="309">
        <v>0.1091571314651056</v>
      </c>
    </row>
    <row r="99" spans="1:7">
      <c r="A99" s="39" t="s">
        <v>1933</v>
      </c>
      <c r="B99" s="96"/>
      <c r="C99" s="311">
        <v>1166.9954838061265</v>
      </c>
      <c r="D99" s="312">
        <v>1155.2957991868911</v>
      </c>
      <c r="E99" s="312">
        <v>1202.1000604848743</v>
      </c>
      <c r="F99" s="312">
        <v>1222.1644234416262</v>
      </c>
      <c r="G99" s="313">
        <v>1244.9554614540652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9.7836541694279957E-5</v>
      </c>
      <c r="E102" s="308">
        <v>1E-4</v>
      </c>
      <c r="F102" s="308">
        <v>1.0166023715977152E-4</v>
      </c>
      <c r="G102" s="309">
        <v>1.0355600689829604E-4</v>
      </c>
    </row>
    <row r="103" spans="1:7">
      <c r="A103" s="39" t="s">
        <v>1931</v>
      </c>
      <c r="B103" s="96"/>
      <c r="C103" s="308">
        <v>160.87123558037595</v>
      </c>
      <c r="D103" s="306"/>
      <c r="E103" s="308">
        <v>160.87123558037595</v>
      </c>
      <c r="F103" s="308">
        <v>163.54207961286491</v>
      </c>
      <c r="G103" s="309">
        <v>166.59182781498816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1.0166023715977152E-4</v>
      </c>
      <c r="G104" s="309">
        <v>1.0355600689829604E-4</v>
      </c>
    </row>
    <row r="105" spans="1:7">
      <c r="A105" s="39" t="s">
        <v>1935</v>
      </c>
      <c r="B105" s="96"/>
      <c r="C105" s="308">
        <v>1E-4</v>
      </c>
      <c r="D105" s="306"/>
      <c r="E105" s="308">
        <v>9.9454771226813301E-5</v>
      </c>
      <c r="F105" s="308">
        <v>1E-4</v>
      </c>
      <c r="G105" s="309">
        <v>1.0186480947860184E-4</v>
      </c>
    </row>
    <row r="106" spans="1:7">
      <c r="A106" s="39" t="s">
        <v>1936</v>
      </c>
      <c r="B106" s="96"/>
      <c r="C106" s="308">
        <v>117.46876441962405</v>
      </c>
      <c r="D106" s="306"/>
      <c r="E106" s="306"/>
      <c r="F106" s="308">
        <v>117.46876441962405</v>
      </c>
      <c r="G106" s="309">
        <v>119.65933307291766</v>
      </c>
    </row>
    <row r="107" spans="1:7">
      <c r="A107" s="39" t="s">
        <v>1933</v>
      </c>
      <c r="B107" s="96"/>
      <c r="C107" s="311">
        <v>278.34030000000001</v>
      </c>
      <c r="D107" s="312">
        <v>9.7836541694279957E-5</v>
      </c>
      <c r="E107" s="312">
        <v>160.87153503514719</v>
      </c>
      <c r="F107" s="312">
        <v>281.01114735296329</v>
      </c>
      <c r="G107" s="313">
        <v>286.25146986472907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3030.1239319232609</v>
      </c>
      <c r="D113" s="306">
        <v>3030.1239319232609</v>
      </c>
      <c r="E113" s="306">
        <v>3124.6006804336489</v>
      </c>
      <c r="F113" s="306">
        <v>3176.4764620246815</v>
      </c>
      <c r="G113" s="307">
        <v>3235.7116961740739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26.546662281074411</v>
      </c>
      <c r="D115" s="306">
        <v>25.972336311063057</v>
      </c>
      <c r="E115" s="306">
        <v>26.546662281074411</v>
      </c>
      <c r="F115" s="306">
        <v>26.987399832943854</v>
      </c>
      <c r="G115" s="307">
        <v>27.49066342305677</v>
      </c>
    </row>
    <row r="116" spans="1:7">
      <c r="A116" s="39" t="s">
        <v>1931</v>
      </c>
      <c r="C116" s="306">
        <v>171.86061801413021</v>
      </c>
      <c r="D116" s="306">
        <v>0</v>
      </c>
      <c r="E116" s="306">
        <v>171.86061801413021</v>
      </c>
      <c r="F116" s="306">
        <v>174.71391185741376</v>
      </c>
      <c r="G116" s="307">
        <v>177.97199344616686</v>
      </c>
    </row>
    <row r="117" spans="1:7">
      <c r="A117" s="39" t="s">
        <v>1932</v>
      </c>
      <c r="C117" s="306">
        <v>9.9333061377784027E-3</v>
      </c>
      <c r="D117" s="306">
        <v>0</v>
      </c>
      <c r="E117" s="306">
        <v>9.9333061377784027E-3</v>
      </c>
      <c r="F117" s="306">
        <v>1.0098222577471663E-2</v>
      </c>
      <c r="G117" s="307">
        <v>1.0286535189266666E-2</v>
      </c>
    </row>
    <row r="118" spans="1:7">
      <c r="A118" s="39" t="s">
        <v>1935</v>
      </c>
      <c r="C118" s="306">
        <v>4.6012177679937323E-2</v>
      </c>
      <c r="D118" s="306">
        <v>0</v>
      </c>
      <c r="E118" s="306">
        <v>4.5761306048056512E-2</v>
      </c>
      <c r="F118" s="306">
        <v>4.6012177679937323E-2</v>
      </c>
      <c r="G118" s="307">
        <v>4.6870217130623913E-2</v>
      </c>
    </row>
    <row r="119" spans="1:7" ht="15" thickBot="1">
      <c r="A119" s="39" t="s">
        <v>1936</v>
      </c>
      <c r="C119" s="306">
        <v>117.57592324319013</v>
      </c>
      <c r="D119" s="306">
        <v>0</v>
      </c>
      <c r="E119" s="306">
        <v>0</v>
      </c>
      <c r="F119" s="306">
        <v>117.57592324319013</v>
      </c>
      <c r="G119" s="307">
        <v>119.76849020438277</v>
      </c>
    </row>
    <row r="120" spans="1:7" ht="15" thickBot="1">
      <c r="A120" s="39" t="s">
        <v>115</v>
      </c>
      <c r="C120" s="314">
        <v>3346.1630809454732</v>
      </c>
      <c r="D120" s="315">
        <v>3056.0962682343238</v>
      </c>
      <c r="E120" s="315">
        <v>3323.0636553410391</v>
      </c>
      <c r="F120" s="315">
        <v>3495.809807358487</v>
      </c>
      <c r="G120" s="316">
        <v>3561.0000000000005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94.476748510387978</v>
      </c>
      <c r="E122" s="306">
        <v>55.169977902625924</v>
      </c>
      <c r="F122" s="306">
        <v>65.190192641513349</v>
      </c>
      <c r="G122" s="307">
        <v>214.83691905452724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3346.1630809454732</v>
      </c>
      <c r="D134" s="315">
        <v>3056.0962682343238</v>
      </c>
      <c r="E134" s="315">
        <v>3323.0636553410391</v>
      </c>
      <c r="F134" s="315">
        <v>3495.809807358487</v>
      </c>
      <c r="G134" s="316">
        <v>3561.0000000000005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94.476748510387978</v>
      </c>
      <c r="E136" s="318">
        <v>55.169977902625924</v>
      </c>
      <c r="F136" s="318">
        <v>65.190192641513349</v>
      </c>
      <c r="G136" s="319">
        <v>214.83691905452724</v>
      </c>
    </row>
    <row r="137" spans="1:7" ht="15" thickBot="1"/>
    <row r="138" spans="1:7" ht="15" thickBot="1">
      <c r="A138" s="105" t="s">
        <v>9009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1.0316165769749082</v>
      </c>
      <c r="F145" s="299">
        <v>1.0163383064654041</v>
      </c>
      <c r="G145" s="300">
        <v>1.0183890795601203</v>
      </c>
    </row>
    <row r="146" spans="1:7">
      <c r="A146" s="39" t="s">
        <v>1924</v>
      </c>
      <c r="C146" s="29"/>
      <c r="D146" s="301">
        <v>0.97797066949252798</v>
      </c>
      <c r="E146" s="301">
        <v>0.99448499567032689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1706.0599212706461</v>
      </c>
      <c r="D149" s="304">
        <v>1706.0599212706461</v>
      </c>
      <c r="E149" s="304">
        <v>1759.9996960953054</v>
      </c>
      <c r="F149" s="304">
        <v>1788.7551105091286</v>
      </c>
      <c r="G149" s="305">
        <v>1821.6486705498526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171.6268538191982</v>
      </c>
      <c r="D152" s="308">
        <v>171.6268538191982</v>
      </c>
      <c r="E152" s="308">
        <v>177.05310745393419</v>
      </c>
      <c r="F152" s="308">
        <v>179.94585538416868</v>
      </c>
      <c r="G152" s="309">
        <v>183.25489403534206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2.0097683244231626E-2</v>
      </c>
      <c r="D154" s="310">
        <v>1.9654944737609967E-2</v>
      </c>
      <c r="E154" s="308">
        <v>2.0097683244231626E-2</v>
      </c>
      <c r="F154" s="308">
        <v>2.0426045352320499E-2</v>
      </c>
      <c r="G154" s="309">
        <v>2.0801661525402946E-2</v>
      </c>
    </row>
    <row r="155" spans="1:7">
      <c r="A155" s="39" t="s">
        <v>1931</v>
      </c>
      <c r="B155" s="96"/>
      <c r="C155" s="308">
        <v>2.6415486792495675E-2</v>
      </c>
      <c r="D155" s="306"/>
      <c r="E155" s="308">
        <v>2.6415486792495675E-2</v>
      </c>
      <c r="F155" s="308">
        <v>2.6847071111144306E-2</v>
      </c>
      <c r="G155" s="309">
        <v>2.7340764037763345E-2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171.67336698923495</v>
      </c>
      <c r="D157" s="312">
        <v>171.6465087639358</v>
      </c>
      <c r="E157" s="312">
        <v>177.09962062397094</v>
      </c>
      <c r="F157" s="312">
        <v>179.99312850063214</v>
      </c>
      <c r="G157" s="313">
        <v>183.30303646090525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1040.2485752480723</v>
      </c>
      <c r="D160" s="308">
        <v>1040.2485752480723</v>
      </c>
      <c r="E160" s="308">
        <v>1073.1376744004415</v>
      </c>
      <c r="F160" s="308">
        <v>1090.670926604367</v>
      </c>
      <c r="G160" s="309">
        <v>1110.7273610476047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24.490865199976202</v>
      </c>
      <c r="D162" s="308">
        <v>23.951347836071982</v>
      </c>
      <c r="E162" s="308">
        <v>24.490865199976202</v>
      </c>
      <c r="F162" s="308">
        <v>24.891004461216315</v>
      </c>
      <c r="G162" s="309">
        <v>25.348727122584929</v>
      </c>
    </row>
    <row r="163" spans="1:7">
      <c r="A163" s="39" t="s">
        <v>1931</v>
      </c>
      <c r="B163" s="96"/>
      <c r="C163" s="308">
        <v>10.121638913594673</v>
      </c>
      <c r="D163" s="306"/>
      <c r="E163" s="308">
        <v>10.121638913594673</v>
      </c>
      <c r="F163" s="308">
        <v>10.287009352097142</v>
      </c>
      <c r="G163" s="309">
        <v>10.476177985508558</v>
      </c>
    </row>
    <row r="164" spans="1:7">
      <c r="A164" s="39" t="s">
        <v>1932</v>
      </c>
      <c r="B164" s="96"/>
      <c r="C164" s="308">
        <v>9.0787329835147063E-3</v>
      </c>
      <c r="D164" s="306"/>
      <c r="E164" s="308">
        <v>9.0787329835147063E-3</v>
      </c>
      <c r="F164" s="308">
        <v>9.2270641053169428E-3</v>
      </c>
      <c r="G164" s="309">
        <v>9.3967413212559456E-3</v>
      </c>
    </row>
    <row r="165" spans="1:7">
      <c r="A165" s="39" t="s">
        <v>1935</v>
      </c>
      <c r="B165" s="96"/>
      <c r="C165" s="308">
        <v>4.238903945504599E-2</v>
      </c>
      <c r="D165" s="306"/>
      <c r="E165" s="308">
        <v>4.2155263718920727E-2</v>
      </c>
      <c r="F165" s="308">
        <v>4.238903945504599E-2</v>
      </c>
      <c r="G165" s="309">
        <v>4.3168534874061908E-2</v>
      </c>
    </row>
    <row r="166" spans="1:7">
      <c r="A166" s="39" t="s">
        <v>1936</v>
      </c>
      <c r="B166" s="96"/>
      <c r="C166" s="308">
        <v>9.8935834230404862E-2</v>
      </c>
      <c r="D166" s="306"/>
      <c r="E166" s="306"/>
      <c r="F166" s="308">
        <v>9.8935834230404862E-2</v>
      </c>
      <c r="G166" s="309">
        <v>0.10075517315741464</v>
      </c>
    </row>
    <row r="167" spans="1:7">
      <c r="A167" s="39" t="s">
        <v>1933</v>
      </c>
      <c r="B167" s="96"/>
      <c r="C167" s="311">
        <v>1075.0114829683121</v>
      </c>
      <c r="D167" s="312">
        <v>1064.1999230841443</v>
      </c>
      <c r="E167" s="312">
        <v>1107.801412510715</v>
      </c>
      <c r="F167" s="312">
        <v>1125.9994923554711</v>
      </c>
      <c r="G167" s="313">
        <v>1146.7055866050509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9.7797066949252808E-5</v>
      </c>
      <c r="E170" s="308">
        <v>1E-4</v>
      </c>
      <c r="F170" s="308">
        <v>1.0163383064654042E-4</v>
      </c>
      <c r="G170" s="309">
        <v>1.0350278324429944E-4</v>
      </c>
    </row>
    <row r="171" spans="1:7">
      <c r="A171" s="39" t="s">
        <v>1931</v>
      </c>
      <c r="B171" s="96"/>
      <c r="C171" s="308">
        <v>160.87123558037595</v>
      </c>
      <c r="D171" s="306"/>
      <c r="E171" s="308">
        <v>160.87123558037595</v>
      </c>
      <c r="F171" s="308">
        <v>163.49959912875636</v>
      </c>
      <c r="G171" s="309">
        <v>166.50620626518284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1.0163383064654042E-4</v>
      </c>
      <c r="G172" s="309">
        <v>1.0350278324429944E-4</v>
      </c>
    </row>
    <row r="173" spans="1:7">
      <c r="A173" s="39" t="s">
        <v>1935</v>
      </c>
      <c r="B173" s="96"/>
      <c r="C173" s="308">
        <v>1E-4</v>
      </c>
      <c r="D173" s="306"/>
      <c r="E173" s="308">
        <v>9.9448499567032694E-5</v>
      </c>
      <c r="F173" s="308">
        <v>1E-4</v>
      </c>
      <c r="G173" s="309">
        <v>1.0183890795601203E-4</v>
      </c>
    </row>
    <row r="174" spans="1:7">
      <c r="A174" s="39" t="s">
        <v>1936</v>
      </c>
      <c r="B174" s="96"/>
      <c r="C174" s="308">
        <v>117.46876441962405</v>
      </c>
      <c r="D174" s="306"/>
      <c r="E174" s="306"/>
      <c r="F174" s="308">
        <v>117.46876441962405</v>
      </c>
      <c r="G174" s="309">
        <v>119.62890687436554</v>
      </c>
    </row>
    <row r="175" spans="1:7">
      <c r="A175" s="39" t="s">
        <v>1933</v>
      </c>
      <c r="B175" s="96"/>
      <c r="C175" s="311">
        <v>278.34030000000001</v>
      </c>
      <c r="D175" s="312">
        <v>9.7797066949252808E-5</v>
      </c>
      <c r="E175" s="312">
        <v>160.87153502887551</v>
      </c>
      <c r="F175" s="312">
        <v>280.96866681604172</v>
      </c>
      <c r="G175" s="313">
        <v>286.13542198402286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2917.9353503379166</v>
      </c>
      <c r="D181" s="306">
        <v>2917.9353503379166</v>
      </c>
      <c r="E181" s="306">
        <v>3010.1904779496808</v>
      </c>
      <c r="F181" s="306">
        <v>3059.3718924976642</v>
      </c>
      <c r="G181" s="307">
        <v>3115.6309256327995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24.511062883220433</v>
      </c>
      <c r="D183" s="306">
        <v>23.971100577876541</v>
      </c>
      <c r="E183" s="306">
        <v>24.511062883220433</v>
      </c>
      <c r="F183" s="306">
        <v>24.911532140399281</v>
      </c>
      <c r="G183" s="307">
        <v>25.369632286893577</v>
      </c>
    </row>
    <row r="184" spans="1:7">
      <c r="A184" s="39" t="s">
        <v>1931</v>
      </c>
      <c r="C184" s="306">
        <v>171.01928998076312</v>
      </c>
      <c r="D184" s="306">
        <v>0</v>
      </c>
      <c r="E184" s="306">
        <v>171.01928998076312</v>
      </c>
      <c r="F184" s="306">
        <v>173.81345555196464</v>
      </c>
      <c r="G184" s="307">
        <v>177.00972501472916</v>
      </c>
    </row>
    <row r="185" spans="1:7">
      <c r="A185" s="39" t="s">
        <v>1932</v>
      </c>
      <c r="C185" s="306">
        <v>9.1787329835147057E-3</v>
      </c>
      <c r="D185" s="306">
        <v>0</v>
      </c>
      <c r="E185" s="306">
        <v>9.1787329835147057E-3</v>
      </c>
      <c r="F185" s="306">
        <v>9.3286979359634824E-3</v>
      </c>
      <c r="G185" s="307">
        <v>9.500244104500245E-3</v>
      </c>
    </row>
    <row r="186" spans="1:7">
      <c r="A186" s="39" t="s">
        <v>1935</v>
      </c>
      <c r="C186" s="306">
        <v>4.2489039455045993E-2</v>
      </c>
      <c r="D186" s="306">
        <v>0</v>
      </c>
      <c r="E186" s="306">
        <v>4.2254712218487762E-2</v>
      </c>
      <c r="F186" s="306">
        <v>4.2489039455045993E-2</v>
      </c>
      <c r="G186" s="307">
        <v>4.3270373782017917E-2</v>
      </c>
    </row>
    <row r="187" spans="1:7" ht="15" thickBot="1">
      <c r="A187" s="39" t="s">
        <v>1936</v>
      </c>
      <c r="C187" s="306">
        <v>117.56770025385445</v>
      </c>
      <c r="D187" s="306">
        <v>0</v>
      </c>
      <c r="E187" s="306">
        <v>0</v>
      </c>
      <c r="F187" s="306">
        <v>117.56770025385445</v>
      </c>
      <c r="G187" s="307">
        <v>119.72966204752295</v>
      </c>
    </row>
    <row r="188" spans="1:7" ht="15" thickBot="1">
      <c r="A188" s="39" t="s">
        <v>115</v>
      </c>
      <c r="C188" s="314">
        <v>3231.0850712281931</v>
      </c>
      <c r="D188" s="315">
        <v>2941.9064509157934</v>
      </c>
      <c r="E188" s="315">
        <v>3205.772264258866</v>
      </c>
      <c r="F188" s="315">
        <v>3375.7163981812737</v>
      </c>
      <c r="G188" s="316">
        <v>3437.7927155998318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92.255127611764351</v>
      </c>
      <c r="E190" s="306">
        <v>52.376199341316166</v>
      </c>
      <c r="F190" s="306">
        <v>62.07631741855775</v>
      </c>
      <c r="G190" s="307">
        <v>206.70764437163828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3231.0850712281931</v>
      </c>
      <c r="D202" s="315">
        <v>2941.9064509157934</v>
      </c>
      <c r="E202" s="315">
        <v>3205.772264258866</v>
      </c>
      <c r="F202" s="315">
        <v>3375.7163981812737</v>
      </c>
      <c r="G202" s="316">
        <v>3437.7927155998318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92.255127611764351</v>
      </c>
      <c r="E204" s="318">
        <v>52.376199341316166</v>
      </c>
      <c r="F204" s="318">
        <v>62.07631741855775</v>
      </c>
      <c r="G204" s="319">
        <v>206.70764437163828</v>
      </c>
    </row>
    <row r="205" spans="1:7" ht="15" thickBot="1"/>
    <row r="206" spans="1:7" ht="15" thickBot="1">
      <c r="A206" s="89" t="s">
        <v>9010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1.0311791697742285</v>
      </c>
      <c r="F213" s="299">
        <v>1.016602371597715</v>
      </c>
      <c r="G213" s="300">
        <v>1.0186480947860184</v>
      </c>
    </row>
    <row r="214" spans="1:7">
      <c r="A214" s="39" t="s">
        <v>1924</v>
      </c>
      <c r="C214" s="29"/>
      <c r="D214" s="301">
        <v>0.97836541694279955</v>
      </c>
      <c r="E214" s="301">
        <v>0.99454771226813299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1728.670330150112</v>
      </c>
      <c r="D217" s="304">
        <v>1728.670330150112</v>
      </c>
      <c r="E217" s="304">
        <v>1782.5688358575339</v>
      </c>
      <c r="F217" s="304">
        <v>1812.163706068947</v>
      </c>
      <c r="G217" s="305">
        <v>1845.957106627503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172.11032279264805</v>
      </c>
      <c r="D220" s="308">
        <v>172.11032279264805</v>
      </c>
      <c r="E220" s="308">
        <v>177.47657976689729</v>
      </c>
      <c r="F220" s="308">
        <v>180.42311189407883</v>
      </c>
      <c r="G220" s="309">
        <v>183.787659186268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2.0154297964309432E-2</v>
      </c>
      <c r="D222" s="310">
        <v>1.9718268131041015E-2</v>
      </c>
      <c r="E222" s="308">
        <v>2.0154297964309432E-2</v>
      </c>
      <c r="F222" s="308">
        <v>2.048890710840397E-2</v>
      </c>
      <c r="G222" s="309">
        <v>2.0870986190223415E-2</v>
      </c>
    </row>
    <row r="223" spans="1:7">
      <c r="A223" s="39" t="s">
        <v>1931</v>
      </c>
      <c r="B223" s="96"/>
      <c r="C223" s="308">
        <v>2.6489898622570934E-2</v>
      </c>
      <c r="D223" s="306"/>
      <c r="E223" s="308">
        <v>2.6489898622570934E-2</v>
      </c>
      <c r="F223" s="308">
        <v>2.6929693763088656E-2</v>
      </c>
      <c r="G223" s="309">
        <v>2.743188124494118E-2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172.15696698923492</v>
      </c>
      <c r="D225" s="312">
        <v>172.13004106077909</v>
      </c>
      <c r="E225" s="312">
        <v>177.52322396348416</v>
      </c>
      <c r="F225" s="312">
        <v>180.47053049495034</v>
      </c>
      <c r="G225" s="313">
        <v>183.83596205370318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1129.3432789805008</v>
      </c>
      <c r="D228" s="308">
        <v>1129.3432789805008</v>
      </c>
      <c r="E228" s="308">
        <v>1164.5552648092178</v>
      </c>
      <c r="F228" s="308">
        <v>1183.8896440616559</v>
      </c>
      <c r="G228" s="309">
        <v>1205.9669303603032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26.526407983110101</v>
      </c>
      <c r="D230" s="308">
        <v>25.952520206390322</v>
      </c>
      <c r="E230" s="308">
        <v>26.526407983110101</v>
      </c>
      <c r="F230" s="308">
        <v>26.96680926559829</v>
      </c>
      <c r="G230" s="309">
        <v>27.469688880859646</v>
      </c>
    </row>
    <row r="231" spans="1:7">
      <c r="A231" s="39" t="s">
        <v>1931</v>
      </c>
      <c r="B231" s="96"/>
      <c r="C231" s="308">
        <v>10.962892535131688</v>
      </c>
      <c r="D231" s="306"/>
      <c r="E231" s="308">
        <v>10.962892535131688</v>
      </c>
      <c r="F231" s="308">
        <v>11.14490255078576</v>
      </c>
      <c r="G231" s="309">
        <v>11.352733749933751</v>
      </c>
    </row>
    <row r="232" spans="1:7">
      <c r="A232" s="39" t="s">
        <v>1932</v>
      </c>
      <c r="B232" s="96"/>
      <c r="C232" s="308">
        <v>9.8333061377784033E-3</v>
      </c>
      <c r="D232" s="306"/>
      <c r="E232" s="308">
        <v>9.8333061377784033E-3</v>
      </c>
      <c r="F232" s="308">
        <v>9.996562340311892E-3</v>
      </c>
      <c r="G232" s="309">
        <v>1.018297918236837E-2</v>
      </c>
    </row>
    <row r="233" spans="1:7">
      <c r="A233" s="39" t="s">
        <v>1935</v>
      </c>
      <c r="B233" s="96"/>
      <c r="C233" s="308">
        <v>4.591217767993732E-2</v>
      </c>
      <c r="D233" s="306"/>
      <c r="E233" s="308">
        <v>4.5661851276829701E-2</v>
      </c>
      <c r="F233" s="308">
        <v>4.591217767993732E-2</v>
      </c>
      <c r="G233" s="309">
        <v>4.6768352321145311E-2</v>
      </c>
    </row>
    <row r="234" spans="1:7">
      <c r="A234" s="39" t="s">
        <v>1936</v>
      </c>
      <c r="B234" s="96"/>
      <c r="C234" s="308">
        <v>0.10715882356608698</v>
      </c>
      <c r="D234" s="306"/>
      <c r="E234" s="306"/>
      <c r="F234" s="308">
        <v>0.10715882356608698</v>
      </c>
      <c r="G234" s="309">
        <v>0.1091571314651056</v>
      </c>
    </row>
    <row r="235" spans="1:7">
      <c r="A235" s="39" t="s">
        <v>1933</v>
      </c>
      <c r="B235" s="96"/>
      <c r="C235" s="311">
        <v>1166.9954838061265</v>
      </c>
      <c r="D235" s="312">
        <v>1155.2957991868911</v>
      </c>
      <c r="E235" s="312">
        <v>1202.1000604848743</v>
      </c>
      <c r="F235" s="312">
        <v>1222.1644234416262</v>
      </c>
      <c r="G235" s="313">
        <v>1244.9554614540652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9.7836541694279957E-5</v>
      </c>
      <c r="E238" s="308">
        <v>1E-4</v>
      </c>
      <c r="F238" s="308">
        <v>1.0166023715977152E-4</v>
      </c>
      <c r="G238" s="309">
        <v>1.0355600689829604E-4</v>
      </c>
    </row>
    <row r="239" spans="1:7">
      <c r="A239" s="39" t="s">
        <v>1931</v>
      </c>
      <c r="B239" s="96"/>
      <c r="C239" s="308">
        <v>160.87123558037595</v>
      </c>
      <c r="D239" s="306"/>
      <c r="E239" s="308">
        <v>160.87123558037595</v>
      </c>
      <c r="F239" s="308">
        <v>163.54207961286491</v>
      </c>
      <c r="G239" s="309">
        <v>166.59182781498816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1.0166023715977152E-4</v>
      </c>
      <c r="G240" s="309">
        <v>1.0355600689829604E-4</v>
      </c>
    </row>
    <row r="241" spans="1:7">
      <c r="A241" s="39" t="s">
        <v>1935</v>
      </c>
      <c r="B241" s="96"/>
      <c r="C241" s="308">
        <v>1E-4</v>
      </c>
      <c r="D241" s="306"/>
      <c r="E241" s="308">
        <v>9.9454771226813301E-5</v>
      </c>
      <c r="F241" s="308">
        <v>1E-4</v>
      </c>
      <c r="G241" s="309">
        <v>1.0186480947860184E-4</v>
      </c>
    </row>
    <row r="242" spans="1:7">
      <c r="A242" s="39" t="s">
        <v>1936</v>
      </c>
      <c r="B242" s="96"/>
      <c r="C242" s="308">
        <v>117.46876441962405</v>
      </c>
      <c r="D242" s="306"/>
      <c r="E242" s="306"/>
      <c r="F242" s="308">
        <v>117.46876441962405</v>
      </c>
      <c r="G242" s="309">
        <v>119.65933307291766</v>
      </c>
    </row>
    <row r="243" spans="1:7">
      <c r="A243" s="39" t="s">
        <v>1933</v>
      </c>
      <c r="B243" s="96"/>
      <c r="C243" s="311">
        <v>278.34030000000001</v>
      </c>
      <c r="D243" s="312">
        <v>9.7836541694279957E-5</v>
      </c>
      <c r="E243" s="312">
        <v>160.87153503514719</v>
      </c>
      <c r="F243" s="312">
        <v>281.01114735296329</v>
      </c>
      <c r="G243" s="313">
        <v>286.25146986472907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3030.1239319232609</v>
      </c>
      <c r="D249" s="306">
        <v>3030.1239319232609</v>
      </c>
      <c r="E249" s="306">
        <v>3124.6006804336489</v>
      </c>
      <c r="F249" s="306">
        <v>3176.4764620246815</v>
      </c>
      <c r="G249" s="307">
        <v>3235.7116961740739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26.546662281074411</v>
      </c>
      <c r="D251" s="306">
        <v>25.972336311063057</v>
      </c>
      <c r="E251" s="306">
        <v>26.546662281074411</v>
      </c>
      <c r="F251" s="306">
        <v>26.987399832943854</v>
      </c>
      <c r="G251" s="307">
        <v>27.49066342305677</v>
      </c>
    </row>
    <row r="252" spans="1:7">
      <c r="A252" s="39" t="s">
        <v>1931</v>
      </c>
      <c r="C252" s="306">
        <v>171.86061801413021</v>
      </c>
      <c r="D252" s="306">
        <v>0</v>
      </c>
      <c r="E252" s="306">
        <v>171.86061801413021</v>
      </c>
      <c r="F252" s="306">
        <v>174.71391185741376</v>
      </c>
      <c r="G252" s="307">
        <v>177.97199344616686</v>
      </c>
    </row>
    <row r="253" spans="1:7">
      <c r="A253" s="39" t="s">
        <v>1932</v>
      </c>
      <c r="C253" s="306">
        <v>9.9333061377784027E-3</v>
      </c>
      <c r="D253" s="306">
        <v>0</v>
      </c>
      <c r="E253" s="306">
        <v>9.9333061377784027E-3</v>
      </c>
      <c r="F253" s="306">
        <v>1.0098222577471663E-2</v>
      </c>
      <c r="G253" s="307">
        <v>1.0286535189266666E-2</v>
      </c>
    </row>
    <row r="254" spans="1:7">
      <c r="A254" s="39" t="s">
        <v>1935</v>
      </c>
      <c r="C254" s="306">
        <v>4.6012177679937323E-2</v>
      </c>
      <c r="D254" s="306">
        <v>0</v>
      </c>
      <c r="E254" s="306">
        <v>4.5761306048056512E-2</v>
      </c>
      <c r="F254" s="306">
        <v>4.6012177679937323E-2</v>
      </c>
      <c r="G254" s="307">
        <v>4.6870217130623913E-2</v>
      </c>
    </row>
    <row r="255" spans="1:7" ht="15" thickBot="1">
      <c r="A255" s="39" t="s">
        <v>1936</v>
      </c>
      <c r="C255" s="306">
        <v>117.57592324319013</v>
      </c>
      <c r="D255" s="306">
        <v>0</v>
      </c>
      <c r="E255" s="306">
        <v>0</v>
      </c>
      <c r="F255" s="306">
        <v>117.57592324319013</v>
      </c>
      <c r="G255" s="307">
        <v>119.76849020438277</v>
      </c>
    </row>
    <row r="256" spans="1:7" ht="15" thickBot="1">
      <c r="A256" s="39" t="s">
        <v>115</v>
      </c>
      <c r="C256" s="314">
        <v>3346.1630809454732</v>
      </c>
      <c r="D256" s="315">
        <v>3056.0962682343238</v>
      </c>
      <c r="E256" s="315">
        <v>3323.0636553410391</v>
      </c>
      <c r="F256" s="315">
        <v>3495.809807358487</v>
      </c>
      <c r="G256" s="316">
        <v>3561.0000000000005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94.476748510387978</v>
      </c>
      <c r="E258" s="306">
        <v>55.169977902625924</v>
      </c>
      <c r="F258" s="306">
        <v>65.190192641513349</v>
      </c>
      <c r="G258" s="307">
        <v>214.83691905452724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3346.1630809454732</v>
      </c>
      <c r="D270" s="315">
        <v>3056.0962682343238</v>
      </c>
      <c r="E270" s="315">
        <v>3323.0636553410391</v>
      </c>
      <c r="F270" s="315">
        <v>3495.809807358487</v>
      </c>
      <c r="G270" s="316">
        <v>3561.0000000000005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94.476748510387978</v>
      </c>
      <c r="E272" s="318">
        <v>55.169977902625924</v>
      </c>
      <c r="F272" s="318">
        <v>65.190192641513349</v>
      </c>
      <c r="G272" s="319">
        <v>214.83691905452724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9185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1.0306465199016801</v>
      </c>
      <c r="F9" s="299">
        <v>1.0168396416986309</v>
      </c>
      <c r="G9" s="300">
        <v>1.0189001732137342</v>
      </c>
      <c r="I9" s="29" t="s">
        <v>116</v>
      </c>
    </row>
    <row r="10" spans="1:9">
      <c r="A10" s="39" t="s">
        <v>1924</v>
      </c>
      <c r="C10" s="29"/>
      <c r="D10" s="301">
        <v>0.97880770380246895</v>
      </c>
      <c r="E10" s="301">
        <v>0.99461318165901547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1850.4803324468851</v>
      </c>
      <c r="D13" s="304">
        <v>1850.4803324468851</v>
      </c>
      <c r="E13" s="304">
        <v>1907.1911147828862</v>
      </c>
      <c r="F13" s="304">
        <v>1939.3075298066426</v>
      </c>
      <c r="G13" s="305">
        <v>1975.9607780346871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180.73836795066399</v>
      </c>
      <c r="D16" s="308">
        <v>180.73836795066399</v>
      </c>
      <c r="E16" s="308">
        <v>186.27736994106118</v>
      </c>
      <c r="F16" s="308">
        <v>189.41421410743197</v>
      </c>
      <c r="G16" s="309">
        <v>192.99417556320577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2.1164651034030119E-2</v>
      </c>
      <c r="D18" s="310">
        <v>2.071612348039957E-2</v>
      </c>
      <c r="E18" s="308">
        <v>2.1164651034030119E-2</v>
      </c>
      <c r="F18" s="308">
        <v>2.1521056174119743E-2</v>
      </c>
      <c r="G18" s="309">
        <v>2.1927807863553108E-2</v>
      </c>
    </row>
    <row r="19" spans="1:7">
      <c r="A19" s="39" t="s">
        <v>1931</v>
      </c>
      <c r="B19" s="96"/>
      <c r="C19" s="308">
        <v>2.7817861047126729E-2</v>
      </c>
      <c r="D19" s="306"/>
      <c r="E19" s="308">
        <v>2.7817861047126729E-2</v>
      </c>
      <c r="F19" s="308">
        <v>2.8286303859982646E-2</v>
      </c>
      <c r="G19" s="309">
        <v>2.8820919902512634E-2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180.78735046274517</v>
      </c>
      <c r="D21" s="312">
        <v>180.7590840741444</v>
      </c>
      <c r="E21" s="312">
        <v>186.32635245314236</v>
      </c>
      <c r="F21" s="312">
        <v>189.46402146746607</v>
      </c>
      <c r="G21" s="313">
        <v>193.04492429097184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1122.675248544846</v>
      </c>
      <c r="D24" s="308">
        <v>1122.675248544846</v>
      </c>
      <c r="E24" s="308">
        <v>1157.0813378924993</v>
      </c>
      <c r="F24" s="308">
        <v>1176.5661730387815</v>
      </c>
      <c r="G24" s="309">
        <v>1198.8034775066349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27.481730442967333</v>
      </c>
      <c r="D26" s="308">
        <v>26.899329471399263</v>
      </c>
      <c r="E26" s="308">
        <v>27.481730442967333</v>
      </c>
      <c r="F26" s="308">
        <v>27.944512936885261</v>
      </c>
      <c r="G26" s="309">
        <v>28.472669071765829</v>
      </c>
    </row>
    <row r="27" spans="1:7">
      <c r="A27" s="39" t="s">
        <v>1931</v>
      </c>
      <c r="B27" s="96"/>
      <c r="C27" s="308">
        <v>11.357710313342778</v>
      </c>
      <c r="D27" s="306"/>
      <c r="E27" s="308">
        <v>11.357710313342778</v>
      </c>
      <c r="F27" s="308">
        <v>11.548970085536316</v>
      </c>
      <c r="G27" s="309">
        <v>11.767247620593187</v>
      </c>
    </row>
    <row r="28" spans="1:7">
      <c r="A28" s="39" t="s">
        <v>1932</v>
      </c>
      <c r="B28" s="96"/>
      <c r="C28" s="308">
        <v>1.0187442974324574E-2</v>
      </c>
      <c r="D28" s="306"/>
      <c r="E28" s="308">
        <v>1.0187442974324574E-2</v>
      </c>
      <c r="F28" s="308">
        <v>1.0358995863837435E-2</v>
      </c>
      <c r="G28" s="309">
        <v>1.0554782679984318E-2</v>
      </c>
    </row>
    <row r="29" spans="1:7">
      <c r="A29" s="39" t="s">
        <v>1935</v>
      </c>
      <c r="B29" s="96"/>
      <c r="C29" s="308">
        <v>4.7565659543992458E-2</v>
      </c>
      <c r="D29" s="306"/>
      <c r="E29" s="308">
        <v>4.7309431976759853E-2</v>
      </c>
      <c r="F29" s="308">
        <v>4.7565659543992458E-2</v>
      </c>
      <c r="G29" s="309">
        <v>4.8464658748399427E-2</v>
      </c>
    </row>
    <row r="30" spans="1:7">
      <c r="A30" s="39" t="s">
        <v>1936</v>
      </c>
      <c r="B30" s="96"/>
      <c r="C30" s="308">
        <v>0.11101804306500078</v>
      </c>
      <c r="D30" s="306"/>
      <c r="E30" s="306"/>
      <c r="F30" s="308">
        <v>0.11101804306500078</v>
      </c>
      <c r="G30" s="309">
        <v>0.11311630330877909</v>
      </c>
    </row>
    <row r="31" spans="1:7">
      <c r="A31" s="39" t="s">
        <v>1933</v>
      </c>
      <c r="B31" s="96"/>
      <c r="C31" s="311">
        <v>1161.6834604467394</v>
      </c>
      <c r="D31" s="312">
        <v>1149.5745780162454</v>
      </c>
      <c r="E31" s="312">
        <v>1195.9782755237604</v>
      </c>
      <c r="F31" s="312">
        <v>1216.2285987596758</v>
      </c>
      <c r="G31" s="313">
        <v>1239.2155299437309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9.7880770380246904E-5</v>
      </c>
      <c r="E34" s="308">
        <v>1E-4</v>
      </c>
      <c r="F34" s="308">
        <v>1.016839641698631E-4</v>
      </c>
      <c r="G34" s="309">
        <v>1.0360580870573265E-4</v>
      </c>
    </row>
    <row r="35" spans="1:7">
      <c r="A35" s="39" t="s">
        <v>1931</v>
      </c>
      <c r="B35" s="96"/>
      <c r="C35" s="308">
        <v>153.80270352911492</v>
      </c>
      <c r="D35" s="306"/>
      <c r="E35" s="308">
        <v>153.80270352911492</v>
      </c>
      <c r="F35" s="308">
        <v>156.39268594882597</v>
      </c>
      <c r="G35" s="309">
        <v>159.34853480261992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1.016839641698631E-4</v>
      </c>
      <c r="G36" s="309">
        <v>1.0360580870573265E-4</v>
      </c>
    </row>
    <row r="37" spans="1:7">
      <c r="A37" s="39" t="s">
        <v>1935</v>
      </c>
      <c r="B37" s="96"/>
      <c r="C37" s="308">
        <v>1E-4</v>
      </c>
      <c r="D37" s="306"/>
      <c r="E37" s="308">
        <v>9.9461318165901545E-5</v>
      </c>
      <c r="F37" s="308">
        <v>1E-4</v>
      </c>
      <c r="G37" s="309">
        <v>1.0189001732137342E-4</v>
      </c>
    </row>
    <row r="38" spans="1:7">
      <c r="A38" s="39" t="s">
        <v>1936</v>
      </c>
      <c r="B38" s="96"/>
      <c r="C38" s="308">
        <v>112.30729647088508</v>
      </c>
      <c r="D38" s="306"/>
      <c r="E38" s="306"/>
      <c r="F38" s="308">
        <v>112.30729647088508</v>
      </c>
      <c r="G38" s="309">
        <v>114.429923827351</v>
      </c>
    </row>
    <row r="39" spans="1:7">
      <c r="A39" s="39" t="s">
        <v>1933</v>
      </c>
      <c r="B39" s="96"/>
      <c r="C39" s="311">
        <v>266.1103</v>
      </c>
      <c r="D39" s="312">
        <v>9.7880770380246904E-5</v>
      </c>
      <c r="E39" s="312">
        <v>153.8030029904331</v>
      </c>
      <c r="F39" s="312">
        <v>268.70028578763942</v>
      </c>
      <c r="G39" s="313">
        <v>273.77876773160568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3153.8939489423951</v>
      </c>
      <c r="D45" s="306">
        <v>3153.8939489423951</v>
      </c>
      <c r="E45" s="306">
        <v>3250.5498226164464</v>
      </c>
      <c r="F45" s="306">
        <v>3305.287916952856</v>
      </c>
      <c r="G45" s="307">
        <v>3367.758431104528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27.502995094001363</v>
      </c>
      <c r="D47" s="306">
        <v>26.920143475650043</v>
      </c>
      <c r="E47" s="306">
        <v>27.502995094001363</v>
      </c>
      <c r="F47" s="306">
        <v>27.966135677023551</v>
      </c>
      <c r="G47" s="307">
        <v>28.494700485438088</v>
      </c>
    </row>
    <row r="48" spans="1:7">
      <c r="A48" s="39" t="s">
        <v>1931</v>
      </c>
      <c r="C48" s="306">
        <v>165.18823170350484</v>
      </c>
      <c r="D48" s="306">
        <v>0</v>
      </c>
      <c r="E48" s="306">
        <v>165.18823170350484</v>
      </c>
      <c r="F48" s="306">
        <v>167.96994233822227</v>
      </c>
      <c r="G48" s="307">
        <v>171.14460334311562</v>
      </c>
    </row>
    <row r="49" spans="1:7">
      <c r="A49" s="39" t="s">
        <v>1932</v>
      </c>
      <c r="C49" s="306">
        <v>1.0287442974324573E-2</v>
      </c>
      <c r="D49" s="306">
        <v>0</v>
      </c>
      <c r="E49" s="306">
        <v>1.0287442974324573E-2</v>
      </c>
      <c r="F49" s="306">
        <v>1.0460679828007299E-2</v>
      </c>
      <c r="G49" s="307">
        <v>1.065838848869005E-2</v>
      </c>
    </row>
    <row r="50" spans="1:7">
      <c r="A50" s="39" t="s">
        <v>1935</v>
      </c>
      <c r="C50" s="306">
        <v>4.7665659543992461E-2</v>
      </c>
      <c r="D50" s="306">
        <v>0</v>
      </c>
      <c r="E50" s="306">
        <v>4.7408893294925751E-2</v>
      </c>
      <c r="F50" s="306">
        <v>4.7665659543992461E-2</v>
      </c>
      <c r="G50" s="307">
        <v>4.85665487657208E-2</v>
      </c>
    </row>
    <row r="51" spans="1:7" ht="15" thickBot="1">
      <c r="A51" s="39" t="s">
        <v>1936</v>
      </c>
      <c r="C51" s="306">
        <v>112.41831451395008</v>
      </c>
      <c r="D51" s="306">
        <v>0</v>
      </c>
      <c r="E51" s="306">
        <v>0</v>
      </c>
      <c r="F51" s="306">
        <v>112.41831451395008</v>
      </c>
      <c r="G51" s="307">
        <v>114.54304013065979</v>
      </c>
    </row>
    <row r="52" spans="1:7" ht="15" thickBot="1">
      <c r="A52" s="39" t="s">
        <v>115</v>
      </c>
      <c r="C52" s="314">
        <v>3459.0614433563696</v>
      </c>
      <c r="D52" s="315">
        <v>3180.8140924180452</v>
      </c>
      <c r="E52" s="315">
        <v>3443.2987457502222</v>
      </c>
      <c r="F52" s="315">
        <v>3613.7004358214235</v>
      </c>
      <c r="G52" s="316">
        <v>3682.0000000009959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96.655873674051207</v>
      </c>
      <c r="E54" s="306">
        <v>57.983118791002788</v>
      </c>
      <c r="F54" s="306">
        <v>68.299564179571377</v>
      </c>
      <c r="G54" s="307">
        <v>222.93855664462538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3459.0614433563696</v>
      </c>
      <c r="D66" s="315">
        <v>3180.8140924180452</v>
      </c>
      <c r="E66" s="315">
        <v>3443.2987457502222</v>
      </c>
      <c r="F66" s="315">
        <v>3613.7004358214235</v>
      </c>
      <c r="G66" s="316">
        <v>3682.0000000009959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96.655873674051207</v>
      </c>
      <c r="E68" s="318">
        <v>57.983118791002788</v>
      </c>
      <c r="F68" s="318">
        <v>68.299564179571377</v>
      </c>
      <c r="G68" s="319">
        <v>222.93855664462538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9186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1.0306465199016801</v>
      </c>
      <c r="F77" s="299">
        <v>1.0168396416986309</v>
      </c>
      <c r="G77" s="300">
        <v>1.0189001732137342</v>
      </c>
    </row>
    <row r="78" spans="1:7">
      <c r="A78" s="39" t="s">
        <v>1924</v>
      </c>
      <c r="C78" s="29"/>
      <c r="D78" s="301">
        <v>0.97880770380246895</v>
      </c>
      <c r="E78" s="301">
        <v>0.99461318165901547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1850.4803324468851</v>
      </c>
      <c r="D81" s="304">
        <v>1850.4803324468851</v>
      </c>
      <c r="E81" s="304">
        <v>1907.1911147828862</v>
      </c>
      <c r="F81" s="304">
        <v>1939.3075298066426</v>
      </c>
      <c r="G81" s="305">
        <v>1975.9607780346871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180.73836795066399</v>
      </c>
      <c r="D84" s="308">
        <v>180.73836795066399</v>
      </c>
      <c r="E84" s="308">
        <v>186.27736994106118</v>
      </c>
      <c r="F84" s="308">
        <v>189.41421410743197</v>
      </c>
      <c r="G84" s="309">
        <v>192.99417556320577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2.1164651034030119E-2</v>
      </c>
      <c r="D86" s="310">
        <v>2.071612348039957E-2</v>
      </c>
      <c r="E86" s="308">
        <v>2.1164651034030119E-2</v>
      </c>
      <c r="F86" s="308">
        <v>2.1521056174119743E-2</v>
      </c>
      <c r="G86" s="309">
        <v>2.1927807863553108E-2</v>
      </c>
    </row>
    <row r="87" spans="1:7">
      <c r="A87" s="39" t="s">
        <v>1931</v>
      </c>
      <c r="B87" s="96"/>
      <c r="C87" s="308">
        <v>2.7817861047126729E-2</v>
      </c>
      <c r="D87" s="306"/>
      <c r="E87" s="308">
        <v>2.7817861047126729E-2</v>
      </c>
      <c r="F87" s="308">
        <v>2.8286303859982646E-2</v>
      </c>
      <c r="G87" s="309">
        <v>2.8820919902512634E-2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180.78735046274517</v>
      </c>
      <c r="D89" s="312">
        <v>180.7590840741444</v>
      </c>
      <c r="E89" s="312">
        <v>186.32635245314236</v>
      </c>
      <c r="F89" s="312">
        <v>189.46402146746607</v>
      </c>
      <c r="G89" s="313">
        <v>193.04492429097184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1122.675248544846</v>
      </c>
      <c r="D92" s="308">
        <v>1122.675248544846</v>
      </c>
      <c r="E92" s="308">
        <v>1157.0813378924993</v>
      </c>
      <c r="F92" s="308">
        <v>1176.5661730387815</v>
      </c>
      <c r="G92" s="309">
        <v>1198.8034775066349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27.481730442967333</v>
      </c>
      <c r="D94" s="308">
        <v>26.899329471399263</v>
      </c>
      <c r="E94" s="308">
        <v>27.481730442967333</v>
      </c>
      <c r="F94" s="308">
        <v>27.944512936885261</v>
      </c>
      <c r="G94" s="309">
        <v>28.472669071765829</v>
      </c>
    </row>
    <row r="95" spans="1:7">
      <c r="A95" s="39" t="s">
        <v>1931</v>
      </c>
      <c r="B95" s="96"/>
      <c r="C95" s="308">
        <v>11.357710313342778</v>
      </c>
      <c r="D95" s="306"/>
      <c r="E95" s="308">
        <v>11.357710313342778</v>
      </c>
      <c r="F95" s="308">
        <v>11.548970085536316</v>
      </c>
      <c r="G95" s="309">
        <v>11.767247620593187</v>
      </c>
    </row>
    <row r="96" spans="1:7">
      <c r="A96" s="39" t="s">
        <v>1932</v>
      </c>
      <c r="B96" s="96"/>
      <c r="C96" s="308">
        <v>1.0187442974324574E-2</v>
      </c>
      <c r="D96" s="306"/>
      <c r="E96" s="308">
        <v>1.0187442974324574E-2</v>
      </c>
      <c r="F96" s="308">
        <v>1.0358995863837435E-2</v>
      </c>
      <c r="G96" s="309">
        <v>1.0554782679984318E-2</v>
      </c>
    </row>
    <row r="97" spans="1:7">
      <c r="A97" s="39" t="s">
        <v>1935</v>
      </c>
      <c r="B97" s="96"/>
      <c r="C97" s="308">
        <v>4.7565659543992458E-2</v>
      </c>
      <c r="D97" s="306"/>
      <c r="E97" s="308">
        <v>4.7309431976759853E-2</v>
      </c>
      <c r="F97" s="308">
        <v>4.7565659543992458E-2</v>
      </c>
      <c r="G97" s="309">
        <v>4.8464658748399427E-2</v>
      </c>
    </row>
    <row r="98" spans="1:7">
      <c r="A98" s="39" t="s">
        <v>1936</v>
      </c>
      <c r="B98" s="96"/>
      <c r="C98" s="308">
        <v>0.11101804306500078</v>
      </c>
      <c r="D98" s="306"/>
      <c r="E98" s="306"/>
      <c r="F98" s="308">
        <v>0.11101804306500078</v>
      </c>
      <c r="G98" s="309">
        <v>0.11311630330877909</v>
      </c>
    </row>
    <row r="99" spans="1:7">
      <c r="A99" s="39" t="s">
        <v>1933</v>
      </c>
      <c r="B99" s="96"/>
      <c r="C99" s="311">
        <v>1161.6834604467394</v>
      </c>
      <c r="D99" s="312">
        <v>1149.5745780162454</v>
      </c>
      <c r="E99" s="312">
        <v>1195.9782755237604</v>
      </c>
      <c r="F99" s="312">
        <v>1216.2285987596758</v>
      </c>
      <c r="G99" s="313">
        <v>1239.2155299437309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9.7880770380246904E-5</v>
      </c>
      <c r="E102" s="308">
        <v>1E-4</v>
      </c>
      <c r="F102" s="308">
        <v>1.016839641698631E-4</v>
      </c>
      <c r="G102" s="309">
        <v>1.0360580870573265E-4</v>
      </c>
    </row>
    <row r="103" spans="1:7">
      <c r="A103" s="39" t="s">
        <v>1931</v>
      </c>
      <c r="B103" s="96"/>
      <c r="C103" s="308">
        <v>153.80270352911492</v>
      </c>
      <c r="D103" s="306"/>
      <c r="E103" s="308">
        <v>153.80270352911492</v>
      </c>
      <c r="F103" s="308">
        <v>156.39268594882597</v>
      </c>
      <c r="G103" s="309">
        <v>159.34853480261992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1.016839641698631E-4</v>
      </c>
      <c r="G104" s="309">
        <v>1.0360580870573265E-4</v>
      </c>
    </row>
    <row r="105" spans="1:7">
      <c r="A105" s="39" t="s">
        <v>1935</v>
      </c>
      <c r="B105" s="96"/>
      <c r="C105" s="308">
        <v>1E-4</v>
      </c>
      <c r="D105" s="306"/>
      <c r="E105" s="308">
        <v>9.9461318165901545E-5</v>
      </c>
      <c r="F105" s="308">
        <v>1E-4</v>
      </c>
      <c r="G105" s="309">
        <v>1.0189001732137342E-4</v>
      </c>
    </row>
    <row r="106" spans="1:7">
      <c r="A106" s="39" t="s">
        <v>1936</v>
      </c>
      <c r="B106" s="96"/>
      <c r="C106" s="308">
        <v>112.30729647088508</v>
      </c>
      <c r="D106" s="306"/>
      <c r="E106" s="306"/>
      <c r="F106" s="308">
        <v>112.30729647088508</v>
      </c>
      <c r="G106" s="309">
        <v>114.429923827351</v>
      </c>
    </row>
    <row r="107" spans="1:7">
      <c r="A107" s="39" t="s">
        <v>1933</v>
      </c>
      <c r="B107" s="96"/>
      <c r="C107" s="311">
        <v>266.1103</v>
      </c>
      <c r="D107" s="312">
        <v>9.7880770380246904E-5</v>
      </c>
      <c r="E107" s="312">
        <v>153.8030029904331</v>
      </c>
      <c r="F107" s="312">
        <v>268.70028578763942</v>
      </c>
      <c r="G107" s="313">
        <v>273.77876773160568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3153.8939489423951</v>
      </c>
      <c r="D113" s="306">
        <v>3153.8939489423951</v>
      </c>
      <c r="E113" s="306">
        <v>3250.5498226164464</v>
      </c>
      <c r="F113" s="306">
        <v>3305.287916952856</v>
      </c>
      <c r="G113" s="307">
        <v>3367.758431104528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27.502995094001363</v>
      </c>
      <c r="D115" s="306">
        <v>26.920143475650043</v>
      </c>
      <c r="E115" s="306">
        <v>27.502995094001363</v>
      </c>
      <c r="F115" s="306">
        <v>27.966135677023551</v>
      </c>
      <c r="G115" s="307">
        <v>28.494700485438088</v>
      </c>
    </row>
    <row r="116" spans="1:7">
      <c r="A116" s="39" t="s">
        <v>1931</v>
      </c>
      <c r="C116" s="306">
        <v>165.18823170350484</v>
      </c>
      <c r="D116" s="306">
        <v>0</v>
      </c>
      <c r="E116" s="306">
        <v>165.18823170350484</v>
      </c>
      <c r="F116" s="306">
        <v>167.96994233822227</v>
      </c>
      <c r="G116" s="307">
        <v>171.14460334311562</v>
      </c>
    </row>
    <row r="117" spans="1:7">
      <c r="A117" s="39" t="s">
        <v>1932</v>
      </c>
      <c r="C117" s="306">
        <v>1.0287442974324573E-2</v>
      </c>
      <c r="D117" s="306">
        <v>0</v>
      </c>
      <c r="E117" s="306">
        <v>1.0287442974324573E-2</v>
      </c>
      <c r="F117" s="306">
        <v>1.0460679828007299E-2</v>
      </c>
      <c r="G117" s="307">
        <v>1.065838848869005E-2</v>
      </c>
    </row>
    <row r="118" spans="1:7">
      <c r="A118" s="39" t="s">
        <v>1935</v>
      </c>
      <c r="C118" s="306">
        <v>4.7665659543992461E-2</v>
      </c>
      <c r="D118" s="306">
        <v>0</v>
      </c>
      <c r="E118" s="306">
        <v>4.7408893294925751E-2</v>
      </c>
      <c r="F118" s="306">
        <v>4.7665659543992461E-2</v>
      </c>
      <c r="G118" s="307">
        <v>4.85665487657208E-2</v>
      </c>
    </row>
    <row r="119" spans="1:7" ht="15" thickBot="1">
      <c r="A119" s="39" t="s">
        <v>1936</v>
      </c>
      <c r="C119" s="306">
        <v>112.41831451395008</v>
      </c>
      <c r="D119" s="306">
        <v>0</v>
      </c>
      <c r="E119" s="306">
        <v>0</v>
      </c>
      <c r="F119" s="306">
        <v>112.41831451395008</v>
      </c>
      <c r="G119" s="307">
        <v>114.54304013065979</v>
      </c>
    </row>
    <row r="120" spans="1:7" ht="15" thickBot="1">
      <c r="A120" s="39" t="s">
        <v>115</v>
      </c>
      <c r="C120" s="314">
        <v>3459.0614433563696</v>
      </c>
      <c r="D120" s="315">
        <v>3180.8140924180452</v>
      </c>
      <c r="E120" s="315">
        <v>3443.2987457502222</v>
      </c>
      <c r="F120" s="315">
        <v>3613.7004358214235</v>
      </c>
      <c r="G120" s="316">
        <v>3682.0000000009959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96.655873674051207</v>
      </c>
      <c r="E122" s="306">
        <v>57.983118791002788</v>
      </c>
      <c r="F122" s="306">
        <v>68.299564179571377</v>
      </c>
      <c r="G122" s="307">
        <v>222.93855664462538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3459.0614433563696</v>
      </c>
      <c r="D134" s="315">
        <v>3180.8140924180452</v>
      </c>
      <c r="E134" s="315">
        <v>3443.2987457502222</v>
      </c>
      <c r="F134" s="315">
        <v>3613.7004358214235</v>
      </c>
      <c r="G134" s="316">
        <v>3682.0000000009959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96.655873674051207</v>
      </c>
      <c r="E136" s="318">
        <v>57.983118791002788</v>
      </c>
      <c r="F136" s="318">
        <v>68.299564179571377</v>
      </c>
      <c r="G136" s="319">
        <v>222.93855664462538</v>
      </c>
    </row>
    <row r="137" spans="1:7" ht="15" thickBot="1"/>
    <row r="138" spans="1:7" ht="15" thickBot="1">
      <c r="A138" s="105" t="s">
        <v>9187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1.0310567208113157</v>
      </c>
      <c r="F145" s="299">
        <v>1.0165655004560663</v>
      </c>
      <c r="G145" s="300">
        <v>1.0186373487829763</v>
      </c>
    </row>
    <row r="146" spans="1:7">
      <c r="A146" s="39" t="s">
        <v>1924</v>
      </c>
      <c r="C146" s="29"/>
      <c r="D146" s="301">
        <v>0.97843622712155476</v>
      </c>
      <c r="E146" s="301">
        <v>0.99455352630556371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1825.2560880372109</v>
      </c>
      <c r="D149" s="304">
        <v>1825.2560880372109</v>
      </c>
      <c r="E149" s="304">
        <v>1881.9425567725368</v>
      </c>
      <c r="F149" s="304">
        <v>1913.1178770550428</v>
      </c>
      <c r="G149" s="305">
        <v>1948.7733221926646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180.25489897721414</v>
      </c>
      <c r="D152" s="308">
        <v>180.25489897721414</v>
      </c>
      <c r="E152" s="308">
        <v>185.85302504962141</v>
      </c>
      <c r="F152" s="308">
        <v>188.93177342084221</v>
      </c>
      <c r="G152" s="309">
        <v>192.45296077827268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2.1108036313952312E-2</v>
      </c>
      <c r="D154" s="310">
        <v>2.0652867412968269E-2</v>
      </c>
      <c r="E154" s="308">
        <v>2.1108036313952312E-2</v>
      </c>
      <c r="F154" s="308">
        <v>2.1457701499137755E-2</v>
      </c>
      <c r="G154" s="309">
        <v>2.1857616166058177E-2</v>
      </c>
    </row>
    <row r="155" spans="1:7">
      <c r="A155" s="39" t="s">
        <v>1931</v>
      </c>
      <c r="B155" s="96"/>
      <c r="C155" s="308">
        <v>2.774344921705147E-2</v>
      </c>
      <c r="D155" s="306"/>
      <c r="E155" s="308">
        <v>2.774344921705147E-2</v>
      </c>
      <c r="F155" s="308">
        <v>2.8203033337709391E-2</v>
      </c>
      <c r="G155" s="309">
        <v>2.8728663106762187E-2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180.30375046274514</v>
      </c>
      <c r="D157" s="312">
        <v>180.2755518446271</v>
      </c>
      <c r="E157" s="312">
        <v>185.90187653515241</v>
      </c>
      <c r="F157" s="312">
        <v>188.98143415567907</v>
      </c>
      <c r="G157" s="313">
        <v>192.50354705754549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1033.5805448124174</v>
      </c>
      <c r="D160" s="308">
        <v>1033.5805448124174</v>
      </c>
      <c r="E160" s="308">
        <v>1065.6801672286642</v>
      </c>
      <c r="F160" s="308">
        <v>1083.3336925249114</v>
      </c>
      <c r="G160" s="309">
        <v>1103.5241604008477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25.446187659833431</v>
      </c>
      <c r="D162" s="308">
        <v>24.897471848514485</v>
      </c>
      <c r="E162" s="308">
        <v>25.446187659833431</v>
      </c>
      <c r="F162" s="308">
        <v>25.867716493117552</v>
      </c>
      <c r="G162" s="309">
        <v>26.349822147618934</v>
      </c>
    </row>
    <row r="163" spans="1:7">
      <c r="A163" s="39" t="s">
        <v>1931</v>
      </c>
      <c r="B163" s="96"/>
      <c r="C163" s="308">
        <v>10.516456691805763</v>
      </c>
      <c r="D163" s="306"/>
      <c r="E163" s="308">
        <v>10.516456691805763</v>
      </c>
      <c r="F163" s="308">
        <v>10.690667059930073</v>
      </c>
      <c r="G163" s="309">
        <v>10.889912750648666</v>
      </c>
    </row>
    <row r="164" spans="1:7">
      <c r="A164" s="39" t="s">
        <v>1932</v>
      </c>
      <c r="B164" s="96"/>
      <c r="C164" s="308">
        <v>9.4328698200608768E-3</v>
      </c>
      <c r="D164" s="306"/>
      <c r="E164" s="308">
        <v>9.4328698200608768E-3</v>
      </c>
      <c r="F164" s="308">
        <v>9.589130029367109E-3</v>
      </c>
      <c r="G164" s="309">
        <v>9.7678459902497353E-3</v>
      </c>
    </row>
    <row r="165" spans="1:7">
      <c r="A165" s="39" t="s">
        <v>1935</v>
      </c>
      <c r="B165" s="96"/>
      <c r="C165" s="308">
        <v>4.4042521319101129E-2</v>
      </c>
      <c r="D165" s="306"/>
      <c r="E165" s="308">
        <v>4.3802644885299995E-2</v>
      </c>
      <c r="F165" s="308">
        <v>4.4042521319101129E-2</v>
      </c>
      <c r="G165" s="309">
        <v>4.4863357150206888E-2</v>
      </c>
    </row>
    <row r="166" spans="1:7">
      <c r="A166" s="39" t="s">
        <v>1936</v>
      </c>
      <c r="B166" s="96"/>
      <c r="C166" s="308">
        <v>0.10279505372931867</v>
      </c>
      <c r="D166" s="306"/>
      <c r="E166" s="306"/>
      <c r="F166" s="308">
        <v>0.10279505372931867</v>
      </c>
      <c r="G166" s="309">
        <v>0.10471088099883677</v>
      </c>
    </row>
    <row r="167" spans="1:7">
      <c r="A167" s="39" t="s">
        <v>1933</v>
      </c>
      <c r="B167" s="96"/>
      <c r="C167" s="311">
        <v>1069.6994596089253</v>
      </c>
      <c r="D167" s="312">
        <v>1058.4780166609319</v>
      </c>
      <c r="E167" s="312">
        <v>1101.6960470950089</v>
      </c>
      <c r="F167" s="312">
        <v>1120.0485027830368</v>
      </c>
      <c r="G167" s="313">
        <v>1140.9232373832544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9.7843622712155486E-5</v>
      </c>
      <c r="E170" s="308">
        <v>1E-4</v>
      </c>
      <c r="F170" s="308">
        <v>1.0165655004560664E-4</v>
      </c>
      <c r="G170" s="309">
        <v>1.035511586248807E-4</v>
      </c>
    </row>
    <row r="171" spans="1:7">
      <c r="A171" s="39" t="s">
        <v>1931</v>
      </c>
      <c r="B171" s="96"/>
      <c r="C171" s="308">
        <v>153.80270352911492</v>
      </c>
      <c r="D171" s="306"/>
      <c r="E171" s="308">
        <v>153.80270352911492</v>
      </c>
      <c r="F171" s="308">
        <v>156.3505222845707</v>
      </c>
      <c r="G171" s="309">
        <v>159.26448150078875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1.0165655004560664E-4</v>
      </c>
      <c r="G172" s="309">
        <v>1.035511586248807E-4</v>
      </c>
    </row>
    <row r="173" spans="1:7">
      <c r="A173" s="39" t="s">
        <v>1935</v>
      </c>
      <c r="B173" s="96"/>
      <c r="C173" s="308">
        <v>1E-4</v>
      </c>
      <c r="D173" s="306"/>
      <c r="E173" s="308">
        <v>9.9455352630556376E-5</v>
      </c>
      <c r="F173" s="308">
        <v>1E-4</v>
      </c>
      <c r="G173" s="309">
        <v>1.0186373487829763E-4</v>
      </c>
    </row>
    <row r="174" spans="1:7">
      <c r="A174" s="39" t="s">
        <v>1936</v>
      </c>
      <c r="B174" s="96"/>
      <c r="C174" s="308">
        <v>112.30729647088508</v>
      </c>
      <c r="D174" s="306"/>
      <c r="E174" s="306"/>
      <c r="F174" s="308">
        <v>112.30729647088508</v>
      </c>
      <c r="G174" s="309">
        <v>114.40040672608609</v>
      </c>
    </row>
    <row r="175" spans="1:7">
      <c r="A175" s="39" t="s">
        <v>1933</v>
      </c>
      <c r="B175" s="96"/>
      <c r="C175" s="311">
        <v>266.1103</v>
      </c>
      <c r="D175" s="312">
        <v>9.7843622712155486E-5</v>
      </c>
      <c r="E175" s="312">
        <v>153.80300298446755</v>
      </c>
      <c r="F175" s="312">
        <v>268.65812206855588</v>
      </c>
      <c r="G175" s="313">
        <v>273.66519719292694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3039.0915318268426</v>
      </c>
      <c r="D181" s="306">
        <v>3039.0915318268426</v>
      </c>
      <c r="E181" s="306">
        <v>3133.4757490508223</v>
      </c>
      <c r="F181" s="306">
        <v>3185.3833430007962</v>
      </c>
      <c r="G181" s="307">
        <v>3244.750443371785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25.467395696147381</v>
      </c>
      <c r="D183" s="306">
        <v>24.918222559550166</v>
      </c>
      <c r="E183" s="306">
        <v>25.467395696147381</v>
      </c>
      <c r="F183" s="306">
        <v>25.889275851166737</v>
      </c>
      <c r="G183" s="307">
        <v>26.371783314943617</v>
      </c>
    </row>
    <row r="184" spans="1:7">
      <c r="A184" s="39" t="s">
        <v>1931</v>
      </c>
      <c r="C184" s="306">
        <v>164.34690367013775</v>
      </c>
      <c r="D184" s="306">
        <v>0</v>
      </c>
      <c r="E184" s="306">
        <v>164.34690367013775</v>
      </c>
      <c r="F184" s="306">
        <v>167.06939237783848</v>
      </c>
      <c r="G184" s="307">
        <v>170.18312291454419</v>
      </c>
    </row>
    <row r="185" spans="1:7">
      <c r="A185" s="39" t="s">
        <v>1932</v>
      </c>
      <c r="C185" s="306">
        <v>9.5328698200608762E-3</v>
      </c>
      <c r="D185" s="306">
        <v>0</v>
      </c>
      <c r="E185" s="306">
        <v>9.5328698200608762E-3</v>
      </c>
      <c r="F185" s="306">
        <v>9.6907865794127156E-3</v>
      </c>
      <c r="G185" s="307">
        <v>9.8713971488746163E-3</v>
      </c>
    </row>
    <row r="186" spans="1:7">
      <c r="A186" s="39" t="s">
        <v>1935</v>
      </c>
      <c r="C186" s="306">
        <v>4.4142521319101131E-2</v>
      </c>
      <c r="D186" s="306">
        <v>0</v>
      </c>
      <c r="E186" s="306">
        <v>4.390210023793055E-2</v>
      </c>
      <c r="F186" s="306">
        <v>4.4142521319101131E-2</v>
      </c>
      <c r="G186" s="307">
        <v>4.4965220885085186E-2</v>
      </c>
    </row>
    <row r="187" spans="1:7" ht="15" thickBot="1">
      <c r="A187" s="39" t="s">
        <v>1936</v>
      </c>
      <c r="C187" s="306">
        <v>112.4100915246144</v>
      </c>
      <c r="D187" s="306">
        <v>0</v>
      </c>
      <c r="E187" s="306">
        <v>0</v>
      </c>
      <c r="F187" s="306">
        <v>112.4100915246144</v>
      </c>
      <c r="G187" s="307">
        <v>114.50511760708493</v>
      </c>
    </row>
    <row r="188" spans="1:7" ht="15" thickBot="1">
      <c r="A188" s="39" t="s">
        <v>115</v>
      </c>
      <c r="C188" s="314">
        <v>3341.3695981088808</v>
      </c>
      <c r="D188" s="315">
        <v>3064.0097543863926</v>
      </c>
      <c r="E188" s="315">
        <v>3323.3434833871652</v>
      </c>
      <c r="F188" s="315">
        <v>3490.8059360623142</v>
      </c>
      <c r="G188" s="316">
        <v>3555.8653038263915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94.384217223980016</v>
      </c>
      <c r="E190" s="306">
        <v>55.05212072945379</v>
      </c>
      <c r="F190" s="306">
        <v>65.059367764077209</v>
      </c>
      <c r="G190" s="307">
        <v>214.49570571751099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3341.3695981088808</v>
      </c>
      <c r="D202" s="315">
        <v>3064.0097543863926</v>
      </c>
      <c r="E202" s="315">
        <v>3323.3434833871652</v>
      </c>
      <c r="F202" s="315">
        <v>3490.8059360623142</v>
      </c>
      <c r="G202" s="316">
        <v>3555.8653038263915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94.384217223980016</v>
      </c>
      <c r="E204" s="318">
        <v>55.05212072945379</v>
      </c>
      <c r="F204" s="318">
        <v>65.059367764077209</v>
      </c>
      <c r="G204" s="319">
        <v>214.49570571751099</v>
      </c>
    </row>
    <row r="205" spans="1:7" ht="15" thickBot="1"/>
    <row r="206" spans="1:7" ht="15" thickBot="1">
      <c r="A206" s="89" t="s">
        <v>9188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1.0306465199016801</v>
      </c>
      <c r="F213" s="299">
        <v>1.0168396416986309</v>
      </c>
      <c r="G213" s="300">
        <v>1.0189001732137342</v>
      </c>
    </row>
    <row r="214" spans="1:7">
      <c r="A214" s="39" t="s">
        <v>1924</v>
      </c>
      <c r="C214" s="29"/>
      <c r="D214" s="301">
        <v>0.97880770380246895</v>
      </c>
      <c r="E214" s="301">
        <v>0.99461318165901547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1850.4803324468851</v>
      </c>
      <c r="D217" s="304">
        <v>1850.4803324468851</v>
      </c>
      <c r="E217" s="304">
        <v>1907.1911147828862</v>
      </c>
      <c r="F217" s="304">
        <v>1939.3075298066426</v>
      </c>
      <c r="G217" s="305">
        <v>1975.9607780346871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180.73836795066399</v>
      </c>
      <c r="D220" s="308">
        <v>180.73836795066399</v>
      </c>
      <c r="E220" s="308">
        <v>186.27736994106118</v>
      </c>
      <c r="F220" s="308">
        <v>189.41421410743197</v>
      </c>
      <c r="G220" s="309">
        <v>192.99417556320577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2.1164651034030119E-2</v>
      </c>
      <c r="D222" s="310">
        <v>2.071612348039957E-2</v>
      </c>
      <c r="E222" s="308">
        <v>2.1164651034030119E-2</v>
      </c>
      <c r="F222" s="308">
        <v>2.1521056174119743E-2</v>
      </c>
      <c r="G222" s="309">
        <v>2.1927807863553108E-2</v>
      </c>
    </row>
    <row r="223" spans="1:7">
      <c r="A223" s="39" t="s">
        <v>1931</v>
      </c>
      <c r="B223" s="96"/>
      <c r="C223" s="308">
        <v>2.7817861047126729E-2</v>
      </c>
      <c r="D223" s="306"/>
      <c r="E223" s="308">
        <v>2.7817861047126729E-2</v>
      </c>
      <c r="F223" s="308">
        <v>2.8286303859982646E-2</v>
      </c>
      <c r="G223" s="309">
        <v>2.8820919902512634E-2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180.78735046274517</v>
      </c>
      <c r="D225" s="312">
        <v>180.7590840741444</v>
      </c>
      <c r="E225" s="312">
        <v>186.32635245314236</v>
      </c>
      <c r="F225" s="312">
        <v>189.46402146746607</v>
      </c>
      <c r="G225" s="313">
        <v>193.04492429097184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1122.675248544846</v>
      </c>
      <c r="D228" s="308">
        <v>1122.675248544846</v>
      </c>
      <c r="E228" s="308">
        <v>1157.0813378924993</v>
      </c>
      <c r="F228" s="308">
        <v>1176.5661730387815</v>
      </c>
      <c r="G228" s="309">
        <v>1198.8034775066349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27.481730442967333</v>
      </c>
      <c r="D230" s="308">
        <v>26.899329471399263</v>
      </c>
      <c r="E230" s="308">
        <v>27.481730442967333</v>
      </c>
      <c r="F230" s="308">
        <v>27.944512936885261</v>
      </c>
      <c r="G230" s="309">
        <v>28.472669071765829</v>
      </c>
    </row>
    <row r="231" spans="1:7">
      <c r="A231" s="39" t="s">
        <v>1931</v>
      </c>
      <c r="B231" s="96"/>
      <c r="C231" s="308">
        <v>11.357710313342778</v>
      </c>
      <c r="D231" s="306"/>
      <c r="E231" s="308">
        <v>11.357710313342778</v>
      </c>
      <c r="F231" s="308">
        <v>11.548970085536316</v>
      </c>
      <c r="G231" s="309">
        <v>11.767247620593187</v>
      </c>
    </row>
    <row r="232" spans="1:7">
      <c r="A232" s="39" t="s">
        <v>1932</v>
      </c>
      <c r="B232" s="96"/>
      <c r="C232" s="308">
        <v>1.0187442974324574E-2</v>
      </c>
      <c r="D232" s="306"/>
      <c r="E232" s="308">
        <v>1.0187442974324574E-2</v>
      </c>
      <c r="F232" s="308">
        <v>1.0358995863837435E-2</v>
      </c>
      <c r="G232" s="309">
        <v>1.0554782679984318E-2</v>
      </c>
    </row>
    <row r="233" spans="1:7">
      <c r="A233" s="39" t="s">
        <v>1935</v>
      </c>
      <c r="B233" s="96"/>
      <c r="C233" s="308">
        <v>4.7565659543992458E-2</v>
      </c>
      <c r="D233" s="306"/>
      <c r="E233" s="308">
        <v>4.7309431976759853E-2</v>
      </c>
      <c r="F233" s="308">
        <v>4.7565659543992458E-2</v>
      </c>
      <c r="G233" s="309">
        <v>4.8464658748399427E-2</v>
      </c>
    </row>
    <row r="234" spans="1:7">
      <c r="A234" s="39" t="s">
        <v>1936</v>
      </c>
      <c r="B234" s="96"/>
      <c r="C234" s="308">
        <v>0.11101804306500078</v>
      </c>
      <c r="D234" s="306"/>
      <c r="E234" s="306"/>
      <c r="F234" s="308">
        <v>0.11101804306500078</v>
      </c>
      <c r="G234" s="309">
        <v>0.11311630330877909</v>
      </c>
    </row>
    <row r="235" spans="1:7">
      <c r="A235" s="39" t="s">
        <v>1933</v>
      </c>
      <c r="B235" s="96"/>
      <c r="C235" s="311">
        <v>1161.6834604467394</v>
      </c>
      <c r="D235" s="312">
        <v>1149.5745780162454</v>
      </c>
      <c r="E235" s="312">
        <v>1195.9782755237604</v>
      </c>
      <c r="F235" s="312">
        <v>1216.2285987596758</v>
      </c>
      <c r="G235" s="313">
        <v>1239.2155299437309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9.7880770380246904E-5</v>
      </c>
      <c r="E238" s="308">
        <v>1E-4</v>
      </c>
      <c r="F238" s="308">
        <v>1.016839641698631E-4</v>
      </c>
      <c r="G238" s="309">
        <v>1.0360580870573265E-4</v>
      </c>
    </row>
    <row r="239" spans="1:7">
      <c r="A239" s="39" t="s">
        <v>1931</v>
      </c>
      <c r="B239" s="96"/>
      <c r="C239" s="308">
        <v>153.80270352911492</v>
      </c>
      <c r="D239" s="306"/>
      <c r="E239" s="308">
        <v>153.80270352911492</v>
      </c>
      <c r="F239" s="308">
        <v>156.39268594882597</v>
      </c>
      <c r="G239" s="309">
        <v>159.34853480261992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1.016839641698631E-4</v>
      </c>
      <c r="G240" s="309">
        <v>1.0360580870573265E-4</v>
      </c>
    </row>
    <row r="241" spans="1:7">
      <c r="A241" s="39" t="s">
        <v>1935</v>
      </c>
      <c r="B241" s="96"/>
      <c r="C241" s="308">
        <v>1E-4</v>
      </c>
      <c r="D241" s="306"/>
      <c r="E241" s="308">
        <v>9.9461318165901545E-5</v>
      </c>
      <c r="F241" s="308">
        <v>1E-4</v>
      </c>
      <c r="G241" s="309">
        <v>1.0189001732137342E-4</v>
      </c>
    </row>
    <row r="242" spans="1:7">
      <c r="A242" s="39" t="s">
        <v>1936</v>
      </c>
      <c r="B242" s="96"/>
      <c r="C242" s="308">
        <v>112.30729647088508</v>
      </c>
      <c r="D242" s="306"/>
      <c r="E242" s="306"/>
      <c r="F242" s="308">
        <v>112.30729647088508</v>
      </c>
      <c r="G242" s="309">
        <v>114.429923827351</v>
      </c>
    </row>
    <row r="243" spans="1:7">
      <c r="A243" s="39" t="s">
        <v>1933</v>
      </c>
      <c r="B243" s="96"/>
      <c r="C243" s="311">
        <v>266.1103</v>
      </c>
      <c r="D243" s="312">
        <v>9.7880770380246904E-5</v>
      </c>
      <c r="E243" s="312">
        <v>153.8030029904331</v>
      </c>
      <c r="F243" s="312">
        <v>268.70028578763942</v>
      </c>
      <c r="G243" s="313">
        <v>273.77876773160568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3153.8939489423951</v>
      </c>
      <c r="D249" s="306">
        <v>3153.8939489423951</v>
      </c>
      <c r="E249" s="306">
        <v>3250.5498226164464</v>
      </c>
      <c r="F249" s="306">
        <v>3305.287916952856</v>
      </c>
      <c r="G249" s="307">
        <v>3367.758431104528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27.502995094001363</v>
      </c>
      <c r="D251" s="306">
        <v>26.920143475650043</v>
      </c>
      <c r="E251" s="306">
        <v>27.502995094001363</v>
      </c>
      <c r="F251" s="306">
        <v>27.966135677023551</v>
      </c>
      <c r="G251" s="307">
        <v>28.494700485438088</v>
      </c>
    </row>
    <row r="252" spans="1:7">
      <c r="A252" s="39" t="s">
        <v>1931</v>
      </c>
      <c r="C252" s="306">
        <v>165.18823170350484</v>
      </c>
      <c r="D252" s="306">
        <v>0</v>
      </c>
      <c r="E252" s="306">
        <v>165.18823170350484</v>
      </c>
      <c r="F252" s="306">
        <v>167.96994233822227</v>
      </c>
      <c r="G252" s="307">
        <v>171.14460334311562</v>
      </c>
    </row>
    <row r="253" spans="1:7">
      <c r="A253" s="39" t="s">
        <v>1932</v>
      </c>
      <c r="C253" s="306">
        <v>1.0287442974324573E-2</v>
      </c>
      <c r="D253" s="306">
        <v>0</v>
      </c>
      <c r="E253" s="306">
        <v>1.0287442974324573E-2</v>
      </c>
      <c r="F253" s="306">
        <v>1.0460679828007299E-2</v>
      </c>
      <c r="G253" s="307">
        <v>1.065838848869005E-2</v>
      </c>
    </row>
    <row r="254" spans="1:7">
      <c r="A254" s="39" t="s">
        <v>1935</v>
      </c>
      <c r="C254" s="306">
        <v>4.7665659543992461E-2</v>
      </c>
      <c r="D254" s="306">
        <v>0</v>
      </c>
      <c r="E254" s="306">
        <v>4.7408893294925751E-2</v>
      </c>
      <c r="F254" s="306">
        <v>4.7665659543992461E-2</v>
      </c>
      <c r="G254" s="307">
        <v>4.85665487657208E-2</v>
      </c>
    </row>
    <row r="255" spans="1:7" ht="15" thickBot="1">
      <c r="A255" s="39" t="s">
        <v>1936</v>
      </c>
      <c r="C255" s="306">
        <v>112.41831451395008</v>
      </c>
      <c r="D255" s="306">
        <v>0</v>
      </c>
      <c r="E255" s="306">
        <v>0</v>
      </c>
      <c r="F255" s="306">
        <v>112.41831451395008</v>
      </c>
      <c r="G255" s="307">
        <v>114.54304013065979</v>
      </c>
    </row>
    <row r="256" spans="1:7" ht="15" thickBot="1">
      <c r="A256" s="39" t="s">
        <v>115</v>
      </c>
      <c r="C256" s="314">
        <v>3459.0614433563696</v>
      </c>
      <c r="D256" s="315">
        <v>3180.8140924180452</v>
      </c>
      <c r="E256" s="315">
        <v>3443.2987457502222</v>
      </c>
      <c r="F256" s="315">
        <v>3613.7004358214235</v>
      </c>
      <c r="G256" s="316">
        <v>3682.0000000009959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96.655873674051207</v>
      </c>
      <c r="E258" s="306">
        <v>57.983118791002788</v>
      </c>
      <c r="F258" s="306">
        <v>68.299564179571377</v>
      </c>
      <c r="G258" s="307">
        <v>222.93855664462538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3459.0614433563696</v>
      </c>
      <c r="D270" s="315">
        <v>3180.8140924180452</v>
      </c>
      <c r="E270" s="315">
        <v>3443.2987457502222</v>
      </c>
      <c r="F270" s="315">
        <v>3613.7004358214235</v>
      </c>
      <c r="G270" s="316">
        <v>3682.0000000009959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96.655873674051207</v>
      </c>
      <c r="E272" s="318">
        <v>57.983118791002788</v>
      </c>
      <c r="F272" s="318">
        <v>68.299564179571377</v>
      </c>
      <c r="G272" s="319">
        <v>222.93855664462538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9192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1.02965469157189</v>
      </c>
      <c r="F9" s="299">
        <v>1.0176345288920985</v>
      </c>
      <c r="G9" s="300">
        <v>1.0196221644491577</v>
      </c>
      <c r="I9" s="29" t="s">
        <v>116</v>
      </c>
    </row>
    <row r="10" spans="1:9">
      <c r="A10" s="39" t="s">
        <v>1924</v>
      </c>
      <c r="C10" s="29"/>
      <c r="D10" s="301">
        <v>0.97968266588521813</v>
      </c>
      <c r="E10" s="301">
        <v>0.99475578498085726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2124.54598517762</v>
      </c>
      <c r="D13" s="304">
        <v>2124.54598517762</v>
      </c>
      <c r="E13" s="304">
        <v>2187.5487410983596</v>
      </c>
      <c r="F13" s="304">
        <v>2226.1251325761323</v>
      </c>
      <c r="G13" s="305">
        <v>2269.8065260119442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187.38704172204504</v>
      </c>
      <c r="D16" s="308">
        <v>187.38704172204504</v>
      </c>
      <c r="E16" s="308">
        <v>192.94394664888117</v>
      </c>
      <c r="F16" s="308">
        <v>196.34642225061637</v>
      </c>
      <c r="G16" s="309">
        <v>200.19916403702172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2.1943217653868141E-2</v>
      </c>
      <c r="D18" s="310">
        <v>2.1497389969241124E-2</v>
      </c>
      <c r="E18" s="308">
        <v>2.1943217653868141E-2</v>
      </c>
      <c r="F18" s="308">
        <v>2.2330175959570885E-2</v>
      </c>
      <c r="G18" s="309">
        <v>2.2768342344428212E-2</v>
      </c>
    </row>
    <row r="19" spans="1:7">
      <c r="A19" s="39" t="s">
        <v>1931</v>
      </c>
      <c r="B19" s="96"/>
      <c r="C19" s="308">
        <v>2.8841173834649746E-2</v>
      </c>
      <c r="D19" s="306"/>
      <c r="E19" s="308">
        <v>2.8841173834649746E-2</v>
      </c>
      <c r="F19" s="308">
        <v>2.9349774347918911E-2</v>
      </c>
      <c r="G19" s="309">
        <v>2.9925680446719446E-2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187.43782611353356</v>
      </c>
      <c r="D21" s="312">
        <v>187.4085391120143</v>
      </c>
      <c r="E21" s="312">
        <v>192.99473104036969</v>
      </c>
      <c r="F21" s="312">
        <v>196.39810220092386</v>
      </c>
      <c r="G21" s="313">
        <v>200.25185805981286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1160.7059973827941</v>
      </c>
      <c r="D24" s="308">
        <v>1160.7059973827941</v>
      </c>
      <c r="E24" s="308">
        <v>1195.1263757408237</v>
      </c>
      <c r="F24" s="308">
        <v>1216.2018663435342</v>
      </c>
      <c r="G24" s="309">
        <v>1240.0663793682995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28.56894361074092</v>
      </c>
      <c r="D26" s="308">
        <v>27.988498838095133</v>
      </c>
      <c r="E26" s="308">
        <v>28.56894361074092</v>
      </c>
      <c r="F26" s="308">
        <v>29.072743472261262</v>
      </c>
      <c r="G26" s="309">
        <v>29.643213625662149</v>
      </c>
    </row>
    <row r="27" spans="1:7">
      <c r="A27" s="39" t="s">
        <v>1931</v>
      </c>
      <c r="B27" s="96"/>
      <c r="C27" s="308">
        <v>11.807036174901985</v>
      </c>
      <c r="D27" s="306"/>
      <c r="E27" s="308">
        <v>11.807036174901985</v>
      </c>
      <c r="F27" s="308">
        <v>12.015247695458346</v>
      </c>
      <c r="G27" s="309">
        <v>12.251012861635992</v>
      </c>
    </row>
    <row r="28" spans="1:7">
      <c r="A28" s="39" t="s">
        <v>1932</v>
      </c>
      <c r="B28" s="96"/>
      <c r="C28" s="308">
        <v>1.0590471530718211E-2</v>
      </c>
      <c r="D28" s="306"/>
      <c r="E28" s="308">
        <v>1.0590471530718211E-2</v>
      </c>
      <c r="F28" s="308">
        <v>1.0777229506907609E-2</v>
      </c>
      <c r="G28" s="309">
        <v>1.0988702076598465E-2</v>
      </c>
    </row>
    <row r="29" spans="1:7">
      <c r="A29" s="39" t="s">
        <v>1935</v>
      </c>
      <c r="B29" s="96"/>
      <c r="C29" s="308">
        <v>4.9447419191456649E-2</v>
      </c>
      <c r="D29" s="306"/>
      <c r="E29" s="308">
        <v>4.9188106293074962E-2</v>
      </c>
      <c r="F29" s="308">
        <v>4.9447419191456649E-2</v>
      </c>
      <c r="G29" s="309">
        <v>5.0417684582417847E-2</v>
      </c>
    </row>
    <row r="30" spans="1:7">
      <c r="A30" s="39" t="s">
        <v>1936</v>
      </c>
      <c r="B30" s="96"/>
      <c r="C30" s="308">
        <v>0.11541006192026219</v>
      </c>
      <c r="D30" s="306"/>
      <c r="E30" s="306"/>
      <c r="F30" s="308">
        <v>0.11541006192026219</v>
      </c>
      <c r="G30" s="309">
        <v>0.11767465713434905</v>
      </c>
    </row>
    <row r="31" spans="1:7">
      <c r="A31" s="39" t="s">
        <v>1933</v>
      </c>
      <c r="B31" s="96"/>
      <c r="C31" s="311">
        <v>1201.2574251210795</v>
      </c>
      <c r="D31" s="312">
        <v>1188.6944962208893</v>
      </c>
      <c r="E31" s="312">
        <v>1235.5621341042904</v>
      </c>
      <c r="F31" s="312">
        <v>1257.4654922218724</v>
      </c>
      <c r="G31" s="313">
        <v>1282.1396868993911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9.7968266588521814E-5</v>
      </c>
      <c r="E34" s="308">
        <v>1E-4</v>
      </c>
      <c r="F34" s="308">
        <v>1.0176345288920985E-4</v>
      </c>
      <c r="G34" s="309">
        <v>1.0376027209671603E-4</v>
      </c>
    </row>
    <row r="35" spans="1:7">
      <c r="A35" s="39" t="s">
        <v>1931</v>
      </c>
      <c r="B35" s="96"/>
      <c r="C35" s="308">
        <v>158.12589402326313</v>
      </c>
      <c r="D35" s="306"/>
      <c r="E35" s="308">
        <v>158.12589402326313</v>
      </c>
      <c r="F35" s="308">
        <v>160.91436967000527</v>
      </c>
      <c r="G35" s="309">
        <v>164.07185789390266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1.0176345288920985E-4</v>
      </c>
      <c r="G36" s="309">
        <v>1.0376027209671603E-4</v>
      </c>
    </row>
    <row r="37" spans="1:7">
      <c r="A37" s="39" t="s">
        <v>1935</v>
      </c>
      <c r="B37" s="96"/>
      <c r="C37" s="308">
        <v>1E-4</v>
      </c>
      <c r="D37" s="306"/>
      <c r="E37" s="308">
        <v>9.9475578498085731E-5</v>
      </c>
      <c r="F37" s="308">
        <v>1E-4</v>
      </c>
      <c r="G37" s="309">
        <v>1.0196221644491577E-4</v>
      </c>
    </row>
    <row r="38" spans="1:7">
      <c r="A38" s="39" t="s">
        <v>1936</v>
      </c>
      <c r="B38" s="96"/>
      <c r="C38" s="308">
        <v>115.46410597673687</v>
      </c>
      <c r="D38" s="306"/>
      <c r="E38" s="306"/>
      <c r="F38" s="308">
        <v>115.46410597673687</v>
      </c>
      <c r="G38" s="309">
        <v>117.72976165218738</v>
      </c>
    </row>
    <row r="39" spans="1:7">
      <c r="A39" s="39" t="s">
        <v>1933</v>
      </c>
      <c r="B39" s="96"/>
      <c r="C39" s="311">
        <v>273.59030000000001</v>
      </c>
      <c r="D39" s="312">
        <v>9.7968266588521814E-5</v>
      </c>
      <c r="E39" s="312">
        <v>158.12619349884164</v>
      </c>
      <c r="F39" s="312">
        <v>276.3787791736479</v>
      </c>
      <c r="G39" s="313">
        <v>281.80192902885062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3472.6390242824591</v>
      </c>
      <c r="D45" s="306">
        <v>3472.6390242824591</v>
      </c>
      <c r="E45" s="306">
        <v>3575.6190634880645</v>
      </c>
      <c r="F45" s="306">
        <v>3638.6734211702828</v>
      </c>
      <c r="G45" s="307">
        <v>3710.0720694172651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28.590986828394787</v>
      </c>
      <c r="D47" s="306">
        <v>28.010094196330961</v>
      </c>
      <c r="E47" s="306">
        <v>28.590986828394787</v>
      </c>
      <c r="F47" s="306">
        <v>29.095175411673722</v>
      </c>
      <c r="G47" s="307">
        <v>29.666085728278674</v>
      </c>
    </row>
    <row r="48" spans="1:7">
      <c r="A48" s="39" t="s">
        <v>1931</v>
      </c>
      <c r="C48" s="306">
        <v>169.96177137199976</v>
      </c>
      <c r="D48" s="306">
        <v>0</v>
      </c>
      <c r="E48" s="306">
        <v>169.96177137199976</v>
      </c>
      <c r="F48" s="306">
        <v>172.95896713981153</v>
      </c>
      <c r="G48" s="307">
        <v>176.35279643598537</v>
      </c>
    </row>
    <row r="49" spans="1:7">
      <c r="A49" s="39" t="s">
        <v>1932</v>
      </c>
      <c r="C49" s="306">
        <v>1.0690471530718211E-2</v>
      </c>
      <c r="D49" s="306">
        <v>0</v>
      </c>
      <c r="E49" s="306">
        <v>1.0690471530718211E-2</v>
      </c>
      <c r="F49" s="306">
        <v>1.0878992959796819E-2</v>
      </c>
      <c r="G49" s="307">
        <v>1.1092462348695181E-2</v>
      </c>
    </row>
    <row r="50" spans="1:7">
      <c r="A50" s="39" t="s">
        <v>1935</v>
      </c>
      <c r="C50" s="306">
        <v>4.9547419191456651E-2</v>
      </c>
      <c r="D50" s="306">
        <v>0</v>
      </c>
      <c r="E50" s="306">
        <v>4.9287581871573047E-2</v>
      </c>
      <c r="F50" s="306">
        <v>4.9547419191456651E-2</v>
      </c>
      <c r="G50" s="307">
        <v>5.0519646798862762E-2</v>
      </c>
    </row>
    <row r="51" spans="1:7" ht="15" thickBot="1">
      <c r="A51" s="39" t="s">
        <v>1936</v>
      </c>
      <c r="C51" s="306">
        <v>115.57951603865713</v>
      </c>
      <c r="D51" s="306">
        <v>0</v>
      </c>
      <c r="E51" s="306">
        <v>0</v>
      </c>
      <c r="F51" s="306">
        <v>115.57951603865713</v>
      </c>
      <c r="G51" s="307">
        <v>117.84743630932172</v>
      </c>
    </row>
    <row r="52" spans="1:7" ht="15" thickBot="1">
      <c r="A52" s="39" t="s">
        <v>115</v>
      </c>
      <c r="C52" s="314">
        <v>3786.8315364122332</v>
      </c>
      <c r="D52" s="315">
        <v>3500.6491184787901</v>
      </c>
      <c r="E52" s="315">
        <v>3774.2317997418618</v>
      </c>
      <c r="F52" s="315">
        <v>3956.3675061725767</v>
      </c>
      <c r="G52" s="316">
        <v>4033.9999999999986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102.98003920560528</v>
      </c>
      <c r="E54" s="306">
        <v>66.555930554738737</v>
      </c>
      <c r="F54" s="306">
        <v>77.632493827422351</v>
      </c>
      <c r="G54" s="307">
        <v>247.16846358776638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3786.8315364122332</v>
      </c>
      <c r="D66" s="315">
        <v>3500.6491184787901</v>
      </c>
      <c r="E66" s="315">
        <v>3774.2317997418618</v>
      </c>
      <c r="F66" s="315">
        <v>3956.3675061725767</v>
      </c>
      <c r="G66" s="316">
        <v>4033.9999999999986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102.98003920560529</v>
      </c>
      <c r="E68" s="318">
        <v>66.555930554738737</v>
      </c>
      <c r="F68" s="318">
        <v>77.632493827422351</v>
      </c>
      <c r="G68" s="319">
        <v>247.16846358776638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9193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1.02965469157189</v>
      </c>
      <c r="F77" s="299">
        <v>1.0176345288920985</v>
      </c>
      <c r="G77" s="300">
        <v>1.0196221644491577</v>
      </c>
    </row>
    <row r="78" spans="1:7">
      <c r="A78" s="39" t="s">
        <v>1924</v>
      </c>
      <c r="C78" s="29"/>
      <c r="D78" s="301">
        <v>0.97968266588521813</v>
      </c>
      <c r="E78" s="301">
        <v>0.99475578498085726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2124.54598517762</v>
      </c>
      <c r="D81" s="304">
        <v>2124.54598517762</v>
      </c>
      <c r="E81" s="304">
        <v>2187.5487410983596</v>
      </c>
      <c r="F81" s="304">
        <v>2226.1251325761323</v>
      </c>
      <c r="G81" s="305">
        <v>2269.8065260119442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187.38704172204504</v>
      </c>
      <c r="D84" s="308">
        <v>187.38704172204504</v>
      </c>
      <c r="E84" s="308">
        <v>192.94394664888117</v>
      </c>
      <c r="F84" s="308">
        <v>196.34642225061637</v>
      </c>
      <c r="G84" s="309">
        <v>200.19916403702172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2.1943217653868141E-2</v>
      </c>
      <c r="D86" s="310">
        <v>2.1497389969241124E-2</v>
      </c>
      <c r="E86" s="308">
        <v>2.1943217653868141E-2</v>
      </c>
      <c r="F86" s="308">
        <v>2.2330175959570885E-2</v>
      </c>
      <c r="G86" s="309">
        <v>2.2768342344428212E-2</v>
      </c>
    </row>
    <row r="87" spans="1:7">
      <c r="A87" s="39" t="s">
        <v>1931</v>
      </c>
      <c r="B87" s="96"/>
      <c r="C87" s="308">
        <v>2.8841173834649746E-2</v>
      </c>
      <c r="D87" s="306"/>
      <c r="E87" s="308">
        <v>2.8841173834649746E-2</v>
      </c>
      <c r="F87" s="308">
        <v>2.9349774347918911E-2</v>
      </c>
      <c r="G87" s="309">
        <v>2.9925680446719446E-2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187.43782611353356</v>
      </c>
      <c r="D89" s="312">
        <v>187.4085391120143</v>
      </c>
      <c r="E89" s="312">
        <v>192.99473104036969</v>
      </c>
      <c r="F89" s="312">
        <v>196.39810220092386</v>
      </c>
      <c r="G89" s="313">
        <v>200.25185805981286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1160.7059973827941</v>
      </c>
      <c r="D92" s="308">
        <v>1160.7059973827941</v>
      </c>
      <c r="E92" s="308">
        <v>1195.1263757408237</v>
      </c>
      <c r="F92" s="308">
        <v>1216.2018663435342</v>
      </c>
      <c r="G92" s="309">
        <v>1240.0663793682995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28.56894361074092</v>
      </c>
      <c r="D94" s="308">
        <v>27.988498838095133</v>
      </c>
      <c r="E94" s="308">
        <v>28.56894361074092</v>
      </c>
      <c r="F94" s="308">
        <v>29.072743472261262</v>
      </c>
      <c r="G94" s="309">
        <v>29.643213625662149</v>
      </c>
    </row>
    <row r="95" spans="1:7">
      <c r="A95" s="39" t="s">
        <v>1931</v>
      </c>
      <c r="B95" s="96"/>
      <c r="C95" s="308">
        <v>11.807036174901985</v>
      </c>
      <c r="D95" s="306"/>
      <c r="E95" s="308">
        <v>11.807036174901985</v>
      </c>
      <c r="F95" s="308">
        <v>12.015247695458346</v>
      </c>
      <c r="G95" s="309">
        <v>12.251012861635992</v>
      </c>
    </row>
    <row r="96" spans="1:7">
      <c r="A96" s="39" t="s">
        <v>1932</v>
      </c>
      <c r="B96" s="96"/>
      <c r="C96" s="308">
        <v>1.0590471530718211E-2</v>
      </c>
      <c r="D96" s="306"/>
      <c r="E96" s="308">
        <v>1.0590471530718211E-2</v>
      </c>
      <c r="F96" s="308">
        <v>1.0777229506907609E-2</v>
      </c>
      <c r="G96" s="309">
        <v>1.0988702076598465E-2</v>
      </c>
    </row>
    <row r="97" spans="1:7">
      <c r="A97" s="39" t="s">
        <v>1935</v>
      </c>
      <c r="B97" s="96"/>
      <c r="C97" s="308">
        <v>4.9447419191456649E-2</v>
      </c>
      <c r="D97" s="306"/>
      <c r="E97" s="308">
        <v>4.9188106293074962E-2</v>
      </c>
      <c r="F97" s="308">
        <v>4.9447419191456649E-2</v>
      </c>
      <c r="G97" s="309">
        <v>5.0417684582417847E-2</v>
      </c>
    </row>
    <row r="98" spans="1:7">
      <c r="A98" s="39" t="s">
        <v>1936</v>
      </c>
      <c r="B98" s="96"/>
      <c r="C98" s="308">
        <v>0.11541006192026219</v>
      </c>
      <c r="D98" s="306"/>
      <c r="E98" s="306"/>
      <c r="F98" s="308">
        <v>0.11541006192026219</v>
      </c>
      <c r="G98" s="309">
        <v>0.11767465713434905</v>
      </c>
    </row>
    <row r="99" spans="1:7">
      <c r="A99" s="39" t="s">
        <v>1933</v>
      </c>
      <c r="B99" s="96"/>
      <c r="C99" s="311">
        <v>1201.2574251210795</v>
      </c>
      <c r="D99" s="312">
        <v>1188.6944962208893</v>
      </c>
      <c r="E99" s="312">
        <v>1235.5621341042904</v>
      </c>
      <c r="F99" s="312">
        <v>1257.4654922218724</v>
      </c>
      <c r="G99" s="313">
        <v>1282.1396868993911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9.7968266588521814E-5</v>
      </c>
      <c r="E102" s="308">
        <v>1E-4</v>
      </c>
      <c r="F102" s="308">
        <v>1.0176345288920985E-4</v>
      </c>
      <c r="G102" s="309">
        <v>1.0376027209671603E-4</v>
      </c>
    </row>
    <row r="103" spans="1:7">
      <c r="A103" s="39" t="s">
        <v>1931</v>
      </c>
      <c r="B103" s="96"/>
      <c r="C103" s="308">
        <v>158.12589402326313</v>
      </c>
      <c r="D103" s="306"/>
      <c r="E103" s="308">
        <v>158.12589402326313</v>
      </c>
      <c r="F103" s="308">
        <v>160.91436967000527</v>
      </c>
      <c r="G103" s="309">
        <v>164.07185789390266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1.0176345288920985E-4</v>
      </c>
      <c r="G104" s="309">
        <v>1.0376027209671603E-4</v>
      </c>
    </row>
    <row r="105" spans="1:7">
      <c r="A105" s="39" t="s">
        <v>1935</v>
      </c>
      <c r="B105" s="96"/>
      <c r="C105" s="308">
        <v>1E-4</v>
      </c>
      <c r="D105" s="306"/>
      <c r="E105" s="308">
        <v>9.9475578498085731E-5</v>
      </c>
      <c r="F105" s="308">
        <v>1E-4</v>
      </c>
      <c r="G105" s="309">
        <v>1.0196221644491577E-4</v>
      </c>
    </row>
    <row r="106" spans="1:7">
      <c r="A106" s="39" t="s">
        <v>1936</v>
      </c>
      <c r="B106" s="96"/>
      <c r="C106" s="308">
        <v>115.46410597673687</v>
      </c>
      <c r="D106" s="306"/>
      <c r="E106" s="306"/>
      <c r="F106" s="308">
        <v>115.46410597673687</v>
      </c>
      <c r="G106" s="309">
        <v>117.72976165218738</v>
      </c>
    </row>
    <row r="107" spans="1:7">
      <c r="A107" s="39" t="s">
        <v>1933</v>
      </c>
      <c r="B107" s="96"/>
      <c r="C107" s="311">
        <v>273.59030000000001</v>
      </c>
      <c r="D107" s="312">
        <v>9.7968266588521814E-5</v>
      </c>
      <c r="E107" s="312">
        <v>158.12619349884164</v>
      </c>
      <c r="F107" s="312">
        <v>276.3787791736479</v>
      </c>
      <c r="G107" s="313">
        <v>281.80192902885062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3472.6390242824591</v>
      </c>
      <c r="D113" s="306">
        <v>3472.6390242824591</v>
      </c>
      <c r="E113" s="306">
        <v>3575.6190634880645</v>
      </c>
      <c r="F113" s="306">
        <v>3638.6734211702828</v>
      </c>
      <c r="G113" s="307">
        <v>3710.0720694172651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28.590986828394787</v>
      </c>
      <c r="D115" s="306">
        <v>28.010094196330961</v>
      </c>
      <c r="E115" s="306">
        <v>28.590986828394787</v>
      </c>
      <c r="F115" s="306">
        <v>29.095175411673722</v>
      </c>
      <c r="G115" s="307">
        <v>29.666085728278674</v>
      </c>
    </row>
    <row r="116" spans="1:7">
      <c r="A116" s="39" t="s">
        <v>1931</v>
      </c>
      <c r="C116" s="306">
        <v>169.96177137199976</v>
      </c>
      <c r="D116" s="306">
        <v>0</v>
      </c>
      <c r="E116" s="306">
        <v>169.96177137199976</v>
      </c>
      <c r="F116" s="306">
        <v>172.95896713981153</v>
      </c>
      <c r="G116" s="307">
        <v>176.35279643598537</v>
      </c>
    </row>
    <row r="117" spans="1:7">
      <c r="A117" s="39" t="s">
        <v>1932</v>
      </c>
      <c r="C117" s="306">
        <v>1.0690471530718211E-2</v>
      </c>
      <c r="D117" s="306">
        <v>0</v>
      </c>
      <c r="E117" s="306">
        <v>1.0690471530718211E-2</v>
      </c>
      <c r="F117" s="306">
        <v>1.0878992959796819E-2</v>
      </c>
      <c r="G117" s="307">
        <v>1.1092462348695181E-2</v>
      </c>
    </row>
    <row r="118" spans="1:7">
      <c r="A118" s="39" t="s">
        <v>1935</v>
      </c>
      <c r="C118" s="306">
        <v>4.9547419191456651E-2</v>
      </c>
      <c r="D118" s="306">
        <v>0</v>
      </c>
      <c r="E118" s="306">
        <v>4.9287581871573047E-2</v>
      </c>
      <c r="F118" s="306">
        <v>4.9547419191456651E-2</v>
      </c>
      <c r="G118" s="307">
        <v>5.0519646798862762E-2</v>
      </c>
    </row>
    <row r="119" spans="1:7" ht="15" thickBot="1">
      <c r="A119" s="39" t="s">
        <v>1936</v>
      </c>
      <c r="C119" s="306">
        <v>115.57951603865713</v>
      </c>
      <c r="D119" s="306">
        <v>0</v>
      </c>
      <c r="E119" s="306">
        <v>0</v>
      </c>
      <c r="F119" s="306">
        <v>115.57951603865713</v>
      </c>
      <c r="G119" s="307">
        <v>117.84743630932172</v>
      </c>
    </row>
    <row r="120" spans="1:7" ht="15" thickBot="1">
      <c r="A120" s="39" t="s">
        <v>115</v>
      </c>
      <c r="C120" s="314">
        <v>3786.8315364122332</v>
      </c>
      <c r="D120" s="315">
        <v>3500.6491184787901</v>
      </c>
      <c r="E120" s="315">
        <v>3774.2317997418618</v>
      </c>
      <c r="F120" s="315">
        <v>3956.3675061725767</v>
      </c>
      <c r="G120" s="316">
        <v>4033.9999999999986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102.98003920560528</v>
      </c>
      <c r="E122" s="306">
        <v>66.555930554738737</v>
      </c>
      <c r="F122" s="306">
        <v>77.632493827422351</v>
      </c>
      <c r="G122" s="307">
        <v>247.16846358776638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3786.8315364122332</v>
      </c>
      <c r="D134" s="315">
        <v>3500.6491184787901</v>
      </c>
      <c r="E134" s="315">
        <v>3774.2317997418618</v>
      </c>
      <c r="F134" s="315">
        <v>3956.3675061725767</v>
      </c>
      <c r="G134" s="316">
        <v>4033.9999999999986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102.98003920560529</v>
      </c>
      <c r="E136" s="318">
        <v>66.555930554738737</v>
      </c>
      <c r="F136" s="318">
        <v>77.632493827422351</v>
      </c>
      <c r="G136" s="319">
        <v>247.16846358776638</v>
      </c>
    </row>
    <row r="137" spans="1:7" ht="15" thickBot="1"/>
    <row r="138" spans="1:7" ht="15" thickBot="1">
      <c r="A138" s="105" t="s">
        <v>9194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1.0300048417317771</v>
      </c>
      <c r="F145" s="299">
        <v>1.0173427096663186</v>
      </c>
      <c r="G145" s="300">
        <v>1.0193559141150055</v>
      </c>
    </row>
    <row r="146" spans="1:7">
      <c r="A146" s="39" t="s">
        <v>1924</v>
      </c>
      <c r="C146" s="29"/>
      <c r="D146" s="301">
        <v>0.97936467031186902</v>
      </c>
      <c r="E146" s="301">
        <v>0.99470411622928956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2095.426623289588</v>
      </c>
      <c r="D149" s="304">
        <v>2095.426623289588</v>
      </c>
      <c r="E149" s="304">
        <v>2158.299567481944</v>
      </c>
      <c r="F149" s="304">
        <v>2195.7303302537243</v>
      </c>
      <c r="G149" s="305">
        <v>2238.2306979458281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186.9035727485952</v>
      </c>
      <c r="D152" s="308">
        <v>186.9035727485952</v>
      </c>
      <c r="E152" s="308">
        <v>192.51158486802049</v>
      </c>
      <c r="F152" s="308">
        <v>195.85025739178943</v>
      </c>
      <c r="G152" s="309">
        <v>199.64111815326663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2.1886602933790335E-2</v>
      </c>
      <c r="D154" s="310">
        <v>2.1434965666498357E-2</v>
      </c>
      <c r="E154" s="308">
        <v>2.1886602933790335E-2</v>
      </c>
      <c r="F154" s="308">
        <v>2.2266175934053056E-2</v>
      </c>
      <c r="G154" s="309">
        <v>2.269715812310219E-2</v>
      </c>
    </row>
    <row r="155" spans="1:7">
      <c r="A155" s="39" t="s">
        <v>1931</v>
      </c>
      <c r="B155" s="96"/>
      <c r="C155" s="308">
        <v>2.8766762004574488E-2</v>
      </c>
      <c r="D155" s="306"/>
      <c r="E155" s="308">
        <v>2.8766762004574488E-2</v>
      </c>
      <c r="F155" s="308">
        <v>2.9265655606059909E-2</v>
      </c>
      <c r="G155" s="309">
        <v>2.9832119122490133E-2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186.95422611353357</v>
      </c>
      <c r="D157" s="312">
        <v>186.92500771426168</v>
      </c>
      <c r="E157" s="312">
        <v>192.56223823295886</v>
      </c>
      <c r="F157" s="312">
        <v>195.90178922332953</v>
      </c>
      <c r="G157" s="313">
        <v>199.69364743051221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1071.6112936503655</v>
      </c>
      <c r="D160" s="308">
        <v>1071.6112936503655</v>
      </c>
      <c r="E160" s="308">
        <v>1103.7648209143297</v>
      </c>
      <c r="F160" s="308">
        <v>1122.907093743343</v>
      </c>
      <c r="G160" s="309">
        <v>1144.6419870089696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26.533400827607021</v>
      </c>
      <c r="D162" s="308">
        <v>25.985875353782024</v>
      </c>
      <c r="E162" s="308">
        <v>26.533400827607021</v>
      </c>
      <c r="F162" s="308">
        <v>26.993561894620267</v>
      </c>
      <c r="G162" s="309">
        <v>27.516046960310621</v>
      </c>
    </row>
    <row r="163" spans="1:7">
      <c r="A163" s="39" t="s">
        <v>1931</v>
      </c>
      <c r="B163" s="96"/>
      <c r="C163" s="308">
        <v>10.965782553364969</v>
      </c>
      <c r="D163" s="306"/>
      <c r="E163" s="308">
        <v>10.965782553364969</v>
      </c>
      <c r="F163" s="308">
        <v>11.15595893645196</v>
      </c>
      <c r="G163" s="309">
        <v>11.371892719496451</v>
      </c>
    </row>
    <row r="164" spans="1:7">
      <c r="A164" s="39" t="s">
        <v>1932</v>
      </c>
      <c r="B164" s="96"/>
      <c r="C164" s="308">
        <v>9.8358983764545143E-3</v>
      </c>
      <c r="D164" s="306"/>
      <c r="E164" s="308">
        <v>9.8358983764545143E-3</v>
      </c>
      <c r="F164" s="308">
        <v>1.000647950630478E-2</v>
      </c>
      <c r="G164" s="309">
        <v>1.0200164064222377E-2</v>
      </c>
    </row>
    <row r="165" spans="1:7">
      <c r="A165" s="39" t="s">
        <v>1935</v>
      </c>
      <c r="B165" s="96"/>
      <c r="C165" s="308">
        <v>4.5924280966565312E-2</v>
      </c>
      <c r="D165" s="306"/>
      <c r="E165" s="308">
        <v>4.5681071312312929E-2</v>
      </c>
      <c r="F165" s="308">
        <v>4.5924280966565312E-2</v>
      </c>
      <c r="G165" s="309">
        <v>4.6813187404747533E-2</v>
      </c>
    </row>
    <row r="166" spans="1:7">
      <c r="A166" s="39" t="s">
        <v>1936</v>
      </c>
      <c r="B166" s="96"/>
      <c r="C166" s="308">
        <v>0.10718707258458007</v>
      </c>
      <c r="D166" s="306"/>
      <c r="E166" s="306"/>
      <c r="F166" s="308">
        <v>0.10718707258458007</v>
      </c>
      <c r="G166" s="309">
        <v>0.10926177635576606</v>
      </c>
    </row>
    <row r="167" spans="1:7">
      <c r="A167" s="39" t="s">
        <v>1933</v>
      </c>
      <c r="B167" s="96"/>
      <c r="C167" s="311">
        <v>1109.2734242832651</v>
      </c>
      <c r="D167" s="312">
        <v>1097.5971690041474</v>
      </c>
      <c r="E167" s="312">
        <v>1141.3195212649905</v>
      </c>
      <c r="F167" s="312">
        <v>1161.2197324074727</v>
      </c>
      <c r="G167" s="313">
        <v>1183.6962018166014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9.7936467031186909E-5</v>
      </c>
      <c r="E170" s="308">
        <v>1E-4</v>
      </c>
      <c r="F170" s="308">
        <v>1.0173427096663186E-4</v>
      </c>
      <c r="G170" s="309">
        <v>1.0370343077801468E-4</v>
      </c>
    </row>
    <row r="171" spans="1:7">
      <c r="A171" s="39" t="s">
        <v>1931</v>
      </c>
      <c r="B171" s="96"/>
      <c r="C171" s="308">
        <v>158.12589402326313</v>
      </c>
      <c r="D171" s="306"/>
      <c r="E171" s="308">
        <v>158.12589402326313</v>
      </c>
      <c r="F171" s="308">
        <v>160.86822549403564</v>
      </c>
      <c r="G171" s="309">
        <v>163.98197705053153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1.0173427096663186E-4</v>
      </c>
      <c r="G172" s="309">
        <v>1.0370343077801468E-4</v>
      </c>
    </row>
    <row r="173" spans="1:7">
      <c r="A173" s="39" t="s">
        <v>1935</v>
      </c>
      <c r="B173" s="96"/>
      <c r="C173" s="308">
        <v>1E-4</v>
      </c>
      <c r="D173" s="306"/>
      <c r="E173" s="308">
        <v>9.947041162292896E-5</v>
      </c>
      <c r="F173" s="308">
        <v>1E-4</v>
      </c>
      <c r="G173" s="309">
        <v>1.0193559141150055E-4</v>
      </c>
    </row>
    <row r="174" spans="1:7">
      <c r="A174" s="39" t="s">
        <v>1936</v>
      </c>
      <c r="B174" s="96"/>
      <c r="C174" s="308">
        <v>115.46410597673687</v>
      </c>
      <c r="D174" s="306"/>
      <c r="E174" s="306"/>
      <c r="F174" s="308">
        <v>115.46410597673687</v>
      </c>
      <c r="G174" s="309">
        <v>117.69901929538848</v>
      </c>
    </row>
    <row r="175" spans="1:7">
      <c r="A175" s="39" t="s">
        <v>1933</v>
      </c>
      <c r="B175" s="96"/>
      <c r="C175" s="311">
        <v>273.59030000000001</v>
      </c>
      <c r="D175" s="312">
        <v>9.7936467031186909E-5</v>
      </c>
      <c r="E175" s="312">
        <v>158.12619349367475</v>
      </c>
      <c r="F175" s="312">
        <v>276.33263493931446</v>
      </c>
      <c r="G175" s="313">
        <v>281.68130568837296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3353.9414896885487</v>
      </c>
      <c r="D181" s="306">
        <v>3353.9414896885487</v>
      </c>
      <c r="E181" s="306">
        <v>3454.5759732642946</v>
      </c>
      <c r="F181" s="306">
        <v>3514.4876813888568</v>
      </c>
      <c r="G181" s="307">
        <v>3582.5138031080642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26.555387430540812</v>
      </c>
      <c r="D183" s="306">
        <v>26.007408255915553</v>
      </c>
      <c r="E183" s="306">
        <v>26.555387430540812</v>
      </c>
      <c r="F183" s="306">
        <v>27.015929804825287</v>
      </c>
      <c r="G183" s="307">
        <v>27.538847821864501</v>
      </c>
    </row>
    <row r="184" spans="1:7">
      <c r="A184" s="39" t="s">
        <v>1931</v>
      </c>
      <c r="C184" s="306">
        <v>169.12044333863267</v>
      </c>
      <c r="D184" s="306">
        <v>0</v>
      </c>
      <c r="E184" s="306">
        <v>169.12044333863267</v>
      </c>
      <c r="F184" s="306">
        <v>172.05345008609368</v>
      </c>
      <c r="G184" s="307">
        <v>175.38370188915047</v>
      </c>
    </row>
    <row r="185" spans="1:7">
      <c r="A185" s="39" t="s">
        <v>1932</v>
      </c>
      <c r="C185" s="306">
        <v>9.9358983764545137E-3</v>
      </c>
      <c r="D185" s="306">
        <v>0</v>
      </c>
      <c r="E185" s="306">
        <v>9.9358983764545137E-3</v>
      </c>
      <c r="F185" s="306">
        <v>1.0108213777271412E-2</v>
      </c>
      <c r="G185" s="307">
        <v>1.0303867495000391E-2</v>
      </c>
    </row>
    <row r="186" spans="1:7">
      <c r="A186" s="39" t="s">
        <v>1935</v>
      </c>
      <c r="C186" s="306">
        <v>4.6024280966565315E-2</v>
      </c>
      <c r="D186" s="306">
        <v>0</v>
      </c>
      <c r="E186" s="306">
        <v>4.5780541723935857E-2</v>
      </c>
      <c r="F186" s="306">
        <v>4.6024280966565315E-2</v>
      </c>
      <c r="G186" s="307">
        <v>4.6915122996159034E-2</v>
      </c>
    </row>
    <row r="187" spans="1:7" ht="15" thickBot="1">
      <c r="A187" s="39" t="s">
        <v>1936</v>
      </c>
      <c r="C187" s="306">
        <v>115.57129304932145</v>
      </c>
      <c r="D187" s="306">
        <v>0</v>
      </c>
      <c r="E187" s="306">
        <v>0</v>
      </c>
      <c r="F187" s="306">
        <v>115.57129304932145</v>
      </c>
      <c r="G187" s="307">
        <v>117.80828107174425</v>
      </c>
    </row>
    <row r="188" spans="1:7" ht="15" thickBot="1">
      <c r="A188" s="39" t="s">
        <v>115</v>
      </c>
      <c r="C188" s="314">
        <v>3665.2445736863874</v>
      </c>
      <c r="D188" s="315">
        <v>3379.9488979444641</v>
      </c>
      <c r="E188" s="315">
        <v>3650.3075204735692</v>
      </c>
      <c r="F188" s="315">
        <v>3829.1844868238409</v>
      </c>
      <c r="G188" s="316">
        <v>3903.301852881315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100.63448357574597</v>
      </c>
      <c r="E190" s="306">
        <v>63.305429561708742</v>
      </c>
      <c r="F190" s="306">
        <v>74.117366057473291</v>
      </c>
      <c r="G190" s="307">
        <v>238.05727919492801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3665.2445736863874</v>
      </c>
      <c r="D202" s="315">
        <v>3379.9488979444641</v>
      </c>
      <c r="E202" s="315">
        <v>3650.3075204735692</v>
      </c>
      <c r="F202" s="315">
        <v>3829.1844868238409</v>
      </c>
      <c r="G202" s="316">
        <v>3903.301852881315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100.63448357574597</v>
      </c>
      <c r="E204" s="318">
        <v>63.305429561708742</v>
      </c>
      <c r="F204" s="318">
        <v>74.117366057473291</v>
      </c>
      <c r="G204" s="319">
        <v>238.05727919492801</v>
      </c>
    </row>
    <row r="205" spans="1:7" ht="15" thickBot="1"/>
    <row r="206" spans="1:7" ht="15" thickBot="1">
      <c r="A206" s="89" t="s">
        <v>9195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1.02965469157189</v>
      </c>
      <c r="F213" s="299">
        <v>1.0176345288920985</v>
      </c>
      <c r="G213" s="300">
        <v>1.0196221644491577</v>
      </c>
    </row>
    <row r="214" spans="1:7">
      <c r="A214" s="39" t="s">
        <v>1924</v>
      </c>
      <c r="C214" s="29"/>
      <c r="D214" s="301">
        <v>0.97968266588521813</v>
      </c>
      <c r="E214" s="301">
        <v>0.99475578498085726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2124.54598517762</v>
      </c>
      <c r="D217" s="304">
        <v>2124.54598517762</v>
      </c>
      <c r="E217" s="304">
        <v>2187.5487410983596</v>
      </c>
      <c r="F217" s="304">
        <v>2226.1251325761323</v>
      </c>
      <c r="G217" s="305">
        <v>2269.8065260119442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187.38704172204504</v>
      </c>
      <c r="D220" s="308">
        <v>187.38704172204504</v>
      </c>
      <c r="E220" s="308">
        <v>192.94394664888117</v>
      </c>
      <c r="F220" s="308">
        <v>196.34642225061637</v>
      </c>
      <c r="G220" s="309">
        <v>200.19916403702172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2.1943217653868141E-2</v>
      </c>
      <c r="D222" s="310">
        <v>2.1497389969241124E-2</v>
      </c>
      <c r="E222" s="308">
        <v>2.1943217653868141E-2</v>
      </c>
      <c r="F222" s="308">
        <v>2.2330175959570885E-2</v>
      </c>
      <c r="G222" s="309">
        <v>2.2768342344428212E-2</v>
      </c>
    </row>
    <row r="223" spans="1:7">
      <c r="A223" s="39" t="s">
        <v>1931</v>
      </c>
      <c r="B223" s="96"/>
      <c r="C223" s="308">
        <v>2.8841173834649746E-2</v>
      </c>
      <c r="D223" s="306"/>
      <c r="E223" s="308">
        <v>2.8841173834649746E-2</v>
      </c>
      <c r="F223" s="308">
        <v>2.9349774347918911E-2</v>
      </c>
      <c r="G223" s="309">
        <v>2.9925680446719446E-2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187.43782611353356</v>
      </c>
      <c r="D225" s="312">
        <v>187.4085391120143</v>
      </c>
      <c r="E225" s="312">
        <v>192.99473104036969</v>
      </c>
      <c r="F225" s="312">
        <v>196.39810220092386</v>
      </c>
      <c r="G225" s="313">
        <v>200.25185805981286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1160.7059973827941</v>
      </c>
      <c r="D228" s="308">
        <v>1160.7059973827941</v>
      </c>
      <c r="E228" s="308">
        <v>1195.1263757408237</v>
      </c>
      <c r="F228" s="308">
        <v>1216.2018663435342</v>
      </c>
      <c r="G228" s="309">
        <v>1240.0663793682995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28.56894361074092</v>
      </c>
      <c r="D230" s="308">
        <v>27.988498838095133</v>
      </c>
      <c r="E230" s="308">
        <v>28.56894361074092</v>
      </c>
      <c r="F230" s="308">
        <v>29.072743472261262</v>
      </c>
      <c r="G230" s="309">
        <v>29.643213625662149</v>
      </c>
    </row>
    <row r="231" spans="1:7">
      <c r="A231" s="39" t="s">
        <v>1931</v>
      </c>
      <c r="B231" s="96"/>
      <c r="C231" s="308">
        <v>11.807036174901985</v>
      </c>
      <c r="D231" s="306"/>
      <c r="E231" s="308">
        <v>11.807036174901985</v>
      </c>
      <c r="F231" s="308">
        <v>12.015247695458346</v>
      </c>
      <c r="G231" s="309">
        <v>12.251012861635992</v>
      </c>
    </row>
    <row r="232" spans="1:7">
      <c r="A232" s="39" t="s">
        <v>1932</v>
      </c>
      <c r="B232" s="96"/>
      <c r="C232" s="308">
        <v>1.0590471530718211E-2</v>
      </c>
      <c r="D232" s="306"/>
      <c r="E232" s="308">
        <v>1.0590471530718211E-2</v>
      </c>
      <c r="F232" s="308">
        <v>1.0777229506907609E-2</v>
      </c>
      <c r="G232" s="309">
        <v>1.0988702076598465E-2</v>
      </c>
    </row>
    <row r="233" spans="1:7">
      <c r="A233" s="39" t="s">
        <v>1935</v>
      </c>
      <c r="B233" s="96"/>
      <c r="C233" s="308">
        <v>4.9447419191456649E-2</v>
      </c>
      <c r="D233" s="306"/>
      <c r="E233" s="308">
        <v>4.9188106293074962E-2</v>
      </c>
      <c r="F233" s="308">
        <v>4.9447419191456649E-2</v>
      </c>
      <c r="G233" s="309">
        <v>5.0417684582417847E-2</v>
      </c>
    </row>
    <row r="234" spans="1:7">
      <c r="A234" s="39" t="s">
        <v>1936</v>
      </c>
      <c r="B234" s="96"/>
      <c r="C234" s="308">
        <v>0.11541006192026219</v>
      </c>
      <c r="D234" s="306"/>
      <c r="E234" s="306"/>
      <c r="F234" s="308">
        <v>0.11541006192026219</v>
      </c>
      <c r="G234" s="309">
        <v>0.11767465713434905</v>
      </c>
    </row>
    <row r="235" spans="1:7">
      <c r="A235" s="39" t="s">
        <v>1933</v>
      </c>
      <c r="B235" s="96"/>
      <c r="C235" s="311">
        <v>1201.2574251210795</v>
      </c>
      <c r="D235" s="312">
        <v>1188.6944962208893</v>
      </c>
      <c r="E235" s="312">
        <v>1235.5621341042904</v>
      </c>
      <c r="F235" s="312">
        <v>1257.4654922218724</v>
      </c>
      <c r="G235" s="313">
        <v>1282.1396868993911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9.7968266588521814E-5</v>
      </c>
      <c r="E238" s="308">
        <v>1E-4</v>
      </c>
      <c r="F238" s="308">
        <v>1.0176345288920985E-4</v>
      </c>
      <c r="G238" s="309">
        <v>1.0376027209671603E-4</v>
      </c>
    </row>
    <row r="239" spans="1:7">
      <c r="A239" s="39" t="s">
        <v>1931</v>
      </c>
      <c r="B239" s="96"/>
      <c r="C239" s="308">
        <v>158.12589402326313</v>
      </c>
      <c r="D239" s="306"/>
      <c r="E239" s="308">
        <v>158.12589402326313</v>
      </c>
      <c r="F239" s="308">
        <v>160.91436967000527</v>
      </c>
      <c r="G239" s="309">
        <v>164.07185789390266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1.0176345288920985E-4</v>
      </c>
      <c r="G240" s="309">
        <v>1.0376027209671603E-4</v>
      </c>
    </row>
    <row r="241" spans="1:7">
      <c r="A241" s="39" t="s">
        <v>1935</v>
      </c>
      <c r="B241" s="96"/>
      <c r="C241" s="308">
        <v>1E-4</v>
      </c>
      <c r="D241" s="306"/>
      <c r="E241" s="308">
        <v>9.9475578498085731E-5</v>
      </c>
      <c r="F241" s="308">
        <v>1E-4</v>
      </c>
      <c r="G241" s="309">
        <v>1.0196221644491577E-4</v>
      </c>
    </row>
    <row r="242" spans="1:7">
      <c r="A242" s="39" t="s">
        <v>1936</v>
      </c>
      <c r="B242" s="96"/>
      <c r="C242" s="308">
        <v>115.46410597673687</v>
      </c>
      <c r="D242" s="306"/>
      <c r="E242" s="306"/>
      <c r="F242" s="308">
        <v>115.46410597673687</v>
      </c>
      <c r="G242" s="309">
        <v>117.72976165218738</v>
      </c>
    </row>
    <row r="243" spans="1:7">
      <c r="A243" s="39" t="s">
        <v>1933</v>
      </c>
      <c r="B243" s="96"/>
      <c r="C243" s="311">
        <v>273.59030000000001</v>
      </c>
      <c r="D243" s="312">
        <v>9.7968266588521814E-5</v>
      </c>
      <c r="E243" s="312">
        <v>158.12619349884164</v>
      </c>
      <c r="F243" s="312">
        <v>276.3787791736479</v>
      </c>
      <c r="G243" s="313">
        <v>281.80192902885062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3472.6390242824591</v>
      </c>
      <c r="D249" s="306">
        <v>3472.6390242824591</v>
      </c>
      <c r="E249" s="306">
        <v>3575.6190634880645</v>
      </c>
      <c r="F249" s="306">
        <v>3638.6734211702828</v>
      </c>
      <c r="G249" s="307">
        <v>3710.0720694172651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28.590986828394787</v>
      </c>
      <c r="D251" s="306">
        <v>28.010094196330961</v>
      </c>
      <c r="E251" s="306">
        <v>28.590986828394787</v>
      </c>
      <c r="F251" s="306">
        <v>29.095175411673722</v>
      </c>
      <c r="G251" s="307">
        <v>29.666085728278674</v>
      </c>
    </row>
    <row r="252" spans="1:7">
      <c r="A252" s="39" t="s">
        <v>1931</v>
      </c>
      <c r="C252" s="306">
        <v>169.96177137199976</v>
      </c>
      <c r="D252" s="306">
        <v>0</v>
      </c>
      <c r="E252" s="306">
        <v>169.96177137199976</v>
      </c>
      <c r="F252" s="306">
        <v>172.95896713981153</v>
      </c>
      <c r="G252" s="307">
        <v>176.35279643598537</v>
      </c>
    </row>
    <row r="253" spans="1:7">
      <c r="A253" s="39" t="s">
        <v>1932</v>
      </c>
      <c r="C253" s="306">
        <v>1.0690471530718211E-2</v>
      </c>
      <c r="D253" s="306">
        <v>0</v>
      </c>
      <c r="E253" s="306">
        <v>1.0690471530718211E-2</v>
      </c>
      <c r="F253" s="306">
        <v>1.0878992959796819E-2</v>
      </c>
      <c r="G253" s="307">
        <v>1.1092462348695181E-2</v>
      </c>
    </row>
    <row r="254" spans="1:7">
      <c r="A254" s="39" t="s">
        <v>1935</v>
      </c>
      <c r="C254" s="306">
        <v>4.9547419191456651E-2</v>
      </c>
      <c r="D254" s="306">
        <v>0</v>
      </c>
      <c r="E254" s="306">
        <v>4.9287581871573047E-2</v>
      </c>
      <c r="F254" s="306">
        <v>4.9547419191456651E-2</v>
      </c>
      <c r="G254" s="307">
        <v>5.0519646798862762E-2</v>
      </c>
    </row>
    <row r="255" spans="1:7" ht="15" thickBot="1">
      <c r="A255" s="39" t="s">
        <v>1936</v>
      </c>
      <c r="C255" s="306">
        <v>115.57951603865713</v>
      </c>
      <c r="D255" s="306">
        <v>0</v>
      </c>
      <c r="E255" s="306">
        <v>0</v>
      </c>
      <c r="F255" s="306">
        <v>115.57951603865713</v>
      </c>
      <c r="G255" s="307">
        <v>117.84743630932172</v>
      </c>
    </row>
    <row r="256" spans="1:7" ht="15" thickBot="1">
      <c r="A256" s="39" t="s">
        <v>115</v>
      </c>
      <c r="C256" s="314">
        <v>3786.8315364122332</v>
      </c>
      <c r="D256" s="315">
        <v>3500.6491184787901</v>
      </c>
      <c r="E256" s="315">
        <v>3774.2317997418618</v>
      </c>
      <c r="F256" s="315">
        <v>3956.3675061725767</v>
      </c>
      <c r="G256" s="316">
        <v>4033.9999999999986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102.98003920560528</v>
      </c>
      <c r="E258" s="306">
        <v>66.555930554738737</v>
      </c>
      <c r="F258" s="306">
        <v>77.632493827422351</v>
      </c>
      <c r="G258" s="307">
        <v>247.16846358776638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3786.8315364122332</v>
      </c>
      <c r="D270" s="315">
        <v>3500.6491184787901</v>
      </c>
      <c r="E270" s="315">
        <v>3774.2317997418618</v>
      </c>
      <c r="F270" s="315">
        <v>3956.3675061725767</v>
      </c>
      <c r="G270" s="316">
        <v>4033.9999999999986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102.98003920560529</v>
      </c>
      <c r="E272" s="318">
        <v>66.555930554738737</v>
      </c>
      <c r="F272" s="318">
        <v>77.632493827422351</v>
      </c>
      <c r="G272" s="319">
        <v>247.16846358776638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8" tint="0.59999389629810485"/>
  </sheetPr>
  <dimension ref="A1:I272"/>
  <sheetViews>
    <sheetView tabSelected="1" showOutlineSymbols="0" topLeftCell="A178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9196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1.0289226255930752</v>
      </c>
      <c r="F9" s="299">
        <v>1.0183119259181477</v>
      </c>
      <c r="G9" s="300">
        <v>1.0202201470707275</v>
      </c>
      <c r="I9" s="29" t="s">
        <v>116</v>
      </c>
    </row>
    <row r="10" spans="1:9">
      <c r="A10" s="39" t="s">
        <v>1924</v>
      </c>
      <c r="C10" s="29"/>
      <c r="D10" s="301">
        <v>0.98032288233003606</v>
      </c>
      <c r="E10" s="301">
        <v>0.99486020313271351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2349.6795649874684</v>
      </c>
      <c r="D13" s="304">
        <v>2349.6795649874684</v>
      </c>
      <c r="E13" s="304">
        <v>2417.6384673093007</v>
      </c>
      <c r="F13" s="304">
        <v>2461.9100838195327</v>
      </c>
      <c r="G13" s="305">
        <v>2511.6902677892708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194.47444966557569</v>
      </c>
      <c r="D16" s="308">
        <v>194.47444966557569</v>
      </c>
      <c r="E16" s="308">
        <v>200.0991613606725</v>
      </c>
      <c r="F16" s="308">
        <v>203.7633623797926</v>
      </c>
      <c r="G16" s="309">
        <v>207.88348753473795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2.2773160501983188E-2</v>
      </c>
      <c r="D18" s="310">
        <v>2.2325050343068691E-2</v>
      </c>
      <c r="E18" s="308">
        <v>2.2773160501983188E-2</v>
      </c>
      <c r="F18" s="308">
        <v>2.3190180930017592E-2</v>
      </c>
      <c r="G18" s="309">
        <v>2.3659089799019328E-2</v>
      </c>
    </row>
    <row r="19" spans="1:7">
      <c r="A19" s="39" t="s">
        <v>1931</v>
      </c>
      <c r="B19" s="96"/>
      <c r="C19" s="308">
        <v>2.9932013215313268E-2</v>
      </c>
      <c r="D19" s="306"/>
      <c r="E19" s="308">
        <v>2.9932013215313268E-2</v>
      </c>
      <c r="F19" s="308">
        <v>3.0480126023893103E-2</v>
      </c>
      <c r="G19" s="309">
        <v>3.1096438654830531E-2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194.52715483929296</v>
      </c>
      <c r="D21" s="312">
        <v>194.49677471591875</v>
      </c>
      <c r="E21" s="312">
        <v>200.15186653438977</v>
      </c>
      <c r="F21" s="312">
        <v>203.8170326867465</v>
      </c>
      <c r="G21" s="313">
        <v>207.93824306319181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1200.2735945869806</v>
      </c>
      <c r="D24" s="308">
        <v>1200.2735945869806</v>
      </c>
      <c r="E24" s="308">
        <v>1234.9886583724744</v>
      </c>
      <c r="F24" s="308">
        <v>1257.6036791943438</v>
      </c>
      <c r="G24" s="309">
        <v>1283.0326105443414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29.255616205815507</v>
      </c>
      <c r="D26" s="308">
        <v>28.67995000322637</v>
      </c>
      <c r="E26" s="308">
        <v>29.255616205815507</v>
      </c>
      <c r="F26" s="308">
        <v>29.791342882466161</v>
      </c>
      <c r="G26" s="309">
        <v>30.393728216984098</v>
      </c>
    </row>
    <row r="27" spans="1:7">
      <c r="A27" s="39" t="s">
        <v>1931</v>
      </c>
      <c r="B27" s="96"/>
      <c r="C27" s="308">
        <v>12.090825743071782</v>
      </c>
      <c r="D27" s="306"/>
      <c r="E27" s="308">
        <v>12.090825743071782</v>
      </c>
      <c r="F27" s="308">
        <v>12.312232048368147</v>
      </c>
      <c r="G27" s="309">
        <v>12.561187191155074</v>
      </c>
    </row>
    <row r="28" spans="1:7">
      <c r="A28" s="39" t="s">
        <v>1932</v>
      </c>
      <c r="B28" s="96"/>
      <c r="C28" s="308">
        <v>1.0845020199655614E-2</v>
      </c>
      <c r="D28" s="306"/>
      <c r="E28" s="308">
        <v>1.0845020199655614E-2</v>
      </c>
      <c r="F28" s="308">
        <v>1.1043613406132522E-2</v>
      </c>
      <c r="G28" s="309">
        <v>1.126691689339678E-2</v>
      </c>
    </row>
    <row r="29" spans="1:7">
      <c r="A29" s="39" t="s">
        <v>1935</v>
      </c>
      <c r="B29" s="96"/>
      <c r="C29" s="308">
        <v>5.0635919127561137E-2</v>
      </c>
      <c r="D29" s="306"/>
      <c r="E29" s="308">
        <v>5.0375660789057128E-2</v>
      </c>
      <c r="F29" s="308">
        <v>5.0635919127561137E-2</v>
      </c>
      <c r="G29" s="309">
        <v>5.1659784859381885E-2</v>
      </c>
    </row>
    <row r="30" spans="1:7">
      <c r="A30" s="39" t="s">
        <v>1936</v>
      </c>
      <c r="B30" s="96"/>
      <c r="C30" s="308">
        <v>0.1181840156161458</v>
      </c>
      <c r="D30" s="306"/>
      <c r="E30" s="306"/>
      <c r="F30" s="308">
        <v>0.1181840156161458</v>
      </c>
      <c r="G30" s="309">
        <v>0.12057371379331343</v>
      </c>
    </row>
    <row r="31" spans="1:7">
      <c r="A31" s="39" t="s">
        <v>1933</v>
      </c>
      <c r="B31" s="96"/>
      <c r="C31" s="311">
        <v>1241.7997014908115</v>
      </c>
      <c r="D31" s="312">
        <v>1228.953544590207</v>
      </c>
      <c r="E31" s="312">
        <v>1276.3963210023505</v>
      </c>
      <c r="F31" s="312">
        <v>1299.887117673328</v>
      </c>
      <c r="G31" s="313">
        <v>1326.1710263680268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9.8032288233003612E-5</v>
      </c>
      <c r="E34" s="308">
        <v>1E-4</v>
      </c>
      <c r="F34" s="308">
        <v>1.0183119259181478E-4</v>
      </c>
      <c r="G34" s="309">
        <v>1.0389023428240884E-4</v>
      </c>
    </row>
    <row r="35" spans="1:7">
      <c r="A35" s="39" t="s">
        <v>1931</v>
      </c>
      <c r="B35" s="96"/>
      <c r="C35" s="308">
        <v>159.87713295337932</v>
      </c>
      <c r="D35" s="306"/>
      <c r="E35" s="308">
        <v>159.87713295337932</v>
      </c>
      <c r="F35" s="308">
        <v>162.80479116802744</v>
      </c>
      <c r="G35" s="309">
        <v>166.09672798926402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1.0183119259181478E-4</v>
      </c>
      <c r="G36" s="309">
        <v>1.0389023428240884E-4</v>
      </c>
    </row>
    <row r="37" spans="1:7">
      <c r="A37" s="39" t="s">
        <v>1935</v>
      </c>
      <c r="B37" s="96"/>
      <c r="C37" s="308">
        <v>1E-4</v>
      </c>
      <c r="D37" s="306"/>
      <c r="E37" s="308">
        <v>9.9486020313271358E-5</v>
      </c>
      <c r="F37" s="308">
        <v>1E-4</v>
      </c>
      <c r="G37" s="309">
        <v>1.0202201470707275E-4</v>
      </c>
    </row>
    <row r="38" spans="1:7">
      <c r="A38" s="39" t="s">
        <v>1936</v>
      </c>
      <c r="B38" s="96"/>
      <c r="C38" s="308">
        <v>116.7428670466207</v>
      </c>
      <c r="D38" s="306"/>
      <c r="E38" s="306"/>
      <c r="F38" s="308">
        <v>116.7428670466207</v>
      </c>
      <c r="G38" s="309">
        <v>119.10342498776176</v>
      </c>
    </row>
    <row r="39" spans="1:7">
      <c r="A39" s="39" t="s">
        <v>1933</v>
      </c>
      <c r="B39" s="96"/>
      <c r="C39" s="311">
        <v>276.62030000000004</v>
      </c>
      <c r="D39" s="312">
        <v>9.8032288233003612E-5</v>
      </c>
      <c r="E39" s="312">
        <v>159.87743243939963</v>
      </c>
      <c r="F39" s="312">
        <v>279.54796187703329</v>
      </c>
      <c r="G39" s="313">
        <v>285.20046277950905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3744.427609240025</v>
      </c>
      <c r="D45" s="306">
        <v>3744.427609240025</v>
      </c>
      <c r="E45" s="306">
        <v>3852.7262870424474</v>
      </c>
      <c r="F45" s="306">
        <v>3923.2771253936689</v>
      </c>
      <c r="G45" s="307">
        <v>4002.6063658683502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29.278489366317491</v>
      </c>
      <c r="D47" s="306">
        <v>28.702373085857669</v>
      </c>
      <c r="E47" s="306">
        <v>29.278489366317491</v>
      </c>
      <c r="F47" s="306">
        <v>29.814634894588771</v>
      </c>
      <c r="G47" s="307">
        <v>30.417491197017398</v>
      </c>
    </row>
    <row r="48" spans="1:7">
      <c r="A48" s="39" t="s">
        <v>1931</v>
      </c>
      <c r="C48" s="306">
        <v>171.99789070966642</v>
      </c>
      <c r="D48" s="306">
        <v>0</v>
      </c>
      <c r="E48" s="306">
        <v>171.99789070966642</v>
      </c>
      <c r="F48" s="306">
        <v>175.14750334241947</v>
      </c>
      <c r="G48" s="307">
        <v>178.68901161907394</v>
      </c>
    </row>
    <row r="49" spans="1:7">
      <c r="A49" s="39" t="s">
        <v>1932</v>
      </c>
      <c r="C49" s="306">
        <v>1.0945020199655613E-2</v>
      </c>
      <c r="D49" s="306">
        <v>0</v>
      </c>
      <c r="E49" s="306">
        <v>1.0945020199655613E-2</v>
      </c>
      <c r="F49" s="306">
        <v>1.1145444598724337E-2</v>
      </c>
      <c r="G49" s="307">
        <v>1.1370807127679189E-2</v>
      </c>
    </row>
    <row r="50" spans="1:7">
      <c r="A50" s="39" t="s">
        <v>1935</v>
      </c>
      <c r="C50" s="306">
        <v>5.073591912756114E-2</v>
      </c>
      <c r="D50" s="306">
        <v>0</v>
      </c>
      <c r="E50" s="306">
        <v>5.0475146809370403E-2</v>
      </c>
      <c r="F50" s="306">
        <v>5.073591912756114E-2</v>
      </c>
      <c r="G50" s="307">
        <v>5.1761806874088961E-2</v>
      </c>
    </row>
    <row r="51" spans="1:7" ht="15" thickBot="1">
      <c r="A51" s="39" t="s">
        <v>1936</v>
      </c>
      <c r="C51" s="306">
        <v>116.86105106223685</v>
      </c>
      <c r="D51" s="306">
        <v>0</v>
      </c>
      <c r="E51" s="306">
        <v>0</v>
      </c>
      <c r="F51" s="306">
        <v>116.86105106223685</v>
      </c>
      <c r="G51" s="307">
        <v>119.22399870155508</v>
      </c>
    </row>
    <row r="52" spans="1:7" ht="15" thickBot="1">
      <c r="A52" s="39" t="s">
        <v>115</v>
      </c>
      <c r="C52" s="314">
        <v>4062.6267213175734</v>
      </c>
      <c r="D52" s="315">
        <v>3773.1299823258828</v>
      </c>
      <c r="E52" s="315">
        <v>4054.0640872854406</v>
      </c>
      <c r="F52" s="315">
        <v>4245.1621960566408</v>
      </c>
      <c r="G52" s="316">
        <v>4330.9999999999991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108.29867780242341</v>
      </c>
      <c r="E54" s="306">
        <v>74.236796936644708</v>
      </c>
      <c r="F54" s="306">
        <v>85.837803943358409</v>
      </c>
      <c r="G54" s="307">
        <v>268.37327868242653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4062.6267213175734</v>
      </c>
      <c r="D66" s="315">
        <v>3773.1299823258828</v>
      </c>
      <c r="E66" s="315">
        <v>4054.0640872854406</v>
      </c>
      <c r="F66" s="315">
        <v>4245.1621960566408</v>
      </c>
      <c r="G66" s="316">
        <v>4330.9999999999991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108.29867780242341</v>
      </c>
      <c r="E68" s="318">
        <v>74.236796936644708</v>
      </c>
      <c r="F68" s="318">
        <v>85.837803943358409</v>
      </c>
      <c r="G68" s="319">
        <v>268.37327868242653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9197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1.0289226255930752</v>
      </c>
      <c r="F77" s="299">
        <v>1.0183119259181477</v>
      </c>
      <c r="G77" s="300">
        <v>1.0202201470707275</v>
      </c>
    </row>
    <row r="78" spans="1:7">
      <c r="A78" s="39" t="s">
        <v>1924</v>
      </c>
      <c r="C78" s="29"/>
      <c r="D78" s="301">
        <v>0.98032288233003606</v>
      </c>
      <c r="E78" s="301">
        <v>0.99486020313271351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2349.6795649874684</v>
      </c>
      <c r="D81" s="304">
        <v>2349.6795649874684</v>
      </c>
      <c r="E81" s="304">
        <v>2417.6384673093007</v>
      </c>
      <c r="F81" s="304">
        <v>2461.9100838195327</v>
      </c>
      <c r="G81" s="305">
        <v>2511.6902677892708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194.47444966557569</v>
      </c>
      <c r="D84" s="308">
        <v>194.47444966557569</v>
      </c>
      <c r="E84" s="308">
        <v>200.0991613606725</v>
      </c>
      <c r="F84" s="308">
        <v>203.7633623797926</v>
      </c>
      <c r="G84" s="309">
        <v>207.88348753473795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2.2773160501983188E-2</v>
      </c>
      <c r="D86" s="310">
        <v>2.2325050343068691E-2</v>
      </c>
      <c r="E86" s="308">
        <v>2.2773160501983188E-2</v>
      </c>
      <c r="F86" s="308">
        <v>2.3190180930017592E-2</v>
      </c>
      <c r="G86" s="309">
        <v>2.3659089799019328E-2</v>
      </c>
    </row>
    <row r="87" spans="1:7">
      <c r="A87" s="39" t="s">
        <v>1931</v>
      </c>
      <c r="B87" s="96"/>
      <c r="C87" s="308">
        <v>2.9932013215313268E-2</v>
      </c>
      <c r="D87" s="306"/>
      <c r="E87" s="308">
        <v>2.9932013215313268E-2</v>
      </c>
      <c r="F87" s="308">
        <v>3.0480126023893103E-2</v>
      </c>
      <c r="G87" s="309">
        <v>3.1096438654830531E-2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194.52715483929296</v>
      </c>
      <c r="D89" s="312">
        <v>194.49677471591875</v>
      </c>
      <c r="E89" s="312">
        <v>200.15186653438977</v>
      </c>
      <c r="F89" s="312">
        <v>203.8170326867465</v>
      </c>
      <c r="G89" s="313">
        <v>207.93824306319181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1200.2735945869806</v>
      </c>
      <c r="D92" s="308">
        <v>1200.2735945869806</v>
      </c>
      <c r="E92" s="308">
        <v>1234.9886583724744</v>
      </c>
      <c r="F92" s="308">
        <v>1257.6036791943438</v>
      </c>
      <c r="G92" s="309">
        <v>1283.0326105443414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29.255616205815507</v>
      </c>
      <c r="D94" s="308">
        <v>28.67995000322637</v>
      </c>
      <c r="E94" s="308">
        <v>29.255616205815507</v>
      </c>
      <c r="F94" s="308">
        <v>29.791342882466161</v>
      </c>
      <c r="G94" s="309">
        <v>30.393728216984098</v>
      </c>
    </row>
    <row r="95" spans="1:7">
      <c r="A95" s="39" t="s">
        <v>1931</v>
      </c>
      <c r="B95" s="96"/>
      <c r="C95" s="308">
        <v>12.090825743071782</v>
      </c>
      <c r="D95" s="306"/>
      <c r="E95" s="308">
        <v>12.090825743071782</v>
      </c>
      <c r="F95" s="308">
        <v>12.312232048368147</v>
      </c>
      <c r="G95" s="309">
        <v>12.561187191155074</v>
      </c>
    </row>
    <row r="96" spans="1:7">
      <c r="A96" s="39" t="s">
        <v>1932</v>
      </c>
      <c r="B96" s="96"/>
      <c r="C96" s="308">
        <v>1.0845020199655614E-2</v>
      </c>
      <c r="D96" s="306"/>
      <c r="E96" s="308">
        <v>1.0845020199655614E-2</v>
      </c>
      <c r="F96" s="308">
        <v>1.1043613406132522E-2</v>
      </c>
      <c r="G96" s="309">
        <v>1.126691689339678E-2</v>
      </c>
    </row>
    <row r="97" spans="1:7">
      <c r="A97" s="39" t="s">
        <v>1935</v>
      </c>
      <c r="B97" s="96"/>
      <c r="C97" s="308">
        <v>5.0635919127561137E-2</v>
      </c>
      <c r="D97" s="306"/>
      <c r="E97" s="308">
        <v>5.0375660789057128E-2</v>
      </c>
      <c r="F97" s="308">
        <v>5.0635919127561137E-2</v>
      </c>
      <c r="G97" s="309">
        <v>5.1659784859381885E-2</v>
      </c>
    </row>
    <row r="98" spans="1:7">
      <c r="A98" s="39" t="s">
        <v>1936</v>
      </c>
      <c r="B98" s="96"/>
      <c r="C98" s="308">
        <v>0.1181840156161458</v>
      </c>
      <c r="D98" s="306"/>
      <c r="E98" s="306"/>
      <c r="F98" s="308">
        <v>0.1181840156161458</v>
      </c>
      <c r="G98" s="309">
        <v>0.12057371379331343</v>
      </c>
    </row>
    <row r="99" spans="1:7">
      <c r="A99" s="39" t="s">
        <v>1933</v>
      </c>
      <c r="B99" s="96"/>
      <c r="C99" s="311">
        <v>1241.7997014908115</v>
      </c>
      <c r="D99" s="312">
        <v>1228.953544590207</v>
      </c>
      <c r="E99" s="312">
        <v>1276.3963210023505</v>
      </c>
      <c r="F99" s="312">
        <v>1299.887117673328</v>
      </c>
      <c r="G99" s="313">
        <v>1326.1710263680268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9.8032288233003612E-5</v>
      </c>
      <c r="E102" s="308">
        <v>1E-4</v>
      </c>
      <c r="F102" s="308">
        <v>1.0183119259181478E-4</v>
      </c>
      <c r="G102" s="309">
        <v>1.0389023428240884E-4</v>
      </c>
    </row>
    <row r="103" spans="1:7">
      <c r="A103" s="39" t="s">
        <v>1931</v>
      </c>
      <c r="B103" s="96"/>
      <c r="C103" s="308">
        <v>159.87713295337932</v>
      </c>
      <c r="D103" s="306"/>
      <c r="E103" s="308">
        <v>159.87713295337932</v>
      </c>
      <c r="F103" s="308">
        <v>162.80479116802744</v>
      </c>
      <c r="G103" s="309">
        <v>166.09672798926402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1.0183119259181478E-4</v>
      </c>
      <c r="G104" s="309">
        <v>1.0389023428240884E-4</v>
      </c>
    </row>
    <row r="105" spans="1:7">
      <c r="A105" s="39" t="s">
        <v>1935</v>
      </c>
      <c r="B105" s="96"/>
      <c r="C105" s="308">
        <v>1E-4</v>
      </c>
      <c r="D105" s="306"/>
      <c r="E105" s="308">
        <v>9.9486020313271358E-5</v>
      </c>
      <c r="F105" s="308">
        <v>1E-4</v>
      </c>
      <c r="G105" s="309">
        <v>1.0202201470707275E-4</v>
      </c>
    </row>
    <row r="106" spans="1:7">
      <c r="A106" s="39" t="s">
        <v>1936</v>
      </c>
      <c r="B106" s="96"/>
      <c r="C106" s="308">
        <v>116.7428670466207</v>
      </c>
      <c r="D106" s="306"/>
      <c r="E106" s="306"/>
      <c r="F106" s="308">
        <v>116.7428670466207</v>
      </c>
      <c r="G106" s="309">
        <v>119.10342498776176</v>
      </c>
    </row>
    <row r="107" spans="1:7">
      <c r="A107" s="39" t="s">
        <v>1933</v>
      </c>
      <c r="B107" s="96"/>
      <c r="C107" s="311">
        <v>276.62030000000004</v>
      </c>
      <c r="D107" s="312">
        <v>9.8032288233003612E-5</v>
      </c>
      <c r="E107" s="312">
        <v>159.87743243939963</v>
      </c>
      <c r="F107" s="312">
        <v>279.54796187703329</v>
      </c>
      <c r="G107" s="313">
        <v>285.20046277950905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3744.427609240025</v>
      </c>
      <c r="D113" s="306">
        <v>3744.427609240025</v>
      </c>
      <c r="E113" s="306">
        <v>3852.7262870424474</v>
      </c>
      <c r="F113" s="306">
        <v>3923.2771253936689</v>
      </c>
      <c r="G113" s="307">
        <v>4002.6063658683502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29.278489366317491</v>
      </c>
      <c r="D115" s="306">
        <v>28.702373085857669</v>
      </c>
      <c r="E115" s="306">
        <v>29.278489366317491</v>
      </c>
      <c r="F115" s="306">
        <v>29.814634894588771</v>
      </c>
      <c r="G115" s="307">
        <v>30.417491197017398</v>
      </c>
    </row>
    <row r="116" spans="1:7">
      <c r="A116" s="39" t="s">
        <v>1931</v>
      </c>
      <c r="C116" s="306">
        <v>171.99789070966642</v>
      </c>
      <c r="D116" s="306">
        <v>0</v>
      </c>
      <c r="E116" s="306">
        <v>171.99789070966642</v>
      </c>
      <c r="F116" s="306">
        <v>175.14750334241947</v>
      </c>
      <c r="G116" s="307">
        <v>178.68901161907394</v>
      </c>
    </row>
    <row r="117" spans="1:7">
      <c r="A117" s="39" t="s">
        <v>1932</v>
      </c>
      <c r="C117" s="306">
        <v>1.0945020199655613E-2</v>
      </c>
      <c r="D117" s="306">
        <v>0</v>
      </c>
      <c r="E117" s="306">
        <v>1.0945020199655613E-2</v>
      </c>
      <c r="F117" s="306">
        <v>1.1145444598724337E-2</v>
      </c>
      <c r="G117" s="307">
        <v>1.1370807127679189E-2</v>
      </c>
    </row>
    <row r="118" spans="1:7">
      <c r="A118" s="39" t="s">
        <v>1935</v>
      </c>
      <c r="C118" s="306">
        <v>5.073591912756114E-2</v>
      </c>
      <c r="D118" s="306">
        <v>0</v>
      </c>
      <c r="E118" s="306">
        <v>5.0475146809370403E-2</v>
      </c>
      <c r="F118" s="306">
        <v>5.073591912756114E-2</v>
      </c>
      <c r="G118" s="307">
        <v>5.1761806874088961E-2</v>
      </c>
    </row>
    <row r="119" spans="1:7" ht="15" thickBot="1">
      <c r="A119" s="39" t="s">
        <v>1936</v>
      </c>
      <c r="C119" s="306">
        <v>116.86105106223685</v>
      </c>
      <c r="D119" s="306">
        <v>0</v>
      </c>
      <c r="E119" s="306">
        <v>0</v>
      </c>
      <c r="F119" s="306">
        <v>116.86105106223685</v>
      </c>
      <c r="G119" s="307">
        <v>119.22399870155508</v>
      </c>
    </row>
    <row r="120" spans="1:7" ht="15" thickBot="1">
      <c r="A120" s="39" t="s">
        <v>115</v>
      </c>
      <c r="C120" s="314">
        <v>4062.6267213175734</v>
      </c>
      <c r="D120" s="315">
        <v>3773.1299823258828</v>
      </c>
      <c r="E120" s="315">
        <v>4054.0640872854406</v>
      </c>
      <c r="F120" s="315">
        <v>4245.1621960566408</v>
      </c>
      <c r="G120" s="316">
        <v>4330.9999999999991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108.29867780242341</v>
      </c>
      <c r="E122" s="306">
        <v>74.236796936644708</v>
      </c>
      <c r="F122" s="306">
        <v>85.837803943358409</v>
      </c>
      <c r="G122" s="307">
        <v>268.37327868242653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4062.6267213175734</v>
      </c>
      <c r="D134" s="315">
        <v>3773.1299823258828</v>
      </c>
      <c r="E134" s="315">
        <v>4054.0640872854406</v>
      </c>
      <c r="F134" s="315">
        <v>4245.1621960566408</v>
      </c>
      <c r="G134" s="316">
        <v>4330.9999999999991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108.29867780242341</v>
      </c>
      <c r="E136" s="318">
        <v>74.236796936644708</v>
      </c>
      <c r="F136" s="318">
        <v>85.837803943358409</v>
      </c>
      <c r="G136" s="319">
        <v>268.37327868242653</v>
      </c>
    </row>
    <row r="137" spans="1:7" ht="15" thickBot="1"/>
    <row r="138" spans="1:7" ht="15" thickBot="1">
      <c r="A138" s="105" t="s">
        <v>9198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1.0292304675923456</v>
      </c>
      <c r="F145" s="299">
        <v>1.0180075597859044</v>
      </c>
      <c r="G145" s="300">
        <v>1.0199514683554554</v>
      </c>
    </row>
    <row r="146" spans="1:7">
      <c r="A146" s="39" t="s">
        <v>1924</v>
      </c>
      <c r="C146" s="29"/>
      <c r="D146" s="301">
        <v>0.9800423952517664</v>
      </c>
      <c r="E146" s="301">
        <v>0.99481413614279135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2317.7875908964761</v>
      </c>
      <c r="D149" s="304">
        <v>2317.7875908964761</v>
      </c>
      <c r="E149" s="304">
        <v>2385.5376059581163</v>
      </c>
      <c r="F149" s="304">
        <v>2428.4953170189301</v>
      </c>
      <c r="G149" s="305">
        <v>2476.9473644878049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193.99098069212585</v>
      </c>
      <c r="D152" s="308">
        <v>193.99098069212585</v>
      </c>
      <c r="E152" s="308">
        <v>199.66142776645438</v>
      </c>
      <c r="F152" s="308">
        <v>203.25684286389784</v>
      </c>
      <c r="G152" s="309">
        <v>207.31211533232667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2.2716545781905382E-2</v>
      </c>
      <c r="D154" s="310">
        <v>2.2263177939944961E-2</v>
      </c>
      <c r="E154" s="308">
        <v>2.2716545781905382E-2</v>
      </c>
      <c r="F154" s="308">
        <v>2.3125615338202277E-2</v>
      </c>
      <c r="G154" s="309">
        <v>2.3587005320822852E-2</v>
      </c>
    </row>
    <row r="155" spans="1:7">
      <c r="A155" s="39" t="s">
        <v>1931</v>
      </c>
      <c r="B155" s="96"/>
      <c r="C155" s="308">
        <v>2.9857601385238009E-2</v>
      </c>
      <c r="D155" s="306"/>
      <c r="E155" s="308">
        <v>2.9857601385238009E-2</v>
      </c>
      <c r="F155" s="308">
        <v>3.0395263927246386E-2</v>
      </c>
      <c r="G155" s="309">
        <v>3.1001694073646557E-2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194.04355483929299</v>
      </c>
      <c r="D157" s="312">
        <v>194.01324387006579</v>
      </c>
      <c r="E157" s="312">
        <v>199.71400191362153</v>
      </c>
      <c r="F157" s="312">
        <v>203.31036374316329</v>
      </c>
      <c r="G157" s="313">
        <v>207.36670403172113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1111.1788908545518</v>
      </c>
      <c r="D160" s="308">
        <v>1111.1788908545518</v>
      </c>
      <c r="E160" s="308">
        <v>1143.6591694129743</v>
      </c>
      <c r="F160" s="308">
        <v>1164.2536802808761</v>
      </c>
      <c r="G160" s="309">
        <v>1187.4822507407225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27.220073422681605</v>
      </c>
      <c r="D162" s="308">
        <v>26.676825956093825</v>
      </c>
      <c r="E162" s="308">
        <v>27.220073422681605</v>
      </c>
      <c r="F162" s="308">
        <v>27.710240522217251</v>
      </c>
      <c r="G162" s="309">
        <v>28.263100509118324</v>
      </c>
    </row>
    <row r="163" spans="1:7">
      <c r="A163" s="39" t="s">
        <v>1931</v>
      </c>
      <c r="B163" s="96"/>
      <c r="C163" s="308">
        <v>11.249572121534765</v>
      </c>
      <c r="D163" s="306"/>
      <c r="E163" s="308">
        <v>11.249572121534765</v>
      </c>
      <c r="F163" s="308">
        <v>11.452149464079145</v>
      </c>
      <c r="G163" s="309">
        <v>11.680636661713665</v>
      </c>
    </row>
    <row r="164" spans="1:7">
      <c r="A164" s="39" t="s">
        <v>1932</v>
      </c>
      <c r="B164" s="96"/>
      <c r="C164" s="308">
        <v>1.0090447045391915E-2</v>
      </c>
      <c r="D164" s="306"/>
      <c r="E164" s="308">
        <v>1.0090447045391915E-2</v>
      </c>
      <c r="F164" s="308">
        <v>1.0272151373828312E-2</v>
      </c>
      <c r="G164" s="309">
        <v>1.0477095876905694E-2</v>
      </c>
    </row>
    <row r="165" spans="1:7">
      <c r="A165" s="39" t="s">
        <v>1935</v>
      </c>
      <c r="B165" s="96"/>
      <c r="C165" s="308">
        <v>4.7112780902669807E-2</v>
      </c>
      <c r="D165" s="306"/>
      <c r="E165" s="308">
        <v>4.6868460434974064E-2</v>
      </c>
      <c r="F165" s="308">
        <v>4.7112780902669807E-2</v>
      </c>
      <c r="G165" s="309">
        <v>4.8052750059986923E-2</v>
      </c>
    </row>
    <row r="166" spans="1:7">
      <c r="A166" s="39" t="s">
        <v>1936</v>
      </c>
      <c r="B166" s="96"/>
      <c r="C166" s="308">
        <v>0.10996102628046368</v>
      </c>
      <c r="D166" s="306"/>
      <c r="E166" s="306"/>
      <c r="F166" s="308">
        <v>0.10996102628046368</v>
      </c>
      <c r="G166" s="309">
        <v>0.11215491021663175</v>
      </c>
    </row>
    <row r="167" spans="1:7">
      <c r="A167" s="39" t="s">
        <v>1933</v>
      </c>
      <c r="B167" s="96"/>
      <c r="C167" s="311">
        <v>1149.8157006529966</v>
      </c>
      <c r="D167" s="312">
        <v>1137.8557168106456</v>
      </c>
      <c r="E167" s="312">
        <v>1182.1857738646711</v>
      </c>
      <c r="F167" s="312">
        <v>1203.5834162257293</v>
      </c>
      <c r="G167" s="313">
        <v>1227.5966726677079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9.8004239525176649E-5</v>
      </c>
      <c r="E170" s="308">
        <v>1E-4</v>
      </c>
      <c r="F170" s="308">
        <v>1.0180075597859045E-4</v>
      </c>
      <c r="G170" s="309">
        <v>1.0383183054005873E-4</v>
      </c>
    </row>
    <row r="171" spans="1:7">
      <c r="A171" s="39" t="s">
        <v>1931</v>
      </c>
      <c r="B171" s="96"/>
      <c r="C171" s="308">
        <v>159.87713295337932</v>
      </c>
      <c r="D171" s="306"/>
      <c r="E171" s="308">
        <v>159.87713295337932</v>
      </c>
      <c r="F171" s="308">
        <v>162.7561299834363</v>
      </c>
      <c r="G171" s="309">
        <v>166.0033537604572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1.0180075597859045E-4</v>
      </c>
      <c r="G172" s="309">
        <v>1.0383183054005873E-4</v>
      </c>
    </row>
    <row r="173" spans="1:7">
      <c r="A173" s="39" t="s">
        <v>1935</v>
      </c>
      <c r="B173" s="96"/>
      <c r="C173" s="308">
        <v>1E-4</v>
      </c>
      <c r="D173" s="306"/>
      <c r="E173" s="308">
        <v>9.9481413614279144E-5</v>
      </c>
      <c r="F173" s="308">
        <v>1E-4</v>
      </c>
      <c r="G173" s="309">
        <v>1.0199514683554554E-4</v>
      </c>
    </row>
    <row r="174" spans="1:7">
      <c r="A174" s="39" t="s">
        <v>1936</v>
      </c>
      <c r="B174" s="96"/>
      <c r="C174" s="308">
        <v>116.7428670466207</v>
      </c>
      <c r="D174" s="306"/>
      <c r="E174" s="306"/>
      <c r="F174" s="308">
        <v>116.7428670466207</v>
      </c>
      <c r="G174" s="309">
        <v>119.07205866422649</v>
      </c>
    </row>
    <row r="175" spans="1:7">
      <c r="A175" s="39" t="s">
        <v>1933</v>
      </c>
      <c r="B175" s="96"/>
      <c r="C175" s="311">
        <v>276.62030000000004</v>
      </c>
      <c r="D175" s="312">
        <v>9.8004239525176649E-5</v>
      </c>
      <c r="E175" s="312">
        <v>159.87743243479295</v>
      </c>
      <c r="F175" s="312">
        <v>279.49930063156893</v>
      </c>
      <c r="G175" s="313">
        <v>285.0757220834916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3622.9574624431539</v>
      </c>
      <c r="D181" s="306">
        <v>3622.9574624431539</v>
      </c>
      <c r="E181" s="306">
        <v>3728.8582031375449</v>
      </c>
      <c r="F181" s="306">
        <v>3796.0058401637043</v>
      </c>
      <c r="G181" s="307">
        <v>3871.7417305608542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27.242889968463508</v>
      </c>
      <c r="D183" s="306">
        <v>26.699187138273295</v>
      </c>
      <c r="E183" s="306">
        <v>27.242889968463508</v>
      </c>
      <c r="F183" s="306">
        <v>27.733467938311431</v>
      </c>
      <c r="G183" s="307">
        <v>28.286791346269688</v>
      </c>
    </row>
    <row r="184" spans="1:7">
      <c r="A184" s="39" t="s">
        <v>1931</v>
      </c>
      <c r="C184" s="306">
        <v>171.15656267629933</v>
      </c>
      <c r="D184" s="306">
        <v>0</v>
      </c>
      <c r="E184" s="306">
        <v>171.15656267629933</v>
      </c>
      <c r="F184" s="306">
        <v>174.23867471144268</v>
      </c>
      <c r="G184" s="307">
        <v>177.7149921162445</v>
      </c>
    </row>
    <row r="185" spans="1:7">
      <c r="A185" s="39" t="s">
        <v>1932</v>
      </c>
      <c r="C185" s="306">
        <v>1.0190447045391914E-2</v>
      </c>
      <c r="D185" s="306">
        <v>0</v>
      </c>
      <c r="E185" s="306">
        <v>1.0190447045391914E-2</v>
      </c>
      <c r="F185" s="306">
        <v>1.0373952129806902E-2</v>
      </c>
      <c r="G185" s="307">
        <v>1.0580927707445753E-2</v>
      </c>
    </row>
    <row r="186" spans="1:7">
      <c r="A186" s="39" t="s">
        <v>1935</v>
      </c>
      <c r="C186" s="306">
        <v>4.721278090266981E-2</v>
      </c>
      <c r="D186" s="306">
        <v>0</v>
      </c>
      <c r="E186" s="306">
        <v>4.6967941848588345E-2</v>
      </c>
      <c r="F186" s="306">
        <v>4.721278090266981E-2</v>
      </c>
      <c r="G186" s="307">
        <v>4.8154745206822468E-2</v>
      </c>
    </row>
    <row r="187" spans="1:7" ht="15" thickBot="1">
      <c r="A187" s="39" t="s">
        <v>1936</v>
      </c>
      <c r="C187" s="306">
        <v>116.85282807290116</v>
      </c>
      <c r="D187" s="306">
        <v>0</v>
      </c>
      <c r="E187" s="306">
        <v>0</v>
      </c>
      <c r="F187" s="306">
        <v>116.85282807290116</v>
      </c>
      <c r="G187" s="307">
        <v>119.18421357444312</v>
      </c>
    </row>
    <row r="188" spans="1:7" ht="15" thickBot="1">
      <c r="A188" s="39" t="s">
        <v>115</v>
      </c>
      <c r="C188" s="314">
        <v>3938.2671463887659</v>
      </c>
      <c r="D188" s="315">
        <v>3649.6566495814272</v>
      </c>
      <c r="E188" s="315">
        <v>3927.3148141712018</v>
      </c>
      <c r="F188" s="315">
        <v>4114.888397619392</v>
      </c>
      <c r="G188" s="316">
        <v>4196.9864632707258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105.90074069439137</v>
      </c>
      <c r="E190" s="306">
        <v>70.720510536235523</v>
      </c>
      <c r="F190" s="306">
        <v>82.098065651334224</v>
      </c>
      <c r="G190" s="307">
        <v>258.71931688196116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3938.2671463887659</v>
      </c>
      <c r="D202" s="315">
        <v>3649.6566495814272</v>
      </c>
      <c r="E202" s="315">
        <v>3927.3148141712018</v>
      </c>
      <c r="F202" s="315">
        <v>4114.888397619392</v>
      </c>
      <c r="G202" s="316">
        <v>4196.9864632707258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105.90074069439137</v>
      </c>
      <c r="E204" s="318">
        <v>70.720510536235508</v>
      </c>
      <c r="F204" s="318">
        <v>82.098065651334224</v>
      </c>
      <c r="G204" s="319">
        <v>258.71931688196111</v>
      </c>
    </row>
    <row r="205" spans="1:7" ht="15" thickBot="1"/>
    <row r="206" spans="1:7" ht="15" thickBot="1">
      <c r="A206" s="89" t="s">
        <v>9199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1.0289226255930752</v>
      </c>
      <c r="F213" s="299">
        <v>1.0183119259181477</v>
      </c>
      <c r="G213" s="300">
        <v>1.0202201470707275</v>
      </c>
    </row>
    <row r="214" spans="1:7">
      <c r="A214" s="39" t="s">
        <v>1924</v>
      </c>
      <c r="C214" s="29"/>
      <c r="D214" s="301">
        <v>0.98032288233003606</v>
      </c>
      <c r="E214" s="301">
        <v>0.99486020313271351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2349.6795649874684</v>
      </c>
      <c r="D217" s="304">
        <v>2349.6795649874684</v>
      </c>
      <c r="E217" s="304">
        <v>2417.6384673093007</v>
      </c>
      <c r="F217" s="304">
        <v>2461.9100838195327</v>
      </c>
      <c r="G217" s="305">
        <v>2511.6902677892708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194.47444966557569</v>
      </c>
      <c r="D220" s="308">
        <v>194.47444966557569</v>
      </c>
      <c r="E220" s="308">
        <v>200.0991613606725</v>
      </c>
      <c r="F220" s="308">
        <v>203.7633623797926</v>
      </c>
      <c r="G220" s="309">
        <v>207.88348753473795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2.2773160501983188E-2</v>
      </c>
      <c r="D222" s="310">
        <v>2.2325050343068691E-2</v>
      </c>
      <c r="E222" s="308">
        <v>2.2773160501983188E-2</v>
      </c>
      <c r="F222" s="308">
        <v>2.3190180930017592E-2</v>
      </c>
      <c r="G222" s="309">
        <v>2.3659089799019328E-2</v>
      </c>
    </row>
    <row r="223" spans="1:7">
      <c r="A223" s="39" t="s">
        <v>1931</v>
      </c>
      <c r="B223" s="96"/>
      <c r="C223" s="308">
        <v>2.9932013215313268E-2</v>
      </c>
      <c r="D223" s="306"/>
      <c r="E223" s="308">
        <v>2.9932013215313268E-2</v>
      </c>
      <c r="F223" s="308">
        <v>3.0480126023893103E-2</v>
      </c>
      <c r="G223" s="309">
        <v>3.1096438654830531E-2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194.52715483929296</v>
      </c>
      <c r="D225" s="312">
        <v>194.49677471591875</v>
      </c>
      <c r="E225" s="312">
        <v>200.15186653438977</v>
      </c>
      <c r="F225" s="312">
        <v>203.8170326867465</v>
      </c>
      <c r="G225" s="313">
        <v>207.93824306319181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1200.2735945869806</v>
      </c>
      <c r="D228" s="308">
        <v>1200.2735945869806</v>
      </c>
      <c r="E228" s="308">
        <v>1234.9886583724744</v>
      </c>
      <c r="F228" s="308">
        <v>1257.6036791943438</v>
      </c>
      <c r="G228" s="309">
        <v>1283.0326105443414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29.255616205815507</v>
      </c>
      <c r="D230" s="308">
        <v>28.67995000322637</v>
      </c>
      <c r="E230" s="308">
        <v>29.255616205815507</v>
      </c>
      <c r="F230" s="308">
        <v>29.791342882466161</v>
      </c>
      <c r="G230" s="309">
        <v>30.393728216984098</v>
      </c>
    </row>
    <row r="231" spans="1:7">
      <c r="A231" s="39" t="s">
        <v>1931</v>
      </c>
      <c r="B231" s="96"/>
      <c r="C231" s="308">
        <v>12.090825743071782</v>
      </c>
      <c r="D231" s="306"/>
      <c r="E231" s="308">
        <v>12.090825743071782</v>
      </c>
      <c r="F231" s="308">
        <v>12.312232048368147</v>
      </c>
      <c r="G231" s="309">
        <v>12.561187191155074</v>
      </c>
    </row>
    <row r="232" spans="1:7">
      <c r="A232" s="39" t="s">
        <v>1932</v>
      </c>
      <c r="B232" s="96"/>
      <c r="C232" s="308">
        <v>1.0845020199655614E-2</v>
      </c>
      <c r="D232" s="306"/>
      <c r="E232" s="308">
        <v>1.0845020199655614E-2</v>
      </c>
      <c r="F232" s="308">
        <v>1.1043613406132522E-2</v>
      </c>
      <c r="G232" s="309">
        <v>1.126691689339678E-2</v>
      </c>
    </row>
    <row r="233" spans="1:7">
      <c r="A233" s="39" t="s">
        <v>1935</v>
      </c>
      <c r="B233" s="96"/>
      <c r="C233" s="308">
        <v>5.0635919127561137E-2</v>
      </c>
      <c r="D233" s="306"/>
      <c r="E233" s="308">
        <v>5.0375660789057128E-2</v>
      </c>
      <c r="F233" s="308">
        <v>5.0635919127561137E-2</v>
      </c>
      <c r="G233" s="309">
        <v>5.1659784859381885E-2</v>
      </c>
    </row>
    <row r="234" spans="1:7">
      <c r="A234" s="39" t="s">
        <v>1936</v>
      </c>
      <c r="B234" s="96"/>
      <c r="C234" s="308">
        <v>0.1181840156161458</v>
      </c>
      <c r="D234" s="306"/>
      <c r="E234" s="306"/>
      <c r="F234" s="308">
        <v>0.1181840156161458</v>
      </c>
      <c r="G234" s="309">
        <v>0.12057371379331343</v>
      </c>
    </row>
    <row r="235" spans="1:7">
      <c r="A235" s="39" t="s">
        <v>1933</v>
      </c>
      <c r="B235" s="96"/>
      <c r="C235" s="311">
        <v>1241.7997014908115</v>
      </c>
      <c r="D235" s="312">
        <v>1228.953544590207</v>
      </c>
      <c r="E235" s="312">
        <v>1276.3963210023505</v>
      </c>
      <c r="F235" s="312">
        <v>1299.887117673328</v>
      </c>
      <c r="G235" s="313">
        <v>1326.1710263680268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9.8032288233003612E-5</v>
      </c>
      <c r="E238" s="308">
        <v>1E-4</v>
      </c>
      <c r="F238" s="308">
        <v>1.0183119259181478E-4</v>
      </c>
      <c r="G238" s="309">
        <v>1.0389023428240884E-4</v>
      </c>
    </row>
    <row r="239" spans="1:7">
      <c r="A239" s="39" t="s">
        <v>1931</v>
      </c>
      <c r="B239" s="96"/>
      <c r="C239" s="308">
        <v>159.87713295337932</v>
      </c>
      <c r="D239" s="306"/>
      <c r="E239" s="308">
        <v>159.87713295337932</v>
      </c>
      <c r="F239" s="308">
        <v>162.80479116802744</v>
      </c>
      <c r="G239" s="309">
        <v>166.09672798926402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1.0183119259181478E-4</v>
      </c>
      <c r="G240" s="309">
        <v>1.0389023428240884E-4</v>
      </c>
    </row>
    <row r="241" spans="1:7">
      <c r="A241" s="39" t="s">
        <v>1935</v>
      </c>
      <c r="B241" s="96"/>
      <c r="C241" s="308">
        <v>1E-4</v>
      </c>
      <c r="D241" s="306"/>
      <c r="E241" s="308">
        <v>9.9486020313271358E-5</v>
      </c>
      <c r="F241" s="308">
        <v>1E-4</v>
      </c>
      <c r="G241" s="309">
        <v>1.0202201470707275E-4</v>
      </c>
    </row>
    <row r="242" spans="1:7">
      <c r="A242" s="39" t="s">
        <v>1936</v>
      </c>
      <c r="B242" s="96"/>
      <c r="C242" s="308">
        <v>116.7428670466207</v>
      </c>
      <c r="D242" s="306"/>
      <c r="E242" s="306"/>
      <c r="F242" s="308">
        <v>116.7428670466207</v>
      </c>
      <c r="G242" s="309">
        <v>119.10342498776176</v>
      </c>
    </row>
    <row r="243" spans="1:7">
      <c r="A243" s="39" t="s">
        <v>1933</v>
      </c>
      <c r="B243" s="96"/>
      <c r="C243" s="311">
        <v>276.62030000000004</v>
      </c>
      <c r="D243" s="312">
        <v>9.8032288233003612E-5</v>
      </c>
      <c r="E243" s="312">
        <v>159.87743243939963</v>
      </c>
      <c r="F243" s="312">
        <v>279.54796187703329</v>
      </c>
      <c r="G243" s="313">
        <v>285.20046277950905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3744.427609240025</v>
      </c>
      <c r="D249" s="306">
        <v>3744.427609240025</v>
      </c>
      <c r="E249" s="306">
        <v>3852.7262870424474</v>
      </c>
      <c r="F249" s="306">
        <v>3923.2771253936689</v>
      </c>
      <c r="G249" s="307">
        <v>4002.6063658683502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29.278489366317491</v>
      </c>
      <c r="D251" s="306">
        <v>28.702373085857669</v>
      </c>
      <c r="E251" s="306">
        <v>29.278489366317491</v>
      </c>
      <c r="F251" s="306">
        <v>29.814634894588771</v>
      </c>
      <c r="G251" s="307">
        <v>30.417491197017398</v>
      </c>
    </row>
    <row r="252" spans="1:7">
      <c r="A252" s="39" t="s">
        <v>1931</v>
      </c>
      <c r="C252" s="306">
        <v>171.99789070966642</v>
      </c>
      <c r="D252" s="306">
        <v>0</v>
      </c>
      <c r="E252" s="306">
        <v>171.99789070966642</v>
      </c>
      <c r="F252" s="306">
        <v>175.14750334241947</v>
      </c>
      <c r="G252" s="307">
        <v>178.68901161907394</v>
      </c>
    </row>
    <row r="253" spans="1:7">
      <c r="A253" s="39" t="s">
        <v>1932</v>
      </c>
      <c r="C253" s="306">
        <v>1.0945020199655613E-2</v>
      </c>
      <c r="D253" s="306">
        <v>0</v>
      </c>
      <c r="E253" s="306">
        <v>1.0945020199655613E-2</v>
      </c>
      <c r="F253" s="306">
        <v>1.1145444598724337E-2</v>
      </c>
      <c r="G253" s="307">
        <v>1.1370807127679189E-2</v>
      </c>
    </row>
    <row r="254" spans="1:7">
      <c r="A254" s="39" t="s">
        <v>1935</v>
      </c>
      <c r="C254" s="306">
        <v>5.073591912756114E-2</v>
      </c>
      <c r="D254" s="306">
        <v>0</v>
      </c>
      <c r="E254" s="306">
        <v>5.0475146809370403E-2</v>
      </c>
      <c r="F254" s="306">
        <v>5.073591912756114E-2</v>
      </c>
      <c r="G254" s="307">
        <v>5.1761806874088961E-2</v>
      </c>
    </row>
    <row r="255" spans="1:7" ht="15" thickBot="1">
      <c r="A255" s="39" t="s">
        <v>1936</v>
      </c>
      <c r="C255" s="306">
        <v>116.86105106223685</v>
      </c>
      <c r="D255" s="306">
        <v>0</v>
      </c>
      <c r="E255" s="306">
        <v>0</v>
      </c>
      <c r="F255" s="306">
        <v>116.86105106223685</v>
      </c>
      <c r="G255" s="307">
        <v>119.22399870155508</v>
      </c>
    </row>
    <row r="256" spans="1:7" ht="15" thickBot="1">
      <c r="A256" s="39" t="s">
        <v>115</v>
      </c>
      <c r="C256" s="314">
        <v>4062.6267213175734</v>
      </c>
      <c r="D256" s="315">
        <v>3773.1299823258828</v>
      </c>
      <c r="E256" s="315">
        <v>4054.0640872854406</v>
      </c>
      <c r="F256" s="315">
        <v>4245.1621960566408</v>
      </c>
      <c r="G256" s="316">
        <v>4330.9999999999991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108.29867780242341</v>
      </c>
      <c r="E258" s="306">
        <v>74.236796936644708</v>
      </c>
      <c r="F258" s="306">
        <v>85.837803943358409</v>
      </c>
      <c r="G258" s="307">
        <v>268.37327868242653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4062.6267213175734</v>
      </c>
      <c r="D270" s="315">
        <v>3773.1299823258828</v>
      </c>
      <c r="E270" s="315">
        <v>4054.0640872854406</v>
      </c>
      <c r="F270" s="315">
        <v>4245.1621960566408</v>
      </c>
      <c r="G270" s="316">
        <v>4330.9999999999991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108.29867780242341</v>
      </c>
      <c r="E272" s="318">
        <v>74.236796936644708</v>
      </c>
      <c r="F272" s="318">
        <v>85.837803943358409</v>
      </c>
      <c r="G272" s="319">
        <v>268.37327868242653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623" t="s">
        <v>9200</v>
      </c>
      <c r="B2" s="1624"/>
      <c r="C2" s="1624"/>
      <c r="D2" s="1624"/>
      <c r="E2" s="1624"/>
      <c r="F2" s="1624"/>
      <c r="G2" s="1625"/>
    </row>
    <row r="3" spans="1:9">
      <c r="A3" s="95"/>
      <c r="B3" s="33"/>
      <c r="C3" s="33"/>
      <c r="D3" s="33"/>
      <c r="E3" s="33"/>
      <c r="F3" s="33"/>
      <c r="G3" s="803"/>
    </row>
    <row r="4" spans="1:9">
      <c r="A4" s="95"/>
      <c r="B4" s="33"/>
      <c r="C4" s="3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1.0288767887888439</v>
      </c>
      <c r="F9" s="299">
        <v>1.0182814898940273</v>
      </c>
      <c r="G9" s="300">
        <v>1.0202101548224667</v>
      </c>
      <c r="I9" s="29" t="s">
        <v>116</v>
      </c>
    </row>
    <row r="10" spans="1:9">
      <c r="A10" s="39" t="s">
        <v>1924</v>
      </c>
      <c r="C10" s="29"/>
      <c r="D10" s="301">
        <v>0.98035954420571847</v>
      </c>
      <c r="E10" s="301">
        <v>0.99486379178782891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2287.1094912695121</v>
      </c>
      <c r="D13" s="304">
        <v>2287.1094912695121</v>
      </c>
      <c r="E13" s="304">
        <v>2353.1538689858621</v>
      </c>
      <c r="F13" s="304">
        <v>2396.1730276608187</v>
      </c>
      <c r="G13" s="305">
        <v>2444.6000555312626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201.91439751301868</v>
      </c>
      <c r="D16" s="308">
        <v>201.91439751301868</v>
      </c>
      <c r="E16" s="308">
        <v>207.74503692342878</v>
      </c>
      <c r="F16" s="308">
        <v>211.54292571647878</v>
      </c>
      <c r="G16" s="309">
        <v>215.8182409968064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2.3644386139837222E-2</v>
      </c>
      <c r="D18" s="310">
        <v>2.3179999619074826E-2</v>
      </c>
      <c r="E18" s="308">
        <v>2.3644386139837222E-2</v>
      </c>
      <c r="F18" s="308">
        <v>2.4076640746103137E-2</v>
      </c>
      <c r="G18" s="309">
        <v>2.4563233383186792E-2</v>
      </c>
    </row>
    <row r="19" spans="1:7">
      <c r="A19" s="39" t="s">
        <v>1931</v>
      </c>
      <c r="B19" s="96"/>
      <c r="C19" s="308">
        <v>3.1077112829549763E-2</v>
      </c>
      <c r="D19" s="306"/>
      <c r="E19" s="308">
        <v>3.1077112829549763E-2</v>
      </c>
      <c r="F19" s="308">
        <v>3.1645248753678724E-2</v>
      </c>
      <c r="G19" s="309">
        <v>3.2284804130386043E-2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201.96911901198806</v>
      </c>
      <c r="D21" s="312">
        <v>201.93757751263777</v>
      </c>
      <c r="E21" s="312">
        <v>207.79975842239816</v>
      </c>
      <c r="F21" s="312">
        <v>211.59864760597856</v>
      </c>
      <c r="G21" s="313">
        <v>215.87508903431998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1258.2511327075767</v>
      </c>
      <c r="D24" s="308">
        <v>1258.2511327075767</v>
      </c>
      <c r="E24" s="308">
        <v>1294.585384910097</v>
      </c>
      <c r="F24" s="308">
        <v>1318.2523345412865</v>
      </c>
      <c r="G24" s="309">
        <v>1344.894418317444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31.040345332233986</v>
      </c>
      <c r="D26" s="308">
        <v>30.430698801897012</v>
      </c>
      <c r="E26" s="308">
        <v>31.040345332233986</v>
      </c>
      <c r="F26" s="308">
        <v>31.607809091732342</v>
      </c>
      <c r="G26" s="309">
        <v>32.246607807075222</v>
      </c>
    </row>
    <row r="27" spans="1:7">
      <c r="A27" s="39" t="s">
        <v>1931</v>
      </c>
      <c r="B27" s="96"/>
      <c r="C27" s="308">
        <v>12.828422542069339</v>
      </c>
      <c r="D27" s="306"/>
      <c r="E27" s="308">
        <v>12.828422542069339</v>
      </c>
      <c r="F27" s="308">
        <v>13.062945219128492</v>
      </c>
      <c r="G27" s="309">
        <v>13.326949364444481</v>
      </c>
    </row>
    <row r="28" spans="1:7">
      <c r="A28" s="39" t="s">
        <v>1932</v>
      </c>
      <c r="B28" s="96"/>
      <c r="C28" s="308">
        <v>1.1506617046249281E-2</v>
      </c>
      <c r="D28" s="306"/>
      <c r="E28" s="308">
        <v>1.1506617046249281E-2</v>
      </c>
      <c r="F28" s="308">
        <v>1.171697514949473E-2</v>
      </c>
      <c r="G28" s="309">
        <v>1.1953777031317014E-2</v>
      </c>
    </row>
    <row r="29" spans="1:7">
      <c r="A29" s="39" t="s">
        <v>1935</v>
      </c>
      <c r="B29" s="96"/>
      <c r="C29" s="308">
        <v>5.3724946515470502E-2</v>
      </c>
      <c r="D29" s="306"/>
      <c r="E29" s="308">
        <v>5.344900400397929E-2</v>
      </c>
      <c r="F29" s="308">
        <v>5.3724946515470502E-2</v>
      </c>
      <c r="G29" s="309">
        <v>5.4810736002376903E-2</v>
      </c>
    </row>
    <row r="30" spans="1:7">
      <c r="A30" s="39" t="s">
        <v>1936</v>
      </c>
      <c r="B30" s="96"/>
      <c r="C30" s="308">
        <v>0.12539379214121874</v>
      </c>
      <c r="D30" s="306"/>
      <c r="E30" s="306"/>
      <c r="F30" s="308">
        <v>0.12539379214121874</v>
      </c>
      <c r="G30" s="309">
        <v>0.12792802009416898</v>
      </c>
    </row>
    <row r="31" spans="1:7">
      <c r="A31" s="39" t="s">
        <v>1933</v>
      </c>
      <c r="B31" s="96"/>
      <c r="C31" s="311">
        <v>1302.3105259375832</v>
      </c>
      <c r="D31" s="312">
        <v>1288.6818315094738</v>
      </c>
      <c r="E31" s="312">
        <v>1338.5191084054507</v>
      </c>
      <c r="F31" s="312">
        <v>1363.1139245659538</v>
      </c>
      <c r="G31" s="313">
        <v>1390.6626680220916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9.803595442057185E-5</v>
      </c>
      <c r="E34" s="308">
        <v>1E-4</v>
      </c>
      <c r="F34" s="308">
        <v>1.0182814898940274E-4</v>
      </c>
      <c r="G34" s="309">
        <v>1.0388611164576377E-4</v>
      </c>
    </row>
    <row r="35" spans="1:7">
      <c r="A35" s="39" t="s">
        <v>1931</v>
      </c>
      <c r="B35" s="96"/>
      <c r="C35" s="308">
        <v>154.08590718448022</v>
      </c>
      <c r="D35" s="306"/>
      <c r="E35" s="308">
        <v>154.08590718448022</v>
      </c>
      <c r="F35" s="308">
        <v>156.90282713948534</v>
      </c>
      <c r="G35" s="309">
        <v>160.07385756805706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1.0182814898940274E-4</v>
      </c>
      <c r="G36" s="309">
        <v>1.0388611164576377E-4</v>
      </c>
    </row>
    <row r="37" spans="1:7">
      <c r="A37" s="39" t="s">
        <v>1935</v>
      </c>
      <c r="B37" s="96"/>
      <c r="C37" s="308">
        <v>1E-4</v>
      </c>
      <c r="D37" s="306"/>
      <c r="E37" s="308">
        <v>9.9486379178782898E-5</v>
      </c>
      <c r="F37" s="308">
        <v>1E-4</v>
      </c>
      <c r="G37" s="309">
        <v>1.0202101548224667E-4</v>
      </c>
    </row>
    <row r="38" spans="1:7">
      <c r="A38" s="39" t="s">
        <v>1936</v>
      </c>
      <c r="B38" s="96"/>
      <c r="C38" s="308">
        <v>112.51409281551977</v>
      </c>
      <c r="D38" s="306"/>
      <c r="E38" s="306"/>
      <c r="F38" s="308">
        <v>112.51409281551977</v>
      </c>
      <c r="G38" s="309">
        <v>114.78802005103081</v>
      </c>
    </row>
    <row r="39" spans="1:7">
      <c r="A39" s="39" t="s">
        <v>1933</v>
      </c>
      <c r="B39" s="96"/>
      <c r="C39" s="311">
        <v>266.6003</v>
      </c>
      <c r="D39" s="312">
        <v>9.803595442057185E-5</v>
      </c>
      <c r="E39" s="312">
        <v>154.08620667085941</v>
      </c>
      <c r="F39" s="312">
        <v>269.41722361130309</v>
      </c>
      <c r="G39" s="313">
        <v>274.86218741232665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3747.2750214901075</v>
      </c>
      <c r="D45" s="306">
        <v>3747.2750214901075</v>
      </c>
      <c r="E45" s="306">
        <v>3855.4842908193878</v>
      </c>
      <c r="F45" s="306">
        <v>3925.9682879185839</v>
      </c>
      <c r="G45" s="307">
        <v>4005.3127148455128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31.064089718373822</v>
      </c>
      <c r="D47" s="306">
        <v>30.453976837470506</v>
      </c>
      <c r="E47" s="306">
        <v>31.064089718373822</v>
      </c>
      <c r="F47" s="306">
        <v>31.631987560627433</v>
      </c>
      <c r="G47" s="307">
        <v>32.271274926570051</v>
      </c>
    </row>
    <row r="48" spans="1:7">
      <c r="A48" s="39" t="s">
        <v>1931</v>
      </c>
      <c r="C48" s="306">
        <v>166.9454068393791</v>
      </c>
      <c r="D48" s="306">
        <v>0</v>
      </c>
      <c r="E48" s="306">
        <v>166.9454068393791</v>
      </c>
      <c r="F48" s="306">
        <v>169.99741760736751</v>
      </c>
      <c r="G48" s="307">
        <v>173.43309173663192</v>
      </c>
    </row>
    <row r="49" spans="1:7">
      <c r="A49" s="39" t="s">
        <v>1932</v>
      </c>
      <c r="C49" s="306">
        <v>1.160661704624928E-2</v>
      </c>
      <c r="D49" s="306">
        <v>0</v>
      </c>
      <c r="E49" s="306">
        <v>1.160661704624928E-2</v>
      </c>
      <c r="F49" s="306">
        <v>1.1818803298484132E-2</v>
      </c>
      <c r="G49" s="307">
        <v>1.2057663142962777E-2</v>
      </c>
    </row>
    <row r="50" spans="1:7">
      <c r="A50" s="39" t="s">
        <v>1935</v>
      </c>
      <c r="C50" s="306">
        <v>5.3824946515470505E-2</v>
      </c>
      <c r="D50" s="306">
        <v>0</v>
      </c>
      <c r="E50" s="306">
        <v>5.3548490383158072E-2</v>
      </c>
      <c r="F50" s="306">
        <v>5.3824946515470505E-2</v>
      </c>
      <c r="G50" s="307">
        <v>5.4912757017859151E-2</v>
      </c>
    </row>
    <row r="51" spans="1:7" ht="15" thickBot="1">
      <c r="A51" s="39" t="s">
        <v>1936</v>
      </c>
      <c r="C51" s="306">
        <v>112.639486607661</v>
      </c>
      <c r="D51" s="306">
        <v>0</v>
      </c>
      <c r="E51" s="306">
        <v>0</v>
      </c>
      <c r="F51" s="306">
        <v>112.639486607661</v>
      </c>
      <c r="G51" s="307">
        <v>114.91594807112499</v>
      </c>
    </row>
    <row r="52" spans="1:7" ht="15" thickBot="1">
      <c r="A52" s="39" t="s">
        <v>115</v>
      </c>
      <c r="C52" s="314">
        <v>4057.9894362190835</v>
      </c>
      <c r="D52" s="315">
        <v>3777.7289983275782</v>
      </c>
      <c r="E52" s="315">
        <v>4053.5589424845703</v>
      </c>
      <c r="F52" s="315">
        <v>4240.3028234440535</v>
      </c>
      <c r="G52" s="316">
        <v>4326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108.20926932928023</v>
      </c>
      <c r="E54" s="306">
        <v>74.104117895690052</v>
      </c>
      <c r="F54" s="306">
        <v>85.697176555946371</v>
      </c>
      <c r="G54" s="307">
        <v>268.01056378091664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4057.9894362190835</v>
      </c>
      <c r="D66" s="315">
        <v>3777.7289983275782</v>
      </c>
      <c r="E66" s="315">
        <v>4053.5589424845703</v>
      </c>
      <c r="F66" s="315">
        <v>4240.3028234440535</v>
      </c>
      <c r="G66" s="316">
        <v>4326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108.20926932928023</v>
      </c>
      <c r="E68" s="318">
        <v>74.104117895690052</v>
      </c>
      <c r="F68" s="318">
        <v>85.697176555946371</v>
      </c>
      <c r="G68" s="319">
        <v>268.01056378091664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1623" t="s">
        <v>9201</v>
      </c>
      <c r="B70" s="1626"/>
      <c r="C70" s="1626"/>
      <c r="D70" s="1626"/>
      <c r="E70" s="1626"/>
      <c r="F70" s="1626"/>
      <c r="G70" s="1625"/>
    </row>
    <row r="71" spans="1:7">
      <c r="A71" s="1075"/>
      <c r="B71" s="33"/>
      <c r="C71" s="33"/>
      <c r="D71" s="33"/>
      <c r="E71" s="33"/>
      <c r="F71" s="33"/>
      <c r="G71" s="803"/>
    </row>
    <row r="72" spans="1:7">
      <c r="A72" s="95"/>
      <c r="B72" s="33"/>
      <c r="C72" s="3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1.0288767887888439</v>
      </c>
      <c r="F77" s="299">
        <v>1.0182814898940273</v>
      </c>
      <c r="G77" s="300">
        <v>1.0202101548224667</v>
      </c>
    </row>
    <row r="78" spans="1:7">
      <c r="A78" s="39" t="s">
        <v>1924</v>
      </c>
      <c r="C78" s="29"/>
      <c r="D78" s="301">
        <v>0.98035954420571847</v>
      </c>
      <c r="E78" s="301">
        <v>0.99486379178782891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2287.1094912695121</v>
      </c>
      <c r="D81" s="304">
        <v>2287.1094912695121</v>
      </c>
      <c r="E81" s="304">
        <v>2353.1538689858621</v>
      </c>
      <c r="F81" s="304">
        <v>2396.1730276608187</v>
      </c>
      <c r="G81" s="305">
        <v>2444.6000555312626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201.91439751301868</v>
      </c>
      <c r="D84" s="308">
        <v>201.91439751301868</v>
      </c>
      <c r="E84" s="308">
        <v>207.74503692342878</v>
      </c>
      <c r="F84" s="308">
        <v>211.54292571647878</v>
      </c>
      <c r="G84" s="309">
        <v>215.8182409968064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2.3644386139837222E-2</v>
      </c>
      <c r="D86" s="310">
        <v>2.3179999619074826E-2</v>
      </c>
      <c r="E86" s="308">
        <v>2.3644386139837222E-2</v>
      </c>
      <c r="F86" s="308">
        <v>2.4076640746103137E-2</v>
      </c>
      <c r="G86" s="309">
        <v>2.4563233383186792E-2</v>
      </c>
    </row>
    <row r="87" spans="1:7">
      <c r="A87" s="39" t="s">
        <v>1931</v>
      </c>
      <c r="B87" s="96"/>
      <c r="C87" s="308">
        <v>3.1077112829549763E-2</v>
      </c>
      <c r="D87" s="306"/>
      <c r="E87" s="308">
        <v>3.1077112829549763E-2</v>
      </c>
      <c r="F87" s="308">
        <v>3.1645248753678724E-2</v>
      </c>
      <c r="G87" s="309">
        <v>3.2284804130386043E-2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201.96911901198806</v>
      </c>
      <c r="D89" s="312">
        <v>201.93757751263777</v>
      </c>
      <c r="E89" s="312">
        <v>207.79975842239816</v>
      </c>
      <c r="F89" s="312">
        <v>211.59864760597856</v>
      </c>
      <c r="G89" s="313">
        <v>215.87508903431998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1258.2511327075767</v>
      </c>
      <c r="D92" s="308">
        <v>1258.2511327075767</v>
      </c>
      <c r="E92" s="308">
        <v>1294.585384910097</v>
      </c>
      <c r="F92" s="308">
        <v>1318.2523345412865</v>
      </c>
      <c r="G92" s="309">
        <v>1344.894418317444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31.040345332233986</v>
      </c>
      <c r="D94" s="308">
        <v>30.430698801897012</v>
      </c>
      <c r="E94" s="308">
        <v>31.040345332233986</v>
      </c>
      <c r="F94" s="308">
        <v>31.607809091732342</v>
      </c>
      <c r="G94" s="309">
        <v>32.246607807075222</v>
      </c>
    </row>
    <row r="95" spans="1:7">
      <c r="A95" s="39" t="s">
        <v>1931</v>
      </c>
      <c r="B95" s="96"/>
      <c r="C95" s="308">
        <v>12.828422542069339</v>
      </c>
      <c r="D95" s="306"/>
      <c r="E95" s="308">
        <v>12.828422542069339</v>
      </c>
      <c r="F95" s="308">
        <v>13.062945219128492</v>
      </c>
      <c r="G95" s="309">
        <v>13.326949364444481</v>
      </c>
    </row>
    <row r="96" spans="1:7">
      <c r="A96" s="39" t="s">
        <v>1932</v>
      </c>
      <c r="B96" s="96"/>
      <c r="C96" s="308">
        <v>1.1506617046249281E-2</v>
      </c>
      <c r="D96" s="306"/>
      <c r="E96" s="308">
        <v>1.1506617046249281E-2</v>
      </c>
      <c r="F96" s="308">
        <v>1.171697514949473E-2</v>
      </c>
      <c r="G96" s="309">
        <v>1.1953777031317014E-2</v>
      </c>
    </row>
    <row r="97" spans="1:7">
      <c r="A97" s="39" t="s">
        <v>1935</v>
      </c>
      <c r="B97" s="96"/>
      <c r="C97" s="308">
        <v>5.3724946515470502E-2</v>
      </c>
      <c r="D97" s="306"/>
      <c r="E97" s="308">
        <v>5.344900400397929E-2</v>
      </c>
      <c r="F97" s="308">
        <v>5.3724946515470502E-2</v>
      </c>
      <c r="G97" s="309">
        <v>5.4810736002376903E-2</v>
      </c>
    </row>
    <row r="98" spans="1:7">
      <c r="A98" s="39" t="s">
        <v>1936</v>
      </c>
      <c r="B98" s="96"/>
      <c r="C98" s="308">
        <v>0.12539379214121874</v>
      </c>
      <c r="D98" s="306"/>
      <c r="E98" s="306"/>
      <c r="F98" s="308">
        <v>0.12539379214121874</v>
      </c>
      <c r="G98" s="309">
        <v>0.12792802009416898</v>
      </c>
    </row>
    <row r="99" spans="1:7">
      <c r="A99" s="39" t="s">
        <v>1933</v>
      </c>
      <c r="B99" s="96"/>
      <c r="C99" s="311">
        <v>1302.3105259375832</v>
      </c>
      <c r="D99" s="312">
        <v>1288.6818315094738</v>
      </c>
      <c r="E99" s="312">
        <v>1338.5191084054507</v>
      </c>
      <c r="F99" s="312">
        <v>1363.1139245659538</v>
      </c>
      <c r="G99" s="313">
        <v>1390.6626680220916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9.803595442057185E-5</v>
      </c>
      <c r="E102" s="308">
        <v>1E-4</v>
      </c>
      <c r="F102" s="308">
        <v>1.0182814898940274E-4</v>
      </c>
      <c r="G102" s="309">
        <v>1.0388611164576377E-4</v>
      </c>
    </row>
    <row r="103" spans="1:7">
      <c r="A103" s="39" t="s">
        <v>1931</v>
      </c>
      <c r="B103" s="96"/>
      <c r="C103" s="308">
        <v>154.08590718448022</v>
      </c>
      <c r="D103" s="306"/>
      <c r="E103" s="308">
        <v>154.08590718448022</v>
      </c>
      <c r="F103" s="308">
        <v>156.90282713948534</v>
      </c>
      <c r="G103" s="309">
        <v>160.07385756805706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1.0182814898940274E-4</v>
      </c>
      <c r="G104" s="309">
        <v>1.0388611164576377E-4</v>
      </c>
    </row>
    <row r="105" spans="1:7">
      <c r="A105" s="39" t="s">
        <v>1935</v>
      </c>
      <c r="B105" s="96"/>
      <c r="C105" s="308">
        <v>1E-4</v>
      </c>
      <c r="D105" s="306"/>
      <c r="E105" s="308">
        <v>9.9486379178782898E-5</v>
      </c>
      <c r="F105" s="308">
        <v>1E-4</v>
      </c>
      <c r="G105" s="309">
        <v>1.0202101548224667E-4</v>
      </c>
    </row>
    <row r="106" spans="1:7">
      <c r="A106" s="39" t="s">
        <v>1936</v>
      </c>
      <c r="B106" s="96"/>
      <c r="C106" s="308">
        <v>112.51409281551977</v>
      </c>
      <c r="D106" s="306"/>
      <c r="E106" s="306"/>
      <c r="F106" s="308">
        <v>112.51409281551977</v>
      </c>
      <c r="G106" s="309">
        <v>114.78802005103081</v>
      </c>
    </row>
    <row r="107" spans="1:7">
      <c r="A107" s="39" t="s">
        <v>1933</v>
      </c>
      <c r="B107" s="96"/>
      <c r="C107" s="311">
        <v>266.6003</v>
      </c>
      <c r="D107" s="312">
        <v>9.803595442057185E-5</v>
      </c>
      <c r="E107" s="312">
        <v>154.08620667085941</v>
      </c>
      <c r="F107" s="312">
        <v>269.41722361130309</v>
      </c>
      <c r="G107" s="313">
        <v>274.86218741232665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3747.2750214901075</v>
      </c>
      <c r="D113" s="306">
        <v>3747.2750214901075</v>
      </c>
      <c r="E113" s="306">
        <v>3855.4842908193878</v>
      </c>
      <c r="F113" s="306">
        <v>3925.9682879185839</v>
      </c>
      <c r="G113" s="307">
        <v>4005.3127148455128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31.064089718373822</v>
      </c>
      <c r="D115" s="306">
        <v>30.453976837470506</v>
      </c>
      <c r="E115" s="306">
        <v>31.064089718373822</v>
      </c>
      <c r="F115" s="306">
        <v>31.631987560627433</v>
      </c>
      <c r="G115" s="307">
        <v>32.271274926570051</v>
      </c>
    </row>
    <row r="116" spans="1:7">
      <c r="A116" s="39" t="s">
        <v>1931</v>
      </c>
      <c r="C116" s="306">
        <v>166.9454068393791</v>
      </c>
      <c r="D116" s="306">
        <v>0</v>
      </c>
      <c r="E116" s="306">
        <v>166.9454068393791</v>
      </c>
      <c r="F116" s="306">
        <v>169.99741760736751</v>
      </c>
      <c r="G116" s="307">
        <v>173.43309173663192</v>
      </c>
    </row>
    <row r="117" spans="1:7">
      <c r="A117" s="39" t="s">
        <v>1932</v>
      </c>
      <c r="C117" s="306">
        <v>1.160661704624928E-2</v>
      </c>
      <c r="D117" s="306">
        <v>0</v>
      </c>
      <c r="E117" s="306">
        <v>1.160661704624928E-2</v>
      </c>
      <c r="F117" s="306">
        <v>1.1818803298484132E-2</v>
      </c>
      <c r="G117" s="307">
        <v>1.2057663142962777E-2</v>
      </c>
    </row>
    <row r="118" spans="1:7">
      <c r="A118" s="39" t="s">
        <v>1935</v>
      </c>
      <c r="C118" s="306">
        <v>5.3824946515470505E-2</v>
      </c>
      <c r="D118" s="306">
        <v>0</v>
      </c>
      <c r="E118" s="306">
        <v>5.3548490383158072E-2</v>
      </c>
      <c r="F118" s="306">
        <v>5.3824946515470505E-2</v>
      </c>
      <c r="G118" s="307">
        <v>5.4912757017859151E-2</v>
      </c>
    </row>
    <row r="119" spans="1:7" ht="15" thickBot="1">
      <c r="A119" s="39" t="s">
        <v>1936</v>
      </c>
      <c r="C119" s="306">
        <v>112.639486607661</v>
      </c>
      <c r="D119" s="306">
        <v>0</v>
      </c>
      <c r="E119" s="306">
        <v>0</v>
      </c>
      <c r="F119" s="306">
        <v>112.639486607661</v>
      </c>
      <c r="G119" s="307">
        <v>114.91594807112499</v>
      </c>
    </row>
    <row r="120" spans="1:7" ht="15" thickBot="1">
      <c r="A120" s="39" t="s">
        <v>115</v>
      </c>
      <c r="C120" s="314">
        <v>4057.9894362190835</v>
      </c>
      <c r="D120" s="315">
        <v>3777.7289983275782</v>
      </c>
      <c r="E120" s="315">
        <v>4053.5589424845703</v>
      </c>
      <c r="F120" s="315">
        <v>4240.3028234440535</v>
      </c>
      <c r="G120" s="316">
        <v>4326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108.20926932928023</v>
      </c>
      <c r="E122" s="306">
        <v>74.104117895690052</v>
      </c>
      <c r="F122" s="306">
        <v>85.697176555946371</v>
      </c>
      <c r="G122" s="307">
        <v>268.01056378091664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4057.9894362190835</v>
      </c>
      <c r="D134" s="315">
        <v>3777.7289983275782</v>
      </c>
      <c r="E134" s="315">
        <v>4053.5589424845703</v>
      </c>
      <c r="F134" s="315">
        <v>4240.3028234440535</v>
      </c>
      <c r="G134" s="316">
        <v>4326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108.20926932928023</v>
      </c>
      <c r="E136" s="318">
        <v>74.104117895690052</v>
      </c>
      <c r="F136" s="318">
        <v>85.697176555946371</v>
      </c>
      <c r="G136" s="319">
        <v>268.01056378091664</v>
      </c>
    </row>
    <row r="137" spans="1:7" ht="15" thickBot="1"/>
    <row r="138" spans="1:7" ht="15" thickBot="1">
      <c r="A138" s="1627" t="s">
        <v>9202</v>
      </c>
      <c r="B138" s="1628"/>
      <c r="C138" s="1628"/>
      <c r="D138" s="1628"/>
      <c r="E138" s="1628"/>
      <c r="F138" s="1628"/>
      <c r="G138" s="1629"/>
    </row>
    <row r="139" spans="1:7">
      <c r="A139" s="30"/>
      <c r="B139" s="33"/>
      <c r="C139" s="33"/>
      <c r="D139" s="33"/>
      <c r="E139" s="33"/>
      <c r="F139" s="33"/>
      <c r="G139" s="803"/>
    </row>
    <row r="140" spans="1:7">
      <c r="A140" s="95"/>
      <c r="B140" s="33"/>
      <c r="C140" s="3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1.0291828482768484</v>
      </c>
      <c r="F145" s="299">
        <v>1.0179769268955075</v>
      </c>
      <c r="G145" s="300">
        <v>1.0199414200457684</v>
      </c>
    </row>
    <row r="146" spans="1:7">
      <c r="A146" s="39" t="s">
        <v>1924</v>
      </c>
      <c r="C146" s="29"/>
      <c r="D146" s="301">
        <v>0.98008063025856074</v>
      </c>
      <c r="E146" s="301">
        <v>0.99481784078329394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2255.2175171785198</v>
      </c>
      <c r="D149" s="304">
        <v>2255.2175171785198</v>
      </c>
      <c r="E149" s="304">
        <v>2321.0311878136313</v>
      </c>
      <c r="F149" s="304">
        <v>2362.7561957991497</v>
      </c>
      <c r="G149" s="305">
        <v>2409.8729095653225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201.43092853956884</v>
      </c>
      <c r="D152" s="308">
        <v>201.43092853956884</v>
      </c>
      <c r="E152" s="308">
        <v>207.30925676540377</v>
      </c>
      <c r="F152" s="308">
        <v>211.03604011903741</v>
      </c>
      <c r="G152" s="309">
        <v>215.24439843984675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2.3587771419759412E-2</v>
      </c>
      <c r="D154" s="310">
        <v>2.311791787947267E-2</v>
      </c>
      <c r="E154" s="308">
        <v>2.3587771419759412E-2</v>
      </c>
      <c r="F154" s="308">
        <v>2.4011807062200366E-2</v>
      </c>
      <c r="G154" s="309">
        <v>2.449063659288565E-2</v>
      </c>
    </row>
    <row r="155" spans="1:7">
      <c r="A155" s="39" t="s">
        <v>1931</v>
      </c>
      <c r="B155" s="96"/>
      <c r="C155" s="308">
        <v>3.1002700999474501E-2</v>
      </c>
      <c r="D155" s="306"/>
      <c r="E155" s="308">
        <v>3.1002700999474501E-2</v>
      </c>
      <c r="F155" s="308">
        <v>3.1560034288905331E-2</v>
      </c>
      <c r="G155" s="309">
        <v>3.2189386189319248E-2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201.48551901198806</v>
      </c>
      <c r="D157" s="312">
        <v>201.4540464574483</v>
      </c>
      <c r="E157" s="312">
        <v>207.36384723782299</v>
      </c>
      <c r="F157" s="312">
        <v>211.09161196038852</v>
      </c>
      <c r="G157" s="313">
        <v>215.30107846262894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1169.1564289751482</v>
      </c>
      <c r="D160" s="308">
        <v>1169.1564289751482</v>
      </c>
      <c r="E160" s="308">
        <v>1203.2757436538318</v>
      </c>
      <c r="F160" s="308">
        <v>1224.9069437326341</v>
      </c>
      <c r="G160" s="309">
        <v>1249.333327614585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29.004802549100084</v>
      </c>
      <c r="D162" s="308">
        <v>28.427045162847119</v>
      </c>
      <c r="E162" s="308">
        <v>29.004802549100084</v>
      </c>
      <c r="F162" s="308">
        <v>29.526219764143885</v>
      </c>
      <c r="G162" s="309">
        <v>30.115014514824345</v>
      </c>
    </row>
    <row r="163" spans="1:7">
      <c r="A163" s="39" t="s">
        <v>1931</v>
      </c>
      <c r="B163" s="96"/>
      <c r="C163" s="308">
        <v>11.987168920532321</v>
      </c>
      <c r="D163" s="306"/>
      <c r="E163" s="308">
        <v>11.987168920532321</v>
      </c>
      <c r="F163" s="308">
        <v>12.20266137990083</v>
      </c>
      <c r="G163" s="309">
        <v>12.445999776153707</v>
      </c>
    </row>
    <row r="164" spans="1:7">
      <c r="A164" s="39" t="s">
        <v>1932</v>
      </c>
      <c r="B164" s="96"/>
      <c r="C164" s="308">
        <v>1.0752043891985582E-2</v>
      </c>
      <c r="D164" s="306"/>
      <c r="E164" s="308">
        <v>1.0752043891985582E-2</v>
      </c>
      <c r="F164" s="308">
        <v>1.0945332599009094E-2</v>
      </c>
      <c r="G164" s="309">
        <v>1.1163598073906576E-2</v>
      </c>
    </row>
    <row r="165" spans="1:7">
      <c r="A165" s="39" t="s">
        <v>1935</v>
      </c>
      <c r="B165" s="96"/>
      <c r="C165" s="308">
        <v>5.0201808290579165E-2</v>
      </c>
      <c r="D165" s="306"/>
      <c r="E165" s="308">
        <v>4.9941654527050829E-2</v>
      </c>
      <c r="F165" s="308">
        <v>5.0201808290579165E-2</v>
      </c>
      <c r="G165" s="309">
        <v>5.1202903636758744E-2</v>
      </c>
    </row>
    <row r="166" spans="1:7">
      <c r="A166" s="39" t="s">
        <v>1936</v>
      </c>
      <c r="B166" s="96"/>
      <c r="C166" s="308">
        <v>0.11717080280553661</v>
      </c>
      <c r="D166" s="306"/>
      <c r="E166" s="306"/>
      <c r="F166" s="308">
        <v>0.11717080280553661</v>
      </c>
      <c r="G166" s="309">
        <v>0.11950735500138171</v>
      </c>
    </row>
    <row r="167" spans="1:7">
      <c r="A167" s="39" t="s">
        <v>1933</v>
      </c>
      <c r="B167" s="96"/>
      <c r="C167" s="311">
        <v>1210.3265250997683</v>
      </c>
      <c r="D167" s="312">
        <v>1197.5834741379954</v>
      </c>
      <c r="E167" s="312">
        <v>1244.3284088218829</v>
      </c>
      <c r="F167" s="312">
        <v>1266.8141428203737</v>
      </c>
      <c r="G167" s="313">
        <v>1292.0762157622751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9.8008063025856074E-5</v>
      </c>
      <c r="E170" s="308">
        <v>1E-4</v>
      </c>
      <c r="F170" s="308">
        <v>1.0179769268955075E-4</v>
      </c>
      <c r="G170" s="309">
        <v>1.0382768323916313E-4</v>
      </c>
    </row>
    <row r="171" spans="1:7">
      <c r="A171" s="39" t="s">
        <v>1931</v>
      </c>
      <c r="B171" s="96"/>
      <c r="C171" s="308">
        <v>154.08590718448022</v>
      </c>
      <c r="D171" s="306"/>
      <c r="E171" s="308">
        <v>154.08590718448022</v>
      </c>
      <c r="F171" s="308">
        <v>156.85589827356355</v>
      </c>
      <c r="G171" s="309">
        <v>159.98382762769299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1.0179769268955075E-4</v>
      </c>
      <c r="G172" s="309">
        <v>1.0382768323916313E-4</v>
      </c>
    </row>
    <row r="173" spans="1:7">
      <c r="A173" s="39" t="s">
        <v>1935</v>
      </c>
      <c r="B173" s="96"/>
      <c r="C173" s="308">
        <v>1E-4</v>
      </c>
      <c r="D173" s="306"/>
      <c r="E173" s="308">
        <v>9.9481784078329395E-5</v>
      </c>
      <c r="F173" s="308">
        <v>1E-4</v>
      </c>
      <c r="G173" s="309">
        <v>1.0199414200457684E-4</v>
      </c>
    </row>
    <row r="174" spans="1:7">
      <c r="A174" s="39" t="s">
        <v>1936</v>
      </c>
      <c r="B174" s="96"/>
      <c r="C174" s="308">
        <v>112.51409281551977</v>
      </c>
      <c r="D174" s="306"/>
      <c r="E174" s="306"/>
      <c r="F174" s="308">
        <v>112.51409281551977</v>
      </c>
      <c r="G174" s="309">
        <v>114.75778360142263</v>
      </c>
    </row>
    <row r="175" spans="1:7">
      <c r="A175" s="39" t="s">
        <v>1933</v>
      </c>
      <c r="B175" s="96"/>
      <c r="C175" s="311">
        <v>266.6003</v>
      </c>
      <c r="D175" s="312">
        <v>9.8008063025856074E-5</v>
      </c>
      <c r="E175" s="312">
        <v>154.0862066662643</v>
      </c>
      <c r="F175" s="312">
        <v>269.37029468446872</v>
      </c>
      <c r="G175" s="313">
        <v>274.74192087862411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3625.8048746932368</v>
      </c>
      <c r="D181" s="306">
        <v>3625.8048746932368</v>
      </c>
      <c r="E181" s="306">
        <v>3731.616188232867</v>
      </c>
      <c r="F181" s="306">
        <v>3798.699179650821</v>
      </c>
      <c r="G181" s="307">
        <v>3874.4506356197544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29.028490320519843</v>
      </c>
      <c r="D183" s="306">
        <v>28.450261088789617</v>
      </c>
      <c r="E183" s="306">
        <v>29.028490320519843</v>
      </c>
      <c r="F183" s="306">
        <v>29.550333368898777</v>
      </c>
      <c r="G183" s="307">
        <v>30.139608979100473</v>
      </c>
    </row>
    <row r="184" spans="1:7">
      <c r="A184" s="39" t="s">
        <v>1931</v>
      </c>
      <c r="C184" s="306">
        <v>166.10407880601201</v>
      </c>
      <c r="D184" s="306">
        <v>0</v>
      </c>
      <c r="E184" s="306">
        <v>166.10407880601201</v>
      </c>
      <c r="F184" s="306">
        <v>169.09011968775329</v>
      </c>
      <c r="G184" s="307">
        <v>172.46201679003602</v>
      </c>
    </row>
    <row r="185" spans="1:7">
      <c r="A185" s="39" t="s">
        <v>1932</v>
      </c>
      <c r="C185" s="306">
        <v>1.0852043891985581E-2</v>
      </c>
      <c r="D185" s="306">
        <v>0</v>
      </c>
      <c r="E185" s="306">
        <v>1.0852043891985581E-2</v>
      </c>
      <c r="F185" s="306">
        <v>1.1047130291698645E-2</v>
      </c>
      <c r="G185" s="307">
        <v>1.126742575714574E-2</v>
      </c>
    </row>
    <row r="186" spans="1:7">
      <c r="A186" s="39" t="s">
        <v>1935</v>
      </c>
      <c r="C186" s="306">
        <v>5.0301808290579168E-2</v>
      </c>
      <c r="D186" s="306">
        <v>0</v>
      </c>
      <c r="E186" s="306">
        <v>5.0041136311129157E-2</v>
      </c>
      <c r="F186" s="306">
        <v>5.0301808290579168E-2</v>
      </c>
      <c r="G186" s="307">
        <v>5.130489777876332E-2</v>
      </c>
    </row>
    <row r="187" spans="1:7" ht="15" thickBot="1">
      <c r="A187" s="39" t="s">
        <v>1936</v>
      </c>
      <c r="C187" s="306">
        <v>112.63126361832531</v>
      </c>
      <c r="D187" s="306">
        <v>0</v>
      </c>
      <c r="E187" s="306">
        <v>0</v>
      </c>
      <c r="F187" s="306">
        <v>112.63126361832531</v>
      </c>
      <c r="G187" s="307">
        <v>114.87729095642402</v>
      </c>
    </row>
    <row r="188" spans="1:7" ht="15" thickBot="1">
      <c r="A188" s="39" t="s">
        <v>115</v>
      </c>
      <c r="C188" s="314">
        <v>3933.629861290276</v>
      </c>
      <c r="D188" s="315">
        <v>3654.2551357820266</v>
      </c>
      <c r="E188" s="315">
        <v>3926.809650539602</v>
      </c>
      <c r="F188" s="315">
        <v>4110.0322452643813</v>
      </c>
      <c r="G188" s="316">
        <v>4191.9921246688509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105.81131353962968</v>
      </c>
      <c r="E190" s="306">
        <v>70.591070434474517</v>
      </c>
      <c r="F190" s="306">
        <v>81.959879404469419</v>
      </c>
      <c r="G190" s="307">
        <v>258.36226337857363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3933.629861290276</v>
      </c>
      <c r="D202" s="315">
        <v>3654.2551357820266</v>
      </c>
      <c r="E202" s="315">
        <v>3926.809650539602</v>
      </c>
      <c r="F202" s="315">
        <v>4110.0322452643813</v>
      </c>
      <c r="G202" s="316">
        <v>4191.9921246688509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105.81131353962968</v>
      </c>
      <c r="E204" s="318">
        <v>70.591070434474517</v>
      </c>
      <c r="F204" s="318">
        <v>81.959879404469419</v>
      </c>
      <c r="G204" s="319">
        <v>258.36226337857363</v>
      </c>
    </row>
    <row r="205" spans="1:7" ht="15" thickBot="1"/>
    <row r="206" spans="1:7" ht="15" thickBot="1">
      <c r="A206" s="1623" t="s">
        <v>9203</v>
      </c>
      <c r="B206" s="1630"/>
      <c r="C206" s="1630"/>
      <c r="D206" s="1630"/>
      <c r="E206" s="1630"/>
      <c r="F206" s="1630"/>
      <c r="G206" s="1631"/>
    </row>
    <row r="207" spans="1:7">
      <c r="A207" s="30"/>
      <c r="B207" s="60"/>
      <c r="C207" s="60"/>
      <c r="D207" s="60"/>
      <c r="E207" s="60"/>
      <c r="F207" s="60"/>
      <c r="G207" s="40"/>
    </row>
    <row r="208" spans="1:7">
      <c r="A208" s="95"/>
      <c r="B208" s="33"/>
      <c r="C208" s="3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1.0288767887888439</v>
      </c>
      <c r="F213" s="299">
        <v>1.0182814898940273</v>
      </c>
      <c r="G213" s="300">
        <v>1.0202101548224667</v>
      </c>
    </row>
    <row r="214" spans="1:7">
      <c r="A214" s="39" t="s">
        <v>1924</v>
      </c>
      <c r="C214" s="29"/>
      <c r="D214" s="301">
        <v>0.98035954420571847</v>
      </c>
      <c r="E214" s="301">
        <v>0.99486379178782891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2287.1094912695121</v>
      </c>
      <c r="D217" s="304">
        <v>2287.1094912695121</v>
      </c>
      <c r="E217" s="304">
        <v>2353.1538689858621</v>
      </c>
      <c r="F217" s="304">
        <v>2396.1730276608187</v>
      </c>
      <c r="G217" s="305">
        <v>2444.6000555312626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201.91439751301868</v>
      </c>
      <c r="D220" s="308">
        <v>201.91439751301868</v>
      </c>
      <c r="E220" s="308">
        <v>207.74503692342878</v>
      </c>
      <c r="F220" s="308">
        <v>211.54292571647878</v>
      </c>
      <c r="G220" s="309">
        <v>215.8182409968064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2.3644386139837222E-2</v>
      </c>
      <c r="D222" s="310">
        <v>2.3179999619074826E-2</v>
      </c>
      <c r="E222" s="308">
        <v>2.3644386139837222E-2</v>
      </c>
      <c r="F222" s="308">
        <v>2.4076640746103137E-2</v>
      </c>
      <c r="G222" s="309">
        <v>2.4563233383186792E-2</v>
      </c>
    </row>
    <row r="223" spans="1:7">
      <c r="A223" s="39" t="s">
        <v>1931</v>
      </c>
      <c r="B223" s="96"/>
      <c r="C223" s="308">
        <v>3.1077112829549763E-2</v>
      </c>
      <c r="D223" s="306"/>
      <c r="E223" s="308">
        <v>3.1077112829549763E-2</v>
      </c>
      <c r="F223" s="308">
        <v>3.1645248753678724E-2</v>
      </c>
      <c r="G223" s="309">
        <v>3.2284804130386043E-2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201.96911901198806</v>
      </c>
      <c r="D225" s="312">
        <v>201.93757751263777</v>
      </c>
      <c r="E225" s="312">
        <v>207.79975842239816</v>
      </c>
      <c r="F225" s="312">
        <v>211.59864760597856</v>
      </c>
      <c r="G225" s="313">
        <v>215.87508903431998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1258.2511327075767</v>
      </c>
      <c r="D228" s="308">
        <v>1258.2511327075767</v>
      </c>
      <c r="E228" s="308">
        <v>1294.585384910097</v>
      </c>
      <c r="F228" s="308">
        <v>1318.2523345412865</v>
      </c>
      <c r="G228" s="309">
        <v>1344.894418317444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31.040345332233986</v>
      </c>
      <c r="D230" s="308">
        <v>30.430698801897012</v>
      </c>
      <c r="E230" s="308">
        <v>31.040345332233986</v>
      </c>
      <c r="F230" s="308">
        <v>31.607809091732342</v>
      </c>
      <c r="G230" s="309">
        <v>32.246607807075222</v>
      </c>
    </row>
    <row r="231" spans="1:7">
      <c r="A231" s="39" t="s">
        <v>1931</v>
      </c>
      <c r="B231" s="96"/>
      <c r="C231" s="308">
        <v>12.828422542069339</v>
      </c>
      <c r="D231" s="306"/>
      <c r="E231" s="308">
        <v>12.828422542069339</v>
      </c>
      <c r="F231" s="308">
        <v>13.062945219128492</v>
      </c>
      <c r="G231" s="309">
        <v>13.326949364444481</v>
      </c>
    </row>
    <row r="232" spans="1:7">
      <c r="A232" s="39" t="s">
        <v>1932</v>
      </c>
      <c r="B232" s="96"/>
      <c r="C232" s="308">
        <v>1.1506617046249281E-2</v>
      </c>
      <c r="D232" s="306"/>
      <c r="E232" s="308">
        <v>1.1506617046249281E-2</v>
      </c>
      <c r="F232" s="308">
        <v>1.171697514949473E-2</v>
      </c>
      <c r="G232" s="309">
        <v>1.1953777031317014E-2</v>
      </c>
    </row>
    <row r="233" spans="1:7">
      <c r="A233" s="39" t="s">
        <v>1935</v>
      </c>
      <c r="B233" s="96"/>
      <c r="C233" s="308">
        <v>5.3724946515470502E-2</v>
      </c>
      <c r="D233" s="306"/>
      <c r="E233" s="308">
        <v>5.344900400397929E-2</v>
      </c>
      <c r="F233" s="308">
        <v>5.3724946515470502E-2</v>
      </c>
      <c r="G233" s="309">
        <v>5.4810736002376903E-2</v>
      </c>
    </row>
    <row r="234" spans="1:7">
      <c r="A234" s="39" t="s">
        <v>1936</v>
      </c>
      <c r="B234" s="96"/>
      <c r="C234" s="308">
        <v>0.12539379214121874</v>
      </c>
      <c r="D234" s="306"/>
      <c r="E234" s="306"/>
      <c r="F234" s="308">
        <v>0.12539379214121874</v>
      </c>
      <c r="G234" s="309">
        <v>0.12792802009416898</v>
      </c>
    </row>
    <row r="235" spans="1:7">
      <c r="A235" s="39" t="s">
        <v>1933</v>
      </c>
      <c r="B235" s="96"/>
      <c r="C235" s="311">
        <v>1302.3105259375832</v>
      </c>
      <c r="D235" s="312">
        <v>1288.6818315094738</v>
      </c>
      <c r="E235" s="312">
        <v>1338.5191084054507</v>
      </c>
      <c r="F235" s="312">
        <v>1363.1139245659538</v>
      </c>
      <c r="G235" s="313">
        <v>1390.6626680220916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9.803595442057185E-5</v>
      </c>
      <c r="E238" s="308">
        <v>1E-4</v>
      </c>
      <c r="F238" s="308">
        <v>1.0182814898940274E-4</v>
      </c>
      <c r="G238" s="309">
        <v>1.0388611164576377E-4</v>
      </c>
    </row>
    <row r="239" spans="1:7">
      <c r="A239" s="39" t="s">
        <v>1931</v>
      </c>
      <c r="B239" s="96"/>
      <c r="C239" s="308">
        <v>154.08590718448022</v>
      </c>
      <c r="D239" s="306"/>
      <c r="E239" s="308">
        <v>154.08590718448022</v>
      </c>
      <c r="F239" s="308">
        <v>156.90282713948534</v>
      </c>
      <c r="G239" s="309">
        <v>160.07385756805706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1.0182814898940274E-4</v>
      </c>
      <c r="G240" s="309">
        <v>1.0388611164576377E-4</v>
      </c>
    </row>
    <row r="241" spans="1:7">
      <c r="A241" s="39" t="s">
        <v>1935</v>
      </c>
      <c r="B241" s="96"/>
      <c r="C241" s="308">
        <v>1E-4</v>
      </c>
      <c r="D241" s="306"/>
      <c r="E241" s="308">
        <v>9.9486379178782898E-5</v>
      </c>
      <c r="F241" s="308">
        <v>1E-4</v>
      </c>
      <c r="G241" s="309">
        <v>1.0202101548224667E-4</v>
      </c>
    </row>
    <row r="242" spans="1:7">
      <c r="A242" s="39" t="s">
        <v>1936</v>
      </c>
      <c r="B242" s="96"/>
      <c r="C242" s="308">
        <v>112.51409281551977</v>
      </c>
      <c r="D242" s="306"/>
      <c r="E242" s="306"/>
      <c r="F242" s="308">
        <v>112.51409281551977</v>
      </c>
      <c r="G242" s="309">
        <v>114.78802005103081</v>
      </c>
    </row>
    <row r="243" spans="1:7">
      <c r="A243" s="39" t="s">
        <v>1933</v>
      </c>
      <c r="B243" s="96"/>
      <c r="C243" s="311">
        <v>266.6003</v>
      </c>
      <c r="D243" s="312">
        <v>9.803595442057185E-5</v>
      </c>
      <c r="E243" s="312">
        <v>154.08620667085941</v>
      </c>
      <c r="F243" s="312">
        <v>269.41722361130309</v>
      </c>
      <c r="G243" s="313">
        <v>274.86218741232665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3747.2750214901075</v>
      </c>
      <c r="D249" s="306">
        <v>3747.2750214901075</v>
      </c>
      <c r="E249" s="306">
        <v>3855.4842908193878</v>
      </c>
      <c r="F249" s="306">
        <v>3925.9682879185839</v>
      </c>
      <c r="G249" s="307">
        <v>4005.3127148455128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31.064089718373822</v>
      </c>
      <c r="D251" s="306">
        <v>30.453976837470506</v>
      </c>
      <c r="E251" s="306">
        <v>31.064089718373822</v>
      </c>
      <c r="F251" s="306">
        <v>31.631987560627433</v>
      </c>
      <c r="G251" s="307">
        <v>32.271274926570051</v>
      </c>
    </row>
    <row r="252" spans="1:7">
      <c r="A252" s="39" t="s">
        <v>1931</v>
      </c>
      <c r="C252" s="306">
        <v>166.9454068393791</v>
      </c>
      <c r="D252" s="306">
        <v>0</v>
      </c>
      <c r="E252" s="306">
        <v>166.9454068393791</v>
      </c>
      <c r="F252" s="306">
        <v>169.99741760736751</v>
      </c>
      <c r="G252" s="307">
        <v>173.43309173663192</v>
      </c>
    </row>
    <row r="253" spans="1:7">
      <c r="A253" s="39" t="s">
        <v>1932</v>
      </c>
      <c r="C253" s="306">
        <v>1.160661704624928E-2</v>
      </c>
      <c r="D253" s="306">
        <v>0</v>
      </c>
      <c r="E253" s="306">
        <v>1.160661704624928E-2</v>
      </c>
      <c r="F253" s="306">
        <v>1.1818803298484132E-2</v>
      </c>
      <c r="G253" s="307">
        <v>1.2057663142962777E-2</v>
      </c>
    </row>
    <row r="254" spans="1:7">
      <c r="A254" s="39" t="s">
        <v>1935</v>
      </c>
      <c r="C254" s="306">
        <v>5.3824946515470505E-2</v>
      </c>
      <c r="D254" s="306">
        <v>0</v>
      </c>
      <c r="E254" s="306">
        <v>5.3548490383158072E-2</v>
      </c>
      <c r="F254" s="306">
        <v>5.3824946515470505E-2</v>
      </c>
      <c r="G254" s="307">
        <v>5.4912757017859151E-2</v>
      </c>
    </row>
    <row r="255" spans="1:7" ht="15" thickBot="1">
      <c r="A255" s="39" t="s">
        <v>1936</v>
      </c>
      <c r="C255" s="306">
        <v>112.639486607661</v>
      </c>
      <c r="D255" s="306">
        <v>0</v>
      </c>
      <c r="E255" s="306">
        <v>0</v>
      </c>
      <c r="F255" s="306">
        <v>112.639486607661</v>
      </c>
      <c r="G255" s="307">
        <v>114.91594807112499</v>
      </c>
    </row>
    <row r="256" spans="1:7" ht="15" thickBot="1">
      <c r="A256" s="39" t="s">
        <v>115</v>
      </c>
      <c r="C256" s="314">
        <v>4057.9894362190835</v>
      </c>
      <c r="D256" s="315">
        <v>3777.7289983275782</v>
      </c>
      <c r="E256" s="315">
        <v>4053.5589424845703</v>
      </c>
      <c r="F256" s="315">
        <v>4240.3028234440535</v>
      </c>
      <c r="G256" s="316">
        <v>4326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108.20926932928023</v>
      </c>
      <c r="E258" s="306">
        <v>74.104117895690052</v>
      </c>
      <c r="F258" s="306">
        <v>85.697176555946371</v>
      </c>
      <c r="G258" s="307">
        <v>268.01056378091664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4057.9894362190835</v>
      </c>
      <c r="D270" s="315">
        <v>3777.7289983275782</v>
      </c>
      <c r="E270" s="315">
        <v>4053.5589424845703</v>
      </c>
      <c r="F270" s="315">
        <v>4240.3028234440535</v>
      </c>
      <c r="G270" s="316">
        <v>4326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108.20926932928023</v>
      </c>
      <c r="E272" s="318">
        <v>74.104117895690052</v>
      </c>
      <c r="F272" s="318">
        <v>85.697176555946371</v>
      </c>
      <c r="G272" s="319">
        <v>268.01056378091664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8" tint="0.59999389629810485"/>
  </sheetPr>
  <dimension ref="B2:AF121"/>
  <sheetViews>
    <sheetView tabSelected="1" showOutlineSymbols="0" workbookViewId="0"/>
  </sheetViews>
  <sheetFormatPr defaultColWidth="8.88671875" defaultRowHeight="14.4"/>
  <cols>
    <col min="1" max="1" width="8.88671875" style="328"/>
    <col min="2" max="2" width="42.88671875" style="328" customWidth="1"/>
    <col min="3" max="3" width="2.6640625" style="328" customWidth="1"/>
    <col min="4" max="4" width="17.88671875" style="328" customWidth="1"/>
    <col min="5" max="5" width="2.6640625" style="328" customWidth="1"/>
    <col min="6" max="6" width="17.88671875" style="328" customWidth="1"/>
    <col min="7" max="7" width="2.6640625" style="328" customWidth="1"/>
    <col min="8" max="8" width="20.5546875" style="328" customWidth="1"/>
    <col min="9" max="9" width="2.6640625" style="328" customWidth="1"/>
    <col min="10" max="10" width="17.88671875" style="328" customWidth="1"/>
    <col min="11" max="11" width="2.6640625" style="328" customWidth="1"/>
    <col min="12" max="12" width="17.88671875" style="328" customWidth="1"/>
    <col min="13" max="13" width="2.6640625" style="328" customWidth="1"/>
    <col min="14" max="14" width="17.88671875" style="328" customWidth="1"/>
    <col min="15" max="15" width="2.6640625" style="328" customWidth="1"/>
    <col min="16" max="16" width="17.88671875" style="328" customWidth="1"/>
    <col min="17" max="17" width="2.6640625" style="328" customWidth="1"/>
    <col min="18" max="18" width="17.88671875" style="328" customWidth="1"/>
    <col min="19" max="19" width="2.6640625" style="328" customWidth="1"/>
    <col min="20" max="20" width="17.88671875" style="328" customWidth="1"/>
    <col min="21" max="21" width="8.88671875" style="328"/>
    <col min="22" max="22" width="18.33203125" style="328" bestFit="1" customWidth="1"/>
    <col min="23" max="31" width="8.88671875" style="328"/>
    <col min="32" max="32" width="18.33203125" style="328" bestFit="1" customWidth="1"/>
    <col min="33" max="16384" width="8.88671875" style="328"/>
  </cols>
  <sheetData>
    <row r="2" spans="2:32" ht="15.6">
      <c r="C2" s="1667"/>
      <c r="D2" s="1667"/>
      <c r="E2" s="1667"/>
      <c r="J2" s="490" t="s">
        <v>2301</v>
      </c>
      <c r="K2" s="1667"/>
      <c r="L2" s="1668"/>
      <c r="M2" s="1667"/>
      <c r="N2" s="1667"/>
      <c r="O2" s="1667"/>
      <c r="P2" s="1667"/>
      <c r="Q2" s="1667"/>
      <c r="R2" s="1667"/>
      <c r="S2" s="1667"/>
      <c r="T2" s="470" t="s">
        <v>2302</v>
      </c>
    </row>
    <row r="3" spans="2:32" ht="15.6">
      <c r="B3" s="469"/>
      <c r="C3" s="469"/>
      <c r="D3" s="469"/>
      <c r="E3" s="469"/>
      <c r="G3" s="1667"/>
      <c r="I3" s="1669"/>
      <c r="J3" s="490" t="s">
        <v>2303</v>
      </c>
      <c r="K3" s="1667"/>
      <c r="L3" s="1668"/>
      <c r="M3" s="1667"/>
      <c r="N3" s="1667"/>
      <c r="O3" s="1667"/>
      <c r="P3" s="1667"/>
      <c r="Q3" s="1667"/>
      <c r="R3" s="469"/>
      <c r="S3" s="469"/>
      <c r="T3" s="470" t="s">
        <v>2304</v>
      </c>
    </row>
    <row r="4" spans="2:32" ht="15.6">
      <c r="B4" s="3062" t="s">
        <v>2305</v>
      </c>
      <c r="C4" s="3062"/>
      <c r="D4" s="3062"/>
      <c r="E4" s="3062"/>
      <c r="F4" s="3062"/>
      <c r="G4" s="3062"/>
      <c r="H4" s="3062"/>
      <c r="I4" s="3062"/>
      <c r="J4" s="3062"/>
      <c r="K4" s="3062"/>
      <c r="L4" s="3062"/>
      <c r="M4" s="3062"/>
      <c r="N4" s="3062"/>
      <c r="O4" s="3062"/>
      <c r="P4" s="3062"/>
      <c r="Q4" s="3062"/>
      <c r="R4" s="3062"/>
      <c r="S4" s="3062"/>
      <c r="T4" s="3062"/>
    </row>
    <row r="5" spans="2:32" ht="15.6">
      <c r="B5" s="3063">
        <v>46022</v>
      </c>
      <c r="C5" s="3063"/>
      <c r="D5" s="3063"/>
      <c r="E5" s="3063"/>
      <c r="F5" s="3063"/>
      <c r="G5" s="3063"/>
      <c r="H5" s="3063"/>
      <c r="I5" s="3063"/>
      <c r="J5" s="3063"/>
      <c r="K5" s="3063"/>
      <c r="L5" s="3063"/>
      <c r="M5" s="3063"/>
      <c r="N5" s="3063"/>
      <c r="O5" s="3063"/>
      <c r="P5" s="3063"/>
      <c r="Q5" s="3063"/>
      <c r="R5" s="3063"/>
      <c r="S5" s="3063"/>
      <c r="T5" s="3063"/>
    </row>
    <row r="6" spans="2:32" ht="15.6">
      <c r="B6" s="474"/>
      <c r="C6" s="474"/>
      <c r="D6" s="475"/>
      <c r="E6" s="474"/>
      <c r="F6" s="475"/>
      <c r="G6" s="474"/>
      <c r="H6" s="475"/>
      <c r="I6" s="470"/>
      <c r="J6" s="475"/>
      <c r="K6" s="474"/>
      <c r="L6" s="475"/>
      <c r="M6" s="474"/>
      <c r="N6" s="475"/>
      <c r="O6" s="474"/>
      <c r="P6" s="475"/>
      <c r="Q6" s="474"/>
      <c r="R6" s="475"/>
      <c r="S6" s="474"/>
      <c r="T6" s="475"/>
    </row>
    <row r="7" spans="2:32" ht="15.6">
      <c r="B7" s="474"/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</row>
    <row r="8" spans="2:32" ht="15.6">
      <c r="B8" s="474"/>
      <c r="C8" s="474"/>
      <c r="D8" s="476" t="s">
        <v>2306</v>
      </c>
      <c r="E8" s="474"/>
      <c r="F8" s="476" t="s">
        <v>2307</v>
      </c>
      <c r="G8" s="474"/>
      <c r="H8" s="476" t="s">
        <v>2308</v>
      </c>
      <c r="I8" s="474"/>
      <c r="J8" s="476" t="s">
        <v>2309</v>
      </c>
      <c r="K8" s="474"/>
      <c r="L8" s="476" t="s">
        <v>2310</v>
      </c>
      <c r="M8" s="474"/>
      <c r="N8" s="476" t="s">
        <v>2311</v>
      </c>
      <c r="O8" s="474"/>
      <c r="P8" s="476" t="s">
        <v>2312</v>
      </c>
      <c r="Q8" s="474"/>
      <c r="R8" s="476" t="s">
        <v>2313</v>
      </c>
      <c r="S8" s="474"/>
      <c r="T8" s="476" t="s">
        <v>2314</v>
      </c>
    </row>
    <row r="9" spans="2:32" ht="15.6">
      <c r="B9" s="474"/>
      <c r="C9" s="474"/>
      <c r="D9" s="476"/>
      <c r="E9" s="476"/>
      <c r="F9" s="476" t="s">
        <v>2315</v>
      </c>
      <c r="G9" s="476"/>
      <c r="H9" s="476" t="s">
        <v>2316</v>
      </c>
      <c r="I9" s="476"/>
      <c r="J9" s="476"/>
      <c r="K9" s="476"/>
      <c r="L9" s="476" t="s">
        <v>2317</v>
      </c>
      <c r="M9" s="476"/>
      <c r="N9" s="476"/>
      <c r="O9" s="474"/>
      <c r="P9" s="474"/>
      <c r="Q9" s="474"/>
      <c r="R9" s="474"/>
      <c r="S9" s="474"/>
      <c r="T9" s="474"/>
    </row>
    <row r="10" spans="2:32" ht="15.6">
      <c r="B10" s="474"/>
      <c r="C10" s="474"/>
      <c r="D10" s="476" t="s">
        <v>2318</v>
      </c>
      <c r="E10" s="476"/>
      <c r="F10" s="476" t="s">
        <v>2319</v>
      </c>
      <c r="G10" s="476"/>
      <c r="H10" s="476" t="s">
        <v>2318</v>
      </c>
      <c r="I10" s="476"/>
      <c r="J10" s="476" t="s">
        <v>2320</v>
      </c>
      <c r="K10" s="476"/>
      <c r="L10" s="476" t="s">
        <v>2321</v>
      </c>
      <c r="M10" s="476"/>
      <c r="N10" s="476" t="s">
        <v>2322</v>
      </c>
      <c r="O10" s="474"/>
      <c r="P10" s="476" t="s">
        <v>2316</v>
      </c>
      <c r="Q10" s="474"/>
      <c r="R10" s="476" t="s">
        <v>2323</v>
      </c>
      <c r="S10" s="474"/>
      <c r="T10" s="476" t="s">
        <v>122</v>
      </c>
    </row>
    <row r="11" spans="2:32" ht="15.6">
      <c r="B11" s="474"/>
      <c r="C11" s="474"/>
      <c r="D11" s="476" t="s">
        <v>2324</v>
      </c>
      <c r="E11" s="476"/>
      <c r="F11" s="476" t="s">
        <v>2325</v>
      </c>
      <c r="G11" s="476"/>
      <c r="H11" s="476" t="s">
        <v>2324</v>
      </c>
      <c r="I11" s="476"/>
      <c r="J11" s="476" t="s">
        <v>2326</v>
      </c>
      <c r="K11" s="476"/>
      <c r="L11" s="476" t="s">
        <v>2327</v>
      </c>
      <c r="M11" s="476"/>
      <c r="N11" s="476" t="s">
        <v>2328</v>
      </c>
      <c r="O11" s="474"/>
      <c r="P11" s="476" t="s">
        <v>2329</v>
      </c>
      <c r="Q11" s="474"/>
      <c r="R11" s="476" t="s">
        <v>2330</v>
      </c>
      <c r="S11" s="474"/>
      <c r="T11" s="476" t="s">
        <v>2331</v>
      </c>
    </row>
    <row r="12" spans="2:32" ht="15.6">
      <c r="B12" s="474"/>
      <c r="C12" s="474"/>
      <c r="D12" s="477" t="s">
        <v>2332</v>
      </c>
      <c r="E12" s="474"/>
      <c r="F12" s="477" t="s">
        <v>2332</v>
      </c>
      <c r="G12" s="474"/>
      <c r="H12" s="477" t="s">
        <v>2332</v>
      </c>
      <c r="I12" s="474"/>
      <c r="J12" s="477" t="s">
        <v>2332</v>
      </c>
      <c r="K12" s="474"/>
      <c r="L12" s="477" t="s">
        <v>2332</v>
      </c>
      <c r="M12" s="474"/>
      <c r="N12" s="477" t="s">
        <v>2332</v>
      </c>
      <c r="O12" s="474"/>
      <c r="P12" s="477" t="s">
        <v>2332</v>
      </c>
      <c r="Q12" s="474"/>
      <c r="R12" s="477" t="s">
        <v>2332</v>
      </c>
      <c r="S12" s="474"/>
      <c r="T12" s="477" t="s">
        <v>2332</v>
      </c>
    </row>
    <row r="13" spans="2:32" ht="15.6">
      <c r="B13" s="474" t="s">
        <v>2333</v>
      </c>
      <c r="C13" s="478" t="s">
        <v>2334</v>
      </c>
      <c r="D13" s="491">
        <v>14471335398</v>
      </c>
      <c r="E13" s="492" t="s">
        <v>2334</v>
      </c>
      <c r="F13" s="491">
        <v>-4169650370</v>
      </c>
      <c r="G13" s="492" t="s">
        <v>2334</v>
      </c>
      <c r="H13" s="493">
        <v>10301685028</v>
      </c>
      <c r="I13" s="492" t="s">
        <v>2334</v>
      </c>
      <c r="J13" s="491">
        <v>69494543</v>
      </c>
      <c r="K13" s="492" t="s">
        <v>2334</v>
      </c>
      <c r="L13" s="491">
        <v>1050507012</v>
      </c>
      <c r="M13" s="492" t="s">
        <v>2334</v>
      </c>
      <c r="N13" s="491">
        <v>0</v>
      </c>
      <c r="O13" s="492" t="s">
        <v>2334</v>
      </c>
      <c r="P13" s="491">
        <v>11421686583</v>
      </c>
      <c r="Q13" s="492" t="s">
        <v>2334</v>
      </c>
      <c r="R13" s="491">
        <v>606832557.67902982</v>
      </c>
      <c r="S13" s="492" t="s">
        <v>2334</v>
      </c>
      <c r="T13" s="491">
        <v>12028519140.679029</v>
      </c>
      <c r="AF13" s="484"/>
    </row>
    <row r="14" spans="2:32" ht="15.6">
      <c r="B14" s="474"/>
      <c r="C14" s="474"/>
      <c r="D14" s="494" t="s">
        <v>2332</v>
      </c>
      <c r="E14" s="491"/>
      <c r="F14" s="494" t="s">
        <v>2332</v>
      </c>
      <c r="G14" s="491"/>
      <c r="H14" s="494" t="s">
        <v>2332</v>
      </c>
      <c r="I14" s="491"/>
      <c r="J14" s="494" t="s">
        <v>2332</v>
      </c>
      <c r="K14" s="491"/>
      <c r="L14" s="494" t="s">
        <v>2332</v>
      </c>
      <c r="M14" s="491"/>
      <c r="N14" s="494" t="s">
        <v>2332</v>
      </c>
      <c r="O14" s="491"/>
      <c r="P14" s="494" t="s">
        <v>2332</v>
      </c>
      <c r="Q14" s="491"/>
      <c r="R14" s="494" t="s">
        <v>2332</v>
      </c>
      <c r="S14" s="491"/>
      <c r="T14" s="494" t="s">
        <v>2332</v>
      </c>
    </row>
    <row r="15" spans="2:32" ht="15.6">
      <c r="B15" s="480"/>
      <c r="C15" s="474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</row>
    <row r="16" spans="2:32" ht="15.6">
      <c r="B16" s="474" t="s">
        <v>2335</v>
      </c>
      <c r="C16" s="474"/>
      <c r="D16" s="491">
        <v>14471335398</v>
      </c>
      <c r="E16" s="491"/>
      <c r="F16" s="491">
        <v>-4169650370</v>
      </c>
      <c r="G16" s="491"/>
      <c r="H16" s="493">
        <v>10301685028</v>
      </c>
      <c r="I16" s="491"/>
      <c r="J16" s="491">
        <v>69494543</v>
      </c>
      <c r="K16" s="491"/>
      <c r="L16" s="491">
        <v>1050507012</v>
      </c>
      <c r="M16" s="491"/>
      <c r="N16" s="491">
        <v>0</v>
      </c>
      <c r="O16" s="491"/>
      <c r="P16" s="491">
        <v>11421686583</v>
      </c>
      <c r="Q16" s="491"/>
      <c r="R16" s="491">
        <v>606832558</v>
      </c>
      <c r="S16" s="491"/>
      <c r="T16" s="491">
        <v>12028519141</v>
      </c>
    </row>
    <row r="17" spans="2:22" ht="15.6">
      <c r="B17" s="474"/>
      <c r="C17" s="474"/>
      <c r="D17" s="494" t="s">
        <v>2336</v>
      </c>
      <c r="E17" s="491"/>
      <c r="F17" s="494" t="s">
        <v>2336</v>
      </c>
      <c r="G17" s="491"/>
      <c r="H17" s="494" t="s">
        <v>2336</v>
      </c>
      <c r="I17" s="491"/>
      <c r="J17" s="494" t="s">
        <v>2336</v>
      </c>
      <c r="K17" s="491"/>
      <c r="L17" s="494" t="s">
        <v>2336</v>
      </c>
      <c r="M17" s="491"/>
      <c r="N17" s="494" t="s">
        <v>2336</v>
      </c>
      <c r="O17" s="491"/>
      <c r="P17" s="494" t="s">
        <v>2336</v>
      </c>
      <c r="Q17" s="491"/>
      <c r="R17" s="494" t="s">
        <v>2336</v>
      </c>
      <c r="S17" s="491"/>
      <c r="T17" s="494" t="s">
        <v>2336</v>
      </c>
    </row>
    <row r="18" spans="2:22" ht="15.6">
      <c r="B18" s="474"/>
      <c r="C18" s="474"/>
      <c r="D18" s="495"/>
      <c r="E18" s="491"/>
      <c r="F18" s="491"/>
      <c r="G18" s="491"/>
      <c r="H18" s="491"/>
      <c r="I18" s="491"/>
      <c r="J18" s="491"/>
      <c r="K18" s="491"/>
      <c r="L18" s="491"/>
      <c r="M18" s="491"/>
      <c r="N18" s="491"/>
      <c r="O18" s="491"/>
      <c r="P18" s="491"/>
      <c r="Q18" s="491"/>
      <c r="R18" s="491"/>
      <c r="S18" s="491"/>
      <c r="T18" s="491"/>
      <c r="V18" s="485"/>
    </row>
    <row r="19" spans="2:22" ht="15.6">
      <c r="B19" s="474" t="s">
        <v>2337</v>
      </c>
      <c r="C19" s="474"/>
      <c r="D19" s="491"/>
      <c r="E19" s="491"/>
      <c r="F19" s="491"/>
      <c r="G19" s="491"/>
      <c r="H19" s="491"/>
      <c r="I19" s="491"/>
      <c r="J19" s="491"/>
      <c r="K19" s="491"/>
      <c r="L19" s="491"/>
      <c r="M19" s="491"/>
      <c r="N19" s="491"/>
      <c r="O19" s="491"/>
      <c r="P19" s="491"/>
      <c r="Q19" s="491"/>
      <c r="R19" s="491"/>
      <c r="S19" s="491"/>
      <c r="T19" s="491"/>
    </row>
    <row r="20" spans="2:22" ht="15.6">
      <c r="B20" s="477" t="s">
        <v>2332</v>
      </c>
      <c r="C20" s="474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V20" s="484"/>
    </row>
    <row r="21" spans="2:22" ht="15.6">
      <c r="B21" s="474" t="s">
        <v>2353</v>
      </c>
      <c r="C21" s="474"/>
      <c r="D21" s="533">
        <v>0</v>
      </c>
      <c r="E21" s="1670"/>
      <c r="F21" s="533">
        <v>0</v>
      </c>
      <c r="G21" s="491"/>
      <c r="H21" s="493">
        <v>0</v>
      </c>
      <c r="I21" s="491"/>
      <c r="J21" s="491"/>
      <c r="K21" s="491"/>
      <c r="L21" s="491"/>
      <c r="M21" s="491"/>
      <c r="N21" s="491"/>
      <c r="O21" s="491"/>
      <c r="P21" s="491">
        <v>0</v>
      </c>
      <c r="Q21" s="491"/>
      <c r="R21" s="491">
        <v>-4744787</v>
      </c>
      <c r="S21" s="491"/>
      <c r="T21" s="491">
        <v>-4744787</v>
      </c>
      <c r="V21" s="484"/>
    </row>
    <row r="22" spans="2:22" ht="15.6">
      <c r="B22" s="474" t="s">
        <v>2354</v>
      </c>
      <c r="C22" s="474"/>
      <c r="D22" s="491">
        <v>-4188533</v>
      </c>
      <c r="E22" s="491"/>
      <c r="F22" s="491">
        <v>3412090</v>
      </c>
      <c r="G22" s="491"/>
      <c r="H22" s="493">
        <v>-776443</v>
      </c>
      <c r="I22" s="491"/>
      <c r="J22" s="491"/>
      <c r="K22" s="491"/>
      <c r="L22" s="491">
        <v>0</v>
      </c>
      <c r="M22" s="491"/>
      <c r="N22" s="491"/>
      <c r="O22" s="491"/>
      <c r="P22" s="491">
        <v>-776443</v>
      </c>
      <c r="Q22" s="491"/>
      <c r="R22" s="491">
        <v>-3795196</v>
      </c>
      <c r="S22" s="491"/>
      <c r="T22" s="491">
        <v>-4571639</v>
      </c>
      <c r="V22" s="484"/>
    </row>
    <row r="23" spans="2:22" ht="15.6">
      <c r="B23" s="481" t="s">
        <v>2338</v>
      </c>
      <c r="C23" s="474"/>
      <c r="D23" s="491"/>
      <c r="E23" s="491"/>
      <c r="F23" s="491"/>
      <c r="G23" s="491"/>
      <c r="H23" s="493">
        <v>0</v>
      </c>
      <c r="I23" s="491"/>
      <c r="J23" s="491"/>
      <c r="K23" s="491"/>
      <c r="L23" s="491"/>
      <c r="M23" s="491"/>
      <c r="N23" s="491"/>
      <c r="O23" s="491"/>
      <c r="P23" s="491">
        <v>0</v>
      </c>
      <c r="Q23" s="491"/>
      <c r="R23" s="491">
        <v>-20051707</v>
      </c>
      <c r="S23" s="491"/>
      <c r="T23" s="491">
        <v>-20051707</v>
      </c>
      <c r="V23" s="484"/>
    </row>
    <row r="24" spans="2:22" ht="15.6">
      <c r="B24" s="481" t="s">
        <v>2339</v>
      </c>
      <c r="C24" s="474"/>
      <c r="D24" s="491">
        <v>-262359646</v>
      </c>
      <c r="E24" s="491"/>
      <c r="F24" s="491">
        <v>114523153</v>
      </c>
      <c r="G24" s="491"/>
      <c r="H24" s="493">
        <v>-147836493</v>
      </c>
      <c r="I24" s="491"/>
      <c r="J24" s="491"/>
      <c r="K24" s="491"/>
      <c r="L24" s="491">
        <v>-539783</v>
      </c>
      <c r="M24" s="491"/>
      <c r="N24" s="491"/>
      <c r="O24" s="491"/>
      <c r="P24" s="491">
        <v>-148376276</v>
      </c>
      <c r="Q24" s="491"/>
      <c r="R24" s="491">
        <v>0</v>
      </c>
      <c r="S24" s="491"/>
      <c r="T24" s="491">
        <v>-148376276</v>
      </c>
    </row>
    <row r="25" spans="2:22" ht="15.6">
      <c r="B25" s="481" t="s">
        <v>2340</v>
      </c>
      <c r="C25" s="474"/>
      <c r="D25" s="491">
        <v>-673695497</v>
      </c>
      <c r="E25" s="491"/>
      <c r="F25" s="491">
        <v>21116910</v>
      </c>
      <c r="G25" s="491"/>
      <c r="H25" s="493">
        <v>-652578587</v>
      </c>
      <c r="I25" s="491"/>
      <c r="J25" s="491"/>
      <c r="K25" s="491"/>
      <c r="L25" s="491">
        <v>-32765367</v>
      </c>
      <c r="M25" s="491"/>
      <c r="N25" s="491"/>
      <c r="O25" s="491"/>
      <c r="P25" s="491">
        <v>-685343954</v>
      </c>
      <c r="Q25" s="491"/>
      <c r="R25" s="491">
        <v>-3360346</v>
      </c>
      <c r="S25" s="491"/>
      <c r="T25" s="491">
        <v>-688704300</v>
      </c>
    </row>
    <row r="26" spans="2:22" ht="15.6">
      <c r="B26" s="481" t="s">
        <v>2355</v>
      </c>
      <c r="C26" s="474"/>
      <c r="D26" s="491"/>
      <c r="E26" s="491"/>
      <c r="F26" s="491"/>
      <c r="G26" s="491"/>
      <c r="H26" s="493"/>
      <c r="I26" s="491"/>
      <c r="J26" s="491"/>
      <c r="K26" s="491"/>
      <c r="L26" s="491"/>
      <c r="M26" s="491"/>
      <c r="N26" s="491"/>
      <c r="O26" s="491"/>
      <c r="P26" s="491">
        <v>0</v>
      </c>
      <c r="Q26" s="491"/>
      <c r="R26" s="491">
        <v>-520846683</v>
      </c>
      <c r="S26" s="491"/>
      <c r="T26" s="491">
        <v>-520846683</v>
      </c>
    </row>
    <row r="27" spans="2:22" ht="15.6">
      <c r="B27" s="474" t="s">
        <v>2341</v>
      </c>
      <c r="C27" s="474"/>
      <c r="D27" s="491"/>
      <c r="E27" s="491"/>
      <c r="F27" s="491"/>
      <c r="G27" s="491"/>
      <c r="H27" s="491"/>
      <c r="I27" s="491"/>
      <c r="J27" s="491"/>
      <c r="K27" s="491"/>
      <c r="L27" s="491"/>
      <c r="M27" s="491"/>
      <c r="N27" s="491"/>
      <c r="O27" s="491"/>
      <c r="P27" s="491">
        <v>0</v>
      </c>
      <c r="Q27" s="491"/>
      <c r="R27" s="491">
        <v>-188876</v>
      </c>
      <c r="S27" s="491"/>
      <c r="T27" s="491">
        <v>-188876</v>
      </c>
    </row>
    <row r="28" spans="2:22" ht="15.6">
      <c r="B28" s="474" t="s">
        <v>2342</v>
      </c>
      <c r="C28" s="474"/>
      <c r="D28" s="491"/>
      <c r="E28" s="491"/>
      <c r="F28" s="491"/>
      <c r="G28" s="491"/>
      <c r="H28" s="491"/>
      <c r="I28" s="491"/>
      <c r="J28" s="491"/>
      <c r="K28" s="491"/>
      <c r="L28" s="491">
        <v>-1017201862</v>
      </c>
      <c r="M28" s="491"/>
      <c r="N28" s="491"/>
      <c r="O28" s="491"/>
      <c r="P28" s="491">
        <v>-1017201862</v>
      </c>
      <c r="Q28" s="491"/>
      <c r="R28" s="496"/>
      <c r="S28" s="491"/>
      <c r="T28" s="491">
        <v>-1017201862</v>
      </c>
    </row>
    <row r="29" spans="2:22" ht="15.6">
      <c r="B29" s="474" t="s">
        <v>2343</v>
      </c>
      <c r="C29" s="474"/>
      <c r="D29" s="491"/>
      <c r="E29" s="491"/>
      <c r="F29" s="491"/>
      <c r="G29" s="491"/>
      <c r="H29" s="491"/>
      <c r="I29" s="491"/>
      <c r="J29" s="491"/>
      <c r="K29" s="491"/>
      <c r="L29" s="491">
        <v>231613925.41230768</v>
      </c>
      <c r="M29" s="491"/>
      <c r="N29" s="491"/>
      <c r="O29" s="491"/>
      <c r="P29" s="491">
        <v>231613925.41230768</v>
      </c>
      <c r="Q29" s="491"/>
      <c r="R29" s="496"/>
      <c r="S29" s="491"/>
      <c r="T29" s="491">
        <v>231613925.41230768</v>
      </c>
    </row>
    <row r="30" spans="2:22" ht="15.6">
      <c r="B30" s="474" t="s">
        <v>2344</v>
      </c>
      <c r="C30" s="474"/>
      <c r="D30" s="491">
        <v>0</v>
      </c>
      <c r="E30" s="491"/>
      <c r="F30" s="491"/>
      <c r="G30" s="491"/>
      <c r="H30" s="493">
        <v>0</v>
      </c>
      <c r="I30" s="491"/>
      <c r="J30" s="491"/>
      <c r="K30" s="491"/>
      <c r="L30" s="491"/>
      <c r="M30" s="491"/>
      <c r="N30" s="491"/>
      <c r="O30" s="491"/>
      <c r="P30" s="491">
        <v>0</v>
      </c>
      <c r="Q30" s="491"/>
      <c r="R30" s="491"/>
      <c r="S30" s="491"/>
      <c r="T30" s="491">
        <v>0</v>
      </c>
    </row>
    <row r="31" spans="2:22" ht="15.6">
      <c r="B31" s="481" t="s">
        <v>2345</v>
      </c>
      <c r="C31" s="474"/>
      <c r="D31" s="491"/>
      <c r="E31" s="491"/>
      <c r="F31" s="491">
        <v>0</v>
      </c>
      <c r="G31" s="491"/>
      <c r="H31" s="493">
        <v>0</v>
      </c>
      <c r="I31" s="491"/>
      <c r="J31" s="491"/>
      <c r="K31" s="491"/>
      <c r="L31" s="491"/>
      <c r="M31" s="491"/>
      <c r="N31" s="491"/>
      <c r="O31" s="491"/>
      <c r="P31" s="491">
        <v>0</v>
      </c>
      <c r="Q31" s="491"/>
      <c r="R31" s="491"/>
      <c r="S31" s="491"/>
      <c r="T31" s="491">
        <v>0</v>
      </c>
    </row>
    <row r="32" spans="2:22" ht="15.6">
      <c r="B32" s="474" t="s">
        <v>2346</v>
      </c>
      <c r="C32" s="474"/>
      <c r="D32" s="491">
        <v>-7484822.5899999999</v>
      </c>
      <c r="E32" s="491"/>
      <c r="F32" s="491">
        <v>7001719.5899999999</v>
      </c>
      <c r="G32" s="491"/>
      <c r="H32" s="493">
        <v>-483103</v>
      </c>
      <c r="I32" s="491"/>
      <c r="J32" s="491"/>
      <c r="K32" s="491"/>
      <c r="L32" s="491"/>
      <c r="M32" s="491"/>
      <c r="N32" s="491"/>
      <c r="O32" s="491"/>
      <c r="P32" s="491">
        <v>-483103</v>
      </c>
      <c r="Q32" s="491"/>
      <c r="R32" s="491"/>
      <c r="S32" s="491"/>
      <c r="T32" s="491">
        <v>-483103</v>
      </c>
    </row>
    <row r="33" spans="2:22" ht="15.6">
      <c r="B33" s="474" t="s">
        <v>8681</v>
      </c>
      <c r="C33" s="474"/>
      <c r="D33" s="491"/>
      <c r="E33" s="491"/>
      <c r="F33" s="491"/>
      <c r="G33" s="491"/>
      <c r="H33" s="493"/>
      <c r="I33" s="491"/>
      <c r="J33" s="491"/>
      <c r="K33" s="491"/>
      <c r="L33" s="491"/>
      <c r="M33" s="491"/>
      <c r="N33" s="491"/>
      <c r="O33" s="491"/>
      <c r="P33" s="491">
        <v>0</v>
      </c>
      <c r="Q33" s="491"/>
      <c r="R33" s="491">
        <v>0</v>
      </c>
      <c r="S33" s="491"/>
      <c r="T33" s="491">
        <v>0</v>
      </c>
    </row>
    <row r="34" spans="2:22" ht="15.6">
      <c r="B34" s="474" t="s">
        <v>2347</v>
      </c>
      <c r="C34" s="474"/>
      <c r="D34" s="491">
        <v>-31496686.775198422</v>
      </c>
      <c r="E34" s="491"/>
      <c r="F34" s="491"/>
      <c r="G34" s="491"/>
      <c r="H34" s="493">
        <v>-31496686.775198422</v>
      </c>
      <c r="I34" s="491"/>
      <c r="J34" s="491"/>
      <c r="K34" s="491"/>
      <c r="L34" s="491"/>
      <c r="M34" s="491"/>
      <c r="N34" s="491"/>
      <c r="O34" s="491"/>
      <c r="P34" s="491">
        <v>-31496686.775198422</v>
      </c>
      <c r="Q34" s="491"/>
      <c r="R34" s="491">
        <v>33124850</v>
      </c>
      <c r="S34" s="491"/>
      <c r="T34" s="491">
        <v>1628163.2248015776</v>
      </c>
    </row>
    <row r="35" spans="2:22" ht="15.6">
      <c r="B35" s="474"/>
      <c r="C35" s="474"/>
      <c r="D35" s="491"/>
      <c r="E35" s="491"/>
      <c r="F35" s="491"/>
      <c r="G35" s="491"/>
      <c r="H35" s="491"/>
      <c r="I35" s="491"/>
      <c r="J35" s="491"/>
      <c r="K35" s="491"/>
      <c r="L35" s="491"/>
      <c r="M35" s="491"/>
      <c r="N35" s="491"/>
      <c r="O35" s="491"/>
      <c r="P35" s="491"/>
      <c r="Q35" s="491"/>
      <c r="R35" s="491"/>
      <c r="S35" s="491"/>
      <c r="T35" s="491"/>
    </row>
    <row r="36" spans="2:22" ht="15.6">
      <c r="B36" s="474"/>
      <c r="C36" s="474"/>
      <c r="D36" s="494" t="s">
        <v>2332</v>
      </c>
      <c r="E36" s="491"/>
      <c r="F36" s="494" t="s">
        <v>2332</v>
      </c>
      <c r="G36" s="491"/>
      <c r="H36" s="494" t="s">
        <v>2332</v>
      </c>
      <c r="I36" s="491"/>
      <c r="J36" s="494" t="s">
        <v>2332</v>
      </c>
      <c r="K36" s="491"/>
      <c r="L36" s="494" t="s">
        <v>2332</v>
      </c>
      <c r="M36" s="491"/>
      <c r="N36" s="494" t="s">
        <v>2332</v>
      </c>
      <c r="O36" s="491"/>
      <c r="P36" s="494" t="s">
        <v>2332</v>
      </c>
      <c r="Q36" s="491"/>
      <c r="R36" s="494" t="s">
        <v>2332</v>
      </c>
      <c r="S36" s="491"/>
      <c r="T36" s="494" t="s">
        <v>2332</v>
      </c>
      <c r="V36" s="485"/>
    </row>
    <row r="37" spans="2:22" ht="15.6">
      <c r="B37" s="474" t="s">
        <v>2348</v>
      </c>
      <c r="C37" s="474"/>
      <c r="D37" s="491">
        <v>-979225185.36519849</v>
      </c>
      <c r="E37" s="491"/>
      <c r="F37" s="491">
        <v>146053872.59</v>
      </c>
      <c r="G37" s="491"/>
      <c r="H37" s="491">
        <v>-833171312.77519846</v>
      </c>
      <c r="I37" s="491"/>
      <c r="J37" s="491">
        <v>0</v>
      </c>
      <c r="K37" s="491"/>
      <c r="L37" s="491">
        <v>-818893086.58769226</v>
      </c>
      <c r="M37" s="491"/>
      <c r="N37" s="491">
        <v>0</v>
      </c>
      <c r="O37" s="491"/>
      <c r="P37" s="491">
        <v>-1652064399.3628907</v>
      </c>
      <c r="Q37" s="491"/>
      <c r="R37" s="491">
        <v>-519862745</v>
      </c>
      <c r="S37" s="491"/>
      <c r="T37" s="491">
        <v>-2171927144.3628907</v>
      </c>
    </row>
    <row r="38" spans="2:22" ht="15.6">
      <c r="B38" s="474"/>
      <c r="C38" s="474"/>
      <c r="D38" s="494" t="s">
        <v>2332</v>
      </c>
      <c r="E38" s="491"/>
      <c r="F38" s="494" t="s">
        <v>2332</v>
      </c>
      <c r="G38" s="491"/>
      <c r="H38" s="494" t="s">
        <v>2332</v>
      </c>
      <c r="I38" s="491"/>
      <c r="J38" s="494" t="s">
        <v>2332</v>
      </c>
      <c r="K38" s="491"/>
      <c r="L38" s="494" t="s">
        <v>2332</v>
      </c>
      <c r="M38" s="491"/>
      <c r="N38" s="494" t="s">
        <v>2332</v>
      </c>
      <c r="O38" s="491"/>
      <c r="P38" s="494" t="s">
        <v>2332</v>
      </c>
      <c r="Q38" s="491"/>
      <c r="R38" s="494" t="s">
        <v>2332</v>
      </c>
      <c r="S38" s="491"/>
      <c r="T38" s="494" t="s">
        <v>2332</v>
      </c>
    </row>
    <row r="39" spans="2:22" ht="15.6">
      <c r="B39" s="474" t="s">
        <v>2349</v>
      </c>
      <c r="C39" s="474"/>
      <c r="D39" s="491">
        <v>13492110212.634802</v>
      </c>
      <c r="E39" s="491"/>
      <c r="F39" s="491">
        <v>-4023596497.4099998</v>
      </c>
      <c r="G39" s="491"/>
      <c r="H39" s="491">
        <v>9468513715.224802</v>
      </c>
      <c r="I39" s="491"/>
      <c r="J39" s="491">
        <v>69494543</v>
      </c>
      <c r="K39" s="491"/>
      <c r="L39" s="491">
        <v>231613925.41230774</v>
      </c>
      <c r="M39" s="491"/>
      <c r="N39" s="491">
        <v>0</v>
      </c>
      <c r="O39" s="491"/>
      <c r="P39" s="491">
        <v>9769622183.6371098</v>
      </c>
      <c r="Q39" s="491"/>
      <c r="R39" s="491">
        <v>86969813</v>
      </c>
      <c r="S39" s="491"/>
      <c r="T39" s="491">
        <v>9856591996.6371098</v>
      </c>
    </row>
    <row r="40" spans="2:22" ht="15.6">
      <c r="B40" s="474"/>
      <c r="C40" s="474"/>
      <c r="D40" s="494" t="s">
        <v>2332</v>
      </c>
      <c r="E40" s="491"/>
      <c r="F40" s="494" t="s">
        <v>2332</v>
      </c>
      <c r="G40" s="491"/>
      <c r="H40" s="494" t="s">
        <v>2332</v>
      </c>
      <c r="I40" s="491"/>
      <c r="J40" s="494" t="s">
        <v>2332</v>
      </c>
      <c r="K40" s="491"/>
      <c r="L40" s="494" t="s">
        <v>2332</v>
      </c>
      <c r="M40" s="491"/>
      <c r="N40" s="494" t="s">
        <v>2332</v>
      </c>
      <c r="O40" s="491"/>
      <c r="P40" s="494" t="s">
        <v>2332</v>
      </c>
      <c r="Q40" s="491"/>
      <c r="R40" s="494" t="s">
        <v>2332</v>
      </c>
      <c r="S40" s="491"/>
      <c r="T40" s="494" t="s">
        <v>2332</v>
      </c>
    </row>
    <row r="41" spans="2:22" ht="15.6">
      <c r="B41" s="474" t="s">
        <v>2350</v>
      </c>
      <c r="C41" s="474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491"/>
      <c r="T41" s="491"/>
    </row>
    <row r="42" spans="2:22" ht="15.6">
      <c r="B42" s="474"/>
      <c r="C42" s="474"/>
      <c r="D42" s="491"/>
      <c r="E42" s="491"/>
      <c r="F42" s="491"/>
      <c r="G42" s="491"/>
      <c r="H42" s="491"/>
      <c r="I42" s="491"/>
      <c r="J42" s="491"/>
      <c r="K42" s="491"/>
      <c r="L42" s="491"/>
      <c r="M42" s="491"/>
      <c r="N42" s="491"/>
      <c r="O42" s="491"/>
      <c r="P42" s="491"/>
      <c r="Q42" s="491"/>
      <c r="R42" s="491"/>
      <c r="S42" s="491"/>
      <c r="T42" s="491"/>
    </row>
    <row r="43" spans="2:22" ht="15.6">
      <c r="B43" s="477" t="s">
        <v>2332</v>
      </c>
      <c r="C43" s="474"/>
      <c r="D43" s="491"/>
      <c r="E43" s="491"/>
      <c r="F43" s="491"/>
      <c r="G43" s="491"/>
      <c r="H43" s="491"/>
      <c r="I43" s="491"/>
      <c r="J43" s="491"/>
      <c r="K43" s="491"/>
      <c r="L43" s="491"/>
      <c r="M43" s="491"/>
      <c r="N43" s="491"/>
      <c r="O43" s="491"/>
      <c r="P43" s="491"/>
      <c r="Q43" s="491"/>
      <c r="R43" s="491"/>
      <c r="S43" s="491"/>
      <c r="T43" s="491"/>
    </row>
    <row r="44" spans="2:22" ht="15.6">
      <c r="B44" s="482"/>
      <c r="C44" s="482"/>
      <c r="D44" s="497"/>
      <c r="E44" s="497"/>
      <c r="F44" s="497"/>
      <c r="G44" s="497"/>
      <c r="H44" s="497"/>
      <c r="I44" s="497"/>
      <c r="J44" s="497"/>
      <c r="K44" s="497"/>
      <c r="L44" s="497"/>
      <c r="M44" s="497"/>
      <c r="N44" s="497"/>
      <c r="O44" s="497"/>
      <c r="P44" s="497"/>
      <c r="Q44" s="497"/>
      <c r="R44" s="497"/>
      <c r="S44" s="497"/>
      <c r="T44" s="497"/>
    </row>
    <row r="45" spans="2:22" ht="15.6">
      <c r="B45" s="474"/>
      <c r="C45" s="474"/>
      <c r="D45" s="491"/>
      <c r="E45" s="491"/>
      <c r="F45" s="491"/>
      <c r="G45" s="491"/>
      <c r="H45" s="491"/>
      <c r="I45" s="491"/>
      <c r="J45" s="491"/>
      <c r="K45" s="491"/>
      <c r="L45" s="491"/>
      <c r="M45" s="491"/>
      <c r="N45" s="491"/>
      <c r="O45" s="491"/>
      <c r="P45" s="491"/>
      <c r="Q45" s="491"/>
      <c r="R45" s="491"/>
      <c r="S45" s="491"/>
      <c r="T45" s="491"/>
    </row>
    <row r="46" spans="2:22" ht="15.6">
      <c r="B46" s="474"/>
      <c r="C46" s="474"/>
      <c r="D46" s="494" t="s">
        <v>2332</v>
      </c>
      <c r="E46" s="491"/>
      <c r="F46" s="494" t="s">
        <v>2332</v>
      </c>
      <c r="G46" s="491"/>
      <c r="H46" s="494" t="s">
        <v>2332</v>
      </c>
      <c r="I46" s="491"/>
      <c r="J46" s="494" t="s">
        <v>2332</v>
      </c>
      <c r="K46" s="491"/>
      <c r="L46" s="494" t="s">
        <v>2332</v>
      </c>
      <c r="M46" s="491"/>
      <c r="N46" s="494" t="s">
        <v>2332</v>
      </c>
      <c r="O46" s="491"/>
      <c r="P46" s="494" t="s">
        <v>2332</v>
      </c>
      <c r="Q46" s="491"/>
      <c r="R46" s="494" t="s">
        <v>2332</v>
      </c>
      <c r="S46" s="491"/>
      <c r="T46" s="494" t="s">
        <v>2332</v>
      </c>
    </row>
    <row r="47" spans="2:22" ht="15.6">
      <c r="B47" s="474" t="s">
        <v>2351</v>
      </c>
      <c r="C47" s="474"/>
      <c r="D47" s="491">
        <v>0</v>
      </c>
      <c r="E47" s="491"/>
      <c r="F47" s="491">
        <v>0</v>
      </c>
      <c r="G47" s="491"/>
      <c r="H47" s="491">
        <v>0</v>
      </c>
      <c r="I47" s="491"/>
      <c r="J47" s="491">
        <v>0</v>
      </c>
      <c r="K47" s="491"/>
      <c r="L47" s="491">
        <v>0</v>
      </c>
      <c r="M47" s="491"/>
      <c r="N47" s="491">
        <v>0</v>
      </c>
      <c r="O47" s="491"/>
      <c r="P47" s="491">
        <v>0</v>
      </c>
      <c r="Q47" s="491"/>
      <c r="R47" s="491">
        <v>0</v>
      </c>
      <c r="S47" s="491"/>
      <c r="T47" s="491">
        <v>0</v>
      </c>
    </row>
    <row r="48" spans="2:22" ht="15.6">
      <c r="B48" s="474"/>
      <c r="C48" s="474"/>
      <c r="D48" s="494" t="s">
        <v>2332</v>
      </c>
      <c r="E48" s="491"/>
      <c r="F48" s="494" t="s">
        <v>2332</v>
      </c>
      <c r="G48" s="491"/>
      <c r="H48" s="494" t="s">
        <v>2332</v>
      </c>
      <c r="I48" s="491"/>
      <c r="J48" s="494" t="s">
        <v>2332</v>
      </c>
      <c r="K48" s="491"/>
      <c r="L48" s="494" t="s">
        <v>2332</v>
      </c>
      <c r="M48" s="491"/>
      <c r="N48" s="494" t="s">
        <v>2332</v>
      </c>
      <c r="O48" s="491"/>
      <c r="P48" s="494" t="s">
        <v>2332</v>
      </c>
      <c r="Q48" s="491"/>
      <c r="R48" s="494" t="s">
        <v>2332</v>
      </c>
      <c r="S48" s="491"/>
      <c r="T48" s="494" t="s">
        <v>2332</v>
      </c>
    </row>
    <row r="49" spans="2:20" ht="15.6">
      <c r="B49" s="474" t="s">
        <v>2352</v>
      </c>
      <c r="C49" s="483" t="s">
        <v>2334</v>
      </c>
      <c r="D49" s="491">
        <v>13492110212.634802</v>
      </c>
      <c r="E49" s="498" t="s">
        <v>2334</v>
      </c>
      <c r="F49" s="491">
        <v>-4023596497.4099998</v>
      </c>
      <c r="G49" s="498" t="s">
        <v>2334</v>
      </c>
      <c r="H49" s="491">
        <v>9468513715.224802</v>
      </c>
      <c r="I49" s="498" t="s">
        <v>2334</v>
      </c>
      <c r="J49" s="491">
        <v>69494543</v>
      </c>
      <c r="K49" s="498" t="s">
        <v>2334</v>
      </c>
      <c r="L49" s="491">
        <v>231613925.41230774</v>
      </c>
      <c r="M49" s="498" t="s">
        <v>2334</v>
      </c>
      <c r="N49" s="491">
        <v>0</v>
      </c>
      <c r="O49" s="498" t="s">
        <v>2334</v>
      </c>
      <c r="P49" s="491">
        <v>9769622183.6371098</v>
      </c>
      <c r="Q49" s="498" t="s">
        <v>2334</v>
      </c>
      <c r="R49" s="491">
        <v>86969813</v>
      </c>
      <c r="S49" s="498" t="s">
        <v>2334</v>
      </c>
      <c r="T49" s="491">
        <v>9856591996.6371098</v>
      </c>
    </row>
    <row r="50" spans="2:20" ht="15.6">
      <c r="B50" s="474"/>
      <c r="C50" s="474"/>
      <c r="D50" s="494" t="s">
        <v>2336</v>
      </c>
      <c r="E50" s="491"/>
      <c r="F50" s="494" t="s">
        <v>2336</v>
      </c>
      <c r="G50" s="491"/>
      <c r="H50" s="494" t="s">
        <v>2336</v>
      </c>
      <c r="I50" s="491"/>
      <c r="J50" s="494" t="s">
        <v>2336</v>
      </c>
      <c r="K50" s="491"/>
      <c r="L50" s="494" t="s">
        <v>2336</v>
      </c>
      <c r="M50" s="491"/>
      <c r="N50" s="494" t="s">
        <v>2336</v>
      </c>
      <c r="O50" s="491"/>
      <c r="P50" s="494" t="s">
        <v>2336</v>
      </c>
      <c r="Q50" s="491"/>
      <c r="R50" s="494" t="s">
        <v>2336</v>
      </c>
      <c r="S50" s="491"/>
      <c r="T50" s="494" t="s">
        <v>2336</v>
      </c>
    </row>
    <row r="57" spans="2:20" ht="15.6">
      <c r="B57" s="474"/>
      <c r="C57" s="474"/>
      <c r="D57" s="474"/>
      <c r="E57" s="474"/>
      <c r="F57" s="474"/>
      <c r="G57" s="474"/>
      <c r="H57" s="474"/>
      <c r="I57" s="474"/>
      <c r="J57" s="474"/>
      <c r="K57" s="474"/>
      <c r="L57" s="474"/>
      <c r="M57" s="474"/>
      <c r="N57" s="474"/>
      <c r="O57" s="474"/>
      <c r="P57" s="474"/>
      <c r="Q57" s="474"/>
      <c r="R57" s="474"/>
      <c r="S57" s="474"/>
      <c r="T57" s="474"/>
    </row>
    <row r="58" spans="2:20" ht="15.6">
      <c r="B58" s="474"/>
      <c r="C58" s="474"/>
      <c r="D58" s="474"/>
      <c r="E58" s="474"/>
      <c r="F58" s="474"/>
      <c r="G58" s="474"/>
      <c r="H58" s="474"/>
      <c r="I58" s="474"/>
      <c r="J58" s="474"/>
      <c r="K58" s="474"/>
      <c r="L58" s="474"/>
      <c r="M58" s="474"/>
      <c r="N58" s="474"/>
      <c r="O58" s="474"/>
      <c r="P58" s="474"/>
      <c r="Q58" s="474"/>
      <c r="R58" s="474"/>
      <c r="S58" s="474"/>
      <c r="T58" s="474"/>
    </row>
    <row r="59" spans="2:20" ht="15.6">
      <c r="B59" s="487"/>
      <c r="C59" s="474"/>
      <c r="D59" s="474"/>
      <c r="E59" s="474"/>
      <c r="F59" s="474"/>
      <c r="G59" s="474"/>
      <c r="H59" s="474"/>
      <c r="I59" s="474"/>
      <c r="J59" s="474"/>
      <c r="K59" s="474"/>
      <c r="L59" s="474"/>
      <c r="M59" s="474"/>
      <c r="N59" s="474"/>
      <c r="O59" s="474"/>
      <c r="P59" s="474"/>
      <c r="Q59" s="474"/>
      <c r="R59" s="474"/>
      <c r="S59" s="474"/>
      <c r="T59" s="474"/>
    </row>
    <row r="60" spans="2:20" ht="15.6">
      <c r="B60" s="487"/>
      <c r="C60" s="474"/>
      <c r="D60" s="474"/>
      <c r="E60" s="474"/>
      <c r="F60" s="474"/>
      <c r="G60" s="474"/>
      <c r="H60" s="474"/>
      <c r="I60" s="474"/>
      <c r="J60" s="474"/>
      <c r="K60" s="474"/>
      <c r="L60" s="474"/>
      <c r="M60" s="474"/>
      <c r="N60" s="474"/>
      <c r="O60" s="474"/>
      <c r="P60" s="474"/>
      <c r="Q60" s="474"/>
      <c r="R60" s="474"/>
      <c r="S60" s="474"/>
      <c r="T60" s="474"/>
    </row>
    <row r="61" spans="2:20" ht="15.6">
      <c r="B61" s="487"/>
      <c r="C61" s="474"/>
      <c r="D61" s="474"/>
      <c r="E61" s="474"/>
      <c r="F61" s="474"/>
      <c r="G61" s="474"/>
      <c r="H61" s="474"/>
      <c r="I61" s="474"/>
      <c r="J61" s="474"/>
      <c r="K61" s="474"/>
      <c r="L61" s="474"/>
      <c r="M61" s="474"/>
      <c r="N61" s="474"/>
      <c r="O61" s="474"/>
      <c r="P61" s="474"/>
      <c r="Q61" s="474"/>
      <c r="R61" s="474"/>
      <c r="S61" s="474"/>
      <c r="T61" s="474"/>
    </row>
    <row r="66" spans="2:22" ht="15.6">
      <c r="B66" s="469"/>
      <c r="C66" s="469"/>
      <c r="D66" s="469"/>
      <c r="E66" s="469"/>
      <c r="F66" s="469"/>
      <c r="G66" s="469"/>
      <c r="H66" s="488"/>
      <c r="I66" s="469"/>
      <c r="K66" s="469"/>
      <c r="L66" s="469"/>
      <c r="M66" s="469"/>
      <c r="N66" s="469"/>
      <c r="O66" s="469"/>
      <c r="P66" s="469"/>
      <c r="Q66" s="469"/>
      <c r="R66" s="469"/>
      <c r="S66" s="469"/>
      <c r="T66" s="470"/>
    </row>
    <row r="67" spans="2:22" ht="15.6">
      <c r="B67" s="469"/>
      <c r="C67" s="469"/>
      <c r="D67" s="469"/>
      <c r="E67" s="469"/>
      <c r="F67" s="469"/>
      <c r="G67" s="469"/>
      <c r="H67" s="488"/>
      <c r="I67" s="469"/>
      <c r="K67" s="469"/>
      <c r="L67" s="469"/>
      <c r="M67" s="469"/>
      <c r="N67" s="469"/>
      <c r="O67" s="469"/>
      <c r="P67" s="469"/>
      <c r="Q67" s="469"/>
      <c r="R67" s="469"/>
      <c r="S67" s="469"/>
      <c r="T67" s="470"/>
    </row>
    <row r="68" spans="2:22" ht="15.6">
      <c r="B68" s="471"/>
      <c r="C68" s="471"/>
      <c r="D68" s="471"/>
      <c r="E68" s="471"/>
      <c r="F68" s="471"/>
      <c r="G68" s="471"/>
      <c r="H68" s="471"/>
      <c r="I68" s="471"/>
      <c r="J68" s="471"/>
      <c r="K68" s="471"/>
      <c r="L68" s="471"/>
      <c r="M68" s="471"/>
      <c r="N68" s="471"/>
      <c r="O68" s="471"/>
      <c r="P68" s="471"/>
      <c r="Q68" s="471"/>
      <c r="R68" s="471"/>
      <c r="S68" s="471"/>
      <c r="T68" s="471"/>
    </row>
    <row r="69" spans="2:22" ht="15.6">
      <c r="B69" s="472"/>
      <c r="C69" s="471"/>
      <c r="D69" s="473"/>
      <c r="E69" s="471"/>
      <c r="F69" s="471"/>
      <c r="G69" s="471"/>
      <c r="H69" s="471"/>
      <c r="I69" s="471"/>
      <c r="J69" s="471"/>
      <c r="K69" s="471"/>
      <c r="L69" s="471"/>
      <c r="M69" s="471"/>
      <c r="N69" s="471"/>
      <c r="O69" s="471"/>
      <c r="P69" s="471"/>
      <c r="Q69" s="471"/>
      <c r="R69" s="471"/>
      <c r="S69" s="471"/>
      <c r="T69" s="471"/>
    </row>
    <row r="70" spans="2:22" ht="15.6">
      <c r="B70" s="474"/>
      <c r="C70" s="474"/>
      <c r="D70" s="475"/>
      <c r="E70" s="474"/>
      <c r="F70" s="475"/>
      <c r="G70" s="474"/>
      <c r="H70" s="475"/>
      <c r="I70" s="470"/>
      <c r="J70" s="475"/>
      <c r="K70" s="474"/>
      <c r="L70" s="475"/>
      <c r="M70" s="474"/>
      <c r="N70" s="475"/>
      <c r="O70" s="474"/>
      <c r="P70" s="475"/>
      <c r="Q70" s="474"/>
      <c r="R70" s="475"/>
      <c r="S70" s="474"/>
      <c r="T70" s="475"/>
    </row>
    <row r="71" spans="2:22" ht="15.6">
      <c r="B71" s="474"/>
      <c r="C71" s="474"/>
      <c r="D71" s="474"/>
      <c r="E71" s="474"/>
      <c r="F71" s="474"/>
      <c r="G71" s="474"/>
      <c r="H71" s="474"/>
      <c r="I71" s="474"/>
      <c r="J71" s="474"/>
      <c r="K71" s="474"/>
      <c r="L71" s="474"/>
      <c r="M71" s="474"/>
      <c r="N71" s="474"/>
      <c r="O71" s="474"/>
      <c r="P71" s="474"/>
      <c r="Q71" s="474"/>
      <c r="R71" s="474"/>
      <c r="S71" s="474"/>
      <c r="T71" s="474"/>
    </row>
    <row r="72" spans="2:22" ht="15.6">
      <c r="B72" s="474"/>
      <c r="C72" s="474"/>
      <c r="D72" s="476"/>
      <c r="E72" s="474"/>
      <c r="F72" s="476"/>
      <c r="G72" s="474"/>
      <c r="H72" s="476"/>
      <c r="I72" s="474"/>
      <c r="J72" s="476"/>
      <c r="K72" s="474"/>
      <c r="L72" s="476"/>
      <c r="M72" s="474"/>
      <c r="N72" s="476"/>
      <c r="O72" s="474"/>
      <c r="P72" s="476"/>
      <c r="Q72" s="474"/>
      <c r="R72" s="476"/>
      <c r="S72" s="474"/>
      <c r="T72" s="476"/>
    </row>
    <row r="73" spans="2:22" ht="15.6">
      <c r="B73" s="474"/>
      <c r="C73" s="474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4"/>
      <c r="P73" s="474"/>
      <c r="Q73" s="474"/>
      <c r="R73" s="474"/>
      <c r="S73" s="474"/>
      <c r="T73" s="474"/>
    </row>
    <row r="74" spans="2:22" ht="15.6">
      <c r="B74" s="474"/>
      <c r="C74" s="474"/>
      <c r="D74" s="476"/>
      <c r="E74" s="476"/>
      <c r="F74" s="476"/>
      <c r="G74" s="476"/>
      <c r="H74" s="476"/>
      <c r="I74" s="476"/>
      <c r="J74" s="476"/>
      <c r="K74" s="476"/>
      <c r="L74" s="476"/>
      <c r="M74" s="476"/>
      <c r="N74" s="476"/>
      <c r="O74" s="474"/>
      <c r="P74" s="476"/>
      <c r="Q74" s="474"/>
      <c r="R74" s="476"/>
      <c r="S74" s="474"/>
      <c r="T74" s="476"/>
    </row>
    <row r="75" spans="2:22" ht="15.6">
      <c r="B75" s="474"/>
      <c r="C75" s="474"/>
      <c r="D75" s="476"/>
      <c r="E75" s="476"/>
      <c r="F75" s="476"/>
      <c r="G75" s="476"/>
      <c r="H75" s="476"/>
      <c r="I75" s="476"/>
      <c r="J75" s="476"/>
      <c r="K75" s="476"/>
      <c r="L75" s="476"/>
      <c r="M75" s="476"/>
      <c r="N75" s="476"/>
      <c r="O75" s="474"/>
      <c r="P75" s="476"/>
      <c r="Q75" s="474"/>
      <c r="R75" s="476"/>
      <c r="S75" s="474"/>
      <c r="T75" s="476"/>
    </row>
    <row r="76" spans="2:22" ht="15.6">
      <c r="B76" s="474"/>
      <c r="C76" s="474"/>
      <c r="D76" s="477"/>
      <c r="E76" s="474"/>
      <c r="F76" s="477"/>
      <c r="G76" s="474"/>
      <c r="H76" s="477"/>
      <c r="I76" s="474"/>
      <c r="J76" s="477"/>
      <c r="K76" s="474"/>
      <c r="L76" s="477"/>
      <c r="M76" s="474"/>
      <c r="N76" s="477"/>
      <c r="O76" s="474"/>
      <c r="P76" s="477"/>
      <c r="Q76" s="474"/>
      <c r="R76" s="477"/>
      <c r="S76" s="474"/>
      <c r="T76" s="477"/>
    </row>
    <row r="77" spans="2:22" ht="15.6">
      <c r="B77" s="474"/>
      <c r="C77" s="478"/>
      <c r="D77" s="474"/>
      <c r="E77" s="478"/>
      <c r="F77" s="474"/>
      <c r="G77" s="478"/>
      <c r="H77" s="489"/>
      <c r="I77" s="478"/>
      <c r="J77" s="474"/>
      <c r="K77" s="478"/>
      <c r="L77" s="474"/>
      <c r="M77" s="478"/>
      <c r="N77" s="474"/>
      <c r="O77" s="478"/>
      <c r="P77" s="474"/>
      <c r="Q77" s="478"/>
      <c r="R77" s="474"/>
      <c r="S77" s="478"/>
      <c r="T77" s="474"/>
      <c r="V77" s="485"/>
    </row>
    <row r="78" spans="2:22" ht="15.6">
      <c r="B78" s="474"/>
      <c r="C78" s="474"/>
      <c r="D78" s="477"/>
      <c r="E78" s="474"/>
      <c r="F78" s="477"/>
      <c r="G78" s="474"/>
      <c r="H78" s="477"/>
      <c r="I78" s="474"/>
      <c r="J78" s="477"/>
      <c r="K78" s="474"/>
      <c r="L78" s="477"/>
      <c r="M78" s="474"/>
      <c r="N78" s="477"/>
      <c r="O78" s="474"/>
      <c r="P78" s="477"/>
      <c r="Q78" s="474"/>
      <c r="R78" s="477"/>
      <c r="S78" s="474"/>
      <c r="T78" s="477"/>
    </row>
    <row r="79" spans="2:22" ht="15.6">
      <c r="B79" s="480"/>
      <c r="C79" s="474"/>
      <c r="D79" s="474"/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474"/>
      <c r="Q79" s="474"/>
      <c r="R79" s="474"/>
      <c r="S79" s="474"/>
      <c r="T79" s="474"/>
    </row>
    <row r="80" spans="2:22" ht="15.6">
      <c r="B80" s="474"/>
      <c r="C80" s="474"/>
      <c r="D80" s="474"/>
      <c r="E80" s="474"/>
      <c r="F80" s="474"/>
      <c r="G80" s="474"/>
      <c r="H80" s="489"/>
      <c r="I80" s="474"/>
      <c r="J80" s="474"/>
      <c r="K80" s="474"/>
      <c r="L80" s="474"/>
      <c r="M80" s="474"/>
      <c r="N80" s="474"/>
      <c r="O80" s="474"/>
      <c r="P80" s="474"/>
      <c r="Q80" s="474"/>
      <c r="R80" s="474"/>
      <c r="S80" s="474"/>
      <c r="T80" s="474"/>
    </row>
    <row r="81" spans="2:20" ht="15.6">
      <c r="B81" s="474"/>
      <c r="C81" s="474"/>
      <c r="D81" s="477"/>
      <c r="E81" s="474"/>
      <c r="F81" s="477"/>
      <c r="G81" s="474"/>
      <c r="H81" s="477"/>
      <c r="I81" s="474"/>
      <c r="J81" s="477"/>
      <c r="K81" s="474"/>
      <c r="L81" s="477"/>
      <c r="M81" s="474"/>
      <c r="N81" s="477"/>
      <c r="O81" s="474"/>
      <c r="P81" s="477"/>
      <c r="Q81" s="474"/>
      <c r="R81" s="477"/>
      <c r="S81" s="474"/>
      <c r="T81" s="477"/>
    </row>
    <row r="82" spans="2:20" ht="15.6">
      <c r="B82" s="474"/>
      <c r="C82" s="474"/>
      <c r="D82" s="469"/>
      <c r="E82" s="474"/>
      <c r="F82" s="474"/>
      <c r="G82" s="474"/>
      <c r="H82" s="474"/>
      <c r="I82" s="474"/>
      <c r="J82" s="474"/>
      <c r="K82" s="474"/>
      <c r="L82" s="474"/>
      <c r="M82" s="474"/>
      <c r="N82" s="474"/>
      <c r="O82" s="474"/>
      <c r="P82" s="474"/>
      <c r="Q82" s="474"/>
      <c r="R82" s="474"/>
      <c r="S82" s="474"/>
      <c r="T82" s="474"/>
    </row>
    <row r="83" spans="2:20" ht="15.6">
      <c r="B83" s="474"/>
      <c r="C83" s="474"/>
      <c r="D83" s="474"/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474"/>
      <c r="Q83" s="474"/>
      <c r="R83" s="474"/>
      <c r="S83" s="474"/>
      <c r="T83" s="474"/>
    </row>
    <row r="84" spans="2:20" ht="15.6">
      <c r="B84" s="477"/>
      <c r="C84" s="474"/>
      <c r="D84" s="474"/>
      <c r="E84" s="474"/>
      <c r="F84" s="474"/>
      <c r="G84" s="474"/>
      <c r="H84" s="474"/>
      <c r="I84" s="474"/>
      <c r="J84" s="474"/>
      <c r="K84" s="474"/>
      <c r="L84" s="474"/>
      <c r="M84" s="474"/>
      <c r="N84" s="474"/>
      <c r="O84" s="474"/>
      <c r="P84" s="474"/>
      <c r="Q84" s="474"/>
      <c r="R84" s="474"/>
      <c r="S84" s="474"/>
      <c r="T84" s="474"/>
    </row>
    <row r="85" spans="2:20" ht="15.6">
      <c r="B85" s="474"/>
      <c r="C85" s="474"/>
      <c r="D85" s="474"/>
      <c r="E85" s="474"/>
      <c r="F85" s="474"/>
      <c r="G85" s="474"/>
      <c r="H85" s="479"/>
      <c r="I85" s="474"/>
      <c r="J85" s="474"/>
      <c r="K85" s="474"/>
      <c r="L85" s="474"/>
      <c r="M85" s="474"/>
      <c r="N85" s="474"/>
      <c r="O85" s="474"/>
      <c r="P85" s="474"/>
      <c r="Q85" s="474"/>
      <c r="R85" s="474"/>
      <c r="S85" s="474"/>
      <c r="T85" s="474"/>
    </row>
    <row r="86" spans="2:20" ht="15.6">
      <c r="B86" s="474"/>
      <c r="C86" s="474"/>
      <c r="D86" s="474"/>
      <c r="E86" s="474"/>
      <c r="F86" s="474"/>
      <c r="G86" s="474"/>
      <c r="H86" s="479"/>
      <c r="I86" s="474"/>
      <c r="J86" s="474"/>
      <c r="K86" s="474"/>
      <c r="L86" s="474"/>
      <c r="M86" s="474"/>
      <c r="N86" s="474"/>
      <c r="O86" s="474"/>
      <c r="P86" s="474"/>
      <c r="Q86" s="474"/>
      <c r="R86" s="474"/>
      <c r="S86" s="474"/>
      <c r="T86" s="474"/>
    </row>
    <row r="87" spans="2:20" ht="15.6">
      <c r="B87" s="481"/>
      <c r="C87" s="474"/>
      <c r="D87" s="474"/>
      <c r="E87" s="474"/>
      <c r="F87" s="474"/>
      <c r="G87" s="474"/>
      <c r="H87" s="479"/>
      <c r="I87" s="474"/>
      <c r="J87" s="474"/>
      <c r="K87" s="474"/>
      <c r="L87" s="474"/>
      <c r="M87" s="474"/>
      <c r="N87" s="474"/>
      <c r="O87" s="474"/>
      <c r="P87" s="474"/>
      <c r="Q87" s="474"/>
      <c r="R87" s="474"/>
      <c r="S87" s="474"/>
      <c r="T87" s="474"/>
    </row>
    <row r="88" spans="2:20" ht="15.6">
      <c r="B88" s="481"/>
      <c r="C88" s="474"/>
      <c r="D88" s="474"/>
      <c r="E88" s="474"/>
      <c r="F88" s="474"/>
      <c r="G88" s="474"/>
      <c r="H88" s="479"/>
      <c r="I88" s="474"/>
      <c r="J88" s="474"/>
      <c r="K88" s="474"/>
      <c r="L88" s="474"/>
      <c r="M88" s="474"/>
      <c r="N88" s="474"/>
      <c r="O88" s="474"/>
      <c r="P88" s="474"/>
      <c r="Q88" s="474"/>
      <c r="R88" s="474"/>
      <c r="S88" s="474"/>
      <c r="T88" s="474"/>
    </row>
    <row r="89" spans="2:20" ht="15.6">
      <c r="B89" s="481"/>
      <c r="C89" s="474"/>
      <c r="D89" s="474"/>
      <c r="E89" s="474"/>
      <c r="F89" s="474"/>
      <c r="G89" s="474"/>
      <c r="H89" s="479"/>
      <c r="I89" s="474"/>
      <c r="J89" s="474"/>
      <c r="K89" s="474"/>
      <c r="L89" s="474"/>
      <c r="M89" s="474"/>
      <c r="N89" s="474"/>
      <c r="O89" s="474"/>
      <c r="P89" s="474"/>
      <c r="Q89" s="474"/>
      <c r="R89" s="474"/>
      <c r="S89" s="474"/>
      <c r="T89" s="474"/>
    </row>
    <row r="90" spans="2:20" ht="15.6">
      <c r="B90" s="481"/>
      <c r="C90" s="474"/>
      <c r="D90" s="474"/>
      <c r="E90" s="474"/>
      <c r="F90" s="474"/>
      <c r="G90" s="474"/>
      <c r="H90" s="479"/>
      <c r="I90" s="474"/>
      <c r="J90" s="474"/>
      <c r="K90" s="474"/>
      <c r="L90" s="474"/>
      <c r="M90" s="474"/>
      <c r="N90" s="474"/>
      <c r="O90" s="474"/>
      <c r="P90" s="474"/>
      <c r="Q90" s="474"/>
      <c r="R90" s="474"/>
      <c r="S90" s="474"/>
      <c r="T90" s="474"/>
    </row>
    <row r="91" spans="2:20" ht="15.6">
      <c r="B91" s="474"/>
      <c r="C91" s="474"/>
      <c r="D91" s="474"/>
      <c r="E91" s="474"/>
      <c r="F91" s="474"/>
      <c r="G91" s="474"/>
      <c r="H91" s="474"/>
      <c r="I91" s="474"/>
      <c r="J91" s="474"/>
      <c r="K91" s="474"/>
      <c r="L91" s="474"/>
      <c r="M91" s="474"/>
      <c r="N91" s="474"/>
      <c r="O91" s="474"/>
      <c r="P91" s="474"/>
      <c r="Q91" s="474"/>
      <c r="R91" s="474"/>
      <c r="S91" s="474"/>
      <c r="T91" s="474"/>
    </row>
    <row r="92" spans="2:20" ht="15.6">
      <c r="B92" s="474"/>
      <c r="C92" s="474"/>
      <c r="D92" s="474"/>
      <c r="E92" s="474"/>
      <c r="F92" s="474"/>
      <c r="G92" s="474"/>
      <c r="H92" s="474"/>
      <c r="I92" s="474"/>
      <c r="J92" s="474"/>
      <c r="K92" s="474"/>
      <c r="L92" s="474"/>
      <c r="M92" s="474"/>
      <c r="N92" s="474"/>
      <c r="O92" s="474"/>
      <c r="P92" s="474"/>
      <c r="Q92" s="474"/>
      <c r="R92" s="475"/>
      <c r="S92" s="474"/>
      <c r="T92" s="474"/>
    </row>
    <row r="93" spans="2:20" ht="15.6">
      <c r="B93" s="474"/>
      <c r="C93" s="474"/>
      <c r="D93" s="474"/>
      <c r="E93" s="474"/>
      <c r="F93" s="474"/>
      <c r="G93" s="474"/>
      <c r="H93" s="474"/>
      <c r="I93" s="474"/>
      <c r="J93" s="474"/>
      <c r="K93" s="474"/>
      <c r="L93" s="474"/>
      <c r="M93" s="474"/>
      <c r="N93" s="474"/>
      <c r="O93" s="474"/>
      <c r="P93" s="474"/>
      <c r="Q93" s="474"/>
      <c r="R93" s="475"/>
      <c r="S93" s="474"/>
      <c r="T93" s="474"/>
    </row>
    <row r="94" spans="2:20" ht="15.6">
      <c r="B94" s="474"/>
      <c r="C94" s="474"/>
      <c r="D94" s="474"/>
      <c r="E94" s="474"/>
      <c r="F94" s="474"/>
      <c r="G94" s="474"/>
      <c r="H94" s="479"/>
      <c r="I94" s="474"/>
      <c r="J94" s="474"/>
      <c r="K94" s="474"/>
      <c r="L94" s="474"/>
      <c r="M94" s="474"/>
      <c r="N94" s="474"/>
      <c r="O94" s="474"/>
      <c r="P94" s="474"/>
      <c r="Q94" s="474"/>
      <c r="R94" s="474"/>
      <c r="S94" s="474"/>
      <c r="T94" s="474"/>
    </row>
    <row r="95" spans="2:20" ht="15.6">
      <c r="B95" s="481"/>
      <c r="C95" s="474"/>
      <c r="D95" s="474"/>
      <c r="E95" s="474"/>
      <c r="F95" s="474"/>
      <c r="G95" s="474"/>
      <c r="H95" s="479"/>
      <c r="I95" s="474"/>
      <c r="J95" s="474"/>
      <c r="K95" s="474"/>
      <c r="L95" s="474"/>
      <c r="M95" s="474"/>
      <c r="N95" s="474"/>
      <c r="O95" s="474"/>
      <c r="P95" s="474"/>
      <c r="Q95" s="474"/>
      <c r="R95" s="474"/>
      <c r="S95" s="474"/>
      <c r="T95" s="474"/>
    </row>
    <row r="96" spans="2:20" ht="15.6">
      <c r="B96" s="474"/>
      <c r="C96" s="474"/>
      <c r="D96" s="474"/>
      <c r="E96" s="474"/>
      <c r="F96" s="474"/>
      <c r="G96" s="474"/>
      <c r="H96" s="479"/>
      <c r="I96" s="474"/>
      <c r="J96" s="474"/>
      <c r="K96" s="474"/>
      <c r="L96" s="474"/>
      <c r="M96" s="474"/>
      <c r="N96" s="474"/>
      <c r="O96" s="474"/>
      <c r="P96" s="474"/>
      <c r="Q96" s="474"/>
      <c r="R96" s="474"/>
      <c r="S96" s="474"/>
      <c r="T96" s="474"/>
    </row>
    <row r="97" spans="2:20" ht="15.6">
      <c r="B97" s="474"/>
      <c r="C97" s="474"/>
      <c r="D97" s="474"/>
      <c r="E97" s="474"/>
      <c r="F97" s="474"/>
      <c r="G97" s="474"/>
      <c r="H97" s="479"/>
      <c r="I97" s="474"/>
      <c r="J97" s="474"/>
      <c r="K97" s="474"/>
      <c r="L97" s="474"/>
      <c r="M97" s="474"/>
      <c r="N97" s="474"/>
      <c r="O97" s="474"/>
      <c r="P97" s="474"/>
      <c r="Q97" s="474"/>
      <c r="R97" s="474"/>
      <c r="S97" s="474"/>
      <c r="T97" s="474"/>
    </row>
    <row r="98" spans="2:20" ht="15.6">
      <c r="B98" s="474"/>
      <c r="C98" s="474"/>
      <c r="D98" s="474"/>
      <c r="E98" s="474"/>
      <c r="F98" s="474"/>
      <c r="G98" s="474"/>
      <c r="H98" s="474"/>
      <c r="I98" s="474"/>
      <c r="J98" s="474"/>
      <c r="K98" s="474"/>
      <c r="L98" s="474"/>
      <c r="M98" s="474"/>
      <c r="N98" s="474"/>
      <c r="O98" s="474"/>
      <c r="P98" s="474"/>
      <c r="Q98" s="474"/>
      <c r="R98" s="474"/>
      <c r="S98" s="474"/>
      <c r="T98" s="474"/>
    </row>
    <row r="99" spans="2:20" ht="15.6">
      <c r="B99" s="474"/>
      <c r="C99" s="474"/>
      <c r="D99" s="477"/>
      <c r="E99" s="474"/>
      <c r="F99" s="477"/>
      <c r="G99" s="474"/>
      <c r="H99" s="477"/>
      <c r="I99" s="474"/>
      <c r="J99" s="477"/>
      <c r="K99" s="474"/>
      <c r="L99" s="477"/>
      <c r="M99" s="474"/>
      <c r="N99" s="477"/>
      <c r="O99" s="474"/>
      <c r="P99" s="477"/>
      <c r="Q99" s="474"/>
      <c r="R99" s="477"/>
      <c r="S99" s="474"/>
      <c r="T99" s="477"/>
    </row>
    <row r="100" spans="2:20" ht="15.6">
      <c r="B100" s="474"/>
      <c r="C100" s="474"/>
      <c r="D100" s="474"/>
      <c r="E100" s="474"/>
      <c r="F100" s="474"/>
      <c r="G100" s="474"/>
      <c r="H100" s="474"/>
      <c r="I100" s="474"/>
      <c r="J100" s="474"/>
      <c r="K100" s="474"/>
      <c r="L100" s="474"/>
      <c r="M100" s="474"/>
      <c r="N100" s="474"/>
      <c r="O100" s="474"/>
      <c r="P100" s="474"/>
      <c r="Q100" s="474"/>
      <c r="R100" s="474"/>
      <c r="S100" s="474"/>
      <c r="T100" s="474"/>
    </row>
    <row r="101" spans="2:20" ht="15.6">
      <c r="B101" s="474"/>
      <c r="C101" s="474"/>
      <c r="D101" s="477"/>
      <c r="E101" s="474"/>
      <c r="F101" s="477"/>
      <c r="G101" s="474"/>
      <c r="H101" s="477"/>
      <c r="I101" s="474"/>
      <c r="J101" s="477"/>
      <c r="K101" s="474"/>
      <c r="L101" s="477"/>
      <c r="M101" s="474"/>
      <c r="N101" s="477"/>
      <c r="O101" s="474"/>
      <c r="P101" s="477"/>
      <c r="Q101" s="474"/>
      <c r="R101" s="477"/>
      <c r="S101" s="474"/>
      <c r="T101" s="477"/>
    </row>
    <row r="102" spans="2:20" ht="15.6">
      <c r="B102" s="474"/>
      <c r="C102" s="474"/>
      <c r="D102" s="474"/>
      <c r="E102" s="474"/>
      <c r="F102" s="474"/>
      <c r="G102" s="474"/>
      <c r="H102" s="474"/>
      <c r="I102" s="474"/>
      <c r="J102" s="474"/>
      <c r="K102" s="474"/>
      <c r="L102" s="474"/>
      <c r="M102" s="474"/>
      <c r="N102" s="474"/>
      <c r="O102" s="474"/>
      <c r="P102" s="474"/>
      <c r="Q102" s="474"/>
      <c r="R102" s="474"/>
      <c r="S102" s="474"/>
      <c r="T102" s="474"/>
    </row>
    <row r="103" spans="2:20" ht="15.6">
      <c r="B103" s="474"/>
      <c r="C103" s="474"/>
      <c r="D103" s="477"/>
      <c r="E103" s="474"/>
      <c r="F103" s="477"/>
      <c r="G103" s="474"/>
      <c r="H103" s="477"/>
      <c r="I103" s="474"/>
      <c r="J103" s="477"/>
      <c r="K103" s="474"/>
      <c r="L103" s="477"/>
      <c r="M103" s="474"/>
      <c r="N103" s="477"/>
      <c r="O103" s="474"/>
      <c r="P103" s="477"/>
      <c r="Q103" s="474"/>
      <c r="R103" s="477"/>
      <c r="S103" s="474"/>
      <c r="T103" s="477"/>
    </row>
    <row r="104" spans="2:20" ht="15.6">
      <c r="B104" s="474"/>
      <c r="C104" s="474"/>
      <c r="D104" s="474"/>
      <c r="E104" s="474"/>
      <c r="F104" s="474"/>
      <c r="G104" s="474"/>
      <c r="H104" s="474"/>
      <c r="I104" s="474"/>
      <c r="J104" s="474"/>
      <c r="K104" s="474"/>
      <c r="L104" s="474"/>
      <c r="M104" s="474"/>
      <c r="N104" s="474"/>
      <c r="O104" s="474"/>
      <c r="P104" s="474"/>
      <c r="Q104" s="474"/>
      <c r="R104" s="474"/>
      <c r="S104" s="474"/>
      <c r="T104" s="474"/>
    </row>
    <row r="105" spans="2:20" ht="15.6">
      <c r="B105" s="474"/>
      <c r="C105" s="474"/>
      <c r="D105" s="474"/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474"/>
    </row>
    <row r="106" spans="2:20" ht="15.6">
      <c r="B106" s="477"/>
      <c r="C106" s="474"/>
      <c r="D106" s="474"/>
      <c r="E106" s="474"/>
      <c r="F106" s="474"/>
      <c r="G106" s="474"/>
      <c r="H106" s="474"/>
      <c r="I106" s="474"/>
      <c r="J106" s="474"/>
      <c r="K106" s="474"/>
      <c r="L106" s="474"/>
      <c r="M106" s="474"/>
      <c r="N106" s="474"/>
      <c r="O106" s="474"/>
      <c r="P106" s="474"/>
      <c r="Q106" s="474"/>
      <c r="R106" s="482"/>
      <c r="S106" s="482"/>
      <c r="T106" s="474"/>
    </row>
    <row r="107" spans="2:20" ht="15.6">
      <c r="B107" s="482"/>
      <c r="C107" s="482"/>
      <c r="D107" s="482"/>
      <c r="E107" s="482"/>
      <c r="F107" s="482"/>
      <c r="G107" s="482"/>
      <c r="H107" s="482"/>
      <c r="I107" s="482"/>
      <c r="J107" s="482"/>
      <c r="K107" s="482"/>
      <c r="L107" s="482"/>
      <c r="M107" s="482"/>
      <c r="N107" s="482"/>
      <c r="O107" s="482"/>
      <c r="P107" s="482"/>
      <c r="Q107" s="482"/>
      <c r="R107" s="482"/>
      <c r="S107" s="482"/>
      <c r="T107" s="482"/>
    </row>
    <row r="108" spans="2:20" ht="15.6">
      <c r="B108" s="474"/>
      <c r="C108" s="474"/>
      <c r="D108" s="474"/>
      <c r="E108" s="474"/>
      <c r="F108" s="474"/>
      <c r="G108" s="474"/>
      <c r="H108" s="474"/>
      <c r="I108" s="474"/>
      <c r="J108" s="474"/>
      <c r="K108" s="474"/>
      <c r="L108" s="474"/>
      <c r="M108" s="474"/>
      <c r="N108" s="474"/>
      <c r="O108" s="474"/>
      <c r="P108" s="474"/>
      <c r="Q108" s="474"/>
      <c r="R108" s="474"/>
      <c r="S108" s="474"/>
      <c r="T108" s="474"/>
    </row>
    <row r="109" spans="2:20" ht="15.6">
      <c r="B109" s="474"/>
      <c r="C109" s="474"/>
      <c r="D109" s="477"/>
      <c r="E109" s="474"/>
      <c r="F109" s="477"/>
      <c r="G109" s="474"/>
      <c r="H109" s="477"/>
      <c r="I109" s="474"/>
      <c r="J109" s="477"/>
      <c r="K109" s="474"/>
      <c r="L109" s="477"/>
      <c r="M109" s="474"/>
      <c r="N109" s="477"/>
      <c r="O109" s="474"/>
      <c r="P109" s="477"/>
      <c r="Q109" s="474"/>
      <c r="R109" s="477"/>
      <c r="S109" s="474"/>
      <c r="T109" s="477"/>
    </row>
    <row r="110" spans="2:20" ht="15.6">
      <c r="B110" s="474"/>
      <c r="C110" s="474"/>
      <c r="D110" s="474"/>
      <c r="E110" s="474"/>
      <c r="F110" s="474"/>
      <c r="G110" s="474"/>
      <c r="H110" s="474"/>
      <c r="I110" s="474"/>
      <c r="J110" s="474"/>
      <c r="K110" s="474"/>
      <c r="L110" s="474"/>
      <c r="M110" s="474"/>
      <c r="N110" s="474"/>
      <c r="O110" s="474"/>
      <c r="P110" s="474"/>
      <c r="Q110" s="474"/>
      <c r="R110" s="474"/>
      <c r="S110" s="474"/>
      <c r="T110" s="474"/>
    </row>
    <row r="111" spans="2:20" ht="15.6">
      <c r="B111" s="474"/>
      <c r="C111" s="474"/>
      <c r="D111" s="477"/>
      <c r="E111" s="474"/>
      <c r="F111" s="477"/>
      <c r="G111" s="474"/>
      <c r="H111" s="477"/>
      <c r="I111" s="474"/>
      <c r="J111" s="477"/>
      <c r="K111" s="474"/>
      <c r="L111" s="477"/>
      <c r="M111" s="474"/>
      <c r="N111" s="477"/>
      <c r="O111" s="474"/>
      <c r="P111" s="477"/>
      <c r="Q111" s="474"/>
      <c r="R111" s="477"/>
      <c r="S111" s="474"/>
      <c r="T111" s="477"/>
    </row>
    <row r="112" spans="2:20" ht="15.6">
      <c r="B112" s="474"/>
      <c r="C112" s="478"/>
      <c r="D112" s="474"/>
      <c r="E112" s="483"/>
      <c r="F112" s="474"/>
      <c r="G112" s="483"/>
      <c r="H112" s="474"/>
      <c r="I112" s="483"/>
      <c r="J112" s="474"/>
      <c r="K112" s="483"/>
      <c r="L112" s="474"/>
      <c r="M112" s="483"/>
      <c r="N112" s="474"/>
      <c r="O112" s="483"/>
      <c r="P112" s="474"/>
      <c r="Q112" s="483"/>
      <c r="R112" s="474"/>
      <c r="S112" s="483"/>
      <c r="T112" s="474"/>
    </row>
    <row r="113" spans="2:20" ht="15.6">
      <c r="B113" s="474"/>
      <c r="C113" s="474"/>
      <c r="D113" s="477"/>
      <c r="E113" s="474"/>
      <c r="F113" s="477"/>
      <c r="G113" s="474"/>
      <c r="H113" s="477"/>
      <c r="I113" s="474"/>
      <c r="J113" s="477"/>
      <c r="K113" s="474"/>
      <c r="L113" s="477"/>
      <c r="M113" s="474"/>
      <c r="N113" s="477"/>
      <c r="O113" s="474"/>
      <c r="P113" s="477"/>
      <c r="Q113" s="474"/>
      <c r="R113" s="477"/>
      <c r="S113" s="474"/>
      <c r="T113" s="477"/>
    </row>
    <row r="114" spans="2:20" ht="15.6">
      <c r="B114" s="474"/>
      <c r="C114" s="474"/>
      <c r="D114" s="474"/>
      <c r="E114" s="474"/>
      <c r="F114" s="474"/>
      <c r="G114" s="474"/>
      <c r="H114" s="486"/>
      <c r="I114" s="474"/>
      <c r="J114" s="474"/>
      <c r="K114" s="474"/>
      <c r="L114" s="474"/>
      <c r="M114" s="474"/>
      <c r="N114" s="474"/>
      <c r="O114" s="474"/>
      <c r="P114" s="474"/>
      <c r="Q114" s="474"/>
      <c r="R114" s="474"/>
      <c r="S114" s="474"/>
      <c r="T114" s="474"/>
    </row>
    <row r="115" spans="2:20" ht="15.6">
      <c r="B115" s="474"/>
      <c r="C115" s="474"/>
      <c r="D115" s="474"/>
      <c r="E115" s="474"/>
      <c r="F115" s="474"/>
      <c r="G115" s="474"/>
      <c r="H115" s="474"/>
      <c r="I115" s="474"/>
      <c r="J115" s="474"/>
      <c r="K115" s="474"/>
      <c r="L115" s="474"/>
      <c r="M115" s="474"/>
      <c r="N115" s="474"/>
      <c r="O115" s="474"/>
      <c r="P115" s="474"/>
      <c r="Q115" s="474"/>
      <c r="R115" s="474"/>
      <c r="S115" s="474"/>
      <c r="T115" s="474"/>
    </row>
    <row r="116" spans="2:20" ht="15.6">
      <c r="B116" s="474"/>
      <c r="C116" s="474"/>
      <c r="D116" s="474"/>
      <c r="E116" s="474"/>
      <c r="F116" s="474"/>
      <c r="G116" s="474"/>
      <c r="H116" s="474"/>
      <c r="I116" s="474"/>
      <c r="J116" s="474"/>
      <c r="K116" s="474"/>
      <c r="L116" s="474"/>
      <c r="M116" s="474"/>
      <c r="N116" s="474"/>
      <c r="O116" s="474"/>
      <c r="P116" s="474"/>
      <c r="Q116" s="474"/>
      <c r="R116" s="474"/>
      <c r="S116" s="474"/>
      <c r="T116" s="474"/>
    </row>
    <row r="117" spans="2:20" ht="15.6">
      <c r="B117" s="474"/>
      <c r="C117" s="474"/>
      <c r="D117" s="474"/>
      <c r="E117" s="474"/>
      <c r="F117" s="474"/>
      <c r="G117" s="474"/>
      <c r="H117" s="474"/>
      <c r="I117" s="474"/>
      <c r="J117" s="474"/>
      <c r="K117" s="474"/>
      <c r="L117" s="474"/>
      <c r="M117" s="474"/>
      <c r="N117" s="474"/>
      <c r="O117" s="474"/>
      <c r="P117" s="474"/>
      <c r="Q117" s="474"/>
      <c r="R117" s="474"/>
      <c r="S117" s="474"/>
      <c r="T117" s="474"/>
    </row>
    <row r="118" spans="2:20" ht="15.6">
      <c r="B118" s="474"/>
      <c r="C118" s="474"/>
      <c r="D118" s="474"/>
      <c r="E118" s="474"/>
      <c r="F118" s="474"/>
      <c r="G118" s="474"/>
      <c r="H118" s="474"/>
      <c r="I118" s="474"/>
      <c r="J118" s="474"/>
      <c r="K118" s="474"/>
      <c r="L118" s="474"/>
      <c r="M118" s="474"/>
      <c r="N118" s="474"/>
      <c r="O118" s="474"/>
      <c r="P118" s="474"/>
      <c r="Q118" s="474"/>
      <c r="R118" s="474"/>
      <c r="S118" s="474"/>
      <c r="T118" s="474"/>
    </row>
    <row r="119" spans="2:20" ht="15.6">
      <c r="B119" s="487"/>
      <c r="C119" s="474"/>
      <c r="D119" s="474"/>
      <c r="E119" s="474"/>
      <c r="F119" s="474"/>
      <c r="G119" s="474"/>
      <c r="H119" s="474"/>
      <c r="I119" s="474"/>
      <c r="J119" s="474"/>
      <c r="K119" s="474"/>
      <c r="L119" s="474"/>
      <c r="M119" s="474"/>
      <c r="N119" s="474"/>
      <c r="O119" s="474"/>
      <c r="P119" s="474"/>
      <c r="Q119" s="474"/>
      <c r="R119" s="474"/>
      <c r="S119" s="474"/>
      <c r="T119" s="474"/>
    </row>
    <row r="120" spans="2:20" ht="15.6">
      <c r="B120" s="487"/>
      <c r="C120" s="474"/>
      <c r="D120" s="474"/>
      <c r="E120" s="474"/>
      <c r="F120" s="474"/>
      <c r="G120" s="474"/>
      <c r="H120" s="474"/>
      <c r="I120" s="474"/>
      <c r="J120" s="474"/>
      <c r="K120" s="474"/>
      <c r="L120" s="474"/>
      <c r="M120" s="474"/>
      <c r="N120" s="474"/>
      <c r="O120" s="474"/>
      <c r="P120" s="474"/>
      <c r="Q120" s="474"/>
      <c r="R120" s="474"/>
      <c r="S120" s="474"/>
      <c r="T120" s="474"/>
    </row>
    <row r="121" spans="2:20" ht="15.6">
      <c r="B121" s="487"/>
      <c r="C121" s="474"/>
      <c r="D121" s="474"/>
      <c r="E121" s="474"/>
      <c r="F121" s="474"/>
      <c r="G121" s="474"/>
      <c r="H121" s="474"/>
      <c r="I121" s="474"/>
      <c r="J121" s="474"/>
      <c r="K121" s="474"/>
      <c r="L121" s="474"/>
      <c r="M121" s="474"/>
      <c r="N121" s="474"/>
      <c r="O121" s="474"/>
      <c r="P121" s="474"/>
      <c r="Q121" s="474"/>
      <c r="R121" s="474"/>
      <c r="S121" s="474"/>
      <c r="T121" s="474"/>
    </row>
  </sheetData>
  <mergeCells count="2">
    <mergeCell ref="B4:T4"/>
    <mergeCell ref="B5:T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1623" t="s">
        <v>9204</v>
      </c>
      <c r="B2" s="1624"/>
      <c r="C2" s="1624"/>
      <c r="D2" s="1624"/>
      <c r="E2" s="1624"/>
      <c r="F2" s="1624"/>
      <c r="G2" s="1625"/>
    </row>
    <row r="3" spans="1:9">
      <c r="A3" s="95"/>
      <c r="B3" s="33"/>
      <c r="C3" s="33"/>
      <c r="D3" s="33"/>
      <c r="E3" s="33"/>
      <c r="F3" s="33"/>
      <c r="G3" s="803"/>
    </row>
    <row r="4" spans="1:9">
      <c r="A4" s="95"/>
      <c r="B4" s="33"/>
      <c r="C4" s="3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1.0287852670138677</v>
      </c>
      <c r="F9" s="299">
        <v>1.0184283936168184</v>
      </c>
      <c r="G9" s="300">
        <v>1.0203259170600105</v>
      </c>
      <c r="I9" s="29" t="s">
        <v>116</v>
      </c>
    </row>
    <row r="10" spans="1:9">
      <c r="A10" s="39" t="s">
        <v>1924</v>
      </c>
      <c r="C10" s="29"/>
      <c r="D10" s="301">
        <v>0.98044114018889383</v>
      </c>
      <c r="E10" s="301">
        <v>0.99487887756542071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2347.360108931025</v>
      </c>
      <c r="D13" s="304">
        <v>2347.360108931025</v>
      </c>
      <c r="E13" s="304">
        <v>2414.9294964443061</v>
      </c>
      <c r="F13" s="304">
        <v>2459.4327677616466</v>
      </c>
      <c r="G13" s="305">
        <v>2509.4229942138418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201.37386592895493</v>
      </c>
      <c r="D16" s="308">
        <v>201.37386592895493</v>
      </c>
      <c r="E16" s="308">
        <v>207.17046642933471</v>
      </c>
      <c r="F16" s="308">
        <v>210.98828533047435</v>
      </c>
      <c r="G16" s="309">
        <v>215.27681571873541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2.3581089328654867E-2</v>
      </c>
      <c r="D18" s="310">
        <v>2.3119870108282533E-2</v>
      </c>
      <c r="E18" s="308">
        <v>2.3581089328654867E-2</v>
      </c>
      <c r="F18" s="308">
        <v>2.4015650924716674E-2</v>
      </c>
      <c r="G18" s="309">
        <v>2.450379105355463E-2</v>
      </c>
    </row>
    <row r="19" spans="1:7">
      <c r="A19" s="39" t="s">
        <v>1931</v>
      </c>
      <c r="B19" s="96"/>
      <c r="C19" s="308">
        <v>3.0993918360840311E-2</v>
      </c>
      <c r="D19" s="306"/>
      <c r="E19" s="308">
        <v>3.0993918360840311E-2</v>
      </c>
      <c r="F19" s="308">
        <v>3.156508648812141E-2</v>
      </c>
      <c r="G19" s="309">
        <v>3.2206675818071025E-2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201.42844093664442</v>
      </c>
      <c r="D21" s="312">
        <v>201.3969857990632</v>
      </c>
      <c r="E21" s="312">
        <v>207.2250414370242</v>
      </c>
      <c r="F21" s="312">
        <v>211.04386606788719</v>
      </c>
      <c r="G21" s="313">
        <v>215.33352618560701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1246.4760114980045</v>
      </c>
      <c r="D24" s="308">
        <v>1246.4760114980045</v>
      </c>
      <c r="E24" s="308">
        <v>1282.3561563153555</v>
      </c>
      <c r="F24" s="308">
        <v>1305.9879203208852</v>
      </c>
      <c r="G24" s="309">
        <v>1332.5333224707031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29.755074809451774</v>
      </c>
      <c r="D26" s="308">
        <v>29.173099472584731</v>
      </c>
      <c r="E26" s="308">
        <v>29.755074809451774</v>
      </c>
      <c r="F26" s="308">
        <v>30.303413040138228</v>
      </c>
      <c r="G26" s="309">
        <v>30.919357700227319</v>
      </c>
    </row>
    <row r="27" spans="1:7">
      <c r="A27" s="39" t="s">
        <v>1931</v>
      </c>
      <c r="B27" s="96"/>
      <c r="C27" s="308">
        <v>12.297243098972276</v>
      </c>
      <c r="D27" s="306"/>
      <c r="E27" s="308">
        <v>12.297243098972276</v>
      </c>
      <c r="F27" s="308">
        <v>12.52386153520184</v>
      </c>
      <c r="G27" s="309">
        <v>12.77842050603741</v>
      </c>
    </row>
    <row r="28" spans="1:7">
      <c r="A28" s="39" t="s">
        <v>1932</v>
      </c>
      <c r="B28" s="96"/>
      <c r="C28" s="308">
        <v>1.1030168876997449E-2</v>
      </c>
      <c r="D28" s="306"/>
      <c r="E28" s="308">
        <v>1.1030168876997449E-2</v>
      </c>
      <c r="F28" s="308">
        <v>1.1233437170722737E-2</v>
      </c>
      <c r="G28" s="309">
        <v>1.1461767082953687E-2</v>
      </c>
    </row>
    <row r="29" spans="1:7">
      <c r="A29" s="39" t="s">
        <v>1935</v>
      </c>
      <c r="B29" s="96"/>
      <c r="C29" s="308">
        <v>5.1500387176477626E-2</v>
      </c>
      <c r="D29" s="306"/>
      <c r="E29" s="308">
        <v>5.1236647388318644E-2</v>
      </c>
      <c r="F29" s="308">
        <v>5.1500387176477626E-2</v>
      </c>
      <c r="G29" s="309">
        <v>5.2547179774785138E-2</v>
      </c>
    </row>
    <row r="30" spans="1:7">
      <c r="A30" s="39" t="s">
        <v>1936</v>
      </c>
      <c r="B30" s="96"/>
      <c r="C30" s="308">
        <v>0.12020168029278432</v>
      </c>
      <c r="D30" s="306"/>
      <c r="E30" s="306"/>
      <c r="F30" s="308">
        <v>0.12020168029278432</v>
      </c>
      <c r="G30" s="309">
        <v>0.12264488967688936</v>
      </c>
    </row>
    <row r="31" spans="1:7">
      <c r="A31" s="39" t="s">
        <v>1933</v>
      </c>
      <c r="B31" s="96"/>
      <c r="C31" s="311">
        <v>1288.7110616427749</v>
      </c>
      <c r="D31" s="312">
        <v>1275.6491109705892</v>
      </c>
      <c r="E31" s="312">
        <v>1324.4707410400449</v>
      </c>
      <c r="F31" s="312">
        <v>1348.9981304008652</v>
      </c>
      <c r="G31" s="313">
        <v>1376.4177545135024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9.8044114018889394E-5</v>
      </c>
      <c r="E34" s="308">
        <v>1E-4</v>
      </c>
      <c r="F34" s="308">
        <v>1.0184283936168184E-4</v>
      </c>
      <c r="G34" s="309">
        <v>1.0391288846770336E-4</v>
      </c>
    </row>
    <row r="35" spans="1:7">
      <c r="A35" s="39" t="s">
        <v>1931</v>
      </c>
      <c r="B35" s="96"/>
      <c r="C35" s="308">
        <v>158.51891134091295</v>
      </c>
      <c r="D35" s="306"/>
      <c r="E35" s="308">
        <v>158.51891134091295</v>
      </c>
      <c r="F35" s="308">
        <v>161.44016023481282</v>
      </c>
      <c r="G35" s="309">
        <v>164.72157954190044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1.0184283936168184E-4</v>
      </c>
      <c r="G36" s="309">
        <v>1.0391288846770336E-4</v>
      </c>
    </row>
    <row r="37" spans="1:7">
      <c r="A37" s="39" t="s">
        <v>1935</v>
      </c>
      <c r="B37" s="96"/>
      <c r="C37" s="308">
        <v>1E-4</v>
      </c>
      <c r="D37" s="306"/>
      <c r="E37" s="308">
        <v>9.9487887756542071E-5</v>
      </c>
      <c r="F37" s="308">
        <v>1E-4</v>
      </c>
      <c r="G37" s="309">
        <v>1.0203259170600105E-4</v>
      </c>
    </row>
    <row r="38" spans="1:7">
      <c r="A38" s="39" t="s">
        <v>1936</v>
      </c>
      <c r="B38" s="96"/>
      <c r="C38" s="308">
        <v>115.75108865908705</v>
      </c>
      <c r="D38" s="306"/>
      <c r="E38" s="306"/>
      <c r="F38" s="308">
        <v>115.75108865908705</v>
      </c>
      <c r="G38" s="309">
        <v>118.10383568677757</v>
      </c>
    </row>
    <row r="39" spans="1:7">
      <c r="A39" s="39" t="s">
        <v>1933</v>
      </c>
      <c r="B39" s="96"/>
      <c r="C39" s="311">
        <v>274.27030000000002</v>
      </c>
      <c r="D39" s="312">
        <v>9.8044114018889394E-5</v>
      </c>
      <c r="E39" s="312">
        <v>158.51921082880071</v>
      </c>
      <c r="F39" s="312">
        <v>277.19155257957863</v>
      </c>
      <c r="G39" s="313">
        <v>282.82572508704669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3795.2099863579842</v>
      </c>
      <c r="D45" s="306">
        <v>3795.2099863579842</v>
      </c>
      <c r="E45" s="306">
        <v>3904.4561191889961</v>
      </c>
      <c r="F45" s="306">
        <v>3976.4089734130062</v>
      </c>
      <c r="G45" s="307">
        <v>4057.2331324032803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29.778755898780428</v>
      </c>
      <c r="D47" s="306">
        <v>29.196317386807031</v>
      </c>
      <c r="E47" s="306">
        <v>29.778755898780428</v>
      </c>
      <c r="F47" s="306">
        <v>30.327530533902305</v>
      </c>
      <c r="G47" s="307">
        <v>30.94396540416934</v>
      </c>
    </row>
    <row r="48" spans="1:7">
      <c r="A48" s="39" t="s">
        <v>1931</v>
      </c>
      <c r="C48" s="306">
        <v>170.84714835824607</v>
      </c>
      <c r="D48" s="306">
        <v>0</v>
      </c>
      <c r="E48" s="306">
        <v>170.84714835824607</v>
      </c>
      <c r="F48" s="306">
        <v>173.9955868565028</v>
      </c>
      <c r="G48" s="307">
        <v>177.53220672375591</v>
      </c>
    </row>
    <row r="49" spans="1:7">
      <c r="A49" s="39" t="s">
        <v>1932</v>
      </c>
      <c r="C49" s="306">
        <v>1.1130168876997448E-2</v>
      </c>
      <c r="D49" s="306">
        <v>0</v>
      </c>
      <c r="E49" s="306">
        <v>1.1130168876997448E-2</v>
      </c>
      <c r="F49" s="306">
        <v>1.1335280010084419E-2</v>
      </c>
      <c r="G49" s="307">
        <v>1.156567997142139E-2</v>
      </c>
    </row>
    <row r="50" spans="1:7">
      <c r="A50" s="39" t="s">
        <v>1935</v>
      </c>
      <c r="C50" s="306">
        <v>5.1600387176477629E-2</v>
      </c>
      <c r="D50" s="306">
        <v>0</v>
      </c>
      <c r="E50" s="306">
        <v>5.1336135276075189E-2</v>
      </c>
      <c r="F50" s="306">
        <v>5.1600387176477629E-2</v>
      </c>
      <c r="G50" s="307">
        <v>5.2649212366491137E-2</v>
      </c>
    </row>
    <row r="51" spans="1:7" ht="15" thickBot="1">
      <c r="A51" s="39" t="s">
        <v>1936</v>
      </c>
      <c r="C51" s="306">
        <v>115.87129033937983</v>
      </c>
      <c r="D51" s="306">
        <v>0</v>
      </c>
      <c r="E51" s="306">
        <v>0</v>
      </c>
      <c r="F51" s="306">
        <v>115.87129033937983</v>
      </c>
      <c r="G51" s="307">
        <v>118.22648057645446</v>
      </c>
    </row>
    <row r="52" spans="1:7" ht="15" thickBot="1">
      <c r="A52" s="39" t="s">
        <v>115</v>
      </c>
      <c r="C52" s="314">
        <v>4111.7699115104442</v>
      </c>
      <c r="D52" s="315">
        <v>3824.4063037447913</v>
      </c>
      <c r="E52" s="315">
        <v>4105.1444897501751</v>
      </c>
      <c r="F52" s="315">
        <v>4296.6663168099776</v>
      </c>
      <c r="G52" s="316">
        <v>4383.9999999999982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109.24613283101172</v>
      </c>
      <c r="E54" s="306">
        <v>75.650272468521308</v>
      </c>
      <c r="F54" s="306">
        <v>87.333683190020807</v>
      </c>
      <c r="G54" s="307">
        <v>272.23008848955385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4111.7699115104442</v>
      </c>
      <c r="D66" s="315">
        <v>3824.4063037447913</v>
      </c>
      <c r="E66" s="315">
        <v>4105.1444897501751</v>
      </c>
      <c r="F66" s="315">
        <v>4296.6663168099776</v>
      </c>
      <c r="G66" s="316">
        <v>4383.9999999999982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109.24613283101172</v>
      </c>
      <c r="E68" s="318">
        <v>75.650272468521308</v>
      </c>
      <c r="F68" s="318">
        <v>87.333683190020807</v>
      </c>
      <c r="G68" s="319">
        <v>272.23008848955385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1623" t="s">
        <v>9205</v>
      </c>
      <c r="B70" s="1626"/>
      <c r="C70" s="1626"/>
      <c r="D70" s="1626"/>
      <c r="E70" s="1626"/>
      <c r="F70" s="1626"/>
      <c r="G70" s="1625"/>
    </row>
    <row r="71" spans="1:7">
      <c r="A71" s="1075"/>
      <c r="B71" s="33"/>
      <c r="C71" s="33"/>
      <c r="D71" s="33"/>
      <c r="E71" s="33"/>
      <c r="F71" s="33"/>
      <c r="G71" s="803"/>
    </row>
    <row r="72" spans="1:7">
      <c r="A72" s="95"/>
      <c r="B72" s="33"/>
      <c r="C72" s="3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1.0287852670138677</v>
      </c>
      <c r="F77" s="299">
        <v>1.0184283936168184</v>
      </c>
      <c r="G77" s="300">
        <v>1.0203259170600105</v>
      </c>
    </row>
    <row r="78" spans="1:7">
      <c r="A78" s="39" t="s">
        <v>1924</v>
      </c>
      <c r="C78" s="29"/>
      <c r="D78" s="301">
        <v>0.98044114018889383</v>
      </c>
      <c r="E78" s="301">
        <v>0.99487887756542071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2347.360108931025</v>
      </c>
      <c r="D81" s="304">
        <v>2347.360108931025</v>
      </c>
      <c r="E81" s="304">
        <v>2414.9294964443061</v>
      </c>
      <c r="F81" s="304">
        <v>2459.4327677616466</v>
      </c>
      <c r="G81" s="305">
        <v>2509.4229942138418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201.37386592895493</v>
      </c>
      <c r="D84" s="308">
        <v>201.37386592895493</v>
      </c>
      <c r="E84" s="308">
        <v>207.17046642933471</v>
      </c>
      <c r="F84" s="308">
        <v>210.98828533047435</v>
      </c>
      <c r="G84" s="309">
        <v>215.27681571873541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2.3581089328654867E-2</v>
      </c>
      <c r="D86" s="310">
        <v>2.3119870108282533E-2</v>
      </c>
      <c r="E86" s="308">
        <v>2.3581089328654867E-2</v>
      </c>
      <c r="F86" s="308">
        <v>2.4015650924716674E-2</v>
      </c>
      <c r="G86" s="309">
        <v>2.450379105355463E-2</v>
      </c>
    </row>
    <row r="87" spans="1:7">
      <c r="A87" s="39" t="s">
        <v>1931</v>
      </c>
      <c r="B87" s="96"/>
      <c r="C87" s="308">
        <v>3.0993918360840311E-2</v>
      </c>
      <c r="D87" s="306"/>
      <c r="E87" s="308">
        <v>3.0993918360840311E-2</v>
      </c>
      <c r="F87" s="308">
        <v>3.156508648812141E-2</v>
      </c>
      <c r="G87" s="309">
        <v>3.2206675818071025E-2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201.42844093664442</v>
      </c>
      <c r="D89" s="312">
        <v>201.3969857990632</v>
      </c>
      <c r="E89" s="312">
        <v>207.2250414370242</v>
      </c>
      <c r="F89" s="312">
        <v>211.04386606788719</v>
      </c>
      <c r="G89" s="313">
        <v>215.33352618560701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1246.4760114980045</v>
      </c>
      <c r="D92" s="308">
        <v>1246.4760114980045</v>
      </c>
      <c r="E92" s="308">
        <v>1282.3561563153555</v>
      </c>
      <c r="F92" s="308">
        <v>1305.9879203208852</v>
      </c>
      <c r="G92" s="309">
        <v>1332.5333224707031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29.755074809451774</v>
      </c>
      <c r="D94" s="308">
        <v>29.173099472584731</v>
      </c>
      <c r="E94" s="308">
        <v>29.755074809451774</v>
      </c>
      <c r="F94" s="308">
        <v>30.303413040138228</v>
      </c>
      <c r="G94" s="309">
        <v>30.919357700227319</v>
      </c>
    </row>
    <row r="95" spans="1:7">
      <c r="A95" s="39" t="s">
        <v>1931</v>
      </c>
      <c r="B95" s="96"/>
      <c r="C95" s="308">
        <v>12.297243098972276</v>
      </c>
      <c r="D95" s="306"/>
      <c r="E95" s="308">
        <v>12.297243098972276</v>
      </c>
      <c r="F95" s="308">
        <v>12.52386153520184</v>
      </c>
      <c r="G95" s="309">
        <v>12.77842050603741</v>
      </c>
    </row>
    <row r="96" spans="1:7">
      <c r="A96" s="39" t="s">
        <v>1932</v>
      </c>
      <c r="B96" s="96"/>
      <c r="C96" s="308">
        <v>1.1030168876997449E-2</v>
      </c>
      <c r="D96" s="306"/>
      <c r="E96" s="308">
        <v>1.1030168876997449E-2</v>
      </c>
      <c r="F96" s="308">
        <v>1.1233437170722737E-2</v>
      </c>
      <c r="G96" s="309">
        <v>1.1461767082953687E-2</v>
      </c>
    </row>
    <row r="97" spans="1:7">
      <c r="A97" s="39" t="s">
        <v>1935</v>
      </c>
      <c r="B97" s="96"/>
      <c r="C97" s="308">
        <v>5.1500387176477626E-2</v>
      </c>
      <c r="D97" s="306"/>
      <c r="E97" s="308">
        <v>5.1236647388318644E-2</v>
      </c>
      <c r="F97" s="308">
        <v>5.1500387176477626E-2</v>
      </c>
      <c r="G97" s="309">
        <v>5.2547179774785138E-2</v>
      </c>
    </row>
    <row r="98" spans="1:7">
      <c r="A98" s="39" t="s">
        <v>1936</v>
      </c>
      <c r="B98" s="96"/>
      <c r="C98" s="308">
        <v>0.12020168029278432</v>
      </c>
      <c r="D98" s="306"/>
      <c r="E98" s="306"/>
      <c r="F98" s="308">
        <v>0.12020168029278432</v>
      </c>
      <c r="G98" s="309">
        <v>0.12264488967688936</v>
      </c>
    </row>
    <row r="99" spans="1:7">
      <c r="A99" s="39" t="s">
        <v>1933</v>
      </c>
      <c r="B99" s="96"/>
      <c r="C99" s="311">
        <v>1288.7110616427749</v>
      </c>
      <c r="D99" s="312">
        <v>1275.6491109705892</v>
      </c>
      <c r="E99" s="312">
        <v>1324.4707410400449</v>
      </c>
      <c r="F99" s="312">
        <v>1348.9981304008652</v>
      </c>
      <c r="G99" s="313">
        <v>1376.4177545135024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9.8044114018889394E-5</v>
      </c>
      <c r="E102" s="308">
        <v>1E-4</v>
      </c>
      <c r="F102" s="308">
        <v>1.0184283936168184E-4</v>
      </c>
      <c r="G102" s="309">
        <v>1.0391288846770336E-4</v>
      </c>
    </row>
    <row r="103" spans="1:7">
      <c r="A103" s="39" t="s">
        <v>1931</v>
      </c>
      <c r="B103" s="96"/>
      <c r="C103" s="308">
        <v>158.51891134091295</v>
      </c>
      <c r="D103" s="306"/>
      <c r="E103" s="308">
        <v>158.51891134091295</v>
      </c>
      <c r="F103" s="308">
        <v>161.44016023481282</v>
      </c>
      <c r="G103" s="309">
        <v>164.72157954190044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1.0184283936168184E-4</v>
      </c>
      <c r="G104" s="309">
        <v>1.0391288846770336E-4</v>
      </c>
    </row>
    <row r="105" spans="1:7">
      <c r="A105" s="39" t="s">
        <v>1935</v>
      </c>
      <c r="B105" s="96"/>
      <c r="C105" s="308">
        <v>1E-4</v>
      </c>
      <c r="D105" s="306"/>
      <c r="E105" s="308">
        <v>9.9487887756542071E-5</v>
      </c>
      <c r="F105" s="308">
        <v>1E-4</v>
      </c>
      <c r="G105" s="309">
        <v>1.0203259170600105E-4</v>
      </c>
    </row>
    <row r="106" spans="1:7">
      <c r="A106" s="39" t="s">
        <v>1936</v>
      </c>
      <c r="B106" s="96"/>
      <c r="C106" s="308">
        <v>115.75108865908705</v>
      </c>
      <c r="D106" s="306"/>
      <c r="E106" s="306"/>
      <c r="F106" s="308">
        <v>115.75108865908705</v>
      </c>
      <c r="G106" s="309">
        <v>118.10383568677757</v>
      </c>
    </row>
    <row r="107" spans="1:7">
      <c r="A107" s="39" t="s">
        <v>1933</v>
      </c>
      <c r="B107" s="96"/>
      <c r="C107" s="311">
        <v>274.27030000000002</v>
      </c>
      <c r="D107" s="312">
        <v>9.8044114018889394E-5</v>
      </c>
      <c r="E107" s="312">
        <v>158.51921082880071</v>
      </c>
      <c r="F107" s="312">
        <v>277.19155257957863</v>
      </c>
      <c r="G107" s="313">
        <v>282.82572508704669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3795.2099863579842</v>
      </c>
      <c r="D113" s="306">
        <v>3795.2099863579842</v>
      </c>
      <c r="E113" s="306">
        <v>3904.4561191889961</v>
      </c>
      <c r="F113" s="306">
        <v>3976.4089734130062</v>
      </c>
      <c r="G113" s="307">
        <v>4057.2331324032803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29.778755898780428</v>
      </c>
      <c r="D115" s="306">
        <v>29.196317386807031</v>
      </c>
      <c r="E115" s="306">
        <v>29.778755898780428</v>
      </c>
      <c r="F115" s="306">
        <v>30.327530533902305</v>
      </c>
      <c r="G115" s="307">
        <v>30.94396540416934</v>
      </c>
    </row>
    <row r="116" spans="1:7">
      <c r="A116" s="39" t="s">
        <v>1931</v>
      </c>
      <c r="C116" s="306">
        <v>170.84714835824607</v>
      </c>
      <c r="D116" s="306">
        <v>0</v>
      </c>
      <c r="E116" s="306">
        <v>170.84714835824607</v>
      </c>
      <c r="F116" s="306">
        <v>173.9955868565028</v>
      </c>
      <c r="G116" s="307">
        <v>177.53220672375591</v>
      </c>
    </row>
    <row r="117" spans="1:7">
      <c r="A117" s="39" t="s">
        <v>1932</v>
      </c>
      <c r="C117" s="306">
        <v>1.1130168876997448E-2</v>
      </c>
      <c r="D117" s="306">
        <v>0</v>
      </c>
      <c r="E117" s="306">
        <v>1.1130168876997448E-2</v>
      </c>
      <c r="F117" s="306">
        <v>1.1335280010084419E-2</v>
      </c>
      <c r="G117" s="307">
        <v>1.156567997142139E-2</v>
      </c>
    </row>
    <row r="118" spans="1:7">
      <c r="A118" s="39" t="s">
        <v>1935</v>
      </c>
      <c r="C118" s="306">
        <v>5.1600387176477629E-2</v>
      </c>
      <c r="D118" s="306">
        <v>0</v>
      </c>
      <c r="E118" s="306">
        <v>5.1336135276075189E-2</v>
      </c>
      <c r="F118" s="306">
        <v>5.1600387176477629E-2</v>
      </c>
      <c r="G118" s="307">
        <v>5.2649212366491137E-2</v>
      </c>
    </row>
    <row r="119" spans="1:7" ht="15" thickBot="1">
      <c r="A119" s="39" t="s">
        <v>1936</v>
      </c>
      <c r="C119" s="306">
        <v>115.87129033937983</v>
      </c>
      <c r="D119" s="306">
        <v>0</v>
      </c>
      <c r="E119" s="306">
        <v>0</v>
      </c>
      <c r="F119" s="306">
        <v>115.87129033937983</v>
      </c>
      <c r="G119" s="307">
        <v>118.22648057645446</v>
      </c>
    </row>
    <row r="120" spans="1:7" ht="15" thickBot="1">
      <c r="A120" s="39" t="s">
        <v>115</v>
      </c>
      <c r="C120" s="314">
        <v>4111.7699115104442</v>
      </c>
      <c r="D120" s="315">
        <v>3824.4063037447913</v>
      </c>
      <c r="E120" s="315">
        <v>4105.1444897501751</v>
      </c>
      <c r="F120" s="315">
        <v>4296.6663168099776</v>
      </c>
      <c r="G120" s="316">
        <v>4383.9999999999982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109.24613283101172</v>
      </c>
      <c r="E122" s="306">
        <v>75.650272468521308</v>
      </c>
      <c r="F122" s="306">
        <v>87.333683190020807</v>
      </c>
      <c r="G122" s="307">
        <v>272.23008848955385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4111.7699115104442</v>
      </c>
      <c r="D134" s="315">
        <v>3824.4063037447913</v>
      </c>
      <c r="E134" s="315">
        <v>4105.1444897501751</v>
      </c>
      <c r="F134" s="315">
        <v>4296.6663168099776</v>
      </c>
      <c r="G134" s="316">
        <v>4383.9999999999982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109.24613283101172</v>
      </c>
      <c r="E136" s="318">
        <v>75.650272468521308</v>
      </c>
      <c r="F136" s="318">
        <v>87.333683190020807</v>
      </c>
      <c r="G136" s="319">
        <v>272.23008848955385</v>
      </c>
    </row>
    <row r="137" spans="1:7" ht="15" thickBot="1"/>
    <row r="138" spans="1:7" ht="15" thickBot="1">
      <c r="A138" s="1627" t="s">
        <v>9206</v>
      </c>
      <c r="B138" s="1628"/>
      <c r="C138" s="1628"/>
      <c r="D138" s="1628"/>
      <c r="E138" s="1628"/>
      <c r="F138" s="1628"/>
      <c r="G138" s="1629"/>
    </row>
    <row r="139" spans="1:7">
      <c r="A139" s="30"/>
      <c r="B139" s="33"/>
      <c r="C139" s="33"/>
      <c r="D139" s="33"/>
      <c r="E139" s="33"/>
      <c r="F139" s="33"/>
      <c r="G139" s="803"/>
    </row>
    <row r="140" spans="1:7">
      <c r="A140" s="95"/>
      <c r="B140" s="33"/>
      <c r="C140" s="3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1.0290843658957707</v>
      </c>
      <c r="F145" s="299">
        <v>1.0181230171983606</v>
      </c>
      <c r="G145" s="300">
        <v>1.0200578220304961</v>
      </c>
    </row>
    <row r="146" spans="1:7">
      <c r="A146" s="39" t="s">
        <v>1924</v>
      </c>
      <c r="C146" s="29"/>
      <c r="D146" s="301">
        <v>0.98016833799892866</v>
      </c>
      <c r="E146" s="301">
        <v>0.99483394138606307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2315.4681348400327</v>
      </c>
      <c r="D149" s="304">
        <v>2315.4681348400327</v>
      </c>
      <c r="E149" s="304">
        <v>2382.8120572937178</v>
      </c>
      <c r="F149" s="304">
        <v>2425.9958011885128</v>
      </c>
      <c r="G149" s="305">
        <v>2474.6559932154828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200.89039695550511</v>
      </c>
      <c r="D152" s="308">
        <v>200.89039695550511</v>
      </c>
      <c r="E152" s="308">
        <v>206.73316676550564</v>
      </c>
      <c r="F152" s="308">
        <v>210.47979550226844</v>
      </c>
      <c r="G152" s="309">
        <v>214.70156178146817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2.352447460857706E-2</v>
      </c>
      <c r="D154" s="310">
        <v>2.3057945179386974E-2</v>
      </c>
      <c r="E154" s="308">
        <v>2.352447460857706E-2</v>
      </c>
      <c r="F154" s="308">
        <v>2.3950809066490702E-2</v>
      </c>
      <c r="G154" s="309">
        <v>2.4431210132232765E-2</v>
      </c>
    </row>
    <row r="155" spans="1:7">
      <c r="A155" s="39" t="s">
        <v>1931</v>
      </c>
      <c r="B155" s="96"/>
      <c r="C155" s="308">
        <v>3.0919506530765053E-2</v>
      </c>
      <c r="D155" s="306"/>
      <c r="E155" s="308">
        <v>3.0919506530765053E-2</v>
      </c>
      <c r="F155" s="308">
        <v>3.1479861279386928E-2</v>
      </c>
      <c r="G155" s="309">
        <v>3.2111278734473579E-2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200.94484093664445</v>
      </c>
      <c r="D157" s="312">
        <v>200.91345490068448</v>
      </c>
      <c r="E157" s="312">
        <v>206.78761074664499</v>
      </c>
      <c r="F157" s="312">
        <v>210.53522617261433</v>
      </c>
      <c r="G157" s="313">
        <v>214.75810427033488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1157.3813077655759</v>
      </c>
      <c r="D160" s="308">
        <v>1157.3813077655759</v>
      </c>
      <c r="E160" s="308">
        <v>1191.0430092015556</v>
      </c>
      <c r="F160" s="308">
        <v>1212.6283021413026</v>
      </c>
      <c r="G160" s="309">
        <v>1236.9509848147954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27.719532026317871</v>
      </c>
      <c r="D162" s="308">
        <v>27.169807636344064</v>
      </c>
      <c r="E162" s="308">
        <v>27.719532026317871</v>
      </c>
      <c r="F162" s="308">
        <v>28.221893581961339</v>
      </c>
      <c r="G162" s="309">
        <v>28.787963300791919</v>
      </c>
    </row>
    <row r="163" spans="1:7">
      <c r="A163" s="39" t="s">
        <v>1931</v>
      </c>
      <c r="B163" s="96"/>
      <c r="C163" s="308">
        <v>11.45598947743526</v>
      </c>
      <c r="D163" s="306"/>
      <c r="E163" s="308">
        <v>11.45598947743526</v>
      </c>
      <c r="F163" s="308">
        <v>11.663606571759058</v>
      </c>
      <c r="G163" s="309">
        <v>11.897553116609126</v>
      </c>
    </row>
    <row r="164" spans="1:7">
      <c r="A164" s="39" t="s">
        <v>1932</v>
      </c>
      <c r="B164" s="96"/>
      <c r="C164" s="308">
        <v>1.0275595722733752E-2</v>
      </c>
      <c r="D164" s="306"/>
      <c r="E164" s="308">
        <v>1.0275595722733752E-2</v>
      </c>
      <c r="F164" s="308">
        <v>1.0461820520740257E-2</v>
      </c>
      <c r="G164" s="309">
        <v>1.0671661854860256E-2</v>
      </c>
    </row>
    <row r="165" spans="1:7">
      <c r="A165" s="39" t="s">
        <v>1935</v>
      </c>
      <c r="B165" s="96"/>
      <c r="C165" s="308">
        <v>4.7977248951586289E-2</v>
      </c>
      <c r="D165" s="306"/>
      <c r="E165" s="308">
        <v>4.7729395671366949E-2</v>
      </c>
      <c r="F165" s="308">
        <v>4.7977248951586289E-2</v>
      </c>
      <c r="G165" s="309">
        <v>4.8939568072570015E-2</v>
      </c>
    </row>
    <row r="166" spans="1:7">
      <c r="A166" s="39" t="s">
        <v>1936</v>
      </c>
      <c r="B166" s="96"/>
      <c r="C166" s="308">
        <v>0.11197869095710221</v>
      </c>
      <c r="D166" s="306"/>
      <c r="E166" s="306"/>
      <c r="F166" s="308">
        <v>0.11197869095710221</v>
      </c>
      <c r="G166" s="309">
        <v>0.1142247396115277</v>
      </c>
    </row>
    <row r="167" spans="1:7">
      <c r="A167" s="39" t="s">
        <v>1933</v>
      </c>
      <c r="B167" s="96"/>
      <c r="C167" s="311">
        <v>1196.7270608049605</v>
      </c>
      <c r="D167" s="312">
        <v>1184.55111540192</v>
      </c>
      <c r="E167" s="312">
        <v>1230.2765356967029</v>
      </c>
      <c r="F167" s="312">
        <v>1252.6842200554524</v>
      </c>
      <c r="G167" s="313">
        <v>1277.8103372017354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9.8016833799892877E-5</v>
      </c>
      <c r="E170" s="308">
        <v>1E-4</v>
      </c>
      <c r="F170" s="308">
        <v>1.0181230171983607E-4</v>
      </c>
      <c r="G170" s="309">
        <v>1.0385443474824771E-4</v>
      </c>
    </row>
    <row r="171" spans="1:7">
      <c r="A171" s="39" t="s">
        <v>1931</v>
      </c>
      <c r="B171" s="96"/>
      <c r="C171" s="308">
        <v>158.51891134091295</v>
      </c>
      <c r="D171" s="306"/>
      <c r="E171" s="308">
        <v>158.51891134091295</v>
      </c>
      <c r="F171" s="308">
        <v>161.39175229740971</v>
      </c>
      <c r="G171" s="309">
        <v>164.62891934218106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1.0181230171983607E-4</v>
      </c>
      <c r="G172" s="309">
        <v>1.0385443474824771E-4</v>
      </c>
    </row>
    <row r="173" spans="1:7">
      <c r="A173" s="39" t="s">
        <v>1935</v>
      </c>
      <c r="B173" s="96"/>
      <c r="C173" s="308">
        <v>1E-4</v>
      </c>
      <c r="D173" s="306"/>
      <c r="E173" s="308">
        <v>9.948339413860631E-5</v>
      </c>
      <c r="F173" s="308">
        <v>1E-4</v>
      </c>
      <c r="G173" s="309">
        <v>1.0200578220304962E-4</v>
      </c>
    </row>
    <row r="174" spans="1:7">
      <c r="A174" s="39" t="s">
        <v>1936</v>
      </c>
      <c r="B174" s="96"/>
      <c r="C174" s="308">
        <v>115.75108865908705</v>
      </c>
      <c r="D174" s="306"/>
      <c r="E174" s="306"/>
      <c r="F174" s="308">
        <v>115.75108865908705</v>
      </c>
      <c r="G174" s="309">
        <v>118.07280339524719</v>
      </c>
    </row>
    <row r="175" spans="1:7">
      <c r="A175" s="39" t="s">
        <v>1933</v>
      </c>
      <c r="B175" s="96"/>
      <c r="C175" s="311">
        <v>274.27030000000002</v>
      </c>
      <c r="D175" s="312">
        <v>9.8016833799892877E-5</v>
      </c>
      <c r="E175" s="312">
        <v>158.51921082430709</v>
      </c>
      <c r="F175" s="312">
        <v>277.14314458110022</v>
      </c>
      <c r="G175" s="313">
        <v>282.70203245207995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3673.7398395611135</v>
      </c>
      <c r="D181" s="306">
        <v>3673.7398395611135</v>
      </c>
      <c r="E181" s="306">
        <v>3780.5882332607789</v>
      </c>
      <c r="F181" s="306">
        <v>3849.1038988320843</v>
      </c>
      <c r="G181" s="307">
        <v>3926.3085398117464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27.74315650092645</v>
      </c>
      <c r="D183" s="306">
        <v>27.192963598357252</v>
      </c>
      <c r="E183" s="306">
        <v>27.74315650092645</v>
      </c>
      <c r="F183" s="306">
        <v>28.245946203329549</v>
      </c>
      <c r="G183" s="307">
        <v>28.812498365358898</v>
      </c>
    </row>
    <row r="184" spans="1:7">
      <c r="A184" s="39" t="s">
        <v>1931</v>
      </c>
      <c r="C184" s="306">
        <v>170.00582032487898</v>
      </c>
      <c r="D184" s="306">
        <v>0</v>
      </c>
      <c r="E184" s="306">
        <v>170.00582032487898</v>
      </c>
      <c r="F184" s="306">
        <v>173.08683873044816</v>
      </c>
      <c r="G184" s="307">
        <v>176.55858373752466</v>
      </c>
    </row>
    <row r="185" spans="1:7">
      <c r="A185" s="39" t="s">
        <v>1932</v>
      </c>
      <c r="C185" s="306">
        <v>1.0375595722733751E-2</v>
      </c>
      <c r="D185" s="306">
        <v>0</v>
      </c>
      <c r="E185" s="306">
        <v>1.0375595722733751E-2</v>
      </c>
      <c r="F185" s="306">
        <v>1.0563632822460093E-2</v>
      </c>
      <c r="G185" s="307">
        <v>1.0775516289608504E-2</v>
      </c>
    </row>
    <row r="186" spans="1:7">
      <c r="A186" s="39" t="s">
        <v>1935</v>
      </c>
      <c r="C186" s="306">
        <v>4.8077248951586292E-2</v>
      </c>
      <c r="D186" s="306">
        <v>0</v>
      </c>
      <c r="E186" s="306">
        <v>4.7828879065505557E-2</v>
      </c>
      <c r="F186" s="306">
        <v>4.8077248951586292E-2</v>
      </c>
      <c r="G186" s="307">
        <v>4.9041573854773063E-2</v>
      </c>
    </row>
    <row r="187" spans="1:7" ht="15" thickBot="1">
      <c r="A187" s="39" t="s">
        <v>1936</v>
      </c>
      <c r="C187" s="306">
        <v>115.86306735004415</v>
      </c>
      <c r="D187" s="306">
        <v>0</v>
      </c>
      <c r="E187" s="306">
        <v>0</v>
      </c>
      <c r="F187" s="306">
        <v>115.86306735004415</v>
      </c>
      <c r="G187" s="307">
        <v>118.18702813485872</v>
      </c>
    </row>
    <row r="188" spans="1:7" ht="15" thickBot="1">
      <c r="A188" s="39" t="s">
        <v>115</v>
      </c>
      <c r="C188" s="314">
        <v>3987.4103365816377</v>
      </c>
      <c r="D188" s="315">
        <v>3700.932803159471</v>
      </c>
      <c r="E188" s="315">
        <v>3978.3954145613725</v>
      </c>
      <c r="F188" s="315">
        <v>4166.35839199768</v>
      </c>
      <c r="G188" s="316">
        <v>4249.9264671396331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106.84839369966494</v>
      </c>
      <c r="E190" s="306">
        <v>72.099661716377</v>
      </c>
      <c r="F190" s="306">
        <v>83.568075141953528</v>
      </c>
      <c r="G190" s="307">
        <v>262.51613055799544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3987.4103365816377</v>
      </c>
      <c r="D202" s="315">
        <v>3700.932803159471</v>
      </c>
      <c r="E202" s="315">
        <v>3978.3954145613725</v>
      </c>
      <c r="F202" s="315">
        <v>4166.35839199768</v>
      </c>
      <c r="G202" s="316">
        <v>4249.9264671396331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106.84839369966494</v>
      </c>
      <c r="E204" s="318">
        <v>72.099661716377</v>
      </c>
      <c r="F204" s="318">
        <v>83.568075141953528</v>
      </c>
      <c r="G204" s="319">
        <v>262.51613055799544</v>
      </c>
    </row>
    <row r="205" spans="1:7" ht="15" thickBot="1"/>
    <row r="206" spans="1:7" ht="15" thickBot="1">
      <c r="A206" s="1623" t="s">
        <v>9207</v>
      </c>
      <c r="B206" s="1630"/>
      <c r="C206" s="1630"/>
      <c r="D206" s="1630"/>
      <c r="E206" s="1630"/>
      <c r="F206" s="1630"/>
      <c r="G206" s="1631"/>
    </row>
    <row r="207" spans="1:7">
      <c r="A207" s="30"/>
      <c r="B207" s="60"/>
      <c r="C207" s="60"/>
      <c r="D207" s="60"/>
      <c r="E207" s="60"/>
      <c r="F207" s="60"/>
      <c r="G207" s="40"/>
    </row>
    <row r="208" spans="1:7">
      <c r="A208" s="95"/>
      <c r="B208" s="33"/>
      <c r="C208" s="3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1.0287852670138677</v>
      </c>
      <c r="F213" s="299">
        <v>1.0184283936168184</v>
      </c>
      <c r="G213" s="300">
        <v>1.0203259170600105</v>
      </c>
    </row>
    <row r="214" spans="1:7">
      <c r="A214" s="39" t="s">
        <v>1924</v>
      </c>
      <c r="C214" s="29"/>
      <c r="D214" s="301">
        <v>0.98044114018889383</v>
      </c>
      <c r="E214" s="301">
        <v>0.99487887756542071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2347.360108931025</v>
      </c>
      <c r="D217" s="304">
        <v>2347.360108931025</v>
      </c>
      <c r="E217" s="304">
        <v>2414.9294964443061</v>
      </c>
      <c r="F217" s="304">
        <v>2459.4327677616466</v>
      </c>
      <c r="G217" s="305">
        <v>2509.4229942138418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201.37386592895493</v>
      </c>
      <c r="D220" s="308">
        <v>201.37386592895493</v>
      </c>
      <c r="E220" s="308">
        <v>207.17046642933471</v>
      </c>
      <c r="F220" s="308">
        <v>210.98828533047435</v>
      </c>
      <c r="G220" s="309">
        <v>215.27681571873541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2.3581089328654867E-2</v>
      </c>
      <c r="D222" s="310">
        <v>2.3119870108282533E-2</v>
      </c>
      <c r="E222" s="308">
        <v>2.3581089328654867E-2</v>
      </c>
      <c r="F222" s="308">
        <v>2.4015650924716674E-2</v>
      </c>
      <c r="G222" s="309">
        <v>2.450379105355463E-2</v>
      </c>
    </row>
    <row r="223" spans="1:7">
      <c r="A223" s="39" t="s">
        <v>1931</v>
      </c>
      <c r="B223" s="96"/>
      <c r="C223" s="308">
        <v>3.0993918360840311E-2</v>
      </c>
      <c r="D223" s="306"/>
      <c r="E223" s="308">
        <v>3.0993918360840311E-2</v>
      </c>
      <c r="F223" s="308">
        <v>3.156508648812141E-2</v>
      </c>
      <c r="G223" s="309">
        <v>3.2206675818071025E-2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201.42844093664442</v>
      </c>
      <c r="D225" s="312">
        <v>201.3969857990632</v>
      </c>
      <c r="E225" s="312">
        <v>207.2250414370242</v>
      </c>
      <c r="F225" s="312">
        <v>211.04386606788719</v>
      </c>
      <c r="G225" s="313">
        <v>215.33352618560701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1246.4760114980045</v>
      </c>
      <c r="D228" s="308">
        <v>1246.4760114980045</v>
      </c>
      <c r="E228" s="308">
        <v>1282.3561563153555</v>
      </c>
      <c r="F228" s="308">
        <v>1305.9879203208852</v>
      </c>
      <c r="G228" s="309">
        <v>1332.5333224707031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29.755074809451774</v>
      </c>
      <c r="D230" s="308">
        <v>29.173099472584731</v>
      </c>
      <c r="E230" s="308">
        <v>29.755074809451774</v>
      </c>
      <c r="F230" s="308">
        <v>30.303413040138228</v>
      </c>
      <c r="G230" s="309">
        <v>30.919357700227319</v>
      </c>
    </row>
    <row r="231" spans="1:7">
      <c r="A231" s="39" t="s">
        <v>1931</v>
      </c>
      <c r="B231" s="96"/>
      <c r="C231" s="308">
        <v>12.297243098972276</v>
      </c>
      <c r="D231" s="306"/>
      <c r="E231" s="308">
        <v>12.297243098972276</v>
      </c>
      <c r="F231" s="308">
        <v>12.52386153520184</v>
      </c>
      <c r="G231" s="309">
        <v>12.77842050603741</v>
      </c>
    </row>
    <row r="232" spans="1:7">
      <c r="A232" s="39" t="s">
        <v>1932</v>
      </c>
      <c r="B232" s="96"/>
      <c r="C232" s="308">
        <v>1.1030168876997449E-2</v>
      </c>
      <c r="D232" s="306"/>
      <c r="E232" s="308">
        <v>1.1030168876997449E-2</v>
      </c>
      <c r="F232" s="308">
        <v>1.1233437170722737E-2</v>
      </c>
      <c r="G232" s="309">
        <v>1.1461767082953687E-2</v>
      </c>
    </row>
    <row r="233" spans="1:7">
      <c r="A233" s="39" t="s">
        <v>1935</v>
      </c>
      <c r="B233" s="96"/>
      <c r="C233" s="308">
        <v>5.1500387176477626E-2</v>
      </c>
      <c r="D233" s="306"/>
      <c r="E233" s="308">
        <v>5.1236647388318644E-2</v>
      </c>
      <c r="F233" s="308">
        <v>5.1500387176477626E-2</v>
      </c>
      <c r="G233" s="309">
        <v>5.2547179774785138E-2</v>
      </c>
    </row>
    <row r="234" spans="1:7">
      <c r="A234" s="39" t="s">
        <v>1936</v>
      </c>
      <c r="B234" s="96"/>
      <c r="C234" s="308">
        <v>0.12020168029278432</v>
      </c>
      <c r="D234" s="306"/>
      <c r="E234" s="306"/>
      <c r="F234" s="308">
        <v>0.12020168029278432</v>
      </c>
      <c r="G234" s="309">
        <v>0.12264488967688936</v>
      </c>
    </row>
    <row r="235" spans="1:7">
      <c r="A235" s="39" t="s">
        <v>1933</v>
      </c>
      <c r="B235" s="96"/>
      <c r="C235" s="311">
        <v>1288.7110616427749</v>
      </c>
      <c r="D235" s="312">
        <v>1275.6491109705892</v>
      </c>
      <c r="E235" s="312">
        <v>1324.4707410400449</v>
      </c>
      <c r="F235" s="312">
        <v>1348.9981304008652</v>
      </c>
      <c r="G235" s="313">
        <v>1376.4177545135024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9.8044114018889394E-5</v>
      </c>
      <c r="E238" s="308">
        <v>1E-4</v>
      </c>
      <c r="F238" s="308">
        <v>1.0184283936168184E-4</v>
      </c>
      <c r="G238" s="309">
        <v>1.0391288846770336E-4</v>
      </c>
    </row>
    <row r="239" spans="1:7">
      <c r="A239" s="39" t="s">
        <v>1931</v>
      </c>
      <c r="B239" s="96"/>
      <c r="C239" s="308">
        <v>158.51891134091295</v>
      </c>
      <c r="D239" s="306"/>
      <c r="E239" s="308">
        <v>158.51891134091295</v>
      </c>
      <c r="F239" s="308">
        <v>161.44016023481282</v>
      </c>
      <c r="G239" s="309">
        <v>164.72157954190044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1.0184283936168184E-4</v>
      </c>
      <c r="G240" s="309">
        <v>1.0391288846770336E-4</v>
      </c>
    </row>
    <row r="241" spans="1:7">
      <c r="A241" s="39" t="s">
        <v>1935</v>
      </c>
      <c r="B241" s="96"/>
      <c r="C241" s="308">
        <v>1E-4</v>
      </c>
      <c r="D241" s="306"/>
      <c r="E241" s="308">
        <v>9.9487887756542071E-5</v>
      </c>
      <c r="F241" s="308">
        <v>1E-4</v>
      </c>
      <c r="G241" s="309">
        <v>1.0203259170600105E-4</v>
      </c>
    </row>
    <row r="242" spans="1:7">
      <c r="A242" s="39" t="s">
        <v>1936</v>
      </c>
      <c r="B242" s="96"/>
      <c r="C242" s="308">
        <v>115.75108865908705</v>
      </c>
      <c r="D242" s="306"/>
      <c r="E242" s="306"/>
      <c r="F242" s="308">
        <v>115.75108865908705</v>
      </c>
      <c r="G242" s="309">
        <v>118.10383568677757</v>
      </c>
    </row>
    <row r="243" spans="1:7">
      <c r="A243" s="39" t="s">
        <v>1933</v>
      </c>
      <c r="B243" s="96"/>
      <c r="C243" s="311">
        <v>274.27030000000002</v>
      </c>
      <c r="D243" s="312">
        <v>9.8044114018889394E-5</v>
      </c>
      <c r="E243" s="312">
        <v>158.51921082880071</v>
      </c>
      <c r="F243" s="312">
        <v>277.19155257957863</v>
      </c>
      <c r="G243" s="313">
        <v>282.82572508704669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3795.2099863579842</v>
      </c>
      <c r="D249" s="306">
        <v>3795.2099863579842</v>
      </c>
      <c r="E249" s="306">
        <v>3904.4561191889961</v>
      </c>
      <c r="F249" s="306">
        <v>3976.4089734130062</v>
      </c>
      <c r="G249" s="307">
        <v>4057.2331324032803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29.778755898780428</v>
      </c>
      <c r="D251" s="306">
        <v>29.196317386807031</v>
      </c>
      <c r="E251" s="306">
        <v>29.778755898780428</v>
      </c>
      <c r="F251" s="306">
        <v>30.327530533902305</v>
      </c>
      <c r="G251" s="307">
        <v>30.94396540416934</v>
      </c>
    </row>
    <row r="252" spans="1:7">
      <c r="A252" s="39" t="s">
        <v>1931</v>
      </c>
      <c r="C252" s="306">
        <v>170.84714835824607</v>
      </c>
      <c r="D252" s="306">
        <v>0</v>
      </c>
      <c r="E252" s="306">
        <v>170.84714835824607</v>
      </c>
      <c r="F252" s="306">
        <v>173.9955868565028</v>
      </c>
      <c r="G252" s="307">
        <v>177.53220672375591</v>
      </c>
    </row>
    <row r="253" spans="1:7">
      <c r="A253" s="39" t="s">
        <v>1932</v>
      </c>
      <c r="C253" s="306">
        <v>1.1130168876997448E-2</v>
      </c>
      <c r="D253" s="306">
        <v>0</v>
      </c>
      <c r="E253" s="306">
        <v>1.1130168876997448E-2</v>
      </c>
      <c r="F253" s="306">
        <v>1.1335280010084419E-2</v>
      </c>
      <c r="G253" s="307">
        <v>1.156567997142139E-2</v>
      </c>
    </row>
    <row r="254" spans="1:7">
      <c r="A254" s="39" t="s">
        <v>1935</v>
      </c>
      <c r="C254" s="306">
        <v>5.1600387176477629E-2</v>
      </c>
      <c r="D254" s="306">
        <v>0</v>
      </c>
      <c r="E254" s="306">
        <v>5.1336135276075189E-2</v>
      </c>
      <c r="F254" s="306">
        <v>5.1600387176477629E-2</v>
      </c>
      <c r="G254" s="307">
        <v>5.2649212366491137E-2</v>
      </c>
    </row>
    <row r="255" spans="1:7" ht="15" thickBot="1">
      <c r="A255" s="39" t="s">
        <v>1936</v>
      </c>
      <c r="C255" s="306">
        <v>115.87129033937983</v>
      </c>
      <c r="D255" s="306">
        <v>0</v>
      </c>
      <c r="E255" s="306">
        <v>0</v>
      </c>
      <c r="F255" s="306">
        <v>115.87129033937983</v>
      </c>
      <c r="G255" s="307">
        <v>118.22648057645446</v>
      </c>
    </row>
    <row r="256" spans="1:7" ht="15" thickBot="1">
      <c r="A256" s="39" t="s">
        <v>115</v>
      </c>
      <c r="C256" s="314">
        <v>4111.7699115104442</v>
      </c>
      <c r="D256" s="315">
        <v>3824.4063037447913</v>
      </c>
      <c r="E256" s="315">
        <v>4105.1444897501751</v>
      </c>
      <c r="F256" s="315">
        <v>4296.6663168099776</v>
      </c>
      <c r="G256" s="316">
        <v>4383.9999999999982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109.24613283101172</v>
      </c>
      <c r="E258" s="306">
        <v>75.650272468521308</v>
      </c>
      <c r="F258" s="306">
        <v>87.333683190020807</v>
      </c>
      <c r="G258" s="307">
        <v>272.23008848955385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4111.7699115104442</v>
      </c>
      <c r="D270" s="315">
        <v>3824.4063037447913</v>
      </c>
      <c r="E270" s="315">
        <v>4105.1444897501751</v>
      </c>
      <c r="F270" s="315">
        <v>4296.6663168099776</v>
      </c>
      <c r="G270" s="316">
        <v>4383.9999999999982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109.24613283101172</v>
      </c>
      <c r="E272" s="318">
        <v>75.650272468521308</v>
      </c>
      <c r="F272" s="318">
        <v>87.333683190020807</v>
      </c>
      <c r="G272" s="319">
        <v>272.23008848955385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9208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1.0291994282851968</v>
      </c>
      <c r="F9" s="299">
        <v>1.0180905696228542</v>
      </c>
      <c r="G9" s="300">
        <v>1.0200178245573113</v>
      </c>
      <c r="I9" s="29" t="s">
        <v>116</v>
      </c>
    </row>
    <row r="10" spans="1:9">
      <c r="A10" s="39" t="s">
        <v>1924</v>
      </c>
      <c r="C10" s="29"/>
      <c r="D10" s="301">
        <v>0.98008841610118091</v>
      </c>
      <c r="E10" s="301">
        <v>0.99482343983943633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2282.9980393186815</v>
      </c>
      <c r="D13" s="304">
        <v>2282.9980393186815</v>
      </c>
      <c r="E13" s="304">
        <v>2349.6602768430125</v>
      </c>
      <c r="F13" s="304">
        <v>2392.1669696712956</v>
      </c>
      <c r="G13" s="305">
        <v>2440.0529483819705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188.63701838486938</v>
      </c>
      <c r="D16" s="308">
        <v>188.63701838486938</v>
      </c>
      <c r="E16" s="308">
        <v>194.14511147513173</v>
      </c>
      <c r="F16" s="308">
        <v>197.65730713120939</v>
      </c>
      <c r="G16" s="309">
        <v>201.61397642783254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2.2089591222299278E-2</v>
      </c>
      <c r="D18" s="310">
        <v>2.1649752473385849E-2</v>
      </c>
      <c r="E18" s="308">
        <v>2.2089591222299278E-2</v>
      </c>
      <c r="F18" s="308">
        <v>2.248920451024667E-2</v>
      </c>
      <c r="G18" s="309">
        <v>2.2939389460566281E-2</v>
      </c>
    </row>
    <row r="19" spans="1:7">
      <c r="A19" s="39" t="s">
        <v>1931</v>
      </c>
      <c r="B19" s="96"/>
      <c r="C19" s="308">
        <v>2.9033560639470789E-2</v>
      </c>
      <c r="D19" s="306"/>
      <c r="E19" s="308">
        <v>2.9033560639470789E-2</v>
      </c>
      <c r="F19" s="308">
        <v>2.9558794289618492E-2</v>
      </c>
      <c r="G19" s="309">
        <v>3.0150497047833728E-2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188.68814153673117</v>
      </c>
      <c r="D21" s="312">
        <v>188.65866813734277</v>
      </c>
      <c r="E21" s="312">
        <v>194.19623462699352</v>
      </c>
      <c r="F21" s="312">
        <v>197.70935513000924</v>
      </c>
      <c r="G21" s="313">
        <v>201.66706631434093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1175.4143894739141</v>
      </c>
      <c r="D24" s="308">
        <v>1175.4143894739141</v>
      </c>
      <c r="E24" s="308">
        <v>1209.735817644746</v>
      </c>
      <c r="F24" s="308">
        <v>1231.6206276791088</v>
      </c>
      <c r="G24" s="309">
        <v>1256.2749933251548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28.846002614618904</v>
      </c>
      <c r="D26" s="308">
        <v>28.271633013412366</v>
      </c>
      <c r="E26" s="308">
        <v>28.846002614618904</v>
      </c>
      <c r="F26" s="308">
        <v>29.367843233259698</v>
      </c>
      <c r="G26" s="309">
        <v>29.955723566729713</v>
      </c>
    </row>
    <row r="27" spans="1:7">
      <c r="A27" s="39" t="s">
        <v>1931</v>
      </c>
      <c r="B27" s="96"/>
      <c r="C27" s="308">
        <v>11.921539732539301</v>
      </c>
      <c r="D27" s="306"/>
      <c r="E27" s="308">
        <v>11.921539732539301</v>
      </c>
      <c r="F27" s="308">
        <v>12.137207177082425</v>
      </c>
      <c r="G27" s="309">
        <v>12.380167660969001</v>
      </c>
    </row>
    <row r="28" spans="1:7">
      <c r="A28" s="39" t="s">
        <v>1932</v>
      </c>
      <c r="B28" s="96"/>
      <c r="C28" s="308">
        <v>1.069317695563269E-2</v>
      </c>
      <c r="D28" s="306"/>
      <c r="E28" s="308">
        <v>1.069317695563269E-2</v>
      </c>
      <c r="F28" s="308">
        <v>1.0886622617838062E-2</v>
      </c>
      <c r="G28" s="309">
        <v>1.1104549119423601E-2</v>
      </c>
    </row>
    <row r="29" spans="1:7">
      <c r="A29" s="39" t="s">
        <v>1935</v>
      </c>
      <c r="B29" s="96"/>
      <c r="C29" s="308">
        <v>4.9926955743181692E-2</v>
      </c>
      <c r="D29" s="306"/>
      <c r="E29" s="308">
        <v>4.9668505853143315E-2</v>
      </c>
      <c r="F29" s="308">
        <v>4.9926955743181692E-2</v>
      </c>
      <c r="G29" s="309">
        <v>5.092638478392935E-2</v>
      </c>
    </row>
    <row r="30" spans="1:7">
      <c r="A30" s="39" t="s">
        <v>1936</v>
      </c>
      <c r="B30" s="96"/>
      <c r="C30" s="308">
        <v>0.11652929815205282</v>
      </c>
      <c r="D30" s="306"/>
      <c r="E30" s="306"/>
      <c r="F30" s="308">
        <v>0.11652929815205282</v>
      </c>
      <c r="G30" s="309">
        <v>0.11886196119824723</v>
      </c>
    </row>
    <row r="31" spans="1:7">
      <c r="A31" s="39" t="s">
        <v>1933</v>
      </c>
      <c r="B31" s="96"/>
      <c r="C31" s="311">
        <v>1216.359081251923</v>
      </c>
      <c r="D31" s="312">
        <v>1203.6860224873265</v>
      </c>
      <c r="E31" s="312">
        <v>1250.563721674713</v>
      </c>
      <c r="F31" s="312">
        <v>1273.3030209659639</v>
      </c>
      <c r="G31" s="313">
        <v>1298.7917774479549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9.8008841610118091E-5</v>
      </c>
      <c r="E34" s="308">
        <v>1E-4</v>
      </c>
      <c r="F34" s="308">
        <v>1.0180905696228542E-4</v>
      </c>
      <c r="G34" s="309">
        <v>1.0384705280290176E-4</v>
      </c>
    </row>
    <row r="35" spans="1:7">
      <c r="A35" s="39" t="s">
        <v>1931</v>
      </c>
      <c r="B35" s="96"/>
      <c r="C35" s="308">
        <v>162.3334911886908</v>
      </c>
      <c r="D35" s="306"/>
      <c r="E35" s="308">
        <v>162.3334911886908</v>
      </c>
      <c r="F35" s="308">
        <v>165.27019651316078</v>
      </c>
      <c r="G35" s="309">
        <v>168.57854631151361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1.0180905696228542E-4</v>
      </c>
      <c r="G36" s="309">
        <v>1.0384705280290176E-4</v>
      </c>
    </row>
    <row r="37" spans="1:7">
      <c r="A37" s="39" t="s">
        <v>1935</v>
      </c>
      <c r="B37" s="96"/>
      <c r="C37" s="308">
        <v>1E-4</v>
      </c>
      <c r="D37" s="306"/>
      <c r="E37" s="308">
        <v>9.9482343983943632E-5</v>
      </c>
      <c r="F37" s="308">
        <v>1E-4</v>
      </c>
      <c r="G37" s="309">
        <v>1.0200178245573114E-4</v>
      </c>
    </row>
    <row r="38" spans="1:7">
      <c r="A38" s="39" t="s">
        <v>1936</v>
      </c>
      <c r="B38" s="96"/>
      <c r="C38" s="308">
        <v>118.5365088113092</v>
      </c>
      <c r="D38" s="306"/>
      <c r="E38" s="306"/>
      <c r="F38" s="308">
        <v>118.5365088113092</v>
      </c>
      <c r="G38" s="309">
        <v>120.90935184833018</v>
      </c>
    </row>
    <row r="39" spans="1:7">
      <c r="A39" s="39" t="s">
        <v>1933</v>
      </c>
      <c r="B39" s="96"/>
      <c r="C39" s="311">
        <v>280.87030000000004</v>
      </c>
      <c r="D39" s="312">
        <v>9.8008841610118091E-5</v>
      </c>
      <c r="E39" s="312">
        <v>162.33379067103479</v>
      </c>
      <c r="F39" s="312">
        <v>283.80700894258393</v>
      </c>
      <c r="G39" s="313">
        <v>289.48820785573184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3647.049447177465</v>
      </c>
      <c r="D45" s="306">
        <v>3647.049447177465</v>
      </c>
      <c r="E45" s="306">
        <v>3753.5412059628902</v>
      </c>
      <c r="F45" s="306">
        <v>3821.4449044816138</v>
      </c>
      <c r="G45" s="307">
        <v>3897.9419181349581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28.868192205841204</v>
      </c>
      <c r="D47" s="306">
        <v>28.293380774727364</v>
      </c>
      <c r="E47" s="306">
        <v>28.868192205841204</v>
      </c>
      <c r="F47" s="306">
        <v>29.390434246826906</v>
      </c>
      <c r="G47" s="307">
        <v>29.978766803243083</v>
      </c>
    </row>
    <row r="48" spans="1:7">
      <c r="A48" s="39" t="s">
        <v>1931</v>
      </c>
      <c r="C48" s="306">
        <v>174.28406448186956</v>
      </c>
      <c r="D48" s="306">
        <v>0</v>
      </c>
      <c r="E48" s="306">
        <v>174.28406448186956</v>
      </c>
      <c r="F48" s="306">
        <v>177.43696248453284</v>
      </c>
      <c r="G48" s="307">
        <v>180.98886446953043</v>
      </c>
    </row>
    <row r="49" spans="1:7">
      <c r="A49" s="39" t="s">
        <v>1932</v>
      </c>
      <c r="C49" s="306">
        <v>1.0793176955632689E-2</v>
      </c>
      <c r="D49" s="306">
        <v>0</v>
      </c>
      <c r="E49" s="306">
        <v>1.0793176955632689E-2</v>
      </c>
      <c r="F49" s="306">
        <v>1.0988431674800347E-2</v>
      </c>
      <c r="G49" s="307">
        <v>1.1208396172226503E-2</v>
      </c>
    </row>
    <row r="50" spans="1:7">
      <c r="A50" s="39" t="s">
        <v>1935</v>
      </c>
      <c r="C50" s="306">
        <v>5.0026955743181695E-2</v>
      </c>
      <c r="D50" s="306">
        <v>0</v>
      </c>
      <c r="E50" s="306">
        <v>4.9767988197127258E-2</v>
      </c>
      <c r="F50" s="306">
        <v>5.0026955743181695E-2</v>
      </c>
      <c r="G50" s="307">
        <v>5.102838656638508E-2</v>
      </c>
    </row>
    <row r="51" spans="1:7" ht="15" thickBot="1">
      <c r="A51" s="39" t="s">
        <v>1936</v>
      </c>
      <c r="C51" s="306">
        <v>118.65303810946126</v>
      </c>
      <c r="D51" s="306">
        <v>0</v>
      </c>
      <c r="E51" s="306">
        <v>0</v>
      </c>
      <c r="F51" s="306">
        <v>118.65303810946126</v>
      </c>
      <c r="G51" s="307">
        <v>121.02821380952842</v>
      </c>
    </row>
    <row r="52" spans="1:7" ht="15" thickBot="1">
      <c r="A52" s="39" t="s">
        <v>115</v>
      </c>
      <c r="C52" s="314">
        <v>3968.915562107336</v>
      </c>
      <c r="D52" s="315">
        <v>3675.3428279521922</v>
      </c>
      <c r="E52" s="315">
        <v>3956.754023815754</v>
      </c>
      <c r="F52" s="315">
        <v>4146.986354709853</v>
      </c>
      <c r="G52" s="316">
        <v>4229.9999999999982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106.49175878542512</v>
      </c>
      <c r="E54" s="306">
        <v>71.579033817091471</v>
      </c>
      <c r="F54" s="306">
        <v>83.013645290146528</v>
      </c>
      <c r="G54" s="307">
        <v>261.08443789266312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3968.915562107336</v>
      </c>
      <c r="D66" s="315">
        <v>3675.3428279521922</v>
      </c>
      <c r="E66" s="315">
        <v>3956.754023815754</v>
      </c>
      <c r="F66" s="315">
        <v>4146.986354709853</v>
      </c>
      <c r="G66" s="316">
        <v>4229.9999999999982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106.49175878542513</v>
      </c>
      <c r="E68" s="318">
        <v>71.579033817091471</v>
      </c>
      <c r="F68" s="318">
        <v>83.013645290146528</v>
      </c>
      <c r="G68" s="319">
        <v>261.08443789266312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9209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1.0291994282851968</v>
      </c>
      <c r="F77" s="299">
        <v>1.0180905696228542</v>
      </c>
      <c r="G77" s="300">
        <v>1.0200178245573113</v>
      </c>
    </row>
    <row r="78" spans="1:7">
      <c r="A78" s="39" t="s">
        <v>1924</v>
      </c>
      <c r="C78" s="29"/>
      <c r="D78" s="301">
        <v>0.98008841610118091</v>
      </c>
      <c r="E78" s="301">
        <v>0.99482343983943633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2282.9980393186815</v>
      </c>
      <c r="D81" s="304">
        <v>2282.9980393186815</v>
      </c>
      <c r="E81" s="304">
        <v>2349.6602768430125</v>
      </c>
      <c r="F81" s="304">
        <v>2392.1669696712956</v>
      </c>
      <c r="G81" s="305">
        <v>2440.0529483819705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188.63701838486938</v>
      </c>
      <c r="D84" s="308">
        <v>188.63701838486938</v>
      </c>
      <c r="E84" s="308">
        <v>194.14511147513173</v>
      </c>
      <c r="F84" s="308">
        <v>197.65730713120939</v>
      </c>
      <c r="G84" s="309">
        <v>201.61397642783254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2.2089591222299278E-2</v>
      </c>
      <c r="D86" s="310">
        <v>2.1649752473385849E-2</v>
      </c>
      <c r="E86" s="308">
        <v>2.2089591222299278E-2</v>
      </c>
      <c r="F86" s="308">
        <v>2.248920451024667E-2</v>
      </c>
      <c r="G86" s="309">
        <v>2.2939389460566281E-2</v>
      </c>
    </row>
    <row r="87" spans="1:7">
      <c r="A87" s="39" t="s">
        <v>1931</v>
      </c>
      <c r="B87" s="96"/>
      <c r="C87" s="308">
        <v>2.9033560639470789E-2</v>
      </c>
      <c r="D87" s="306"/>
      <c r="E87" s="308">
        <v>2.9033560639470789E-2</v>
      </c>
      <c r="F87" s="308">
        <v>2.9558794289618492E-2</v>
      </c>
      <c r="G87" s="309">
        <v>3.0150497047833728E-2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188.68814153673117</v>
      </c>
      <c r="D89" s="312">
        <v>188.65866813734277</v>
      </c>
      <c r="E89" s="312">
        <v>194.19623462699352</v>
      </c>
      <c r="F89" s="312">
        <v>197.70935513000924</v>
      </c>
      <c r="G89" s="313">
        <v>201.66706631434093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1175.4143894739141</v>
      </c>
      <c r="D92" s="308">
        <v>1175.4143894739141</v>
      </c>
      <c r="E92" s="308">
        <v>1209.735817644746</v>
      </c>
      <c r="F92" s="308">
        <v>1231.6206276791088</v>
      </c>
      <c r="G92" s="309">
        <v>1256.2749933251548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28.846002614618904</v>
      </c>
      <c r="D94" s="308">
        <v>28.271633013412366</v>
      </c>
      <c r="E94" s="308">
        <v>28.846002614618904</v>
      </c>
      <c r="F94" s="308">
        <v>29.367843233259698</v>
      </c>
      <c r="G94" s="309">
        <v>29.955723566729713</v>
      </c>
    </row>
    <row r="95" spans="1:7">
      <c r="A95" s="39" t="s">
        <v>1931</v>
      </c>
      <c r="B95" s="96"/>
      <c r="C95" s="308">
        <v>11.921539732539301</v>
      </c>
      <c r="D95" s="306"/>
      <c r="E95" s="308">
        <v>11.921539732539301</v>
      </c>
      <c r="F95" s="308">
        <v>12.137207177082425</v>
      </c>
      <c r="G95" s="309">
        <v>12.380167660969001</v>
      </c>
    </row>
    <row r="96" spans="1:7">
      <c r="A96" s="39" t="s">
        <v>1932</v>
      </c>
      <c r="B96" s="96"/>
      <c r="C96" s="308">
        <v>1.069317695563269E-2</v>
      </c>
      <c r="D96" s="306"/>
      <c r="E96" s="308">
        <v>1.069317695563269E-2</v>
      </c>
      <c r="F96" s="308">
        <v>1.0886622617838062E-2</v>
      </c>
      <c r="G96" s="309">
        <v>1.1104549119423601E-2</v>
      </c>
    </row>
    <row r="97" spans="1:7">
      <c r="A97" s="39" t="s">
        <v>1935</v>
      </c>
      <c r="B97" s="96"/>
      <c r="C97" s="308">
        <v>4.9926955743181692E-2</v>
      </c>
      <c r="D97" s="306"/>
      <c r="E97" s="308">
        <v>4.9668505853143315E-2</v>
      </c>
      <c r="F97" s="308">
        <v>4.9926955743181692E-2</v>
      </c>
      <c r="G97" s="309">
        <v>5.092638478392935E-2</v>
      </c>
    </row>
    <row r="98" spans="1:7">
      <c r="A98" s="39" t="s">
        <v>1936</v>
      </c>
      <c r="B98" s="96"/>
      <c r="C98" s="308">
        <v>0.11652929815205282</v>
      </c>
      <c r="D98" s="306"/>
      <c r="E98" s="306"/>
      <c r="F98" s="308">
        <v>0.11652929815205282</v>
      </c>
      <c r="G98" s="309">
        <v>0.11886196119824723</v>
      </c>
    </row>
    <row r="99" spans="1:7">
      <c r="A99" s="39" t="s">
        <v>1933</v>
      </c>
      <c r="B99" s="96"/>
      <c r="C99" s="311">
        <v>1216.359081251923</v>
      </c>
      <c r="D99" s="312">
        <v>1203.6860224873265</v>
      </c>
      <c r="E99" s="312">
        <v>1250.563721674713</v>
      </c>
      <c r="F99" s="312">
        <v>1273.3030209659639</v>
      </c>
      <c r="G99" s="313">
        <v>1298.7917774479549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9.8008841610118091E-5</v>
      </c>
      <c r="E102" s="308">
        <v>1E-4</v>
      </c>
      <c r="F102" s="308">
        <v>1.0180905696228542E-4</v>
      </c>
      <c r="G102" s="309">
        <v>1.0384705280290176E-4</v>
      </c>
    </row>
    <row r="103" spans="1:7">
      <c r="A103" s="39" t="s">
        <v>1931</v>
      </c>
      <c r="B103" s="96"/>
      <c r="C103" s="308">
        <v>162.3334911886908</v>
      </c>
      <c r="D103" s="306"/>
      <c r="E103" s="308">
        <v>162.3334911886908</v>
      </c>
      <c r="F103" s="308">
        <v>165.27019651316078</v>
      </c>
      <c r="G103" s="309">
        <v>168.57854631151361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1.0180905696228542E-4</v>
      </c>
      <c r="G104" s="309">
        <v>1.0384705280290176E-4</v>
      </c>
    </row>
    <row r="105" spans="1:7">
      <c r="A105" s="39" t="s">
        <v>1935</v>
      </c>
      <c r="B105" s="96"/>
      <c r="C105" s="308">
        <v>1E-4</v>
      </c>
      <c r="D105" s="306"/>
      <c r="E105" s="308">
        <v>9.9482343983943632E-5</v>
      </c>
      <c r="F105" s="308">
        <v>1E-4</v>
      </c>
      <c r="G105" s="309">
        <v>1.0200178245573114E-4</v>
      </c>
    </row>
    <row r="106" spans="1:7">
      <c r="A106" s="39" t="s">
        <v>1936</v>
      </c>
      <c r="B106" s="96"/>
      <c r="C106" s="308">
        <v>118.5365088113092</v>
      </c>
      <c r="D106" s="306"/>
      <c r="E106" s="306"/>
      <c r="F106" s="308">
        <v>118.5365088113092</v>
      </c>
      <c r="G106" s="309">
        <v>120.90935184833018</v>
      </c>
    </row>
    <row r="107" spans="1:7">
      <c r="A107" s="39" t="s">
        <v>1933</v>
      </c>
      <c r="B107" s="96"/>
      <c r="C107" s="311">
        <v>280.87030000000004</v>
      </c>
      <c r="D107" s="312">
        <v>9.8008841610118091E-5</v>
      </c>
      <c r="E107" s="312">
        <v>162.33379067103479</v>
      </c>
      <c r="F107" s="312">
        <v>283.80700894258393</v>
      </c>
      <c r="G107" s="313">
        <v>289.48820785573184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3647.049447177465</v>
      </c>
      <c r="D113" s="306">
        <v>3647.049447177465</v>
      </c>
      <c r="E113" s="306">
        <v>3753.5412059628902</v>
      </c>
      <c r="F113" s="306">
        <v>3821.4449044816138</v>
      </c>
      <c r="G113" s="307">
        <v>3897.9419181349581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28.868192205841204</v>
      </c>
      <c r="D115" s="306">
        <v>28.293380774727364</v>
      </c>
      <c r="E115" s="306">
        <v>28.868192205841204</v>
      </c>
      <c r="F115" s="306">
        <v>29.390434246826906</v>
      </c>
      <c r="G115" s="307">
        <v>29.978766803243083</v>
      </c>
    </row>
    <row r="116" spans="1:7">
      <c r="A116" s="39" t="s">
        <v>1931</v>
      </c>
      <c r="C116" s="306">
        <v>174.28406448186956</v>
      </c>
      <c r="D116" s="306">
        <v>0</v>
      </c>
      <c r="E116" s="306">
        <v>174.28406448186956</v>
      </c>
      <c r="F116" s="306">
        <v>177.43696248453284</v>
      </c>
      <c r="G116" s="307">
        <v>180.98886446953043</v>
      </c>
    </row>
    <row r="117" spans="1:7">
      <c r="A117" s="39" t="s">
        <v>1932</v>
      </c>
      <c r="C117" s="306">
        <v>1.0793176955632689E-2</v>
      </c>
      <c r="D117" s="306">
        <v>0</v>
      </c>
      <c r="E117" s="306">
        <v>1.0793176955632689E-2</v>
      </c>
      <c r="F117" s="306">
        <v>1.0988431674800347E-2</v>
      </c>
      <c r="G117" s="307">
        <v>1.1208396172226503E-2</v>
      </c>
    </row>
    <row r="118" spans="1:7">
      <c r="A118" s="39" t="s">
        <v>1935</v>
      </c>
      <c r="C118" s="306">
        <v>5.0026955743181695E-2</v>
      </c>
      <c r="D118" s="306">
        <v>0</v>
      </c>
      <c r="E118" s="306">
        <v>4.9767988197127258E-2</v>
      </c>
      <c r="F118" s="306">
        <v>5.0026955743181695E-2</v>
      </c>
      <c r="G118" s="307">
        <v>5.102838656638508E-2</v>
      </c>
    </row>
    <row r="119" spans="1:7" ht="15" thickBot="1">
      <c r="A119" s="39" t="s">
        <v>1936</v>
      </c>
      <c r="C119" s="306">
        <v>118.65303810946126</v>
      </c>
      <c r="D119" s="306">
        <v>0</v>
      </c>
      <c r="E119" s="306">
        <v>0</v>
      </c>
      <c r="F119" s="306">
        <v>118.65303810946126</v>
      </c>
      <c r="G119" s="307">
        <v>121.02821380952842</v>
      </c>
    </row>
    <row r="120" spans="1:7" ht="15" thickBot="1">
      <c r="A120" s="39" t="s">
        <v>115</v>
      </c>
      <c r="C120" s="314">
        <v>3968.915562107336</v>
      </c>
      <c r="D120" s="315">
        <v>3675.3428279521922</v>
      </c>
      <c r="E120" s="315">
        <v>3956.754023815754</v>
      </c>
      <c r="F120" s="315">
        <v>4146.986354709853</v>
      </c>
      <c r="G120" s="316">
        <v>4229.9999999999982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106.49175878542512</v>
      </c>
      <c r="E122" s="306">
        <v>71.579033817091471</v>
      </c>
      <c r="F122" s="306">
        <v>83.013645290146528</v>
      </c>
      <c r="G122" s="307">
        <v>261.08443789266312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3968.915562107336</v>
      </c>
      <c r="D134" s="315">
        <v>3675.3428279521922</v>
      </c>
      <c r="E134" s="315">
        <v>3956.754023815754</v>
      </c>
      <c r="F134" s="315">
        <v>4146.986354709853</v>
      </c>
      <c r="G134" s="316">
        <v>4229.9999999999982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106.49175878542513</v>
      </c>
      <c r="E136" s="318">
        <v>71.579033817091471</v>
      </c>
      <c r="F136" s="318">
        <v>83.013645290146528</v>
      </c>
      <c r="G136" s="319">
        <v>261.08443789266312</v>
      </c>
    </row>
    <row r="137" spans="1:7" ht="15" thickBot="1"/>
    <row r="138" spans="1:7" ht="15" thickBot="1">
      <c r="A138" s="105" t="s">
        <v>9210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1.0295231916512506</v>
      </c>
      <c r="F145" s="299">
        <v>1.0177899128921135</v>
      </c>
      <c r="G145" s="300">
        <v>1.019749486088616</v>
      </c>
    </row>
    <row r="146" spans="1:7">
      <c r="A146" s="39" t="s">
        <v>1924</v>
      </c>
      <c r="C146" s="29"/>
      <c r="D146" s="301">
        <v>0.97979408922835742</v>
      </c>
      <c r="E146" s="301">
        <v>0.99477537400160254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2251.7988047975105</v>
      </c>
      <c r="D149" s="304">
        <v>2251.7988047975105</v>
      </c>
      <c r="E149" s="304">
        <v>2318.2790924716046</v>
      </c>
      <c r="F149" s="304">
        <v>2359.5210755862822</v>
      </c>
      <c r="G149" s="305">
        <v>2406.1204042443696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188.15354941141953</v>
      </c>
      <c r="D152" s="308">
        <v>188.15354941141953</v>
      </c>
      <c r="E152" s="308">
        <v>193.70844271055591</v>
      </c>
      <c r="F152" s="308">
        <v>197.15449903284366</v>
      </c>
      <c r="G152" s="309">
        <v>201.04819906880087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2.2032976502221472E-2</v>
      </c>
      <c r="D154" s="310">
        <v>2.1587780144983887E-2</v>
      </c>
      <c r="E154" s="308">
        <v>2.2032976502221472E-2</v>
      </c>
      <c r="F154" s="308">
        <v>2.2424941234949976E-2</v>
      </c>
      <c r="G154" s="309">
        <v>2.2867822299907654E-2</v>
      </c>
    </row>
    <row r="155" spans="1:7">
      <c r="A155" s="39" t="s">
        <v>1931</v>
      </c>
      <c r="B155" s="96"/>
      <c r="C155" s="308">
        <v>2.895914880939553E-2</v>
      </c>
      <c r="D155" s="306"/>
      <c r="E155" s="308">
        <v>2.895914880939553E-2</v>
      </c>
      <c r="F155" s="308">
        <v>2.9474329544144428E-2</v>
      </c>
      <c r="G155" s="309">
        <v>3.0056432405447794E-2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188.20454153673117</v>
      </c>
      <c r="D157" s="312">
        <v>188.17513719156452</v>
      </c>
      <c r="E157" s="312">
        <v>193.75943483586755</v>
      </c>
      <c r="F157" s="312">
        <v>197.20639830362276</v>
      </c>
      <c r="G157" s="313">
        <v>201.10112332350622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1086.3196857414855</v>
      </c>
      <c r="D160" s="308">
        <v>1086.3196857414855</v>
      </c>
      <c r="E160" s="308">
        <v>1118.3913100181578</v>
      </c>
      <c r="F160" s="308">
        <v>1138.2873940026775</v>
      </c>
      <c r="G160" s="309">
        <v>1160.7679850553804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26.810459831485005</v>
      </c>
      <c r="D162" s="308">
        <v>26.268730072383313</v>
      </c>
      <c r="E162" s="308">
        <v>26.810459831485005</v>
      </c>
      <c r="F162" s="308">
        <v>27.28741557648463</v>
      </c>
      <c r="G162" s="309">
        <v>27.826328010806698</v>
      </c>
    </row>
    <row r="163" spans="1:7">
      <c r="A163" s="39" t="s">
        <v>1931</v>
      </c>
      <c r="B163" s="96"/>
      <c r="C163" s="308">
        <v>11.080286111002284</v>
      </c>
      <c r="D163" s="306"/>
      <c r="E163" s="308">
        <v>11.080286111002284</v>
      </c>
      <c r="F163" s="308">
        <v>11.27740343573671</v>
      </c>
      <c r="G163" s="309">
        <v>11.500126358006503</v>
      </c>
    </row>
    <row r="164" spans="1:7">
      <c r="A164" s="39" t="s">
        <v>1932</v>
      </c>
      <c r="B164" s="96"/>
      <c r="C164" s="308">
        <v>9.9386038013689927E-3</v>
      </c>
      <c r="D164" s="306"/>
      <c r="E164" s="308">
        <v>9.9386038013689927E-3</v>
      </c>
      <c r="F164" s="308">
        <v>1.0115410697264576E-2</v>
      </c>
      <c r="G164" s="309">
        <v>1.031518486011084E-2</v>
      </c>
    </row>
    <row r="165" spans="1:7">
      <c r="A165" s="39" t="s">
        <v>1935</v>
      </c>
      <c r="B165" s="96"/>
      <c r="C165" s="308">
        <v>4.6403817518290362E-2</v>
      </c>
      <c r="D165" s="306"/>
      <c r="E165" s="308">
        <v>4.6161374926859414E-2</v>
      </c>
      <c r="F165" s="308">
        <v>4.6403817518290362E-2</v>
      </c>
      <c r="G165" s="309">
        <v>4.7320269066826515E-2</v>
      </c>
    </row>
    <row r="166" spans="1:7">
      <c r="A166" s="39" t="s">
        <v>1936</v>
      </c>
      <c r="B166" s="96"/>
      <c r="C166" s="308">
        <v>0.1083063088163707</v>
      </c>
      <c r="D166" s="306"/>
      <c r="E166" s="306"/>
      <c r="F166" s="308">
        <v>0.1083063088163707</v>
      </c>
      <c r="G166" s="309">
        <v>0.11044530275564897</v>
      </c>
    </row>
    <row r="167" spans="1:7">
      <c r="A167" s="39" t="s">
        <v>1933</v>
      </c>
      <c r="B167" s="96"/>
      <c r="C167" s="311">
        <v>1124.3750804141089</v>
      </c>
      <c r="D167" s="312">
        <v>1112.5884158138688</v>
      </c>
      <c r="E167" s="312">
        <v>1156.3381559393736</v>
      </c>
      <c r="F167" s="312">
        <v>1177.0170385519305</v>
      </c>
      <c r="G167" s="313">
        <v>1200.2625201808762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9.7979408922835743E-5</v>
      </c>
      <c r="E170" s="308">
        <v>1E-4</v>
      </c>
      <c r="F170" s="308">
        <v>1.0177899128921136E-4</v>
      </c>
      <c r="G170" s="309">
        <v>1.0378907406179102E-4</v>
      </c>
    </row>
    <row r="171" spans="1:7">
      <c r="A171" s="39" t="s">
        <v>1931</v>
      </c>
      <c r="B171" s="96"/>
      <c r="C171" s="308">
        <v>162.3334911886908</v>
      </c>
      <c r="D171" s="306"/>
      <c r="E171" s="308">
        <v>162.3334911886908</v>
      </c>
      <c r="F171" s="308">
        <v>165.2213898564103</v>
      </c>
      <c r="G171" s="309">
        <v>168.48442739692129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1.0177899128921136E-4</v>
      </c>
      <c r="G172" s="309">
        <v>1.0378907406179102E-4</v>
      </c>
    </row>
    <row r="173" spans="1:7">
      <c r="A173" s="39" t="s">
        <v>1935</v>
      </c>
      <c r="B173" s="96"/>
      <c r="C173" s="308">
        <v>1E-4</v>
      </c>
      <c r="D173" s="306"/>
      <c r="E173" s="308">
        <v>9.9477537400160257E-5</v>
      </c>
      <c r="F173" s="308">
        <v>1E-4</v>
      </c>
      <c r="G173" s="309">
        <v>1.0197494860886161E-4</v>
      </c>
    </row>
    <row r="174" spans="1:7">
      <c r="A174" s="39" t="s">
        <v>1936</v>
      </c>
      <c r="B174" s="96"/>
      <c r="C174" s="308">
        <v>118.5365088113092</v>
      </c>
      <c r="D174" s="306"/>
      <c r="E174" s="306"/>
      <c r="F174" s="308">
        <v>118.5365088113092</v>
      </c>
      <c r="G174" s="309">
        <v>120.87754394307127</v>
      </c>
    </row>
    <row r="175" spans="1:7">
      <c r="A175" s="39" t="s">
        <v>1933</v>
      </c>
      <c r="B175" s="96"/>
      <c r="C175" s="311">
        <v>280.87030000000004</v>
      </c>
      <c r="D175" s="312">
        <v>9.7979408922835743E-5</v>
      </c>
      <c r="E175" s="312">
        <v>162.3337906662282</v>
      </c>
      <c r="F175" s="312">
        <v>283.75820222570206</v>
      </c>
      <c r="G175" s="313">
        <v>289.36228089308935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3526.2720399504155</v>
      </c>
      <c r="D181" s="306">
        <v>3526.2720399504155</v>
      </c>
      <c r="E181" s="306">
        <v>3630.3788452003182</v>
      </c>
      <c r="F181" s="306">
        <v>3694.9629686218032</v>
      </c>
      <c r="G181" s="307">
        <v>3767.9365883685509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26.832592807987226</v>
      </c>
      <c r="D183" s="306">
        <v>26.290415831937221</v>
      </c>
      <c r="E183" s="306">
        <v>26.832592807987226</v>
      </c>
      <c r="F183" s="306">
        <v>27.309942296710869</v>
      </c>
      <c r="G183" s="307">
        <v>27.849299622180666</v>
      </c>
    </row>
    <row r="184" spans="1:7">
      <c r="A184" s="39" t="s">
        <v>1931</v>
      </c>
      <c r="C184" s="306">
        <v>173.44273644850247</v>
      </c>
      <c r="D184" s="306">
        <v>0</v>
      </c>
      <c r="E184" s="306">
        <v>173.44273644850247</v>
      </c>
      <c r="F184" s="306">
        <v>176.52826762169116</v>
      </c>
      <c r="G184" s="307">
        <v>180.01461018733323</v>
      </c>
    </row>
    <row r="185" spans="1:7">
      <c r="A185" s="39" t="s">
        <v>1932</v>
      </c>
      <c r="C185" s="306">
        <v>1.0038603801368992E-2</v>
      </c>
      <c r="D185" s="306">
        <v>0</v>
      </c>
      <c r="E185" s="306">
        <v>1.0038603801368992E-2</v>
      </c>
      <c r="F185" s="306">
        <v>1.0217189688553787E-2</v>
      </c>
      <c r="G185" s="307">
        <v>1.0418973934172631E-2</v>
      </c>
    </row>
    <row r="186" spans="1:7">
      <c r="A186" s="39" t="s">
        <v>1935</v>
      </c>
      <c r="C186" s="306">
        <v>4.6503817518290365E-2</v>
      </c>
      <c r="D186" s="306">
        <v>0</v>
      </c>
      <c r="E186" s="306">
        <v>4.6260852464259573E-2</v>
      </c>
      <c r="F186" s="306">
        <v>4.6503817518290365E-2</v>
      </c>
      <c r="G186" s="307">
        <v>4.7422244015435377E-2</v>
      </c>
    </row>
    <row r="187" spans="1:7" ht="15" thickBot="1">
      <c r="A187" s="39" t="s">
        <v>1936</v>
      </c>
      <c r="C187" s="306">
        <v>118.64481512012557</v>
      </c>
      <c r="D187" s="306">
        <v>0</v>
      </c>
      <c r="E187" s="306">
        <v>0</v>
      </c>
      <c r="F187" s="306">
        <v>118.64481512012557</v>
      </c>
      <c r="G187" s="307">
        <v>120.98798924582692</v>
      </c>
    </row>
    <row r="188" spans="1:7" ht="15" thickBot="1">
      <c r="A188" s="39" t="s">
        <v>115</v>
      </c>
      <c r="C188" s="314">
        <v>3845.2487267483502</v>
      </c>
      <c r="D188" s="315">
        <v>3552.5624557823526</v>
      </c>
      <c r="E188" s="315">
        <v>3830.7104739130732</v>
      </c>
      <c r="F188" s="315">
        <v>4017.5027146675379</v>
      </c>
      <c r="G188" s="316">
        <v>4096.846328641841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104.10680524990224</v>
      </c>
      <c r="E190" s="306">
        <v>68.147182669284376</v>
      </c>
      <c r="F190" s="306">
        <v>79.343613974303935</v>
      </c>
      <c r="G190" s="307">
        <v>251.59760189349055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3845.2487267483502</v>
      </c>
      <c r="D202" s="315">
        <v>3552.5624557823526</v>
      </c>
      <c r="E202" s="315">
        <v>3830.7104739130732</v>
      </c>
      <c r="F202" s="315">
        <v>4017.5027146675379</v>
      </c>
      <c r="G202" s="316">
        <v>4096.846328641841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104.10680524990224</v>
      </c>
      <c r="E204" s="318">
        <v>68.147182669284376</v>
      </c>
      <c r="F204" s="318">
        <v>79.343613974303935</v>
      </c>
      <c r="G204" s="319">
        <v>251.59760189349055</v>
      </c>
    </row>
    <row r="205" spans="1:7" ht="15" thickBot="1"/>
    <row r="206" spans="1:7" ht="15" thickBot="1">
      <c r="A206" s="89" t="s">
        <v>9211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1.0291994282851968</v>
      </c>
      <c r="F213" s="299">
        <v>1.0180905696228542</v>
      </c>
      <c r="G213" s="300">
        <v>1.0200178245573113</v>
      </c>
    </row>
    <row r="214" spans="1:7">
      <c r="A214" s="39" t="s">
        <v>1924</v>
      </c>
      <c r="C214" s="29"/>
      <c r="D214" s="301">
        <v>0.98008841610118091</v>
      </c>
      <c r="E214" s="301">
        <v>0.99482343983943633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2282.9980393186815</v>
      </c>
      <c r="D217" s="304">
        <v>2282.9980393186815</v>
      </c>
      <c r="E217" s="304">
        <v>2349.6602768430125</v>
      </c>
      <c r="F217" s="304">
        <v>2392.1669696712956</v>
      </c>
      <c r="G217" s="305">
        <v>2440.0529483819705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188.63701838486938</v>
      </c>
      <c r="D220" s="308">
        <v>188.63701838486938</v>
      </c>
      <c r="E220" s="308">
        <v>194.14511147513173</v>
      </c>
      <c r="F220" s="308">
        <v>197.65730713120939</v>
      </c>
      <c r="G220" s="309">
        <v>201.61397642783254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2.2089591222299278E-2</v>
      </c>
      <c r="D222" s="310">
        <v>2.1649752473385849E-2</v>
      </c>
      <c r="E222" s="308">
        <v>2.2089591222299278E-2</v>
      </c>
      <c r="F222" s="308">
        <v>2.248920451024667E-2</v>
      </c>
      <c r="G222" s="309">
        <v>2.2939389460566281E-2</v>
      </c>
    </row>
    <row r="223" spans="1:7">
      <c r="A223" s="39" t="s">
        <v>1931</v>
      </c>
      <c r="B223" s="96"/>
      <c r="C223" s="308">
        <v>2.9033560639470789E-2</v>
      </c>
      <c r="D223" s="306"/>
      <c r="E223" s="308">
        <v>2.9033560639470789E-2</v>
      </c>
      <c r="F223" s="308">
        <v>2.9558794289618492E-2</v>
      </c>
      <c r="G223" s="309">
        <v>3.0150497047833728E-2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188.68814153673117</v>
      </c>
      <c r="D225" s="312">
        <v>188.65866813734277</v>
      </c>
      <c r="E225" s="312">
        <v>194.19623462699352</v>
      </c>
      <c r="F225" s="312">
        <v>197.70935513000924</v>
      </c>
      <c r="G225" s="313">
        <v>201.66706631434093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1175.4143894739141</v>
      </c>
      <c r="D228" s="308">
        <v>1175.4143894739141</v>
      </c>
      <c r="E228" s="308">
        <v>1209.735817644746</v>
      </c>
      <c r="F228" s="308">
        <v>1231.6206276791088</v>
      </c>
      <c r="G228" s="309">
        <v>1256.2749933251548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28.846002614618904</v>
      </c>
      <c r="D230" s="308">
        <v>28.271633013412366</v>
      </c>
      <c r="E230" s="308">
        <v>28.846002614618904</v>
      </c>
      <c r="F230" s="308">
        <v>29.367843233259698</v>
      </c>
      <c r="G230" s="309">
        <v>29.955723566729713</v>
      </c>
    </row>
    <row r="231" spans="1:7">
      <c r="A231" s="39" t="s">
        <v>1931</v>
      </c>
      <c r="B231" s="96"/>
      <c r="C231" s="308">
        <v>11.921539732539301</v>
      </c>
      <c r="D231" s="306"/>
      <c r="E231" s="308">
        <v>11.921539732539301</v>
      </c>
      <c r="F231" s="308">
        <v>12.137207177082425</v>
      </c>
      <c r="G231" s="309">
        <v>12.380167660969001</v>
      </c>
    </row>
    <row r="232" spans="1:7">
      <c r="A232" s="39" t="s">
        <v>1932</v>
      </c>
      <c r="B232" s="96"/>
      <c r="C232" s="308">
        <v>1.069317695563269E-2</v>
      </c>
      <c r="D232" s="306"/>
      <c r="E232" s="308">
        <v>1.069317695563269E-2</v>
      </c>
      <c r="F232" s="308">
        <v>1.0886622617838062E-2</v>
      </c>
      <c r="G232" s="309">
        <v>1.1104549119423601E-2</v>
      </c>
    </row>
    <row r="233" spans="1:7">
      <c r="A233" s="39" t="s">
        <v>1935</v>
      </c>
      <c r="B233" s="96"/>
      <c r="C233" s="308">
        <v>4.9926955743181692E-2</v>
      </c>
      <c r="D233" s="306"/>
      <c r="E233" s="308">
        <v>4.9668505853143315E-2</v>
      </c>
      <c r="F233" s="308">
        <v>4.9926955743181692E-2</v>
      </c>
      <c r="G233" s="309">
        <v>5.092638478392935E-2</v>
      </c>
    </row>
    <row r="234" spans="1:7">
      <c r="A234" s="39" t="s">
        <v>1936</v>
      </c>
      <c r="B234" s="96"/>
      <c r="C234" s="308">
        <v>0.11652929815205282</v>
      </c>
      <c r="D234" s="306"/>
      <c r="E234" s="306"/>
      <c r="F234" s="308">
        <v>0.11652929815205282</v>
      </c>
      <c r="G234" s="309">
        <v>0.11886196119824723</v>
      </c>
    </row>
    <row r="235" spans="1:7">
      <c r="A235" s="39" t="s">
        <v>1933</v>
      </c>
      <c r="B235" s="96"/>
      <c r="C235" s="311">
        <v>1216.359081251923</v>
      </c>
      <c r="D235" s="312">
        <v>1203.6860224873265</v>
      </c>
      <c r="E235" s="312">
        <v>1250.563721674713</v>
      </c>
      <c r="F235" s="312">
        <v>1273.3030209659639</v>
      </c>
      <c r="G235" s="313">
        <v>1298.7917774479549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9.8008841610118091E-5</v>
      </c>
      <c r="E238" s="308">
        <v>1E-4</v>
      </c>
      <c r="F238" s="308">
        <v>1.0180905696228542E-4</v>
      </c>
      <c r="G238" s="309">
        <v>1.0384705280290176E-4</v>
      </c>
    </row>
    <row r="239" spans="1:7">
      <c r="A239" s="39" t="s">
        <v>1931</v>
      </c>
      <c r="B239" s="96"/>
      <c r="C239" s="308">
        <v>162.3334911886908</v>
      </c>
      <c r="D239" s="306"/>
      <c r="E239" s="308">
        <v>162.3334911886908</v>
      </c>
      <c r="F239" s="308">
        <v>165.27019651316078</v>
      </c>
      <c r="G239" s="309">
        <v>168.57854631151361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1.0180905696228542E-4</v>
      </c>
      <c r="G240" s="309">
        <v>1.0384705280290176E-4</v>
      </c>
    </row>
    <row r="241" spans="1:7">
      <c r="A241" s="39" t="s">
        <v>1935</v>
      </c>
      <c r="B241" s="96"/>
      <c r="C241" s="308">
        <v>1E-4</v>
      </c>
      <c r="D241" s="306"/>
      <c r="E241" s="308">
        <v>9.9482343983943632E-5</v>
      </c>
      <c r="F241" s="308">
        <v>1E-4</v>
      </c>
      <c r="G241" s="309">
        <v>1.0200178245573114E-4</v>
      </c>
    </row>
    <row r="242" spans="1:7">
      <c r="A242" s="39" t="s">
        <v>1936</v>
      </c>
      <c r="B242" s="96"/>
      <c r="C242" s="308">
        <v>118.5365088113092</v>
      </c>
      <c r="D242" s="306"/>
      <c r="E242" s="306"/>
      <c r="F242" s="308">
        <v>118.5365088113092</v>
      </c>
      <c r="G242" s="309">
        <v>120.90935184833018</v>
      </c>
    </row>
    <row r="243" spans="1:7">
      <c r="A243" s="39" t="s">
        <v>1933</v>
      </c>
      <c r="B243" s="96"/>
      <c r="C243" s="311">
        <v>280.87030000000004</v>
      </c>
      <c r="D243" s="312">
        <v>9.8008841610118091E-5</v>
      </c>
      <c r="E243" s="312">
        <v>162.33379067103479</v>
      </c>
      <c r="F243" s="312">
        <v>283.80700894258393</v>
      </c>
      <c r="G243" s="313">
        <v>289.48820785573184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3647.049447177465</v>
      </c>
      <c r="D249" s="306">
        <v>3647.049447177465</v>
      </c>
      <c r="E249" s="306">
        <v>3753.5412059628902</v>
      </c>
      <c r="F249" s="306">
        <v>3821.4449044816138</v>
      </c>
      <c r="G249" s="307">
        <v>3897.9419181349581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28.868192205841204</v>
      </c>
      <c r="D251" s="306">
        <v>28.293380774727364</v>
      </c>
      <c r="E251" s="306">
        <v>28.868192205841204</v>
      </c>
      <c r="F251" s="306">
        <v>29.390434246826906</v>
      </c>
      <c r="G251" s="307">
        <v>29.978766803243083</v>
      </c>
    </row>
    <row r="252" spans="1:7">
      <c r="A252" s="39" t="s">
        <v>1931</v>
      </c>
      <c r="C252" s="306">
        <v>174.28406448186956</v>
      </c>
      <c r="D252" s="306">
        <v>0</v>
      </c>
      <c r="E252" s="306">
        <v>174.28406448186956</v>
      </c>
      <c r="F252" s="306">
        <v>177.43696248453284</v>
      </c>
      <c r="G252" s="307">
        <v>180.98886446953043</v>
      </c>
    </row>
    <row r="253" spans="1:7">
      <c r="A253" s="39" t="s">
        <v>1932</v>
      </c>
      <c r="C253" s="306">
        <v>1.0793176955632689E-2</v>
      </c>
      <c r="D253" s="306">
        <v>0</v>
      </c>
      <c r="E253" s="306">
        <v>1.0793176955632689E-2</v>
      </c>
      <c r="F253" s="306">
        <v>1.0988431674800347E-2</v>
      </c>
      <c r="G253" s="307">
        <v>1.1208396172226503E-2</v>
      </c>
    </row>
    <row r="254" spans="1:7">
      <c r="A254" s="39" t="s">
        <v>1935</v>
      </c>
      <c r="C254" s="306">
        <v>5.0026955743181695E-2</v>
      </c>
      <c r="D254" s="306">
        <v>0</v>
      </c>
      <c r="E254" s="306">
        <v>4.9767988197127258E-2</v>
      </c>
      <c r="F254" s="306">
        <v>5.0026955743181695E-2</v>
      </c>
      <c r="G254" s="307">
        <v>5.102838656638508E-2</v>
      </c>
    </row>
    <row r="255" spans="1:7" ht="15" thickBot="1">
      <c r="A255" s="39" t="s">
        <v>1936</v>
      </c>
      <c r="C255" s="306">
        <v>118.65303810946126</v>
      </c>
      <c r="D255" s="306">
        <v>0</v>
      </c>
      <c r="E255" s="306">
        <v>0</v>
      </c>
      <c r="F255" s="306">
        <v>118.65303810946126</v>
      </c>
      <c r="G255" s="307">
        <v>121.02821380952842</v>
      </c>
    </row>
    <row r="256" spans="1:7" ht="15" thickBot="1">
      <c r="A256" s="39" t="s">
        <v>115</v>
      </c>
      <c r="C256" s="314">
        <v>3968.915562107336</v>
      </c>
      <c r="D256" s="315">
        <v>3675.3428279521922</v>
      </c>
      <c r="E256" s="315">
        <v>3956.754023815754</v>
      </c>
      <c r="F256" s="315">
        <v>4146.986354709853</v>
      </c>
      <c r="G256" s="316">
        <v>4229.9999999999982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106.49175878542512</v>
      </c>
      <c r="E258" s="306">
        <v>71.579033817091471</v>
      </c>
      <c r="F258" s="306">
        <v>83.013645290146528</v>
      </c>
      <c r="G258" s="307">
        <v>261.08443789266312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3968.915562107336</v>
      </c>
      <c r="D270" s="315">
        <v>3675.3428279521922</v>
      </c>
      <c r="E270" s="315">
        <v>3956.754023815754</v>
      </c>
      <c r="F270" s="315">
        <v>4146.986354709853</v>
      </c>
      <c r="G270" s="316">
        <v>4229.9999999999982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106.49175878542513</v>
      </c>
      <c r="E272" s="318">
        <v>71.579033817091471</v>
      </c>
      <c r="F272" s="318">
        <v>83.013645290146528</v>
      </c>
      <c r="G272" s="319">
        <v>261.08443789266312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9212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1.0301814630240527</v>
      </c>
      <c r="F9" s="299">
        <v>1.0172052565062788</v>
      </c>
      <c r="G9" s="300">
        <v>1.0192344208261819</v>
      </c>
      <c r="I9" s="29" t="s">
        <v>116</v>
      </c>
    </row>
    <row r="10" spans="1:9">
      <c r="A10" s="39" t="s">
        <v>1924</v>
      </c>
      <c r="C10" s="29"/>
      <c r="D10" s="301">
        <v>0.97922365068516282</v>
      </c>
      <c r="E10" s="301">
        <v>0.99468133243226264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1999.925566632988</v>
      </c>
      <c r="D13" s="304">
        <v>1999.925566632988</v>
      </c>
      <c r="E13" s="304">
        <v>2060.2862461731793</v>
      </c>
      <c r="F13" s="304">
        <v>2095.7339995149473</v>
      </c>
      <c r="G13" s="305">
        <v>2136.0442292013549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178.4120327106391</v>
      </c>
      <c r="D16" s="308">
        <v>178.4120327106391</v>
      </c>
      <c r="E16" s="308">
        <v>183.79676887894132</v>
      </c>
      <c r="F16" s="308">
        <v>186.95903943252875</v>
      </c>
      <c r="G16" s="309">
        <v>190.55508827423273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2.0892234755729249E-2</v>
      </c>
      <c r="D18" s="310">
        <v>2.0458170388476637E-2</v>
      </c>
      <c r="E18" s="308">
        <v>2.0892234755729249E-2</v>
      </c>
      <c r="F18" s="308">
        <v>2.1251691013690965E-2</v>
      </c>
      <c r="G18" s="309">
        <v>2.1660454981916284E-2</v>
      </c>
    </row>
    <row r="19" spans="1:7">
      <c r="A19" s="39" t="s">
        <v>1931</v>
      </c>
      <c r="B19" s="96"/>
      <c r="C19" s="308">
        <v>2.7459809399378581E-2</v>
      </c>
      <c r="D19" s="306"/>
      <c r="E19" s="308">
        <v>2.7459809399378581E-2</v>
      </c>
      <c r="F19" s="308">
        <v>2.7932262463708415E-2</v>
      </c>
      <c r="G19" s="309">
        <v>2.8469523354562747E-2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178.46038475479421</v>
      </c>
      <c r="D21" s="312">
        <v>178.43249088102758</v>
      </c>
      <c r="E21" s="312">
        <v>183.84512092309643</v>
      </c>
      <c r="F21" s="312">
        <v>187.00822338600616</v>
      </c>
      <c r="G21" s="313">
        <v>190.60521825256922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1120.6811811953166</v>
      </c>
      <c r="D24" s="308">
        <v>1120.6811811953166</v>
      </c>
      <c r="E24" s="308">
        <v>1154.5049788273147</v>
      </c>
      <c r="F24" s="308">
        <v>1174.3685331258146</v>
      </c>
      <c r="G24" s="309">
        <v>1196.9568316969824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28.42333272851112</v>
      </c>
      <c r="D26" s="308">
        <v>27.832799639051728</v>
      </c>
      <c r="E26" s="308">
        <v>28.42333272851112</v>
      </c>
      <c r="F26" s="308">
        <v>28.912363458868462</v>
      </c>
      <c r="G26" s="309">
        <v>29.468476024715862</v>
      </c>
    </row>
    <row r="27" spans="1:7">
      <c r="A27" s="39" t="s">
        <v>1931</v>
      </c>
      <c r="B27" s="96"/>
      <c r="C27" s="308">
        <v>11.746857787581416</v>
      </c>
      <c r="D27" s="306"/>
      <c r="E27" s="308">
        <v>11.746857787581416</v>
      </c>
      <c r="F27" s="308">
        <v>11.948965488959532</v>
      </c>
      <c r="G27" s="309">
        <v>12.178796919611704</v>
      </c>
    </row>
    <row r="28" spans="1:7">
      <c r="A28" s="39" t="s">
        <v>1932</v>
      </c>
      <c r="B28" s="96"/>
      <c r="C28" s="308">
        <v>1.0536493759477215E-2</v>
      </c>
      <c r="D28" s="306"/>
      <c r="E28" s="308">
        <v>1.0536493759477215E-2</v>
      </c>
      <c r="F28" s="308">
        <v>1.0717776837285826E-2</v>
      </c>
      <c r="G28" s="309">
        <v>1.0923927067295286E-2</v>
      </c>
    </row>
    <row r="29" spans="1:7">
      <c r="A29" s="39" t="s">
        <v>1935</v>
      </c>
      <c r="B29" s="96"/>
      <c r="C29" s="308">
        <v>4.9195394390310419E-2</v>
      </c>
      <c r="D29" s="306"/>
      <c r="E29" s="308">
        <v>4.893374044168463E-2</v>
      </c>
      <c r="F29" s="308">
        <v>4.9195394390310419E-2</v>
      </c>
      <c r="G29" s="309">
        <v>5.0141639308723639E-2</v>
      </c>
    </row>
    <row r="30" spans="1:7">
      <c r="A30" s="39" t="s">
        <v>1936</v>
      </c>
      <c r="B30" s="96"/>
      <c r="C30" s="308">
        <v>0.11482183712751602</v>
      </c>
      <c r="D30" s="306"/>
      <c r="E30" s="306"/>
      <c r="F30" s="308">
        <v>0.11482183712751602</v>
      </c>
      <c r="G30" s="309">
        <v>0.11703036866286198</v>
      </c>
    </row>
    <row r="31" spans="1:7">
      <c r="A31" s="39" t="s">
        <v>1933</v>
      </c>
      <c r="B31" s="96"/>
      <c r="C31" s="311">
        <v>1161.0259254366863</v>
      </c>
      <c r="D31" s="312">
        <v>1148.5139808343683</v>
      </c>
      <c r="E31" s="312">
        <v>1194.7346395776083</v>
      </c>
      <c r="F31" s="312">
        <v>1215.4045970819977</v>
      </c>
      <c r="G31" s="313">
        <v>1238.7822005763487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9.7922365068516285E-5</v>
      </c>
      <c r="E34" s="308">
        <v>1E-4</v>
      </c>
      <c r="F34" s="308">
        <v>1.0172052565062788E-4</v>
      </c>
      <c r="G34" s="309">
        <v>1.0367706104765248E-4</v>
      </c>
    </row>
    <row r="35" spans="1:7">
      <c r="A35" s="39" t="s">
        <v>1931</v>
      </c>
      <c r="B35" s="96"/>
      <c r="C35" s="308">
        <v>156.40933309176307</v>
      </c>
      <c r="D35" s="306"/>
      <c r="E35" s="308">
        <v>156.40933309176307</v>
      </c>
      <c r="F35" s="308">
        <v>159.10039578758287</v>
      </c>
      <c r="G35" s="309">
        <v>162.16059975377334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1.0172052565062788E-4</v>
      </c>
      <c r="G36" s="309">
        <v>1.0367706104765248E-4</v>
      </c>
    </row>
    <row r="37" spans="1:7">
      <c r="A37" s="39" t="s">
        <v>1935</v>
      </c>
      <c r="B37" s="96"/>
      <c r="C37" s="308">
        <v>1E-4</v>
      </c>
      <c r="D37" s="306"/>
      <c r="E37" s="308">
        <v>9.9468133243226271E-5</v>
      </c>
      <c r="F37" s="308">
        <v>1E-4</v>
      </c>
      <c r="G37" s="309">
        <v>1.0192344208261819E-4</v>
      </c>
    </row>
    <row r="38" spans="1:7">
      <c r="A38" s="39" t="s">
        <v>1936</v>
      </c>
      <c r="B38" s="96"/>
      <c r="C38" s="308">
        <v>114.21066690823692</v>
      </c>
      <c r="D38" s="306"/>
      <c r="E38" s="306"/>
      <c r="F38" s="308">
        <v>114.21066690823692</v>
      </c>
      <c r="G38" s="309">
        <v>116.40744293838883</v>
      </c>
    </row>
    <row r="39" spans="1:7">
      <c r="A39" s="39" t="s">
        <v>1933</v>
      </c>
      <c r="B39" s="96"/>
      <c r="C39" s="311">
        <v>270.62029999999999</v>
      </c>
      <c r="D39" s="312">
        <v>9.7922365068516285E-5</v>
      </c>
      <c r="E39" s="312">
        <v>156.40963255989632</v>
      </c>
      <c r="F39" s="312">
        <v>273.31136613687113</v>
      </c>
      <c r="G39" s="313">
        <v>278.56835196972634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3299.0187805389437</v>
      </c>
      <c r="D45" s="306">
        <v>3299.0187805389437</v>
      </c>
      <c r="E45" s="306">
        <v>3398.5879938794351</v>
      </c>
      <c r="F45" s="306">
        <v>3457.0615720732903</v>
      </c>
      <c r="G45" s="307">
        <v>3523.5561491725703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28.444324963266848</v>
      </c>
      <c r="D47" s="306">
        <v>27.853355731805273</v>
      </c>
      <c r="E47" s="306">
        <v>28.444324963266848</v>
      </c>
      <c r="F47" s="306">
        <v>28.933716870407807</v>
      </c>
      <c r="G47" s="307">
        <v>29.490240156758826</v>
      </c>
    </row>
    <row r="48" spans="1:7">
      <c r="A48" s="39" t="s">
        <v>1931</v>
      </c>
      <c r="C48" s="306">
        <v>168.18365068874385</v>
      </c>
      <c r="D48" s="306">
        <v>0</v>
      </c>
      <c r="E48" s="306">
        <v>168.18365068874385</v>
      </c>
      <c r="F48" s="306">
        <v>171.07729353900612</v>
      </c>
      <c r="G48" s="307">
        <v>174.36786619673961</v>
      </c>
    </row>
    <row r="49" spans="1:7">
      <c r="A49" s="39" t="s">
        <v>1932</v>
      </c>
      <c r="C49" s="306">
        <v>1.0636493759477214E-2</v>
      </c>
      <c r="D49" s="306">
        <v>0</v>
      </c>
      <c r="E49" s="306">
        <v>1.0636493759477214E-2</v>
      </c>
      <c r="F49" s="306">
        <v>1.0819497362936454E-2</v>
      </c>
      <c r="G49" s="307">
        <v>1.1027604128342939E-2</v>
      </c>
    </row>
    <row r="50" spans="1:7">
      <c r="A50" s="39" t="s">
        <v>1935</v>
      </c>
      <c r="C50" s="306">
        <v>4.9295394390310422E-2</v>
      </c>
      <c r="D50" s="306">
        <v>0</v>
      </c>
      <c r="E50" s="306">
        <v>4.9033208574927857E-2</v>
      </c>
      <c r="F50" s="306">
        <v>4.9295394390310422E-2</v>
      </c>
      <c r="G50" s="307">
        <v>5.0243562750806256E-2</v>
      </c>
    </row>
    <row r="51" spans="1:7" ht="15" thickBot="1">
      <c r="A51" s="39" t="s">
        <v>1936</v>
      </c>
      <c r="C51" s="306">
        <v>114.32548874536444</v>
      </c>
      <c r="D51" s="306">
        <v>0</v>
      </c>
      <c r="E51" s="306">
        <v>0</v>
      </c>
      <c r="F51" s="306">
        <v>114.32548874536444</v>
      </c>
      <c r="G51" s="307">
        <v>116.52447330705169</v>
      </c>
    </row>
    <row r="52" spans="1:7" ht="15" thickBot="1">
      <c r="A52" s="39" t="s">
        <v>115</v>
      </c>
      <c r="C52" s="314">
        <v>3610.0321768244689</v>
      </c>
      <c r="D52" s="315">
        <v>3326.8721362707488</v>
      </c>
      <c r="E52" s="315">
        <v>3595.2756392337806</v>
      </c>
      <c r="F52" s="315">
        <v>3771.4581861198217</v>
      </c>
      <c r="G52" s="316">
        <v>3843.9999999999995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99.569213340491345</v>
      </c>
      <c r="E54" s="306">
        <v>61.856795954861809</v>
      </c>
      <c r="F54" s="306">
        <v>72.541813880177031</v>
      </c>
      <c r="G54" s="307">
        <v>233.96782317553016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3610.0321768244689</v>
      </c>
      <c r="D66" s="315">
        <v>3326.8721362707488</v>
      </c>
      <c r="E66" s="315">
        <v>3595.2756392337806</v>
      </c>
      <c r="F66" s="315">
        <v>3771.4581861198217</v>
      </c>
      <c r="G66" s="316">
        <v>3843.9999999999995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99.569213340491359</v>
      </c>
      <c r="E68" s="318">
        <v>61.856795954861809</v>
      </c>
      <c r="F68" s="318">
        <v>72.541813880177031</v>
      </c>
      <c r="G68" s="319">
        <v>233.96782317553021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9213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1.0301814630240527</v>
      </c>
      <c r="F77" s="299">
        <v>1.0172052565062788</v>
      </c>
      <c r="G77" s="300">
        <v>1.0192344208261819</v>
      </c>
    </row>
    <row r="78" spans="1:7">
      <c r="A78" s="39" t="s">
        <v>1924</v>
      </c>
      <c r="C78" s="29"/>
      <c r="D78" s="301">
        <v>0.97922365068516282</v>
      </c>
      <c r="E78" s="301">
        <v>0.99468133243226264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1999.925566632988</v>
      </c>
      <c r="D81" s="304">
        <v>1999.925566632988</v>
      </c>
      <c r="E81" s="304">
        <v>2060.2862461731793</v>
      </c>
      <c r="F81" s="304">
        <v>2095.7339995149473</v>
      </c>
      <c r="G81" s="305">
        <v>2136.0442292013549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178.4120327106391</v>
      </c>
      <c r="D84" s="308">
        <v>178.4120327106391</v>
      </c>
      <c r="E84" s="308">
        <v>183.79676887894132</v>
      </c>
      <c r="F84" s="308">
        <v>186.95903943252875</v>
      </c>
      <c r="G84" s="309">
        <v>190.55508827423273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2.0892234755729249E-2</v>
      </c>
      <c r="D86" s="310">
        <v>2.0458170388476637E-2</v>
      </c>
      <c r="E86" s="308">
        <v>2.0892234755729249E-2</v>
      </c>
      <c r="F86" s="308">
        <v>2.1251691013690965E-2</v>
      </c>
      <c r="G86" s="309">
        <v>2.1660454981916284E-2</v>
      </c>
    </row>
    <row r="87" spans="1:7">
      <c r="A87" s="39" t="s">
        <v>1931</v>
      </c>
      <c r="B87" s="96"/>
      <c r="C87" s="308">
        <v>2.7459809399378581E-2</v>
      </c>
      <c r="D87" s="306"/>
      <c r="E87" s="308">
        <v>2.7459809399378581E-2</v>
      </c>
      <c r="F87" s="308">
        <v>2.7932262463708415E-2</v>
      </c>
      <c r="G87" s="309">
        <v>2.8469523354562747E-2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178.46038475479421</v>
      </c>
      <c r="D89" s="312">
        <v>178.43249088102758</v>
      </c>
      <c r="E89" s="312">
        <v>183.84512092309643</v>
      </c>
      <c r="F89" s="312">
        <v>187.00822338600616</v>
      </c>
      <c r="G89" s="313">
        <v>190.60521825256922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1120.6811811953166</v>
      </c>
      <c r="D92" s="308">
        <v>1120.6811811953166</v>
      </c>
      <c r="E92" s="308">
        <v>1154.5049788273147</v>
      </c>
      <c r="F92" s="308">
        <v>1174.3685331258146</v>
      </c>
      <c r="G92" s="309">
        <v>1196.9568316969824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28.42333272851112</v>
      </c>
      <c r="D94" s="308">
        <v>27.832799639051728</v>
      </c>
      <c r="E94" s="308">
        <v>28.42333272851112</v>
      </c>
      <c r="F94" s="308">
        <v>28.912363458868462</v>
      </c>
      <c r="G94" s="309">
        <v>29.468476024715862</v>
      </c>
    </row>
    <row r="95" spans="1:7">
      <c r="A95" s="39" t="s">
        <v>1931</v>
      </c>
      <c r="B95" s="96"/>
      <c r="C95" s="308">
        <v>11.746857787581416</v>
      </c>
      <c r="D95" s="306"/>
      <c r="E95" s="308">
        <v>11.746857787581416</v>
      </c>
      <c r="F95" s="308">
        <v>11.948965488959532</v>
      </c>
      <c r="G95" s="309">
        <v>12.178796919611704</v>
      </c>
    </row>
    <row r="96" spans="1:7">
      <c r="A96" s="39" t="s">
        <v>1932</v>
      </c>
      <c r="B96" s="96"/>
      <c r="C96" s="308">
        <v>1.0536493759477215E-2</v>
      </c>
      <c r="D96" s="306"/>
      <c r="E96" s="308">
        <v>1.0536493759477215E-2</v>
      </c>
      <c r="F96" s="308">
        <v>1.0717776837285826E-2</v>
      </c>
      <c r="G96" s="309">
        <v>1.0923927067295286E-2</v>
      </c>
    </row>
    <row r="97" spans="1:7">
      <c r="A97" s="39" t="s">
        <v>1935</v>
      </c>
      <c r="B97" s="96"/>
      <c r="C97" s="308">
        <v>4.9195394390310419E-2</v>
      </c>
      <c r="D97" s="306"/>
      <c r="E97" s="308">
        <v>4.893374044168463E-2</v>
      </c>
      <c r="F97" s="308">
        <v>4.9195394390310419E-2</v>
      </c>
      <c r="G97" s="309">
        <v>5.0141639308723639E-2</v>
      </c>
    </row>
    <row r="98" spans="1:7">
      <c r="A98" s="39" t="s">
        <v>1936</v>
      </c>
      <c r="B98" s="96"/>
      <c r="C98" s="308">
        <v>0.11482183712751602</v>
      </c>
      <c r="D98" s="306"/>
      <c r="E98" s="306"/>
      <c r="F98" s="308">
        <v>0.11482183712751602</v>
      </c>
      <c r="G98" s="309">
        <v>0.11703036866286198</v>
      </c>
    </row>
    <row r="99" spans="1:7">
      <c r="A99" s="39" t="s">
        <v>1933</v>
      </c>
      <c r="B99" s="96"/>
      <c r="C99" s="311">
        <v>1161.0259254366863</v>
      </c>
      <c r="D99" s="312">
        <v>1148.5139808343683</v>
      </c>
      <c r="E99" s="312">
        <v>1194.7346395776083</v>
      </c>
      <c r="F99" s="312">
        <v>1215.4045970819977</v>
      </c>
      <c r="G99" s="313">
        <v>1238.7822005763487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9.7922365068516285E-5</v>
      </c>
      <c r="E102" s="308">
        <v>1E-4</v>
      </c>
      <c r="F102" s="308">
        <v>1.0172052565062788E-4</v>
      </c>
      <c r="G102" s="309">
        <v>1.0367706104765248E-4</v>
      </c>
    </row>
    <row r="103" spans="1:7">
      <c r="A103" s="39" t="s">
        <v>1931</v>
      </c>
      <c r="B103" s="96"/>
      <c r="C103" s="308">
        <v>156.40933309176307</v>
      </c>
      <c r="D103" s="306"/>
      <c r="E103" s="308">
        <v>156.40933309176307</v>
      </c>
      <c r="F103" s="308">
        <v>159.10039578758287</v>
      </c>
      <c r="G103" s="309">
        <v>162.16059975377334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1.0172052565062788E-4</v>
      </c>
      <c r="G104" s="309">
        <v>1.0367706104765248E-4</v>
      </c>
    </row>
    <row r="105" spans="1:7">
      <c r="A105" s="39" t="s">
        <v>1935</v>
      </c>
      <c r="B105" s="96"/>
      <c r="C105" s="308">
        <v>1E-4</v>
      </c>
      <c r="D105" s="306"/>
      <c r="E105" s="308">
        <v>9.9468133243226271E-5</v>
      </c>
      <c r="F105" s="308">
        <v>1E-4</v>
      </c>
      <c r="G105" s="309">
        <v>1.0192344208261819E-4</v>
      </c>
    </row>
    <row r="106" spans="1:7">
      <c r="A106" s="39" t="s">
        <v>1936</v>
      </c>
      <c r="B106" s="96"/>
      <c r="C106" s="308">
        <v>114.21066690823692</v>
      </c>
      <c r="D106" s="306"/>
      <c r="E106" s="306"/>
      <c r="F106" s="308">
        <v>114.21066690823692</v>
      </c>
      <c r="G106" s="309">
        <v>116.40744293838883</v>
      </c>
    </row>
    <row r="107" spans="1:7">
      <c r="A107" s="39" t="s">
        <v>1933</v>
      </c>
      <c r="B107" s="96"/>
      <c r="C107" s="311">
        <v>270.62029999999999</v>
      </c>
      <c r="D107" s="312">
        <v>9.7922365068516285E-5</v>
      </c>
      <c r="E107" s="312">
        <v>156.40963255989632</v>
      </c>
      <c r="F107" s="312">
        <v>273.31136613687113</v>
      </c>
      <c r="G107" s="313">
        <v>278.56835196972634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3299.0187805389437</v>
      </c>
      <c r="D113" s="306">
        <v>3299.0187805389437</v>
      </c>
      <c r="E113" s="306">
        <v>3398.5879938794351</v>
      </c>
      <c r="F113" s="306">
        <v>3457.0615720732903</v>
      </c>
      <c r="G113" s="307">
        <v>3523.5561491725703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28.444324963266848</v>
      </c>
      <c r="D115" s="306">
        <v>27.853355731805273</v>
      </c>
      <c r="E115" s="306">
        <v>28.444324963266848</v>
      </c>
      <c r="F115" s="306">
        <v>28.933716870407807</v>
      </c>
      <c r="G115" s="307">
        <v>29.490240156758826</v>
      </c>
    </row>
    <row r="116" spans="1:7">
      <c r="A116" s="39" t="s">
        <v>1931</v>
      </c>
      <c r="C116" s="306">
        <v>168.18365068874385</v>
      </c>
      <c r="D116" s="306">
        <v>0</v>
      </c>
      <c r="E116" s="306">
        <v>168.18365068874385</v>
      </c>
      <c r="F116" s="306">
        <v>171.07729353900612</v>
      </c>
      <c r="G116" s="307">
        <v>174.36786619673961</v>
      </c>
    </row>
    <row r="117" spans="1:7">
      <c r="A117" s="39" t="s">
        <v>1932</v>
      </c>
      <c r="C117" s="306">
        <v>1.0636493759477214E-2</v>
      </c>
      <c r="D117" s="306">
        <v>0</v>
      </c>
      <c r="E117" s="306">
        <v>1.0636493759477214E-2</v>
      </c>
      <c r="F117" s="306">
        <v>1.0819497362936454E-2</v>
      </c>
      <c r="G117" s="307">
        <v>1.1027604128342939E-2</v>
      </c>
    </row>
    <row r="118" spans="1:7">
      <c r="A118" s="39" t="s">
        <v>1935</v>
      </c>
      <c r="C118" s="306">
        <v>4.9295394390310422E-2</v>
      </c>
      <c r="D118" s="306">
        <v>0</v>
      </c>
      <c r="E118" s="306">
        <v>4.9033208574927857E-2</v>
      </c>
      <c r="F118" s="306">
        <v>4.9295394390310422E-2</v>
      </c>
      <c r="G118" s="307">
        <v>5.0243562750806256E-2</v>
      </c>
    </row>
    <row r="119" spans="1:7" ht="15" thickBot="1">
      <c r="A119" s="39" t="s">
        <v>1936</v>
      </c>
      <c r="C119" s="306">
        <v>114.32548874536444</v>
      </c>
      <c r="D119" s="306">
        <v>0</v>
      </c>
      <c r="E119" s="306">
        <v>0</v>
      </c>
      <c r="F119" s="306">
        <v>114.32548874536444</v>
      </c>
      <c r="G119" s="307">
        <v>116.52447330705169</v>
      </c>
    </row>
    <row r="120" spans="1:7" ht="15" thickBot="1">
      <c r="A120" s="39" t="s">
        <v>115</v>
      </c>
      <c r="C120" s="314">
        <v>3610.0321768244689</v>
      </c>
      <c r="D120" s="315">
        <v>3326.8721362707488</v>
      </c>
      <c r="E120" s="315">
        <v>3595.2756392337806</v>
      </c>
      <c r="F120" s="315">
        <v>3771.4581861198217</v>
      </c>
      <c r="G120" s="316">
        <v>3843.9999999999995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99.569213340491345</v>
      </c>
      <c r="E122" s="306">
        <v>61.856795954861809</v>
      </c>
      <c r="F122" s="306">
        <v>72.541813880177031</v>
      </c>
      <c r="G122" s="307">
        <v>233.96782317553016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3610.0321768244689</v>
      </c>
      <c r="D134" s="315">
        <v>3326.8721362707488</v>
      </c>
      <c r="E134" s="315">
        <v>3595.2756392337806</v>
      </c>
      <c r="F134" s="315">
        <v>3771.4581861198217</v>
      </c>
      <c r="G134" s="316">
        <v>3843.9999999999995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99.569213340491359</v>
      </c>
      <c r="E136" s="318">
        <v>61.856795954861809</v>
      </c>
      <c r="F136" s="318">
        <v>72.541813880177031</v>
      </c>
      <c r="G136" s="319">
        <v>233.96782317553021</v>
      </c>
    </row>
    <row r="137" spans="1:7" ht="15" thickBot="1"/>
    <row r="138" spans="1:7" ht="15" thickBot="1">
      <c r="A138" s="105" t="s">
        <v>9214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1.030567074165464</v>
      </c>
      <c r="F145" s="299">
        <v>1.0169199053984541</v>
      </c>
      <c r="G145" s="300">
        <v>1.0189674135761626</v>
      </c>
    </row>
    <row r="146" spans="1:7">
      <c r="A146" s="39" t="s">
        <v>1924</v>
      </c>
      <c r="C146" s="29"/>
      <c r="D146" s="301">
        <v>0.97887445339670875</v>
      </c>
      <c r="E146" s="301">
        <v>0.99462499171149166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1971.6799853446871</v>
      </c>
      <c r="D149" s="304">
        <v>1971.6799853446871</v>
      </c>
      <c r="E149" s="304">
        <v>2031.9484736872791</v>
      </c>
      <c r="F149" s="304">
        <v>2066.3288496366013</v>
      </c>
      <c r="G149" s="305">
        <v>2105.5217635120148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177.92856373718925</v>
      </c>
      <c r="D152" s="308">
        <v>177.92856373718925</v>
      </c>
      <c r="E152" s="308">
        <v>183.36731934109841</v>
      </c>
      <c r="F152" s="308">
        <v>186.46987703751793</v>
      </c>
      <c r="G152" s="309">
        <v>190.00672831478471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2.0835620035651443E-2</v>
      </c>
      <c r="D154" s="310">
        <v>2.039545617357982E-2</v>
      </c>
      <c r="E154" s="308">
        <v>2.0835620035651443E-2</v>
      </c>
      <c r="F154" s="308">
        <v>2.1188156755572802E-2</v>
      </c>
      <c r="G154" s="309">
        <v>2.1590041287672314E-2</v>
      </c>
    </row>
    <row r="155" spans="1:7">
      <c r="A155" s="39" t="s">
        <v>1931</v>
      </c>
      <c r="B155" s="96"/>
      <c r="C155" s="308">
        <v>2.7385397569303322E-2</v>
      </c>
      <c r="D155" s="306"/>
      <c r="E155" s="308">
        <v>2.7385397569303322E-2</v>
      </c>
      <c r="F155" s="308">
        <v>2.7848755905474989E-2</v>
      </c>
      <c r="G155" s="309">
        <v>2.8376974776315733E-2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177.97678475479421</v>
      </c>
      <c r="D157" s="312">
        <v>177.94895919336284</v>
      </c>
      <c r="E157" s="312">
        <v>183.41554035870337</v>
      </c>
      <c r="F157" s="312">
        <v>186.51891395017898</v>
      </c>
      <c r="G157" s="313">
        <v>190.0566953308487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1031.5864774628881</v>
      </c>
      <c r="D160" s="308">
        <v>1031.5864774628881</v>
      </c>
      <c r="E160" s="308">
        <v>1063.1190578275859</v>
      </c>
      <c r="F160" s="308">
        <v>1081.1069317133224</v>
      </c>
      <c r="G160" s="309">
        <v>1101.6127340071853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26.387789945377218</v>
      </c>
      <c r="D162" s="308">
        <v>25.83033345912829</v>
      </c>
      <c r="E162" s="308">
        <v>26.387789945377218</v>
      </c>
      <c r="F162" s="308">
        <v>26.834268854927281</v>
      </c>
      <c r="G162" s="309">
        <v>27.343245530312625</v>
      </c>
    </row>
    <row r="163" spans="1:7">
      <c r="A163" s="39" t="s">
        <v>1931</v>
      </c>
      <c r="B163" s="96"/>
      <c r="C163" s="308">
        <v>10.905604166044398</v>
      </c>
      <c r="D163" s="306"/>
      <c r="E163" s="308">
        <v>10.905604166044398</v>
      </c>
      <c r="F163" s="308">
        <v>11.090125956846856</v>
      </c>
      <c r="G163" s="309">
        <v>11.300476962482106</v>
      </c>
    </row>
    <row r="164" spans="1:7">
      <c r="A164" s="39" t="s">
        <v>1932</v>
      </c>
      <c r="B164" s="96"/>
      <c r="C164" s="308">
        <v>9.7819206052135177E-3</v>
      </c>
      <c r="D164" s="306"/>
      <c r="E164" s="308">
        <v>9.7819206052135177E-3</v>
      </c>
      <c r="F164" s="308">
        <v>9.9474297764689194E-3</v>
      </c>
      <c r="G164" s="309">
        <v>1.013610679105904E-2</v>
      </c>
    </row>
    <row r="165" spans="1:7">
      <c r="A165" s="39" t="s">
        <v>1935</v>
      </c>
      <c r="B165" s="96"/>
      <c r="C165" s="308">
        <v>4.5672256165419083E-2</v>
      </c>
      <c r="D165" s="306"/>
      <c r="E165" s="308">
        <v>4.5426767409975082E-2</v>
      </c>
      <c r="F165" s="308">
        <v>4.5672256165419083E-2</v>
      </c>
      <c r="G165" s="309">
        <v>4.653854073706503E-2</v>
      </c>
    </row>
    <row r="166" spans="1:7">
      <c r="A166" s="39" t="s">
        <v>1936</v>
      </c>
      <c r="B166" s="96"/>
      <c r="C166" s="308">
        <v>0.1065988477918339</v>
      </c>
      <c r="D166" s="306"/>
      <c r="E166" s="306"/>
      <c r="F166" s="308">
        <v>0.1065988477918339</v>
      </c>
      <c r="G166" s="309">
        <v>0.10862075222464403</v>
      </c>
    </row>
    <row r="167" spans="1:7">
      <c r="A167" s="39" t="s">
        <v>1933</v>
      </c>
      <c r="B167" s="96"/>
      <c r="C167" s="311">
        <v>1069.0419245988724</v>
      </c>
      <c r="D167" s="312">
        <v>1057.4168109220163</v>
      </c>
      <c r="E167" s="312">
        <v>1100.4676606270227</v>
      </c>
      <c r="F167" s="312">
        <v>1119.1935450588305</v>
      </c>
      <c r="G167" s="313">
        <v>1140.421751899733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9.7887445339670881E-5</v>
      </c>
      <c r="E170" s="308">
        <v>1E-4</v>
      </c>
      <c r="F170" s="308">
        <v>1.0169199053984542E-4</v>
      </c>
      <c r="G170" s="309">
        <v>1.0362082458179788E-4</v>
      </c>
    </row>
    <row r="171" spans="1:7">
      <c r="A171" s="39" t="s">
        <v>1931</v>
      </c>
      <c r="B171" s="96"/>
      <c r="C171" s="308">
        <v>156.40933309176307</v>
      </c>
      <c r="D171" s="306"/>
      <c r="E171" s="308">
        <v>156.40933309176307</v>
      </c>
      <c r="F171" s="308">
        <v>159.05576421111101</v>
      </c>
      <c r="G171" s="309">
        <v>162.07264067257574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1.0169199053984542E-4</v>
      </c>
      <c r="G172" s="309">
        <v>1.0362082458179788E-4</v>
      </c>
    </row>
    <row r="173" spans="1:7">
      <c r="A173" s="39" t="s">
        <v>1935</v>
      </c>
      <c r="B173" s="96"/>
      <c r="C173" s="308">
        <v>1E-4</v>
      </c>
      <c r="D173" s="306"/>
      <c r="E173" s="308">
        <v>9.9462499171149176E-5</v>
      </c>
      <c r="F173" s="308">
        <v>1E-4</v>
      </c>
      <c r="G173" s="309">
        <v>1.0189674135761626E-4</v>
      </c>
    </row>
    <row r="174" spans="1:7">
      <c r="A174" s="39" t="s">
        <v>1936</v>
      </c>
      <c r="B174" s="96"/>
      <c r="C174" s="308">
        <v>114.21066690823692</v>
      </c>
      <c r="D174" s="306"/>
      <c r="E174" s="306"/>
      <c r="F174" s="308">
        <v>114.21066690823692</v>
      </c>
      <c r="G174" s="309">
        <v>116.3769478622948</v>
      </c>
    </row>
    <row r="175" spans="1:7">
      <c r="A175" s="39" t="s">
        <v>1933</v>
      </c>
      <c r="B175" s="96"/>
      <c r="C175" s="311">
        <v>270.62029999999999</v>
      </c>
      <c r="D175" s="312">
        <v>9.7887445339670881E-5</v>
      </c>
      <c r="E175" s="312">
        <v>156.40963255426226</v>
      </c>
      <c r="F175" s="312">
        <v>273.26673450332902</v>
      </c>
      <c r="G175" s="313">
        <v>278.44989767326103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3181.1950265447645</v>
      </c>
      <c r="D181" s="306">
        <v>3181.1950265447645</v>
      </c>
      <c r="E181" s="306">
        <v>3278.4348508559633</v>
      </c>
      <c r="F181" s="306">
        <v>3333.9056583874417</v>
      </c>
      <c r="G181" s="307">
        <v>3397.1412258339847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26.408725565412869</v>
      </c>
      <c r="D183" s="306">
        <v>25.850826802747211</v>
      </c>
      <c r="E183" s="306">
        <v>26.408725565412869</v>
      </c>
      <c r="F183" s="306">
        <v>26.855558703673395</v>
      </c>
      <c r="G183" s="307">
        <v>27.364939192424881</v>
      </c>
    </row>
    <row r="184" spans="1:7">
      <c r="A184" s="39" t="s">
        <v>1931</v>
      </c>
      <c r="C184" s="306">
        <v>167.34232265537676</v>
      </c>
      <c r="D184" s="306">
        <v>0</v>
      </c>
      <c r="E184" s="306">
        <v>167.34232265537676</v>
      </c>
      <c r="F184" s="306">
        <v>170.17373892386334</v>
      </c>
      <c r="G184" s="307">
        <v>173.40149460983417</v>
      </c>
    </row>
    <row r="185" spans="1:7">
      <c r="A185" s="39" t="s">
        <v>1932</v>
      </c>
      <c r="C185" s="306">
        <v>9.8819206052135171E-3</v>
      </c>
      <c r="D185" s="306">
        <v>0</v>
      </c>
      <c r="E185" s="306">
        <v>9.8819206052135171E-3</v>
      </c>
      <c r="F185" s="306">
        <v>1.0049121767008765E-2</v>
      </c>
      <c r="G185" s="307">
        <v>1.0239727615640837E-2</v>
      </c>
    </row>
    <row r="186" spans="1:7">
      <c r="A186" s="39" t="s">
        <v>1935</v>
      </c>
      <c r="C186" s="306">
        <v>4.5772256165419085E-2</v>
      </c>
      <c r="D186" s="306">
        <v>0</v>
      </c>
      <c r="E186" s="306">
        <v>4.5526229909146232E-2</v>
      </c>
      <c r="F186" s="306">
        <v>4.5772256165419085E-2</v>
      </c>
      <c r="G186" s="307">
        <v>4.6640437478422649E-2</v>
      </c>
    </row>
    <row r="187" spans="1:7" ht="15" thickBot="1">
      <c r="A187" s="39" t="s">
        <v>1936</v>
      </c>
      <c r="C187" s="306">
        <v>114.31726575602875</v>
      </c>
      <c r="D187" s="306">
        <v>0</v>
      </c>
      <c r="E187" s="306">
        <v>0</v>
      </c>
      <c r="F187" s="306">
        <v>114.31726575602875</v>
      </c>
      <c r="G187" s="307">
        <v>116.48556861451944</v>
      </c>
    </row>
    <row r="188" spans="1:7" ht="15" thickBot="1">
      <c r="A188" s="39" t="s">
        <v>115</v>
      </c>
      <c r="C188" s="314">
        <v>3489.3189946983539</v>
      </c>
      <c r="D188" s="315">
        <v>3207.0458533475116</v>
      </c>
      <c r="E188" s="315">
        <v>3472.2413072272675</v>
      </c>
      <c r="F188" s="315">
        <v>3645.3080431489398</v>
      </c>
      <c r="G188" s="316">
        <v>3714.4501084158569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97.239824311198944</v>
      </c>
      <c r="E190" s="306">
        <v>58.749224139386939</v>
      </c>
      <c r="F190" s="306">
        <v>69.142065266917612</v>
      </c>
      <c r="G190" s="307">
        <v>225.13111371750347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3489.3189946983539</v>
      </c>
      <c r="D202" s="315">
        <v>3207.0458533475116</v>
      </c>
      <c r="E202" s="315">
        <v>3472.2413072272675</v>
      </c>
      <c r="F202" s="315">
        <v>3645.3080431489398</v>
      </c>
      <c r="G202" s="316">
        <v>3714.4501084158569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97.239824311198959</v>
      </c>
      <c r="E204" s="318">
        <v>58.749224139386932</v>
      </c>
      <c r="F204" s="318">
        <v>69.142065266917612</v>
      </c>
      <c r="G204" s="319">
        <v>225.13111371750352</v>
      </c>
    </row>
    <row r="205" spans="1:7" ht="15" thickBot="1"/>
    <row r="206" spans="1:7" ht="15" thickBot="1">
      <c r="A206" s="89" t="s">
        <v>9215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1.0301814630240527</v>
      </c>
      <c r="F213" s="299">
        <v>1.0172052565062788</v>
      </c>
      <c r="G213" s="300">
        <v>1.0192344208261819</v>
      </c>
    </row>
    <row r="214" spans="1:7">
      <c r="A214" s="39" t="s">
        <v>1924</v>
      </c>
      <c r="C214" s="29"/>
      <c r="D214" s="301">
        <v>0.97922365068516282</v>
      </c>
      <c r="E214" s="301">
        <v>0.99468133243226264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1999.925566632988</v>
      </c>
      <c r="D217" s="304">
        <v>1999.925566632988</v>
      </c>
      <c r="E217" s="304">
        <v>2060.2862461731793</v>
      </c>
      <c r="F217" s="304">
        <v>2095.7339995149473</v>
      </c>
      <c r="G217" s="305">
        <v>2136.0442292013549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178.4120327106391</v>
      </c>
      <c r="D220" s="308">
        <v>178.4120327106391</v>
      </c>
      <c r="E220" s="308">
        <v>183.79676887894132</v>
      </c>
      <c r="F220" s="308">
        <v>186.95903943252875</v>
      </c>
      <c r="G220" s="309">
        <v>190.55508827423273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2.0892234755729249E-2</v>
      </c>
      <c r="D222" s="310">
        <v>2.0458170388476637E-2</v>
      </c>
      <c r="E222" s="308">
        <v>2.0892234755729249E-2</v>
      </c>
      <c r="F222" s="308">
        <v>2.1251691013690965E-2</v>
      </c>
      <c r="G222" s="309">
        <v>2.1660454981916284E-2</v>
      </c>
    </row>
    <row r="223" spans="1:7">
      <c r="A223" s="39" t="s">
        <v>1931</v>
      </c>
      <c r="B223" s="96"/>
      <c r="C223" s="308">
        <v>2.7459809399378581E-2</v>
      </c>
      <c r="D223" s="306"/>
      <c r="E223" s="308">
        <v>2.7459809399378581E-2</v>
      </c>
      <c r="F223" s="308">
        <v>2.7932262463708415E-2</v>
      </c>
      <c r="G223" s="309">
        <v>2.8469523354562747E-2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178.46038475479421</v>
      </c>
      <c r="D225" s="312">
        <v>178.43249088102758</v>
      </c>
      <c r="E225" s="312">
        <v>183.84512092309643</v>
      </c>
      <c r="F225" s="312">
        <v>187.00822338600616</v>
      </c>
      <c r="G225" s="313">
        <v>190.60521825256922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1120.6811811953166</v>
      </c>
      <c r="D228" s="308">
        <v>1120.6811811953166</v>
      </c>
      <c r="E228" s="308">
        <v>1154.5049788273147</v>
      </c>
      <c r="F228" s="308">
        <v>1174.3685331258146</v>
      </c>
      <c r="G228" s="309">
        <v>1196.9568316969824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28.42333272851112</v>
      </c>
      <c r="D230" s="308">
        <v>27.832799639051728</v>
      </c>
      <c r="E230" s="308">
        <v>28.42333272851112</v>
      </c>
      <c r="F230" s="308">
        <v>28.912363458868462</v>
      </c>
      <c r="G230" s="309">
        <v>29.468476024715862</v>
      </c>
    </row>
    <row r="231" spans="1:7">
      <c r="A231" s="39" t="s">
        <v>1931</v>
      </c>
      <c r="B231" s="96"/>
      <c r="C231" s="308">
        <v>11.746857787581416</v>
      </c>
      <c r="D231" s="306"/>
      <c r="E231" s="308">
        <v>11.746857787581416</v>
      </c>
      <c r="F231" s="308">
        <v>11.948965488959532</v>
      </c>
      <c r="G231" s="309">
        <v>12.178796919611704</v>
      </c>
    </row>
    <row r="232" spans="1:7">
      <c r="A232" s="39" t="s">
        <v>1932</v>
      </c>
      <c r="B232" s="96"/>
      <c r="C232" s="308">
        <v>1.0536493759477215E-2</v>
      </c>
      <c r="D232" s="306"/>
      <c r="E232" s="308">
        <v>1.0536493759477215E-2</v>
      </c>
      <c r="F232" s="308">
        <v>1.0717776837285826E-2</v>
      </c>
      <c r="G232" s="309">
        <v>1.0923927067295286E-2</v>
      </c>
    </row>
    <row r="233" spans="1:7">
      <c r="A233" s="39" t="s">
        <v>1935</v>
      </c>
      <c r="B233" s="96"/>
      <c r="C233" s="308">
        <v>4.9195394390310419E-2</v>
      </c>
      <c r="D233" s="306"/>
      <c r="E233" s="308">
        <v>4.893374044168463E-2</v>
      </c>
      <c r="F233" s="308">
        <v>4.9195394390310419E-2</v>
      </c>
      <c r="G233" s="309">
        <v>5.0141639308723639E-2</v>
      </c>
    </row>
    <row r="234" spans="1:7">
      <c r="A234" s="39" t="s">
        <v>1936</v>
      </c>
      <c r="B234" s="96"/>
      <c r="C234" s="308">
        <v>0.11482183712751602</v>
      </c>
      <c r="D234" s="306"/>
      <c r="E234" s="306"/>
      <c r="F234" s="308">
        <v>0.11482183712751602</v>
      </c>
      <c r="G234" s="309">
        <v>0.11703036866286198</v>
      </c>
    </row>
    <row r="235" spans="1:7">
      <c r="A235" s="39" t="s">
        <v>1933</v>
      </c>
      <c r="B235" s="96"/>
      <c r="C235" s="311">
        <v>1161.0259254366863</v>
      </c>
      <c r="D235" s="312">
        <v>1148.5139808343683</v>
      </c>
      <c r="E235" s="312">
        <v>1194.7346395776083</v>
      </c>
      <c r="F235" s="312">
        <v>1215.4045970819977</v>
      </c>
      <c r="G235" s="313">
        <v>1238.7822005763487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9.7922365068516285E-5</v>
      </c>
      <c r="E238" s="308">
        <v>1E-4</v>
      </c>
      <c r="F238" s="308">
        <v>1.0172052565062788E-4</v>
      </c>
      <c r="G238" s="309">
        <v>1.0367706104765248E-4</v>
      </c>
    </row>
    <row r="239" spans="1:7">
      <c r="A239" s="39" t="s">
        <v>1931</v>
      </c>
      <c r="B239" s="96"/>
      <c r="C239" s="308">
        <v>156.40933309176307</v>
      </c>
      <c r="D239" s="306"/>
      <c r="E239" s="308">
        <v>156.40933309176307</v>
      </c>
      <c r="F239" s="308">
        <v>159.10039578758287</v>
      </c>
      <c r="G239" s="309">
        <v>162.16059975377334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1.0172052565062788E-4</v>
      </c>
      <c r="G240" s="309">
        <v>1.0367706104765248E-4</v>
      </c>
    </row>
    <row r="241" spans="1:7">
      <c r="A241" s="39" t="s">
        <v>1935</v>
      </c>
      <c r="B241" s="96"/>
      <c r="C241" s="308">
        <v>1E-4</v>
      </c>
      <c r="D241" s="306"/>
      <c r="E241" s="308">
        <v>9.9468133243226271E-5</v>
      </c>
      <c r="F241" s="308">
        <v>1E-4</v>
      </c>
      <c r="G241" s="309">
        <v>1.0192344208261819E-4</v>
      </c>
    </row>
    <row r="242" spans="1:7">
      <c r="A242" s="39" t="s">
        <v>1936</v>
      </c>
      <c r="B242" s="96"/>
      <c r="C242" s="308">
        <v>114.21066690823692</v>
      </c>
      <c r="D242" s="306"/>
      <c r="E242" s="306"/>
      <c r="F242" s="308">
        <v>114.21066690823692</v>
      </c>
      <c r="G242" s="309">
        <v>116.40744293838883</v>
      </c>
    </row>
    <row r="243" spans="1:7">
      <c r="A243" s="39" t="s">
        <v>1933</v>
      </c>
      <c r="B243" s="96"/>
      <c r="C243" s="311">
        <v>270.62029999999999</v>
      </c>
      <c r="D243" s="312">
        <v>9.7922365068516285E-5</v>
      </c>
      <c r="E243" s="312">
        <v>156.40963255989632</v>
      </c>
      <c r="F243" s="312">
        <v>273.31136613687113</v>
      </c>
      <c r="G243" s="313">
        <v>278.56835196972634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3299.0187805389437</v>
      </c>
      <c r="D249" s="306">
        <v>3299.0187805389437</v>
      </c>
      <c r="E249" s="306">
        <v>3398.5879938794351</v>
      </c>
      <c r="F249" s="306">
        <v>3457.0615720732903</v>
      </c>
      <c r="G249" s="307">
        <v>3523.5561491725703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28.444324963266848</v>
      </c>
      <c r="D251" s="306">
        <v>27.853355731805273</v>
      </c>
      <c r="E251" s="306">
        <v>28.444324963266848</v>
      </c>
      <c r="F251" s="306">
        <v>28.933716870407807</v>
      </c>
      <c r="G251" s="307">
        <v>29.490240156758826</v>
      </c>
    </row>
    <row r="252" spans="1:7">
      <c r="A252" s="39" t="s">
        <v>1931</v>
      </c>
      <c r="C252" s="306">
        <v>168.18365068874385</v>
      </c>
      <c r="D252" s="306">
        <v>0</v>
      </c>
      <c r="E252" s="306">
        <v>168.18365068874385</v>
      </c>
      <c r="F252" s="306">
        <v>171.07729353900612</v>
      </c>
      <c r="G252" s="307">
        <v>174.36786619673961</v>
      </c>
    </row>
    <row r="253" spans="1:7">
      <c r="A253" s="39" t="s">
        <v>1932</v>
      </c>
      <c r="C253" s="306">
        <v>1.0636493759477214E-2</v>
      </c>
      <c r="D253" s="306">
        <v>0</v>
      </c>
      <c r="E253" s="306">
        <v>1.0636493759477214E-2</v>
      </c>
      <c r="F253" s="306">
        <v>1.0819497362936454E-2</v>
      </c>
      <c r="G253" s="307">
        <v>1.1027604128342939E-2</v>
      </c>
    </row>
    <row r="254" spans="1:7">
      <c r="A254" s="39" t="s">
        <v>1935</v>
      </c>
      <c r="C254" s="306">
        <v>4.9295394390310422E-2</v>
      </c>
      <c r="D254" s="306">
        <v>0</v>
      </c>
      <c r="E254" s="306">
        <v>4.9033208574927857E-2</v>
      </c>
      <c r="F254" s="306">
        <v>4.9295394390310422E-2</v>
      </c>
      <c r="G254" s="307">
        <v>5.0243562750806256E-2</v>
      </c>
    </row>
    <row r="255" spans="1:7" ht="15" thickBot="1">
      <c r="A255" s="39" t="s">
        <v>1936</v>
      </c>
      <c r="C255" s="306">
        <v>114.32548874536444</v>
      </c>
      <c r="D255" s="306">
        <v>0</v>
      </c>
      <c r="E255" s="306">
        <v>0</v>
      </c>
      <c r="F255" s="306">
        <v>114.32548874536444</v>
      </c>
      <c r="G255" s="307">
        <v>116.52447330705169</v>
      </c>
    </row>
    <row r="256" spans="1:7" ht="15" thickBot="1">
      <c r="A256" s="39" t="s">
        <v>115</v>
      </c>
      <c r="C256" s="314">
        <v>3610.0321768244689</v>
      </c>
      <c r="D256" s="315">
        <v>3326.8721362707488</v>
      </c>
      <c r="E256" s="315">
        <v>3595.2756392337806</v>
      </c>
      <c r="F256" s="315">
        <v>3771.4581861198217</v>
      </c>
      <c r="G256" s="316">
        <v>3843.9999999999995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99.569213340491345</v>
      </c>
      <c r="E258" s="306">
        <v>61.856795954861809</v>
      </c>
      <c r="F258" s="306">
        <v>72.541813880177031</v>
      </c>
      <c r="G258" s="307">
        <v>233.96782317553016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3610.0321768244689</v>
      </c>
      <c r="D270" s="315">
        <v>3326.8721362707488</v>
      </c>
      <c r="E270" s="315">
        <v>3595.2756392337806</v>
      </c>
      <c r="F270" s="315">
        <v>3771.4581861198217</v>
      </c>
      <c r="G270" s="316">
        <v>3843.9999999999995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99.569213340491359</v>
      </c>
      <c r="E272" s="318">
        <v>61.856795954861809</v>
      </c>
      <c r="F272" s="318">
        <v>72.541813880177031</v>
      </c>
      <c r="G272" s="319">
        <v>233.96782317553021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9216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1.0316369806601651</v>
      </c>
      <c r="F9" s="299">
        <v>1.0162322053224093</v>
      </c>
      <c r="G9" s="300">
        <v>1.0183006459857047</v>
      </c>
      <c r="I9" s="29" t="s">
        <v>116</v>
      </c>
    </row>
    <row r="10" spans="1:9">
      <c r="A10" s="39" t="s">
        <v>1924</v>
      </c>
      <c r="C10" s="29"/>
      <c r="D10" s="301">
        <v>0.97789819211619444</v>
      </c>
      <c r="E10" s="301">
        <v>0.99446849932439085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1812.0802423378605</v>
      </c>
      <c r="D13" s="304">
        <v>1812.0802423378605</v>
      </c>
      <c r="E13" s="304">
        <v>1869.4089899193705</v>
      </c>
      <c r="F13" s="304">
        <v>1899.7536204752996</v>
      </c>
      <c r="G13" s="305">
        <v>1934.5203389436788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144.65694813824371</v>
      </c>
      <c r="D16" s="308">
        <v>144.65694813824371</v>
      </c>
      <c r="E16" s="308">
        <v>149.23345720885183</v>
      </c>
      <c r="F16" s="308">
        <v>151.65584532723889</v>
      </c>
      <c r="G16" s="309">
        <v>154.43124526423549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1.6939479213563809E-2</v>
      </c>
      <c r="D18" s="310">
        <v>1.6565086098333903E-2</v>
      </c>
      <c r="E18" s="308">
        <v>1.6939479213563809E-2</v>
      </c>
      <c r="F18" s="308">
        <v>1.7214444318213062E-2</v>
      </c>
      <c r="G18" s="309">
        <v>1.7529479769521305E-2</v>
      </c>
    </row>
    <row r="19" spans="1:7">
      <c r="A19" s="39" t="s">
        <v>1931</v>
      </c>
      <c r="B19" s="96"/>
      <c r="C19" s="308">
        <v>2.2264486110162959E-2</v>
      </c>
      <c r="D19" s="306"/>
      <c r="E19" s="308">
        <v>2.2264486110162959E-2</v>
      </c>
      <c r="F19" s="308">
        <v>2.2625887820101054E-2</v>
      </c>
      <c r="G19" s="309">
        <v>2.303995618320899E-2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144.69615210356744</v>
      </c>
      <c r="D21" s="312">
        <v>144.67351322434203</v>
      </c>
      <c r="E21" s="312">
        <v>149.27266117417557</v>
      </c>
      <c r="F21" s="312">
        <v>151.6956856593772</v>
      </c>
      <c r="G21" s="313">
        <v>154.47181470018819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935.47650793194452</v>
      </c>
      <c r="D24" s="308">
        <v>935.47650793194452</v>
      </c>
      <c r="E24" s="308">
        <v>965.07216012142624</v>
      </c>
      <c r="F24" s="308">
        <v>980.73740957545829</v>
      </c>
      <c r="G24" s="309">
        <v>998.68553771303584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20.71901226524276</v>
      </c>
      <c r="D26" s="308">
        <v>20.261084636614154</v>
      </c>
      <c r="E26" s="308">
        <v>20.71901226524276</v>
      </c>
      <c r="F26" s="308">
        <v>21.055327526409698</v>
      </c>
      <c r="G26" s="309">
        <v>21.440653621583586</v>
      </c>
    </row>
    <row r="27" spans="1:7">
      <c r="A27" s="39" t="s">
        <v>1931</v>
      </c>
      <c r="B27" s="96"/>
      <c r="C27" s="308">
        <v>8.5627991940166392</v>
      </c>
      <c r="D27" s="306"/>
      <c r="E27" s="308">
        <v>8.5627991940166392</v>
      </c>
      <c r="F27" s="308">
        <v>8.7017923086684785</v>
      </c>
      <c r="G27" s="309">
        <v>8.8610407291505489</v>
      </c>
    </row>
    <row r="28" spans="1:7">
      <c r="A28" s="39" t="s">
        <v>1932</v>
      </c>
      <c r="B28" s="96"/>
      <c r="C28" s="308">
        <v>7.6805118358369796E-3</v>
      </c>
      <c r="D28" s="306"/>
      <c r="E28" s="308">
        <v>7.6805118358369796E-3</v>
      </c>
      <c r="F28" s="308">
        <v>7.8051834809374802E-3</v>
      </c>
      <c r="G28" s="309">
        <v>7.9480233806755868E-3</v>
      </c>
    </row>
    <row r="29" spans="1:7">
      <c r="A29" s="39" t="s">
        <v>1935</v>
      </c>
      <c r="B29" s="96"/>
      <c r="C29" s="308">
        <v>3.5860677898051987E-2</v>
      </c>
      <c r="D29" s="306"/>
      <c r="E29" s="308">
        <v>3.5662314534031112E-2</v>
      </c>
      <c r="F29" s="308">
        <v>3.5860677898051987E-2</v>
      </c>
      <c r="G29" s="309">
        <v>3.6516951469071621E-2</v>
      </c>
    </row>
    <row r="30" spans="1:7">
      <c r="A30" s="39" t="s">
        <v>1936</v>
      </c>
      <c r="B30" s="96"/>
      <c r="C30" s="308">
        <v>8.3698666672412006E-2</v>
      </c>
      <c r="D30" s="306"/>
      <c r="E30" s="306"/>
      <c r="F30" s="308">
        <v>8.3698666672412006E-2</v>
      </c>
      <c r="G30" s="309">
        <v>8.5230406340659315E-2</v>
      </c>
    </row>
    <row r="31" spans="1:7">
      <c r="A31" s="39" t="s">
        <v>1933</v>
      </c>
      <c r="B31" s="96"/>
      <c r="C31" s="311">
        <v>964.88555924761022</v>
      </c>
      <c r="D31" s="312">
        <v>955.73759256855863</v>
      </c>
      <c r="E31" s="312">
        <v>994.39731440705555</v>
      </c>
      <c r="F31" s="312">
        <v>1010.6218939385878</v>
      </c>
      <c r="G31" s="313">
        <v>1029.1169274449608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9.7789819211619447E-5</v>
      </c>
      <c r="E34" s="308">
        <v>1E-4</v>
      </c>
      <c r="F34" s="308">
        <v>1.0162322053224093E-4</v>
      </c>
      <c r="G34" s="309">
        <v>1.0348299111512867E-4</v>
      </c>
    </row>
    <row r="35" spans="1:7">
      <c r="A35" s="39" t="s">
        <v>1931</v>
      </c>
      <c r="B35" s="96"/>
      <c r="C35" s="308">
        <v>156.25906176442638</v>
      </c>
      <c r="D35" s="306"/>
      <c r="E35" s="308">
        <v>156.25906176442638</v>
      </c>
      <c r="F35" s="308">
        <v>158.79549093847359</v>
      </c>
      <c r="G35" s="309">
        <v>161.70155100226478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1.0162322053224093E-4</v>
      </c>
      <c r="G36" s="309">
        <v>1.0348299111512867E-4</v>
      </c>
    </row>
    <row r="37" spans="1:7">
      <c r="A37" s="39" t="s">
        <v>1935</v>
      </c>
      <c r="B37" s="96"/>
      <c r="C37" s="308">
        <v>1E-4</v>
      </c>
      <c r="D37" s="306"/>
      <c r="E37" s="308">
        <v>9.9446849932439095E-5</v>
      </c>
      <c r="F37" s="308">
        <v>1E-4</v>
      </c>
      <c r="G37" s="309">
        <v>1.0183006459857048E-4</v>
      </c>
    </row>
    <row r="38" spans="1:7">
      <c r="A38" s="39" t="s">
        <v>1936</v>
      </c>
      <c r="B38" s="96"/>
      <c r="C38" s="308">
        <v>114.10093823557362</v>
      </c>
      <c r="D38" s="306"/>
      <c r="E38" s="306"/>
      <c r="F38" s="308">
        <v>114.10093823557362</v>
      </c>
      <c r="G38" s="309">
        <v>116.18905911285961</v>
      </c>
    </row>
    <row r="39" spans="1:7">
      <c r="A39" s="39" t="s">
        <v>1933</v>
      </c>
      <c r="B39" s="96"/>
      <c r="C39" s="311">
        <v>270.3603</v>
      </c>
      <c r="D39" s="312">
        <v>9.7789819211619447E-5</v>
      </c>
      <c r="E39" s="312">
        <v>156.25936121127631</v>
      </c>
      <c r="F39" s="312">
        <v>272.89673242048826</v>
      </c>
      <c r="G39" s="313">
        <v>277.89091891117118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2892.2136984080489</v>
      </c>
      <c r="D45" s="306">
        <v>2892.2136984080489</v>
      </c>
      <c r="E45" s="306">
        <v>2983.7146072496485</v>
      </c>
      <c r="F45" s="306">
        <v>3032.1468753779964</v>
      </c>
      <c r="G45" s="307">
        <v>3087.6371219209504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20.736051744456326</v>
      </c>
      <c r="D47" s="306">
        <v>20.2777475125317</v>
      </c>
      <c r="E47" s="306">
        <v>20.736051744456326</v>
      </c>
      <c r="F47" s="306">
        <v>21.072643593948445</v>
      </c>
      <c r="G47" s="307">
        <v>21.458286584344222</v>
      </c>
    </row>
    <row r="48" spans="1:7">
      <c r="A48" s="39" t="s">
        <v>1931</v>
      </c>
      <c r="C48" s="306">
        <v>164.84412544455319</v>
      </c>
      <c r="D48" s="306">
        <v>0</v>
      </c>
      <c r="E48" s="306">
        <v>164.84412544455319</v>
      </c>
      <c r="F48" s="306">
        <v>167.51990913496218</v>
      </c>
      <c r="G48" s="307">
        <v>170.58563168759855</v>
      </c>
    </row>
    <row r="49" spans="1:7">
      <c r="A49" s="39" t="s">
        <v>1932</v>
      </c>
      <c r="C49" s="306">
        <v>7.7805118358369799E-3</v>
      </c>
      <c r="D49" s="306">
        <v>0</v>
      </c>
      <c r="E49" s="306">
        <v>7.7805118358369799E-3</v>
      </c>
      <c r="F49" s="306">
        <v>7.9068067014697214E-3</v>
      </c>
      <c r="G49" s="307">
        <v>8.0515063717907162E-3</v>
      </c>
    </row>
    <row r="50" spans="1:7">
      <c r="A50" s="39" t="s">
        <v>1935</v>
      </c>
      <c r="C50" s="306">
        <v>3.596067789805199E-2</v>
      </c>
      <c r="D50" s="306">
        <v>0</v>
      </c>
      <c r="E50" s="306">
        <v>3.5761761383963551E-2</v>
      </c>
      <c r="F50" s="306">
        <v>3.596067789805199E-2</v>
      </c>
      <c r="G50" s="307">
        <v>3.6618781533670194E-2</v>
      </c>
    </row>
    <row r="51" spans="1:7" ht="15" thickBot="1">
      <c r="A51" s="39" t="s">
        <v>1936</v>
      </c>
      <c r="C51" s="306">
        <v>114.18463690224604</v>
      </c>
      <c r="D51" s="306">
        <v>0</v>
      </c>
      <c r="E51" s="306">
        <v>0</v>
      </c>
      <c r="F51" s="306">
        <v>114.18463690224604</v>
      </c>
      <c r="G51" s="307">
        <v>116.27428951920027</v>
      </c>
    </row>
    <row r="52" spans="1:7" ht="15" thickBot="1">
      <c r="A52" s="39" t="s">
        <v>115</v>
      </c>
      <c r="C52" s="314">
        <v>3192.0222536890383</v>
      </c>
      <c r="D52" s="315">
        <v>2912.4914459205806</v>
      </c>
      <c r="E52" s="315">
        <v>3169.3383267118779</v>
      </c>
      <c r="F52" s="315">
        <v>3334.9679324937529</v>
      </c>
      <c r="G52" s="316">
        <v>3395.9999999999991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91.500908841599838</v>
      </c>
      <c r="E54" s="306">
        <v>51.4447699631151</v>
      </c>
      <c r="F54" s="306">
        <v>61.032067506245717</v>
      </c>
      <c r="G54" s="307">
        <v>203.97774631096064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3192.0222536890383</v>
      </c>
      <c r="D66" s="315">
        <v>2912.4914459205806</v>
      </c>
      <c r="E66" s="315">
        <v>3169.3383267118779</v>
      </c>
      <c r="F66" s="315">
        <v>3334.9679324937529</v>
      </c>
      <c r="G66" s="316">
        <v>3395.9999999999991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91.500908841599838</v>
      </c>
      <c r="E68" s="318">
        <v>51.4447699631151</v>
      </c>
      <c r="F68" s="318">
        <v>61.032067506245717</v>
      </c>
      <c r="G68" s="319">
        <v>203.97774631096064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9217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1.0316369806601651</v>
      </c>
      <c r="F77" s="299">
        <v>1.0162322053224093</v>
      </c>
      <c r="G77" s="300">
        <v>1.0183006459857047</v>
      </c>
    </row>
    <row r="78" spans="1:7">
      <c r="A78" s="39" t="s">
        <v>1924</v>
      </c>
      <c r="C78" s="29"/>
      <c r="D78" s="301">
        <v>0.97789819211619444</v>
      </c>
      <c r="E78" s="301">
        <v>0.99446849932439085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1812.0802423378605</v>
      </c>
      <c r="D81" s="304">
        <v>1812.0802423378605</v>
      </c>
      <c r="E81" s="304">
        <v>1869.4089899193705</v>
      </c>
      <c r="F81" s="304">
        <v>1899.7536204752996</v>
      </c>
      <c r="G81" s="305">
        <v>1934.5203389436788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144.65694813824371</v>
      </c>
      <c r="D84" s="308">
        <v>144.65694813824371</v>
      </c>
      <c r="E84" s="308">
        <v>149.23345720885183</v>
      </c>
      <c r="F84" s="308">
        <v>151.65584532723889</v>
      </c>
      <c r="G84" s="309">
        <v>154.43124526423549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1.6939479213563809E-2</v>
      </c>
      <c r="D86" s="310">
        <v>1.6565086098333903E-2</v>
      </c>
      <c r="E86" s="308">
        <v>1.6939479213563809E-2</v>
      </c>
      <c r="F86" s="308">
        <v>1.7214444318213062E-2</v>
      </c>
      <c r="G86" s="309">
        <v>1.7529479769521305E-2</v>
      </c>
    </row>
    <row r="87" spans="1:7">
      <c r="A87" s="39" t="s">
        <v>1931</v>
      </c>
      <c r="B87" s="96"/>
      <c r="C87" s="308">
        <v>2.2264486110162959E-2</v>
      </c>
      <c r="D87" s="306"/>
      <c r="E87" s="308">
        <v>2.2264486110162959E-2</v>
      </c>
      <c r="F87" s="308">
        <v>2.2625887820101054E-2</v>
      </c>
      <c r="G87" s="309">
        <v>2.303995618320899E-2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144.69615210356744</v>
      </c>
      <c r="D89" s="312">
        <v>144.67351322434203</v>
      </c>
      <c r="E89" s="312">
        <v>149.27266117417557</v>
      </c>
      <c r="F89" s="312">
        <v>151.6956856593772</v>
      </c>
      <c r="G89" s="313">
        <v>154.47181470018819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935.47650793194452</v>
      </c>
      <c r="D92" s="308">
        <v>935.47650793194452</v>
      </c>
      <c r="E92" s="308">
        <v>965.07216012142624</v>
      </c>
      <c r="F92" s="308">
        <v>980.73740957545829</v>
      </c>
      <c r="G92" s="309">
        <v>998.68553771303584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20.71901226524276</v>
      </c>
      <c r="D94" s="308">
        <v>20.261084636614154</v>
      </c>
      <c r="E94" s="308">
        <v>20.71901226524276</v>
      </c>
      <c r="F94" s="308">
        <v>21.055327526409698</v>
      </c>
      <c r="G94" s="309">
        <v>21.440653621583586</v>
      </c>
    </row>
    <row r="95" spans="1:7">
      <c r="A95" s="39" t="s">
        <v>1931</v>
      </c>
      <c r="B95" s="96"/>
      <c r="C95" s="308">
        <v>8.5627991940166392</v>
      </c>
      <c r="D95" s="306"/>
      <c r="E95" s="308">
        <v>8.5627991940166392</v>
      </c>
      <c r="F95" s="308">
        <v>8.7017923086684785</v>
      </c>
      <c r="G95" s="309">
        <v>8.8610407291505489</v>
      </c>
    </row>
    <row r="96" spans="1:7">
      <c r="A96" s="39" t="s">
        <v>1932</v>
      </c>
      <c r="B96" s="96"/>
      <c r="C96" s="308">
        <v>7.6805118358369796E-3</v>
      </c>
      <c r="D96" s="306"/>
      <c r="E96" s="308">
        <v>7.6805118358369796E-3</v>
      </c>
      <c r="F96" s="308">
        <v>7.8051834809374802E-3</v>
      </c>
      <c r="G96" s="309">
        <v>7.9480233806755868E-3</v>
      </c>
    </row>
    <row r="97" spans="1:7">
      <c r="A97" s="39" t="s">
        <v>1935</v>
      </c>
      <c r="B97" s="96"/>
      <c r="C97" s="308">
        <v>3.5860677898051987E-2</v>
      </c>
      <c r="D97" s="306"/>
      <c r="E97" s="308">
        <v>3.5662314534031112E-2</v>
      </c>
      <c r="F97" s="308">
        <v>3.5860677898051987E-2</v>
      </c>
      <c r="G97" s="309">
        <v>3.6516951469071621E-2</v>
      </c>
    </row>
    <row r="98" spans="1:7">
      <c r="A98" s="39" t="s">
        <v>1936</v>
      </c>
      <c r="B98" s="96"/>
      <c r="C98" s="308">
        <v>8.3698666672412006E-2</v>
      </c>
      <c r="D98" s="306"/>
      <c r="E98" s="306"/>
      <c r="F98" s="308">
        <v>8.3698666672412006E-2</v>
      </c>
      <c r="G98" s="309">
        <v>8.5230406340659315E-2</v>
      </c>
    </row>
    <row r="99" spans="1:7">
      <c r="A99" s="39" t="s">
        <v>1933</v>
      </c>
      <c r="B99" s="96"/>
      <c r="C99" s="311">
        <v>964.88555924761022</v>
      </c>
      <c r="D99" s="312">
        <v>955.73759256855863</v>
      </c>
      <c r="E99" s="312">
        <v>994.39731440705555</v>
      </c>
      <c r="F99" s="312">
        <v>1010.6218939385878</v>
      </c>
      <c r="G99" s="313">
        <v>1029.1169274449608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9.7789819211619447E-5</v>
      </c>
      <c r="E102" s="308">
        <v>1E-4</v>
      </c>
      <c r="F102" s="308">
        <v>1.0162322053224093E-4</v>
      </c>
      <c r="G102" s="309">
        <v>1.0348299111512867E-4</v>
      </c>
    </row>
    <row r="103" spans="1:7">
      <c r="A103" s="39" t="s">
        <v>1931</v>
      </c>
      <c r="B103" s="96"/>
      <c r="C103" s="308">
        <v>156.25906176442638</v>
      </c>
      <c r="D103" s="306"/>
      <c r="E103" s="308">
        <v>156.25906176442638</v>
      </c>
      <c r="F103" s="308">
        <v>158.79549093847359</v>
      </c>
      <c r="G103" s="309">
        <v>161.70155100226478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1.0162322053224093E-4</v>
      </c>
      <c r="G104" s="309">
        <v>1.0348299111512867E-4</v>
      </c>
    </row>
    <row r="105" spans="1:7">
      <c r="A105" s="39" t="s">
        <v>1935</v>
      </c>
      <c r="B105" s="96"/>
      <c r="C105" s="308">
        <v>1E-4</v>
      </c>
      <c r="D105" s="306"/>
      <c r="E105" s="308">
        <v>9.9446849932439095E-5</v>
      </c>
      <c r="F105" s="308">
        <v>1E-4</v>
      </c>
      <c r="G105" s="309">
        <v>1.0183006459857048E-4</v>
      </c>
    </row>
    <row r="106" spans="1:7">
      <c r="A106" s="39" t="s">
        <v>1936</v>
      </c>
      <c r="B106" s="96"/>
      <c r="C106" s="308">
        <v>114.10093823557362</v>
      </c>
      <c r="D106" s="306"/>
      <c r="E106" s="306"/>
      <c r="F106" s="308">
        <v>114.10093823557362</v>
      </c>
      <c r="G106" s="309">
        <v>116.18905911285961</v>
      </c>
    </row>
    <row r="107" spans="1:7">
      <c r="A107" s="39" t="s">
        <v>1933</v>
      </c>
      <c r="B107" s="96"/>
      <c r="C107" s="311">
        <v>270.3603</v>
      </c>
      <c r="D107" s="312">
        <v>9.7789819211619447E-5</v>
      </c>
      <c r="E107" s="312">
        <v>156.25936121127631</v>
      </c>
      <c r="F107" s="312">
        <v>272.89673242048826</v>
      </c>
      <c r="G107" s="313">
        <v>277.89091891117118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2892.2136984080489</v>
      </c>
      <c r="D113" s="306">
        <v>2892.2136984080489</v>
      </c>
      <c r="E113" s="306">
        <v>2983.7146072496485</v>
      </c>
      <c r="F113" s="306">
        <v>3032.1468753779964</v>
      </c>
      <c r="G113" s="307">
        <v>3087.6371219209504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20.736051744456326</v>
      </c>
      <c r="D115" s="306">
        <v>20.2777475125317</v>
      </c>
      <c r="E115" s="306">
        <v>20.736051744456326</v>
      </c>
      <c r="F115" s="306">
        <v>21.072643593948445</v>
      </c>
      <c r="G115" s="307">
        <v>21.458286584344222</v>
      </c>
    </row>
    <row r="116" spans="1:7">
      <c r="A116" s="39" t="s">
        <v>1931</v>
      </c>
      <c r="C116" s="306">
        <v>164.84412544455319</v>
      </c>
      <c r="D116" s="306">
        <v>0</v>
      </c>
      <c r="E116" s="306">
        <v>164.84412544455319</v>
      </c>
      <c r="F116" s="306">
        <v>167.51990913496218</v>
      </c>
      <c r="G116" s="307">
        <v>170.58563168759855</v>
      </c>
    </row>
    <row r="117" spans="1:7">
      <c r="A117" s="39" t="s">
        <v>1932</v>
      </c>
      <c r="C117" s="306">
        <v>7.7805118358369799E-3</v>
      </c>
      <c r="D117" s="306">
        <v>0</v>
      </c>
      <c r="E117" s="306">
        <v>7.7805118358369799E-3</v>
      </c>
      <c r="F117" s="306">
        <v>7.9068067014697214E-3</v>
      </c>
      <c r="G117" s="307">
        <v>8.0515063717907162E-3</v>
      </c>
    </row>
    <row r="118" spans="1:7">
      <c r="A118" s="39" t="s">
        <v>1935</v>
      </c>
      <c r="C118" s="306">
        <v>3.596067789805199E-2</v>
      </c>
      <c r="D118" s="306">
        <v>0</v>
      </c>
      <c r="E118" s="306">
        <v>3.5761761383963551E-2</v>
      </c>
      <c r="F118" s="306">
        <v>3.596067789805199E-2</v>
      </c>
      <c r="G118" s="307">
        <v>3.6618781533670194E-2</v>
      </c>
    </row>
    <row r="119" spans="1:7" ht="15" thickBot="1">
      <c r="A119" s="39" t="s">
        <v>1936</v>
      </c>
      <c r="C119" s="306">
        <v>114.18463690224604</v>
      </c>
      <c r="D119" s="306">
        <v>0</v>
      </c>
      <c r="E119" s="306">
        <v>0</v>
      </c>
      <c r="F119" s="306">
        <v>114.18463690224604</v>
      </c>
      <c r="G119" s="307">
        <v>116.27428951920027</v>
      </c>
    </row>
    <row r="120" spans="1:7" ht="15" thickBot="1">
      <c r="A120" s="39" t="s">
        <v>115</v>
      </c>
      <c r="C120" s="314">
        <v>3192.0222536890383</v>
      </c>
      <c r="D120" s="315">
        <v>2912.4914459205806</v>
      </c>
      <c r="E120" s="315">
        <v>3169.3383267118779</v>
      </c>
      <c r="F120" s="315">
        <v>3334.9679324937529</v>
      </c>
      <c r="G120" s="316">
        <v>3395.9999999999991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91.500908841599838</v>
      </c>
      <c r="E122" s="306">
        <v>51.4447699631151</v>
      </c>
      <c r="F122" s="306">
        <v>61.032067506245717</v>
      </c>
      <c r="G122" s="307">
        <v>203.97774631096064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3192.0222536890383</v>
      </c>
      <c r="D134" s="315">
        <v>2912.4914459205806</v>
      </c>
      <c r="E134" s="315">
        <v>3169.3383267118779</v>
      </c>
      <c r="F134" s="315">
        <v>3334.9679324937529</v>
      </c>
      <c r="G134" s="316">
        <v>3395.9999999999991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91.500908841599838</v>
      </c>
      <c r="E136" s="318">
        <v>51.4447699631151</v>
      </c>
      <c r="F136" s="318">
        <v>61.032067506245717</v>
      </c>
      <c r="G136" s="319">
        <v>203.97774631096064</v>
      </c>
    </row>
    <row r="137" spans="1:7" ht="15" thickBot="1"/>
    <row r="138" spans="1:7" ht="15" thickBot="1">
      <c r="A138" s="105" t="s">
        <v>9218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1.0321131510680772</v>
      </c>
      <c r="F145" s="299">
        <v>1.0159738437171759</v>
      </c>
      <c r="G145" s="300">
        <v>1.0180390915111017</v>
      </c>
    </row>
    <row r="146" spans="1:7">
      <c r="A146" s="39" t="s">
        <v>1924</v>
      </c>
      <c r="C146" s="29"/>
      <c r="D146" s="301">
        <v>0.97746586693259796</v>
      </c>
      <c r="E146" s="301">
        <v>0.99439995926774238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1789.7312806238644</v>
      </c>
      <c r="D149" s="304">
        <v>1789.7312806238644</v>
      </c>
      <c r="E149" s="304">
        <v>1847.2051916098019</v>
      </c>
      <c r="F149" s="304">
        <v>1876.712158654133</v>
      </c>
      <c r="G149" s="305">
        <v>1910.566341024092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144.17347916479386</v>
      </c>
      <c r="D152" s="308">
        <v>144.17347916479386</v>
      </c>
      <c r="E152" s="308">
        <v>148.80334388122316</v>
      </c>
      <c r="F152" s="308">
        <v>151.180305240975</v>
      </c>
      <c r="G152" s="309">
        <v>153.90746060189323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1.6882864493486003E-2</v>
      </c>
      <c r="D154" s="310">
        <v>1.6502423778430871E-2</v>
      </c>
      <c r="E154" s="308">
        <v>1.6882864493486003E-2</v>
      </c>
      <c r="F154" s="308">
        <v>1.7152548732403208E-2</v>
      </c>
      <c r="G154" s="309">
        <v>1.7461965128635661E-2</v>
      </c>
    </row>
    <row r="155" spans="1:7">
      <c r="A155" s="39" t="s">
        <v>1931</v>
      </c>
      <c r="B155" s="96"/>
      <c r="C155" s="308">
        <v>2.21900742800877E-2</v>
      </c>
      <c r="D155" s="306"/>
      <c r="E155" s="308">
        <v>2.21900742800877E-2</v>
      </c>
      <c r="F155" s="308">
        <v>2.2544535058710347E-2</v>
      </c>
      <c r="G155" s="309">
        <v>2.2951217989709664E-2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144.21255210356742</v>
      </c>
      <c r="D157" s="312">
        <v>144.18998158857229</v>
      </c>
      <c r="E157" s="312">
        <v>148.84241681999671</v>
      </c>
      <c r="F157" s="312">
        <v>151.22000232476611</v>
      </c>
      <c r="G157" s="313">
        <v>153.94787378501158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846.38180419951595</v>
      </c>
      <c r="D160" s="308">
        <v>846.38180419951595</v>
      </c>
      <c r="E160" s="308">
        <v>873.56179093904677</v>
      </c>
      <c r="F160" s="308">
        <v>887.51593046480343</v>
      </c>
      <c r="G160" s="309">
        <v>903.52591155201867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18.683469482108858</v>
      </c>
      <c r="D162" s="308">
        <v>18.262453694638271</v>
      </c>
      <c r="E162" s="308">
        <v>18.683469482108858</v>
      </c>
      <c r="F162" s="308">
        <v>18.98191630371069</v>
      </c>
      <c r="G162" s="309">
        <v>19.3243328289694</v>
      </c>
    </row>
    <row r="163" spans="1:7">
      <c r="A163" s="39" t="s">
        <v>1931</v>
      </c>
      <c r="B163" s="96"/>
      <c r="C163" s="308">
        <v>7.7215455724796218</v>
      </c>
      <c r="D163" s="306"/>
      <c r="E163" s="308">
        <v>7.7215455724796218</v>
      </c>
      <c r="F163" s="308">
        <v>7.8448883347094629</v>
      </c>
      <c r="G163" s="309">
        <v>7.9864029932736615</v>
      </c>
    </row>
    <row r="164" spans="1:7">
      <c r="A164" s="39" t="s">
        <v>1932</v>
      </c>
      <c r="B164" s="96"/>
      <c r="C164" s="308">
        <v>6.9259386815732817E-3</v>
      </c>
      <c r="D164" s="306"/>
      <c r="E164" s="308">
        <v>6.9259386815732817E-3</v>
      </c>
      <c r="F164" s="308">
        <v>7.036572543667477E-3</v>
      </c>
      <c r="G164" s="309">
        <v>7.1635059197072007E-3</v>
      </c>
    </row>
    <row r="165" spans="1:7">
      <c r="A165" s="39" t="s">
        <v>1935</v>
      </c>
      <c r="B165" s="96"/>
      <c r="C165" s="308">
        <v>3.2337539673160658E-2</v>
      </c>
      <c r="D165" s="306"/>
      <c r="E165" s="308">
        <v>3.215644813380996E-2</v>
      </c>
      <c r="F165" s="308">
        <v>3.2337539673160658E-2</v>
      </c>
      <c r="G165" s="309">
        <v>3.2920879510568685E-2</v>
      </c>
    </row>
    <row r="166" spans="1:7">
      <c r="A166" s="39" t="s">
        <v>1936</v>
      </c>
      <c r="B166" s="96"/>
      <c r="C166" s="308">
        <v>7.5475677336729885E-2</v>
      </c>
      <c r="D166" s="306"/>
      <c r="E166" s="306"/>
      <c r="F166" s="308">
        <v>7.5475677336729885E-2</v>
      </c>
      <c r="G166" s="309">
        <v>7.6837189987069537E-2</v>
      </c>
    </row>
    <row r="167" spans="1:7">
      <c r="A167" s="39" t="s">
        <v>1933</v>
      </c>
      <c r="B167" s="96"/>
      <c r="C167" s="311">
        <v>872.90155840979583</v>
      </c>
      <c r="D167" s="312">
        <v>864.64425789415418</v>
      </c>
      <c r="E167" s="312">
        <v>900.00588838045064</v>
      </c>
      <c r="F167" s="312">
        <v>914.45758489277716</v>
      </c>
      <c r="G167" s="313">
        <v>930.95356894967915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9.7746586693259806E-5</v>
      </c>
      <c r="E170" s="308">
        <v>1E-4</v>
      </c>
      <c r="F170" s="308">
        <v>1.015973843717176E-4</v>
      </c>
      <c r="G170" s="309">
        <v>1.0343010888568759E-4</v>
      </c>
    </row>
    <row r="171" spans="1:7">
      <c r="A171" s="39" t="s">
        <v>1931</v>
      </c>
      <c r="B171" s="96"/>
      <c r="C171" s="308">
        <v>156.25906176442638</v>
      </c>
      <c r="D171" s="306"/>
      <c r="E171" s="308">
        <v>156.25906176442638</v>
      </c>
      <c r="F171" s="308">
        <v>158.75511959644388</v>
      </c>
      <c r="G171" s="309">
        <v>161.61891772670003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1.015973843717176E-4</v>
      </c>
      <c r="G172" s="309">
        <v>1.0343010888568759E-4</v>
      </c>
    </row>
    <row r="173" spans="1:7">
      <c r="A173" s="39" t="s">
        <v>1935</v>
      </c>
      <c r="B173" s="96"/>
      <c r="C173" s="308">
        <v>1E-4</v>
      </c>
      <c r="D173" s="306"/>
      <c r="E173" s="308">
        <v>9.9439995926774245E-5</v>
      </c>
      <c r="F173" s="308">
        <v>1E-4</v>
      </c>
      <c r="G173" s="309">
        <v>1.0180390915111018E-4</v>
      </c>
    </row>
    <row r="174" spans="1:7">
      <c r="A174" s="39" t="s">
        <v>1936</v>
      </c>
      <c r="B174" s="96"/>
      <c r="C174" s="308">
        <v>114.10093823557362</v>
      </c>
      <c r="D174" s="306"/>
      <c r="E174" s="306"/>
      <c r="F174" s="308">
        <v>114.10093823557362</v>
      </c>
      <c r="G174" s="309">
        <v>116.1592155019077</v>
      </c>
    </row>
    <row r="175" spans="1:7">
      <c r="A175" s="39" t="s">
        <v>1933</v>
      </c>
      <c r="B175" s="96"/>
      <c r="C175" s="311">
        <v>270.3603</v>
      </c>
      <c r="D175" s="312">
        <v>9.7746586693259806E-5</v>
      </c>
      <c r="E175" s="312">
        <v>156.25936120442231</v>
      </c>
      <c r="F175" s="312">
        <v>272.85636102678626</v>
      </c>
      <c r="G175" s="313">
        <v>277.77844189273463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2780.2865639881743</v>
      </c>
      <c r="D181" s="306">
        <v>2780.2865639881743</v>
      </c>
      <c r="E181" s="306">
        <v>2869.5703264300719</v>
      </c>
      <c r="F181" s="306">
        <v>2915.4083943599117</v>
      </c>
      <c r="G181" s="307">
        <v>2967.9997131780037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18.700452346602344</v>
      </c>
      <c r="D183" s="306">
        <v>18.279053865003394</v>
      </c>
      <c r="E183" s="306">
        <v>18.700452346602344</v>
      </c>
      <c r="F183" s="306">
        <v>18.999170449827467</v>
      </c>
      <c r="G183" s="307">
        <v>19.341898224206922</v>
      </c>
    </row>
    <row r="184" spans="1:7">
      <c r="A184" s="39" t="s">
        <v>1931</v>
      </c>
      <c r="C184" s="306">
        <v>164.00279741118609</v>
      </c>
      <c r="D184" s="306">
        <v>0</v>
      </c>
      <c r="E184" s="306">
        <v>164.00279741118609</v>
      </c>
      <c r="F184" s="306">
        <v>166.62255246621206</v>
      </c>
      <c r="G184" s="307">
        <v>169.6282719379634</v>
      </c>
    </row>
    <row r="185" spans="1:7">
      <c r="A185" s="39" t="s">
        <v>1932</v>
      </c>
      <c r="C185" s="306">
        <v>7.025938681573282E-3</v>
      </c>
      <c r="D185" s="306">
        <v>0</v>
      </c>
      <c r="E185" s="306">
        <v>7.025938681573282E-3</v>
      </c>
      <c r="F185" s="306">
        <v>7.1381699280391947E-3</v>
      </c>
      <c r="G185" s="307">
        <v>7.2669360285928884E-3</v>
      </c>
    </row>
    <row r="186" spans="1:7">
      <c r="A186" s="39" t="s">
        <v>1935</v>
      </c>
      <c r="C186" s="306">
        <v>3.2437539673160661E-2</v>
      </c>
      <c r="D186" s="306">
        <v>0</v>
      </c>
      <c r="E186" s="306">
        <v>3.2255888129736732E-2</v>
      </c>
      <c r="F186" s="306">
        <v>3.2437539673160661E-2</v>
      </c>
      <c r="G186" s="307">
        <v>3.3022683419719798E-2</v>
      </c>
    </row>
    <row r="187" spans="1:7" ht="15" thickBot="1">
      <c r="A187" s="39" t="s">
        <v>1936</v>
      </c>
      <c r="C187" s="306">
        <v>114.17641391291035</v>
      </c>
      <c r="D187" s="306">
        <v>0</v>
      </c>
      <c r="E187" s="306">
        <v>0</v>
      </c>
      <c r="F187" s="306">
        <v>114.17641391291035</v>
      </c>
      <c r="G187" s="307">
        <v>116.23605269189477</v>
      </c>
    </row>
    <row r="188" spans="1:7" ht="15" thickBot="1">
      <c r="A188" s="39" t="s">
        <v>115</v>
      </c>
      <c r="C188" s="314">
        <v>3077.2056911372283</v>
      </c>
      <c r="D188" s="315">
        <v>2798.5656178531776</v>
      </c>
      <c r="E188" s="315">
        <v>3052.3128580146722</v>
      </c>
      <c r="F188" s="315">
        <v>3215.246106898463</v>
      </c>
      <c r="G188" s="316">
        <v>3273.2462256515169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89.283762441897792</v>
      </c>
      <c r="E190" s="306">
        <v>48.756653319337069</v>
      </c>
      <c r="F190" s="306">
        <v>58.000118753054799</v>
      </c>
      <c r="G190" s="307">
        <v>196.04053451428967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3077.2056911372283</v>
      </c>
      <c r="D202" s="315">
        <v>2798.5656178531776</v>
      </c>
      <c r="E202" s="315">
        <v>3052.3128580146722</v>
      </c>
      <c r="F202" s="315">
        <v>3215.246106898463</v>
      </c>
      <c r="G202" s="316">
        <v>3273.2462256515169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89.283762441897792</v>
      </c>
      <c r="E204" s="318">
        <v>48.756653319337069</v>
      </c>
      <c r="F204" s="318">
        <v>58.000118753054792</v>
      </c>
      <c r="G204" s="319">
        <v>196.04053451428967</v>
      </c>
    </row>
    <row r="205" spans="1:7" ht="15" thickBot="1"/>
    <row r="206" spans="1:7" ht="15" thickBot="1">
      <c r="A206" s="89" t="s">
        <v>9219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1.0316369806601651</v>
      </c>
      <c r="F213" s="299">
        <v>1.0162322053224093</v>
      </c>
      <c r="G213" s="300">
        <v>1.0183006459857047</v>
      </c>
    </row>
    <row r="214" spans="1:7">
      <c r="A214" s="39" t="s">
        <v>1924</v>
      </c>
      <c r="C214" s="29"/>
      <c r="D214" s="301">
        <v>0.97789819211619444</v>
      </c>
      <c r="E214" s="301">
        <v>0.99446849932439085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1812.0802423378605</v>
      </c>
      <c r="D217" s="304">
        <v>1812.0802423378605</v>
      </c>
      <c r="E217" s="304">
        <v>1869.4089899193705</v>
      </c>
      <c r="F217" s="304">
        <v>1899.7536204752996</v>
      </c>
      <c r="G217" s="305">
        <v>1934.5203389436788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144.65694813824371</v>
      </c>
      <c r="D220" s="308">
        <v>144.65694813824371</v>
      </c>
      <c r="E220" s="308">
        <v>149.23345720885183</v>
      </c>
      <c r="F220" s="308">
        <v>151.65584532723889</v>
      </c>
      <c r="G220" s="309">
        <v>154.43124526423549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1.6939479213563809E-2</v>
      </c>
      <c r="D222" s="310">
        <v>1.6565086098333903E-2</v>
      </c>
      <c r="E222" s="308">
        <v>1.6939479213563809E-2</v>
      </c>
      <c r="F222" s="308">
        <v>1.7214444318213062E-2</v>
      </c>
      <c r="G222" s="309">
        <v>1.7529479769521305E-2</v>
      </c>
    </row>
    <row r="223" spans="1:7">
      <c r="A223" s="39" t="s">
        <v>1931</v>
      </c>
      <c r="B223" s="96"/>
      <c r="C223" s="308">
        <v>2.2264486110162959E-2</v>
      </c>
      <c r="D223" s="306"/>
      <c r="E223" s="308">
        <v>2.2264486110162959E-2</v>
      </c>
      <c r="F223" s="308">
        <v>2.2625887820101054E-2</v>
      </c>
      <c r="G223" s="309">
        <v>2.303995618320899E-2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144.69615210356744</v>
      </c>
      <c r="D225" s="312">
        <v>144.67351322434203</v>
      </c>
      <c r="E225" s="312">
        <v>149.27266117417557</v>
      </c>
      <c r="F225" s="312">
        <v>151.6956856593772</v>
      </c>
      <c r="G225" s="313">
        <v>154.47181470018819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935.47650793194452</v>
      </c>
      <c r="D228" s="308">
        <v>935.47650793194452</v>
      </c>
      <c r="E228" s="308">
        <v>965.07216012142624</v>
      </c>
      <c r="F228" s="308">
        <v>980.73740957545829</v>
      </c>
      <c r="G228" s="309">
        <v>998.68553771303584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20.71901226524276</v>
      </c>
      <c r="D230" s="308">
        <v>20.261084636614154</v>
      </c>
      <c r="E230" s="308">
        <v>20.71901226524276</v>
      </c>
      <c r="F230" s="308">
        <v>21.055327526409698</v>
      </c>
      <c r="G230" s="309">
        <v>21.440653621583586</v>
      </c>
    </row>
    <row r="231" spans="1:7">
      <c r="A231" s="39" t="s">
        <v>1931</v>
      </c>
      <c r="B231" s="96"/>
      <c r="C231" s="308">
        <v>8.5627991940166392</v>
      </c>
      <c r="D231" s="306"/>
      <c r="E231" s="308">
        <v>8.5627991940166392</v>
      </c>
      <c r="F231" s="308">
        <v>8.7017923086684785</v>
      </c>
      <c r="G231" s="309">
        <v>8.8610407291505489</v>
      </c>
    </row>
    <row r="232" spans="1:7">
      <c r="A232" s="39" t="s">
        <v>1932</v>
      </c>
      <c r="B232" s="96"/>
      <c r="C232" s="308">
        <v>7.6805118358369796E-3</v>
      </c>
      <c r="D232" s="306"/>
      <c r="E232" s="308">
        <v>7.6805118358369796E-3</v>
      </c>
      <c r="F232" s="308">
        <v>7.8051834809374802E-3</v>
      </c>
      <c r="G232" s="309">
        <v>7.9480233806755868E-3</v>
      </c>
    </row>
    <row r="233" spans="1:7">
      <c r="A233" s="39" t="s">
        <v>1935</v>
      </c>
      <c r="B233" s="96"/>
      <c r="C233" s="308">
        <v>3.5860677898051987E-2</v>
      </c>
      <c r="D233" s="306"/>
      <c r="E233" s="308">
        <v>3.5662314534031112E-2</v>
      </c>
      <c r="F233" s="308">
        <v>3.5860677898051987E-2</v>
      </c>
      <c r="G233" s="309">
        <v>3.6516951469071621E-2</v>
      </c>
    </row>
    <row r="234" spans="1:7">
      <c r="A234" s="39" t="s">
        <v>1936</v>
      </c>
      <c r="B234" s="96"/>
      <c r="C234" s="308">
        <v>8.3698666672412006E-2</v>
      </c>
      <c r="D234" s="306"/>
      <c r="E234" s="306"/>
      <c r="F234" s="308">
        <v>8.3698666672412006E-2</v>
      </c>
      <c r="G234" s="309">
        <v>8.5230406340659315E-2</v>
      </c>
    </row>
    <row r="235" spans="1:7">
      <c r="A235" s="39" t="s">
        <v>1933</v>
      </c>
      <c r="B235" s="96"/>
      <c r="C235" s="311">
        <v>964.88555924761022</v>
      </c>
      <c r="D235" s="312">
        <v>955.73759256855863</v>
      </c>
      <c r="E235" s="312">
        <v>994.39731440705555</v>
      </c>
      <c r="F235" s="312">
        <v>1010.6218939385878</v>
      </c>
      <c r="G235" s="313">
        <v>1029.1169274449608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9.7789819211619447E-5</v>
      </c>
      <c r="E238" s="308">
        <v>1E-4</v>
      </c>
      <c r="F238" s="308">
        <v>1.0162322053224093E-4</v>
      </c>
      <c r="G238" s="309">
        <v>1.0348299111512867E-4</v>
      </c>
    </row>
    <row r="239" spans="1:7">
      <c r="A239" s="39" t="s">
        <v>1931</v>
      </c>
      <c r="B239" s="96"/>
      <c r="C239" s="308">
        <v>156.25906176442638</v>
      </c>
      <c r="D239" s="306"/>
      <c r="E239" s="308">
        <v>156.25906176442638</v>
      </c>
      <c r="F239" s="308">
        <v>158.79549093847359</v>
      </c>
      <c r="G239" s="309">
        <v>161.70155100226478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1.0162322053224093E-4</v>
      </c>
      <c r="G240" s="309">
        <v>1.0348299111512867E-4</v>
      </c>
    </row>
    <row r="241" spans="1:7">
      <c r="A241" s="39" t="s">
        <v>1935</v>
      </c>
      <c r="B241" s="96"/>
      <c r="C241" s="308">
        <v>1E-4</v>
      </c>
      <c r="D241" s="306"/>
      <c r="E241" s="308">
        <v>9.9446849932439095E-5</v>
      </c>
      <c r="F241" s="308">
        <v>1E-4</v>
      </c>
      <c r="G241" s="309">
        <v>1.0183006459857048E-4</v>
      </c>
    </row>
    <row r="242" spans="1:7">
      <c r="A242" s="39" t="s">
        <v>1936</v>
      </c>
      <c r="B242" s="96"/>
      <c r="C242" s="308">
        <v>114.10093823557362</v>
      </c>
      <c r="D242" s="306"/>
      <c r="E242" s="306"/>
      <c r="F242" s="308">
        <v>114.10093823557362</v>
      </c>
      <c r="G242" s="309">
        <v>116.18905911285961</v>
      </c>
    </row>
    <row r="243" spans="1:7">
      <c r="A243" s="39" t="s">
        <v>1933</v>
      </c>
      <c r="B243" s="96"/>
      <c r="C243" s="311">
        <v>270.3603</v>
      </c>
      <c r="D243" s="312">
        <v>9.7789819211619447E-5</v>
      </c>
      <c r="E243" s="312">
        <v>156.25936121127631</v>
      </c>
      <c r="F243" s="312">
        <v>272.89673242048826</v>
      </c>
      <c r="G243" s="313">
        <v>277.89091891117118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2892.2136984080489</v>
      </c>
      <c r="D249" s="306">
        <v>2892.2136984080489</v>
      </c>
      <c r="E249" s="306">
        <v>2983.7146072496485</v>
      </c>
      <c r="F249" s="306">
        <v>3032.1468753779964</v>
      </c>
      <c r="G249" s="307">
        <v>3087.6371219209504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20.736051744456326</v>
      </c>
      <c r="D251" s="306">
        <v>20.2777475125317</v>
      </c>
      <c r="E251" s="306">
        <v>20.736051744456326</v>
      </c>
      <c r="F251" s="306">
        <v>21.072643593948445</v>
      </c>
      <c r="G251" s="307">
        <v>21.458286584344222</v>
      </c>
    </row>
    <row r="252" spans="1:7">
      <c r="A252" s="39" t="s">
        <v>1931</v>
      </c>
      <c r="C252" s="306">
        <v>164.84412544455319</v>
      </c>
      <c r="D252" s="306">
        <v>0</v>
      </c>
      <c r="E252" s="306">
        <v>164.84412544455319</v>
      </c>
      <c r="F252" s="306">
        <v>167.51990913496218</v>
      </c>
      <c r="G252" s="307">
        <v>170.58563168759855</v>
      </c>
    </row>
    <row r="253" spans="1:7">
      <c r="A253" s="39" t="s">
        <v>1932</v>
      </c>
      <c r="C253" s="306">
        <v>7.7805118358369799E-3</v>
      </c>
      <c r="D253" s="306">
        <v>0</v>
      </c>
      <c r="E253" s="306">
        <v>7.7805118358369799E-3</v>
      </c>
      <c r="F253" s="306">
        <v>7.9068067014697214E-3</v>
      </c>
      <c r="G253" s="307">
        <v>8.0515063717907162E-3</v>
      </c>
    </row>
    <row r="254" spans="1:7">
      <c r="A254" s="39" t="s">
        <v>1935</v>
      </c>
      <c r="C254" s="306">
        <v>3.596067789805199E-2</v>
      </c>
      <c r="D254" s="306">
        <v>0</v>
      </c>
      <c r="E254" s="306">
        <v>3.5761761383963551E-2</v>
      </c>
      <c r="F254" s="306">
        <v>3.596067789805199E-2</v>
      </c>
      <c r="G254" s="307">
        <v>3.6618781533670194E-2</v>
      </c>
    </row>
    <row r="255" spans="1:7" ht="15" thickBot="1">
      <c r="A255" s="39" t="s">
        <v>1936</v>
      </c>
      <c r="C255" s="306">
        <v>114.18463690224604</v>
      </c>
      <c r="D255" s="306">
        <v>0</v>
      </c>
      <c r="E255" s="306">
        <v>0</v>
      </c>
      <c r="F255" s="306">
        <v>114.18463690224604</v>
      </c>
      <c r="G255" s="307">
        <v>116.27428951920027</v>
      </c>
    </row>
    <row r="256" spans="1:7" ht="15" thickBot="1">
      <c r="A256" s="39" t="s">
        <v>115</v>
      </c>
      <c r="C256" s="314">
        <v>3192.0222536890383</v>
      </c>
      <c r="D256" s="315">
        <v>2912.4914459205806</v>
      </c>
      <c r="E256" s="315">
        <v>3169.3383267118779</v>
      </c>
      <c r="F256" s="315">
        <v>3334.9679324937529</v>
      </c>
      <c r="G256" s="316">
        <v>3395.9999999999991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91.500908841599838</v>
      </c>
      <c r="E258" s="306">
        <v>51.4447699631151</v>
      </c>
      <c r="F258" s="306">
        <v>61.032067506245717</v>
      </c>
      <c r="G258" s="307">
        <v>203.97774631096064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3192.0222536890383</v>
      </c>
      <c r="D270" s="315">
        <v>2912.4914459205806</v>
      </c>
      <c r="E270" s="315">
        <v>3169.3383267118779</v>
      </c>
      <c r="F270" s="315">
        <v>3334.9679324937529</v>
      </c>
      <c r="G270" s="316">
        <v>3395.9999999999991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91.500908841599838</v>
      </c>
      <c r="E272" s="318">
        <v>51.4447699631151</v>
      </c>
      <c r="F272" s="318">
        <v>61.032067506245717</v>
      </c>
      <c r="G272" s="319">
        <v>203.97774631096064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33203125" customWidth="1"/>
    <col min="3" max="7" width="17.6640625" customWidth="1"/>
    <col min="9" max="9" width="12.6640625" bestFit="1" customWidth="1"/>
    <col min="257" max="257" width="38.33203125" bestFit="1" customWidth="1"/>
    <col min="258" max="258" width="2.33203125" customWidth="1"/>
    <col min="259" max="263" width="17.6640625" customWidth="1"/>
    <col min="513" max="513" width="38.33203125" bestFit="1" customWidth="1"/>
    <col min="514" max="514" width="2.33203125" customWidth="1"/>
    <col min="515" max="519" width="17.6640625" customWidth="1"/>
    <col min="769" max="769" width="38.33203125" bestFit="1" customWidth="1"/>
    <col min="770" max="770" width="2.33203125" customWidth="1"/>
    <col min="771" max="775" width="17.6640625" customWidth="1"/>
    <col min="1025" max="1025" width="38.33203125" bestFit="1" customWidth="1"/>
    <col min="1026" max="1026" width="2.33203125" customWidth="1"/>
    <col min="1027" max="1031" width="17.6640625" customWidth="1"/>
    <col min="1281" max="1281" width="38.33203125" bestFit="1" customWidth="1"/>
    <col min="1282" max="1282" width="2.33203125" customWidth="1"/>
    <col min="1283" max="1287" width="17.6640625" customWidth="1"/>
    <col min="1537" max="1537" width="38.33203125" bestFit="1" customWidth="1"/>
    <col min="1538" max="1538" width="2.33203125" customWidth="1"/>
    <col min="1539" max="1543" width="17.6640625" customWidth="1"/>
    <col min="1793" max="1793" width="38.33203125" bestFit="1" customWidth="1"/>
    <col min="1794" max="1794" width="2.33203125" customWidth="1"/>
    <col min="1795" max="1799" width="17.6640625" customWidth="1"/>
    <col min="2049" max="2049" width="38.33203125" bestFit="1" customWidth="1"/>
    <col min="2050" max="2050" width="2.33203125" customWidth="1"/>
    <col min="2051" max="2055" width="17.6640625" customWidth="1"/>
    <col min="2305" max="2305" width="38.33203125" bestFit="1" customWidth="1"/>
    <col min="2306" max="2306" width="2.33203125" customWidth="1"/>
    <col min="2307" max="2311" width="17.6640625" customWidth="1"/>
    <col min="2561" max="2561" width="38.33203125" bestFit="1" customWidth="1"/>
    <col min="2562" max="2562" width="2.33203125" customWidth="1"/>
    <col min="2563" max="2567" width="17.6640625" customWidth="1"/>
    <col min="2817" max="2817" width="38.33203125" bestFit="1" customWidth="1"/>
    <col min="2818" max="2818" width="2.33203125" customWidth="1"/>
    <col min="2819" max="2823" width="17.6640625" customWidth="1"/>
    <col min="3073" max="3073" width="38.33203125" bestFit="1" customWidth="1"/>
    <col min="3074" max="3074" width="2.33203125" customWidth="1"/>
    <col min="3075" max="3079" width="17.6640625" customWidth="1"/>
    <col min="3329" max="3329" width="38.33203125" bestFit="1" customWidth="1"/>
    <col min="3330" max="3330" width="2.33203125" customWidth="1"/>
    <col min="3331" max="3335" width="17.6640625" customWidth="1"/>
    <col min="3585" max="3585" width="38.33203125" bestFit="1" customWidth="1"/>
    <col min="3586" max="3586" width="2.33203125" customWidth="1"/>
    <col min="3587" max="3591" width="17.6640625" customWidth="1"/>
    <col min="3841" max="3841" width="38.33203125" bestFit="1" customWidth="1"/>
    <col min="3842" max="3842" width="2.33203125" customWidth="1"/>
    <col min="3843" max="3847" width="17.6640625" customWidth="1"/>
    <col min="4097" max="4097" width="38.33203125" bestFit="1" customWidth="1"/>
    <col min="4098" max="4098" width="2.33203125" customWidth="1"/>
    <col min="4099" max="4103" width="17.6640625" customWidth="1"/>
    <col min="4353" max="4353" width="38.33203125" bestFit="1" customWidth="1"/>
    <col min="4354" max="4354" width="2.33203125" customWidth="1"/>
    <col min="4355" max="4359" width="17.6640625" customWidth="1"/>
    <col min="4609" max="4609" width="38.33203125" bestFit="1" customWidth="1"/>
    <col min="4610" max="4610" width="2.33203125" customWidth="1"/>
    <col min="4611" max="4615" width="17.6640625" customWidth="1"/>
    <col min="4865" max="4865" width="38.33203125" bestFit="1" customWidth="1"/>
    <col min="4866" max="4866" width="2.33203125" customWidth="1"/>
    <col min="4867" max="4871" width="17.6640625" customWidth="1"/>
    <col min="5121" max="5121" width="38.33203125" bestFit="1" customWidth="1"/>
    <col min="5122" max="5122" width="2.33203125" customWidth="1"/>
    <col min="5123" max="5127" width="17.6640625" customWidth="1"/>
    <col min="5377" max="5377" width="38.33203125" bestFit="1" customWidth="1"/>
    <col min="5378" max="5378" width="2.33203125" customWidth="1"/>
    <col min="5379" max="5383" width="17.6640625" customWidth="1"/>
    <col min="5633" max="5633" width="38.33203125" bestFit="1" customWidth="1"/>
    <col min="5634" max="5634" width="2.33203125" customWidth="1"/>
    <col min="5635" max="5639" width="17.6640625" customWidth="1"/>
    <col min="5889" max="5889" width="38.33203125" bestFit="1" customWidth="1"/>
    <col min="5890" max="5890" width="2.33203125" customWidth="1"/>
    <col min="5891" max="5895" width="17.6640625" customWidth="1"/>
    <col min="6145" max="6145" width="38.33203125" bestFit="1" customWidth="1"/>
    <col min="6146" max="6146" width="2.33203125" customWidth="1"/>
    <col min="6147" max="6151" width="17.6640625" customWidth="1"/>
    <col min="6401" max="6401" width="38.33203125" bestFit="1" customWidth="1"/>
    <col min="6402" max="6402" width="2.33203125" customWidth="1"/>
    <col min="6403" max="6407" width="17.6640625" customWidth="1"/>
    <col min="6657" max="6657" width="38.33203125" bestFit="1" customWidth="1"/>
    <col min="6658" max="6658" width="2.33203125" customWidth="1"/>
    <col min="6659" max="6663" width="17.6640625" customWidth="1"/>
    <col min="6913" max="6913" width="38.33203125" bestFit="1" customWidth="1"/>
    <col min="6914" max="6914" width="2.33203125" customWidth="1"/>
    <col min="6915" max="6919" width="17.6640625" customWidth="1"/>
    <col min="7169" max="7169" width="38.33203125" bestFit="1" customWidth="1"/>
    <col min="7170" max="7170" width="2.33203125" customWidth="1"/>
    <col min="7171" max="7175" width="17.6640625" customWidth="1"/>
    <col min="7425" max="7425" width="38.33203125" bestFit="1" customWidth="1"/>
    <col min="7426" max="7426" width="2.33203125" customWidth="1"/>
    <col min="7427" max="7431" width="17.6640625" customWidth="1"/>
    <col min="7681" max="7681" width="38.33203125" bestFit="1" customWidth="1"/>
    <col min="7682" max="7682" width="2.33203125" customWidth="1"/>
    <col min="7683" max="7687" width="17.6640625" customWidth="1"/>
    <col min="7937" max="7937" width="38.33203125" bestFit="1" customWidth="1"/>
    <col min="7938" max="7938" width="2.33203125" customWidth="1"/>
    <col min="7939" max="7943" width="17.6640625" customWidth="1"/>
    <col min="8193" max="8193" width="38.33203125" bestFit="1" customWidth="1"/>
    <col min="8194" max="8194" width="2.33203125" customWidth="1"/>
    <col min="8195" max="8199" width="17.6640625" customWidth="1"/>
    <col min="8449" max="8449" width="38.33203125" bestFit="1" customWidth="1"/>
    <col min="8450" max="8450" width="2.33203125" customWidth="1"/>
    <col min="8451" max="8455" width="17.6640625" customWidth="1"/>
    <col min="8705" max="8705" width="38.33203125" bestFit="1" customWidth="1"/>
    <col min="8706" max="8706" width="2.33203125" customWidth="1"/>
    <col min="8707" max="8711" width="17.6640625" customWidth="1"/>
    <col min="8961" max="8961" width="38.33203125" bestFit="1" customWidth="1"/>
    <col min="8962" max="8962" width="2.33203125" customWidth="1"/>
    <col min="8963" max="8967" width="17.6640625" customWidth="1"/>
    <col min="9217" max="9217" width="38.33203125" bestFit="1" customWidth="1"/>
    <col min="9218" max="9218" width="2.33203125" customWidth="1"/>
    <col min="9219" max="9223" width="17.6640625" customWidth="1"/>
    <col min="9473" max="9473" width="38.33203125" bestFit="1" customWidth="1"/>
    <col min="9474" max="9474" width="2.33203125" customWidth="1"/>
    <col min="9475" max="9479" width="17.6640625" customWidth="1"/>
    <col min="9729" max="9729" width="38.33203125" bestFit="1" customWidth="1"/>
    <col min="9730" max="9730" width="2.33203125" customWidth="1"/>
    <col min="9731" max="9735" width="17.6640625" customWidth="1"/>
    <col min="9985" max="9985" width="38.33203125" bestFit="1" customWidth="1"/>
    <col min="9986" max="9986" width="2.33203125" customWidth="1"/>
    <col min="9987" max="9991" width="17.6640625" customWidth="1"/>
    <col min="10241" max="10241" width="38.33203125" bestFit="1" customWidth="1"/>
    <col min="10242" max="10242" width="2.33203125" customWidth="1"/>
    <col min="10243" max="10247" width="17.6640625" customWidth="1"/>
    <col min="10497" max="10497" width="38.33203125" bestFit="1" customWidth="1"/>
    <col min="10498" max="10498" width="2.33203125" customWidth="1"/>
    <col min="10499" max="10503" width="17.6640625" customWidth="1"/>
    <col min="10753" max="10753" width="38.33203125" bestFit="1" customWidth="1"/>
    <col min="10754" max="10754" width="2.33203125" customWidth="1"/>
    <col min="10755" max="10759" width="17.6640625" customWidth="1"/>
    <col min="11009" max="11009" width="38.33203125" bestFit="1" customWidth="1"/>
    <col min="11010" max="11010" width="2.33203125" customWidth="1"/>
    <col min="11011" max="11015" width="17.6640625" customWidth="1"/>
    <col min="11265" max="11265" width="38.33203125" bestFit="1" customWidth="1"/>
    <col min="11266" max="11266" width="2.33203125" customWidth="1"/>
    <col min="11267" max="11271" width="17.6640625" customWidth="1"/>
    <col min="11521" max="11521" width="38.33203125" bestFit="1" customWidth="1"/>
    <col min="11522" max="11522" width="2.33203125" customWidth="1"/>
    <col min="11523" max="11527" width="17.6640625" customWidth="1"/>
    <col min="11777" max="11777" width="38.33203125" bestFit="1" customWidth="1"/>
    <col min="11778" max="11778" width="2.33203125" customWidth="1"/>
    <col min="11779" max="11783" width="17.6640625" customWidth="1"/>
    <col min="12033" max="12033" width="38.33203125" bestFit="1" customWidth="1"/>
    <col min="12034" max="12034" width="2.33203125" customWidth="1"/>
    <col min="12035" max="12039" width="17.6640625" customWidth="1"/>
    <col min="12289" max="12289" width="38.33203125" bestFit="1" customWidth="1"/>
    <col min="12290" max="12290" width="2.33203125" customWidth="1"/>
    <col min="12291" max="12295" width="17.6640625" customWidth="1"/>
    <col min="12545" max="12545" width="38.33203125" bestFit="1" customWidth="1"/>
    <col min="12546" max="12546" width="2.33203125" customWidth="1"/>
    <col min="12547" max="12551" width="17.6640625" customWidth="1"/>
    <col min="12801" max="12801" width="38.33203125" bestFit="1" customWidth="1"/>
    <col min="12802" max="12802" width="2.33203125" customWidth="1"/>
    <col min="12803" max="12807" width="17.6640625" customWidth="1"/>
    <col min="13057" max="13057" width="38.33203125" bestFit="1" customWidth="1"/>
    <col min="13058" max="13058" width="2.33203125" customWidth="1"/>
    <col min="13059" max="13063" width="17.6640625" customWidth="1"/>
    <col min="13313" max="13313" width="38.33203125" bestFit="1" customWidth="1"/>
    <col min="13314" max="13314" width="2.33203125" customWidth="1"/>
    <col min="13315" max="13319" width="17.6640625" customWidth="1"/>
    <col min="13569" max="13569" width="38.33203125" bestFit="1" customWidth="1"/>
    <col min="13570" max="13570" width="2.33203125" customWidth="1"/>
    <col min="13571" max="13575" width="17.6640625" customWidth="1"/>
    <col min="13825" max="13825" width="38.33203125" bestFit="1" customWidth="1"/>
    <col min="13826" max="13826" width="2.33203125" customWidth="1"/>
    <col min="13827" max="13831" width="17.6640625" customWidth="1"/>
    <col min="14081" max="14081" width="38.33203125" bestFit="1" customWidth="1"/>
    <col min="14082" max="14082" width="2.33203125" customWidth="1"/>
    <col min="14083" max="14087" width="17.6640625" customWidth="1"/>
    <col min="14337" max="14337" width="38.33203125" bestFit="1" customWidth="1"/>
    <col min="14338" max="14338" width="2.33203125" customWidth="1"/>
    <col min="14339" max="14343" width="17.6640625" customWidth="1"/>
    <col min="14593" max="14593" width="38.33203125" bestFit="1" customWidth="1"/>
    <col min="14594" max="14594" width="2.33203125" customWidth="1"/>
    <col min="14595" max="14599" width="17.6640625" customWidth="1"/>
    <col min="14849" max="14849" width="38.33203125" bestFit="1" customWidth="1"/>
    <col min="14850" max="14850" width="2.33203125" customWidth="1"/>
    <col min="14851" max="14855" width="17.6640625" customWidth="1"/>
    <col min="15105" max="15105" width="38.33203125" bestFit="1" customWidth="1"/>
    <col min="15106" max="15106" width="2.33203125" customWidth="1"/>
    <col min="15107" max="15111" width="17.6640625" customWidth="1"/>
    <col min="15361" max="15361" width="38.33203125" bestFit="1" customWidth="1"/>
    <col min="15362" max="15362" width="2.33203125" customWidth="1"/>
    <col min="15363" max="15367" width="17.6640625" customWidth="1"/>
    <col min="15617" max="15617" width="38.33203125" bestFit="1" customWidth="1"/>
    <col min="15618" max="15618" width="2.33203125" customWidth="1"/>
    <col min="15619" max="15623" width="17.6640625" customWidth="1"/>
    <col min="15873" max="15873" width="38.33203125" bestFit="1" customWidth="1"/>
    <col min="15874" max="15874" width="2.33203125" customWidth="1"/>
    <col min="15875" max="15879" width="17.6640625" customWidth="1"/>
    <col min="16129" max="16129" width="38.33203125" bestFit="1" customWidth="1"/>
    <col min="16130" max="16130" width="2.33203125" customWidth="1"/>
    <col min="16131" max="16135" width="17.6640625" customWidth="1"/>
  </cols>
  <sheetData>
    <row r="1" spans="1:9" ht="15" thickBot="1"/>
    <row r="2" spans="1:9" ht="16.2" thickBot="1">
      <c r="A2" s="89" t="s">
        <v>9220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95"/>
      <c r="B4" s="93"/>
      <c r="C4" s="93"/>
      <c r="E4" s="62" t="s">
        <v>1912</v>
      </c>
      <c r="F4" s="96"/>
      <c r="G4" s="97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 t="s">
        <v>1922</v>
      </c>
      <c r="F8" s="99"/>
      <c r="G8" s="100"/>
    </row>
    <row r="9" spans="1:9">
      <c r="A9" s="39" t="s">
        <v>1923</v>
      </c>
      <c r="C9" s="29"/>
      <c r="D9" s="29"/>
      <c r="E9" s="299">
        <v>1.0294015291242546</v>
      </c>
      <c r="F9" s="299">
        <v>1.0171335150046763</v>
      </c>
      <c r="G9" s="300">
        <v>1.019293889277948</v>
      </c>
      <c r="I9" s="29" t="s">
        <v>116</v>
      </c>
    </row>
    <row r="10" spans="1:9">
      <c r="A10" s="39" t="s">
        <v>1924</v>
      </c>
      <c r="C10" s="29"/>
      <c r="D10" s="301">
        <v>0.97971673809294546</v>
      </c>
      <c r="E10" s="301">
        <v>0.99473450767531058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2225.3462503073829</v>
      </c>
      <c r="D13" s="304">
        <v>2225.3462503073829</v>
      </c>
      <c r="E13" s="304">
        <v>2290.7748328973462</v>
      </c>
      <c r="F13" s="304">
        <v>2330.0238578691278</v>
      </c>
      <c r="G13" s="305">
        <v>2374.979080197832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156.50308224349089</v>
      </c>
      <c r="D16" s="308">
        <v>156.50308224349089</v>
      </c>
      <c r="E16" s="308">
        <v>161.10451217410852</v>
      </c>
      <c r="F16" s="308">
        <v>163.86479875076466</v>
      </c>
      <c r="G16" s="309">
        <v>167.02638803441513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1.8326673849006787E-2</v>
      </c>
      <c r="D18" s="310">
        <v>1.7954949123442216E-2</v>
      </c>
      <c r="E18" s="308">
        <v>1.8326673849006787E-2</v>
      </c>
      <c r="F18" s="308">
        <v>1.8640674190384555E-2</v>
      </c>
      <c r="G18" s="309">
        <v>1.9000325294280137E-2</v>
      </c>
    </row>
    <row r="19" spans="1:7">
      <c r="A19" s="39" t="s">
        <v>1931</v>
      </c>
      <c r="B19" s="96"/>
      <c r="C19" s="308">
        <v>2.4087752062057294E-2</v>
      </c>
      <c r="D19" s="306"/>
      <c r="E19" s="308">
        <v>2.4087752062057294E-2</v>
      </c>
      <c r="F19" s="308">
        <v>2.4500459923441475E-2</v>
      </c>
      <c r="G19" s="309">
        <v>2.4973169084463155E-2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156.54549666940196</v>
      </c>
      <c r="D21" s="312">
        <v>156.52103719261433</v>
      </c>
      <c r="E21" s="312">
        <v>161.14692660001958</v>
      </c>
      <c r="F21" s="312">
        <v>163.90793988487849</v>
      </c>
      <c r="G21" s="313">
        <v>167.07036152879388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1010.9849716721159</v>
      </c>
      <c r="D24" s="308">
        <v>1010.9849716721159</v>
      </c>
      <c r="E24" s="308">
        <v>1040.7094757609173</v>
      </c>
      <c r="F24" s="308">
        <v>1058.5404871793758</v>
      </c>
      <c r="G24" s="309">
        <v>1078.9638501352397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21.248345441980888</v>
      </c>
      <c r="D26" s="308">
        <v>20.81735968628962</v>
      </c>
      <c r="E26" s="308">
        <v>21.248345441980888</v>
      </c>
      <c r="F26" s="308">
        <v>21.612404287435613</v>
      </c>
      <c r="G26" s="309">
        <v>22.029391622787642</v>
      </c>
    </row>
    <row r="27" spans="1:7">
      <c r="A27" s="39" t="s">
        <v>1931</v>
      </c>
      <c r="B27" s="96"/>
      <c r="C27" s="308">
        <v>8.7815631795345759</v>
      </c>
      <c r="D27" s="306"/>
      <c r="E27" s="308">
        <v>8.7815631795345759</v>
      </c>
      <c r="F27" s="308">
        <v>8.9320222240356451</v>
      </c>
      <c r="G27" s="309">
        <v>9.1043556718543588</v>
      </c>
    </row>
    <row r="28" spans="1:7">
      <c r="A28" s="39" t="s">
        <v>1932</v>
      </c>
      <c r="B28" s="96"/>
      <c r="C28" s="308">
        <v>7.8767349799227886E-3</v>
      </c>
      <c r="D28" s="306"/>
      <c r="E28" s="308">
        <v>7.8767349799227886E-3</v>
      </c>
      <c r="F28" s="308">
        <v>8.0116911368891541E-3</v>
      </c>
      <c r="G28" s="309">
        <v>8.1662678186134111E-3</v>
      </c>
    </row>
    <row r="29" spans="1:7">
      <c r="A29" s="39" t="s">
        <v>1935</v>
      </c>
      <c r="B29" s="96"/>
      <c r="C29" s="308">
        <v>3.6776853163009104E-2</v>
      </c>
      <c r="D29" s="306"/>
      <c r="E29" s="308">
        <v>3.6583204924953053E-2</v>
      </c>
      <c r="F29" s="308">
        <v>3.6776853163009104E-2</v>
      </c>
      <c r="G29" s="309">
        <v>3.7486421695927551E-2</v>
      </c>
    </row>
    <row r="30" spans="1:7">
      <c r="A30" s="39" t="s">
        <v>1936</v>
      </c>
      <c r="B30" s="96"/>
      <c r="C30" s="308">
        <v>8.5837015767015148E-2</v>
      </c>
      <c r="D30" s="306"/>
      <c r="E30" s="306"/>
      <c r="F30" s="308">
        <v>8.5837015767015148E-2</v>
      </c>
      <c r="G30" s="309">
        <v>8.7493145645173409E-2</v>
      </c>
    </row>
    <row r="31" spans="1:7">
      <c r="A31" s="39" t="s">
        <v>1933</v>
      </c>
      <c r="B31" s="96"/>
      <c r="C31" s="311">
        <v>1041.1453708975412</v>
      </c>
      <c r="D31" s="312">
        <v>1031.8023313584056</v>
      </c>
      <c r="E31" s="312">
        <v>1070.7838443223375</v>
      </c>
      <c r="F31" s="312">
        <v>1089.2155392509139</v>
      </c>
      <c r="G31" s="313">
        <v>1110.2307432650414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9.7971673809294548E-5</v>
      </c>
      <c r="E34" s="308">
        <v>1E-4</v>
      </c>
      <c r="F34" s="308">
        <v>1.0171335150046764E-4</v>
      </c>
      <c r="G34" s="309">
        <v>1.0367579764240666E-4</v>
      </c>
    </row>
    <row r="35" spans="1:7">
      <c r="A35" s="39" t="s">
        <v>1931</v>
      </c>
      <c r="B35" s="96"/>
      <c r="C35" s="308">
        <v>117.08448266103528</v>
      </c>
      <c r="D35" s="306"/>
      <c r="E35" s="308">
        <v>117.08448266103528</v>
      </c>
      <c r="F35" s="308">
        <v>119.09055140152289</v>
      </c>
      <c r="G35" s="309">
        <v>121.38827131431364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1.0171335150046764E-4</v>
      </c>
      <c r="G36" s="309">
        <v>1.0367579764240666E-4</v>
      </c>
    </row>
    <row r="37" spans="1:7">
      <c r="A37" s="39" t="s">
        <v>1935</v>
      </c>
      <c r="B37" s="96"/>
      <c r="C37" s="308">
        <v>1E-4</v>
      </c>
      <c r="D37" s="306"/>
      <c r="E37" s="308">
        <v>9.9473450767531064E-5</v>
      </c>
      <c r="F37" s="308">
        <v>1E-4</v>
      </c>
      <c r="G37" s="309">
        <v>1.019293889277948E-4</v>
      </c>
    </row>
    <row r="38" spans="1:7">
      <c r="A38" s="39" t="s">
        <v>1936</v>
      </c>
      <c r="B38" s="96"/>
      <c r="C38" s="308">
        <v>85.495517338964731</v>
      </c>
      <c r="D38" s="306"/>
      <c r="E38" s="306"/>
      <c r="F38" s="308">
        <v>85.495517338964731</v>
      </c>
      <c r="G38" s="309">
        <v>87.145058384263592</v>
      </c>
    </row>
    <row r="39" spans="1:7">
      <c r="A39" s="39" t="s">
        <v>1933</v>
      </c>
      <c r="B39" s="96"/>
      <c r="C39" s="311">
        <v>202.58030000000002</v>
      </c>
      <c r="D39" s="312">
        <v>9.7971673809294548E-5</v>
      </c>
      <c r="E39" s="312">
        <v>117.08478213448606</v>
      </c>
      <c r="F39" s="312">
        <v>204.58637216719063</v>
      </c>
      <c r="G39" s="313">
        <v>208.53363897956146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11.4184</v>
      </c>
      <c r="D42" s="304">
        <v>11.4184</v>
      </c>
      <c r="E42" s="304">
        <v>11.754118420152389</v>
      </c>
      <c r="F42" s="304">
        <v>11.955507784470813</v>
      </c>
      <c r="G42" s="305">
        <v>12.186176027926038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3404.2527042229899</v>
      </c>
      <c r="D45" s="306">
        <v>3404.2527042229899</v>
      </c>
      <c r="E45" s="306">
        <v>3504.3429392525245</v>
      </c>
      <c r="F45" s="306">
        <v>3564.384651583739</v>
      </c>
      <c r="G45" s="307">
        <v>3633.1554943954129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21.266772115829895</v>
      </c>
      <c r="D47" s="306">
        <v>20.835412607086873</v>
      </c>
      <c r="E47" s="306">
        <v>21.266772115829895</v>
      </c>
      <c r="F47" s="306">
        <v>21.631146674977497</v>
      </c>
      <c r="G47" s="307">
        <v>22.048495623879564</v>
      </c>
    </row>
    <row r="48" spans="1:7">
      <c r="A48" s="39" t="s">
        <v>1931</v>
      </c>
      <c r="C48" s="306">
        <v>125.89013359263191</v>
      </c>
      <c r="D48" s="306">
        <v>0</v>
      </c>
      <c r="E48" s="306">
        <v>125.89013359263191</v>
      </c>
      <c r="F48" s="306">
        <v>128.04707408548197</v>
      </c>
      <c r="G48" s="307">
        <v>130.51760015525247</v>
      </c>
    </row>
    <row r="49" spans="1:7">
      <c r="A49" s="39" t="s">
        <v>1932</v>
      </c>
      <c r="C49" s="306">
        <v>7.976734979922788E-3</v>
      </c>
      <c r="D49" s="306">
        <v>0</v>
      </c>
      <c r="E49" s="306">
        <v>7.976734979922788E-3</v>
      </c>
      <c r="F49" s="306">
        <v>8.1134044883896216E-3</v>
      </c>
      <c r="G49" s="307">
        <v>8.2699436162558173E-3</v>
      </c>
    </row>
    <row r="50" spans="1:7">
      <c r="A50" s="39" t="s">
        <v>1935</v>
      </c>
      <c r="C50" s="306">
        <v>3.6876853163009107E-2</v>
      </c>
      <c r="D50" s="306">
        <v>0</v>
      </c>
      <c r="E50" s="306">
        <v>3.6682678375720583E-2</v>
      </c>
      <c r="F50" s="306">
        <v>3.6876853163009107E-2</v>
      </c>
      <c r="G50" s="307">
        <v>3.7588351084855344E-2</v>
      </c>
    </row>
    <row r="51" spans="1:7" ht="15" thickBot="1">
      <c r="A51" s="39" t="s">
        <v>1936</v>
      </c>
      <c r="C51" s="306">
        <v>85.581354354731744</v>
      </c>
      <c r="D51" s="306">
        <v>0</v>
      </c>
      <c r="E51" s="306">
        <v>0</v>
      </c>
      <c r="F51" s="306">
        <v>85.581354354731744</v>
      </c>
      <c r="G51" s="307">
        <v>87.232551529908761</v>
      </c>
    </row>
    <row r="52" spans="1:7" ht="15" thickBot="1">
      <c r="A52" s="39" t="s">
        <v>115</v>
      </c>
      <c r="C52" s="314">
        <v>3637.0358178743268</v>
      </c>
      <c r="D52" s="315">
        <v>3425.0881168300766</v>
      </c>
      <c r="E52" s="315">
        <v>3651.5445043743421</v>
      </c>
      <c r="F52" s="315">
        <v>3799.6892169565822</v>
      </c>
      <c r="G52" s="316">
        <v>3872.9999999991546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100.09023502953465</v>
      </c>
      <c r="E54" s="306">
        <v>62.563164052720701</v>
      </c>
      <c r="F54" s="306">
        <v>73.310783042573092</v>
      </c>
      <c r="G54" s="307">
        <v>235.96418212482845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3637.0358178743268</v>
      </c>
      <c r="D66" s="315">
        <v>3425.0881168300766</v>
      </c>
      <c r="E66" s="315">
        <v>3651.5445043743421</v>
      </c>
      <c r="F66" s="315">
        <v>3799.6892169565822</v>
      </c>
      <c r="G66" s="316">
        <v>3872.9999999991546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100.09023502953465</v>
      </c>
      <c r="E68" s="318">
        <v>62.563164052720701</v>
      </c>
      <c r="F68" s="318">
        <v>73.310783042573092</v>
      </c>
      <c r="G68" s="319">
        <v>235.96418212482845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9221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95"/>
      <c r="B72" s="93"/>
      <c r="C72" s="93"/>
      <c r="E72" s="62" t="s">
        <v>1912</v>
      </c>
      <c r="F72" s="96"/>
      <c r="G72" s="97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 t="s">
        <v>1922</v>
      </c>
      <c r="F76" s="99"/>
      <c r="G76" s="100"/>
    </row>
    <row r="77" spans="1:7">
      <c r="A77" s="39" t="s">
        <v>1923</v>
      </c>
      <c r="C77" s="29"/>
      <c r="D77" s="29"/>
      <c r="E77" s="299">
        <v>1.0294015291242546</v>
      </c>
      <c r="F77" s="299">
        <v>1.0171335150046763</v>
      </c>
      <c r="G77" s="300">
        <v>1.019293889277948</v>
      </c>
    </row>
    <row r="78" spans="1:7">
      <c r="A78" s="39" t="s">
        <v>1924</v>
      </c>
      <c r="C78" s="29"/>
      <c r="D78" s="301">
        <v>0.97971673809294546</v>
      </c>
      <c r="E78" s="301">
        <v>0.99473450767531058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2225.3462503073829</v>
      </c>
      <c r="D81" s="304">
        <v>2225.3462503073829</v>
      </c>
      <c r="E81" s="304">
        <v>2290.7748328973462</v>
      </c>
      <c r="F81" s="304">
        <v>2330.0238578691278</v>
      </c>
      <c r="G81" s="305">
        <v>2374.979080197832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156.50308224349089</v>
      </c>
      <c r="D84" s="308">
        <v>156.50308224349089</v>
      </c>
      <c r="E84" s="308">
        <v>161.10451217410852</v>
      </c>
      <c r="F84" s="308">
        <v>163.86479875076466</v>
      </c>
      <c r="G84" s="309">
        <v>167.02638803441513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1.8326673849006787E-2</v>
      </c>
      <c r="D86" s="310">
        <v>1.7954949123442216E-2</v>
      </c>
      <c r="E86" s="308">
        <v>1.8326673849006787E-2</v>
      </c>
      <c r="F86" s="308">
        <v>1.8640674190384555E-2</v>
      </c>
      <c r="G86" s="309">
        <v>1.9000325294280137E-2</v>
      </c>
    </row>
    <row r="87" spans="1:7">
      <c r="A87" s="39" t="s">
        <v>1931</v>
      </c>
      <c r="B87" s="96"/>
      <c r="C87" s="308">
        <v>2.4087752062057294E-2</v>
      </c>
      <c r="D87" s="306"/>
      <c r="E87" s="308">
        <v>2.4087752062057294E-2</v>
      </c>
      <c r="F87" s="308">
        <v>2.4500459923441475E-2</v>
      </c>
      <c r="G87" s="309">
        <v>2.4973169084463155E-2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156.54549666940196</v>
      </c>
      <c r="D89" s="312">
        <v>156.52103719261433</v>
      </c>
      <c r="E89" s="312">
        <v>161.14692660001958</v>
      </c>
      <c r="F89" s="312">
        <v>163.90793988487849</v>
      </c>
      <c r="G89" s="313">
        <v>167.07036152879388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1010.9849716721159</v>
      </c>
      <c r="D92" s="308">
        <v>1010.9849716721159</v>
      </c>
      <c r="E92" s="308">
        <v>1040.7094757609173</v>
      </c>
      <c r="F92" s="308">
        <v>1058.5404871793758</v>
      </c>
      <c r="G92" s="309">
        <v>1078.9638501352397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21.248345441980888</v>
      </c>
      <c r="D94" s="308">
        <v>20.81735968628962</v>
      </c>
      <c r="E94" s="308">
        <v>21.248345441980888</v>
      </c>
      <c r="F94" s="308">
        <v>21.612404287435613</v>
      </c>
      <c r="G94" s="309">
        <v>22.029391622787642</v>
      </c>
    </row>
    <row r="95" spans="1:7">
      <c r="A95" s="39" t="s">
        <v>1931</v>
      </c>
      <c r="B95" s="96"/>
      <c r="C95" s="308">
        <v>8.7815631795345759</v>
      </c>
      <c r="D95" s="306"/>
      <c r="E95" s="308">
        <v>8.7815631795345759</v>
      </c>
      <c r="F95" s="308">
        <v>8.9320222240356451</v>
      </c>
      <c r="G95" s="309">
        <v>9.1043556718543588</v>
      </c>
    </row>
    <row r="96" spans="1:7">
      <c r="A96" s="39" t="s">
        <v>1932</v>
      </c>
      <c r="B96" s="96"/>
      <c r="C96" s="308">
        <v>7.8767349799227886E-3</v>
      </c>
      <c r="D96" s="306"/>
      <c r="E96" s="308">
        <v>7.8767349799227886E-3</v>
      </c>
      <c r="F96" s="308">
        <v>8.0116911368891541E-3</v>
      </c>
      <c r="G96" s="309">
        <v>8.1662678186134111E-3</v>
      </c>
    </row>
    <row r="97" spans="1:7">
      <c r="A97" s="39" t="s">
        <v>1935</v>
      </c>
      <c r="B97" s="96"/>
      <c r="C97" s="308">
        <v>3.6776853163009104E-2</v>
      </c>
      <c r="D97" s="306"/>
      <c r="E97" s="308">
        <v>3.6583204924953053E-2</v>
      </c>
      <c r="F97" s="308">
        <v>3.6776853163009104E-2</v>
      </c>
      <c r="G97" s="309">
        <v>3.7486421695927551E-2</v>
      </c>
    </row>
    <row r="98" spans="1:7">
      <c r="A98" s="39" t="s">
        <v>1936</v>
      </c>
      <c r="B98" s="96"/>
      <c r="C98" s="308">
        <v>8.5837015767015148E-2</v>
      </c>
      <c r="D98" s="306"/>
      <c r="E98" s="306"/>
      <c r="F98" s="308">
        <v>8.5837015767015148E-2</v>
      </c>
      <c r="G98" s="309">
        <v>8.7493145645173409E-2</v>
      </c>
    </row>
    <row r="99" spans="1:7">
      <c r="A99" s="39" t="s">
        <v>1933</v>
      </c>
      <c r="B99" s="96"/>
      <c r="C99" s="311">
        <v>1041.1453708975412</v>
      </c>
      <c r="D99" s="312">
        <v>1031.8023313584056</v>
      </c>
      <c r="E99" s="312">
        <v>1070.7838443223375</v>
      </c>
      <c r="F99" s="312">
        <v>1089.2155392509139</v>
      </c>
      <c r="G99" s="313">
        <v>1110.2307432650414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9.7971673809294548E-5</v>
      </c>
      <c r="E102" s="308">
        <v>1E-4</v>
      </c>
      <c r="F102" s="308">
        <v>1.0171335150046764E-4</v>
      </c>
      <c r="G102" s="309">
        <v>1.0367579764240666E-4</v>
      </c>
    </row>
    <row r="103" spans="1:7">
      <c r="A103" s="39" t="s">
        <v>1931</v>
      </c>
      <c r="B103" s="96"/>
      <c r="C103" s="308">
        <v>117.08448266103528</v>
      </c>
      <c r="D103" s="306"/>
      <c r="E103" s="308">
        <v>117.08448266103528</v>
      </c>
      <c r="F103" s="308">
        <v>119.09055140152289</v>
      </c>
      <c r="G103" s="309">
        <v>121.38827131431364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1.0171335150046764E-4</v>
      </c>
      <c r="G104" s="309">
        <v>1.0367579764240666E-4</v>
      </c>
    </row>
    <row r="105" spans="1:7">
      <c r="A105" s="39" t="s">
        <v>1935</v>
      </c>
      <c r="B105" s="96"/>
      <c r="C105" s="308">
        <v>1E-4</v>
      </c>
      <c r="D105" s="306"/>
      <c r="E105" s="308">
        <v>9.9473450767531064E-5</v>
      </c>
      <c r="F105" s="308">
        <v>1E-4</v>
      </c>
      <c r="G105" s="309">
        <v>1.019293889277948E-4</v>
      </c>
    </row>
    <row r="106" spans="1:7">
      <c r="A106" s="39" t="s">
        <v>1936</v>
      </c>
      <c r="B106" s="96"/>
      <c r="C106" s="308">
        <v>85.495517338964731</v>
      </c>
      <c r="D106" s="306"/>
      <c r="E106" s="306"/>
      <c r="F106" s="308">
        <v>85.495517338964731</v>
      </c>
      <c r="G106" s="309">
        <v>87.145058384263592</v>
      </c>
    </row>
    <row r="107" spans="1:7">
      <c r="A107" s="39" t="s">
        <v>1933</v>
      </c>
      <c r="B107" s="96"/>
      <c r="C107" s="311">
        <v>202.58030000000002</v>
      </c>
      <c r="D107" s="312">
        <v>9.7971673809294548E-5</v>
      </c>
      <c r="E107" s="312">
        <v>117.08478213448606</v>
      </c>
      <c r="F107" s="312">
        <v>204.58637216719063</v>
      </c>
      <c r="G107" s="313">
        <v>208.53363897956146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11.4184</v>
      </c>
      <c r="D110" s="304">
        <v>11.4184</v>
      </c>
      <c r="E110" s="304">
        <v>11.754118420152389</v>
      </c>
      <c r="F110" s="304">
        <v>11.955507784470813</v>
      </c>
      <c r="G110" s="305">
        <v>12.186176027926038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3404.2527042229899</v>
      </c>
      <c r="D113" s="306">
        <v>3404.2527042229899</v>
      </c>
      <c r="E113" s="306">
        <v>3504.3429392525245</v>
      </c>
      <c r="F113" s="306">
        <v>3564.384651583739</v>
      </c>
      <c r="G113" s="307">
        <v>3633.1554943954129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21.266772115829895</v>
      </c>
      <c r="D115" s="306">
        <v>20.835412607086873</v>
      </c>
      <c r="E115" s="306">
        <v>21.266772115829895</v>
      </c>
      <c r="F115" s="306">
        <v>21.631146674977497</v>
      </c>
      <c r="G115" s="307">
        <v>22.048495623879564</v>
      </c>
    </row>
    <row r="116" spans="1:7">
      <c r="A116" s="39" t="s">
        <v>1931</v>
      </c>
      <c r="C116" s="306">
        <v>125.89013359263191</v>
      </c>
      <c r="D116" s="306">
        <v>0</v>
      </c>
      <c r="E116" s="306">
        <v>125.89013359263191</v>
      </c>
      <c r="F116" s="306">
        <v>128.04707408548197</v>
      </c>
      <c r="G116" s="307">
        <v>130.51760015525247</v>
      </c>
    </row>
    <row r="117" spans="1:7">
      <c r="A117" s="39" t="s">
        <v>1932</v>
      </c>
      <c r="C117" s="306">
        <v>7.976734979922788E-3</v>
      </c>
      <c r="D117" s="306">
        <v>0</v>
      </c>
      <c r="E117" s="306">
        <v>7.976734979922788E-3</v>
      </c>
      <c r="F117" s="306">
        <v>8.1134044883896216E-3</v>
      </c>
      <c r="G117" s="307">
        <v>8.2699436162558173E-3</v>
      </c>
    </row>
    <row r="118" spans="1:7">
      <c r="A118" s="39" t="s">
        <v>1935</v>
      </c>
      <c r="C118" s="306">
        <v>3.6876853163009107E-2</v>
      </c>
      <c r="D118" s="306">
        <v>0</v>
      </c>
      <c r="E118" s="306">
        <v>3.6682678375720583E-2</v>
      </c>
      <c r="F118" s="306">
        <v>3.6876853163009107E-2</v>
      </c>
      <c r="G118" s="307">
        <v>3.7588351084855344E-2</v>
      </c>
    </row>
    <row r="119" spans="1:7" ht="15" thickBot="1">
      <c r="A119" s="39" t="s">
        <v>1936</v>
      </c>
      <c r="C119" s="306">
        <v>85.581354354731744</v>
      </c>
      <c r="D119" s="306">
        <v>0</v>
      </c>
      <c r="E119" s="306">
        <v>0</v>
      </c>
      <c r="F119" s="306">
        <v>85.581354354731744</v>
      </c>
      <c r="G119" s="307">
        <v>87.232551529908761</v>
      </c>
    </row>
    <row r="120" spans="1:7" ht="15" thickBot="1">
      <c r="A120" s="39" t="s">
        <v>115</v>
      </c>
      <c r="C120" s="314">
        <v>3637.0358178743268</v>
      </c>
      <c r="D120" s="315">
        <v>3425.0881168300766</v>
      </c>
      <c r="E120" s="315">
        <v>3651.5445043743421</v>
      </c>
      <c r="F120" s="315">
        <v>3799.6892169565822</v>
      </c>
      <c r="G120" s="316">
        <v>3872.9999999991546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100.09023502953465</v>
      </c>
      <c r="E122" s="306">
        <v>62.563164052720701</v>
      </c>
      <c r="F122" s="306">
        <v>73.310783042573092</v>
      </c>
      <c r="G122" s="307">
        <v>235.96418212482845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3637.0358178743268</v>
      </c>
      <c r="D134" s="315">
        <v>3425.0881168300766</v>
      </c>
      <c r="E134" s="315">
        <v>3651.5445043743421</v>
      </c>
      <c r="F134" s="315">
        <v>3799.6892169565822</v>
      </c>
      <c r="G134" s="316">
        <v>3872.9999999991546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100.09023502953465</v>
      </c>
      <c r="E136" s="318">
        <v>62.563164052720701</v>
      </c>
      <c r="F136" s="318">
        <v>73.310783042573092</v>
      </c>
      <c r="G136" s="319">
        <v>235.96418212482845</v>
      </c>
    </row>
    <row r="137" spans="1:7" ht="15" thickBot="1"/>
    <row r="138" spans="1:7" ht="15" thickBot="1">
      <c r="A138" s="105" t="s">
        <v>9222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95"/>
      <c r="B140" s="93"/>
      <c r="C140" s="93"/>
      <c r="E140" s="62" t="s">
        <v>1912</v>
      </c>
      <c r="F140" s="96"/>
      <c r="G140" s="97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 t="s">
        <v>1922</v>
      </c>
      <c r="F144" s="99"/>
      <c r="G144" s="100"/>
    </row>
    <row r="145" spans="1:7">
      <c r="A145" s="39" t="s">
        <v>1923</v>
      </c>
      <c r="C145" s="29"/>
      <c r="D145" s="29"/>
      <c r="E145" s="299">
        <v>1.0297457556205851</v>
      </c>
      <c r="F145" s="299">
        <v>1.0168459579756162</v>
      </c>
      <c r="G145" s="300">
        <v>1.0190281841680946</v>
      </c>
    </row>
    <row r="146" spans="1:7">
      <c r="A146" s="39" t="s">
        <v>1924</v>
      </c>
      <c r="C146" s="29"/>
      <c r="D146" s="301">
        <v>0.97939638629388692</v>
      </c>
      <c r="E146" s="301">
        <v>0.99468107026643582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2196.9992235204659</v>
      </c>
      <c r="D149" s="304">
        <v>2196.9992235204659</v>
      </c>
      <c r="E149" s="304">
        <v>2262.3506255219208</v>
      </c>
      <c r="F149" s="304">
        <v>2300.4620890855722</v>
      </c>
      <c r="G149" s="305">
        <v>2344.235705388412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156.01961327004108</v>
      </c>
      <c r="D152" s="308">
        <v>156.01961327004108</v>
      </c>
      <c r="E152" s="308">
        <v>160.66053455838991</v>
      </c>
      <c r="F152" s="308">
        <v>163.36701517190059</v>
      </c>
      <c r="G152" s="309">
        <v>166.47559282358341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1.827005912892898E-2</v>
      </c>
      <c r="D154" s="310">
        <v>1.7893629888248684E-2</v>
      </c>
      <c r="E154" s="308">
        <v>1.827005912892898E-2</v>
      </c>
      <c r="F154" s="308">
        <v>1.857783577722694E-2</v>
      </c>
      <c r="G154" s="309">
        <v>1.893133825784063E-2</v>
      </c>
    </row>
    <row r="155" spans="1:7">
      <c r="A155" s="39" t="s">
        <v>1931</v>
      </c>
      <c r="B155" s="96"/>
      <c r="C155" s="308">
        <v>2.4013340231982035E-2</v>
      </c>
      <c r="D155" s="306"/>
      <c r="E155" s="308">
        <v>2.4013340231982035E-2</v>
      </c>
      <c r="F155" s="308">
        <v>2.4417867952384178E-2</v>
      </c>
      <c r="G155" s="309">
        <v>2.4882495640774358E-2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156.06189666940199</v>
      </c>
      <c r="D157" s="312">
        <v>156.03750689992933</v>
      </c>
      <c r="E157" s="312">
        <v>160.70281795775082</v>
      </c>
      <c r="F157" s="312">
        <v>163.41001087563021</v>
      </c>
      <c r="G157" s="313">
        <v>166.51940665748202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922.36869141282807</v>
      </c>
      <c r="D160" s="308">
        <v>922.36869141282807</v>
      </c>
      <c r="E160" s="308">
        <v>949.8052450996729</v>
      </c>
      <c r="F160" s="308">
        <v>965.80562434364185</v>
      </c>
      <c r="G160" s="309">
        <v>984.18315163423426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19.223733178925471</v>
      </c>
      <c r="D162" s="308">
        <v>18.827654806517501</v>
      </c>
      <c r="E162" s="308">
        <v>19.223733178925471</v>
      </c>
      <c r="F162" s="308">
        <v>19.547575380192107</v>
      </c>
      <c r="G162" s="309">
        <v>19.919530244566115</v>
      </c>
    </row>
    <row r="163" spans="1:7">
      <c r="A163" s="39" t="s">
        <v>1931</v>
      </c>
      <c r="B163" s="96"/>
      <c r="C163" s="308">
        <v>7.9448269475004958</v>
      </c>
      <c r="D163" s="306"/>
      <c r="E163" s="308">
        <v>7.9448269475004958</v>
      </c>
      <c r="F163" s="308">
        <v>8.0786651683816313</v>
      </c>
      <c r="G163" s="309">
        <v>8.2323874970379673</v>
      </c>
    </row>
    <row r="164" spans="1:7">
      <c r="A164" s="39" t="s">
        <v>1932</v>
      </c>
      <c r="B164" s="96"/>
      <c r="C164" s="308">
        <v>7.1262137557298825E-3</v>
      </c>
      <c r="D164" s="306"/>
      <c r="E164" s="308">
        <v>7.1262137557298825E-3</v>
      </c>
      <c r="F164" s="308">
        <v>7.246261653184166E-3</v>
      </c>
      <c r="G164" s="309">
        <v>7.3841448544511561E-3</v>
      </c>
    </row>
    <row r="165" spans="1:7">
      <c r="A165" s="39" t="s">
        <v>1935</v>
      </c>
      <c r="B165" s="96"/>
      <c r="C165" s="308">
        <v>3.3272633593832375E-2</v>
      </c>
      <c r="D165" s="306"/>
      <c r="E165" s="308">
        <v>3.309565879369615E-2</v>
      </c>
      <c r="F165" s="308">
        <v>3.3272633593832375E-2</v>
      </c>
      <c r="G165" s="309">
        <v>3.3905751393613348E-2</v>
      </c>
    </row>
    <row r="166" spans="1:7">
      <c r="A166" s="39" t="s">
        <v>1936</v>
      </c>
      <c r="B166" s="96"/>
      <c r="C166" s="308">
        <v>7.7658182491713357E-2</v>
      </c>
      <c r="D166" s="306"/>
      <c r="E166" s="306"/>
      <c r="F166" s="308">
        <v>7.7658182491713357E-2</v>
      </c>
      <c r="G166" s="309">
        <v>7.913587669032518E-2</v>
      </c>
    </row>
    <row r="167" spans="1:7">
      <c r="A167" s="39" t="s">
        <v>1933</v>
      </c>
      <c r="B167" s="96"/>
      <c r="C167" s="311">
        <v>949.65530856909538</v>
      </c>
      <c r="D167" s="312">
        <v>941.19634621934551</v>
      </c>
      <c r="E167" s="312">
        <v>977.0140270986484</v>
      </c>
      <c r="F167" s="312">
        <v>993.55004196995435</v>
      </c>
      <c r="G167" s="313">
        <v>1012.4554951487767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9.7939638629388696E-5</v>
      </c>
      <c r="E170" s="308">
        <v>1E-4</v>
      </c>
      <c r="F170" s="308">
        <v>1.0168459579756162E-4</v>
      </c>
      <c r="G170" s="309">
        <v>1.0361946901345588E-4</v>
      </c>
    </row>
    <row r="171" spans="1:7">
      <c r="A171" s="39" t="s">
        <v>1931</v>
      </c>
      <c r="B171" s="96"/>
      <c r="C171" s="308">
        <v>117.08448266103528</v>
      </c>
      <c r="D171" s="306"/>
      <c r="E171" s="308">
        <v>117.08448266103528</v>
      </c>
      <c r="F171" s="308">
        <v>119.05688293553985</v>
      </c>
      <c r="G171" s="309">
        <v>121.32231923051658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1.0168459579756162E-4</v>
      </c>
      <c r="G172" s="309">
        <v>1.0361946901345588E-4</v>
      </c>
    </row>
    <row r="173" spans="1:7">
      <c r="A173" s="39" t="s">
        <v>1935</v>
      </c>
      <c r="B173" s="96"/>
      <c r="C173" s="308">
        <v>1E-4</v>
      </c>
      <c r="D173" s="306"/>
      <c r="E173" s="308">
        <v>9.9468107026643587E-5</v>
      </c>
      <c r="F173" s="308">
        <v>1E-4</v>
      </c>
      <c r="G173" s="309">
        <v>1.0190281841680946E-4</v>
      </c>
    </row>
    <row r="174" spans="1:7">
      <c r="A174" s="39" t="s">
        <v>1936</v>
      </c>
      <c r="B174" s="96"/>
      <c r="C174" s="308">
        <v>85.495517338964731</v>
      </c>
      <c r="D174" s="306"/>
      <c r="E174" s="306"/>
      <c r="F174" s="308">
        <v>85.495517338964731</v>
      </c>
      <c r="G174" s="309">
        <v>87.122341788437083</v>
      </c>
    </row>
    <row r="175" spans="1:7">
      <c r="A175" s="39" t="s">
        <v>1933</v>
      </c>
      <c r="B175" s="96"/>
      <c r="C175" s="311">
        <v>202.58030000000002</v>
      </c>
      <c r="D175" s="312">
        <v>9.7939638629388696E-5</v>
      </c>
      <c r="E175" s="312">
        <v>117.08478212914231</v>
      </c>
      <c r="F175" s="312">
        <v>204.55270364369616</v>
      </c>
      <c r="G175" s="313">
        <v>208.44497016071011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11.4184</v>
      </c>
      <c r="D178" s="304">
        <v>11.4184</v>
      </c>
      <c r="E178" s="304">
        <v>11.758048935978088</v>
      </c>
      <c r="F178" s="304">
        <v>11.956124534228813</v>
      </c>
      <c r="G178" s="305">
        <v>12.183627873802793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3286.805928203335</v>
      </c>
      <c r="D181" s="306">
        <v>3286.805928203335</v>
      </c>
      <c r="E181" s="306">
        <v>3384.5744541159615</v>
      </c>
      <c r="F181" s="306">
        <v>3441.5908531353434</v>
      </c>
      <c r="G181" s="307">
        <v>3507.0780777200325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19.242103238054401</v>
      </c>
      <c r="D183" s="306">
        <v>18.845646376044378</v>
      </c>
      <c r="E183" s="306">
        <v>19.242103238054401</v>
      </c>
      <c r="F183" s="306">
        <v>19.566254900565131</v>
      </c>
      <c r="G183" s="307">
        <v>19.938565202292967</v>
      </c>
    </row>
    <row r="184" spans="1:7">
      <c r="A184" s="39" t="s">
        <v>1931</v>
      </c>
      <c r="C184" s="306">
        <v>125.05332294876776</v>
      </c>
      <c r="D184" s="306">
        <v>0</v>
      </c>
      <c r="E184" s="306">
        <v>125.05332294876776</v>
      </c>
      <c r="F184" s="306">
        <v>127.15996597187386</v>
      </c>
      <c r="G184" s="307">
        <v>129.57958922319531</v>
      </c>
    </row>
    <row r="185" spans="1:7">
      <c r="A185" s="39" t="s">
        <v>1932</v>
      </c>
      <c r="C185" s="306">
        <v>7.2262137557298827E-3</v>
      </c>
      <c r="D185" s="306">
        <v>0</v>
      </c>
      <c r="E185" s="306">
        <v>7.2262137557298827E-3</v>
      </c>
      <c r="F185" s="306">
        <v>7.3479462489817278E-3</v>
      </c>
      <c r="G185" s="307">
        <v>7.4877643234646119E-3</v>
      </c>
    </row>
    <row r="186" spans="1:7">
      <c r="A186" s="39" t="s">
        <v>1935</v>
      </c>
      <c r="C186" s="306">
        <v>3.3372633593832378E-2</v>
      </c>
      <c r="D186" s="306">
        <v>0</v>
      </c>
      <c r="E186" s="306">
        <v>3.3195126900722793E-2</v>
      </c>
      <c r="F186" s="306">
        <v>3.3372633593832378E-2</v>
      </c>
      <c r="G186" s="307">
        <v>3.4007654212030156E-2</v>
      </c>
    </row>
    <row r="187" spans="1:7" ht="15" thickBot="1">
      <c r="A187" s="39" t="s">
        <v>1936</v>
      </c>
      <c r="C187" s="306">
        <v>85.573175521456449</v>
      </c>
      <c r="D187" s="306">
        <v>0</v>
      </c>
      <c r="E187" s="306">
        <v>0</v>
      </c>
      <c r="F187" s="306">
        <v>85.573175521456449</v>
      </c>
      <c r="G187" s="307">
        <v>87.201477665127413</v>
      </c>
    </row>
    <row r="188" spans="1:7" ht="15" thickBot="1">
      <c r="A188" s="39" t="s">
        <v>115</v>
      </c>
      <c r="C188" s="314">
        <v>3516.7151287589631</v>
      </c>
      <c r="D188" s="315">
        <v>3305.6515745793795</v>
      </c>
      <c r="E188" s="315">
        <v>3528.9103016434401</v>
      </c>
      <c r="F188" s="315">
        <v>3673.930970109082</v>
      </c>
      <c r="G188" s="316">
        <v>3743.8392052291838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97.768525912627013</v>
      </c>
      <c r="E190" s="306">
        <v>59.447315437491326</v>
      </c>
      <c r="F190" s="306">
        <v>69.908235120102077</v>
      </c>
      <c r="G190" s="307">
        <v>227.12407647022042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3516.7151287589631</v>
      </c>
      <c r="D202" s="315">
        <v>3305.6515745793795</v>
      </c>
      <c r="E202" s="315">
        <v>3528.9103016434401</v>
      </c>
      <c r="F202" s="315">
        <v>3673.930970109082</v>
      </c>
      <c r="G202" s="316">
        <v>3743.8392052291838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97.768525912627013</v>
      </c>
      <c r="E204" s="318">
        <v>59.447315437491334</v>
      </c>
      <c r="F204" s="318">
        <v>69.908235120102077</v>
      </c>
      <c r="G204" s="319">
        <v>227.12407647022042</v>
      </c>
    </row>
    <row r="205" spans="1:7" ht="15" thickBot="1"/>
    <row r="206" spans="1:7" ht="15" thickBot="1">
      <c r="A206" s="89" t="s">
        <v>9223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95"/>
      <c r="B208" s="93"/>
      <c r="C208" s="93"/>
      <c r="E208" s="62" t="s">
        <v>1912</v>
      </c>
      <c r="F208" s="96"/>
      <c r="G208" s="97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 t="s">
        <v>1922</v>
      </c>
      <c r="F212" s="99"/>
      <c r="G212" s="100"/>
    </row>
    <row r="213" spans="1:7">
      <c r="A213" s="39" t="s">
        <v>1923</v>
      </c>
      <c r="C213" s="29"/>
      <c r="D213" s="29"/>
      <c r="E213" s="299">
        <v>1.0294015291242546</v>
      </c>
      <c r="F213" s="299">
        <v>1.0171335150046763</v>
      </c>
      <c r="G213" s="300">
        <v>1.019293889277948</v>
      </c>
    </row>
    <row r="214" spans="1:7">
      <c r="A214" s="39" t="s">
        <v>1924</v>
      </c>
      <c r="C214" s="29"/>
      <c r="D214" s="301">
        <v>0.97971673809294546</v>
      </c>
      <c r="E214" s="301">
        <v>0.99473450767531058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2225.3462503073829</v>
      </c>
      <c r="D217" s="304">
        <v>2225.3462503073829</v>
      </c>
      <c r="E217" s="304">
        <v>2290.7748328973462</v>
      </c>
      <c r="F217" s="304">
        <v>2330.0238578691278</v>
      </c>
      <c r="G217" s="305">
        <v>2374.979080197832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156.50308224349089</v>
      </c>
      <c r="D220" s="308">
        <v>156.50308224349089</v>
      </c>
      <c r="E220" s="308">
        <v>161.10451217410852</v>
      </c>
      <c r="F220" s="308">
        <v>163.86479875076466</v>
      </c>
      <c r="G220" s="309">
        <v>167.02638803441513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1.8326673849006787E-2</v>
      </c>
      <c r="D222" s="310">
        <v>1.7954949123442216E-2</v>
      </c>
      <c r="E222" s="308">
        <v>1.8326673849006787E-2</v>
      </c>
      <c r="F222" s="308">
        <v>1.8640674190384555E-2</v>
      </c>
      <c r="G222" s="309">
        <v>1.9000325294280137E-2</v>
      </c>
    </row>
    <row r="223" spans="1:7">
      <c r="A223" s="39" t="s">
        <v>1931</v>
      </c>
      <c r="B223" s="96"/>
      <c r="C223" s="308">
        <v>2.4087752062057294E-2</v>
      </c>
      <c r="D223" s="306"/>
      <c r="E223" s="308">
        <v>2.4087752062057294E-2</v>
      </c>
      <c r="F223" s="308">
        <v>2.4500459923441475E-2</v>
      </c>
      <c r="G223" s="309">
        <v>2.4973169084463155E-2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156.54549666940196</v>
      </c>
      <c r="D225" s="312">
        <v>156.52103719261433</v>
      </c>
      <c r="E225" s="312">
        <v>161.14692660001958</v>
      </c>
      <c r="F225" s="312">
        <v>163.90793988487849</v>
      </c>
      <c r="G225" s="313">
        <v>167.07036152879388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1010.9849716721159</v>
      </c>
      <c r="D228" s="308">
        <v>1010.9849716721159</v>
      </c>
      <c r="E228" s="308">
        <v>1040.7094757609173</v>
      </c>
      <c r="F228" s="308">
        <v>1058.5404871793758</v>
      </c>
      <c r="G228" s="309">
        <v>1078.9638501352397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21.248345441980888</v>
      </c>
      <c r="D230" s="308">
        <v>20.81735968628962</v>
      </c>
      <c r="E230" s="308">
        <v>21.248345441980888</v>
      </c>
      <c r="F230" s="308">
        <v>21.612404287435613</v>
      </c>
      <c r="G230" s="309">
        <v>22.029391622787642</v>
      </c>
    </row>
    <row r="231" spans="1:7">
      <c r="A231" s="39" t="s">
        <v>1931</v>
      </c>
      <c r="B231" s="96"/>
      <c r="C231" s="308">
        <v>8.7815631795345759</v>
      </c>
      <c r="D231" s="306"/>
      <c r="E231" s="308">
        <v>8.7815631795345759</v>
      </c>
      <c r="F231" s="308">
        <v>8.9320222240356451</v>
      </c>
      <c r="G231" s="309">
        <v>9.1043556718543588</v>
      </c>
    </row>
    <row r="232" spans="1:7">
      <c r="A232" s="39" t="s">
        <v>1932</v>
      </c>
      <c r="B232" s="96"/>
      <c r="C232" s="308">
        <v>7.8767349799227886E-3</v>
      </c>
      <c r="D232" s="306"/>
      <c r="E232" s="308">
        <v>7.8767349799227886E-3</v>
      </c>
      <c r="F232" s="308">
        <v>8.0116911368891541E-3</v>
      </c>
      <c r="G232" s="309">
        <v>8.1662678186134111E-3</v>
      </c>
    </row>
    <row r="233" spans="1:7">
      <c r="A233" s="39" t="s">
        <v>1935</v>
      </c>
      <c r="B233" s="96"/>
      <c r="C233" s="308">
        <v>3.6776853163009104E-2</v>
      </c>
      <c r="D233" s="306"/>
      <c r="E233" s="308">
        <v>3.6583204924953053E-2</v>
      </c>
      <c r="F233" s="308">
        <v>3.6776853163009104E-2</v>
      </c>
      <c r="G233" s="309">
        <v>3.7486421695927551E-2</v>
      </c>
    </row>
    <row r="234" spans="1:7">
      <c r="A234" s="39" t="s">
        <v>1936</v>
      </c>
      <c r="B234" s="96"/>
      <c r="C234" s="308">
        <v>8.5837015767015148E-2</v>
      </c>
      <c r="D234" s="306"/>
      <c r="E234" s="306"/>
      <c r="F234" s="308">
        <v>8.5837015767015148E-2</v>
      </c>
      <c r="G234" s="309">
        <v>8.7493145645173409E-2</v>
      </c>
    </row>
    <row r="235" spans="1:7">
      <c r="A235" s="39" t="s">
        <v>1933</v>
      </c>
      <c r="B235" s="96"/>
      <c r="C235" s="311">
        <v>1041.1453708975412</v>
      </c>
      <c r="D235" s="312">
        <v>1031.8023313584056</v>
      </c>
      <c r="E235" s="312">
        <v>1070.7838443223375</v>
      </c>
      <c r="F235" s="312">
        <v>1089.2155392509139</v>
      </c>
      <c r="G235" s="313">
        <v>1110.2307432650414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9.7971673809294548E-5</v>
      </c>
      <c r="E238" s="308">
        <v>1E-4</v>
      </c>
      <c r="F238" s="308">
        <v>1.0171335150046764E-4</v>
      </c>
      <c r="G238" s="309">
        <v>1.0367579764240666E-4</v>
      </c>
    </row>
    <row r="239" spans="1:7">
      <c r="A239" s="39" t="s">
        <v>1931</v>
      </c>
      <c r="B239" s="96"/>
      <c r="C239" s="308">
        <v>117.08448266103528</v>
      </c>
      <c r="D239" s="306"/>
      <c r="E239" s="308">
        <v>117.08448266103528</v>
      </c>
      <c r="F239" s="308">
        <v>119.09055140152289</v>
      </c>
      <c r="G239" s="309">
        <v>121.38827131431364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1.0171335150046764E-4</v>
      </c>
      <c r="G240" s="309">
        <v>1.0367579764240666E-4</v>
      </c>
    </row>
    <row r="241" spans="1:7">
      <c r="A241" s="39" t="s">
        <v>1935</v>
      </c>
      <c r="B241" s="96"/>
      <c r="C241" s="308">
        <v>1E-4</v>
      </c>
      <c r="D241" s="306"/>
      <c r="E241" s="308">
        <v>9.9473450767531064E-5</v>
      </c>
      <c r="F241" s="308">
        <v>1E-4</v>
      </c>
      <c r="G241" s="309">
        <v>1.019293889277948E-4</v>
      </c>
    </row>
    <row r="242" spans="1:7">
      <c r="A242" s="39" t="s">
        <v>1936</v>
      </c>
      <c r="B242" s="96"/>
      <c r="C242" s="308">
        <v>85.495517338964731</v>
      </c>
      <c r="D242" s="306"/>
      <c r="E242" s="306"/>
      <c r="F242" s="308">
        <v>85.495517338964731</v>
      </c>
      <c r="G242" s="309">
        <v>87.145058384263592</v>
      </c>
    </row>
    <row r="243" spans="1:7">
      <c r="A243" s="39" t="s">
        <v>1933</v>
      </c>
      <c r="B243" s="96"/>
      <c r="C243" s="311">
        <v>202.58030000000002</v>
      </c>
      <c r="D243" s="312">
        <v>9.7971673809294548E-5</v>
      </c>
      <c r="E243" s="312">
        <v>117.08478213448606</v>
      </c>
      <c r="F243" s="312">
        <v>204.58637216719063</v>
      </c>
      <c r="G243" s="313">
        <v>208.53363897956146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11.4184</v>
      </c>
      <c r="D246" s="304">
        <v>11.4184</v>
      </c>
      <c r="E246" s="304">
        <v>11.754118420152389</v>
      </c>
      <c r="F246" s="304">
        <v>11.955507784470813</v>
      </c>
      <c r="G246" s="305">
        <v>12.186176027926038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3404.2527042229899</v>
      </c>
      <c r="D249" s="306">
        <v>3404.2527042229899</v>
      </c>
      <c r="E249" s="306">
        <v>3504.3429392525245</v>
      </c>
      <c r="F249" s="306">
        <v>3564.384651583739</v>
      </c>
      <c r="G249" s="307">
        <v>3633.1554943954129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21.266772115829895</v>
      </c>
      <c r="D251" s="306">
        <v>20.835412607086873</v>
      </c>
      <c r="E251" s="306">
        <v>21.266772115829895</v>
      </c>
      <c r="F251" s="306">
        <v>21.631146674977497</v>
      </c>
      <c r="G251" s="307">
        <v>22.048495623879564</v>
      </c>
    </row>
    <row r="252" spans="1:7">
      <c r="A252" s="39" t="s">
        <v>1931</v>
      </c>
      <c r="C252" s="306">
        <v>125.89013359263191</v>
      </c>
      <c r="D252" s="306">
        <v>0</v>
      </c>
      <c r="E252" s="306">
        <v>125.89013359263191</v>
      </c>
      <c r="F252" s="306">
        <v>128.04707408548197</v>
      </c>
      <c r="G252" s="307">
        <v>130.51760015525247</v>
      </c>
    </row>
    <row r="253" spans="1:7">
      <c r="A253" s="39" t="s">
        <v>1932</v>
      </c>
      <c r="C253" s="306">
        <v>7.976734979922788E-3</v>
      </c>
      <c r="D253" s="306">
        <v>0</v>
      </c>
      <c r="E253" s="306">
        <v>7.976734979922788E-3</v>
      </c>
      <c r="F253" s="306">
        <v>8.1134044883896216E-3</v>
      </c>
      <c r="G253" s="307">
        <v>8.2699436162558173E-3</v>
      </c>
    </row>
    <row r="254" spans="1:7">
      <c r="A254" s="39" t="s">
        <v>1935</v>
      </c>
      <c r="C254" s="306">
        <v>3.6876853163009107E-2</v>
      </c>
      <c r="D254" s="306">
        <v>0</v>
      </c>
      <c r="E254" s="306">
        <v>3.6682678375720583E-2</v>
      </c>
      <c r="F254" s="306">
        <v>3.6876853163009107E-2</v>
      </c>
      <c r="G254" s="307">
        <v>3.7588351084855344E-2</v>
      </c>
    </row>
    <row r="255" spans="1:7" ht="15" thickBot="1">
      <c r="A255" s="39" t="s">
        <v>1936</v>
      </c>
      <c r="C255" s="306">
        <v>85.581354354731744</v>
      </c>
      <c r="D255" s="306">
        <v>0</v>
      </c>
      <c r="E255" s="306">
        <v>0</v>
      </c>
      <c r="F255" s="306">
        <v>85.581354354731744</v>
      </c>
      <c r="G255" s="307">
        <v>87.232551529908761</v>
      </c>
    </row>
    <row r="256" spans="1:7" ht="15" thickBot="1">
      <c r="A256" s="39" t="s">
        <v>115</v>
      </c>
      <c r="C256" s="314">
        <v>3637.0358178743268</v>
      </c>
      <c r="D256" s="315">
        <v>3425.0881168300766</v>
      </c>
      <c r="E256" s="315">
        <v>3651.5445043743421</v>
      </c>
      <c r="F256" s="315">
        <v>3799.6892169565822</v>
      </c>
      <c r="G256" s="316">
        <v>3872.9999999991546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100.09023502953465</v>
      </c>
      <c r="E258" s="306">
        <v>62.563164052720701</v>
      </c>
      <c r="F258" s="306">
        <v>73.310783042573092</v>
      </c>
      <c r="G258" s="307">
        <v>235.96418212482845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3637.0358178743268</v>
      </c>
      <c r="D270" s="315">
        <v>3425.0881168300766</v>
      </c>
      <c r="E270" s="315">
        <v>3651.5445043743421</v>
      </c>
      <c r="F270" s="315">
        <v>3799.6892169565822</v>
      </c>
      <c r="G270" s="316">
        <v>3872.9999999991546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100.09023502953465</v>
      </c>
      <c r="E272" s="318">
        <v>62.563164052720701</v>
      </c>
      <c r="F272" s="318">
        <v>73.310783042573092</v>
      </c>
      <c r="G272" s="319">
        <v>235.96418212482845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9" max="9" width="12.6640625" bestFit="1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89" t="s">
        <v>9224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39"/>
      <c r="B4" s="62"/>
      <c r="C4" s="62"/>
      <c r="D4" s="62"/>
      <c r="E4" s="60" t="s">
        <v>1912</v>
      </c>
      <c r="F4" s="62"/>
      <c r="G4" s="43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/>
      <c r="E8" s="99" t="s">
        <v>1979</v>
      </c>
      <c r="F8" s="99"/>
      <c r="G8" s="100"/>
    </row>
    <row r="9" spans="1:9">
      <c r="A9" s="39" t="s">
        <v>1923</v>
      </c>
      <c r="C9" s="29"/>
      <c r="D9" s="29"/>
      <c r="E9" s="299">
        <v>1.0283128629156855</v>
      </c>
      <c r="F9" s="299">
        <v>1.0181491085303913</v>
      </c>
      <c r="G9" s="300">
        <v>1.0201401406541284</v>
      </c>
      <c r="I9" s="29" t="s">
        <v>116</v>
      </c>
    </row>
    <row r="10" spans="1:9">
      <c r="A10" s="39" t="s">
        <v>1924</v>
      </c>
      <c r="C10" s="29"/>
      <c r="D10" s="301">
        <v>0.98065791324303153</v>
      </c>
      <c r="E10" s="301">
        <v>0.99486667506619886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2843.5622308308102</v>
      </c>
      <c r="D13" s="304">
        <v>2843.5622308308102</v>
      </c>
      <c r="E13" s="304">
        <v>2924.0716184645439</v>
      </c>
      <c r="F13" s="304">
        <v>2977.1409116186937</v>
      </c>
      <c r="G13" s="305">
        <v>3037.1009483258545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174.70873613844043</v>
      </c>
      <c r="D16" s="308">
        <v>174.70873613844043</v>
      </c>
      <c r="E16" s="308">
        <v>179.65524063490076</v>
      </c>
      <c r="F16" s="308">
        <v>182.91582309523716</v>
      </c>
      <c r="G16" s="309">
        <v>186.5997735002409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3.0903113107374779E-2</v>
      </c>
      <c r="D18" s="310">
        <v>3.0305382412591526E-2</v>
      </c>
      <c r="E18" s="308">
        <v>3.0903113107374779E-2</v>
      </c>
      <c r="F18" s="308">
        <v>3.1463977061087479E-2</v>
      </c>
      <c r="G18" s="309">
        <v>3.2097665984636051E-2</v>
      </c>
    </row>
    <row r="19" spans="1:7">
      <c r="A19" s="39" t="s">
        <v>1931</v>
      </c>
      <c r="B19" s="96"/>
      <c r="C19" s="308">
        <v>2.5055398294514614E-2</v>
      </c>
      <c r="D19" s="306"/>
      <c r="E19" s="308">
        <v>2.5055398294514614E-2</v>
      </c>
      <c r="F19" s="308">
        <v>2.5510131437433942E-2</v>
      </c>
      <c r="G19" s="309">
        <v>2.6023909072689165E-2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174.76469464984231</v>
      </c>
      <c r="D21" s="312">
        <v>174.73904152085302</v>
      </c>
      <c r="E21" s="312">
        <v>179.71119914630265</v>
      </c>
      <c r="F21" s="312">
        <v>182.97279720373569</v>
      </c>
      <c r="G21" s="313">
        <v>186.6578950752982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781.53144412906909</v>
      </c>
      <c r="D24" s="308">
        <v>781.53144412906909</v>
      </c>
      <c r="E24" s="308">
        <v>803.65883677099316</v>
      </c>
      <c r="F24" s="308">
        <v>818.24452822095793</v>
      </c>
      <c r="G24" s="309">
        <v>834.72408810879892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19.869470583030786</v>
      </c>
      <c r="D26" s="308">
        <v>19.485153559198771</v>
      </c>
      <c r="E26" s="308">
        <v>19.869470583030786</v>
      </c>
      <c r="F26" s="308">
        <v>20.23008376108363</v>
      </c>
      <c r="G26" s="309">
        <v>20.637520493476654</v>
      </c>
    </row>
    <row r="27" spans="1:7">
      <c r="A27" s="39" t="s">
        <v>1931</v>
      </c>
      <c r="B27" s="96"/>
      <c r="C27" s="308">
        <v>8.5449144472045244</v>
      </c>
      <c r="D27" s="306"/>
      <c r="E27" s="308">
        <v>8.5449144472045244</v>
      </c>
      <c r="F27" s="308">
        <v>8.6999970268897489</v>
      </c>
      <c r="G27" s="309">
        <v>8.8752161907018063</v>
      </c>
    </row>
    <row r="28" spans="1:7">
      <c r="A28" s="39" t="s">
        <v>1932</v>
      </c>
      <c r="B28" s="96"/>
      <c r="C28" s="308">
        <v>1.0309431066225009E-2</v>
      </c>
      <c r="D28" s="306"/>
      <c r="E28" s="308">
        <v>1.0309431066225009E-2</v>
      </c>
      <c r="F28" s="308">
        <v>1.0496538049532515E-2</v>
      </c>
      <c r="G28" s="309">
        <v>1.070793980223151E-2</v>
      </c>
    </row>
    <row r="29" spans="1:7">
      <c r="A29" s="39" t="s">
        <v>1935</v>
      </c>
      <c r="B29" s="96"/>
      <c r="C29" s="308">
        <v>4.5353157127065953E-2</v>
      </c>
      <c r="D29" s="306"/>
      <c r="E29" s="308">
        <v>4.5120344634758981E-2</v>
      </c>
      <c r="F29" s="308">
        <v>4.5353157127065953E-2</v>
      </c>
      <c r="G29" s="309">
        <v>4.626657609071385E-2</v>
      </c>
    </row>
    <row r="30" spans="1:7">
      <c r="A30" s="39" t="s">
        <v>1936</v>
      </c>
      <c r="B30" s="96"/>
      <c r="C30" s="308">
        <v>8.4239298950437538E-2</v>
      </c>
      <c r="D30" s="306"/>
      <c r="E30" s="306"/>
      <c r="F30" s="308">
        <v>8.4239298950437538E-2</v>
      </c>
      <c r="G30" s="309">
        <v>8.5935890279904517E-2</v>
      </c>
    </row>
    <row r="31" spans="1:7">
      <c r="A31" s="39" t="s">
        <v>1933</v>
      </c>
      <c r="B31" s="96"/>
      <c r="C31" s="311">
        <v>810.08573104644813</v>
      </c>
      <c r="D31" s="312">
        <v>801.01659768826789</v>
      </c>
      <c r="E31" s="312">
        <v>832.12865157692943</v>
      </c>
      <c r="F31" s="312">
        <v>847.31469800305831</v>
      </c>
      <c r="G31" s="313">
        <v>864.37973519915033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9.8065791324303153E-5</v>
      </c>
      <c r="E34" s="308">
        <v>1E-4</v>
      </c>
      <c r="F34" s="308">
        <v>1.0181491085303914E-4</v>
      </c>
      <c r="G34" s="309">
        <v>1.0386547747830689E-4</v>
      </c>
    </row>
    <row r="35" spans="1:7">
      <c r="A35" s="39" t="s">
        <v>1931</v>
      </c>
      <c r="B35" s="96"/>
      <c r="C35" s="308">
        <v>96.209761314698</v>
      </c>
      <c r="D35" s="306"/>
      <c r="E35" s="308">
        <v>96.209761314698</v>
      </c>
      <c r="F35" s="308">
        <v>97.95588271448149</v>
      </c>
      <c r="G35" s="309">
        <v>99.928727970250449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1.0181491085303914E-4</v>
      </c>
      <c r="G36" s="309">
        <v>1.0386547747830689E-4</v>
      </c>
    </row>
    <row r="37" spans="1:7">
      <c r="A37" s="39" t="s">
        <v>1935</v>
      </c>
      <c r="B37" s="96"/>
      <c r="C37" s="308">
        <v>1E-4</v>
      </c>
      <c r="D37" s="306"/>
      <c r="E37" s="308">
        <v>9.9486667506619886E-5</v>
      </c>
      <c r="F37" s="308">
        <v>1E-4</v>
      </c>
      <c r="G37" s="309">
        <v>1.0201401406541285E-4</v>
      </c>
    </row>
    <row r="38" spans="1:7">
      <c r="A38" s="39" t="s">
        <v>1936</v>
      </c>
      <c r="B38" s="96"/>
      <c r="C38" s="308">
        <v>100.90023868530201</v>
      </c>
      <c r="D38" s="306"/>
      <c r="E38" s="306"/>
      <c r="F38" s="308">
        <v>100.90023868530201</v>
      </c>
      <c r="G38" s="309">
        <v>102.93238368445913</v>
      </c>
    </row>
    <row r="39" spans="1:7">
      <c r="A39" s="39" t="s">
        <v>1933</v>
      </c>
      <c r="B39" s="96"/>
      <c r="C39" s="311">
        <v>197.11030000000002</v>
      </c>
      <c r="D39" s="312">
        <v>9.8065791324303153E-5</v>
      </c>
      <c r="E39" s="312">
        <v>96.210060801365515</v>
      </c>
      <c r="F39" s="312">
        <v>198.85642502960519</v>
      </c>
      <c r="G39" s="313">
        <v>202.86142139967859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3799.8024110983197</v>
      </c>
      <c r="D45" s="306">
        <v>3799.8024110983197</v>
      </c>
      <c r="E45" s="306">
        <v>3907.3856958704378</v>
      </c>
      <c r="F45" s="306">
        <v>3978.3012629348887</v>
      </c>
      <c r="G45" s="307">
        <v>4058.4248099348943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19.90047369613816</v>
      </c>
      <c r="D47" s="306">
        <v>19.515557007402688</v>
      </c>
      <c r="E47" s="306">
        <v>19.90047369613816</v>
      </c>
      <c r="F47" s="306">
        <v>20.26164955305557</v>
      </c>
      <c r="G47" s="307">
        <v>20.669722024938768</v>
      </c>
    </row>
    <row r="48" spans="1:7">
      <c r="A48" s="39" t="s">
        <v>1931</v>
      </c>
      <c r="C48" s="306">
        <v>104.77973116019703</v>
      </c>
      <c r="D48" s="306">
        <v>0</v>
      </c>
      <c r="E48" s="306">
        <v>104.77973116019703</v>
      </c>
      <c r="F48" s="306">
        <v>106.68138987280867</v>
      </c>
      <c r="G48" s="307">
        <v>108.82996807002495</v>
      </c>
    </row>
    <row r="49" spans="1:7">
      <c r="A49" s="39" t="s">
        <v>1932</v>
      </c>
      <c r="C49" s="306">
        <v>1.0409431066225008E-2</v>
      </c>
      <c r="D49" s="306">
        <v>0</v>
      </c>
      <c r="E49" s="306">
        <v>1.0409431066225008E-2</v>
      </c>
      <c r="F49" s="306">
        <v>1.0598352960385554E-2</v>
      </c>
      <c r="G49" s="307">
        <v>1.0811805279709817E-2</v>
      </c>
    </row>
    <row r="50" spans="1:7">
      <c r="A50" s="39" t="s">
        <v>1935</v>
      </c>
      <c r="C50" s="306">
        <v>4.5453157127065956E-2</v>
      </c>
      <c r="D50" s="306">
        <v>0</v>
      </c>
      <c r="E50" s="306">
        <v>4.5219831302265603E-2</v>
      </c>
      <c r="F50" s="306">
        <v>4.5453157127065956E-2</v>
      </c>
      <c r="G50" s="307">
        <v>4.6368590104779263E-2</v>
      </c>
    </row>
    <row r="51" spans="1:7" ht="15" thickBot="1">
      <c r="A51" s="39" t="s">
        <v>1936</v>
      </c>
      <c r="C51" s="306">
        <v>100.98447798425245</v>
      </c>
      <c r="D51" s="306">
        <v>0</v>
      </c>
      <c r="E51" s="306">
        <v>0</v>
      </c>
      <c r="F51" s="306">
        <v>100.98447798425245</v>
      </c>
      <c r="G51" s="307">
        <v>103.01831957473902</v>
      </c>
    </row>
    <row r="52" spans="1:7" ht="15" thickBot="1">
      <c r="A52" s="39" t="s">
        <v>115</v>
      </c>
      <c r="C52" s="314">
        <v>4025.5229565271011</v>
      </c>
      <c r="D52" s="315">
        <v>3819.3179681057222</v>
      </c>
      <c r="E52" s="315">
        <v>4032.1215299891419</v>
      </c>
      <c r="F52" s="315">
        <v>4206.2848318550923</v>
      </c>
      <c r="G52" s="316">
        <v>4290.9999999999809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107.58328477211754</v>
      </c>
      <c r="E54" s="306">
        <v>73.178590555874877</v>
      </c>
      <c r="F54" s="306">
        <v>84.715168144888779</v>
      </c>
      <c r="G54" s="307">
        <v>265.47704347288118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4025.5229565271011</v>
      </c>
      <c r="D66" s="315">
        <v>3819.3179681057222</v>
      </c>
      <c r="E66" s="315">
        <v>4032.1215299891419</v>
      </c>
      <c r="F66" s="315">
        <v>4206.2848318550923</v>
      </c>
      <c r="G66" s="316">
        <v>4290.9999999999809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107.58328477211754</v>
      </c>
      <c r="E68" s="318">
        <v>73.178590555874877</v>
      </c>
      <c r="F68" s="318">
        <v>84.715168144888779</v>
      </c>
      <c r="G68" s="319">
        <v>265.47704347288118</v>
      </c>
    </row>
    <row r="69" spans="1:7" ht="15" thickBot="1">
      <c r="A69" s="62"/>
      <c r="C69" s="325"/>
      <c r="D69" s="325"/>
      <c r="E69" s="325"/>
      <c r="F69" s="325"/>
      <c r="G69" s="325"/>
    </row>
    <row r="70" spans="1:7" ht="16.2" thickBot="1">
      <c r="A70" s="89" t="s">
        <v>9225</v>
      </c>
      <c r="B70" s="90"/>
      <c r="C70" s="90"/>
      <c r="D70" s="90"/>
      <c r="E70" s="90"/>
      <c r="F70" s="90"/>
      <c r="G70" s="91"/>
    </row>
    <row r="71" spans="1:7">
      <c r="A71" s="104"/>
      <c r="B71" s="93"/>
      <c r="C71" s="326"/>
      <c r="D71" s="326"/>
      <c r="E71" s="326"/>
      <c r="F71" s="326"/>
      <c r="G71" s="327"/>
    </row>
    <row r="72" spans="1:7">
      <c r="A72" s="39"/>
      <c r="B72" s="62"/>
      <c r="C72" s="62"/>
      <c r="D72" s="62"/>
      <c r="E72" s="60" t="s">
        <v>1912</v>
      </c>
      <c r="F72" s="62"/>
      <c r="G72" s="43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C76" s="328"/>
      <c r="D76" s="329"/>
      <c r="E76" s="329" t="s">
        <v>1979</v>
      </c>
      <c r="F76" s="329"/>
      <c r="G76" s="330"/>
    </row>
    <row r="77" spans="1:7">
      <c r="A77" s="39" t="s">
        <v>1923</v>
      </c>
      <c r="C77" s="29"/>
      <c r="D77" s="29"/>
      <c r="E77" s="299">
        <v>1.0283128629156855</v>
      </c>
      <c r="F77" s="299">
        <v>1.0181491085303913</v>
      </c>
      <c r="G77" s="300">
        <v>1.0201401406541284</v>
      </c>
    </row>
    <row r="78" spans="1:7">
      <c r="A78" s="39" t="s">
        <v>1924</v>
      </c>
      <c r="C78" s="29"/>
      <c r="D78" s="301">
        <v>0.98065791324303153</v>
      </c>
      <c r="E78" s="301">
        <v>0.99486667506619886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2843.5622308308102</v>
      </c>
      <c r="D81" s="304">
        <v>2843.5622308308102</v>
      </c>
      <c r="E81" s="304">
        <v>2924.0716184645439</v>
      </c>
      <c r="F81" s="304">
        <v>2977.1409116186937</v>
      </c>
      <c r="G81" s="305">
        <v>3037.1009483258545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174.70873613844043</v>
      </c>
      <c r="D84" s="308">
        <v>174.70873613844043</v>
      </c>
      <c r="E84" s="308">
        <v>179.65524063490076</v>
      </c>
      <c r="F84" s="308">
        <v>182.91582309523716</v>
      </c>
      <c r="G84" s="309">
        <v>186.5997735002409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3.0903113107374779E-2</v>
      </c>
      <c r="D86" s="310">
        <v>3.0305382412591526E-2</v>
      </c>
      <c r="E86" s="308">
        <v>3.0903113107374779E-2</v>
      </c>
      <c r="F86" s="308">
        <v>3.1463977061087479E-2</v>
      </c>
      <c r="G86" s="309">
        <v>3.2097665984636051E-2</v>
      </c>
    </row>
    <row r="87" spans="1:7">
      <c r="A87" s="39" t="s">
        <v>1931</v>
      </c>
      <c r="B87" s="96"/>
      <c r="C87" s="308">
        <v>2.5055398294514614E-2</v>
      </c>
      <c r="D87" s="306"/>
      <c r="E87" s="308">
        <v>2.5055398294514614E-2</v>
      </c>
      <c r="F87" s="308">
        <v>2.5510131437433942E-2</v>
      </c>
      <c r="G87" s="309">
        <v>2.6023909072689165E-2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174.76469464984231</v>
      </c>
      <c r="D89" s="312">
        <v>174.73904152085302</v>
      </c>
      <c r="E89" s="312">
        <v>179.71119914630265</v>
      </c>
      <c r="F89" s="312">
        <v>182.97279720373569</v>
      </c>
      <c r="G89" s="313">
        <v>186.6578950752982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781.53144412906909</v>
      </c>
      <c r="D92" s="308">
        <v>781.53144412906909</v>
      </c>
      <c r="E92" s="308">
        <v>803.65883677099316</v>
      </c>
      <c r="F92" s="308">
        <v>818.24452822095793</v>
      </c>
      <c r="G92" s="309">
        <v>834.72408810879892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19.869470583030786</v>
      </c>
      <c r="D94" s="308">
        <v>19.485153559198771</v>
      </c>
      <c r="E94" s="308">
        <v>19.869470583030786</v>
      </c>
      <c r="F94" s="308">
        <v>20.23008376108363</v>
      </c>
      <c r="G94" s="309">
        <v>20.637520493476654</v>
      </c>
    </row>
    <row r="95" spans="1:7">
      <c r="A95" s="39" t="s">
        <v>1931</v>
      </c>
      <c r="B95" s="96"/>
      <c r="C95" s="308">
        <v>8.5449144472045244</v>
      </c>
      <c r="D95" s="306"/>
      <c r="E95" s="308">
        <v>8.5449144472045244</v>
      </c>
      <c r="F95" s="308">
        <v>8.6999970268897489</v>
      </c>
      <c r="G95" s="309">
        <v>8.8752161907018063</v>
      </c>
    </row>
    <row r="96" spans="1:7">
      <c r="A96" s="39" t="s">
        <v>1932</v>
      </c>
      <c r="B96" s="96"/>
      <c r="C96" s="308">
        <v>1.0309431066225009E-2</v>
      </c>
      <c r="D96" s="306"/>
      <c r="E96" s="308">
        <v>1.0309431066225009E-2</v>
      </c>
      <c r="F96" s="308">
        <v>1.0496538049532515E-2</v>
      </c>
      <c r="G96" s="309">
        <v>1.070793980223151E-2</v>
      </c>
    </row>
    <row r="97" spans="1:7">
      <c r="A97" s="39" t="s">
        <v>1935</v>
      </c>
      <c r="B97" s="96"/>
      <c r="C97" s="308">
        <v>4.5353157127065953E-2</v>
      </c>
      <c r="D97" s="306"/>
      <c r="E97" s="308">
        <v>4.5120344634758981E-2</v>
      </c>
      <c r="F97" s="308">
        <v>4.5353157127065953E-2</v>
      </c>
      <c r="G97" s="309">
        <v>4.626657609071385E-2</v>
      </c>
    </row>
    <row r="98" spans="1:7">
      <c r="A98" s="39" t="s">
        <v>1936</v>
      </c>
      <c r="B98" s="96"/>
      <c r="C98" s="308">
        <v>8.4239298950437538E-2</v>
      </c>
      <c r="D98" s="306"/>
      <c r="E98" s="306"/>
      <c r="F98" s="308">
        <v>8.4239298950437538E-2</v>
      </c>
      <c r="G98" s="309">
        <v>8.5935890279904517E-2</v>
      </c>
    </row>
    <row r="99" spans="1:7">
      <c r="A99" s="39" t="s">
        <v>1933</v>
      </c>
      <c r="B99" s="96"/>
      <c r="C99" s="311">
        <v>810.08573104644813</v>
      </c>
      <c r="D99" s="312">
        <v>801.01659768826789</v>
      </c>
      <c r="E99" s="312">
        <v>832.12865157692943</v>
      </c>
      <c r="F99" s="312">
        <v>847.31469800305831</v>
      </c>
      <c r="G99" s="313">
        <v>864.37973519915033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9.8065791324303153E-5</v>
      </c>
      <c r="E102" s="308">
        <v>1E-4</v>
      </c>
      <c r="F102" s="308">
        <v>1.0181491085303914E-4</v>
      </c>
      <c r="G102" s="309">
        <v>1.0386547747830689E-4</v>
      </c>
    </row>
    <row r="103" spans="1:7">
      <c r="A103" s="39" t="s">
        <v>1931</v>
      </c>
      <c r="B103" s="96"/>
      <c r="C103" s="308">
        <v>96.209761314698</v>
      </c>
      <c r="D103" s="306"/>
      <c r="E103" s="308">
        <v>96.209761314698</v>
      </c>
      <c r="F103" s="308">
        <v>97.95588271448149</v>
      </c>
      <c r="G103" s="309">
        <v>99.928727970250449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1.0181491085303914E-4</v>
      </c>
      <c r="G104" s="309">
        <v>1.0386547747830689E-4</v>
      </c>
    </row>
    <row r="105" spans="1:7">
      <c r="A105" s="39" t="s">
        <v>1935</v>
      </c>
      <c r="B105" s="96"/>
      <c r="C105" s="308">
        <v>1E-4</v>
      </c>
      <c r="D105" s="306"/>
      <c r="E105" s="308">
        <v>9.9486667506619886E-5</v>
      </c>
      <c r="F105" s="308">
        <v>1E-4</v>
      </c>
      <c r="G105" s="309">
        <v>1.0201401406541285E-4</v>
      </c>
    </row>
    <row r="106" spans="1:7">
      <c r="A106" s="39" t="s">
        <v>1936</v>
      </c>
      <c r="B106" s="96"/>
      <c r="C106" s="308">
        <v>100.90023868530201</v>
      </c>
      <c r="D106" s="306"/>
      <c r="E106" s="306"/>
      <c r="F106" s="308">
        <v>100.90023868530201</v>
      </c>
      <c r="G106" s="309">
        <v>102.93238368445913</v>
      </c>
    </row>
    <row r="107" spans="1:7">
      <c r="A107" s="39" t="s">
        <v>1933</v>
      </c>
      <c r="B107" s="96"/>
      <c r="C107" s="311">
        <v>197.11030000000002</v>
      </c>
      <c r="D107" s="312">
        <v>9.8065791324303153E-5</v>
      </c>
      <c r="E107" s="312">
        <v>96.210060801365515</v>
      </c>
      <c r="F107" s="312">
        <v>198.85642502960519</v>
      </c>
      <c r="G107" s="313">
        <v>202.86142139967859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3799.8024110983197</v>
      </c>
      <c r="D113" s="306">
        <v>3799.8024110983197</v>
      </c>
      <c r="E113" s="306">
        <v>3907.3856958704378</v>
      </c>
      <c r="F113" s="306">
        <v>3978.3012629348887</v>
      </c>
      <c r="G113" s="307">
        <v>4058.4248099348943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19.90047369613816</v>
      </c>
      <c r="D115" s="306">
        <v>19.515557007402688</v>
      </c>
      <c r="E115" s="306">
        <v>19.90047369613816</v>
      </c>
      <c r="F115" s="306">
        <v>20.26164955305557</v>
      </c>
      <c r="G115" s="307">
        <v>20.669722024938768</v>
      </c>
    </row>
    <row r="116" spans="1:7">
      <c r="A116" s="39" t="s">
        <v>1931</v>
      </c>
      <c r="C116" s="306">
        <v>104.77973116019703</v>
      </c>
      <c r="D116" s="306">
        <v>0</v>
      </c>
      <c r="E116" s="306">
        <v>104.77973116019703</v>
      </c>
      <c r="F116" s="306">
        <v>106.68138987280867</v>
      </c>
      <c r="G116" s="307">
        <v>108.82996807002495</v>
      </c>
    </row>
    <row r="117" spans="1:7">
      <c r="A117" s="39" t="s">
        <v>1932</v>
      </c>
      <c r="C117" s="306">
        <v>1.0409431066225008E-2</v>
      </c>
      <c r="D117" s="306">
        <v>0</v>
      </c>
      <c r="E117" s="306">
        <v>1.0409431066225008E-2</v>
      </c>
      <c r="F117" s="306">
        <v>1.0598352960385554E-2</v>
      </c>
      <c r="G117" s="307">
        <v>1.0811805279709817E-2</v>
      </c>
    </row>
    <row r="118" spans="1:7">
      <c r="A118" s="39" t="s">
        <v>1935</v>
      </c>
      <c r="C118" s="306">
        <v>4.5453157127065956E-2</v>
      </c>
      <c r="D118" s="306">
        <v>0</v>
      </c>
      <c r="E118" s="306">
        <v>4.5219831302265603E-2</v>
      </c>
      <c r="F118" s="306">
        <v>4.5453157127065956E-2</v>
      </c>
      <c r="G118" s="307">
        <v>4.6368590104779263E-2</v>
      </c>
    </row>
    <row r="119" spans="1:7" ht="15" thickBot="1">
      <c r="A119" s="39" t="s">
        <v>1936</v>
      </c>
      <c r="C119" s="306">
        <v>100.98447798425245</v>
      </c>
      <c r="D119" s="306">
        <v>0</v>
      </c>
      <c r="E119" s="306">
        <v>0</v>
      </c>
      <c r="F119" s="306">
        <v>100.98447798425245</v>
      </c>
      <c r="G119" s="307">
        <v>103.01831957473902</v>
      </c>
    </row>
    <row r="120" spans="1:7" ht="15" thickBot="1">
      <c r="A120" s="39" t="s">
        <v>115</v>
      </c>
      <c r="C120" s="314">
        <v>4025.5229565271011</v>
      </c>
      <c r="D120" s="315">
        <v>3819.3179681057222</v>
      </c>
      <c r="E120" s="315">
        <v>4032.1215299891419</v>
      </c>
      <c r="F120" s="315">
        <v>4206.2848318550923</v>
      </c>
      <c r="G120" s="316">
        <v>4290.9999999999809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107.58328477211754</v>
      </c>
      <c r="E122" s="306">
        <v>73.178590555874877</v>
      </c>
      <c r="F122" s="306">
        <v>84.715168144888779</v>
      </c>
      <c r="G122" s="307">
        <v>265.47704347288118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4025.5229565271011</v>
      </c>
      <c r="D134" s="315">
        <v>3819.3179681057222</v>
      </c>
      <c r="E134" s="315">
        <v>4032.1215299891419</v>
      </c>
      <c r="F134" s="315">
        <v>4206.2848318550923</v>
      </c>
      <c r="G134" s="316">
        <v>4290.9999999999809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107.58328477211754</v>
      </c>
      <c r="E136" s="318">
        <v>73.178590555874877</v>
      </c>
      <c r="F136" s="318">
        <v>84.715168144888779</v>
      </c>
      <c r="G136" s="319">
        <v>265.47704347288118</v>
      </c>
    </row>
    <row r="137" spans="1:7" ht="15" thickBot="1">
      <c r="C137" s="29"/>
      <c r="D137" s="29"/>
      <c r="E137" s="29"/>
      <c r="F137" s="29"/>
      <c r="G137" s="29"/>
    </row>
    <row r="138" spans="1:7" ht="16.2" thickBot="1">
      <c r="A138" s="89" t="s">
        <v>9226</v>
      </c>
      <c r="B138" s="90"/>
      <c r="C138" s="90"/>
      <c r="D138" s="90"/>
      <c r="E138" s="90"/>
      <c r="F138" s="90"/>
      <c r="G138" s="91"/>
    </row>
    <row r="139" spans="1:7">
      <c r="A139" s="30"/>
      <c r="B139" s="93"/>
      <c r="C139" s="326"/>
      <c r="D139" s="326"/>
      <c r="E139" s="326"/>
      <c r="F139" s="326"/>
      <c r="G139" s="327"/>
    </row>
    <row r="140" spans="1:7">
      <c r="A140" s="39"/>
      <c r="B140" s="62"/>
      <c r="C140" s="62"/>
      <c r="D140" s="62"/>
      <c r="E140" s="60" t="s">
        <v>1912</v>
      </c>
      <c r="F140" s="62"/>
      <c r="G140" s="43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C144" s="328"/>
      <c r="D144" s="329"/>
      <c r="E144" s="329" t="s">
        <v>1979</v>
      </c>
      <c r="F144" s="329"/>
      <c r="G144" s="330"/>
    </row>
    <row r="145" spans="1:7">
      <c r="A145" s="39" t="s">
        <v>1923</v>
      </c>
      <c r="C145" s="29"/>
      <c r="D145" s="29"/>
      <c r="E145" s="299">
        <v>1.0286135446184657</v>
      </c>
      <c r="F145" s="299">
        <v>1.0178293081346581</v>
      </c>
      <c r="G145" s="300">
        <v>1.0198575933937728</v>
      </c>
    </row>
    <row r="146" spans="1:7">
      <c r="A146" s="39" t="s">
        <v>1924</v>
      </c>
      <c r="C146" s="29"/>
      <c r="D146" s="301">
        <v>0.98037775358665524</v>
      </c>
      <c r="E146" s="301">
        <v>0.99481824038717381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2804.9963474392657</v>
      </c>
      <c r="D149" s="304">
        <v>2804.9963474392657</v>
      </c>
      <c r="E149" s="304">
        <v>2885.2572355813522</v>
      </c>
      <c r="F149" s="304">
        <v>2936.6993758822841</v>
      </c>
      <c r="G149" s="305">
        <v>2995.0151580083007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174.22529098399531</v>
      </c>
      <c r="D152" s="308">
        <v>174.22529098399531</v>
      </c>
      <c r="E152" s="308">
        <v>179.21049412123102</v>
      </c>
      <c r="F152" s="308">
        <v>182.40569324188277</v>
      </c>
      <c r="G152" s="309">
        <v>186.02783133098933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3.0817599580007769E-2</v>
      </c>
      <c r="D154" s="310">
        <v>3.0212889047181068E-2</v>
      </c>
      <c r="E154" s="308">
        <v>3.0817599580007769E-2</v>
      </c>
      <c r="F154" s="308">
        <v>3.1367056058890237E-2</v>
      </c>
      <c r="G154" s="309">
        <v>3.1989930304067354E-2</v>
      </c>
    </row>
    <row r="155" spans="1:7">
      <c r="A155" s="39" t="s">
        <v>1931</v>
      </c>
      <c r="B155" s="96"/>
      <c r="C155" s="308">
        <v>2.4986066267016129E-2</v>
      </c>
      <c r="D155" s="306"/>
      <c r="E155" s="308">
        <v>2.4986066267016129E-2</v>
      </c>
      <c r="F155" s="308">
        <v>2.5431550541563746E-2</v>
      </c>
      <c r="G155" s="309">
        <v>2.5936559931591302E-2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174.28109464984234</v>
      </c>
      <c r="D157" s="312">
        <v>174.2555038730425</v>
      </c>
      <c r="E157" s="312">
        <v>179.26629778707806</v>
      </c>
      <c r="F157" s="312">
        <v>182.46249184848321</v>
      </c>
      <c r="G157" s="313">
        <v>186.08575782122497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692.67623791598021</v>
      </c>
      <c r="D160" s="308">
        <v>692.67623791598021</v>
      </c>
      <c r="E160" s="308">
        <v>712.49616035574002</v>
      </c>
      <c r="F160" s="308">
        <v>725.19947394348333</v>
      </c>
      <c r="G160" s="309">
        <v>739.60019022643098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18.03600872050599</v>
      </c>
      <c r="D162" s="308">
        <v>17.682101713078985</v>
      </c>
      <c r="E162" s="308">
        <v>18.03600872050599</v>
      </c>
      <c r="F162" s="308">
        <v>18.357578277503272</v>
      </c>
      <c r="G162" s="309">
        <v>18.722115602632289</v>
      </c>
    </row>
    <row r="163" spans="1:7">
      <c r="A163" s="39" t="s">
        <v>1931</v>
      </c>
      <c r="B163" s="96"/>
      <c r="C163" s="308">
        <v>7.7564296865251627</v>
      </c>
      <c r="D163" s="306"/>
      <c r="E163" s="308">
        <v>7.7564296865251627</v>
      </c>
      <c r="F163" s="308">
        <v>7.894721461431029</v>
      </c>
      <c r="G163" s="309">
        <v>8.0514916301692185</v>
      </c>
    </row>
    <row r="164" spans="1:7">
      <c r="A164" s="39" t="s">
        <v>1932</v>
      </c>
      <c r="B164" s="96"/>
      <c r="C164" s="308">
        <v>9.3581249604450783E-3</v>
      </c>
      <c r="D164" s="306"/>
      <c r="E164" s="308">
        <v>9.3581249604450783E-3</v>
      </c>
      <c r="F164" s="308">
        <v>9.5249738539274886E-3</v>
      </c>
      <c r="G164" s="309">
        <v>9.7141169118050985E-3</v>
      </c>
    </row>
    <row r="165" spans="1:7">
      <c r="A165" s="39" t="s">
        <v>1935</v>
      </c>
      <c r="B165" s="96"/>
      <c r="C165" s="308">
        <v>4.1168179797645518E-2</v>
      </c>
      <c r="D165" s="306"/>
      <c r="E165" s="308">
        <v>4.095485618623651E-2</v>
      </c>
      <c r="F165" s="308">
        <v>4.1168179797645518E-2</v>
      </c>
      <c r="G165" s="309">
        <v>4.1985680772828896E-2</v>
      </c>
    </row>
    <row r="166" spans="1:7">
      <c r="A166" s="39" t="s">
        <v>1936</v>
      </c>
      <c r="B166" s="96"/>
      <c r="C166" s="308">
        <v>7.6466090232770068E-2</v>
      </c>
      <c r="D166" s="306"/>
      <c r="E166" s="306"/>
      <c r="F166" s="308">
        <v>7.6466090232770068E-2</v>
      </c>
      <c r="G166" s="309">
        <v>7.7984522761023953E-2</v>
      </c>
    </row>
    <row r="167" spans="1:7">
      <c r="A167" s="39" t="s">
        <v>1933</v>
      </c>
      <c r="B167" s="96"/>
      <c r="C167" s="311">
        <v>718.59566871800223</v>
      </c>
      <c r="D167" s="312">
        <v>710.35833962905917</v>
      </c>
      <c r="E167" s="312">
        <v>738.33891174391783</v>
      </c>
      <c r="F167" s="312">
        <v>751.57893292630195</v>
      </c>
      <c r="G167" s="313">
        <v>766.50348177967817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9.8037775358665534E-5</v>
      </c>
      <c r="E170" s="308">
        <v>1E-4</v>
      </c>
      <c r="F170" s="308">
        <v>1.0178293081346581E-4</v>
      </c>
      <c r="G170" s="309">
        <v>1.0380409486798612E-4</v>
      </c>
    </row>
    <row r="171" spans="1:7">
      <c r="A171" s="39" t="s">
        <v>1931</v>
      </c>
      <c r="B171" s="96"/>
      <c r="C171" s="308">
        <v>96.209761314698</v>
      </c>
      <c r="D171" s="306"/>
      <c r="E171" s="308">
        <v>96.209761314698</v>
      </c>
      <c r="F171" s="308">
        <v>97.925114794739656</v>
      </c>
      <c r="G171" s="309">
        <v>99.869671907372123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1.0178293081346581E-4</v>
      </c>
      <c r="G172" s="309">
        <v>1.0380409486798612E-4</v>
      </c>
    </row>
    <row r="173" spans="1:7">
      <c r="A173" s="39" t="s">
        <v>1935</v>
      </c>
      <c r="B173" s="96"/>
      <c r="C173" s="308">
        <v>1E-4</v>
      </c>
      <c r="D173" s="306"/>
      <c r="E173" s="308">
        <v>9.948182403871738E-5</v>
      </c>
      <c r="F173" s="308">
        <v>1E-4</v>
      </c>
      <c r="G173" s="309">
        <v>1.0198575933937729E-4</v>
      </c>
    </row>
    <row r="174" spans="1:7">
      <c r="A174" s="39" t="s">
        <v>1936</v>
      </c>
      <c r="B174" s="96"/>
      <c r="C174" s="308">
        <v>100.90023868530201</v>
      </c>
      <c r="D174" s="306"/>
      <c r="E174" s="306"/>
      <c r="F174" s="308">
        <v>100.90023868530201</v>
      </c>
      <c r="G174" s="309">
        <v>102.90387459844936</v>
      </c>
    </row>
    <row r="175" spans="1:7">
      <c r="A175" s="39" t="s">
        <v>1933</v>
      </c>
      <c r="B175" s="96"/>
      <c r="C175" s="311">
        <v>197.11030000000002</v>
      </c>
      <c r="D175" s="312">
        <v>9.8037775358665534E-5</v>
      </c>
      <c r="E175" s="312">
        <v>96.210060796522043</v>
      </c>
      <c r="F175" s="312">
        <v>198.82565704590331</v>
      </c>
      <c r="G175" s="313">
        <v>202.77385609977057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3671.8978763392415</v>
      </c>
      <c r="D181" s="306">
        <v>3671.8978763392415</v>
      </c>
      <c r="E181" s="306">
        <v>3776.9638900583232</v>
      </c>
      <c r="F181" s="306">
        <v>3844.3045430676502</v>
      </c>
      <c r="G181" s="307">
        <v>3920.6431795657213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18.066926320085997</v>
      </c>
      <c r="D183" s="306">
        <v>17.712412639901526</v>
      </c>
      <c r="E183" s="306">
        <v>18.066926320085997</v>
      </c>
      <c r="F183" s="306">
        <v>18.389047116492975</v>
      </c>
      <c r="G183" s="307">
        <v>18.754209337031224</v>
      </c>
    </row>
    <row r="184" spans="1:7">
      <c r="A184" s="39" t="s">
        <v>1931</v>
      </c>
      <c r="C184" s="306">
        <v>103.99117706749018</v>
      </c>
      <c r="D184" s="306">
        <v>0</v>
      </c>
      <c r="E184" s="306">
        <v>103.99117706749018</v>
      </c>
      <c r="F184" s="306">
        <v>105.84526780671224</v>
      </c>
      <c r="G184" s="307">
        <v>107.94710009747293</v>
      </c>
    </row>
    <row r="185" spans="1:7">
      <c r="A185" s="39" t="s">
        <v>1932</v>
      </c>
      <c r="C185" s="306">
        <v>9.4581249604450777E-3</v>
      </c>
      <c r="D185" s="306">
        <v>0</v>
      </c>
      <c r="E185" s="306">
        <v>9.4581249604450777E-3</v>
      </c>
      <c r="F185" s="306">
        <v>9.6267567847409547E-3</v>
      </c>
      <c r="G185" s="307">
        <v>9.8179210066730842E-3</v>
      </c>
    </row>
    <row r="186" spans="1:7">
      <c r="A186" s="39" t="s">
        <v>1935</v>
      </c>
      <c r="C186" s="306">
        <v>4.1268179797645521E-2</v>
      </c>
      <c r="D186" s="306">
        <v>0</v>
      </c>
      <c r="E186" s="306">
        <v>4.1054338010275228E-2</v>
      </c>
      <c r="F186" s="306">
        <v>4.1268179797645521E-2</v>
      </c>
      <c r="G186" s="307">
        <v>4.2087666532168271E-2</v>
      </c>
    </row>
    <row r="187" spans="1:7" ht="15" thickBot="1">
      <c r="A187" s="39" t="s">
        <v>1936</v>
      </c>
      <c r="C187" s="306">
        <v>100.97670477553478</v>
      </c>
      <c r="D187" s="306">
        <v>0</v>
      </c>
      <c r="E187" s="306">
        <v>0</v>
      </c>
      <c r="F187" s="306">
        <v>100.97670477553478</v>
      </c>
      <c r="G187" s="307">
        <v>102.98185912121039</v>
      </c>
    </row>
    <row r="188" spans="1:7" ht="15" thickBot="1">
      <c r="A188" s="39" t="s">
        <v>115</v>
      </c>
      <c r="C188" s="314">
        <v>3894.9834108071109</v>
      </c>
      <c r="D188" s="315">
        <v>3689.6102889791432</v>
      </c>
      <c r="E188" s="315">
        <v>3899.0725059088704</v>
      </c>
      <c r="F188" s="315">
        <v>4069.5664577029729</v>
      </c>
      <c r="G188" s="316">
        <v>4150.3782537089746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105.06601371908226</v>
      </c>
      <c r="E190" s="306">
        <v>69.517033176780217</v>
      </c>
      <c r="F190" s="306">
        <v>80.811796006001387</v>
      </c>
      <c r="G190" s="307">
        <v>255.39484290186385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3894.9834108071109</v>
      </c>
      <c r="D202" s="315">
        <v>3689.6102889791432</v>
      </c>
      <c r="E202" s="315">
        <v>3899.0725059088704</v>
      </c>
      <c r="F202" s="315">
        <v>4069.5664577029729</v>
      </c>
      <c r="G202" s="316">
        <v>4150.3782537089746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105.06601371908226</v>
      </c>
      <c r="E204" s="318">
        <v>69.517033176780217</v>
      </c>
      <c r="F204" s="318">
        <v>80.811796006001387</v>
      </c>
      <c r="G204" s="319">
        <v>255.39484290186385</v>
      </c>
    </row>
    <row r="205" spans="1:7" ht="15" thickBot="1">
      <c r="C205" s="29"/>
      <c r="D205" s="29"/>
      <c r="E205" s="29"/>
      <c r="F205" s="29"/>
      <c r="G205" s="29"/>
    </row>
    <row r="206" spans="1:7" ht="16.2" thickBot="1">
      <c r="A206" s="89" t="s">
        <v>9227</v>
      </c>
      <c r="B206" s="90"/>
      <c r="C206" s="90"/>
      <c r="D206" s="90"/>
      <c r="E206" s="90"/>
      <c r="F206" s="90"/>
      <c r="G206" s="91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39"/>
      <c r="B208" s="62"/>
      <c r="C208" s="62"/>
      <c r="D208" s="62"/>
      <c r="E208" s="60" t="s">
        <v>1912</v>
      </c>
      <c r="F208" s="62"/>
      <c r="G208" s="43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C212" s="328"/>
      <c r="D212" s="329"/>
      <c r="E212" s="329" t="s">
        <v>1979</v>
      </c>
      <c r="F212" s="329"/>
      <c r="G212" s="330"/>
    </row>
    <row r="213" spans="1:7">
      <c r="A213" s="39" t="s">
        <v>1923</v>
      </c>
      <c r="C213" s="29"/>
      <c r="D213" s="29"/>
      <c r="E213" s="299">
        <v>1.0283128629156855</v>
      </c>
      <c r="F213" s="299">
        <v>1.0181491085303913</v>
      </c>
      <c r="G213" s="300">
        <v>1.0201401406541284</v>
      </c>
    </row>
    <row r="214" spans="1:7">
      <c r="A214" s="39" t="s">
        <v>1924</v>
      </c>
      <c r="C214" s="29"/>
      <c r="D214" s="301">
        <v>0.98065791324303153</v>
      </c>
      <c r="E214" s="301">
        <v>0.99486667506619886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2843.5622308308102</v>
      </c>
      <c r="D217" s="304">
        <v>2843.5622308308102</v>
      </c>
      <c r="E217" s="304">
        <v>2924.0716184645439</v>
      </c>
      <c r="F217" s="304">
        <v>2977.1409116186937</v>
      </c>
      <c r="G217" s="305">
        <v>3037.1009483258545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174.70873613844043</v>
      </c>
      <c r="D220" s="308">
        <v>174.70873613844043</v>
      </c>
      <c r="E220" s="308">
        <v>179.65524063490076</v>
      </c>
      <c r="F220" s="308">
        <v>182.91582309523716</v>
      </c>
      <c r="G220" s="309">
        <v>186.5997735002409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3.0903113107374779E-2</v>
      </c>
      <c r="D222" s="310">
        <v>3.0305382412591526E-2</v>
      </c>
      <c r="E222" s="308">
        <v>3.0903113107374779E-2</v>
      </c>
      <c r="F222" s="308">
        <v>3.1463977061087479E-2</v>
      </c>
      <c r="G222" s="309">
        <v>3.2097665984636051E-2</v>
      </c>
    </row>
    <row r="223" spans="1:7">
      <c r="A223" s="39" t="s">
        <v>1931</v>
      </c>
      <c r="B223" s="96"/>
      <c r="C223" s="308">
        <v>2.5055398294514614E-2</v>
      </c>
      <c r="D223" s="306"/>
      <c r="E223" s="308">
        <v>2.5055398294514614E-2</v>
      </c>
      <c r="F223" s="308">
        <v>2.5510131437433942E-2</v>
      </c>
      <c r="G223" s="309">
        <v>2.6023909072689165E-2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174.76469464984231</v>
      </c>
      <c r="D225" s="312">
        <v>174.73904152085302</v>
      </c>
      <c r="E225" s="312">
        <v>179.71119914630265</v>
      </c>
      <c r="F225" s="312">
        <v>182.97279720373569</v>
      </c>
      <c r="G225" s="313">
        <v>186.6578950752982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781.53144412906909</v>
      </c>
      <c r="D228" s="308">
        <v>781.53144412906909</v>
      </c>
      <c r="E228" s="308">
        <v>803.65883677099316</v>
      </c>
      <c r="F228" s="308">
        <v>818.24452822095793</v>
      </c>
      <c r="G228" s="309">
        <v>834.72408810879892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19.869470583030786</v>
      </c>
      <c r="D230" s="308">
        <v>19.485153559198771</v>
      </c>
      <c r="E230" s="308">
        <v>19.869470583030786</v>
      </c>
      <c r="F230" s="308">
        <v>20.23008376108363</v>
      </c>
      <c r="G230" s="309">
        <v>20.637520493476654</v>
      </c>
    </row>
    <row r="231" spans="1:7">
      <c r="A231" s="39" t="s">
        <v>1931</v>
      </c>
      <c r="B231" s="96"/>
      <c r="C231" s="308">
        <v>8.5449144472045244</v>
      </c>
      <c r="D231" s="306"/>
      <c r="E231" s="308">
        <v>8.5449144472045244</v>
      </c>
      <c r="F231" s="308">
        <v>8.6999970268897489</v>
      </c>
      <c r="G231" s="309">
        <v>8.8752161907018063</v>
      </c>
    </row>
    <row r="232" spans="1:7">
      <c r="A232" s="39" t="s">
        <v>1932</v>
      </c>
      <c r="B232" s="96"/>
      <c r="C232" s="308">
        <v>1.0309431066225009E-2</v>
      </c>
      <c r="D232" s="306"/>
      <c r="E232" s="308">
        <v>1.0309431066225009E-2</v>
      </c>
      <c r="F232" s="308">
        <v>1.0496538049532515E-2</v>
      </c>
      <c r="G232" s="309">
        <v>1.070793980223151E-2</v>
      </c>
    </row>
    <row r="233" spans="1:7">
      <c r="A233" s="39" t="s">
        <v>1935</v>
      </c>
      <c r="B233" s="96"/>
      <c r="C233" s="308">
        <v>4.5353157127065953E-2</v>
      </c>
      <c r="D233" s="306"/>
      <c r="E233" s="308">
        <v>4.5120344634758981E-2</v>
      </c>
      <c r="F233" s="308">
        <v>4.5353157127065953E-2</v>
      </c>
      <c r="G233" s="309">
        <v>4.626657609071385E-2</v>
      </c>
    </row>
    <row r="234" spans="1:7">
      <c r="A234" s="39" t="s">
        <v>1936</v>
      </c>
      <c r="B234" s="96"/>
      <c r="C234" s="308">
        <v>8.4239298950437538E-2</v>
      </c>
      <c r="D234" s="306"/>
      <c r="E234" s="306"/>
      <c r="F234" s="308">
        <v>8.4239298950437538E-2</v>
      </c>
      <c r="G234" s="309">
        <v>8.5935890279904517E-2</v>
      </c>
    </row>
    <row r="235" spans="1:7">
      <c r="A235" s="39" t="s">
        <v>1933</v>
      </c>
      <c r="B235" s="96"/>
      <c r="C235" s="311">
        <v>810.08573104644813</v>
      </c>
      <c r="D235" s="312">
        <v>801.01659768826789</v>
      </c>
      <c r="E235" s="312">
        <v>832.12865157692943</v>
      </c>
      <c r="F235" s="312">
        <v>847.31469800305831</v>
      </c>
      <c r="G235" s="313">
        <v>864.37973519915033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9.8065791324303153E-5</v>
      </c>
      <c r="E238" s="308">
        <v>1E-4</v>
      </c>
      <c r="F238" s="308">
        <v>1.0181491085303914E-4</v>
      </c>
      <c r="G238" s="309">
        <v>1.0386547747830689E-4</v>
      </c>
    </row>
    <row r="239" spans="1:7">
      <c r="A239" s="39" t="s">
        <v>1931</v>
      </c>
      <c r="B239" s="96"/>
      <c r="C239" s="308">
        <v>96.209761314698</v>
      </c>
      <c r="D239" s="306"/>
      <c r="E239" s="308">
        <v>96.209761314698</v>
      </c>
      <c r="F239" s="308">
        <v>97.95588271448149</v>
      </c>
      <c r="G239" s="309">
        <v>99.928727970250449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1.0181491085303914E-4</v>
      </c>
      <c r="G240" s="309">
        <v>1.0386547747830689E-4</v>
      </c>
    </row>
    <row r="241" spans="1:7">
      <c r="A241" s="39" t="s">
        <v>1935</v>
      </c>
      <c r="B241" s="96"/>
      <c r="C241" s="308">
        <v>1E-4</v>
      </c>
      <c r="D241" s="306"/>
      <c r="E241" s="308">
        <v>9.9486667506619886E-5</v>
      </c>
      <c r="F241" s="308">
        <v>1E-4</v>
      </c>
      <c r="G241" s="309">
        <v>1.0201401406541285E-4</v>
      </c>
    </row>
    <row r="242" spans="1:7">
      <c r="A242" s="39" t="s">
        <v>1936</v>
      </c>
      <c r="B242" s="96"/>
      <c r="C242" s="308">
        <v>100.90023868530201</v>
      </c>
      <c r="D242" s="306"/>
      <c r="E242" s="306"/>
      <c r="F242" s="308">
        <v>100.90023868530201</v>
      </c>
      <c r="G242" s="309">
        <v>102.93238368445913</v>
      </c>
    </row>
    <row r="243" spans="1:7">
      <c r="A243" s="39" t="s">
        <v>1933</v>
      </c>
      <c r="B243" s="96"/>
      <c r="C243" s="311">
        <v>197.11030000000002</v>
      </c>
      <c r="D243" s="312">
        <v>9.8065791324303153E-5</v>
      </c>
      <c r="E243" s="312">
        <v>96.210060801365515</v>
      </c>
      <c r="F243" s="312">
        <v>198.85642502960519</v>
      </c>
      <c r="G243" s="313">
        <v>202.86142139967859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3799.8024110983197</v>
      </c>
      <c r="D249" s="306">
        <v>3799.8024110983197</v>
      </c>
      <c r="E249" s="306">
        <v>3907.3856958704378</v>
      </c>
      <c r="F249" s="306">
        <v>3978.3012629348887</v>
      </c>
      <c r="G249" s="307">
        <v>4058.4248099348943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19.90047369613816</v>
      </c>
      <c r="D251" s="306">
        <v>19.515557007402688</v>
      </c>
      <c r="E251" s="306">
        <v>19.90047369613816</v>
      </c>
      <c r="F251" s="306">
        <v>20.26164955305557</v>
      </c>
      <c r="G251" s="307">
        <v>20.669722024938768</v>
      </c>
    </row>
    <row r="252" spans="1:7">
      <c r="A252" s="39" t="s">
        <v>1931</v>
      </c>
      <c r="C252" s="306">
        <v>104.77973116019703</v>
      </c>
      <c r="D252" s="306">
        <v>0</v>
      </c>
      <c r="E252" s="306">
        <v>104.77973116019703</v>
      </c>
      <c r="F252" s="306">
        <v>106.68138987280867</v>
      </c>
      <c r="G252" s="307">
        <v>108.82996807002495</v>
      </c>
    </row>
    <row r="253" spans="1:7">
      <c r="A253" s="39" t="s">
        <v>1932</v>
      </c>
      <c r="C253" s="306">
        <v>1.0409431066225008E-2</v>
      </c>
      <c r="D253" s="306">
        <v>0</v>
      </c>
      <c r="E253" s="306">
        <v>1.0409431066225008E-2</v>
      </c>
      <c r="F253" s="306">
        <v>1.0598352960385554E-2</v>
      </c>
      <c r="G253" s="307">
        <v>1.0811805279709817E-2</v>
      </c>
    </row>
    <row r="254" spans="1:7">
      <c r="A254" s="39" t="s">
        <v>1935</v>
      </c>
      <c r="C254" s="306">
        <v>4.5453157127065956E-2</v>
      </c>
      <c r="D254" s="306">
        <v>0</v>
      </c>
      <c r="E254" s="306">
        <v>4.5219831302265603E-2</v>
      </c>
      <c r="F254" s="306">
        <v>4.5453157127065956E-2</v>
      </c>
      <c r="G254" s="307">
        <v>4.6368590104779263E-2</v>
      </c>
    </row>
    <row r="255" spans="1:7" ht="15" thickBot="1">
      <c r="A255" s="39" t="s">
        <v>1936</v>
      </c>
      <c r="C255" s="306">
        <v>100.98447798425245</v>
      </c>
      <c r="D255" s="306">
        <v>0</v>
      </c>
      <c r="E255" s="306">
        <v>0</v>
      </c>
      <c r="F255" s="306">
        <v>100.98447798425245</v>
      </c>
      <c r="G255" s="307">
        <v>103.01831957473902</v>
      </c>
    </row>
    <row r="256" spans="1:7" ht="15" thickBot="1">
      <c r="A256" s="39" t="s">
        <v>115</v>
      </c>
      <c r="C256" s="314">
        <v>4025.5229565271011</v>
      </c>
      <c r="D256" s="315">
        <v>3819.3179681057222</v>
      </c>
      <c r="E256" s="315">
        <v>4032.1215299891419</v>
      </c>
      <c r="F256" s="315">
        <v>4206.2848318550923</v>
      </c>
      <c r="G256" s="316">
        <v>4290.9999999999809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107.58328477211754</v>
      </c>
      <c r="E258" s="306">
        <v>73.178590555874877</v>
      </c>
      <c r="F258" s="306">
        <v>84.715168144888779</v>
      </c>
      <c r="G258" s="307">
        <v>265.47704347288118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4025.5229565271011</v>
      </c>
      <c r="D270" s="315">
        <v>3819.3179681057222</v>
      </c>
      <c r="E270" s="315">
        <v>4032.1215299891419</v>
      </c>
      <c r="F270" s="315">
        <v>4206.2848318550923</v>
      </c>
      <c r="G270" s="316">
        <v>4290.9999999999809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107.58328477211754</v>
      </c>
      <c r="E272" s="318">
        <v>73.178590555874877</v>
      </c>
      <c r="F272" s="318">
        <v>84.715168144888779</v>
      </c>
      <c r="G272" s="319">
        <v>265.47704347288118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8" tint="0.59999389629810485"/>
  </sheetPr>
  <dimension ref="A1:I272"/>
  <sheetViews>
    <sheetView tabSelected="1" showOutlineSymbols="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9" ht="15" thickBot="1"/>
    <row r="2" spans="1:9" ht="16.2" thickBot="1">
      <c r="A2" s="89" t="s">
        <v>9228</v>
      </c>
      <c r="B2" s="90"/>
      <c r="C2" s="90"/>
      <c r="D2" s="90"/>
      <c r="E2" s="90"/>
      <c r="F2" s="90"/>
      <c r="G2" s="91"/>
    </row>
    <row r="3" spans="1:9">
      <c r="A3" s="92"/>
      <c r="B3" s="93"/>
      <c r="C3" s="93"/>
      <c r="D3" s="93"/>
      <c r="E3" s="93"/>
      <c r="F3" s="93"/>
      <c r="G3" s="94"/>
    </row>
    <row r="4" spans="1:9">
      <c r="A4" s="39"/>
      <c r="B4" s="62"/>
      <c r="C4" s="62"/>
      <c r="D4" s="62"/>
      <c r="E4" s="60" t="s">
        <v>1912</v>
      </c>
      <c r="F4" s="62"/>
      <c r="G4" s="43"/>
    </row>
    <row r="5" spans="1:9">
      <c r="A5" s="98"/>
      <c r="B5" s="96"/>
      <c r="C5" s="96"/>
      <c r="D5" s="96"/>
      <c r="E5" s="96"/>
      <c r="F5" s="96"/>
      <c r="G5" s="97"/>
    </row>
    <row r="6" spans="1:9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9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9">
      <c r="A8" s="39"/>
      <c r="D8" s="99"/>
      <c r="E8" s="99" t="s">
        <v>1979</v>
      </c>
      <c r="F8" s="99"/>
      <c r="G8" s="100"/>
    </row>
    <row r="9" spans="1:9">
      <c r="A9" s="39" t="s">
        <v>1923</v>
      </c>
      <c r="C9" s="29"/>
      <c r="D9" s="29"/>
      <c r="E9" s="299">
        <v>1.0293796407542448</v>
      </c>
      <c r="F9" s="299">
        <v>1.0172001263373986</v>
      </c>
      <c r="G9" s="300">
        <v>1.0192794197760329</v>
      </c>
      <c r="I9" s="29" t="s">
        <v>116</v>
      </c>
    </row>
    <row r="10" spans="1:9">
      <c r="A10" s="39" t="s">
        <v>1924</v>
      </c>
      <c r="C10" s="29"/>
      <c r="D10" s="301">
        <v>0.97972107688063226</v>
      </c>
      <c r="E10" s="301">
        <v>0.99470911628118086</v>
      </c>
      <c r="F10" s="29"/>
      <c r="G10" s="302"/>
    </row>
    <row r="11" spans="1:9">
      <c r="A11" s="39"/>
      <c r="C11" s="29"/>
      <c r="D11" s="29"/>
      <c r="E11" s="29"/>
      <c r="F11" s="29"/>
      <c r="G11" s="302"/>
    </row>
    <row r="12" spans="1:9">
      <c r="A12" s="39" t="s">
        <v>1925</v>
      </c>
      <c r="C12" s="29"/>
      <c r="D12" s="29"/>
      <c r="E12" s="29"/>
      <c r="F12" s="29"/>
      <c r="G12" s="302"/>
    </row>
    <row r="13" spans="1:9">
      <c r="A13" s="39" t="s">
        <v>1926</v>
      </c>
      <c r="B13" s="96"/>
      <c r="C13" s="303">
        <v>2374.3215570674161</v>
      </c>
      <c r="D13" s="304">
        <v>2374.3215570674161</v>
      </c>
      <c r="E13" s="304">
        <v>2444.0782714491161</v>
      </c>
      <c r="F13" s="304">
        <v>2486.1167264965316</v>
      </c>
      <c r="G13" s="305">
        <v>2534.0476144788749</v>
      </c>
    </row>
    <row r="14" spans="1:9">
      <c r="A14" s="39"/>
      <c r="C14" s="306"/>
      <c r="D14" s="306"/>
      <c r="E14" s="306"/>
      <c r="F14" s="306"/>
      <c r="G14" s="307"/>
    </row>
    <row r="15" spans="1:9">
      <c r="A15" s="39" t="s">
        <v>1927</v>
      </c>
      <c r="C15" s="306"/>
      <c r="D15" s="306"/>
      <c r="E15" s="306"/>
      <c r="F15" s="306"/>
      <c r="G15" s="307"/>
    </row>
    <row r="16" spans="1:9">
      <c r="A16" s="39" t="s">
        <v>1928</v>
      </c>
      <c r="B16" s="96"/>
      <c r="C16" s="308">
        <v>201.969119011988</v>
      </c>
      <c r="D16" s="308">
        <v>201.969119011988</v>
      </c>
      <c r="E16" s="308">
        <v>207.90289917201153</v>
      </c>
      <c r="F16" s="308">
        <v>211.47885530368157</v>
      </c>
      <c r="G16" s="309">
        <v>215.55604492883617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3.5569390312023524E-2</v>
      </c>
      <c r="D18" s="310">
        <v>3.4848081380483217E-2</v>
      </c>
      <c r="E18" s="308">
        <v>3.5569390312023524E-2</v>
      </c>
      <c r="F18" s="308">
        <v>3.6181188319134576E-2</v>
      </c>
      <c r="G18" s="309">
        <v>3.6878740636734866E-2</v>
      </c>
    </row>
    <row r="19" spans="1:7">
      <c r="A19" s="39" t="s">
        <v>1931</v>
      </c>
      <c r="B19" s="96"/>
      <c r="C19" s="308">
        <v>2.8838688136831107E-2</v>
      </c>
      <c r="D19" s="306"/>
      <c r="E19" s="308">
        <v>2.8838688136831107E-2</v>
      </c>
      <c r="F19" s="308">
        <v>2.9334717216189441E-2</v>
      </c>
      <c r="G19" s="309">
        <v>2.9900273543411574E-2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202.03352709043685</v>
      </c>
      <c r="D21" s="312">
        <v>202.00396709336849</v>
      </c>
      <c r="E21" s="312">
        <v>207.96730725046038</v>
      </c>
      <c r="F21" s="312">
        <v>211.54437120921691</v>
      </c>
      <c r="G21" s="313">
        <v>215.6228239430163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827.51446717150282</v>
      </c>
      <c r="D24" s="308">
        <v>827.51446717150282</v>
      </c>
      <c r="E24" s="308">
        <v>851.82654493594191</v>
      </c>
      <c r="F24" s="308">
        <v>866.47806912638987</v>
      </c>
      <c r="G24" s="309">
        <v>883.18326354780402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19.95163462844771</v>
      </c>
      <c r="D26" s="308">
        <v>19.547036963711705</v>
      </c>
      <c r="E26" s="308">
        <v>19.95163462844771</v>
      </c>
      <c r="F26" s="308">
        <v>20.294805264694627</v>
      </c>
      <c r="G26" s="309">
        <v>20.686077334665516</v>
      </c>
    </row>
    <row r="27" spans="1:7">
      <c r="A27" s="39" t="s">
        <v>1931</v>
      </c>
      <c r="B27" s="96"/>
      <c r="C27" s="308">
        <v>8.580249296001325</v>
      </c>
      <c r="D27" s="306"/>
      <c r="E27" s="308">
        <v>8.580249296001325</v>
      </c>
      <c r="F27" s="308">
        <v>8.7278306678989228</v>
      </c>
      <c r="G27" s="309">
        <v>8.8960981790794786</v>
      </c>
    </row>
    <row r="28" spans="1:7">
      <c r="A28" s="39" t="s">
        <v>1932</v>
      </c>
      <c r="B28" s="96"/>
      <c r="C28" s="308">
        <v>1.0352062527330541E-2</v>
      </c>
      <c r="D28" s="306"/>
      <c r="E28" s="308">
        <v>1.0352062527330541E-2</v>
      </c>
      <c r="F28" s="308">
        <v>1.0530119310653277E-2</v>
      </c>
      <c r="G28" s="309">
        <v>1.0733133901135072E-2</v>
      </c>
    </row>
    <row r="29" spans="1:7">
      <c r="A29" s="39" t="s">
        <v>1935</v>
      </c>
      <c r="B29" s="96"/>
      <c r="C29" s="308">
        <v>4.5540701070243363E-2</v>
      </c>
      <c r="D29" s="306"/>
      <c r="E29" s="308">
        <v>4.5299750516407201E-2</v>
      </c>
      <c r="F29" s="308">
        <v>4.5540701070243363E-2</v>
      </c>
      <c r="G29" s="309">
        <v>4.6418699363071414E-2</v>
      </c>
    </row>
    <row r="30" spans="1:7">
      <c r="A30" s="39" t="s">
        <v>1936</v>
      </c>
      <c r="B30" s="96"/>
      <c r="C30" s="308">
        <v>8.4587644496733325E-2</v>
      </c>
      <c r="D30" s="306"/>
      <c r="E30" s="306"/>
      <c r="F30" s="308">
        <v>8.4587644496733325E-2</v>
      </c>
      <c r="G30" s="309">
        <v>8.6218445202851685E-2</v>
      </c>
    </row>
    <row r="31" spans="1:7">
      <c r="A31" s="39" t="s">
        <v>1933</v>
      </c>
      <c r="B31" s="96"/>
      <c r="C31" s="311">
        <v>856.18683150404604</v>
      </c>
      <c r="D31" s="312">
        <v>847.06150413521448</v>
      </c>
      <c r="E31" s="312">
        <v>880.41408067343457</v>
      </c>
      <c r="F31" s="312">
        <v>895.64136352386106</v>
      </c>
      <c r="G31" s="313">
        <v>912.90880934001586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9.7972107688063236E-5</v>
      </c>
      <c r="E34" s="308">
        <v>1E-4</v>
      </c>
      <c r="F34" s="308">
        <v>1.0172001263373987E-4</v>
      </c>
      <c r="G34" s="309">
        <v>1.0368111545692912E-4</v>
      </c>
    </row>
    <row r="35" spans="1:7">
      <c r="A35" s="39" t="s">
        <v>1931</v>
      </c>
      <c r="B35" s="96"/>
      <c r="C35" s="308">
        <v>98.025500303540142</v>
      </c>
      <c r="D35" s="306"/>
      <c r="E35" s="308">
        <v>98.025500303540142</v>
      </c>
      <c r="F35" s="308">
        <v>99.711551293047748</v>
      </c>
      <c r="G35" s="309">
        <v>101.63393214694585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1.0172001263373987E-4</v>
      </c>
      <c r="G36" s="309">
        <v>1.0368111545692912E-4</v>
      </c>
    </row>
    <row r="37" spans="1:7">
      <c r="A37" s="39" t="s">
        <v>1935</v>
      </c>
      <c r="B37" s="96"/>
      <c r="C37" s="308">
        <v>1E-4</v>
      </c>
      <c r="D37" s="306"/>
      <c r="E37" s="308">
        <v>9.9470911628118095E-5</v>
      </c>
      <c r="F37" s="308">
        <v>1E-4</v>
      </c>
      <c r="G37" s="309">
        <v>1.0192794197760329E-4</v>
      </c>
    </row>
    <row r="38" spans="1:7">
      <c r="A38" s="39" t="s">
        <v>1936</v>
      </c>
      <c r="B38" s="96"/>
      <c r="C38" s="308">
        <v>102.80449969645986</v>
      </c>
      <c r="D38" s="306"/>
      <c r="E38" s="306"/>
      <c r="F38" s="308">
        <v>102.80449969645986</v>
      </c>
      <c r="G38" s="309">
        <v>104.78651080097295</v>
      </c>
    </row>
    <row r="39" spans="1:7">
      <c r="A39" s="39" t="s">
        <v>1933</v>
      </c>
      <c r="B39" s="96"/>
      <c r="C39" s="311">
        <v>200.83030000000002</v>
      </c>
      <c r="D39" s="312">
        <v>9.7972107688063236E-5</v>
      </c>
      <c r="E39" s="312">
        <v>98.02579977445177</v>
      </c>
      <c r="F39" s="312">
        <v>202.5163544295329</v>
      </c>
      <c r="G39" s="313">
        <v>206.42075223809172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3403.8051432509069</v>
      </c>
      <c r="D45" s="306">
        <v>3403.8051432509069</v>
      </c>
      <c r="E45" s="306">
        <v>3503.8077155570695</v>
      </c>
      <c r="F45" s="306">
        <v>3564.073650926603</v>
      </c>
      <c r="G45" s="307">
        <v>3632.7869229555154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19.987304018759733</v>
      </c>
      <c r="D47" s="306">
        <v>19.581983017199878</v>
      </c>
      <c r="E47" s="306">
        <v>19.987304018759733</v>
      </c>
      <c r="F47" s="306">
        <v>20.331088173026394</v>
      </c>
      <c r="G47" s="307">
        <v>20.723059756417708</v>
      </c>
    </row>
    <row r="48" spans="1:7">
      <c r="A48" s="39" t="s">
        <v>1931</v>
      </c>
      <c r="C48" s="306">
        <v>106.6345882876783</v>
      </c>
      <c r="D48" s="306">
        <v>0</v>
      </c>
      <c r="E48" s="306">
        <v>106.6345882876783</v>
      </c>
      <c r="F48" s="306">
        <v>108.46871667816286</v>
      </c>
      <c r="G48" s="307">
        <v>110.55993059956874</v>
      </c>
    </row>
    <row r="49" spans="1:7">
      <c r="A49" s="39" t="s">
        <v>1932</v>
      </c>
      <c r="C49" s="306">
        <v>1.045206252733054E-2</v>
      </c>
      <c r="D49" s="306">
        <v>0</v>
      </c>
      <c r="E49" s="306">
        <v>1.045206252733054E-2</v>
      </c>
      <c r="F49" s="306">
        <v>1.0631839323287016E-2</v>
      </c>
      <c r="G49" s="307">
        <v>1.0836815016592E-2</v>
      </c>
    </row>
    <row r="50" spans="1:7">
      <c r="A50" s="39" t="s">
        <v>1935</v>
      </c>
      <c r="C50" s="306">
        <v>4.5640701070243365E-2</v>
      </c>
      <c r="D50" s="306">
        <v>0</v>
      </c>
      <c r="E50" s="306">
        <v>4.5399221428035319E-2</v>
      </c>
      <c r="F50" s="306">
        <v>4.5640701070243365E-2</v>
      </c>
      <c r="G50" s="307">
        <v>4.6520627305049016E-2</v>
      </c>
    </row>
    <row r="51" spans="1:7" ht="15" thickBot="1">
      <c r="A51" s="39" t="s">
        <v>1936</v>
      </c>
      <c r="C51" s="306">
        <v>102.88908734095659</v>
      </c>
      <c r="D51" s="306">
        <v>0</v>
      </c>
      <c r="E51" s="306">
        <v>0</v>
      </c>
      <c r="F51" s="306">
        <v>102.88908734095659</v>
      </c>
      <c r="G51" s="307">
        <v>104.87272924617579</v>
      </c>
    </row>
    <row r="52" spans="1:7" ht="15" thickBot="1">
      <c r="A52" s="39" t="s">
        <v>115</v>
      </c>
      <c r="C52" s="314">
        <v>3633.3722156618992</v>
      </c>
      <c r="D52" s="315">
        <v>3423.3871262681068</v>
      </c>
      <c r="E52" s="315">
        <v>3630.4854591474632</v>
      </c>
      <c r="F52" s="315">
        <v>3795.8188156591418</v>
      </c>
      <c r="G52" s="316">
        <v>3868.9999999999995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100.00257230616225</v>
      </c>
      <c r="E54" s="306">
        <v>62.444027691081075</v>
      </c>
      <c r="F54" s="306">
        <v>73.181184340856831</v>
      </c>
      <c r="G54" s="307">
        <v>235.62778433810013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3633.3722156618992</v>
      </c>
      <c r="D66" s="315">
        <v>3423.3871262681068</v>
      </c>
      <c r="E66" s="315">
        <v>3630.4854591474632</v>
      </c>
      <c r="F66" s="315">
        <v>3795.8188156591418</v>
      </c>
      <c r="G66" s="316">
        <v>3868.9999999999995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100.00257230616225</v>
      </c>
      <c r="E68" s="318">
        <v>62.444027691081075</v>
      </c>
      <c r="F68" s="318">
        <v>73.181184340856831</v>
      </c>
      <c r="G68" s="319">
        <v>235.62778433810013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9229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39"/>
      <c r="B72" s="62"/>
      <c r="C72" s="62"/>
      <c r="D72" s="62"/>
      <c r="E72" s="60" t="s">
        <v>1912</v>
      </c>
      <c r="F72" s="62"/>
      <c r="G72" s="43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/>
      <c r="E76" s="99" t="s">
        <v>1979</v>
      </c>
      <c r="F76" s="99"/>
      <c r="G76" s="100"/>
    </row>
    <row r="77" spans="1:7">
      <c r="A77" s="39" t="s">
        <v>1923</v>
      </c>
      <c r="C77" s="29"/>
      <c r="D77" s="29"/>
      <c r="E77" s="299">
        <v>1.0293796407542448</v>
      </c>
      <c r="F77" s="299">
        <v>1.0172001263373986</v>
      </c>
      <c r="G77" s="300">
        <v>1.0192794197760329</v>
      </c>
    </row>
    <row r="78" spans="1:7">
      <c r="A78" s="39" t="s">
        <v>1924</v>
      </c>
      <c r="C78" s="29"/>
      <c r="D78" s="301">
        <v>0.97972107688063226</v>
      </c>
      <c r="E78" s="301">
        <v>0.99470911628118086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2374.3215570674161</v>
      </c>
      <c r="D81" s="304">
        <v>2374.3215570674161</v>
      </c>
      <c r="E81" s="304">
        <v>2444.0782714491161</v>
      </c>
      <c r="F81" s="304">
        <v>2486.1167264965316</v>
      </c>
      <c r="G81" s="305">
        <v>2534.0476144788749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201.969119011988</v>
      </c>
      <c r="D84" s="308">
        <v>201.969119011988</v>
      </c>
      <c r="E84" s="308">
        <v>207.90289917201153</v>
      </c>
      <c r="F84" s="308">
        <v>211.47885530368157</v>
      </c>
      <c r="G84" s="309">
        <v>215.55604492883617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3.5569390312023524E-2</v>
      </c>
      <c r="D86" s="310">
        <v>3.4848081380483217E-2</v>
      </c>
      <c r="E86" s="308">
        <v>3.5569390312023524E-2</v>
      </c>
      <c r="F86" s="308">
        <v>3.6181188319134576E-2</v>
      </c>
      <c r="G86" s="309">
        <v>3.6878740636734866E-2</v>
      </c>
    </row>
    <row r="87" spans="1:7">
      <c r="A87" s="39" t="s">
        <v>1931</v>
      </c>
      <c r="B87" s="96"/>
      <c r="C87" s="308">
        <v>2.8838688136831107E-2</v>
      </c>
      <c r="D87" s="306"/>
      <c r="E87" s="308">
        <v>2.8838688136831107E-2</v>
      </c>
      <c r="F87" s="308">
        <v>2.9334717216189441E-2</v>
      </c>
      <c r="G87" s="309">
        <v>2.9900273543411574E-2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202.03352709043685</v>
      </c>
      <c r="D89" s="312">
        <v>202.00396709336849</v>
      </c>
      <c r="E89" s="312">
        <v>207.96730725046038</v>
      </c>
      <c r="F89" s="312">
        <v>211.54437120921691</v>
      </c>
      <c r="G89" s="313">
        <v>215.6228239430163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827.51446717150282</v>
      </c>
      <c r="D92" s="308">
        <v>827.51446717150282</v>
      </c>
      <c r="E92" s="308">
        <v>851.82654493594191</v>
      </c>
      <c r="F92" s="308">
        <v>866.47806912638987</v>
      </c>
      <c r="G92" s="309">
        <v>883.18326354780402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19.95163462844771</v>
      </c>
      <c r="D94" s="308">
        <v>19.547036963711705</v>
      </c>
      <c r="E94" s="308">
        <v>19.95163462844771</v>
      </c>
      <c r="F94" s="308">
        <v>20.294805264694627</v>
      </c>
      <c r="G94" s="309">
        <v>20.686077334665516</v>
      </c>
    </row>
    <row r="95" spans="1:7">
      <c r="A95" s="39" t="s">
        <v>1931</v>
      </c>
      <c r="B95" s="96"/>
      <c r="C95" s="308">
        <v>8.580249296001325</v>
      </c>
      <c r="D95" s="306"/>
      <c r="E95" s="308">
        <v>8.580249296001325</v>
      </c>
      <c r="F95" s="308">
        <v>8.7278306678989228</v>
      </c>
      <c r="G95" s="309">
        <v>8.8960981790794786</v>
      </c>
    </row>
    <row r="96" spans="1:7">
      <c r="A96" s="39" t="s">
        <v>1932</v>
      </c>
      <c r="B96" s="96"/>
      <c r="C96" s="308">
        <v>1.0352062527330541E-2</v>
      </c>
      <c r="D96" s="306"/>
      <c r="E96" s="308">
        <v>1.0352062527330541E-2</v>
      </c>
      <c r="F96" s="308">
        <v>1.0530119310653277E-2</v>
      </c>
      <c r="G96" s="309">
        <v>1.0733133901135072E-2</v>
      </c>
    </row>
    <row r="97" spans="1:7">
      <c r="A97" s="39" t="s">
        <v>1935</v>
      </c>
      <c r="B97" s="96"/>
      <c r="C97" s="308">
        <v>4.5540701070243363E-2</v>
      </c>
      <c r="D97" s="306"/>
      <c r="E97" s="308">
        <v>4.5299750516407201E-2</v>
      </c>
      <c r="F97" s="308">
        <v>4.5540701070243363E-2</v>
      </c>
      <c r="G97" s="309">
        <v>4.6418699363071414E-2</v>
      </c>
    </row>
    <row r="98" spans="1:7">
      <c r="A98" s="39" t="s">
        <v>1936</v>
      </c>
      <c r="B98" s="96"/>
      <c r="C98" s="308">
        <v>8.4587644496733325E-2</v>
      </c>
      <c r="D98" s="306"/>
      <c r="E98" s="306"/>
      <c r="F98" s="308">
        <v>8.4587644496733325E-2</v>
      </c>
      <c r="G98" s="309">
        <v>8.6218445202851685E-2</v>
      </c>
    </row>
    <row r="99" spans="1:7">
      <c r="A99" s="39" t="s">
        <v>1933</v>
      </c>
      <c r="B99" s="96"/>
      <c r="C99" s="311">
        <v>856.18683150404604</v>
      </c>
      <c r="D99" s="312">
        <v>847.06150413521448</v>
      </c>
      <c r="E99" s="312">
        <v>880.41408067343457</v>
      </c>
      <c r="F99" s="312">
        <v>895.64136352386106</v>
      </c>
      <c r="G99" s="313">
        <v>912.90880934001586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9.7972107688063236E-5</v>
      </c>
      <c r="E102" s="308">
        <v>1E-4</v>
      </c>
      <c r="F102" s="308">
        <v>1.0172001263373987E-4</v>
      </c>
      <c r="G102" s="309">
        <v>1.0368111545692912E-4</v>
      </c>
    </row>
    <row r="103" spans="1:7">
      <c r="A103" s="39" t="s">
        <v>1931</v>
      </c>
      <c r="B103" s="96"/>
      <c r="C103" s="308">
        <v>98.025500303540142</v>
      </c>
      <c r="D103" s="306"/>
      <c r="E103" s="308">
        <v>98.025500303540142</v>
      </c>
      <c r="F103" s="308">
        <v>99.711551293047748</v>
      </c>
      <c r="G103" s="309">
        <v>101.63393214694585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1.0172001263373987E-4</v>
      </c>
      <c r="G104" s="309">
        <v>1.0368111545692912E-4</v>
      </c>
    </row>
    <row r="105" spans="1:7">
      <c r="A105" s="39" t="s">
        <v>1935</v>
      </c>
      <c r="B105" s="96"/>
      <c r="C105" s="308">
        <v>1E-4</v>
      </c>
      <c r="D105" s="306"/>
      <c r="E105" s="308">
        <v>9.9470911628118095E-5</v>
      </c>
      <c r="F105" s="308">
        <v>1E-4</v>
      </c>
      <c r="G105" s="309">
        <v>1.0192794197760329E-4</v>
      </c>
    </row>
    <row r="106" spans="1:7">
      <c r="A106" s="39" t="s">
        <v>1936</v>
      </c>
      <c r="B106" s="96"/>
      <c r="C106" s="308">
        <v>102.80449969645986</v>
      </c>
      <c r="D106" s="306"/>
      <c r="E106" s="306"/>
      <c r="F106" s="308">
        <v>102.80449969645986</v>
      </c>
      <c r="G106" s="309">
        <v>104.78651080097295</v>
      </c>
    </row>
    <row r="107" spans="1:7">
      <c r="A107" s="39" t="s">
        <v>1933</v>
      </c>
      <c r="B107" s="96"/>
      <c r="C107" s="311">
        <v>200.83030000000002</v>
      </c>
      <c r="D107" s="312">
        <v>9.7972107688063236E-5</v>
      </c>
      <c r="E107" s="312">
        <v>98.02579977445177</v>
      </c>
      <c r="F107" s="312">
        <v>202.5163544295329</v>
      </c>
      <c r="G107" s="313">
        <v>206.42075223809172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3403.8051432509069</v>
      </c>
      <c r="D113" s="306">
        <v>3403.8051432509069</v>
      </c>
      <c r="E113" s="306">
        <v>3503.8077155570695</v>
      </c>
      <c r="F113" s="306">
        <v>3564.073650926603</v>
      </c>
      <c r="G113" s="307">
        <v>3632.7869229555154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19.987304018759733</v>
      </c>
      <c r="D115" s="306">
        <v>19.581983017199878</v>
      </c>
      <c r="E115" s="306">
        <v>19.987304018759733</v>
      </c>
      <c r="F115" s="306">
        <v>20.331088173026394</v>
      </c>
      <c r="G115" s="307">
        <v>20.723059756417708</v>
      </c>
    </row>
    <row r="116" spans="1:7">
      <c r="A116" s="39" t="s">
        <v>1931</v>
      </c>
      <c r="C116" s="306">
        <v>106.6345882876783</v>
      </c>
      <c r="D116" s="306">
        <v>0</v>
      </c>
      <c r="E116" s="306">
        <v>106.6345882876783</v>
      </c>
      <c r="F116" s="306">
        <v>108.46871667816286</v>
      </c>
      <c r="G116" s="307">
        <v>110.55993059956874</v>
      </c>
    </row>
    <row r="117" spans="1:7">
      <c r="A117" s="39" t="s">
        <v>1932</v>
      </c>
      <c r="C117" s="306">
        <v>1.045206252733054E-2</v>
      </c>
      <c r="D117" s="306">
        <v>0</v>
      </c>
      <c r="E117" s="306">
        <v>1.045206252733054E-2</v>
      </c>
      <c r="F117" s="306">
        <v>1.0631839323287016E-2</v>
      </c>
      <c r="G117" s="307">
        <v>1.0836815016592E-2</v>
      </c>
    </row>
    <row r="118" spans="1:7">
      <c r="A118" s="39" t="s">
        <v>1935</v>
      </c>
      <c r="C118" s="306">
        <v>4.5640701070243365E-2</v>
      </c>
      <c r="D118" s="306">
        <v>0</v>
      </c>
      <c r="E118" s="306">
        <v>4.5399221428035319E-2</v>
      </c>
      <c r="F118" s="306">
        <v>4.5640701070243365E-2</v>
      </c>
      <c r="G118" s="307">
        <v>4.6520627305049016E-2</v>
      </c>
    </row>
    <row r="119" spans="1:7" ht="15" thickBot="1">
      <c r="A119" s="39" t="s">
        <v>1936</v>
      </c>
      <c r="C119" s="306">
        <v>102.88908734095659</v>
      </c>
      <c r="D119" s="306">
        <v>0</v>
      </c>
      <c r="E119" s="306">
        <v>0</v>
      </c>
      <c r="F119" s="306">
        <v>102.88908734095659</v>
      </c>
      <c r="G119" s="307">
        <v>104.87272924617579</v>
      </c>
    </row>
    <row r="120" spans="1:7" ht="15" thickBot="1">
      <c r="A120" s="39" t="s">
        <v>115</v>
      </c>
      <c r="C120" s="314">
        <v>3633.3722156618992</v>
      </c>
      <c r="D120" s="315">
        <v>3423.3871262681068</v>
      </c>
      <c r="E120" s="315">
        <v>3630.4854591474632</v>
      </c>
      <c r="F120" s="315">
        <v>3795.8188156591418</v>
      </c>
      <c r="G120" s="316">
        <v>3868.9999999999995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100.00257230616225</v>
      </c>
      <c r="E122" s="306">
        <v>62.444027691081075</v>
      </c>
      <c r="F122" s="306">
        <v>73.181184340856831</v>
      </c>
      <c r="G122" s="307">
        <v>235.62778433810013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3633.3722156618992</v>
      </c>
      <c r="D134" s="315">
        <v>3423.3871262681068</v>
      </c>
      <c r="E134" s="315">
        <v>3630.4854591474632</v>
      </c>
      <c r="F134" s="315">
        <v>3795.8188156591418</v>
      </c>
      <c r="G134" s="316">
        <v>3868.9999999999995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100.00257230616225</v>
      </c>
      <c r="E136" s="318">
        <v>62.444027691081075</v>
      </c>
      <c r="F136" s="318">
        <v>73.181184340856831</v>
      </c>
      <c r="G136" s="319">
        <v>235.62778433810013</v>
      </c>
    </row>
    <row r="137" spans="1:7" ht="15" thickBot="1"/>
    <row r="138" spans="1:7" ht="15" thickBot="1">
      <c r="A138" s="105" t="s">
        <v>9230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39"/>
      <c r="B140" s="62"/>
      <c r="C140" s="62"/>
      <c r="D140" s="62"/>
      <c r="E140" s="60" t="s">
        <v>1912</v>
      </c>
      <c r="F140" s="62"/>
      <c r="G140" s="43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/>
      <c r="E144" s="99" t="s">
        <v>1979</v>
      </c>
      <c r="F144" s="99"/>
      <c r="G144" s="100"/>
    </row>
    <row r="145" spans="1:7">
      <c r="A145" s="39" t="s">
        <v>1923</v>
      </c>
      <c r="C145" s="29"/>
      <c r="D145" s="29"/>
      <c r="E145" s="299">
        <v>1.0297578134593532</v>
      </c>
      <c r="F145" s="299">
        <v>1.0168898998764886</v>
      </c>
      <c r="G145" s="300">
        <v>1.0189908836183983</v>
      </c>
    </row>
    <row r="146" spans="1:7">
      <c r="A146" s="39" t="s">
        <v>1924</v>
      </c>
      <c r="C146" s="29"/>
      <c r="D146" s="301">
        <v>0.97937172790124216</v>
      </c>
      <c r="E146" s="301">
        <v>0.99464966162253932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2335.755673675872</v>
      </c>
      <c r="D149" s="304">
        <v>2335.755673675872</v>
      </c>
      <c r="E149" s="304">
        <v>2405.2626552997444</v>
      </c>
      <c r="F149" s="304">
        <v>2445.8873007244142</v>
      </c>
      <c r="G149" s="305">
        <v>2492.3368617961901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201.48567385754285</v>
      </c>
      <c r="D152" s="308">
        <v>201.48567385754285</v>
      </c>
      <c r="E152" s="308">
        <v>207.48144695492769</v>
      </c>
      <c r="F152" s="308">
        <v>210.9857878202254</v>
      </c>
      <c r="G152" s="309">
        <v>214.99259436185537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3.5483876784656511E-2</v>
      </c>
      <c r="D154" s="310">
        <v>3.4751905719223819E-2</v>
      </c>
      <c r="E154" s="308">
        <v>3.5483876784656511E-2</v>
      </c>
      <c r="F154" s="308">
        <v>3.608319591077902E-2</v>
      </c>
      <c r="G154" s="309">
        <v>3.6768447684900486E-2</v>
      </c>
    </row>
    <row r="155" spans="1:7">
      <c r="A155" s="39" t="s">
        <v>1931</v>
      </c>
      <c r="B155" s="96"/>
      <c r="C155" s="308">
        <v>2.8769356109332619E-2</v>
      </c>
      <c r="D155" s="306"/>
      <c r="E155" s="308">
        <v>2.8769356109332619E-2</v>
      </c>
      <c r="F155" s="308">
        <v>2.925526765353029E-2</v>
      </c>
      <c r="G155" s="309">
        <v>2.9810851036763578E-2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201.54992709043685</v>
      </c>
      <c r="D157" s="312">
        <v>201.52042576326207</v>
      </c>
      <c r="E157" s="312">
        <v>207.54570018782169</v>
      </c>
      <c r="F157" s="312">
        <v>211.0511262837897</v>
      </c>
      <c r="G157" s="313">
        <v>215.05917366057702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738.65926095841382</v>
      </c>
      <c r="D160" s="308">
        <v>738.65926095841382</v>
      </c>
      <c r="E160" s="308">
        <v>760.640145456038</v>
      </c>
      <c r="F160" s="308">
        <v>773.48728135482816</v>
      </c>
      <c r="G160" s="309">
        <v>788.17648829534903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18.118172765922914</v>
      </c>
      <c r="D162" s="308">
        <v>17.744426168175153</v>
      </c>
      <c r="E162" s="308">
        <v>18.118172765922914</v>
      </c>
      <c r="F162" s="308">
        <v>18.424186889884275</v>
      </c>
      <c r="G162" s="309">
        <v>18.774078478873687</v>
      </c>
    </row>
    <row r="163" spans="1:7">
      <c r="A163" s="39" t="s">
        <v>1931</v>
      </c>
      <c r="B163" s="96"/>
      <c r="C163" s="308">
        <v>7.7917645353219624</v>
      </c>
      <c r="D163" s="306"/>
      <c r="E163" s="308">
        <v>7.7917645353219624</v>
      </c>
      <c r="F163" s="308">
        <v>7.9233666581847251</v>
      </c>
      <c r="G163" s="309">
        <v>8.0738383922562083</v>
      </c>
    </row>
    <row r="164" spans="1:7">
      <c r="A164" s="39" t="s">
        <v>1932</v>
      </c>
      <c r="B164" s="96"/>
      <c r="C164" s="308">
        <v>9.4007564215506101E-3</v>
      </c>
      <c r="D164" s="306"/>
      <c r="E164" s="308">
        <v>9.4007564215506101E-3</v>
      </c>
      <c r="F164" s="308">
        <v>9.5595342562738578E-3</v>
      </c>
      <c r="G164" s="309">
        <v>9.7410782587808459E-3</v>
      </c>
    </row>
    <row r="165" spans="1:7">
      <c r="A165" s="39" t="s">
        <v>1935</v>
      </c>
      <c r="B165" s="96"/>
      <c r="C165" s="308">
        <v>4.1355723740822928E-2</v>
      </c>
      <c r="D165" s="306"/>
      <c r="E165" s="308">
        <v>4.1134456624964739E-2</v>
      </c>
      <c r="F165" s="308">
        <v>4.1355723740822928E-2</v>
      </c>
      <c r="G165" s="309">
        <v>4.2141105477339527E-2</v>
      </c>
    </row>
    <row r="166" spans="1:7">
      <c r="A166" s="39" t="s">
        <v>1936</v>
      </c>
      <c r="B166" s="96"/>
      <c r="C166" s="308">
        <v>7.681443577906584E-2</v>
      </c>
      <c r="D166" s="306"/>
      <c r="E166" s="306"/>
      <c r="F166" s="308">
        <v>7.681443577906584E-2</v>
      </c>
      <c r="G166" s="309">
        <v>7.8273209789159012E-2</v>
      </c>
    </row>
    <row r="167" spans="1:7">
      <c r="A167" s="39" t="s">
        <v>1933</v>
      </c>
      <c r="B167" s="96"/>
      <c r="C167" s="311">
        <v>764.69676917560014</v>
      </c>
      <c r="D167" s="312">
        <v>756.40368712658892</v>
      </c>
      <c r="E167" s="312">
        <v>786.60061797032938</v>
      </c>
      <c r="F167" s="312">
        <v>799.96256459667325</v>
      </c>
      <c r="G167" s="313">
        <v>815.15456056000414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9.7937172790124217E-5</v>
      </c>
      <c r="E170" s="308">
        <v>1E-4</v>
      </c>
      <c r="F170" s="308">
        <v>1.0168898998764886E-4</v>
      </c>
      <c r="G170" s="309">
        <v>1.0362015376177676E-4</v>
      </c>
    </row>
    <row r="171" spans="1:7">
      <c r="A171" s="39" t="s">
        <v>1931</v>
      </c>
      <c r="B171" s="96"/>
      <c r="C171" s="308">
        <v>98.025500303540142</v>
      </c>
      <c r="D171" s="306"/>
      <c r="E171" s="308">
        <v>98.025500303540142</v>
      </c>
      <c r="F171" s="308">
        <v>99.681141189009637</v>
      </c>
      <c r="G171" s="309">
        <v>101.57417414027924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1.0168898998764886E-4</v>
      </c>
      <c r="G172" s="309">
        <v>1.0362015376177676E-4</v>
      </c>
    </row>
    <row r="173" spans="1:7">
      <c r="A173" s="39" t="s">
        <v>1935</v>
      </c>
      <c r="B173" s="96"/>
      <c r="C173" s="308">
        <v>1E-4</v>
      </c>
      <c r="D173" s="306"/>
      <c r="E173" s="308">
        <v>9.9464966162253943E-5</v>
      </c>
      <c r="F173" s="308">
        <v>1E-4</v>
      </c>
      <c r="G173" s="309">
        <v>1.0189908836183984E-4</v>
      </c>
    </row>
    <row r="174" spans="1:7">
      <c r="A174" s="39" t="s">
        <v>1936</v>
      </c>
      <c r="B174" s="96"/>
      <c r="C174" s="308">
        <v>102.80449969645986</v>
      </c>
      <c r="D174" s="306"/>
      <c r="E174" s="306"/>
      <c r="F174" s="308">
        <v>102.80449969645986</v>
      </c>
      <c r="G174" s="309">
        <v>104.75684798564299</v>
      </c>
    </row>
    <row r="175" spans="1:7">
      <c r="A175" s="39" t="s">
        <v>1933</v>
      </c>
      <c r="B175" s="96"/>
      <c r="C175" s="311">
        <v>200.83030000000002</v>
      </c>
      <c r="D175" s="312">
        <v>9.7937172790124217E-5</v>
      </c>
      <c r="E175" s="312">
        <v>98.025799768506317</v>
      </c>
      <c r="F175" s="312">
        <v>202.48594426344948</v>
      </c>
      <c r="G175" s="313">
        <v>206.33133126531811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3275.9006084918283</v>
      </c>
      <c r="D181" s="306">
        <v>3275.9006084918283</v>
      </c>
      <c r="E181" s="306">
        <v>3373.38424771071</v>
      </c>
      <c r="F181" s="306">
        <v>3430.360369899468</v>
      </c>
      <c r="G181" s="307">
        <v>3495.5059444533945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18.15375664270757</v>
      </c>
      <c r="D183" s="306">
        <v>17.779276011067164</v>
      </c>
      <c r="E183" s="306">
        <v>18.15375664270757</v>
      </c>
      <c r="F183" s="306">
        <v>18.460371774785045</v>
      </c>
      <c r="G183" s="307">
        <v>18.810950546712348</v>
      </c>
    </row>
    <row r="184" spans="1:7">
      <c r="A184" s="39" t="s">
        <v>1931</v>
      </c>
      <c r="C184" s="306">
        <v>105.84603419497144</v>
      </c>
      <c r="D184" s="306">
        <v>0</v>
      </c>
      <c r="E184" s="306">
        <v>105.84603419497144</v>
      </c>
      <c r="F184" s="306">
        <v>107.63376311484789</v>
      </c>
      <c r="G184" s="307">
        <v>109.67782338357222</v>
      </c>
    </row>
    <row r="185" spans="1:7">
      <c r="A185" s="39" t="s">
        <v>1932</v>
      </c>
      <c r="C185" s="306">
        <v>9.5007564215506095E-3</v>
      </c>
      <c r="D185" s="306">
        <v>0</v>
      </c>
      <c r="E185" s="306">
        <v>9.5007564215506095E-3</v>
      </c>
      <c r="F185" s="306">
        <v>9.661223246261506E-3</v>
      </c>
      <c r="G185" s="307">
        <v>9.8446984125426223E-3</v>
      </c>
    </row>
    <row r="186" spans="1:7">
      <c r="A186" s="39" t="s">
        <v>1935</v>
      </c>
      <c r="C186" s="306">
        <v>4.1455723740822931E-2</v>
      </c>
      <c r="D186" s="306">
        <v>0</v>
      </c>
      <c r="E186" s="306">
        <v>4.1233921591126994E-2</v>
      </c>
      <c r="F186" s="306">
        <v>4.1455723740822931E-2</v>
      </c>
      <c r="G186" s="307">
        <v>4.2243004565701368E-2</v>
      </c>
    </row>
    <row r="187" spans="1:7" ht="15" thickBot="1">
      <c r="A187" s="39" t="s">
        <v>1936</v>
      </c>
      <c r="C187" s="306">
        <v>102.88131413223893</v>
      </c>
      <c r="D187" s="306">
        <v>0</v>
      </c>
      <c r="E187" s="306">
        <v>0</v>
      </c>
      <c r="F187" s="306">
        <v>102.88131413223893</v>
      </c>
      <c r="G187" s="307">
        <v>104.83512119543215</v>
      </c>
    </row>
    <row r="188" spans="1:7" ht="15" thickBot="1">
      <c r="A188" s="39" t="s">
        <v>115</v>
      </c>
      <c r="C188" s="314">
        <v>3502.8326699419085</v>
      </c>
      <c r="D188" s="315">
        <v>3293.6798845028952</v>
      </c>
      <c r="E188" s="315">
        <v>3497.4347732264014</v>
      </c>
      <c r="F188" s="315">
        <v>3659.3869358683273</v>
      </c>
      <c r="G188" s="316">
        <v>3728.8819272820892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97.483639218881748</v>
      </c>
      <c r="E190" s="306">
        <v>59.070626707536732</v>
      </c>
      <c r="F190" s="306">
        <v>69.494991413762506</v>
      </c>
      <c r="G190" s="307">
        <v>226.04925734018099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3502.8326699419085</v>
      </c>
      <c r="D202" s="315">
        <v>3293.6798845028952</v>
      </c>
      <c r="E202" s="315">
        <v>3497.4347732264014</v>
      </c>
      <c r="F202" s="315">
        <v>3659.3869358683273</v>
      </c>
      <c r="G202" s="316">
        <v>3728.8819272820892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97.483639218881748</v>
      </c>
      <c r="E204" s="318">
        <v>59.070626707536739</v>
      </c>
      <c r="F204" s="318">
        <v>69.494991413762506</v>
      </c>
      <c r="G204" s="319">
        <v>226.04925734018099</v>
      </c>
    </row>
    <row r="205" spans="1:7" ht="15" thickBot="1"/>
    <row r="206" spans="1:7" ht="15" thickBot="1">
      <c r="A206" s="89" t="s">
        <v>9231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39"/>
      <c r="B208" s="62"/>
      <c r="C208" s="62"/>
      <c r="D208" s="62"/>
      <c r="E208" s="60" t="s">
        <v>1912</v>
      </c>
      <c r="F208" s="62"/>
      <c r="G208" s="43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/>
      <c r="E212" s="99" t="s">
        <v>1979</v>
      </c>
      <c r="F212" s="99"/>
      <c r="G212" s="100"/>
    </row>
    <row r="213" spans="1:7">
      <c r="A213" s="39" t="s">
        <v>1923</v>
      </c>
      <c r="C213" s="29"/>
      <c r="D213" s="29"/>
      <c r="E213" s="299">
        <v>1.0293796407542448</v>
      </c>
      <c r="F213" s="299">
        <v>1.0172001263373986</v>
      </c>
      <c r="G213" s="300">
        <v>1.0192794197760329</v>
      </c>
    </row>
    <row r="214" spans="1:7">
      <c r="A214" s="39" t="s">
        <v>1924</v>
      </c>
      <c r="C214" s="29"/>
      <c r="D214" s="301">
        <v>0.97972107688063226</v>
      </c>
      <c r="E214" s="301">
        <v>0.99470911628118086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2374.3215570674161</v>
      </c>
      <c r="D217" s="304">
        <v>2374.3215570674161</v>
      </c>
      <c r="E217" s="304">
        <v>2444.0782714491161</v>
      </c>
      <c r="F217" s="304">
        <v>2486.1167264965316</v>
      </c>
      <c r="G217" s="305">
        <v>2534.0476144788749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201.969119011988</v>
      </c>
      <c r="D220" s="308">
        <v>201.969119011988</v>
      </c>
      <c r="E220" s="308">
        <v>207.90289917201153</v>
      </c>
      <c r="F220" s="308">
        <v>211.47885530368157</v>
      </c>
      <c r="G220" s="309">
        <v>215.55604492883617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3.5569390312023524E-2</v>
      </c>
      <c r="D222" s="310">
        <v>3.4848081380483217E-2</v>
      </c>
      <c r="E222" s="308">
        <v>3.5569390312023524E-2</v>
      </c>
      <c r="F222" s="308">
        <v>3.6181188319134576E-2</v>
      </c>
      <c r="G222" s="309">
        <v>3.6878740636734866E-2</v>
      </c>
    </row>
    <row r="223" spans="1:7">
      <c r="A223" s="39" t="s">
        <v>1931</v>
      </c>
      <c r="B223" s="96"/>
      <c r="C223" s="308">
        <v>2.8838688136831107E-2</v>
      </c>
      <c r="D223" s="306"/>
      <c r="E223" s="308">
        <v>2.8838688136831107E-2</v>
      </c>
      <c r="F223" s="308">
        <v>2.9334717216189441E-2</v>
      </c>
      <c r="G223" s="309">
        <v>2.9900273543411574E-2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202.03352709043685</v>
      </c>
      <c r="D225" s="312">
        <v>202.00396709336849</v>
      </c>
      <c r="E225" s="312">
        <v>207.96730725046038</v>
      </c>
      <c r="F225" s="312">
        <v>211.54437120921691</v>
      </c>
      <c r="G225" s="313">
        <v>215.6228239430163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827.51446717150282</v>
      </c>
      <c r="D228" s="308">
        <v>827.51446717150282</v>
      </c>
      <c r="E228" s="308">
        <v>851.82654493594191</v>
      </c>
      <c r="F228" s="308">
        <v>866.47806912638987</v>
      </c>
      <c r="G228" s="309">
        <v>883.18326354780402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19.95163462844771</v>
      </c>
      <c r="D230" s="308">
        <v>19.547036963711705</v>
      </c>
      <c r="E230" s="308">
        <v>19.95163462844771</v>
      </c>
      <c r="F230" s="308">
        <v>20.294805264694627</v>
      </c>
      <c r="G230" s="309">
        <v>20.686077334665516</v>
      </c>
    </row>
    <row r="231" spans="1:7">
      <c r="A231" s="39" t="s">
        <v>1931</v>
      </c>
      <c r="B231" s="96"/>
      <c r="C231" s="308">
        <v>8.580249296001325</v>
      </c>
      <c r="D231" s="306"/>
      <c r="E231" s="308">
        <v>8.580249296001325</v>
      </c>
      <c r="F231" s="308">
        <v>8.7278306678989228</v>
      </c>
      <c r="G231" s="309">
        <v>8.8960981790794786</v>
      </c>
    </row>
    <row r="232" spans="1:7">
      <c r="A232" s="39" t="s">
        <v>1932</v>
      </c>
      <c r="B232" s="96"/>
      <c r="C232" s="308">
        <v>1.0352062527330541E-2</v>
      </c>
      <c r="D232" s="306"/>
      <c r="E232" s="308">
        <v>1.0352062527330541E-2</v>
      </c>
      <c r="F232" s="308">
        <v>1.0530119310653277E-2</v>
      </c>
      <c r="G232" s="309">
        <v>1.0733133901135072E-2</v>
      </c>
    </row>
    <row r="233" spans="1:7">
      <c r="A233" s="39" t="s">
        <v>1935</v>
      </c>
      <c r="B233" s="96"/>
      <c r="C233" s="308">
        <v>4.5540701070243363E-2</v>
      </c>
      <c r="D233" s="306"/>
      <c r="E233" s="308">
        <v>4.5299750516407201E-2</v>
      </c>
      <c r="F233" s="308">
        <v>4.5540701070243363E-2</v>
      </c>
      <c r="G233" s="309">
        <v>4.6418699363071414E-2</v>
      </c>
    </row>
    <row r="234" spans="1:7">
      <c r="A234" s="39" t="s">
        <v>1936</v>
      </c>
      <c r="B234" s="96"/>
      <c r="C234" s="308">
        <v>8.4587644496733325E-2</v>
      </c>
      <c r="D234" s="306"/>
      <c r="E234" s="306"/>
      <c r="F234" s="308">
        <v>8.4587644496733325E-2</v>
      </c>
      <c r="G234" s="309">
        <v>8.6218445202851685E-2</v>
      </c>
    </row>
    <row r="235" spans="1:7">
      <c r="A235" s="39" t="s">
        <v>1933</v>
      </c>
      <c r="B235" s="96"/>
      <c r="C235" s="311">
        <v>856.18683150404604</v>
      </c>
      <c r="D235" s="312">
        <v>847.06150413521448</v>
      </c>
      <c r="E235" s="312">
        <v>880.41408067343457</v>
      </c>
      <c r="F235" s="312">
        <v>895.64136352386106</v>
      </c>
      <c r="G235" s="313">
        <v>912.90880934001586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9.7972107688063236E-5</v>
      </c>
      <c r="E238" s="308">
        <v>1E-4</v>
      </c>
      <c r="F238" s="308">
        <v>1.0172001263373987E-4</v>
      </c>
      <c r="G238" s="309">
        <v>1.0368111545692912E-4</v>
      </c>
    </row>
    <row r="239" spans="1:7">
      <c r="A239" s="39" t="s">
        <v>1931</v>
      </c>
      <c r="B239" s="96"/>
      <c r="C239" s="308">
        <v>98.025500303540142</v>
      </c>
      <c r="D239" s="306"/>
      <c r="E239" s="308">
        <v>98.025500303540142</v>
      </c>
      <c r="F239" s="308">
        <v>99.711551293047748</v>
      </c>
      <c r="G239" s="309">
        <v>101.63393214694585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1.0172001263373987E-4</v>
      </c>
      <c r="G240" s="309">
        <v>1.0368111545692912E-4</v>
      </c>
    </row>
    <row r="241" spans="1:7">
      <c r="A241" s="39" t="s">
        <v>1935</v>
      </c>
      <c r="B241" s="96"/>
      <c r="C241" s="308">
        <v>1E-4</v>
      </c>
      <c r="D241" s="306"/>
      <c r="E241" s="308">
        <v>9.9470911628118095E-5</v>
      </c>
      <c r="F241" s="308">
        <v>1E-4</v>
      </c>
      <c r="G241" s="309">
        <v>1.0192794197760329E-4</v>
      </c>
    </row>
    <row r="242" spans="1:7">
      <c r="A242" s="39" t="s">
        <v>1936</v>
      </c>
      <c r="B242" s="96"/>
      <c r="C242" s="308">
        <v>102.80449969645986</v>
      </c>
      <c r="D242" s="306"/>
      <c r="E242" s="306"/>
      <c r="F242" s="308">
        <v>102.80449969645986</v>
      </c>
      <c r="G242" s="309">
        <v>104.78651080097295</v>
      </c>
    </row>
    <row r="243" spans="1:7">
      <c r="A243" s="39" t="s">
        <v>1933</v>
      </c>
      <c r="B243" s="96"/>
      <c r="C243" s="311">
        <v>200.83030000000002</v>
      </c>
      <c r="D243" s="312">
        <v>9.7972107688063236E-5</v>
      </c>
      <c r="E243" s="312">
        <v>98.02579977445177</v>
      </c>
      <c r="F243" s="312">
        <v>202.5163544295329</v>
      </c>
      <c r="G243" s="313">
        <v>206.42075223809172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3403.8051432509069</v>
      </c>
      <c r="D249" s="306">
        <v>3403.8051432509069</v>
      </c>
      <c r="E249" s="306">
        <v>3503.8077155570695</v>
      </c>
      <c r="F249" s="306">
        <v>3564.073650926603</v>
      </c>
      <c r="G249" s="307">
        <v>3632.7869229555154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19.987304018759733</v>
      </c>
      <c r="D251" s="306">
        <v>19.581983017199878</v>
      </c>
      <c r="E251" s="306">
        <v>19.987304018759733</v>
      </c>
      <c r="F251" s="306">
        <v>20.331088173026394</v>
      </c>
      <c r="G251" s="307">
        <v>20.723059756417708</v>
      </c>
    </row>
    <row r="252" spans="1:7">
      <c r="A252" s="39" t="s">
        <v>1931</v>
      </c>
      <c r="C252" s="306">
        <v>106.6345882876783</v>
      </c>
      <c r="D252" s="306">
        <v>0</v>
      </c>
      <c r="E252" s="306">
        <v>106.6345882876783</v>
      </c>
      <c r="F252" s="306">
        <v>108.46871667816286</v>
      </c>
      <c r="G252" s="307">
        <v>110.55993059956874</v>
      </c>
    </row>
    <row r="253" spans="1:7">
      <c r="A253" s="39" t="s">
        <v>1932</v>
      </c>
      <c r="C253" s="306">
        <v>1.045206252733054E-2</v>
      </c>
      <c r="D253" s="306">
        <v>0</v>
      </c>
      <c r="E253" s="306">
        <v>1.045206252733054E-2</v>
      </c>
      <c r="F253" s="306">
        <v>1.0631839323287016E-2</v>
      </c>
      <c r="G253" s="307">
        <v>1.0836815016592E-2</v>
      </c>
    </row>
    <row r="254" spans="1:7">
      <c r="A254" s="39" t="s">
        <v>1935</v>
      </c>
      <c r="C254" s="306">
        <v>4.5640701070243365E-2</v>
      </c>
      <c r="D254" s="306">
        <v>0</v>
      </c>
      <c r="E254" s="306">
        <v>4.5399221428035319E-2</v>
      </c>
      <c r="F254" s="306">
        <v>4.5640701070243365E-2</v>
      </c>
      <c r="G254" s="307">
        <v>4.6520627305049016E-2</v>
      </c>
    </row>
    <row r="255" spans="1:7" ht="15" thickBot="1">
      <c r="A255" s="39" t="s">
        <v>1936</v>
      </c>
      <c r="C255" s="306">
        <v>102.88908734095659</v>
      </c>
      <c r="D255" s="306">
        <v>0</v>
      </c>
      <c r="E255" s="306">
        <v>0</v>
      </c>
      <c r="F255" s="306">
        <v>102.88908734095659</v>
      </c>
      <c r="G255" s="307">
        <v>104.87272924617579</v>
      </c>
    </row>
    <row r="256" spans="1:7" ht="15" thickBot="1">
      <c r="A256" s="39" t="s">
        <v>115</v>
      </c>
      <c r="C256" s="314">
        <v>3633.3722156618992</v>
      </c>
      <c r="D256" s="315">
        <v>3423.3871262681068</v>
      </c>
      <c r="E256" s="315">
        <v>3630.4854591474632</v>
      </c>
      <c r="F256" s="315">
        <v>3795.8188156591418</v>
      </c>
      <c r="G256" s="316">
        <v>3868.9999999999995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100.00257230616225</v>
      </c>
      <c r="E258" s="306">
        <v>62.444027691081075</v>
      </c>
      <c r="F258" s="306">
        <v>73.181184340856831</v>
      </c>
      <c r="G258" s="307">
        <v>235.62778433810013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3633.3722156618992</v>
      </c>
      <c r="D270" s="315">
        <v>3423.3871262681068</v>
      </c>
      <c r="E270" s="315">
        <v>3630.4854591474632</v>
      </c>
      <c r="F270" s="315">
        <v>3795.8188156591418</v>
      </c>
      <c r="G270" s="316">
        <v>3868.9999999999995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100.00257230616225</v>
      </c>
      <c r="E272" s="318">
        <v>62.444027691081075</v>
      </c>
      <c r="F272" s="318">
        <v>73.181184340856831</v>
      </c>
      <c r="G272" s="319">
        <v>235.62778433810013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</sheetPr>
  <dimension ref="A1:G272"/>
  <sheetViews>
    <sheetView tabSelected="1" showOutlineSymbols="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89" t="s">
        <v>9232</v>
      </c>
      <c r="B2" s="90"/>
      <c r="C2" s="90"/>
      <c r="D2" s="90"/>
      <c r="E2" s="90"/>
      <c r="F2" s="90"/>
      <c r="G2" s="91"/>
    </row>
    <row r="3" spans="1:7">
      <c r="A3" s="92"/>
      <c r="B3" s="93"/>
      <c r="C3" s="93"/>
      <c r="D3" s="93"/>
      <c r="E3" s="93"/>
      <c r="F3" s="93"/>
      <c r="G3" s="94"/>
    </row>
    <row r="4" spans="1:7">
      <c r="A4" s="39"/>
      <c r="B4" s="62"/>
      <c r="C4" s="62"/>
      <c r="D4" s="62"/>
      <c r="E4" s="60" t="s">
        <v>1912</v>
      </c>
      <c r="F4" s="62"/>
      <c r="G4" s="43"/>
    </row>
    <row r="5" spans="1:7">
      <c r="A5" s="98"/>
      <c r="B5" s="96"/>
      <c r="C5" s="96"/>
      <c r="D5" s="96"/>
      <c r="E5" s="96"/>
      <c r="F5" s="96"/>
      <c r="G5" s="97"/>
    </row>
    <row r="6" spans="1:7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7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7">
      <c r="A8" s="39"/>
      <c r="D8" s="99"/>
      <c r="E8" s="99" t="s">
        <v>1979</v>
      </c>
      <c r="F8" s="99"/>
      <c r="G8" s="100"/>
    </row>
    <row r="9" spans="1:7">
      <c r="A9" s="39" t="s">
        <v>1923</v>
      </c>
      <c r="C9" s="29"/>
      <c r="D9" s="29"/>
      <c r="E9" s="299">
        <v>1.0293226214925075</v>
      </c>
      <c r="F9" s="299">
        <v>1.018057518842125</v>
      </c>
      <c r="G9" s="300">
        <v>1.0198951275339778</v>
      </c>
    </row>
    <row r="10" spans="1:7">
      <c r="A10" s="39" t="s">
        <v>1924</v>
      </c>
      <c r="C10" s="29"/>
      <c r="D10" s="301">
        <v>0.97997775379968244</v>
      </c>
      <c r="E10" s="301">
        <v>0.99477195900226889</v>
      </c>
      <c r="F10" s="29"/>
      <c r="G10" s="302"/>
    </row>
    <row r="11" spans="1:7">
      <c r="A11" s="39"/>
      <c r="C11" s="29"/>
      <c r="D11" s="29"/>
      <c r="E11" s="29"/>
      <c r="F11" s="29"/>
      <c r="G11" s="302"/>
    </row>
    <row r="12" spans="1:7">
      <c r="A12" s="39" t="s">
        <v>1925</v>
      </c>
      <c r="C12" s="29"/>
      <c r="D12" s="29"/>
      <c r="E12" s="29"/>
      <c r="F12" s="29"/>
      <c r="G12" s="302"/>
    </row>
    <row r="13" spans="1:7">
      <c r="A13" s="39" t="s">
        <v>1926</v>
      </c>
      <c r="B13" s="96"/>
      <c r="C13" s="303">
        <v>2078.564331705642</v>
      </c>
      <c r="D13" s="304">
        <v>2078.564331705642</v>
      </c>
      <c r="E13" s="304">
        <v>2139.5132868520732</v>
      </c>
      <c r="F13" s="304">
        <v>2178.1475883423814</v>
      </c>
      <c r="G13" s="305">
        <v>2221.4821124002792</v>
      </c>
    </row>
    <row r="14" spans="1:7">
      <c r="A14" s="39"/>
      <c r="C14" s="306"/>
      <c r="D14" s="306"/>
      <c r="E14" s="306"/>
      <c r="F14" s="306"/>
      <c r="G14" s="307"/>
    </row>
    <row r="15" spans="1:7">
      <c r="A15" s="39" t="s">
        <v>1927</v>
      </c>
      <c r="C15" s="306"/>
      <c r="D15" s="306"/>
      <c r="E15" s="306"/>
      <c r="F15" s="306"/>
      <c r="G15" s="307"/>
    </row>
    <row r="16" spans="1:7">
      <c r="A16" s="39" t="s">
        <v>1928</v>
      </c>
      <c r="B16" s="96"/>
      <c r="C16" s="308">
        <v>203.7353834437157</v>
      </c>
      <c r="D16" s="308">
        <v>203.7353834437157</v>
      </c>
      <c r="E16" s="308">
        <v>209.70943897706667</v>
      </c>
      <c r="F16" s="308">
        <v>213.49627112276653</v>
      </c>
      <c r="G16" s="309">
        <v>217.74380666478268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3.6037451461765929E-2</v>
      </c>
      <c r="D18" s="310">
        <v>3.5315900736166458E-2</v>
      </c>
      <c r="E18" s="308">
        <v>3.6037451461765929E-2</v>
      </c>
      <c r="F18" s="308">
        <v>3.6688198420558933E-2</v>
      </c>
      <c r="G18" s="309">
        <v>3.7418114807127839E-2</v>
      </c>
    </row>
    <row r="19" spans="1:7">
      <c r="A19" s="39" t="s">
        <v>1931</v>
      </c>
      <c r="B19" s="96"/>
      <c r="C19" s="308">
        <v>2.9218179306288252E-2</v>
      </c>
      <c r="D19" s="306"/>
      <c r="E19" s="308">
        <v>2.9218179306288252E-2</v>
      </c>
      <c r="F19" s="308">
        <v>2.9745787129644138E-2</v>
      </c>
      <c r="G19" s="309">
        <v>3.0337583358186964E-2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203.80063907448377</v>
      </c>
      <c r="D21" s="312">
        <v>203.77069934445188</v>
      </c>
      <c r="E21" s="312">
        <v>209.77469460783473</v>
      </c>
      <c r="F21" s="312">
        <v>213.56270510831675</v>
      </c>
      <c r="G21" s="313">
        <v>217.811562362948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1312.1799122796515</v>
      </c>
      <c r="D24" s="308">
        <v>1312.1799122796515</v>
      </c>
      <c r="E24" s="308">
        <v>1350.6564671774995</v>
      </c>
      <c r="F24" s="308">
        <v>1375.0459717827953</v>
      </c>
      <c r="G24" s="309">
        <v>1402.4026867564965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29.193486536965505</v>
      </c>
      <c r="D26" s="308">
        <v>28.608967362076726</v>
      </c>
      <c r="E26" s="308">
        <v>29.193486536965505</v>
      </c>
      <c r="F26" s="308">
        <v>29.720648470174083</v>
      </c>
      <c r="G26" s="309">
        <v>30.311944561880718</v>
      </c>
    </row>
    <row r="27" spans="1:7">
      <c r="A27" s="39" t="s">
        <v>1931</v>
      </c>
      <c r="B27" s="96"/>
      <c r="C27" s="308">
        <v>12.554730325176918</v>
      </c>
      <c r="D27" s="306"/>
      <c r="E27" s="308">
        <v>12.554730325176918</v>
      </c>
      <c r="F27" s="308">
        <v>12.781437604581598</v>
      </c>
      <c r="G27" s="309">
        <v>13.035725935792328</v>
      </c>
    </row>
    <row r="28" spans="1:7">
      <c r="A28" s="39" t="s">
        <v>1932</v>
      </c>
      <c r="B28" s="96"/>
      <c r="C28" s="308">
        <v>1.5147270068315307E-2</v>
      </c>
      <c r="D28" s="306"/>
      <c r="E28" s="308">
        <v>1.5147270068315307E-2</v>
      </c>
      <c r="F28" s="308">
        <v>1.5420792182980668E-2</v>
      </c>
      <c r="G28" s="309">
        <v>1.5727590810136038E-2</v>
      </c>
    </row>
    <row r="29" spans="1:7">
      <c r="A29" s="39" t="s">
        <v>1935</v>
      </c>
      <c r="B29" s="96"/>
      <c r="C29" s="308">
        <v>6.6635735283688782E-2</v>
      </c>
      <c r="D29" s="306"/>
      <c r="E29" s="308">
        <v>6.6287360927711703E-2</v>
      </c>
      <c r="F29" s="308">
        <v>6.6635735283688782E-2</v>
      </c>
      <c r="G29" s="309">
        <v>6.7961461735478151E-2</v>
      </c>
    </row>
    <row r="30" spans="1:7">
      <c r="A30" s="39" t="s">
        <v>1936</v>
      </c>
      <c r="B30" s="96"/>
      <c r="C30" s="308">
        <v>0.12376972146873835</v>
      </c>
      <c r="D30" s="306"/>
      <c r="E30" s="306"/>
      <c r="F30" s="308">
        <v>0.12376972146873835</v>
      </c>
      <c r="G30" s="309">
        <v>0.1262321358622038</v>
      </c>
    </row>
    <row r="31" spans="1:7">
      <c r="A31" s="39" t="s">
        <v>1933</v>
      </c>
      <c r="B31" s="96"/>
      <c r="C31" s="311">
        <v>1354.1336818686148</v>
      </c>
      <c r="D31" s="312">
        <v>1340.7888796417283</v>
      </c>
      <c r="E31" s="312">
        <v>1392.486118670638</v>
      </c>
      <c r="F31" s="312">
        <v>1417.7538841064866</v>
      </c>
      <c r="G31" s="313">
        <v>1445.9602784425772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9.7997775379968244E-5</v>
      </c>
      <c r="E34" s="308">
        <v>1E-4</v>
      </c>
      <c r="F34" s="308">
        <v>1.018057518842125E-4</v>
      </c>
      <c r="G34" s="309">
        <v>1.0383119030164142E-4</v>
      </c>
    </row>
    <row r="35" spans="1:7">
      <c r="A35" s="39" t="s">
        <v>1931</v>
      </c>
      <c r="B35" s="96"/>
      <c r="C35" s="308">
        <v>134.60873611367975</v>
      </c>
      <c r="D35" s="306"/>
      <c r="E35" s="308">
        <v>134.60873611367975</v>
      </c>
      <c r="F35" s="308">
        <v>137.03943590236716</v>
      </c>
      <c r="G35" s="309">
        <v>139.76585295682912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1.018057518842125E-4</v>
      </c>
      <c r="G36" s="309">
        <v>1.0383119030164142E-4</v>
      </c>
    </row>
    <row r="37" spans="1:7">
      <c r="A37" s="39" t="s">
        <v>1935</v>
      </c>
      <c r="B37" s="96"/>
      <c r="C37" s="308">
        <v>1E-4</v>
      </c>
      <c r="D37" s="306"/>
      <c r="E37" s="308">
        <v>9.9477195900226891E-5</v>
      </c>
      <c r="F37" s="308">
        <v>1E-4</v>
      </c>
      <c r="G37" s="309">
        <v>1.0198951275339778E-4</v>
      </c>
    </row>
    <row r="38" spans="1:7">
      <c r="A38" s="39" t="s">
        <v>1936</v>
      </c>
      <c r="B38" s="96"/>
      <c r="C38" s="308">
        <v>141.17126388632025</v>
      </c>
      <c r="D38" s="306"/>
      <c r="E38" s="306"/>
      <c r="F38" s="308">
        <v>141.17126388632025</v>
      </c>
      <c r="G38" s="309">
        <v>143.97988418547143</v>
      </c>
    </row>
    <row r="39" spans="1:7">
      <c r="A39" s="39" t="s">
        <v>1933</v>
      </c>
      <c r="B39" s="96"/>
      <c r="C39" s="311">
        <v>275.78030000000001</v>
      </c>
      <c r="D39" s="312">
        <v>9.7997775379968244E-5</v>
      </c>
      <c r="E39" s="312">
        <v>134.60903559087566</v>
      </c>
      <c r="F39" s="312">
        <v>278.2110034001912</v>
      </c>
      <c r="G39" s="313">
        <v>283.74604679419394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3594.4796274290093</v>
      </c>
      <c r="D45" s="306">
        <v>3594.4796274290093</v>
      </c>
      <c r="E45" s="306">
        <v>3699.8791930066395</v>
      </c>
      <c r="F45" s="306">
        <v>3766.6898312479434</v>
      </c>
      <c r="G45" s="307">
        <v>3841.6286058215583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29.229623988427271</v>
      </c>
      <c r="D47" s="306">
        <v>28.644381260588272</v>
      </c>
      <c r="E47" s="306">
        <v>29.229623988427271</v>
      </c>
      <c r="F47" s="306">
        <v>29.757438474346529</v>
      </c>
      <c r="G47" s="307">
        <v>30.349466507878148</v>
      </c>
    </row>
    <row r="48" spans="1:7">
      <c r="A48" s="39" t="s">
        <v>1931</v>
      </c>
      <c r="C48" s="306">
        <v>147.19268461816296</v>
      </c>
      <c r="D48" s="306">
        <v>0</v>
      </c>
      <c r="E48" s="306">
        <v>147.19268461816296</v>
      </c>
      <c r="F48" s="306">
        <v>149.8506192940784</v>
      </c>
      <c r="G48" s="307">
        <v>152.83191647597963</v>
      </c>
    </row>
    <row r="49" spans="1:7">
      <c r="A49" s="39" t="s">
        <v>1932</v>
      </c>
      <c r="C49" s="306">
        <v>1.5247270068315307E-2</v>
      </c>
      <c r="D49" s="306">
        <v>0</v>
      </c>
      <c r="E49" s="306">
        <v>1.5247270068315307E-2</v>
      </c>
      <c r="F49" s="306">
        <v>1.5522597934864881E-2</v>
      </c>
      <c r="G49" s="307">
        <v>1.5831422000437679E-2</v>
      </c>
    </row>
    <row r="50" spans="1:7">
      <c r="A50" s="39" t="s">
        <v>1935</v>
      </c>
      <c r="C50" s="306">
        <v>6.6735735283688785E-2</v>
      </c>
      <c r="D50" s="306">
        <v>0</v>
      </c>
      <c r="E50" s="306">
        <v>6.638683812361193E-2</v>
      </c>
      <c r="F50" s="306">
        <v>6.6735735283688785E-2</v>
      </c>
      <c r="G50" s="307">
        <v>6.8063451248231543E-2</v>
      </c>
    </row>
    <row r="51" spans="1:7" ht="15" thickBot="1">
      <c r="A51" s="39" t="s">
        <v>1936</v>
      </c>
      <c r="C51" s="306">
        <v>141.29503360778898</v>
      </c>
      <c r="D51" s="306">
        <v>0</v>
      </c>
      <c r="E51" s="306">
        <v>0</v>
      </c>
      <c r="F51" s="306">
        <v>141.29503360778898</v>
      </c>
      <c r="G51" s="307">
        <v>144.10611632133364</v>
      </c>
    </row>
    <row r="52" spans="1:7" ht="15" thickBot="1">
      <c r="A52" s="39" t="s">
        <v>115</v>
      </c>
      <c r="C52" s="314">
        <v>3912.2789526487404</v>
      </c>
      <c r="D52" s="315">
        <v>3623.1240086895978</v>
      </c>
      <c r="E52" s="315">
        <v>3876.3831357214212</v>
      </c>
      <c r="F52" s="315">
        <v>4087.6751809573757</v>
      </c>
      <c r="G52" s="316">
        <v>4168.9999999999982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105.39956557763043</v>
      </c>
      <c r="E54" s="306">
        <v>69.99666273100479</v>
      </c>
      <c r="F54" s="306">
        <v>81.324819042622934</v>
      </c>
      <c r="G54" s="307">
        <v>256.72104735125816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3912.2789526487404</v>
      </c>
      <c r="D66" s="315">
        <v>3623.1240086895978</v>
      </c>
      <c r="E66" s="315">
        <v>3876.3831357214212</v>
      </c>
      <c r="F66" s="315">
        <v>4087.6751809573757</v>
      </c>
      <c r="G66" s="316">
        <v>4168.9999999999982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105.39956557763043</v>
      </c>
      <c r="E68" s="318">
        <v>69.99666273100479</v>
      </c>
      <c r="F68" s="318">
        <v>81.324819042622934</v>
      </c>
      <c r="G68" s="319">
        <v>256.72104735125816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9233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39"/>
      <c r="B72" s="62"/>
      <c r="C72" s="62"/>
      <c r="D72" s="62"/>
      <c r="E72" s="60" t="s">
        <v>1912</v>
      </c>
      <c r="F72" s="62"/>
      <c r="G72" s="43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/>
      <c r="E76" s="99" t="s">
        <v>1979</v>
      </c>
      <c r="F76" s="99"/>
      <c r="G76" s="100"/>
    </row>
    <row r="77" spans="1:7">
      <c r="A77" s="39" t="s">
        <v>1923</v>
      </c>
      <c r="C77" s="29"/>
      <c r="D77" s="29"/>
      <c r="E77" s="299">
        <v>1.0293226214925075</v>
      </c>
      <c r="F77" s="299">
        <v>1.018057518842125</v>
      </c>
      <c r="G77" s="300">
        <v>1.0198951275339778</v>
      </c>
    </row>
    <row r="78" spans="1:7">
      <c r="A78" s="39" t="s">
        <v>1924</v>
      </c>
      <c r="C78" s="29"/>
      <c r="D78" s="301">
        <v>0.97997775379968244</v>
      </c>
      <c r="E78" s="301">
        <v>0.99477195900226889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2078.564331705642</v>
      </c>
      <c r="D81" s="304">
        <v>2078.564331705642</v>
      </c>
      <c r="E81" s="304">
        <v>2139.5132868520732</v>
      </c>
      <c r="F81" s="304">
        <v>2178.1475883423814</v>
      </c>
      <c r="G81" s="305">
        <v>2221.4821124002792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203.7353834437157</v>
      </c>
      <c r="D84" s="308">
        <v>203.7353834437157</v>
      </c>
      <c r="E84" s="308">
        <v>209.70943897706667</v>
      </c>
      <c r="F84" s="308">
        <v>213.49627112276653</v>
      </c>
      <c r="G84" s="309">
        <v>217.74380666478268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3.6037451461765929E-2</v>
      </c>
      <c r="D86" s="310">
        <v>3.5315900736166458E-2</v>
      </c>
      <c r="E86" s="308">
        <v>3.6037451461765929E-2</v>
      </c>
      <c r="F86" s="308">
        <v>3.6688198420558933E-2</v>
      </c>
      <c r="G86" s="309">
        <v>3.7418114807127839E-2</v>
      </c>
    </row>
    <row r="87" spans="1:7">
      <c r="A87" s="39" t="s">
        <v>1931</v>
      </c>
      <c r="B87" s="96"/>
      <c r="C87" s="308">
        <v>2.9218179306288252E-2</v>
      </c>
      <c r="D87" s="306"/>
      <c r="E87" s="308">
        <v>2.9218179306288252E-2</v>
      </c>
      <c r="F87" s="308">
        <v>2.9745787129644138E-2</v>
      </c>
      <c r="G87" s="309">
        <v>3.0337583358186964E-2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203.80063907448377</v>
      </c>
      <c r="D89" s="312">
        <v>203.77069934445188</v>
      </c>
      <c r="E89" s="312">
        <v>209.77469460783473</v>
      </c>
      <c r="F89" s="312">
        <v>213.56270510831675</v>
      </c>
      <c r="G89" s="313">
        <v>217.811562362948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1312.1799122796515</v>
      </c>
      <c r="D92" s="308">
        <v>1312.1799122796515</v>
      </c>
      <c r="E92" s="308">
        <v>1350.6564671774995</v>
      </c>
      <c r="F92" s="308">
        <v>1375.0459717827953</v>
      </c>
      <c r="G92" s="309">
        <v>1402.4026867564965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29.193486536965505</v>
      </c>
      <c r="D94" s="308">
        <v>28.608967362076726</v>
      </c>
      <c r="E94" s="308">
        <v>29.193486536965505</v>
      </c>
      <c r="F94" s="308">
        <v>29.720648470174083</v>
      </c>
      <c r="G94" s="309">
        <v>30.311944561880718</v>
      </c>
    </row>
    <row r="95" spans="1:7">
      <c r="A95" s="39" t="s">
        <v>1931</v>
      </c>
      <c r="B95" s="96"/>
      <c r="C95" s="308">
        <v>12.554730325176918</v>
      </c>
      <c r="D95" s="306"/>
      <c r="E95" s="308">
        <v>12.554730325176918</v>
      </c>
      <c r="F95" s="308">
        <v>12.781437604581598</v>
      </c>
      <c r="G95" s="309">
        <v>13.035725935792328</v>
      </c>
    </row>
    <row r="96" spans="1:7">
      <c r="A96" s="39" t="s">
        <v>1932</v>
      </c>
      <c r="B96" s="96"/>
      <c r="C96" s="308">
        <v>1.5147270068315307E-2</v>
      </c>
      <c r="D96" s="306"/>
      <c r="E96" s="308">
        <v>1.5147270068315307E-2</v>
      </c>
      <c r="F96" s="308">
        <v>1.5420792182980668E-2</v>
      </c>
      <c r="G96" s="309">
        <v>1.5727590810136038E-2</v>
      </c>
    </row>
    <row r="97" spans="1:7">
      <c r="A97" s="39" t="s">
        <v>1935</v>
      </c>
      <c r="B97" s="96"/>
      <c r="C97" s="308">
        <v>6.6635735283688782E-2</v>
      </c>
      <c r="D97" s="306"/>
      <c r="E97" s="308">
        <v>6.6287360927711703E-2</v>
      </c>
      <c r="F97" s="308">
        <v>6.6635735283688782E-2</v>
      </c>
      <c r="G97" s="309">
        <v>6.7961461735478151E-2</v>
      </c>
    </row>
    <row r="98" spans="1:7">
      <c r="A98" s="39" t="s">
        <v>1936</v>
      </c>
      <c r="B98" s="96"/>
      <c r="C98" s="308">
        <v>0.12376972146873835</v>
      </c>
      <c r="D98" s="306"/>
      <c r="E98" s="306"/>
      <c r="F98" s="308">
        <v>0.12376972146873835</v>
      </c>
      <c r="G98" s="309">
        <v>0.1262321358622038</v>
      </c>
    </row>
    <row r="99" spans="1:7">
      <c r="A99" s="39" t="s">
        <v>1933</v>
      </c>
      <c r="B99" s="96"/>
      <c r="C99" s="311">
        <v>1354.1336818686148</v>
      </c>
      <c r="D99" s="312">
        <v>1340.7888796417283</v>
      </c>
      <c r="E99" s="312">
        <v>1392.486118670638</v>
      </c>
      <c r="F99" s="312">
        <v>1417.7538841064866</v>
      </c>
      <c r="G99" s="313">
        <v>1445.9602784425772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9.7997775379968244E-5</v>
      </c>
      <c r="E102" s="308">
        <v>1E-4</v>
      </c>
      <c r="F102" s="308">
        <v>1.018057518842125E-4</v>
      </c>
      <c r="G102" s="309">
        <v>1.0383119030164142E-4</v>
      </c>
    </row>
    <row r="103" spans="1:7">
      <c r="A103" s="39" t="s">
        <v>1931</v>
      </c>
      <c r="B103" s="96"/>
      <c r="C103" s="308">
        <v>134.60873611367975</v>
      </c>
      <c r="D103" s="306"/>
      <c r="E103" s="308">
        <v>134.60873611367975</v>
      </c>
      <c r="F103" s="308">
        <v>137.03943590236716</v>
      </c>
      <c r="G103" s="309">
        <v>139.76585295682912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1.018057518842125E-4</v>
      </c>
      <c r="G104" s="309">
        <v>1.0383119030164142E-4</v>
      </c>
    </row>
    <row r="105" spans="1:7">
      <c r="A105" s="39" t="s">
        <v>1935</v>
      </c>
      <c r="B105" s="96"/>
      <c r="C105" s="308">
        <v>1E-4</v>
      </c>
      <c r="D105" s="306"/>
      <c r="E105" s="308">
        <v>9.9477195900226891E-5</v>
      </c>
      <c r="F105" s="308">
        <v>1E-4</v>
      </c>
      <c r="G105" s="309">
        <v>1.0198951275339778E-4</v>
      </c>
    </row>
    <row r="106" spans="1:7">
      <c r="A106" s="39" t="s">
        <v>1936</v>
      </c>
      <c r="B106" s="96"/>
      <c r="C106" s="308">
        <v>141.17126388632025</v>
      </c>
      <c r="D106" s="306"/>
      <c r="E106" s="306"/>
      <c r="F106" s="308">
        <v>141.17126388632025</v>
      </c>
      <c r="G106" s="309">
        <v>143.97988418547143</v>
      </c>
    </row>
    <row r="107" spans="1:7">
      <c r="A107" s="39" t="s">
        <v>1933</v>
      </c>
      <c r="B107" s="96"/>
      <c r="C107" s="311">
        <v>275.78030000000001</v>
      </c>
      <c r="D107" s="312">
        <v>9.7997775379968244E-5</v>
      </c>
      <c r="E107" s="312">
        <v>134.60903559087566</v>
      </c>
      <c r="F107" s="312">
        <v>278.2110034001912</v>
      </c>
      <c r="G107" s="313">
        <v>283.74604679419394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3594.4796274290093</v>
      </c>
      <c r="D113" s="306">
        <v>3594.4796274290093</v>
      </c>
      <c r="E113" s="306">
        <v>3699.8791930066395</v>
      </c>
      <c r="F113" s="306">
        <v>3766.6898312479434</v>
      </c>
      <c r="G113" s="307">
        <v>3841.6286058215583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29.229623988427271</v>
      </c>
      <c r="D115" s="306">
        <v>28.644381260588272</v>
      </c>
      <c r="E115" s="306">
        <v>29.229623988427271</v>
      </c>
      <c r="F115" s="306">
        <v>29.757438474346529</v>
      </c>
      <c r="G115" s="307">
        <v>30.349466507878148</v>
      </c>
    </row>
    <row r="116" spans="1:7">
      <c r="A116" s="39" t="s">
        <v>1931</v>
      </c>
      <c r="C116" s="306">
        <v>147.19268461816296</v>
      </c>
      <c r="D116" s="306">
        <v>0</v>
      </c>
      <c r="E116" s="306">
        <v>147.19268461816296</v>
      </c>
      <c r="F116" s="306">
        <v>149.8506192940784</v>
      </c>
      <c r="G116" s="307">
        <v>152.83191647597963</v>
      </c>
    </row>
    <row r="117" spans="1:7">
      <c r="A117" s="39" t="s">
        <v>1932</v>
      </c>
      <c r="C117" s="306">
        <v>1.5247270068315307E-2</v>
      </c>
      <c r="D117" s="306">
        <v>0</v>
      </c>
      <c r="E117" s="306">
        <v>1.5247270068315307E-2</v>
      </c>
      <c r="F117" s="306">
        <v>1.5522597934864881E-2</v>
      </c>
      <c r="G117" s="307">
        <v>1.5831422000437679E-2</v>
      </c>
    </row>
    <row r="118" spans="1:7">
      <c r="A118" s="39" t="s">
        <v>1935</v>
      </c>
      <c r="C118" s="306">
        <v>6.6735735283688785E-2</v>
      </c>
      <c r="D118" s="306">
        <v>0</v>
      </c>
      <c r="E118" s="306">
        <v>6.638683812361193E-2</v>
      </c>
      <c r="F118" s="306">
        <v>6.6735735283688785E-2</v>
      </c>
      <c r="G118" s="307">
        <v>6.8063451248231543E-2</v>
      </c>
    </row>
    <row r="119" spans="1:7" ht="15" thickBot="1">
      <c r="A119" s="39" t="s">
        <v>1936</v>
      </c>
      <c r="C119" s="306">
        <v>141.29503360778898</v>
      </c>
      <c r="D119" s="306">
        <v>0</v>
      </c>
      <c r="E119" s="306">
        <v>0</v>
      </c>
      <c r="F119" s="306">
        <v>141.29503360778898</v>
      </c>
      <c r="G119" s="307">
        <v>144.10611632133364</v>
      </c>
    </row>
    <row r="120" spans="1:7" ht="15" thickBot="1">
      <c r="A120" s="39" t="s">
        <v>115</v>
      </c>
      <c r="C120" s="314">
        <v>3912.2789526487404</v>
      </c>
      <c r="D120" s="315">
        <v>3623.1240086895978</v>
      </c>
      <c r="E120" s="315">
        <v>3876.3831357214212</v>
      </c>
      <c r="F120" s="315">
        <v>4087.6751809573757</v>
      </c>
      <c r="G120" s="316">
        <v>4168.9999999999982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105.39956557763043</v>
      </c>
      <c r="E122" s="306">
        <v>69.99666273100479</v>
      </c>
      <c r="F122" s="306">
        <v>81.324819042622934</v>
      </c>
      <c r="G122" s="307">
        <v>256.72104735125816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3912.2789526487404</v>
      </c>
      <c r="D134" s="315">
        <v>3623.1240086895978</v>
      </c>
      <c r="E134" s="315">
        <v>3876.3831357214212</v>
      </c>
      <c r="F134" s="315">
        <v>4087.6751809573757</v>
      </c>
      <c r="G134" s="316">
        <v>4168.9999999999982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105.39956557763043</v>
      </c>
      <c r="E136" s="318">
        <v>69.99666273100479</v>
      </c>
      <c r="F136" s="318">
        <v>81.324819042622934</v>
      </c>
      <c r="G136" s="319">
        <v>256.72104735125816</v>
      </c>
    </row>
    <row r="137" spans="1:7" ht="15" thickBot="1"/>
    <row r="138" spans="1:7" ht="15" thickBot="1">
      <c r="A138" s="105" t="s">
        <v>9234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39"/>
      <c r="B140" s="62"/>
      <c r="C140" s="62"/>
      <c r="D140" s="62"/>
      <c r="E140" s="60" t="s">
        <v>1912</v>
      </c>
      <c r="F140" s="62"/>
      <c r="G140" s="43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/>
      <c r="E144" s="99" t="s">
        <v>1979</v>
      </c>
      <c r="F144" s="99"/>
      <c r="G144" s="100"/>
    </row>
    <row r="145" spans="1:7">
      <c r="A145" s="39" t="s">
        <v>1923</v>
      </c>
      <c r="C145" s="29"/>
      <c r="D145" s="29"/>
      <c r="E145" s="299">
        <v>1.0296596215366602</v>
      </c>
      <c r="F145" s="299">
        <v>1.0177581365346828</v>
      </c>
      <c r="G145" s="300">
        <v>1.0196245388794294</v>
      </c>
    </row>
    <row r="146" spans="1:7">
      <c r="A146" s="39" t="s">
        <v>1924</v>
      </c>
      <c r="C146" s="29"/>
      <c r="D146" s="301">
        <v>0.979673265372489</v>
      </c>
      <c r="E146" s="301">
        <v>0.99472090324833118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2046.6723576146492</v>
      </c>
      <c r="D149" s="304">
        <v>2046.6723576146492</v>
      </c>
      <c r="E149" s="304">
        <v>2107.3758851510438</v>
      </c>
      <c r="F149" s="304">
        <v>2144.7989538494539</v>
      </c>
      <c r="G149" s="305">
        <v>2186.889644307832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203.25193828927056</v>
      </c>
      <c r="D152" s="308">
        <v>203.25193828927056</v>
      </c>
      <c r="E152" s="308">
        <v>209.28031385552293</v>
      </c>
      <c r="F152" s="308">
        <v>212.99674224299059</v>
      </c>
      <c r="G152" s="309">
        <v>217.17670509232997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3.5951937934398916E-2</v>
      </c>
      <c r="D154" s="310">
        <v>3.5221152432661641E-2</v>
      </c>
      <c r="E154" s="308">
        <v>3.5951937934398916E-2</v>
      </c>
      <c r="F154" s="308">
        <v>3.6590377356924414E-2</v>
      </c>
      <c r="G154" s="309">
        <v>3.7308446639978371E-2</v>
      </c>
    </row>
    <row r="155" spans="1:7">
      <c r="A155" s="39" t="s">
        <v>1931</v>
      </c>
      <c r="B155" s="96"/>
      <c r="C155" s="308">
        <v>2.9148847278789768E-2</v>
      </c>
      <c r="D155" s="306"/>
      <c r="E155" s="308">
        <v>2.9148847278789768E-2</v>
      </c>
      <c r="F155" s="308">
        <v>2.9666476488595134E-2</v>
      </c>
      <c r="G155" s="309">
        <v>3.0248667409861246E-2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203.31703907448372</v>
      </c>
      <c r="D157" s="312">
        <v>203.28715944170321</v>
      </c>
      <c r="E157" s="312">
        <v>209.3454146407361</v>
      </c>
      <c r="F157" s="312">
        <v>213.06299909683611</v>
      </c>
      <c r="G157" s="313">
        <v>217.2442622063798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1222.8449926748615</v>
      </c>
      <c r="D160" s="308">
        <v>1222.8449926748615</v>
      </c>
      <c r="E160" s="308">
        <v>1259.1141123555979</v>
      </c>
      <c r="F160" s="308">
        <v>1281.4736326755547</v>
      </c>
      <c r="G160" s="309">
        <v>1306.6219618029597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27.350126141241461</v>
      </c>
      <c r="D162" s="308">
        <v>26.794187385139494</v>
      </c>
      <c r="E162" s="308">
        <v>27.350126141241461</v>
      </c>
      <c r="F162" s="308">
        <v>27.835813415498425</v>
      </c>
      <c r="G162" s="309">
        <v>28.382078418111416</v>
      </c>
    </row>
    <row r="163" spans="1:7">
      <c r="A163" s="39" t="s">
        <v>1931</v>
      </c>
      <c r="B163" s="96"/>
      <c r="C163" s="308">
        <v>11.761988676072324</v>
      </c>
      <c r="D163" s="306"/>
      <c r="E163" s="308">
        <v>11.761988676072324</v>
      </c>
      <c r="F163" s="308">
        <v>11.97085967690141</v>
      </c>
      <c r="G163" s="309">
        <v>12.205782278050956</v>
      </c>
    </row>
    <row r="164" spans="1:7">
      <c r="A164" s="39" t="s">
        <v>1932</v>
      </c>
      <c r="B164" s="96"/>
      <c r="C164" s="308">
        <v>1.4190828030742533E-2</v>
      </c>
      <c r="D164" s="306"/>
      <c r="E164" s="308">
        <v>1.4190828030742533E-2</v>
      </c>
      <c r="F164" s="308">
        <v>1.4442830692452663E-2</v>
      </c>
      <c r="G164" s="309">
        <v>1.4726264584905717E-2</v>
      </c>
    </row>
    <row r="165" spans="1:7">
      <c r="A165" s="39" t="s">
        <v>1935</v>
      </c>
      <c r="B165" s="96"/>
      <c r="C165" s="308">
        <v>6.2428164008967349E-2</v>
      </c>
      <c r="D165" s="306"/>
      <c r="E165" s="308">
        <v>6.2098599691134959E-2</v>
      </c>
      <c r="F165" s="308">
        <v>6.2428164008967349E-2</v>
      </c>
      <c r="G165" s="309">
        <v>6.3653287940732717E-2</v>
      </c>
    </row>
    <row r="166" spans="1:7">
      <c r="A166" s="39" t="s">
        <v>1936</v>
      </c>
      <c r="B166" s="96"/>
      <c r="C166" s="308">
        <v>0.1159545465852459</v>
      </c>
      <c r="D166" s="306"/>
      <c r="E166" s="306"/>
      <c r="F166" s="308">
        <v>0.1159545465852459</v>
      </c>
      <c r="G166" s="309">
        <v>0.11823010109295466</v>
      </c>
    </row>
    <row r="167" spans="1:7">
      <c r="A167" s="39" t="s">
        <v>1933</v>
      </c>
      <c r="B167" s="96"/>
      <c r="C167" s="311">
        <v>1262.1496810308001</v>
      </c>
      <c r="D167" s="312">
        <v>1249.6391800600011</v>
      </c>
      <c r="E167" s="312">
        <v>1298.3025166006335</v>
      </c>
      <c r="F167" s="312">
        <v>1321.4731313092411</v>
      </c>
      <c r="G167" s="313">
        <v>1347.4064321527405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9.7967326537248906E-5</v>
      </c>
      <c r="E170" s="308">
        <v>1E-4</v>
      </c>
      <c r="F170" s="308">
        <v>1.0177581365346828E-4</v>
      </c>
      <c r="G170" s="309">
        <v>1.0377311706549633E-4</v>
      </c>
    </row>
    <row r="171" spans="1:7">
      <c r="A171" s="39" t="s">
        <v>1931</v>
      </c>
      <c r="B171" s="96"/>
      <c r="C171" s="308">
        <v>134.60873611367975</v>
      </c>
      <c r="D171" s="306"/>
      <c r="E171" s="308">
        <v>134.60873611367975</v>
      </c>
      <c r="F171" s="308">
        <v>136.99913642834758</v>
      </c>
      <c r="G171" s="309">
        <v>139.68768130763394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1.0177581365346828E-4</v>
      </c>
      <c r="G172" s="309">
        <v>1.0377311706549633E-4</v>
      </c>
    </row>
    <row r="173" spans="1:7">
      <c r="A173" s="39" t="s">
        <v>1935</v>
      </c>
      <c r="B173" s="96"/>
      <c r="C173" s="308">
        <v>1E-4</v>
      </c>
      <c r="D173" s="306"/>
      <c r="E173" s="308">
        <v>9.9472090324833129E-5</v>
      </c>
      <c r="F173" s="308">
        <v>1E-4</v>
      </c>
      <c r="G173" s="309">
        <v>1.0196245388794295E-4</v>
      </c>
    </row>
    <row r="174" spans="1:7">
      <c r="A174" s="39" t="s">
        <v>1936</v>
      </c>
      <c r="B174" s="96"/>
      <c r="C174" s="308">
        <v>141.17126388632025</v>
      </c>
      <c r="D174" s="306"/>
      <c r="E174" s="306"/>
      <c r="F174" s="308">
        <v>141.17126388632025</v>
      </c>
      <c r="G174" s="309">
        <v>143.94168484311552</v>
      </c>
    </row>
    <row r="175" spans="1:7">
      <c r="A175" s="39" t="s">
        <v>1933</v>
      </c>
      <c r="B175" s="96"/>
      <c r="C175" s="311">
        <v>275.78030000000001</v>
      </c>
      <c r="D175" s="312">
        <v>9.7967326537248906E-5</v>
      </c>
      <c r="E175" s="312">
        <v>134.60903558577007</v>
      </c>
      <c r="F175" s="312">
        <v>278.17070386629513</v>
      </c>
      <c r="G175" s="313">
        <v>283.62967565943751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3472.769288578781</v>
      </c>
      <c r="D181" s="306">
        <v>3472.769288578781</v>
      </c>
      <c r="E181" s="306">
        <v>3575.7703113621646</v>
      </c>
      <c r="F181" s="306">
        <v>3639.269328767999</v>
      </c>
      <c r="G181" s="307">
        <v>3710.6883112031219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27.38617807917586</v>
      </c>
      <c r="D183" s="306">
        <v>26.829506504898692</v>
      </c>
      <c r="E183" s="306">
        <v>27.38617807917586</v>
      </c>
      <c r="F183" s="306">
        <v>27.872505568669002</v>
      </c>
      <c r="G183" s="307">
        <v>28.41949063786846</v>
      </c>
    </row>
    <row r="184" spans="1:7">
      <c r="A184" s="39" t="s">
        <v>1931</v>
      </c>
      <c r="C184" s="306">
        <v>146.39987363703088</v>
      </c>
      <c r="D184" s="306">
        <v>0</v>
      </c>
      <c r="E184" s="306">
        <v>146.39987363703088</v>
      </c>
      <c r="F184" s="306">
        <v>148.9996625817376</v>
      </c>
      <c r="G184" s="307">
        <v>151.92371225309475</v>
      </c>
    </row>
    <row r="185" spans="1:7">
      <c r="A185" s="39" t="s">
        <v>1932</v>
      </c>
      <c r="C185" s="306">
        <v>1.4290828030742532E-2</v>
      </c>
      <c r="D185" s="306">
        <v>0</v>
      </c>
      <c r="E185" s="306">
        <v>1.4290828030742532E-2</v>
      </c>
      <c r="F185" s="306">
        <v>1.4544606506106131E-2</v>
      </c>
      <c r="G185" s="307">
        <v>1.4830037701971213E-2</v>
      </c>
    </row>
    <row r="186" spans="1:7">
      <c r="A186" s="39" t="s">
        <v>1935</v>
      </c>
      <c r="C186" s="306">
        <v>6.2528164008967352E-2</v>
      </c>
      <c r="D186" s="306">
        <v>0</v>
      </c>
      <c r="E186" s="306">
        <v>6.2198071781459793E-2</v>
      </c>
      <c r="F186" s="306">
        <v>6.2528164008967352E-2</v>
      </c>
      <c r="G186" s="307">
        <v>6.3755250394620655E-2</v>
      </c>
    </row>
    <row r="187" spans="1:7" ht="15" thickBot="1">
      <c r="A187" s="39" t="s">
        <v>1936</v>
      </c>
      <c r="C187" s="306">
        <v>141.28721843290549</v>
      </c>
      <c r="D187" s="306">
        <v>0</v>
      </c>
      <c r="E187" s="306">
        <v>0</v>
      </c>
      <c r="F187" s="306">
        <v>141.28721843290549</v>
      </c>
      <c r="G187" s="307">
        <v>144.05991494420849</v>
      </c>
    </row>
    <row r="188" spans="1:7" ht="15" thickBot="1">
      <c r="A188" s="39" t="s">
        <v>115</v>
      </c>
      <c r="C188" s="314">
        <v>3787.919377719933</v>
      </c>
      <c r="D188" s="315">
        <v>3499.5987950836798</v>
      </c>
      <c r="E188" s="315">
        <v>3749.6328519781837</v>
      </c>
      <c r="F188" s="315">
        <v>3957.5057881218263</v>
      </c>
      <c r="G188" s="316">
        <v>4035.1700143263902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103.00102278338306</v>
      </c>
      <c r="E190" s="306">
        <v>66.585387618510111</v>
      </c>
      <c r="F190" s="306">
        <v>77.664226204563406</v>
      </c>
      <c r="G190" s="307">
        <v>247.25063660645657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3787.919377719933</v>
      </c>
      <c r="D202" s="315">
        <v>3499.5987950836798</v>
      </c>
      <c r="E202" s="315">
        <v>3749.6328519781837</v>
      </c>
      <c r="F202" s="315">
        <v>3957.5057881218263</v>
      </c>
      <c r="G202" s="316">
        <v>4035.1700143263902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103.00102278338306</v>
      </c>
      <c r="E204" s="318">
        <v>66.585387618510111</v>
      </c>
      <c r="F204" s="318">
        <v>77.664226204563406</v>
      </c>
      <c r="G204" s="319">
        <v>247.25063660645657</v>
      </c>
    </row>
    <row r="205" spans="1:7" ht="15" thickBot="1"/>
    <row r="206" spans="1:7" ht="15" thickBot="1">
      <c r="A206" s="89" t="s">
        <v>9235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39"/>
      <c r="B208" s="62"/>
      <c r="C208" s="62"/>
      <c r="D208" s="62"/>
      <c r="E208" s="60" t="s">
        <v>1912</v>
      </c>
      <c r="F208" s="62"/>
      <c r="G208" s="43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/>
      <c r="E212" s="99" t="s">
        <v>1979</v>
      </c>
      <c r="F212" s="99"/>
      <c r="G212" s="100"/>
    </row>
    <row r="213" spans="1:7">
      <c r="A213" s="39" t="s">
        <v>1923</v>
      </c>
      <c r="C213" s="29"/>
      <c r="D213" s="29"/>
      <c r="E213" s="299">
        <v>1.0293226214925075</v>
      </c>
      <c r="F213" s="299">
        <v>1.018057518842125</v>
      </c>
      <c r="G213" s="300">
        <v>1.0198951275339778</v>
      </c>
    </row>
    <row r="214" spans="1:7">
      <c r="A214" s="39" t="s">
        <v>1924</v>
      </c>
      <c r="C214" s="29"/>
      <c r="D214" s="301">
        <v>0.97997775379968244</v>
      </c>
      <c r="E214" s="301">
        <v>0.99477195900226889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2078.564331705642</v>
      </c>
      <c r="D217" s="304">
        <v>2078.564331705642</v>
      </c>
      <c r="E217" s="304">
        <v>2139.5132868520732</v>
      </c>
      <c r="F217" s="304">
        <v>2178.1475883423814</v>
      </c>
      <c r="G217" s="305">
        <v>2221.4821124002792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203.7353834437157</v>
      </c>
      <c r="D220" s="308">
        <v>203.7353834437157</v>
      </c>
      <c r="E220" s="308">
        <v>209.70943897706667</v>
      </c>
      <c r="F220" s="308">
        <v>213.49627112276653</v>
      </c>
      <c r="G220" s="309">
        <v>217.74380666478268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3.6037451461765929E-2</v>
      </c>
      <c r="D222" s="310">
        <v>3.5315900736166458E-2</v>
      </c>
      <c r="E222" s="308">
        <v>3.6037451461765929E-2</v>
      </c>
      <c r="F222" s="308">
        <v>3.6688198420558933E-2</v>
      </c>
      <c r="G222" s="309">
        <v>3.7418114807127839E-2</v>
      </c>
    </row>
    <row r="223" spans="1:7">
      <c r="A223" s="39" t="s">
        <v>1931</v>
      </c>
      <c r="B223" s="96"/>
      <c r="C223" s="308">
        <v>2.9218179306288252E-2</v>
      </c>
      <c r="D223" s="306"/>
      <c r="E223" s="308">
        <v>2.9218179306288252E-2</v>
      </c>
      <c r="F223" s="308">
        <v>2.9745787129644138E-2</v>
      </c>
      <c r="G223" s="309">
        <v>3.0337583358186964E-2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203.80063907448377</v>
      </c>
      <c r="D225" s="312">
        <v>203.77069934445188</v>
      </c>
      <c r="E225" s="312">
        <v>209.77469460783473</v>
      </c>
      <c r="F225" s="312">
        <v>213.56270510831675</v>
      </c>
      <c r="G225" s="313">
        <v>217.811562362948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1312.1799122796515</v>
      </c>
      <c r="D228" s="308">
        <v>1312.1799122796515</v>
      </c>
      <c r="E228" s="308">
        <v>1350.6564671774995</v>
      </c>
      <c r="F228" s="308">
        <v>1375.0459717827953</v>
      </c>
      <c r="G228" s="309">
        <v>1402.4026867564965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29.193486536965505</v>
      </c>
      <c r="D230" s="308">
        <v>28.608967362076726</v>
      </c>
      <c r="E230" s="308">
        <v>29.193486536965505</v>
      </c>
      <c r="F230" s="308">
        <v>29.720648470174083</v>
      </c>
      <c r="G230" s="309">
        <v>30.311944561880718</v>
      </c>
    </row>
    <row r="231" spans="1:7">
      <c r="A231" s="39" t="s">
        <v>1931</v>
      </c>
      <c r="B231" s="96"/>
      <c r="C231" s="308">
        <v>12.554730325176918</v>
      </c>
      <c r="D231" s="306"/>
      <c r="E231" s="308">
        <v>12.554730325176918</v>
      </c>
      <c r="F231" s="308">
        <v>12.781437604581598</v>
      </c>
      <c r="G231" s="309">
        <v>13.035725935792328</v>
      </c>
    </row>
    <row r="232" spans="1:7">
      <c r="A232" s="39" t="s">
        <v>1932</v>
      </c>
      <c r="B232" s="96"/>
      <c r="C232" s="308">
        <v>1.5147270068315307E-2</v>
      </c>
      <c r="D232" s="306"/>
      <c r="E232" s="308">
        <v>1.5147270068315307E-2</v>
      </c>
      <c r="F232" s="308">
        <v>1.5420792182980668E-2</v>
      </c>
      <c r="G232" s="309">
        <v>1.5727590810136038E-2</v>
      </c>
    </row>
    <row r="233" spans="1:7">
      <c r="A233" s="39" t="s">
        <v>1935</v>
      </c>
      <c r="B233" s="96"/>
      <c r="C233" s="308">
        <v>6.6635735283688782E-2</v>
      </c>
      <c r="D233" s="306"/>
      <c r="E233" s="308">
        <v>6.6287360927711703E-2</v>
      </c>
      <c r="F233" s="308">
        <v>6.6635735283688782E-2</v>
      </c>
      <c r="G233" s="309">
        <v>6.7961461735478151E-2</v>
      </c>
    </row>
    <row r="234" spans="1:7">
      <c r="A234" s="39" t="s">
        <v>1936</v>
      </c>
      <c r="B234" s="96"/>
      <c r="C234" s="308">
        <v>0.12376972146873835</v>
      </c>
      <c r="D234" s="306"/>
      <c r="E234" s="306"/>
      <c r="F234" s="308">
        <v>0.12376972146873835</v>
      </c>
      <c r="G234" s="309">
        <v>0.1262321358622038</v>
      </c>
    </row>
    <row r="235" spans="1:7">
      <c r="A235" s="39" t="s">
        <v>1933</v>
      </c>
      <c r="B235" s="96"/>
      <c r="C235" s="311">
        <v>1354.1336818686148</v>
      </c>
      <c r="D235" s="312">
        <v>1340.7888796417283</v>
      </c>
      <c r="E235" s="312">
        <v>1392.486118670638</v>
      </c>
      <c r="F235" s="312">
        <v>1417.7538841064866</v>
      </c>
      <c r="G235" s="313">
        <v>1445.9602784425772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9.7997775379968244E-5</v>
      </c>
      <c r="E238" s="308">
        <v>1E-4</v>
      </c>
      <c r="F238" s="308">
        <v>1.018057518842125E-4</v>
      </c>
      <c r="G238" s="309">
        <v>1.0383119030164142E-4</v>
      </c>
    </row>
    <row r="239" spans="1:7">
      <c r="A239" s="39" t="s">
        <v>1931</v>
      </c>
      <c r="B239" s="96"/>
      <c r="C239" s="308">
        <v>134.60873611367975</v>
      </c>
      <c r="D239" s="306"/>
      <c r="E239" s="308">
        <v>134.60873611367975</v>
      </c>
      <c r="F239" s="308">
        <v>137.03943590236716</v>
      </c>
      <c r="G239" s="309">
        <v>139.76585295682912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1.018057518842125E-4</v>
      </c>
      <c r="G240" s="309">
        <v>1.0383119030164142E-4</v>
      </c>
    </row>
    <row r="241" spans="1:7">
      <c r="A241" s="39" t="s">
        <v>1935</v>
      </c>
      <c r="B241" s="96"/>
      <c r="C241" s="308">
        <v>1E-4</v>
      </c>
      <c r="D241" s="306"/>
      <c r="E241" s="308">
        <v>9.9477195900226891E-5</v>
      </c>
      <c r="F241" s="308">
        <v>1E-4</v>
      </c>
      <c r="G241" s="309">
        <v>1.0198951275339778E-4</v>
      </c>
    </row>
    <row r="242" spans="1:7">
      <c r="A242" s="39" t="s">
        <v>1936</v>
      </c>
      <c r="B242" s="96"/>
      <c r="C242" s="308">
        <v>141.17126388632025</v>
      </c>
      <c r="D242" s="306"/>
      <c r="E242" s="306"/>
      <c r="F242" s="308">
        <v>141.17126388632025</v>
      </c>
      <c r="G242" s="309">
        <v>143.97988418547143</v>
      </c>
    </row>
    <row r="243" spans="1:7">
      <c r="A243" s="39" t="s">
        <v>1933</v>
      </c>
      <c r="B243" s="96"/>
      <c r="C243" s="311">
        <v>275.78030000000001</v>
      </c>
      <c r="D243" s="312">
        <v>9.7997775379968244E-5</v>
      </c>
      <c r="E243" s="312">
        <v>134.60903559087566</v>
      </c>
      <c r="F243" s="312">
        <v>278.2110034001912</v>
      </c>
      <c r="G243" s="313">
        <v>283.74604679419394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3594.4796274290093</v>
      </c>
      <c r="D249" s="306">
        <v>3594.4796274290093</v>
      </c>
      <c r="E249" s="306">
        <v>3699.8791930066395</v>
      </c>
      <c r="F249" s="306">
        <v>3766.6898312479434</v>
      </c>
      <c r="G249" s="307">
        <v>3841.6286058215583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29.229623988427271</v>
      </c>
      <c r="D251" s="306">
        <v>28.644381260588272</v>
      </c>
      <c r="E251" s="306">
        <v>29.229623988427271</v>
      </c>
      <c r="F251" s="306">
        <v>29.757438474346529</v>
      </c>
      <c r="G251" s="307">
        <v>30.349466507878148</v>
      </c>
    </row>
    <row r="252" spans="1:7">
      <c r="A252" s="39" t="s">
        <v>1931</v>
      </c>
      <c r="C252" s="306">
        <v>147.19268461816296</v>
      </c>
      <c r="D252" s="306">
        <v>0</v>
      </c>
      <c r="E252" s="306">
        <v>147.19268461816296</v>
      </c>
      <c r="F252" s="306">
        <v>149.8506192940784</v>
      </c>
      <c r="G252" s="307">
        <v>152.83191647597963</v>
      </c>
    </row>
    <row r="253" spans="1:7">
      <c r="A253" s="39" t="s">
        <v>1932</v>
      </c>
      <c r="C253" s="306">
        <v>1.5247270068315307E-2</v>
      </c>
      <c r="D253" s="306">
        <v>0</v>
      </c>
      <c r="E253" s="306">
        <v>1.5247270068315307E-2</v>
      </c>
      <c r="F253" s="306">
        <v>1.5522597934864881E-2</v>
      </c>
      <c r="G253" s="307">
        <v>1.5831422000437679E-2</v>
      </c>
    </row>
    <row r="254" spans="1:7">
      <c r="A254" s="39" t="s">
        <v>1935</v>
      </c>
      <c r="C254" s="306">
        <v>6.6735735283688785E-2</v>
      </c>
      <c r="D254" s="306">
        <v>0</v>
      </c>
      <c r="E254" s="306">
        <v>6.638683812361193E-2</v>
      </c>
      <c r="F254" s="306">
        <v>6.6735735283688785E-2</v>
      </c>
      <c r="G254" s="307">
        <v>6.8063451248231543E-2</v>
      </c>
    </row>
    <row r="255" spans="1:7" ht="15" thickBot="1">
      <c r="A255" s="39" t="s">
        <v>1936</v>
      </c>
      <c r="C255" s="306">
        <v>141.29503360778898</v>
      </c>
      <c r="D255" s="306">
        <v>0</v>
      </c>
      <c r="E255" s="306">
        <v>0</v>
      </c>
      <c r="F255" s="306">
        <v>141.29503360778898</v>
      </c>
      <c r="G255" s="307">
        <v>144.10611632133364</v>
      </c>
    </row>
    <row r="256" spans="1:7" ht="15" thickBot="1">
      <c r="A256" s="39" t="s">
        <v>115</v>
      </c>
      <c r="C256" s="314">
        <v>3912.2789526487404</v>
      </c>
      <c r="D256" s="315">
        <v>3623.1240086895978</v>
      </c>
      <c r="E256" s="315">
        <v>3876.3831357214212</v>
      </c>
      <c r="F256" s="315">
        <v>4087.6751809573757</v>
      </c>
      <c r="G256" s="316">
        <v>4168.9999999999982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105.39956557763043</v>
      </c>
      <c r="E258" s="306">
        <v>69.99666273100479</v>
      </c>
      <c r="F258" s="306">
        <v>81.324819042622934</v>
      </c>
      <c r="G258" s="307">
        <v>256.72104735125816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3912.2789526487404</v>
      </c>
      <c r="D270" s="315">
        <v>3623.1240086895978</v>
      </c>
      <c r="E270" s="315">
        <v>3876.3831357214212</v>
      </c>
      <c r="F270" s="315">
        <v>4087.6751809573757</v>
      </c>
      <c r="G270" s="316">
        <v>4168.9999999999982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105.39956557763043</v>
      </c>
      <c r="E272" s="318">
        <v>69.99666273100479</v>
      </c>
      <c r="F272" s="318">
        <v>81.324819042622934</v>
      </c>
      <c r="G272" s="319">
        <v>256.72104735125816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8" tint="0.59999389629810485"/>
  </sheetPr>
  <dimension ref="A1:G272"/>
  <sheetViews>
    <sheetView tabSelected="1" showOutlineSymbols="0" workbookViewId="0"/>
  </sheetViews>
  <sheetFormatPr defaultRowHeight="14.4"/>
  <cols>
    <col min="1" max="1" width="38.33203125" bestFit="1" customWidth="1"/>
    <col min="2" max="2" width="2.6640625" customWidth="1"/>
    <col min="3" max="7" width="16.5546875" customWidth="1"/>
    <col min="257" max="257" width="38.33203125" bestFit="1" customWidth="1"/>
    <col min="258" max="258" width="2.6640625" customWidth="1"/>
    <col min="259" max="263" width="16.5546875" customWidth="1"/>
    <col min="513" max="513" width="38.33203125" bestFit="1" customWidth="1"/>
    <col min="514" max="514" width="2.6640625" customWidth="1"/>
    <col min="515" max="519" width="16.5546875" customWidth="1"/>
    <col min="769" max="769" width="38.33203125" bestFit="1" customWidth="1"/>
    <col min="770" max="770" width="2.6640625" customWidth="1"/>
    <col min="771" max="775" width="16.5546875" customWidth="1"/>
    <col min="1025" max="1025" width="38.33203125" bestFit="1" customWidth="1"/>
    <col min="1026" max="1026" width="2.6640625" customWidth="1"/>
    <col min="1027" max="1031" width="16.5546875" customWidth="1"/>
    <col min="1281" max="1281" width="38.33203125" bestFit="1" customWidth="1"/>
    <col min="1282" max="1282" width="2.6640625" customWidth="1"/>
    <col min="1283" max="1287" width="16.5546875" customWidth="1"/>
    <col min="1537" max="1537" width="38.33203125" bestFit="1" customWidth="1"/>
    <col min="1538" max="1538" width="2.6640625" customWidth="1"/>
    <col min="1539" max="1543" width="16.5546875" customWidth="1"/>
    <col min="1793" max="1793" width="38.33203125" bestFit="1" customWidth="1"/>
    <col min="1794" max="1794" width="2.6640625" customWidth="1"/>
    <col min="1795" max="1799" width="16.5546875" customWidth="1"/>
    <col min="2049" max="2049" width="38.33203125" bestFit="1" customWidth="1"/>
    <col min="2050" max="2050" width="2.6640625" customWidth="1"/>
    <col min="2051" max="2055" width="16.5546875" customWidth="1"/>
    <col min="2305" max="2305" width="38.33203125" bestFit="1" customWidth="1"/>
    <col min="2306" max="2306" width="2.6640625" customWidth="1"/>
    <col min="2307" max="2311" width="16.5546875" customWidth="1"/>
    <col min="2561" max="2561" width="38.33203125" bestFit="1" customWidth="1"/>
    <col min="2562" max="2562" width="2.6640625" customWidth="1"/>
    <col min="2563" max="2567" width="16.5546875" customWidth="1"/>
    <col min="2817" max="2817" width="38.33203125" bestFit="1" customWidth="1"/>
    <col min="2818" max="2818" width="2.6640625" customWidth="1"/>
    <col min="2819" max="2823" width="16.5546875" customWidth="1"/>
    <col min="3073" max="3073" width="38.33203125" bestFit="1" customWidth="1"/>
    <col min="3074" max="3074" width="2.6640625" customWidth="1"/>
    <col min="3075" max="3079" width="16.5546875" customWidth="1"/>
    <col min="3329" max="3329" width="38.33203125" bestFit="1" customWidth="1"/>
    <col min="3330" max="3330" width="2.6640625" customWidth="1"/>
    <col min="3331" max="3335" width="16.5546875" customWidth="1"/>
    <col min="3585" max="3585" width="38.33203125" bestFit="1" customWidth="1"/>
    <col min="3586" max="3586" width="2.6640625" customWidth="1"/>
    <col min="3587" max="3591" width="16.5546875" customWidth="1"/>
    <col min="3841" max="3841" width="38.33203125" bestFit="1" customWidth="1"/>
    <col min="3842" max="3842" width="2.6640625" customWidth="1"/>
    <col min="3843" max="3847" width="16.5546875" customWidth="1"/>
    <col min="4097" max="4097" width="38.33203125" bestFit="1" customWidth="1"/>
    <col min="4098" max="4098" width="2.6640625" customWidth="1"/>
    <col min="4099" max="4103" width="16.5546875" customWidth="1"/>
    <col min="4353" max="4353" width="38.33203125" bestFit="1" customWidth="1"/>
    <col min="4354" max="4354" width="2.6640625" customWidth="1"/>
    <col min="4355" max="4359" width="16.5546875" customWidth="1"/>
    <col min="4609" max="4609" width="38.33203125" bestFit="1" customWidth="1"/>
    <col min="4610" max="4610" width="2.6640625" customWidth="1"/>
    <col min="4611" max="4615" width="16.5546875" customWidth="1"/>
    <col min="4865" max="4865" width="38.33203125" bestFit="1" customWidth="1"/>
    <col min="4866" max="4866" width="2.6640625" customWidth="1"/>
    <col min="4867" max="4871" width="16.5546875" customWidth="1"/>
    <col min="5121" max="5121" width="38.33203125" bestFit="1" customWidth="1"/>
    <col min="5122" max="5122" width="2.6640625" customWidth="1"/>
    <col min="5123" max="5127" width="16.5546875" customWidth="1"/>
    <col min="5377" max="5377" width="38.33203125" bestFit="1" customWidth="1"/>
    <col min="5378" max="5378" width="2.6640625" customWidth="1"/>
    <col min="5379" max="5383" width="16.5546875" customWidth="1"/>
    <col min="5633" max="5633" width="38.33203125" bestFit="1" customWidth="1"/>
    <col min="5634" max="5634" width="2.6640625" customWidth="1"/>
    <col min="5635" max="5639" width="16.5546875" customWidth="1"/>
    <col min="5889" max="5889" width="38.33203125" bestFit="1" customWidth="1"/>
    <col min="5890" max="5890" width="2.6640625" customWidth="1"/>
    <col min="5891" max="5895" width="16.5546875" customWidth="1"/>
    <col min="6145" max="6145" width="38.33203125" bestFit="1" customWidth="1"/>
    <col min="6146" max="6146" width="2.6640625" customWidth="1"/>
    <col min="6147" max="6151" width="16.5546875" customWidth="1"/>
    <col min="6401" max="6401" width="38.33203125" bestFit="1" customWidth="1"/>
    <col min="6402" max="6402" width="2.6640625" customWidth="1"/>
    <col min="6403" max="6407" width="16.5546875" customWidth="1"/>
    <col min="6657" max="6657" width="38.33203125" bestFit="1" customWidth="1"/>
    <col min="6658" max="6658" width="2.6640625" customWidth="1"/>
    <col min="6659" max="6663" width="16.5546875" customWidth="1"/>
    <col min="6913" max="6913" width="38.33203125" bestFit="1" customWidth="1"/>
    <col min="6914" max="6914" width="2.6640625" customWidth="1"/>
    <col min="6915" max="6919" width="16.5546875" customWidth="1"/>
    <col min="7169" max="7169" width="38.33203125" bestFit="1" customWidth="1"/>
    <col min="7170" max="7170" width="2.6640625" customWidth="1"/>
    <col min="7171" max="7175" width="16.5546875" customWidth="1"/>
    <col min="7425" max="7425" width="38.33203125" bestFit="1" customWidth="1"/>
    <col min="7426" max="7426" width="2.6640625" customWidth="1"/>
    <col min="7427" max="7431" width="16.5546875" customWidth="1"/>
    <col min="7681" max="7681" width="38.33203125" bestFit="1" customWidth="1"/>
    <col min="7682" max="7682" width="2.6640625" customWidth="1"/>
    <col min="7683" max="7687" width="16.5546875" customWidth="1"/>
    <col min="7937" max="7937" width="38.33203125" bestFit="1" customWidth="1"/>
    <col min="7938" max="7938" width="2.6640625" customWidth="1"/>
    <col min="7939" max="7943" width="16.5546875" customWidth="1"/>
    <col min="8193" max="8193" width="38.33203125" bestFit="1" customWidth="1"/>
    <col min="8194" max="8194" width="2.6640625" customWidth="1"/>
    <col min="8195" max="8199" width="16.5546875" customWidth="1"/>
    <col min="8449" max="8449" width="38.33203125" bestFit="1" customWidth="1"/>
    <col min="8450" max="8450" width="2.6640625" customWidth="1"/>
    <col min="8451" max="8455" width="16.5546875" customWidth="1"/>
    <col min="8705" max="8705" width="38.33203125" bestFit="1" customWidth="1"/>
    <col min="8706" max="8706" width="2.6640625" customWidth="1"/>
    <col min="8707" max="8711" width="16.5546875" customWidth="1"/>
    <col min="8961" max="8961" width="38.33203125" bestFit="1" customWidth="1"/>
    <col min="8962" max="8962" width="2.6640625" customWidth="1"/>
    <col min="8963" max="8967" width="16.5546875" customWidth="1"/>
    <col min="9217" max="9217" width="38.33203125" bestFit="1" customWidth="1"/>
    <col min="9218" max="9218" width="2.6640625" customWidth="1"/>
    <col min="9219" max="9223" width="16.5546875" customWidth="1"/>
    <col min="9473" max="9473" width="38.33203125" bestFit="1" customWidth="1"/>
    <col min="9474" max="9474" width="2.6640625" customWidth="1"/>
    <col min="9475" max="9479" width="16.5546875" customWidth="1"/>
    <col min="9729" max="9729" width="38.33203125" bestFit="1" customWidth="1"/>
    <col min="9730" max="9730" width="2.6640625" customWidth="1"/>
    <col min="9731" max="9735" width="16.5546875" customWidth="1"/>
    <col min="9985" max="9985" width="38.33203125" bestFit="1" customWidth="1"/>
    <col min="9986" max="9986" width="2.6640625" customWidth="1"/>
    <col min="9987" max="9991" width="16.5546875" customWidth="1"/>
    <col min="10241" max="10241" width="38.33203125" bestFit="1" customWidth="1"/>
    <col min="10242" max="10242" width="2.6640625" customWidth="1"/>
    <col min="10243" max="10247" width="16.5546875" customWidth="1"/>
    <col min="10497" max="10497" width="38.33203125" bestFit="1" customWidth="1"/>
    <col min="10498" max="10498" width="2.6640625" customWidth="1"/>
    <col min="10499" max="10503" width="16.5546875" customWidth="1"/>
    <col min="10753" max="10753" width="38.33203125" bestFit="1" customWidth="1"/>
    <col min="10754" max="10754" width="2.6640625" customWidth="1"/>
    <col min="10755" max="10759" width="16.5546875" customWidth="1"/>
    <col min="11009" max="11009" width="38.33203125" bestFit="1" customWidth="1"/>
    <col min="11010" max="11010" width="2.6640625" customWidth="1"/>
    <col min="11011" max="11015" width="16.5546875" customWidth="1"/>
    <col min="11265" max="11265" width="38.33203125" bestFit="1" customWidth="1"/>
    <col min="11266" max="11266" width="2.6640625" customWidth="1"/>
    <col min="11267" max="11271" width="16.5546875" customWidth="1"/>
    <col min="11521" max="11521" width="38.33203125" bestFit="1" customWidth="1"/>
    <col min="11522" max="11522" width="2.6640625" customWidth="1"/>
    <col min="11523" max="11527" width="16.5546875" customWidth="1"/>
    <col min="11777" max="11777" width="38.33203125" bestFit="1" customWidth="1"/>
    <col min="11778" max="11778" width="2.6640625" customWidth="1"/>
    <col min="11779" max="11783" width="16.5546875" customWidth="1"/>
    <col min="12033" max="12033" width="38.33203125" bestFit="1" customWidth="1"/>
    <col min="12034" max="12034" width="2.6640625" customWidth="1"/>
    <col min="12035" max="12039" width="16.5546875" customWidth="1"/>
    <col min="12289" max="12289" width="38.33203125" bestFit="1" customWidth="1"/>
    <col min="12290" max="12290" width="2.6640625" customWidth="1"/>
    <col min="12291" max="12295" width="16.5546875" customWidth="1"/>
    <col min="12545" max="12545" width="38.33203125" bestFit="1" customWidth="1"/>
    <col min="12546" max="12546" width="2.6640625" customWidth="1"/>
    <col min="12547" max="12551" width="16.5546875" customWidth="1"/>
    <col min="12801" max="12801" width="38.33203125" bestFit="1" customWidth="1"/>
    <col min="12802" max="12802" width="2.6640625" customWidth="1"/>
    <col min="12803" max="12807" width="16.5546875" customWidth="1"/>
    <col min="13057" max="13057" width="38.33203125" bestFit="1" customWidth="1"/>
    <col min="13058" max="13058" width="2.6640625" customWidth="1"/>
    <col min="13059" max="13063" width="16.5546875" customWidth="1"/>
    <col min="13313" max="13313" width="38.33203125" bestFit="1" customWidth="1"/>
    <col min="13314" max="13314" width="2.6640625" customWidth="1"/>
    <col min="13315" max="13319" width="16.5546875" customWidth="1"/>
    <col min="13569" max="13569" width="38.33203125" bestFit="1" customWidth="1"/>
    <col min="13570" max="13570" width="2.6640625" customWidth="1"/>
    <col min="13571" max="13575" width="16.5546875" customWidth="1"/>
    <col min="13825" max="13825" width="38.33203125" bestFit="1" customWidth="1"/>
    <col min="13826" max="13826" width="2.6640625" customWidth="1"/>
    <col min="13827" max="13831" width="16.5546875" customWidth="1"/>
    <col min="14081" max="14081" width="38.33203125" bestFit="1" customWidth="1"/>
    <col min="14082" max="14082" width="2.6640625" customWidth="1"/>
    <col min="14083" max="14087" width="16.5546875" customWidth="1"/>
    <col min="14337" max="14337" width="38.33203125" bestFit="1" customWidth="1"/>
    <col min="14338" max="14338" width="2.6640625" customWidth="1"/>
    <col min="14339" max="14343" width="16.5546875" customWidth="1"/>
    <col min="14593" max="14593" width="38.33203125" bestFit="1" customWidth="1"/>
    <col min="14594" max="14594" width="2.6640625" customWidth="1"/>
    <col min="14595" max="14599" width="16.5546875" customWidth="1"/>
    <col min="14849" max="14849" width="38.33203125" bestFit="1" customWidth="1"/>
    <col min="14850" max="14850" width="2.6640625" customWidth="1"/>
    <col min="14851" max="14855" width="16.5546875" customWidth="1"/>
    <col min="15105" max="15105" width="38.33203125" bestFit="1" customWidth="1"/>
    <col min="15106" max="15106" width="2.6640625" customWidth="1"/>
    <col min="15107" max="15111" width="16.5546875" customWidth="1"/>
    <col min="15361" max="15361" width="38.33203125" bestFit="1" customWidth="1"/>
    <col min="15362" max="15362" width="2.6640625" customWidth="1"/>
    <col min="15363" max="15367" width="16.5546875" customWidth="1"/>
    <col min="15617" max="15617" width="38.33203125" bestFit="1" customWidth="1"/>
    <col min="15618" max="15618" width="2.6640625" customWidth="1"/>
    <col min="15619" max="15623" width="16.5546875" customWidth="1"/>
    <col min="15873" max="15873" width="38.33203125" bestFit="1" customWidth="1"/>
    <col min="15874" max="15874" width="2.6640625" customWidth="1"/>
    <col min="15875" max="15879" width="16.5546875" customWidth="1"/>
    <col min="16129" max="16129" width="38.3320312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89" t="s">
        <v>9236</v>
      </c>
      <c r="B2" s="90"/>
      <c r="C2" s="90"/>
      <c r="D2" s="90"/>
      <c r="E2" s="90"/>
      <c r="F2" s="90"/>
      <c r="G2" s="91"/>
    </row>
    <row r="3" spans="1:7">
      <c r="A3" s="92"/>
      <c r="B3" s="93"/>
      <c r="C3" s="93"/>
      <c r="D3" s="93"/>
      <c r="E3" s="93"/>
      <c r="F3" s="93"/>
      <c r="G3" s="94"/>
    </row>
    <row r="4" spans="1:7">
      <c r="A4" s="39"/>
      <c r="B4" s="62"/>
      <c r="C4" s="62"/>
      <c r="D4" s="62"/>
      <c r="E4" s="60" t="s">
        <v>1912</v>
      </c>
      <c r="F4" s="62"/>
      <c r="G4" s="43"/>
    </row>
    <row r="5" spans="1:7">
      <c r="A5" s="98"/>
      <c r="B5" s="96"/>
      <c r="C5" s="96"/>
      <c r="D5" s="96"/>
      <c r="E5" s="96"/>
      <c r="F5" s="96"/>
      <c r="G5" s="97"/>
    </row>
    <row r="6" spans="1:7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7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7">
      <c r="A8" s="39"/>
      <c r="D8" s="99"/>
      <c r="E8" s="99" t="s">
        <v>1979</v>
      </c>
      <c r="F8" s="99"/>
      <c r="G8" s="100"/>
    </row>
    <row r="9" spans="1:7">
      <c r="A9" s="39" t="s">
        <v>1923</v>
      </c>
      <c r="C9" s="29"/>
      <c r="D9" s="29"/>
      <c r="E9" s="299">
        <v>1.0413704724136088</v>
      </c>
      <c r="F9" s="299">
        <v>1.0141121285932884</v>
      </c>
      <c r="G9" s="300">
        <v>1.0152695860275844</v>
      </c>
    </row>
    <row r="10" spans="1:7">
      <c r="A10" s="39" t="s">
        <v>1924</v>
      </c>
      <c r="C10" s="29"/>
      <c r="D10" s="301">
        <v>0.96957896911781272</v>
      </c>
      <c r="E10" s="301">
        <v>0.99315658495469872</v>
      </c>
      <c r="F10" s="29"/>
      <c r="G10" s="302"/>
    </row>
    <row r="11" spans="1:7">
      <c r="A11" s="39"/>
      <c r="C11" s="29"/>
      <c r="D11" s="29"/>
      <c r="E11" s="29"/>
      <c r="F11" s="29"/>
      <c r="G11" s="302"/>
    </row>
    <row r="12" spans="1:7">
      <c r="A12" s="39" t="s">
        <v>1925</v>
      </c>
      <c r="C12" s="29"/>
      <c r="D12" s="29"/>
      <c r="E12" s="29"/>
      <c r="F12" s="29"/>
      <c r="G12" s="302"/>
    </row>
    <row r="13" spans="1:7">
      <c r="A13" s="39" t="s">
        <v>1926</v>
      </c>
      <c r="B13" s="96"/>
      <c r="C13" s="303">
        <v>966.21225916114133</v>
      </c>
      <c r="D13" s="304">
        <v>966.21225916114133</v>
      </c>
      <c r="E13" s="304">
        <v>1006.184916774458</v>
      </c>
      <c r="F13" s="304">
        <v>1020.3843277086063</v>
      </c>
      <c r="G13" s="305">
        <v>1035.9651739817518</v>
      </c>
    </row>
    <row r="14" spans="1:7">
      <c r="A14" s="39"/>
      <c r="C14" s="306"/>
      <c r="D14" s="306"/>
      <c r="E14" s="306"/>
      <c r="F14" s="306"/>
      <c r="G14" s="307"/>
    </row>
    <row r="15" spans="1:7">
      <c r="A15" s="39" t="s">
        <v>1927</v>
      </c>
      <c r="C15" s="306"/>
      <c r="D15" s="306"/>
      <c r="E15" s="306"/>
      <c r="F15" s="306"/>
      <c r="G15" s="307"/>
    </row>
    <row r="16" spans="1:7">
      <c r="A16" s="39" t="s">
        <v>1928</v>
      </c>
      <c r="B16" s="96"/>
      <c r="C16" s="308">
        <v>69.510919973747804</v>
      </c>
      <c r="D16" s="308">
        <v>69.510919973747804</v>
      </c>
      <c r="E16" s="308">
        <v>72.386619570966303</v>
      </c>
      <c r="F16" s="308">
        <v>73.408148854785225</v>
      </c>
      <c r="G16" s="309">
        <v>74.529060898849096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1.2295342921170424E-2</v>
      </c>
      <c r="D18" s="310">
        <v>1.1921305914458415E-2</v>
      </c>
      <c r="E18" s="308">
        <v>1.2295342921170424E-2</v>
      </c>
      <c r="F18" s="308">
        <v>1.2468856381572559E-2</v>
      </c>
      <c r="G18" s="309">
        <v>1.2659250656756577E-2</v>
      </c>
    </row>
    <row r="19" spans="1:7">
      <c r="A19" s="39" t="s">
        <v>1931</v>
      </c>
      <c r="B19" s="96"/>
      <c r="C19" s="308">
        <v>9.9687275190423648E-3</v>
      </c>
      <c r="D19" s="306"/>
      <c r="E19" s="308">
        <v>9.9687275190423648E-3</v>
      </c>
      <c r="F19" s="308">
        <v>1.0109407483702542E-2</v>
      </c>
      <c r="G19" s="309">
        <v>1.0263773950962844E-2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69.533184044188005</v>
      </c>
      <c r="D21" s="312">
        <v>69.522841279662259</v>
      </c>
      <c r="E21" s="312">
        <v>72.408883641406504</v>
      </c>
      <c r="F21" s="312">
        <v>73.430727118650495</v>
      </c>
      <c r="G21" s="313">
        <v>74.551983923456817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596.62832528169065</v>
      </c>
      <c r="D24" s="308">
        <v>596.62832528169065</v>
      </c>
      <c r="E24" s="308">
        <v>621.31112095393451</v>
      </c>
      <c r="F24" s="308">
        <v>630.07914338927662</v>
      </c>
      <c r="G24" s="309">
        <v>639.70019107344592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13.546245887810761</v>
      </c>
      <c r="D26" s="308">
        <v>13.134155123319967</v>
      </c>
      <c r="E26" s="308">
        <v>13.546245887810761</v>
      </c>
      <c r="F26" s="308">
        <v>13.737412251735851</v>
      </c>
      <c r="G26" s="309">
        <v>13.947176849910123</v>
      </c>
    </row>
    <row r="27" spans="1:7">
      <c r="A27" s="39" t="s">
        <v>1931</v>
      </c>
      <c r="B27" s="96"/>
      <c r="C27" s="308">
        <v>5.8255961933376739</v>
      </c>
      <c r="D27" s="306"/>
      <c r="E27" s="308">
        <v>5.8255961933376739</v>
      </c>
      <c r="F27" s="308">
        <v>5.9078077559506266</v>
      </c>
      <c r="G27" s="309">
        <v>5.9980175347145455</v>
      </c>
    </row>
    <row r="28" spans="1:7">
      <c r="A28" s="39" t="s">
        <v>1932</v>
      </c>
      <c r="B28" s="96"/>
      <c r="C28" s="308">
        <v>7.0285762070474312E-3</v>
      </c>
      <c r="D28" s="306"/>
      <c r="E28" s="308">
        <v>7.0285762070474312E-3</v>
      </c>
      <c r="F28" s="308">
        <v>7.1277643783090117E-3</v>
      </c>
      <c r="G28" s="309">
        <v>7.2366023896679533E-3</v>
      </c>
    </row>
    <row r="29" spans="1:7">
      <c r="A29" s="39" t="s">
        <v>1935</v>
      </c>
      <c r="B29" s="96"/>
      <c r="C29" s="308">
        <v>3.092004971468346E-2</v>
      </c>
      <c r="D29" s="306"/>
      <c r="E29" s="308">
        <v>3.070845098126453E-2</v>
      </c>
      <c r="F29" s="308">
        <v>3.092004971468346E-2</v>
      </c>
      <c r="G29" s="309">
        <v>3.1392186073779006E-2</v>
      </c>
    </row>
    <row r="30" spans="1:7">
      <c r="A30" s="39" t="s">
        <v>1936</v>
      </c>
      <c r="B30" s="96"/>
      <c r="C30" s="308">
        <v>5.74311354814852E-2</v>
      </c>
      <c r="D30" s="306"/>
      <c r="E30" s="306"/>
      <c r="F30" s="308">
        <v>5.74311354814852E-2</v>
      </c>
      <c r="G30" s="309">
        <v>5.8308085145381598E-2</v>
      </c>
    </row>
    <row r="31" spans="1:7">
      <c r="A31" s="39" t="s">
        <v>1933</v>
      </c>
      <c r="B31" s="96"/>
      <c r="C31" s="311">
        <v>616.09554712424233</v>
      </c>
      <c r="D31" s="312">
        <v>609.76248040501059</v>
      </c>
      <c r="E31" s="312">
        <v>640.72070006227125</v>
      </c>
      <c r="F31" s="312">
        <v>649.8198423465376</v>
      </c>
      <c r="G31" s="313">
        <v>659.74232233167936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9.6957896911781282E-5</v>
      </c>
      <c r="E34" s="308">
        <v>1E-4</v>
      </c>
      <c r="F34" s="308">
        <v>1.0141121285932885E-4</v>
      </c>
      <c r="G34" s="309">
        <v>1.0295972009824605E-4</v>
      </c>
    </row>
    <row r="35" spans="1:7">
      <c r="A35" s="39" t="s">
        <v>1931</v>
      </c>
      <c r="B35" s="96"/>
      <c r="C35" s="308">
        <v>146.45984972902582</v>
      </c>
      <c r="D35" s="306"/>
      <c r="E35" s="308">
        <v>146.45984972902582</v>
      </c>
      <c r="F35" s="308">
        <v>148.52670996215554</v>
      </c>
      <c r="G35" s="309">
        <v>150.79465133731676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1.0141121285932885E-4</v>
      </c>
      <c r="G36" s="309">
        <v>1.0295972009824605E-4</v>
      </c>
    </row>
    <row r="37" spans="1:7">
      <c r="A37" s="39" t="s">
        <v>1935</v>
      </c>
      <c r="B37" s="96"/>
      <c r="C37" s="308">
        <v>1E-4</v>
      </c>
      <c r="D37" s="306"/>
      <c r="E37" s="308">
        <v>9.9315658495469883E-5</v>
      </c>
      <c r="F37" s="308">
        <v>1E-4</v>
      </c>
      <c r="G37" s="309">
        <v>1.0152695860275845E-4</v>
      </c>
    </row>
    <row r="38" spans="1:7">
      <c r="A38" s="39" t="s">
        <v>1936</v>
      </c>
      <c r="B38" s="96"/>
      <c r="C38" s="308">
        <v>153.60015027097418</v>
      </c>
      <c r="D38" s="306"/>
      <c r="E38" s="306"/>
      <c r="F38" s="308">
        <v>153.60015027097418</v>
      </c>
      <c r="G38" s="309">
        <v>155.94556097938673</v>
      </c>
    </row>
    <row r="39" spans="1:7">
      <c r="A39" s="39" t="s">
        <v>1933</v>
      </c>
      <c r="B39" s="96"/>
      <c r="C39" s="311">
        <v>300.06029999999998</v>
      </c>
      <c r="D39" s="312">
        <v>9.6957896911781282E-5</v>
      </c>
      <c r="E39" s="312">
        <v>146.46014904468433</v>
      </c>
      <c r="F39" s="312">
        <v>302.12716305555546</v>
      </c>
      <c r="G39" s="313">
        <v>306.74051976310227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0</v>
      </c>
      <c r="D42" s="304">
        <v>0</v>
      </c>
      <c r="E42" s="304">
        <v>0</v>
      </c>
      <c r="F42" s="304">
        <v>0</v>
      </c>
      <c r="G42" s="305">
        <v>0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1632.3515044165797</v>
      </c>
      <c r="D45" s="306">
        <v>1632.3515044165797</v>
      </c>
      <c r="E45" s="306">
        <v>1699.8826572993587</v>
      </c>
      <c r="F45" s="306">
        <v>1723.8716199526682</v>
      </c>
      <c r="G45" s="307">
        <v>1750.1944259540469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13.558641230731931</v>
      </c>
      <c r="D47" s="306">
        <v>13.146173387131338</v>
      </c>
      <c r="E47" s="306">
        <v>13.558641230731931</v>
      </c>
      <c r="F47" s="306">
        <v>13.749982519330283</v>
      </c>
      <c r="G47" s="307">
        <v>13.959939060286979</v>
      </c>
    </row>
    <row r="48" spans="1:7">
      <c r="A48" s="39" t="s">
        <v>1931</v>
      </c>
      <c r="C48" s="306">
        <v>152.29541464988253</v>
      </c>
      <c r="D48" s="306">
        <v>0</v>
      </c>
      <c r="E48" s="306">
        <v>152.29541464988253</v>
      </c>
      <c r="F48" s="306">
        <v>154.44462712558988</v>
      </c>
      <c r="G48" s="307">
        <v>156.80293264598228</v>
      </c>
    </row>
    <row r="49" spans="1:7">
      <c r="A49" s="39" t="s">
        <v>1932</v>
      </c>
      <c r="C49" s="306">
        <v>7.1285762070474315E-3</v>
      </c>
      <c r="D49" s="306">
        <v>0</v>
      </c>
      <c r="E49" s="306">
        <v>7.1285762070474315E-3</v>
      </c>
      <c r="F49" s="306">
        <v>7.2291755911683409E-3</v>
      </c>
      <c r="G49" s="307">
        <v>7.3395621097661996E-3</v>
      </c>
    </row>
    <row r="50" spans="1:7">
      <c r="A50" s="39" t="s">
        <v>1935</v>
      </c>
      <c r="C50" s="306">
        <v>3.1020049714683459E-2</v>
      </c>
      <c r="D50" s="306">
        <v>0</v>
      </c>
      <c r="E50" s="306">
        <v>3.0807766639759999E-2</v>
      </c>
      <c r="F50" s="306">
        <v>3.1020049714683459E-2</v>
      </c>
      <c r="G50" s="307">
        <v>3.1493713032381764E-2</v>
      </c>
    </row>
    <row r="51" spans="1:7" ht="15" thickBot="1">
      <c r="A51" s="39" t="s">
        <v>1936</v>
      </c>
      <c r="C51" s="306">
        <v>153.65758140645568</v>
      </c>
      <c r="D51" s="306">
        <v>0</v>
      </c>
      <c r="E51" s="306">
        <v>0</v>
      </c>
      <c r="F51" s="306">
        <v>153.65758140645568</v>
      </c>
      <c r="G51" s="307">
        <v>156.0038690645321</v>
      </c>
    </row>
    <row r="52" spans="1:7" ht="15" thickBot="1">
      <c r="A52" s="39" t="s">
        <v>115</v>
      </c>
      <c r="C52" s="314">
        <v>1951.9012903295716</v>
      </c>
      <c r="D52" s="315">
        <v>1645.497677803711</v>
      </c>
      <c r="E52" s="315">
        <v>1865.77464952282</v>
      </c>
      <c r="F52" s="315">
        <v>2045.76206022935</v>
      </c>
      <c r="G52" s="316">
        <v>2076.9999999999905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67.531152882778684</v>
      </c>
      <c r="E54" s="306">
        <v>26.329617016998967</v>
      </c>
      <c r="F54" s="306">
        <v>31.237939770640324</v>
      </c>
      <c r="G54" s="307">
        <v>125.09870967041797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1951.9012903295716</v>
      </c>
      <c r="D66" s="315">
        <v>1645.497677803711</v>
      </c>
      <c r="E66" s="315">
        <v>1865.77464952282</v>
      </c>
      <c r="F66" s="315">
        <v>2045.76206022935</v>
      </c>
      <c r="G66" s="316">
        <v>2076.9999999999905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67.531152882778684</v>
      </c>
      <c r="E68" s="318">
        <v>26.329617016998967</v>
      </c>
      <c r="F68" s="318">
        <v>31.237939770640324</v>
      </c>
      <c r="G68" s="319">
        <v>125.09870967041797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9237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39"/>
      <c r="B72" s="62"/>
      <c r="C72" s="62"/>
      <c r="D72" s="62"/>
      <c r="E72" s="60" t="s">
        <v>1912</v>
      </c>
      <c r="F72" s="62"/>
      <c r="G72" s="43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/>
      <c r="E76" s="99" t="s">
        <v>1979</v>
      </c>
      <c r="F76" s="99"/>
      <c r="G76" s="100"/>
    </row>
    <row r="77" spans="1:7">
      <c r="A77" s="39" t="s">
        <v>1923</v>
      </c>
      <c r="C77" s="29"/>
      <c r="D77" s="29"/>
      <c r="E77" s="299">
        <v>1.0413704724136088</v>
      </c>
      <c r="F77" s="299">
        <v>1.0141121285932884</v>
      </c>
      <c r="G77" s="300">
        <v>1.0152695860275844</v>
      </c>
    </row>
    <row r="78" spans="1:7">
      <c r="A78" s="39" t="s">
        <v>1924</v>
      </c>
      <c r="C78" s="29"/>
      <c r="D78" s="301">
        <v>0.96957896911781272</v>
      </c>
      <c r="E78" s="301">
        <v>0.99315658495469872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966.21225916114133</v>
      </c>
      <c r="D81" s="304">
        <v>966.21225916114133</v>
      </c>
      <c r="E81" s="304">
        <v>1006.184916774458</v>
      </c>
      <c r="F81" s="304">
        <v>1020.3843277086063</v>
      </c>
      <c r="G81" s="305">
        <v>1035.9651739817518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69.510919973747804</v>
      </c>
      <c r="D84" s="308">
        <v>69.510919973747804</v>
      </c>
      <c r="E84" s="308">
        <v>72.386619570966303</v>
      </c>
      <c r="F84" s="308">
        <v>73.408148854785225</v>
      </c>
      <c r="G84" s="309">
        <v>74.529060898849096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1.2295342921170424E-2</v>
      </c>
      <c r="D86" s="310">
        <v>1.1921305914458415E-2</v>
      </c>
      <c r="E86" s="308">
        <v>1.2295342921170424E-2</v>
      </c>
      <c r="F86" s="308">
        <v>1.2468856381572559E-2</v>
      </c>
      <c r="G86" s="309">
        <v>1.2659250656756577E-2</v>
      </c>
    </row>
    <row r="87" spans="1:7">
      <c r="A87" s="39" t="s">
        <v>1931</v>
      </c>
      <c r="B87" s="96"/>
      <c r="C87" s="308">
        <v>9.9687275190423648E-3</v>
      </c>
      <c r="D87" s="306"/>
      <c r="E87" s="308">
        <v>9.9687275190423648E-3</v>
      </c>
      <c r="F87" s="308">
        <v>1.0109407483702542E-2</v>
      </c>
      <c r="G87" s="309">
        <v>1.0263773950962844E-2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69.533184044188005</v>
      </c>
      <c r="D89" s="312">
        <v>69.522841279662259</v>
      </c>
      <c r="E89" s="312">
        <v>72.408883641406504</v>
      </c>
      <c r="F89" s="312">
        <v>73.430727118650495</v>
      </c>
      <c r="G89" s="313">
        <v>74.551983923456817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596.62832528169065</v>
      </c>
      <c r="D92" s="308">
        <v>596.62832528169065</v>
      </c>
      <c r="E92" s="308">
        <v>621.31112095393451</v>
      </c>
      <c r="F92" s="308">
        <v>630.07914338927662</v>
      </c>
      <c r="G92" s="309">
        <v>639.70019107344592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13.546245887810761</v>
      </c>
      <c r="D94" s="308">
        <v>13.134155123319967</v>
      </c>
      <c r="E94" s="308">
        <v>13.546245887810761</v>
      </c>
      <c r="F94" s="308">
        <v>13.737412251735851</v>
      </c>
      <c r="G94" s="309">
        <v>13.947176849910123</v>
      </c>
    </row>
    <row r="95" spans="1:7">
      <c r="A95" s="39" t="s">
        <v>1931</v>
      </c>
      <c r="B95" s="96"/>
      <c r="C95" s="308">
        <v>5.8255961933376739</v>
      </c>
      <c r="D95" s="306"/>
      <c r="E95" s="308">
        <v>5.8255961933376739</v>
      </c>
      <c r="F95" s="308">
        <v>5.9078077559506266</v>
      </c>
      <c r="G95" s="309">
        <v>5.9980175347145455</v>
      </c>
    </row>
    <row r="96" spans="1:7">
      <c r="A96" s="39" t="s">
        <v>1932</v>
      </c>
      <c r="B96" s="96"/>
      <c r="C96" s="308">
        <v>7.0285762070474312E-3</v>
      </c>
      <c r="D96" s="306"/>
      <c r="E96" s="308">
        <v>7.0285762070474312E-3</v>
      </c>
      <c r="F96" s="308">
        <v>7.1277643783090117E-3</v>
      </c>
      <c r="G96" s="309">
        <v>7.2366023896679533E-3</v>
      </c>
    </row>
    <row r="97" spans="1:7">
      <c r="A97" s="39" t="s">
        <v>1935</v>
      </c>
      <c r="B97" s="96"/>
      <c r="C97" s="308">
        <v>3.092004971468346E-2</v>
      </c>
      <c r="D97" s="306"/>
      <c r="E97" s="308">
        <v>3.070845098126453E-2</v>
      </c>
      <c r="F97" s="308">
        <v>3.092004971468346E-2</v>
      </c>
      <c r="G97" s="309">
        <v>3.1392186073779006E-2</v>
      </c>
    </row>
    <row r="98" spans="1:7">
      <c r="A98" s="39" t="s">
        <v>1936</v>
      </c>
      <c r="B98" s="96"/>
      <c r="C98" s="308">
        <v>5.74311354814852E-2</v>
      </c>
      <c r="D98" s="306"/>
      <c r="E98" s="306"/>
      <c r="F98" s="308">
        <v>5.74311354814852E-2</v>
      </c>
      <c r="G98" s="309">
        <v>5.8308085145381598E-2</v>
      </c>
    </row>
    <row r="99" spans="1:7">
      <c r="A99" s="39" t="s">
        <v>1933</v>
      </c>
      <c r="B99" s="96"/>
      <c r="C99" s="311">
        <v>616.09554712424233</v>
      </c>
      <c r="D99" s="312">
        <v>609.76248040501059</v>
      </c>
      <c r="E99" s="312">
        <v>640.72070006227125</v>
      </c>
      <c r="F99" s="312">
        <v>649.8198423465376</v>
      </c>
      <c r="G99" s="313">
        <v>659.74232233167936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9.6957896911781282E-5</v>
      </c>
      <c r="E102" s="308">
        <v>1E-4</v>
      </c>
      <c r="F102" s="308">
        <v>1.0141121285932885E-4</v>
      </c>
      <c r="G102" s="309">
        <v>1.0295972009824605E-4</v>
      </c>
    </row>
    <row r="103" spans="1:7">
      <c r="A103" s="39" t="s">
        <v>1931</v>
      </c>
      <c r="B103" s="96"/>
      <c r="C103" s="308">
        <v>146.45984972902582</v>
      </c>
      <c r="D103" s="306"/>
      <c r="E103" s="308">
        <v>146.45984972902582</v>
      </c>
      <c r="F103" s="308">
        <v>148.52670996215554</v>
      </c>
      <c r="G103" s="309">
        <v>150.79465133731676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1.0141121285932885E-4</v>
      </c>
      <c r="G104" s="309">
        <v>1.0295972009824605E-4</v>
      </c>
    </row>
    <row r="105" spans="1:7">
      <c r="A105" s="39" t="s">
        <v>1935</v>
      </c>
      <c r="B105" s="96"/>
      <c r="C105" s="308">
        <v>1E-4</v>
      </c>
      <c r="D105" s="306"/>
      <c r="E105" s="308">
        <v>9.9315658495469883E-5</v>
      </c>
      <c r="F105" s="308">
        <v>1E-4</v>
      </c>
      <c r="G105" s="309">
        <v>1.0152695860275845E-4</v>
      </c>
    </row>
    <row r="106" spans="1:7">
      <c r="A106" s="39" t="s">
        <v>1936</v>
      </c>
      <c r="B106" s="96"/>
      <c r="C106" s="308">
        <v>153.60015027097418</v>
      </c>
      <c r="D106" s="306"/>
      <c r="E106" s="306"/>
      <c r="F106" s="308">
        <v>153.60015027097418</v>
      </c>
      <c r="G106" s="309">
        <v>155.94556097938673</v>
      </c>
    </row>
    <row r="107" spans="1:7">
      <c r="A107" s="39" t="s">
        <v>1933</v>
      </c>
      <c r="B107" s="96"/>
      <c r="C107" s="311">
        <v>300.06029999999998</v>
      </c>
      <c r="D107" s="312">
        <v>9.6957896911781282E-5</v>
      </c>
      <c r="E107" s="312">
        <v>146.46014904468433</v>
      </c>
      <c r="F107" s="312">
        <v>302.12716305555546</v>
      </c>
      <c r="G107" s="313">
        <v>306.74051976310227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0</v>
      </c>
      <c r="D110" s="304">
        <v>0</v>
      </c>
      <c r="E110" s="304">
        <v>0</v>
      </c>
      <c r="F110" s="304">
        <v>0</v>
      </c>
      <c r="G110" s="305">
        <v>0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1632.3515044165797</v>
      </c>
      <c r="D113" s="306">
        <v>1632.3515044165797</v>
      </c>
      <c r="E113" s="306">
        <v>1699.8826572993587</v>
      </c>
      <c r="F113" s="306">
        <v>1723.8716199526682</v>
      </c>
      <c r="G113" s="307">
        <v>1750.1944259540469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13.558641230731931</v>
      </c>
      <c r="D115" s="306">
        <v>13.146173387131338</v>
      </c>
      <c r="E115" s="306">
        <v>13.558641230731931</v>
      </c>
      <c r="F115" s="306">
        <v>13.749982519330283</v>
      </c>
      <c r="G115" s="307">
        <v>13.959939060286979</v>
      </c>
    </row>
    <row r="116" spans="1:7">
      <c r="A116" s="39" t="s">
        <v>1931</v>
      </c>
      <c r="C116" s="306">
        <v>152.29541464988253</v>
      </c>
      <c r="D116" s="306">
        <v>0</v>
      </c>
      <c r="E116" s="306">
        <v>152.29541464988253</v>
      </c>
      <c r="F116" s="306">
        <v>154.44462712558988</v>
      </c>
      <c r="G116" s="307">
        <v>156.80293264598228</v>
      </c>
    </row>
    <row r="117" spans="1:7">
      <c r="A117" s="39" t="s">
        <v>1932</v>
      </c>
      <c r="C117" s="306">
        <v>7.1285762070474315E-3</v>
      </c>
      <c r="D117" s="306">
        <v>0</v>
      </c>
      <c r="E117" s="306">
        <v>7.1285762070474315E-3</v>
      </c>
      <c r="F117" s="306">
        <v>7.2291755911683409E-3</v>
      </c>
      <c r="G117" s="307">
        <v>7.3395621097661996E-3</v>
      </c>
    </row>
    <row r="118" spans="1:7">
      <c r="A118" s="39" t="s">
        <v>1935</v>
      </c>
      <c r="C118" s="306">
        <v>3.1020049714683459E-2</v>
      </c>
      <c r="D118" s="306">
        <v>0</v>
      </c>
      <c r="E118" s="306">
        <v>3.0807766639759999E-2</v>
      </c>
      <c r="F118" s="306">
        <v>3.1020049714683459E-2</v>
      </c>
      <c r="G118" s="307">
        <v>3.1493713032381764E-2</v>
      </c>
    </row>
    <row r="119" spans="1:7" ht="15" thickBot="1">
      <c r="A119" s="39" t="s">
        <v>1936</v>
      </c>
      <c r="C119" s="306">
        <v>153.65758140645568</v>
      </c>
      <c r="D119" s="306">
        <v>0</v>
      </c>
      <c r="E119" s="306">
        <v>0</v>
      </c>
      <c r="F119" s="306">
        <v>153.65758140645568</v>
      </c>
      <c r="G119" s="307">
        <v>156.0038690645321</v>
      </c>
    </row>
    <row r="120" spans="1:7" ht="15" thickBot="1">
      <c r="A120" s="39" t="s">
        <v>115</v>
      </c>
      <c r="C120" s="314">
        <v>1951.9012903295716</v>
      </c>
      <c r="D120" s="315">
        <v>1645.497677803711</v>
      </c>
      <c r="E120" s="315">
        <v>1865.77464952282</v>
      </c>
      <c r="F120" s="315">
        <v>2045.76206022935</v>
      </c>
      <c r="G120" s="316">
        <v>2076.9999999999905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67.531152882778684</v>
      </c>
      <c r="E122" s="306">
        <v>26.329617016998967</v>
      </c>
      <c r="F122" s="306">
        <v>31.237939770640324</v>
      </c>
      <c r="G122" s="307">
        <v>125.09870967041797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1951.9012903295716</v>
      </c>
      <c r="D134" s="315">
        <v>1645.497677803711</v>
      </c>
      <c r="E134" s="315">
        <v>1865.77464952282</v>
      </c>
      <c r="F134" s="315">
        <v>2045.76206022935</v>
      </c>
      <c r="G134" s="316">
        <v>2076.9999999999905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67.531152882778684</v>
      </c>
      <c r="E136" s="318">
        <v>26.329617016998967</v>
      </c>
      <c r="F136" s="318">
        <v>31.237939770640324</v>
      </c>
      <c r="G136" s="319">
        <v>125.09870967041797</v>
      </c>
    </row>
    <row r="137" spans="1:7" ht="15" thickBot="1"/>
    <row r="138" spans="1:7" ht="15" thickBot="1">
      <c r="A138" s="105" t="s">
        <v>9238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39"/>
      <c r="B140" s="62"/>
      <c r="C140" s="62"/>
      <c r="D140" s="62"/>
      <c r="E140" s="60" t="s">
        <v>1912</v>
      </c>
      <c r="F140" s="62"/>
      <c r="G140" s="43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/>
      <c r="E144" s="99" t="s">
        <v>1979</v>
      </c>
      <c r="F144" s="99"/>
      <c r="G144" s="100"/>
    </row>
    <row r="145" spans="1:7">
      <c r="A145" s="39" t="s">
        <v>1923</v>
      </c>
      <c r="C145" s="29"/>
      <c r="D145" s="29"/>
      <c r="E145" s="299">
        <v>1.0430062398521771</v>
      </c>
      <c r="F145" s="299">
        <v>1.0139735648806996</v>
      </c>
      <c r="G145" s="300">
        <v>1.0149432008759594</v>
      </c>
    </row>
    <row r="146" spans="1:7">
      <c r="A146" s="39" t="s">
        <v>1924</v>
      </c>
      <c r="C146" s="29"/>
      <c r="D146" s="301">
        <v>0.96815743383577912</v>
      </c>
      <c r="E146" s="301">
        <v>0.9929469913894291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940.98801475146718</v>
      </c>
      <c r="D149" s="304">
        <v>940.98801475146718</v>
      </c>
      <c r="E149" s="304">
        <v>981.45637101189277</v>
      </c>
      <c r="F149" s="304">
        <v>995.17081528980339</v>
      </c>
      <c r="G149" s="305">
        <v>1010.0418526885711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69.027474819302682</v>
      </c>
      <c r="D152" s="308">
        <v>69.027474819302682</v>
      </c>
      <c r="E152" s="308">
        <v>71.996086957771723</v>
      </c>
      <c r="F152" s="308">
        <v>73.002128950032628</v>
      </c>
      <c r="G152" s="309">
        <v>74.093014427305647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1.2209829393803414E-2</v>
      </c>
      <c r="D154" s="310">
        <v>1.182103709347738E-2</v>
      </c>
      <c r="E154" s="308">
        <v>1.2209829393803414E-2</v>
      </c>
      <c r="F154" s="308">
        <v>1.2380444237019998E-2</v>
      </c>
      <c r="G154" s="309">
        <v>1.2565447702187401E-2</v>
      </c>
    </row>
    <row r="155" spans="1:7">
      <c r="A155" s="39" t="s">
        <v>1931</v>
      </c>
      <c r="B155" s="96"/>
      <c r="C155" s="308">
        <v>9.8993954915438803E-3</v>
      </c>
      <c r="D155" s="306"/>
      <c r="E155" s="308">
        <v>9.8993954915438803E-3</v>
      </c>
      <c r="F155" s="308">
        <v>1.0037725336724673E-2</v>
      </c>
      <c r="G155" s="309">
        <v>1.0187721082769058E-2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69.049584044188023</v>
      </c>
      <c r="D157" s="312">
        <v>69.039295856396166</v>
      </c>
      <c r="E157" s="312">
        <v>72.018196182657064</v>
      </c>
      <c r="F157" s="312">
        <v>73.024547119606382</v>
      </c>
      <c r="G157" s="313">
        <v>74.115767596090606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507.29340567690076</v>
      </c>
      <c r="D160" s="308">
        <v>507.29340567690076</v>
      </c>
      <c r="E160" s="308">
        <v>529.11018755686939</v>
      </c>
      <c r="F160" s="308">
        <v>536.50374309173446</v>
      </c>
      <c r="G160" s="309">
        <v>544.52082629545839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11.702885492086718</v>
      </c>
      <c r="D162" s="308">
        <v>11.330235586492647</v>
      </c>
      <c r="E162" s="308">
        <v>11.702885492086718</v>
      </c>
      <c r="F162" s="308">
        <v>11.86641652180179</v>
      </c>
      <c r="G162" s="309">
        <v>12.043738767564877</v>
      </c>
    </row>
    <row r="163" spans="1:7">
      <c r="A163" s="39" t="s">
        <v>1931</v>
      </c>
      <c r="B163" s="96"/>
      <c r="C163" s="308">
        <v>5.0328545442330803</v>
      </c>
      <c r="D163" s="306"/>
      <c r="E163" s="308">
        <v>5.0328545442330803</v>
      </c>
      <c r="F163" s="308">
        <v>5.103181463742045</v>
      </c>
      <c r="G163" s="309">
        <v>5.1794393294612142</v>
      </c>
    </row>
    <row r="164" spans="1:7">
      <c r="A164" s="39" t="s">
        <v>1932</v>
      </c>
      <c r="B164" s="96"/>
      <c r="C164" s="308">
        <v>6.0721341694746555E-3</v>
      </c>
      <c r="D164" s="306"/>
      <c r="E164" s="308">
        <v>6.0721341694746555E-3</v>
      </c>
      <c r="F164" s="308">
        <v>6.1569835302561224E-3</v>
      </c>
      <c r="G164" s="309">
        <v>6.248988571938713E-3</v>
      </c>
    </row>
    <row r="165" spans="1:7">
      <c r="A165" s="39" t="s">
        <v>1935</v>
      </c>
      <c r="B165" s="96"/>
      <c r="C165" s="308">
        <v>2.671247843996202E-2</v>
      </c>
      <c r="D165" s="306"/>
      <c r="E165" s="308">
        <v>2.6524075099515279E-2</v>
      </c>
      <c r="F165" s="308">
        <v>2.671247843996202E-2</v>
      </c>
      <c r="G165" s="309">
        <v>2.7111648371185106E-2</v>
      </c>
    </row>
    <row r="166" spans="1:7">
      <c r="A166" s="39" t="s">
        <v>1936</v>
      </c>
      <c r="B166" s="96"/>
      <c r="C166" s="308">
        <v>4.9615960597992739E-2</v>
      </c>
      <c r="D166" s="306"/>
      <c r="E166" s="306"/>
      <c r="F166" s="308">
        <v>4.9615960597992739E-2</v>
      </c>
      <c r="G166" s="309">
        <v>5.0357381863862231E-2</v>
      </c>
    </row>
    <row r="167" spans="1:7">
      <c r="A167" s="39" t="s">
        <v>1933</v>
      </c>
      <c r="B167" s="96"/>
      <c r="C167" s="311">
        <v>524.11154628642794</v>
      </c>
      <c r="D167" s="312">
        <v>518.62364126339344</v>
      </c>
      <c r="E167" s="312">
        <v>545.87852380245806</v>
      </c>
      <c r="F167" s="312">
        <v>553.55582649984649</v>
      </c>
      <c r="G167" s="313">
        <v>561.82772241129123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9.6815743383577921E-5</v>
      </c>
      <c r="E170" s="308">
        <v>1E-4</v>
      </c>
      <c r="F170" s="308">
        <v>1.0139735648806996E-4</v>
      </c>
      <c r="G170" s="309">
        <v>1.0291255755436244E-4</v>
      </c>
    </row>
    <row r="171" spans="1:7">
      <c r="A171" s="39" t="s">
        <v>1931</v>
      </c>
      <c r="B171" s="96"/>
      <c r="C171" s="308">
        <v>146.45984972902582</v>
      </c>
      <c r="D171" s="306"/>
      <c r="E171" s="308">
        <v>146.45984972902582</v>
      </c>
      <c r="F171" s="308">
        <v>148.50641594163187</v>
      </c>
      <c r="G171" s="309">
        <v>150.72557714641644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1.0139735648806996E-4</v>
      </c>
      <c r="G172" s="309">
        <v>1.0291255755436244E-4</v>
      </c>
    </row>
    <row r="173" spans="1:7">
      <c r="A173" s="39" t="s">
        <v>1935</v>
      </c>
      <c r="B173" s="96"/>
      <c r="C173" s="308">
        <v>1E-4</v>
      </c>
      <c r="D173" s="306"/>
      <c r="E173" s="308">
        <v>9.9294699138942921E-5</v>
      </c>
      <c r="F173" s="308">
        <v>1E-4</v>
      </c>
      <c r="G173" s="309">
        <v>1.0149432008759594E-4</v>
      </c>
    </row>
    <row r="174" spans="1:7">
      <c r="A174" s="39" t="s">
        <v>1936</v>
      </c>
      <c r="B174" s="96"/>
      <c r="C174" s="308">
        <v>153.60015027097418</v>
      </c>
      <c r="D174" s="306"/>
      <c r="E174" s="306"/>
      <c r="F174" s="308">
        <v>153.60015027097418</v>
      </c>
      <c r="G174" s="309">
        <v>155.8954281710509</v>
      </c>
    </row>
    <row r="175" spans="1:7">
      <c r="A175" s="39" t="s">
        <v>1933</v>
      </c>
      <c r="B175" s="96"/>
      <c r="C175" s="311">
        <v>300.06029999999998</v>
      </c>
      <c r="D175" s="312">
        <v>9.6815743383577921E-5</v>
      </c>
      <c r="E175" s="312">
        <v>146.46014902372497</v>
      </c>
      <c r="F175" s="312">
        <v>302.10686900731906</v>
      </c>
      <c r="G175" s="313">
        <v>306.62131263690253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0</v>
      </c>
      <c r="D178" s="304">
        <v>0</v>
      </c>
      <c r="E178" s="304">
        <v>0</v>
      </c>
      <c r="F178" s="304">
        <v>0</v>
      </c>
      <c r="G178" s="305">
        <v>0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1517.3088952476705</v>
      </c>
      <c r="D181" s="306">
        <v>1517.3088952476705</v>
      </c>
      <c r="E181" s="306">
        <v>1582.5626455265337</v>
      </c>
      <c r="F181" s="306">
        <v>1604.6766873315705</v>
      </c>
      <c r="G181" s="307">
        <v>1628.6556934113351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11.715195321480522</v>
      </c>
      <c r="D183" s="306">
        <v>11.342153439329508</v>
      </c>
      <c r="E183" s="306">
        <v>11.715195321480522</v>
      </c>
      <c r="F183" s="306">
        <v>11.878898363395299</v>
      </c>
      <c r="G183" s="307">
        <v>12.056407127824619</v>
      </c>
    </row>
    <row r="184" spans="1:7">
      <c r="A184" s="39" t="s">
        <v>1931</v>
      </c>
      <c r="C184" s="306">
        <v>151.50260366875045</v>
      </c>
      <c r="D184" s="306">
        <v>0</v>
      </c>
      <c r="E184" s="306">
        <v>151.50260366875045</v>
      </c>
      <c r="F184" s="306">
        <v>153.61963513071063</v>
      </c>
      <c r="G184" s="307">
        <v>155.91520419696042</v>
      </c>
    </row>
    <row r="185" spans="1:7">
      <c r="A185" s="39" t="s">
        <v>1932</v>
      </c>
      <c r="C185" s="306">
        <v>6.1721341694746558E-3</v>
      </c>
      <c r="D185" s="306">
        <v>0</v>
      </c>
      <c r="E185" s="306">
        <v>6.1721341694746558E-3</v>
      </c>
      <c r="F185" s="306">
        <v>6.258380886744192E-3</v>
      </c>
      <c r="G185" s="307">
        <v>6.3519011294930752E-3</v>
      </c>
    </row>
    <row r="186" spans="1:7">
      <c r="A186" s="39" t="s">
        <v>1935</v>
      </c>
      <c r="C186" s="306">
        <v>2.6812478439962019E-2</v>
      </c>
      <c r="D186" s="306">
        <v>0</v>
      </c>
      <c r="E186" s="306">
        <v>2.6623369798654224E-2</v>
      </c>
      <c r="F186" s="306">
        <v>2.6812478439962019E-2</v>
      </c>
      <c r="G186" s="307">
        <v>2.7213142691272701E-2</v>
      </c>
    </row>
    <row r="187" spans="1:7" ht="15" thickBot="1">
      <c r="A187" s="39" t="s">
        <v>1936</v>
      </c>
      <c r="C187" s="306">
        <v>153.64976623157219</v>
      </c>
      <c r="D187" s="306">
        <v>0</v>
      </c>
      <c r="E187" s="306">
        <v>0</v>
      </c>
      <c r="F187" s="306">
        <v>153.64976623157219</v>
      </c>
      <c r="G187" s="307">
        <v>155.94578555291477</v>
      </c>
    </row>
    <row r="188" spans="1:7" ht="15" thickBot="1">
      <c r="A188" s="39" t="s">
        <v>115</v>
      </c>
      <c r="C188" s="314">
        <v>1834.209445082083</v>
      </c>
      <c r="D188" s="315">
        <v>1528.651048687</v>
      </c>
      <c r="E188" s="315">
        <v>1745.8132400207328</v>
      </c>
      <c r="F188" s="315">
        <v>1923.8580579165753</v>
      </c>
      <c r="G188" s="316">
        <v>1952.6066553328556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65.25375027886318</v>
      </c>
      <c r="E190" s="306">
        <v>24.394862555628883</v>
      </c>
      <c r="F190" s="306">
        <v>28.748597416280283</v>
      </c>
      <c r="G190" s="307">
        <v>118.39721025077236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1834.209445082083</v>
      </c>
      <c r="D202" s="315">
        <v>1528.651048687</v>
      </c>
      <c r="E202" s="315">
        <v>1745.8132400207328</v>
      </c>
      <c r="F202" s="315">
        <v>1923.8580579165753</v>
      </c>
      <c r="G202" s="316">
        <v>1952.6066553328556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65.25375027886318</v>
      </c>
      <c r="E204" s="318">
        <v>24.394862555628883</v>
      </c>
      <c r="F204" s="318">
        <v>28.748597416280283</v>
      </c>
      <c r="G204" s="319">
        <v>118.39721025077236</v>
      </c>
    </row>
    <row r="205" spans="1:7" ht="15" thickBot="1"/>
    <row r="206" spans="1:7" ht="15" thickBot="1">
      <c r="A206" s="89" t="s">
        <v>9239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39"/>
      <c r="B208" s="62"/>
      <c r="C208" s="62"/>
      <c r="D208" s="62"/>
      <c r="E208" s="60" t="s">
        <v>1912</v>
      </c>
      <c r="F208" s="62"/>
      <c r="G208" s="43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/>
      <c r="E212" s="99" t="s">
        <v>1979</v>
      </c>
      <c r="F212" s="99"/>
      <c r="G212" s="100"/>
    </row>
    <row r="213" spans="1:7">
      <c r="A213" s="39" t="s">
        <v>1923</v>
      </c>
      <c r="C213" s="29"/>
      <c r="D213" s="29"/>
      <c r="E213" s="299">
        <v>1.0413704724136088</v>
      </c>
      <c r="F213" s="299">
        <v>1.0141121285932884</v>
      </c>
      <c r="G213" s="300">
        <v>1.0152695860275844</v>
      </c>
    </row>
    <row r="214" spans="1:7">
      <c r="A214" s="39" t="s">
        <v>1924</v>
      </c>
      <c r="C214" s="29"/>
      <c r="D214" s="301">
        <v>0.96957896911781272</v>
      </c>
      <c r="E214" s="301">
        <v>0.99315658495469872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966.21225916114133</v>
      </c>
      <c r="D217" s="304">
        <v>966.21225916114133</v>
      </c>
      <c r="E217" s="304">
        <v>1006.184916774458</v>
      </c>
      <c r="F217" s="304">
        <v>1020.3843277086063</v>
      </c>
      <c r="G217" s="305">
        <v>1035.9651739817518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69.510919973747804</v>
      </c>
      <c r="D220" s="308">
        <v>69.510919973747804</v>
      </c>
      <c r="E220" s="308">
        <v>72.386619570966303</v>
      </c>
      <c r="F220" s="308">
        <v>73.408148854785225</v>
      </c>
      <c r="G220" s="309">
        <v>74.529060898849096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1.2295342921170424E-2</v>
      </c>
      <c r="D222" s="310">
        <v>1.1921305914458415E-2</v>
      </c>
      <c r="E222" s="308">
        <v>1.2295342921170424E-2</v>
      </c>
      <c r="F222" s="308">
        <v>1.2468856381572559E-2</v>
      </c>
      <c r="G222" s="309">
        <v>1.2659250656756577E-2</v>
      </c>
    </row>
    <row r="223" spans="1:7">
      <c r="A223" s="39" t="s">
        <v>1931</v>
      </c>
      <c r="B223" s="96"/>
      <c r="C223" s="308">
        <v>9.9687275190423648E-3</v>
      </c>
      <c r="D223" s="306"/>
      <c r="E223" s="308">
        <v>9.9687275190423648E-3</v>
      </c>
      <c r="F223" s="308">
        <v>1.0109407483702542E-2</v>
      </c>
      <c r="G223" s="309">
        <v>1.0263773950962844E-2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69.533184044188005</v>
      </c>
      <c r="D225" s="312">
        <v>69.522841279662259</v>
      </c>
      <c r="E225" s="312">
        <v>72.408883641406504</v>
      </c>
      <c r="F225" s="312">
        <v>73.430727118650495</v>
      </c>
      <c r="G225" s="313">
        <v>74.551983923456817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596.62832528169065</v>
      </c>
      <c r="D228" s="308">
        <v>596.62832528169065</v>
      </c>
      <c r="E228" s="308">
        <v>621.31112095393451</v>
      </c>
      <c r="F228" s="308">
        <v>630.07914338927662</v>
      </c>
      <c r="G228" s="309">
        <v>639.70019107344592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13.546245887810761</v>
      </c>
      <c r="D230" s="308">
        <v>13.134155123319967</v>
      </c>
      <c r="E230" s="308">
        <v>13.546245887810761</v>
      </c>
      <c r="F230" s="308">
        <v>13.737412251735851</v>
      </c>
      <c r="G230" s="309">
        <v>13.947176849910123</v>
      </c>
    </row>
    <row r="231" spans="1:7">
      <c r="A231" s="39" t="s">
        <v>1931</v>
      </c>
      <c r="B231" s="96"/>
      <c r="C231" s="308">
        <v>5.8255961933376739</v>
      </c>
      <c r="D231" s="306"/>
      <c r="E231" s="308">
        <v>5.8255961933376739</v>
      </c>
      <c r="F231" s="308">
        <v>5.9078077559506266</v>
      </c>
      <c r="G231" s="309">
        <v>5.9980175347145455</v>
      </c>
    </row>
    <row r="232" spans="1:7">
      <c r="A232" s="39" t="s">
        <v>1932</v>
      </c>
      <c r="B232" s="96"/>
      <c r="C232" s="308">
        <v>7.0285762070474312E-3</v>
      </c>
      <c r="D232" s="306"/>
      <c r="E232" s="308">
        <v>7.0285762070474312E-3</v>
      </c>
      <c r="F232" s="308">
        <v>7.1277643783090117E-3</v>
      </c>
      <c r="G232" s="309">
        <v>7.2366023896679533E-3</v>
      </c>
    </row>
    <row r="233" spans="1:7">
      <c r="A233" s="39" t="s">
        <v>1935</v>
      </c>
      <c r="B233" s="96"/>
      <c r="C233" s="308">
        <v>3.092004971468346E-2</v>
      </c>
      <c r="D233" s="306"/>
      <c r="E233" s="308">
        <v>3.070845098126453E-2</v>
      </c>
      <c r="F233" s="308">
        <v>3.092004971468346E-2</v>
      </c>
      <c r="G233" s="309">
        <v>3.1392186073779006E-2</v>
      </c>
    </row>
    <row r="234" spans="1:7">
      <c r="A234" s="39" t="s">
        <v>1936</v>
      </c>
      <c r="B234" s="96"/>
      <c r="C234" s="308">
        <v>5.74311354814852E-2</v>
      </c>
      <c r="D234" s="306"/>
      <c r="E234" s="306"/>
      <c r="F234" s="308">
        <v>5.74311354814852E-2</v>
      </c>
      <c r="G234" s="309">
        <v>5.8308085145381598E-2</v>
      </c>
    </row>
    <row r="235" spans="1:7">
      <c r="A235" s="39" t="s">
        <v>1933</v>
      </c>
      <c r="B235" s="96"/>
      <c r="C235" s="311">
        <v>616.09554712424233</v>
      </c>
      <c r="D235" s="312">
        <v>609.76248040501059</v>
      </c>
      <c r="E235" s="312">
        <v>640.72070006227125</v>
      </c>
      <c r="F235" s="312">
        <v>649.8198423465376</v>
      </c>
      <c r="G235" s="313">
        <v>659.74232233167936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9.6957896911781282E-5</v>
      </c>
      <c r="E238" s="308">
        <v>1E-4</v>
      </c>
      <c r="F238" s="308">
        <v>1.0141121285932885E-4</v>
      </c>
      <c r="G238" s="309">
        <v>1.0295972009824605E-4</v>
      </c>
    </row>
    <row r="239" spans="1:7">
      <c r="A239" s="39" t="s">
        <v>1931</v>
      </c>
      <c r="B239" s="96"/>
      <c r="C239" s="308">
        <v>146.45984972902582</v>
      </c>
      <c r="D239" s="306"/>
      <c r="E239" s="308">
        <v>146.45984972902582</v>
      </c>
      <c r="F239" s="308">
        <v>148.52670996215554</v>
      </c>
      <c r="G239" s="309">
        <v>150.79465133731676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1.0141121285932885E-4</v>
      </c>
      <c r="G240" s="309">
        <v>1.0295972009824605E-4</v>
      </c>
    </row>
    <row r="241" spans="1:7">
      <c r="A241" s="39" t="s">
        <v>1935</v>
      </c>
      <c r="B241" s="96"/>
      <c r="C241" s="308">
        <v>1E-4</v>
      </c>
      <c r="D241" s="306"/>
      <c r="E241" s="308">
        <v>9.9315658495469883E-5</v>
      </c>
      <c r="F241" s="308">
        <v>1E-4</v>
      </c>
      <c r="G241" s="309">
        <v>1.0152695860275845E-4</v>
      </c>
    </row>
    <row r="242" spans="1:7">
      <c r="A242" s="39" t="s">
        <v>1936</v>
      </c>
      <c r="B242" s="96"/>
      <c r="C242" s="308">
        <v>153.60015027097418</v>
      </c>
      <c r="D242" s="306"/>
      <c r="E242" s="306"/>
      <c r="F242" s="308">
        <v>153.60015027097418</v>
      </c>
      <c r="G242" s="309">
        <v>155.94556097938673</v>
      </c>
    </row>
    <row r="243" spans="1:7">
      <c r="A243" s="39" t="s">
        <v>1933</v>
      </c>
      <c r="B243" s="96"/>
      <c r="C243" s="311">
        <v>300.06029999999998</v>
      </c>
      <c r="D243" s="312">
        <v>9.6957896911781282E-5</v>
      </c>
      <c r="E243" s="312">
        <v>146.46014904468433</v>
      </c>
      <c r="F243" s="312">
        <v>302.12716305555546</v>
      </c>
      <c r="G243" s="313">
        <v>306.74051976310227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0</v>
      </c>
      <c r="D246" s="304">
        <v>0</v>
      </c>
      <c r="E246" s="304">
        <v>0</v>
      </c>
      <c r="F246" s="304">
        <v>0</v>
      </c>
      <c r="G246" s="305">
        <v>0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1632.3515044165797</v>
      </c>
      <c r="D249" s="306">
        <v>1632.3515044165797</v>
      </c>
      <c r="E249" s="306">
        <v>1699.8826572993587</v>
      </c>
      <c r="F249" s="306">
        <v>1723.8716199526682</v>
      </c>
      <c r="G249" s="307">
        <v>1750.1944259540469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13.558641230731931</v>
      </c>
      <c r="D251" s="306">
        <v>13.146173387131338</v>
      </c>
      <c r="E251" s="306">
        <v>13.558641230731931</v>
      </c>
      <c r="F251" s="306">
        <v>13.749982519330283</v>
      </c>
      <c r="G251" s="307">
        <v>13.959939060286979</v>
      </c>
    </row>
    <row r="252" spans="1:7">
      <c r="A252" s="39" t="s">
        <v>1931</v>
      </c>
      <c r="C252" s="306">
        <v>152.29541464988253</v>
      </c>
      <c r="D252" s="306">
        <v>0</v>
      </c>
      <c r="E252" s="306">
        <v>152.29541464988253</v>
      </c>
      <c r="F252" s="306">
        <v>154.44462712558988</v>
      </c>
      <c r="G252" s="307">
        <v>156.80293264598228</v>
      </c>
    </row>
    <row r="253" spans="1:7">
      <c r="A253" s="39" t="s">
        <v>1932</v>
      </c>
      <c r="C253" s="306">
        <v>7.1285762070474315E-3</v>
      </c>
      <c r="D253" s="306">
        <v>0</v>
      </c>
      <c r="E253" s="306">
        <v>7.1285762070474315E-3</v>
      </c>
      <c r="F253" s="306">
        <v>7.2291755911683409E-3</v>
      </c>
      <c r="G253" s="307">
        <v>7.3395621097661996E-3</v>
      </c>
    </row>
    <row r="254" spans="1:7">
      <c r="A254" s="39" t="s">
        <v>1935</v>
      </c>
      <c r="C254" s="306">
        <v>3.1020049714683459E-2</v>
      </c>
      <c r="D254" s="306">
        <v>0</v>
      </c>
      <c r="E254" s="306">
        <v>3.0807766639759999E-2</v>
      </c>
      <c r="F254" s="306">
        <v>3.1020049714683459E-2</v>
      </c>
      <c r="G254" s="307">
        <v>3.1493713032381764E-2</v>
      </c>
    </row>
    <row r="255" spans="1:7" ht="15" thickBot="1">
      <c r="A255" s="39" t="s">
        <v>1936</v>
      </c>
      <c r="C255" s="306">
        <v>153.65758140645568</v>
      </c>
      <c r="D255" s="306">
        <v>0</v>
      </c>
      <c r="E255" s="306">
        <v>0</v>
      </c>
      <c r="F255" s="306">
        <v>153.65758140645568</v>
      </c>
      <c r="G255" s="307">
        <v>156.0038690645321</v>
      </c>
    </row>
    <row r="256" spans="1:7" ht="15" thickBot="1">
      <c r="A256" s="39" t="s">
        <v>115</v>
      </c>
      <c r="C256" s="314">
        <v>1951.9012903295716</v>
      </c>
      <c r="D256" s="315">
        <v>1645.497677803711</v>
      </c>
      <c r="E256" s="315">
        <v>1865.77464952282</v>
      </c>
      <c r="F256" s="315">
        <v>2045.76206022935</v>
      </c>
      <c r="G256" s="316">
        <v>2076.9999999999905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67.531152882778684</v>
      </c>
      <c r="E258" s="306">
        <v>26.329617016998967</v>
      </c>
      <c r="F258" s="306">
        <v>31.237939770640324</v>
      </c>
      <c r="G258" s="307">
        <v>125.09870967041797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1951.9012903295716</v>
      </c>
      <c r="D270" s="315">
        <v>1645.497677803711</v>
      </c>
      <c r="E270" s="315">
        <v>1865.77464952282</v>
      </c>
      <c r="F270" s="315">
        <v>2045.76206022935</v>
      </c>
      <c r="G270" s="316">
        <v>2076.9999999999905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67.531152882778684</v>
      </c>
      <c r="E272" s="318">
        <v>26.329617016998967</v>
      </c>
      <c r="F272" s="318">
        <v>31.237939770640324</v>
      </c>
      <c r="G272" s="319">
        <v>125.09870967041797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8" tint="0.59999389629810485"/>
  </sheetPr>
  <dimension ref="A1:G272"/>
  <sheetViews>
    <sheetView tabSelected="1" showOutlineSymbols="0" workbookViewId="0"/>
  </sheetViews>
  <sheetFormatPr defaultRowHeight="14.4"/>
  <cols>
    <col min="1" max="1" width="38.88671875" bestFit="1" customWidth="1"/>
    <col min="2" max="2" width="2.6640625" customWidth="1"/>
    <col min="3" max="7" width="16.5546875" customWidth="1"/>
    <col min="257" max="257" width="38.88671875" bestFit="1" customWidth="1"/>
    <col min="258" max="258" width="2.6640625" customWidth="1"/>
    <col min="259" max="263" width="16.5546875" customWidth="1"/>
    <col min="513" max="513" width="38.88671875" bestFit="1" customWidth="1"/>
    <col min="514" max="514" width="2.6640625" customWidth="1"/>
    <col min="515" max="519" width="16.5546875" customWidth="1"/>
    <col min="769" max="769" width="38.88671875" bestFit="1" customWidth="1"/>
    <col min="770" max="770" width="2.6640625" customWidth="1"/>
    <col min="771" max="775" width="16.5546875" customWidth="1"/>
    <col min="1025" max="1025" width="38.88671875" bestFit="1" customWidth="1"/>
    <col min="1026" max="1026" width="2.6640625" customWidth="1"/>
    <col min="1027" max="1031" width="16.5546875" customWidth="1"/>
    <col min="1281" max="1281" width="38.88671875" bestFit="1" customWidth="1"/>
    <col min="1282" max="1282" width="2.6640625" customWidth="1"/>
    <col min="1283" max="1287" width="16.5546875" customWidth="1"/>
    <col min="1537" max="1537" width="38.88671875" bestFit="1" customWidth="1"/>
    <col min="1538" max="1538" width="2.6640625" customWidth="1"/>
    <col min="1539" max="1543" width="16.5546875" customWidth="1"/>
    <col min="1793" max="1793" width="38.88671875" bestFit="1" customWidth="1"/>
    <col min="1794" max="1794" width="2.6640625" customWidth="1"/>
    <col min="1795" max="1799" width="16.5546875" customWidth="1"/>
    <col min="2049" max="2049" width="38.88671875" bestFit="1" customWidth="1"/>
    <col min="2050" max="2050" width="2.6640625" customWidth="1"/>
    <col min="2051" max="2055" width="16.5546875" customWidth="1"/>
    <col min="2305" max="2305" width="38.88671875" bestFit="1" customWidth="1"/>
    <col min="2306" max="2306" width="2.6640625" customWidth="1"/>
    <col min="2307" max="2311" width="16.5546875" customWidth="1"/>
    <col min="2561" max="2561" width="38.88671875" bestFit="1" customWidth="1"/>
    <col min="2562" max="2562" width="2.6640625" customWidth="1"/>
    <col min="2563" max="2567" width="16.5546875" customWidth="1"/>
    <col min="2817" max="2817" width="38.88671875" bestFit="1" customWidth="1"/>
    <col min="2818" max="2818" width="2.6640625" customWidth="1"/>
    <col min="2819" max="2823" width="16.5546875" customWidth="1"/>
    <col min="3073" max="3073" width="38.88671875" bestFit="1" customWidth="1"/>
    <col min="3074" max="3074" width="2.6640625" customWidth="1"/>
    <col min="3075" max="3079" width="16.5546875" customWidth="1"/>
    <col min="3329" max="3329" width="38.88671875" bestFit="1" customWidth="1"/>
    <col min="3330" max="3330" width="2.6640625" customWidth="1"/>
    <col min="3331" max="3335" width="16.5546875" customWidth="1"/>
    <col min="3585" max="3585" width="38.88671875" bestFit="1" customWidth="1"/>
    <col min="3586" max="3586" width="2.6640625" customWidth="1"/>
    <col min="3587" max="3591" width="16.5546875" customWidth="1"/>
    <col min="3841" max="3841" width="38.88671875" bestFit="1" customWidth="1"/>
    <col min="3842" max="3842" width="2.6640625" customWidth="1"/>
    <col min="3843" max="3847" width="16.5546875" customWidth="1"/>
    <col min="4097" max="4097" width="38.88671875" bestFit="1" customWidth="1"/>
    <col min="4098" max="4098" width="2.6640625" customWidth="1"/>
    <col min="4099" max="4103" width="16.5546875" customWidth="1"/>
    <col min="4353" max="4353" width="38.88671875" bestFit="1" customWidth="1"/>
    <col min="4354" max="4354" width="2.6640625" customWidth="1"/>
    <col min="4355" max="4359" width="16.5546875" customWidth="1"/>
    <col min="4609" max="4609" width="38.88671875" bestFit="1" customWidth="1"/>
    <col min="4610" max="4610" width="2.6640625" customWidth="1"/>
    <col min="4611" max="4615" width="16.5546875" customWidth="1"/>
    <col min="4865" max="4865" width="38.88671875" bestFit="1" customWidth="1"/>
    <col min="4866" max="4866" width="2.6640625" customWidth="1"/>
    <col min="4867" max="4871" width="16.5546875" customWidth="1"/>
    <col min="5121" max="5121" width="38.88671875" bestFit="1" customWidth="1"/>
    <col min="5122" max="5122" width="2.6640625" customWidth="1"/>
    <col min="5123" max="5127" width="16.5546875" customWidth="1"/>
    <col min="5377" max="5377" width="38.88671875" bestFit="1" customWidth="1"/>
    <col min="5378" max="5378" width="2.6640625" customWidth="1"/>
    <col min="5379" max="5383" width="16.5546875" customWidth="1"/>
    <col min="5633" max="5633" width="38.88671875" bestFit="1" customWidth="1"/>
    <col min="5634" max="5634" width="2.6640625" customWidth="1"/>
    <col min="5635" max="5639" width="16.5546875" customWidth="1"/>
    <col min="5889" max="5889" width="38.88671875" bestFit="1" customWidth="1"/>
    <col min="5890" max="5890" width="2.6640625" customWidth="1"/>
    <col min="5891" max="5895" width="16.5546875" customWidth="1"/>
    <col min="6145" max="6145" width="38.88671875" bestFit="1" customWidth="1"/>
    <col min="6146" max="6146" width="2.6640625" customWidth="1"/>
    <col min="6147" max="6151" width="16.5546875" customWidth="1"/>
    <col min="6401" max="6401" width="38.88671875" bestFit="1" customWidth="1"/>
    <col min="6402" max="6402" width="2.6640625" customWidth="1"/>
    <col min="6403" max="6407" width="16.5546875" customWidth="1"/>
    <col min="6657" max="6657" width="38.88671875" bestFit="1" customWidth="1"/>
    <col min="6658" max="6658" width="2.6640625" customWidth="1"/>
    <col min="6659" max="6663" width="16.5546875" customWidth="1"/>
    <col min="6913" max="6913" width="38.88671875" bestFit="1" customWidth="1"/>
    <col min="6914" max="6914" width="2.6640625" customWidth="1"/>
    <col min="6915" max="6919" width="16.5546875" customWidth="1"/>
    <col min="7169" max="7169" width="38.88671875" bestFit="1" customWidth="1"/>
    <col min="7170" max="7170" width="2.6640625" customWidth="1"/>
    <col min="7171" max="7175" width="16.5546875" customWidth="1"/>
    <col min="7425" max="7425" width="38.88671875" bestFit="1" customWidth="1"/>
    <col min="7426" max="7426" width="2.6640625" customWidth="1"/>
    <col min="7427" max="7431" width="16.5546875" customWidth="1"/>
    <col min="7681" max="7681" width="38.88671875" bestFit="1" customWidth="1"/>
    <col min="7682" max="7682" width="2.6640625" customWidth="1"/>
    <col min="7683" max="7687" width="16.5546875" customWidth="1"/>
    <col min="7937" max="7937" width="38.88671875" bestFit="1" customWidth="1"/>
    <col min="7938" max="7938" width="2.6640625" customWidth="1"/>
    <col min="7939" max="7943" width="16.5546875" customWidth="1"/>
    <col min="8193" max="8193" width="38.88671875" bestFit="1" customWidth="1"/>
    <col min="8194" max="8194" width="2.6640625" customWidth="1"/>
    <col min="8195" max="8199" width="16.5546875" customWidth="1"/>
    <col min="8449" max="8449" width="38.88671875" bestFit="1" customWidth="1"/>
    <col min="8450" max="8450" width="2.6640625" customWidth="1"/>
    <col min="8451" max="8455" width="16.5546875" customWidth="1"/>
    <col min="8705" max="8705" width="38.88671875" bestFit="1" customWidth="1"/>
    <col min="8706" max="8706" width="2.6640625" customWidth="1"/>
    <col min="8707" max="8711" width="16.5546875" customWidth="1"/>
    <col min="8961" max="8961" width="38.88671875" bestFit="1" customWidth="1"/>
    <col min="8962" max="8962" width="2.6640625" customWidth="1"/>
    <col min="8963" max="8967" width="16.5546875" customWidth="1"/>
    <col min="9217" max="9217" width="38.88671875" bestFit="1" customWidth="1"/>
    <col min="9218" max="9218" width="2.6640625" customWidth="1"/>
    <col min="9219" max="9223" width="16.5546875" customWidth="1"/>
    <col min="9473" max="9473" width="38.88671875" bestFit="1" customWidth="1"/>
    <col min="9474" max="9474" width="2.6640625" customWidth="1"/>
    <col min="9475" max="9479" width="16.5546875" customWidth="1"/>
    <col min="9729" max="9729" width="38.88671875" bestFit="1" customWidth="1"/>
    <col min="9730" max="9730" width="2.6640625" customWidth="1"/>
    <col min="9731" max="9735" width="16.5546875" customWidth="1"/>
    <col min="9985" max="9985" width="38.88671875" bestFit="1" customWidth="1"/>
    <col min="9986" max="9986" width="2.6640625" customWidth="1"/>
    <col min="9987" max="9991" width="16.5546875" customWidth="1"/>
    <col min="10241" max="10241" width="38.88671875" bestFit="1" customWidth="1"/>
    <col min="10242" max="10242" width="2.6640625" customWidth="1"/>
    <col min="10243" max="10247" width="16.5546875" customWidth="1"/>
    <col min="10497" max="10497" width="38.88671875" bestFit="1" customWidth="1"/>
    <col min="10498" max="10498" width="2.6640625" customWidth="1"/>
    <col min="10499" max="10503" width="16.5546875" customWidth="1"/>
    <col min="10753" max="10753" width="38.88671875" bestFit="1" customWidth="1"/>
    <col min="10754" max="10754" width="2.6640625" customWidth="1"/>
    <col min="10755" max="10759" width="16.5546875" customWidth="1"/>
    <col min="11009" max="11009" width="38.88671875" bestFit="1" customWidth="1"/>
    <col min="11010" max="11010" width="2.6640625" customWidth="1"/>
    <col min="11011" max="11015" width="16.5546875" customWidth="1"/>
    <col min="11265" max="11265" width="38.88671875" bestFit="1" customWidth="1"/>
    <col min="11266" max="11266" width="2.6640625" customWidth="1"/>
    <col min="11267" max="11271" width="16.5546875" customWidth="1"/>
    <col min="11521" max="11521" width="38.88671875" bestFit="1" customWidth="1"/>
    <col min="11522" max="11522" width="2.6640625" customWidth="1"/>
    <col min="11523" max="11527" width="16.5546875" customWidth="1"/>
    <col min="11777" max="11777" width="38.88671875" bestFit="1" customWidth="1"/>
    <col min="11778" max="11778" width="2.6640625" customWidth="1"/>
    <col min="11779" max="11783" width="16.5546875" customWidth="1"/>
    <col min="12033" max="12033" width="38.88671875" bestFit="1" customWidth="1"/>
    <col min="12034" max="12034" width="2.6640625" customWidth="1"/>
    <col min="12035" max="12039" width="16.5546875" customWidth="1"/>
    <col min="12289" max="12289" width="38.88671875" bestFit="1" customWidth="1"/>
    <col min="12290" max="12290" width="2.6640625" customWidth="1"/>
    <col min="12291" max="12295" width="16.5546875" customWidth="1"/>
    <col min="12545" max="12545" width="38.88671875" bestFit="1" customWidth="1"/>
    <col min="12546" max="12546" width="2.6640625" customWidth="1"/>
    <col min="12547" max="12551" width="16.5546875" customWidth="1"/>
    <col min="12801" max="12801" width="38.88671875" bestFit="1" customWidth="1"/>
    <col min="12802" max="12802" width="2.6640625" customWidth="1"/>
    <col min="12803" max="12807" width="16.5546875" customWidth="1"/>
    <col min="13057" max="13057" width="38.88671875" bestFit="1" customWidth="1"/>
    <col min="13058" max="13058" width="2.6640625" customWidth="1"/>
    <col min="13059" max="13063" width="16.5546875" customWidth="1"/>
    <col min="13313" max="13313" width="38.88671875" bestFit="1" customWidth="1"/>
    <col min="13314" max="13314" width="2.6640625" customWidth="1"/>
    <col min="13315" max="13319" width="16.5546875" customWidth="1"/>
    <col min="13569" max="13569" width="38.88671875" bestFit="1" customWidth="1"/>
    <col min="13570" max="13570" width="2.6640625" customWidth="1"/>
    <col min="13571" max="13575" width="16.5546875" customWidth="1"/>
    <col min="13825" max="13825" width="38.88671875" bestFit="1" customWidth="1"/>
    <col min="13826" max="13826" width="2.6640625" customWidth="1"/>
    <col min="13827" max="13831" width="16.5546875" customWidth="1"/>
    <col min="14081" max="14081" width="38.88671875" bestFit="1" customWidth="1"/>
    <col min="14082" max="14082" width="2.6640625" customWidth="1"/>
    <col min="14083" max="14087" width="16.5546875" customWidth="1"/>
    <col min="14337" max="14337" width="38.88671875" bestFit="1" customWidth="1"/>
    <col min="14338" max="14338" width="2.6640625" customWidth="1"/>
    <col min="14339" max="14343" width="16.5546875" customWidth="1"/>
    <col min="14593" max="14593" width="38.88671875" bestFit="1" customWidth="1"/>
    <col min="14594" max="14594" width="2.6640625" customWidth="1"/>
    <col min="14595" max="14599" width="16.5546875" customWidth="1"/>
    <col min="14849" max="14849" width="38.88671875" bestFit="1" customWidth="1"/>
    <col min="14850" max="14850" width="2.6640625" customWidth="1"/>
    <col min="14851" max="14855" width="16.5546875" customWidth="1"/>
    <col min="15105" max="15105" width="38.88671875" bestFit="1" customWidth="1"/>
    <col min="15106" max="15106" width="2.6640625" customWidth="1"/>
    <col min="15107" max="15111" width="16.5546875" customWidth="1"/>
    <col min="15361" max="15361" width="38.88671875" bestFit="1" customWidth="1"/>
    <col min="15362" max="15362" width="2.6640625" customWidth="1"/>
    <col min="15363" max="15367" width="16.5546875" customWidth="1"/>
    <col min="15617" max="15617" width="38.88671875" bestFit="1" customWidth="1"/>
    <col min="15618" max="15618" width="2.6640625" customWidth="1"/>
    <col min="15619" max="15623" width="16.5546875" customWidth="1"/>
    <col min="15873" max="15873" width="38.88671875" bestFit="1" customWidth="1"/>
    <col min="15874" max="15874" width="2.6640625" customWidth="1"/>
    <col min="15875" max="15879" width="16.5546875" customWidth="1"/>
    <col min="16129" max="16129" width="38.88671875" bestFit="1" customWidth="1"/>
    <col min="16130" max="16130" width="2.6640625" customWidth="1"/>
    <col min="16131" max="16135" width="16.5546875" customWidth="1"/>
  </cols>
  <sheetData>
    <row r="1" spans="1:7" ht="15" thickBot="1"/>
    <row r="2" spans="1:7" ht="16.2" thickBot="1">
      <c r="A2" s="89" t="s">
        <v>9240</v>
      </c>
      <c r="B2" s="90"/>
      <c r="C2" s="90"/>
      <c r="D2" s="90"/>
      <c r="E2" s="90"/>
      <c r="F2" s="90"/>
      <c r="G2" s="91"/>
    </row>
    <row r="3" spans="1:7">
      <c r="A3" s="92"/>
      <c r="B3" s="93"/>
      <c r="C3" s="93"/>
      <c r="D3" s="93"/>
      <c r="E3" s="93"/>
      <c r="F3" s="93"/>
      <c r="G3" s="94"/>
    </row>
    <row r="4" spans="1:7">
      <c r="A4" s="39"/>
      <c r="B4" s="62"/>
      <c r="C4" s="62"/>
      <c r="D4" s="62"/>
      <c r="E4" s="60" t="s">
        <v>1912</v>
      </c>
      <c r="F4" s="62"/>
      <c r="G4" s="43"/>
    </row>
    <row r="5" spans="1:7">
      <c r="A5" s="98"/>
      <c r="B5" s="96"/>
      <c r="C5" s="96"/>
      <c r="D5" s="96"/>
      <c r="E5" s="96"/>
      <c r="F5" s="96"/>
      <c r="G5" s="97"/>
    </row>
    <row r="6" spans="1:7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</row>
    <row r="7" spans="1:7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</row>
    <row r="8" spans="1:7">
      <c r="A8" s="39"/>
      <c r="D8" s="99"/>
      <c r="E8" s="99" t="s">
        <v>1979</v>
      </c>
      <c r="F8" s="99"/>
      <c r="G8" s="100"/>
    </row>
    <row r="9" spans="1:7">
      <c r="A9" s="39" t="s">
        <v>1923</v>
      </c>
      <c r="C9" s="29"/>
      <c r="D9" s="29"/>
      <c r="E9" s="299">
        <v>1.0464767572053166</v>
      </c>
      <c r="F9" s="299">
        <v>1.0131838116461953</v>
      </c>
      <c r="G9" s="300">
        <v>1.0137727069203937</v>
      </c>
    </row>
    <row r="10" spans="1:7">
      <c r="A10" s="39" t="s">
        <v>1924</v>
      </c>
      <c r="C10" s="29"/>
      <c r="D10" s="301">
        <v>0.96476376292285415</v>
      </c>
      <c r="E10" s="301">
        <v>0.99232865135981274</v>
      </c>
      <c r="F10" s="29"/>
      <c r="G10" s="302"/>
    </row>
    <row r="11" spans="1:7">
      <c r="A11" s="39"/>
      <c r="C11" s="29"/>
      <c r="D11" s="29"/>
      <c r="E11" s="29"/>
      <c r="F11" s="29"/>
      <c r="G11" s="302"/>
    </row>
    <row r="12" spans="1:7">
      <c r="A12" s="39" t="s">
        <v>1925</v>
      </c>
      <c r="C12" s="29"/>
      <c r="D12" s="29"/>
      <c r="E12" s="29"/>
      <c r="F12" s="29"/>
      <c r="G12" s="302"/>
    </row>
    <row r="13" spans="1:7">
      <c r="A13" s="39" t="s">
        <v>1926</v>
      </c>
      <c r="B13" s="96"/>
      <c r="C13" s="303">
        <v>543.90513056010127</v>
      </c>
      <c r="D13" s="304">
        <v>543.90513056010127</v>
      </c>
      <c r="E13" s="304">
        <v>569.18407725586917</v>
      </c>
      <c r="F13" s="304">
        <v>576.68809292242406</v>
      </c>
      <c r="G13" s="305">
        <v>584.63064901072539</v>
      </c>
    </row>
    <row r="14" spans="1:7">
      <c r="A14" s="39"/>
      <c r="C14" s="306"/>
      <c r="D14" s="306"/>
      <c r="E14" s="306"/>
      <c r="F14" s="306"/>
      <c r="G14" s="307"/>
    </row>
    <row r="15" spans="1:7">
      <c r="A15" s="39" t="s">
        <v>1927</v>
      </c>
      <c r="C15" s="306"/>
      <c r="D15" s="306"/>
      <c r="E15" s="306"/>
      <c r="F15" s="306"/>
      <c r="G15" s="307"/>
    </row>
    <row r="16" spans="1:7">
      <c r="A16" s="39" t="s">
        <v>1928</v>
      </c>
      <c r="B16" s="96"/>
      <c r="C16" s="308">
        <v>64.199815995946437</v>
      </c>
      <c r="D16" s="308">
        <v>64.199815995946437</v>
      </c>
      <c r="E16" s="308">
        <v>67.183615256616037</v>
      </c>
      <c r="F16" s="308">
        <v>68.069351385869709</v>
      </c>
      <c r="G16" s="309">
        <v>69.006850612768588</v>
      </c>
    </row>
    <row r="17" spans="1:7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</row>
    <row r="18" spans="1:7">
      <c r="A18" s="39" t="s">
        <v>1930</v>
      </c>
      <c r="B18" s="96"/>
      <c r="C18" s="308">
        <v>1.1355895641207469E-2</v>
      </c>
      <c r="D18" s="310">
        <v>1.0955756610170555E-2</v>
      </c>
      <c r="E18" s="308">
        <v>1.1355895641207469E-2</v>
      </c>
      <c r="F18" s="308">
        <v>1.1505609630414998E-2</v>
      </c>
      <c r="G18" s="309">
        <v>1.1664073019795163E-2</v>
      </c>
    </row>
    <row r="19" spans="1:7">
      <c r="A19" s="39" t="s">
        <v>1931</v>
      </c>
      <c r="B19" s="96"/>
      <c r="C19" s="308">
        <v>9.2070493769605202E-3</v>
      </c>
      <c r="D19" s="306"/>
      <c r="E19" s="308">
        <v>9.2070493769605202E-3</v>
      </c>
      <c r="F19" s="308">
        <v>9.3284333817635883E-3</v>
      </c>
      <c r="G19" s="309">
        <v>9.4569111607570346E-3</v>
      </c>
    </row>
    <row r="20" spans="1:7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</row>
    <row r="21" spans="1:7">
      <c r="A21" s="39" t="s">
        <v>1933</v>
      </c>
      <c r="B21" s="96"/>
      <c r="C21" s="311">
        <v>64.220378940964594</v>
      </c>
      <c r="D21" s="312">
        <v>64.21077175255661</v>
      </c>
      <c r="E21" s="312">
        <v>67.204178201634193</v>
      </c>
      <c r="F21" s="312">
        <v>68.090185428881895</v>
      </c>
      <c r="G21" s="313">
        <v>69.027971596949143</v>
      </c>
    </row>
    <row r="22" spans="1:7">
      <c r="A22" s="39"/>
      <c r="C22" s="306"/>
      <c r="D22" s="306"/>
      <c r="E22" s="306"/>
      <c r="F22" s="306"/>
      <c r="G22" s="307"/>
    </row>
    <row r="23" spans="1:7">
      <c r="A23" s="39" t="s">
        <v>1934</v>
      </c>
      <c r="C23" s="306"/>
      <c r="D23" s="306"/>
      <c r="E23" s="306"/>
      <c r="F23" s="306"/>
      <c r="G23" s="307"/>
    </row>
    <row r="24" spans="1:7">
      <c r="A24" s="39" t="s">
        <v>1928</v>
      </c>
      <c r="B24" s="96"/>
      <c r="C24" s="308">
        <v>609.52035642917701</v>
      </c>
      <c r="D24" s="308">
        <v>609.52035642917701</v>
      </c>
      <c r="E24" s="308">
        <v>637.84888604663388</v>
      </c>
      <c r="F24" s="308">
        <v>646.2581656190082</v>
      </c>
      <c r="G24" s="309">
        <v>655.15888992898999</v>
      </c>
    </row>
    <row r="25" spans="1:7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</row>
    <row r="26" spans="1:7">
      <c r="A26" s="39" t="s">
        <v>1930</v>
      </c>
      <c r="B26" s="96"/>
      <c r="C26" s="308">
        <v>13.068492023727963</v>
      </c>
      <c r="D26" s="308">
        <v>12.608007540539095</v>
      </c>
      <c r="E26" s="308">
        <v>13.068492023727963</v>
      </c>
      <c r="F26" s="308">
        <v>13.240784561068597</v>
      </c>
      <c r="G26" s="309">
        <v>13.423146006224268</v>
      </c>
    </row>
    <row r="27" spans="1:7">
      <c r="A27" s="39" t="s">
        <v>1931</v>
      </c>
      <c r="B27" s="96"/>
      <c r="C27" s="308">
        <v>5.6201369749679913</v>
      </c>
      <c r="D27" s="306"/>
      <c r="E27" s="308">
        <v>5.6201369749679913</v>
      </c>
      <c r="F27" s="308">
        <v>5.694231802271787</v>
      </c>
      <c r="G27" s="309">
        <v>5.7726567880212611</v>
      </c>
    </row>
    <row r="28" spans="1:7">
      <c r="A28" s="39" t="s">
        <v>1932</v>
      </c>
      <c r="B28" s="96"/>
      <c r="C28" s="308">
        <v>6.7806898575947846E-3</v>
      </c>
      <c r="D28" s="306"/>
      <c r="E28" s="308">
        <v>6.7806898575947846E-3</v>
      </c>
      <c r="F28" s="308">
        <v>6.8700851955085813E-3</v>
      </c>
      <c r="G28" s="309">
        <v>6.9647048654244564E-3</v>
      </c>
    </row>
    <row r="29" spans="1:7">
      <c r="A29" s="39" t="s">
        <v>1935</v>
      </c>
      <c r="B29" s="96"/>
      <c r="C29" s="308">
        <v>2.9829550298744567E-2</v>
      </c>
      <c r="D29" s="306"/>
      <c r="E29" s="308">
        <v>2.9600717418622895E-2</v>
      </c>
      <c r="F29" s="308">
        <v>2.9829550298744567E-2</v>
      </c>
      <c r="G29" s="309">
        <v>3.0240383952576319E-2</v>
      </c>
    </row>
    <row r="30" spans="1:7">
      <c r="A30" s="39" t="s">
        <v>1936</v>
      </c>
      <c r="B30" s="96"/>
      <c r="C30" s="308">
        <v>5.5405633573267839E-2</v>
      </c>
      <c r="D30" s="306"/>
      <c r="E30" s="306"/>
      <c r="F30" s="308">
        <v>5.5405633573267839E-2</v>
      </c>
      <c r="G30" s="309">
        <v>5.6168719126211179E-2</v>
      </c>
    </row>
    <row r="31" spans="1:7">
      <c r="A31" s="39" t="s">
        <v>1933</v>
      </c>
      <c r="B31" s="96"/>
      <c r="C31" s="311">
        <v>628.30100130160247</v>
      </c>
      <c r="D31" s="312">
        <v>622.12836396971613</v>
      </c>
      <c r="E31" s="312">
        <v>656.57389645260594</v>
      </c>
      <c r="F31" s="312">
        <v>665.28528725141609</v>
      </c>
      <c r="G31" s="313">
        <v>674.44806653117951</v>
      </c>
    </row>
    <row r="32" spans="1:7">
      <c r="A32" s="39"/>
      <c r="C32" s="306"/>
      <c r="D32" s="306"/>
      <c r="E32" s="306"/>
      <c r="F32" s="306"/>
      <c r="G32" s="307"/>
    </row>
    <row r="33" spans="1:7">
      <c r="A33" s="39" t="s">
        <v>1937</v>
      </c>
      <c r="C33" s="306"/>
      <c r="D33" s="306"/>
      <c r="E33" s="306"/>
      <c r="F33" s="306"/>
      <c r="G33" s="307"/>
    </row>
    <row r="34" spans="1:7">
      <c r="A34" s="39" t="s">
        <v>1930</v>
      </c>
      <c r="B34" s="96"/>
      <c r="C34" s="308">
        <v>1E-4</v>
      </c>
      <c r="D34" s="308">
        <v>9.647637629228542E-5</v>
      </c>
      <c r="E34" s="308">
        <v>1E-4</v>
      </c>
      <c r="F34" s="308">
        <v>1.0131838116461954E-4</v>
      </c>
      <c r="G34" s="309">
        <v>1.0271380953404858E-4</v>
      </c>
    </row>
    <row r="35" spans="1:7">
      <c r="A35" s="39" t="s">
        <v>1931</v>
      </c>
      <c r="B35" s="96"/>
      <c r="C35" s="308">
        <v>90.987071212383199</v>
      </c>
      <c r="D35" s="306"/>
      <c r="E35" s="308">
        <v>90.987071212383199</v>
      </c>
      <c r="F35" s="308">
        <v>92.186627621486224</v>
      </c>
      <c r="G35" s="309">
        <v>93.456287025696426</v>
      </c>
    </row>
    <row r="36" spans="1:7">
      <c r="A36" s="39" t="s">
        <v>1932</v>
      </c>
      <c r="B36" s="96"/>
      <c r="C36" s="308">
        <v>1E-4</v>
      </c>
      <c r="D36" s="306"/>
      <c r="E36" s="308">
        <v>1E-4</v>
      </c>
      <c r="F36" s="308">
        <v>1.0131838116461954E-4</v>
      </c>
      <c r="G36" s="309">
        <v>1.0271380953404858E-4</v>
      </c>
    </row>
    <row r="37" spans="1:7">
      <c r="A37" s="39" t="s">
        <v>1935</v>
      </c>
      <c r="B37" s="96"/>
      <c r="C37" s="308">
        <v>1E-4</v>
      </c>
      <c r="D37" s="306"/>
      <c r="E37" s="308">
        <v>9.9232865135981274E-5</v>
      </c>
      <c r="F37" s="308">
        <v>1E-4</v>
      </c>
      <c r="G37" s="309">
        <v>1.0137727069203937E-4</v>
      </c>
    </row>
    <row r="38" spans="1:7">
      <c r="A38" s="39" t="s">
        <v>1936</v>
      </c>
      <c r="B38" s="96"/>
      <c r="C38" s="308">
        <v>95.422928787616797</v>
      </c>
      <c r="D38" s="306"/>
      <c r="E38" s="306"/>
      <c r="F38" s="308">
        <v>95.422928787616797</v>
      </c>
      <c r="G38" s="309">
        <v>96.737160819294246</v>
      </c>
    </row>
    <row r="39" spans="1:7">
      <c r="A39" s="39" t="s">
        <v>1933</v>
      </c>
      <c r="B39" s="96"/>
      <c r="C39" s="311">
        <v>186.41030000000001</v>
      </c>
      <c r="D39" s="312">
        <v>9.647637629228542E-5</v>
      </c>
      <c r="E39" s="312">
        <v>90.987370445248345</v>
      </c>
      <c r="F39" s="312">
        <v>187.60985904586536</v>
      </c>
      <c r="G39" s="313">
        <v>190.19375464988045</v>
      </c>
    </row>
    <row r="40" spans="1:7">
      <c r="A40" s="39"/>
      <c r="C40" s="306"/>
      <c r="D40" s="306"/>
      <c r="E40" s="306"/>
      <c r="F40" s="306"/>
      <c r="G40" s="307"/>
    </row>
    <row r="41" spans="1:7">
      <c r="A41" s="39" t="s">
        <v>1938</v>
      </c>
      <c r="C41" s="306"/>
      <c r="D41" s="306"/>
      <c r="E41" s="306"/>
      <c r="F41" s="306"/>
      <c r="G41" s="307"/>
    </row>
    <row r="42" spans="1:7">
      <c r="A42" s="39" t="s">
        <v>1926</v>
      </c>
      <c r="B42" s="96"/>
      <c r="C42" s="303">
        <v>25.77</v>
      </c>
      <c r="D42" s="304">
        <v>25.77</v>
      </c>
      <c r="E42" s="304">
        <v>26.96770603318101</v>
      </c>
      <c r="F42" s="304">
        <v>27.323243190052434</v>
      </c>
      <c r="G42" s="305">
        <v>27.699558210623668</v>
      </c>
    </row>
    <row r="43" spans="1:7">
      <c r="A43" s="39"/>
      <c r="C43" s="306"/>
      <c r="D43" s="306"/>
      <c r="E43" s="306"/>
      <c r="F43" s="306"/>
      <c r="G43" s="307"/>
    </row>
    <row r="44" spans="1:7">
      <c r="A44" s="39" t="s">
        <v>115</v>
      </c>
      <c r="C44" s="306"/>
      <c r="D44" s="306"/>
      <c r="E44" s="306"/>
      <c r="F44" s="306"/>
      <c r="G44" s="307"/>
    </row>
    <row r="45" spans="1:7">
      <c r="A45" s="39" t="s">
        <v>1928</v>
      </c>
      <c r="C45" s="306">
        <v>1243.3953029852246</v>
      </c>
      <c r="D45" s="306">
        <v>1243.3953029852246</v>
      </c>
      <c r="E45" s="306">
        <v>1301.1842845923002</v>
      </c>
      <c r="F45" s="306">
        <v>1318.3388531173543</v>
      </c>
      <c r="G45" s="307">
        <v>1336.4959477631078</v>
      </c>
    </row>
    <row r="46" spans="1:7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</row>
    <row r="47" spans="1:7">
      <c r="A47" s="39" t="s">
        <v>1930</v>
      </c>
      <c r="C47" s="306">
        <v>13.07994791936917</v>
      </c>
      <c r="D47" s="306">
        <v>12.619059773525558</v>
      </c>
      <c r="E47" s="306">
        <v>13.07994791936917</v>
      </c>
      <c r="F47" s="306">
        <v>13.252391489080177</v>
      </c>
      <c r="G47" s="307">
        <v>13.434912793053597</v>
      </c>
    </row>
    <row r="48" spans="1:7">
      <c r="A48" s="39" t="s">
        <v>1931</v>
      </c>
      <c r="C48" s="306">
        <v>96.616415236728145</v>
      </c>
      <c r="D48" s="306">
        <v>0</v>
      </c>
      <c r="E48" s="306">
        <v>96.616415236728145</v>
      </c>
      <c r="F48" s="306">
        <v>97.890187857139779</v>
      </c>
      <c r="G48" s="307">
        <v>99.238400724878446</v>
      </c>
    </row>
    <row r="49" spans="1:7">
      <c r="A49" s="39" t="s">
        <v>1932</v>
      </c>
      <c r="C49" s="306">
        <v>6.8806898575947848E-3</v>
      </c>
      <c r="D49" s="306">
        <v>0</v>
      </c>
      <c r="E49" s="306">
        <v>6.8806898575947848E-3</v>
      </c>
      <c r="F49" s="306">
        <v>6.9714035766732007E-3</v>
      </c>
      <c r="G49" s="307">
        <v>7.0674186749585047E-3</v>
      </c>
    </row>
    <row r="50" spans="1:7">
      <c r="A50" s="39" t="s">
        <v>1935</v>
      </c>
      <c r="C50" s="306">
        <v>2.9929550298744566E-2</v>
      </c>
      <c r="D50" s="306">
        <v>0</v>
      </c>
      <c r="E50" s="306">
        <v>2.9699950283758877E-2</v>
      </c>
      <c r="F50" s="306">
        <v>2.9929550298744566E-2</v>
      </c>
      <c r="G50" s="307">
        <v>3.0341761223268357E-2</v>
      </c>
    </row>
    <row r="51" spans="1:7" ht="15" thickBot="1">
      <c r="A51" s="39" t="s">
        <v>1936</v>
      </c>
      <c r="C51" s="306">
        <v>95.47833442119007</v>
      </c>
      <c r="D51" s="306">
        <v>0</v>
      </c>
      <c r="E51" s="306">
        <v>0</v>
      </c>
      <c r="F51" s="306">
        <v>95.47833442119007</v>
      </c>
      <c r="G51" s="307">
        <v>96.793329538420451</v>
      </c>
    </row>
    <row r="52" spans="1:7" ht="15" thickBot="1">
      <c r="A52" s="39" t="s">
        <v>115</v>
      </c>
      <c r="C52" s="314">
        <v>1448.6068108026684</v>
      </c>
      <c r="D52" s="315">
        <v>1256.0143627587502</v>
      </c>
      <c r="E52" s="315">
        <v>1410.9172283885389</v>
      </c>
      <c r="F52" s="315">
        <v>1524.9966678386397</v>
      </c>
      <c r="G52" s="316">
        <v>1545.9999999993586</v>
      </c>
    </row>
    <row r="53" spans="1:7">
      <c r="A53" s="39"/>
      <c r="C53" s="306"/>
      <c r="D53" s="306"/>
      <c r="E53" s="306"/>
      <c r="F53" s="306"/>
      <c r="G53" s="307"/>
    </row>
    <row r="54" spans="1:7">
      <c r="A54" s="39" t="s">
        <v>1939</v>
      </c>
      <c r="C54" s="306"/>
      <c r="D54" s="306">
        <v>57.788981607075272</v>
      </c>
      <c r="E54" s="306">
        <v>18.600875428895908</v>
      </c>
      <c r="F54" s="306">
        <v>21.003332160718372</v>
      </c>
      <c r="G54" s="307">
        <v>97.393189196689548</v>
      </c>
    </row>
    <row r="55" spans="1:7">
      <c r="A55" s="39"/>
      <c r="C55" s="306"/>
      <c r="D55" s="306"/>
      <c r="E55" s="306"/>
      <c r="F55" s="306"/>
      <c r="G55" s="307"/>
    </row>
    <row r="56" spans="1:7">
      <c r="A56" s="39" t="s">
        <v>1940</v>
      </c>
      <c r="C56" s="306"/>
      <c r="D56" s="306"/>
      <c r="E56" s="306"/>
      <c r="F56" s="306"/>
      <c r="G56" s="307"/>
    </row>
    <row r="57" spans="1:7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</row>
    <row r="58" spans="1:7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</row>
    <row r="59" spans="1:7">
      <c r="A59" s="39" t="s">
        <v>1943</v>
      </c>
      <c r="C59" s="308">
        <v>0</v>
      </c>
      <c r="D59" s="306"/>
      <c r="E59" s="306"/>
      <c r="F59" s="308">
        <v>0</v>
      </c>
      <c r="G59" s="309">
        <v>0</v>
      </c>
    </row>
    <row r="60" spans="1:7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</row>
    <row r="61" spans="1:7">
      <c r="A61" s="102"/>
      <c r="C61" s="306"/>
      <c r="D61" s="306"/>
      <c r="E61" s="306"/>
      <c r="F61" s="306"/>
      <c r="G61" s="307"/>
    </row>
    <row r="62" spans="1:7">
      <c r="A62" s="39" t="s">
        <v>1944</v>
      </c>
      <c r="C62" s="303">
        <v>0</v>
      </c>
      <c r="D62" s="312"/>
      <c r="E62" s="312"/>
      <c r="F62" s="304">
        <v>0</v>
      </c>
      <c r="G62" s="305">
        <v>0</v>
      </c>
    </row>
    <row r="63" spans="1:7">
      <c r="A63" s="39"/>
      <c r="C63" s="306"/>
      <c r="D63" s="306"/>
      <c r="E63" s="306"/>
      <c r="F63" s="306"/>
      <c r="G63" s="307"/>
    </row>
    <row r="64" spans="1:7">
      <c r="A64" s="39" t="s">
        <v>1945</v>
      </c>
      <c r="C64" s="306"/>
      <c r="D64" s="306">
        <v>0</v>
      </c>
      <c r="E64" s="306">
        <v>0</v>
      </c>
      <c r="F64" s="306">
        <v>0</v>
      </c>
      <c r="G64" s="307">
        <v>0</v>
      </c>
    </row>
    <row r="65" spans="1:7" ht="15" thickBot="1">
      <c r="A65" s="39"/>
      <c r="C65" s="306"/>
      <c r="D65" s="306"/>
      <c r="E65" s="306"/>
      <c r="F65" s="306"/>
      <c r="G65" s="307"/>
    </row>
    <row r="66" spans="1:7" ht="15" thickBot="1">
      <c r="A66" s="39" t="s">
        <v>115</v>
      </c>
      <c r="C66" s="314">
        <v>1448.6068108026684</v>
      </c>
      <c r="D66" s="315">
        <v>1256.0143627587502</v>
      </c>
      <c r="E66" s="315">
        <v>1410.9172283885389</v>
      </c>
      <c r="F66" s="315">
        <v>1524.9966678386397</v>
      </c>
      <c r="G66" s="316">
        <v>1545.9999999993586</v>
      </c>
    </row>
    <row r="67" spans="1:7">
      <c r="A67" s="39"/>
      <c r="C67" s="306"/>
      <c r="D67" s="306"/>
      <c r="E67" s="306"/>
      <c r="F67" s="306"/>
      <c r="G67" s="307"/>
    </row>
    <row r="68" spans="1:7" ht="15" thickBot="1">
      <c r="A68" s="82" t="s">
        <v>1946</v>
      </c>
      <c r="B68" s="32"/>
      <c r="C68" s="317"/>
      <c r="D68" s="318">
        <v>57.788981607075279</v>
      </c>
      <c r="E68" s="318">
        <v>18.600875428895908</v>
      </c>
      <c r="F68" s="318">
        <v>21.003332160718372</v>
      </c>
      <c r="G68" s="319">
        <v>97.393189196689562</v>
      </c>
    </row>
    <row r="69" spans="1:7" ht="15" thickBot="1">
      <c r="A69" s="62"/>
      <c r="C69" s="101"/>
      <c r="D69" s="101"/>
      <c r="E69" s="101"/>
      <c r="F69" s="101"/>
      <c r="G69" s="101"/>
    </row>
    <row r="70" spans="1:7" ht="15" thickBot="1">
      <c r="A70" s="89" t="s">
        <v>9241</v>
      </c>
      <c r="B70" s="103"/>
      <c r="C70" s="103"/>
      <c r="D70" s="103"/>
      <c r="E70" s="103"/>
      <c r="F70" s="103"/>
      <c r="G70" s="91"/>
    </row>
    <row r="71" spans="1:7">
      <c r="A71" s="104"/>
      <c r="B71" s="93"/>
      <c r="C71" s="93"/>
      <c r="D71" s="93"/>
      <c r="E71" s="93"/>
      <c r="F71" s="93"/>
      <c r="G71" s="94"/>
    </row>
    <row r="72" spans="1:7">
      <c r="A72" s="39"/>
      <c r="B72" s="62"/>
      <c r="C72" s="62"/>
      <c r="D72" s="62"/>
      <c r="E72" s="60" t="s">
        <v>1912</v>
      </c>
      <c r="F72" s="62"/>
      <c r="G72" s="43"/>
    </row>
    <row r="73" spans="1:7">
      <c r="A73" s="98"/>
      <c r="B73" s="96"/>
      <c r="C73" s="96"/>
      <c r="D73" s="96"/>
      <c r="E73" s="96"/>
      <c r="F73" s="96"/>
      <c r="G73" s="97"/>
    </row>
    <row r="74" spans="1:7">
      <c r="A74" s="30"/>
      <c r="C74" s="60" t="s">
        <v>1913</v>
      </c>
      <c r="D74" s="60" t="s">
        <v>1914</v>
      </c>
      <c r="E74" s="60" t="s">
        <v>1915</v>
      </c>
      <c r="F74" s="60" t="s">
        <v>1916</v>
      </c>
      <c r="G74" s="40" t="s">
        <v>1917</v>
      </c>
    </row>
    <row r="75" spans="1:7">
      <c r="A75" s="39" t="s">
        <v>1918</v>
      </c>
      <c r="C75" s="60" t="s">
        <v>1919</v>
      </c>
      <c r="D75" s="60" t="s">
        <v>1920</v>
      </c>
      <c r="E75" s="60" t="s">
        <v>1920</v>
      </c>
      <c r="F75" s="60" t="s">
        <v>1920</v>
      </c>
      <c r="G75" s="40" t="s">
        <v>1921</v>
      </c>
    </row>
    <row r="76" spans="1:7">
      <c r="A76" s="39"/>
      <c r="D76" s="99"/>
      <c r="E76" s="99" t="s">
        <v>1979</v>
      </c>
      <c r="F76" s="99"/>
      <c r="G76" s="100"/>
    </row>
    <row r="77" spans="1:7">
      <c r="A77" s="39" t="s">
        <v>1923</v>
      </c>
      <c r="C77" s="29"/>
      <c r="D77" s="29"/>
      <c r="E77" s="299">
        <v>1.0464767572053166</v>
      </c>
      <c r="F77" s="299">
        <v>1.0131838116461953</v>
      </c>
      <c r="G77" s="300">
        <v>1.0137727069203937</v>
      </c>
    </row>
    <row r="78" spans="1:7">
      <c r="A78" s="39" t="s">
        <v>1924</v>
      </c>
      <c r="C78" s="29"/>
      <c r="D78" s="301">
        <v>0.96476376292285415</v>
      </c>
      <c r="E78" s="301">
        <v>0.99232865135981274</v>
      </c>
      <c r="F78" s="29"/>
      <c r="G78" s="302"/>
    </row>
    <row r="79" spans="1:7">
      <c r="A79" s="39"/>
      <c r="C79" s="29"/>
      <c r="D79" s="29"/>
      <c r="E79" s="29"/>
      <c r="F79" s="29"/>
      <c r="G79" s="302"/>
    </row>
    <row r="80" spans="1:7">
      <c r="A80" s="39" t="s">
        <v>1925</v>
      </c>
      <c r="C80" s="29"/>
      <c r="D80" s="29"/>
      <c r="E80" s="29"/>
      <c r="F80" s="29"/>
      <c r="G80" s="302"/>
    </row>
    <row r="81" spans="1:7">
      <c r="A81" s="39" t="s">
        <v>1926</v>
      </c>
      <c r="B81" s="96"/>
      <c r="C81" s="303">
        <v>543.90513056010127</v>
      </c>
      <c r="D81" s="304">
        <v>543.90513056010127</v>
      </c>
      <c r="E81" s="304">
        <v>569.18407725586917</v>
      </c>
      <c r="F81" s="304">
        <v>576.68809292242406</v>
      </c>
      <c r="G81" s="305">
        <v>584.63064901072539</v>
      </c>
    </row>
    <row r="82" spans="1:7">
      <c r="A82" s="39"/>
      <c r="C82" s="306"/>
      <c r="D82" s="306"/>
      <c r="E82" s="306"/>
      <c r="F82" s="306"/>
      <c r="G82" s="307"/>
    </row>
    <row r="83" spans="1:7">
      <c r="A83" s="39" t="s">
        <v>1927</v>
      </c>
      <c r="C83" s="306"/>
      <c r="D83" s="306"/>
      <c r="E83" s="306"/>
      <c r="F83" s="306"/>
      <c r="G83" s="307"/>
    </row>
    <row r="84" spans="1:7">
      <c r="A84" s="39" t="s">
        <v>1928</v>
      </c>
      <c r="B84" s="96"/>
      <c r="C84" s="308">
        <v>64.199815995946437</v>
      </c>
      <c r="D84" s="308">
        <v>64.199815995946437</v>
      </c>
      <c r="E84" s="308">
        <v>67.183615256616037</v>
      </c>
      <c r="F84" s="308">
        <v>68.069351385869709</v>
      </c>
      <c r="G84" s="309">
        <v>69.006850612768588</v>
      </c>
    </row>
    <row r="85" spans="1:7">
      <c r="A85" s="39" t="s">
        <v>1929</v>
      </c>
      <c r="B85" s="96"/>
      <c r="C85" s="308">
        <v>0</v>
      </c>
      <c r="D85" s="308">
        <v>0</v>
      </c>
      <c r="E85" s="308">
        <v>0</v>
      </c>
      <c r="F85" s="308">
        <v>0</v>
      </c>
      <c r="G85" s="309">
        <v>0</v>
      </c>
    </row>
    <row r="86" spans="1:7">
      <c r="A86" s="39" t="s">
        <v>1930</v>
      </c>
      <c r="B86" s="96"/>
      <c r="C86" s="308">
        <v>1.1355895641207469E-2</v>
      </c>
      <c r="D86" s="310">
        <v>1.0955756610170555E-2</v>
      </c>
      <c r="E86" s="308">
        <v>1.1355895641207469E-2</v>
      </c>
      <c r="F86" s="308">
        <v>1.1505609630414998E-2</v>
      </c>
      <c r="G86" s="309">
        <v>1.1664073019795163E-2</v>
      </c>
    </row>
    <row r="87" spans="1:7">
      <c r="A87" s="39" t="s">
        <v>1931</v>
      </c>
      <c r="B87" s="96"/>
      <c r="C87" s="308">
        <v>9.2070493769605202E-3</v>
      </c>
      <c r="D87" s="306"/>
      <c r="E87" s="308">
        <v>9.2070493769605202E-3</v>
      </c>
      <c r="F87" s="308">
        <v>9.3284333817635883E-3</v>
      </c>
      <c r="G87" s="309">
        <v>9.4569111607570346E-3</v>
      </c>
    </row>
    <row r="88" spans="1:7">
      <c r="A88" s="39" t="s">
        <v>1932</v>
      </c>
      <c r="B88" s="96"/>
      <c r="C88" s="308">
        <v>0</v>
      </c>
      <c r="D88" s="306"/>
      <c r="E88" s="308">
        <v>0</v>
      </c>
      <c r="F88" s="308">
        <v>0</v>
      </c>
      <c r="G88" s="309">
        <v>0</v>
      </c>
    </row>
    <row r="89" spans="1:7">
      <c r="A89" s="39" t="s">
        <v>1933</v>
      </c>
      <c r="B89" s="96"/>
      <c r="C89" s="311">
        <v>64.220378940964594</v>
      </c>
      <c r="D89" s="312">
        <v>64.21077175255661</v>
      </c>
      <c r="E89" s="312">
        <v>67.204178201634193</v>
      </c>
      <c r="F89" s="312">
        <v>68.090185428881895</v>
      </c>
      <c r="G89" s="313">
        <v>69.027971596949143</v>
      </c>
    </row>
    <row r="90" spans="1:7">
      <c r="A90" s="39"/>
      <c r="C90" s="306"/>
      <c r="D90" s="306"/>
      <c r="E90" s="306"/>
      <c r="F90" s="306"/>
      <c r="G90" s="307"/>
    </row>
    <row r="91" spans="1:7">
      <c r="A91" s="39" t="s">
        <v>1934</v>
      </c>
      <c r="C91" s="306"/>
      <c r="D91" s="306"/>
      <c r="E91" s="306"/>
      <c r="F91" s="306"/>
      <c r="G91" s="307"/>
    </row>
    <row r="92" spans="1:7">
      <c r="A92" s="39" t="s">
        <v>1928</v>
      </c>
      <c r="B92" s="96"/>
      <c r="C92" s="308">
        <v>609.52035642917701</v>
      </c>
      <c r="D92" s="308">
        <v>609.52035642917701</v>
      </c>
      <c r="E92" s="308">
        <v>637.84888604663388</v>
      </c>
      <c r="F92" s="308">
        <v>646.2581656190082</v>
      </c>
      <c r="G92" s="309">
        <v>655.15888992898999</v>
      </c>
    </row>
    <row r="93" spans="1:7">
      <c r="A93" s="39" t="s">
        <v>1929</v>
      </c>
      <c r="B93" s="96"/>
      <c r="C93" s="308">
        <v>0</v>
      </c>
      <c r="D93" s="308">
        <v>0</v>
      </c>
      <c r="E93" s="308">
        <v>0</v>
      </c>
      <c r="F93" s="308">
        <v>0</v>
      </c>
      <c r="G93" s="309">
        <v>0</v>
      </c>
    </row>
    <row r="94" spans="1:7">
      <c r="A94" s="39" t="s">
        <v>1930</v>
      </c>
      <c r="B94" s="96"/>
      <c r="C94" s="308">
        <v>13.068492023727963</v>
      </c>
      <c r="D94" s="308">
        <v>12.608007540539095</v>
      </c>
      <c r="E94" s="308">
        <v>13.068492023727963</v>
      </c>
      <c r="F94" s="308">
        <v>13.240784561068597</v>
      </c>
      <c r="G94" s="309">
        <v>13.423146006224268</v>
      </c>
    </row>
    <row r="95" spans="1:7">
      <c r="A95" s="39" t="s">
        <v>1931</v>
      </c>
      <c r="B95" s="96"/>
      <c r="C95" s="308">
        <v>5.6201369749679913</v>
      </c>
      <c r="D95" s="306"/>
      <c r="E95" s="308">
        <v>5.6201369749679913</v>
      </c>
      <c r="F95" s="308">
        <v>5.694231802271787</v>
      </c>
      <c r="G95" s="309">
        <v>5.7726567880212611</v>
      </c>
    </row>
    <row r="96" spans="1:7">
      <c r="A96" s="39" t="s">
        <v>1932</v>
      </c>
      <c r="B96" s="96"/>
      <c r="C96" s="308">
        <v>6.7806898575947846E-3</v>
      </c>
      <c r="D96" s="306"/>
      <c r="E96" s="308">
        <v>6.7806898575947846E-3</v>
      </c>
      <c r="F96" s="308">
        <v>6.8700851955085813E-3</v>
      </c>
      <c r="G96" s="309">
        <v>6.9647048654244564E-3</v>
      </c>
    </row>
    <row r="97" spans="1:7">
      <c r="A97" s="39" t="s">
        <v>1935</v>
      </c>
      <c r="B97" s="96"/>
      <c r="C97" s="308">
        <v>2.9829550298744567E-2</v>
      </c>
      <c r="D97" s="306"/>
      <c r="E97" s="308">
        <v>2.9600717418622895E-2</v>
      </c>
      <c r="F97" s="308">
        <v>2.9829550298744567E-2</v>
      </c>
      <c r="G97" s="309">
        <v>3.0240383952576319E-2</v>
      </c>
    </row>
    <row r="98" spans="1:7">
      <c r="A98" s="39" t="s">
        <v>1936</v>
      </c>
      <c r="B98" s="96"/>
      <c r="C98" s="308">
        <v>5.5405633573267839E-2</v>
      </c>
      <c r="D98" s="306"/>
      <c r="E98" s="306"/>
      <c r="F98" s="308">
        <v>5.5405633573267839E-2</v>
      </c>
      <c r="G98" s="309">
        <v>5.6168719126211179E-2</v>
      </c>
    </row>
    <row r="99" spans="1:7">
      <c r="A99" s="39" t="s">
        <v>1933</v>
      </c>
      <c r="B99" s="96"/>
      <c r="C99" s="311">
        <v>628.30100130160247</v>
      </c>
      <c r="D99" s="312">
        <v>622.12836396971613</v>
      </c>
      <c r="E99" s="312">
        <v>656.57389645260594</v>
      </c>
      <c r="F99" s="312">
        <v>665.28528725141609</v>
      </c>
      <c r="G99" s="313">
        <v>674.44806653117951</v>
      </c>
    </row>
    <row r="100" spans="1:7">
      <c r="A100" s="39"/>
      <c r="C100" s="306"/>
      <c r="D100" s="306"/>
      <c r="E100" s="306"/>
      <c r="F100" s="306"/>
      <c r="G100" s="307"/>
    </row>
    <row r="101" spans="1:7">
      <c r="A101" s="39" t="s">
        <v>1937</v>
      </c>
      <c r="C101" s="306"/>
      <c r="D101" s="306"/>
      <c r="E101" s="306"/>
      <c r="F101" s="306"/>
      <c r="G101" s="307"/>
    </row>
    <row r="102" spans="1:7">
      <c r="A102" s="39" t="s">
        <v>1930</v>
      </c>
      <c r="B102" s="96"/>
      <c r="C102" s="308">
        <v>1E-4</v>
      </c>
      <c r="D102" s="308">
        <v>9.647637629228542E-5</v>
      </c>
      <c r="E102" s="308">
        <v>1E-4</v>
      </c>
      <c r="F102" s="308">
        <v>1.0131838116461954E-4</v>
      </c>
      <c r="G102" s="309">
        <v>1.0271380953404858E-4</v>
      </c>
    </row>
    <row r="103" spans="1:7">
      <c r="A103" s="39" t="s">
        <v>1931</v>
      </c>
      <c r="B103" s="96"/>
      <c r="C103" s="308">
        <v>90.987071212383199</v>
      </c>
      <c r="D103" s="306"/>
      <c r="E103" s="308">
        <v>90.987071212383199</v>
      </c>
      <c r="F103" s="308">
        <v>92.186627621486224</v>
      </c>
      <c r="G103" s="309">
        <v>93.456287025696426</v>
      </c>
    </row>
    <row r="104" spans="1:7">
      <c r="A104" s="39" t="s">
        <v>1932</v>
      </c>
      <c r="B104" s="96"/>
      <c r="C104" s="308">
        <v>1E-4</v>
      </c>
      <c r="D104" s="306"/>
      <c r="E104" s="308">
        <v>1E-4</v>
      </c>
      <c r="F104" s="308">
        <v>1.0131838116461954E-4</v>
      </c>
      <c r="G104" s="309">
        <v>1.0271380953404858E-4</v>
      </c>
    </row>
    <row r="105" spans="1:7">
      <c r="A105" s="39" t="s">
        <v>1935</v>
      </c>
      <c r="B105" s="96"/>
      <c r="C105" s="308">
        <v>1E-4</v>
      </c>
      <c r="D105" s="306"/>
      <c r="E105" s="308">
        <v>9.9232865135981274E-5</v>
      </c>
      <c r="F105" s="308">
        <v>1E-4</v>
      </c>
      <c r="G105" s="309">
        <v>1.0137727069203937E-4</v>
      </c>
    </row>
    <row r="106" spans="1:7">
      <c r="A106" s="39" t="s">
        <v>1936</v>
      </c>
      <c r="B106" s="96"/>
      <c r="C106" s="308">
        <v>95.422928787616797</v>
      </c>
      <c r="D106" s="306"/>
      <c r="E106" s="306"/>
      <c r="F106" s="308">
        <v>95.422928787616797</v>
      </c>
      <c r="G106" s="309">
        <v>96.737160819294246</v>
      </c>
    </row>
    <row r="107" spans="1:7">
      <c r="A107" s="39" t="s">
        <v>1933</v>
      </c>
      <c r="B107" s="96"/>
      <c r="C107" s="311">
        <v>186.41030000000001</v>
      </c>
      <c r="D107" s="312">
        <v>9.647637629228542E-5</v>
      </c>
      <c r="E107" s="312">
        <v>90.987370445248345</v>
      </c>
      <c r="F107" s="312">
        <v>187.60985904586536</v>
      </c>
      <c r="G107" s="313">
        <v>190.19375464988045</v>
      </c>
    </row>
    <row r="108" spans="1:7">
      <c r="A108" s="39"/>
      <c r="C108" s="306"/>
      <c r="D108" s="306"/>
      <c r="E108" s="306"/>
      <c r="F108" s="306"/>
      <c r="G108" s="307"/>
    </row>
    <row r="109" spans="1:7">
      <c r="A109" s="39" t="s">
        <v>1938</v>
      </c>
      <c r="C109" s="306"/>
      <c r="D109" s="306"/>
      <c r="E109" s="306"/>
      <c r="F109" s="306"/>
      <c r="G109" s="307"/>
    </row>
    <row r="110" spans="1:7">
      <c r="A110" s="39" t="s">
        <v>1926</v>
      </c>
      <c r="B110" s="96"/>
      <c r="C110" s="303">
        <v>25.77</v>
      </c>
      <c r="D110" s="304">
        <v>25.77</v>
      </c>
      <c r="E110" s="304">
        <v>26.96770603318101</v>
      </c>
      <c r="F110" s="304">
        <v>27.323243190052434</v>
      </c>
      <c r="G110" s="305">
        <v>27.699558210623668</v>
      </c>
    </row>
    <row r="111" spans="1:7">
      <c r="A111" s="39"/>
      <c r="C111" s="306"/>
      <c r="D111" s="306"/>
      <c r="E111" s="306"/>
      <c r="F111" s="306"/>
      <c r="G111" s="307"/>
    </row>
    <row r="112" spans="1:7">
      <c r="A112" s="39" t="s">
        <v>115</v>
      </c>
      <c r="C112" s="306"/>
      <c r="D112" s="306"/>
      <c r="E112" s="306"/>
      <c r="F112" s="306"/>
      <c r="G112" s="307"/>
    </row>
    <row r="113" spans="1:7">
      <c r="A113" s="39" t="s">
        <v>1928</v>
      </c>
      <c r="C113" s="306">
        <v>1243.3953029852246</v>
      </c>
      <c r="D113" s="306">
        <v>1243.3953029852246</v>
      </c>
      <c r="E113" s="306">
        <v>1301.1842845923002</v>
      </c>
      <c r="F113" s="306">
        <v>1318.3388531173543</v>
      </c>
      <c r="G113" s="307">
        <v>1336.4959477631078</v>
      </c>
    </row>
    <row r="114" spans="1:7">
      <c r="A114" s="39" t="s">
        <v>1929</v>
      </c>
      <c r="C114" s="306">
        <v>0</v>
      </c>
      <c r="D114" s="306">
        <v>0</v>
      </c>
      <c r="E114" s="306">
        <v>0</v>
      </c>
      <c r="F114" s="306">
        <v>0</v>
      </c>
      <c r="G114" s="307">
        <v>0</v>
      </c>
    </row>
    <row r="115" spans="1:7">
      <c r="A115" s="39" t="s">
        <v>1930</v>
      </c>
      <c r="C115" s="306">
        <v>13.07994791936917</v>
      </c>
      <c r="D115" s="306">
        <v>12.619059773525558</v>
      </c>
      <c r="E115" s="306">
        <v>13.07994791936917</v>
      </c>
      <c r="F115" s="306">
        <v>13.252391489080177</v>
      </c>
      <c r="G115" s="307">
        <v>13.434912793053597</v>
      </c>
    </row>
    <row r="116" spans="1:7">
      <c r="A116" s="39" t="s">
        <v>1931</v>
      </c>
      <c r="C116" s="306">
        <v>96.616415236728145</v>
      </c>
      <c r="D116" s="306">
        <v>0</v>
      </c>
      <c r="E116" s="306">
        <v>96.616415236728145</v>
      </c>
      <c r="F116" s="306">
        <v>97.890187857139779</v>
      </c>
      <c r="G116" s="307">
        <v>99.238400724878446</v>
      </c>
    </row>
    <row r="117" spans="1:7">
      <c r="A117" s="39" t="s">
        <v>1932</v>
      </c>
      <c r="C117" s="306">
        <v>6.8806898575947848E-3</v>
      </c>
      <c r="D117" s="306">
        <v>0</v>
      </c>
      <c r="E117" s="306">
        <v>6.8806898575947848E-3</v>
      </c>
      <c r="F117" s="306">
        <v>6.9714035766732007E-3</v>
      </c>
      <c r="G117" s="307">
        <v>7.0674186749585047E-3</v>
      </c>
    </row>
    <row r="118" spans="1:7">
      <c r="A118" s="39" t="s">
        <v>1935</v>
      </c>
      <c r="C118" s="306">
        <v>2.9929550298744566E-2</v>
      </c>
      <c r="D118" s="306">
        <v>0</v>
      </c>
      <c r="E118" s="306">
        <v>2.9699950283758877E-2</v>
      </c>
      <c r="F118" s="306">
        <v>2.9929550298744566E-2</v>
      </c>
      <c r="G118" s="307">
        <v>3.0341761223268357E-2</v>
      </c>
    </row>
    <row r="119" spans="1:7" ht="15" thickBot="1">
      <c r="A119" s="39" t="s">
        <v>1936</v>
      </c>
      <c r="C119" s="306">
        <v>95.47833442119007</v>
      </c>
      <c r="D119" s="306">
        <v>0</v>
      </c>
      <c r="E119" s="306">
        <v>0</v>
      </c>
      <c r="F119" s="306">
        <v>95.47833442119007</v>
      </c>
      <c r="G119" s="307">
        <v>96.793329538420451</v>
      </c>
    </row>
    <row r="120" spans="1:7" ht="15" thickBot="1">
      <c r="A120" s="39" t="s">
        <v>115</v>
      </c>
      <c r="C120" s="314">
        <v>1448.6068108026684</v>
      </c>
      <c r="D120" s="315">
        <v>1256.0143627587502</v>
      </c>
      <c r="E120" s="315">
        <v>1410.9172283885389</v>
      </c>
      <c r="F120" s="315">
        <v>1524.9966678386397</v>
      </c>
      <c r="G120" s="316">
        <v>1545.9999999993586</v>
      </c>
    </row>
    <row r="121" spans="1:7">
      <c r="A121" s="39"/>
      <c r="C121" s="306"/>
      <c r="D121" s="306"/>
      <c r="E121" s="306"/>
      <c r="F121" s="306"/>
      <c r="G121" s="307"/>
    </row>
    <row r="122" spans="1:7">
      <c r="A122" s="39" t="s">
        <v>1939</v>
      </c>
      <c r="C122" s="306"/>
      <c r="D122" s="306">
        <v>57.788981607075272</v>
      </c>
      <c r="E122" s="306">
        <v>18.600875428895908</v>
      </c>
      <c r="F122" s="306">
        <v>21.003332160718372</v>
      </c>
      <c r="G122" s="307">
        <v>97.393189196689548</v>
      </c>
    </row>
    <row r="123" spans="1:7">
      <c r="A123" s="39"/>
      <c r="C123" s="306"/>
      <c r="D123" s="306"/>
      <c r="E123" s="306"/>
      <c r="F123" s="306"/>
      <c r="G123" s="307"/>
    </row>
    <row r="124" spans="1:7">
      <c r="A124" s="39" t="s">
        <v>1940</v>
      </c>
      <c r="C124" s="306"/>
      <c r="D124" s="306"/>
      <c r="E124" s="306"/>
      <c r="F124" s="306"/>
      <c r="G124" s="307"/>
    </row>
    <row r="125" spans="1:7">
      <c r="A125" s="39" t="s">
        <v>1941</v>
      </c>
      <c r="C125" s="308">
        <v>0</v>
      </c>
      <c r="D125" s="306"/>
      <c r="E125" s="306"/>
      <c r="F125" s="308">
        <v>0</v>
      </c>
      <c r="G125" s="309">
        <v>0</v>
      </c>
    </row>
    <row r="126" spans="1:7">
      <c r="A126" s="39" t="s">
        <v>1942</v>
      </c>
      <c r="C126" s="308">
        <v>0</v>
      </c>
      <c r="D126" s="306"/>
      <c r="E126" s="306"/>
      <c r="F126" s="308">
        <v>0</v>
      </c>
      <c r="G126" s="309">
        <v>0</v>
      </c>
    </row>
    <row r="127" spans="1:7">
      <c r="A127" s="39" t="s">
        <v>1943</v>
      </c>
      <c r="C127" s="308">
        <v>0</v>
      </c>
      <c r="D127" s="306"/>
      <c r="E127" s="306"/>
      <c r="F127" s="308">
        <v>0</v>
      </c>
      <c r="G127" s="309">
        <v>0</v>
      </c>
    </row>
    <row r="128" spans="1:7">
      <c r="A128" s="39" t="s">
        <v>1933</v>
      </c>
      <c r="C128" s="311">
        <v>0</v>
      </c>
      <c r="D128" s="312"/>
      <c r="E128" s="312"/>
      <c r="F128" s="312">
        <v>0</v>
      </c>
      <c r="G128" s="313">
        <v>0</v>
      </c>
    </row>
    <row r="129" spans="1:7">
      <c r="A129" s="102"/>
      <c r="C129" s="306"/>
      <c r="D129" s="306"/>
      <c r="E129" s="306"/>
      <c r="F129" s="306"/>
      <c r="G129" s="307"/>
    </row>
    <row r="130" spans="1:7">
      <c r="A130" s="39" t="s">
        <v>1944</v>
      </c>
      <c r="C130" s="303">
        <v>0</v>
      </c>
      <c r="D130" s="312"/>
      <c r="E130" s="312"/>
      <c r="F130" s="304">
        <v>0</v>
      </c>
      <c r="G130" s="305">
        <v>0</v>
      </c>
    </row>
    <row r="131" spans="1:7">
      <c r="A131" s="39"/>
      <c r="C131" s="306"/>
      <c r="D131" s="306"/>
      <c r="E131" s="306"/>
      <c r="F131" s="306"/>
      <c r="G131" s="307"/>
    </row>
    <row r="132" spans="1:7">
      <c r="A132" s="39" t="s">
        <v>1945</v>
      </c>
      <c r="C132" s="306"/>
      <c r="D132" s="306">
        <v>0</v>
      </c>
      <c r="E132" s="306">
        <v>0</v>
      </c>
      <c r="F132" s="306">
        <v>0</v>
      </c>
      <c r="G132" s="307">
        <v>0</v>
      </c>
    </row>
    <row r="133" spans="1:7" ht="15" thickBot="1">
      <c r="A133" s="39"/>
      <c r="C133" s="306"/>
      <c r="D133" s="306"/>
      <c r="E133" s="306"/>
      <c r="F133" s="306"/>
      <c r="G133" s="307"/>
    </row>
    <row r="134" spans="1:7" ht="15" thickBot="1">
      <c r="A134" s="39" t="s">
        <v>115</v>
      </c>
      <c r="C134" s="314">
        <v>1448.6068108026684</v>
      </c>
      <c r="D134" s="315">
        <v>1256.0143627587502</v>
      </c>
      <c r="E134" s="315">
        <v>1410.9172283885389</v>
      </c>
      <c r="F134" s="315">
        <v>1524.9966678386397</v>
      </c>
      <c r="G134" s="316">
        <v>1545.9999999993586</v>
      </c>
    </row>
    <row r="135" spans="1:7">
      <c r="A135" s="39"/>
      <c r="C135" s="306"/>
      <c r="D135" s="306"/>
      <c r="E135" s="306"/>
      <c r="F135" s="306"/>
      <c r="G135" s="307"/>
    </row>
    <row r="136" spans="1:7" ht="15" thickBot="1">
      <c r="A136" s="82" t="s">
        <v>1946</v>
      </c>
      <c r="B136" s="32"/>
      <c r="C136" s="317"/>
      <c r="D136" s="318">
        <v>57.788981607075279</v>
      </c>
      <c r="E136" s="318">
        <v>18.600875428895908</v>
      </c>
      <c r="F136" s="318">
        <v>21.003332160718372</v>
      </c>
      <c r="G136" s="319">
        <v>97.393189196689562</v>
      </c>
    </row>
    <row r="137" spans="1:7" ht="15" thickBot="1"/>
    <row r="138" spans="1:7" ht="15" thickBot="1">
      <c r="A138" s="105" t="s">
        <v>9242</v>
      </c>
      <c r="B138" s="106"/>
      <c r="C138" s="106"/>
      <c r="D138" s="106"/>
      <c r="E138" s="106"/>
      <c r="F138" s="106"/>
      <c r="G138" s="107"/>
    </row>
    <row r="139" spans="1:7">
      <c r="A139" s="30"/>
      <c r="B139" s="93"/>
      <c r="C139" s="93"/>
      <c r="D139" s="93"/>
      <c r="E139" s="93"/>
      <c r="F139" s="93"/>
      <c r="G139" s="94"/>
    </row>
    <row r="140" spans="1:7">
      <c r="A140" s="39"/>
      <c r="B140" s="62"/>
      <c r="C140" s="62"/>
      <c r="D140" s="62"/>
      <c r="E140" s="60" t="s">
        <v>1912</v>
      </c>
      <c r="F140" s="62"/>
      <c r="G140" s="43"/>
    </row>
    <row r="141" spans="1:7">
      <c r="A141" s="98"/>
      <c r="B141" s="96"/>
      <c r="C141" s="96"/>
      <c r="D141" s="96"/>
      <c r="E141" s="96"/>
      <c r="F141" s="96"/>
      <c r="G141" s="97"/>
    </row>
    <row r="142" spans="1:7">
      <c r="A142" s="30"/>
      <c r="C142" s="60" t="s">
        <v>1913</v>
      </c>
      <c r="D142" s="60" t="s">
        <v>1914</v>
      </c>
      <c r="E142" s="60" t="s">
        <v>1915</v>
      </c>
      <c r="F142" s="60" t="s">
        <v>1916</v>
      </c>
      <c r="G142" s="40" t="s">
        <v>1917</v>
      </c>
    </row>
    <row r="143" spans="1:7">
      <c r="A143" s="39" t="s">
        <v>1918</v>
      </c>
      <c r="C143" s="60" t="s">
        <v>1919</v>
      </c>
      <c r="D143" s="60" t="s">
        <v>1920</v>
      </c>
      <c r="E143" s="60" t="s">
        <v>1920</v>
      </c>
      <c r="F143" s="60" t="s">
        <v>1920</v>
      </c>
      <c r="G143" s="40" t="s">
        <v>1921</v>
      </c>
    </row>
    <row r="144" spans="1:7">
      <c r="A144" s="39"/>
      <c r="D144" s="99"/>
      <c r="E144" s="99" t="s">
        <v>1979</v>
      </c>
      <c r="F144" s="99"/>
      <c r="G144" s="100"/>
    </row>
    <row r="145" spans="1:7">
      <c r="A145" s="39" t="s">
        <v>1923</v>
      </c>
      <c r="C145" s="29"/>
      <c r="D145" s="29"/>
      <c r="E145" s="299">
        <v>1.0492642209860277</v>
      </c>
      <c r="F145" s="299">
        <v>1.0131681866489024</v>
      </c>
      <c r="G145" s="300">
        <v>1.0133615555362638</v>
      </c>
    </row>
    <row r="146" spans="1:7">
      <c r="A146" s="39" t="s">
        <v>1924</v>
      </c>
      <c r="C146" s="29"/>
      <c r="D146" s="301">
        <v>0.96233147894562565</v>
      </c>
      <c r="E146" s="301">
        <v>0.9919618756365185</v>
      </c>
      <c r="F146" s="29"/>
      <c r="G146" s="302"/>
    </row>
    <row r="147" spans="1:7">
      <c r="A147" s="39"/>
      <c r="C147" s="29"/>
      <c r="D147" s="29"/>
      <c r="E147" s="29"/>
      <c r="F147" s="29"/>
      <c r="G147" s="302"/>
    </row>
    <row r="148" spans="1:7">
      <c r="A148" s="39" t="s">
        <v>1925</v>
      </c>
      <c r="C148" s="29"/>
      <c r="D148" s="29"/>
      <c r="E148" s="29"/>
      <c r="F148" s="29"/>
      <c r="G148" s="302"/>
    </row>
    <row r="149" spans="1:7">
      <c r="A149" s="39" t="s">
        <v>1926</v>
      </c>
      <c r="B149" s="96"/>
      <c r="C149" s="303">
        <v>515.60944484489437</v>
      </c>
      <c r="D149" s="304">
        <v>515.60944484489437</v>
      </c>
      <c r="E149" s="304">
        <v>541.01054247821628</v>
      </c>
      <c r="F149" s="304">
        <v>548.13467028059335</v>
      </c>
      <c r="G149" s="305">
        <v>555.45860211889919</v>
      </c>
    </row>
    <row r="150" spans="1:7">
      <c r="A150" s="39"/>
      <c r="C150" s="306"/>
      <c r="D150" s="306"/>
      <c r="E150" s="306"/>
      <c r="F150" s="306"/>
      <c r="G150" s="307"/>
    </row>
    <row r="151" spans="1:7">
      <c r="A151" s="39" t="s">
        <v>1927</v>
      </c>
      <c r="C151" s="306"/>
      <c r="D151" s="306"/>
      <c r="E151" s="306"/>
      <c r="F151" s="306"/>
      <c r="G151" s="307"/>
    </row>
    <row r="152" spans="1:7">
      <c r="A152" s="39" t="s">
        <v>1928</v>
      </c>
      <c r="B152" s="96"/>
      <c r="C152" s="308">
        <v>63.716370841501302</v>
      </c>
      <c r="D152" s="308">
        <v>63.716370841501302</v>
      </c>
      <c r="E152" s="308">
        <v>66.85530821506471</v>
      </c>
      <c r="F152" s="308">
        <v>67.735671392110575</v>
      </c>
      <c r="G152" s="309">
        <v>68.640725327202375</v>
      </c>
    </row>
    <row r="153" spans="1:7">
      <c r="A153" s="39" t="s">
        <v>1929</v>
      </c>
      <c r="B153" s="96"/>
      <c r="C153" s="308">
        <v>0</v>
      </c>
      <c r="D153" s="308">
        <v>0</v>
      </c>
      <c r="E153" s="308">
        <v>0</v>
      </c>
      <c r="F153" s="308">
        <v>0</v>
      </c>
      <c r="G153" s="309">
        <v>0</v>
      </c>
    </row>
    <row r="154" spans="1:7">
      <c r="A154" s="39" t="s">
        <v>1930</v>
      </c>
      <c r="B154" s="96"/>
      <c r="C154" s="308">
        <v>1.1270382113840459E-2</v>
      </c>
      <c r="D154" s="310">
        <v>1.0845843487894415E-2</v>
      </c>
      <c r="E154" s="308">
        <v>1.1270382113840459E-2</v>
      </c>
      <c r="F154" s="308">
        <v>1.1418792609119962E-2</v>
      </c>
      <c r="G154" s="309">
        <v>1.1571365440723796E-2</v>
      </c>
    </row>
    <row r="155" spans="1:7">
      <c r="A155" s="39" t="s">
        <v>1931</v>
      </c>
      <c r="B155" s="96"/>
      <c r="C155" s="308">
        <v>9.1377173494620358E-3</v>
      </c>
      <c r="D155" s="306"/>
      <c r="E155" s="308">
        <v>9.1377173494620358E-3</v>
      </c>
      <c r="F155" s="308">
        <v>9.2580445170646654E-3</v>
      </c>
      <c r="G155" s="309">
        <v>9.3817463930366274E-3</v>
      </c>
    </row>
    <row r="156" spans="1:7">
      <c r="A156" s="39" t="s">
        <v>1932</v>
      </c>
      <c r="B156" s="96"/>
      <c r="C156" s="308">
        <v>0</v>
      </c>
      <c r="D156" s="306"/>
      <c r="E156" s="308">
        <v>0</v>
      </c>
      <c r="F156" s="308">
        <v>0</v>
      </c>
      <c r="G156" s="309">
        <v>0</v>
      </c>
    </row>
    <row r="157" spans="1:7">
      <c r="A157" s="39" t="s">
        <v>1933</v>
      </c>
      <c r="B157" s="96"/>
      <c r="C157" s="311">
        <v>63.736778940964605</v>
      </c>
      <c r="D157" s="312">
        <v>63.727216684989195</v>
      </c>
      <c r="E157" s="312">
        <v>66.875716314528006</v>
      </c>
      <c r="F157" s="312">
        <v>67.756348229236764</v>
      </c>
      <c r="G157" s="313">
        <v>68.661678439036137</v>
      </c>
    </row>
    <row r="158" spans="1:7">
      <c r="A158" s="39"/>
      <c r="C158" s="306"/>
      <c r="D158" s="306"/>
      <c r="E158" s="306"/>
      <c r="F158" s="306"/>
      <c r="G158" s="307"/>
    </row>
    <row r="159" spans="1:7">
      <c r="A159" s="39" t="s">
        <v>1934</v>
      </c>
      <c r="C159" s="306"/>
      <c r="D159" s="306"/>
      <c r="E159" s="306"/>
      <c r="F159" s="306"/>
      <c r="G159" s="307"/>
    </row>
    <row r="160" spans="1:7">
      <c r="A160" s="39" t="s">
        <v>1928</v>
      </c>
      <c r="B160" s="96"/>
      <c r="C160" s="308">
        <v>520.66515021608802</v>
      </c>
      <c r="D160" s="308">
        <v>520.66515021608802</v>
      </c>
      <c r="E160" s="308">
        <v>546.31531323605668</v>
      </c>
      <c r="F160" s="308">
        <v>553.50929524990261</v>
      </c>
      <c r="G160" s="309">
        <v>560.90504043822239</v>
      </c>
    </row>
    <row r="161" spans="1:7">
      <c r="A161" s="39" t="s">
        <v>1929</v>
      </c>
      <c r="B161" s="96"/>
      <c r="C161" s="308">
        <v>0</v>
      </c>
      <c r="D161" s="308">
        <v>0</v>
      </c>
      <c r="E161" s="308">
        <v>0</v>
      </c>
      <c r="F161" s="308">
        <v>0</v>
      </c>
      <c r="G161" s="309">
        <v>0</v>
      </c>
    </row>
    <row r="162" spans="1:7">
      <c r="A162" s="39" t="s">
        <v>1930</v>
      </c>
      <c r="B162" s="96"/>
      <c r="C162" s="308">
        <v>11.235030161203165</v>
      </c>
      <c r="D162" s="308">
        <v>10.811823191029353</v>
      </c>
      <c r="E162" s="308">
        <v>11.235030161203165</v>
      </c>
      <c r="F162" s="308">
        <v>11.382975135371936</v>
      </c>
      <c r="G162" s="309">
        <v>11.535069389811119</v>
      </c>
    </row>
    <row r="163" spans="1:7">
      <c r="A163" s="39" t="s">
        <v>1931</v>
      </c>
      <c r="B163" s="96"/>
      <c r="C163" s="308">
        <v>4.8316522142886296</v>
      </c>
      <c r="D163" s="306"/>
      <c r="E163" s="308">
        <v>4.8316522142886296</v>
      </c>
      <c r="F163" s="308">
        <v>4.8952763124689644</v>
      </c>
      <c r="G163" s="309">
        <v>4.960684818783375</v>
      </c>
    </row>
    <row r="164" spans="1:7">
      <c r="A164" s="39" t="s">
        <v>1932</v>
      </c>
      <c r="B164" s="96"/>
      <c r="C164" s="308">
        <v>5.8293837518148539E-3</v>
      </c>
      <c r="D164" s="306"/>
      <c r="E164" s="308">
        <v>5.8293837518148539E-3</v>
      </c>
      <c r="F164" s="308">
        <v>5.9061461651068311E-3</v>
      </c>
      <c r="G164" s="309">
        <v>5.9850614650971976E-3</v>
      </c>
    </row>
    <row r="165" spans="1:7">
      <c r="A165" s="39" t="s">
        <v>1935</v>
      </c>
      <c r="B165" s="96"/>
      <c r="C165" s="308">
        <v>2.5644572969324132E-2</v>
      </c>
      <c r="D165" s="306"/>
      <c r="E165" s="308">
        <v>2.5438438702548329E-2</v>
      </c>
      <c r="F165" s="308">
        <v>2.5644572969324132E-2</v>
      </c>
      <c r="G165" s="309">
        <v>2.5987224355257528E-2</v>
      </c>
    </row>
    <row r="166" spans="1:7">
      <c r="A166" s="39" t="s">
        <v>1936</v>
      </c>
      <c r="B166" s="96"/>
      <c r="C166" s="308">
        <v>4.7632424855600368E-2</v>
      </c>
      <c r="D166" s="306"/>
      <c r="E166" s="306"/>
      <c r="F166" s="308">
        <v>4.7632424855600368E-2</v>
      </c>
      <c r="G166" s="309">
        <v>4.8268868145635385E-2</v>
      </c>
    </row>
    <row r="167" spans="1:7">
      <c r="A167" s="39" t="s">
        <v>1933</v>
      </c>
      <c r="B167" s="96"/>
      <c r="C167" s="311">
        <v>536.81093897315657</v>
      </c>
      <c r="D167" s="312">
        <v>531.47697340711738</v>
      </c>
      <c r="E167" s="312">
        <v>562.41326343400283</v>
      </c>
      <c r="F167" s="312">
        <v>569.86672984173345</v>
      </c>
      <c r="G167" s="313">
        <v>577.48103580078305</v>
      </c>
    </row>
    <row r="168" spans="1:7">
      <c r="A168" s="39"/>
      <c r="C168" s="306"/>
      <c r="D168" s="306"/>
      <c r="E168" s="306"/>
      <c r="F168" s="306"/>
      <c r="G168" s="307"/>
    </row>
    <row r="169" spans="1:7">
      <c r="A169" s="39" t="s">
        <v>1937</v>
      </c>
      <c r="C169" s="306"/>
      <c r="D169" s="306"/>
      <c r="E169" s="306"/>
      <c r="F169" s="306"/>
      <c r="G169" s="307"/>
    </row>
    <row r="170" spans="1:7">
      <c r="A170" s="39" t="s">
        <v>1930</v>
      </c>
      <c r="B170" s="96"/>
      <c r="C170" s="308">
        <v>1E-4</v>
      </c>
      <c r="D170" s="308">
        <v>9.6233147894562575E-5</v>
      </c>
      <c r="E170" s="308">
        <v>1E-4</v>
      </c>
      <c r="F170" s="308">
        <v>1.0131681866489025E-4</v>
      </c>
      <c r="G170" s="309">
        <v>1.0267056896423875E-4</v>
      </c>
    </row>
    <row r="171" spans="1:7">
      <c r="A171" s="39" t="s">
        <v>1931</v>
      </c>
      <c r="B171" s="96"/>
      <c r="C171" s="308">
        <v>90.987071212383199</v>
      </c>
      <c r="D171" s="306"/>
      <c r="E171" s="308">
        <v>90.987071212383199</v>
      </c>
      <c r="F171" s="308">
        <v>92.185205948744837</v>
      </c>
      <c r="G171" s="309">
        <v>93.416943697650908</v>
      </c>
    </row>
    <row r="172" spans="1:7">
      <c r="A172" s="39" t="s">
        <v>1932</v>
      </c>
      <c r="B172" s="96"/>
      <c r="C172" s="308">
        <v>1E-4</v>
      </c>
      <c r="D172" s="306"/>
      <c r="E172" s="308">
        <v>1E-4</v>
      </c>
      <c r="F172" s="308">
        <v>1.0131681866489025E-4</v>
      </c>
      <c r="G172" s="309">
        <v>1.0267056896423875E-4</v>
      </c>
    </row>
    <row r="173" spans="1:7">
      <c r="A173" s="39" t="s">
        <v>1935</v>
      </c>
      <c r="B173" s="96"/>
      <c r="C173" s="308">
        <v>1E-4</v>
      </c>
      <c r="D173" s="306"/>
      <c r="E173" s="308">
        <v>9.9196187563651856E-5</v>
      </c>
      <c r="F173" s="308">
        <v>1E-4</v>
      </c>
      <c r="G173" s="309">
        <v>1.0133615555362638E-4</v>
      </c>
    </row>
    <row r="174" spans="1:7">
      <c r="A174" s="39" t="s">
        <v>1936</v>
      </c>
      <c r="B174" s="96"/>
      <c r="C174" s="308">
        <v>95.422928787616797</v>
      </c>
      <c r="D174" s="306"/>
      <c r="E174" s="306"/>
      <c r="F174" s="308">
        <v>95.422928787616797</v>
      </c>
      <c r="G174" s="309">
        <v>96.697927550045492</v>
      </c>
    </row>
    <row r="175" spans="1:7">
      <c r="A175" s="39" t="s">
        <v>1933</v>
      </c>
      <c r="B175" s="96"/>
      <c r="C175" s="311">
        <v>186.41030000000001</v>
      </c>
      <c r="D175" s="312">
        <v>9.6233147894562575E-5</v>
      </c>
      <c r="E175" s="312">
        <v>90.987370408570769</v>
      </c>
      <c r="F175" s="312">
        <v>187.60843736999897</v>
      </c>
      <c r="G175" s="313">
        <v>190.11517792498989</v>
      </c>
    </row>
    <row r="176" spans="1:7">
      <c r="A176" s="39"/>
      <c r="C176" s="306"/>
      <c r="D176" s="306"/>
      <c r="E176" s="306"/>
      <c r="F176" s="306"/>
      <c r="G176" s="307"/>
    </row>
    <row r="177" spans="1:7">
      <c r="A177" s="39" t="s">
        <v>1938</v>
      </c>
      <c r="C177" s="306"/>
      <c r="D177" s="306"/>
      <c r="E177" s="306"/>
      <c r="F177" s="306"/>
      <c r="G177" s="307"/>
    </row>
    <row r="178" spans="1:7">
      <c r="A178" s="39" t="s">
        <v>1926</v>
      </c>
      <c r="B178" s="96"/>
      <c r="C178" s="303">
        <v>25.77</v>
      </c>
      <c r="D178" s="304">
        <v>25.77</v>
      </c>
      <c r="E178" s="304">
        <v>27.039538974809933</v>
      </c>
      <c r="F178" s="304">
        <v>27.395600670930502</v>
      </c>
      <c r="G178" s="305">
        <v>27.761648510744447</v>
      </c>
    </row>
    <row r="179" spans="1:7">
      <c r="A179" s="39"/>
      <c r="C179" s="306"/>
      <c r="D179" s="306"/>
      <c r="E179" s="306"/>
      <c r="F179" s="306"/>
      <c r="G179" s="307"/>
    </row>
    <row r="180" spans="1:7">
      <c r="A180" s="39" t="s">
        <v>115</v>
      </c>
      <c r="C180" s="306"/>
      <c r="D180" s="306"/>
      <c r="E180" s="306"/>
      <c r="F180" s="306"/>
      <c r="G180" s="307"/>
    </row>
    <row r="181" spans="1:7">
      <c r="A181" s="39" t="s">
        <v>1928</v>
      </c>
      <c r="C181" s="306">
        <v>1125.7609659024838</v>
      </c>
      <c r="D181" s="306">
        <v>1125.7609659024838</v>
      </c>
      <c r="E181" s="306">
        <v>1181.2207029041476</v>
      </c>
      <c r="F181" s="306">
        <v>1196.775237593537</v>
      </c>
      <c r="G181" s="307">
        <v>1212.7660163950684</v>
      </c>
    </row>
    <row r="182" spans="1:7">
      <c r="A182" s="39" t="s">
        <v>1929</v>
      </c>
      <c r="C182" s="306">
        <v>0</v>
      </c>
      <c r="D182" s="306">
        <v>0</v>
      </c>
      <c r="E182" s="306">
        <v>0</v>
      </c>
      <c r="F182" s="306">
        <v>0</v>
      </c>
      <c r="G182" s="307">
        <v>0</v>
      </c>
    </row>
    <row r="183" spans="1:7">
      <c r="A183" s="39" t="s">
        <v>1930</v>
      </c>
      <c r="C183" s="306">
        <v>11.246400543317005</v>
      </c>
      <c r="D183" s="306">
        <v>10.822765267665142</v>
      </c>
      <c r="E183" s="306">
        <v>11.246400543317005</v>
      </c>
      <c r="F183" s="306">
        <v>11.394495244799721</v>
      </c>
      <c r="G183" s="307">
        <v>11.546743425820805</v>
      </c>
    </row>
    <row r="184" spans="1:7">
      <c r="A184" s="39" t="s">
        <v>1931</v>
      </c>
      <c r="C184" s="306">
        <v>95.827861144021284</v>
      </c>
      <c r="D184" s="306">
        <v>0</v>
      </c>
      <c r="E184" s="306">
        <v>95.827861144021284</v>
      </c>
      <c r="F184" s="306">
        <v>97.089740305730871</v>
      </c>
      <c r="G184" s="307">
        <v>98.387010262827317</v>
      </c>
    </row>
    <row r="185" spans="1:7">
      <c r="A185" s="39" t="s">
        <v>1932</v>
      </c>
      <c r="C185" s="306">
        <v>5.9293837518148542E-3</v>
      </c>
      <c r="D185" s="306">
        <v>0</v>
      </c>
      <c r="E185" s="306">
        <v>5.9293837518148542E-3</v>
      </c>
      <c r="F185" s="306">
        <v>6.0074629837717211E-3</v>
      </c>
      <c r="G185" s="307">
        <v>6.0877320340614362E-3</v>
      </c>
    </row>
    <row r="186" spans="1:7">
      <c r="A186" s="39" t="s">
        <v>1935</v>
      </c>
      <c r="C186" s="306">
        <v>2.5744572969324132E-2</v>
      </c>
      <c r="D186" s="306">
        <v>0</v>
      </c>
      <c r="E186" s="306">
        <v>2.5537634890111981E-2</v>
      </c>
      <c r="F186" s="306">
        <v>2.5744572969324132E-2</v>
      </c>
      <c r="G186" s="307">
        <v>2.6088560510811154E-2</v>
      </c>
    </row>
    <row r="187" spans="1:7" ht="15" thickBot="1">
      <c r="A187" s="39" t="s">
        <v>1936</v>
      </c>
      <c r="C187" s="306">
        <v>95.470561212472404</v>
      </c>
      <c r="D187" s="306">
        <v>0</v>
      </c>
      <c r="E187" s="306">
        <v>0</v>
      </c>
      <c r="F187" s="306">
        <v>95.470561212472404</v>
      </c>
      <c r="G187" s="307">
        <v>96.746196418191133</v>
      </c>
    </row>
    <row r="188" spans="1:7" ht="15" thickBot="1">
      <c r="A188" s="39" t="s">
        <v>115</v>
      </c>
      <c r="C188" s="314">
        <v>1328.3374627590156</v>
      </c>
      <c r="D188" s="315">
        <v>1136.5837311701489</v>
      </c>
      <c r="E188" s="315">
        <v>1288.3264316101277</v>
      </c>
      <c r="F188" s="315">
        <v>1400.7617863924931</v>
      </c>
      <c r="G188" s="316">
        <v>1419.4781427944524</v>
      </c>
    </row>
    <row r="189" spans="1:7">
      <c r="A189" s="39"/>
      <c r="C189" s="306"/>
      <c r="D189" s="306"/>
      <c r="E189" s="306"/>
      <c r="F189" s="306"/>
      <c r="G189" s="307"/>
    </row>
    <row r="190" spans="1:7">
      <c r="A190" s="39" t="s">
        <v>1939</v>
      </c>
      <c r="C190" s="306"/>
      <c r="D190" s="306">
        <v>55.459737001663825</v>
      </c>
      <c r="E190" s="306">
        <v>16.964586631813763</v>
      </c>
      <c r="F190" s="306">
        <v>18.716356401959438</v>
      </c>
      <c r="G190" s="307">
        <v>91.140680035437015</v>
      </c>
    </row>
    <row r="191" spans="1:7">
      <c r="A191" s="39"/>
      <c r="C191" s="306"/>
      <c r="D191" s="306"/>
      <c r="E191" s="306"/>
      <c r="F191" s="306"/>
      <c r="G191" s="307"/>
    </row>
    <row r="192" spans="1:7">
      <c r="A192" s="39" t="s">
        <v>1940</v>
      </c>
      <c r="C192" s="306"/>
      <c r="D192" s="306"/>
      <c r="E192" s="306"/>
      <c r="F192" s="306"/>
      <c r="G192" s="307"/>
    </row>
    <row r="193" spans="1:7">
      <c r="A193" s="39" t="s">
        <v>1941</v>
      </c>
      <c r="C193" s="308">
        <v>0</v>
      </c>
      <c r="D193" s="306"/>
      <c r="E193" s="306"/>
      <c r="F193" s="308">
        <v>0</v>
      </c>
      <c r="G193" s="309">
        <v>0</v>
      </c>
    </row>
    <row r="194" spans="1:7">
      <c r="A194" s="39" t="s">
        <v>1942</v>
      </c>
      <c r="C194" s="308">
        <v>0</v>
      </c>
      <c r="D194" s="306"/>
      <c r="E194" s="306"/>
      <c r="F194" s="308">
        <v>0</v>
      </c>
      <c r="G194" s="309">
        <v>0</v>
      </c>
    </row>
    <row r="195" spans="1:7">
      <c r="A195" s="39" t="s">
        <v>1943</v>
      </c>
      <c r="C195" s="308">
        <v>0</v>
      </c>
      <c r="D195" s="306"/>
      <c r="E195" s="306"/>
      <c r="F195" s="308">
        <v>0</v>
      </c>
      <c r="G195" s="309">
        <v>0</v>
      </c>
    </row>
    <row r="196" spans="1:7">
      <c r="A196" s="39" t="s">
        <v>1933</v>
      </c>
      <c r="C196" s="311">
        <v>0</v>
      </c>
      <c r="D196" s="312"/>
      <c r="E196" s="312"/>
      <c r="F196" s="312">
        <v>0</v>
      </c>
      <c r="G196" s="313">
        <v>0</v>
      </c>
    </row>
    <row r="197" spans="1:7">
      <c r="A197" s="102"/>
      <c r="C197" s="306"/>
      <c r="D197" s="306"/>
      <c r="E197" s="306"/>
      <c r="F197" s="306"/>
      <c r="G197" s="307"/>
    </row>
    <row r="198" spans="1:7">
      <c r="A198" s="39" t="s">
        <v>1944</v>
      </c>
      <c r="C198" s="303">
        <v>0</v>
      </c>
      <c r="D198" s="312"/>
      <c r="E198" s="312"/>
      <c r="F198" s="304">
        <v>0</v>
      </c>
      <c r="G198" s="305">
        <v>0</v>
      </c>
    </row>
    <row r="199" spans="1:7">
      <c r="A199" s="39"/>
      <c r="C199" s="306"/>
      <c r="D199" s="306"/>
      <c r="E199" s="306"/>
      <c r="F199" s="306"/>
      <c r="G199" s="307"/>
    </row>
    <row r="200" spans="1:7">
      <c r="A200" s="39" t="s">
        <v>1945</v>
      </c>
      <c r="C200" s="306"/>
      <c r="D200" s="306">
        <v>0</v>
      </c>
      <c r="E200" s="306">
        <v>0</v>
      </c>
      <c r="F200" s="306">
        <v>0</v>
      </c>
      <c r="G200" s="307">
        <v>0</v>
      </c>
    </row>
    <row r="201" spans="1:7" ht="15" thickBot="1">
      <c r="A201" s="39"/>
      <c r="C201" s="306"/>
      <c r="D201" s="306"/>
      <c r="E201" s="306"/>
      <c r="F201" s="306"/>
      <c r="G201" s="307"/>
    </row>
    <row r="202" spans="1:7" ht="15" thickBot="1">
      <c r="A202" s="39" t="s">
        <v>115</v>
      </c>
      <c r="C202" s="314">
        <v>1328.3374627590156</v>
      </c>
      <c r="D202" s="315">
        <v>1136.5837311701489</v>
      </c>
      <c r="E202" s="315">
        <v>1288.3264316101277</v>
      </c>
      <c r="F202" s="315">
        <v>1400.7617863924931</v>
      </c>
      <c r="G202" s="316">
        <v>1419.4781427944524</v>
      </c>
    </row>
    <row r="203" spans="1:7">
      <c r="A203" s="39"/>
      <c r="C203" s="306"/>
      <c r="D203" s="306"/>
      <c r="E203" s="306"/>
      <c r="F203" s="306"/>
      <c r="G203" s="307"/>
    </row>
    <row r="204" spans="1:7" ht="15" thickBot="1">
      <c r="A204" s="82" t="s">
        <v>1946</v>
      </c>
      <c r="B204" s="32"/>
      <c r="C204" s="317"/>
      <c r="D204" s="318">
        <v>55.459737001663825</v>
      </c>
      <c r="E204" s="318">
        <v>16.964586631813763</v>
      </c>
      <c r="F204" s="318">
        <v>18.716356401959438</v>
      </c>
      <c r="G204" s="319">
        <v>91.140680035437015</v>
      </c>
    </row>
    <row r="205" spans="1:7" ht="15" thickBot="1"/>
    <row r="206" spans="1:7" ht="15" thickBot="1">
      <c r="A206" s="89" t="s">
        <v>9243</v>
      </c>
      <c r="B206" s="108"/>
      <c r="C206" s="108"/>
      <c r="D206" s="108"/>
      <c r="E206" s="108"/>
      <c r="F206" s="108"/>
      <c r="G206" s="109"/>
    </row>
    <row r="207" spans="1:7">
      <c r="A207" s="30"/>
      <c r="B207" s="110"/>
      <c r="C207" s="110"/>
      <c r="D207" s="110"/>
      <c r="E207" s="110"/>
      <c r="F207" s="110"/>
      <c r="G207" s="111"/>
    </row>
    <row r="208" spans="1:7">
      <c r="A208" s="39"/>
      <c r="B208" s="62"/>
      <c r="C208" s="62"/>
      <c r="D208" s="62"/>
      <c r="E208" s="60" t="s">
        <v>1912</v>
      </c>
      <c r="F208" s="62"/>
      <c r="G208" s="43"/>
    </row>
    <row r="209" spans="1:7">
      <c r="A209" s="98"/>
      <c r="B209" s="96"/>
      <c r="C209" s="96"/>
      <c r="D209" s="96"/>
      <c r="E209" s="96"/>
      <c r="F209" s="96"/>
      <c r="G209" s="97"/>
    </row>
    <row r="210" spans="1:7">
      <c r="A210" s="30"/>
      <c r="C210" s="60" t="s">
        <v>1913</v>
      </c>
      <c r="D210" s="60" t="s">
        <v>1914</v>
      </c>
      <c r="E210" s="60" t="s">
        <v>1915</v>
      </c>
      <c r="F210" s="60" t="s">
        <v>1916</v>
      </c>
      <c r="G210" s="40" t="s">
        <v>1917</v>
      </c>
    </row>
    <row r="211" spans="1:7">
      <c r="A211" s="39" t="s">
        <v>1918</v>
      </c>
      <c r="C211" s="60" t="s">
        <v>1919</v>
      </c>
      <c r="D211" s="60" t="s">
        <v>1920</v>
      </c>
      <c r="E211" s="60" t="s">
        <v>1920</v>
      </c>
      <c r="F211" s="60" t="s">
        <v>1920</v>
      </c>
      <c r="G211" s="40" t="s">
        <v>1921</v>
      </c>
    </row>
    <row r="212" spans="1:7">
      <c r="A212" s="39"/>
      <c r="D212" s="99"/>
      <c r="E212" s="99" t="s">
        <v>1979</v>
      </c>
      <c r="F212" s="99"/>
      <c r="G212" s="100"/>
    </row>
    <row r="213" spans="1:7">
      <c r="A213" s="39" t="s">
        <v>1923</v>
      </c>
      <c r="C213" s="29"/>
      <c r="D213" s="29"/>
      <c r="E213" s="299">
        <v>1.0464767572053166</v>
      </c>
      <c r="F213" s="299">
        <v>1.0131838116461953</v>
      </c>
      <c r="G213" s="300">
        <v>1.0137727069203937</v>
      </c>
    </row>
    <row r="214" spans="1:7">
      <c r="A214" s="39" t="s">
        <v>1924</v>
      </c>
      <c r="C214" s="29"/>
      <c r="D214" s="301">
        <v>0.96476376292285415</v>
      </c>
      <c r="E214" s="301">
        <v>0.99232865135981274</v>
      </c>
      <c r="F214" s="29"/>
      <c r="G214" s="302"/>
    </row>
    <row r="215" spans="1:7">
      <c r="A215" s="39"/>
      <c r="C215" s="29"/>
      <c r="D215" s="29"/>
      <c r="E215" s="29"/>
      <c r="F215" s="29"/>
      <c r="G215" s="302"/>
    </row>
    <row r="216" spans="1:7">
      <c r="A216" s="39" t="s">
        <v>1925</v>
      </c>
      <c r="C216" s="29"/>
      <c r="D216" s="29"/>
      <c r="E216" s="29"/>
      <c r="F216" s="29"/>
      <c r="G216" s="302"/>
    </row>
    <row r="217" spans="1:7">
      <c r="A217" s="39" t="s">
        <v>1926</v>
      </c>
      <c r="B217" s="96"/>
      <c r="C217" s="303">
        <v>543.90513056010127</v>
      </c>
      <c r="D217" s="304">
        <v>543.90513056010127</v>
      </c>
      <c r="E217" s="304">
        <v>569.18407725586917</v>
      </c>
      <c r="F217" s="304">
        <v>576.68809292242406</v>
      </c>
      <c r="G217" s="305">
        <v>584.63064901072539</v>
      </c>
    </row>
    <row r="218" spans="1:7">
      <c r="A218" s="39"/>
      <c r="C218" s="306"/>
      <c r="D218" s="306"/>
      <c r="E218" s="306"/>
      <c r="F218" s="306"/>
      <c r="G218" s="307"/>
    </row>
    <row r="219" spans="1:7">
      <c r="A219" s="39" t="s">
        <v>1927</v>
      </c>
      <c r="C219" s="306"/>
      <c r="D219" s="306"/>
      <c r="E219" s="306"/>
      <c r="F219" s="306"/>
      <c r="G219" s="307"/>
    </row>
    <row r="220" spans="1:7">
      <c r="A220" s="39" t="s">
        <v>1928</v>
      </c>
      <c r="B220" s="96"/>
      <c r="C220" s="308">
        <v>64.199815995946437</v>
      </c>
      <c r="D220" s="308">
        <v>64.199815995946437</v>
      </c>
      <c r="E220" s="308">
        <v>67.183615256616037</v>
      </c>
      <c r="F220" s="308">
        <v>68.069351385869709</v>
      </c>
      <c r="G220" s="309">
        <v>69.006850612768588</v>
      </c>
    </row>
    <row r="221" spans="1:7">
      <c r="A221" s="39" t="s">
        <v>1929</v>
      </c>
      <c r="B221" s="96"/>
      <c r="C221" s="308">
        <v>0</v>
      </c>
      <c r="D221" s="308">
        <v>0</v>
      </c>
      <c r="E221" s="308">
        <v>0</v>
      </c>
      <c r="F221" s="308">
        <v>0</v>
      </c>
      <c r="G221" s="309">
        <v>0</v>
      </c>
    </row>
    <row r="222" spans="1:7">
      <c r="A222" s="39" t="s">
        <v>1930</v>
      </c>
      <c r="B222" s="96"/>
      <c r="C222" s="308">
        <v>1.1355895641207469E-2</v>
      </c>
      <c r="D222" s="310">
        <v>1.0955756610170555E-2</v>
      </c>
      <c r="E222" s="308">
        <v>1.1355895641207469E-2</v>
      </c>
      <c r="F222" s="308">
        <v>1.1505609630414998E-2</v>
      </c>
      <c r="G222" s="309">
        <v>1.1664073019795163E-2</v>
      </c>
    </row>
    <row r="223" spans="1:7">
      <c r="A223" s="39" t="s">
        <v>1931</v>
      </c>
      <c r="B223" s="96"/>
      <c r="C223" s="308">
        <v>9.2070493769605202E-3</v>
      </c>
      <c r="D223" s="306"/>
      <c r="E223" s="308">
        <v>9.2070493769605202E-3</v>
      </c>
      <c r="F223" s="308">
        <v>9.3284333817635883E-3</v>
      </c>
      <c r="G223" s="309">
        <v>9.4569111607570346E-3</v>
      </c>
    </row>
    <row r="224" spans="1:7">
      <c r="A224" s="39" t="s">
        <v>1932</v>
      </c>
      <c r="B224" s="96"/>
      <c r="C224" s="308">
        <v>0</v>
      </c>
      <c r="D224" s="306"/>
      <c r="E224" s="308">
        <v>0</v>
      </c>
      <c r="F224" s="308">
        <v>0</v>
      </c>
      <c r="G224" s="309">
        <v>0</v>
      </c>
    </row>
    <row r="225" spans="1:7">
      <c r="A225" s="39" t="s">
        <v>1933</v>
      </c>
      <c r="B225" s="96"/>
      <c r="C225" s="311">
        <v>64.220378940964594</v>
      </c>
      <c r="D225" s="312">
        <v>64.21077175255661</v>
      </c>
      <c r="E225" s="312">
        <v>67.204178201634193</v>
      </c>
      <c r="F225" s="312">
        <v>68.090185428881895</v>
      </c>
      <c r="G225" s="313">
        <v>69.027971596949143</v>
      </c>
    </row>
    <row r="226" spans="1:7">
      <c r="A226" s="39"/>
      <c r="C226" s="306"/>
      <c r="D226" s="306"/>
      <c r="E226" s="306"/>
      <c r="F226" s="306"/>
      <c r="G226" s="307"/>
    </row>
    <row r="227" spans="1:7">
      <c r="A227" s="39" t="s">
        <v>1934</v>
      </c>
      <c r="C227" s="306"/>
      <c r="D227" s="306"/>
      <c r="E227" s="306"/>
      <c r="F227" s="306"/>
      <c r="G227" s="307"/>
    </row>
    <row r="228" spans="1:7">
      <c r="A228" s="39" t="s">
        <v>1928</v>
      </c>
      <c r="B228" s="96"/>
      <c r="C228" s="308">
        <v>609.52035642917701</v>
      </c>
      <c r="D228" s="308">
        <v>609.52035642917701</v>
      </c>
      <c r="E228" s="308">
        <v>637.84888604663388</v>
      </c>
      <c r="F228" s="308">
        <v>646.2581656190082</v>
      </c>
      <c r="G228" s="309">
        <v>655.15888992898999</v>
      </c>
    </row>
    <row r="229" spans="1:7">
      <c r="A229" s="39" t="s">
        <v>1929</v>
      </c>
      <c r="B229" s="96"/>
      <c r="C229" s="308">
        <v>0</v>
      </c>
      <c r="D229" s="308">
        <v>0</v>
      </c>
      <c r="E229" s="308">
        <v>0</v>
      </c>
      <c r="F229" s="308">
        <v>0</v>
      </c>
      <c r="G229" s="309">
        <v>0</v>
      </c>
    </row>
    <row r="230" spans="1:7">
      <c r="A230" s="39" t="s">
        <v>1930</v>
      </c>
      <c r="B230" s="96"/>
      <c r="C230" s="308">
        <v>13.068492023727963</v>
      </c>
      <c r="D230" s="308">
        <v>12.608007540539095</v>
      </c>
      <c r="E230" s="308">
        <v>13.068492023727963</v>
      </c>
      <c r="F230" s="308">
        <v>13.240784561068597</v>
      </c>
      <c r="G230" s="309">
        <v>13.423146006224268</v>
      </c>
    </row>
    <row r="231" spans="1:7">
      <c r="A231" s="39" t="s">
        <v>1931</v>
      </c>
      <c r="B231" s="96"/>
      <c r="C231" s="308">
        <v>5.6201369749679913</v>
      </c>
      <c r="D231" s="306"/>
      <c r="E231" s="308">
        <v>5.6201369749679913</v>
      </c>
      <c r="F231" s="308">
        <v>5.694231802271787</v>
      </c>
      <c r="G231" s="309">
        <v>5.7726567880212611</v>
      </c>
    </row>
    <row r="232" spans="1:7">
      <c r="A232" s="39" t="s">
        <v>1932</v>
      </c>
      <c r="B232" s="96"/>
      <c r="C232" s="308">
        <v>6.7806898575947846E-3</v>
      </c>
      <c r="D232" s="306"/>
      <c r="E232" s="308">
        <v>6.7806898575947846E-3</v>
      </c>
      <c r="F232" s="308">
        <v>6.8700851955085813E-3</v>
      </c>
      <c r="G232" s="309">
        <v>6.9647048654244564E-3</v>
      </c>
    </row>
    <row r="233" spans="1:7">
      <c r="A233" s="39" t="s">
        <v>1935</v>
      </c>
      <c r="B233" s="96"/>
      <c r="C233" s="308">
        <v>2.9829550298744567E-2</v>
      </c>
      <c r="D233" s="306"/>
      <c r="E233" s="308">
        <v>2.9600717418622895E-2</v>
      </c>
      <c r="F233" s="308">
        <v>2.9829550298744567E-2</v>
      </c>
      <c r="G233" s="309">
        <v>3.0240383952576319E-2</v>
      </c>
    </row>
    <row r="234" spans="1:7">
      <c r="A234" s="39" t="s">
        <v>1936</v>
      </c>
      <c r="B234" s="96"/>
      <c r="C234" s="308">
        <v>5.5405633573267839E-2</v>
      </c>
      <c r="D234" s="306"/>
      <c r="E234" s="306"/>
      <c r="F234" s="308">
        <v>5.5405633573267839E-2</v>
      </c>
      <c r="G234" s="309">
        <v>5.6168719126211179E-2</v>
      </c>
    </row>
    <row r="235" spans="1:7">
      <c r="A235" s="39" t="s">
        <v>1933</v>
      </c>
      <c r="B235" s="96"/>
      <c r="C235" s="311">
        <v>628.30100130160247</v>
      </c>
      <c r="D235" s="312">
        <v>622.12836396971613</v>
      </c>
      <c r="E235" s="312">
        <v>656.57389645260594</v>
      </c>
      <c r="F235" s="312">
        <v>665.28528725141609</v>
      </c>
      <c r="G235" s="313">
        <v>674.44806653117951</v>
      </c>
    </row>
    <row r="236" spans="1:7">
      <c r="A236" s="39"/>
      <c r="C236" s="306"/>
      <c r="D236" s="306"/>
      <c r="E236" s="306"/>
      <c r="F236" s="306"/>
      <c r="G236" s="307"/>
    </row>
    <row r="237" spans="1:7">
      <c r="A237" s="39" t="s">
        <v>1937</v>
      </c>
      <c r="C237" s="306"/>
      <c r="D237" s="306"/>
      <c r="E237" s="306"/>
      <c r="F237" s="306"/>
      <c r="G237" s="307"/>
    </row>
    <row r="238" spans="1:7">
      <c r="A238" s="39" t="s">
        <v>1930</v>
      </c>
      <c r="B238" s="96"/>
      <c r="C238" s="308">
        <v>1E-4</v>
      </c>
      <c r="D238" s="308">
        <v>9.647637629228542E-5</v>
      </c>
      <c r="E238" s="308">
        <v>1E-4</v>
      </c>
      <c r="F238" s="308">
        <v>1.0131838116461954E-4</v>
      </c>
      <c r="G238" s="309">
        <v>1.0271380953404858E-4</v>
      </c>
    </row>
    <row r="239" spans="1:7">
      <c r="A239" s="39" t="s">
        <v>1931</v>
      </c>
      <c r="B239" s="96"/>
      <c r="C239" s="308">
        <v>90.987071212383199</v>
      </c>
      <c r="D239" s="306"/>
      <c r="E239" s="308">
        <v>90.987071212383199</v>
      </c>
      <c r="F239" s="308">
        <v>92.186627621486224</v>
      </c>
      <c r="G239" s="309">
        <v>93.456287025696426</v>
      </c>
    </row>
    <row r="240" spans="1:7">
      <c r="A240" s="39" t="s">
        <v>1932</v>
      </c>
      <c r="B240" s="96"/>
      <c r="C240" s="308">
        <v>1E-4</v>
      </c>
      <c r="D240" s="306"/>
      <c r="E240" s="308">
        <v>1E-4</v>
      </c>
      <c r="F240" s="308">
        <v>1.0131838116461954E-4</v>
      </c>
      <c r="G240" s="309">
        <v>1.0271380953404858E-4</v>
      </c>
    </row>
    <row r="241" spans="1:7">
      <c r="A241" s="39" t="s">
        <v>1935</v>
      </c>
      <c r="B241" s="96"/>
      <c r="C241" s="308">
        <v>1E-4</v>
      </c>
      <c r="D241" s="306"/>
      <c r="E241" s="308">
        <v>9.9232865135981274E-5</v>
      </c>
      <c r="F241" s="308">
        <v>1E-4</v>
      </c>
      <c r="G241" s="309">
        <v>1.0137727069203937E-4</v>
      </c>
    </row>
    <row r="242" spans="1:7">
      <c r="A242" s="39" t="s">
        <v>1936</v>
      </c>
      <c r="B242" s="96"/>
      <c r="C242" s="308">
        <v>95.422928787616797</v>
      </c>
      <c r="D242" s="306"/>
      <c r="E242" s="306"/>
      <c r="F242" s="308">
        <v>95.422928787616797</v>
      </c>
      <c r="G242" s="309">
        <v>96.737160819294246</v>
      </c>
    </row>
    <row r="243" spans="1:7">
      <c r="A243" s="39" t="s">
        <v>1933</v>
      </c>
      <c r="B243" s="96"/>
      <c r="C243" s="311">
        <v>186.41030000000001</v>
      </c>
      <c r="D243" s="312">
        <v>9.647637629228542E-5</v>
      </c>
      <c r="E243" s="312">
        <v>90.987370445248345</v>
      </c>
      <c r="F243" s="312">
        <v>187.60985904586536</v>
      </c>
      <c r="G243" s="313">
        <v>190.19375464988045</v>
      </c>
    </row>
    <row r="244" spans="1:7">
      <c r="A244" s="39"/>
      <c r="C244" s="306"/>
      <c r="D244" s="306"/>
      <c r="E244" s="306"/>
      <c r="F244" s="306"/>
      <c r="G244" s="307"/>
    </row>
    <row r="245" spans="1:7">
      <c r="A245" s="39" t="s">
        <v>1938</v>
      </c>
      <c r="C245" s="306"/>
      <c r="D245" s="306"/>
      <c r="E245" s="306"/>
      <c r="F245" s="306"/>
      <c r="G245" s="307"/>
    </row>
    <row r="246" spans="1:7">
      <c r="A246" s="39" t="s">
        <v>1926</v>
      </c>
      <c r="B246" s="96"/>
      <c r="C246" s="303">
        <v>25.77</v>
      </c>
      <c r="D246" s="304">
        <v>25.77</v>
      </c>
      <c r="E246" s="304">
        <v>26.96770603318101</v>
      </c>
      <c r="F246" s="304">
        <v>27.323243190052434</v>
      </c>
      <c r="G246" s="305">
        <v>27.699558210623668</v>
      </c>
    </row>
    <row r="247" spans="1:7">
      <c r="A247" s="39"/>
      <c r="C247" s="306"/>
      <c r="D247" s="306"/>
      <c r="E247" s="306"/>
      <c r="F247" s="306"/>
      <c r="G247" s="307"/>
    </row>
    <row r="248" spans="1:7">
      <c r="A248" s="39" t="s">
        <v>115</v>
      </c>
      <c r="C248" s="306"/>
      <c r="D248" s="306"/>
      <c r="E248" s="306"/>
      <c r="F248" s="306"/>
      <c r="G248" s="307"/>
    </row>
    <row r="249" spans="1:7">
      <c r="A249" s="39" t="s">
        <v>1928</v>
      </c>
      <c r="C249" s="306">
        <v>1243.3953029852246</v>
      </c>
      <c r="D249" s="306">
        <v>1243.3953029852246</v>
      </c>
      <c r="E249" s="306">
        <v>1301.1842845923002</v>
      </c>
      <c r="F249" s="306">
        <v>1318.3388531173543</v>
      </c>
      <c r="G249" s="307">
        <v>1336.4959477631078</v>
      </c>
    </row>
    <row r="250" spans="1:7">
      <c r="A250" s="39" t="s">
        <v>1929</v>
      </c>
      <c r="C250" s="306">
        <v>0</v>
      </c>
      <c r="D250" s="306">
        <v>0</v>
      </c>
      <c r="E250" s="306">
        <v>0</v>
      </c>
      <c r="F250" s="306">
        <v>0</v>
      </c>
      <c r="G250" s="307">
        <v>0</v>
      </c>
    </row>
    <row r="251" spans="1:7">
      <c r="A251" s="39" t="s">
        <v>1930</v>
      </c>
      <c r="C251" s="306">
        <v>13.07994791936917</v>
      </c>
      <c r="D251" s="306">
        <v>12.619059773525558</v>
      </c>
      <c r="E251" s="306">
        <v>13.07994791936917</v>
      </c>
      <c r="F251" s="306">
        <v>13.252391489080177</v>
      </c>
      <c r="G251" s="307">
        <v>13.434912793053597</v>
      </c>
    </row>
    <row r="252" spans="1:7">
      <c r="A252" s="39" t="s">
        <v>1931</v>
      </c>
      <c r="C252" s="306">
        <v>96.616415236728145</v>
      </c>
      <c r="D252" s="306">
        <v>0</v>
      </c>
      <c r="E252" s="306">
        <v>96.616415236728145</v>
      </c>
      <c r="F252" s="306">
        <v>97.890187857139779</v>
      </c>
      <c r="G252" s="307">
        <v>99.238400724878446</v>
      </c>
    </row>
    <row r="253" spans="1:7">
      <c r="A253" s="39" t="s">
        <v>1932</v>
      </c>
      <c r="C253" s="306">
        <v>6.8806898575947848E-3</v>
      </c>
      <c r="D253" s="306">
        <v>0</v>
      </c>
      <c r="E253" s="306">
        <v>6.8806898575947848E-3</v>
      </c>
      <c r="F253" s="306">
        <v>6.9714035766732007E-3</v>
      </c>
      <c r="G253" s="307">
        <v>7.0674186749585047E-3</v>
      </c>
    </row>
    <row r="254" spans="1:7">
      <c r="A254" s="39" t="s">
        <v>1935</v>
      </c>
      <c r="C254" s="306">
        <v>2.9929550298744566E-2</v>
      </c>
      <c r="D254" s="306">
        <v>0</v>
      </c>
      <c r="E254" s="306">
        <v>2.9699950283758877E-2</v>
      </c>
      <c r="F254" s="306">
        <v>2.9929550298744566E-2</v>
      </c>
      <c r="G254" s="307">
        <v>3.0341761223268357E-2</v>
      </c>
    </row>
    <row r="255" spans="1:7" ht="15" thickBot="1">
      <c r="A255" s="39" t="s">
        <v>1936</v>
      </c>
      <c r="C255" s="306">
        <v>95.47833442119007</v>
      </c>
      <c r="D255" s="306">
        <v>0</v>
      </c>
      <c r="E255" s="306">
        <v>0</v>
      </c>
      <c r="F255" s="306">
        <v>95.47833442119007</v>
      </c>
      <c r="G255" s="307">
        <v>96.793329538420451</v>
      </c>
    </row>
    <row r="256" spans="1:7" ht="15" thickBot="1">
      <c r="A256" s="39" t="s">
        <v>115</v>
      </c>
      <c r="C256" s="314">
        <v>1448.6068108026684</v>
      </c>
      <c r="D256" s="315">
        <v>1256.0143627587502</v>
      </c>
      <c r="E256" s="315">
        <v>1410.9172283885389</v>
      </c>
      <c r="F256" s="315">
        <v>1524.9966678386397</v>
      </c>
      <c r="G256" s="316">
        <v>1545.9999999993586</v>
      </c>
    </row>
    <row r="257" spans="1:7">
      <c r="A257" s="39"/>
      <c r="C257" s="306"/>
      <c r="D257" s="306"/>
      <c r="E257" s="306"/>
      <c r="F257" s="306"/>
      <c r="G257" s="307"/>
    </row>
    <row r="258" spans="1:7">
      <c r="A258" s="39" t="s">
        <v>1939</v>
      </c>
      <c r="C258" s="306"/>
      <c r="D258" s="306">
        <v>57.788981607075272</v>
      </c>
      <c r="E258" s="306">
        <v>18.600875428895908</v>
      </c>
      <c r="F258" s="306">
        <v>21.003332160718372</v>
      </c>
      <c r="G258" s="307">
        <v>97.393189196689548</v>
      </c>
    </row>
    <row r="259" spans="1:7">
      <c r="A259" s="39"/>
      <c r="C259" s="306"/>
      <c r="D259" s="306"/>
      <c r="E259" s="306"/>
      <c r="F259" s="306"/>
      <c r="G259" s="307"/>
    </row>
    <row r="260" spans="1:7">
      <c r="A260" s="39" t="s">
        <v>1940</v>
      </c>
      <c r="C260" s="306"/>
      <c r="D260" s="306"/>
      <c r="E260" s="306"/>
      <c r="F260" s="306"/>
      <c r="G260" s="307"/>
    </row>
    <row r="261" spans="1:7">
      <c r="A261" s="39" t="s">
        <v>1941</v>
      </c>
      <c r="C261" s="308">
        <v>0</v>
      </c>
      <c r="D261" s="306"/>
      <c r="E261" s="306"/>
      <c r="F261" s="308">
        <v>0</v>
      </c>
      <c r="G261" s="309">
        <v>0</v>
      </c>
    </row>
    <row r="262" spans="1:7">
      <c r="A262" s="39" t="s">
        <v>1942</v>
      </c>
      <c r="C262" s="308">
        <v>0</v>
      </c>
      <c r="D262" s="306"/>
      <c r="E262" s="306"/>
      <c r="F262" s="308">
        <v>0</v>
      </c>
      <c r="G262" s="309">
        <v>0</v>
      </c>
    </row>
    <row r="263" spans="1:7">
      <c r="A263" s="39" t="s">
        <v>1943</v>
      </c>
      <c r="C263" s="308">
        <v>0</v>
      </c>
      <c r="D263" s="306"/>
      <c r="E263" s="306"/>
      <c r="F263" s="308">
        <v>0</v>
      </c>
      <c r="G263" s="309">
        <v>0</v>
      </c>
    </row>
    <row r="264" spans="1:7">
      <c r="A264" s="39" t="s">
        <v>1933</v>
      </c>
      <c r="C264" s="311">
        <v>0</v>
      </c>
      <c r="D264" s="312"/>
      <c r="E264" s="312"/>
      <c r="F264" s="312">
        <v>0</v>
      </c>
      <c r="G264" s="313">
        <v>0</v>
      </c>
    </row>
    <row r="265" spans="1:7">
      <c r="A265" s="102"/>
      <c r="C265" s="306"/>
      <c r="D265" s="306"/>
      <c r="E265" s="306"/>
      <c r="F265" s="306"/>
      <c r="G265" s="307"/>
    </row>
    <row r="266" spans="1:7">
      <c r="A266" s="39" t="s">
        <v>1944</v>
      </c>
      <c r="C266" s="303">
        <v>0</v>
      </c>
      <c r="D266" s="312"/>
      <c r="E266" s="312"/>
      <c r="F266" s="304">
        <v>0</v>
      </c>
      <c r="G266" s="305">
        <v>0</v>
      </c>
    </row>
    <row r="267" spans="1:7">
      <c r="A267" s="39"/>
      <c r="C267" s="306"/>
      <c r="D267" s="306"/>
      <c r="E267" s="306"/>
      <c r="F267" s="306"/>
      <c r="G267" s="307"/>
    </row>
    <row r="268" spans="1:7">
      <c r="A268" s="39" t="s">
        <v>1945</v>
      </c>
      <c r="C268" s="306"/>
      <c r="D268" s="306">
        <v>0</v>
      </c>
      <c r="E268" s="306">
        <v>0</v>
      </c>
      <c r="F268" s="306">
        <v>0</v>
      </c>
      <c r="G268" s="307">
        <v>0</v>
      </c>
    </row>
    <row r="269" spans="1:7" ht="15" thickBot="1">
      <c r="A269" s="39"/>
      <c r="C269" s="306"/>
      <c r="D269" s="306"/>
      <c r="E269" s="306"/>
      <c r="F269" s="306"/>
      <c r="G269" s="307"/>
    </row>
    <row r="270" spans="1:7" ht="15" thickBot="1">
      <c r="A270" s="39" t="s">
        <v>115</v>
      </c>
      <c r="C270" s="314">
        <v>1448.6068108026684</v>
      </c>
      <c r="D270" s="315">
        <v>1256.0143627587502</v>
      </c>
      <c r="E270" s="315">
        <v>1410.9172283885389</v>
      </c>
      <c r="F270" s="315">
        <v>1524.9966678386397</v>
      </c>
      <c r="G270" s="316">
        <v>1545.9999999993586</v>
      </c>
    </row>
    <row r="271" spans="1:7">
      <c r="A271" s="39"/>
      <c r="C271" s="306"/>
      <c r="D271" s="306"/>
      <c r="E271" s="306"/>
      <c r="F271" s="306"/>
      <c r="G271" s="307"/>
    </row>
    <row r="272" spans="1:7" ht="15" thickBot="1">
      <c r="A272" s="82" t="s">
        <v>1946</v>
      </c>
      <c r="B272" s="32"/>
      <c r="C272" s="317"/>
      <c r="D272" s="318">
        <v>57.788981607075279</v>
      </c>
      <c r="E272" s="318">
        <v>18.600875428895908</v>
      </c>
      <c r="F272" s="318">
        <v>21.003332160718372</v>
      </c>
      <c r="G272" s="319">
        <v>97.393189196689562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8" tint="0.59999389629810485"/>
  </sheetPr>
  <dimension ref="A1:X59"/>
  <sheetViews>
    <sheetView tabSelected="1" showOutlineSymbols="0" topLeftCell="D1" workbookViewId="0"/>
  </sheetViews>
  <sheetFormatPr defaultRowHeight="14.4"/>
  <cols>
    <col min="1" max="1" width="36.33203125" customWidth="1"/>
    <col min="2" max="2" width="46" bestFit="1" customWidth="1"/>
    <col min="3" max="3" width="2.5546875" bestFit="1" customWidth="1"/>
    <col min="4" max="4" width="18.33203125" bestFit="1" customWidth="1"/>
    <col min="5" max="5" width="2.5546875" bestFit="1" customWidth="1"/>
    <col min="6" max="6" width="18.33203125" bestFit="1" customWidth="1"/>
    <col min="7" max="7" width="2.5546875" bestFit="1" customWidth="1"/>
    <col min="8" max="8" width="15" bestFit="1" customWidth="1"/>
    <col min="9" max="9" width="2.5546875" bestFit="1" customWidth="1"/>
    <col min="10" max="10" width="16.44140625" bestFit="1" customWidth="1"/>
    <col min="11" max="11" width="2.5546875" bestFit="1" customWidth="1"/>
    <col min="12" max="12" width="21.6640625" customWidth="1"/>
    <col min="13" max="13" width="2.5546875" bestFit="1" customWidth="1"/>
    <col min="14" max="14" width="15.109375" bestFit="1" customWidth="1"/>
    <col min="15" max="15" width="2.5546875" bestFit="1" customWidth="1"/>
    <col min="16" max="16" width="15.109375" bestFit="1" customWidth="1"/>
    <col min="17" max="17" width="2.5546875" bestFit="1" customWidth="1"/>
    <col min="18" max="18" width="16" bestFit="1" customWidth="1"/>
    <col min="19" max="19" width="2.5546875" bestFit="1" customWidth="1"/>
    <col min="20" max="20" width="16.109375" bestFit="1" customWidth="1"/>
    <col min="21" max="21" width="2.5546875" bestFit="1" customWidth="1"/>
    <col min="22" max="22" width="16.6640625" bestFit="1" customWidth="1"/>
    <col min="23" max="23" width="2.5546875" bestFit="1" customWidth="1"/>
    <col min="24" max="24" width="16.33203125" bestFit="1" customWidth="1"/>
  </cols>
  <sheetData>
    <row r="1" spans="1:24">
      <c r="A1" s="328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</row>
    <row r="2" spans="1:24" ht="15.6">
      <c r="A2" s="328"/>
      <c r="B2" s="469"/>
      <c r="C2" s="469"/>
      <c r="D2" s="469"/>
      <c r="E2" s="469"/>
      <c r="F2" s="469"/>
      <c r="G2" s="469"/>
      <c r="H2" s="469"/>
      <c r="I2" s="469"/>
      <c r="J2" s="471"/>
      <c r="K2" s="471"/>
      <c r="L2" s="490" t="s">
        <v>2356</v>
      </c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70" t="s">
        <v>2302</v>
      </c>
    </row>
    <row r="3" spans="1:24" ht="15.6">
      <c r="A3" s="328"/>
      <c r="B3" s="469"/>
      <c r="C3" s="469"/>
      <c r="D3" s="469"/>
      <c r="E3" s="469"/>
      <c r="F3" s="469"/>
      <c r="G3" s="469"/>
      <c r="H3" s="469"/>
      <c r="I3" s="469"/>
      <c r="J3" s="471"/>
      <c r="K3" s="471"/>
      <c r="L3" s="490" t="s">
        <v>2357</v>
      </c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70" t="s">
        <v>2358</v>
      </c>
    </row>
    <row r="4" spans="1:24" ht="15.6">
      <c r="A4" s="328"/>
      <c r="B4" s="471" t="s">
        <v>2359</v>
      </c>
      <c r="C4" s="471"/>
      <c r="D4" s="473"/>
      <c r="E4" s="471"/>
      <c r="F4" s="471"/>
      <c r="G4" s="471"/>
      <c r="H4" s="471"/>
      <c r="I4" s="471"/>
      <c r="J4" s="471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</row>
    <row r="5" spans="1:24" ht="15.6">
      <c r="A5" s="328"/>
      <c r="B5" s="472">
        <v>46022</v>
      </c>
      <c r="C5" s="471"/>
      <c r="D5" s="473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</row>
    <row r="6" spans="1:24" ht="15.6">
      <c r="A6" s="328"/>
      <c r="B6" s="474"/>
      <c r="C6" s="474"/>
      <c r="D6" s="474"/>
      <c r="E6" s="474"/>
      <c r="F6" s="474"/>
      <c r="G6" s="474"/>
      <c r="H6" s="474"/>
      <c r="I6" s="474"/>
      <c r="J6" s="474"/>
      <c r="K6" s="474"/>
      <c r="L6" s="470" t="s">
        <v>2360</v>
      </c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</row>
    <row r="7" spans="1:24" ht="15.6">
      <c r="A7" s="328"/>
      <c r="B7" s="474"/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4"/>
      <c r="X7" s="474"/>
    </row>
    <row r="8" spans="1:24" ht="15.6">
      <c r="A8" s="328"/>
      <c r="B8" s="474"/>
      <c r="C8" s="474"/>
      <c r="D8" s="476" t="s">
        <v>2306</v>
      </c>
      <c r="E8" s="474"/>
      <c r="F8" s="476" t="s">
        <v>2307</v>
      </c>
      <c r="G8" s="474"/>
      <c r="H8" s="476" t="s">
        <v>2308</v>
      </c>
      <c r="I8" s="474"/>
      <c r="J8" s="476" t="s">
        <v>2309</v>
      </c>
      <c r="K8" s="474"/>
      <c r="L8" s="476" t="s">
        <v>2310</v>
      </c>
      <c r="M8" s="474"/>
      <c r="N8" s="476" t="s">
        <v>2311</v>
      </c>
      <c r="O8" s="474"/>
      <c r="P8" s="476" t="s">
        <v>2312</v>
      </c>
      <c r="Q8" s="474"/>
      <c r="R8" s="476" t="s">
        <v>2313</v>
      </c>
      <c r="S8" s="474"/>
      <c r="T8" s="476" t="s">
        <v>2314</v>
      </c>
      <c r="U8" s="474"/>
      <c r="V8" s="476" t="s">
        <v>2361</v>
      </c>
      <c r="W8" s="474"/>
      <c r="X8" s="476" t="s">
        <v>2362</v>
      </c>
    </row>
    <row r="9" spans="1:24" ht="15.6">
      <c r="A9" s="328"/>
      <c r="B9" s="1962" t="s">
        <v>116</v>
      </c>
      <c r="C9" s="474"/>
      <c r="D9" s="474"/>
      <c r="E9" s="474"/>
      <c r="F9" s="476" t="s">
        <v>2363</v>
      </c>
      <c r="G9" s="474"/>
      <c r="H9" s="474"/>
      <c r="I9" s="474"/>
      <c r="J9" s="474"/>
      <c r="K9" s="474"/>
      <c r="L9" s="474"/>
      <c r="M9" s="474"/>
      <c r="N9" s="474"/>
      <c r="O9" s="474"/>
      <c r="P9" s="476" t="s">
        <v>2364</v>
      </c>
      <c r="Q9" s="474"/>
      <c r="R9" s="476" t="s">
        <v>2365</v>
      </c>
      <c r="S9" s="474"/>
      <c r="T9" s="474"/>
      <c r="U9" s="474"/>
      <c r="V9" s="476" t="s">
        <v>122</v>
      </c>
      <c r="W9" s="474"/>
      <c r="X9" s="476" t="s">
        <v>2316</v>
      </c>
    </row>
    <row r="10" spans="1:24" ht="15.6">
      <c r="A10" s="328"/>
      <c r="B10" s="474"/>
      <c r="C10" s="474"/>
      <c r="D10" s="476" t="s">
        <v>2366</v>
      </c>
      <c r="E10" s="474"/>
      <c r="F10" s="476" t="s">
        <v>2367</v>
      </c>
      <c r="G10" s="474"/>
      <c r="H10" s="476" t="s">
        <v>2363</v>
      </c>
      <c r="I10" s="474"/>
      <c r="J10" s="474" t="s">
        <v>2319</v>
      </c>
      <c r="K10" s="474"/>
      <c r="L10" s="476" t="s">
        <v>2368</v>
      </c>
      <c r="M10" s="474"/>
      <c r="N10" s="476" t="s">
        <v>2369</v>
      </c>
      <c r="O10" s="474"/>
      <c r="P10" s="476" t="s">
        <v>2369</v>
      </c>
      <c r="Q10" s="474"/>
      <c r="R10" s="476" t="s">
        <v>2370</v>
      </c>
      <c r="S10" s="474"/>
      <c r="T10" s="1963" t="s">
        <v>2371</v>
      </c>
      <c r="U10" s="474"/>
      <c r="V10" s="476" t="s">
        <v>2366</v>
      </c>
      <c r="W10" s="474"/>
      <c r="X10" s="476" t="s">
        <v>2366</v>
      </c>
    </row>
    <row r="11" spans="1:24" ht="15.6">
      <c r="A11" s="328"/>
      <c r="B11" s="474"/>
      <c r="C11" s="474"/>
      <c r="D11" s="476" t="s">
        <v>2286</v>
      </c>
      <c r="E11" s="474"/>
      <c r="F11" s="474" t="s">
        <v>2372</v>
      </c>
      <c r="G11" s="474"/>
      <c r="H11" s="476" t="s">
        <v>2338</v>
      </c>
      <c r="I11" s="474"/>
      <c r="J11" s="476" t="s">
        <v>2325</v>
      </c>
      <c r="K11" s="474"/>
      <c r="L11" s="476" t="s">
        <v>2373</v>
      </c>
      <c r="M11" s="474"/>
      <c r="N11" s="476" t="s">
        <v>2374</v>
      </c>
      <c r="O11" s="474"/>
      <c r="P11" s="476" t="s">
        <v>2328</v>
      </c>
      <c r="Q11" s="474"/>
      <c r="R11" s="476" t="s">
        <v>2328</v>
      </c>
      <c r="S11" s="474"/>
      <c r="T11" s="476" t="s">
        <v>2375</v>
      </c>
      <c r="U11" s="474"/>
      <c r="V11" s="476" t="s">
        <v>2376</v>
      </c>
      <c r="W11" s="474"/>
      <c r="X11" s="476" t="s">
        <v>2377</v>
      </c>
    </row>
    <row r="12" spans="1:24" ht="15.6">
      <c r="A12" s="328"/>
      <c r="B12" s="474"/>
      <c r="C12" s="474"/>
      <c r="D12" s="477" t="s">
        <v>2332</v>
      </c>
      <c r="E12" s="474"/>
      <c r="F12" s="477" t="s">
        <v>2332</v>
      </c>
      <c r="G12" s="474"/>
      <c r="H12" s="477" t="s">
        <v>2332</v>
      </c>
      <c r="I12" s="474"/>
      <c r="J12" s="477" t="s">
        <v>2332</v>
      </c>
      <c r="K12" s="474"/>
      <c r="L12" s="477" t="s">
        <v>2332</v>
      </c>
      <c r="M12" s="474"/>
      <c r="N12" s="477" t="s">
        <v>2332</v>
      </c>
      <c r="O12" s="474"/>
      <c r="P12" s="477" t="s">
        <v>2332</v>
      </c>
      <c r="Q12" s="474"/>
      <c r="R12" s="477" t="s">
        <v>2332</v>
      </c>
      <c r="S12" s="474"/>
      <c r="T12" s="477" t="s">
        <v>2332</v>
      </c>
      <c r="U12" s="474"/>
      <c r="V12" s="477" t="s">
        <v>2332</v>
      </c>
      <c r="W12" s="474"/>
      <c r="X12" s="477" t="s">
        <v>2332</v>
      </c>
    </row>
    <row r="13" spans="1:24" ht="15.6">
      <c r="A13" s="328"/>
      <c r="B13" s="474" t="s">
        <v>2333</v>
      </c>
      <c r="C13" s="1964" t="s">
        <v>2334</v>
      </c>
      <c r="D13" s="1965">
        <v>2595564793.0845284</v>
      </c>
      <c r="E13" s="1965"/>
      <c r="F13" s="1965">
        <v>682668562.73918617</v>
      </c>
      <c r="G13" s="1964" t="s">
        <v>2334</v>
      </c>
      <c r="H13" s="1965">
        <v>483252009.48260796</v>
      </c>
      <c r="I13" s="1964" t="s">
        <v>2334</v>
      </c>
      <c r="J13" s="1965">
        <v>587261219.75363982</v>
      </c>
      <c r="K13" s="1964" t="s">
        <v>2334</v>
      </c>
      <c r="L13" s="1965">
        <v>228358662.7211107</v>
      </c>
      <c r="M13" s="1964" t="s">
        <v>2334</v>
      </c>
      <c r="N13" s="1965">
        <v>27444324.510000002</v>
      </c>
      <c r="O13" s="1964" t="s">
        <v>2334</v>
      </c>
      <c r="P13" s="1965">
        <v>14283684.749999985</v>
      </c>
      <c r="Q13" s="1964" t="s">
        <v>2334</v>
      </c>
      <c r="R13" s="1965">
        <v>-12876021</v>
      </c>
      <c r="S13" s="1964" t="s">
        <v>2334</v>
      </c>
      <c r="T13" s="1965">
        <v>0</v>
      </c>
      <c r="U13" s="1964" t="s">
        <v>2334</v>
      </c>
      <c r="V13" s="1965">
        <v>2010392442.9565446</v>
      </c>
      <c r="W13" s="1964" t="s">
        <v>2334</v>
      </c>
      <c r="X13" s="1965">
        <v>585172350.12798381</v>
      </c>
    </row>
    <row r="14" spans="1:24" ht="15.6">
      <c r="A14" s="328"/>
      <c r="B14" s="474"/>
      <c r="C14" s="1965"/>
      <c r="D14" s="1966" t="s">
        <v>2332</v>
      </c>
      <c r="E14" s="1965"/>
      <c r="F14" s="1966" t="s">
        <v>2332</v>
      </c>
      <c r="G14" s="1965"/>
      <c r="H14" s="1966" t="s">
        <v>2332</v>
      </c>
      <c r="I14" s="1965"/>
      <c r="J14" s="1966" t="s">
        <v>2332</v>
      </c>
      <c r="K14" s="1965"/>
      <c r="L14" s="1966" t="s">
        <v>2332</v>
      </c>
      <c r="M14" s="1965"/>
      <c r="N14" s="1966" t="s">
        <v>2332</v>
      </c>
      <c r="O14" s="1965"/>
      <c r="P14" s="1966" t="s">
        <v>2332</v>
      </c>
      <c r="Q14" s="1965"/>
      <c r="R14" s="1966" t="s">
        <v>2332</v>
      </c>
      <c r="S14" s="1965"/>
      <c r="T14" s="1966" t="s">
        <v>2332</v>
      </c>
      <c r="U14" s="1965"/>
      <c r="V14" s="1966" t="s">
        <v>2332</v>
      </c>
      <c r="W14" s="1965"/>
      <c r="X14" s="1966" t="s">
        <v>2332</v>
      </c>
    </row>
    <row r="15" spans="1:24" ht="15.6">
      <c r="A15" s="328"/>
      <c r="B15" s="474"/>
      <c r="C15" s="1965"/>
      <c r="D15" s="1965"/>
      <c r="E15" s="1965"/>
      <c r="F15" s="1965"/>
      <c r="G15" s="1965"/>
      <c r="H15" s="1965"/>
      <c r="I15" s="1965"/>
      <c r="J15" s="1965"/>
      <c r="K15" s="1965"/>
      <c r="L15" s="1965"/>
      <c r="M15" s="1965"/>
      <c r="N15" s="1965"/>
      <c r="O15" s="1965"/>
      <c r="P15" s="1965"/>
      <c r="Q15" s="1965"/>
      <c r="R15" s="1965"/>
      <c r="S15" s="1965"/>
      <c r="T15" s="1965"/>
      <c r="U15" s="1965"/>
      <c r="V15" s="1965"/>
      <c r="W15" s="1965"/>
      <c r="X15" s="1965"/>
    </row>
    <row r="16" spans="1:24" ht="15.6">
      <c r="A16" s="328"/>
      <c r="B16" s="474" t="s">
        <v>2335</v>
      </c>
      <c r="C16" s="1965"/>
      <c r="D16" s="1965">
        <v>2595564793.0845284</v>
      </c>
      <c r="E16" s="1965"/>
      <c r="F16" s="1965">
        <v>682668562.73918617</v>
      </c>
      <c r="G16" s="1965"/>
      <c r="H16" s="1965">
        <v>483252009.48260796</v>
      </c>
      <c r="I16" s="1965"/>
      <c r="J16" s="1965">
        <v>587261219.75363982</v>
      </c>
      <c r="K16" s="1965"/>
      <c r="L16" s="1965">
        <v>228358662.7211107</v>
      </c>
      <c r="M16" s="1965"/>
      <c r="N16" s="1965">
        <v>27444324.510000002</v>
      </c>
      <c r="O16" s="1965"/>
      <c r="P16" s="1965">
        <v>14283684.749999985</v>
      </c>
      <c r="Q16" s="1965"/>
      <c r="R16" s="1965">
        <v>-12876021</v>
      </c>
      <c r="S16" s="1965"/>
      <c r="T16" s="1965">
        <v>0</v>
      </c>
      <c r="U16" s="1965"/>
      <c r="V16" s="1965">
        <v>2010392442.9565446</v>
      </c>
      <c r="W16" s="1965"/>
      <c r="X16" s="1965">
        <v>585172350.12798369</v>
      </c>
    </row>
    <row r="17" spans="1:24" ht="15.6">
      <c r="A17" s="328"/>
      <c r="B17" s="474"/>
      <c r="C17" s="1965"/>
      <c r="D17" s="1966" t="s">
        <v>2336</v>
      </c>
      <c r="E17" s="1965"/>
      <c r="F17" s="1966" t="s">
        <v>2336</v>
      </c>
      <c r="G17" s="1965"/>
      <c r="H17" s="1966" t="s">
        <v>2336</v>
      </c>
      <c r="I17" s="1965"/>
      <c r="J17" s="1966" t="s">
        <v>2336</v>
      </c>
      <c r="K17" s="1965"/>
      <c r="L17" s="1966" t="s">
        <v>2336</v>
      </c>
      <c r="M17" s="1965"/>
      <c r="N17" s="1966" t="s">
        <v>2336</v>
      </c>
      <c r="O17" s="1965"/>
      <c r="P17" s="1966" t="s">
        <v>2336</v>
      </c>
      <c r="Q17" s="1965"/>
      <c r="R17" s="1966" t="s">
        <v>2336</v>
      </c>
      <c r="S17" s="1965"/>
      <c r="T17" s="1966" t="s">
        <v>2336</v>
      </c>
      <c r="U17" s="1965"/>
      <c r="V17" s="1966" t="s">
        <v>2336</v>
      </c>
      <c r="W17" s="1965"/>
      <c r="X17" s="1966" t="s">
        <v>2336</v>
      </c>
    </row>
    <row r="18" spans="1:24" ht="15.6">
      <c r="A18" s="328"/>
      <c r="B18" s="474" t="s">
        <v>2337</v>
      </c>
      <c r="C18" s="1965"/>
      <c r="D18" s="1965"/>
      <c r="E18" s="1965"/>
      <c r="F18" s="1965"/>
      <c r="G18" s="1965"/>
      <c r="H18" s="1965"/>
      <c r="I18" s="1965"/>
      <c r="J18" s="1965"/>
      <c r="K18" s="1965"/>
      <c r="L18" s="1965"/>
      <c r="M18" s="1965"/>
      <c r="N18" s="1965"/>
      <c r="O18" s="1965"/>
      <c r="P18" s="1965"/>
      <c r="Q18" s="1965"/>
      <c r="R18" s="1965"/>
      <c r="S18" s="1965"/>
      <c r="T18" s="1965"/>
      <c r="U18" s="1965"/>
      <c r="V18" s="1965"/>
      <c r="W18" s="1965"/>
      <c r="X18" s="1965"/>
    </row>
    <row r="19" spans="1:24" ht="15.6">
      <c r="A19" s="328"/>
      <c r="B19" s="477" t="s">
        <v>2332</v>
      </c>
      <c r="C19" s="1965"/>
      <c r="D19" s="1965"/>
      <c r="E19" s="1965"/>
      <c r="F19" s="1965"/>
      <c r="G19" s="1965"/>
      <c r="H19" s="1965"/>
      <c r="I19" s="1965"/>
      <c r="J19" s="1965"/>
      <c r="K19" s="1965"/>
      <c r="L19" s="1965"/>
      <c r="M19" s="1965"/>
      <c r="N19" s="1965"/>
      <c r="O19" s="1965"/>
      <c r="P19" s="1965"/>
      <c r="Q19" s="1965"/>
      <c r="R19" s="1965"/>
      <c r="S19" s="1965"/>
      <c r="T19" s="1965"/>
      <c r="U19" s="1965"/>
      <c r="V19" s="1965"/>
      <c r="W19" s="1965"/>
      <c r="X19" s="1965"/>
    </row>
    <row r="20" spans="1:24" ht="15.6">
      <c r="A20" s="328"/>
      <c r="B20" s="474" t="s">
        <v>2378</v>
      </c>
      <c r="C20" s="1965"/>
      <c r="D20" s="1967">
        <v>-682643028.22232592</v>
      </c>
      <c r="E20" s="1965"/>
      <c r="F20" s="1967">
        <v>-682032059.23143291</v>
      </c>
      <c r="G20" s="1965"/>
      <c r="H20" s="1967">
        <v>-100000</v>
      </c>
      <c r="I20" s="1965"/>
      <c r="J20" s="1967">
        <v>0</v>
      </c>
      <c r="K20" s="1965"/>
      <c r="L20" s="1967">
        <v>-507478.98161328968</v>
      </c>
      <c r="M20" s="1965"/>
      <c r="N20" s="1967">
        <v>246969.78804805581</v>
      </c>
      <c r="O20" s="1965"/>
      <c r="P20" s="1965"/>
      <c r="Q20" s="1965"/>
      <c r="R20" s="1965"/>
      <c r="S20" s="1965"/>
      <c r="T20" s="1965"/>
      <c r="U20" s="1965"/>
      <c r="V20" s="1967">
        <v>-682392568.42499816</v>
      </c>
      <c r="W20" s="1965"/>
      <c r="X20" s="1967">
        <v>-250459.79732775688</v>
      </c>
    </row>
    <row r="21" spans="1:24" ht="15.6">
      <c r="A21" s="328"/>
      <c r="B21" s="474" t="s">
        <v>2379</v>
      </c>
      <c r="C21" s="1965"/>
      <c r="D21" s="1967">
        <v>0</v>
      </c>
      <c r="E21" s="1965"/>
      <c r="F21" s="1967">
        <v>0</v>
      </c>
      <c r="G21" s="1965"/>
      <c r="H21" s="1967">
        <v>0</v>
      </c>
      <c r="I21" s="1965"/>
      <c r="J21" s="1967">
        <v>0</v>
      </c>
      <c r="K21" s="1965"/>
      <c r="L21" s="1967">
        <v>0</v>
      </c>
      <c r="M21" s="1965"/>
      <c r="N21" s="1967">
        <v>0</v>
      </c>
      <c r="O21" s="1965"/>
      <c r="P21" s="1965"/>
      <c r="Q21" s="1965"/>
      <c r="R21" s="1965"/>
      <c r="S21" s="1965"/>
      <c r="T21" s="1965"/>
      <c r="U21" s="1965"/>
      <c r="V21" s="1967">
        <v>0</v>
      </c>
      <c r="W21" s="1965"/>
      <c r="X21" s="1967">
        <v>0</v>
      </c>
    </row>
    <row r="22" spans="1:24" ht="15.6">
      <c r="A22" s="328"/>
      <c r="B22" s="474" t="s">
        <v>2380</v>
      </c>
      <c r="C22" s="1965"/>
      <c r="D22" s="1967">
        <v>0</v>
      </c>
      <c r="E22" s="1965"/>
      <c r="F22" s="1967">
        <v>0</v>
      </c>
      <c r="G22" s="1965"/>
      <c r="H22" s="1967">
        <v>0</v>
      </c>
      <c r="I22" s="1965"/>
      <c r="J22" s="1967">
        <v>0</v>
      </c>
      <c r="K22" s="1965"/>
      <c r="L22" s="1967">
        <v>0</v>
      </c>
      <c r="M22" s="1965"/>
      <c r="N22" s="1967">
        <v>0</v>
      </c>
      <c r="O22" s="1965"/>
      <c r="P22" s="1965"/>
      <c r="Q22" s="1965"/>
      <c r="R22" s="1965"/>
      <c r="S22" s="1965"/>
      <c r="T22" s="1965"/>
      <c r="U22" s="1965"/>
      <c r="V22" s="1967">
        <v>0</v>
      </c>
      <c r="W22" s="1965"/>
      <c r="X22" s="1967">
        <v>0</v>
      </c>
    </row>
    <row r="23" spans="1:24" ht="15.6">
      <c r="A23" s="328"/>
      <c r="B23" s="474" t="s">
        <v>2381</v>
      </c>
      <c r="C23" s="1965"/>
      <c r="D23" s="1967">
        <v>-64968501.331554398</v>
      </c>
      <c r="E23" s="1965"/>
      <c r="F23" s="1967">
        <v>0</v>
      </c>
      <c r="G23" s="1965"/>
      <c r="H23" s="1967">
        <v>-64084748.833631687</v>
      </c>
      <c r="I23" s="1965"/>
      <c r="J23" s="1967">
        <v>-837708</v>
      </c>
      <c r="K23" s="1965"/>
      <c r="L23" s="1967">
        <v>-46044.969649604522</v>
      </c>
      <c r="M23" s="1965"/>
      <c r="N23" s="1967">
        <v>4755.0950091811437</v>
      </c>
      <c r="O23" s="1965"/>
      <c r="P23" s="1965"/>
      <c r="Q23" s="1965"/>
      <c r="R23" s="1965"/>
      <c r="S23" s="1965"/>
      <c r="T23" s="1965"/>
      <c r="U23" s="1965"/>
      <c r="V23" s="1967">
        <v>-64963746.708272114</v>
      </c>
      <c r="W23" s="1965"/>
      <c r="X23" s="1967">
        <v>-4754.6232822835445</v>
      </c>
    </row>
    <row r="24" spans="1:24" ht="15.6">
      <c r="A24" s="328"/>
      <c r="B24" s="481" t="s">
        <v>2382</v>
      </c>
      <c r="C24" s="1965"/>
      <c r="D24" s="1967">
        <v>-378939.82384169364</v>
      </c>
      <c r="E24" s="1965"/>
      <c r="F24" s="1967">
        <v>0</v>
      </c>
      <c r="G24" s="1965"/>
      <c r="H24" s="1967">
        <v>0</v>
      </c>
      <c r="I24" s="1965"/>
      <c r="J24" s="1967">
        <v>0</v>
      </c>
      <c r="K24" s="1965"/>
      <c r="L24" s="1967">
        <v>-272.8238416936365</v>
      </c>
      <c r="M24" s="1965"/>
      <c r="N24" s="1967">
        <v>-95973.151150000005</v>
      </c>
      <c r="O24" s="1965"/>
      <c r="P24" s="1965"/>
      <c r="Q24" s="1965"/>
      <c r="R24" s="1965"/>
      <c r="S24" s="1965"/>
      <c r="T24" s="1965"/>
      <c r="U24" s="1965"/>
      <c r="V24" s="1967">
        <v>-96245.974991693642</v>
      </c>
      <c r="W24" s="1965"/>
      <c r="X24" s="1967">
        <v>-282693.84885000001</v>
      </c>
    </row>
    <row r="25" spans="1:24" ht="15.6">
      <c r="A25" s="328"/>
      <c r="B25" s="474" t="s">
        <v>2383</v>
      </c>
      <c r="C25" s="1965"/>
      <c r="D25" s="1967">
        <v>-13534515</v>
      </c>
      <c r="E25" s="1965"/>
      <c r="F25" s="1967">
        <v>-10042.6</v>
      </c>
      <c r="G25" s="1965"/>
      <c r="H25" s="1967">
        <v>-2027909.3999999997</v>
      </c>
      <c r="I25" s="1965"/>
      <c r="J25" s="1967">
        <v>-11493010.83</v>
      </c>
      <c r="K25" s="1965"/>
      <c r="L25" s="1967">
        <v>-3552.0190042009212</v>
      </c>
      <c r="M25" s="1965"/>
      <c r="N25" s="1967">
        <v>46131.156580114744</v>
      </c>
      <c r="O25" s="1965"/>
      <c r="P25" s="1965"/>
      <c r="Q25" s="1965"/>
      <c r="R25" s="1965"/>
      <c r="S25" s="1965"/>
      <c r="T25" s="1965"/>
      <c r="U25" s="1965"/>
      <c r="V25" s="1967">
        <v>-13488383.692424087</v>
      </c>
      <c r="W25" s="1965"/>
      <c r="X25" s="1967">
        <v>-46131.307575913146</v>
      </c>
    </row>
    <row r="26" spans="1:24" ht="15.6">
      <c r="A26" s="328"/>
      <c r="B26" s="481" t="s">
        <v>2384</v>
      </c>
      <c r="C26" s="1965"/>
      <c r="D26" s="1967">
        <v>-12289526.1509958</v>
      </c>
      <c r="E26" s="1965"/>
      <c r="F26" s="1967">
        <v>0</v>
      </c>
      <c r="G26" s="1965"/>
      <c r="H26" s="1967">
        <v>0</v>
      </c>
      <c r="I26" s="1965"/>
      <c r="J26" s="1967">
        <v>0</v>
      </c>
      <c r="K26" s="1965"/>
      <c r="L26" s="1967">
        <v>-8848.0209958031774</v>
      </c>
      <c r="M26" s="1965"/>
      <c r="N26" s="1967">
        <v>-3112537.8720484995</v>
      </c>
      <c r="O26" s="1965"/>
      <c r="P26" s="1965"/>
      <c r="Q26" s="1965"/>
      <c r="R26" s="1965"/>
      <c r="S26" s="1965"/>
      <c r="T26" s="1965"/>
      <c r="U26" s="1965"/>
      <c r="V26" s="1967">
        <v>-3121385.8930443027</v>
      </c>
      <c r="W26" s="1965"/>
      <c r="X26" s="1967">
        <v>-9168140.257951498</v>
      </c>
    </row>
    <row r="27" spans="1:24" ht="15.6">
      <c r="A27" s="328"/>
      <c r="B27" s="474" t="s">
        <v>2385</v>
      </c>
      <c r="C27" s="1965"/>
      <c r="D27" s="1967">
        <v>-48038987.302589819</v>
      </c>
      <c r="E27" s="1965"/>
      <c r="F27" s="1967">
        <v>0</v>
      </c>
      <c r="G27" s="1965"/>
      <c r="H27" s="1967">
        <v>-23228760</v>
      </c>
      <c r="I27" s="1965"/>
      <c r="J27" s="1967">
        <v>-19012200</v>
      </c>
      <c r="K27" s="1965"/>
      <c r="L27" s="1967">
        <v>-5798028.3025898188</v>
      </c>
      <c r="M27" s="1965"/>
      <c r="N27" s="1967">
        <v>1118.4748500000001</v>
      </c>
      <c r="O27" s="1965"/>
      <c r="P27" s="1965"/>
      <c r="Q27" s="1965"/>
      <c r="R27" s="1965"/>
      <c r="S27" s="1965"/>
      <c r="T27" s="1965"/>
      <c r="U27" s="1965"/>
      <c r="V27" s="1967">
        <v>-48037869.82773982</v>
      </c>
      <c r="W27" s="1965"/>
      <c r="X27" s="1967">
        <v>-1117.474849998951</v>
      </c>
    </row>
    <row r="28" spans="1:24" ht="15.6">
      <c r="A28" s="328"/>
      <c r="B28" s="481" t="s">
        <v>2386</v>
      </c>
      <c r="C28" s="1965"/>
      <c r="D28" s="1967">
        <v>-56325479.497410171</v>
      </c>
      <c r="E28" s="1965"/>
      <c r="F28" s="1967">
        <v>0</v>
      </c>
      <c r="G28" s="1965"/>
      <c r="H28" s="1967">
        <v>0</v>
      </c>
      <c r="I28" s="1965"/>
      <c r="J28" s="1967">
        <v>0</v>
      </c>
      <c r="K28" s="1965"/>
      <c r="L28" s="1967">
        <v>-40554.497410170734</v>
      </c>
      <c r="M28" s="1965"/>
      <c r="N28" s="1967">
        <v>-14265414</v>
      </c>
      <c r="O28" s="1965"/>
      <c r="P28" s="1965"/>
      <c r="Q28" s="1965"/>
      <c r="R28" s="1965"/>
      <c r="S28" s="1965"/>
      <c r="T28" s="1965"/>
      <c r="U28" s="1965"/>
      <c r="V28" s="1967">
        <v>-14305968.497410171</v>
      </c>
      <c r="W28" s="1965"/>
      <c r="X28" s="1967">
        <v>-42019511</v>
      </c>
    </row>
    <row r="29" spans="1:24" ht="15.6">
      <c r="A29" s="328"/>
      <c r="B29" s="481" t="s">
        <v>2236</v>
      </c>
      <c r="C29" s="1965"/>
      <c r="D29" s="1967">
        <v>-21874096.227558713</v>
      </c>
      <c r="E29" s="1965"/>
      <c r="F29" s="1967">
        <v>0</v>
      </c>
      <c r="G29" s="1965"/>
      <c r="H29" s="1967">
        <v>0</v>
      </c>
      <c r="I29" s="1965"/>
      <c r="J29" s="1967">
        <v>-21858343.349999994</v>
      </c>
      <c r="K29" s="1965"/>
      <c r="L29" s="1967">
        <v>-15752.877558707338</v>
      </c>
      <c r="M29" s="1965"/>
      <c r="N29" s="1967">
        <v>47275.187045999999</v>
      </c>
      <c r="O29" s="1965"/>
      <c r="P29" s="1965"/>
      <c r="Q29" s="1965"/>
      <c r="R29" s="1965"/>
      <c r="S29" s="1965"/>
      <c r="T29" s="1965"/>
      <c r="U29" s="1965"/>
      <c r="V29" s="1967">
        <v>-21826821.040512703</v>
      </c>
      <c r="W29" s="1965"/>
      <c r="X29" s="1967">
        <v>-47275.187046010047</v>
      </c>
    </row>
    <row r="30" spans="1:24" ht="15.6">
      <c r="A30" s="328"/>
      <c r="B30" s="481" t="s">
        <v>2387</v>
      </c>
      <c r="C30" s="1965"/>
      <c r="D30" s="1967">
        <v>-49366836.135774612</v>
      </c>
      <c r="E30" s="1965"/>
      <c r="F30" s="1967"/>
      <c r="G30" s="1965"/>
      <c r="H30" s="1967">
        <v>0</v>
      </c>
      <c r="I30" s="1965"/>
      <c r="J30" s="1967">
        <v>0</v>
      </c>
      <c r="K30" s="1965"/>
      <c r="L30" s="1967">
        <v>-35546.152441285551</v>
      </c>
      <c r="M30" s="1965"/>
      <c r="N30" s="1967">
        <v>-12503015</v>
      </c>
      <c r="O30" s="1965"/>
      <c r="P30" s="1965"/>
      <c r="Q30" s="1965"/>
      <c r="R30" s="1965"/>
      <c r="S30" s="1965"/>
      <c r="T30" s="1965"/>
      <c r="U30" s="1965"/>
      <c r="V30" s="1967">
        <v>-12538561.152441286</v>
      </c>
      <c r="W30" s="1965"/>
      <c r="X30" s="1967">
        <v>-36828274.983333327</v>
      </c>
    </row>
    <row r="31" spans="1:24" ht="15.6">
      <c r="A31" s="328"/>
      <c r="B31" s="474" t="s">
        <v>2388</v>
      </c>
      <c r="C31" s="1965"/>
      <c r="D31" s="1967">
        <v>0</v>
      </c>
      <c r="E31" s="1965"/>
      <c r="F31" s="1967">
        <v>0</v>
      </c>
      <c r="G31" s="1965"/>
      <c r="H31" s="1967">
        <v>-64860</v>
      </c>
      <c r="I31" s="1965"/>
      <c r="J31" s="1967">
        <v>0</v>
      </c>
      <c r="K31" s="1965"/>
      <c r="L31" s="1967">
        <v>0</v>
      </c>
      <c r="M31" s="1965"/>
      <c r="N31" s="1967">
        <v>16438.767</v>
      </c>
      <c r="O31" s="1965"/>
      <c r="P31" s="1965"/>
      <c r="Q31" s="1965"/>
      <c r="R31" s="1965"/>
      <c r="S31" s="1965"/>
      <c r="T31" s="1965"/>
      <c r="U31" s="1965"/>
      <c r="V31" s="1967">
        <v>-48421.233</v>
      </c>
      <c r="W31" s="1965"/>
      <c r="X31" s="1967">
        <v>48421.233</v>
      </c>
    </row>
    <row r="32" spans="1:24" ht="15.6">
      <c r="A32" s="328"/>
      <c r="B32" s="474" t="s">
        <v>2389</v>
      </c>
      <c r="C32" s="1965"/>
      <c r="D32" s="1967">
        <v>0</v>
      </c>
      <c r="E32" s="1965"/>
      <c r="F32" s="1967">
        <v>0</v>
      </c>
      <c r="G32" s="1965"/>
      <c r="H32" s="1967">
        <v>-3510.3345925557305</v>
      </c>
      <c r="I32" s="1965"/>
      <c r="J32" s="1967">
        <v>0</v>
      </c>
      <c r="K32" s="1965"/>
      <c r="L32" s="1967">
        <v>0</v>
      </c>
      <c r="M32" s="1965"/>
      <c r="N32" s="1967">
        <v>889.69430248324988</v>
      </c>
      <c r="O32" s="1965"/>
      <c r="P32" s="1965"/>
      <c r="Q32" s="1965"/>
      <c r="R32" s="1965"/>
      <c r="S32" s="1965"/>
      <c r="T32" s="1965"/>
      <c r="U32" s="1965"/>
      <c r="V32" s="1967">
        <v>-2620.6402900724806</v>
      </c>
      <c r="W32" s="1965"/>
      <c r="X32" s="1967">
        <v>2620.6402900724806</v>
      </c>
    </row>
    <row r="33" spans="1:24" ht="15.6">
      <c r="A33" s="328"/>
      <c r="B33" s="474" t="s">
        <v>2390</v>
      </c>
      <c r="C33" s="1965"/>
      <c r="D33" s="1967">
        <v>0</v>
      </c>
      <c r="E33" s="1965"/>
      <c r="F33" s="1967">
        <v>0</v>
      </c>
      <c r="G33" s="1965"/>
      <c r="H33" s="1967">
        <v>-250911</v>
      </c>
      <c r="I33" s="1965"/>
      <c r="J33" s="1967">
        <v>0</v>
      </c>
      <c r="K33" s="1965"/>
      <c r="L33" s="1967">
        <v>0</v>
      </c>
      <c r="M33" s="1965"/>
      <c r="N33" s="1967">
        <v>63593.392950000001</v>
      </c>
      <c r="O33" s="1965"/>
      <c r="P33" s="1965"/>
      <c r="Q33" s="1965"/>
      <c r="R33" s="1965"/>
      <c r="S33" s="1965"/>
      <c r="T33" s="1965"/>
      <c r="U33" s="1965"/>
      <c r="V33" s="1967">
        <v>-187317.60704999999</v>
      </c>
      <c r="W33" s="1965"/>
      <c r="X33" s="1967">
        <v>187317.60704999999</v>
      </c>
    </row>
    <row r="34" spans="1:24" ht="15.6">
      <c r="A34" s="328"/>
      <c r="B34" s="474" t="s">
        <v>2391</v>
      </c>
      <c r="C34" s="1965"/>
      <c r="D34" s="1967">
        <v>0</v>
      </c>
      <c r="E34" s="1965"/>
      <c r="F34" s="1967">
        <v>0</v>
      </c>
      <c r="G34" s="1965"/>
      <c r="H34" s="1967">
        <v>0</v>
      </c>
      <c r="I34" s="1965"/>
      <c r="J34" s="1967">
        <v>0</v>
      </c>
      <c r="K34" s="1965"/>
      <c r="L34" s="1967">
        <v>0</v>
      </c>
      <c r="M34" s="1965"/>
      <c r="N34" s="1967">
        <v>0</v>
      </c>
      <c r="O34" s="1965"/>
      <c r="P34" s="1965"/>
      <c r="Q34" s="1965"/>
      <c r="R34" s="1965"/>
      <c r="S34" s="1965"/>
      <c r="T34" s="1965"/>
      <c r="U34" s="1965"/>
      <c r="V34" s="1967">
        <v>0</v>
      </c>
      <c r="W34" s="1965"/>
      <c r="X34" s="1967">
        <v>0</v>
      </c>
    </row>
    <row r="35" spans="1:24" ht="15.6">
      <c r="A35" s="328"/>
      <c r="B35" s="474" t="s">
        <v>2392</v>
      </c>
      <c r="C35" s="1965"/>
      <c r="D35" s="1967">
        <v>0</v>
      </c>
      <c r="E35" s="1965"/>
      <c r="F35" s="1967">
        <v>0</v>
      </c>
      <c r="G35" s="1965"/>
      <c r="H35" s="1967">
        <v>0</v>
      </c>
      <c r="I35" s="1965"/>
      <c r="J35" s="1967">
        <v>0</v>
      </c>
      <c r="K35" s="1965"/>
      <c r="L35" s="1967">
        <v>0</v>
      </c>
      <c r="M35" s="1965"/>
      <c r="N35" s="1967">
        <v>0</v>
      </c>
      <c r="O35" s="1965"/>
      <c r="P35" s="1965"/>
      <c r="Q35" s="1965"/>
      <c r="R35" s="1965"/>
      <c r="S35" s="1965"/>
      <c r="T35" s="1965"/>
      <c r="U35" s="1965"/>
      <c r="V35" s="1967">
        <v>0</v>
      </c>
      <c r="W35" s="1965"/>
      <c r="X35" s="1967">
        <v>0</v>
      </c>
    </row>
    <row r="36" spans="1:24" ht="15.6">
      <c r="A36" s="328"/>
      <c r="B36" s="474" t="s">
        <v>2393</v>
      </c>
      <c r="C36" s="1965"/>
      <c r="D36" s="1967">
        <v>-58305038.073750004</v>
      </c>
      <c r="E36" s="1965"/>
      <c r="F36" s="1967">
        <v>0</v>
      </c>
      <c r="G36" s="1965"/>
      <c r="H36" s="1967">
        <v>0</v>
      </c>
      <c r="I36" s="1965"/>
      <c r="J36" s="1967">
        <v>0</v>
      </c>
      <c r="K36" s="1965"/>
      <c r="L36" s="1967">
        <v>-58262811.206628002</v>
      </c>
      <c r="M36" s="1965"/>
      <c r="N36" s="1967">
        <v>-10702.399472071393</v>
      </c>
      <c r="O36" s="1965"/>
      <c r="P36" s="1965"/>
      <c r="Q36" s="1965"/>
      <c r="R36" s="1965"/>
      <c r="S36" s="1965"/>
      <c r="T36" s="1965"/>
      <c r="U36" s="1965"/>
      <c r="V36" s="1967">
        <v>-58273513.606100075</v>
      </c>
      <c r="W36" s="1965"/>
      <c r="X36" s="1967">
        <v>-31524.467649929225</v>
      </c>
    </row>
    <row r="37" spans="1:24" ht="15.6">
      <c r="A37" s="328"/>
      <c r="B37" s="474" t="s">
        <v>2394</v>
      </c>
      <c r="C37" s="1965"/>
      <c r="D37" s="1967">
        <v>-61357013.846250013</v>
      </c>
      <c r="E37" s="1965"/>
      <c r="F37" s="1967">
        <v>0</v>
      </c>
      <c r="G37" s="1965"/>
      <c r="H37" s="1967">
        <v>0</v>
      </c>
      <c r="I37" s="1965"/>
      <c r="J37" s="1967">
        <v>0</v>
      </c>
      <c r="K37" s="1965"/>
      <c r="L37" s="1967">
        <v>-61357035.122499995</v>
      </c>
      <c r="M37" s="1965"/>
      <c r="N37" s="1967">
        <v>5.3924655580434946</v>
      </c>
      <c r="O37" s="1965"/>
      <c r="P37" s="1965"/>
      <c r="Q37" s="1965"/>
      <c r="R37" s="1965"/>
      <c r="S37" s="1965"/>
      <c r="T37" s="1965"/>
      <c r="U37" s="1965"/>
      <c r="V37" s="1967">
        <v>-61357029.730034433</v>
      </c>
      <c r="W37" s="1965"/>
      <c r="X37" s="1967">
        <v>15.883784420788288</v>
      </c>
    </row>
    <row r="38" spans="1:24" ht="15.6">
      <c r="A38" s="328"/>
      <c r="B38" s="474" t="s">
        <v>2395</v>
      </c>
      <c r="C38" s="1965"/>
      <c r="D38" s="1967">
        <v>0</v>
      </c>
      <c r="E38" s="1965"/>
      <c r="F38" s="1967">
        <v>0</v>
      </c>
      <c r="G38" s="1965"/>
      <c r="H38" s="1967">
        <v>0</v>
      </c>
      <c r="I38" s="1965"/>
      <c r="J38" s="1967">
        <v>0</v>
      </c>
      <c r="K38" s="1965"/>
      <c r="L38" s="1967">
        <v>0</v>
      </c>
      <c r="M38" s="1965"/>
      <c r="N38" s="1967">
        <v>5798069</v>
      </c>
      <c r="O38" s="1965"/>
      <c r="P38" s="1965"/>
      <c r="Q38" s="1965"/>
      <c r="R38" s="1965"/>
      <c r="S38" s="1965"/>
      <c r="T38" s="1965"/>
      <c r="U38" s="1965"/>
      <c r="V38" s="1967">
        <v>5798069</v>
      </c>
      <c r="W38" s="1965"/>
      <c r="X38" s="1967">
        <v>-5798069</v>
      </c>
    </row>
    <row r="39" spans="1:24" ht="15.6">
      <c r="A39" s="328"/>
      <c r="B39" s="474" t="s">
        <v>2396</v>
      </c>
      <c r="C39" s="1965"/>
      <c r="D39" s="1967">
        <v>0</v>
      </c>
      <c r="E39" s="1965"/>
      <c r="F39" s="1967">
        <v>0</v>
      </c>
      <c r="G39" s="1965"/>
      <c r="H39" s="1967">
        <v>0</v>
      </c>
      <c r="I39" s="1965"/>
      <c r="J39" s="1967">
        <v>0</v>
      </c>
      <c r="K39" s="1965"/>
      <c r="L39" s="1967">
        <v>0</v>
      </c>
      <c r="M39" s="1965"/>
      <c r="N39" s="1967">
        <v>0</v>
      </c>
      <c r="O39" s="1965"/>
      <c r="P39" s="1965"/>
      <c r="Q39" s="1965"/>
      <c r="R39" s="1965"/>
      <c r="S39" s="1965"/>
      <c r="T39" s="1965"/>
      <c r="U39" s="1965"/>
      <c r="V39" s="1967">
        <v>0</v>
      </c>
      <c r="W39" s="1965"/>
      <c r="X39" s="1967">
        <v>0</v>
      </c>
    </row>
    <row r="40" spans="1:24" ht="15.6">
      <c r="A40" s="328"/>
      <c r="B40" s="474" t="s">
        <v>1142</v>
      </c>
      <c r="C40" s="1965"/>
      <c r="D40" s="1967">
        <v>0</v>
      </c>
      <c r="E40" s="1965"/>
      <c r="F40" s="1967">
        <v>0</v>
      </c>
      <c r="G40" s="1965"/>
      <c r="H40" s="1967">
        <v>-23500.100000000002</v>
      </c>
      <c r="I40" s="1965"/>
      <c r="J40" s="1967">
        <v>0</v>
      </c>
      <c r="K40" s="1965"/>
      <c r="L40" s="1967">
        <v>0</v>
      </c>
      <c r="M40" s="1965"/>
      <c r="N40" s="1967">
        <v>5956.1003450000007</v>
      </c>
      <c r="O40" s="1965"/>
      <c r="P40" s="1965"/>
      <c r="Q40" s="1965"/>
      <c r="R40" s="1965"/>
      <c r="S40" s="1965"/>
      <c r="T40" s="1965"/>
      <c r="U40" s="1965"/>
      <c r="V40" s="1967">
        <v>-17543.999655</v>
      </c>
      <c r="W40" s="1965"/>
      <c r="X40" s="1967">
        <v>17543.999655</v>
      </c>
    </row>
    <row r="41" spans="1:24" ht="15.6">
      <c r="A41" s="328"/>
      <c r="B41" s="474" t="s">
        <v>2397</v>
      </c>
      <c r="C41" s="1965"/>
      <c r="D41" s="1967">
        <v>0</v>
      </c>
      <c r="E41" s="1965"/>
      <c r="F41" s="1967">
        <v>0</v>
      </c>
      <c r="G41" s="1965"/>
      <c r="H41" s="1967">
        <v>0</v>
      </c>
      <c r="I41" s="1965"/>
      <c r="J41" s="1967">
        <v>-185749.31999999995</v>
      </c>
      <c r="K41" s="1965"/>
      <c r="L41" s="1967">
        <v>-128300</v>
      </c>
      <c r="M41" s="1965"/>
      <c r="N41" s="1967">
        <v>79595.800153999997</v>
      </c>
      <c r="O41" s="1965"/>
      <c r="P41" s="1965"/>
      <c r="Q41" s="1965"/>
      <c r="R41" s="1965"/>
      <c r="S41" s="1965"/>
      <c r="T41" s="1965"/>
      <c r="U41" s="1965"/>
      <c r="V41" s="1967">
        <v>-234453.51984599995</v>
      </c>
      <c r="W41" s="1965"/>
      <c r="X41" s="1967">
        <v>234453.51984599995</v>
      </c>
    </row>
    <row r="42" spans="1:24" ht="15.6">
      <c r="A42" s="328"/>
      <c r="B42" s="481" t="s">
        <v>2398</v>
      </c>
      <c r="C42" s="1965"/>
      <c r="D42" s="1967">
        <v>0</v>
      </c>
      <c r="E42" s="1965"/>
      <c r="F42" s="1967">
        <v>0</v>
      </c>
      <c r="G42" s="1965"/>
      <c r="H42" s="1967">
        <v>0</v>
      </c>
      <c r="I42" s="1965"/>
      <c r="J42" s="1967">
        <v>0</v>
      </c>
      <c r="K42" s="1965"/>
      <c r="L42" s="1967">
        <v>0</v>
      </c>
      <c r="M42" s="1965"/>
      <c r="N42" s="1967">
        <v>0</v>
      </c>
      <c r="O42" s="1965"/>
      <c r="P42" s="1965"/>
      <c r="Q42" s="1965"/>
      <c r="R42" s="1965"/>
      <c r="S42" s="1965"/>
      <c r="T42" s="1965"/>
      <c r="U42" s="1965"/>
      <c r="V42" s="1967">
        <v>0</v>
      </c>
      <c r="W42" s="1965"/>
      <c r="X42" s="1967">
        <v>0</v>
      </c>
    </row>
    <row r="43" spans="1:24" ht="15.6">
      <c r="A43" s="328"/>
      <c r="B43" s="481" t="s">
        <v>1188</v>
      </c>
      <c r="C43" s="1965"/>
      <c r="D43" s="1967">
        <v>0</v>
      </c>
      <c r="E43" s="1965"/>
      <c r="F43" s="1967">
        <v>0</v>
      </c>
      <c r="G43" s="1965"/>
      <c r="H43" s="1967">
        <v>0</v>
      </c>
      <c r="I43" s="1965"/>
      <c r="J43" s="1967">
        <v>0</v>
      </c>
      <c r="K43" s="1965"/>
      <c r="L43" s="1967">
        <v>0</v>
      </c>
      <c r="M43" s="1965"/>
      <c r="N43" s="1967">
        <v>0</v>
      </c>
      <c r="O43" s="1965"/>
      <c r="P43" s="1965"/>
      <c r="Q43" s="1965"/>
      <c r="R43" s="1965"/>
      <c r="S43" s="1965"/>
      <c r="T43" s="1965"/>
      <c r="U43" s="1965"/>
      <c r="V43" s="1967">
        <v>0</v>
      </c>
      <c r="W43" s="1965"/>
      <c r="X43" s="1967">
        <v>0</v>
      </c>
    </row>
    <row r="44" spans="1:24" ht="15.6">
      <c r="A44" s="328"/>
      <c r="B44" s="481" t="s">
        <v>2399</v>
      </c>
      <c r="C44" s="1965"/>
      <c r="D44" s="1967">
        <v>0</v>
      </c>
      <c r="E44" s="1965"/>
      <c r="F44" s="1967">
        <v>0</v>
      </c>
      <c r="G44" s="1965"/>
      <c r="H44" s="1967">
        <v>0</v>
      </c>
      <c r="I44" s="1965"/>
      <c r="J44" s="1967">
        <v>0</v>
      </c>
      <c r="K44" s="1965"/>
      <c r="L44" s="1967">
        <v>0</v>
      </c>
      <c r="M44" s="1965"/>
      <c r="N44" s="1967">
        <v>0</v>
      </c>
      <c r="O44" s="1965"/>
      <c r="P44" s="1965"/>
      <c r="Q44" s="1965"/>
      <c r="R44" s="1965"/>
      <c r="S44" s="1965"/>
      <c r="T44" s="1965"/>
      <c r="U44" s="1965"/>
      <c r="V44" s="1967">
        <v>0</v>
      </c>
      <c r="W44" s="1965"/>
      <c r="X44" s="1967">
        <v>0</v>
      </c>
    </row>
    <row r="45" spans="1:24" ht="15.6">
      <c r="A45" s="328"/>
      <c r="B45" s="481" t="s">
        <v>2400</v>
      </c>
      <c r="C45" s="1965"/>
      <c r="D45" s="1967">
        <v>0</v>
      </c>
      <c r="E45" s="1965"/>
      <c r="F45" s="1967">
        <v>0</v>
      </c>
      <c r="G45" s="1965"/>
      <c r="H45" s="1967">
        <v>0</v>
      </c>
      <c r="I45" s="1965"/>
      <c r="J45" s="1967">
        <v>0</v>
      </c>
      <c r="K45" s="1965"/>
      <c r="L45" s="1967">
        <v>0</v>
      </c>
      <c r="M45" s="1965"/>
      <c r="N45" s="1967">
        <v>-12936000</v>
      </c>
      <c r="O45" s="1965"/>
      <c r="P45" s="1965"/>
      <c r="Q45" s="1965"/>
      <c r="R45" s="1965"/>
      <c r="S45" s="1965"/>
      <c r="T45" s="1965"/>
      <c r="U45" s="1965"/>
      <c r="V45" s="1967">
        <v>-12936000</v>
      </c>
      <c r="W45" s="1965"/>
      <c r="X45" s="1967">
        <v>12936000</v>
      </c>
    </row>
    <row r="46" spans="1:24" ht="15.6">
      <c r="A46" s="328"/>
      <c r="B46" s="481" t="s">
        <v>2401</v>
      </c>
      <c r="C46" s="1965"/>
      <c r="D46" s="1967">
        <v>0</v>
      </c>
      <c r="E46" s="1965"/>
      <c r="F46" s="1967">
        <v>0</v>
      </c>
      <c r="G46" s="1965"/>
      <c r="H46" s="1967">
        <v>0</v>
      </c>
      <c r="I46" s="1965"/>
      <c r="J46" s="1967">
        <v>0</v>
      </c>
      <c r="K46" s="1965"/>
      <c r="L46" s="1967">
        <v>0</v>
      </c>
      <c r="M46" s="1965"/>
      <c r="N46" s="1967">
        <v>0</v>
      </c>
      <c r="O46" s="1965"/>
      <c r="P46" s="1965"/>
      <c r="Q46" s="1965"/>
      <c r="R46" s="1965"/>
      <c r="S46" s="1965"/>
      <c r="T46" s="1965"/>
      <c r="U46" s="1965"/>
      <c r="V46" s="1967">
        <v>0</v>
      </c>
      <c r="W46" s="1965"/>
      <c r="X46" s="1967">
        <v>0</v>
      </c>
    </row>
    <row r="47" spans="1:24" ht="15.6">
      <c r="A47" s="328"/>
      <c r="B47" s="474"/>
      <c r="C47" s="1965"/>
      <c r="D47" s="1966" t="s">
        <v>2332</v>
      </c>
      <c r="E47" s="1965"/>
      <c r="F47" s="1966" t="s">
        <v>2332</v>
      </c>
      <c r="G47" s="1965"/>
      <c r="H47" s="1966" t="s">
        <v>2332</v>
      </c>
      <c r="I47" s="1965"/>
      <c r="J47" s="1966" t="s">
        <v>2332</v>
      </c>
      <c r="K47" s="1965"/>
      <c r="L47" s="1966" t="s">
        <v>2332</v>
      </c>
      <c r="M47" s="1965"/>
      <c r="N47" s="1966" t="s">
        <v>2332</v>
      </c>
      <c r="O47" s="1965"/>
      <c r="P47" s="1966" t="s">
        <v>2332</v>
      </c>
      <c r="Q47" s="1965"/>
      <c r="R47" s="1966" t="s">
        <v>2332</v>
      </c>
      <c r="S47" s="1965"/>
      <c r="T47" s="1966" t="s">
        <v>2332</v>
      </c>
      <c r="U47" s="1965"/>
      <c r="V47" s="1966" t="s">
        <v>2332</v>
      </c>
      <c r="W47" s="1965"/>
      <c r="X47" s="1966" t="s">
        <v>2332</v>
      </c>
    </row>
    <row r="48" spans="1:24" ht="15.6">
      <c r="A48" s="328"/>
      <c r="B48" s="474" t="s">
        <v>2348</v>
      </c>
      <c r="C48" s="1965"/>
      <c r="D48" s="1965">
        <v>-1069081961.6120512</v>
      </c>
      <c r="E48" s="1965"/>
      <c r="F48" s="1965">
        <v>-682042101.83143294</v>
      </c>
      <c r="G48" s="1965"/>
      <c r="H48" s="1965">
        <v>-89784199.66822423</v>
      </c>
      <c r="I48" s="1965"/>
      <c r="J48" s="1965">
        <v>-53387011.499999993</v>
      </c>
      <c r="K48" s="1965"/>
      <c r="L48" s="1965">
        <v>-126204224.97423257</v>
      </c>
      <c r="M48" s="1965"/>
      <c r="N48" s="1965">
        <v>-36612844.573920175</v>
      </c>
      <c r="O48" s="1965"/>
      <c r="P48" s="1965">
        <v>0</v>
      </c>
      <c r="Q48" s="1965"/>
      <c r="R48" s="1965">
        <v>0</v>
      </c>
      <c r="S48" s="1965"/>
      <c r="T48" s="1965">
        <v>0</v>
      </c>
      <c r="U48" s="1965"/>
      <c r="V48" s="1965">
        <v>-988030382.54780984</v>
      </c>
      <c r="W48" s="1965"/>
      <c r="X48" s="1965">
        <v>-81051579.06424126</v>
      </c>
    </row>
    <row r="49" spans="1:24" ht="15.6">
      <c r="A49" s="328"/>
      <c r="B49" s="474"/>
      <c r="C49" s="1965"/>
      <c r="D49" s="1966" t="s">
        <v>2332</v>
      </c>
      <c r="E49" s="1965"/>
      <c r="F49" s="1966" t="s">
        <v>2332</v>
      </c>
      <c r="G49" s="1965"/>
      <c r="H49" s="1966" t="s">
        <v>2332</v>
      </c>
      <c r="I49" s="1965"/>
      <c r="J49" s="1966" t="s">
        <v>2332</v>
      </c>
      <c r="K49" s="1965"/>
      <c r="L49" s="1966" t="s">
        <v>2332</v>
      </c>
      <c r="M49" s="1965"/>
      <c r="N49" s="1966" t="s">
        <v>2332</v>
      </c>
      <c r="O49" s="1965"/>
      <c r="P49" s="1966" t="s">
        <v>2332</v>
      </c>
      <c r="Q49" s="1965"/>
      <c r="R49" s="1966" t="s">
        <v>2332</v>
      </c>
      <c r="S49" s="1965"/>
      <c r="T49" s="1966" t="s">
        <v>2332</v>
      </c>
      <c r="U49" s="1965"/>
      <c r="V49" s="1966" t="s">
        <v>2332</v>
      </c>
      <c r="W49" s="1965"/>
      <c r="X49" s="1966" t="s">
        <v>2332</v>
      </c>
    </row>
    <row r="50" spans="1:24" ht="15.6">
      <c r="A50" s="328"/>
      <c r="B50" s="474" t="s">
        <v>2349</v>
      </c>
      <c r="C50" s="1965"/>
      <c r="D50" s="1965">
        <v>1526482831.4724772</v>
      </c>
      <c r="E50" s="1965"/>
      <c r="F50" s="1965">
        <v>626460.90775322914</v>
      </c>
      <c r="G50" s="1965"/>
      <c r="H50" s="1965">
        <v>393467809.81438375</v>
      </c>
      <c r="I50" s="1965"/>
      <c r="J50" s="1965">
        <v>533874208.25363982</v>
      </c>
      <c r="K50" s="1965"/>
      <c r="L50" s="1965">
        <v>102154437.74687813</v>
      </c>
      <c r="M50" s="1965"/>
      <c r="N50" s="1965">
        <v>-9168520.0639201738</v>
      </c>
      <c r="O50" s="1965"/>
      <c r="P50" s="1965">
        <v>14283684.749999985</v>
      </c>
      <c r="Q50" s="1965"/>
      <c r="R50" s="1965">
        <v>-12876021</v>
      </c>
      <c r="S50" s="1965"/>
      <c r="T50" s="1965">
        <v>0</v>
      </c>
      <c r="U50" s="1965"/>
      <c r="V50" s="1965">
        <v>1022362060.4087348</v>
      </c>
      <c r="W50" s="1965"/>
      <c r="X50" s="1965">
        <v>504120771.0637424</v>
      </c>
    </row>
    <row r="51" spans="1:24">
      <c r="D51" t="s">
        <v>2332</v>
      </c>
      <c r="F51" t="s">
        <v>2332</v>
      </c>
      <c r="H51" t="s">
        <v>2332</v>
      </c>
      <c r="J51" t="s">
        <v>2332</v>
      </c>
      <c r="L51" t="s">
        <v>2332</v>
      </c>
      <c r="N51" t="s">
        <v>2332</v>
      </c>
      <c r="P51" t="s">
        <v>2332</v>
      </c>
      <c r="R51" t="s">
        <v>2332</v>
      </c>
      <c r="T51" t="s">
        <v>2332</v>
      </c>
      <c r="V51" t="s">
        <v>2332</v>
      </c>
      <c r="X51" t="s">
        <v>2332</v>
      </c>
    </row>
    <row r="52" spans="1:24">
      <c r="B52" t="s">
        <v>2350</v>
      </c>
    </row>
    <row r="54" spans="1:24">
      <c r="B54" t="s">
        <v>2332</v>
      </c>
    </row>
    <row r="55" spans="1:24">
      <c r="B55" t="s">
        <v>9147</v>
      </c>
      <c r="P55">
        <v>0</v>
      </c>
      <c r="V55">
        <v>0</v>
      </c>
      <c r="X55">
        <v>0</v>
      </c>
    </row>
    <row r="56" spans="1:24">
      <c r="D56" t="s">
        <v>2332</v>
      </c>
      <c r="F56" t="s">
        <v>2332</v>
      </c>
      <c r="H56" t="s">
        <v>2332</v>
      </c>
      <c r="J56" t="s">
        <v>2332</v>
      </c>
      <c r="L56" t="s">
        <v>2332</v>
      </c>
      <c r="N56" t="s">
        <v>2332</v>
      </c>
      <c r="P56" t="s">
        <v>2332</v>
      </c>
      <c r="R56" t="s">
        <v>2332</v>
      </c>
      <c r="T56" t="s">
        <v>2332</v>
      </c>
      <c r="V56" t="s">
        <v>2332</v>
      </c>
      <c r="X56" t="s">
        <v>2332</v>
      </c>
    </row>
    <row r="57" spans="1:24">
      <c r="B57" t="s">
        <v>2351</v>
      </c>
      <c r="D57">
        <v>0</v>
      </c>
      <c r="F57">
        <v>0</v>
      </c>
      <c r="H57">
        <v>0</v>
      </c>
      <c r="J57">
        <v>0</v>
      </c>
      <c r="L57">
        <v>0</v>
      </c>
      <c r="N57">
        <v>0</v>
      </c>
      <c r="P57">
        <v>0</v>
      </c>
      <c r="R57">
        <v>0</v>
      </c>
      <c r="T57">
        <v>0</v>
      </c>
      <c r="V57">
        <v>0</v>
      </c>
      <c r="X57">
        <v>0</v>
      </c>
    </row>
    <row r="58" spans="1:24">
      <c r="D58" t="s">
        <v>2332</v>
      </c>
      <c r="F58" t="s">
        <v>2332</v>
      </c>
      <c r="H58" t="s">
        <v>2332</v>
      </c>
      <c r="J58" t="s">
        <v>2332</v>
      </c>
      <c r="L58" t="s">
        <v>2332</v>
      </c>
      <c r="N58" t="s">
        <v>2332</v>
      </c>
      <c r="P58" t="s">
        <v>2332</v>
      </c>
      <c r="R58" t="s">
        <v>2332</v>
      </c>
      <c r="T58" t="s">
        <v>2332</v>
      </c>
      <c r="V58" t="s">
        <v>2332</v>
      </c>
      <c r="X58" t="s">
        <v>2332</v>
      </c>
    </row>
    <row r="59" spans="1:24">
      <c r="B59" t="s">
        <v>2352</v>
      </c>
      <c r="C59" t="s">
        <v>2334</v>
      </c>
      <c r="D59">
        <v>1528704694.6275728</v>
      </c>
      <c r="E59" t="s">
        <v>2334</v>
      </c>
      <c r="F59">
        <v>626460.90775322914</v>
      </c>
      <c r="G59" t="s">
        <v>2334</v>
      </c>
      <c r="H59">
        <v>393467809.81438375</v>
      </c>
      <c r="I59" t="s">
        <v>2334</v>
      </c>
      <c r="J59">
        <v>533874208.25363982</v>
      </c>
      <c r="K59" t="s">
        <v>2334</v>
      </c>
      <c r="L59">
        <v>102154437.74687813</v>
      </c>
      <c r="M59" t="s">
        <v>2334</v>
      </c>
      <c r="N59">
        <v>-9168520.0639201738</v>
      </c>
      <c r="O59" t="s">
        <v>2334</v>
      </c>
      <c r="P59">
        <v>14283684.749999985</v>
      </c>
      <c r="Q59" t="s">
        <v>2334</v>
      </c>
      <c r="R59">
        <v>-12876021</v>
      </c>
      <c r="S59" t="s">
        <v>2334</v>
      </c>
      <c r="T59">
        <v>0</v>
      </c>
      <c r="U59" t="s">
        <v>2334</v>
      </c>
      <c r="V59">
        <v>1022362060.4087348</v>
      </c>
      <c r="W59" t="s">
        <v>2334</v>
      </c>
      <c r="X59">
        <v>506342634.21883798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</sheetPr>
  <dimension ref="A1:X68"/>
  <sheetViews>
    <sheetView tabSelected="1" showOutlineSymbols="0" workbookViewId="0"/>
  </sheetViews>
  <sheetFormatPr defaultRowHeight="14.4"/>
  <cols>
    <col min="1" max="1" width="22.44140625" customWidth="1"/>
    <col min="2" max="2" width="17.109375" customWidth="1"/>
    <col min="3" max="3" width="13.33203125" bestFit="1" customWidth="1"/>
    <col min="4" max="4" width="15.5546875" bestFit="1" customWidth="1"/>
    <col min="5" max="5" width="12.5546875" bestFit="1" customWidth="1"/>
    <col min="6" max="6" width="12.88671875" bestFit="1" customWidth="1"/>
    <col min="7" max="7" width="13.33203125" bestFit="1" customWidth="1"/>
    <col min="10" max="10" width="13.6640625" customWidth="1"/>
    <col min="11" max="13" width="10.6640625" bestFit="1" customWidth="1"/>
    <col min="19" max="19" width="9.88671875" bestFit="1" customWidth="1"/>
    <col min="20" max="20" width="12.6640625" bestFit="1" customWidth="1"/>
    <col min="21" max="21" width="26.33203125" bestFit="1" customWidth="1"/>
    <col min="22" max="22" width="36.109375" bestFit="1" customWidth="1"/>
    <col min="258" max="258" width="22.44140625" customWidth="1"/>
    <col min="259" max="259" width="17.109375" customWidth="1"/>
    <col min="260" max="260" width="13.33203125" bestFit="1" customWidth="1"/>
    <col min="261" max="261" width="15.5546875" bestFit="1" customWidth="1"/>
    <col min="262" max="262" width="12.5546875" bestFit="1" customWidth="1"/>
    <col min="263" max="263" width="12.88671875" bestFit="1" customWidth="1"/>
    <col min="264" max="264" width="13.33203125" bestFit="1" customWidth="1"/>
    <col min="514" max="514" width="22.44140625" customWidth="1"/>
    <col min="515" max="515" width="17.109375" customWidth="1"/>
    <col min="516" max="516" width="13.33203125" bestFit="1" customWidth="1"/>
    <col min="517" max="517" width="15.5546875" bestFit="1" customWidth="1"/>
    <col min="518" max="518" width="12.5546875" bestFit="1" customWidth="1"/>
    <col min="519" max="519" width="12.88671875" bestFit="1" customWidth="1"/>
    <col min="520" max="520" width="13.33203125" bestFit="1" customWidth="1"/>
    <col min="770" max="770" width="22.44140625" customWidth="1"/>
    <col min="771" max="771" width="17.109375" customWidth="1"/>
    <col min="772" max="772" width="13.33203125" bestFit="1" customWidth="1"/>
    <col min="773" max="773" width="15.5546875" bestFit="1" customWidth="1"/>
    <col min="774" max="774" width="12.5546875" bestFit="1" customWidth="1"/>
    <col min="775" max="775" width="12.88671875" bestFit="1" customWidth="1"/>
    <col min="776" max="776" width="13.33203125" bestFit="1" customWidth="1"/>
    <col min="1026" max="1026" width="22.44140625" customWidth="1"/>
    <col min="1027" max="1027" width="17.109375" customWidth="1"/>
    <col min="1028" max="1028" width="13.33203125" bestFit="1" customWidth="1"/>
    <col min="1029" max="1029" width="15.5546875" bestFit="1" customWidth="1"/>
    <col min="1030" max="1030" width="12.5546875" bestFit="1" customWidth="1"/>
    <col min="1031" max="1031" width="12.88671875" bestFit="1" customWidth="1"/>
    <col min="1032" max="1032" width="13.33203125" bestFit="1" customWidth="1"/>
    <col min="1282" max="1282" width="22.44140625" customWidth="1"/>
    <col min="1283" max="1283" width="17.109375" customWidth="1"/>
    <col min="1284" max="1284" width="13.33203125" bestFit="1" customWidth="1"/>
    <col min="1285" max="1285" width="15.5546875" bestFit="1" customWidth="1"/>
    <col min="1286" max="1286" width="12.5546875" bestFit="1" customWidth="1"/>
    <col min="1287" max="1287" width="12.88671875" bestFit="1" customWidth="1"/>
    <col min="1288" max="1288" width="13.33203125" bestFit="1" customWidth="1"/>
    <col min="1538" max="1538" width="22.44140625" customWidth="1"/>
    <col min="1539" max="1539" width="17.109375" customWidth="1"/>
    <col min="1540" max="1540" width="13.33203125" bestFit="1" customWidth="1"/>
    <col min="1541" max="1541" width="15.5546875" bestFit="1" customWidth="1"/>
    <col min="1542" max="1542" width="12.5546875" bestFit="1" customWidth="1"/>
    <col min="1543" max="1543" width="12.88671875" bestFit="1" customWidth="1"/>
    <col min="1544" max="1544" width="13.33203125" bestFit="1" customWidth="1"/>
    <col min="1794" max="1794" width="22.44140625" customWidth="1"/>
    <col min="1795" max="1795" width="17.109375" customWidth="1"/>
    <col min="1796" max="1796" width="13.33203125" bestFit="1" customWidth="1"/>
    <col min="1797" max="1797" width="15.5546875" bestFit="1" customWidth="1"/>
    <col min="1798" max="1798" width="12.5546875" bestFit="1" customWidth="1"/>
    <col min="1799" max="1799" width="12.88671875" bestFit="1" customWidth="1"/>
    <col min="1800" max="1800" width="13.33203125" bestFit="1" customWidth="1"/>
    <col min="2050" max="2050" width="22.44140625" customWidth="1"/>
    <col min="2051" max="2051" width="17.109375" customWidth="1"/>
    <col min="2052" max="2052" width="13.33203125" bestFit="1" customWidth="1"/>
    <col min="2053" max="2053" width="15.5546875" bestFit="1" customWidth="1"/>
    <col min="2054" max="2054" width="12.5546875" bestFit="1" customWidth="1"/>
    <col min="2055" max="2055" width="12.88671875" bestFit="1" customWidth="1"/>
    <col min="2056" max="2056" width="13.33203125" bestFit="1" customWidth="1"/>
    <col min="2306" max="2306" width="22.44140625" customWidth="1"/>
    <col min="2307" max="2307" width="17.109375" customWidth="1"/>
    <col min="2308" max="2308" width="13.33203125" bestFit="1" customWidth="1"/>
    <col min="2309" max="2309" width="15.5546875" bestFit="1" customWidth="1"/>
    <col min="2310" max="2310" width="12.5546875" bestFit="1" customWidth="1"/>
    <col min="2311" max="2311" width="12.88671875" bestFit="1" customWidth="1"/>
    <col min="2312" max="2312" width="13.33203125" bestFit="1" customWidth="1"/>
    <col min="2562" max="2562" width="22.44140625" customWidth="1"/>
    <col min="2563" max="2563" width="17.109375" customWidth="1"/>
    <col min="2564" max="2564" width="13.33203125" bestFit="1" customWidth="1"/>
    <col min="2565" max="2565" width="15.5546875" bestFit="1" customWidth="1"/>
    <col min="2566" max="2566" width="12.5546875" bestFit="1" customWidth="1"/>
    <col min="2567" max="2567" width="12.88671875" bestFit="1" customWidth="1"/>
    <col min="2568" max="2568" width="13.33203125" bestFit="1" customWidth="1"/>
    <col min="2818" max="2818" width="22.44140625" customWidth="1"/>
    <col min="2819" max="2819" width="17.109375" customWidth="1"/>
    <col min="2820" max="2820" width="13.33203125" bestFit="1" customWidth="1"/>
    <col min="2821" max="2821" width="15.5546875" bestFit="1" customWidth="1"/>
    <col min="2822" max="2822" width="12.5546875" bestFit="1" customWidth="1"/>
    <col min="2823" max="2823" width="12.88671875" bestFit="1" customWidth="1"/>
    <col min="2824" max="2824" width="13.33203125" bestFit="1" customWidth="1"/>
    <col min="3074" max="3074" width="22.44140625" customWidth="1"/>
    <col min="3075" max="3075" width="17.109375" customWidth="1"/>
    <col min="3076" max="3076" width="13.33203125" bestFit="1" customWidth="1"/>
    <col min="3077" max="3077" width="15.5546875" bestFit="1" customWidth="1"/>
    <col min="3078" max="3078" width="12.5546875" bestFit="1" customWidth="1"/>
    <col min="3079" max="3079" width="12.88671875" bestFit="1" customWidth="1"/>
    <col min="3080" max="3080" width="13.33203125" bestFit="1" customWidth="1"/>
    <col min="3330" max="3330" width="22.44140625" customWidth="1"/>
    <col min="3331" max="3331" width="17.109375" customWidth="1"/>
    <col min="3332" max="3332" width="13.33203125" bestFit="1" customWidth="1"/>
    <col min="3333" max="3333" width="15.5546875" bestFit="1" customWidth="1"/>
    <col min="3334" max="3334" width="12.5546875" bestFit="1" customWidth="1"/>
    <col min="3335" max="3335" width="12.88671875" bestFit="1" customWidth="1"/>
    <col min="3336" max="3336" width="13.33203125" bestFit="1" customWidth="1"/>
    <col min="3586" max="3586" width="22.44140625" customWidth="1"/>
    <col min="3587" max="3587" width="17.109375" customWidth="1"/>
    <col min="3588" max="3588" width="13.33203125" bestFit="1" customWidth="1"/>
    <col min="3589" max="3589" width="15.5546875" bestFit="1" customWidth="1"/>
    <col min="3590" max="3590" width="12.5546875" bestFit="1" customWidth="1"/>
    <col min="3591" max="3591" width="12.88671875" bestFit="1" customWidth="1"/>
    <col min="3592" max="3592" width="13.33203125" bestFit="1" customWidth="1"/>
    <col min="3842" max="3842" width="22.44140625" customWidth="1"/>
    <col min="3843" max="3843" width="17.109375" customWidth="1"/>
    <col min="3844" max="3844" width="13.33203125" bestFit="1" customWidth="1"/>
    <col min="3845" max="3845" width="15.5546875" bestFit="1" customWidth="1"/>
    <col min="3846" max="3846" width="12.5546875" bestFit="1" customWidth="1"/>
    <col min="3847" max="3847" width="12.88671875" bestFit="1" customWidth="1"/>
    <col min="3848" max="3848" width="13.33203125" bestFit="1" customWidth="1"/>
    <col min="4098" max="4098" width="22.44140625" customWidth="1"/>
    <col min="4099" max="4099" width="17.109375" customWidth="1"/>
    <col min="4100" max="4100" width="13.33203125" bestFit="1" customWidth="1"/>
    <col min="4101" max="4101" width="15.5546875" bestFit="1" customWidth="1"/>
    <col min="4102" max="4102" width="12.5546875" bestFit="1" customWidth="1"/>
    <col min="4103" max="4103" width="12.88671875" bestFit="1" customWidth="1"/>
    <col min="4104" max="4104" width="13.33203125" bestFit="1" customWidth="1"/>
    <col min="4354" max="4354" width="22.44140625" customWidth="1"/>
    <col min="4355" max="4355" width="17.109375" customWidth="1"/>
    <col min="4356" max="4356" width="13.33203125" bestFit="1" customWidth="1"/>
    <col min="4357" max="4357" width="15.5546875" bestFit="1" customWidth="1"/>
    <col min="4358" max="4358" width="12.5546875" bestFit="1" customWidth="1"/>
    <col min="4359" max="4359" width="12.88671875" bestFit="1" customWidth="1"/>
    <col min="4360" max="4360" width="13.33203125" bestFit="1" customWidth="1"/>
    <col min="4610" max="4610" width="22.44140625" customWidth="1"/>
    <col min="4611" max="4611" width="17.109375" customWidth="1"/>
    <col min="4612" max="4612" width="13.33203125" bestFit="1" customWidth="1"/>
    <col min="4613" max="4613" width="15.5546875" bestFit="1" customWidth="1"/>
    <col min="4614" max="4614" width="12.5546875" bestFit="1" customWidth="1"/>
    <col min="4615" max="4615" width="12.88671875" bestFit="1" customWidth="1"/>
    <col min="4616" max="4616" width="13.33203125" bestFit="1" customWidth="1"/>
    <col min="4866" max="4866" width="22.44140625" customWidth="1"/>
    <col min="4867" max="4867" width="17.109375" customWidth="1"/>
    <col min="4868" max="4868" width="13.33203125" bestFit="1" customWidth="1"/>
    <col min="4869" max="4869" width="15.5546875" bestFit="1" customWidth="1"/>
    <col min="4870" max="4870" width="12.5546875" bestFit="1" customWidth="1"/>
    <col min="4871" max="4871" width="12.88671875" bestFit="1" customWidth="1"/>
    <col min="4872" max="4872" width="13.33203125" bestFit="1" customWidth="1"/>
    <col min="5122" max="5122" width="22.44140625" customWidth="1"/>
    <col min="5123" max="5123" width="17.109375" customWidth="1"/>
    <col min="5124" max="5124" width="13.33203125" bestFit="1" customWidth="1"/>
    <col min="5125" max="5125" width="15.5546875" bestFit="1" customWidth="1"/>
    <col min="5126" max="5126" width="12.5546875" bestFit="1" customWidth="1"/>
    <col min="5127" max="5127" width="12.88671875" bestFit="1" customWidth="1"/>
    <col min="5128" max="5128" width="13.33203125" bestFit="1" customWidth="1"/>
    <col min="5378" max="5378" width="22.44140625" customWidth="1"/>
    <col min="5379" max="5379" width="17.109375" customWidth="1"/>
    <col min="5380" max="5380" width="13.33203125" bestFit="1" customWidth="1"/>
    <col min="5381" max="5381" width="15.5546875" bestFit="1" customWidth="1"/>
    <col min="5382" max="5382" width="12.5546875" bestFit="1" customWidth="1"/>
    <col min="5383" max="5383" width="12.88671875" bestFit="1" customWidth="1"/>
    <col min="5384" max="5384" width="13.33203125" bestFit="1" customWidth="1"/>
    <col min="5634" max="5634" width="22.44140625" customWidth="1"/>
    <col min="5635" max="5635" width="17.109375" customWidth="1"/>
    <col min="5636" max="5636" width="13.33203125" bestFit="1" customWidth="1"/>
    <col min="5637" max="5637" width="15.5546875" bestFit="1" customWidth="1"/>
    <col min="5638" max="5638" width="12.5546875" bestFit="1" customWidth="1"/>
    <col min="5639" max="5639" width="12.88671875" bestFit="1" customWidth="1"/>
    <col min="5640" max="5640" width="13.33203125" bestFit="1" customWidth="1"/>
    <col min="5890" max="5890" width="22.44140625" customWidth="1"/>
    <col min="5891" max="5891" width="17.109375" customWidth="1"/>
    <col min="5892" max="5892" width="13.33203125" bestFit="1" customWidth="1"/>
    <col min="5893" max="5893" width="15.5546875" bestFit="1" customWidth="1"/>
    <col min="5894" max="5894" width="12.5546875" bestFit="1" customWidth="1"/>
    <col min="5895" max="5895" width="12.88671875" bestFit="1" customWidth="1"/>
    <col min="5896" max="5896" width="13.33203125" bestFit="1" customWidth="1"/>
    <col min="6146" max="6146" width="22.44140625" customWidth="1"/>
    <col min="6147" max="6147" width="17.109375" customWidth="1"/>
    <col min="6148" max="6148" width="13.33203125" bestFit="1" customWidth="1"/>
    <col min="6149" max="6149" width="15.5546875" bestFit="1" customWidth="1"/>
    <col min="6150" max="6150" width="12.5546875" bestFit="1" customWidth="1"/>
    <col min="6151" max="6151" width="12.88671875" bestFit="1" customWidth="1"/>
    <col min="6152" max="6152" width="13.33203125" bestFit="1" customWidth="1"/>
    <col min="6402" max="6402" width="22.44140625" customWidth="1"/>
    <col min="6403" max="6403" width="17.109375" customWidth="1"/>
    <col min="6404" max="6404" width="13.33203125" bestFit="1" customWidth="1"/>
    <col min="6405" max="6405" width="15.5546875" bestFit="1" customWidth="1"/>
    <col min="6406" max="6406" width="12.5546875" bestFit="1" customWidth="1"/>
    <col min="6407" max="6407" width="12.88671875" bestFit="1" customWidth="1"/>
    <col min="6408" max="6408" width="13.33203125" bestFit="1" customWidth="1"/>
    <col min="6658" max="6658" width="22.44140625" customWidth="1"/>
    <col min="6659" max="6659" width="17.109375" customWidth="1"/>
    <col min="6660" max="6660" width="13.33203125" bestFit="1" customWidth="1"/>
    <col min="6661" max="6661" width="15.5546875" bestFit="1" customWidth="1"/>
    <col min="6662" max="6662" width="12.5546875" bestFit="1" customWidth="1"/>
    <col min="6663" max="6663" width="12.88671875" bestFit="1" customWidth="1"/>
    <col min="6664" max="6664" width="13.33203125" bestFit="1" customWidth="1"/>
    <col min="6914" max="6914" width="22.44140625" customWidth="1"/>
    <col min="6915" max="6915" width="17.109375" customWidth="1"/>
    <col min="6916" max="6916" width="13.33203125" bestFit="1" customWidth="1"/>
    <col min="6917" max="6917" width="15.5546875" bestFit="1" customWidth="1"/>
    <col min="6918" max="6918" width="12.5546875" bestFit="1" customWidth="1"/>
    <col min="6919" max="6919" width="12.88671875" bestFit="1" customWidth="1"/>
    <col min="6920" max="6920" width="13.33203125" bestFit="1" customWidth="1"/>
    <col min="7170" max="7170" width="22.44140625" customWidth="1"/>
    <col min="7171" max="7171" width="17.109375" customWidth="1"/>
    <col min="7172" max="7172" width="13.33203125" bestFit="1" customWidth="1"/>
    <col min="7173" max="7173" width="15.5546875" bestFit="1" customWidth="1"/>
    <col min="7174" max="7174" width="12.5546875" bestFit="1" customWidth="1"/>
    <col min="7175" max="7175" width="12.88671875" bestFit="1" customWidth="1"/>
    <col min="7176" max="7176" width="13.33203125" bestFit="1" customWidth="1"/>
    <col min="7426" max="7426" width="22.44140625" customWidth="1"/>
    <col min="7427" max="7427" width="17.109375" customWidth="1"/>
    <col min="7428" max="7428" width="13.33203125" bestFit="1" customWidth="1"/>
    <col min="7429" max="7429" width="15.5546875" bestFit="1" customWidth="1"/>
    <col min="7430" max="7430" width="12.5546875" bestFit="1" customWidth="1"/>
    <col min="7431" max="7431" width="12.88671875" bestFit="1" customWidth="1"/>
    <col min="7432" max="7432" width="13.33203125" bestFit="1" customWidth="1"/>
    <col min="7682" max="7682" width="22.44140625" customWidth="1"/>
    <col min="7683" max="7683" width="17.109375" customWidth="1"/>
    <col min="7684" max="7684" width="13.33203125" bestFit="1" customWidth="1"/>
    <col min="7685" max="7685" width="15.5546875" bestFit="1" customWidth="1"/>
    <col min="7686" max="7686" width="12.5546875" bestFit="1" customWidth="1"/>
    <col min="7687" max="7687" width="12.88671875" bestFit="1" customWidth="1"/>
    <col min="7688" max="7688" width="13.33203125" bestFit="1" customWidth="1"/>
    <col min="7938" max="7938" width="22.44140625" customWidth="1"/>
    <col min="7939" max="7939" width="17.109375" customWidth="1"/>
    <col min="7940" max="7940" width="13.33203125" bestFit="1" customWidth="1"/>
    <col min="7941" max="7941" width="15.5546875" bestFit="1" customWidth="1"/>
    <col min="7942" max="7942" width="12.5546875" bestFit="1" customWidth="1"/>
    <col min="7943" max="7943" width="12.88671875" bestFit="1" customWidth="1"/>
    <col min="7944" max="7944" width="13.33203125" bestFit="1" customWidth="1"/>
    <col min="8194" max="8194" width="22.44140625" customWidth="1"/>
    <col min="8195" max="8195" width="17.109375" customWidth="1"/>
    <col min="8196" max="8196" width="13.33203125" bestFit="1" customWidth="1"/>
    <col min="8197" max="8197" width="15.5546875" bestFit="1" customWidth="1"/>
    <col min="8198" max="8198" width="12.5546875" bestFit="1" customWidth="1"/>
    <col min="8199" max="8199" width="12.88671875" bestFit="1" customWidth="1"/>
    <col min="8200" max="8200" width="13.33203125" bestFit="1" customWidth="1"/>
    <col min="8450" max="8450" width="22.44140625" customWidth="1"/>
    <col min="8451" max="8451" width="17.109375" customWidth="1"/>
    <col min="8452" max="8452" width="13.33203125" bestFit="1" customWidth="1"/>
    <col min="8453" max="8453" width="15.5546875" bestFit="1" customWidth="1"/>
    <col min="8454" max="8454" width="12.5546875" bestFit="1" customWidth="1"/>
    <col min="8455" max="8455" width="12.88671875" bestFit="1" customWidth="1"/>
    <col min="8456" max="8456" width="13.33203125" bestFit="1" customWidth="1"/>
    <col min="8706" max="8706" width="22.44140625" customWidth="1"/>
    <col min="8707" max="8707" width="17.109375" customWidth="1"/>
    <col min="8708" max="8708" width="13.33203125" bestFit="1" customWidth="1"/>
    <col min="8709" max="8709" width="15.5546875" bestFit="1" customWidth="1"/>
    <col min="8710" max="8710" width="12.5546875" bestFit="1" customWidth="1"/>
    <col min="8711" max="8711" width="12.88671875" bestFit="1" customWidth="1"/>
    <col min="8712" max="8712" width="13.33203125" bestFit="1" customWidth="1"/>
    <col min="8962" max="8962" width="22.44140625" customWidth="1"/>
    <col min="8963" max="8963" width="17.109375" customWidth="1"/>
    <col min="8964" max="8964" width="13.33203125" bestFit="1" customWidth="1"/>
    <col min="8965" max="8965" width="15.5546875" bestFit="1" customWidth="1"/>
    <col min="8966" max="8966" width="12.5546875" bestFit="1" customWidth="1"/>
    <col min="8967" max="8967" width="12.88671875" bestFit="1" customWidth="1"/>
    <col min="8968" max="8968" width="13.33203125" bestFit="1" customWidth="1"/>
    <col min="9218" max="9218" width="22.44140625" customWidth="1"/>
    <col min="9219" max="9219" width="17.109375" customWidth="1"/>
    <col min="9220" max="9220" width="13.33203125" bestFit="1" customWidth="1"/>
    <col min="9221" max="9221" width="15.5546875" bestFit="1" customWidth="1"/>
    <col min="9222" max="9222" width="12.5546875" bestFit="1" customWidth="1"/>
    <col min="9223" max="9223" width="12.88671875" bestFit="1" customWidth="1"/>
    <col min="9224" max="9224" width="13.33203125" bestFit="1" customWidth="1"/>
    <col min="9474" max="9474" width="22.44140625" customWidth="1"/>
    <col min="9475" max="9475" width="17.109375" customWidth="1"/>
    <col min="9476" max="9476" width="13.33203125" bestFit="1" customWidth="1"/>
    <col min="9477" max="9477" width="15.5546875" bestFit="1" customWidth="1"/>
    <col min="9478" max="9478" width="12.5546875" bestFit="1" customWidth="1"/>
    <col min="9479" max="9479" width="12.88671875" bestFit="1" customWidth="1"/>
    <col min="9480" max="9480" width="13.33203125" bestFit="1" customWidth="1"/>
    <col min="9730" max="9730" width="22.44140625" customWidth="1"/>
    <col min="9731" max="9731" width="17.109375" customWidth="1"/>
    <col min="9732" max="9732" width="13.33203125" bestFit="1" customWidth="1"/>
    <col min="9733" max="9733" width="15.5546875" bestFit="1" customWidth="1"/>
    <col min="9734" max="9734" width="12.5546875" bestFit="1" customWidth="1"/>
    <col min="9735" max="9735" width="12.88671875" bestFit="1" customWidth="1"/>
    <col min="9736" max="9736" width="13.33203125" bestFit="1" customWidth="1"/>
    <col min="9986" max="9986" width="22.44140625" customWidth="1"/>
    <col min="9987" max="9987" width="17.109375" customWidth="1"/>
    <col min="9988" max="9988" width="13.33203125" bestFit="1" customWidth="1"/>
    <col min="9989" max="9989" width="15.5546875" bestFit="1" customWidth="1"/>
    <col min="9990" max="9990" width="12.5546875" bestFit="1" customWidth="1"/>
    <col min="9991" max="9991" width="12.88671875" bestFit="1" customWidth="1"/>
    <col min="9992" max="9992" width="13.33203125" bestFit="1" customWidth="1"/>
    <col min="10242" max="10242" width="22.44140625" customWidth="1"/>
    <col min="10243" max="10243" width="17.109375" customWidth="1"/>
    <col min="10244" max="10244" width="13.33203125" bestFit="1" customWidth="1"/>
    <col min="10245" max="10245" width="15.5546875" bestFit="1" customWidth="1"/>
    <col min="10246" max="10246" width="12.5546875" bestFit="1" customWidth="1"/>
    <col min="10247" max="10247" width="12.88671875" bestFit="1" customWidth="1"/>
    <col min="10248" max="10248" width="13.33203125" bestFit="1" customWidth="1"/>
    <col min="10498" max="10498" width="22.44140625" customWidth="1"/>
    <col min="10499" max="10499" width="17.109375" customWidth="1"/>
    <col min="10500" max="10500" width="13.33203125" bestFit="1" customWidth="1"/>
    <col min="10501" max="10501" width="15.5546875" bestFit="1" customWidth="1"/>
    <col min="10502" max="10502" width="12.5546875" bestFit="1" customWidth="1"/>
    <col min="10503" max="10503" width="12.88671875" bestFit="1" customWidth="1"/>
    <col min="10504" max="10504" width="13.33203125" bestFit="1" customWidth="1"/>
    <col min="10754" max="10754" width="22.44140625" customWidth="1"/>
    <col min="10755" max="10755" width="17.109375" customWidth="1"/>
    <col min="10756" max="10756" width="13.33203125" bestFit="1" customWidth="1"/>
    <col min="10757" max="10757" width="15.5546875" bestFit="1" customWidth="1"/>
    <col min="10758" max="10758" width="12.5546875" bestFit="1" customWidth="1"/>
    <col min="10759" max="10759" width="12.88671875" bestFit="1" customWidth="1"/>
    <col min="10760" max="10760" width="13.33203125" bestFit="1" customWidth="1"/>
    <col min="11010" max="11010" width="22.44140625" customWidth="1"/>
    <col min="11011" max="11011" width="17.109375" customWidth="1"/>
    <col min="11012" max="11012" width="13.33203125" bestFit="1" customWidth="1"/>
    <col min="11013" max="11013" width="15.5546875" bestFit="1" customWidth="1"/>
    <col min="11014" max="11014" width="12.5546875" bestFit="1" customWidth="1"/>
    <col min="11015" max="11015" width="12.88671875" bestFit="1" customWidth="1"/>
    <col min="11016" max="11016" width="13.33203125" bestFit="1" customWidth="1"/>
    <col min="11266" max="11266" width="22.44140625" customWidth="1"/>
    <col min="11267" max="11267" width="17.109375" customWidth="1"/>
    <col min="11268" max="11268" width="13.33203125" bestFit="1" customWidth="1"/>
    <col min="11269" max="11269" width="15.5546875" bestFit="1" customWidth="1"/>
    <col min="11270" max="11270" width="12.5546875" bestFit="1" customWidth="1"/>
    <col min="11271" max="11271" width="12.88671875" bestFit="1" customWidth="1"/>
    <col min="11272" max="11272" width="13.33203125" bestFit="1" customWidth="1"/>
    <col min="11522" max="11522" width="22.44140625" customWidth="1"/>
    <col min="11523" max="11523" width="17.109375" customWidth="1"/>
    <col min="11524" max="11524" width="13.33203125" bestFit="1" customWidth="1"/>
    <col min="11525" max="11525" width="15.5546875" bestFit="1" customWidth="1"/>
    <col min="11526" max="11526" width="12.5546875" bestFit="1" customWidth="1"/>
    <col min="11527" max="11527" width="12.88671875" bestFit="1" customWidth="1"/>
    <col min="11528" max="11528" width="13.33203125" bestFit="1" customWidth="1"/>
    <col min="11778" max="11778" width="22.44140625" customWidth="1"/>
    <col min="11779" max="11779" width="17.109375" customWidth="1"/>
    <col min="11780" max="11780" width="13.33203125" bestFit="1" customWidth="1"/>
    <col min="11781" max="11781" width="15.5546875" bestFit="1" customWidth="1"/>
    <col min="11782" max="11782" width="12.5546875" bestFit="1" customWidth="1"/>
    <col min="11783" max="11783" width="12.88671875" bestFit="1" customWidth="1"/>
    <col min="11784" max="11784" width="13.33203125" bestFit="1" customWidth="1"/>
    <col min="12034" max="12034" width="22.44140625" customWidth="1"/>
    <col min="12035" max="12035" width="17.109375" customWidth="1"/>
    <col min="12036" max="12036" width="13.33203125" bestFit="1" customWidth="1"/>
    <col min="12037" max="12037" width="15.5546875" bestFit="1" customWidth="1"/>
    <col min="12038" max="12038" width="12.5546875" bestFit="1" customWidth="1"/>
    <col min="12039" max="12039" width="12.88671875" bestFit="1" customWidth="1"/>
    <col min="12040" max="12040" width="13.33203125" bestFit="1" customWidth="1"/>
    <col min="12290" max="12290" width="22.44140625" customWidth="1"/>
    <col min="12291" max="12291" width="17.109375" customWidth="1"/>
    <col min="12292" max="12292" width="13.33203125" bestFit="1" customWidth="1"/>
    <col min="12293" max="12293" width="15.5546875" bestFit="1" customWidth="1"/>
    <col min="12294" max="12294" width="12.5546875" bestFit="1" customWidth="1"/>
    <col min="12295" max="12295" width="12.88671875" bestFit="1" customWidth="1"/>
    <col min="12296" max="12296" width="13.33203125" bestFit="1" customWidth="1"/>
    <col min="12546" max="12546" width="22.44140625" customWidth="1"/>
    <col min="12547" max="12547" width="17.109375" customWidth="1"/>
    <col min="12548" max="12548" width="13.33203125" bestFit="1" customWidth="1"/>
    <col min="12549" max="12549" width="15.5546875" bestFit="1" customWidth="1"/>
    <col min="12550" max="12550" width="12.5546875" bestFit="1" customWidth="1"/>
    <col min="12551" max="12551" width="12.88671875" bestFit="1" customWidth="1"/>
    <col min="12552" max="12552" width="13.33203125" bestFit="1" customWidth="1"/>
    <col min="12802" max="12802" width="22.44140625" customWidth="1"/>
    <col min="12803" max="12803" width="17.109375" customWidth="1"/>
    <col min="12804" max="12804" width="13.33203125" bestFit="1" customWidth="1"/>
    <col min="12805" max="12805" width="15.5546875" bestFit="1" customWidth="1"/>
    <col min="12806" max="12806" width="12.5546875" bestFit="1" customWidth="1"/>
    <col min="12807" max="12807" width="12.88671875" bestFit="1" customWidth="1"/>
    <col min="12808" max="12808" width="13.33203125" bestFit="1" customWidth="1"/>
    <col min="13058" max="13058" width="22.44140625" customWidth="1"/>
    <col min="13059" max="13059" width="17.109375" customWidth="1"/>
    <col min="13060" max="13060" width="13.33203125" bestFit="1" customWidth="1"/>
    <col min="13061" max="13061" width="15.5546875" bestFit="1" customWidth="1"/>
    <col min="13062" max="13062" width="12.5546875" bestFit="1" customWidth="1"/>
    <col min="13063" max="13063" width="12.88671875" bestFit="1" customWidth="1"/>
    <col min="13064" max="13064" width="13.33203125" bestFit="1" customWidth="1"/>
    <col min="13314" max="13314" width="22.44140625" customWidth="1"/>
    <col min="13315" max="13315" width="17.109375" customWidth="1"/>
    <col min="13316" max="13316" width="13.33203125" bestFit="1" customWidth="1"/>
    <col min="13317" max="13317" width="15.5546875" bestFit="1" customWidth="1"/>
    <col min="13318" max="13318" width="12.5546875" bestFit="1" customWidth="1"/>
    <col min="13319" max="13319" width="12.88671875" bestFit="1" customWidth="1"/>
    <col min="13320" max="13320" width="13.33203125" bestFit="1" customWidth="1"/>
    <col min="13570" max="13570" width="22.44140625" customWidth="1"/>
    <col min="13571" max="13571" width="17.109375" customWidth="1"/>
    <col min="13572" max="13572" width="13.33203125" bestFit="1" customWidth="1"/>
    <col min="13573" max="13573" width="15.5546875" bestFit="1" customWidth="1"/>
    <col min="13574" max="13574" width="12.5546875" bestFit="1" customWidth="1"/>
    <col min="13575" max="13575" width="12.88671875" bestFit="1" customWidth="1"/>
    <col min="13576" max="13576" width="13.33203125" bestFit="1" customWidth="1"/>
    <col min="13826" max="13826" width="22.44140625" customWidth="1"/>
    <col min="13827" max="13827" width="17.109375" customWidth="1"/>
    <col min="13828" max="13828" width="13.33203125" bestFit="1" customWidth="1"/>
    <col min="13829" max="13829" width="15.5546875" bestFit="1" customWidth="1"/>
    <col min="13830" max="13830" width="12.5546875" bestFit="1" customWidth="1"/>
    <col min="13831" max="13831" width="12.88671875" bestFit="1" customWidth="1"/>
    <col min="13832" max="13832" width="13.33203125" bestFit="1" customWidth="1"/>
    <col min="14082" max="14082" width="22.44140625" customWidth="1"/>
    <col min="14083" max="14083" width="17.109375" customWidth="1"/>
    <col min="14084" max="14084" width="13.33203125" bestFit="1" customWidth="1"/>
    <col min="14085" max="14085" width="15.5546875" bestFit="1" customWidth="1"/>
    <col min="14086" max="14086" width="12.5546875" bestFit="1" customWidth="1"/>
    <col min="14087" max="14087" width="12.88671875" bestFit="1" customWidth="1"/>
    <col min="14088" max="14088" width="13.33203125" bestFit="1" customWidth="1"/>
    <col min="14338" max="14338" width="22.44140625" customWidth="1"/>
    <col min="14339" max="14339" width="17.109375" customWidth="1"/>
    <col min="14340" max="14340" width="13.33203125" bestFit="1" customWidth="1"/>
    <col min="14341" max="14341" width="15.5546875" bestFit="1" customWidth="1"/>
    <col min="14342" max="14342" width="12.5546875" bestFit="1" customWidth="1"/>
    <col min="14343" max="14343" width="12.88671875" bestFit="1" customWidth="1"/>
    <col min="14344" max="14344" width="13.33203125" bestFit="1" customWidth="1"/>
    <col min="14594" max="14594" width="22.44140625" customWidth="1"/>
    <col min="14595" max="14595" width="17.109375" customWidth="1"/>
    <col min="14596" max="14596" width="13.33203125" bestFit="1" customWidth="1"/>
    <col min="14597" max="14597" width="15.5546875" bestFit="1" customWidth="1"/>
    <col min="14598" max="14598" width="12.5546875" bestFit="1" customWidth="1"/>
    <col min="14599" max="14599" width="12.88671875" bestFit="1" customWidth="1"/>
    <col min="14600" max="14600" width="13.33203125" bestFit="1" customWidth="1"/>
    <col min="14850" max="14850" width="22.44140625" customWidth="1"/>
    <col min="14851" max="14851" width="17.109375" customWidth="1"/>
    <col min="14852" max="14852" width="13.33203125" bestFit="1" customWidth="1"/>
    <col min="14853" max="14853" width="15.5546875" bestFit="1" customWidth="1"/>
    <col min="14854" max="14854" width="12.5546875" bestFit="1" customWidth="1"/>
    <col min="14855" max="14855" width="12.88671875" bestFit="1" customWidth="1"/>
    <col min="14856" max="14856" width="13.33203125" bestFit="1" customWidth="1"/>
    <col min="15106" max="15106" width="22.44140625" customWidth="1"/>
    <col min="15107" max="15107" width="17.109375" customWidth="1"/>
    <col min="15108" max="15108" width="13.33203125" bestFit="1" customWidth="1"/>
    <col min="15109" max="15109" width="15.5546875" bestFit="1" customWidth="1"/>
    <col min="15110" max="15110" width="12.5546875" bestFit="1" customWidth="1"/>
    <col min="15111" max="15111" width="12.88671875" bestFit="1" customWidth="1"/>
    <col min="15112" max="15112" width="13.33203125" bestFit="1" customWidth="1"/>
    <col min="15362" max="15362" width="22.44140625" customWidth="1"/>
    <col min="15363" max="15363" width="17.109375" customWidth="1"/>
    <col min="15364" max="15364" width="13.33203125" bestFit="1" customWidth="1"/>
    <col min="15365" max="15365" width="15.5546875" bestFit="1" customWidth="1"/>
    <col min="15366" max="15366" width="12.5546875" bestFit="1" customWidth="1"/>
    <col min="15367" max="15367" width="12.88671875" bestFit="1" customWidth="1"/>
    <col min="15368" max="15368" width="13.33203125" bestFit="1" customWidth="1"/>
    <col min="15618" max="15618" width="22.44140625" customWidth="1"/>
    <col min="15619" max="15619" width="17.109375" customWidth="1"/>
    <col min="15620" max="15620" width="13.33203125" bestFit="1" customWidth="1"/>
    <col min="15621" max="15621" width="15.5546875" bestFit="1" customWidth="1"/>
    <col min="15622" max="15622" width="12.5546875" bestFit="1" customWidth="1"/>
    <col min="15623" max="15623" width="12.88671875" bestFit="1" customWidth="1"/>
    <col min="15624" max="15624" width="13.33203125" bestFit="1" customWidth="1"/>
    <col min="15874" max="15874" width="22.44140625" customWidth="1"/>
    <col min="15875" max="15875" width="17.109375" customWidth="1"/>
    <col min="15876" max="15876" width="13.33203125" bestFit="1" customWidth="1"/>
    <col min="15877" max="15877" width="15.5546875" bestFit="1" customWidth="1"/>
    <col min="15878" max="15878" width="12.5546875" bestFit="1" customWidth="1"/>
    <col min="15879" max="15879" width="12.88671875" bestFit="1" customWidth="1"/>
    <col min="15880" max="15880" width="13.33203125" bestFit="1" customWidth="1"/>
    <col min="16130" max="16130" width="22.44140625" customWidth="1"/>
    <col min="16131" max="16131" width="17.109375" customWidth="1"/>
    <col min="16132" max="16132" width="13.33203125" bestFit="1" customWidth="1"/>
    <col min="16133" max="16133" width="15.5546875" bestFit="1" customWidth="1"/>
    <col min="16134" max="16134" width="12.5546875" bestFit="1" customWidth="1"/>
    <col min="16135" max="16135" width="12.88671875" bestFit="1" customWidth="1"/>
    <col min="16136" max="16136" width="13.33203125" bestFit="1" customWidth="1"/>
  </cols>
  <sheetData>
    <row r="1" spans="1:24" ht="15" thickBot="1">
      <c r="J1" s="29" t="s">
        <v>116</v>
      </c>
    </row>
    <row r="2" spans="1:24" ht="15" thickBot="1">
      <c r="A2" s="128" t="s">
        <v>9244</v>
      </c>
      <c r="B2" s="129"/>
      <c r="C2" s="129"/>
      <c r="D2" s="129"/>
      <c r="E2" s="129"/>
      <c r="F2" s="129"/>
      <c r="G2" s="130"/>
      <c r="J2" s="267" t="s">
        <v>2034</v>
      </c>
      <c r="K2" s="268" t="s">
        <v>1951</v>
      </c>
      <c r="L2" s="268" t="s">
        <v>1951</v>
      </c>
      <c r="M2" s="268" t="s">
        <v>1952</v>
      </c>
      <c r="N2" s="268" t="s">
        <v>1952</v>
      </c>
      <c r="O2" s="268" t="s">
        <v>1952</v>
      </c>
      <c r="P2" s="268" t="s">
        <v>2035</v>
      </c>
      <c r="Q2" s="269" t="s">
        <v>2035</v>
      </c>
      <c r="R2" s="60"/>
      <c r="S2" s="139"/>
      <c r="T2" s="277"/>
      <c r="U2" s="278" t="s">
        <v>2040</v>
      </c>
      <c r="V2" s="279" t="s">
        <v>2040</v>
      </c>
      <c r="W2" s="60"/>
      <c r="X2" s="60"/>
    </row>
    <row r="3" spans="1:24">
      <c r="A3" s="131"/>
      <c r="B3" s="132"/>
      <c r="C3" s="132"/>
      <c r="D3" s="132"/>
      <c r="E3" s="132"/>
      <c r="F3" s="132"/>
      <c r="G3" s="133"/>
      <c r="J3" s="270" t="s">
        <v>2036</v>
      </c>
      <c r="K3" s="266" t="s">
        <v>1951</v>
      </c>
      <c r="L3" s="266" t="s">
        <v>1952</v>
      </c>
      <c r="M3" s="266" t="s">
        <v>1951</v>
      </c>
      <c r="N3" s="266" t="s">
        <v>1952</v>
      </c>
      <c r="O3" s="266" t="s">
        <v>2035</v>
      </c>
      <c r="P3" s="266" t="s">
        <v>1952</v>
      </c>
      <c r="Q3" s="271" t="s">
        <v>2035</v>
      </c>
      <c r="R3" s="60"/>
      <c r="S3" s="118"/>
      <c r="T3" s="36"/>
      <c r="U3" s="280" t="s">
        <v>2042</v>
      </c>
      <c r="V3" s="281" t="s">
        <v>2043</v>
      </c>
      <c r="X3" s="60"/>
    </row>
    <row r="4" spans="1:24" ht="27.6" thickBot="1">
      <c r="A4" s="39"/>
      <c r="B4" s="62"/>
      <c r="C4" s="62"/>
      <c r="D4" s="62" t="s">
        <v>1977</v>
      </c>
      <c r="E4" s="62"/>
      <c r="F4" s="62"/>
      <c r="G4" s="43"/>
      <c r="J4" s="272" t="s">
        <v>2037</v>
      </c>
      <c r="K4" s="273">
        <v>1</v>
      </c>
      <c r="L4" s="273">
        <v>1</v>
      </c>
      <c r="M4" s="273">
        <v>0.99</v>
      </c>
      <c r="N4" s="273">
        <v>0.99</v>
      </c>
      <c r="O4" s="273">
        <v>0.99</v>
      </c>
      <c r="P4" s="273">
        <v>0.98</v>
      </c>
      <c r="Q4" s="274">
        <v>0.98</v>
      </c>
      <c r="R4" s="112"/>
      <c r="S4" s="119" t="s">
        <v>1947</v>
      </c>
      <c r="T4" s="248" t="s">
        <v>2038</v>
      </c>
      <c r="U4" s="248" t="s">
        <v>2041</v>
      </c>
      <c r="V4" s="249" t="s">
        <v>2039</v>
      </c>
      <c r="X4" s="60"/>
    </row>
    <row r="5" spans="1:24" ht="15.6">
      <c r="A5" s="98"/>
      <c r="B5" s="96"/>
      <c r="C5" s="96"/>
      <c r="D5" s="96"/>
      <c r="E5" s="96"/>
      <c r="F5" s="96"/>
      <c r="G5" s="97"/>
      <c r="J5" s="139"/>
      <c r="K5" s="192"/>
      <c r="L5" s="192"/>
      <c r="M5" s="192"/>
      <c r="N5" s="192"/>
      <c r="O5" s="192"/>
      <c r="P5" s="192"/>
      <c r="Q5" s="193"/>
      <c r="R5" s="112"/>
      <c r="S5" s="118"/>
      <c r="T5" s="282"/>
      <c r="U5" s="282"/>
      <c r="V5" s="283"/>
      <c r="W5" s="275"/>
      <c r="X5" s="275"/>
    </row>
    <row r="6" spans="1:24">
      <c r="A6" s="30"/>
      <c r="C6" s="60" t="s">
        <v>1913</v>
      </c>
      <c r="D6" s="60" t="s">
        <v>1914</v>
      </c>
      <c r="E6" s="60" t="s">
        <v>1915</v>
      </c>
      <c r="F6" s="60" t="s">
        <v>1916</v>
      </c>
      <c r="G6" s="40" t="s">
        <v>1917</v>
      </c>
      <c r="J6" s="118"/>
      <c r="K6" s="68"/>
      <c r="L6" s="68"/>
      <c r="M6" s="68"/>
      <c r="N6" s="68"/>
      <c r="O6" s="68"/>
      <c r="P6" s="68"/>
      <c r="Q6" s="69"/>
      <c r="R6" s="112"/>
      <c r="S6" s="118"/>
      <c r="T6" s="142"/>
      <c r="U6" s="142"/>
      <c r="V6" s="25"/>
    </row>
    <row r="7" spans="1:24">
      <c r="A7" s="39" t="s">
        <v>1918</v>
      </c>
      <c r="C7" s="60" t="s">
        <v>1919</v>
      </c>
      <c r="D7" s="60" t="s">
        <v>1920</v>
      </c>
      <c r="E7" s="60" t="s">
        <v>1920</v>
      </c>
      <c r="F7" s="60" t="s">
        <v>1920</v>
      </c>
      <c r="G7" s="40" t="s">
        <v>1921</v>
      </c>
      <c r="J7" s="118"/>
      <c r="K7" s="68"/>
      <c r="L7" s="68"/>
      <c r="M7" s="68"/>
      <c r="N7" s="68"/>
      <c r="O7" s="68"/>
      <c r="P7" s="68"/>
      <c r="Q7" s="69"/>
      <c r="R7" s="112"/>
      <c r="S7" s="118"/>
      <c r="T7" s="142"/>
      <c r="U7" s="142"/>
      <c r="V7" s="25"/>
    </row>
    <row r="8" spans="1:24">
      <c r="A8" s="39"/>
      <c r="C8" s="99" t="s">
        <v>9011</v>
      </c>
      <c r="D8" s="99"/>
      <c r="E8" s="99"/>
      <c r="F8" s="99"/>
      <c r="G8" s="100"/>
      <c r="H8" s="29" t="s">
        <v>116</v>
      </c>
      <c r="J8" s="118"/>
      <c r="K8" s="68"/>
      <c r="L8" s="68"/>
      <c r="M8" s="68"/>
      <c r="N8" s="68"/>
      <c r="O8" s="68"/>
      <c r="P8" s="68"/>
      <c r="Q8" s="69"/>
      <c r="R8" s="112"/>
      <c r="S8" s="118"/>
      <c r="T8" s="142"/>
      <c r="U8" s="142"/>
      <c r="V8" s="25"/>
    </row>
    <row r="9" spans="1:24">
      <c r="A9" s="39" t="s">
        <v>1923</v>
      </c>
      <c r="C9" s="29"/>
      <c r="D9" s="29"/>
      <c r="E9" s="299">
        <v>1.0287202946541993</v>
      </c>
      <c r="F9" s="299">
        <v>1.0122251500748456</v>
      </c>
      <c r="G9" s="300">
        <v>1.0131809095909396</v>
      </c>
      <c r="J9" s="118"/>
      <c r="K9" s="68"/>
      <c r="L9" s="68"/>
      <c r="M9" s="68"/>
      <c r="N9" s="68"/>
      <c r="O9" s="68"/>
      <c r="P9" s="68"/>
      <c r="Q9" s="69"/>
      <c r="R9" s="112"/>
      <c r="S9" s="118"/>
      <c r="T9" s="142"/>
      <c r="U9" s="142"/>
      <c r="V9" s="25"/>
    </row>
    <row r="10" spans="1:24">
      <c r="A10" s="39" t="s">
        <v>1924</v>
      </c>
      <c r="C10" s="29"/>
      <c r="D10" s="301">
        <v>0.99512551985716857</v>
      </c>
      <c r="E10" s="301">
        <v>0.99883952413080113</v>
      </c>
      <c r="F10" s="29"/>
      <c r="G10" s="302"/>
      <c r="J10" s="118"/>
      <c r="K10" s="68"/>
      <c r="L10" s="68"/>
      <c r="M10" s="68"/>
      <c r="N10" s="68"/>
      <c r="O10" s="68"/>
      <c r="P10" s="68"/>
      <c r="Q10" s="69"/>
      <c r="R10" s="112"/>
      <c r="S10" s="118"/>
      <c r="T10" s="142"/>
      <c r="U10" s="142"/>
      <c r="V10" s="25"/>
    </row>
    <row r="11" spans="1:24">
      <c r="A11" s="39"/>
      <c r="C11" s="29"/>
      <c r="D11" s="29" t="s">
        <v>1978</v>
      </c>
      <c r="E11" s="29"/>
      <c r="F11" s="29"/>
      <c r="G11" s="302"/>
      <c r="J11" s="118"/>
      <c r="K11" s="68"/>
      <c r="L11" s="68"/>
      <c r="M11" s="68"/>
      <c r="N11" s="68"/>
      <c r="O11" s="68"/>
      <c r="P11" s="68"/>
      <c r="Q11" s="69"/>
      <c r="R11" s="112"/>
      <c r="S11" s="118"/>
      <c r="T11" s="142"/>
      <c r="U11" s="142"/>
      <c r="V11" s="25"/>
    </row>
    <row r="12" spans="1:24">
      <c r="A12" s="39" t="s">
        <v>1925</v>
      </c>
      <c r="C12" s="29"/>
      <c r="D12" s="29"/>
      <c r="E12" s="29"/>
      <c r="F12" s="29"/>
      <c r="G12" s="302"/>
      <c r="J12" s="118"/>
      <c r="K12" s="68"/>
      <c r="L12" s="68"/>
      <c r="M12" s="68"/>
      <c r="N12" s="68"/>
      <c r="O12" s="68"/>
      <c r="P12" s="68"/>
      <c r="Q12" s="69"/>
      <c r="R12" s="112"/>
      <c r="S12" s="118"/>
      <c r="T12" s="142"/>
      <c r="U12" s="142"/>
      <c r="V12" s="25"/>
    </row>
    <row r="13" spans="1:24">
      <c r="A13" s="39" t="s">
        <v>1926</v>
      </c>
      <c r="B13" s="96"/>
      <c r="C13" s="303">
        <v>10290068.453940002</v>
      </c>
      <c r="D13" s="304">
        <v>10290068.453940002</v>
      </c>
      <c r="E13" s="304">
        <v>10585602.25194904</v>
      </c>
      <c r="F13" s="304">
        <v>10715012.82811174</v>
      </c>
      <c r="G13" s="305">
        <v>10856246.44346484</v>
      </c>
      <c r="J13" s="118"/>
      <c r="K13" s="68">
        <f>+C13</f>
        <v>10290068.453940002</v>
      </c>
      <c r="L13" s="68"/>
      <c r="M13" s="68"/>
      <c r="N13" s="68"/>
      <c r="O13" s="68"/>
      <c r="P13" s="68"/>
      <c r="Q13" s="69"/>
      <c r="R13" s="112"/>
      <c r="S13" s="118" t="s">
        <v>1949</v>
      </c>
      <c r="T13" s="68">
        <f>+K13</f>
        <v>10290068.453940002</v>
      </c>
      <c r="U13" s="68">
        <f>+K13</f>
        <v>10290068.453940002</v>
      </c>
      <c r="V13" s="69">
        <f>+K13</f>
        <v>10290068.453940002</v>
      </c>
    </row>
    <row r="14" spans="1:24">
      <c r="A14" s="39"/>
      <c r="C14" s="306"/>
      <c r="D14" s="306"/>
      <c r="E14" s="306"/>
      <c r="F14" s="306"/>
      <c r="G14" s="307"/>
      <c r="J14" s="118"/>
      <c r="K14" s="68"/>
      <c r="L14" s="68"/>
      <c r="M14" s="68"/>
      <c r="N14" s="68"/>
      <c r="O14" s="68"/>
      <c r="P14" s="68"/>
      <c r="Q14" s="69"/>
      <c r="R14" s="112"/>
      <c r="S14" s="118"/>
      <c r="T14" s="142"/>
      <c r="U14" s="142"/>
      <c r="V14" s="25"/>
    </row>
    <row r="15" spans="1:24">
      <c r="A15" s="39" t="s">
        <v>1927</v>
      </c>
      <c r="C15" s="306"/>
      <c r="D15" s="306"/>
      <c r="E15" s="306"/>
      <c r="F15" s="306"/>
      <c r="G15" s="307"/>
      <c r="J15" s="118"/>
      <c r="K15" s="68"/>
      <c r="L15" s="68"/>
      <c r="M15" s="68"/>
      <c r="N15" s="68"/>
      <c r="O15" s="68"/>
      <c r="P15" s="68"/>
      <c r="Q15" s="69"/>
      <c r="R15" s="112"/>
      <c r="S15" s="118"/>
      <c r="T15" s="142"/>
      <c r="U15" s="142"/>
      <c r="V15" s="25"/>
    </row>
    <row r="16" spans="1:24">
      <c r="A16" s="39" t="s">
        <v>1928</v>
      </c>
      <c r="B16" s="96"/>
      <c r="C16" s="308">
        <v>950466.07322423032</v>
      </c>
      <c r="D16" s="308">
        <v>950466.07322423032</v>
      </c>
      <c r="E16" s="308">
        <v>977763.73890604998</v>
      </c>
      <c r="F16" s="308">
        <v>989717.04735191853</v>
      </c>
      <c r="G16" s="309">
        <v>1002762.418273676</v>
      </c>
      <c r="J16" s="118"/>
      <c r="K16" s="68"/>
      <c r="L16" s="68"/>
      <c r="M16" s="68"/>
      <c r="N16" s="68"/>
      <c r="O16" s="68"/>
      <c r="P16" s="68"/>
      <c r="Q16" s="69"/>
      <c r="R16" s="112"/>
      <c r="S16" s="118"/>
      <c r="T16" s="142"/>
      <c r="U16" s="142"/>
      <c r="V16" s="25"/>
    </row>
    <row r="17" spans="1:22">
      <c r="A17" s="39" t="s">
        <v>1929</v>
      </c>
      <c r="B17" s="96"/>
      <c r="C17" s="308">
        <v>0</v>
      </c>
      <c r="D17" s="308">
        <v>0</v>
      </c>
      <c r="E17" s="308">
        <v>0</v>
      </c>
      <c r="F17" s="308">
        <v>0</v>
      </c>
      <c r="G17" s="309">
        <v>0</v>
      </c>
      <c r="J17" s="118"/>
      <c r="K17" s="68"/>
      <c r="L17" s="68"/>
      <c r="M17" s="68"/>
      <c r="N17" s="68"/>
      <c r="O17" s="68"/>
      <c r="P17" s="68"/>
      <c r="Q17" s="69"/>
      <c r="R17" s="112"/>
      <c r="S17" s="118"/>
      <c r="T17" s="142"/>
      <c r="U17" s="142"/>
      <c r="V17" s="25"/>
    </row>
    <row r="18" spans="1:22">
      <c r="A18" s="39" t="s">
        <v>1930</v>
      </c>
      <c r="B18" s="96"/>
      <c r="C18" s="308">
        <v>153.2699571700723</v>
      </c>
      <c r="D18" s="310">
        <v>152.52284580735417</v>
      </c>
      <c r="E18" s="308">
        <v>153.2699571700723</v>
      </c>
      <c r="F18" s="308">
        <v>155.1437053984416</v>
      </c>
      <c r="G18" s="309">
        <v>157.18864055290183</v>
      </c>
      <c r="J18" s="118"/>
      <c r="K18" s="68"/>
      <c r="L18" s="68"/>
      <c r="M18" s="68"/>
      <c r="N18" s="68"/>
      <c r="O18" s="68"/>
      <c r="P18" s="68"/>
      <c r="Q18" s="69"/>
      <c r="R18" s="112"/>
      <c r="S18" s="118"/>
      <c r="T18" s="142"/>
      <c r="U18" s="142"/>
      <c r="V18" s="25"/>
    </row>
    <row r="19" spans="1:22">
      <c r="A19" s="39" t="s">
        <v>1931</v>
      </c>
      <c r="B19" s="96"/>
      <c r="C19" s="308">
        <v>316.55755859962647</v>
      </c>
      <c r="D19" s="306"/>
      <c r="E19" s="308">
        <v>316.55755859962647</v>
      </c>
      <c r="F19" s="308">
        <v>320.42752226083365</v>
      </c>
      <c r="G19" s="309">
        <v>324.65104846220248</v>
      </c>
      <c r="J19" s="118"/>
      <c r="K19" s="68"/>
      <c r="L19" s="68"/>
      <c r="M19" s="68"/>
      <c r="N19" s="68"/>
      <c r="O19" s="68"/>
      <c r="P19" s="68"/>
      <c r="Q19" s="69"/>
      <c r="R19" s="112"/>
      <c r="S19" s="118"/>
      <c r="T19" s="142"/>
      <c r="U19" s="142"/>
      <c r="V19" s="25"/>
    </row>
    <row r="20" spans="1:22">
      <c r="A20" s="39" t="s">
        <v>1932</v>
      </c>
      <c r="B20" s="96"/>
      <c r="C20" s="308">
        <v>0</v>
      </c>
      <c r="D20" s="306"/>
      <c r="E20" s="308">
        <v>0</v>
      </c>
      <c r="F20" s="308">
        <v>0</v>
      </c>
      <c r="G20" s="309">
        <v>0</v>
      </c>
      <c r="J20" s="118"/>
      <c r="K20" s="68"/>
      <c r="L20" s="68"/>
      <c r="M20" s="68"/>
      <c r="N20" s="68"/>
      <c r="O20" s="68"/>
      <c r="P20" s="68"/>
      <c r="Q20" s="69"/>
      <c r="R20" s="112"/>
      <c r="S20" s="118"/>
      <c r="T20" s="142"/>
      <c r="U20" s="142"/>
      <c r="V20" s="25"/>
    </row>
    <row r="21" spans="1:22">
      <c r="A21" s="39" t="s">
        <v>1933</v>
      </c>
      <c r="B21" s="96"/>
      <c r="C21" s="311">
        <v>950935.90074000007</v>
      </c>
      <c r="D21" s="312">
        <v>950618.59607003769</v>
      </c>
      <c r="E21" s="312">
        <v>978233.56642181973</v>
      </c>
      <c r="F21" s="312">
        <v>990192.61857957777</v>
      </c>
      <c r="G21" s="313">
        <v>1003244.2579626911</v>
      </c>
      <c r="J21" s="118"/>
      <c r="K21" s="68">
        <f>+C21</f>
        <v>950935.90074000007</v>
      </c>
      <c r="L21" s="68"/>
      <c r="M21" s="68"/>
      <c r="N21" s="68"/>
      <c r="O21" s="68"/>
      <c r="P21" s="68"/>
      <c r="Q21" s="69"/>
      <c r="R21" s="112"/>
      <c r="S21" s="118" t="s">
        <v>1950</v>
      </c>
      <c r="T21" s="68">
        <f>+K21</f>
        <v>950935.90074000007</v>
      </c>
      <c r="U21" s="68">
        <f>+K21</f>
        <v>950935.90074000007</v>
      </c>
      <c r="V21" s="69">
        <f>+K21</f>
        <v>950935.90074000007</v>
      </c>
    </row>
    <row r="22" spans="1:22">
      <c r="A22" s="39"/>
      <c r="C22" s="306"/>
      <c r="D22" s="306"/>
      <c r="E22" s="306"/>
      <c r="F22" s="306"/>
      <c r="G22" s="307"/>
      <c r="J22" s="118"/>
      <c r="K22" s="68"/>
      <c r="L22" s="68"/>
      <c r="M22" s="68"/>
      <c r="N22" s="68"/>
      <c r="O22" s="68"/>
      <c r="P22" s="68"/>
      <c r="Q22" s="69"/>
      <c r="R22" s="112"/>
      <c r="S22" s="118"/>
      <c r="T22" s="142"/>
      <c r="U22" s="142"/>
      <c r="V22" s="25"/>
    </row>
    <row r="23" spans="1:22">
      <c r="A23" s="39" t="s">
        <v>1934</v>
      </c>
      <c r="C23" s="306"/>
      <c r="D23" s="306"/>
      <c r="E23" s="306"/>
      <c r="F23" s="306"/>
      <c r="G23" s="307"/>
      <c r="J23" s="118"/>
      <c r="K23" s="68"/>
      <c r="L23" s="68"/>
      <c r="M23" s="68"/>
      <c r="N23" s="68"/>
      <c r="O23" s="68"/>
      <c r="P23" s="68"/>
      <c r="Q23" s="69"/>
      <c r="R23" s="112"/>
      <c r="S23" s="118"/>
      <c r="T23" s="142"/>
      <c r="U23" s="142"/>
      <c r="V23" s="25"/>
    </row>
    <row r="24" spans="1:22">
      <c r="A24" s="39" t="s">
        <v>1928</v>
      </c>
      <c r="B24" s="96"/>
      <c r="C24" s="308">
        <v>6798049.6931586275</v>
      </c>
      <c r="D24" s="308">
        <v>6798049.6931586275</v>
      </c>
      <c r="E24" s="308">
        <v>6993291.6834200323</v>
      </c>
      <c r="F24" s="308">
        <v>7078785.7237670114</v>
      </c>
      <c r="G24" s="309">
        <v>7172090.5584056191</v>
      </c>
      <c r="J24" s="118"/>
      <c r="K24" s="68">
        <f>+C24</f>
        <v>6798049.6931586275</v>
      </c>
      <c r="L24" s="68"/>
      <c r="M24" s="68"/>
      <c r="N24" s="68"/>
      <c r="O24" s="68"/>
      <c r="P24" s="68"/>
      <c r="Q24" s="69"/>
      <c r="R24" s="112"/>
      <c r="S24" s="118"/>
      <c r="T24" s="142"/>
      <c r="U24" s="142"/>
      <c r="V24" s="25"/>
    </row>
    <row r="25" spans="1:22">
      <c r="A25" s="39" t="s">
        <v>1929</v>
      </c>
      <c r="B25" s="96"/>
      <c r="C25" s="308">
        <v>0</v>
      </c>
      <c r="D25" s="308">
        <v>0</v>
      </c>
      <c r="E25" s="308">
        <v>0</v>
      </c>
      <c r="F25" s="308">
        <v>0</v>
      </c>
      <c r="G25" s="309">
        <v>0</v>
      </c>
      <c r="J25" s="118"/>
      <c r="K25" s="68"/>
      <c r="L25" s="68">
        <f>+C25</f>
        <v>0</v>
      </c>
      <c r="M25" s="68"/>
      <c r="N25" s="68"/>
      <c r="O25" s="68"/>
      <c r="P25" s="68"/>
      <c r="Q25" s="69"/>
      <c r="R25" s="112"/>
      <c r="S25" s="118"/>
      <c r="T25" s="142"/>
      <c r="U25" s="142"/>
      <c r="V25" s="25"/>
    </row>
    <row r="26" spans="1:22">
      <c r="A26" s="39" t="s">
        <v>1930</v>
      </c>
      <c r="B26" s="96"/>
      <c r="C26" s="308">
        <v>209151.36075811923</v>
      </c>
      <c r="D26" s="308">
        <v>208131.85660325762</v>
      </c>
      <c r="E26" s="308">
        <v>209151.36075811923</v>
      </c>
      <c r="F26" s="308">
        <v>211708.26753174543</v>
      </c>
      <c r="G26" s="309">
        <v>214498.77506573583</v>
      </c>
      <c r="J26" s="118"/>
      <c r="K26" s="68"/>
      <c r="L26" s="68"/>
      <c r="M26" s="68">
        <f>+C26*M4</f>
        <v>207059.84715053803</v>
      </c>
      <c r="N26" s="68"/>
      <c r="O26" s="68"/>
      <c r="P26" s="68"/>
      <c r="Q26" s="69"/>
      <c r="R26" s="112"/>
      <c r="S26" s="118"/>
      <c r="T26" s="142"/>
      <c r="U26" s="142"/>
      <c r="V26" s="25"/>
    </row>
    <row r="27" spans="1:22">
      <c r="A27" s="39" t="s">
        <v>1931</v>
      </c>
      <c r="B27" s="96"/>
      <c r="C27" s="308">
        <v>83440.920201714529</v>
      </c>
      <c r="D27" s="306"/>
      <c r="E27" s="308">
        <v>83440.920201714529</v>
      </c>
      <c r="F27" s="308">
        <v>84460.997973563703</v>
      </c>
      <c r="G27" s="309">
        <v>85574.270751813776</v>
      </c>
      <c r="J27" s="118"/>
      <c r="K27" s="68"/>
      <c r="L27" s="68"/>
      <c r="M27" s="68"/>
      <c r="N27" s="68">
        <f>+C27*N4</f>
        <v>82606.510999697377</v>
      </c>
      <c r="O27" s="68"/>
      <c r="P27" s="68"/>
      <c r="Q27" s="69"/>
      <c r="R27" s="112"/>
      <c r="S27" s="118"/>
      <c r="T27" s="142"/>
      <c r="U27" s="142"/>
      <c r="V27" s="25"/>
    </row>
    <row r="28" spans="1:22">
      <c r="A28" s="39" t="s">
        <v>1932</v>
      </c>
      <c r="B28" s="96"/>
      <c r="C28" s="308">
        <v>58.775790222898905</v>
      </c>
      <c r="D28" s="306"/>
      <c r="E28" s="308">
        <v>58.775790222898905</v>
      </c>
      <c r="F28" s="308">
        <v>59.494333079141484</v>
      </c>
      <c r="G28" s="309">
        <v>60.278522504630899</v>
      </c>
      <c r="J28" s="118"/>
      <c r="K28" s="68"/>
      <c r="L28" s="68"/>
      <c r="M28" s="68"/>
      <c r="N28" s="68"/>
      <c r="O28" s="68">
        <f>+C28*O4</f>
        <v>58.188032320669919</v>
      </c>
      <c r="P28" s="68"/>
      <c r="Q28" s="69"/>
      <c r="R28" s="112"/>
      <c r="S28" s="118"/>
      <c r="T28" s="142"/>
      <c r="U28" s="142"/>
      <c r="V28" s="25"/>
    </row>
    <row r="29" spans="1:22">
      <c r="A29" s="39" t="s">
        <v>1935</v>
      </c>
      <c r="B29" s="96"/>
      <c r="C29" s="308">
        <v>522.03741451639507</v>
      </c>
      <c r="D29" s="306"/>
      <c r="E29" s="308">
        <v>521.43160269402983</v>
      </c>
      <c r="F29" s="308">
        <v>522.03741451639507</v>
      </c>
      <c r="G29" s="309">
        <v>528.9183424802236</v>
      </c>
      <c r="J29" s="118"/>
      <c r="K29" s="68"/>
      <c r="L29" s="68"/>
      <c r="M29" s="68"/>
      <c r="N29" s="68"/>
      <c r="O29" s="68"/>
      <c r="P29" s="68">
        <f>+C29*P4</f>
        <v>511.59666622606716</v>
      </c>
      <c r="Q29" s="69"/>
      <c r="R29" s="112"/>
      <c r="S29" s="118"/>
      <c r="T29" s="142"/>
      <c r="U29" s="142"/>
      <c r="V29" s="25"/>
    </row>
    <row r="30" spans="1:22">
      <c r="A30" s="39" t="s">
        <v>1936</v>
      </c>
      <c r="B30" s="96"/>
      <c r="C30" s="308">
        <v>1013.8839068005352</v>
      </c>
      <c r="D30" s="306"/>
      <c r="E30" s="306"/>
      <c r="F30" s="308">
        <v>1013.8839068005352</v>
      </c>
      <c r="G30" s="309">
        <v>1027.2478189117817</v>
      </c>
      <c r="J30" s="118"/>
      <c r="K30" s="68"/>
      <c r="L30" s="68"/>
      <c r="M30" s="68"/>
      <c r="N30" s="68"/>
      <c r="O30" s="68"/>
      <c r="P30" s="68"/>
      <c r="Q30" s="69">
        <f>+C30*Q4</f>
        <v>993.60622866452445</v>
      </c>
      <c r="R30" s="112"/>
      <c r="S30" s="118"/>
      <c r="T30" s="142"/>
      <c r="U30" s="142"/>
      <c r="V30" s="25"/>
    </row>
    <row r="31" spans="1:22">
      <c r="A31" s="39" t="s">
        <v>1933</v>
      </c>
      <c r="B31" s="96"/>
      <c r="C31" s="311">
        <v>7092236.6712300004</v>
      </c>
      <c r="D31" s="312">
        <v>7006181.5497618848</v>
      </c>
      <c r="E31" s="312">
        <v>7286464.1717727827</v>
      </c>
      <c r="F31" s="312">
        <v>7376550.4049267164</v>
      </c>
      <c r="G31" s="313">
        <v>7473780.0489070648</v>
      </c>
      <c r="J31" s="118"/>
      <c r="K31" s="68"/>
      <c r="L31" s="68"/>
      <c r="M31" s="68"/>
      <c r="N31" s="68"/>
      <c r="O31" s="68"/>
      <c r="P31" s="68"/>
      <c r="Q31" s="69"/>
      <c r="R31" s="112"/>
      <c r="S31" s="118"/>
      <c r="T31" s="142"/>
      <c r="U31" s="142"/>
      <c r="V31" s="25"/>
    </row>
    <row r="32" spans="1:22">
      <c r="A32" s="39"/>
      <c r="C32" s="306"/>
      <c r="D32" s="306"/>
      <c r="E32" s="306"/>
      <c r="F32" s="306"/>
      <c r="G32" s="307"/>
      <c r="J32" s="118"/>
      <c r="K32" s="68"/>
      <c r="L32" s="68"/>
      <c r="M32" s="68"/>
      <c r="N32" s="68"/>
      <c r="O32" s="68"/>
      <c r="P32" s="68"/>
      <c r="Q32" s="69"/>
      <c r="R32" s="112"/>
      <c r="S32" s="118" t="s">
        <v>1934</v>
      </c>
      <c r="T32" s="68">
        <f>+K24+L25+M26+N27+O28+P29+Q30</f>
        <v>7089279.4422360742</v>
      </c>
      <c r="U32" s="68">
        <f>+K24+L25+M26+N27+P29</f>
        <v>7088227.647975089</v>
      </c>
      <c r="V32" s="69">
        <f>+K24+M26</f>
        <v>7005109.5403091656</v>
      </c>
    </row>
    <row r="33" spans="1:22">
      <c r="A33" s="39" t="s">
        <v>1937</v>
      </c>
      <c r="C33" s="306"/>
      <c r="D33" s="306"/>
      <c r="E33" s="306"/>
      <c r="F33" s="306"/>
      <c r="G33" s="307"/>
      <c r="J33" s="118"/>
      <c r="K33" s="68"/>
      <c r="L33" s="68"/>
      <c r="M33" s="68"/>
      <c r="N33" s="68"/>
      <c r="O33" s="68"/>
      <c r="P33" s="68"/>
      <c r="Q33" s="69"/>
      <c r="R33" s="112"/>
      <c r="S33" s="118"/>
      <c r="T33" s="142"/>
      <c r="U33" s="142"/>
      <c r="V33" s="25"/>
    </row>
    <row r="34" spans="1:22">
      <c r="A34" s="39" t="s">
        <v>1930</v>
      </c>
      <c r="B34" s="96"/>
      <c r="C34" s="308">
        <v>0</v>
      </c>
      <c r="D34" s="308">
        <v>0</v>
      </c>
      <c r="E34" s="308">
        <v>0</v>
      </c>
      <c r="F34" s="308">
        <v>0</v>
      </c>
      <c r="G34" s="309">
        <v>0</v>
      </c>
      <c r="J34" s="118"/>
      <c r="K34" s="68"/>
      <c r="L34" s="68"/>
      <c r="M34" s="68">
        <f>+C34*M4</f>
        <v>0</v>
      </c>
      <c r="N34" s="68"/>
      <c r="O34" s="68"/>
      <c r="P34" s="68"/>
      <c r="Q34" s="69"/>
      <c r="R34" s="112"/>
      <c r="S34" s="118"/>
      <c r="T34" s="142"/>
      <c r="U34" s="142"/>
      <c r="V34" s="25"/>
    </row>
    <row r="35" spans="1:22">
      <c r="A35" s="39" t="s">
        <v>1931</v>
      </c>
      <c r="B35" s="96"/>
      <c r="C35" s="308">
        <v>1160046.4763981265</v>
      </c>
      <c r="D35" s="306"/>
      <c r="E35" s="308">
        <v>1160046.4763981265</v>
      </c>
      <c r="F35" s="308">
        <v>1174228.2186658895</v>
      </c>
      <c r="G35" s="309">
        <v>1189705.6146552546</v>
      </c>
      <c r="J35" s="118"/>
      <c r="K35" s="68"/>
      <c r="L35" s="68"/>
      <c r="M35" s="68"/>
      <c r="N35" s="68">
        <f>+C35*N4</f>
        <v>1148446.0116341452</v>
      </c>
      <c r="O35" s="68"/>
      <c r="P35" s="68"/>
      <c r="Q35" s="69"/>
      <c r="R35" s="112"/>
      <c r="S35" s="118"/>
      <c r="T35" s="142"/>
      <c r="U35" s="142"/>
      <c r="V35" s="25"/>
    </row>
    <row r="36" spans="1:22">
      <c r="A36" s="39" t="s">
        <v>1932</v>
      </c>
      <c r="B36" s="96"/>
      <c r="C36" s="308">
        <v>0</v>
      </c>
      <c r="D36" s="306"/>
      <c r="E36" s="308">
        <v>0</v>
      </c>
      <c r="F36" s="308">
        <v>0</v>
      </c>
      <c r="G36" s="309">
        <v>0</v>
      </c>
      <c r="J36" s="118"/>
      <c r="K36" s="68"/>
      <c r="L36" s="68"/>
      <c r="M36" s="68"/>
      <c r="N36" s="68"/>
      <c r="O36" s="68">
        <f>+C36*O4</f>
        <v>0</v>
      </c>
      <c r="P36" s="68"/>
      <c r="Q36" s="69"/>
      <c r="R36" s="112"/>
      <c r="S36" s="118"/>
      <c r="T36" s="142"/>
      <c r="U36" s="142"/>
      <c r="V36" s="25"/>
    </row>
    <row r="37" spans="1:22">
      <c r="A37" s="39" t="s">
        <v>1935</v>
      </c>
      <c r="B37" s="96"/>
      <c r="C37" s="308">
        <v>0</v>
      </c>
      <c r="D37" s="306"/>
      <c r="E37" s="308">
        <v>0</v>
      </c>
      <c r="F37" s="308">
        <v>0</v>
      </c>
      <c r="G37" s="309">
        <v>0</v>
      </c>
      <c r="J37" s="118"/>
      <c r="K37" s="68"/>
      <c r="L37" s="68"/>
      <c r="M37" s="68"/>
      <c r="N37" s="68"/>
      <c r="O37" s="68"/>
      <c r="P37" s="68">
        <f>+C37*P4</f>
        <v>0</v>
      </c>
      <c r="Q37" s="69"/>
      <c r="R37" s="112"/>
      <c r="S37" s="118"/>
      <c r="T37" s="142"/>
      <c r="U37" s="142"/>
      <c r="V37" s="25"/>
    </row>
    <row r="38" spans="1:22">
      <c r="A38" s="39" t="s">
        <v>1936</v>
      </c>
      <c r="B38" s="96"/>
      <c r="C38" s="308">
        <v>865067.86019187397</v>
      </c>
      <c r="D38" s="306"/>
      <c r="E38" s="306"/>
      <c r="F38" s="308">
        <v>865067.86019187397</v>
      </c>
      <c r="G38" s="309">
        <v>876470.24144709064</v>
      </c>
      <c r="J38" s="118"/>
      <c r="K38" s="68"/>
      <c r="L38" s="68"/>
      <c r="M38" s="68"/>
      <c r="N38" s="68"/>
      <c r="O38" s="68"/>
      <c r="P38" s="68"/>
      <c r="Q38" s="69">
        <f>+C38*Q4</f>
        <v>847766.50298803649</v>
      </c>
      <c r="R38" s="112"/>
      <c r="S38" s="118"/>
      <c r="T38" s="142"/>
      <c r="U38" s="142"/>
      <c r="V38" s="25"/>
    </row>
    <row r="39" spans="1:22">
      <c r="A39" s="39" t="s">
        <v>1933</v>
      </c>
      <c r="B39" s="96"/>
      <c r="C39" s="311">
        <v>2025114.3365900004</v>
      </c>
      <c r="D39" s="312">
        <v>0</v>
      </c>
      <c r="E39" s="312">
        <v>1160046.4763981265</v>
      </c>
      <c r="F39" s="312">
        <v>2039296.0788577634</v>
      </c>
      <c r="G39" s="313">
        <v>2066175.8561023453</v>
      </c>
      <c r="J39" s="118"/>
      <c r="K39" s="68"/>
      <c r="L39" s="68"/>
      <c r="M39" s="68"/>
      <c r="N39" s="68"/>
      <c r="O39" s="68"/>
      <c r="P39" s="68"/>
      <c r="Q39" s="69"/>
      <c r="R39" s="112"/>
      <c r="S39" s="118" t="s">
        <v>1971</v>
      </c>
      <c r="T39" s="68">
        <f>+N35</f>
        <v>1148446.0116341452</v>
      </c>
      <c r="U39" s="68">
        <f>+N35</f>
        <v>1148446.0116341452</v>
      </c>
      <c r="V39" s="25"/>
    </row>
    <row r="40" spans="1:22">
      <c r="A40" s="39"/>
      <c r="C40" s="306"/>
      <c r="D40" s="306"/>
      <c r="E40" s="306"/>
      <c r="F40" s="306"/>
      <c r="G40" s="307"/>
      <c r="J40" s="118"/>
      <c r="K40" s="68"/>
      <c r="L40" s="68"/>
      <c r="M40" s="68"/>
      <c r="N40" s="68"/>
      <c r="O40" s="68"/>
      <c r="P40" s="68"/>
      <c r="Q40" s="69"/>
      <c r="R40" s="112"/>
      <c r="S40" s="118" t="s">
        <v>1972</v>
      </c>
      <c r="T40" s="68">
        <f>+Q38</f>
        <v>847766.50298803649</v>
      </c>
      <c r="U40" s="142"/>
      <c r="V40" s="25"/>
    </row>
    <row r="41" spans="1:22">
      <c r="A41" s="39" t="s">
        <v>1973</v>
      </c>
      <c r="C41" s="306"/>
      <c r="D41" s="306"/>
      <c r="E41" s="306"/>
      <c r="F41" s="306"/>
      <c r="G41" s="307"/>
      <c r="J41" s="118"/>
      <c r="K41" s="68"/>
      <c r="L41" s="68"/>
      <c r="M41" s="68"/>
      <c r="N41" s="68"/>
      <c r="O41" s="68"/>
      <c r="P41" s="68"/>
      <c r="Q41" s="69"/>
      <c r="R41" s="112"/>
      <c r="S41" s="118"/>
      <c r="T41" s="142"/>
      <c r="U41" s="142"/>
      <c r="V41" s="25"/>
    </row>
    <row r="42" spans="1:22" ht="15" thickBot="1">
      <c r="A42" s="39" t="s">
        <v>1926</v>
      </c>
      <c r="B42" s="96"/>
      <c r="C42" s="303">
        <v>107727.52524999999</v>
      </c>
      <c r="D42" s="304">
        <v>107727.52524999999</v>
      </c>
      <c r="E42" s="304">
        <v>110821.49151754769</v>
      </c>
      <c r="F42" s="304">
        <v>112176.30088286794</v>
      </c>
      <c r="G42" s="305">
        <v>113654.88656305107</v>
      </c>
      <c r="J42" s="276">
        <f>+C42</f>
        <v>107727.52524999999</v>
      </c>
      <c r="K42" s="68"/>
      <c r="L42" s="68"/>
      <c r="M42" s="68"/>
      <c r="N42" s="68"/>
      <c r="O42" s="68"/>
      <c r="P42" s="68"/>
      <c r="Q42" s="69"/>
      <c r="R42" s="112"/>
      <c r="S42" s="119" t="s">
        <v>1973</v>
      </c>
      <c r="T42" s="70">
        <f>+J42</f>
        <v>107727.52524999999</v>
      </c>
      <c r="U42" s="70">
        <f>+J42</f>
        <v>107727.52524999999</v>
      </c>
      <c r="V42" s="71">
        <f>+J42</f>
        <v>107727.52524999999</v>
      </c>
    </row>
    <row r="43" spans="1:22">
      <c r="A43" s="39"/>
      <c r="C43" s="306"/>
      <c r="D43" s="306"/>
      <c r="E43" s="306"/>
      <c r="F43" s="306"/>
      <c r="G43" s="307"/>
      <c r="J43" s="118"/>
      <c r="K43" s="68"/>
      <c r="L43" s="68"/>
      <c r="M43" s="68"/>
      <c r="N43" s="68"/>
      <c r="O43" s="68"/>
      <c r="P43" s="68"/>
      <c r="Q43" s="69"/>
      <c r="R43" s="112"/>
      <c r="T43" s="33"/>
      <c r="U43" s="33"/>
      <c r="V43" s="33"/>
    </row>
    <row r="44" spans="1:22">
      <c r="A44" s="39" t="s">
        <v>115</v>
      </c>
      <c r="C44" s="306"/>
      <c r="D44" s="306"/>
      <c r="E44" s="306"/>
      <c r="F44" s="306"/>
      <c r="G44" s="307"/>
      <c r="J44" s="118"/>
      <c r="K44" s="68"/>
      <c r="L44" s="68"/>
      <c r="M44" s="68"/>
      <c r="N44" s="68"/>
      <c r="O44" s="68"/>
      <c r="P44" s="68"/>
      <c r="Q44" s="69"/>
      <c r="R44" s="112"/>
      <c r="T44" s="33"/>
      <c r="U44" s="33"/>
      <c r="V44" s="33"/>
    </row>
    <row r="45" spans="1:22">
      <c r="A45" s="39" t="s">
        <v>1928</v>
      </c>
      <c r="C45" s="306">
        <v>18146311.745572858</v>
      </c>
      <c r="D45" s="306">
        <v>18146311.745572858</v>
      </c>
      <c r="E45" s="306">
        <v>18667479.16579267</v>
      </c>
      <c r="F45" s="306">
        <v>18895691.900113538</v>
      </c>
      <c r="G45" s="307">
        <v>19144754.306707185</v>
      </c>
      <c r="J45" s="118"/>
      <c r="K45" s="68"/>
      <c r="L45" s="68"/>
      <c r="M45" s="68"/>
      <c r="N45" s="68"/>
      <c r="O45" s="68"/>
      <c r="P45" s="68"/>
      <c r="Q45" s="69"/>
      <c r="R45" s="112"/>
      <c r="T45" s="33"/>
      <c r="U45" s="33"/>
      <c r="V45" s="33"/>
    </row>
    <row r="46" spans="1:22">
      <c r="A46" s="39" t="s">
        <v>1929</v>
      </c>
      <c r="C46" s="306">
        <v>0</v>
      </c>
      <c r="D46" s="306">
        <v>0</v>
      </c>
      <c r="E46" s="306">
        <v>0</v>
      </c>
      <c r="F46" s="306">
        <v>0</v>
      </c>
      <c r="G46" s="307">
        <v>0</v>
      </c>
      <c r="J46" s="118"/>
      <c r="K46" s="68"/>
      <c r="L46" s="68"/>
      <c r="M46" s="68"/>
      <c r="N46" s="68"/>
      <c r="O46" s="68"/>
      <c r="P46" s="68"/>
      <c r="Q46" s="69"/>
      <c r="R46" s="112"/>
      <c r="T46" s="33"/>
      <c r="U46" s="33"/>
      <c r="V46" s="33"/>
    </row>
    <row r="47" spans="1:22">
      <c r="A47" s="39" t="s">
        <v>1930</v>
      </c>
      <c r="C47" s="306">
        <v>209304.6307152893</v>
      </c>
      <c r="D47" s="306">
        <v>208284.37944906496</v>
      </c>
      <c r="E47" s="306">
        <v>209304.6307152893</v>
      </c>
      <c r="F47" s="306">
        <v>211863.41123714388</v>
      </c>
      <c r="G47" s="307">
        <v>214655.96370628872</v>
      </c>
      <c r="J47" s="118"/>
      <c r="K47" s="68"/>
      <c r="L47" s="68"/>
      <c r="M47" s="68"/>
      <c r="N47" s="68"/>
      <c r="O47" s="68"/>
      <c r="P47" s="68"/>
      <c r="Q47" s="69"/>
      <c r="R47" s="112"/>
      <c r="T47" s="33"/>
      <c r="U47" s="33"/>
      <c r="V47" s="33"/>
    </row>
    <row r="48" spans="1:22">
      <c r="A48" s="39" t="s">
        <v>1931</v>
      </c>
      <c r="C48" s="306">
        <v>1243803.9541584407</v>
      </c>
      <c r="D48" s="306">
        <v>0</v>
      </c>
      <c r="E48" s="306">
        <v>1243803.9541584407</v>
      </c>
      <c r="F48" s="306">
        <v>1259009.644161714</v>
      </c>
      <c r="G48" s="307">
        <v>1275604.5364555307</v>
      </c>
      <c r="J48" s="118"/>
      <c r="K48" s="68"/>
      <c r="L48" s="68"/>
      <c r="M48" s="68"/>
      <c r="N48" s="68"/>
      <c r="O48" s="68"/>
      <c r="P48" s="68"/>
      <c r="Q48" s="69"/>
      <c r="R48" s="112"/>
      <c r="T48" s="33"/>
      <c r="U48" s="33"/>
      <c r="V48" s="33"/>
    </row>
    <row r="49" spans="1:22">
      <c r="A49" s="39" t="s">
        <v>1932</v>
      </c>
      <c r="C49" s="306">
        <v>58.775790222898905</v>
      </c>
      <c r="D49" s="306">
        <v>0</v>
      </c>
      <c r="E49" s="306">
        <v>58.775790222898905</v>
      </c>
      <c r="F49" s="306">
        <v>59.494333079141484</v>
      </c>
      <c r="G49" s="307">
        <v>60.278522504630899</v>
      </c>
      <c r="J49" s="118"/>
      <c r="K49" s="68"/>
      <c r="L49" s="68"/>
      <c r="M49" s="68"/>
      <c r="N49" s="68"/>
      <c r="O49" s="68"/>
      <c r="P49" s="68"/>
      <c r="Q49" s="69"/>
      <c r="R49" s="112"/>
      <c r="T49" s="33"/>
      <c r="U49" s="33"/>
      <c r="V49" s="33"/>
    </row>
    <row r="50" spans="1:22">
      <c r="A50" s="39" t="s">
        <v>1935</v>
      </c>
      <c r="C50" s="306">
        <v>522.03741451639507</v>
      </c>
      <c r="D50" s="306">
        <v>0</v>
      </c>
      <c r="E50" s="306">
        <v>521.43160269402983</v>
      </c>
      <c r="F50" s="306">
        <v>522.03741451639507</v>
      </c>
      <c r="G50" s="307">
        <v>528.9183424802236</v>
      </c>
      <c r="J50" s="118"/>
      <c r="K50" s="68"/>
      <c r="L50" s="68"/>
      <c r="M50" s="68"/>
      <c r="N50" s="68"/>
      <c r="O50" s="68"/>
      <c r="P50" s="68"/>
      <c r="Q50" s="69"/>
      <c r="R50" s="112"/>
      <c r="T50" s="33"/>
      <c r="U50" s="33"/>
      <c r="V50" s="33"/>
    </row>
    <row r="51" spans="1:22" ht="15" thickBot="1">
      <c r="A51" s="39" t="s">
        <v>1936</v>
      </c>
      <c r="C51" s="306">
        <v>866081.74409867451</v>
      </c>
      <c r="D51" s="306">
        <v>0</v>
      </c>
      <c r="E51" s="306">
        <v>0</v>
      </c>
      <c r="F51" s="306">
        <v>866081.74409867451</v>
      </c>
      <c r="G51" s="307">
        <v>877497.48926600243</v>
      </c>
      <c r="J51" s="118"/>
      <c r="K51" s="68"/>
      <c r="L51" s="68"/>
      <c r="M51" s="68"/>
      <c r="N51" s="68"/>
      <c r="O51" s="68"/>
      <c r="P51" s="68"/>
      <c r="Q51" s="69"/>
      <c r="R51" s="112"/>
      <c r="T51" s="33"/>
      <c r="U51" s="33"/>
      <c r="V51" s="33"/>
    </row>
    <row r="52" spans="1:22" ht="15" thickBot="1">
      <c r="A52" s="39" t="s">
        <v>115</v>
      </c>
      <c r="C52" s="314">
        <v>20466082.88775</v>
      </c>
      <c r="D52" s="315">
        <v>18354596.125021923</v>
      </c>
      <c r="E52" s="315">
        <v>20121167.958059315</v>
      </c>
      <c r="F52" s="315">
        <v>21233228.231358666</v>
      </c>
      <c r="G52" s="316">
        <v>21513101.49299999</v>
      </c>
      <c r="J52" s="118"/>
      <c r="K52" s="68"/>
      <c r="L52" s="68"/>
      <c r="M52" s="68"/>
      <c r="N52" s="68"/>
      <c r="O52" s="68"/>
      <c r="P52" s="68"/>
      <c r="Q52" s="69"/>
      <c r="R52" s="112"/>
      <c r="T52" s="33"/>
      <c r="U52" s="33"/>
      <c r="V52" s="33"/>
    </row>
    <row r="53" spans="1:22">
      <c r="A53" s="39"/>
      <c r="C53" s="306"/>
      <c r="D53" s="306"/>
      <c r="E53" s="306"/>
      <c r="F53" s="306"/>
      <c r="G53" s="307"/>
      <c r="J53" s="118"/>
      <c r="K53" s="68"/>
      <c r="L53" s="68"/>
      <c r="M53" s="68"/>
      <c r="N53" s="68"/>
      <c r="O53" s="68"/>
      <c r="P53" s="68"/>
      <c r="Q53" s="69"/>
      <c r="R53" s="112"/>
      <c r="T53" s="33"/>
      <c r="U53" s="33"/>
      <c r="V53" s="33"/>
    </row>
    <row r="54" spans="1:22">
      <c r="A54" s="39" t="s">
        <v>1939</v>
      </c>
      <c r="C54" s="306"/>
      <c r="D54" s="306">
        <v>521167.42021981435</v>
      </c>
      <c r="E54" s="306">
        <v>245977.92338885507</v>
      </c>
      <c r="F54" s="306">
        <v>279873.26164132037</v>
      </c>
      <c r="G54" s="307">
        <v>1047018.6052499898</v>
      </c>
      <c r="J54" s="118"/>
      <c r="K54" s="68"/>
      <c r="L54" s="68"/>
      <c r="M54" s="68"/>
      <c r="N54" s="68"/>
      <c r="O54" s="68"/>
      <c r="P54" s="68"/>
      <c r="Q54" s="69"/>
      <c r="R54" s="112"/>
      <c r="T54" s="33"/>
      <c r="U54" s="33"/>
      <c r="V54" s="33"/>
    </row>
    <row r="55" spans="1:22">
      <c r="A55" s="39"/>
      <c r="C55" s="306"/>
      <c r="D55" s="306"/>
      <c r="E55" s="306"/>
      <c r="F55" s="306"/>
      <c r="G55" s="307"/>
      <c r="J55" s="118"/>
      <c r="K55" s="68"/>
      <c r="L55" s="68"/>
      <c r="M55" s="68"/>
      <c r="N55" s="68"/>
      <c r="O55" s="68"/>
      <c r="P55" s="68"/>
      <c r="Q55" s="69"/>
      <c r="R55" s="112"/>
      <c r="T55" s="33"/>
      <c r="U55" s="33"/>
      <c r="V55" s="33"/>
    </row>
    <row r="56" spans="1:22">
      <c r="A56" s="39" t="s">
        <v>1940</v>
      </c>
      <c r="C56" s="306"/>
      <c r="D56" s="306"/>
      <c r="E56" s="306"/>
      <c r="F56" s="306"/>
      <c r="G56" s="307"/>
      <c r="J56" s="118"/>
      <c r="K56" s="68"/>
      <c r="L56" s="68"/>
      <c r="M56" s="68"/>
      <c r="N56" s="68"/>
      <c r="O56" s="68"/>
      <c r="P56" s="68"/>
      <c r="Q56" s="69"/>
      <c r="R56" s="112"/>
      <c r="T56" s="33"/>
      <c r="U56" s="33"/>
      <c r="V56" s="33"/>
    </row>
    <row r="57" spans="1:22">
      <c r="A57" s="39" t="s">
        <v>1941</v>
      </c>
      <c r="C57" s="308">
        <v>0</v>
      </c>
      <c r="D57" s="306"/>
      <c r="E57" s="306"/>
      <c r="F57" s="308">
        <v>0</v>
      </c>
      <c r="G57" s="309">
        <v>0</v>
      </c>
      <c r="J57" s="118"/>
      <c r="K57" s="68"/>
      <c r="L57" s="68"/>
      <c r="M57" s="68"/>
      <c r="N57" s="68"/>
      <c r="O57" s="68"/>
      <c r="P57" s="68"/>
      <c r="Q57" s="69"/>
      <c r="R57" s="112"/>
      <c r="T57" s="33"/>
      <c r="U57" s="33"/>
      <c r="V57" s="33"/>
    </row>
    <row r="58" spans="1:22">
      <c r="A58" s="39" t="s">
        <v>1942</v>
      </c>
      <c r="C58" s="308">
        <v>0</v>
      </c>
      <c r="D58" s="306"/>
      <c r="E58" s="306"/>
      <c r="F58" s="308">
        <v>0</v>
      </c>
      <c r="G58" s="309">
        <v>0</v>
      </c>
      <c r="J58" s="118"/>
      <c r="K58" s="68"/>
      <c r="L58" s="68"/>
      <c r="M58" s="68"/>
      <c r="N58" s="68"/>
      <c r="O58" s="68"/>
      <c r="P58" s="68"/>
      <c r="Q58" s="69"/>
      <c r="R58" s="112"/>
      <c r="T58" s="33"/>
      <c r="U58" s="33"/>
      <c r="V58" s="33"/>
    </row>
    <row r="59" spans="1:22">
      <c r="A59" s="39" t="s">
        <v>1943</v>
      </c>
      <c r="C59" s="308">
        <v>0</v>
      </c>
      <c r="D59" s="306"/>
      <c r="E59" s="306"/>
      <c r="F59" s="308">
        <v>0</v>
      </c>
      <c r="G59" s="320">
        <v>0</v>
      </c>
      <c r="J59" s="118"/>
      <c r="K59" s="68"/>
      <c r="L59" s="68"/>
      <c r="M59" s="68"/>
      <c r="N59" s="68"/>
      <c r="O59" s="68"/>
      <c r="P59" s="68"/>
      <c r="Q59" s="69"/>
      <c r="R59" s="112"/>
      <c r="T59" s="33"/>
      <c r="U59" s="33"/>
      <c r="V59" s="33"/>
    </row>
    <row r="60" spans="1:22">
      <c r="A60" s="39" t="s">
        <v>1933</v>
      </c>
      <c r="C60" s="311">
        <v>0</v>
      </c>
      <c r="D60" s="312"/>
      <c r="E60" s="312"/>
      <c r="F60" s="312">
        <v>0</v>
      </c>
      <c r="G60" s="313">
        <v>0</v>
      </c>
      <c r="J60" s="118"/>
      <c r="K60" s="68"/>
      <c r="L60" s="68"/>
      <c r="M60" s="68"/>
      <c r="N60" s="68"/>
      <c r="O60" s="68"/>
      <c r="P60" s="68"/>
      <c r="Q60" s="69"/>
      <c r="R60" s="112"/>
      <c r="T60" s="33"/>
      <c r="U60" s="33"/>
      <c r="V60" s="33"/>
    </row>
    <row r="61" spans="1:22">
      <c r="A61" s="102"/>
      <c r="C61" s="306"/>
      <c r="D61" s="306"/>
      <c r="E61" s="306"/>
      <c r="F61" s="306"/>
      <c r="G61" s="307"/>
      <c r="J61" s="118"/>
      <c r="K61" s="68"/>
      <c r="L61" s="68"/>
      <c r="M61" s="68"/>
      <c r="N61" s="68"/>
      <c r="O61" s="68"/>
      <c r="P61" s="68"/>
      <c r="Q61" s="69"/>
      <c r="R61" s="112"/>
      <c r="T61" s="33"/>
      <c r="U61" s="33"/>
      <c r="V61" s="33"/>
    </row>
    <row r="62" spans="1:22">
      <c r="A62" s="39" t="s">
        <v>1944</v>
      </c>
      <c r="C62" s="303">
        <v>0</v>
      </c>
      <c r="D62" s="312"/>
      <c r="E62" s="312"/>
      <c r="F62" s="304">
        <v>0</v>
      </c>
      <c r="G62" s="305">
        <v>7.4505805969238281E-9</v>
      </c>
      <c r="J62" s="118"/>
      <c r="K62" s="68"/>
      <c r="L62" s="68"/>
      <c r="M62" s="68"/>
      <c r="N62" s="68"/>
      <c r="O62" s="68"/>
      <c r="P62" s="68"/>
      <c r="Q62" s="69"/>
      <c r="R62" s="112"/>
      <c r="T62" s="33"/>
      <c r="U62" s="33"/>
      <c r="V62" s="33"/>
    </row>
    <row r="63" spans="1:22">
      <c r="A63" s="39"/>
      <c r="C63" s="306"/>
      <c r="D63" s="306"/>
      <c r="E63" s="306"/>
      <c r="F63" s="306"/>
      <c r="G63" s="307"/>
      <c r="J63" s="118"/>
      <c r="K63" s="68"/>
      <c r="L63" s="68"/>
      <c r="M63" s="68"/>
      <c r="N63" s="68"/>
      <c r="O63" s="68"/>
      <c r="P63" s="68"/>
      <c r="Q63" s="69"/>
      <c r="R63" s="112"/>
      <c r="T63" s="33"/>
      <c r="U63" s="33"/>
      <c r="V63" s="33"/>
    </row>
    <row r="64" spans="1:22">
      <c r="A64" s="39" t="s">
        <v>1945</v>
      </c>
      <c r="C64" s="306"/>
      <c r="D64" s="306">
        <v>0</v>
      </c>
      <c r="E64" s="306">
        <v>0</v>
      </c>
      <c r="F64" s="306">
        <v>7.4505805969238281E-9</v>
      </c>
      <c r="G64" s="307">
        <v>7.4505805969238281E-9</v>
      </c>
      <c r="J64" s="118"/>
      <c r="K64" s="68"/>
      <c r="L64" s="68"/>
      <c r="M64" s="68"/>
      <c r="N64" s="68"/>
      <c r="O64" s="68"/>
      <c r="P64" s="68"/>
      <c r="Q64" s="69"/>
      <c r="R64" s="112"/>
      <c r="T64" s="33"/>
      <c r="U64" s="33"/>
      <c r="V64" s="33"/>
    </row>
    <row r="65" spans="1:22" ht="15" thickBot="1">
      <c r="A65" s="39"/>
      <c r="C65" s="306"/>
      <c r="D65" s="306"/>
      <c r="E65" s="306"/>
      <c r="F65" s="306"/>
      <c r="G65" s="307"/>
      <c r="J65" s="118"/>
      <c r="K65" s="68"/>
      <c r="L65" s="68"/>
      <c r="M65" s="68"/>
      <c r="N65" s="68"/>
      <c r="O65" s="68"/>
      <c r="P65" s="68"/>
      <c r="Q65" s="69"/>
      <c r="R65" s="112"/>
      <c r="T65" s="33"/>
      <c r="U65" s="33"/>
      <c r="V65" s="33"/>
    </row>
    <row r="66" spans="1:22" ht="15" thickBot="1">
      <c r="A66" s="39" t="s">
        <v>115</v>
      </c>
      <c r="C66" s="314">
        <v>20466082.88775</v>
      </c>
      <c r="D66" s="315">
        <v>18354596.125021923</v>
      </c>
      <c r="E66" s="315">
        <v>20121167.958059315</v>
      </c>
      <c r="F66" s="315">
        <v>21233228.231358666</v>
      </c>
      <c r="G66" s="321">
        <v>21513101.492999997</v>
      </c>
      <c r="J66" s="118"/>
      <c r="K66" s="68"/>
      <c r="L66" s="68"/>
      <c r="M66" s="68"/>
      <c r="N66" s="68"/>
      <c r="O66" s="68"/>
      <c r="P66" s="68"/>
      <c r="Q66" s="69"/>
      <c r="R66" s="112"/>
      <c r="T66" s="33"/>
      <c r="U66" s="33"/>
      <c r="V66" s="33"/>
    </row>
    <row r="67" spans="1:22">
      <c r="A67" s="39"/>
      <c r="C67" s="306"/>
      <c r="D67" s="306"/>
      <c r="E67" s="306"/>
      <c r="F67" s="306"/>
      <c r="G67" s="322"/>
      <c r="J67" s="118"/>
      <c r="K67" s="68"/>
      <c r="L67" s="68"/>
      <c r="M67" s="68"/>
      <c r="N67" s="68"/>
      <c r="O67" s="68"/>
      <c r="P67" s="68"/>
      <c r="Q67" s="69"/>
      <c r="R67" s="112"/>
      <c r="T67" s="33"/>
      <c r="U67" s="33"/>
      <c r="V67" s="33"/>
    </row>
    <row r="68" spans="1:22" ht="15" thickBot="1">
      <c r="A68" s="82" t="s">
        <v>1946</v>
      </c>
      <c r="B68" s="32"/>
      <c r="C68" s="317"/>
      <c r="D68" s="323">
        <v>521167.42021981435</v>
      </c>
      <c r="E68" s="323">
        <v>245977.92338885507</v>
      </c>
      <c r="F68" s="323">
        <v>279873.26164132782</v>
      </c>
      <c r="G68" s="324">
        <v>1047018.6052499972</v>
      </c>
      <c r="J68" s="119"/>
      <c r="K68" s="70"/>
      <c r="L68" s="70"/>
      <c r="M68" s="70"/>
      <c r="N68" s="70"/>
      <c r="O68" s="70"/>
      <c r="P68" s="70"/>
      <c r="Q68" s="71"/>
      <c r="R68" s="112"/>
      <c r="T68" s="33"/>
      <c r="U68" s="33"/>
      <c r="V68" s="33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8" tint="0.59999389629810485"/>
  </sheetPr>
  <dimension ref="B2:E9"/>
  <sheetViews>
    <sheetView tabSelected="1" showOutlineSymbols="0" topLeftCell="B1" workbookViewId="0"/>
  </sheetViews>
  <sheetFormatPr defaultRowHeight="14.4"/>
  <cols>
    <col min="2" max="2" width="9.88671875" bestFit="1" customWidth="1"/>
    <col min="3" max="3" width="10.6640625" customWidth="1"/>
    <col min="5" max="5" width="12.6640625" bestFit="1" customWidth="1"/>
  </cols>
  <sheetData>
    <row r="2" spans="2:5" ht="15" thickBot="1"/>
    <row r="3" spans="2:5" ht="15" thickBot="1">
      <c r="B3" s="113" t="s">
        <v>1947</v>
      </c>
      <c r="C3" s="134" t="s">
        <v>1980</v>
      </c>
      <c r="E3" s="29" t="s">
        <v>116</v>
      </c>
    </row>
    <row r="4" spans="2:5">
      <c r="B4" s="137" t="s">
        <v>1949</v>
      </c>
      <c r="C4" s="135">
        <v>0.224</v>
      </c>
    </row>
    <row r="5" spans="2:5">
      <c r="B5" s="137" t="s">
        <v>1950</v>
      </c>
      <c r="C5" s="135">
        <v>0.25700000000000001</v>
      </c>
    </row>
    <row r="6" spans="2:5">
      <c r="B6" s="137" t="s">
        <v>1934</v>
      </c>
      <c r="C6" s="135">
        <v>0.53500000000000003</v>
      </c>
    </row>
    <row r="7" spans="2:5">
      <c r="B7" s="137" t="s">
        <v>1971</v>
      </c>
      <c r="C7" s="135">
        <v>0.66800000000000004</v>
      </c>
    </row>
    <row r="8" spans="2:5">
      <c r="B8" s="137" t="s">
        <v>1972</v>
      </c>
      <c r="C8" s="135">
        <v>0.35899999999999999</v>
      </c>
    </row>
    <row r="9" spans="2:5" ht="15" thickBot="1">
      <c r="B9" s="138" t="s">
        <v>1973</v>
      </c>
      <c r="C9" s="136">
        <v>0.47299999999999998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8" tint="0.59999389629810485"/>
  </sheetPr>
  <dimension ref="B2:E6"/>
  <sheetViews>
    <sheetView tabSelected="1" showOutlineSymbols="0" workbookViewId="0"/>
  </sheetViews>
  <sheetFormatPr defaultRowHeight="14.4"/>
  <cols>
    <col min="2" max="2" width="11.6640625" bestFit="1" customWidth="1"/>
    <col min="3" max="3" width="25.109375" bestFit="1" customWidth="1"/>
    <col min="5" max="5" width="12.6640625" bestFit="1" customWidth="1"/>
  </cols>
  <sheetData>
    <row r="2" spans="2:5" ht="15" thickBot="1"/>
    <row r="3" spans="2:5" ht="15" thickBot="1">
      <c r="B3" s="113" t="s">
        <v>1994</v>
      </c>
      <c r="C3" s="134" t="s">
        <v>1993</v>
      </c>
    </row>
    <row r="4" spans="2:5">
      <c r="B4" s="137" t="s">
        <v>1951</v>
      </c>
      <c r="C4" s="151">
        <v>0</v>
      </c>
      <c r="E4" s="29" t="s">
        <v>116</v>
      </c>
    </row>
    <row r="5" spans="2:5">
      <c r="B5" s="137" t="s">
        <v>1952</v>
      </c>
      <c r="C5" s="151">
        <v>0.01</v>
      </c>
    </row>
    <row r="6" spans="2:5" ht="15" thickBot="1">
      <c r="B6" s="138" t="s">
        <v>1953</v>
      </c>
      <c r="C6" s="152">
        <v>0.02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8" tint="0.59999389629810485"/>
  </sheetPr>
  <dimension ref="A1:R117"/>
  <sheetViews>
    <sheetView tabSelected="1" showOutlineSymbols="0" workbookViewId="0"/>
  </sheetViews>
  <sheetFormatPr defaultRowHeight="14.4"/>
  <cols>
    <col min="1" max="1" width="19.6640625" bestFit="1" customWidth="1"/>
    <col min="2" max="2" width="16.6640625" bestFit="1" customWidth="1"/>
    <col min="3" max="3" width="19" bestFit="1" customWidth="1"/>
    <col min="4" max="4" width="16.88671875" customWidth="1"/>
    <col min="5" max="5" width="16.88671875" bestFit="1" customWidth="1"/>
    <col min="6" max="6" width="14.109375" bestFit="1" customWidth="1"/>
    <col min="7" max="7" width="17.88671875" bestFit="1" customWidth="1"/>
    <col min="8" max="8" width="17.88671875" customWidth="1"/>
    <col min="9" max="9" width="24.109375" bestFit="1" customWidth="1"/>
    <col min="10" max="10" width="10.5546875" bestFit="1" customWidth="1"/>
    <col min="11" max="11" width="9" bestFit="1" customWidth="1"/>
    <col min="12" max="12" width="15.6640625" bestFit="1" customWidth="1"/>
    <col min="15" max="15" width="15.44140625" bestFit="1" customWidth="1"/>
    <col min="16" max="16" width="13.44140625" style="33" bestFit="1" customWidth="1"/>
    <col min="17" max="17" width="10.5546875" style="33" bestFit="1" customWidth="1"/>
    <col min="18" max="18" width="18.33203125" style="33" bestFit="1" customWidth="1"/>
  </cols>
  <sheetData>
    <row r="1" spans="1:18" ht="16.2" thickBot="1">
      <c r="A1" s="174" t="s">
        <v>9245</v>
      </c>
      <c r="B1" s="155"/>
      <c r="C1" s="155">
        <v>8760</v>
      </c>
      <c r="D1" s="155" t="s">
        <v>9012</v>
      </c>
      <c r="E1" s="156"/>
      <c r="F1" s="155"/>
      <c r="G1" s="29" t="s">
        <v>116</v>
      </c>
      <c r="H1" s="155"/>
      <c r="I1" s="81" t="s">
        <v>1994</v>
      </c>
      <c r="J1" s="190">
        <f>100%-'Tariff Meter Level Discount'!C4</f>
        <v>1</v>
      </c>
      <c r="K1" s="190">
        <f>100%-'Tariff Meter Level Discount'!C5</f>
        <v>0.99</v>
      </c>
      <c r="L1" s="191">
        <f>100%-'Tariff Meter Level Discount'!C6</f>
        <v>0.98</v>
      </c>
      <c r="O1" s="81" t="s">
        <v>2032</v>
      </c>
      <c r="P1" s="262">
        <v>401</v>
      </c>
      <c r="Q1" s="262">
        <v>402</v>
      </c>
      <c r="R1" s="263">
        <v>403</v>
      </c>
    </row>
    <row r="2" spans="1:18" ht="15" thickBot="1">
      <c r="A2" s="175"/>
      <c r="B2" s="155"/>
      <c r="C2" s="155"/>
      <c r="D2" s="157" t="s">
        <v>2001</v>
      </c>
      <c r="E2" s="157" t="s">
        <v>2002</v>
      </c>
      <c r="F2" s="158" t="s">
        <v>2003</v>
      </c>
      <c r="G2" s="155"/>
      <c r="H2" s="155"/>
      <c r="I2" s="119" t="s">
        <v>1948</v>
      </c>
      <c r="J2" s="37" t="s">
        <v>1951</v>
      </c>
      <c r="K2" s="37" t="s">
        <v>1952</v>
      </c>
      <c r="L2" s="189" t="s">
        <v>1953</v>
      </c>
      <c r="O2" s="261" t="s">
        <v>1948</v>
      </c>
      <c r="P2" s="262" t="s">
        <v>2030</v>
      </c>
      <c r="Q2" s="262" t="s">
        <v>1952</v>
      </c>
      <c r="R2" s="263" t="s">
        <v>2031</v>
      </c>
    </row>
    <row r="3" spans="1:18">
      <c r="B3" s="155" t="s">
        <v>1934</v>
      </c>
      <c r="C3" s="237" t="s">
        <v>2004</v>
      </c>
      <c r="D3" s="202">
        <v>11944362.060000001</v>
      </c>
      <c r="E3" s="202">
        <v>4527141.7620000001</v>
      </c>
      <c r="F3" s="203">
        <v>0.51920429290254178</v>
      </c>
      <c r="G3" s="160" t="s">
        <v>2005</v>
      </c>
      <c r="H3" s="160"/>
      <c r="I3" s="176" t="s">
        <v>1934</v>
      </c>
      <c r="J3" s="192">
        <f>+D3*J1</f>
        <v>11944362.060000001</v>
      </c>
      <c r="K3" s="192"/>
      <c r="L3" s="193"/>
      <c r="O3" s="251" t="s">
        <v>1934</v>
      </c>
      <c r="P3" s="192">
        <f>+J3</f>
        <v>11944362.060000001</v>
      </c>
      <c r="Q3" s="192">
        <f>+J3</f>
        <v>11944362.060000001</v>
      </c>
      <c r="R3" s="193">
        <f>+J3</f>
        <v>11944362.060000001</v>
      </c>
    </row>
    <row r="4" spans="1:18">
      <c r="B4" s="155"/>
      <c r="C4" s="238" t="s">
        <v>2006</v>
      </c>
      <c r="D4" s="204">
        <v>0</v>
      </c>
      <c r="E4" s="204">
        <v>0</v>
      </c>
      <c r="F4" s="205"/>
      <c r="G4" s="155"/>
      <c r="H4" s="155"/>
      <c r="I4" s="179"/>
      <c r="J4" s="68">
        <f>+D4*J1</f>
        <v>0</v>
      </c>
      <c r="K4" s="68"/>
      <c r="L4" s="69"/>
      <c r="O4" s="252" t="s">
        <v>1934</v>
      </c>
      <c r="P4" s="68">
        <f>+J4</f>
        <v>0</v>
      </c>
      <c r="Q4" s="68">
        <f>+J4</f>
        <v>0</v>
      </c>
      <c r="R4" s="69"/>
    </row>
    <row r="5" spans="1:18">
      <c r="B5" s="155"/>
      <c r="C5" s="238" t="s">
        <v>2008</v>
      </c>
      <c r="D5" s="204">
        <v>61005.14949812906</v>
      </c>
      <c r="E5" s="204">
        <v>21756.432680125639</v>
      </c>
      <c r="F5" s="205">
        <v>0.48853797890360545</v>
      </c>
      <c r="G5" s="163"/>
      <c r="H5" s="163"/>
      <c r="I5" s="179"/>
      <c r="J5" s="68"/>
      <c r="K5" s="68">
        <f>+D5*K1</f>
        <v>60395.098003147767</v>
      </c>
      <c r="L5" s="69"/>
      <c r="O5" s="252" t="s">
        <v>1934</v>
      </c>
      <c r="P5" s="68">
        <f>+K5</f>
        <v>60395.098003147767</v>
      </c>
      <c r="Q5" s="68">
        <f>+K5</f>
        <v>60395.098003147767</v>
      </c>
      <c r="R5" s="69">
        <f>+K5</f>
        <v>60395.098003147767</v>
      </c>
    </row>
    <row r="6" spans="1:18" ht="15" thickBot="1">
      <c r="B6" s="155"/>
      <c r="C6" s="239" t="s">
        <v>2010</v>
      </c>
      <c r="D6" s="206">
        <v>125297.85050187094</v>
      </c>
      <c r="E6" s="206">
        <v>51306.629319874373</v>
      </c>
      <c r="F6" s="207">
        <v>0.56092784977019339</v>
      </c>
      <c r="G6" s="163"/>
      <c r="H6" s="163"/>
      <c r="I6" s="182"/>
      <c r="J6" s="70"/>
      <c r="K6" s="70">
        <f>+D6*K1</f>
        <v>124044.87199685223</v>
      </c>
      <c r="L6" s="71"/>
      <c r="O6" s="253" t="s">
        <v>1934</v>
      </c>
      <c r="P6" s="70">
        <f>+K6</f>
        <v>124044.87199685223</v>
      </c>
      <c r="Q6" s="70">
        <f>+K6</f>
        <v>124044.87199685223</v>
      </c>
      <c r="R6" s="71"/>
    </row>
    <row r="7" spans="1:18" ht="15" thickBot="1">
      <c r="B7" s="155"/>
      <c r="C7" s="156"/>
      <c r="D7" s="161"/>
      <c r="E7" s="161"/>
      <c r="F7" s="164"/>
      <c r="G7" s="163"/>
      <c r="H7" s="163"/>
      <c r="I7" s="162"/>
      <c r="J7" s="112"/>
      <c r="K7" s="112"/>
      <c r="L7" s="112"/>
      <c r="O7" s="254"/>
      <c r="P7" s="112"/>
      <c r="Q7" s="112"/>
      <c r="R7" s="112"/>
    </row>
    <row r="8" spans="1:18" ht="15" thickBot="1">
      <c r="B8" s="155" t="s">
        <v>2007</v>
      </c>
      <c r="C8" s="237" t="s">
        <v>2004</v>
      </c>
      <c r="D8" s="159"/>
      <c r="E8" s="159"/>
      <c r="F8" s="165"/>
      <c r="G8" s="163"/>
      <c r="H8" s="163"/>
      <c r="I8" s="185" t="s">
        <v>2007</v>
      </c>
      <c r="J8" s="194"/>
      <c r="K8" s="194"/>
      <c r="L8" s="195"/>
      <c r="O8" s="255"/>
      <c r="P8" s="194"/>
      <c r="Q8" s="194"/>
      <c r="R8" s="195"/>
    </row>
    <row r="9" spans="1:18">
      <c r="B9" s="155"/>
      <c r="C9" s="240" t="s">
        <v>2012</v>
      </c>
      <c r="D9" s="202">
        <v>3559566</v>
      </c>
      <c r="E9" s="202">
        <v>1909031.1529999999</v>
      </c>
      <c r="F9" s="203">
        <v>0.73467135276973394</v>
      </c>
      <c r="G9" s="163"/>
      <c r="H9" s="163"/>
      <c r="I9" s="186"/>
      <c r="J9" s="194">
        <f>+D9*J1</f>
        <v>3559566</v>
      </c>
      <c r="K9" s="194"/>
      <c r="L9" s="196"/>
      <c r="O9" s="255" t="s">
        <v>1934</v>
      </c>
      <c r="P9" s="194">
        <f>+J9</f>
        <v>3559566</v>
      </c>
      <c r="Q9" s="194">
        <f>+J9</f>
        <v>3559566</v>
      </c>
      <c r="R9" s="196">
        <f>+J9</f>
        <v>3559566</v>
      </c>
    </row>
    <row r="10" spans="1:18">
      <c r="B10" s="155"/>
      <c r="C10" s="241" t="s">
        <v>2014</v>
      </c>
      <c r="D10" s="204">
        <v>3433414</v>
      </c>
      <c r="E10" s="208">
        <v>1909031.1529999999</v>
      </c>
      <c r="F10" s="205">
        <v>0.76166496918028259</v>
      </c>
      <c r="G10" s="163"/>
      <c r="H10" s="163"/>
      <c r="I10" s="187"/>
      <c r="J10" s="197"/>
      <c r="K10" s="197"/>
      <c r="L10" s="198"/>
      <c r="O10" s="256"/>
      <c r="P10" s="197"/>
      <c r="Q10" s="197"/>
      <c r="R10" s="198"/>
    </row>
    <row r="11" spans="1:18">
      <c r="B11" s="155"/>
      <c r="C11" s="242" t="s">
        <v>2006</v>
      </c>
      <c r="D11" s="209"/>
      <c r="E11" s="209"/>
      <c r="F11" s="210"/>
      <c r="G11" s="163"/>
      <c r="H11" s="163"/>
      <c r="I11" s="187"/>
      <c r="J11" s="197"/>
      <c r="K11" s="197"/>
      <c r="L11" s="198"/>
      <c r="O11" s="256"/>
      <c r="P11" s="197"/>
      <c r="Q11" s="197"/>
      <c r="R11" s="198"/>
    </row>
    <row r="12" spans="1:18">
      <c r="B12" s="155"/>
      <c r="C12" s="241" t="s">
        <v>2012</v>
      </c>
      <c r="D12" s="204">
        <v>0</v>
      </c>
      <c r="E12" s="204">
        <v>0</v>
      </c>
      <c r="F12" s="205"/>
      <c r="G12" s="163"/>
      <c r="H12" s="163"/>
      <c r="I12" s="187"/>
      <c r="J12" s="68">
        <f>+D12*J1</f>
        <v>0</v>
      </c>
      <c r="K12" s="197"/>
      <c r="L12" s="198"/>
      <c r="O12" s="256" t="s">
        <v>1934</v>
      </c>
      <c r="P12" s="68">
        <f>+J12</f>
        <v>0</v>
      </c>
      <c r="Q12" s="68">
        <f>+K12</f>
        <v>0</v>
      </c>
      <c r="R12" s="198"/>
    </row>
    <row r="13" spans="1:18">
      <c r="B13" s="155"/>
      <c r="C13" s="241" t="s">
        <v>2014</v>
      </c>
      <c r="D13" s="204">
        <v>0</v>
      </c>
      <c r="E13" s="208">
        <v>0</v>
      </c>
      <c r="F13" s="205"/>
      <c r="G13" s="163"/>
      <c r="H13" s="163"/>
      <c r="I13" s="187"/>
      <c r="J13" s="197"/>
      <c r="K13" s="197"/>
      <c r="L13" s="198"/>
      <c r="O13" s="256"/>
      <c r="P13" s="197"/>
      <c r="Q13" s="197"/>
      <c r="R13" s="198"/>
    </row>
    <row r="14" spans="1:18">
      <c r="B14" s="155"/>
      <c r="C14" s="242" t="s">
        <v>2008</v>
      </c>
      <c r="D14" s="209"/>
      <c r="E14" s="209"/>
      <c r="F14" s="210"/>
      <c r="G14" s="163"/>
      <c r="H14" s="163"/>
      <c r="I14" s="187"/>
      <c r="J14" s="197"/>
      <c r="K14" s="197"/>
      <c r="L14" s="198"/>
      <c r="O14" s="256" t="s">
        <v>1934</v>
      </c>
      <c r="P14" s="197"/>
      <c r="Q14" s="197"/>
      <c r="R14" s="198"/>
    </row>
    <row r="15" spans="1:18">
      <c r="B15" s="155"/>
      <c r="C15" s="241" t="s">
        <v>2012</v>
      </c>
      <c r="D15" s="204">
        <v>358385.54051942506</v>
      </c>
      <c r="E15" s="204">
        <v>187002.74606364555</v>
      </c>
      <c r="F15" s="205">
        <v>0.71478370729295759</v>
      </c>
      <c r="G15" s="163"/>
      <c r="H15" s="163"/>
      <c r="I15" s="187"/>
      <c r="J15" s="197"/>
      <c r="K15" s="197">
        <f>+D15*K1</f>
        <v>354801.68511423079</v>
      </c>
      <c r="L15" s="198"/>
      <c r="O15" s="256" t="s">
        <v>1934</v>
      </c>
      <c r="P15" s="197">
        <f>+K15</f>
        <v>354801.68511423079</v>
      </c>
      <c r="Q15" s="197">
        <f>+K15</f>
        <v>354801.68511423079</v>
      </c>
      <c r="R15" s="198">
        <f>+K15</f>
        <v>354801.68511423079</v>
      </c>
    </row>
    <row r="16" spans="1:18">
      <c r="B16" s="155"/>
      <c r="C16" s="241" t="s">
        <v>2014</v>
      </c>
      <c r="D16" s="204">
        <v>346661.3261396474</v>
      </c>
      <c r="E16" s="208">
        <v>187002.74606364555</v>
      </c>
      <c r="F16" s="211">
        <v>0.73895795687769206</v>
      </c>
      <c r="G16" s="163"/>
      <c r="H16" s="163"/>
      <c r="I16" s="187"/>
      <c r="J16" s="197"/>
      <c r="K16" s="197"/>
      <c r="L16" s="198"/>
      <c r="O16" s="256" t="s">
        <v>1934</v>
      </c>
      <c r="P16" s="197"/>
      <c r="Q16" s="197"/>
      <c r="R16" s="198"/>
    </row>
    <row r="17" spans="2:18">
      <c r="B17" s="155"/>
      <c r="C17" s="242" t="s">
        <v>2010</v>
      </c>
      <c r="D17" s="209"/>
      <c r="E17" s="209"/>
      <c r="F17" s="205"/>
      <c r="G17" s="163"/>
      <c r="H17" s="163"/>
      <c r="I17" s="187"/>
      <c r="J17" s="197"/>
      <c r="K17" s="197"/>
      <c r="L17" s="198"/>
      <c r="O17" s="256" t="s">
        <v>1934</v>
      </c>
      <c r="P17" s="197"/>
      <c r="Q17" s="197"/>
      <c r="R17" s="198"/>
    </row>
    <row r="18" spans="2:18">
      <c r="B18" s="155"/>
      <c r="C18" s="241" t="s">
        <v>2012</v>
      </c>
      <c r="D18" s="204">
        <v>75569.181689587233</v>
      </c>
      <c r="E18" s="204">
        <v>34305.490026528998</v>
      </c>
      <c r="F18" s="205">
        <v>0.62186490449485243</v>
      </c>
      <c r="G18" s="163"/>
      <c r="H18" s="163"/>
      <c r="I18" s="187"/>
      <c r="J18" s="197"/>
      <c r="K18" s="197">
        <f>+D18*K1</f>
        <v>74813.489872691353</v>
      </c>
      <c r="L18" s="198"/>
      <c r="O18" s="256" t="s">
        <v>1934</v>
      </c>
      <c r="P18" s="197">
        <f>+K18</f>
        <v>74813.489872691353</v>
      </c>
      <c r="Q18" s="197">
        <f>+K18</f>
        <v>74813.489872691353</v>
      </c>
      <c r="R18" s="198"/>
    </row>
    <row r="19" spans="2:18">
      <c r="B19" s="166"/>
      <c r="C19" s="241" t="s">
        <v>2014</v>
      </c>
      <c r="D19" s="204">
        <v>73467.990998805457</v>
      </c>
      <c r="E19" s="208">
        <v>34305.490026528998</v>
      </c>
      <c r="F19" s="211">
        <v>0.63965029280456853</v>
      </c>
      <c r="G19" s="163"/>
      <c r="H19" s="163"/>
      <c r="I19" s="187"/>
      <c r="J19" s="197"/>
      <c r="K19" s="197"/>
      <c r="L19" s="198"/>
      <c r="O19" s="256" t="s">
        <v>1934</v>
      </c>
      <c r="P19" s="197"/>
      <c r="Q19" s="197"/>
      <c r="R19" s="198"/>
    </row>
    <row r="20" spans="2:18">
      <c r="B20" s="155"/>
      <c r="C20" s="242" t="s">
        <v>2015</v>
      </c>
      <c r="D20" s="209"/>
      <c r="E20" s="209"/>
      <c r="F20" s="205"/>
      <c r="G20" s="163"/>
      <c r="H20" s="163"/>
      <c r="I20" s="187"/>
      <c r="J20" s="197"/>
      <c r="K20" s="197"/>
      <c r="L20" s="198"/>
      <c r="O20" s="256" t="s">
        <v>1934</v>
      </c>
      <c r="P20" s="197"/>
      <c r="Q20" s="197"/>
      <c r="R20" s="198"/>
    </row>
    <row r="21" spans="2:18">
      <c r="B21" s="155"/>
      <c r="C21" s="241" t="s">
        <v>2012</v>
      </c>
      <c r="D21" s="204">
        <v>222.27779098770344</v>
      </c>
      <c r="E21" s="204">
        <v>134.52590982541929</v>
      </c>
      <c r="F21" s="205">
        <v>0.82906199236159239</v>
      </c>
      <c r="G21" s="163"/>
      <c r="H21" s="163"/>
      <c r="I21" s="187"/>
      <c r="J21" s="197"/>
      <c r="K21" s="197">
        <f>+D21*K1</f>
        <v>220.0550130778264</v>
      </c>
      <c r="L21" s="198"/>
      <c r="O21" s="256" t="s">
        <v>1934</v>
      </c>
      <c r="P21" s="197">
        <f>+K21</f>
        <v>220.0550130778264</v>
      </c>
      <c r="Q21" s="197"/>
      <c r="R21" s="198"/>
    </row>
    <row r="22" spans="2:18">
      <c r="B22" s="155"/>
      <c r="C22" s="241" t="s">
        <v>2014</v>
      </c>
      <c r="D22" s="204">
        <v>216.68286154715466</v>
      </c>
      <c r="E22" s="208">
        <v>134.52590982541929</v>
      </c>
      <c r="F22" s="211">
        <v>0.85046905388913485</v>
      </c>
      <c r="G22" s="163"/>
      <c r="H22" s="163"/>
      <c r="I22" s="187"/>
      <c r="J22" s="197"/>
      <c r="K22" s="197"/>
      <c r="L22" s="198"/>
      <c r="O22" s="256" t="s">
        <v>1934</v>
      </c>
      <c r="P22" s="197"/>
      <c r="Q22" s="197"/>
      <c r="R22" s="198"/>
    </row>
    <row r="23" spans="2:18">
      <c r="B23" s="155"/>
      <c r="C23" s="242" t="s">
        <v>2016</v>
      </c>
      <c r="D23" s="209"/>
      <c r="E23" s="209"/>
      <c r="F23" s="205"/>
      <c r="G23" s="163"/>
      <c r="H23" s="163"/>
      <c r="I23" s="187"/>
      <c r="J23" s="197"/>
      <c r="K23" s="197"/>
      <c r="L23" s="198"/>
      <c r="O23" s="256" t="s">
        <v>1934</v>
      </c>
      <c r="P23" s="197"/>
      <c r="Q23" s="197"/>
      <c r="R23" s="198"/>
    </row>
    <row r="24" spans="2:18">
      <c r="B24" s="167"/>
      <c r="C24" s="241" t="s">
        <v>2012</v>
      </c>
      <c r="D24" s="204">
        <v>2586.641881957572</v>
      </c>
      <c r="E24" s="204">
        <v>555.10805500220624</v>
      </c>
      <c r="F24" s="205">
        <v>0.29398039150986743</v>
      </c>
      <c r="G24" s="163"/>
      <c r="H24" s="163"/>
      <c r="I24" s="187"/>
      <c r="J24" s="197"/>
      <c r="K24" s="197"/>
      <c r="L24" s="198">
        <f>+D24*L1</f>
        <v>2534.9090443184205</v>
      </c>
      <c r="O24" s="256" t="s">
        <v>1934</v>
      </c>
      <c r="P24" s="197">
        <f>+L24</f>
        <v>2534.9090443184205</v>
      </c>
      <c r="Q24" s="197">
        <f>+L24</f>
        <v>2534.9090443184205</v>
      </c>
      <c r="R24" s="198"/>
    </row>
    <row r="25" spans="2:18">
      <c r="B25" s="163"/>
      <c r="C25" s="241" t="s">
        <v>2014</v>
      </c>
      <c r="D25" s="204">
        <v>2359.3811304156588</v>
      </c>
      <c r="E25" s="208">
        <v>555.10805500220624</v>
      </c>
      <c r="F25" s="211">
        <v>0.32229722589149529</v>
      </c>
      <c r="G25" s="163"/>
      <c r="H25" s="163"/>
      <c r="I25" s="187"/>
      <c r="J25" s="197"/>
      <c r="K25" s="197"/>
      <c r="L25" s="198"/>
      <c r="O25" s="256" t="s">
        <v>1934</v>
      </c>
      <c r="P25" s="197"/>
      <c r="Q25" s="197"/>
      <c r="R25" s="198"/>
    </row>
    <row r="26" spans="2:18">
      <c r="B26" s="155"/>
      <c r="C26" s="242" t="s">
        <v>2017</v>
      </c>
      <c r="D26" s="209"/>
      <c r="E26" s="209"/>
      <c r="F26" s="205"/>
      <c r="G26" s="163"/>
      <c r="H26" s="163"/>
      <c r="I26" s="201"/>
      <c r="J26" s="197"/>
      <c r="K26" s="197"/>
      <c r="L26" s="198"/>
      <c r="O26" s="256" t="s">
        <v>1934</v>
      </c>
      <c r="P26" s="197"/>
      <c r="Q26" s="197"/>
      <c r="R26" s="198"/>
    </row>
    <row r="27" spans="2:18">
      <c r="B27" s="166"/>
      <c r="C27" s="241" t="s">
        <v>2012</v>
      </c>
      <c r="D27" s="204">
        <v>2250.358118042428</v>
      </c>
      <c r="E27" s="204">
        <v>1064.2389449977936</v>
      </c>
      <c r="F27" s="205"/>
      <c r="G27" s="163"/>
      <c r="H27" s="163"/>
      <c r="I27" s="187"/>
      <c r="J27" s="197"/>
      <c r="K27" s="197"/>
      <c r="L27" s="198">
        <f>+D27*L1</f>
        <v>2205.3509556815793</v>
      </c>
      <c r="O27" s="256" t="s">
        <v>1934</v>
      </c>
      <c r="P27" s="197">
        <f>+L27</f>
        <v>2205.3509556815793</v>
      </c>
      <c r="Q27" s="197"/>
      <c r="R27" s="198"/>
    </row>
    <row r="28" spans="2:18" ht="15" thickBot="1">
      <c r="B28" s="166"/>
      <c r="C28" s="243" t="s">
        <v>2014</v>
      </c>
      <c r="D28" s="206">
        <v>2159.6188695843416</v>
      </c>
      <c r="E28" s="206">
        <v>1064.2389449977936</v>
      </c>
      <c r="F28" s="207"/>
      <c r="G28" s="163"/>
      <c r="H28" s="163"/>
      <c r="I28" s="188"/>
      <c r="J28" s="199"/>
      <c r="K28" s="199"/>
      <c r="L28" s="200"/>
      <c r="O28" s="257" t="s">
        <v>1934</v>
      </c>
      <c r="P28" s="199"/>
      <c r="Q28" s="199"/>
      <c r="R28" s="200"/>
    </row>
    <row r="29" spans="2:18" ht="15" thickBot="1">
      <c r="B29" s="155"/>
      <c r="C29" s="156"/>
      <c r="D29" s="161"/>
      <c r="E29" s="161"/>
      <c r="F29" s="169"/>
      <c r="G29" s="163"/>
      <c r="H29" s="163"/>
      <c r="J29" s="64"/>
      <c r="K29" s="64"/>
      <c r="L29" s="64"/>
      <c r="O29" s="258"/>
      <c r="P29" s="112"/>
      <c r="Q29" s="112"/>
      <c r="R29" s="112"/>
    </row>
    <row r="30" spans="2:18">
      <c r="B30" s="155" t="s">
        <v>2018</v>
      </c>
      <c r="C30" s="237" t="s">
        <v>8362</v>
      </c>
      <c r="D30" s="202">
        <v>1992622</v>
      </c>
      <c r="E30" s="202">
        <v>353684.04399999999</v>
      </c>
      <c r="F30" s="203">
        <v>0.24314631195026398</v>
      </c>
      <c r="G30" s="163"/>
      <c r="H30" s="163"/>
      <c r="I30" s="139" t="s">
        <v>2009</v>
      </c>
      <c r="J30" s="177">
        <f>+D30*J1</f>
        <v>1992622</v>
      </c>
      <c r="K30" s="177"/>
      <c r="L30" s="178"/>
      <c r="O30" s="259" t="s">
        <v>1934</v>
      </c>
      <c r="P30" s="192">
        <f>+J30</f>
        <v>1992622</v>
      </c>
      <c r="Q30" s="192">
        <f>+J30</f>
        <v>1992622</v>
      </c>
      <c r="R30" s="193">
        <f>+J30</f>
        <v>1992622</v>
      </c>
    </row>
    <row r="31" spans="2:18">
      <c r="B31" s="155"/>
      <c r="C31" s="238" t="s">
        <v>2008</v>
      </c>
      <c r="D31" s="204">
        <v>27165.978049767349</v>
      </c>
      <c r="E31" s="204">
        <v>3230.0244367152181</v>
      </c>
      <c r="F31" s="205">
        <v>0.16287619025138769</v>
      </c>
      <c r="G31" s="163"/>
      <c r="H31" s="163"/>
      <c r="I31" s="118"/>
      <c r="J31" s="180"/>
      <c r="K31" s="180">
        <f>+D31*K1</f>
        <v>26894.318269269676</v>
      </c>
      <c r="L31" s="181"/>
      <c r="O31" s="260" t="s">
        <v>1934</v>
      </c>
      <c r="P31" s="68">
        <f>+K31</f>
        <v>26894.318269269676</v>
      </c>
      <c r="Q31" s="68">
        <f>+K31</f>
        <v>26894.318269269676</v>
      </c>
      <c r="R31" s="69">
        <f>+K31</f>
        <v>26894.318269269676</v>
      </c>
    </row>
    <row r="32" spans="2:18" ht="15" thickBot="1">
      <c r="B32" s="155"/>
      <c r="C32" s="239" t="s">
        <v>2010</v>
      </c>
      <c r="D32" s="206">
        <v>26665.021950232651</v>
      </c>
      <c r="E32" s="206">
        <v>3024.5185632847815</v>
      </c>
      <c r="F32" s="207">
        <v>0.15537868754886183</v>
      </c>
      <c r="G32" s="163"/>
      <c r="H32" s="163"/>
      <c r="I32" s="119"/>
      <c r="J32" s="183"/>
      <c r="K32" s="183">
        <f>+D32*K1</f>
        <v>26398.371730730323</v>
      </c>
      <c r="L32" s="184"/>
      <c r="O32" s="250" t="s">
        <v>1934</v>
      </c>
      <c r="P32" s="70">
        <f>+K32</f>
        <v>26398.371730730323</v>
      </c>
      <c r="Q32" s="70">
        <f>+K32</f>
        <v>26398.371730730323</v>
      </c>
      <c r="R32" s="71"/>
    </row>
    <row r="33" spans="2:18" ht="15" thickBot="1">
      <c r="B33" s="155"/>
      <c r="C33" s="156"/>
      <c r="D33" s="170"/>
      <c r="E33" s="170"/>
      <c r="F33" s="170"/>
      <c r="G33" s="170"/>
      <c r="H33" s="170"/>
      <c r="J33" s="64"/>
      <c r="K33" s="64"/>
      <c r="L33" s="64"/>
      <c r="O33" s="258"/>
      <c r="P33" s="112"/>
      <c r="Q33" s="112"/>
      <c r="R33" s="112"/>
    </row>
    <row r="34" spans="2:18">
      <c r="B34" s="156" t="s">
        <v>8363</v>
      </c>
      <c r="C34" s="244" t="s">
        <v>2010</v>
      </c>
      <c r="D34" s="212">
        <v>643312.37</v>
      </c>
      <c r="E34" s="212">
        <v>257957.86919</v>
      </c>
      <c r="F34" s="203">
        <v>0.54929294161697895</v>
      </c>
      <c r="G34" s="168"/>
      <c r="H34" s="168"/>
      <c r="I34" s="139" t="s">
        <v>1971</v>
      </c>
      <c r="J34" s="177"/>
      <c r="K34" s="177">
        <f>+D34*K1</f>
        <v>636879.2463</v>
      </c>
      <c r="L34" s="178"/>
      <c r="O34" s="259" t="s">
        <v>1971</v>
      </c>
      <c r="P34" s="192">
        <f>+K34</f>
        <v>636879.2463</v>
      </c>
      <c r="Q34" s="192">
        <f>+K34</f>
        <v>636879.2463</v>
      </c>
      <c r="R34" s="193"/>
    </row>
    <row r="35" spans="2:18" ht="15" thickBot="1">
      <c r="B35" s="171"/>
      <c r="C35" s="245" t="s">
        <v>2015</v>
      </c>
      <c r="D35" s="213"/>
      <c r="E35" s="213"/>
      <c r="F35" s="207"/>
      <c r="G35" s="168"/>
      <c r="H35" s="168"/>
      <c r="I35" s="119"/>
      <c r="J35" s="183"/>
      <c r="K35" s="183">
        <f>+D35*K1</f>
        <v>0</v>
      </c>
      <c r="L35" s="184"/>
      <c r="O35" s="250" t="s">
        <v>1971</v>
      </c>
      <c r="P35" s="70">
        <f>+K35</f>
        <v>0</v>
      </c>
      <c r="Q35" s="70"/>
      <c r="R35" s="71"/>
    </row>
    <row r="36" spans="2:18" ht="15" thickBot="1">
      <c r="B36" s="171"/>
      <c r="C36" s="156"/>
      <c r="D36" s="156"/>
      <c r="E36" s="156"/>
      <c r="F36" s="172"/>
      <c r="G36" s="168"/>
      <c r="H36" s="168"/>
      <c r="J36" s="64"/>
      <c r="K36" s="64"/>
      <c r="L36" s="64"/>
      <c r="O36" s="258"/>
      <c r="P36" s="112"/>
      <c r="Q36" s="112"/>
      <c r="R36" s="112"/>
    </row>
    <row r="37" spans="2:18">
      <c r="B37" s="156" t="s">
        <v>8364</v>
      </c>
      <c r="C37" s="244" t="s">
        <v>2010</v>
      </c>
      <c r="D37" s="214"/>
      <c r="E37" s="214"/>
      <c r="F37" s="215"/>
      <c r="G37" s="168"/>
      <c r="H37" s="168"/>
      <c r="I37" s="139" t="s">
        <v>1972</v>
      </c>
      <c r="J37" s="177"/>
      <c r="K37" s="177">
        <f>+D37*K1</f>
        <v>0</v>
      </c>
      <c r="L37" s="178"/>
      <c r="O37" s="259" t="s">
        <v>1972</v>
      </c>
      <c r="P37" s="192">
        <f>+K37</f>
        <v>0</v>
      </c>
      <c r="Q37" s="192">
        <f>+K37</f>
        <v>0</v>
      </c>
      <c r="R37" s="193"/>
    </row>
    <row r="38" spans="2:18" ht="15" thickBot="1">
      <c r="B38" s="156"/>
      <c r="C38" s="245" t="s">
        <v>2015</v>
      </c>
      <c r="D38" s="216"/>
      <c r="E38" s="216"/>
      <c r="F38" s="217"/>
      <c r="G38" s="163"/>
      <c r="H38" s="163"/>
      <c r="I38" s="119"/>
      <c r="J38" s="183"/>
      <c r="K38" s="183">
        <f>+D38*K1</f>
        <v>0</v>
      </c>
      <c r="L38" s="184"/>
      <c r="O38" s="250" t="s">
        <v>1972</v>
      </c>
      <c r="P38" s="70">
        <f>+K38</f>
        <v>0</v>
      </c>
      <c r="Q38" s="70"/>
      <c r="R38" s="71"/>
    </row>
    <row r="39" spans="2:18">
      <c r="B39" s="156"/>
      <c r="C39" s="156"/>
      <c r="D39" s="156"/>
      <c r="E39" s="156"/>
      <c r="F39" s="172"/>
      <c r="G39" s="168"/>
      <c r="H39" s="168"/>
      <c r="J39" s="64"/>
      <c r="K39" s="64"/>
      <c r="L39" s="64"/>
      <c r="O39" s="258"/>
      <c r="P39" s="112"/>
      <c r="Q39" s="112"/>
      <c r="R39" s="112"/>
    </row>
    <row r="40" spans="2:18" ht="15" thickBot="1">
      <c r="B40" s="156"/>
      <c r="C40" s="156"/>
      <c r="D40" s="156"/>
      <c r="E40" s="156"/>
      <c r="F40" s="172"/>
      <c r="G40" s="168"/>
      <c r="H40" s="168"/>
      <c r="J40" s="64"/>
      <c r="K40" s="64"/>
      <c r="L40" s="64"/>
      <c r="O40" s="258"/>
      <c r="P40" s="112"/>
      <c r="Q40" s="112"/>
      <c r="R40" s="112"/>
    </row>
    <row r="41" spans="2:18">
      <c r="B41" s="156" t="s">
        <v>8365</v>
      </c>
      <c r="C41" s="244" t="s">
        <v>2010</v>
      </c>
      <c r="D41" s="218"/>
      <c r="E41" s="218"/>
      <c r="F41" s="203"/>
      <c r="G41" s="168"/>
      <c r="H41" s="168"/>
      <c r="I41" s="139" t="s">
        <v>2011</v>
      </c>
      <c r="J41" s="177"/>
      <c r="K41" s="177"/>
      <c r="L41" s="178"/>
      <c r="O41" s="259"/>
      <c r="P41" s="192"/>
      <c r="Q41" s="192"/>
      <c r="R41" s="193"/>
    </row>
    <row r="42" spans="2:18">
      <c r="B42" s="156"/>
      <c r="C42" s="241" t="s">
        <v>2012</v>
      </c>
      <c r="D42" s="219">
        <v>1888584.92</v>
      </c>
      <c r="E42" s="219">
        <v>1016146.13406</v>
      </c>
      <c r="F42" s="205">
        <v>0.73704973010249597</v>
      </c>
      <c r="G42" s="168"/>
      <c r="H42" s="168"/>
      <c r="I42" s="118"/>
      <c r="J42" s="180"/>
      <c r="K42" s="180">
        <f>+D42*K1</f>
        <v>1869699.0707999999</v>
      </c>
      <c r="L42" s="181"/>
      <c r="O42" s="260" t="s">
        <v>1971</v>
      </c>
      <c r="P42" s="68">
        <f>+K42</f>
        <v>1869699.0707999999</v>
      </c>
      <c r="Q42" s="68">
        <f>+K42</f>
        <v>1869699.0707999999</v>
      </c>
      <c r="R42" s="69"/>
    </row>
    <row r="43" spans="2:18">
      <c r="B43" s="156"/>
      <c r="C43" s="246" t="s">
        <v>2014</v>
      </c>
      <c r="D43" s="220">
        <v>1780840.11</v>
      </c>
      <c r="E43" s="220">
        <v>1016146.13406</v>
      </c>
      <c r="F43" s="211">
        <v>0.78164288739074039</v>
      </c>
      <c r="G43" s="168"/>
      <c r="H43" s="168"/>
      <c r="I43" s="118"/>
      <c r="J43" s="180"/>
      <c r="K43" s="180"/>
      <c r="L43" s="181"/>
      <c r="O43" s="260" t="s">
        <v>1971</v>
      </c>
      <c r="P43" s="68"/>
      <c r="Q43" s="68"/>
      <c r="R43" s="69"/>
    </row>
    <row r="44" spans="2:18">
      <c r="B44" s="156"/>
      <c r="C44" s="247" t="s">
        <v>2015</v>
      </c>
      <c r="D44" s="221"/>
      <c r="E44" s="221"/>
      <c r="F44" s="205"/>
      <c r="G44" s="163"/>
      <c r="H44" s="163"/>
      <c r="I44" s="118"/>
      <c r="J44" s="180"/>
      <c r="K44" s="180"/>
      <c r="L44" s="181"/>
      <c r="O44" s="260" t="s">
        <v>1971</v>
      </c>
      <c r="P44" s="68"/>
      <c r="Q44" s="68"/>
      <c r="R44" s="69"/>
    </row>
    <row r="45" spans="2:18">
      <c r="B45" s="156"/>
      <c r="C45" s="241" t="s">
        <v>2012</v>
      </c>
      <c r="D45" s="221"/>
      <c r="E45" s="221"/>
      <c r="F45" s="205"/>
      <c r="G45" s="168"/>
      <c r="H45" s="168"/>
      <c r="I45" s="118"/>
      <c r="J45" s="180"/>
      <c r="K45" s="180">
        <f>+D45*K1</f>
        <v>0</v>
      </c>
      <c r="L45" s="181"/>
      <c r="O45" s="260" t="s">
        <v>1971</v>
      </c>
      <c r="P45" s="68">
        <f>+K45</f>
        <v>0</v>
      </c>
      <c r="Q45" s="68"/>
      <c r="R45" s="69"/>
    </row>
    <row r="46" spans="2:18" ht="15" thickBot="1">
      <c r="B46" s="156"/>
      <c r="C46" s="243" t="s">
        <v>2014</v>
      </c>
      <c r="D46" s="213"/>
      <c r="E46" s="213"/>
      <c r="F46" s="207"/>
      <c r="G46" s="168"/>
      <c r="H46" s="168"/>
      <c r="I46" s="119"/>
      <c r="J46" s="183"/>
      <c r="K46" s="183"/>
      <c r="L46" s="184"/>
      <c r="O46" s="250" t="s">
        <v>1971</v>
      </c>
      <c r="P46" s="70"/>
      <c r="Q46" s="70"/>
      <c r="R46" s="71"/>
    </row>
    <row r="47" spans="2:18" ht="15" thickBot="1">
      <c r="B47" s="156"/>
      <c r="C47" s="156"/>
      <c r="D47" s="156"/>
      <c r="E47" s="156"/>
      <c r="F47" s="172"/>
      <c r="G47" s="168"/>
      <c r="H47" s="168"/>
      <c r="J47" s="64"/>
      <c r="K47" s="64"/>
      <c r="L47" s="64"/>
      <c r="O47" s="258"/>
      <c r="P47" s="112"/>
      <c r="Q47" s="112"/>
      <c r="R47" s="112"/>
    </row>
    <row r="48" spans="2:18">
      <c r="B48" s="156" t="s">
        <v>8366</v>
      </c>
      <c r="C48" s="244" t="s">
        <v>2016</v>
      </c>
      <c r="D48" s="218"/>
      <c r="E48" s="218"/>
      <c r="F48" s="203"/>
      <c r="G48" s="168"/>
      <c r="H48" s="168"/>
      <c r="I48" s="139" t="s">
        <v>2013</v>
      </c>
      <c r="J48" s="177"/>
      <c r="K48" s="177"/>
      <c r="L48" s="178"/>
      <c r="O48" s="259"/>
      <c r="P48" s="192"/>
      <c r="Q48" s="192"/>
      <c r="R48" s="193"/>
    </row>
    <row r="49" spans="1:18">
      <c r="B49" s="156"/>
      <c r="C49" s="241" t="s">
        <v>2012</v>
      </c>
      <c r="D49" s="219"/>
      <c r="E49" s="219"/>
      <c r="F49" s="205"/>
      <c r="G49" s="168"/>
      <c r="H49" s="168"/>
      <c r="I49" s="118"/>
      <c r="J49" s="180"/>
      <c r="K49" s="180"/>
      <c r="L49" s="181">
        <f>+D49*L1</f>
        <v>0</v>
      </c>
      <c r="O49" s="260" t="s">
        <v>1972</v>
      </c>
      <c r="P49" s="68">
        <f>+L49</f>
        <v>0</v>
      </c>
      <c r="Q49" s="68">
        <f>+L49</f>
        <v>0</v>
      </c>
      <c r="R49" s="69"/>
    </row>
    <row r="50" spans="1:18">
      <c r="B50" s="155"/>
      <c r="C50" s="246" t="s">
        <v>2014</v>
      </c>
      <c r="D50" s="220"/>
      <c r="E50" s="222"/>
      <c r="F50" s="223"/>
      <c r="G50" s="168"/>
      <c r="H50" s="168"/>
      <c r="I50" s="118"/>
      <c r="J50" s="180"/>
      <c r="K50" s="180"/>
      <c r="L50" s="181"/>
      <c r="O50" s="260" t="s">
        <v>1972</v>
      </c>
      <c r="P50" s="68"/>
      <c r="Q50" s="68"/>
      <c r="R50" s="69"/>
    </row>
    <row r="51" spans="1:18">
      <c r="B51" s="155"/>
      <c r="C51" s="247" t="s">
        <v>2017</v>
      </c>
      <c r="D51" s="221"/>
      <c r="E51" s="221"/>
      <c r="F51" s="205"/>
      <c r="G51" s="168"/>
      <c r="H51" s="168"/>
      <c r="I51" s="118"/>
      <c r="J51" s="180"/>
      <c r="K51" s="180"/>
      <c r="L51" s="181"/>
      <c r="O51" s="260" t="s">
        <v>1972</v>
      </c>
      <c r="P51" s="68"/>
      <c r="Q51" s="68"/>
      <c r="R51" s="69"/>
    </row>
    <row r="52" spans="1:18">
      <c r="A52">
        <v>751437.27254999999</v>
      </c>
      <c r="B52" s="155"/>
      <c r="C52" s="241" t="s">
        <v>2012</v>
      </c>
      <c r="D52" s="219">
        <v>592305.27</v>
      </c>
      <c r="E52" s="219">
        <v>206310.95293999999</v>
      </c>
      <c r="F52" s="205">
        <v>0.47714879145583944</v>
      </c>
      <c r="G52" s="168"/>
      <c r="H52" s="168"/>
      <c r="I52" s="118"/>
      <c r="J52" s="180"/>
      <c r="K52" s="180"/>
      <c r="L52" s="181">
        <f>+D52*L1</f>
        <v>580459.16460000002</v>
      </c>
      <c r="O52" s="260" t="s">
        <v>1972</v>
      </c>
      <c r="P52" s="68">
        <f>+L52</f>
        <v>580459.16460000002</v>
      </c>
      <c r="Q52" s="68"/>
      <c r="R52" s="69"/>
    </row>
    <row r="53" spans="1:18" ht="15" thickBot="1">
      <c r="B53" s="155"/>
      <c r="C53" s="243" t="s">
        <v>2014</v>
      </c>
      <c r="D53" s="224">
        <v>544685.55000000005</v>
      </c>
      <c r="E53" s="1643"/>
      <c r="F53" s="207"/>
      <c r="G53" s="168"/>
      <c r="H53" s="168"/>
      <c r="I53" s="119"/>
      <c r="J53" s="183"/>
      <c r="K53" s="183"/>
      <c r="L53" s="184"/>
      <c r="O53" s="250" t="s">
        <v>1972</v>
      </c>
      <c r="P53" s="70"/>
      <c r="Q53" s="70"/>
      <c r="R53" s="71"/>
    </row>
    <row r="54" spans="1:18" ht="15" thickBot="1">
      <c r="B54" s="155"/>
      <c r="C54" s="156"/>
      <c r="D54" s="156"/>
      <c r="E54" s="156"/>
      <c r="F54" s="172"/>
      <c r="G54" s="168"/>
      <c r="H54" s="168"/>
      <c r="J54" s="64"/>
      <c r="K54" s="64"/>
      <c r="L54" s="64"/>
      <c r="O54" s="258"/>
      <c r="P54" s="112"/>
      <c r="Q54" s="112"/>
      <c r="R54" s="112"/>
    </row>
    <row r="55" spans="1:18">
      <c r="B55" s="156" t="s">
        <v>2019</v>
      </c>
      <c r="C55" s="237" t="s">
        <v>2010</v>
      </c>
      <c r="D55" s="225"/>
      <c r="E55" s="225"/>
      <c r="F55" s="215"/>
      <c r="G55" s="168"/>
      <c r="H55" s="168"/>
      <c r="I55" s="139" t="s">
        <v>2019</v>
      </c>
      <c r="J55" s="177"/>
      <c r="K55" s="177"/>
      <c r="L55" s="178"/>
      <c r="O55" s="259"/>
      <c r="P55" s="192"/>
      <c r="Q55" s="192"/>
      <c r="R55" s="193"/>
    </row>
    <row r="56" spans="1:18">
      <c r="B56" s="156"/>
      <c r="C56" s="241" t="s">
        <v>2012</v>
      </c>
      <c r="D56" s="226"/>
      <c r="E56" s="226"/>
      <c r="F56" s="227"/>
      <c r="G56" s="168"/>
      <c r="H56" s="168"/>
      <c r="I56" s="118"/>
      <c r="J56" s="180"/>
      <c r="K56" s="180">
        <f>+D56*K1</f>
        <v>0</v>
      </c>
      <c r="L56" s="181"/>
      <c r="O56" s="260" t="s">
        <v>1971</v>
      </c>
      <c r="P56" s="68">
        <f>+K56</f>
        <v>0</v>
      </c>
      <c r="Q56" s="68">
        <f>+K56</f>
        <v>0</v>
      </c>
      <c r="R56" s="69"/>
    </row>
    <row r="57" spans="1:18" ht="15" thickBot="1">
      <c r="B57" s="156"/>
      <c r="C57" s="241" t="s">
        <v>2014</v>
      </c>
      <c r="D57" s="226"/>
      <c r="E57" s="226"/>
      <c r="F57" s="228"/>
      <c r="G57" s="168"/>
      <c r="H57" s="168"/>
      <c r="I57" s="119"/>
      <c r="J57" s="183"/>
      <c r="K57" s="183"/>
      <c r="L57" s="184"/>
      <c r="O57" s="250" t="s">
        <v>1971</v>
      </c>
      <c r="P57" s="70"/>
      <c r="Q57" s="70"/>
      <c r="R57" s="71"/>
    </row>
    <row r="58" spans="1:18">
      <c r="B58" s="156" t="s">
        <v>2020</v>
      </c>
      <c r="C58" s="242" t="s">
        <v>2010</v>
      </c>
      <c r="D58" s="229"/>
      <c r="E58" s="229"/>
      <c r="F58" s="230"/>
      <c r="G58" s="168"/>
      <c r="H58" s="168"/>
      <c r="I58" s="118" t="s">
        <v>2020</v>
      </c>
      <c r="J58" s="180"/>
      <c r="K58" s="180"/>
      <c r="L58" s="181"/>
      <c r="O58" s="260"/>
      <c r="P58" s="68"/>
      <c r="Q58" s="68"/>
      <c r="R58" s="69"/>
    </row>
    <row r="59" spans="1:18">
      <c r="B59" s="156"/>
      <c r="C59" s="241" t="s">
        <v>2021</v>
      </c>
      <c r="D59" s="226"/>
      <c r="E59" s="226"/>
      <c r="F59" s="227"/>
      <c r="G59" s="168"/>
      <c r="H59" s="168"/>
      <c r="I59" s="118"/>
      <c r="J59" s="180"/>
      <c r="K59" s="180">
        <f>+D59*K1</f>
        <v>0</v>
      </c>
      <c r="L59" s="181"/>
      <c r="O59" s="260" t="s">
        <v>1971</v>
      </c>
      <c r="P59" s="68">
        <f>+K59</f>
        <v>0</v>
      </c>
      <c r="Q59" s="68">
        <f>+K59</f>
        <v>0</v>
      </c>
      <c r="R59" s="69"/>
    </row>
    <row r="60" spans="1:18">
      <c r="B60" s="156"/>
      <c r="C60" s="241" t="s">
        <v>2022</v>
      </c>
      <c r="D60" s="226"/>
      <c r="E60" s="226"/>
      <c r="F60" s="227"/>
      <c r="G60" s="168"/>
      <c r="H60" s="168"/>
      <c r="I60" s="118"/>
      <c r="J60" s="180"/>
      <c r="K60" s="180">
        <f>+D60*K1</f>
        <v>0</v>
      </c>
      <c r="L60" s="181"/>
      <c r="O60" s="260" t="s">
        <v>1971</v>
      </c>
      <c r="P60" s="68">
        <f>+K60</f>
        <v>0</v>
      </c>
      <c r="Q60" s="68">
        <f>+K60</f>
        <v>0</v>
      </c>
      <c r="R60" s="69"/>
    </row>
    <row r="61" spans="1:18" ht="15" thickBot="1">
      <c r="B61" s="156"/>
      <c r="C61" s="243" t="s">
        <v>2023</v>
      </c>
      <c r="D61" s="231"/>
      <c r="E61" s="231"/>
      <c r="F61" s="217"/>
      <c r="G61" s="168"/>
      <c r="H61" s="168"/>
      <c r="I61" s="119"/>
      <c r="J61" s="183"/>
      <c r="K61" s="183">
        <f>+D61*K1</f>
        <v>0</v>
      </c>
      <c r="L61" s="184"/>
      <c r="O61" s="250" t="s">
        <v>1971</v>
      </c>
      <c r="P61" s="70">
        <f>+K61</f>
        <v>0</v>
      </c>
      <c r="Q61" s="70">
        <f>+K61</f>
        <v>0</v>
      </c>
      <c r="R61" s="71"/>
    </row>
    <row r="62" spans="1:18" ht="15" thickBot="1">
      <c r="B62" s="156"/>
      <c r="C62" s="156"/>
      <c r="D62" s="156"/>
      <c r="E62" s="156"/>
      <c r="F62" s="172"/>
      <c r="G62" s="168"/>
      <c r="H62" s="168"/>
      <c r="J62" s="64"/>
      <c r="K62" s="64"/>
      <c r="L62" s="64"/>
      <c r="O62" s="258"/>
      <c r="P62" s="112"/>
      <c r="Q62" s="112"/>
      <c r="R62" s="112"/>
    </row>
    <row r="63" spans="1:18">
      <c r="B63" s="156" t="s">
        <v>2024</v>
      </c>
      <c r="C63" s="237" t="s">
        <v>8367</v>
      </c>
      <c r="D63" s="225"/>
      <c r="E63" s="225"/>
      <c r="F63" s="215"/>
      <c r="G63" s="168"/>
      <c r="H63" s="168"/>
      <c r="I63" s="139" t="s">
        <v>2024</v>
      </c>
      <c r="J63" s="177"/>
      <c r="K63" s="177"/>
      <c r="L63" s="178"/>
      <c r="O63" s="259"/>
      <c r="P63" s="192"/>
      <c r="Q63" s="192"/>
      <c r="R63" s="193"/>
    </row>
    <row r="64" spans="1:18">
      <c r="B64" s="156"/>
      <c r="C64" s="241" t="s">
        <v>2012</v>
      </c>
      <c r="D64" s="226"/>
      <c r="E64" s="226"/>
      <c r="F64" s="227"/>
      <c r="G64" s="168"/>
      <c r="H64" s="168"/>
      <c r="I64" s="118"/>
      <c r="J64" s="180"/>
      <c r="K64" s="180"/>
      <c r="L64" s="181">
        <f>+D64*L1</f>
        <v>0</v>
      </c>
      <c r="O64" s="260" t="s">
        <v>1972</v>
      </c>
      <c r="P64" s="68">
        <f>+L64</f>
        <v>0</v>
      </c>
      <c r="Q64" s="68"/>
      <c r="R64" s="69"/>
    </row>
    <row r="65" spans="2:18" ht="15" thickBot="1">
      <c r="B65" s="156"/>
      <c r="C65" s="243" t="s">
        <v>2014</v>
      </c>
      <c r="D65" s="232"/>
      <c r="E65" s="232"/>
      <c r="F65" s="233"/>
      <c r="G65" s="168"/>
      <c r="H65" s="168"/>
      <c r="I65" s="119"/>
      <c r="J65" s="183"/>
      <c r="K65" s="183"/>
      <c r="L65" s="184"/>
      <c r="O65" s="250"/>
      <c r="P65" s="70"/>
      <c r="Q65" s="70"/>
      <c r="R65" s="71"/>
    </row>
    <row r="66" spans="2:18">
      <c r="B66" s="156" t="s">
        <v>2025</v>
      </c>
      <c r="C66" s="242" t="s">
        <v>2017</v>
      </c>
      <c r="D66" s="229"/>
      <c r="E66" s="229"/>
      <c r="F66" s="230"/>
      <c r="G66" s="168"/>
      <c r="H66" s="168"/>
      <c r="I66" s="139" t="s">
        <v>2025</v>
      </c>
      <c r="J66" s="177"/>
      <c r="K66" s="177"/>
      <c r="L66" s="178"/>
      <c r="O66" s="259"/>
      <c r="P66" s="192"/>
      <c r="Q66" s="192"/>
      <c r="R66" s="193"/>
    </row>
    <row r="67" spans="2:18">
      <c r="B67" s="156"/>
      <c r="C67" s="241" t="s">
        <v>2021</v>
      </c>
      <c r="D67" s="226"/>
      <c r="E67" s="226"/>
      <c r="F67" s="227"/>
      <c r="G67" s="168"/>
      <c r="H67" s="168"/>
      <c r="I67" s="118"/>
      <c r="J67" s="180"/>
      <c r="K67" s="180"/>
      <c r="L67" s="181">
        <f>+D67*L1</f>
        <v>0</v>
      </c>
      <c r="O67" s="260" t="s">
        <v>1972</v>
      </c>
      <c r="P67" s="68">
        <f>+L67</f>
        <v>0</v>
      </c>
      <c r="Q67" s="68"/>
      <c r="R67" s="69"/>
    </row>
    <row r="68" spans="2:18">
      <c r="B68" s="156"/>
      <c r="C68" s="241" t="s">
        <v>2022</v>
      </c>
      <c r="D68" s="226"/>
      <c r="E68" s="226"/>
      <c r="F68" s="227"/>
      <c r="G68" s="168"/>
      <c r="H68" s="168"/>
      <c r="I68" s="118"/>
      <c r="J68" s="180"/>
      <c r="K68" s="180"/>
      <c r="L68" s="181">
        <f>+D68*L1</f>
        <v>0</v>
      </c>
      <c r="O68" s="260" t="s">
        <v>1972</v>
      </c>
      <c r="P68" s="68">
        <f>+L68</f>
        <v>0</v>
      </c>
      <c r="Q68" s="68"/>
      <c r="R68" s="69"/>
    </row>
    <row r="69" spans="2:18" ht="15" thickBot="1">
      <c r="B69" s="156"/>
      <c r="C69" s="243" t="s">
        <v>2023</v>
      </c>
      <c r="D69" s="231"/>
      <c r="E69" s="231"/>
      <c r="F69" s="217"/>
      <c r="G69" s="168"/>
      <c r="H69" s="168"/>
      <c r="I69" s="119"/>
      <c r="J69" s="183"/>
      <c r="K69" s="183"/>
      <c r="L69" s="184">
        <f>+D69*L1</f>
        <v>0</v>
      </c>
      <c r="O69" s="250" t="s">
        <v>1972</v>
      </c>
      <c r="P69" s="70">
        <f>+L69</f>
        <v>0</v>
      </c>
      <c r="Q69" s="70"/>
      <c r="R69" s="71"/>
    </row>
    <row r="70" spans="2:18" ht="15" thickBot="1">
      <c r="B70" s="156"/>
      <c r="C70" s="156"/>
      <c r="D70" s="156"/>
      <c r="E70" s="156"/>
      <c r="F70" s="172"/>
      <c r="G70" s="155"/>
      <c r="H70" s="155"/>
      <c r="J70" s="64"/>
      <c r="K70" s="64"/>
      <c r="L70" s="64"/>
      <c r="O70" s="258"/>
      <c r="P70" s="112"/>
      <c r="Q70" s="112"/>
      <c r="R70" s="112"/>
    </row>
    <row r="71" spans="2:18">
      <c r="B71" s="156" t="s">
        <v>2026</v>
      </c>
      <c r="C71" s="237" t="s">
        <v>2010</v>
      </c>
      <c r="D71" s="218"/>
      <c r="E71" s="218"/>
      <c r="F71" s="203"/>
      <c r="G71" s="155"/>
      <c r="H71" s="155"/>
      <c r="I71" s="139" t="s">
        <v>2026</v>
      </c>
      <c r="J71" s="177"/>
      <c r="K71" s="177"/>
      <c r="L71" s="178"/>
      <c r="O71" s="259"/>
      <c r="P71" s="192"/>
      <c r="Q71" s="192"/>
      <c r="R71" s="193"/>
    </row>
    <row r="72" spans="2:18">
      <c r="B72" s="156"/>
      <c r="C72" s="241" t="s">
        <v>2012</v>
      </c>
      <c r="D72" s="204">
        <v>30267</v>
      </c>
      <c r="E72" s="204">
        <v>11496.402</v>
      </c>
      <c r="F72" s="205">
        <v>0.52031902370274419</v>
      </c>
      <c r="G72" s="155"/>
      <c r="H72" s="155"/>
      <c r="I72" s="118"/>
      <c r="J72" s="180"/>
      <c r="K72" s="180">
        <f>+D72*K1</f>
        <v>29964.329999999998</v>
      </c>
      <c r="L72" s="181"/>
      <c r="O72" s="260" t="s">
        <v>1971</v>
      </c>
      <c r="P72" s="68">
        <f>+K72</f>
        <v>29964.329999999998</v>
      </c>
      <c r="Q72" s="68">
        <f>+K72</f>
        <v>29964.329999999998</v>
      </c>
      <c r="R72" s="69"/>
    </row>
    <row r="73" spans="2:18" ht="15" thickBot="1">
      <c r="B73" s="156"/>
      <c r="C73" s="241" t="s">
        <v>2014</v>
      </c>
      <c r="D73" s="204">
        <v>37120</v>
      </c>
      <c r="E73" s="204">
        <v>11496.402</v>
      </c>
      <c r="F73" s="211">
        <v>0.42425904877184695</v>
      </c>
      <c r="G73" s="155"/>
      <c r="H73" s="155"/>
      <c r="I73" s="119"/>
      <c r="J73" s="183"/>
      <c r="K73" s="183"/>
      <c r="L73" s="184"/>
      <c r="O73" s="250"/>
      <c r="P73" s="70"/>
      <c r="Q73" s="70"/>
      <c r="R73" s="71"/>
    </row>
    <row r="74" spans="2:18">
      <c r="B74" s="156" t="s">
        <v>2027</v>
      </c>
      <c r="C74" s="242" t="s">
        <v>2010</v>
      </c>
      <c r="D74" s="234"/>
      <c r="E74" s="234"/>
      <c r="F74" s="235"/>
      <c r="G74" s="155"/>
      <c r="H74" s="155"/>
      <c r="I74" s="118" t="s">
        <v>2027</v>
      </c>
      <c r="J74" s="180"/>
      <c r="K74" s="180"/>
      <c r="L74" s="181"/>
      <c r="O74" s="260"/>
      <c r="P74" s="68"/>
      <c r="Q74" s="68"/>
      <c r="R74" s="69"/>
    </row>
    <row r="75" spans="2:18">
      <c r="B75" s="156"/>
      <c r="C75" s="241" t="s">
        <v>2021</v>
      </c>
      <c r="D75" s="204">
        <v>86588.24</v>
      </c>
      <c r="E75" s="204">
        <v>5249.7430000000004</v>
      </c>
      <c r="F75" s="205">
        <v>8.3053180976115082E-2</v>
      </c>
      <c r="G75" s="155"/>
      <c r="H75" s="155"/>
      <c r="I75" s="118" t="s">
        <v>2033</v>
      </c>
      <c r="J75" s="180"/>
      <c r="K75" s="180">
        <f>+D75*K1</f>
        <v>85722.357600000003</v>
      </c>
      <c r="L75" s="181"/>
      <c r="O75" s="260" t="s">
        <v>1971</v>
      </c>
      <c r="P75" s="68">
        <f>+K75</f>
        <v>85722.357600000003</v>
      </c>
      <c r="Q75" s="68">
        <f>+K75</f>
        <v>85722.357600000003</v>
      </c>
      <c r="R75" s="69"/>
    </row>
    <row r="76" spans="2:18">
      <c r="B76" s="156"/>
      <c r="C76" s="241" t="s">
        <v>2022</v>
      </c>
      <c r="D76" s="204">
        <v>38043.1</v>
      </c>
      <c r="E76" s="204">
        <v>5249.7430000000004</v>
      </c>
      <c r="F76" s="205">
        <v>0.18903372141395647</v>
      </c>
      <c r="G76" s="155"/>
      <c r="H76" s="155"/>
      <c r="I76" s="264">
        <v>0.12</v>
      </c>
      <c r="J76" s="180"/>
      <c r="K76" s="180">
        <f>+D76*K1*I76</f>
        <v>4519.5202799999997</v>
      </c>
      <c r="L76" s="181"/>
      <c r="O76" s="260" t="s">
        <v>1971</v>
      </c>
      <c r="P76" s="68">
        <f>+K76</f>
        <v>4519.5202799999997</v>
      </c>
      <c r="Q76" s="68">
        <f>+K76</f>
        <v>4519.5202799999997</v>
      </c>
      <c r="R76" s="69"/>
    </row>
    <row r="77" spans="2:18" ht="15" thickBot="1">
      <c r="B77" s="156"/>
      <c r="C77" s="243" t="s">
        <v>2023</v>
      </c>
      <c r="D77" s="206">
        <v>171208.81</v>
      </c>
      <c r="E77" s="206">
        <v>5249.7430000000004</v>
      </c>
      <c r="F77" s="207">
        <v>4.2003847623982016E-2</v>
      </c>
      <c r="G77" s="155"/>
      <c r="H77" s="155"/>
      <c r="I77" s="265">
        <v>4.7600000000000003E-2</v>
      </c>
      <c r="J77" s="183"/>
      <c r="K77" s="183">
        <f>+D77*K1*I77</f>
        <v>8068.0439624400005</v>
      </c>
      <c r="L77" s="184"/>
      <c r="O77" s="250" t="s">
        <v>1971</v>
      </c>
      <c r="P77" s="70">
        <f>+K77</f>
        <v>8068.0439624400005</v>
      </c>
      <c r="Q77" s="70">
        <f>+K77</f>
        <v>8068.0439624400005</v>
      </c>
      <c r="R77" s="71"/>
    </row>
    <row r="78" spans="2:18" ht="15" thickBot="1">
      <c r="B78" s="156"/>
      <c r="C78" s="156"/>
      <c r="D78" s="156"/>
      <c r="E78" s="156"/>
      <c r="F78" s="172"/>
      <c r="G78" s="155"/>
      <c r="H78" s="155"/>
      <c r="J78" s="64"/>
      <c r="K78" s="64"/>
      <c r="L78" s="64"/>
      <c r="O78" s="258"/>
      <c r="P78" s="112"/>
      <c r="Q78" s="112"/>
      <c r="R78" s="112"/>
    </row>
    <row r="79" spans="2:18">
      <c r="B79" s="156" t="s">
        <v>2028</v>
      </c>
      <c r="C79" s="237" t="s">
        <v>8367</v>
      </c>
      <c r="D79" s="218"/>
      <c r="E79" s="218"/>
      <c r="F79" s="203"/>
      <c r="G79" s="155"/>
      <c r="H79" s="155"/>
      <c r="I79" s="139" t="s">
        <v>2028</v>
      </c>
      <c r="J79" s="177"/>
      <c r="K79" s="177"/>
      <c r="L79" s="178"/>
      <c r="O79" s="259"/>
      <c r="P79" s="192"/>
      <c r="Q79" s="192"/>
      <c r="R79" s="193"/>
    </row>
    <row r="80" spans="2:18">
      <c r="B80" s="156"/>
      <c r="C80" s="241" t="s">
        <v>2012</v>
      </c>
      <c r="D80" s="204">
        <v>516200</v>
      </c>
      <c r="E80" s="204">
        <v>320971.05099999998</v>
      </c>
      <c r="F80" s="205">
        <v>0.85177522517023774</v>
      </c>
      <c r="G80" s="155"/>
      <c r="H80" s="155"/>
      <c r="I80" s="118"/>
      <c r="J80" s="180"/>
      <c r="K80" s="180">
        <f>+D80*K1</f>
        <v>511038</v>
      </c>
      <c r="L80" s="181"/>
      <c r="O80" s="260" t="s">
        <v>1972</v>
      </c>
      <c r="P80" s="68">
        <f>+K80</f>
        <v>511038</v>
      </c>
      <c r="Q80" s="68"/>
      <c r="R80" s="69"/>
    </row>
    <row r="81" spans="2:18" ht="15" thickBot="1">
      <c r="B81" s="156"/>
      <c r="C81" s="243" t="s">
        <v>2014</v>
      </c>
      <c r="D81" s="224">
        <v>482200</v>
      </c>
      <c r="E81" s="224"/>
      <c r="F81" s="236"/>
      <c r="G81" s="155"/>
      <c r="H81" s="155"/>
      <c r="I81" s="119"/>
      <c r="J81" s="183"/>
      <c r="K81" s="183"/>
      <c r="L81" s="184"/>
      <c r="O81" s="250" t="s">
        <v>1972</v>
      </c>
      <c r="P81" s="70"/>
      <c r="Q81" s="70"/>
      <c r="R81" s="71"/>
    </row>
    <row r="82" spans="2:18">
      <c r="B82" s="156" t="s">
        <v>2029</v>
      </c>
      <c r="C82" s="242" t="s">
        <v>2017</v>
      </c>
      <c r="D82" s="234"/>
      <c r="E82" s="234"/>
      <c r="F82" s="235"/>
      <c r="G82" s="155"/>
      <c r="H82" s="155"/>
      <c r="I82" s="118" t="s">
        <v>2029</v>
      </c>
      <c r="J82" s="180"/>
      <c r="K82" s="180"/>
      <c r="L82" s="181"/>
      <c r="O82" s="260"/>
      <c r="P82" s="68"/>
      <c r="Q82" s="68"/>
      <c r="R82" s="69"/>
    </row>
    <row r="83" spans="2:18">
      <c r="B83" s="155"/>
      <c r="C83" s="241" t="s">
        <v>2021</v>
      </c>
      <c r="D83" s="204">
        <v>1691241.73</v>
      </c>
      <c r="E83" s="204">
        <v>206982.18400000001</v>
      </c>
      <c r="F83" s="205">
        <v>0.16765033249041486</v>
      </c>
      <c r="G83" s="163"/>
      <c r="H83" s="163"/>
      <c r="I83" s="118" t="s">
        <v>2033</v>
      </c>
      <c r="J83" s="180"/>
      <c r="K83" s="180"/>
      <c r="L83" s="181">
        <f>+D83*L1</f>
        <v>1657416.8954</v>
      </c>
      <c r="O83" s="260" t="s">
        <v>1972</v>
      </c>
      <c r="P83" s="68">
        <f>+L83</f>
        <v>1657416.8954</v>
      </c>
      <c r="Q83" s="68"/>
      <c r="R83" s="69"/>
    </row>
    <row r="84" spans="2:18">
      <c r="B84" s="155"/>
      <c r="C84" s="241" t="s">
        <v>2022</v>
      </c>
      <c r="D84" s="204">
        <v>355048.34</v>
      </c>
      <c r="E84" s="204">
        <v>206982.18400000001</v>
      </c>
      <c r="F84" s="205">
        <v>0.79858770317350125</v>
      </c>
      <c r="G84" s="163"/>
      <c r="H84" s="163"/>
      <c r="I84" s="264">
        <v>0.12</v>
      </c>
      <c r="J84" s="180"/>
      <c r="K84" s="180"/>
      <c r="L84" s="181">
        <f>+D84*L1*I84</f>
        <v>41753.684784000005</v>
      </c>
      <c r="O84" s="260" t="s">
        <v>1972</v>
      </c>
      <c r="P84" s="68">
        <f>+L84</f>
        <v>41753.684784000005</v>
      </c>
      <c r="Q84" s="68"/>
      <c r="R84" s="69"/>
    </row>
    <row r="85" spans="2:18" ht="15" thickBot="1">
      <c r="B85" s="155"/>
      <c r="C85" s="243" t="s">
        <v>2023</v>
      </c>
      <c r="D85" s="206">
        <v>8856414.7300000004</v>
      </c>
      <c r="E85" s="206">
        <v>206982.18400000001</v>
      </c>
      <c r="F85" s="207">
        <v>3.2014900724524266E-2</v>
      </c>
      <c r="G85" s="163"/>
      <c r="H85" s="163"/>
      <c r="I85" s="265">
        <v>4.7600000000000003E-2</v>
      </c>
      <c r="J85" s="183"/>
      <c r="K85" s="183"/>
      <c r="L85" s="184">
        <f>+D85*L1*I85</f>
        <v>413134.03432504</v>
      </c>
      <c r="O85" s="250" t="s">
        <v>1972</v>
      </c>
      <c r="P85" s="70">
        <f>+L85</f>
        <v>413134.03432504</v>
      </c>
      <c r="Q85" s="70"/>
      <c r="R85" s="71"/>
    </row>
    <row r="86" spans="2:18">
      <c r="B86" s="155"/>
      <c r="C86" s="155"/>
      <c r="D86" s="156"/>
      <c r="E86" s="173"/>
      <c r="F86" s="164"/>
      <c r="G86" s="163"/>
      <c r="H86" s="163"/>
    </row>
    <row r="87" spans="2:18">
      <c r="B87" s="155"/>
      <c r="C87" s="155"/>
      <c r="D87" s="156"/>
      <c r="E87" s="156"/>
      <c r="F87" s="155"/>
      <c r="G87" s="155"/>
      <c r="H87" s="155"/>
    </row>
    <row r="88" spans="2:18">
      <c r="B88" s="155"/>
      <c r="C88" s="155"/>
      <c r="D88" s="156"/>
      <c r="E88" s="156"/>
      <c r="F88" s="155"/>
      <c r="G88" s="155"/>
      <c r="H88" s="155"/>
    </row>
    <row r="89" spans="2:18">
      <c r="B89" s="155"/>
      <c r="C89" s="155"/>
      <c r="D89" s="155"/>
      <c r="E89" s="155"/>
      <c r="F89" s="155"/>
      <c r="G89" s="155"/>
      <c r="H89" s="155"/>
    </row>
    <row r="90" spans="2:18">
      <c r="B90" s="155"/>
      <c r="C90" s="155"/>
      <c r="D90" s="155"/>
      <c r="E90" s="155"/>
      <c r="F90" s="155"/>
      <c r="G90" s="155"/>
      <c r="H90" s="155"/>
    </row>
    <row r="91" spans="2:18">
      <c r="B91" s="155"/>
      <c r="C91" s="155"/>
      <c r="D91" s="156" t="s">
        <v>9246</v>
      </c>
      <c r="E91" s="173" t="s">
        <v>2624</v>
      </c>
      <c r="F91" s="155" t="s">
        <v>2003</v>
      </c>
      <c r="G91" s="155"/>
      <c r="H91" s="155"/>
    </row>
    <row r="92" spans="2:18">
      <c r="C92" t="s">
        <v>2004</v>
      </c>
      <c r="D92">
        <v>17496550.060000002</v>
      </c>
      <c r="E92">
        <v>6789856.9589999998</v>
      </c>
      <c r="F92">
        <v>0.53160045177719761</v>
      </c>
    </row>
    <row r="93" spans="2:18">
      <c r="C93" t="s">
        <v>2006</v>
      </c>
      <c r="D93">
        <v>0</v>
      </c>
      <c r="E93">
        <v>0</v>
      </c>
      <c r="F93" t="e">
        <v>#DIV/0!</v>
      </c>
    </row>
    <row r="94" spans="2:18">
      <c r="C94" t="s">
        <v>2008</v>
      </c>
      <c r="D94">
        <v>446556.66806732141</v>
      </c>
      <c r="E94">
        <v>211989.20318048639</v>
      </c>
      <c r="F94">
        <v>0.6503008229553815</v>
      </c>
    </row>
    <row r="95" spans="2:18">
      <c r="C95" t="s">
        <v>2010</v>
      </c>
      <c r="D95">
        <v>2876284.5841416912</v>
      </c>
      <c r="E95">
        <v>1379486.7861596881</v>
      </c>
      <c r="F95">
        <v>0.65699615979065362</v>
      </c>
    </row>
    <row r="96" spans="2:18">
      <c r="C96" t="s">
        <v>2015</v>
      </c>
      <c r="D96">
        <v>222.27779098770344</v>
      </c>
      <c r="E96">
        <v>134.52590982541929</v>
      </c>
      <c r="F96">
        <v>0.82906199236159239</v>
      </c>
    </row>
    <row r="97" spans="3:6">
      <c r="C97" t="s">
        <v>2016</v>
      </c>
      <c r="D97">
        <v>2586.641881957572</v>
      </c>
      <c r="E97">
        <v>555.10805500220624</v>
      </c>
      <c r="F97">
        <v>0.29398039150986743</v>
      </c>
    </row>
    <row r="98" spans="3:6">
      <c r="C98" t="s">
        <v>2017</v>
      </c>
      <c r="D98">
        <v>2801997.3581180423</v>
      </c>
      <c r="E98">
        <v>735328.42688499775</v>
      </c>
      <c r="F98">
        <v>0.35949327789070684</v>
      </c>
    </row>
    <row r="99" spans="3:6">
      <c r="D99">
        <v>23624197.59</v>
      </c>
      <c r="E99">
        <v>9117351.0091899987</v>
      </c>
      <c r="F99">
        <v>0.52867496907848455</v>
      </c>
    </row>
    <row r="100" spans="3:6">
      <c r="C100" t="s">
        <v>9247</v>
      </c>
    </row>
    <row r="102" spans="3:6">
      <c r="C102" t="s">
        <v>9248</v>
      </c>
    </row>
    <row r="103" spans="3:6">
      <c r="C103" t="s">
        <v>9249</v>
      </c>
      <c r="D103">
        <v>2878871.2260236489</v>
      </c>
      <c r="E103">
        <v>1380041.8942146904</v>
      </c>
      <c r="F103">
        <v>-0.52063090500896414</v>
      </c>
    </row>
    <row r="104" spans="3:6">
      <c r="C104" t="s">
        <v>9250</v>
      </c>
      <c r="D104">
        <v>2802219.6359090302</v>
      </c>
      <c r="E104">
        <v>735462.95279482321</v>
      </c>
      <c r="F104">
        <v>-0.73754271671990423</v>
      </c>
    </row>
    <row r="105" spans="3:6">
      <c r="C105" t="s">
        <v>122</v>
      </c>
      <c r="D105">
        <v>5681090.8619326791</v>
      </c>
      <c r="E105">
        <v>2115504.8470095135</v>
      </c>
      <c r="F105">
        <v>-0.62762347964105092</v>
      </c>
    </row>
    <row r="109" spans="3:6">
      <c r="D109" t="s">
        <v>9251</v>
      </c>
      <c r="E109" t="s">
        <v>2624</v>
      </c>
      <c r="F109" t="s">
        <v>2003</v>
      </c>
    </row>
    <row r="110" spans="3:6">
      <c r="C110" t="s">
        <v>2004</v>
      </c>
      <c r="D110">
        <v>20929964.060000002</v>
      </c>
      <c r="E110">
        <v>6789856.9589999998</v>
      </c>
      <c r="F110">
        <v>0.44439512126130021</v>
      </c>
    </row>
    <row r="111" spans="3:6">
      <c r="C111" t="s">
        <v>2006</v>
      </c>
      <c r="D111">
        <v>0</v>
      </c>
      <c r="E111">
        <v>0</v>
      </c>
      <c r="F111" t="e">
        <v>#DIV/0!</v>
      </c>
    </row>
    <row r="112" spans="3:6">
      <c r="C112" t="s">
        <v>2008</v>
      </c>
      <c r="D112">
        <v>793217.99420696881</v>
      </c>
      <c r="E112">
        <v>211989.20318048639</v>
      </c>
      <c r="F112">
        <v>0.36609881629162994</v>
      </c>
    </row>
    <row r="113" spans="3:6">
      <c r="C113" t="s">
        <v>2010</v>
      </c>
      <c r="D113">
        <v>4976964.5951404963</v>
      </c>
      <c r="E113">
        <v>1379486.7861596881</v>
      </c>
      <c r="F113">
        <v>0.37969085174752043</v>
      </c>
    </row>
    <row r="114" spans="3:6">
      <c r="C114" t="s">
        <v>2015</v>
      </c>
      <c r="D114">
        <v>438.96065253485813</v>
      </c>
      <c r="E114">
        <v>134.52590982541929</v>
      </c>
      <c r="F114">
        <v>0.41981454872966101</v>
      </c>
    </row>
    <row r="115" spans="3:6">
      <c r="C115" t="s">
        <v>2016</v>
      </c>
      <c r="D115">
        <v>4946.0230123732308</v>
      </c>
      <c r="E115">
        <v>555.10805500220624</v>
      </c>
      <c r="F115">
        <v>0.1537441276054308</v>
      </c>
    </row>
    <row r="116" spans="3:6">
      <c r="C116" t="s">
        <v>2017</v>
      </c>
      <c r="D116">
        <v>13042505.596987627</v>
      </c>
      <c r="E116">
        <v>735328.42688499775</v>
      </c>
      <c r="F116">
        <v>7.7232032405154374E-2</v>
      </c>
    </row>
    <row r="117" spans="3:6">
      <c r="D117">
        <v>39748037.230000004</v>
      </c>
      <c r="E117">
        <v>9117351.0091899987</v>
      </c>
      <c r="F117">
        <v>0.31421732494933707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8" tint="0.59999389629810485"/>
  </sheetPr>
  <dimension ref="B1:R10"/>
  <sheetViews>
    <sheetView tabSelected="1" showOutlineSymbols="0" workbookViewId="0"/>
  </sheetViews>
  <sheetFormatPr defaultRowHeight="14.4"/>
  <cols>
    <col min="2" max="2" width="47.6640625" customWidth="1"/>
    <col min="3" max="14" width="12.88671875" style="33" customWidth="1"/>
    <col min="15" max="15" width="12.88671875" style="33" bestFit="1" customWidth="1"/>
    <col min="16" max="16" width="10.6640625" bestFit="1" customWidth="1"/>
    <col min="18" max="18" width="12.6640625" bestFit="1" customWidth="1"/>
  </cols>
  <sheetData>
    <row r="1" spans="2:18" ht="15" thickBot="1"/>
    <row r="2" spans="2:18">
      <c r="B2" s="139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1"/>
    </row>
    <row r="3" spans="2:18">
      <c r="B3" s="118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36"/>
      <c r="R3" s="29" t="s">
        <v>116</v>
      </c>
    </row>
    <row r="4" spans="2:18" ht="15" thickBot="1">
      <c r="B4" s="119"/>
      <c r="C4" s="143" t="s">
        <v>1357</v>
      </c>
      <c r="D4" s="143" t="s">
        <v>1358</v>
      </c>
      <c r="E4" s="143" t="s">
        <v>1359</v>
      </c>
      <c r="F4" s="143" t="s">
        <v>1360</v>
      </c>
      <c r="G4" s="143" t="s">
        <v>1361</v>
      </c>
      <c r="H4" s="143" t="s">
        <v>1362</v>
      </c>
      <c r="I4" s="143" t="s">
        <v>1363</v>
      </c>
      <c r="J4" s="143" t="s">
        <v>1364</v>
      </c>
      <c r="K4" s="143" t="s">
        <v>1365</v>
      </c>
      <c r="L4" s="143" t="s">
        <v>1366</v>
      </c>
      <c r="M4" s="143" t="s">
        <v>1367</v>
      </c>
      <c r="N4" s="143" t="s">
        <v>1368</v>
      </c>
      <c r="O4" s="143" t="s">
        <v>2116</v>
      </c>
      <c r="P4" s="143" t="s">
        <v>1986</v>
      </c>
    </row>
    <row r="5" spans="2:18">
      <c r="B5" s="117" t="s">
        <v>1981</v>
      </c>
      <c r="C5" s="145">
        <v>249</v>
      </c>
      <c r="D5" s="145">
        <v>249</v>
      </c>
      <c r="E5" s="145">
        <v>249</v>
      </c>
      <c r="F5" s="145">
        <v>249</v>
      </c>
      <c r="G5" s="145">
        <v>249</v>
      </c>
      <c r="H5" s="145">
        <v>249</v>
      </c>
      <c r="I5" s="145">
        <v>249</v>
      </c>
      <c r="J5" s="145">
        <v>249</v>
      </c>
      <c r="K5" s="145">
        <v>249</v>
      </c>
      <c r="L5" s="145">
        <v>249</v>
      </c>
      <c r="M5" s="145">
        <v>249</v>
      </c>
      <c r="N5" s="145">
        <v>249</v>
      </c>
      <c r="O5" s="68">
        <v>2988</v>
      </c>
      <c r="P5" s="68">
        <v>249</v>
      </c>
    </row>
    <row r="6" spans="2:18">
      <c r="B6" s="117" t="s">
        <v>1982</v>
      </c>
      <c r="C6" s="145">
        <v>38</v>
      </c>
      <c r="D6" s="145">
        <v>38</v>
      </c>
      <c r="E6" s="145">
        <v>0</v>
      </c>
      <c r="F6" s="145">
        <v>0</v>
      </c>
      <c r="G6" s="145">
        <v>0</v>
      </c>
      <c r="H6" s="145">
        <v>0</v>
      </c>
      <c r="I6" s="145">
        <v>0</v>
      </c>
      <c r="J6" s="145">
        <v>0</v>
      </c>
      <c r="K6" s="145">
        <v>0</v>
      </c>
      <c r="L6" s="145">
        <v>0</v>
      </c>
      <c r="M6" s="145">
        <v>0</v>
      </c>
      <c r="N6" s="145">
        <v>0</v>
      </c>
      <c r="O6" s="68">
        <v>76</v>
      </c>
      <c r="P6" s="68">
        <f>+AVERAGE(C6:N6)</f>
        <v>6.333333333333333</v>
      </c>
    </row>
    <row r="7" spans="2:18">
      <c r="B7" s="117" t="s">
        <v>1983</v>
      </c>
      <c r="C7" s="145">
        <v>20</v>
      </c>
      <c r="D7" s="145">
        <v>20</v>
      </c>
      <c r="E7" s="145">
        <v>20</v>
      </c>
      <c r="F7" s="145">
        <v>20</v>
      </c>
      <c r="G7" s="145">
        <v>20</v>
      </c>
      <c r="H7" s="145">
        <v>20</v>
      </c>
      <c r="I7" s="145">
        <v>20</v>
      </c>
      <c r="J7" s="145">
        <v>20</v>
      </c>
      <c r="K7" s="145">
        <v>20</v>
      </c>
      <c r="L7" s="145">
        <v>20</v>
      </c>
      <c r="M7" s="145">
        <v>20</v>
      </c>
      <c r="N7" s="145">
        <v>20</v>
      </c>
      <c r="O7" s="68">
        <v>240</v>
      </c>
      <c r="P7" s="68">
        <v>20</v>
      </c>
    </row>
    <row r="8" spans="2:18">
      <c r="B8" s="118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42"/>
      <c r="N8" s="142"/>
      <c r="O8" s="68"/>
      <c r="P8" s="36"/>
    </row>
    <row r="9" spans="2:18">
      <c r="B9" s="144" t="s">
        <v>1984</v>
      </c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36"/>
    </row>
    <row r="10" spans="2:18" ht="15" thickBot="1">
      <c r="B10" s="120" t="s">
        <v>1985</v>
      </c>
      <c r="C10" s="1880">
        <f t="shared" ref="C10:P10" si="0">+SUM(C5:C7)</f>
        <v>307</v>
      </c>
      <c r="D10" s="1880">
        <f t="shared" si="0"/>
        <v>307</v>
      </c>
      <c r="E10" s="1880">
        <f t="shared" si="0"/>
        <v>269</v>
      </c>
      <c r="F10" s="1880">
        <f t="shared" si="0"/>
        <v>269</v>
      </c>
      <c r="G10" s="1880">
        <f t="shared" si="0"/>
        <v>269</v>
      </c>
      <c r="H10" s="1880">
        <f t="shared" si="0"/>
        <v>269</v>
      </c>
      <c r="I10" s="1880">
        <f t="shared" si="0"/>
        <v>269</v>
      </c>
      <c r="J10" s="1880">
        <f t="shared" si="0"/>
        <v>269</v>
      </c>
      <c r="K10" s="1880">
        <f t="shared" si="0"/>
        <v>269</v>
      </c>
      <c r="L10" s="1880">
        <f t="shared" si="0"/>
        <v>269</v>
      </c>
      <c r="M10" s="1880">
        <f t="shared" si="0"/>
        <v>269</v>
      </c>
      <c r="N10" s="1880">
        <f t="shared" si="0"/>
        <v>269</v>
      </c>
      <c r="O10" s="1880">
        <f t="shared" si="0"/>
        <v>3304</v>
      </c>
      <c r="P10" s="1880">
        <f t="shared" si="0"/>
        <v>275.33333333333337</v>
      </c>
    </row>
  </sheetData>
  <phoneticPr fontId="13" type="noConversion"/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8" tint="0.59999389629810485"/>
  </sheetPr>
  <dimension ref="B2:AF25"/>
  <sheetViews>
    <sheetView tabSelected="1" showOutlineSymbols="0" workbookViewId="0"/>
  </sheetViews>
  <sheetFormatPr defaultRowHeight="14.4"/>
  <cols>
    <col min="2" max="2" width="9.88671875" bestFit="1" customWidth="1"/>
    <col min="3" max="3" width="9.6640625" bestFit="1" customWidth="1"/>
    <col min="4" max="4" width="13.88671875" bestFit="1" customWidth="1"/>
    <col min="5" max="5" width="14.33203125" bestFit="1" customWidth="1"/>
    <col min="6" max="6" width="12.6640625" bestFit="1" customWidth="1"/>
    <col min="8" max="8" width="4.44140625" customWidth="1"/>
    <col min="10" max="10" width="13.6640625" bestFit="1" customWidth="1"/>
    <col min="11" max="11" width="12" bestFit="1" customWidth="1"/>
    <col min="13" max="13" width="11.5546875" bestFit="1" customWidth="1"/>
    <col min="15" max="15" width="77.44140625" customWidth="1"/>
  </cols>
  <sheetData>
    <row r="2" spans="2:32" ht="15" thickBot="1">
      <c r="O2" s="76">
        <v>764677.29</v>
      </c>
      <c r="P2" s="76">
        <v>4430.0274999999992</v>
      </c>
      <c r="Q2" s="76">
        <v>25.656666666666666</v>
      </c>
      <c r="R2" s="76">
        <v>68234.796666666676</v>
      </c>
      <c r="S2" s="76">
        <v>96.314999999999998</v>
      </c>
      <c r="T2" s="76">
        <v>2274.9016666666666</v>
      </c>
      <c r="U2" s="76">
        <v>15109.018416666666</v>
      </c>
      <c r="V2" s="76">
        <v>1690.1083333333336</v>
      </c>
      <c r="W2" s="76">
        <v>1538.4208333333336</v>
      </c>
      <c r="X2" s="76">
        <v>23.52416666666667</v>
      </c>
      <c r="Y2" s="76">
        <v>0</v>
      </c>
      <c r="Z2" s="76">
        <v>36.740833333333335</v>
      </c>
      <c r="AA2">
        <v>3.9799999999999991</v>
      </c>
      <c r="AB2">
        <v>0.98000000000000032</v>
      </c>
      <c r="AC2">
        <v>7.0866666666666669</v>
      </c>
      <c r="AD2">
        <v>235.88416666666669</v>
      </c>
      <c r="AE2">
        <v>4047.6049999999996</v>
      </c>
      <c r="AF2">
        <v>10.5</v>
      </c>
    </row>
    <row r="3" spans="2:32" ht="15" thickBot="1">
      <c r="B3" s="80" t="s">
        <v>1947</v>
      </c>
      <c r="C3" s="150" t="s">
        <v>2117</v>
      </c>
      <c r="D3" s="332">
        <v>2025</v>
      </c>
      <c r="E3" t="s">
        <v>8678</v>
      </c>
      <c r="F3" s="29" t="s">
        <v>116</v>
      </c>
      <c r="H3" s="76"/>
      <c r="L3" t="s">
        <v>8678</v>
      </c>
    </row>
    <row r="4" spans="2:32">
      <c r="B4" s="30" t="s">
        <v>1949</v>
      </c>
      <c r="C4" s="36" t="s">
        <v>1949</v>
      </c>
      <c r="D4" s="333">
        <f>+J4</f>
        <v>913817286.31000006</v>
      </c>
      <c r="E4" s="346">
        <f>+K4</f>
        <v>764677.29</v>
      </c>
      <c r="G4" s="1634"/>
      <c r="H4" s="76"/>
      <c r="I4" s="1819" t="s">
        <v>1949</v>
      </c>
      <c r="J4" s="1951">
        <v>913817286.31000006</v>
      </c>
      <c r="K4" s="346">
        <v>764677.29</v>
      </c>
      <c r="L4" s="1634" t="s">
        <v>1949</v>
      </c>
      <c r="M4" s="1824">
        <f t="shared" ref="M4:M9" si="0">+SUMIF(B:B,L4,E:E)</f>
        <v>769107.3175</v>
      </c>
      <c r="N4" s="1634"/>
      <c r="O4" s="1881" t="s">
        <v>9383</v>
      </c>
      <c r="P4" s="1634"/>
      <c r="Q4" s="1634"/>
      <c r="R4" s="1634"/>
    </row>
    <row r="5" spans="2:32">
      <c r="B5" s="30" t="s">
        <v>1949</v>
      </c>
      <c r="C5" s="36" t="s">
        <v>2118</v>
      </c>
      <c r="D5" s="333">
        <f>+J5</f>
        <v>6786482.0300000003</v>
      </c>
      <c r="E5" s="346">
        <f>+K5</f>
        <v>4430.0274999999992</v>
      </c>
      <c r="H5" s="76"/>
      <c r="I5" s="1819" t="s">
        <v>2118</v>
      </c>
      <c r="J5" s="1951">
        <v>6786482.0300000003</v>
      </c>
      <c r="K5" s="346">
        <v>4430.0274999999992</v>
      </c>
      <c r="L5" t="s">
        <v>1950</v>
      </c>
      <c r="M5" s="1824">
        <f t="shared" si="0"/>
        <v>74653.618333333347</v>
      </c>
      <c r="O5" s="1881" t="s">
        <v>9384</v>
      </c>
    </row>
    <row r="6" spans="2:32">
      <c r="B6" s="30" t="s">
        <v>1950</v>
      </c>
      <c r="C6" s="36" t="s">
        <v>2119</v>
      </c>
      <c r="D6" s="333">
        <f>+J20</f>
        <v>2111966.36</v>
      </c>
      <c r="E6" s="346">
        <f>+K20</f>
        <v>4047.6049999999996</v>
      </c>
      <c r="H6" s="76"/>
      <c r="I6" s="1819" t="s">
        <v>2122</v>
      </c>
      <c r="J6" s="1951">
        <v>166496</v>
      </c>
      <c r="K6" s="346">
        <v>25.656666666666666</v>
      </c>
      <c r="L6" t="s">
        <v>1934</v>
      </c>
      <c r="M6" s="1824">
        <f t="shared" si="0"/>
        <v>18362.783416666665</v>
      </c>
      <c r="O6" s="1881" t="s">
        <v>9385</v>
      </c>
    </row>
    <row r="7" spans="2:32">
      <c r="B7" s="30" t="s">
        <v>1950</v>
      </c>
      <c r="C7" s="36" t="s">
        <v>1950</v>
      </c>
      <c r="D7" s="333">
        <f>+J7</f>
        <v>90272813</v>
      </c>
      <c r="E7" s="346">
        <f>+K7</f>
        <v>68234.796666666676</v>
      </c>
      <c r="H7" s="76"/>
      <c r="I7" s="1819" t="s">
        <v>1950</v>
      </c>
      <c r="J7" s="1951">
        <v>90272813</v>
      </c>
      <c r="K7" s="346">
        <v>68234.796666666676</v>
      </c>
      <c r="L7" t="s">
        <v>1971</v>
      </c>
      <c r="M7" s="1824">
        <f t="shared" si="0"/>
        <v>61.50416666666667</v>
      </c>
      <c r="O7" s="1881" t="s">
        <v>9386</v>
      </c>
    </row>
    <row r="8" spans="2:32">
      <c r="B8" s="30" t="s">
        <v>1950</v>
      </c>
      <c r="C8" s="36" t="s">
        <v>2120</v>
      </c>
      <c r="D8" s="333">
        <v>2726505</v>
      </c>
      <c r="E8" s="346">
        <f>+K9</f>
        <v>2274.9016666666666</v>
      </c>
      <c r="H8" s="76"/>
      <c r="I8" s="1819" t="s">
        <v>2121</v>
      </c>
      <c r="J8" s="1951">
        <v>103642</v>
      </c>
      <c r="K8" s="346">
        <v>96.314999999999998</v>
      </c>
      <c r="L8" t="s">
        <v>1972</v>
      </c>
      <c r="M8" s="1824">
        <f t="shared" si="0"/>
        <v>11</v>
      </c>
      <c r="O8" s="1881" t="s">
        <v>9387</v>
      </c>
    </row>
    <row r="9" spans="2:32">
      <c r="B9" s="30" t="s">
        <v>1950</v>
      </c>
      <c r="C9" s="36" t="s">
        <v>2121</v>
      </c>
      <c r="D9" s="333">
        <f>+J8</f>
        <v>103642</v>
      </c>
      <c r="E9" s="346">
        <f>+K8</f>
        <v>96.314999999999998</v>
      </c>
      <c r="H9" s="76"/>
      <c r="I9" s="1819" t="s">
        <v>2120</v>
      </c>
      <c r="J9" s="1951">
        <v>2726505</v>
      </c>
      <c r="K9" s="346">
        <v>2274.9016666666666</v>
      </c>
      <c r="L9" t="s">
        <v>1973</v>
      </c>
      <c r="M9" s="1824">
        <f t="shared" si="0"/>
        <v>235.88416666666669</v>
      </c>
      <c r="O9" s="1881" t="s">
        <v>9388</v>
      </c>
    </row>
    <row r="10" spans="2:32">
      <c r="B10" s="30" t="s">
        <v>1934</v>
      </c>
      <c r="C10" s="36" t="s">
        <v>2122</v>
      </c>
      <c r="D10" s="333">
        <f>+J6</f>
        <v>166496</v>
      </c>
      <c r="E10" s="346">
        <f>+K6</f>
        <v>25.656666666666666</v>
      </c>
      <c r="H10" s="76"/>
      <c r="I10" s="1819" t="s">
        <v>1934</v>
      </c>
      <c r="J10" s="1951">
        <v>213221667</v>
      </c>
      <c r="K10" s="346">
        <v>15109.018416666666</v>
      </c>
      <c r="O10" s="1881" t="s">
        <v>9389</v>
      </c>
    </row>
    <row r="11" spans="2:32">
      <c r="B11" s="30" t="s">
        <v>1934</v>
      </c>
      <c r="C11" s="36" t="s">
        <v>1934</v>
      </c>
      <c r="D11" s="333">
        <f>+J10</f>
        <v>213221667</v>
      </c>
      <c r="E11" s="346">
        <f>+K10</f>
        <v>15109.018416666666</v>
      </c>
      <c r="H11" s="76"/>
      <c r="I11" s="1819" t="s">
        <v>2009</v>
      </c>
      <c r="J11" s="1951">
        <v>26331651</v>
      </c>
      <c r="K11" s="346">
        <v>1690.1083333333336</v>
      </c>
      <c r="O11" s="1881" t="s">
        <v>9390</v>
      </c>
    </row>
    <row r="12" spans="2:32">
      <c r="B12" s="30" t="s">
        <v>1934</v>
      </c>
      <c r="C12" s="36" t="s">
        <v>2007</v>
      </c>
      <c r="D12" s="333">
        <v>70762443.849999994</v>
      </c>
      <c r="E12" s="346">
        <v>1538</v>
      </c>
      <c r="H12" s="76"/>
      <c r="I12" s="1819" t="s">
        <v>2007</v>
      </c>
      <c r="J12" s="1951">
        <v>70762443.849999994</v>
      </c>
      <c r="K12" s="346">
        <v>1538.4208333333336</v>
      </c>
      <c r="O12" s="1881" t="s">
        <v>9391</v>
      </c>
    </row>
    <row r="13" spans="2:32">
      <c r="B13" s="30" t="s">
        <v>1934</v>
      </c>
      <c r="C13" s="36" t="s">
        <v>2009</v>
      </c>
      <c r="D13" s="333">
        <f>+J11</f>
        <v>26331651</v>
      </c>
      <c r="E13" s="346">
        <f>+K11</f>
        <v>1690.1083333333336</v>
      </c>
      <c r="H13" s="76"/>
      <c r="I13" s="1819" t="s">
        <v>1971</v>
      </c>
      <c r="J13" s="1951">
        <v>10559301</v>
      </c>
      <c r="K13" s="346">
        <v>23.52416666666667</v>
      </c>
      <c r="O13" s="1881" t="s">
        <v>9392</v>
      </c>
    </row>
    <row r="14" spans="2:32">
      <c r="B14" s="30"/>
      <c r="C14" s="36"/>
      <c r="D14" s="333"/>
      <c r="E14" s="346"/>
      <c r="H14" s="76"/>
      <c r="I14" s="1819" t="s">
        <v>1972</v>
      </c>
      <c r="J14" s="1951">
        <v>0</v>
      </c>
      <c r="K14" s="346">
        <v>0</v>
      </c>
      <c r="O14" s="1881" t="s">
        <v>9393</v>
      </c>
    </row>
    <row r="15" spans="2:32">
      <c r="B15" s="30"/>
      <c r="C15" s="36"/>
      <c r="D15" s="333"/>
      <c r="E15" s="346"/>
      <c r="H15" s="76"/>
      <c r="I15" s="1819" t="s">
        <v>2011</v>
      </c>
      <c r="J15" s="1951">
        <v>32915213</v>
      </c>
      <c r="K15" s="346">
        <v>36.740833333333335</v>
      </c>
      <c r="O15" s="1881" t="s">
        <v>9394</v>
      </c>
    </row>
    <row r="16" spans="2:32">
      <c r="B16" s="30" t="s">
        <v>1971</v>
      </c>
      <c r="C16" s="36" t="s">
        <v>1971</v>
      </c>
      <c r="D16" s="333">
        <f>+J13</f>
        <v>10559301</v>
      </c>
      <c r="E16" s="346">
        <f>+K13</f>
        <v>23.52416666666667</v>
      </c>
      <c r="H16" s="76"/>
      <c r="I16" s="1819" t="s">
        <v>2013</v>
      </c>
      <c r="J16" s="1951">
        <v>7728767</v>
      </c>
      <c r="K16" s="346">
        <v>3.9799999999999991</v>
      </c>
      <c r="O16" s="1881" t="s">
        <v>9395</v>
      </c>
    </row>
    <row r="17" spans="2:15">
      <c r="B17" s="30" t="s">
        <v>1971</v>
      </c>
      <c r="C17" s="36" t="s">
        <v>2011</v>
      </c>
      <c r="D17" s="333">
        <v>32915213</v>
      </c>
      <c r="E17" s="346">
        <v>37</v>
      </c>
      <c r="H17" s="76"/>
      <c r="I17" s="1819" t="s">
        <v>8377</v>
      </c>
      <c r="J17" s="1951">
        <v>878418.9800000001</v>
      </c>
      <c r="K17" s="346">
        <v>0.98000000000000032</v>
      </c>
      <c r="O17" s="1881" t="s">
        <v>9396</v>
      </c>
    </row>
    <row r="18" spans="2:15">
      <c r="B18" s="30"/>
      <c r="C18" s="36"/>
      <c r="D18" s="333"/>
      <c r="E18" s="346"/>
      <c r="H18" s="76"/>
      <c r="I18" s="1819" t="s">
        <v>8378</v>
      </c>
      <c r="J18" s="1951">
        <v>16066535.800000001</v>
      </c>
      <c r="K18" s="346">
        <v>7.0866666666666669</v>
      </c>
      <c r="O18" s="1881" t="s">
        <v>9397</v>
      </c>
    </row>
    <row r="19" spans="2:15">
      <c r="B19" s="30" t="s">
        <v>1971</v>
      </c>
      <c r="C19" s="36" t="s">
        <v>8377</v>
      </c>
      <c r="D19" s="333">
        <f>+J17</f>
        <v>878418.9800000001</v>
      </c>
      <c r="E19" s="346">
        <f>+K17</f>
        <v>0.98000000000000032</v>
      </c>
      <c r="H19" s="76"/>
      <c r="I19" s="1819" t="s">
        <v>1973</v>
      </c>
      <c r="J19" s="1951">
        <v>86276306.200000003</v>
      </c>
      <c r="K19" s="346">
        <v>235.88416666666669</v>
      </c>
      <c r="O19" s="1881" t="s">
        <v>9398</v>
      </c>
    </row>
    <row r="20" spans="2:15">
      <c r="B20" s="30"/>
      <c r="C20" s="36"/>
      <c r="D20" s="333"/>
      <c r="E20" s="346"/>
      <c r="H20" s="76"/>
      <c r="I20" s="1819" t="s">
        <v>2119</v>
      </c>
      <c r="J20" s="1951">
        <v>2111966.36</v>
      </c>
      <c r="K20" s="346">
        <v>4047.6049999999996</v>
      </c>
      <c r="O20" s="1881" t="s">
        <v>9399</v>
      </c>
    </row>
    <row r="21" spans="2:15">
      <c r="B21" s="30" t="s">
        <v>1972</v>
      </c>
      <c r="C21" s="36" t="s">
        <v>2013</v>
      </c>
      <c r="D21" s="333">
        <v>7728767</v>
      </c>
      <c r="E21" s="346">
        <v>4</v>
      </c>
      <c r="H21" s="76"/>
      <c r="I21" s="1819" t="s">
        <v>9252</v>
      </c>
      <c r="J21" s="1951">
        <v>0</v>
      </c>
      <c r="K21" s="346">
        <v>10.5</v>
      </c>
      <c r="O21" s="1881" t="s">
        <v>9400</v>
      </c>
    </row>
    <row r="22" spans="2:15">
      <c r="B22" s="30"/>
      <c r="C22" s="36"/>
      <c r="D22" s="333"/>
      <c r="E22" s="346"/>
      <c r="O22" s="1881"/>
    </row>
    <row r="23" spans="2:15">
      <c r="B23" s="30" t="s">
        <v>1972</v>
      </c>
      <c r="C23" s="36" t="s">
        <v>8378</v>
      </c>
      <c r="D23" s="333">
        <v>16066535.800000001</v>
      </c>
      <c r="E23" s="346">
        <v>7</v>
      </c>
    </row>
    <row r="24" spans="2:15" ht="15" thickBot="1">
      <c r="B24" s="335" t="s">
        <v>1973</v>
      </c>
      <c r="C24" s="336" t="s">
        <v>1973</v>
      </c>
      <c r="D24" s="334">
        <f>+J19</f>
        <v>86276306.200000003</v>
      </c>
      <c r="E24" s="346">
        <f>+K19</f>
        <v>235.88416666666669</v>
      </c>
    </row>
    <row r="25" spans="2:15" ht="15.6" thickTop="1" thickBot="1">
      <c r="B25" s="31"/>
      <c r="C25" s="37" t="s">
        <v>115</v>
      </c>
      <c r="D25" s="331">
        <f>+SUM(D4:D24)</f>
        <v>1480725494.53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8" tint="0.59999389629810485"/>
  </sheetPr>
  <dimension ref="A1:O9"/>
  <sheetViews>
    <sheetView tabSelected="1" showOutlineSymbols="0" workbookViewId="0"/>
  </sheetViews>
  <sheetFormatPr defaultRowHeight="14.4"/>
  <cols>
    <col min="1" max="1" width="13" style="33" customWidth="1"/>
    <col min="2" max="2" width="15.33203125" style="33" customWidth="1"/>
    <col min="3" max="3" width="14.33203125" customWidth="1"/>
    <col min="4" max="4" width="16.44140625" customWidth="1"/>
    <col min="5" max="5" width="10.5546875" bestFit="1" customWidth="1"/>
    <col min="6" max="6" width="16.5546875" customWidth="1"/>
    <col min="7" max="7" width="15.33203125" bestFit="1" customWidth="1"/>
    <col min="8" max="8" width="16" customWidth="1"/>
    <col min="9" max="9" width="14.5546875" customWidth="1"/>
    <col min="10" max="10" width="12.33203125" customWidth="1"/>
    <col min="11" max="16" width="22.44140625" customWidth="1"/>
  </cols>
  <sheetData>
    <row r="1" spans="1:15" ht="29.4" thickBot="1">
      <c r="A1" s="3081" t="s">
        <v>8379</v>
      </c>
      <c r="B1" s="3081"/>
      <c r="C1" s="3081"/>
      <c r="D1" s="3081"/>
      <c r="E1" s="3081"/>
      <c r="F1" s="3081"/>
      <c r="G1" s="3081"/>
      <c r="H1" s="3081"/>
      <c r="I1" s="3081"/>
      <c r="J1" s="3081"/>
      <c r="K1" s="3081"/>
      <c r="L1" s="3081"/>
      <c r="M1" s="3081"/>
      <c r="N1" s="3081"/>
      <c r="O1" s="3081"/>
    </row>
    <row r="2" spans="1:15" ht="21.6" thickBot="1">
      <c r="A2" s="3082" t="s">
        <v>8380</v>
      </c>
      <c r="B2" s="3083"/>
      <c r="C2" s="3083"/>
      <c r="D2" s="3083"/>
      <c r="E2" s="3083"/>
      <c r="F2" s="3083"/>
      <c r="G2" s="3083"/>
      <c r="H2" s="3083"/>
      <c r="I2" s="3083"/>
      <c r="J2" s="3083"/>
      <c r="K2" s="3083"/>
      <c r="L2" s="3083"/>
      <c r="M2" s="3083"/>
      <c r="N2" s="3083"/>
      <c r="O2" s="3083"/>
    </row>
    <row r="3" spans="1:15" ht="15.75" customHeight="1" thickBot="1">
      <c r="A3" s="2217"/>
      <c r="B3" s="2217"/>
      <c r="C3" s="3084" t="s">
        <v>8381</v>
      </c>
      <c r="D3" s="3085"/>
      <c r="E3" s="3085"/>
      <c r="F3" s="3085"/>
      <c r="G3" s="3085"/>
      <c r="H3" s="3086"/>
      <c r="I3" s="3087" t="s">
        <v>8382</v>
      </c>
      <c r="J3" s="2218"/>
      <c r="K3" s="2217"/>
      <c r="L3" s="3084" t="s">
        <v>8383</v>
      </c>
      <c r="M3" s="3085"/>
      <c r="N3" s="3086"/>
      <c r="O3" s="3087" t="s">
        <v>8384</v>
      </c>
    </row>
    <row r="4" spans="1:15">
      <c r="A4" s="3089"/>
      <c r="B4" s="3090"/>
      <c r="C4" s="3091" t="s">
        <v>2172</v>
      </c>
      <c r="D4" s="3093" t="s">
        <v>2606</v>
      </c>
      <c r="E4" s="3093" t="s">
        <v>8385</v>
      </c>
      <c r="F4" s="3093" t="s">
        <v>2607</v>
      </c>
      <c r="G4" s="3093" t="s">
        <v>1973</v>
      </c>
      <c r="H4" s="3099" t="s">
        <v>8386</v>
      </c>
      <c r="I4" s="3088"/>
      <c r="J4" s="3101"/>
      <c r="K4" s="3102"/>
      <c r="L4" s="2219" t="s">
        <v>8387</v>
      </c>
      <c r="M4" s="2220" t="s">
        <v>8387</v>
      </c>
      <c r="N4" s="3095" t="s">
        <v>8390</v>
      </c>
      <c r="O4" s="3088"/>
    </row>
    <row r="5" spans="1:15" ht="29.4" thickBot="1">
      <c r="A5" s="3089"/>
      <c r="B5" s="3090"/>
      <c r="C5" s="3092"/>
      <c r="D5" s="3094"/>
      <c r="E5" s="3094"/>
      <c r="F5" s="3094"/>
      <c r="G5" s="3094"/>
      <c r="H5" s="3100"/>
      <c r="I5" s="3088"/>
      <c r="J5" s="3101"/>
      <c r="K5" s="3102"/>
      <c r="L5" s="2221" t="s">
        <v>8388</v>
      </c>
      <c r="M5" s="2222" t="s">
        <v>8389</v>
      </c>
      <c r="N5" s="3096"/>
      <c r="O5" s="3088"/>
    </row>
    <row r="6" spans="1:15">
      <c r="A6" s="2223"/>
      <c r="B6" s="2224"/>
      <c r="C6" s="2225"/>
      <c r="D6" s="2225"/>
      <c r="E6" s="2225"/>
      <c r="F6" s="2225"/>
      <c r="G6" s="2217"/>
      <c r="H6" s="2225"/>
      <c r="I6" s="2226"/>
      <c r="J6" s="2223"/>
      <c r="K6" s="2224"/>
      <c r="L6" s="2227"/>
      <c r="M6" s="2227"/>
      <c r="N6" s="2227"/>
      <c r="O6" s="2228"/>
    </row>
    <row r="7" spans="1:15">
      <c r="A7" s="2229" t="s">
        <v>8965</v>
      </c>
      <c r="B7" s="2230">
        <v>2025</v>
      </c>
      <c r="C7" s="2231">
        <v>7622861.9699999997</v>
      </c>
      <c r="D7" s="2231">
        <v>48672460.5</v>
      </c>
      <c r="E7" s="2231">
        <v>1594811.35</v>
      </c>
      <c r="F7" s="2231">
        <v>12532.53</v>
      </c>
      <c r="G7" s="2232"/>
      <c r="H7" s="2231">
        <v>49824858.909999996</v>
      </c>
      <c r="I7" s="2233">
        <v>107727525.25999999</v>
      </c>
      <c r="J7" s="2229" t="s">
        <v>8965</v>
      </c>
      <c r="K7" s="2230">
        <v>2025</v>
      </c>
      <c r="L7" s="2234">
        <v>3549460.06</v>
      </c>
      <c r="M7" s="2234">
        <v>77374629.459999993</v>
      </c>
      <c r="N7" s="2234">
        <v>5352216.6900000004</v>
      </c>
      <c r="O7" s="2228">
        <v>86276306.209999993</v>
      </c>
    </row>
    <row r="8" spans="1:15">
      <c r="A8" s="2217"/>
      <c r="B8" s="3097"/>
      <c r="C8" s="3097"/>
      <c r="D8" s="2217"/>
      <c r="E8" s="2217"/>
      <c r="F8" s="2217"/>
      <c r="G8" s="3097"/>
      <c r="H8" s="3098"/>
      <c r="I8" s="2235"/>
      <c r="J8" s="2217"/>
      <c r="K8" s="3097"/>
      <c r="L8" s="3097"/>
      <c r="M8" s="2217"/>
      <c r="N8" s="2217"/>
      <c r="O8" s="2235"/>
    </row>
    <row r="9" spans="1:15" ht="15" thickBot="1">
      <c r="A9" s="2217"/>
      <c r="B9" s="2236"/>
      <c r="C9" s="2237"/>
      <c r="D9" s="2237"/>
      <c r="E9" s="2237"/>
      <c r="F9" s="2237"/>
      <c r="G9" s="2217"/>
      <c r="H9" s="2237"/>
      <c r="I9" s="2238"/>
      <c r="J9" s="2217"/>
      <c r="K9" s="2224"/>
      <c r="L9" s="2239"/>
      <c r="M9" s="2239"/>
      <c r="N9" s="2217"/>
      <c r="O9" s="2240"/>
    </row>
  </sheetData>
  <mergeCells count="20">
    <mergeCell ref="B8:C8"/>
    <mergeCell ref="G8:H8"/>
    <mergeCell ref="K8:L8"/>
    <mergeCell ref="E4:E5"/>
    <mergeCell ref="F4:F5"/>
    <mergeCell ref="G4:G5"/>
    <mergeCell ref="H4:H5"/>
    <mergeCell ref="J4:J5"/>
    <mergeCell ref="K4:K5"/>
    <mergeCell ref="A1:O1"/>
    <mergeCell ref="A2:O2"/>
    <mergeCell ref="C3:H3"/>
    <mergeCell ref="I3:I5"/>
    <mergeCell ref="L3:N3"/>
    <mergeCell ref="O3:O5"/>
    <mergeCell ref="A4:A5"/>
    <mergeCell ref="B4:B5"/>
    <mergeCell ref="C4:C5"/>
    <mergeCell ref="D4:D5"/>
    <mergeCell ref="N4:N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8" tint="0.59999389629810485"/>
  </sheetPr>
  <dimension ref="A1:I26"/>
  <sheetViews>
    <sheetView tabSelected="1" showOutlineSymbols="0" workbookViewId="0"/>
  </sheetViews>
  <sheetFormatPr defaultRowHeight="14.4"/>
  <cols>
    <col min="1" max="1" width="31.5546875" customWidth="1"/>
    <col min="2" max="2" width="13.44140625" customWidth="1"/>
    <col min="3" max="3" width="15" customWidth="1"/>
    <col min="5" max="5" width="13.6640625" customWidth="1"/>
    <col min="6" max="6" width="12.6640625" customWidth="1"/>
    <col min="7" max="7" width="17.109375" customWidth="1"/>
    <col min="9" max="9" width="12.6640625" bestFit="1" customWidth="1"/>
  </cols>
  <sheetData>
    <row r="1" spans="1:9">
      <c r="A1" s="2119" t="s">
        <v>9253</v>
      </c>
      <c r="B1" s="2180"/>
      <c r="C1" s="2180"/>
      <c r="D1" s="2180"/>
      <c r="E1" s="2180"/>
      <c r="F1" s="2180"/>
      <c r="G1" s="2180"/>
    </row>
    <row r="2" spans="1:9" ht="27">
      <c r="A2" s="2241" t="s">
        <v>2143</v>
      </c>
      <c r="B2" s="2241" t="s">
        <v>2144</v>
      </c>
      <c r="C2" s="2241" t="s">
        <v>2145</v>
      </c>
      <c r="D2" s="2242" t="s">
        <v>2146</v>
      </c>
      <c r="E2" s="2242" t="s">
        <v>2147</v>
      </c>
      <c r="F2" s="2242" t="s">
        <v>2148</v>
      </c>
      <c r="G2" s="2242" t="s">
        <v>2149</v>
      </c>
    </row>
    <row r="3" spans="1:9">
      <c r="A3" s="2243" t="s">
        <v>2150</v>
      </c>
      <c r="B3" s="2244">
        <v>4212</v>
      </c>
      <c r="C3" s="2245">
        <v>5001</v>
      </c>
      <c r="D3" s="2246">
        <v>8.25</v>
      </c>
      <c r="E3" s="2246">
        <v>8.35</v>
      </c>
      <c r="F3" s="2246">
        <f>+IF(ISNUMBER(C3),E3*C3,B3*E3)</f>
        <v>41758.35</v>
      </c>
      <c r="G3" s="2246">
        <f>+F3</f>
        <v>41758.35</v>
      </c>
      <c r="I3" s="1962" t="s">
        <v>116</v>
      </c>
    </row>
    <row r="4" spans="1:9">
      <c r="A4" s="2243" t="s">
        <v>2151</v>
      </c>
      <c r="B4" s="2244">
        <v>1042</v>
      </c>
      <c r="C4" s="2245">
        <v>1239</v>
      </c>
      <c r="D4" s="2246">
        <v>13.25</v>
      </c>
      <c r="E4" s="2246">
        <v>13.35</v>
      </c>
      <c r="F4" s="2246">
        <f t="shared" ref="F4:F25" si="0">+IF(ISNUMBER(C4),E4*C4,B4*E4)</f>
        <v>16540.649999999998</v>
      </c>
      <c r="G4" s="2246">
        <f t="shared" ref="G4:G25" si="1">+F4</f>
        <v>16540.649999999998</v>
      </c>
    </row>
    <row r="5" spans="1:9">
      <c r="A5" s="2243" t="s">
        <v>2152</v>
      </c>
      <c r="B5" s="2247">
        <v>32</v>
      </c>
      <c r="C5" s="2248" t="s">
        <v>1502</v>
      </c>
      <c r="D5" s="2246">
        <v>29</v>
      </c>
      <c r="E5" s="2246">
        <v>29</v>
      </c>
      <c r="F5" s="2246">
        <f t="shared" si="0"/>
        <v>928</v>
      </c>
      <c r="G5" s="2246">
        <f t="shared" si="1"/>
        <v>928</v>
      </c>
    </row>
    <row r="6" spans="1:9">
      <c r="A6" s="2243" t="s">
        <v>2153</v>
      </c>
      <c r="B6" s="2247">
        <v>11</v>
      </c>
      <c r="C6" s="2248">
        <v>15</v>
      </c>
      <c r="D6" s="2246">
        <v>0</v>
      </c>
      <c r="E6" s="2246">
        <v>0</v>
      </c>
      <c r="F6" s="2246">
        <f t="shared" si="0"/>
        <v>0</v>
      </c>
      <c r="G6" s="2246">
        <f t="shared" si="1"/>
        <v>0</v>
      </c>
    </row>
    <row r="7" spans="1:9">
      <c r="A7" s="2243" t="s">
        <v>2154</v>
      </c>
      <c r="B7" s="2247">
        <v>408</v>
      </c>
      <c r="C7" s="2249">
        <v>516</v>
      </c>
      <c r="D7" s="2246">
        <v>0</v>
      </c>
      <c r="E7" s="2246">
        <v>0</v>
      </c>
      <c r="F7" s="2246">
        <f t="shared" si="0"/>
        <v>0</v>
      </c>
      <c r="G7" s="2246">
        <f t="shared" si="1"/>
        <v>0</v>
      </c>
    </row>
    <row r="8" spans="1:9">
      <c r="A8" s="2243" t="s">
        <v>2155</v>
      </c>
      <c r="B8" s="2250">
        <v>2</v>
      </c>
      <c r="C8" s="2251">
        <v>4</v>
      </c>
      <c r="D8" s="2246">
        <v>0</v>
      </c>
      <c r="E8" s="2246">
        <v>0</v>
      </c>
      <c r="F8" s="2246">
        <f t="shared" si="0"/>
        <v>0</v>
      </c>
      <c r="G8" s="2246">
        <f t="shared" si="1"/>
        <v>0</v>
      </c>
    </row>
    <row r="9" spans="1:9">
      <c r="A9" s="2243" t="s">
        <v>2156</v>
      </c>
      <c r="B9" s="2247">
        <v>120</v>
      </c>
      <c r="C9" s="2251">
        <v>137</v>
      </c>
      <c r="D9" s="2246">
        <v>10.98</v>
      </c>
      <c r="E9" s="2246">
        <v>9.89</v>
      </c>
      <c r="F9" s="2246">
        <f t="shared" si="0"/>
        <v>1354.93</v>
      </c>
      <c r="G9" s="2246">
        <f t="shared" si="1"/>
        <v>1354.93</v>
      </c>
    </row>
    <row r="10" spans="1:9">
      <c r="A10" s="2243" t="s">
        <v>8265</v>
      </c>
      <c r="B10" s="2252">
        <v>113</v>
      </c>
      <c r="C10" s="2249">
        <v>113</v>
      </c>
      <c r="D10" s="2246">
        <v>11.02</v>
      </c>
      <c r="E10" s="2246">
        <v>9.92</v>
      </c>
      <c r="F10" s="2246">
        <f t="shared" si="0"/>
        <v>1120.96</v>
      </c>
      <c r="G10" s="2246">
        <f t="shared" si="1"/>
        <v>1120.96</v>
      </c>
    </row>
    <row r="11" spans="1:9">
      <c r="A11" s="2243" t="s">
        <v>2157</v>
      </c>
      <c r="B11" s="2252">
        <v>1</v>
      </c>
      <c r="C11" s="2249">
        <v>1</v>
      </c>
      <c r="D11" s="2246">
        <v>0</v>
      </c>
      <c r="E11" s="2246">
        <v>0</v>
      </c>
      <c r="F11" s="2246">
        <f t="shared" si="0"/>
        <v>0</v>
      </c>
      <c r="G11" s="2246">
        <f t="shared" si="1"/>
        <v>0</v>
      </c>
    </row>
    <row r="12" spans="1:9">
      <c r="A12" s="2243" t="s">
        <v>8266</v>
      </c>
      <c r="B12" s="2247">
        <v>1</v>
      </c>
      <c r="C12" s="2251">
        <v>1</v>
      </c>
      <c r="D12" s="2246">
        <v>11.02</v>
      </c>
      <c r="E12" s="2246">
        <v>9.92</v>
      </c>
      <c r="F12" s="2246">
        <f t="shared" si="0"/>
        <v>9.92</v>
      </c>
      <c r="G12" s="2246">
        <f t="shared" si="1"/>
        <v>9.92</v>
      </c>
    </row>
    <row r="13" spans="1:9">
      <c r="A13" s="2243" t="s">
        <v>2158</v>
      </c>
      <c r="B13" s="2247">
        <v>518</v>
      </c>
      <c r="C13" s="2251">
        <v>631</v>
      </c>
      <c r="D13" s="2246">
        <v>0</v>
      </c>
      <c r="E13" s="2246">
        <v>0</v>
      </c>
      <c r="F13" s="2246">
        <f t="shared" si="0"/>
        <v>0</v>
      </c>
      <c r="G13" s="2246">
        <f t="shared" si="1"/>
        <v>0</v>
      </c>
    </row>
    <row r="14" spans="1:9">
      <c r="A14" s="2243" t="s">
        <v>8267</v>
      </c>
      <c r="B14" s="2247">
        <v>4</v>
      </c>
      <c r="C14" s="2251">
        <v>5</v>
      </c>
      <c r="D14" s="2246">
        <v>0</v>
      </c>
      <c r="E14" s="2246">
        <v>0</v>
      </c>
      <c r="F14" s="2246">
        <f t="shared" si="0"/>
        <v>0</v>
      </c>
      <c r="G14" s="2246">
        <f t="shared" si="1"/>
        <v>0</v>
      </c>
    </row>
    <row r="15" spans="1:9">
      <c r="A15" s="2243" t="s">
        <v>2159</v>
      </c>
      <c r="B15" s="2252">
        <v>3</v>
      </c>
      <c r="C15" s="2251">
        <v>4</v>
      </c>
      <c r="D15" s="2246">
        <v>10.98</v>
      </c>
      <c r="E15" s="2246">
        <v>9.89</v>
      </c>
      <c r="F15" s="2246">
        <f t="shared" si="0"/>
        <v>39.56</v>
      </c>
      <c r="G15" s="2246">
        <f t="shared" si="1"/>
        <v>39.56</v>
      </c>
    </row>
    <row r="16" spans="1:9">
      <c r="A16" s="2243" t="s">
        <v>2160</v>
      </c>
      <c r="B16" s="2247">
        <v>5</v>
      </c>
      <c r="C16" s="2251">
        <v>7</v>
      </c>
      <c r="D16" s="2246">
        <v>11.02</v>
      </c>
      <c r="E16" s="2246">
        <v>9.92</v>
      </c>
      <c r="F16" s="2246">
        <f t="shared" si="0"/>
        <v>69.44</v>
      </c>
      <c r="G16" s="2246">
        <f t="shared" si="1"/>
        <v>69.44</v>
      </c>
    </row>
    <row r="17" spans="1:7">
      <c r="A17" s="2243" t="s">
        <v>8268</v>
      </c>
      <c r="B17" s="2247">
        <v>2</v>
      </c>
      <c r="C17" s="2251">
        <v>2</v>
      </c>
      <c r="D17" s="2246">
        <v>11.02</v>
      </c>
      <c r="E17" s="2246">
        <v>9.92</v>
      </c>
      <c r="F17" s="2246">
        <f t="shared" si="0"/>
        <v>19.84</v>
      </c>
      <c r="G17" s="2246">
        <f t="shared" si="1"/>
        <v>19.84</v>
      </c>
    </row>
    <row r="18" spans="1:7">
      <c r="A18" s="2243" t="s">
        <v>2161</v>
      </c>
      <c r="B18" s="2247">
        <v>53</v>
      </c>
      <c r="C18" s="2251">
        <v>47</v>
      </c>
      <c r="D18" s="2246">
        <v>0</v>
      </c>
      <c r="E18" s="2246">
        <v>0</v>
      </c>
      <c r="F18" s="2246">
        <f t="shared" si="0"/>
        <v>0</v>
      </c>
      <c r="G18" s="2246">
        <f t="shared" si="1"/>
        <v>0</v>
      </c>
    </row>
    <row r="19" spans="1:7">
      <c r="A19" s="2243" t="s">
        <v>2162</v>
      </c>
      <c r="B19" s="2250">
        <v>29</v>
      </c>
      <c r="C19" s="2251">
        <v>29</v>
      </c>
      <c r="D19" s="2246">
        <v>0</v>
      </c>
      <c r="E19" s="2246">
        <v>0</v>
      </c>
      <c r="F19" s="2246">
        <f t="shared" si="0"/>
        <v>0</v>
      </c>
      <c r="G19" s="2246">
        <f t="shared" si="1"/>
        <v>0</v>
      </c>
    </row>
    <row r="20" spans="1:7">
      <c r="A20" s="2243" t="s">
        <v>2163</v>
      </c>
      <c r="B20" s="2247">
        <v>1</v>
      </c>
      <c r="C20" s="2251">
        <v>1</v>
      </c>
      <c r="D20" s="2246">
        <v>0</v>
      </c>
      <c r="E20" s="2246">
        <v>0</v>
      </c>
      <c r="F20" s="2246">
        <f t="shared" si="0"/>
        <v>0</v>
      </c>
      <c r="G20" s="2246">
        <f t="shared" si="1"/>
        <v>0</v>
      </c>
    </row>
    <row r="21" spans="1:7">
      <c r="A21" s="2243" t="s">
        <v>2164</v>
      </c>
      <c r="B21" s="2247">
        <v>1</v>
      </c>
      <c r="C21" s="2251">
        <v>1</v>
      </c>
      <c r="D21" s="2246">
        <v>0</v>
      </c>
      <c r="E21" s="2246">
        <v>0</v>
      </c>
      <c r="F21" s="2246">
        <f t="shared" si="0"/>
        <v>0</v>
      </c>
      <c r="G21" s="2246">
        <f t="shared" si="1"/>
        <v>0</v>
      </c>
    </row>
    <row r="22" spans="1:7" ht="14.25" customHeight="1">
      <c r="A22" s="2243" t="s">
        <v>2165</v>
      </c>
      <c r="B22" s="2247">
        <v>7921</v>
      </c>
      <c r="C22" s="2251">
        <v>7922</v>
      </c>
      <c r="D22" s="2246">
        <v>0</v>
      </c>
      <c r="E22" s="2246">
        <v>0</v>
      </c>
      <c r="F22" s="2246">
        <f t="shared" si="0"/>
        <v>0</v>
      </c>
      <c r="G22" s="2246">
        <f t="shared" si="1"/>
        <v>0</v>
      </c>
    </row>
    <row r="23" spans="1:7" ht="16.5" customHeight="1">
      <c r="A23" s="2243" t="s">
        <v>2166</v>
      </c>
      <c r="B23" s="2252">
        <v>16</v>
      </c>
      <c r="C23" s="2251">
        <v>18</v>
      </c>
      <c r="D23" s="2246">
        <v>40</v>
      </c>
      <c r="E23" s="2246">
        <v>40</v>
      </c>
      <c r="F23" s="2246">
        <f t="shared" si="0"/>
        <v>720</v>
      </c>
      <c r="G23" s="2246">
        <f t="shared" si="1"/>
        <v>720</v>
      </c>
    </row>
    <row r="24" spans="1:7">
      <c r="A24" s="2243" t="s">
        <v>8269</v>
      </c>
      <c r="B24" s="2247">
        <v>32</v>
      </c>
      <c r="C24" s="2251">
        <v>33</v>
      </c>
      <c r="D24" s="2246">
        <v>11.02</v>
      </c>
      <c r="E24" s="2246">
        <v>9.92</v>
      </c>
      <c r="F24" s="2246">
        <f t="shared" si="0"/>
        <v>327.36</v>
      </c>
      <c r="G24" s="2246">
        <f t="shared" si="1"/>
        <v>327.36</v>
      </c>
    </row>
    <row r="25" spans="1:7">
      <c r="A25" s="2243" t="s">
        <v>8270</v>
      </c>
      <c r="B25" s="2247">
        <v>3244</v>
      </c>
      <c r="C25" s="2251" t="s">
        <v>1502</v>
      </c>
      <c r="D25" s="2246">
        <v>28.05</v>
      </c>
      <c r="E25" s="2246">
        <v>26.43</v>
      </c>
      <c r="F25" s="2246">
        <f t="shared" si="0"/>
        <v>85738.92</v>
      </c>
      <c r="G25" s="2246">
        <f t="shared" si="1"/>
        <v>85738.92</v>
      </c>
    </row>
    <row r="26" spans="1:7">
      <c r="A26" s="2243" t="s">
        <v>122</v>
      </c>
      <c r="B26" s="2247"/>
      <c r="C26" s="2251"/>
      <c r="D26" s="2246"/>
      <c r="E26" s="2246"/>
      <c r="F26" s="2246"/>
      <c r="G26" s="2246">
        <f>SUM(G3:G25)</f>
        <v>148627.93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8" tint="0.59999389629810485"/>
  </sheetPr>
  <dimension ref="A1:P18"/>
  <sheetViews>
    <sheetView tabSelected="1" showOutlineSymbols="0" workbookViewId="0"/>
  </sheetViews>
  <sheetFormatPr defaultRowHeight="14.4"/>
  <cols>
    <col min="3" max="14" width="11.5546875" bestFit="1" customWidth="1"/>
    <col min="16" max="16" width="12" style="46" customWidth="1"/>
  </cols>
  <sheetData>
    <row r="1" spans="1:16">
      <c r="C1" t="s">
        <v>9149</v>
      </c>
      <c r="D1" t="s">
        <v>9150</v>
      </c>
      <c r="E1" t="s">
        <v>9151</v>
      </c>
      <c r="F1" t="s">
        <v>9152</v>
      </c>
      <c r="G1" t="s">
        <v>9153</v>
      </c>
      <c r="H1" t="s">
        <v>9154</v>
      </c>
      <c r="I1" t="s">
        <v>9155</v>
      </c>
      <c r="J1" t="s">
        <v>9156</v>
      </c>
      <c r="K1" t="s">
        <v>9157</v>
      </c>
      <c r="L1" t="s">
        <v>9158</v>
      </c>
      <c r="M1" t="s">
        <v>9159</v>
      </c>
      <c r="N1" t="s">
        <v>9160</v>
      </c>
      <c r="P1" s="48" t="s">
        <v>122</v>
      </c>
    </row>
    <row r="2" spans="1:16">
      <c r="A2" t="s">
        <v>2167</v>
      </c>
    </row>
    <row r="3" spans="1:16">
      <c r="A3" t="s">
        <v>2168</v>
      </c>
      <c r="C3" s="29">
        <v>307</v>
      </c>
      <c r="D3" s="29">
        <v>307</v>
      </c>
      <c r="E3" s="29">
        <v>269</v>
      </c>
      <c r="F3" s="29">
        <v>269</v>
      </c>
      <c r="G3" s="29">
        <v>269</v>
      </c>
      <c r="H3" s="29">
        <v>269</v>
      </c>
      <c r="I3" s="29">
        <v>269</v>
      </c>
      <c r="J3" s="29">
        <v>269</v>
      </c>
      <c r="K3" s="29">
        <v>269</v>
      </c>
      <c r="L3" s="29">
        <v>269</v>
      </c>
      <c r="M3" s="29">
        <v>269</v>
      </c>
      <c r="N3" s="29">
        <v>269</v>
      </c>
      <c r="O3" s="29"/>
      <c r="P3" s="532">
        <v>3304</v>
      </c>
    </row>
    <row r="4" spans="1:16">
      <c r="A4" t="s">
        <v>1760</v>
      </c>
      <c r="C4" s="533">
        <v>657159.07309999992</v>
      </c>
      <c r="D4" s="533">
        <v>657159.07309999992</v>
      </c>
      <c r="E4" s="533">
        <v>575816.90769999987</v>
      </c>
      <c r="F4" s="533">
        <v>575816.90769999987</v>
      </c>
      <c r="G4" s="533">
        <v>575816.90769999987</v>
      </c>
      <c r="H4" s="533">
        <v>575816.90769999987</v>
      </c>
      <c r="I4" s="533">
        <v>575816.90769999987</v>
      </c>
      <c r="J4" s="533">
        <v>575816.90769999987</v>
      </c>
      <c r="K4" s="533">
        <v>575816.90769999987</v>
      </c>
      <c r="L4" s="533">
        <v>575816.90769999987</v>
      </c>
      <c r="M4" s="533">
        <v>575816.90769999987</v>
      </c>
      <c r="N4" s="533">
        <v>575816.90769999987</v>
      </c>
      <c r="O4" s="29"/>
      <c r="P4" s="532">
        <v>7072487.2232000008</v>
      </c>
    </row>
    <row r="5" spans="1:16">
      <c r="A5" t="s">
        <v>2169</v>
      </c>
      <c r="C5" s="533">
        <v>16424.5</v>
      </c>
      <c r="D5" s="533">
        <v>16424.5</v>
      </c>
      <c r="E5" s="533">
        <v>14391.5</v>
      </c>
      <c r="F5" s="533">
        <v>14391.5</v>
      </c>
      <c r="G5" s="533">
        <v>14391.5</v>
      </c>
      <c r="H5" s="533">
        <v>14391.5</v>
      </c>
      <c r="I5" s="533">
        <v>14391.5</v>
      </c>
      <c r="J5" s="533">
        <v>14391.5</v>
      </c>
      <c r="K5" s="533">
        <v>14391.5</v>
      </c>
      <c r="L5" s="533">
        <v>14391.5</v>
      </c>
      <c r="M5" s="533">
        <v>14391.5</v>
      </c>
      <c r="N5" s="533">
        <v>14391.5</v>
      </c>
      <c r="O5" s="29"/>
      <c r="P5" s="532">
        <v>176764</v>
      </c>
    </row>
    <row r="6" spans="1:16"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532"/>
    </row>
    <row r="7" spans="1:16">
      <c r="A7" t="s">
        <v>2170</v>
      </c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532"/>
    </row>
    <row r="8" spans="1:16">
      <c r="A8" t="s">
        <v>1760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532"/>
    </row>
    <row r="9" spans="1:16">
      <c r="A9" t="s">
        <v>2169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532"/>
    </row>
    <row r="10" spans="1:16"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532"/>
    </row>
    <row r="11" spans="1:16">
      <c r="A11" t="s">
        <v>2170</v>
      </c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532"/>
    </row>
    <row r="12" spans="1:16">
      <c r="A12" t="s">
        <v>1760</v>
      </c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532"/>
    </row>
    <row r="13" spans="1:16">
      <c r="A13" t="s">
        <v>2169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532"/>
    </row>
    <row r="14" spans="1:16"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532"/>
    </row>
    <row r="15" spans="1:16">
      <c r="A15" t="s">
        <v>2171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532"/>
    </row>
    <row r="16" spans="1:16">
      <c r="A16" t="s">
        <v>2168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532"/>
    </row>
    <row r="17" spans="1:16">
      <c r="A17" t="s">
        <v>1760</v>
      </c>
      <c r="C17" s="533"/>
      <c r="D17" s="533"/>
      <c r="E17" s="533"/>
      <c r="F17" s="533"/>
      <c r="G17" s="533"/>
      <c r="H17" s="29"/>
      <c r="I17" s="29"/>
      <c r="J17" s="29"/>
      <c r="K17" s="29"/>
      <c r="L17" s="533"/>
      <c r="M17" s="533"/>
      <c r="N17" s="533"/>
      <c r="O17" s="29"/>
      <c r="P17" s="532"/>
    </row>
    <row r="18" spans="1:16">
      <c r="A18" t="s">
        <v>2169</v>
      </c>
      <c r="C18" s="533"/>
      <c r="D18" s="533"/>
      <c r="E18" s="533"/>
      <c r="F18" s="533"/>
      <c r="G18" s="533"/>
      <c r="H18" s="29"/>
      <c r="I18" s="29"/>
      <c r="J18" s="29"/>
      <c r="K18" s="29"/>
      <c r="L18" s="533"/>
      <c r="M18" s="533"/>
      <c r="N18" s="533"/>
      <c r="O18" s="29"/>
      <c r="P18" s="532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8" tint="0.59999389629810485"/>
  </sheetPr>
  <dimension ref="B1:G59"/>
  <sheetViews>
    <sheetView tabSelected="1" showOutlineSymbols="0" workbookViewId="0"/>
  </sheetViews>
  <sheetFormatPr defaultRowHeight="14.4"/>
  <cols>
    <col min="2" max="2" width="16.88671875" bestFit="1" customWidth="1"/>
    <col min="3" max="3" width="24.88671875" bestFit="1" customWidth="1"/>
    <col min="4" max="4" width="23.6640625" customWidth="1"/>
    <col min="5" max="5" width="19" bestFit="1" customWidth="1"/>
    <col min="7" max="7" width="12.6640625" bestFit="1" customWidth="1"/>
  </cols>
  <sheetData>
    <row r="1" spans="2:7" ht="15" thickBot="1">
      <c r="B1" t="s">
        <v>3023</v>
      </c>
      <c r="C1" s="113" t="s">
        <v>2997</v>
      </c>
      <c r="D1" s="115" t="s">
        <v>3016</v>
      </c>
      <c r="E1" s="116" t="s">
        <v>3014</v>
      </c>
    </row>
    <row r="2" spans="2:7">
      <c r="B2" s="1962" t="s">
        <v>3017</v>
      </c>
      <c r="C2" s="2253" t="s">
        <v>2967</v>
      </c>
      <c r="D2" s="2254">
        <v>245</v>
      </c>
      <c r="E2" s="2255">
        <v>259</v>
      </c>
      <c r="G2" s="1962" t="s">
        <v>116</v>
      </c>
    </row>
    <row r="3" spans="2:7">
      <c r="B3" s="1962" t="s">
        <v>3017</v>
      </c>
      <c r="C3" s="2253" t="s">
        <v>2968</v>
      </c>
      <c r="D3" s="2254">
        <v>168</v>
      </c>
      <c r="E3" s="2255">
        <v>196</v>
      </c>
    </row>
    <row r="4" spans="2:7">
      <c r="B4" s="1962" t="s">
        <v>3017</v>
      </c>
      <c r="C4" s="2253" t="s">
        <v>2969</v>
      </c>
      <c r="D4" s="2254">
        <v>168</v>
      </c>
      <c r="E4" s="2255">
        <v>196</v>
      </c>
    </row>
    <row r="5" spans="2:7">
      <c r="B5" s="1962" t="s">
        <v>3017</v>
      </c>
      <c r="C5" s="2253" t="s">
        <v>2970</v>
      </c>
      <c r="D5" s="2254">
        <v>168</v>
      </c>
      <c r="E5" s="2255">
        <v>196</v>
      </c>
    </row>
    <row r="6" spans="2:7">
      <c r="B6" s="1962" t="s">
        <v>3017</v>
      </c>
      <c r="C6" s="2253" t="s">
        <v>2971</v>
      </c>
      <c r="D6" s="2254">
        <v>19</v>
      </c>
      <c r="E6" s="2255">
        <v>0</v>
      </c>
    </row>
    <row r="7" spans="2:7">
      <c r="B7" s="1962" t="s">
        <v>3018</v>
      </c>
      <c r="C7" s="2253" t="s">
        <v>2972</v>
      </c>
      <c r="D7" s="2254">
        <v>305</v>
      </c>
      <c r="E7" s="2255">
        <v>315</v>
      </c>
    </row>
    <row r="8" spans="2:7">
      <c r="B8" s="1962" t="s">
        <v>3018</v>
      </c>
      <c r="C8" s="2253" t="s">
        <v>2973</v>
      </c>
      <c r="D8" s="2254">
        <v>156</v>
      </c>
      <c r="E8" s="2255">
        <v>183</v>
      </c>
    </row>
    <row r="9" spans="2:7">
      <c r="B9" s="1962" t="s">
        <v>3018</v>
      </c>
      <c r="C9" s="2253" t="s">
        <v>2974</v>
      </c>
      <c r="D9" s="2254">
        <v>156</v>
      </c>
      <c r="E9" s="2255">
        <v>183</v>
      </c>
    </row>
    <row r="10" spans="2:7">
      <c r="B10" s="1962" t="s">
        <v>3018</v>
      </c>
      <c r="C10" s="2253" t="s">
        <v>2975</v>
      </c>
      <c r="D10" s="2254">
        <v>156</v>
      </c>
      <c r="E10" s="2255">
        <v>183</v>
      </c>
    </row>
    <row r="11" spans="2:7">
      <c r="B11" s="1962" t="s">
        <v>3018</v>
      </c>
      <c r="C11" s="2253" t="s">
        <v>2976</v>
      </c>
      <c r="D11" s="2254">
        <v>156</v>
      </c>
      <c r="E11" s="2255">
        <v>183</v>
      </c>
    </row>
    <row r="12" spans="2:7">
      <c r="B12" s="1962" t="s">
        <v>3018</v>
      </c>
      <c r="C12" s="2253" t="s">
        <v>2977</v>
      </c>
      <c r="D12" s="2254">
        <v>25</v>
      </c>
      <c r="E12" s="2255">
        <v>0</v>
      </c>
    </row>
    <row r="13" spans="2:7">
      <c r="B13" s="1962" t="s">
        <v>3019</v>
      </c>
      <c r="C13" s="2253" t="s">
        <v>2978</v>
      </c>
      <c r="D13" s="2254">
        <v>56</v>
      </c>
      <c r="E13" s="2255">
        <v>61</v>
      </c>
    </row>
    <row r="14" spans="2:7">
      <c r="B14" s="1962" t="s">
        <v>3020</v>
      </c>
      <c r="C14" s="2253" t="s">
        <v>2979</v>
      </c>
      <c r="D14" s="2254">
        <v>56</v>
      </c>
      <c r="E14" s="2255">
        <v>61</v>
      </c>
    </row>
    <row r="15" spans="2:7">
      <c r="B15" s="1962" t="s">
        <v>3021</v>
      </c>
      <c r="C15" s="2253" t="s">
        <v>2980</v>
      </c>
      <c r="D15" s="2254">
        <v>56</v>
      </c>
      <c r="E15" s="2255">
        <v>61</v>
      </c>
    </row>
    <row r="16" spans="2:7">
      <c r="B16" s="1962" t="s">
        <v>3022</v>
      </c>
      <c r="C16" s="2253" t="s">
        <v>2981</v>
      </c>
      <c r="D16" s="2254">
        <v>56</v>
      </c>
      <c r="E16" s="2255">
        <v>61</v>
      </c>
    </row>
    <row r="17" spans="2:5">
      <c r="B17" s="1962" t="s">
        <v>3024</v>
      </c>
      <c r="C17" s="2253" t="s">
        <v>3015</v>
      </c>
      <c r="D17" s="2254">
        <v>0</v>
      </c>
      <c r="E17" s="2255">
        <v>0</v>
      </c>
    </row>
    <row r="18" spans="2:5">
      <c r="B18" s="1962" t="s">
        <v>3025</v>
      </c>
      <c r="C18" s="2253" t="s">
        <v>2982</v>
      </c>
      <c r="D18" s="2254">
        <v>422</v>
      </c>
      <c r="E18" s="2255">
        <v>432</v>
      </c>
    </row>
    <row r="19" spans="2:5">
      <c r="B19" s="1962" t="s">
        <v>3025</v>
      </c>
      <c r="C19" s="2253" t="s">
        <v>2983</v>
      </c>
      <c r="D19" s="2254">
        <v>0</v>
      </c>
      <c r="E19" s="2255">
        <v>0</v>
      </c>
    </row>
    <row r="20" spans="2:5">
      <c r="B20" s="1962" t="s">
        <v>3030</v>
      </c>
      <c r="C20" s="2253" t="s">
        <v>2984</v>
      </c>
      <c r="D20" s="2254">
        <v>56</v>
      </c>
      <c r="E20" s="2255">
        <v>61</v>
      </c>
    </row>
    <row r="21" spans="2:5">
      <c r="B21" s="1962" t="s">
        <v>3031</v>
      </c>
      <c r="C21" s="2253" t="s">
        <v>2985</v>
      </c>
      <c r="D21" s="2254">
        <v>330</v>
      </c>
      <c r="E21" s="2255">
        <v>350</v>
      </c>
    </row>
    <row r="22" spans="2:5">
      <c r="B22" s="1962" t="s">
        <v>3032</v>
      </c>
      <c r="C22" s="2253" t="s">
        <v>2986</v>
      </c>
      <c r="D22" s="2254">
        <v>330</v>
      </c>
      <c r="E22" s="2255">
        <v>350</v>
      </c>
    </row>
    <row r="23" spans="2:5">
      <c r="B23" s="1962" t="s">
        <v>8271</v>
      </c>
      <c r="C23" s="2253" t="s">
        <v>8271</v>
      </c>
      <c r="D23" s="2254">
        <v>395</v>
      </c>
      <c r="E23" s="2255">
        <v>419</v>
      </c>
    </row>
    <row r="24" spans="2:5">
      <c r="B24" s="1962" t="s">
        <v>2682</v>
      </c>
      <c r="C24" s="2253" t="s">
        <v>2987</v>
      </c>
      <c r="D24" s="2254">
        <v>0</v>
      </c>
      <c r="E24" s="2255">
        <v>0</v>
      </c>
    </row>
    <row r="25" spans="2:5">
      <c r="B25" s="1962" t="s">
        <v>2682</v>
      </c>
      <c r="C25" s="2253" t="s">
        <v>2988</v>
      </c>
      <c r="D25" s="2254">
        <v>0</v>
      </c>
      <c r="E25" s="2255">
        <v>0</v>
      </c>
    </row>
    <row r="26" spans="2:5">
      <c r="B26" s="1962" t="s">
        <v>2682</v>
      </c>
      <c r="C26" s="2253" t="s">
        <v>2989</v>
      </c>
      <c r="D26" s="2254">
        <v>220</v>
      </c>
      <c r="E26" s="2255">
        <v>220</v>
      </c>
    </row>
    <row r="27" spans="2:5">
      <c r="B27" s="1962" t="s">
        <v>3033</v>
      </c>
      <c r="C27" s="2253" t="s">
        <v>2990</v>
      </c>
      <c r="D27" s="2254">
        <v>461</v>
      </c>
      <c r="E27" s="2255">
        <v>480</v>
      </c>
    </row>
    <row r="28" spans="2:5">
      <c r="B28" s="1962" t="s">
        <v>3026</v>
      </c>
      <c r="C28" s="2253" t="s">
        <v>2991</v>
      </c>
      <c r="D28" s="2254">
        <v>150</v>
      </c>
      <c r="E28" s="2255">
        <v>180</v>
      </c>
    </row>
    <row r="29" spans="2:5">
      <c r="B29" s="1962" t="s">
        <v>3026</v>
      </c>
      <c r="C29" s="2253" t="s">
        <v>2992</v>
      </c>
      <c r="D29" s="2254">
        <v>0</v>
      </c>
      <c r="E29" s="2255">
        <v>0</v>
      </c>
    </row>
    <row r="30" spans="2:5">
      <c r="B30" s="1962" t="s">
        <v>3027</v>
      </c>
      <c r="C30" s="2253" t="s">
        <v>2993</v>
      </c>
      <c r="D30" s="2254">
        <v>150</v>
      </c>
      <c r="E30" s="2255">
        <v>180</v>
      </c>
    </row>
    <row r="31" spans="2:5">
      <c r="B31" s="1962" t="s">
        <v>3027</v>
      </c>
      <c r="C31" s="2253" t="s">
        <v>2994</v>
      </c>
      <c r="D31" s="2254">
        <v>0</v>
      </c>
      <c r="E31" s="2255">
        <v>0</v>
      </c>
    </row>
    <row r="32" spans="2:5">
      <c r="B32" s="1962" t="s">
        <v>3028</v>
      </c>
      <c r="C32" s="2253" t="s">
        <v>2995</v>
      </c>
      <c r="D32" s="2254">
        <v>150</v>
      </c>
      <c r="E32" s="2255">
        <v>180</v>
      </c>
    </row>
    <row r="33" spans="2:5">
      <c r="B33" s="1962" t="s">
        <v>3029</v>
      </c>
      <c r="C33" s="2253" t="s">
        <v>2996</v>
      </c>
      <c r="D33" s="2254">
        <v>150</v>
      </c>
      <c r="E33" s="2255">
        <v>180</v>
      </c>
    </row>
    <row r="34" spans="2:5">
      <c r="B34" s="1962" t="s">
        <v>1833</v>
      </c>
      <c r="C34" s="2253" t="s">
        <v>2998</v>
      </c>
      <c r="D34" s="2256">
        <v>1.6</v>
      </c>
      <c r="E34" s="2257">
        <v>1.6</v>
      </c>
    </row>
    <row r="35" spans="2:5">
      <c r="B35" s="1962" t="s">
        <v>1833</v>
      </c>
      <c r="C35" s="2253" t="s">
        <v>2999</v>
      </c>
      <c r="D35" s="2256">
        <v>1.4</v>
      </c>
      <c r="E35" s="2257">
        <v>1.4</v>
      </c>
    </row>
    <row r="36" spans="2:5">
      <c r="B36" s="1962" t="s">
        <v>1833</v>
      </c>
      <c r="C36" s="2253" t="s">
        <v>3000</v>
      </c>
      <c r="D36" s="2256">
        <v>19.7</v>
      </c>
      <c r="E36" s="2257">
        <v>19.7</v>
      </c>
    </row>
    <row r="37" spans="2:5">
      <c r="B37" s="1962" t="s">
        <v>1833</v>
      </c>
      <c r="C37" s="2253" t="s">
        <v>3001</v>
      </c>
      <c r="D37" s="2256">
        <v>74.2</v>
      </c>
      <c r="E37" s="2257">
        <v>74.2</v>
      </c>
    </row>
    <row r="38" spans="2:5">
      <c r="B38" s="1962" t="s">
        <v>1833</v>
      </c>
      <c r="C38" s="2253" t="s">
        <v>3002</v>
      </c>
      <c r="D38" s="2256">
        <v>70.099999999999994</v>
      </c>
      <c r="E38" s="2257">
        <v>70.099999999999994</v>
      </c>
    </row>
    <row r="39" spans="2:5">
      <c r="B39" s="1962" t="s">
        <v>1833</v>
      </c>
      <c r="C39" s="2253" t="s">
        <v>3003</v>
      </c>
      <c r="D39" s="2256">
        <v>74.3</v>
      </c>
      <c r="E39" s="2257">
        <v>74.3</v>
      </c>
    </row>
    <row r="40" spans="2:5">
      <c r="B40" s="1962" t="s">
        <v>1833</v>
      </c>
      <c r="C40" s="2253" t="s">
        <v>3004</v>
      </c>
      <c r="D40" s="2256">
        <v>60.9</v>
      </c>
      <c r="E40" s="2257">
        <v>60.9</v>
      </c>
    </row>
    <row r="41" spans="2:5">
      <c r="B41" s="1962" t="s">
        <v>1833</v>
      </c>
      <c r="C41" s="2253" t="s">
        <v>3005</v>
      </c>
      <c r="D41" s="2256">
        <v>55.199999999999996</v>
      </c>
      <c r="E41" s="2257">
        <v>55.199999999999996</v>
      </c>
    </row>
    <row r="42" spans="2:5">
      <c r="B42" s="1962" t="s">
        <v>1833</v>
      </c>
      <c r="C42" s="2253" t="s">
        <v>3006</v>
      </c>
      <c r="D42" s="2256">
        <v>37.4</v>
      </c>
      <c r="E42" s="2257">
        <v>37.4</v>
      </c>
    </row>
    <row r="43" spans="2:5">
      <c r="B43" s="1962" t="s">
        <v>1833</v>
      </c>
      <c r="C43" s="2253" t="s">
        <v>3007</v>
      </c>
      <c r="D43" s="2256">
        <v>49.3</v>
      </c>
      <c r="E43" s="2257">
        <v>49.3</v>
      </c>
    </row>
    <row r="44" spans="2:5">
      <c r="B44" s="1962" t="s">
        <v>1833</v>
      </c>
      <c r="C44" s="2253" t="s">
        <v>3034</v>
      </c>
      <c r="D44" s="2256">
        <v>74.3</v>
      </c>
      <c r="E44" s="2257">
        <v>74.3</v>
      </c>
    </row>
    <row r="45" spans="2:5">
      <c r="B45" s="1962" t="s">
        <v>1833</v>
      </c>
      <c r="C45" s="2253" t="s">
        <v>3008</v>
      </c>
      <c r="D45" s="2256">
        <v>74.7</v>
      </c>
      <c r="E45" s="2257">
        <v>74.7</v>
      </c>
    </row>
    <row r="46" spans="2:5">
      <c r="B46" s="1962" t="s">
        <v>1833</v>
      </c>
      <c r="C46" s="2253" t="s">
        <v>3009</v>
      </c>
      <c r="D46" s="2256">
        <v>59.8</v>
      </c>
      <c r="E46" s="2257">
        <v>59.8</v>
      </c>
    </row>
    <row r="47" spans="2:5">
      <c r="B47" s="1962" t="s">
        <v>1833</v>
      </c>
      <c r="C47" s="2253" t="s">
        <v>3010</v>
      </c>
      <c r="D47" s="2256">
        <v>74.3</v>
      </c>
      <c r="E47" s="2257">
        <v>74.3</v>
      </c>
    </row>
    <row r="48" spans="2:5">
      <c r="B48" s="1962" t="s">
        <v>1833</v>
      </c>
      <c r="C48" s="2253" t="s">
        <v>3011</v>
      </c>
      <c r="D48" s="2256">
        <v>31.4</v>
      </c>
      <c r="E48" s="2257">
        <v>31.4</v>
      </c>
    </row>
    <row r="49" spans="2:5">
      <c r="B49" s="1962" t="s">
        <v>1833</v>
      </c>
      <c r="C49" s="2253" t="s">
        <v>3012</v>
      </c>
      <c r="D49" s="2256">
        <v>54.4</v>
      </c>
      <c r="E49" s="2257">
        <v>54.4</v>
      </c>
    </row>
    <row r="50" spans="2:5">
      <c r="B50" s="1962" t="s">
        <v>1833</v>
      </c>
      <c r="C50" s="2253" t="s">
        <v>3013</v>
      </c>
      <c r="D50" s="2256">
        <v>74.3</v>
      </c>
      <c r="E50" s="2257">
        <v>74.3</v>
      </c>
    </row>
    <row r="51" spans="2:5">
      <c r="B51" s="1962" t="s">
        <v>1833</v>
      </c>
      <c r="C51" s="2253" t="s">
        <v>3036</v>
      </c>
      <c r="D51" s="2256">
        <v>61</v>
      </c>
      <c r="E51" s="2257">
        <v>61</v>
      </c>
    </row>
    <row r="52" spans="2:5">
      <c r="B52" s="1962" t="s">
        <v>1833</v>
      </c>
      <c r="C52" s="2253" t="s">
        <v>3035</v>
      </c>
      <c r="D52" s="2256">
        <v>55</v>
      </c>
      <c r="E52" s="2257">
        <v>55</v>
      </c>
    </row>
    <row r="53" spans="2:5">
      <c r="B53" s="1962" t="s">
        <v>1833</v>
      </c>
      <c r="C53" s="2253" t="s">
        <v>3037</v>
      </c>
      <c r="D53" s="2256">
        <v>14.2</v>
      </c>
      <c r="E53" s="2257">
        <v>14.2</v>
      </c>
    </row>
    <row r="54" spans="2:5">
      <c r="B54" s="1962" t="s">
        <v>1833</v>
      </c>
      <c r="C54" s="2253" t="s">
        <v>8272</v>
      </c>
      <c r="D54" s="2256">
        <v>69.8</v>
      </c>
      <c r="E54" s="2257">
        <v>69.8</v>
      </c>
    </row>
    <row r="55" spans="2:5">
      <c r="B55" s="1962" t="s">
        <v>1833</v>
      </c>
      <c r="C55" s="2253" t="s">
        <v>9017</v>
      </c>
      <c r="D55" s="2256">
        <v>60</v>
      </c>
      <c r="E55" s="2256">
        <v>60</v>
      </c>
    </row>
    <row r="56" spans="2:5">
      <c r="B56" s="1962" t="s">
        <v>1833</v>
      </c>
      <c r="C56" s="2253" t="s">
        <v>9016</v>
      </c>
      <c r="D56" s="2256">
        <v>74.5</v>
      </c>
      <c r="E56" s="2256">
        <v>74.5</v>
      </c>
    </row>
    <row r="57" spans="2:5">
      <c r="B57" s="1962" t="s">
        <v>1833</v>
      </c>
      <c r="C57" s="2253" t="s">
        <v>9015</v>
      </c>
      <c r="D57" s="2256">
        <v>25</v>
      </c>
      <c r="E57" s="2256">
        <v>25</v>
      </c>
    </row>
    <row r="58" spans="2:5">
      <c r="B58" s="1962" t="s">
        <v>1833</v>
      </c>
      <c r="C58" s="2253" t="s">
        <v>9018</v>
      </c>
      <c r="D58" s="2256">
        <v>0.9</v>
      </c>
      <c r="E58" s="2256">
        <v>0.9</v>
      </c>
    </row>
    <row r="59" spans="2:5">
      <c r="B59" s="1962" t="s">
        <v>1833</v>
      </c>
      <c r="C59" s="2253" t="s">
        <v>9019</v>
      </c>
      <c r="D59" s="2256">
        <v>0.9</v>
      </c>
      <c r="E59" s="2256">
        <v>0.9</v>
      </c>
    </row>
  </sheetData>
  <phoneticPr fontId="13" type="noConversion"/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8" tint="0.59999389629810485"/>
  </sheetPr>
  <dimension ref="A1:J21"/>
  <sheetViews>
    <sheetView tabSelected="1" showOutlineSymbols="0" workbookViewId="0"/>
  </sheetViews>
  <sheetFormatPr defaultRowHeight="14.4"/>
  <cols>
    <col min="2" max="2" width="40.88671875" bestFit="1" customWidth="1"/>
    <col min="6" max="6" width="17.5546875" bestFit="1" customWidth="1"/>
    <col min="8" max="8" width="17.5546875" bestFit="1" customWidth="1"/>
    <col min="10" max="10" width="12.6640625" bestFit="1" customWidth="1"/>
  </cols>
  <sheetData>
    <row r="1" spans="1:10">
      <c r="A1" s="328"/>
    </row>
    <row r="2" spans="1:10" ht="15.6">
      <c r="B2" s="474" t="s">
        <v>2402</v>
      </c>
      <c r="C2" s="474"/>
      <c r="D2" s="474"/>
      <c r="E2" s="474"/>
      <c r="F2" s="476" t="s">
        <v>2403</v>
      </c>
      <c r="G2" s="474"/>
      <c r="H2" s="476" t="s">
        <v>2404</v>
      </c>
    </row>
    <row r="3" spans="1:10" ht="15.6">
      <c r="B3" s="499"/>
      <c r="C3" s="474"/>
      <c r="D3" s="474"/>
      <c r="E3" s="474"/>
      <c r="F3" s="477" t="s">
        <v>2332</v>
      </c>
      <c r="G3" s="474"/>
      <c r="H3" s="477" t="s">
        <v>2332</v>
      </c>
    </row>
    <row r="4" spans="1:10" ht="15.6">
      <c r="B4" s="474" t="s">
        <v>2405</v>
      </c>
      <c r="C4" s="474"/>
      <c r="D4" s="474"/>
      <c r="E4" s="492" t="s">
        <v>2334</v>
      </c>
      <c r="F4" s="491">
        <v>-262359646</v>
      </c>
      <c r="G4" s="492" t="s">
        <v>2334</v>
      </c>
      <c r="H4" s="491">
        <v>-262359646</v>
      </c>
      <c r="J4" s="29" t="s">
        <v>116</v>
      </c>
    </row>
    <row r="5" spans="1:10" ht="15.6">
      <c r="B5" s="474" t="s">
        <v>2406</v>
      </c>
      <c r="C5" s="474"/>
      <c r="D5" s="474"/>
      <c r="E5" s="491"/>
      <c r="F5" s="491">
        <v>114523153</v>
      </c>
      <c r="G5" s="491"/>
      <c r="H5" s="491">
        <v>114523153</v>
      </c>
    </row>
    <row r="6" spans="1:10" ht="15.6">
      <c r="B6" s="474" t="s">
        <v>2407</v>
      </c>
      <c r="C6" s="328"/>
      <c r="D6" s="328"/>
      <c r="E6" s="29"/>
      <c r="F6" s="491">
        <v>-673695497</v>
      </c>
      <c r="G6" s="29"/>
      <c r="H6" s="491">
        <v>-673695497</v>
      </c>
    </row>
    <row r="7" spans="1:10" ht="15.6">
      <c r="B7" s="474" t="s">
        <v>2408</v>
      </c>
      <c r="C7" s="328"/>
      <c r="D7" s="328"/>
      <c r="E7" s="29"/>
      <c r="F7" s="491">
        <v>21116910</v>
      </c>
      <c r="G7" s="29"/>
      <c r="H7" s="491">
        <v>21116910</v>
      </c>
    </row>
    <row r="8" spans="1:10" ht="15.6">
      <c r="B8" s="474" t="s">
        <v>2409</v>
      </c>
      <c r="C8" s="328"/>
      <c r="D8" s="328"/>
      <c r="E8" s="29"/>
      <c r="F8" s="491">
        <v>-4188533</v>
      </c>
      <c r="G8" s="29"/>
      <c r="H8" s="491">
        <v>-4188533</v>
      </c>
    </row>
    <row r="9" spans="1:10" ht="15.6">
      <c r="B9" s="474" t="s">
        <v>2410</v>
      </c>
      <c r="C9" s="328"/>
      <c r="D9" s="328"/>
      <c r="E9" s="29"/>
      <c r="F9" s="491">
        <v>3412090</v>
      </c>
      <c r="G9" s="29"/>
      <c r="H9" s="491">
        <v>3412090</v>
      </c>
    </row>
    <row r="10" spans="1:10" ht="15.6">
      <c r="B10" s="474" t="s">
        <v>2342</v>
      </c>
      <c r="C10" s="328"/>
      <c r="D10" s="328"/>
      <c r="E10" s="29"/>
      <c r="F10" s="491">
        <v>-1050507012.4984618</v>
      </c>
      <c r="G10" s="29"/>
      <c r="H10" s="491">
        <v>-1050507012</v>
      </c>
    </row>
    <row r="11" spans="1:10" ht="15.6">
      <c r="B11" s="474" t="s">
        <v>2343</v>
      </c>
      <c r="C11" s="328"/>
      <c r="D11" s="328"/>
      <c r="E11" s="29"/>
      <c r="F11" s="491">
        <v>231613925.41230768</v>
      </c>
      <c r="G11" s="29"/>
      <c r="H11" s="491">
        <v>231613925.41230768</v>
      </c>
    </row>
    <row r="12" spans="1:10" ht="15.6">
      <c r="B12" s="474" t="s">
        <v>2411</v>
      </c>
      <c r="C12" s="328"/>
      <c r="D12" s="328"/>
      <c r="E12" s="29"/>
      <c r="F12" s="491">
        <v>0</v>
      </c>
      <c r="G12" s="29"/>
      <c r="H12" s="491">
        <v>0</v>
      </c>
    </row>
    <row r="13" spans="1:10" ht="15.6">
      <c r="B13" s="474" t="s">
        <v>2412</v>
      </c>
      <c r="C13" s="328"/>
      <c r="D13" s="328"/>
      <c r="E13" s="29"/>
      <c r="F13" s="491">
        <v>0</v>
      </c>
      <c r="G13" s="29"/>
      <c r="H13" s="491">
        <v>0</v>
      </c>
    </row>
    <row r="14" spans="1:10" ht="15.6">
      <c r="B14" s="474" t="s">
        <v>2413</v>
      </c>
      <c r="C14" s="328"/>
      <c r="D14" s="328"/>
      <c r="E14" s="29"/>
      <c r="F14" s="491">
        <v>-7484822.5899999999</v>
      </c>
      <c r="G14" s="29"/>
      <c r="H14" s="491">
        <v>-7484822.5899999999</v>
      </c>
    </row>
    <row r="15" spans="1:10" ht="15.6">
      <c r="B15" s="474" t="s">
        <v>2414</v>
      </c>
      <c r="C15" s="328"/>
      <c r="D15" s="328"/>
      <c r="E15" s="29"/>
      <c r="F15" s="491">
        <v>7001719.5899999999</v>
      </c>
      <c r="G15" s="29"/>
      <c r="H15" s="491">
        <v>7001719.5899999999</v>
      </c>
    </row>
    <row r="16" spans="1:10" ht="15.6">
      <c r="B16" s="474" t="s">
        <v>2347</v>
      </c>
      <c r="C16" s="328"/>
      <c r="D16" s="328"/>
      <c r="E16" s="29"/>
      <c r="F16" s="491">
        <v>-31496686.775198422</v>
      </c>
      <c r="G16" s="29"/>
      <c r="H16" s="491">
        <v>-31496686.775198422</v>
      </c>
    </row>
    <row r="17" spans="2:8" ht="15.6">
      <c r="B17" s="474"/>
      <c r="C17" s="328"/>
      <c r="D17" s="328"/>
      <c r="E17" s="29"/>
      <c r="F17" s="491"/>
      <c r="G17" s="29"/>
      <c r="H17" s="491"/>
    </row>
    <row r="18" spans="2:8" ht="15.6">
      <c r="B18" s="474"/>
      <c r="C18" s="328"/>
      <c r="D18" s="328"/>
      <c r="E18" s="29"/>
      <c r="F18" s="491"/>
      <c r="G18" s="29"/>
      <c r="H18" s="491"/>
    </row>
    <row r="19" spans="2:8" ht="15.6">
      <c r="B19" s="474"/>
      <c r="C19" s="328"/>
      <c r="D19" s="328"/>
      <c r="E19" s="29"/>
      <c r="F19" s="494" t="s">
        <v>2332</v>
      </c>
      <c r="G19" s="491"/>
      <c r="H19" s="494" t="s">
        <v>2332</v>
      </c>
    </row>
    <row r="20" spans="2:8" ht="15.6">
      <c r="B20" s="474" t="s">
        <v>2415</v>
      </c>
      <c r="C20" s="474"/>
      <c r="D20" s="474"/>
      <c r="E20" s="492"/>
      <c r="F20" s="491">
        <v>-1652064399.8613524</v>
      </c>
      <c r="G20" s="492" t="s">
        <v>2334</v>
      </c>
      <c r="H20" s="491">
        <v>-1652064399.3628907</v>
      </c>
    </row>
    <row r="21" spans="2:8">
      <c r="F21" t="s">
        <v>2336</v>
      </c>
      <c r="H21" t="s">
        <v>2336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8" tint="0.59999389629810485"/>
  </sheetPr>
  <dimension ref="A1:Z57"/>
  <sheetViews>
    <sheetView tabSelected="1" showOutlineSymbols="0" workbookViewId="0"/>
  </sheetViews>
  <sheetFormatPr defaultColWidth="9.109375" defaultRowHeight="14.4"/>
  <cols>
    <col min="1" max="1" width="13.33203125" style="328" customWidth="1"/>
    <col min="2" max="2" width="40.44140625" style="328" bestFit="1" customWidth="1"/>
    <col min="3" max="7" width="14.33203125" style="328" customWidth="1"/>
    <col min="8" max="8" width="14.6640625" style="328" bestFit="1" customWidth="1"/>
    <col min="9" max="9" width="9.109375" style="328"/>
    <col min="10" max="10" width="16.5546875" style="328" bestFit="1" customWidth="1"/>
    <col min="11" max="11" width="18" style="328" bestFit="1" customWidth="1"/>
    <col min="12" max="12" width="5.88671875" style="328" customWidth="1"/>
    <col min="13" max="13" width="16.6640625" style="328" bestFit="1" customWidth="1"/>
    <col min="14" max="14" width="14.6640625" style="328" bestFit="1" customWidth="1"/>
    <col min="15" max="15" width="13.5546875" style="328" bestFit="1" customWidth="1"/>
    <col min="16" max="16" width="7.88671875" style="328" customWidth="1"/>
    <col min="17" max="19" width="9.109375" style="328"/>
    <col min="20" max="20" width="14.109375" style="328" bestFit="1" customWidth="1"/>
    <col min="21" max="21" width="11.88671875" style="328" bestFit="1" customWidth="1"/>
    <col min="22" max="22" width="13.109375" style="328" customWidth="1"/>
    <col min="23" max="23" width="12.88671875" style="328" bestFit="1" customWidth="1"/>
    <col min="24" max="24" width="13.6640625" style="328" bestFit="1" customWidth="1"/>
    <col min="25" max="25" width="11.109375" style="328" bestFit="1" customWidth="1"/>
    <col min="26" max="26" width="13.5546875" style="328" bestFit="1" customWidth="1"/>
    <col min="27" max="16384" width="9.109375" style="328"/>
  </cols>
  <sheetData>
    <row r="1" spans="1:24" ht="15.6">
      <c r="A1" s="650" t="s">
        <v>2173</v>
      </c>
      <c r="C1" s="62"/>
    </row>
    <row r="2" spans="1:24" ht="15.6">
      <c r="A2" s="2258" t="s">
        <v>3196</v>
      </c>
      <c r="C2" s="62"/>
    </row>
    <row r="3" spans="1:24" ht="15.6">
      <c r="A3" s="2259" t="s">
        <v>9433</v>
      </c>
      <c r="B3" s="1962"/>
      <c r="C3" s="62"/>
    </row>
    <row r="4" spans="1:24">
      <c r="A4" s="96"/>
      <c r="C4" s="62"/>
      <c r="D4" s="1962" t="s">
        <v>116</v>
      </c>
    </row>
    <row r="5" spans="1:24">
      <c r="A5" s="96"/>
      <c r="C5" s="62"/>
    </row>
    <row r="6" spans="1:24">
      <c r="A6" s="96"/>
      <c r="C6" s="62"/>
    </row>
    <row r="7" spans="1:24">
      <c r="A7" s="2260" t="s">
        <v>1829</v>
      </c>
      <c r="B7" s="1962"/>
      <c r="C7" s="1968" t="s">
        <v>3175</v>
      </c>
      <c r="D7" s="1968" t="s">
        <v>3176</v>
      </c>
      <c r="E7" s="1968" t="s">
        <v>3177</v>
      </c>
      <c r="F7" s="1962"/>
      <c r="G7" s="1968" t="s">
        <v>1546</v>
      </c>
      <c r="H7" s="1968" t="s">
        <v>3118</v>
      </c>
      <c r="I7" s="1962"/>
      <c r="J7" s="1962"/>
      <c r="K7" s="1962"/>
      <c r="L7" s="1962"/>
      <c r="M7" s="1962"/>
      <c r="N7" s="1962"/>
      <c r="O7" s="1962"/>
      <c r="P7" s="2261"/>
      <c r="Q7" s="1962"/>
      <c r="R7" s="1962"/>
      <c r="S7" s="1962"/>
      <c r="T7" s="2262"/>
      <c r="U7" s="1962"/>
      <c r="V7" s="1962"/>
      <c r="W7" s="1962"/>
      <c r="X7" s="1962"/>
    </row>
    <row r="8" spans="1:24">
      <c r="A8" s="2263" t="s">
        <v>3197</v>
      </c>
      <c r="B8" s="2264" t="s">
        <v>1918</v>
      </c>
      <c r="C8" s="2263" t="s">
        <v>2182</v>
      </c>
      <c r="D8" s="2263" t="s">
        <v>2182</v>
      </c>
      <c r="E8" s="2263" t="s">
        <v>2182</v>
      </c>
      <c r="F8" s="2263" t="s">
        <v>3121</v>
      </c>
      <c r="G8" s="2263" t="s">
        <v>115</v>
      </c>
      <c r="H8" s="2263" t="s">
        <v>3198</v>
      </c>
      <c r="I8" s="1962"/>
      <c r="J8" s="2263"/>
      <c r="K8" s="2265"/>
      <c r="L8" s="1962"/>
      <c r="M8" s="2263"/>
      <c r="N8" s="2265"/>
      <c r="O8" s="1962"/>
      <c r="P8" s="2263"/>
      <c r="Q8" s="2263"/>
      <c r="R8" s="2263"/>
      <c r="S8" s="2266"/>
      <c r="T8" s="2263"/>
      <c r="U8" s="2263"/>
      <c r="V8" s="2263"/>
      <c r="W8" s="2267"/>
      <c r="X8" s="2268"/>
    </row>
    <row r="9" spans="1:24">
      <c r="A9" s="2269">
        <v>35000</v>
      </c>
      <c r="B9" s="2270" t="s">
        <v>3180</v>
      </c>
      <c r="C9" s="2122">
        <v>318887</v>
      </c>
      <c r="D9" s="2122">
        <v>117468</v>
      </c>
      <c r="E9" s="2122">
        <v>9767256</v>
      </c>
      <c r="F9" s="2122">
        <v>7596388</v>
      </c>
      <c r="G9" s="2271">
        <v>17799999</v>
      </c>
      <c r="H9" s="2122">
        <v>17799999</v>
      </c>
      <c r="I9" s="2262"/>
      <c r="J9" s="2122"/>
      <c r="K9" s="2272"/>
      <c r="L9" s="2272"/>
      <c r="M9" s="2272"/>
      <c r="N9" s="2272"/>
      <c r="O9" s="1962"/>
      <c r="P9" s="2273"/>
      <c r="Q9" s="2273"/>
      <c r="R9" s="2273"/>
      <c r="S9" s="2274"/>
      <c r="T9" s="1962"/>
      <c r="U9" s="1962"/>
      <c r="V9" s="1962"/>
      <c r="W9" s="1962"/>
      <c r="X9" s="2275"/>
    </row>
    <row r="10" spans="1:24">
      <c r="A10" s="2269">
        <v>35001</v>
      </c>
      <c r="B10" s="2270" t="s">
        <v>3181</v>
      </c>
      <c r="C10" s="2122">
        <v>3968516</v>
      </c>
      <c r="D10" s="2122">
        <v>879872</v>
      </c>
      <c r="E10" s="2122">
        <v>6535742</v>
      </c>
      <c r="F10" s="2122">
        <v>778125</v>
      </c>
      <c r="G10" s="2271">
        <v>12162254</v>
      </c>
      <c r="H10" s="2122">
        <v>12162254</v>
      </c>
      <c r="I10" s="2262"/>
      <c r="J10" s="2122"/>
      <c r="K10" s="2272"/>
      <c r="L10" s="2272"/>
      <c r="M10" s="2272"/>
      <c r="N10" s="2272"/>
      <c r="O10" s="1962"/>
      <c r="P10" s="2273"/>
      <c r="Q10" s="2273"/>
      <c r="R10" s="2273"/>
      <c r="S10" s="2274"/>
      <c r="T10" s="2272"/>
      <c r="U10" s="2272"/>
      <c r="V10" s="2272"/>
      <c r="W10" s="2272"/>
      <c r="X10" s="2275"/>
    </row>
    <row r="11" spans="1:24">
      <c r="A11" s="2269">
        <v>35200</v>
      </c>
      <c r="B11" s="2270" t="s">
        <v>2533</v>
      </c>
      <c r="C11" s="2122" t="s">
        <v>9257</v>
      </c>
      <c r="D11" s="2122" t="s">
        <v>9257</v>
      </c>
      <c r="E11" s="2122" t="s">
        <v>9257</v>
      </c>
      <c r="F11" s="2122">
        <v>76277380</v>
      </c>
      <c r="G11" s="2271">
        <v>76277380</v>
      </c>
      <c r="H11" s="2122">
        <v>76277380</v>
      </c>
      <c r="I11" s="2262"/>
      <c r="J11" s="2122"/>
      <c r="K11" s="2272"/>
      <c r="L11" s="2272"/>
      <c r="M11" s="2272"/>
      <c r="N11" s="2272"/>
      <c r="O11" s="1962"/>
      <c r="P11" s="2273"/>
      <c r="Q11" s="2273"/>
      <c r="R11" s="2273"/>
      <c r="S11" s="2274"/>
      <c r="T11" s="2272"/>
      <c r="U11" s="2272"/>
      <c r="V11" s="2272"/>
      <c r="W11" s="2272"/>
      <c r="X11" s="2275"/>
    </row>
    <row r="12" spans="1:24">
      <c r="A12" s="2269">
        <v>35300</v>
      </c>
      <c r="B12" s="1973" t="s">
        <v>2534</v>
      </c>
      <c r="C12" s="2122">
        <v>44493</v>
      </c>
      <c r="D12" s="2122" t="s">
        <v>9257</v>
      </c>
      <c r="E12" s="2122" t="s">
        <v>9257</v>
      </c>
      <c r="F12" s="2122">
        <v>480484597</v>
      </c>
      <c r="G12" s="2271">
        <v>480529090</v>
      </c>
      <c r="H12" s="2122">
        <v>458449851</v>
      </c>
      <c r="I12" s="2262"/>
      <c r="J12" s="2122"/>
      <c r="K12" s="2272"/>
      <c r="L12" s="2272"/>
      <c r="M12" s="2272"/>
      <c r="N12" s="2272"/>
      <c r="O12" s="1962"/>
      <c r="P12" s="2273"/>
      <c r="Q12" s="2273"/>
      <c r="R12" s="2273"/>
      <c r="S12" s="2274"/>
      <c r="T12" s="2272"/>
      <c r="U12" s="2272"/>
      <c r="V12" s="2272"/>
      <c r="W12" s="2276"/>
      <c r="X12" s="2275"/>
    </row>
    <row r="13" spans="1:24">
      <c r="A13" s="2269">
        <v>35400</v>
      </c>
      <c r="B13" s="2270" t="s">
        <v>2535</v>
      </c>
      <c r="C13" s="2122">
        <v>96057</v>
      </c>
      <c r="D13" s="2122">
        <v>1324467</v>
      </c>
      <c r="E13" s="2122">
        <v>3671536</v>
      </c>
      <c r="F13" s="2122" t="s">
        <v>9257</v>
      </c>
      <c r="G13" s="2271">
        <v>5092061</v>
      </c>
      <c r="H13" s="2122">
        <v>5092061</v>
      </c>
      <c r="I13" s="2262"/>
      <c r="J13" s="2122"/>
      <c r="K13" s="2272"/>
      <c r="L13" s="2272"/>
      <c r="M13" s="2272"/>
      <c r="N13" s="2272"/>
      <c r="O13" s="1962"/>
      <c r="P13" s="2273"/>
      <c r="Q13" s="2273"/>
      <c r="R13" s="2273"/>
      <c r="S13" s="2274"/>
      <c r="T13" s="2272"/>
      <c r="U13" s="2272"/>
      <c r="V13" s="2272"/>
      <c r="W13" s="2272"/>
      <c r="X13" s="2275"/>
    </row>
    <row r="14" spans="1:24">
      <c r="A14" s="2269">
        <v>35500</v>
      </c>
      <c r="B14" s="2270" t="s">
        <v>2536</v>
      </c>
      <c r="C14" s="2122">
        <v>286627529</v>
      </c>
      <c r="D14" s="2122">
        <v>14895206</v>
      </c>
      <c r="E14" s="2122">
        <v>293408925</v>
      </c>
      <c r="F14" s="2122">
        <v>-249011</v>
      </c>
      <c r="G14" s="2271">
        <v>594682650</v>
      </c>
      <c r="H14" s="2122">
        <v>534134813</v>
      </c>
      <c r="I14" s="2262"/>
      <c r="J14" s="2122"/>
      <c r="K14" s="2272"/>
      <c r="L14" s="2272"/>
      <c r="M14" s="2272"/>
      <c r="N14" s="2272"/>
      <c r="O14" s="1962"/>
      <c r="P14" s="2273"/>
      <c r="Q14" s="2273"/>
      <c r="R14" s="2273"/>
      <c r="S14" s="2274"/>
      <c r="T14" s="2276"/>
      <c r="U14" s="2276"/>
      <c r="V14" s="2276"/>
      <c r="W14" s="2276"/>
      <c r="X14" s="2275"/>
    </row>
    <row r="15" spans="1:24">
      <c r="A15" s="2269">
        <v>35600</v>
      </c>
      <c r="B15" s="2270" t="s">
        <v>2537</v>
      </c>
      <c r="C15" s="2122">
        <v>104334442</v>
      </c>
      <c r="D15" s="2122">
        <v>6373259</v>
      </c>
      <c r="E15" s="2122">
        <v>92412299</v>
      </c>
      <c r="F15" s="2122">
        <v>162849</v>
      </c>
      <c r="G15" s="2271">
        <v>203282848</v>
      </c>
      <c r="H15" s="2122">
        <v>191363148</v>
      </c>
      <c r="I15" s="2262"/>
      <c r="J15" s="2122"/>
      <c r="K15" s="2272"/>
      <c r="L15" s="2272"/>
      <c r="M15" s="2272"/>
      <c r="N15" s="2272"/>
      <c r="O15" s="1962"/>
      <c r="P15" s="2273"/>
      <c r="Q15" s="2273"/>
      <c r="R15" s="2273"/>
      <c r="S15" s="2274"/>
      <c r="T15" s="2276"/>
      <c r="U15" s="2276"/>
      <c r="V15" s="2276"/>
      <c r="W15" s="2276"/>
      <c r="X15" s="2275"/>
    </row>
    <row r="16" spans="1:24">
      <c r="A16" s="2269">
        <v>35601</v>
      </c>
      <c r="B16" s="2270" t="s">
        <v>2538</v>
      </c>
      <c r="C16" s="2122">
        <v>408388</v>
      </c>
      <c r="D16" s="2122">
        <v>102636</v>
      </c>
      <c r="E16" s="2122">
        <v>1599587</v>
      </c>
      <c r="F16" s="2122" t="s">
        <v>9257</v>
      </c>
      <c r="G16" s="2271">
        <v>2110610</v>
      </c>
      <c r="H16" s="2122">
        <v>2110610</v>
      </c>
      <c r="I16" s="2262"/>
      <c r="J16" s="2122"/>
      <c r="K16" s="2272"/>
      <c r="L16" s="2272"/>
      <c r="M16" s="2272"/>
      <c r="N16" s="2272"/>
      <c r="O16" s="1962"/>
      <c r="P16" s="2273"/>
      <c r="Q16" s="2273"/>
      <c r="R16" s="2273"/>
      <c r="S16" s="2274"/>
      <c r="T16" s="2276"/>
      <c r="U16" s="2272"/>
      <c r="V16" s="2272"/>
      <c r="W16" s="2272"/>
      <c r="X16" s="2275"/>
    </row>
    <row r="17" spans="1:26">
      <c r="A17" s="2269">
        <v>35700</v>
      </c>
      <c r="B17" s="2270" t="s">
        <v>2539</v>
      </c>
      <c r="C17" s="2122">
        <v>4322860</v>
      </c>
      <c r="D17" s="2122" t="s">
        <v>9257</v>
      </c>
      <c r="E17" s="2122" t="s">
        <v>9257</v>
      </c>
      <c r="F17" s="2122">
        <v>1</v>
      </c>
      <c r="G17" s="2271">
        <v>4322861</v>
      </c>
      <c r="H17" s="2122">
        <v>4322861</v>
      </c>
      <c r="I17" s="2262"/>
      <c r="J17" s="2122"/>
      <c r="K17" s="2272"/>
      <c r="L17" s="2272"/>
      <c r="M17" s="2272"/>
      <c r="N17" s="2272"/>
      <c r="O17" s="1962"/>
      <c r="P17" s="2273"/>
      <c r="Q17" s="2273"/>
      <c r="R17" s="2273"/>
      <c r="S17" s="2274"/>
      <c r="T17" s="2276"/>
      <c r="U17" s="2276"/>
      <c r="V17" s="2276"/>
      <c r="W17" s="2276"/>
      <c r="X17" s="2275"/>
    </row>
    <row r="18" spans="1:26">
      <c r="A18" s="2269">
        <v>35800</v>
      </c>
      <c r="B18" s="2270" t="s">
        <v>2540</v>
      </c>
      <c r="C18" s="2122">
        <v>12240751</v>
      </c>
      <c r="D18" s="2122">
        <v>122294</v>
      </c>
      <c r="E18" s="2122" t="s">
        <v>9257</v>
      </c>
      <c r="F18" s="2122" t="s">
        <v>9257</v>
      </c>
      <c r="G18" s="2271">
        <v>12363045</v>
      </c>
      <c r="H18" s="2122">
        <v>12363045</v>
      </c>
      <c r="I18" s="2262"/>
      <c r="J18" s="2122"/>
      <c r="K18" s="2272"/>
      <c r="L18" s="2272"/>
      <c r="M18" s="2272"/>
      <c r="N18" s="2272"/>
      <c r="O18" s="1962"/>
      <c r="P18" s="2273"/>
      <c r="Q18" s="2273"/>
      <c r="R18" s="2273"/>
      <c r="S18" s="2274"/>
      <c r="T18" s="2276"/>
      <c r="U18" s="2276"/>
      <c r="V18" s="2276"/>
      <c r="W18" s="2276"/>
      <c r="X18" s="2275"/>
    </row>
    <row r="19" spans="1:26">
      <c r="A19" s="2269">
        <v>35900</v>
      </c>
      <c r="B19" s="2270" t="s">
        <v>2541</v>
      </c>
      <c r="C19" s="2122">
        <v>3882500</v>
      </c>
      <c r="D19" s="2122">
        <v>154841</v>
      </c>
      <c r="E19" s="2122">
        <v>17064926</v>
      </c>
      <c r="F19" s="2122">
        <v>88705</v>
      </c>
      <c r="G19" s="2271">
        <v>21190971</v>
      </c>
      <c r="H19" s="2122">
        <v>20219293</v>
      </c>
      <c r="I19" s="2262"/>
      <c r="J19" s="2122"/>
      <c r="K19" s="2272"/>
      <c r="L19" s="2272"/>
      <c r="M19" s="2272"/>
      <c r="N19" s="2272"/>
      <c r="O19" s="1962"/>
      <c r="P19" s="2273"/>
      <c r="Q19" s="2273"/>
      <c r="R19" s="2273"/>
      <c r="S19" s="2274"/>
      <c r="T19" s="2277"/>
      <c r="U19" s="2277"/>
      <c r="V19" s="2277"/>
      <c r="W19" s="2278"/>
      <c r="X19" s="2279"/>
    </row>
    <row r="20" spans="1:26" ht="15" thickBot="1">
      <c r="A20" s="1962"/>
      <c r="B20" s="2261" t="s">
        <v>3200</v>
      </c>
      <c r="C20" s="2280">
        <v>416244423</v>
      </c>
      <c r="D20" s="2280">
        <v>23970042</v>
      </c>
      <c r="E20" s="2280">
        <v>424460270</v>
      </c>
      <c r="F20" s="2280">
        <v>565139033</v>
      </c>
      <c r="G20" s="2280">
        <v>1429813769</v>
      </c>
      <c r="H20" s="2280">
        <v>1334295313</v>
      </c>
      <c r="I20" s="1962"/>
      <c r="J20" s="2280"/>
      <c r="K20" s="2280"/>
      <c r="L20" s="2272"/>
      <c r="M20" s="2280"/>
      <c r="N20" s="2280"/>
      <c r="O20" s="1962"/>
      <c r="P20" s="2281"/>
      <c r="Q20" s="2281"/>
      <c r="R20" s="2281"/>
      <c r="S20" s="2282"/>
      <c r="T20" s="2280"/>
      <c r="U20" s="2280"/>
      <c r="V20" s="2280"/>
      <c r="W20" s="2283"/>
      <c r="X20" s="2280"/>
    </row>
    <row r="21" spans="1:26" ht="15" thickTop="1">
      <c r="A21" s="1962"/>
      <c r="B21" s="1962"/>
      <c r="C21" s="2284"/>
      <c r="D21" s="2284"/>
      <c r="E21" s="1962"/>
      <c r="F21" s="2284"/>
      <c r="G21" s="2285">
        <v>0</v>
      </c>
      <c r="H21" s="2284"/>
      <c r="I21" s="1962"/>
      <c r="J21" s="2284"/>
      <c r="K21" s="2272"/>
      <c r="L21" s="1962"/>
      <c r="M21" s="2272"/>
      <c r="N21" s="1962"/>
      <c r="O21" s="1962"/>
      <c r="P21" s="1962"/>
      <c r="Q21" s="1962"/>
      <c r="R21" s="1962"/>
      <c r="S21" s="1962"/>
      <c r="T21" s="1973"/>
      <c r="U21" s="1962"/>
      <c r="V21" s="1962"/>
      <c r="W21" s="1962"/>
      <c r="X21" s="1962"/>
    </row>
    <row r="22" spans="1:26">
      <c r="A22" s="1962"/>
      <c r="B22" s="1962"/>
      <c r="C22" s="1962"/>
      <c r="D22" s="1962"/>
      <c r="E22" s="1962"/>
      <c r="F22" s="1962"/>
      <c r="G22" s="2284"/>
      <c r="H22" s="1962"/>
      <c r="I22" s="1962"/>
      <c r="J22" s="1962"/>
      <c r="K22" s="2272"/>
      <c r="L22" s="1962"/>
      <c r="M22" s="2272"/>
      <c r="N22" s="1962"/>
      <c r="O22" s="1962"/>
      <c r="P22" s="1962"/>
      <c r="Q22" s="1962"/>
      <c r="R22" s="2286"/>
      <c r="S22" s="2286"/>
      <c r="T22" s="2287"/>
      <c r="U22" s="2286"/>
      <c r="V22" s="2288"/>
      <c r="W22" s="2288"/>
      <c r="X22" s="2288"/>
    </row>
    <row r="23" spans="1:26">
      <c r="A23" s="1962"/>
      <c r="B23" s="1962"/>
      <c r="C23" s="1962"/>
      <c r="D23" s="1962"/>
      <c r="E23" s="1962"/>
      <c r="F23" s="1962"/>
      <c r="G23" s="1962"/>
      <c r="H23" s="1962"/>
      <c r="I23" s="1962"/>
      <c r="J23" s="1962"/>
      <c r="K23" s="2272"/>
      <c r="L23" s="1962"/>
      <c r="M23" s="2272"/>
      <c r="N23" s="1962"/>
      <c r="O23" s="1962"/>
      <c r="P23" s="1962"/>
      <c r="Q23" s="1962"/>
      <c r="R23" s="2261"/>
      <c r="S23" s="1962"/>
      <c r="T23" s="1973"/>
      <c r="U23" s="1962"/>
      <c r="V23" s="2262"/>
      <c r="W23" s="1962"/>
      <c r="X23" s="1962"/>
    </row>
    <row r="24" spans="1:26">
      <c r="A24" s="1968" t="s">
        <v>1533</v>
      </c>
      <c r="B24" s="2262"/>
      <c r="C24" s="1962"/>
      <c r="D24" s="1962"/>
      <c r="E24" s="1962"/>
      <c r="F24" s="1962"/>
      <c r="G24" s="1968" t="s">
        <v>1546</v>
      </c>
      <c r="H24" s="1968" t="s">
        <v>3118</v>
      </c>
      <c r="I24" s="1962"/>
      <c r="J24" s="1962"/>
      <c r="K24" s="2272"/>
      <c r="L24" s="1962"/>
      <c r="M24" s="2272"/>
      <c r="N24" s="1962"/>
      <c r="O24" s="1962"/>
      <c r="P24" s="2261"/>
      <c r="Q24" s="1962"/>
      <c r="R24" s="1962"/>
      <c r="S24" s="1962"/>
      <c r="T24" s="2262"/>
      <c r="U24" s="1962"/>
      <c r="V24" s="1962"/>
      <c r="W24" s="1962"/>
      <c r="X24" s="1962"/>
    </row>
    <row r="25" spans="1:26">
      <c r="A25" s="2263" t="s">
        <v>3197</v>
      </c>
      <c r="B25" s="2264" t="s">
        <v>1918</v>
      </c>
      <c r="C25" s="2263" t="s">
        <v>3175</v>
      </c>
      <c r="D25" s="2263" t="s">
        <v>3176</v>
      </c>
      <c r="E25" s="2263" t="s">
        <v>3177</v>
      </c>
      <c r="F25" s="2263" t="s">
        <v>3121</v>
      </c>
      <c r="G25" s="2263" t="s">
        <v>115</v>
      </c>
      <c r="H25" s="2263" t="s">
        <v>3198</v>
      </c>
      <c r="I25" s="1962"/>
      <c r="J25" s="2267"/>
      <c r="K25" s="2265"/>
      <c r="L25" s="1962"/>
      <c r="M25" s="2263"/>
      <c r="N25" s="2265"/>
      <c r="O25" s="1962"/>
      <c r="P25" s="2263"/>
      <c r="Q25" s="2263"/>
      <c r="R25" s="2263"/>
      <c r="S25" s="2266"/>
      <c r="T25" s="2263"/>
      <c r="U25" s="2263"/>
      <c r="V25" s="2263"/>
      <c r="W25" s="2267"/>
      <c r="X25" s="2268"/>
      <c r="Y25" s="2289"/>
    </row>
    <row r="26" spans="1:26">
      <c r="A26" s="2269">
        <v>35000</v>
      </c>
      <c r="B26" s="2270" t="s">
        <v>3180</v>
      </c>
      <c r="C26" s="2122">
        <v>0</v>
      </c>
      <c r="D26" s="2122">
        <v>0</v>
      </c>
      <c r="E26" s="2122">
        <v>0</v>
      </c>
      <c r="F26" s="2122">
        <v>0</v>
      </c>
      <c r="G26" s="2271">
        <v>0</v>
      </c>
      <c r="H26" s="2122">
        <v>0</v>
      </c>
      <c r="I26" s="1962"/>
      <c r="J26" s="2122"/>
      <c r="K26" s="2272"/>
      <c r="L26" s="2272"/>
      <c r="M26" s="2272"/>
      <c r="N26" s="2272"/>
      <c r="O26" s="1962"/>
      <c r="P26" s="2273"/>
      <c r="Q26" s="2273"/>
      <c r="R26" s="2273"/>
      <c r="S26" s="2274"/>
      <c r="T26" s="1962"/>
      <c r="U26" s="1962"/>
      <c r="V26" s="1962"/>
      <c r="W26" s="1962"/>
      <c r="X26" s="2275"/>
    </row>
    <row r="27" spans="1:26">
      <c r="A27" s="2269">
        <v>35001</v>
      </c>
      <c r="B27" s="2270" t="s">
        <v>3181</v>
      </c>
      <c r="C27" s="2122">
        <v>1404637</v>
      </c>
      <c r="D27" s="2122">
        <v>547785</v>
      </c>
      <c r="E27" s="2122">
        <v>3111044</v>
      </c>
      <c r="F27" s="2122">
        <v>212739</v>
      </c>
      <c r="G27" s="2271">
        <v>5276205</v>
      </c>
      <c r="H27" s="2122">
        <v>5182555</v>
      </c>
      <c r="I27" s="1962"/>
      <c r="J27" s="2122"/>
      <c r="K27" s="2272"/>
      <c r="L27" s="2272"/>
      <c r="M27" s="2272"/>
      <c r="N27" s="2272"/>
      <c r="O27" s="1962"/>
      <c r="P27" s="2273"/>
      <c r="Q27" s="2273"/>
      <c r="R27" s="2273"/>
      <c r="S27" s="2274"/>
      <c r="T27" s="2272"/>
      <c r="U27" s="2272"/>
      <c r="V27" s="2272"/>
      <c r="W27" s="2272"/>
      <c r="X27" s="2275"/>
      <c r="Y27" s="652"/>
    </row>
    <row r="28" spans="1:26">
      <c r="A28" s="2269">
        <v>35200</v>
      </c>
      <c r="B28" s="2270" t="s">
        <v>2533</v>
      </c>
      <c r="C28" s="2122" t="s">
        <v>9257</v>
      </c>
      <c r="D28" s="2122" t="s">
        <v>9257</v>
      </c>
      <c r="E28" s="2122" t="s">
        <v>9257</v>
      </c>
      <c r="F28" s="2122">
        <v>17801289</v>
      </c>
      <c r="G28" s="2271">
        <v>17801289</v>
      </c>
      <c r="H28" s="2122">
        <v>16973680</v>
      </c>
      <c r="I28" s="1962"/>
      <c r="J28" s="2122"/>
      <c r="K28" s="2272"/>
      <c r="L28" s="2272"/>
      <c r="M28" s="2272"/>
      <c r="N28" s="2272"/>
      <c r="O28" s="1962"/>
      <c r="P28" s="2273"/>
      <c r="Q28" s="2273"/>
      <c r="R28" s="2273"/>
      <c r="S28" s="2274"/>
      <c r="T28" s="2272"/>
      <c r="U28" s="2272"/>
      <c r="V28" s="2272"/>
      <c r="W28" s="2272"/>
      <c r="X28" s="2275"/>
      <c r="Y28" s="652"/>
    </row>
    <row r="29" spans="1:26">
      <c r="A29" s="2269">
        <v>35300</v>
      </c>
      <c r="B29" s="1973" t="s">
        <v>2534</v>
      </c>
      <c r="C29" s="2122">
        <v>513</v>
      </c>
      <c r="D29" s="2122" t="s">
        <v>9257</v>
      </c>
      <c r="E29" s="2122" t="s">
        <v>9257</v>
      </c>
      <c r="F29" s="2122">
        <v>101082450</v>
      </c>
      <c r="G29" s="2271">
        <v>101082962</v>
      </c>
      <c r="H29" s="2122">
        <v>99557051</v>
      </c>
      <c r="I29" s="1962"/>
      <c r="J29" s="2122"/>
      <c r="K29" s="2272"/>
      <c r="L29" s="2272"/>
      <c r="M29" s="2272"/>
      <c r="N29" s="2272"/>
      <c r="O29" s="2276"/>
      <c r="P29" s="2273"/>
      <c r="Q29" s="2273"/>
      <c r="R29" s="2273"/>
      <c r="S29" s="2274"/>
      <c r="T29" s="2272"/>
      <c r="U29" s="2272"/>
      <c r="V29" s="2272"/>
      <c r="W29" s="2276"/>
      <c r="X29" s="2275"/>
      <c r="Y29" s="651"/>
      <c r="Z29" s="653"/>
    </row>
    <row r="30" spans="1:26">
      <c r="A30" s="2269">
        <v>35400</v>
      </c>
      <c r="B30" s="2270" t="s">
        <v>2535</v>
      </c>
      <c r="C30" s="2122">
        <v>23838</v>
      </c>
      <c r="D30" s="2122">
        <v>1427322</v>
      </c>
      <c r="E30" s="2122">
        <v>3895798</v>
      </c>
      <c r="F30" s="2122" t="s">
        <v>9257</v>
      </c>
      <c r="G30" s="2271">
        <v>5346958</v>
      </c>
      <c r="H30" s="2122">
        <v>5314114</v>
      </c>
      <c r="I30" s="1962"/>
      <c r="J30" s="2122"/>
      <c r="K30" s="2272"/>
      <c r="L30" s="2272"/>
      <c r="M30" s="2272"/>
      <c r="N30" s="2272"/>
      <c r="O30" s="2276"/>
      <c r="P30" s="2273"/>
      <c r="Q30" s="2273"/>
      <c r="R30" s="2273"/>
      <c r="S30" s="2274"/>
      <c r="T30" s="2272"/>
      <c r="U30" s="2272"/>
      <c r="V30" s="2272"/>
      <c r="W30" s="2272"/>
      <c r="X30" s="2275"/>
      <c r="Y30" s="651"/>
    </row>
    <row r="31" spans="1:26">
      <c r="A31" s="2269">
        <v>35500</v>
      </c>
      <c r="B31" s="2270" t="s">
        <v>2536</v>
      </c>
      <c r="C31" s="2122">
        <v>71277695</v>
      </c>
      <c r="D31" s="2122">
        <v>5778124</v>
      </c>
      <c r="E31" s="2122">
        <v>68590637</v>
      </c>
      <c r="F31" s="2122">
        <v>-2379</v>
      </c>
      <c r="G31" s="2271">
        <v>145644077</v>
      </c>
      <c r="H31" s="2122">
        <v>143297337</v>
      </c>
      <c r="I31" s="1962"/>
      <c r="J31" s="2122"/>
      <c r="K31" s="2272"/>
      <c r="L31" s="2272"/>
      <c r="M31" s="2272"/>
      <c r="N31" s="2272"/>
      <c r="O31" s="2276"/>
      <c r="P31" s="2273"/>
      <c r="Q31" s="2273"/>
      <c r="R31" s="2273"/>
      <c r="S31" s="2274"/>
      <c r="T31" s="2276"/>
      <c r="U31" s="2276"/>
      <c r="V31" s="2276"/>
      <c r="W31" s="2276"/>
      <c r="X31" s="2275"/>
      <c r="Y31" s="651"/>
      <c r="Z31" s="653"/>
    </row>
    <row r="32" spans="1:26">
      <c r="A32" s="2269">
        <v>35600</v>
      </c>
      <c r="B32" s="2270" t="s">
        <v>2537</v>
      </c>
      <c r="C32" s="2122">
        <v>15680522</v>
      </c>
      <c r="D32" s="2122">
        <v>1520567</v>
      </c>
      <c r="E32" s="2122">
        <v>14466612</v>
      </c>
      <c r="F32" s="2122">
        <v>7589</v>
      </c>
      <c r="G32" s="2271">
        <v>31675292</v>
      </c>
      <c r="H32" s="2122">
        <v>32778268</v>
      </c>
      <c r="I32" s="1962"/>
      <c r="J32" s="2122"/>
      <c r="K32" s="2272"/>
      <c r="L32" s="2272"/>
      <c r="M32" s="2272"/>
      <c r="N32" s="2272"/>
      <c r="O32" s="2276"/>
      <c r="P32" s="2273"/>
      <c r="Q32" s="2273"/>
      <c r="R32" s="2273"/>
      <c r="S32" s="2274"/>
      <c r="T32" s="2276"/>
      <c r="U32" s="2276"/>
      <c r="V32" s="2276"/>
      <c r="W32" s="2276"/>
      <c r="X32" s="2275"/>
      <c r="Y32" s="651"/>
      <c r="Z32" s="653"/>
    </row>
    <row r="33" spans="1:26">
      <c r="A33" s="2269">
        <v>35601</v>
      </c>
      <c r="B33" s="2270" t="s">
        <v>2538</v>
      </c>
      <c r="C33" s="2122">
        <v>349795</v>
      </c>
      <c r="D33" s="2122">
        <v>97397</v>
      </c>
      <c r="E33" s="2122">
        <v>1371469</v>
      </c>
      <c r="F33" s="2122" t="s">
        <v>9257</v>
      </c>
      <c r="G33" s="2271">
        <v>1818661</v>
      </c>
      <c r="H33" s="2122">
        <v>1807897</v>
      </c>
      <c r="I33" s="1962"/>
      <c r="J33" s="2122"/>
      <c r="K33" s="2272"/>
      <c r="L33" s="2272"/>
      <c r="M33" s="2272"/>
      <c r="N33" s="2272"/>
      <c r="O33" s="2276"/>
      <c r="P33" s="2273"/>
      <c r="Q33" s="2273"/>
      <c r="R33" s="2273"/>
      <c r="S33" s="2274"/>
      <c r="T33" s="2276"/>
      <c r="U33" s="2272"/>
      <c r="V33" s="2272"/>
      <c r="W33" s="2272"/>
      <c r="X33" s="2275"/>
      <c r="Y33" s="652"/>
    </row>
    <row r="34" spans="1:26">
      <c r="A34" s="2269">
        <v>35700</v>
      </c>
      <c r="B34" s="2270" t="s">
        <v>2539</v>
      </c>
      <c r="C34" s="2122">
        <v>1925290</v>
      </c>
      <c r="D34" s="2122" t="s">
        <v>9257</v>
      </c>
      <c r="E34" s="2122" t="s">
        <v>9257</v>
      </c>
      <c r="F34" s="2122">
        <v>0</v>
      </c>
      <c r="G34" s="2271">
        <v>1925290</v>
      </c>
      <c r="H34" s="2122">
        <v>1885952</v>
      </c>
      <c r="I34" s="1962"/>
      <c r="J34" s="2122"/>
      <c r="K34" s="2272"/>
      <c r="L34" s="2272"/>
      <c r="M34" s="2272"/>
      <c r="N34" s="2272"/>
      <c r="O34" s="2276"/>
      <c r="P34" s="2273"/>
      <c r="Q34" s="2273"/>
      <c r="R34" s="2273"/>
      <c r="S34" s="2274"/>
      <c r="T34" s="2276"/>
      <c r="U34" s="2276"/>
      <c r="V34" s="2276"/>
      <c r="W34" s="2276"/>
      <c r="X34" s="2275"/>
      <c r="Y34" s="652"/>
      <c r="Z34" s="653"/>
    </row>
    <row r="35" spans="1:26">
      <c r="A35" s="2269">
        <v>35800</v>
      </c>
      <c r="B35" s="2270" t="s">
        <v>2540</v>
      </c>
      <c r="C35" s="2122">
        <v>4195285</v>
      </c>
      <c r="D35" s="2122">
        <v>115029</v>
      </c>
      <c r="E35" s="2122" t="s">
        <v>9257</v>
      </c>
      <c r="F35" s="2122" t="s">
        <v>9257</v>
      </c>
      <c r="G35" s="2271">
        <v>4310314</v>
      </c>
      <c r="H35" s="2122">
        <v>4137232</v>
      </c>
      <c r="I35" s="1962"/>
      <c r="J35" s="2122"/>
      <c r="K35" s="2272"/>
      <c r="L35" s="2272"/>
      <c r="M35" s="2272"/>
      <c r="N35" s="2272"/>
      <c r="O35" s="2276"/>
      <c r="P35" s="2273"/>
      <c r="Q35" s="2273"/>
      <c r="R35" s="2273"/>
      <c r="S35" s="2274"/>
      <c r="T35" s="2276"/>
      <c r="U35" s="2276"/>
      <c r="V35" s="2276"/>
      <c r="W35" s="2276"/>
      <c r="X35" s="2275"/>
      <c r="Y35" s="652"/>
      <c r="Z35" s="653"/>
    </row>
    <row r="36" spans="1:26">
      <c r="A36" s="2269">
        <v>35900</v>
      </c>
      <c r="B36" s="2270" t="s">
        <v>2541</v>
      </c>
      <c r="C36" s="2122">
        <v>486760</v>
      </c>
      <c r="D36" s="2122">
        <v>126310</v>
      </c>
      <c r="E36" s="2122">
        <v>3280206</v>
      </c>
      <c r="F36" s="2122">
        <v>33788</v>
      </c>
      <c r="G36" s="2271">
        <v>3927064</v>
      </c>
      <c r="H36" s="2122">
        <v>3738079</v>
      </c>
      <c r="I36" s="1962"/>
      <c r="J36" s="2122"/>
      <c r="K36" s="2272"/>
      <c r="L36" s="2272"/>
      <c r="M36" s="2272"/>
      <c r="N36" s="2272"/>
      <c r="O36" s="2276"/>
      <c r="P36" s="2273"/>
      <c r="Q36" s="2273"/>
      <c r="R36" s="2273"/>
      <c r="S36" s="2274"/>
      <c r="T36" s="2277"/>
      <c r="U36" s="2277"/>
      <c r="V36" s="2277"/>
      <c r="W36" s="2278"/>
      <c r="X36" s="2279"/>
      <c r="Y36" s="653"/>
      <c r="Z36" s="653"/>
    </row>
    <row r="37" spans="1:26" ht="15" thickBot="1">
      <c r="A37" s="1962"/>
      <c r="B37" s="2261" t="s">
        <v>3201</v>
      </c>
      <c r="C37" s="2280">
        <v>95344335</v>
      </c>
      <c r="D37" s="2280">
        <v>9612535</v>
      </c>
      <c r="E37" s="2280">
        <v>94715766</v>
      </c>
      <c r="F37" s="2280">
        <v>119135476</v>
      </c>
      <c r="G37" s="2280">
        <v>318808112</v>
      </c>
      <c r="H37" s="2280">
        <v>314672164</v>
      </c>
      <c r="I37" s="1962"/>
      <c r="J37" s="2280"/>
      <c r="K37" s="2280"/>
      <c r="L37" s="2272"/>
      <c r="M37" s="2280"/>
      <c r="N37" s="2280"/>
      <c r="O37" s="1962"/>
      <c r="P37" s="2281"/>
      <c r="Q37" s="2281"/>
      <c r="R37" s="2281"/>
      <c r="S37" s="2282"/>
      <c r="T37" s="2280"/>
      <c r="U37" s="2280"/>
      <c r="V37" s="2280"/>
      <c r="W37" s="2283"/>
      <c r="X37" s="2280"/>
      <c r="Z37" s="467"/>
    </row>
    <row r="38" spans="1:26" ht="15" thickTop="1">
      <c r="A38" s="1962"/>
      <c r="B38" s="1962"/>
      <c r="C38" s="2290"/>
      <c r="D38" s="2284"/>
      <c r="E38" s="2290"/>
      <c r="F38" s="2284"/>
      <c r="G38" s="2291">
        <v>-2.9802322387695313E-7</v>
      </c>
      <c r="H38" s="2290"/>
      <c r="I38" s="1962"/>
      <c r="J38" s="2284"/>
      <c r="K38" s="2272"/>
      <c r="L38" s="1962"/>
      <c r="M38" s="2272"/>
      <c r="N38" s="1962"/>
      <c r="O38" s="1962"/>
      <c r="P38" s="2286"/>
      <c r="Q38" s="2286"/>
      <c r="R38" s="2286"/>
      <c r="S38" s="2286"/>
      <c r="T38" s="1962"/>
      <c r="U38" s="1973"/>
      <c r="V38" s="2292"/>
      <c r="W38" s="2292"/>
      <c r="X38" s="2275"/>
      <c r="Y38" s="2293"/>
      <c r="Z38" s="467"/>
    </row>
    <row r="39" spans="1:26">
      <c r="A39" s="1962"/>
      <c r="B39" s="1962"/>
      <c r="C39" s="2294"/>
      <c r="D39" s="2294"/>
      <c r="E39" s="2294"/>
      <c r="F39" s="2294"/>
      <c r="G39" s="2284"/>
      <c r="H39" s="1962"/>
      <c r="I39" s="1962"/>
      <c r="J39" s="1962"/>
      <c r="K39" s="2272"/>
      <c r="L39" s="1962"/>
      <c r="M39" s="2272"/>
      <c r="N39" s="1962"/>
      <c r="O39" s="1962"/>
      <c r="P39" s="1962"/>
      <c r="Q39" s="1962"/>
      <c r="R39" s="1962"/>
      <c r="S39" s="1962"/>
      <c r="T39" s="1962"/>
      <c r="U39" s="1973"/>
      <c r="V39" s="1962"/>
      <c r="W39" s="1962"/>
      <c r="X39" s="1962"/>
    </row>
    <row r="40" spans="1:26">
      <c r="A40" s="1962"/>
      <c r="B40" s="1962"/>
      <c r="C40" s="1962"/>
      <c r="D40" s="1962"/>
      <c r="E40" s="1962"/>
      <c r="F40" s="1962"/>
      <c r="G40" s="1962"/>
      <c r="H40" s="1962"/>
      <c r="I40" s="1962"/>
      <c r="J40" s="1962"/>
      <c r="K40" s="2272"/>
      <c r="L40" s="1962"/>
      <c r="M40" s="2272"/>
      <c r="N40" s="1962"/>
      <c r="O40" s="1962"/>
      <c r="P40" s="1962"/>
      <c r="Q40" s="1962"/>
      <c r="R40" s="1962"/>
      <c r="S40" s="1962"/>
      <c r="T40" s="1962"/>
      <c r="U40" s="1962"/>
      <c r="V40" s="1962"/>
      <c r="W40" s="1962"/>
      <c r="X40" s="1962"/>
    </row>
    <row r="41" spans="1:26">
      <c r="A41" s="1968" t="s">
        <v>3202</v>
      </c>
      <c r="B41" s="1962"/>
      <c r="C41" s="1962"/>
      <c r="D41" s="1962"/>
      <c r="E41" s="1962"/>
      <c r="F41" s="1962"/>
      <c r="G41" s="1968" t="s">
        <v>1546</v>
      </c>
      <c r="H41" s="1968" t="s">
        <v>3118</v>
      </c>
      <c r="I41" s="1962"/>
      <c r="J41" s="1962"/>
      <c r="K41" s="2272"/>
      <c r="L41" s="1962"/>
      <c r="M41" s="2272"/>
      <c r="N41" s="1962"/>
      <c r="O41" s="1962"/>
      <c r="P41" s="1962"/>
      <c r="Q41" s="1962"/>
      <c r="R41" s="1962"/>
      <c r="S41" s="1962"/>
      <c r="T41" s="1962"/>
      <c r="U41" s="1962"/>
      <c r="V41" s="1962"/>
      <c r="W41" s="1962"/>
      <c r="X41" s="1962"/>
    </row>
    <row r="42" spans="1:26">
      <c r="A42" s="2263" t="s">
        <v>3197</v>
      </c>
      <c r="B42" s="2264" t="s">
        <v>1918</v>
      </c>
      <c r="C42" s="2263" t="s">
        <v>3175</v>
      </c>
      <c r="D42" s="2263" t="s">
        <v>3176</v>
      </c>
      <c r="E42" s="2263" t="s">
        <v>3177</v>
      </c>
      <c r="F42" s="2263" t="s">
        <v>3121</v>
      </c>
      <c r="G42" s="2263" t="s">
        <v>115</v>
      </c>
      <c r="H42" s="2263" t="s">
        <v>3198</v>
      </c>
      <c r="I42" s="1962"/>
      <c r="J42" s="2267"/>
      <c r="K42" s="2265"/>
      <c r="L42" s="1962"/>
      <c r="M42" s="2263"/>
      <c r="N42" s="2265"/>
      <c r="O42" s="1962"/>
      <c r="P42" s="1962"/>
      <c r="Q42" s="1962"/>
      <c r="R42" s="1962"/>
      <c r="S42" s="1962"/>
      <c r="T42" s="1962"/>
      <c r="U42" s="1962"/>
      <c r="V42" s="1962"/>
      <c r="W42" s="1962"/>
      <c r="X42" s="1962"/>
    </row>
    <row r="43" spans="1:26">
      <c r="A43" s="2269">
        <v>35000</v>
      </c>
      <c r="B43" s="2270" t="s">
        <v>3180</v>
      </c>
      <c r="C43" s="2285">
        <v>318887</v>
      </c>
      <c r="D43" s="2285">
        <v>117468</v>
      </c>
      <c r="E43" s="2285">
        <v>9767256</v>
      </c>
      <c r="F43" s="2285">
        <v>7596388</v>
      </c>
      <c r="G43" s="2291">
        <v>17799999</v>
      </c>
      <c r="H43" s="2291">
        <v>17799999</v>
      </c>
      <c r="I43" s="2262"/>
      <c r="J43" s="2122"/>
      <c r="K43" s="2272"/>
      <c r="L43" s="2272"/>
      <c r="M43" s="2122"/>
      <c r="N43" s="2272"/>
      <c r="O43" s="1962"/>
      <c r="P43" s="1962"/>
      <c r="Q43" s="2273"/>
      <c r="R43" s="2273"/>
      <c r="S43" s="2273"/>
      <c r="T43" s="1962"/>
      <c r="U43" s="1962"/>
      <c r="V43" s="2295"/>
      <c r="W43" s="1962"/>
      <c r="X43" s="1962"/>
    </row>
    <row r="44" spans="1:26">
      <c r="A44" s="2269">
        <v>35001</v>
      </c>
      <c r="B44" s="2270" t="s">
        <v>3181</v>
      </c>
      <c r="C44" s="2285">
        <v>2563879</v>
      </c>
      <c r="D44" s="2285">
        <v>332087</v>
      </c>
      <c r="E44" s="2285">
        <v>3424698</v>
      </c>
      <c r="F44" s="2285">
        <v>565386</v>
      </c>
      <c r="G44" s="2291">
        <v>6886049</v>
      </c>
      <c r="H44" s="2291">
        <v>6979699</v>
      </c>
      <c r="I44" s="1962"/>
      <c r="J44" s="2122"/>
      <c r="K44" s="2272"/>
      <c r="L44" s="2272"/>
      <c r="M44" s="2122"/>
      <c r="N44" s="2272"/>
      <c r="O44" s="1962"/>
      <c r="P44" s="1962"/>
      <c r="Q44" s="1962"/>
      <c r="R44" s="1962"/>
      <c r="S44" s="1962"/>
      <c r="T44" s="1962"/>
      <c r="U44" s="1962"/>
      <c r="V44" s="1962"/>
      <c r="W44" s="1962"/>
      <c r="X44" s="1962"/>
    </row>
    <row r="45" spans="1:26">
      <c r="A45" s="2269">
        <v>35200</v>
      </c>
      <c r="B45" s="2270" t="s">
        <v>2533</v>
      </c>
      <c r="C45" s="2285" t="s">
        <v>9257</v>
      </c>
      <c r="D45" s="2285" t="s">
        <v>9257</v>
      </c>
      <c r="E45" s="2285" t="s">
        <v>9257</v>
      </c>
      <c r="F45" s="2285">
        <v>58476090</v>
      </c>
      <c r="G45" s="2291">
        <v>58476090</v>
      </c>
      <c r="H45" s="2291">
        <v>59303700</v>
      </c>
      <c r="I45" s="1962"/>
      <c r="J45" s="2122"/>
      <c r="K45" s="2272"/>
      <c r="L45" s="2272"/>
      <c r="M45" s="2122"/>
      <c r="N45" s="2272"/>
      <c r="O45" s="1962"/>
      <c r="P45" s="1962"/>
      <c r="Q45" s="1962"/>
      <c r="R45" s="1962"/>
      <c r="S45" s="1962"/>
      <c r="T45" s="1962"/>
      <c r="U45" s="1962"/>
      <c r="V45" s="1962"/>
      <c r="W45" s="1962"/>
      <c r="X45" s="1962"/>
    </row>
    <row r="46" spans="1:26">
      <c r="A46" s="2269">
        <v>35300</v>
      </c>
      <c r="B46" s="1973" t="s">
        <v>2534</v>
      </c>
      <c r="C46" s="2285">
        <v>43981</v>
      </c>
      <c r="D46" s="2285" t="s">
        <v>9257</v>
      </c>
      <c r="E46" s="2285" t="s">
        <v>9257</v>
      </c>
      <c r="F46" s="2285">
        <v>379402148</v>
      </c>
      <c r="G46" s="2291">
        <v>379446128</v>
      </c>
      <c r="H46" s="2291">
        <v>358892801</v>
      </c>
      <c r="I46" s="1962"/>
      <c r="J46" s="2122"/>
      <c r="K46" s="2272"/>
      <c r="L46" s="2272"/>
      <c r="M46" s="2122"/>
      <c r="N46" s="2272"/>
      <c r="O46" s="1962"/>
      <c r="P46" s="1962"/>
      <c r="Q46" s="1962"/>
      <c r="R46" s="1962"/>
      <c r="S46" s="1962"/>
      <c r="T46" s="1962"/>
      <c r="U46" s="1962"/>
      <c r="V46" s="1962"/>
      <c r="W46" s="1962"/>
      <c r="X46" s="1962"/>
    </row>
    <row r="47" spans="1:26">
      <c r="A47" s="2269">
        <v>35400</v>
      </c>
      <c r="B47" s="2270" t="s">
        <v>2535</v>
      </c>
      <c r="C47" s="2285">
        <v>72220</v>
      </c>
      <c r="D47" s="2285">
        <v>-102855</v>
      </c>
      <c r="E47" s="2285">
        <v>-224262</v>
      </c>
      <c r="F47" s="2285" t="s">
        <v>9257</v>
      </c>
      <c r="G47" s="2291">
        <v>-254897</v>
      </c>
      <c r="H47" s="2291">
        <v>-222054</v>
      </c>
      <c r="I47" s="1962"/>
      <c r="J47" s="2122"/>
      <c r="K47" s="2272"/>
      <c r="L47" s="2272"/>
      <c r="M47" s="2122"/>
      <c r="N47" s="2272"/>
      <c r="O47" s="1962"/>
      <c r="P47" s="1962"/>
      <c r="Q47" s="1962"/>
      <c r="R47" s="1962"/>
      <c r="S47" s="1962"/>
      <c r="T47" s="1962"/>
      <c r="U47" s="1962"/>
      <c r="V47" s="1962"/>
      <c r="W47" s="1962"/>
      <c r="X47" s="1962"/>
    </row>
    <row r="48" spans="1:26">
      <c r="A48" s="2269">
        <v>35500</v>
      </c>
      <c r="B48" s="2270" t="s">
        <v>2536</v>
      </c>
      <c r="C48" s="2285">
        <v>215349835</v>
      </c>
      <c r="D48" s="2285">
        <v>9117082</v>
      </c>
      <c r="E48" s="2285">
        <v>224818289</v>
      </c>
      <c r="F48" s="2285">
        <v>-246632</v>
      </c>
      <c r="G48" s="2291">
        <v>449038574</v>
      </c>
      <c r="H48" s="2291">
        <v>390837476</v>
      </c>
      <c r="I48" s="1962"/>
      <c r="J48" s="2122"/>
      <c r="K48" s="2272"/>
      <c r="L48" s="2272"/>
      <c r="M48" s="2122"/>
      <c r="N48" s="2272"/>
      <c r="O48" s="1962"/>
      <c r="P48" s="1962"/>
      <c r="Q48" s="1962"/>
      <c r="R48" s="1962"/>
      <c r="S48" s="1962"/>
      <c r="T48" s="1962"/>
      <c r="U48" s="1962"/>
      <c r="V48" s="1962"/>
      <c r="W48" s="1962"/>
      <c r="X48" s="1962"/>
    </row>
    <row r="49" spans="1:24">
      <c r="A49" s="2269">
        <v>35600</v>
      </c>
      <c r="B49" s="2270" t="s">
        <v>2537</v>
      </c>
      <c r="C49" s="2285">
        <v>88653919</v>
      </c>
      <c r="D49" s="2285">
        <v>4852692</v>
      </c>
      <c r="E49" s="2285">
        <v>77945686</v>
      </c>
      <c r="F49" s="2285">
        <v>155259</v>
      </c>
      <c r="G49" s="2291">
        <v>171607557</v>
      </c>
      <c r="H49" s="2291">
        <v>158584880</v>
      </c>
      <c r="I49" s="1962"/>
      <c r="J49" s="2122"/>
      <c r="K49" s="2272"/>
      <c r="L49" s="2272"/>
      <c r="M49" s="2122"/>
      <c r="N49" s="2272"/>
      <c r="O49" s="1962"/>
      <c r="P49" s="1962"/>
      <c r="Q49" s="1962"/>
      <c r="R49" s="1962"/>
      <c r="S49" s="1962"/>
      <c r="T49" s="1962"/>
      <c r="U49" s="1962"/>
      <c r="V49" s="1962"/>
      <c r="W49" s="1962"/>
      <c r="X49" s="1962"/>
    </row>
    <row r="50" spans="1:24">
      <c r="A50" s="2269">
        <v>35601</v>
      </c>
      <c r="B50" s="2270" t="s">
        <v>2538</v>
      </c>
      <c r="C50" s="2285">
        <v>58592</v>
      </c>
      <c r="D50" s="2285">
        <v>5239</v>
      </c>
      <c r="E50" s="2285">
        <v>228118</v>
      </c>
      <c r="F50" s="2285" t="s">
        <v>9257</v>
      </c>
      <c r="G50" s="2291">
        <v>291949</v>
      </c>
      <c r="H50" s="2291">
        <v>302713</v>
      </c>
      <c r="I50" s="1962"/>
      <c r="J50" s="2122"/>
      <c r="K50" s="2272"/>
      <c r="L50" s="2272"/>
      <c r="M50" s="2122"/>
      <c r="N50" s="2272"/>
      <c r="O50" s="1962"/>
      <c r="P50" s="1962"/>
      <c r="Q50" s="1962"/>
      <c r="R50" s="1962"/>
      <c r="S50" s="1962"/>
      <c r="T50" s="1962"/>
      <c r="U50" s="1962"/>
      <c r="V50" s="1962"/>
      <c r="W50" s="1962"/>
      <c r="X50" s="1962"/>
    </row>
    <row r="51" spans="1:24">
      <c r="A51" s="2269">
        <v>35700</v>
      </c>
      <c r="B51" s="2270" t="s">
        <v>2539</v>
      </c>
      <c r="C51" s="2285">
        <v>2397570</v>
      </c>
      <c r="D51" s="2285" t="s">
        <v>9257</v>
      </c>
      <c r="E51" s="2285" t="s">
        <v>9257</v>
      </c>
      <c r="F51" s="2285">
        <v>1</v>
      </c>
      <c r="G51" s="2291">
        <v>2397571</v>
      </c>
      <c r="H51" s="2291">
        <v>2436909</v>
      </c>
      <c r="I51" s="1962"/>
      <c r="J51" s="2122"/>
      <c r="K51" s="2272"/>
      <c r="L51" s="2272"/>
      <c r="M51" s="2122"/>
      <c r="N51" s="2272"/>
      <c r="O51" s="1962"/>
      <c r="P51" s="1962"/>
      <c r="Q51" s="1962"/>
      <c r="R51" s="1962"/>
      <c r="S51" s="1962"/>
      <c r="T51" s="1962"/>
      <c r="U51" s="1962"/>
      <c r="V51" s="1962"/>
      <c r="W51" s="1962"/>
      <c r="X51" s="1962"/>
    </row>
    <row r="52" spans="1:24">
      <c r="A52" s="2269">
        <v>35800</v>
      </c>
      <c r="B52" s="2270" t="s">
        <v>2540</v>
      </c>
      <c r="C52" s="2285">
        <v>8045466</v>
      </c>
      <c r="D52" s="2285">
        <v>7265</v>
      </c>
      <c r="E52" s="2285" t="s">
        <v>9257</v>
      </c>
      <c r="F52" s="2285" t="s">
        <v>9257</v>
      </c>
      <c r="G52" s="2291">
        <v>8052730</v>
      </c>
      <c r="H52" s="2291">
        <v>8225813</v>
      </c>
      <c r="I52" s="1962"/>
      <c r="J52" s="2122"/>
      <c r="K52" s="2272"/>
      <c r="L52" s="2272"/>
      <c r="M52" s="2122"/>
      <c r="N52" s="2272"/>
      <c r="O52" s="1962"/>
      <c r="P52" s="1962"/>
      <c r="Q52" s="1962"/>
      <c r="R52" s="1962"/>
      <c r="S52" s="1962"/>
      <c r="T52" s="1962"/>
      <c r="U52" s="1962"/>
      <c r="V52" s="1962"/>
      <c r="W52" s="1962"/>
      <c r="X52" s="1962"/>
    </row>
    <row r="53" spans="1:24">
      <c r="A53" s="2269">
        <v>35900</v>
      </c>
      <c r="B53" s="2270" t="s">
        <v>2541</v>
      </c>
      <c r="C53" s="2285">
        <v>3395740</v>
      </c>
      <c r="D53" s="2285">
        <v>28531</v>
      </c>
      <c r="E53" s="2285">
        <v>13784720</v>
      </c>
      <c r="F53" s="2285">
        <v>54917</v>
      </c>
      <c r="G53" s="2291">
        <v>17263908</v>
      </c>
      <c r="H53" s="2291">
        <v>16481214</v>
      </c>
      <c r="I53" s="1962"/>
      <c r="J53" s="2122"/>
      <c r="K53" s="2272"/>
      <c r="L53" s="2272"/>
      <c r="M53" s="2122"/>
      <c r="N53" s="2272"/>
      <c r="O53" s="1962"/>
      <c r="P53" s="1962"/>
      <c r="Q53" s="1962"/>
      <c r="R53" s="1962"/>
      <c r="S53" s="1962"/>
      <c r="T53" s="1962"/>
      <c r="U53" s="1962"/>
      <c r="V53" s="1962"/>
      <c r="W53" s="1962"/>
      <c r="X53" s="1962"/>
    </row>
    <row r="54" spans="1:24" ht="15" thickBot="1">
      <c r="A54" s="1962"/>
      <c r="B54" s="2261" t="s">
        <v>3203</v>
      </c>
      <c r="C54" s="2280">
        <v>320900088</v>
      </c>
      <c r="D54" s="2280">
        <v>14357507</v>
      </c>
      <c r="E54" s="2280">
        <v>329744505</v>
      </c>
      <c r="F54" s="2280">
        <v>446003557</v>
      </c>
      <c r="G54" s="2280">
        <v>1111005657</v>
      </c>
      <c r="H54" s="2280">
        <v>1019623149</v>
      </c>
      <c r="I54" s="1962"/>
      <c r="J54" s="2280"/>
      <c r="K54" s="2280"/>
      <c r="L54" s="2271"/>
      <c r="M54" s="2280"/>
      <c r="N54" s="2280"/>
      <c r="O54" s="1962"/>
      <c r="P54" s="1962"/>
      <c r="Q54" s="1962"/>
      <c r="R54" s="1962"/>
      <c r="S54" s="1962"/>
      <c r="T54" s="1962"/>
      <c r="U54" s="1962"/>
      <c r="V54" s="1962"/>
      <c r="W54" s="1962"/>
      <c r="X54" s="1962"/>
    </row>
    <row r="55" spans="1:24" ht="15" thickTop="1">
      <c r="C55" s="824"/>
      <c r="D55" s="824"/>
      <c r="E55" s="824"/>
      <c r="F55" s="824"/>
      <c r="G55" s="824"/>
      <c r="H55" s="824"/>
    </row>
    <row r="57" spans="1:24">
      <c r="H57" s="46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8" tint="0.59999389629810485"/>
  </sheetPr>
  <dimension ref="A1:D15"/>
  <sheetViews>
    <sheetView tabSelected="1" showOutlineSymbols="0" workbookViewId="0"/>
  </sheetViews>
  <sheetFormatPr defaultRowHeight="14.4"/>
  <cols>
    <col min="1" max="1" width="40" customWidth="1"/>
    <col min="2" max="2" width="11.6640625" style="1962" bestFit="1" customWidth="1"/>
    <col min="4" max="4" width="12.6640625" bestFit="1" customWidth="1"/>
    <col min="5" max="5" width="12.44140625" bestFit="1" customWidth="1"/>
  </cols>
  <sheetData>
    <row r="1" spans="1:4">
      <c r="A1" s="33"/>
      <c r="B1" s="2107"/>
    </row>
    <row r="2" spans="1:4" ht="15.6">
      <c r="A2" s="2259" t="s">
        <v>3102</v>
      </c>
      <c r="B2" s="1968">
        <v>2025</v>
      </c>
    </row>
    <row r="3" spans="1:4">
      <c r="A3" s="2296" t="s">
        <v>3103</v>
      </c>
      <c r="B3" s="1968" t="s">
        <v>3104</v>
      </c>
      <c r="D3" s="1962" t="s">
        <v>116</v>
      </c>
    </row>
    <row r="4" spans="1:4" ht="15" thickBot="1">
      <c r="A4" s="2297" t="s">
        <v>3105</v>
      </c>
      <c r="B4" s="2298">
        <v>31052307.041790407</v>
      </c>
    </row>
    <row r="5" spans="1:4" ht="15" thickTop="1">
      <c r="A5" s="2262"/>
      <c r="B5" s="2284">
        <v>0</v>
      </c>
    </row>
    <row r="6" spans="1:4">
      <c r="A6" s="2262"/>
    </row>
    <row r="7" spans="1:4">
      <c r="A7" s="1962"/>
    </row>
    <row r="8" spans="1:4" ht="15.6">
      <c r="A8" s="2259" t="s">
        <v>3106</v>
      </c>
      <c r="B8" s="1968">
        <v>2025</v>
      </c>
    </row>
    <row r="9" spans="1:4" ht="15" thickBot="1">
      <c r="A9" s="2297" t="s">
        <v>3107</v>
      </c>
      <c r="B9" s="2298">
        <v>8500933.7692823987</v>
      </c>
    </row>
    <row r="10" spans="1:4" ht="15" thickTop="1">
      <c r="A10" s="1962"/>
      <c r="B10" s="2299">
        <v>0</v>
      </c>
    </row>
    <row r="11" spans="1:4">
      <c r="A11" s="1962"/>
    </row>
    <row r="12" spans="1:4">
      <c r="A12" s="1962"/>
    </row>
    <row r="13" spans="1:4" ht="15.6">
      <c r="A13" s="2259" t="s">
        <v>3108</v>
      </c>
      <c r="B13" s="1968">
        <v>2025</v>
      </c>
    </row>
    <row r="14" spans="1:4" ht="15" thickBot="1">
      <c r="A14" s="2297" t="s">
        <v>3109</v>
      </c>
      <c r="B14" s="2300">
        <v>871532.92692192027</v>
      </c>
    </row>
    <row r="15" spans="1:4" ht="15" thickTop="1">
      <c r="A15" s="1962"/>
      <c r="B15" s="2284">
        <v>0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E9"/>
  <sheetViews>
    <sheetView tabSelected="1" showOutlineSymbols="0" workbookViewId="0"/>
  </sheetViews>
  <sheetFormatPr defaultRowHeight="14.4"/>
  <cols>
    <col min="2" max="2" width="32.6640625" bestFit="1" customWidth="1"/>
    <col min="3" max="3" width="12.6640625" bestFit="1" customWidth="1"/>
  </cols>
  <sheetData>
    <row r="1" spans="2:5">
      <c r="C1" s="2107" t="s">
        <v>116</v>
      </c>
    </row>
    <row r="3" spans="2:5">
      <c r="B3" t="s">
        <v>7099</v>
      </c>
      <c r="C3" s="2301">
        <v>0</v>
      </c>
    </row>
    <row r="4" spans="2:5">
      <c r="B4" t="s">
        <v>7100</v>
      </c>
      <c r="C4" s="2301">
        <v>630.53472757199779</v>
      </c>
    </row>
    <row r="5" spans="2:5">
      <c r="B5" t="s">
        <v>1825</v>
      </c>
      <c r="C5" s="2301">
        <v>345.13033872575033</v>
      </c>
    </row>
    <row r="6" spans="2:5">
      <c r="B6" t="s">
        <v>7101</v>
      </c>
      <c r="C6" s="2301">
        <v>33.555141815086245</v>
      </c>
    </row>
    <row r="7" spans="2:5">
      <c r="B7" t="s">
        <v>9454</v>
      </c>
      <c r="C7" s="2301">
        <v>50</v>
      </c>
      <c r="E7" s="64"/>
    </row>
    <row r="8" spans="2:5">
      <c r="B8" t="s">
        <v>7102</v>
      </c>
      <c r="C8" s="2301">
        <v>0</v>
      </c>
    </row>
    <row r="9" spans="2:5">
      <c r="B9" t="s">
        <v>9470</v>
      </c>
      <c r="C9" s="2301">
        <v>754.5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8" tint="0.59999389629810485"/>
  </sheetPr>
  <dimension ref="B1:W271"/>
  <sheetViews>
    <sheetView tabSelected="1" showOutlineSymbols="0" workbookViewId="0"/>
  </sheetViews>
  <sheetFormatPr defaultColWidth="9.109375" defaultRowHeight="13.2"/>
  <cols>
    <col min="1" max="1" width="9.109375" style="2006"/>
    <col min="2" max="2" width="11.109375" style="2006" bestFit="1" customWidth="1"/>
    <col min="3" max="3" width="12.44140625" style="2006" bestFit="1" customWidth="1"/>
    <col min="4" max="5" width="9.109375" style="2006"/>
    <col min="6" max="6" width="11.109375" style="2049" customWidth="1"/>
    <col min="7" max="7" width="9.5546875" style="2049" customWidth="1"/>
    <col min="8" max="8" width="35.44140625" style="2049" bestFit="1" customWidth="1"/>
    <col min="9" max="9" width="12.109375" style="2049" customWidth="1"/>
    <col min="10" max="10" width="12.109375" style="2326" bestFit="1" customWidth="1"/>
    <col min="11" max="11" width="12.109375" style="2327" bestFit="1" customWidth="1"/>
    <col min="12" max="12" width="12.109375" style="2006" bestFit="1" customWidth="1"/>
    <col min="13" max="13" width="12.88671875" style="2006" bestFit="1" customWidth="1"/>
    <col min="14" max="15" width="12.109375" style="2006" bestFit="1" customWidth="1"/>
    <col min="16" max="19" width="12.88671875" style="2006" bestFit="1" customWidth="1"/>
    <col min="20" max="20" width="12.109375" style="2006" bestFit="1" customWidth="1"/>
    <col min="21" max="21" width="16.109375" style="2328" bestFit="1" customWidth="1"/>
    <col min="22" max="22" width="14" style="2006" bestFit="1" customWidth="1"/>
    <col min="23" max="23" width="34.5546875" style="2006" customWidth="1"/>
    <col min="24" max="16384" width="9.109375" style="2006"/>
  </cols>
  <sheetData>
    <row r="1" spans="2:23" ht="15.6">
      <c r="F1" s="2302" t="s">
        <v>8411</v>
      </c>
      <c r="G1" s="2303"/>
      <c r="H1" s="2304"/>
      <c r="I1" s="2303">
        <v>2024</v>
      </c>
      <c r="J1" s="2303">
        <v>2025</v>
      </c>
      <c r="K1" s="2303">
        <v>2025</v>
      </c>
      <c r="L1" s="2303">
        <v>2025</v>
      </c>
      <c r="M1" s="2303">
        <v>2025</v>
      </c>
      <c r="N1" s="2303">
        <v>2025</v>
      </c>
      <c r="O1" s="2303">
        <v>2025</v>
      </c>
      <c r="P1" s="2303">
        <v>2025</v>
      </c>
      <c r="Q1" s="2303">
        <v>2025</v>
      </c>
      <c r="R1" s="2303">
        <v>2025</v>
      </c>
      <c r="S1" s="2303">
        <v>2025</v>
      </c>
      <c r="T1" s="2303">
        <v>2025</v>
      </c>
      <c r="U1" s="2303">
        <v>2025</v>
      </c>
      <c r="V1" s="2305" t="s">
        <v>9435</v>
      </c>
      <c r="W1" s="2078"/>
    </row>
    <row r="2" spans="2:23" ht="12.75" customHeight="1" thickBot="1">
      <c r="E2" s="2006" t="s">
        <v>19</v>
      </c>
      <c r="F2" s="2303" t="s">
        <v>113</v>
      </c>
      <c r="G2" s="2303" t="s">
        <v>3038</v>
      </c>
      <c r="H2" s="2303" t="s">
        <v>3039</v>
      </c>
      <c r="I2" s="2306" t="s">
        <v>2296</v>
      </c>
      <c r="J2" s="2303" t="s">
        <v>2287</v>
      </c>
      <c r="K2" s="2303" t="s">
        <v>2288</v>
      </c>
      <c r="L2" s="2303" t="s">
        <v>2289</v>
      </c>
      <c r="M2" s="2303" t="s">
        <v>2290</v>
      </c>
      <c r="N2" s="2303" t="s">
        <v>1361</v>
      </c>
      <c r="O2" s="2303" t="s">
        <v>2291</v>
      </c>
      <c r="P2" s="2303" t="s">
        <v>3040</v>
      </c>
      <c r="Q2" s="2303" t="s">
        <v>2292</v>
      </c>
      <c r="R2" s="2303" t="s">
        <v>2293</v>
      </c>
      <c r="S2" s="2303" t="s">
        <v>2294</v>
      </c>
      <c r="T2" s="2303" t="s">
        <v>2295</v>
      </c>
      <c r="U2" s="2307" t="s">
        <v>2296</v>
      </c>
      <c r="V2" s="2306" t="s">
        <v>3041</v>
      </c>
      <c r="W2" s="2308"/>
    </row>
    <row r="3" spans="2:23" ht="15" thickBot="1">
      <c r="B3" s="113" t="s">
        <v>35</v>
      </c>
      <c r="C3" s="134" t="s">
        <v>6156</v>
      </c>
      <c r="E3" s="2006" t="str" cm="1">
        <f t="array" ref="E3">+_xlfn.IFS(LEFT(H3,2)="Ph","Phillips",LEFT(H3,2)="BS","Bayside",LEFT(H3,2)="BB","Big Bend",LEFT(H3,2)="PK","Polk")</f>
        <v>Phillips</v>
      </c>
      <c r="F3" s="2078">
        <v>353</v>
      </c>
      <c r="G3" s="2078" t="s">
        <v>3042</v>
      </c>
      <c r="H3" s="2309" t="s">
        <v>1873</v>
      </c>
      <c r="I3" s="2310">
        <v>0</v>
      </c>
      <c r="J3" s="2310">
        <v>0</v>
      </c>
      <c r="K3" s="2310">
        <v>0</v>
      </c>
      <c r="L3" s="2310">
        <v>0</v>
      </c>
      <c r="M3" s="2310">
        <v>0</v>
      </c>
      <c r="N3" s="2310">
        <v>0</v>
      </c>
      <c r="O3" s="2310">
        <v>0</v>
      </c>
      <c r="P3" s="2310">
        <v>0</v>
      </c>
      <c r="Q3" s="2122">
        <v>0</v>
      </c>
      <c r="R3" s="2122">
        <v>0</v>
      </c>
      <c r="S3" s="2122">
        <v>0</v>
      </c>
      <c r="T3" s="2122">
        <v>0</v>
      </c>
      <c r="U3" s="2311">
        <v>0</v>
      </c>
      <c r="V3" s="2272">
        <f>+AVERAGE(I3:U3)</f>
        <v>0</v>
      </c>
      <c r="W3" s="2308"/>
    </row>
    <row r="4" spans="2:23" ht="14.4">
      <c r="B4" s="118" t="s">
        <v>1823</v>
      </c>
      <c r="C4" s="2312">
        <v>0</v>
      </c>
      <c r="E4" s="2006" t="str" cm="1">
        <f t="array" ref="E4">+_xlfn.IFS(LEFT(H4,2)="Ph","Phillips",LEFT(H4,2)="BS","Bayside",LEFT(H4,2)="BB","Big Bend",LEFT(H4,2)="PK","Polk")</f>
        <v>Bayside</v>
      </c>
      <c r="F4" s="2078">
        <v>353</v>
      </c>
      <c r="G4" s="2078" t="s">
        <v>3043</v>
      </c>
      <c r="H4" s="2309" t="s">
        <v>3044</v>
      </c>
      <c r="I4" s="2310">
        <v>9121980.2599999998</v>
      </c>
      <c r="J4" s="2310">
        <v>8879995.0099999998</v>
      </c>
      <c r="K4" s="2310">
        <v>8879995.0099999998</v>
      </c>
      <c r="L4" s="2310">
        <v>8879995.0099999998</v>
      </c>
      <c r="M4" s="2310">
        <v>8879995.0099999998</v>
      </c>
      <c r="N4" s="2310">
        <v>8879995.0099999998</v>
      </c>
      <c r="O4" s="2310">
        <v>9121980.2300000004</v>
      </c>
      <c r="P4" s="2310">
        <v>9121980.2300000004</v>
      </c>
      <c r="Q4" s="2122">
        <v>9121980.2300000004</v>
      </c>
      <c r="R4" s="2122">
        <v>9121980.2300000004</v>
      </c>
      <c r="S4" s="2122">
        <v>9121980.2300000004</v>
      </c>
      <c r="T4" s="2122">
        <v>9121980.2300000004</v>
      </c>
      <c r="U4" s="2311">
        <v>9121980.2599999998</v>
      </c>
      <c r="V4" s="2272">
        <f t="shared" ref="V4:V79" si="0">+AVERAGE(I4:U4)</f>
        <v>9028908.9961538482</v>
      </c>
      <c r="W4" s="2308"/>
    </row>
    <row r="5" spans="2:23" ht="14.4">
      <c r="B5" s="118" t="s">
        <v>1824</v>
      </c>
      <c r="C5" s="2312">
        <v>0</v>
      </c>
      <c r="E5" s="2006" t="str" cm="1">
        <f t="array" ref="E5">+_xlfn.IFS(LEFT(H5,2)="Ph","Phillips",LEFT(H5,2)="BS","Bayside",LEFT(H5,2)="BB","Big Bend",LEFT(H5,2)="PK","Polk")</f>
        <v>Bayside</v>
      </c>
      <c r="F5" s="2078">
        <v>353</v>
      </c>
      <c r="G5" s="2078"/>
      <c r="H5" s="2309" t="s">
        <v>3045</v>
      </c>
      <c r="I5" s="2310">
        <v>19232.5</v>
      </c>
      <c r="J5" s="2310">
        <v>19232.5</v>
      </c>
      <c r="K5" s="2310">
        <v>19232.5</v>
      </c>
      <c r="L5" s="2310">
        <v>19232.5</v>
      </c>
      <c r="M5" s="2310">
        <v>19232.5</v>
      </c>
      <c r="N5" s="2310">
        <v>19232.5</v>
      </c>
      <c r="O5" s="2310">
        <v>19232.5</v>
      </c>
      <c r="P5" s="2310">
        <v>19232.5</v>
      </c>
      <c r="Q5" s="2122">
        <v>19232.5</v>
      </c>
      <c r="R5" s="2122">
        <v>19232.5</v>
      </c>
      <c r="S5" s="2122">
        <v>19232.5</v>
      </c>
      <c r="T5" s="2122">
        <v>19232.5</v>
      </c>
      <c r="U5" s="2311">
        <v>19232.5</v>
      </c>
      <c r="V5" s="2272">
        <f t="shared" si="0"/>
        <v>19232.5</v>
      </c>
      <c r="W5" s="2313"/>
    </row>
    <row r="6" spans="2:23" ht="15" thickBot="1">
      <c r="B6" s="914" t="s">
        <v>6157</v>
      </c>
      <c r="C6" s="2314">
        <v>0</v>
      </c>
      <c r="E6" s="2006" t="str" cm="1">
        <f t="array" ref="E6">+_xlfn.IFS(LEFT(H6,2)="Ph","Phillips",LEFT(H6,2)="BS","Bayside",LEFT(H6,2)="BB","Big Bend",LEFT(H6,2)="PK","Polk")</f>
        <v>Bayside</v>
      </c>
      <c r="F6" s="2078">
        <v>353</v>
      </c>
      <c r="G6" s="2078"/>
      <c r="H6" s="2309" t="s">
        <v>3046</v>
      </c>
      <c r="I6" s="2310">
        <v>4499269.05</v>
      </c>
      <c r="J6" s="2310">
        <v>4499269.05</v>
      </c>
      <c r="K6" s="2310">
        <v>4499269.05</v>
      </c>
      <c r="L6" s="2310">
        <v>4499269.05</v>
      </c>
      <c r="M6" s="2310">
        <v>4499269.05</v>
      </c>
      <c r="N6" s="2310">
        <v>4499269.05</v>
      </c>
      <c r="O6" s="2310">
        <v>4499269.05</v>
      </c>
      <c r="P6" s="2310">
        <v>4499269.05</v>
      </c>
      <c r="Q6" s="2122">
        <v>4499269.05</v>
      </c>
      <c r="R6" s="2122">
        <v>4499269.05</v>
      </c>
      <c r="S6" s="2122">
        <v>4499269.05</v>
      </c>
      <c r="T6" s="2122">
        <v>4499269.05</v>
      </c>
      <c r="U6" s="2311">
        <v>4499269.05</v>
      </c>
      <c r="V6" s="2272">
        <f t="shared" si="0"/>
        <v>4499269.0499999989</v>
      </c>
      <c r="W6" s="2308"/>
    </row>
    <row r="7" spans="2:23" ht="14.4">
      <c r="E7" s="2006" t="str" cm="1">
        <f t="array" ref="E7">+_xlfn.IFS(LEFT(H7,2)="Ph","Phillips",LEFT(H7,2)="BS","Bayside",LEFT(H7,2)="BB","Big Bend",LEFT(H7,2)="PK","Polk")</f>
        <v>Bayside</v>
      </c>
      <c r="F7" s="2078">
        <v>353</v>
      </c>
      <c r="G7" s="2078" t="s">
        <v>3047</v>
      </c>
      <c r="H7" s="2309" t="s">
        <v>3048</v>
      </c>
      <c r="I7" s="2310">
        <v>7117133.5099999998</v>
      </c>
      <c r="J7" s="2310">
        <v>6794486.5899999999</v>
      </c>
      <c r="K7" s="2310">
        <v>6794486.5899999999</v>
      </c>
      <c r="L7" s="2310">
        <v>6794486.5899999999</v>
      </c>
      <c r="M7" s="2310">
        <v>6794486.5899999999</v>
      </c>
      <c r="N7" s="2310">
        <v>6794486.5899999999</v>
      </c>
      <c r="O7" s="2310">
        <v>7117133.5500000007</v>
      </c>
      <c r="P7" s="2310">
        <v>7117133.5500000007</v>
      </c>
      <c r="Q7" s="2122">
        <v>7117133.5500000007</v>
      </c>
      <c r="R7" s="2122">
        <v>7117133.5500000007</v>
      </c>
      <c r="S7" s="2122">
        <v>7117133.5500000007</v>
      </c>
      <c r="T7" s="2122">
        <v>7117133.5500000007</v>
      </c>
      <c r="U7" s="2311">
        <v>7117133.5099999998</v>
      </c>
      <c r="V7" s="2272">
        <f t="shared" si="0"/>
        <v>6993038.5592307681</v>
      </c>
      <c r="W7" s="2308"/>
    </row>
    <row r="8" spans="2:23" ht="14.4">
      <c r="E8" s="2006" t="str" cm="1">
        <f t="array" ref="E8">+_xlfn.IFS(LEFT(H8,2)="Ph","Phillips",LEFT(H8,2)="BS","Bayside",LEFT(H8,2)="BB","Big Bend",LEFT(H8,2)="PK","Polk")</f>
        <v>Bayside</v>
      </c>
      <c r="F8" s="2078">
        <v>353</v>
      </c>
      <c r="G8" s="2078">
        <v>33</v>
      </c>
      <c r="H8" s="2309" t="s">
        <v>3049</v>
      </c>
      <c r="I8" s="2310">
        <v>877226.51</v>
      </c>
      <c r="J8" s="2310">
        <v>877226.51</v>
      </c>
      <c r="K8" s="2310">
        <v>877226.51</v>
      </c>
      <c r="L8" s="2310">
        <v>877226.51</v>
      </c>
      <c r="M8" s="2310">
        <v>877226.51</v>
      </c>
      <c r="N8" s="2310">
        <v>877226.51</v>
      </c>
      <c r="O8" s="2310">
        <v>877226.51</v>
      </c>
      <c r="P8" s="2310">
        <v>877226.51</v>
      </c>
      <c r="Q8" s="2122">
        <v>877226.51</v>
      </c>
      <c r="R8" s="2122">
        <v>877226.51</v>
      </c>
      <c r="S8" s="2122">
        <v>877226.51</v>
      </c>
      <c r="T8" s="2122">
        <v>877226.51</v>
      </c>
      <c r="U8" s="2311">
        <v>877226.51</v>
      </c>
      <c r="V8" s="2272">
        <f t="shared" si="0"/>
        <v>877226.50999999989</v>
      </c>
      <c r="W8" s="2308"/>
    </row>
    <row r="9" spans="2:23" ht="14.4">
      <c r="E9" s="2006" t="str" cm="1">
        <f t="array" ref="E9">+_xlfn.IFS(LEFT(H9,2)="Ph","Phillips",LEFT(H9,2)="BS","Bayside",LEFT(H9,2)="BB","Big Bend",LEFT(H9,2)="PK","Polk")</f>
        <v>Bayside</v>
      </c>
      <c r="F9" s="2078">
        <v>353</v>
      </c>
      <c r="G9" s="2078">
        <v>34</v>
      </c>
      <c r="H9" s="2309" t="s">
        <v>3050</v>
      </c>
      <c r="I9" s="2310">
        <v>856116.62</v>
      </c>
      <c r="J9" s="2310">
        <v>856116.62</v>
      </c>
      <c r="K9" s="2310">
        <v>856116.62</v>
      </c>
      <c r="L9" s="2310">
        <v>856116.62</v>
      </c>
      <c r="M9" s="2310">
        <v>856116.62</v>
      </c>
      <c r="N9" s="2310">
        <v>856116.62</v>
      </c>
      <c r="O9" s="2310">
        <v>856116.62</v>
      </c>
      <c r="P9" s="2310">
        <v>856116.62</v>
      </c>
      <c r="Q9" s="2122">
        <v>856116.62</v>
      </c>
      <c r="R9" s="2122">
        <v>856116.62</v>
      </c>
      <c r="S9" s="2122">
        <v>856116.62</v>
      </c>
      <c r="T9" s="2122">
        <v>856116.62</v>
      </c>
      <c r="U9" s="2311">
        <v>856116.62</v>
      </c>
      <c r="V9" s="2272">
        <f t="shared" si="0"/>
        <v>856116.61999999976</v>
      </c>
      <c r="W9" s="2308"/>
    </row>
    <row r="10" spans="2:23" ht="14.4">
      <c r="E10" s="2006" t="str" cm="1">
        <f t="array" ref="E10">+_xlfn.IFS(LEFT(H10,2)="Ph","Phillips",LEFT(H10,2)="BS","Bayside",LEFT(H10,2)="BB","Big Bend",LEFT(H10,2)="PK","Polk")</f>
        <v>Bayside</v>
      </c>
      <c r="F10" s="2078">
        <v>353</v>
      </c>
      <c r="G10" s="2078">
        <v>35</v>
      </c>
      <c r="H10" s="2309" t="s">
        <v>3051</v>
      </c>
      <c r="I10" s="2310">
        <v>881308.95000000007</v>
      </c>
      <c r="J10" s="2310">
        <v>881308.95000000007</v>
      </c>
      <c r="K10" s="2310">
        <v>881308.95000000007</v>
      </c>
      <c r="L10" s="2310">
        <v>881308.95000000007</v>
      </c>
      <c r="M10" s="2310">
        <v>881308.95000000007</v>
      </c>
      <c r="N10" s="2310">
        <v>881308.95000000007</v>
      </c>
      <c r="O10" s="2310">
        <v>881308.95000000007</v>
      </c>
      <c r="P10" s="2310">
        <v>881308.95000000007</v>
      </c>
      <c r="Q10" s="2122">
        <v>881308.95000000007</v>
      </c>
      <c r="R10" s="2122">
        <v>881308.95000000007</v>
      </c>
      <c r="S10" s="2122">
        <v>881308.95000000007</v>
      </c>
      <c r="T10" s="2122">
        <v>881308.95000000007</v>
      </c>
      <c r="U10" s="2311">
        <v>881308.95000000007</v>
      </c>
      <c r="V10" s="2272">
        <f t="shared" si="0"/>
        <v>881308.94999999984</v>
      </c>
      <c r="W10" s="2308"/>
    </row>
    <row r="11" spans="2:23" ht="14.4">
      <c r="E11" s="2006" t="str" cm="1">
        <f t="array" ref="E11">+_xlfn.IFS(LEFT(H11,2)="Ph","Phillips",LEFT(H11,2)="BS","Bayside",LEFT(H11,2)="BB","Big Bend",LEFT(H11,2)="PK","Polk")</f>
        <v>Bayside</v>
      </c>
      <c r="F11" s="2078">
        <v>353</v>
      </c>
      <c r="G11" s="2078">
        <v>36</v>
      </c>
      <c r="H11" s="2309" t="s">
        <v>3052</v>
      </c>
      <c r="I11" s="2310">
        <v>881308.95000000007</v>
      </c>
      <c r="J11" s="2310">
        <v>881308.95000000007</v>
      </c>
      <c r="K11" s="2310">
        <v>881308.95000000007</v>
      </c>
      <c r="L11" s="2310">
        <v>881308.95000000007</v>
      </c>
      <c r="M11" s="2310">
        <v>881308.95000000007</v>
      </c>
      <c r="N11" s="2310">
        <v>881308.95000000007</v>
      </c>
      <c r="O11" s="2310">
        <v>881308.95000000007</v>
      </c>
      <c r="P11" s="2310">
        <v>881308.95000000007</v>
      </c>
      <c r="Q11" s="2122">
        <v>881308.95000000007</v>
      </c>
      <c r="R11" s="2122">
        <v>881308.95000000007</v>
      </c>
      <c r="S11" s="2122">
        <v>881308.95000000007</v>
      </c>
      <c r="T11" s="2122">
        <v>881308.95000000007</v>
      </c>
      <c r="U11" s="2311">
        <v>881308.95000000007</v>
      </c>
      <c r="V11" s="2272">
        <f t="shared" si="0"/>
        <v>881308.94999999984</v>
      </c>
      <c r="W11" s="2308"/>
    </row>
    <row r="12" spans="2:23" ht="14.4">
      <c r="E12" s="2006" t="str" cm="1">
        <f t="array" ref="E12">+_xlfn.IFS(LEFT(H12,2)="Ph","Phillips",LEFT(H12,2)="BS","Bayside",LEFT(H12,2)="BB","Big Bend",LEFT(H12,2)="PK","Polk")</f>
        <v>Big Bend</v>
      </c>
      <c r="F12" s="2078">
        <v>353</v>
      </c>
      <c r="G12" s="2078" t="s">
        <v>3053</v>
      </c>
      <c r="H12" s="2309" t="s">
        <v>3054</v>
      </c>
      <c r="I12" s="2310">
        <v>4006422.8600000003</v>
      </c>
      <c r="J12" s="2310">
        <v>4006422.8600000003</v>
      </c>
      <c r="K12" s="2310">
        <v>4006422.8600000003</v>
      </c>
      <c r="L12" s="2310">
        <v>4006422.8600000003</v>
      </c>
      <c r="M12" s="2310">
        <v>4006422.8600000003</v>
      </c>
      <c r="N12" s="2310">
        <v>4006422.8600000003</v>
      </c>
      <c r="O12" s="2310">
        <v>4006422.8600000003</v>
      </c>
      <c r="P12" s="2310">
        <v>4006422.8600000003</v>
      </c>
      <c r="Q12" s="2122">
        <v>4006422.8600000003</v>
      </c>
      <c r="R12" s="2122">
        <v>4006422.8600000003</v>
      </c>
      <c r="S12" s="2122">
        <v>4006422.8600000003</v>
      </c>
      <c r="T12" s="2122">
        <v>4006422.8600000003</v>
      </c>
      <c r="U12" s="2311">
        <v>4006422.8600000003</v>
      </c>
      <c r="V12" s="2272">
        <f t="shared" si="0"/>
        <v>4006422.86</v>
      </c>
      <c r="W12" s="2308"/>
    </row>
    <row r="13" spans="2:23" ht="14.4">
      <c r="E13" s="2006" t="str" cm="1">
        <f t="array" ref="E13">+_xlfn.IFS(LEFT(H13,2)="Ph","Phillips",LEFT(H13,2)="BS","Bayside",LEFT(H13,2)="BB","Big Bend",LEFT(H13,2)="PK","Polk")</f>
        <v>Big Bend</v>
      </c>
      <c r="F13" s="2078">
        <v>353</v>
      </c>
      <c r="G13" s="2078" t="s">
        <v>3055</v>
      </c>
      <c r="H13" s="2309" t="s">
        <v>3056</v>
      </c>
      <c r="I13" s="2310">
        <v>0</v>
      </c>
      <c r="J13" s="2310">
        <v>0</v>
      </c>
      <c r="K13" s="2310">
        <v>0</v>
      </c>
      <c r="L13" s="2310">
        <v>0</v>
      </c>
      <c r="M13" s="2310">
        <v>0</v>
      </c>
      <c r="N13" s="2310">
        <v>0</v>
      </c>
      <c r="O13" s="2310">
        <v>0</v>
      </c>
      <c r="P13" s="2310">
        <v>0</v>
      </c>
      <c r="Q13" s="2122">
        <v>0</v>
      </c>
      <c r="R13" s="2122">
        <v>0</v>
      </c>
      <c r="S13" s="2122">
        <v>0</v>
      </c>
      <c r="T13" s="2122">
        <v>0</v>
      </c>
      <c r="U13" s="2122">
        <v>0</v>
      </c>
      <c r="V13" s="2272">
        <f t="shared" si="0"/>
        <v>0</v>
      </c>
      <c r="W13" s="2308"/>
    </row>
    <row r="14" spans="2:23" ht="14.4">
      <c r="E14" s="2006" t="str" cm="1">
        <f t="array" ref="E14">+_xlfn.IFS(LEFT(H14,2)="Ph","Phillips",LEFT(H14,2)="BS","Bayside",LEFT(H14,2)="BB","Big Bend",LEFT(H14,2)="PK","Polk")</f>
        <v>Big Bend</v>
      </c>
      <c r="F14" s="2078">
        <v>353</v>
      </c>
      <c r="G14" s="2078" t="s">
        <v>3057</v>
      </c>
      <c r="H14" s="2309" t="s">
        <v>3058</v>
      </c>
      <c r="I14" s="2310">
        <v>0</v>
      </c>
      <c r="J14" s="2310">
        <v>0</v>
      </c>
      <c r="K14" s="2310">
        <v>0</v>
      </c>
      <c r="L14" s="2310">
        <v>0</v>
      </c>
      <c r="M14" s="2310">
        <v>0</v>
      </c>
      <c r="N14" s="2310">
        <v>0</v>
      </c>
      <c r="O14" s="2310">
        <v>0</v>
      </c>
      <c r="P14" s="2310">
        <v>0</v>
      </c>
      <c r="Q14" s="2122">
        <v>0</v>
      </c>
      <c r="R14" s="2122">
        <v>0</v>
      </c>
      <c r="S14" s="2122">
        <v>0</v>
      </c>
      <c r="T14" s="2122">
        <v>0</v>
      </c>
      <c r="U14" s="2122">
        <v>0</v>
      </c>
      <c r="V14" s="2272">
        <f t="shared" si="0"/>
        <v>0</v>
      </c>
      <c r="W14" s="2308"/>
    </row>
    <row r="15" spans="2:23" ht="14.4">
      <c r="E15" s="2006" t="str" cm="1">
        <f t="array" ref="E15">+_xlfn.IFS(LEFT(H15,2)="Ph","Phillips",LEFT(H15,2)="BS","Bayside",LEFT(H15,2)="BB","Big Bend",LEFT(H15,2)="PK","Polk")</f>
        <v>Big Bend</v>
      </c>
      <c r="F15" s="2078">
        <v>353</v>
      </c>
      <c r="G15" s="2078" t="s">
        <v>3059</v>
      </c>
      <c r="H15" s="2309" t="s">
        <v>3060</v>
      </c>
      <c r="I15" s="2310">
        <v>0</v>
      </c>
      <c r="J15" s="2310">
        <v>0</v>
      </c>
      <c r="K15" s="2310">
        <v>0</v>
      </c>
      <c r="L15" s="2310">
        <v>0</v>
      </c>
      <c r="M15" s="2310">
        <v>0</v>
      </c>
      <c r="N15" s="2310">
        <v>0</v>
      </c>
      <c r="O15" s="2310">
        <v>0</v>
      </c>
      <c r="P15" s="2310">
        <v>0</v>
      </c>
      <c r="Q15" s="2122">
        <v>0</v>
      </c>
      <c r="R15" s="2122">
        <v>0</v>
      </c>
      <c r="S15" s="2122">
        <v>0</v>
      </c>
      <c r="T15" s="2122">
        <v>0</v>
      </c>
      <c r="U15" s="2122">
        <v>0</v>
      </c>
      <c r="V15" s="2272">
        <f t="shared" si="0"/>
        <v>0</v>
      </c>
      <c r="W15" s="2308"/>
    </row>
    <row r="16" spans="2:23" ht="14.4">
      <c r="E16" s="2006" t="str" cm="1">
        <f t="array" ref="E16">+_xlfn.IFS(LEFT(H16,2)="Ph","Phillips",LEFT(H16,2)="BS","Bayside",LEFT(H16,2)="BB","Big Bend",LEFT(H16,2)="PK","Polk")</f>
        <v>Big Bend</v>
      </c>
      <c r="F16" s="2078">
        <v>353</v>
      </c>
      <c r="G16" s="2078" t="s">
        <v>3061</v>
      </c>
      <c r="H16" s="2309" t="s">
        <v>3062</v>
      </c>
      <c r="I16" s="2310">
        <v>3182433.94</v>
      </c>
      <c r="J16" s="2310">
        <v>2881823.03</v>
      </c>
      <c r="K16" s="2310">
        <v>2881823.03</v>
      </c>
      <c r="L16" s="2310">
        <v>2881823.03</v>
      </c>
      <c r="M16" s="2310">
        <v>2881823.03</v>
      </c>
      <c r="N16" s="2310">
        <v>2881823.03</v>
      </c>
      <c r="O16" s="2310">
        <v>2881823.03</v>
      </c>
      <c r="P16" s="2310">
        <v>2881823.03</v>
      </c>
      <c r="Q16" s="2122">
        <v>2881823.03</v>
      </c>
      <c r="R16" s="2122">
        <v>2881823.03</v>
      </c>
      <c r="S16" s="2122">
        <v>2881823.03</v>
      </c>
      <c r="T16" s="2122">
        <v>2881823.03</v>
      </c>
      <c r="U16" s="2122">
        <v>3182433.94</v>
      </c>
      <c r="V16" s="2272">
        <f t="shared" si="0"/>
        <v>2928070.8623076924</v>
      </c>
      <c r="W16" s="2308"/>
    </row>
    <row r="17" spans="5:23" ht="14.4">
      <c r="E17" s="2006" t="str" cm="1">
        <f t="array" ref="E17">+_xlfn.IFS(LEFT(H17,2)="Ph","Phillips",LEFT(H17,2)="BS","Bayside",LEFT(H17,2)="BB","Big Bend",LEFT(H17,2)="PK","Polk")</f>
        <v>Big Bend</v>
      </c>
      <c r="F17" s="2078">
        <v>353</v>
      </c>
      <c r="G17" s="2315">
        <v>44</v>
      </c>
      <c r="H17" s="2309" t="s">
        <v>3063</v>
      </c>
      <c r="I17" s="2310">
        <v>1551919.39</v>
      </c>
      <c r="J17" s="2310">
        <v>1551919.39</v>
      </c>
      <c r="K17" s="2310">
        <v>1551919.39</v>
      </c>
      <c r="L17" s="2310">
        <v>1551919.39</v>
      </c>
      <c r="M17" s="2310">
        <v>1551919.39</v>
      </c>
      <c r="N17" s="2310">
        <v>1551919.39</v>
      </c>
      <c r="O17" s="2310">
        <v>1551919.39</v>
      </c>
      <c r="P17" s="2310">
        <v>1551919.39</v>
      </c>
      <c r="Q17" s="2122">
        <v>1551919.39</v>
      </c>
      <c r="R17" s="2122">
        <v>1551919.39</v>
      </c>
      <c r="S17" s="2122">
        <v>1551919.39</v>
      </c>
      <c r="T17" s="2122">
        <v>1551919.39</v>
      </c>
      <c r="U17" s="2122">
        <v>1551919.39</v>
      </c>
      <c r="V17" s="2272">
        <f t="shared" si="0"/>
        <v>1551919.3900000004</v>
      </c>
      <c r="W17" s="2308"/>
    </row>
    <row r="18" spans="5:23" ht="14.4">
      <c r="E18" s="2006" t="str" cm="1">
        <f t="array" ref="E18">+_xlfn.IFS(LEFT(H18,2)="Ph","Phillips",LEFT(H18,2)="BS","Bayside",LEFT(H18,2)="BB","Big Bend",LEFT(H18,2)="PK","Polk")</f>
        <v>Big Bend</v>
      </c>
      <c r="F18" s="2078">
        <v>353</v>
      </c>
      <c r="G18" s="2078" t="s">
        <v>3064</v>
      </c>
      <c r="H18" s="2309" t="s">
        <v>3065</v>
      </c>
      <c r="I18" s="2310">
        <v>0</v>
      </c>
      <c r="J18" s="2310">
        <v>0</v>
      </c>
      <c r="K18" s="2310">
        <v>0</v>
      </c>
      <c r="L18" s="2310">
        <v>0</v>
      </c>
      <c r="M18" s="2310">
        <v>0</v>
      </c>
      <c r="N18" s="2310">
        <v>0</v>
      </c>
      <c r="O18" s="2310">
        <v>0</v>
      </c>
      <c r="P18" s="2310">
        <v>0</v>
      </c>
      <c r="Q18" s="2122">
        <v>0</v>
      </c>
      <c r="R18" s="2122">
        <v>0</v>
      </c>
      <c r="S18" s="2122">
        <v>0</v>
      </c>
      <c r="T18" s="2122">
        <v>0</v>
      </c>
      <c r="U18" s="2122">
        <v>0</v>
      </c>
      <c r="V18" s="2272">
        <f t="shared" si="0"/>
        <v>0</v>
      </c>
      <c r="W18" s="2308"/>
    </row>
    <row r="19" spans="5:23" ht="15" customHeight="1">
      <c r="E19" s="2006" t="e" cm="1">
        <f t="array" ref="E19">+_xlfn.IFS(LEFT(H19,2)="Ph","Phillips",LEFT(H19,2)="BS","Bayside",LEFT(H19,2)="BB","Big Bend",LEFT(H19,2)="PK","Polk")</f>
        <v>#N/A</v>
      </c>
      <c r="F19" s="2078">
        <v>353</v>
      </c>
      <c r="G19" s="2078" t="s">
        <v>3066</v>
      </c>
      <c r="H19" s="2309" t="s">
        <v>3067</v>
      </c>
      <c r="I19" s="2310">
        <v>0</v>
      </c>
      <c r="J19" s="2310">
        <v>0</v>
      </c>
      <c r="K19" s="2310">
        <v>0</v>
      </c>
      <c r="L19" s="2310">
        <v>0</v>
      </c>
      <c r="M19" s="2310">
        <v>0</v>
      </c>
      <c r="N19" s="2310">
        <v>0</v>
      </c>
      <c r="O19" s="2310">
        <v>0</v>
      </c>
      <c r="P19" s="2310">
        <v>0</v>
      </c>
      <c r="Q19" s="2122">
        <v>0</v>
      </c>
      <c r="R19" s="2122">
        <v>0</v>
      </c>
      <c r="S19" s="2122">
        <v>0</v>
      </c>
      <c r="T19" s="2122">
        <v>0</v>
      </c>
      <c r="U19" s="2122">
        <v>0</v>
      </c>
      <c r="V19" s="2272">
        <f t="shared" si="0"/>
        <v>0</v>
      </c>
      <c r="W19" s="2308"/>
    </row>
    <row r="20" spans="5:23" ht="14.4">
      <c r="E20" s="2006" t="e" cm="1">
        <f t="array" ref="E20">+_xlfn.IFS(LEFT(H20,2)="Ph","Phillips",LEFT(H20,2)="BS","Bayside",LEFT(H20,2)="BB","Big Bend",LEFT(H20,2)="PK","Polk")</f>
        <v>#N/A</v>
      </c>
      <c r="F20" s="2078">
        <v>353</v>
      </c>
      <c r="G20" s="2078" t="s">
        <v>3068</v>
      </c>
      <c r="H20" s="2309" t="s">
        <v>3069</v>
      </c>
      <c r="I20" s="2310">
        <v>0</v>
      </c>
      <c r="J20" s="2310">
        <v>0</v>
      </c>
      <c r="K20" s="2310">
        <v>0</v>
      </c>
      <c r="L20" s="2310">
        <v>0</v>
      </c>
      <c r="M20" s="2310">
        <v>0</v>
      </c>
      <c r="N20" s="2310">
        <v>0</v>
      </c>
      <c r="O20" s="2310">
        <v>0</v>
      </c>
      <c r="P20" s="2310">
        <v>0</v>
      </c>
      <c r="Q20" s="2122">
        <v>0</v>
      </c>
      <c r="R20" s="2122">
        <v>0</v>
      </c>
      <c r="S20" s="2122">
        <v>0</v>
      </c>
      <c r="T20" s="2122">
        <v>0</v>
      </c>
      <c r="U20" s="2122">
        <v>0</v>
      </c>
      <c r="V20" s="2272">
        <f t="shared" si="0"/>
        <v>0</v>
      </c>
      <c r="W20" s="2308"/>
    </row>
    <row r="21" spans="5:23" ht="14.4">
      <c r="E21" s="2006" t="e" cm="1">
        <f t="array" ref="E21">+_xlfn.IFS(LEFT(H21,2)="Ph","Phillips",LEFT(H21,2)="BS","Bayside",LEFT(H21,2)="BB","Big Bend",LEFT(H21,2)="PK","Polk")</f>
        <v>#N/A</v>
      </c>
      <c r="F21" s="2078">
        <v>353</v>
      </c>
      <c r="G21" s="2078" t="s">
        <v>3070</v>
      </c>
      <c r="H21" s="2309" t="s">
        <v>3071</v>
      </c>
      <c r="I21" s="2310">
        <v>0</v>
      </c>
      <c r="J21" s="2310">
        <v>0</v>
      </c>
      <c r="K21" s="2310">
        <v>0</v>
      </c>
      <c r="L21" s="2310">
        <v>0</v>
      </c>
      <c r="M21" s="2310">
        <v>0</v>
      </c>
      <c r="N21" s="2310">
        <v>0</v>
      </c>
      <c r="O21" s="2310">
        <v>0</v>
      </c>
      <c r="P21" s="2310">
        <v>0</v>
      </c>
      <c r="Q21" s="2122">
        <v>0</v>
      </c>
      <c r="R21" s="2122">
        <v>0</v>
      </c>
      <c r="S21" s="2122">
        <v>0</v>
      </c>
      <c r="T21" s="2122">
        <v>0</v>
      </c>
      <c r="U21" s="2122">
        <v>0</v>
      </c>
      <c r="V21" s="2272">
        <f t="shared" si="0"/>
        <v>0</v>
      </c>
      <c r="W21" s="2316"/>
    </row>
    <row r="22" spans="5:23" ht="14.4">
      <c r="E22" s="2006" t="e" cm="1">
        <f t="array" ref="E22">+_xlfn.IFS(LEFT(H22,2)="Ph","Phillips",LEFT(H22,2)="BS","Bayside",LEFT(H22,2)="BB","Big Bend",LEFT(H22,2)="PK","Polk")</f>
        <v>#N/A</v>
      </c>
      <c r="F22" s="2078">
        <v>353</v>
      </c>
      <c r="G22" s="2078" t="s">
        <v>3072</v>
      </c>
      <c r="H22" s="2309" t="s">
        <v>3073</v>
      </c>
      <c r="I22" s="2310">
        <v>0</v>
      </c>
      <c r="J22" s="2310">
        <v>0</v>
      </c>
      <c r="K22" s="2310">
        <v>0</v>
      </c>
      <c r="L22" s="2310">
        <v>0</v>
      </c>
      <c r="M22" s="2310">
        <v>0</v>
      </c>
      <c r="N22" s="2310">
        <v>0</v>
      </c>
      <c r="O22" s="2310">
        <v>0</v>
      </c>
      <c r="P22" s="2310">
        <v>0</v>
      </c>
      <c r="Q22" s="2122">
        <v>0</v>
      </c>
      <c r="R22" s="2122">
        <v>0</v>
      </c>
      <c r="S22" s="2122">
        <v>0</v>
      </c>
      <c r="T22" s="2122">
        <v>0</v>
      </c>
      <c r="U22" s="2122">
        <v>0</v>
      </c>
      <c r="V22" s="2272">
        <f t="shared" si="0"/>
        <v>0</v>
      </c>
      <c r="W22" s="2308"/>
    </row>
    <row r="23" spans="5:23" ht="14.4">
      <c r="E23" s="2006" t="str" cm="1">
        <f t="array" ref="E23">+_xlfn.IFS(LEFT(H23,2)="Ph","Phillips",LEFT(H23,2)="BS","Bayside",LEFT(H23,2)="BB","Big Bend",LEFT(H23,2)="PK","Polk")</f>
        <v>Polk</v>
      </c>
      <c r="F23" s="2078">
        <v>353</v>
      </c>
      <c r="G23" s="2078" t="s">
        <v>3074</v>
      </c>
      <c r="H23" s="2309" t="s">
        <v>3075</v>
      </c>
      <c r="I23" s="2310">
        <v>2133597.09</v>
      </c>
      <c r="J23" s="2310">
        <v>2133597.09</v>
      </c>
      <c r="K23" s="2310">
        <v>2133597.09</v>
      </c>
      <c r="L23" s="2310">
        <v>2133597.09</v>
      </c>
      <c r="M23" s="2310">
        <v>2133597.0900000003</v>
      </c>
      <c r="N23" s="2310">
        <v>2133597.09</v>
      </c>
      <c r="O23" s="2310">
        <v>2133597.0900000003</v>
      </c>
      <c r="P23" s="2310">
        <v>2133597.0900000003</v>
      </c>
      <c r="Q23" s="2122">
        <v>2133597.09</v>
      </c>
      <c r="R23" s="2122">
        <v>2133597.09</v>
      </c>
      <c r="S23" s="2122">
        <v>2133597.0900000003</v>
      </c>
      <c r="T23" s="2122">
        <v>2133597.09</v>
      </c>
      <c r="U23" s="2122">
        <v>2133597.09</v>
      </c>
      <c r="V23" s="2272">
        <f t="shared" si="0"/>
        <v>2133597.09</v>
      </c>
      <c r="W23" s="2308"/>
    </row>
    <row r="24" spans="5:23" ht="14.4">
      <c r="E24" s="2006" t="str" cm="1">
        <f t="array" ref="E24">+_xlfn.IFS(LEFT(H24,2)="Ph","Phillips",LEFT(H24,2)="BS","Bayside",LEFT(H24,2)="BB","Big Bend",LEFT(H24,2)="PK","Polk")</f>
        <v>Polk</v>
      </c>
      <c r="F24" s="2078">
        <v>353</v>
      </c>
      <c r="G24" s="2078" t="s">
        <v>3076</v>
      </c>
      <c r="H24" s="2309" t="s">
        <v>3077</v>
      </c>
      <c r="I24" s="2310">
        <v>1342872.57</v>
      </c>
      <c r="J24" s="2310">
        <v>1342872.57</v>
      </c>
      <c r="K24" s="2310">
        <v>1342872.57</v>
      </c>
      <c r="L24" s="2310">
        <v>1342872.57</v>
      </c>
      <c r="M24" s="2310">
        <v>1342872.57</v>
      </c>
      <c r="N24" s="2310">
        <v>1342872.57</v>
      </c>
      <c r="O24" s="2310">
        <v>1342872.57</v>
      </c>
      <c r="P24" s="2310">
        <v>1342872.57</v>
      </c>
      <c r="Q24" s="2122">
        <v>1342872.57</v>
      </c>
      <c r="R24" s="2122">
        <v>1342872.57</v>
      </c>
      <c r="S24" s="2122">
        <v>1342872.57</v>
      </c>
      <c r="T24" s="2122">
        <v>1342872.57</v>
      </c>
      <c r="U24" s="2122">
        <v>1342872.57</v>
      </c>
      <c r="V24" s="2272">
        <f t="shared" si="0"/>
        <v>1342872.57</v>
      </c>
      <c r="W24" s="2308"/>
    </row>
    <row r="25" spans="5:23" ht="14.4">
      <c r="E25" s="2006" t="str" cm="1">
        <f t="array" ref="E25">+_xlfn.IFS(LEFT(H25,2)="Ph","Phillips",LEFT(H25,2)="BS","Bayside",LEFT(H25,2)="BB","Big Bend",LEFT(H25,2)="PK","Polk")</f>
        <v>Polk</v>
      </c>
      <c r="F25" s="2078">
        <v>353</v>
      </c>
      <c r="G25" s="2078"/>
      <c r="H25" s="2309" t="s">
        <v>3078</v>
      </c>
      <c r="I25" s="2310">
        <v>5680281.0600000005</v>
      </c>
      <c r="J25" s="2310">
        <v>5680281.0600000005</v>
      </c>
      <c r="K25" s="2310">
        <v>5680281.0600000005</v>
      </c>
      <c r="L25" s="2310">
        <v>5680281.0600000005</v>
      </c>
      <c r="M25" s="2310">
        <v>5680281.0600000005</v>
      </c>
      <c r="N25" s="2310">
        <v>5680281.0600000005</v>
      </c>
      <c r="O25" s="2310">
        <v>5680281.0600000005</v>
      </c>
      <c r="P25" s="2310">
        <v>5680281.0600000005</v>
      </c>
      <c r="Q25" s="2122">
        <v>5680281.0600000005</v>
      </c>
      <c r="R25" s="2122">
        <v>5680281.0600000005</v>
      </c>
      <c r="S25" s="2122">
        <v>5680281.0600000005</v>
      </c>
      <c r="T25" s="2122">
        <v>5680281.0600000005</v>
      </c>
      <c r="U25" s="2122">
        <v>5680281.0600000005</v>
      </c>
      <c r="V25" s="2272">
        <f t="shared" si="0"/>
        <v>5680281.0600000015</v>
      </c>
      <c r="W25" s="2308"/>
    </row>
    <row r="26" spans="5:23" ht="14.4">
      <c r="E26" s="2006" t="str" cm="1">
        <f t="array" ref="E26">+_xlfn.IFS(LEFT(H26,2)="Ph","Phillips",LEFT(H26,2)="BS","Bayside",LEFT(H26,2)="BB","Big Bend",LEFT(H26,2)="PK","Polk")</f>
        <v>Polk</v>
      </c>
      <c r="F26" s="2078">
        <v>353</v>
      </c>
      <c r="G26" s="2078" t="s">
        <v>3079</v>
      </c>
      <c r="H26" s="2309" t="s">
        <v>3080</v>
      </c>
      <c r="I26" s="2310">
        <v>1396226.7999999998</v>
      </c>
      <c r="J26" s="2310">
        <v>1396226.7999999998</v>
      </c>
      <c r="K26" s="2310">
        <v>1396226.7999999998</v>
      </c>
      <c r="L26" s="2310">
        <v>1396226.7999999998</v>
      </c>
      <c r="M26" s="2310">
        <v>1396226.7999999998</v>
      </c>
      <c r="N26" s="2310">
        <v>1396226.7999999998</v>
      </c>
      <c r="O26" s="2310">
        <v>1396226.7999999998</v>
      </c>
      <c r="P26" s="2310">
        <v>1396226.7999999998</v>
      </c>
      <c r="Q26" s="2122">
        <v>1396226.7999999998</v>
      </c>
      <c r="R26" s="2122">
        <v>1396226.7999999998</v>
      </c>
      <c r="S26" s="2122">
        <v>1396226.7999999998</v>
      </c>
      <c r="T26" s="2122">
        <v>1396226.7999999998</v>
      </c>
      <c r="U26" s="2122">
        <v>1396226.7999999998</v>
      </c>
      <c r="V26" s="2272">
        <f t="shared" si="0"/>
        <v>1396226.8000000003</v>
      </c>
      <c r="W26" s="2308"/>
    </row>
    <row r="27" spans="5:23" ht="14.4">
      <c r="E27" s="2006" t="str" cm="1">
        <f t="array" ref="E27">+_xlfn.IFS(LEFT(H27,2)="Ph","Phillips",LEFT(H27,2)="BS","Bayside",LEFT(H27,2)="BB","Big Bend",LEFT(H27,2)="PK","Polk")</f>
        <v>Polk</v>
      </c>
      <c r="F27" s="2078">
        <v>353</v>
      </c>
      <c r="G27" s="2078" t="s">
        <v>3081</v>
      </c>
      <c r="H27" s="2309" t="s">
        <v>3082</v>
      </c>
      <c r="I27" s="2310">
        <v>782781.06</v>
      </c>
      <c r="J27" s="2310">
        <v>782781.06</v>
      </c>
      <c r="K27" s="2310">
        <v>782781.06</v>
      </c>
      <c r="L27" s="2310">
        <v>782781.06</v>
      </c>
      <c r="M27" s="2310">
        <v>782781.06</v>
      </c>
      <c r="N27" s="2310">
        <v>782781.06</v>
      </c>
      <c r="O27" s="2310">
        <v>782781.06</v>
      </c>
      <c r="P27" s="2310">
        <v>782781.06</v>
      </c>
      <c r="Q27" s="2122">
        <v>782781.06</v>
      </c>
      <c r="R27" s="2122">
        <v>782781.06</v>
      </c>
      <c r="S27" s="2122">
        <v>782781.06</v>
      </c>
      <c r="T27" s="2122">
        <v>782781.06</v>
      </c>
      <c r="U27" s="2122">
        <v>782781.06</v>
      </c>
      <c r="V27" s="2272">
        <f t="shared" si="0"/>
        <v>782781.06000000029</v>
      </c>
      <c r="W27" s="2308"/>
    </row>
    <row r="28" spans="5:23" ht="14.4">
      <c r="E28" s="2006" t="str" cm="1">
        <f t="array" ref="E28">+_xlfn.IFS(LEFT(H28,2)="Ph","Phillips",LEFT(H28,2)="BS","Bayside",LEFT(H28,2)="BB","Big Bend",LEFT(H28,2)="PK","Polk")</f>
        <v>Polk</v>
      </c>
      <c r="F28" s="2078">
        <v>353</v>
      </c>
      <c r="G28" s="2078" t="s">
        <v>3083</v>
      </c>
      <c r="H28" s="2309" t="s">
        <v>3084</v>
      </c>
      <c r="I28" s="2310">
        <v>1179532.74</v>
      </c>
      <c r="J28" s="2310">
        <v>1179532.74</v>
      </c>
      <c r="K28" s="2310">
        <v>1179532.74</v>
      </c>
      <c r="L28" s="2310">
        <v>1179532.74</v>
      </c>
      <c r="M28" s="2310">
        <v>1179532.74</v>
      </c>
      <c r="N28" s="2310">
        <v>1179532.74</v>
      </c>
      <c r="O28" s="2310">
        <v>1179532.74</v>
      </c>
      <c r="P28" s="2310">
        <v>1179532.74</v>
      </c>
      <c r="Q28" s="2122">
        <v>1179532.74</v>
      </c>
      <c r="R28" s="2122">
        <v>1179532.74</v>
      </c>
      <c r="S28" s="2122">
        <v>1179532.74</v>
      </c>
      <c r="T28" s="2122">
        <v>1179532.74</v>
      </c>
      <c r="U28" s="2122">
        <v>1179532.74</v>
      </c>
      <c r="V28" s="2272">
        <f t="shared" si="0"/>
        <v>1179532.74</v>
      </c>
      <c r="W28" s="2308"/>
    </row>
    <row r="29" spans="5:23" ht="14.4">
      <c r="F29" s="2078">
        <v>352</v>
      </c>
      <c r="G29" s="2078"/>
      <c r="H29" s="2309" t="s">
        <v>8409</v>
      </c>
      <c r="I29" s="2310">
        <v>175404.54899999997</v>
      </c>
      <c r="J29" s="2310">
        <v>175404.54899999997</v>
      </c>
      <c r="K29" s="2310">
        <v>175404.54899999997</v>
      </c>
      <c r="L29" s="2310">
        <v>175404.54899999997</v>
      </c>
      <c r="M29" s="2310">
        <v>175404.54899999997</v>
      </c>
      <c r="N29" s="2310">
        <v>175404.54899999997</v>
      </c>
      <c r="O29" s="2310">
        <v>175404.54899999997</v>
      </c>
      <c r="P29" s="2310">
        <v>175404.54899999997</v>
      </c>
      <c r="Q29" s="2310">
        <v>175404.54899999997</v>
      </c>
      <c r="R29" s="2310">
        <v>175404.54899999997</v>
      </c>
      <c r="S29" s="2310">
        <v>175404.54899999997</v>
      </c>
      <c r="T29" s="2122">
        <v>175404.54899999997</v>
      </c>
      <c r="U29" s="2122">
        <v>175404.54899999997</v>
      </c>
      <c r="V29" s="2272">
        <f t="shared" si="0"/>
        <v>175404.54899999994</v>
      </c>
      <c r="W29" s="2308"/>
    </row>
    <row r="30" spans="5:23" ht="14.4">
      <c r="F30" s="2078">
        <v>353</v>
      </c>
      <c r="G30" s="2315"/>
      <c r="H30" s="2123" t="s">
        <v>8409</v>
      </c>
      <c r="I30" s="2310">
        <v>1131633.2059999998</v>
      </c>
      <c r="J30" s="2122">
        <v>1131633.2059999998</v>
      </c>
      <c r="K30" s="2122">
        <v>1131633.2059999998</v>
      </c>
      <c r="L30" s="2122">
        <v>1131633.2059999998</v>
      </c>
      <c r="M30" s="2122">
        <v>1131633.2059999998</v>
      </c>
      <c r="N30" s="2122">
        <v>1131633.2059999998</v>
      </c>
      <c r="O30" s="2122">
        <v>1131633.2059999998</v>
      </c>
      <c r="P30" s="2122">
        <v>1131633.2059999998</v>
      </c>
      <c r="Q30" s="2122">
        <v>1131633.2059999998</v>
      </c>
      <c r="R30" s="2122">
        <v>1131633.2059999998</v>
      </c>
      <c r="S30" s="2122">
        <v>1131633.2059999998</v>
      </c>
      <c r="T30" s="2122">
        <v>1131633.2059999998</v>
      </c>
      <c r="U30" s="2122">
        <v>1131633.2059999998</v>
      </c>
      <c r="V30" s="2272">
        <f t="shared" si="0"/>
        <v>1131633.206</v>
      </c>
      <c r="W30" s="2308"/>
    </row>
    <row r="31" spans="5:23" ht="14.4">
      <c r="F31" s="2078">
        <v>353</v>
      </c>
      <c r="G31" s="2315"/>
      <c r="H31" s="2123" t="s">
        <v>3085</v>
      </c>
      <c r="I31" s="2310">
        <v>4386647.4326666677</v>
      </c>
      <c r="J31" s="2122">
        <v>4386647.4326666677</v>
      </c>
      <c r="K31" s="2122">
        <v>4386647.4326666677</v>
      </c>
      <c r="L31" s="2122">
        <v>4386647.4326666677</v>
      </c>
      <c r="M31" s="2122">
        <v>4386647.4326666677</v>
      </c>
      <c r="N31" s="2122">
        <v>4386647.4326666677</v>
      </c>
      <c r="O31" s="2122">
        <v>4386647.4326666677</v>
      </c>
      <c r="P31" s="2122">
        <v>4386647.4326666677</v>
      </c>
      <c r="Q31" s="2122">
        <v>4386647.4326666677</v>
      </c>
      <c r="R31" s="2122">
        <v>4386647.4326666677</v>
      </c>
      <c r="S31" s="2122">
        <v>4386647.4326666677</v>
      </c>
      <c r="T31" s="2122">
        <v>4386647.4326666677</v>
      </c>
      <c r="U31" s="2122">
        <v>4386647.4326666677</v>
      </c>
      <c r="V31" s="2272">
        <f t="shared" si="0"/>
        <v>4386647.4326666677</v>
      </c>
      <c r="W31" s="2308"/>
    </row>
    <row r="32" spans="5:23" ht="14.4">
      <c r="F32" s="2078">
        <v>353</v>
      </c>
      <c r="G32" s="2315"/>
      <c r="H32" s="2123" t="s">
        <v>3086</v>
      </c>
      <c r="I32" s="2310">
        <v>4053480.9286666671</v>
      </c>
      <c r="J32" s="2122">
        <v>4053480.9286666671</v>
      </c>
      <c r="K32" s="2122">
        <v>4053480.9286666671</v>
      </c>
      <c r="L32" s="2122">
        <v>4053480.9286666671</v>
      </c>
      <c r="M32" s="2122">
        <v>4053480.9286666671</v>
      </c>
      <c r="N32" s="2122">
        <v>4053480.9286666671</v>
      </c>
      <c r="O32" s="2122">
        <v>4053480.9286666671</v>
      </c>
      <c r="P32" s="2122">
        <v>4053480.9286666671</v>
      </c>
      <c r="Q32" s="2122">
        <v>4053480.9286666671</v>
      </c>
      <c r="R32" s="2122">
        <v>4053480.9286666671</v>
      </c>
      <c r="S32" s="2122">
        <v>4053480.9286666671</v>
      </c>
      <c r="T32" s="2122">
        <v>4053480.9286666671</v>
      </c>
      <c r="U32" s="2122">
        <v>4053480.9286666671</v>
      </c>
      <c r="V32" s="2272">
        <f t="shared" si="0"/>
        <v>4053480.9286666666</v>
      </c>
      <c r="W32" s="2308"/>
    </row>
    <row r="33" spans="6:23" ht="14.4">
      <c r="F33" s="2078">
        <v>353</v>
      </c>
      <c r="G33" s="2315"/>
      <c r="H33" s="2123" t="s">
        <v>3087</v>
      </c>
      <c r="I33" s="2310">
        <v>5444684.9200000009</v>
      </c>
      <c r="J33" s="2122">
        <v>5444684.9200000009</v>
      </c>
      <c r="K33" s="2122">
        <v>5444684.9200000009</v>
      </c>
      <c r="L33" s="2122">
        <v>5444684.9200000009</v>
      </c>
      <c r="M33" s="2122">
        <v>5444684.9200000009</v>
      </c>
      <c r="N33" s="2122">
        <v>5444684.9200000009</v>
      </c>
      <c r="O33" s="2122">
        <v>5444684.9200000009</v>
      </c>
      <c r="P33" s="2122">
        <v>5444684.9200000009</v>
      </c>
      <c r="Q33" s="2122">
        <v>5444684.9200000009</v>
      </c>
      <c r="R33" s="2122">
        <v>5444684.9200000009</v>
      </c>
      <c r="S33" s="2122">
        <v>5444684.9200000009</v>
      </c>
      <c r="T33" s="2122">
        <v>5444684.9200000009</v>
      </c>
      <c r="U33" s="2122">
        <v>5444684.9200000009</v>
      </c>
      <c r="V33" s="2272">
        <f t="shared" si="0"/>
        <v>5444684.9200000009</v>
      </c>
      <c r="W33" s="2308"/>
    </row>
    <row r="34" spans="6:23" ht="14.4">
      <c r="F34" s="2078">
        <v>353</v>
      </c>
      <c r="G34" s="2315"/>
      <c r="H34" s="2123" t="s">
        <v>3088</v>
      </c>
      <c r="I34" s="2310">
        <v>3730121.0266666668</v>
      </c>
      <c r="J34" s="2122">
        <v>3730121.0266666668</v>
      </c>
      <c r="K34" s="2122">
        <v>3730121.0266666668</v>
      </c>
      <c r="L34" s="2122">
        <v>3730121.0266666668</v>
      </c>
      <c r="M34" s="2122">
        <v>3730121.0266666668</v>
      </c>
      <c r="N34" s="2122">
        <v>3730121.0266666668</v>
      </c>
      <c r="O34" s="2122">
        <v>3730121.0266666668</v>
      </c>
      <c r="P34" s="2122">
        <v>3730121.0266666668</v>
      </c>
      <c r="Q34" s="2122">
        <v>3730121.0266666668</v>
      </c>
      <c r="R34" s="2122">
        <v>3730121.0266666668</v>
      </c>
      <c r="S34" s="2122">
        <v>3730121.0266666668</v>
      </c>
      <c r="T34" s="2122">
        <v>3730121.0266666668</v>
      </c>
      <c r="U34" s="2122">
        <v>3730121.0266666668</v>
      </c>
      <c r="V34" s="2272">
        <f t="shared" si="0"/>
        <v>3730121.0266666659</v>
      </c>
      <c r="W34" s="2308"/>
    </row>
    <row r="35" spans="6:23" ht="14.4">
      <c r="F35" s="2078">
        <v>353</v>
      </c>
      <c r="G35" s="2315"/>
      <c r="H35" s="2123" t="s">
        <v>3089</v>
      </c>
      <c r="I35" s="2310">
        <v>3128490.568</v>
      </c>
      <c r="J35" s="2122">
        <v>3128490.568</v>
      </c>
      <c r="K35" s="2122">
        <v>3128490.568</v>
      </c>
      <c r="L35" s="2122">
        <v>3128490.568</v>
      </c>
      <c r="M35" s="2122">
        <v>3128490.568</v>
      </c>
      <c r="N35" s="2122">
        <v>3128490.568</v>
      </c>
      <c r="O35" s="2122">
        <v>3128490.568</v>
      </c>
      <c r="P35" s="2122">
        <v>3128490.568</v>
      </c>
      <c r="Q35" s="2122">
        <v>3128490.568</v>
      </c>
      <c r="R35" s="2122">
        <v>3128490.568</v>
      </c>
      <c r="S35" s="2122">
        <v>3128490.568</v>
      </c>
      <c r="T35" s="2122">
        <v>3128490.568</v>
      </c>
      <c r="U35" s="2122">
        <v>3128490.568</v>
      </c>
      <c r="V35" s="2272">
        <f t="shared" si="0"/>
        <v>3128490.5680000004</v>
      </c>
      <c r="W35" s="2308"/>
    </row>
    <row r="36" spans="6:23" ht="14.4">
      <c r="F36" s="2078">
        <v>353</v>
      </c>
      <c r="G36" s="2315"/>
      <c r="H36" s="2123" t="s">
        <v>3090</v>
      </c>
      <c r="I36" s="2310">
        <v>5680094.2530000005</v>
      </c>
      <c r="J36" s="2122">
        <v>5680094.2530000005</v>
      </c>
      <c r="K36" s="2122">
        <v>5680094.2530000005</v>
      </c>
      <c r="L36" s="2122">
        <v>5680094.2530000005</v>
      </c>
      <c r="M36" s="2122">
        <v>5680094.2530000005</v>
      </c>
      <c r="N36" s="2122">
        <v>5680094.2530000005</v>
      </c>
      <c r="O36" s="2122">
        <v>5680094.2530000005</v>
      </c>
      <c r="P36" s="2122">
        <v>5680094.2530000005</v>
      </c>
      <c r="Q36" s="2122">
        <v>5680094.2530000005</v>
      </c>
      <c r="R36" s="2122">
        <v>5680094.2530000005</v>
      </c>
      <c r="S36" s="2122">
        <v>5680094.2530000005</v>
      </c>
      <c r="T36" s="2122">
        <v>5680094.2530000005</v>
      </c>
      <c r="U36" s="2122">
        <v>5680094.2530000005</v>
      </c>
      <c r="V36" s="2272">
        <f t="shared" si="0"/>
        <v>5680094.2530000005</v>
      </c>
      <c r="W36" s="2308"/>
    </row>
    <row r="37" spans="6:23" ht="16.5" customHeight="1">
      <c r="F37" s="2078">
        <v>353</v>
      </c>
      <c r="G37" s="2315"/>
      <c r="H37" s="2123" t="s">
        <v>3091</v>
      </c>
      <c r="I37" s="2310">
        <v>3168352.9220000003</v>
      </c>
      <c r="J37" s="2122">
        <v>3168352.9220000003</v>
      </c>
      <c r="K37" s="2122">
        <v>3168352.9220000003</v>
      </c>
      <c r="L37" s="2122">
        <v>3168352.9220000003</v>
      </c>
      <c r="M37" s="2122">
        <v>3168352.9220000003</v>
      </c>
      <c r="N37" s="2122">
        <v>3168352.9220000003</v>
      </c>
      <c r="O37" s="2122">
        <v>3168352.9220000003</v>
      </c>
      <c r="P37" s="2122">
        <v>3168352.9220000003</v>
      </c>
      <c r="Q37" s="2122">
        <v>3168352.9220000003</v>
      </c>
      <c r="R37" s="2122">
        <v>3168352.9220000003</v>
      </c>
      <c r="S37" s="2122">
        <v>3168352.9220000003</v>
      </c>
      <c r="T37" s="2122">
        <v>3168352.9220000003</v>
      </c>
      <c r="U37" s="2122">
        <v>3168352.9220000003</v>
      </c>
      <c r="V37" s="2272">
        <f t="shared" si="0"/>
        <v>3168352.9219999993</v>
      </c>
      <c r="W37" s="2308"/>
    </row>
    <row r="38" spans="6:23" ht="16.5" customHeight="1">
      <c r="F38" s="2078">
        <v>353</v>
      </c>
      <c r="G38" s="2315"/>
      <c r="H38" s="2123" t="s">
        <v>3092</v>
      </c>
      <c r="I38" s="2310">
        <v>2895510.8179999995</v>
      </c>
      <c r="J38" s="2122">
        <v>2895510.8179999995</v>
      </c>
      <c r="K38" s="2122">
        <v>2895510.8179999995</v>
      </c>
      <c r="L38" s="2122">
        <v>2895510.8179999995</v>
      </c>
      <c r="M38" s="2122">
        <v>2895510.8179999995</v>
      </c>
      <c r="N38" s="2122">
        <v>2895510.8179999995</v>
      </c>
      <c r="O38" s="2122">
        <v>2895510.8179999995</v>
      </c>
      <c r="P38" s="2122">
        <v>2895510.8179999995</v>
      </c>
      <c r="Q38" s="2122">
        <v>2895510.8179999995</v>
      </c>
      <c r="R38" s="2122">
        <v>2895510.8179999995</v>
      </c>
      <c r="S38" s="2122">
        <v>2895510.8179999995</v>
      </c>
      <c r="T38" s="2122">
        <v>2895510.8179999995</v>
      </c>
      <c r="U38" s="2122">
        <v>2895510.8179999995</v>
      </c>
      <c r="V38" s="2272">
        <f t="shared" si="0"/>
        <v>2895510.817999999</v>
      </c>
      <c r="W38" s="2308"/>
    </row>
    <row r="39" spans="6:23" ht="16.5" customHeight="1">
      <c r="F39" s="2078">
        <v>352</v>
      </c>
      <c r="G39" s="2315"/>
      <c r="H39" s="2123" t="s">
        <v>3085</v>
      </c>
      <c r="I39" s="2310">
        <v>1480968.8890000002</v>
      </c>
      <c r="J39" s="2122">
        <v>1480968.8890000002</v>
      </c>
      <c r="K39" s="2122">
        <v>1480968.8890000002</v>
      </c>
      <c r="L39" s="2122">
        <v>1480968.8890000002</v>
      </c>
      <c r="M39" s="2122">
        <v>1480968.8890000002</v>
      </c>
      <c r="N39" s="2122">
        <v>1480968.8890000002</v>
      </c>
      <c r="O39" s="2122">
        <v>1480968.8890000002</v>
      </c>
      <c r="P39" s="2122">
        <v>1480968.8890000002</v>
      </c>
      <c r="Q39" s="2122">
        <v>1480968.8890000002</v>
      </c>
      <c r="R39" s="2122">
        <v>1480968.8890000002</v>
      </c>
      <c r="S39" s="2122">
        <v>1480968.8890000002</v>
      </c>
      <c r="T39" s="2122">
        <v>1480968.8890000002</v>
      </c>
      <c r="U39" s="2122">
        <v>1480968.8890000002</v>
      </c>
      <c r="V39" s="2272">
        <f t="shared" si="0"/>
        <v>1480968.889</v>
      </c>
      <c r="W39" s="2308"/>
    </row>
    <row r="40" spans="6:23" ht="16.5" customHeight="1">
      <c r="F40" s="2078">
        <v>352</v>
      </c>
      <c r="G40" s="2315"/>
      <c r="H40" s="2123" t="s">
        <v>3086</v>
      </c>
      <c r="I40" s="2310">
        <v>931346.70699999994</v>
      </c>
      <c r="J40" s="2122">
        <v>931346.70699999994</v>
      </c>
      <c r="K40" s="2122">
        <v>931346.70699999994</v>
      </c>
      <c r="L40" s="2122">
        <v>931346.70699999994</v>
      </c>
      <c r="M40" s="2122">
        <v>931346.70699999994</v>
      </c>
      <c r="N40" s="2122">
        <v>931346.70699999994</v>
      </c>
      <c r="O40" s="2122">
        <v>931346.70699999994</v>
      </c>
      <c r="P40" s="2122">
        <v>931346.70699999994</v>
      </c>
      <c r="Q40" s="2122">
        <v>931346.70699999994</v>
      </c>
      <c r="R40" s="2122">
        <v>931346.70699999994</v>
      </c>
      <c r="S40" s="2122">
        <v>931346.70699999994</v>
      </c>
      <c r="T40" s="2122">
        <v>931346.70699999994</v>
      </c>
      <c r="U40" s="2122">
        <v>931346.70699999994</v>
      </c>
      <c r="V40" s="2272">
        <f t="shared" si="0"/>
        <v>931346.70700000029</v>
      </c>
      <c r="W40" s="2308"/>
    </row>
    <row r="41" spans="6:23" ht="16.5" customHeight="1">
      <c r="F41" s="2078">
        <v>352</v>
      </c>
      <c r="G41" s="2315"/>
      <c r="H41" s="2123" t="s">
        <v>3087</v>
      </c>
      <c r="I41" s="2310">
        <v>288789.86</v>
      </c>
      <c r="J41" s="2122">
        <v>288789.86</v>
      </c>
      <c r="K41" s="2122">
        <v>288789.86</v>
      </c>
      <c r="L41" s="2122">
        <v>288789.86</v>
      </c>
      <c r="M41" s="2122">
        <v>288789.86</v>
      </c>
      <c r="N41" s="2122">
        <v>288789.86</v>
      </c>
      <c r="O41" s="2122">
        <v>288789.86</v>
      </c>
      <c r="P41" s="2122">
        <v>288789.86</v>
      </c>
      <c r="Q41" s="2122">
        <v>288789.86</v>
      </c>
      <c r="R41" s="2122">
        <v>288789.86</v>
      </c>
      <c r="S41" s="2122">
        <v>288789.86</v>
      </c>
      <c r="T41" s="2122">
        <v>288789.86</v>
      </c>
      <c r="U41" s="2122">
        <v>288789.86</v>
      </c>
      <c r="V41" s="2272">
        <f t="shared" si="0"/>
        <v>288789.85999999993</v>
      </c>
      <c r="W41" s="2308"/>
    </row>
    <row r="42" spans="6:23" ht="16.5" customHeight="1">
      <c r="F42" s="2078">
        <v>352</v>
      </c>
      <c r="G42" s="2315"/>
      <c r="H42" s="2123" t="s">
        <v>3088</v>
      </c>
      <c r="I42" s="2310">
        <v>774898.26</v>
      </c>
      <c r="J42" s="2122">
        <v>774898.26</v>
      </c>
      <c r="K42" s="2122">
        <v>774898.26</v>
      </c>
      <c r="L42" s="2122">
        <v>774898.26</v>
      </c>
      <c r="M42" s="2122">
        <v>774898.26</v>
      </c>
      <c r="N42" s="2122">
        <v>774898.26</v>
      </c>
      <c r="O42" s="2122">
        <v>774898.26</v>
      </c>
      <c r="P42" s="2122">
        <v>774898.26</v>
      </c>
      <c r="Q42" s="2122">
        <v>774898.26</v>
      </c>
      <c r="R42" s="2122">
        <v>774898.26</v>
      </c>
      <c r="S42" s="2122">
        <v>774898.26</v>
      </c>
      <c r="T42" s="2122">
        <v>774898.26</v>
      </c>
      <c r="U42" s="2122">
        <v>774898.26</v>
      </c>
      <c r="V42" s="2272">
        <f t="shared" si="0"/>
        <v>774898.25999999989</v>
      </c>
      <c r="W42" s="2308"/>
    </row>
    <row r="43" spans="6:23" ht="16.5" customHeight="1">
      <c r="F43" s="2078">
        <v>352</v>
      </c>
      <c r="G43" s="2315"/>
      <c r="H43" s="2123" t="s">
        <v>3089</v>
      </c>
      <c r="I43" s="2310">
        <v>870108.054</v>
      </c>
      <c r="J43" s="2122">
        <v>870108.054</v>
      </c>
      <c r="K43" s="2122">
        <v>870108.054</v>
      </c>
      <c r="L43" s="2122">
        <v>870108.054</v>
      </c>
      <c r="M43" s="2122">
        <v>870108.054</v>
      </c>
      <c r="N43" s="2122">
        <v>870108.054</v>
      </c>
      <c r="O43" s="2122">
        <v>870108.054</v>
      </c>
      <c r="P43" s="2122">
        <v>870108.054</v>
      </c>
      <c r="Q43" s="2122">
        <v>870108.054</v>
      </c>
      <c r="R43" s="2122">
        <v>870108.054</v>
      </c>
      <c r="S43" s="2122">
        <v>870108.054</v>
      </c>
      <c r="T43" s="2122">
        <v>870108.054</v>
      </c>
      <c r="U43" s="2122">
        <v>870108.054</v>
      </c>
      <c r="V43" s="2272">
        <f t="shared" si="0"/>
        <v>870108.05399999965</v>
      </c>
      <c r="W43" s="2308"/>
    </row>
    <row r="44" spans="6:23" ht="16.5" customHeight="1">
      <c r="F44" s="2078">
        <v>352</v>
      </c>
      <c r="G44" s="2315"/>
      <c r="H44" s="2123" t="s">
        <v>3090</v>
      </c>
      <c r="I44" s="2310">
        <v>1132751.557</v>
      </c>
      <c r="J44" s="2122">
        <v>1132751.557</v>
      </c>
      <c r="K44" s="2122">
        <v>1132751.557</v>
      </c>
      <c r="L44" s="2122">
        <v>1132751.557</v>
      </c>
      <c r="M44" s="2122">
        <v>1132751.557</v>
      </c>
      <c r="N44" s="2122">
        <v>1132751.557</v>
      </c>
      <c r="O44" s="2122">
        <v>1132751.557</v>
      </c>
      <c r="P44" s="2122">
        <v>1132751.557</v>
      </c>
      <c r="Q44" s="2122">
        <v>1132751.557</v>
      </c>
      <c r="R44" s="2122">
        <v>1132751.557</v>
      </c>
      <c r="S44" s="2122">
        <v>1132751.557</v>
      </c>
      <c r="T44" s="2122">
        <v>1132751.557</v>
      </c>
      <c r="U44" s="2122">
        <v>1132751.557</v>
      </c>
      <c r="V44" s="2272">
        <f t="shared" si="0"/>
        <v>1132751.557</v>
      </c>
      <c r="W44" s="2308"/>
    </row>
    <row r="45" spans="6:23" ht="16.5" customHeight="1">
      <c r="F45" s="2078">
        <v>352</v>
      </c>
      <c r="G45" s="2315"/>
      <c r="H45" s="2123" t="s">
        <v>3091</v>
      </c>
      <c r="I45" s="2310">
        <v>877253.40700000001</v>
      </c>
      <c r="J45" s="2122">
        <v>877253.40700000001</v>
      </c>
      <c r="K45" s="2122">
        <v>877253.40700000001</v>
      </c>
      <c r="L45" s="2122">
        <v>877253.40700000001</v>
      </c>
      <c r="M45" s="2122">
        <v>877253.40700000001</v>
      </c>
      <c r="N45" s="2122">
        <v>877253.40700000001</v>
      </c>
      <c r="O45" s="2122">
        <v>877253.40700000001</v>
      </c>
      <c r="P45" s="2122">
        <v>877253.40700000001</v>
      </c>
      <c r="Q45" s="2122">
        <v>877253.40700000001</v>
      </c>
      <c r="R45" s="2122">
        <v>877253.40700000001</v>
      </c>
      <c r="S45" s="2122">
        <v>877253.40700000001</v>
      </c>
      <c r="T45" s="2122">
        <v>877253.40700000001</v>
      </c>
      <c r="U45" s="2122">
        <v>877253.40700000001</v>
      </c>
      <c r="V45" s="2272">
        <f t="shared" si="0"/>
        <v>877253.40699999977</v>
      </c>
      <c r="W45" s="2308"/>
    </row>
    <row r="46" spans="6:23" ht="16.5" customHeight="1">
      <c r="F46" s="2078">
        <v>352</v>
      </c>
      <c r="G46" s="2315"/>
      <c r="H46" s="2123" t="s">
        <v>3092</v>
      </c>
      <c r="I46" s="2310">
        <v>840342.95500000007</v>
      </c>
      <c r="J46" s="2122">
        <v>840342.95500000007</v>
      </c>
      <c r="K46" s="2122">
        <v>840342.95500000007</v>
      </c>
      <c r="L46" s="2122">
        <v>840342.95500000007</v>
      </c>
      <c r="M46" s="2122">
        <v>840342.95500000007</v>
      </c>
      <c r="N46" s="2122">
        <v>840342.95500000007</v>
      </c>
      <c r="O46" s="2122">
        <v>840342.95500000007</v>
      </c>
      <c r="P46" s="2122">
        <v>840342.95500000007</v>
      </c>
      <c r="Q46" s="2122">
        <v>840342.95500000007</v>
      </c>
      <c r="R46" s="2122">
        <v>840342.95500000007</v>
      </c>
      <c r="S46" s="2122">
        <v>840342.95500000007</v>
      </c>
      <c r="T46" s="2122">
        <v>840342.95500000007</v>
      </c>
      <c r="U46" s="2122">
        <v>840342.95500000007</v>
      </c>
      <c r="V46" s="2272">
        <f t="shared" si="0"/>
        <v>840342.95500000007</v>
      </c>
      <c r="W46" s="2308"/>
    </row>
    <row r="47" spans="6:23" ht="16.5" customHeight="1">
      <c r="F47" s="2078">
        <v>353</v>
      </c>
      <c r="G47" s="2315"/>
      <c r="H47" s="2123" t="s">
        <v>3093</v>
      </c>
      <c r="I47" s="2310">
        <v>5152918.095999999</v>
      </c>
      <c r="J47" s="2122">
        <v>5152918.095999999</v>
      </c>
      <c r="K47" s="2122">
        <v>5152918.095999999</v>
      </c>
      <c r="L47" s="2122">
        <v>5152918.095999999</v>
      </c>
      <c r="M47" s="2122">
        <v>5152918.095999999</v>
      </c>
      <c r="N47" s="2122">
        <v>5152918.095999999</v>
      </c>
      <c r="O47" s="2122">
        <v>5152918.095999999</v>
      </c>
      <c r="P47" s="2122">
        <v>5152918.095999999</v>
      </c>
      <c r="Q47" s="2122">
        <v>5152918.095999999</v>
      </c>
      <c r="R47" s="2122">
        <v>5152918.095999999</v>
      </c>
      <c r="S47" s="2122">
        <v>5152918.095999999</v>
      </c>
      <c r="T47" s="2122">
        <v>5152918.095999999</v>
      </c>
      <c r="U47" s="2122">
        <v>5152918.095999999</v>
      </c>
      <c r="V47" s="2272">
        <f t="shared" si="0"/>
        <v>5152918.0959999999</v>
      </c>
      <c r="W47" s="2308"/>
    </row>
    <row r="48" spans="6:23" ht="16.5" customHeight="1">
      <c r="F48" s="2078">
        <v>352</v>
      </c>
      <c r="G48" s="2315"/>
      <c r="H48" s="2123" t="s">
        <v>3093</v>
      </c>
      <c r="I48" s="2310">
        <v>629769.86750000005</v>
      </c>
      <c r="J48" s="2122">
        <v>629769.86750000005</v>
      </c>
      <c r="K48" s="2122">
        <v>629769.86750000005</v>
      </c>
      <c r="L48" s="2122">
        <v>629769.86750000005</v>
      </c>
      <c r="M48" s="2122">
        <v>629769.86750000005</v>
      </c>
      <c r="N48" s="2122">
        <v>629769.86750000005</v>
      </c>
      <c r="O48" s="2122">
        <v>629769.86750000005</v>
      </c>
      <c r="P48" s="2122">
        <v>629769.86750000005</v>
      </c>
      <c r="Q48" s="2122">
        <v>629769.86750000005</v>
      </c>
      <c r="R48" s="2122">
        <v>629769.86750000005</v>
      </c>
      <c r="S48" s="2122">
        <v>629769.86750000005</v>
      </c>
      <c r="T48" s="2122">
        <v>629769.86750000005</v>
      </c>
      <c r="U48" s="2122">
        <v>629769.86750000005</v>
      </c>
      <c r="V48" s="2272">
        <f t="shared" si="0"/>
        <v>629769.86749999993</v>
      </c>
      <c r="W48" s="2308"/>
    </row>
    <row r="49" spans="6:23" ht="16.5" customHeight="1">
      <c r="F49" s="2078">
        <v>353</v>
      </c>
      <c r="G49" s="2315"/>
      <c r="H49" s="2123" t="s">
        <v>3408</v>
      </c>
      <c r="I49" s="2310">
        <v>2850328.06</v>
      </c>
      <c r="J49" s="2122">
        <v>2850328.06</v>
      </c>
      <c r="K49" s="2122">
        <v>2850328.06</v>
      </c>
      <c r="L49" s="2122">
        <v>2850328.06</v>
      </c>
      <c r="M49" s="2122">
        <v>2850328.06</v>
      </c>
      <c r="N49" s="2122">
        <v>2850328.06</v>
      </c>
      <c r="O49" s="2122">
        <v>2850328.06</v>
      </c>
      <c r="P49" s="2122">
        <v>2850328.06</v>
      </c>
      <c r="Q49" s="2122">
        <v>2850328.06</v>
      </c>
      <c r="R49" s="2122">
        <v>2850328.06</v>
      </c>
      <c r="S49" s="2122">
        <v>2850328.06</v>
      </c>
      <c r="T49" s="2122">
        <v>2850328.06</v>
      </c>
      <c r="U49" s="2122">
        <v>2850328.06</v>
      </c>
      <c r="V49" s="2272">
        <f t="shared" si="0"/>
        <v>2850328.0599999996</v>
      </c>
      <c r="W49" s="2308"/>
    </row>
    <row r="50" spans="6:23" ht="16.5" customHeight="1">
      <c r="F50" s="2078">
        <v>352</v>
      </c>
      <c r="G50" s="2315"/>
      <c r="H50" s="2123" t="s">
        <v>3094</v>
      </c>
      <c r="I50" s="2310">
        <v>629862.58000000007</v>
      </c>
      <c r="J50" s="2122">
        <v>629862.58000000007</v>
      </c>
      <c r="K50" s="2122">
        <v>629862.58000000007</v>
      </c>
      <c r="L50" s="2122">
        <v>629862.58000000007</v>
      </c>
      <c r="M50" s="2122">
        <v>629862.58000000007</v>
      </c>
      <c r="N50" s="2122">
        <v>629862.58000000007</v>
      </c>
      <c r="O50" s="2122">
        <v>629862.58000000007</v>
      </c>
      <c r="P50" s="2122">
        <v>629862.58000000007</v>
      </c>
      <c r="Q50" s="2122">
        <v>629862.58000000007</v>
      </c>
      <c r="R50" s="2122">
        <v>629862.58000000007</v>
      </c>
      <c r="S50" s="2122">
        <v>629862.58000000007</v>
      </c>
      <c r="T50" s="2122">
        <v>629862.58000000007</v>
      </c>
      <c r="U50" s="2122">
        <v>629862.58000000007</v>
      </c>
      <c r="V50" s="2272">
        <f t="shared" si="0"/>
        <v>629862.58000000007</v>
      </c>
      <c r="W50" s="2308"/>
    </row>
    <row r="51" spans="6:23" ht="16.5" customHeight="1">
      <c r="F51" s="2078">
        <v>353</v>
      </c>
      <c r="G51" s="2315"/>
      <c r="H51" s="2123" t="s">
        <v>3094</v>
      </c>
      <c r="I51" s="2310">
        <v>3365767.54</v>
      </c>
      <c r="J51" s="2122">
        <v>3365767.54</v>
      </c>
      <c r="K51" s="2122">
        <v>3365767.54</v>
      </c>
      <c r="L51" s="2122">
        <v>3365767.54</v>
      </c>
      <c r="M51" s="2122">
        <v>3365767.54</v>
      </c>
      <c r="N51" s="2122">
        <v>3365767.54</v>
      </c>
      <c r="O51" s="2122">
        <v>3365767.54</v>
      </c>
      <c r="P51" s="2122">
        <v>3365767.54</v>
      </c>
      <c r="Q51" s="2122">
        <v>3365767.54</v>
      </c>
      <c r="R51" s="2122">
        <v>3365767.54</v>
      </c>
      <c r="S51" s="2122">
        <v>3365767.54</v>
      </c>
      <c r="T51" s="2122">
        <v>3365767.54</v>
      </c>
      <c r="U51" s="2122">
        <v>3365767.54</v>
      </c>
      <c r="V51" s="2272">
        <f t="shared" si="0"/>
        <v>3365767.5399999996</v>
      </c>
      <c r="W51" s="2308"/>
    </row>
    <row r="52" spans="6:23" ht="16.5" customHeight="1">
      <c r="F52" s="2078">
        <v>352</v>
      </c>
      <c r="G52" s="2315"/>
      <c r="H52" s="2123" t="s">
        <v>3095</v>
      </c>
      <c r="I52" s="2310">
        <v>1126502.625</v>
      </c>
      <c r="J52" s="2122">
        <v>1126502.625</v>
      </c>
      <c r="K52" s="2122">
        <v>1126502.625</v>
      </c>
      <c r="L52" s="2122">
        <v>1126502.625</v>
      </c>
      <c r="M52" s="2122">
        <v>1126502.625</v>
      </c>
      <c r="N52" s="2122">
        <v>1126502.625</v>
      </c>
      <c r="O52" s="2122">
        <v>1126502.625</v>
      </c>
      <c r="P52" s="2122">
        <v>1126502.625</v>
      </c>
      <c r="Q52" s="2122">
        <v>1126502.625</v>
      </c>
      <c r="R52" s="2122">
        <v>1126502.625</v>
      </c>
      <c r="S52" s="2122">
        <v>1126502.625</v>
      </c>
      <c r="T52" s="2122">
        <v>1126502.625</v>
      </c>
      <c r="U52" s="2122">
        <v>1126502.625</v>
      </c>
      <c r="V52" s="2272">
        <f t="shared" si="0"/>
        <v>1126502.625</v>
      </c>
      <c r="W52" s="2308"/>
    </row>
    <row r="53" spans="6:23" ht="16.5" customHeight="1">
      <c r="F53" s="2078">
        <v>353</v>
      </c>
      <c r="G53" s="2315"/>
      <c r="H53" s="2123" t="s">
        <v>3095</v>
      </c>
      <c r="I53" s="2310">
        <v>3966529.2362500001</v>
      </c>
      <c r="J53" s="2122">
        <v>3966529.2362500001</v>
      </c>
      <c r="K53" s="2122">
        <v>3966529.2362500001</v>
      </c>
      <c r="L53" s="2122">
        <v>3966529.2362500001</v>
      </c>
      <c r="M53" s="2122">
        <v>3966529.2362500001</v>
      </c>
      <c r="N53" s="2122">
        <v>3966529.2362500001</v>
      </c>
      <c r="O53" s="2122">
        <v>3966529.2362500001</v>
      </c>
      <c r="P53" s="2122">
        <v>3966529.2362500001</v>
      </c>
      <c r="Q53" s="2122">
        <v>3966529.2362500001</v>
      </c>
      <c r="R53" s="2122">
        <v>3966529.2362500001</v>
      </c>
      <c r="S53" s="2122">
        <v>3966529.2362500001</v>
      </c>
      <c r="T53" s="2122">
        <v>3966529.2362500001</v>
      </c>
      <c r="U53" s="2122">
        <v>3966529.2362500001</v>
      </c>
      <c r="V53" s="2272">
        <f t="shared" si="0"/>
        <v>3966529.2362499987</v>
      </c>
      <c r="W53" s="2308"/>
    </row>
    <row r="54" spans="6:23" ht="16.5" customHeight="1">
      <c r="F54" s="2078">
        <v>352</v>
      </c>
      <c r="G54" s="2315"/>
      <c r="H54" s="2123" t="s">
        <v>3096</v>
      </c>
      <c r="I54" s="2310">
        <v>1311107.676</v>
      </c>
      <c r="J54" s="2122">
        <v>1311107.676</v>
      </c>
      <c r="K54" s="2122">
        <v>1311107.676</v>
      </c>
      <c r="L54" s="2122">
        <v>1311107.676</v>
      </c>
      <c r="M54" s="2122">
        <v>1311107.676</v>
      </c>
      <c r="N54" s="2122">
        <v>1311107.676</v>
      </c>
      <c r="O54" s="2122">
        <v>1311107.676</v>
      </c>
      <c r="P54" s="2122">
        <v>1311107.676</v>
      </c>
      <c r="Q54" s="2122">
        <v>1311107.676</v>
      </c>
      <c r="R54" s="2122">
        <v>1311107.676</v>
      </c>
      <c r="S54" s="2122">
        <v>1311107.676</v>
      </c>
      <c r="T54" s="2122">
        <v>1311107.676</v>
      </c>
      <c r="U54" s="2122">
        <v>1311107.676</v>
      </c>
      <c r="V54" s="2272">
        <f t="shared" si="0"/>
        <v>1311107.6759999995</v>
      </c>
      <c r="W54" s="2308"/>
    </row>
    <row r="55" spans="6:23" ht="16.5" customHeight="1">
      <c r="F55" s="2078">
        <v>353</v>
      </c>
      <c r="G55" s="2315"/>
      <c r="H55" s="2123" t="s">
        <v>3096</v>
      </c>
      <c r="I55" s="2310">
        <v>4377166.604857143</v>
      </c>
      <c r="J55" s="2122">
        <v>4377166.604857143</v>
      </c>
      <c r="K55" s="2122">
        <v>4377166.604857143</v>
      </c>
      <c r="L55" s="2122">
        <v>4377166.604857143</v>
      </c>
      <c r="M55" s="2122">
        <v>4377166.604857143</v>
      </c>
      <c r="N55" s="2122">
        <v>4377166.604857143</v>
      </c>
      <c r="O55" s="2122">
        <v>4377166.604857143</v>
      </c>
      <c r="P55" s="2122">
        <v>4377166.604857143</v>
      </c>
      <c r="Q55" s="2122">
        <v>4377166.604857143</v>
      </c>
      <c r="R55" s="2122">
        <v>4377166.604857143</v>
      </c>
      <c r="S55" s="2122">
        <v>4377166.604857143</v>
      </c>
      <c r="T55" s="2122">
        <v>4377166.604857143</v>
      </c>
      <c r="U55" s="2122">
        <v>4377166.604857143</v>
      </c>
      <c r="V55" s="2272">
        <f t="shared" si="0"/>
        <v>4377166.6048571449</v>
      </c>
      <c r="W55" s="2308"/>
    </row>
    <row r="56" spans="6:23" ht="16.5" customHeight="1">
      <c r="F56" s="2078">
        <v>352</v>
      </c>
      <c r="G56" s="2315"/>
      <c r="H56" s="2123" t="s">
        <v>3097</v>
      </c>
      <c r="I56" s="2310">
        <v>1256200.26</v>
      </c>
      <c r="J56" s="2122">
        <v>1256200.26</v>
      </c>
      <c r="K56" s="2122">
        <v>1256200.26</v>
      </c>
      <c r="L56" s="2122">
        <v>1256200.26</v>
      </c>
      <c r="M56" s="2122">
        <v>1256200.26</v>
      </c>
      <c r="N56" s="2122">
        <v>1256200.26</v>
      </c>
      <c r="O56" s="2122">
        <v>1256200.26</v>
      </c>
      <c r="P56" s="2122">
        <v>1256200.26</v>
      </c>
      <c r="Q56" s="2122">
        <v>1256200.26</v>
      </c>
      <c r="R56" s="2122">
        <v>1256200.26</v>
      </c>
      <c r="S56" s="2122">
        <v>1256200.26</v>
      </c>
      <c r="T56" s="2122">
        <v>1256200.26</v>
      </c>
      <c r="U56" s="2122">
        <v>1256200.26</v>
      </c>
      <c r="V56" s="2272">
        <f t="shared" si="0"/>
        <v>1256200.26</v>
      </c>
      <c r="W56" s="2308"/>
    </row>
    <row r="57" spans="6:23" ht="16.5" customHeight="1">
      <c r="F57" s="2078">
        <v>353</v>
      </c>
      <c r="G57" s="2315"/>
      <c r="H57" s="2123" t="s">
        <v>3097</v>
      </c>
      <c r="I57" s="2310">
        <v>4648635.9399999995</v>
      </c>
      <c r="J57" s="2122">
        <v>4648635.9399999995</v>
      </c>
      <c r="K57" s="2122">
        <v>4648635.9399999995</v>
      </c>
      <c r="L57" s="2122">
        <v>4648635.9399999995</v>
      </c>
      <c r="M57" s="2122">
        <v>4648635.9399999995</v>
      </c>
      <c r="N57" s="2122">
        <v>4648635.9399999995</v>
      </c>
      <c r="O57" s="2122">
        <v>4648635.9399999995</v>
      </c>
      <c r="P57" s="2122">
        <v>4648635.9399999995</v>
      </c>
      <c r="Q57" s="2122">
        <v>4648635.9399999995</v>
      </c>
      <c r="R57" s="2122">
        <v>4648635.9399999995</v>
      </c>
      <c r="S57" s="2122">
        <v>4648635.9399999995</v>
      </c>
      <c r="T57" s="2122">
        <v>4648635.9399999995</v>
      </c>
      <c r="U57" s="2122">
        <v>4648635.9399999995</v>
      </c>
      <c r="V57" s="2272">
        <f t="shared" si="0"/>
        <v>4648635.9399999985</v>
      </c>
      <c r="W57" s="2308"/>
    </row>
    <row r="58" spans="6:23" ht="16.5" customHeight="1">
      <c r="F58" s="2078">
        <v>352</v>
      </c>
      <c r="G58" s="2315"/>
      <c r="H58" s="2123" t="s">
        <v>8410</v>
      </c>
      <c r="I58" s="2310">
        <v>1268784.4620000001</v>
      </c>
      <c r="J58" s="2122">
        <v>1268784.4620000001</v>
      </c>
      <c r="K58" s="2122">
        <v>1268784.4620000001</v>
      </c>
      <c r="L58" s="2122">
        <v>1268784.4620000001</v>
      </c>
      <c r="M58" s="2122">
        <v>1268784.4620000001</v>
      </c>
      <c r="N58" s="2122">
        <v>1268784.4620000001</v>
      </c>
      <c r="O58" s="2122">
        <v>1268784.4620000001</v>
      </c>
      <c r="P58" s="2122">
        <v>1268784.4620000001</v>
      </c>
      <c r="Q58" s="2122">
        <v>1268784.4620000001</v>
      </c>
      <c r="R58" s="2122">
        <v>1268784.4620000001</v>
      </c>
      <c r="S58" s="2122">
        <v>1268784.4620000001</v>
      </c>
      <c r="T58" s="2122">
        <v>1268784.4620000001</v>
      </c>
      <c r="U58" s="2122">
        <v>1268784.4620000001</v>
      </c>
      <c r="V58" s="2272">
        <f t="shared" si="0"/>
        <v>1268784.4619999998</v>
      </c>
      <c r="W58" s="2308"/>
    </row>
    <row r="59" spans="6:23" ht="16.5" customHeight="1">
      <c r="F59" s="2078">
        <v>353</v>
      </c>
      <c r="G59" s="2315"/>
      <c r="H59" s="2123" t="s">
        <v>8410</v>
      </c>
      <c r="I59" s="2310">
        <v>4145498.1402857145</v>
      </c>
      <c r="J59" s="2122">
        <v>4145498.1402857145</v>
      </c>
      <c r="K59" s="2122">
        <v>4145498.1402857145</v>
      </c>
      <c r="L59" s="2122">
        <v>4145498.1402857145</v>
      </c>
      <c r="M59" s="2122">
        <v>4145498.1402857145</v>
      </c>
      <c r="N59" s="2122">
        <v>4145498.1402857145</v>
      </c>
      <c r="O59" s="2122">
        <v>4145498.1402857145</v>
      </c>
      <c r="P59" s="2122">
        <v>4145498.1402857145</v>
      </c>
      <c r="Q59" s="2122">
        <v>4145498.1402857145</v>
      </c>
      <c r="R59" s="2122">
        <v>4145498.1402857145</v>
      </c>
      <c r="S59" s="2122">
        <v>4145498.1402857145</v>
      </c>
      <c r="T59" s="2122">
        <v>4145498.1402857145</v>
      </c>
      <c r="U59" s="2122">
        <v>4145498.1402857145</v>
      </c>
      <c r="V59" s="2272">
        <f t="shared" si="0"/>
        <v>4145498.140285715</v>
      </c>
      <c r="W59" s="2308"/>
    </row>
    <row r="60" spans="6:23" ht="16.5" customHeight="1">
      <c r="F60" s="2078">
        <v>352</v>
      </c>
      <c r="G60" s="2315"/>
      <c r="H60" s="2123" t="s">
        <v>8275</v>
      </c>
      <c r="I60" s="2310">
        <v>0</v>
      </c>
      <c r="J60" s="2122">
        <v>0</v>
      </c>
      <c r="K60" s="2122">
        <v>0</v>
      </c>
      <c r="L60" s="2122">
        <v>0</v>
      </c>
      <c r="M60" s="2122">
        <v>0</v>
      </c>
      <c r="N60" s="2122">
        <v>0</v>
      </c>
      <c r="O60" s="2122">
        <v>0</v>
      </c>
      <c r="P60" s="2122">
        <v>0</v>
      </c>
      <c r="Q60" s="2122">
        <v>0</v>
      </c>
      <c r="R60" s="2122">
        <v>0</v>
      </c>
      <c r="S60" s="2122">
        <v>0</v>
      </c>
      <c r="T60" s="2122">
        <v>0</v>
      </c>
      <c r="U60" s="2122">
        <v>0</v>
      </c>
      <c r="V60" s="2272">
        <f t="shared" si="0"/>
        <v>0</v>
      </c>
      <c r="W60" s="2308"/>
    </row>
    <row r="61" spans="6:23" ht="16.5" customHeight="1">
      <c r="F61" s="2078">
        <v>353</v>
      </c>
      <c r="G61" s="2315"/>
      <c r="H61" s="2123" t="s">
        <v>8275</v>
      </c>
      <c r="I61" s="2310">
        <v>3449639.49</v>
      </c>
      <c r="J61" s="2122">
        <v>3449639.49</v>
      </c>
      <c r="K61" s="2122">
        <v>3449639.49</v>
      </c>
      <c r="L61" s="2122">
        <v>3449639.49</v>
      </c>
      <c r="M61" s="2122">
        <v>3449639.49</v>
      </c>
      <c r="N61" s="2122">
        <v>3449639.49</v>
      </c>
      <c r="O61" s="2122">
        <v>3449639.49</v>
      </c>
      <c r="P61" s="2122">
        <v>3449639.49</v>
      </c>
      <c r="Q61" s="2122">
        <v>3449639.49</v>
      </c>
      <c r="R61" s="2122">
        <v>3449639.49</v>
      </c>
      <c r="S61" s="2122">
        <v>3449639.49</v>
      </c>
      <c r="T61" s="2122">
        <v>3449639.49</v>
      </c>
      <c r="U61" s="2122">
        <v>3449639.49</v>
      </c>
      <c r="V61" s="2272">
        <f t="shared" si="0"/>
        <v>3449639.4900000016</v>
      </c>
      <c r="W61" s="2308"/>
    </row>
    <row r="62" spans="6:23" ht="16.5" customHeight="1">
      <c r="F62" s="2078">
        <v>352</v>
      </c>
      <c r="G62" s="2315"/>
      <c r="H62" s="2123" t="s">
        <v>8276</v>
      </c>
      <c r="I62" s="2310">
        <v>0</v>
      </c>
      <c r="J62" s="2122">
        <v>0</v>
      </c>
      <c r="K62" s="2122">
        <v>0</v>
      </c>
      <c r="L62" s="2122">
        <v>0</v>
      </c>
      <c r="M62" s="2122">
        <v>0</v>
      </c>
      <c r="N62" s="2122">
        <v>0</v>
      </c>
      <c r="O62" s="2122">
        <v>0</v>
      </c>
      <c r="P62" s="2122">
        <v>0</v>
      </c>
      <c r="Q62" s="2122">
        <v>0</v>
      </c>
      <c r="R62" s="2122">
        <v>0</v>
      </c>
      <c r="S62" s="2122">
        <v>0</v>
      </c>
      <c r="T62" s="2122">
        <v>0</v>
      </c>
      <c r="U62" s="2122">
        <v>0</v>
      </c>
      <c r="V62" s="2272">
        <f t="shared" si="0"/>
        <v>0</v>
      </c>
      <c r="W62" s="2308"/>
    </row>
    <row r="63" spans="6:23" ht="16.5" customHeight="1">
      <c r="F63" s="2078">
        <v>353</v>
      </c>
      <c r="G63" s="2315"/>
      <c r="H63" s="2123" t="s">
        <v>8276</v>
      </c>
      <c r="I63" s="2310">
        <v>116279.98000000001</v>
      </c>
      <c r="J63" s="2122">
        <v>116279.98000000001</v>
      </c>
      <c r="K63" s="2122">
        <v>116279.98000000001</v>
      </c>
      <c r="L63" s="2122">
        <v>116279.98000000001</v>
      </c>
      <c r="M63" s="2122">
        <v>116279.98000000001</v>
      </c>
      <c r="N63" s="2122">
        <v>116279.98000000001</v>
      </c>
      <c r="O63" s="2122">
        <v>116279.98000000001</v>
      </c>
      <c r="P63" s="2122">
        <v>116279.98000000001</v>
      </c>
      <c r="Q63" s="2122">
        <v>116279.98000000001</v>
      </c>
      <c r="R63" s="2122">
        <v>116279.98000000001</v>
      </c>
      <c r="S63" s="2122">
        <v>116279.98000000001</v>
      </c>
      <c r="T63" s="2122">
        <v>116279.98000000001</v>
      </c>
      <c r="U63" s="2122">
        <v>116279.98000000001</v>
      </c>
      <c r="V63" s="2272">
        <f t="shared" si="0"/>
        <v>116279.98</v>
      </c>
      <c r="W63" s="2308"/>
    </row>
    <row r="64" spans="6:23" ht="16.5" customHeight="1">
      <c r="F64" s="2078">
        <v>352</v>
      </c>
      <c r="G64" s="2315"/>
      <c r="H64" s="2123" t="s">
        <v>9013</v>
      </c>
      <c r="I64" s="2310">
        <v>0</v>
      </c>
      <c r="J64" s="2122">
        <v>0</v>
      </c>
      <c r="K64" s="2122">
        <v>0</v>
      </c>
      <c r="L64" s="2122">
        <v>0</v>
      </c>
      <c r="M64" s="2122">
        <v>0</v>
      </c>
      <c r="N64" s="2122">
        <v>0</v>
      </c>
      <c r="O64" s="2122">
        <v>0</v>
      </c>
      <c r="P64" s="2122">
        <v>0</v>
      </c>
      <c r="Q64" s="2122">
        <v>0</v>
      </c>
      <c r="R64" s="2122">
        <v>0</v>
      </c>
      <c r="S64" s="2122">
        <v>0</v>
      </c>
      <c r="T64" s="2122">
        <v>0</v>
      </c>
      <c r="U64" s="2122">
        <v>0</v>
      </c>
      <c r="V64" s="2272">
        <f t="shared" si="0"/>
        <v>0</v>
      </c>
      <c r="W64" s="2308"/>
    </row>
    <row r="65" spans="6:23" ht="16.5" customHeight="1">
      <c r="F65" s="2078">
        <v>353</v>
      </c>
      <c r="G65" s="2315"/>
      <c r="H65" s="2123" t="s">
        <v>9013</v>
      </c>
      <c r="I65" s="2310">
        <v>77067.259999999995</v>
      </c>
      <c r="J65" s="2122">
        <v>77067.259999999995</v>
      </c>
      <c r="K65" s="2122">
        <v>77067.259999999995</v>
      </c>
      <c r="L65" s="2122">
        <v>77067.259999999995</v>
      </c>
      <c r="M65" s="2122">
        <v>77067.259999999995</v>
      </c>
      <c r="N65" s="2122">
        <v>77067.259999999995</v>
      </c>
      <c r="O65" s="2122">
        <v>77067.259999999995</v>
      </c>
      <c r="P65" s="2122">
        <v>77067.259999999995</v>
      </c>
      <c r="Q65" s="2122">
        <v>77067.259999999995</v>
      </c>
      <c r="R65" s="2122">
        <v>77067.259999999995</v>
      </c>
      <c r="S65" s="2122">
        <v>77067.259999999995</v>
      </c>
      <c r="T65" s="2122">
        <v>77067.259999999995</v>
      </c>
      <c r="U65" s="2122">
        <v>77067.259999999995</v>
      </c>
      <c r="V65" s="2272">
        <f t="shared" si="0"/>
        <v>77067.259999999995</v>
      </c>
      <c r="W65" s="2308"/>
    </row>
    <row r="66" spans="6:23" ht="16.5" customHeight="1">
      <c r="F66" s="2078">
        <v>352</v>
      </c>
      <c r="G66" s="2315"/>
      <c r="H66" s="2123" t="s">
        <v>9028</v>
      </c>
      <c r="I66" s="2310">
        <v>0</v>
      </c>
      <c r="J66" s="2122">
        <v>0</v>
      </c>
      <c r="K66" s="2122">
        <v>0</v>
      </c>
      <c r="L66" s="2122">
        <v>0</v>
      </c>
      <c r="M66" s="2122">
        <v>0</v>
      </c>
      <c r="N66" s="2122">
        <v>0</v>
      </c>
      <c r="O66" s="2122">
        <v>0</v>
      </c>
      <c r="P66" s="2122">
        <v>0</v>
      </c>
      <c r="Q66" s="2122">
        <v>0</v>
      </c>
      <c r="R66" s="2122">
        <v>0</v>
      </c>
      <c r="S66" s="2122">
        <v>0</v>
      </c>
      <c r="T66" s="2122">
        <v>0</v>
      </c>
      <c r="U66" s="2122">
        <v>0</v>
      </c>
      <c r="V66" s="2272">
        <f t="shared" si="0"/>
        <v>0</v>
      </c>
      <c r="W66" s="2308"/>
    </row>
    <row r="67" spans="6:23" ht="16.5" customHeight="1">
      <c r="F67" s="2078">
        <v>353</v>
      </c>
      <c r="G67" s="2315"/>
      <c r="H67" s="2123" t="s">
        <v>9028</v>
      </c>
      <c r="I67" s="2310">
        <v>112575.21</v>
      </c>
      <c r="J67" s="2122">
        <v>112575.21</v>
      </c>
      <c r="K67" s="2122">
        <v>112575.21</v>
      </c>
      <c r="L67" s="2122">
        <v>112575.21</v>
      </c>
      <c r="M67" s="2122">
        <v>112575.21</v>
      </c>
      <c r="N67" s="2122">
        <v>112575.21</v>
      </c>
      <c r="O67" s="2122">
        <v>112575.21</v>
      </c>
      <c r="P67" s="2122">
        <v>112575.21</v>
      </c>
      <c r="Q67" s="2122">
        <v>112575.21</v>
      </c>
      <c r="R67" s="2122">
        <v>112575.21</v>
      </c>
      <c r="S67" s="2122">
        <v>112575.21</v>
      </c>
      <c r="T67" s="2122">
        <v>112575.21</v>
      </c>
      <c r="U67" s="2122">
        <v>112575.21</v>
      </c>
      <c r="V67" s="2272">
        <f t="shared" si="0"/>
        <v>112575.20999999998</v>
      </c>
      <c r="W67" s="2308"/>
    </row>
    <row r="68" spans="6:23" ht="16.5" customHeight="1">
      <c r="F68" s="2078">
        <v>352</v>
      </c>
      <c r="G68" s="2315"/>
      <c r="H68" s="2123" t="s">
        <v>8305</v>
      </c>
      <c r="I68" s="2310">
        <v>0</v>
      </c>
      <c r="J68" s="2122">
        <v>0</v>
      </c>
      <c r="K68" s="2122">
        <v>0</v>
      </c>
      <c r="L68" s="2122">
        <v>0</v>
      </c>
      <c r="M68" s="2122">
        <v>0</v>
      </c>
      <c r="N68" s="2122">
        <v>0</v>
      </c>
      <c r="O68" s="2122">
        <v>0</v>
      </c>
      <c r="P68" s="2122">
        <v>0</v>
      </c>
      <c r="Q68" s="2122">
        <v>0</v>
      </c>
      <c r="R68" s="2122">
        <v>0</v>
      </c>
      <c r="S68" s="2122">
        <v>0</v>
      </c>
      <c r="T68" s="2122">
        <v>0</v>
      </c>
      <c r="U68" s="2122">
        <v>0</v>
      </c>
      <c r="V68" s="2272">
        <f t="shared" si="0"/>
        <v>0</v>
      </c>
      <c r="W68" s="2308"/>
    </row>
    <row r="69" spans="6:23" ht="16.5" customHeight="1">
      <c r="F69" s="2078">
        <v>353</v>
      </c>
      <c r="G69" s="2315"/>
      <c r="H69" s="2123" t="s">
        <v>8305</v>
      </c>
      <c r="I69" s="2310">
        <v>1348323.8299999998</v>
      </c>
      <c r="J69" s="2122">
        <v>1348323.8299999998</v>
      </c>
      <c r="K69" s="2122">
        <v>1348323.8299999998</v>
      </c>
      <c r="L69" s="2122">
        <v>1348323.8299999998</v>
      </c>
      <c r="M69" s="2122">
        <v>1348323.8299999998</v>
      </c>
      <c r="N69" s="2122">
        <v>1348323.8299999998</v>
      </c>
      <c r="O69" s="2122">
        <v>1348323.8299999998</v>
      </c>
      <c r="P69" s="2122">
        <v>1348323.8299999998</v>
      </c>
      <c r="Q69" s="2122">
        <v>1348323.8299999998</v>
      </c>
      <c r="R69" s="2122">
        <v>1348323.8299999998</v>
      </c>
      <c r="S69" s="2122">
        <v>1348323.8299999998</v>
      </c>
      <c r="T69" s="2122">
        <v>1348323.8299999998</v>
      </c>
      <c r="U69" s="2122">
        <v>1348323.8299999998</v>
      </c>
      <c r="V69" s="2272">
        <f t="shared" si="0"/>
        <v>1348323.8299999998</v>
      </c>
      <c r="W69" s="2308"/>
    </row>
    <row r="70" spans="6:23" ht="16.5" customHeight="1">
      <c r="F70" s="2078">
        <v>352</v>
      </c>
      <c r="G70" s="2315"/>
      <c r="H70" s="2123" t="s">
        <v>9014</v>
      </c>
      <c r="I70" s="2310">
        <v>0</v>
      </c>
      <c r="J70" s="2122">
        <v>0</v>
      </c>
      <c r="K70" s="2122">
        <v>0</v>
      </c>
      <c r="L70" s="2122">
        <v>0</v>
      </c>
      <c r="M70" s="2122">
        <v>0</v>
      </c>
      <c r="N70" s="2122">
        <v>0</v>
      </c>
      <c r="O70" s="2122">
        <v>0</v>
      </c>
      <c r="P70" s="2122">
        <v>0</v>
      </c>
      <c r="Q70" s="2122">
        <v>0</v>
      </c>
      <c r="R70" s="2122">
        <v>0</v>
      </c>
      <c r="S70" s="2122">
        <v>0</v>
      </c>
      <c r="T70" s="2122">
        <v>0</v>
      </c>
      <c r="U70" s="2122">
        <v>0</v>
      </c>
      <c r="V70" s="2272">
        <f t="shared" si="0"/>
        <v>0</v>
      </c>
      <c r="W70" s="2308"/>
    </row>
    <row r="71" spans="6:23" ht="16.5" customHeight="1">
      <c r="F71" s="2078">
        <v>353</v>
      </c>
      <c r="G71" s="2315"/>
      <c r="H71" s="2123" t="s">
        <v>9014</v>
      </c>
      <c r="I71" s="2310">
        <v>39542.400000000001</v>
      </c>
      <c r="J71" s="2122">
        <v>39542.400000000001</v>
      </c>
      <c r="K71" s="2122">
        <v>39542.400000000001</v>
      </c>
      <c r="L71" s="2122">
        <v>39542.400000000001</v>
      </c>
      <c r="M71" s="2122">
        <v>39542.400000000001</v>
      </c>
      <c r="N71" s="2122">
        <v>39542.400000000001</v>
      </c>
      <c r="O71" s="2122">
        <v>39542.400000000001</v>
      </c>
      <c r="P71" s="2122">
        <v>39542.400000000001</v>
      </c>
      <c r="Q71" s="2122">
        <v>39542.400000000001</v>
      </c>
      <c r="R71" s="2122">
        <v>39542.400000000001</v>
      </c>
      <c r="S71" s="2122">
        <v>39542.400000000001</v>
      </c>
      <c r="T71" s="2122">
        <v>39542.400000000001</v>
      </c>
      <c r="U71" s="2122">
        <v>39542.400000000001</v>
      </c>
      <c r="V71" s="2272">
        <f t="shared" si="0"/>
        <v>39542.400000000009</v>
      </c>
      <c r="W71" s="2308"/>
    </row>
    <row r="72" spans="6:23" ht="16.5" customHeight="1">
      <c r="F72" s="2078">
        <v>352</v>
      </c>
      <c r="G72" s="2315"/>
      <c r="H72" s="2123" t="s">
        <v>9436</v>
      </c>
      <c r="I72" s="2310">
        <v>0</v>
      </c>
      <c r="J72" s="2122">
        <v>0</v>
      </c>
      <c r="K72" s="2122">
        <v>0</v>
      </c>
      <c r="L72" s="2122">
        <v>0</v>
      </c>
      <c r="M72" s="2122">
        <v>0</v>
      </c>
      <c r="N72" s="2122">
        <v>0</v>
      </c>
      <c r="O72" s="2122">
        <v>0</v>
      </c>
      <c r="P72" s="2122">
        <v>0</v>
      </c>
      <c r="Q72" s="2122">
        <v>0</v>
      </c>
      <c r="R72" s="2122">
        <v>0</v>
      </c>
      <c r="S72" s="2122">
        <v>0</v>
      </c>
      <c r="T72" s="2122">
        <v>0</v>
      </c>
      <c r="U72" s="2122">
        <v>0</v>
      </c>
      <c r="V72" s="2272">
        <f t="shared" si="0"/>
        <v>0</v>
      </c>
      <c r="W72" s="2308"/>
    </row>
    <row r="73" spans="6:23" ht="16.5" customHeight="1">
      <c r="F73" s="2078">
        <v>353</v>
      </c>
      <c r="G73" s="2315"/>
      <c r="H73" s="2123" t="s">
        <v>9436</v>
      </c>
      <c r="I73" s="2310">
        <v>9403012.9899999984</v>
      </c>
      <c r="J73" s="2122">
        <v>9403012.9899999984</v>
      </c>
      <c r="K73" s="2122">
        <v>9403012.9899999984</v>
      </c>
      <c r="L73" s="2122">
        <v>9403012.9899999984</v>
      </c>
      <c r="M73" s="2122">
        <v>9403012.9899999984</v>
      </c>
      <c r="N73" s="2122">
        <v>9403012.9899999984</v>
      </c>
      <c r="O73" s="2122">
        <v>9403012.9899999984</v>
      </c>
      <c r="P73" s="2122">
        <v>9403012.9899999984</v>
      </c>
      <c r="Q73" s="2122">
        <v>9403012.9899999984</v>
      </c>
      <c r="R73" s="2122">
        <v>9403012.9899999984</v>
      </c>
      <c r="S73" s="2122">
        <v>9403012.9899999984</v>
      </c>
      <c r="T73" s="2122">
        <v>9403012.9899999984</v>
      </c>
      <c r="U73" s="2122">
        <v>9403012.9899999984</v>
      </c>
      <c r="V73" s="2272">
        <f t="shared" si="0"/>
        <v>9403012.9899999965</v>
      </c>
      <c r="W73" s="2308"/>
    </row>
    <row r="74" spans="6:23" ht="16.5" customHeight="1">
      <c r="F74" s="2078">
        <v>352</v>
      </c>
      <c r="G74" s="2315"/>
      <c r="H74" s="2123" t="s">
        <v>9437</v>
      </c>
      <c r="I74" s="2310">
        <v>0</v>
      </c>
      <c r="J74" s="2122">
        <v>0</v>
      </c>
      <c r="K74" s="2122">
        <v>0</v>
      </c>
      <c r="L74" s="2122">
        <v>0</v>
      </c>
      <c r="M74" s="2122">
        <v>0</v>
      </c>
      <c r="N74" s="2122">
        <v>0</v>
      </c>
      <c r="O74" s="2122">
        <v>0</v>
      </c>
      <c r="P74" s="2122">
        <v>0</v>
      </c>
      <c r="Q74" s="2122">
        <v>0</v>
      </c>
      <c r="R74" s="2122">
        <v>0</v>
      </c>
      <c r="S74" s="2122">
        <v>0</v>
      </c>
      <c r="T74" s="2122">
        <v>0</v>
      </c>
      <c r="U74" s="2122">
        <v>0</v>
      </c>
      <c r="V74" s="2272">
        <f t="shared" si="0"/>
        <v>0</v>
      </c>
      <c r="W74" s="2308"/>
    </row>
    <row r="75" spans="6:23" ht="16.5" customHeight="1">
      <c r="F75" s="2078">
        <v>353</v>
      </c>
      <c r="G75" s="2315"/>
      <c r="H75" s="2123" t="s">
        <v>9437</v>
      </c>
      <c r="I75" s="2310">
        <v>3154836.9800000004</v>
      </c>
      <c r="J75" s="2122">
        <v>3154836.9800000004</v>
      </c>
      <c r="K75" s="2122">
        <v>3154836.9800000004</v>
      </c>
      <c r="L75" s="2122">
        <v>3154836.9800000004</v>
      </c>
      <c r="M75" s="2122">
        <v>3154836.9800000004</v>
      </c>
      <c r="N75" s="2122">
        <v>3154836.9800000004</v>
      </c>
      <c r="O75" s="2122">
        <v>3154836.9800000004</v>
      </c>
      <c r="P75" s="2122">
        <v>3154836.9800000004</v>
      </c>
      <c r="Q75" s="2122">
        <v>3154836.9800000004</v>
      </c>
      <c r="R75" s="2122">
        <v>3154836.9800000004</v>
      </c>
      <c r="S75" s="2122">
        <v>3154836.9800000004</v>
      </c>
      <c r="T75" s="2122">
        <v>3154836.9800000004</v>
      </c>
      <c r="U75" s="2122">
        <v>3154836.9800000004</v>
      </c>
      <c r="V75" s="2272">
        <f t="shared" si="0"/>
        <v>3154836.9800000009</v>
      </c>
      <c r="W75" s="2308"/>
    </row>
    <row r="76" spans="6:23" ht="16.5" customHeight="1">
      <c r="F76" s="2078">
        <v>352</v>
      </c>
      <c r="G76" s="2315"/>
      <c r="H76" s="2123" t="s">
        <v>9438</v>
      </c>
      <c r="I76" s="2123">
        <v>0</v>
      </c>
      <c r="J76" s="2123">
        <v>0</v>
      </c>
      <c r="K76" s="2123">
        <v>0</v>
      </c>
      <c r="L76" s="2123">
        <v>0</v>
      </c>
      <c r="M76" s="2123">
        <v>0</v>
      </c>
      <c r="N76" s="2123">
        <v>0</v>
      </c>
      <c r="O76" s="2123">
        <v>0</v>
      </c>
      <c r="P76" s="2123">
        <v>0</v>
      </c>
      <c r="Q76" s="2123">
        <v>0</v>
      </c>
      <c r="R76" s="2123">
        <v>0</v>
      </c>
      <c r="S76" s="2123">
        <v>0</v>
      </c>
      <c r="T76" s="2123">
        <v>0</v>
      </c>
      <c r="U76" s="2122">
        <v>0</v>
      </c>
      <c r="V76" s="2272"/>
      <c r="W76" s="2308"/>
    </row>
    <row r="77" spans="6:23" ht="16.5" customHeight="1">
      <c r="F77" s="2078">
        <v>353</v>
      </c>
      <c r="G77" s="2315"/>
      <c r="H77" s="2123" t="s">
        <v>9438</v>
      </c>
      <c r="I77" s="2123">
        <v>0</v>
      </c>
      <c r="J77" s="2123">
        <v>0</v>
      </c>
      <c r="K77" s="2123">
        <v>0</v>
      </c>
      <c r="L77" s="2123">
        <v>0</v>
      </c>
      <c r="M77" s="2123">
        <v>0</v>
      </c>
      <c r="N77" s="2123">
        <v>0</v>
      </c>
      <c r="O77" s="2123">
        <v>0</v>
      </c>
      <c r="P77" s="2123">
        <v>0</v>
      </c>
      <c r="Q77" s="2123">
        <v>0</v>
      </c>
      <c r="R77" s="2123">
        <v>0</v>
      </c>
      <c r="S77" s="2123">
        <v>0</v>
      </c>
      <c r="T77" s="2123">
        <v>0</v>
      </c>
      <c r="U77" s="2122">
        <v>9485869.0100000016</v>
      </c>
      <c r="V77" s="2272"/>
      <c r="W77" s="2308"/>
    </row>
    <row r="78" spans="6:23" ht="16.5" customHeight="1">
      <c r="F78" s="2078">
        <v>352</v>
      </c>
      <c r="G78" s="2315"/>
      <c r="H78" s="2123" t="s">
        <v>9439</v>
      </c>
      <c r="I78" s="2123">
        <v>0</v>
      </c>
      <c r="J78" s="2123">
        <v>0</v>
      </c>
      <c r="K78" s="2123">
        <v>0</v>
      </c>
      <c r="L78" s="2123">
        <v>0</v>
      </c>
      <c r="M78" s="2123">
        <v>0</v>
      </c>
      <c r="N78" s="2123">
        <v>0</v>
      </c>
      <c r="O78" s="2123">
        <v>0</v>
      </c>
      <c r="P78" s="2123">
        <v>0</v>
      </c>
      <c r="Q78" s="2123">
        <v>0</v>
      </c>
      <c r="R78" s="2123">
        <v>0</v>
      </c>
      <c r="S78" s="2123">
        <v>0</v>
      </c>
      <c r="T78" s="2123">
        <v>0</v>
      </c>
      <c r="U78" s="2122">
        <v>0</v>
      </c>
      <c r="V78" s="2272">
        <f t="shared" si="0"/>
        <v>0</v>
      </c>
      <c r="W78" s="2308"/>
    </row>
    <row r="79" spans="6:23" ht="16.5" customHeight="1">
      <c r="F79" s="2078">
        <v>353</v>
      </c>
      <c r="G79" s="2315"/>
      <c r="H79" s="2123" t="s">
        <v>9439</v>
      </c>
      <c r="I79" s="2123">
        <v>0</v>
      </c>
      <c r="J79" s="2123">
        <v>0</v>
      </c>
      <c r="K79" s="2123">
        <v>0</v>
      </c>
      <c r="L79" s="2123">
        <v>0</v>
      </c>
      <c r="M79" s="2123">
        <v>0</v>
      </c>
      <c r="N79" s="2123">
        <v>0</v>
      </c>
      <c r="O79" s="2123">
        <v>0</v>
      </c>
      <c r="P79" s="2123">
        <v>0</v>
      </c>
      <c r="Q79" s="2123">
        <v>0</v>
      </c>
      <c r="R79" s="2123">
        <v>0</v>
      </c>
      <c r="S79" s="2123">
        <v>0</v>
      </c>
      <c r="T79" s="2123">
        <v>0</v>
      </c>
      <c r="U79" s="2122">
        <v>5571235.0300000003</v>
      </c>
      <c r="V79" s="2272">
        <f t="shared" si="0"/>
        <v>428556.54076923081</v>
      </c>
      <c r="W79" s="2308"/>
    </row>
    <row r="80" spans="6:23" ht="16.5" customHeight="1">
      <c r="F80" s="2078"/>
      <c r="G80" s="2315"/>
      <c r="H80" s="2123"/>
      <c r="I80" s="2310"/>
      <c r="J80" s="2122"/>
      <c r="K80" s="2122"/>
      <c r="L80" s="2122"/>
      <c r="M80" s="2122"/>
      <c r="N80" s="2122"/>
      <c r="O80" s="2122"/>
      <c r="P80" s="2122"/>
      <c r="Q80" s="2122"/>
      <c r="R80" s="2122"/>
      <c r="S80" s="2122"/>
      <c r="T80" s="2122"/>
      <c r="U80" s="2122"/>
      <c r="V80" s="2272"/>
      <c r="W80" s="2308"/>
    </row>
    <row r="81" spans="6:23" ht="14.4">
      <c r="F81" s="2078"/>
      <c r="G81" s="2315"/>
      <c r="H81" s="2123"/>
      <c r="I81" s="2310"/>
      <c r="J81" s="2310"/>
      <c r="K81" s="2310"/>
      <c r="L81" s="2310"/>
      <c r="M81" s="2310"/>
      <c r="N81" s="2310"/>
      <c r="O81" s="2122"/>
      <c r="P81" s="2122"/>
      <c r="Q81" s="2122"/>
      <c r="R81" s="2122"/>
      <c r="S81" s="2122"/>
      <c r="T81" s="2122"/>
      <c r="U81" s="2122"/>
      <c r="V81" s="2272"/>
      <c r="W81" s="2308"/>
    </row>
    <row r="82" spans="6:23" ht="16.5" customHeight="1">
      <c r="F82" s="2078"/>
      <c r="G82" s="2315"/>
      <c r="H82" s="2123"/>
      <c r="I82" s="2310"/>
      <c r="J82" s="2310"/>
      <c r="K82" s="2310"/>
      <c r="L82" s="2310"/>
      <c r="M82" s="2310"/>
      <c r="N82" s="2310"/>
      <c r="O82" s="2310"/>
      <c r="P82" s="2310"/>
      <c r="Q82" s="2310"/>
      <c r="R82" s="2310"/>
      <c r="S82" s="2310"/>
      <c r="T82" s="2310"/>
      <c r="U82" s="2122"/>
      <c r="V82" s="2272"/>
      <c r="W82" s="2308"/>
    </row>
    <row r="83" spans="6:23" ht="14.4">
      <c r="F83" s="2078"/>
      <c r="G83" s="2315"/>
      <c r="H83" s="2123"/>
      <c r="I83" s="2310"/>
      <c r="J83" s="2310"/>
      <c r="K83" s="2310"/>
      <c r="L83" s="2310"/>
      <c r="M83" s="2310"/>
      <c r="N83" s="2310"/>
      <c r="O83" s="2310"/>
      <c r="P83" s="2310"/>
      <c r="Q83" s="2310"/>
      <c r="R83" s="2310"/>
      <c r="S83" s="2310"/>
      <c r="T83" s="2310"/>
      <c r="U83" s="2122"/>
      <c r="V83" s="2272"/>
      <c r="W83" s="2308"/>
    </row>
    <row r="84" spans="6:23" ht="14.4">
      <c r="F84" s="2078"/>
      <c r="G84" s="2315"/>
      <c r="H84" s="2123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122"/>
      <c r="V84" s="2272"/>
      <c r="W84" s="2308"/>
    </row>
    <row r="85" spans="6:23" ht="14.4">
      <c r="F85" s="2078"/>
      <c r="G85" s="2315"/>
      <c r="H85" s="2123"/>
      <c r="I85" s="2310"/>
      <c r="J85" s="2310"/>
      <c r="K85" s="2310"/>
      <c r="L85" s="2310"/>
      <c r="M85" s="2310"/>
      <c r="N85" s="2310"/>
      <c r="O85" s="2310"/>
      <c r="P85" s="2310"/>
      <c r="Q85" s="2310"/>
      <c r="R85" s="2310"/>
      <c r="S85" s="2310"/>
      <c r="T85" s="2310"/>
      <c r="U85" s="2122"/>
      <c r="V85" s="2272"/>
      <c r="W85" s="2308"/>
    </row>
    <row r="86" spans="6:23" ht="13.8" thickBot="1">
      <c r="F86" s="2078"/>
      <c r="G86" s="2078"/>
      <c r="H86" s="2317">
        <v>0</v>
      </c>
      <c r="I86" s="2280">
        <f t="shared" ref="I86:T86" si="1">+SUM(I4:I85)</f>
        <v>138930873.40089291</v>
      </c>
      <c r="J86" s="2280">
        <f t="shared" si="1"/>
        <v>138065630.3208929</v>
      </c>
      <c r="K86" s="2280">
        <f t="shared" si="1"/>
        <v>138065630.3208929</v>
      </c>
      <c r="L86" s="2280">
        <f t="shared" si="1"/>
        <v>138065630.3208929</v>
      </c>
      <c r="M86" s="2280">
        <f t="shared" si="1"/>
        <v>138065630.3208929</v>
      </c>
      <c r="N86" s="2280">
        <f t="shared" si="1"/>
        <v>138065630.3208929</v>
      </c>
      <c r="O86" s="2280">
        <f t="shared" si="1"/>
        <v>138630262.50089291</v>
      </c>
      <c r="P86" s="2280">
        <f t="shared" si="1"/>
        <v>138630262.50089291</v>
      </c>
      <c r="Q86" s="2280">
        <f t="shared" si="1"/>
        <v>138630262.50089291</v>
      </c>
      <c r="R86" s="2280">
        <f t="shared" si="1"/>
        <v>138630262.50089291</v>
      </c>
      <c r="S86" s="2280">
        <f t="shared" si="1"/>
        <v>138630262.50089291</v>
      </c>
      <c r="T86" s="2280">
        <f t="shared" si="1"/>
        <v>138630262.50089291</v>
      </c>
      <c r="U86" s="2280">
        <f>+SUM(U4:U85)</f>
        <v>153987977.4408929</v>
      </c>
      <c r="V86" s="2280">
        <f>+AVERAGE(I86:U86)</f>
        <v>139617582.8808929</v>
      </c>
      <c r="W86" s="2308"/>
    </row>
    <row r="87" spans="6:23" ht="15" thickTop="1">
      <c r="F87" s="2078"/>
      <c r="G87" s="2078"/>
      <c r="H87" s="2318"/>
      <c r="I87" s="2319"/>
      <c r="J87" s="2319"/>
      <c r="K87" s="2319"/>
      <c r="L87" s="2319"/>
      <c r="M87" s="2319"/>
      <c r="N87" s="2319"/>
      <c r="O87" s="2319"/>
      <c r="P87" s="2319"/>
      <c r="Q87" s="2319"/>
      <c r="R87" s="2319"/>
      <c r="S87" s="2319"/>
      <c r="T87" s="2319"/>
      <c r="U87" s="2319"/>
      <c r="V87" s="2319"/>
      <c r="W87" s="2308"/>
    </row>
    <row r="88" spans="6:23" ht="14.4">
      <c r="F88" s="2078"/>
      <c r="G88" s="2078"/>
      <c r="H88" s="2318"/>
      <c r="I88" s="2320"/>
      <c r="J88" s="2320"/>
      <c r="K88" s="2320"/>
      <c r="L88" s="2320"/>
      <c r="M88" s="2320"/>
      <c r="N88" s="2320"/>
      <c r="O88" s="2320"/>
      <c r="P88" s="2320"/>
      <c r="Q88" s="2320"/>
      <c r="R88" s="2320"/>
      <c r="S88" s="2320"/>
      <c r="T88" s="2320"/>
      <c r="U88" s="2319"/>
      <c r="V88" s="2319"/>
      <c r="W88" s="2308"/>
    </row>
    <row r="89" spans="6:23" ht="14.4">
      <c r="F89" s="2078"/>
      <c r="G89" s="2078"/>
      <c r="H89" s="2321"/>
      <c r="I89" s="2320"/>
      <c r="J89" s="2320"/>
      <c r="K89" s="2320"/>
      <c r="L89" s="2320"/>
      <c r="M89" s="2320"/>
      <c r="N89" s="2320"/>
      <c r="O89" s="2320"/>
      <c r="P89" s="2320"/>
      <c r="Q89" s="2320"/>
      <c r="R89" s="2320"/>
      <c r="S89" s="2320"/>
      <c r="T89" s="2320"/>
      <c r="U89" s="2320"/>
      <c r="V89" s="2320"/>
      <c r="W89" s="2316"/>
    </row>
    <row r="90" spans="6:23">
      <c r="F90" s="2078"/>
      <c r="G90" s="2078"/>
      <c r="H90" s="2318"/>
      <c r="I90" s="2317"/>
      <c r="J90" s="2316"/>
      <c r="K90" s="2316"/>
      <c r="L90" s="2316"/>
      <c r="M90" s="2316"/>
      <c r="N90" s="2316"/>
      <c r="O90" s="2316"/>
      <c r="P90" s="2316"/>
      <c r="Q90" s="2316"/>
      <c r="R90" s="2316"/>
      <c r="S90" s="2316"/>
      <c r="T90" s="2316"/>
      <c r="U90" s="2311"/>
      <c r="V90" s="2308"/>
      <c r="W90" s="2308"/>
    </row>
    <row r="91" spans="6:23">
      <c r="F91" s="2078"/>
      <c r="G91" s="2078"/>
      <c r="H91" s="2304"/>
      <c r="I91" s="2317"/>
      <c r="J91" s="2308"/>
      <c r="K91" s="2308"/>
      <c r="L91" s="2308"/>
      <c r="M91" s="2308"/>
      <c r="N91" s="2308"/>
      <c r="O91" s="2308"/>
      <c r="P91" s="2308"/>
      <c r="Q91" s="2308"/>
      <c r="R91" s="2308"/>
      <c r="S91" s="2308"/>
      <c r="T91" s="2308"/>
      <c r="U91" s="2322"/>
      <c r="V91" s="2308"/>
      <c r="W91" s="2308"/>
    </row>
    <row r="92" spans="6:23" ht="15.6">
      <c r="F92" s="2323" t="s">
        <v>3099</v>
      </c>
      <c r="G92" s="2303"/>
      <c r="H92" s="2304"/>
      <c r="I92" s="2303">
        <v>2024</v>
      </c>
      <c r="J92" s="2303">
        <v>2025</v>
      </c>
      <c r="K92" s="2303">
        <v>2025</v>
      </c>
      <c r="L92" s="2303">
        <v>2025</v>
      </c>
      <c r="M92" s="2303">
        <v>2025</v>
      </c>
      <c r="N92" s="2303">
        <v>2025</v>
      </c>
      <c r="O92" s="2303">
        <v>2025</v>
      </c>
      <c r="P92" s="2303">
        <v>2025</v>
      </c>
      <c r="Q92" s="2303">
        <v>2025</v>
      </c>
      <c r="R92" s="2303">
        <v>2025</v>
      </c>
      <c r="S92" s="2303">
        <v>2025</v>
      </c>
      <c r="T92" s="2303">
        <v>2025</v>
      </c>
      <c r="U92" s="2303">
        <v>2025</v>
      </c>
      <c r="V92" s="2305" t="s">
        <v>1547</v>
      </c>
      <c r="W92" s="2308"/>
    </row>
    <row r="93" spans="6:23">
      <c r="F93" s="2303" t="s">
        <v>113</v>
      </c>
      <c r="G93" s="2303" t="s">
        <v>3038</v>
      </c>
      <c r="H93" s="2303" t="s">
        <v>3039</v>
      </c>
      <c r="I93" s="2306" t="s">
        <v>2296</v>
      </c>
      <c r="J93" s="2303" t="s">
        <v>2287</v>
      </c>
      <c r="K93" s="2303" t="s">
        <v>2288</v>
      </c>
      <c r="L93" s="2303" t="s">
        <v>2289</v>
      </c>
      <c r="M93" s="2303" t="s">
        <v>2290</v>
      </c>
      <c r="N93" s="2303" t="s">
        <v>1361</v>
      </c>
      <c r="O93" s="2303" t="s">
        <v>2291</v>
      </c>
      <c r="P93" s="2303" t="s">
        <v>3040</v>
      </c>
      <c r="Q93" s="2303" t="s">
        <v>2292</v>
      </c>
      <c r="R93" s="2303" t="s">
        <v>2293</v>
      </c>
      <c r="S93" s="2303" t="s">
        <v>2294</v>
      </c>
      <c r="T93" s="2303" t="s">
        <v>2295</v>
      </c>
      <c r="U93" s="2307" t="s">
        <v>2296</v>
      </c>
      <c r="V93" s="2306" t="s">
        <v>1840</v>
      </c>
      <c r="W93" s="2308"/>
    </row>
    <row r="94" spans="6:23" ht="14.4">
      <c r="F94" s="2078">
        <v>353</v>
      </c>
      <c r="G94" s="2078" t="s">
        <v>3042</v>
      </c>
      <c r="H94" s="2309" t="s">
        <v>1873</v>
      </c>
      <c r="I94" s="2074"/>
      <c r="J94" s="2272"/>
      <c r="K94" s="2272"/>
      <c r="L94" s="2272"/>
      <c r="M94" s="2272"/>
      <c r="N94" s="2272"/>
      <c r="O94" s="2272"/>
      <c r="P94" s="2272"/>
      <c r="Q94" s="2272"/>
      <c r="R94" s="2272"/>
      <c r="S94" s="2272"/>
      <c r="T94" s="2272"/>
      <c r="U94" s="2272"/>
      <c r="V94" s="2272">
        <v>0</v>
      </c>
      <c r="W94" s="2308"/>
    </row>
    <row r="95" spans="6:23" ht="14.4">
      <c r="F95" s="2078">
        <v>353</v>
      </c>
      <c r="G95" s="2078" t="s">
        <v>3043</v>
      </c>
      <c r="H95" s="2309" t="s">
        <v>3044</v>
      </c>
      <c r="I95" s="2074">
        <v>3534435.6178599931</v>
      </c>
      <c r="J95" s="2272">
        <v>3551919.4133583265</v>
      </c>
      <c r="K95" s="2272">
        <v>3568939.4037941596</v>
      </c>
      <c r="L95" s="2272">
        <v>3585959.3942299928</v>
      </c>
      <c r="M95" s="2272">
        <v>3602979.3846658259</v>
      </c>
      <c r="N95" s="2272">
        <v>3619999.375101659</v>
      </c>
      <c r="O95" s="2272">
        <v>3637019.3655374921</v>
      </c>
      <c r="P95" s="2272">
        <v>3654503.1609783256</v>
      </c>
      <c r="Q95" s="2272">
        <v>3671986.9564191592</v>
      </c>
      <c r="R95" s="2272">
        <v>3689470.7518599927</v>
      </c>
      <c r="S95" s="2272">
        <v>3706954.5473008263</v>
      </c>
      <c r="T95" s="2272">
        <v>3724438.3427416598</v>
      </c>
      <c r="U95" s="2272">
        <v>3741922.1381824934</v>
      </c>
      <c r="V95" s="2272">
        <f>+AVERAGE(I95:U95)</f>
        <v>3637732.9116946082</v>
      </c>
      <c r="W95" s="2308"/>
    </row>
    <row r="96" spans="6:23" ht="14.4">
      <c r="F96" s="2078">
        <v>353</v>
      </c>
      <c r="G96" s="2078"/>
      <c r="H96" s="2309" t="s">
        <v>3045</v>
      </c>
      <c r="I96" s="2074">
        <v>93259.333796666513</v>
      </c>
      <c r="J96" s="2272">
        <v>93296.196088333178</v>
      </c>
      <c r="K96" s="2272">
        <v>93333.058379999842</v>
      </c>
      <c r="L96" s="2272">
        <v>93369.920671666507</v>
      </c>
      <c r="M96" s="2272">
        <v>93406.782963333171</v>
      </c>
      <c r="N96" s="2272">
        <v>93443.645254999836</v>
      </c>
      <c r="O96" s="2272">
        <v>93480.5075466665</v>
      </c>
      <c r="P96" s="2272">
        <v>93517.369838333165</v>
      </c>
      <c r="Q96" s="2272">
        <v>93554.232129999829</v>
      </c>
      <c r="R96" s="2272">
        <v>93591.094421666494</v>
      </c>
      <c r="S96" s="2272">
        <v>93627.956713333158</v>
      </c>
      <c r="T96" s="2272">
        <v>93664.819004999823</v>
      </c>
      <c r="U96" s="2272">
        <v>93701.681296666487</v>
      </c>
      <c r="V96" s="2272">
        <f t="shared" ref="V96:V179" si="2">+AVERAGE(I96:U96)</f>
        <v>93480.507546666486</v>
      </c>
      <c r="W96" s="2308"/>
    </row>
    <row r="97" spans="6:23" ht="14.4">
      <c r="F97" s="2078">
        <v>353</v>
      </c>
      <c r="G97" s="2078"/>
      <c r="H97" s="2309" t="s">
        <v>3046</v>
      </c>
      <c r="I97" s="2074">
        <v>1207303.8608875005</v>
      </c>
      <c r="J97" s="2272">
        <v>1215927.4599000004</v>
      </c>
      <c r="K97" s="2272">
        <v>1224551.0589125003</v>
      </c>
      <c r="L97" s="2272">
        <v>1233174.6579250002</v>
      </c>
      <c r="M97" s="2272">
        <v>1241798.2569375001</v>
      </c>
      <c r="N97" s="2272">
        <v>1250421.85595</v>
      </c>
      <c r="O97" s="2272">
        <v>1259045.4549624999</v>
      </c>
      <c r="P97" s="2272">
        <v>1267669.0539749998</v>
      </c>
      <c r="Q97" s="2272">
        <v>1276292.6529874997</v>
      </c>
      <c r="R97" s="2272">
        <v>1284916.2519999996</v>
      </c>
      <c r="S97" s="2272">
        <v>1293539.8510124995</v>
      </c>
      <c r="T97" s="2272">
        <v>1302163.4500249994</v>
      </c>
      <c r="U97" s="2272">
        <v>1310787.0490374994</v>
      </c>
      <c r="V97" s="2272">
        <f t="shared" si="2"/>
        <v>1259045.4549624999</v>
      </c>
      <c r="W97" s="2308"/>
    </row>
    <row r="98" spans="6:23" ht="14.4">
      <c r="F98" s="2078">
        <v>353</v>
      </c>
      <c r="G98" s="2078" t="s">
        <v>3047</v>
      </c>
      <c r="H98" s="2309" t="s">
        <v>3048</v>
      </c>
      <c r="I98" s="2074">
        <v>3723129.4307375005</v>
      </c>
      <c r="J98" s="2272">
        <v>3736770.6032983339</v>
      </c>
      <c r="K98" s="2272">
        <v>3749793.3692625007</v>
      </c>
      <c r="L98" s="2272">
        <v>3762816.1352266674</v>
      </c>
      <c r="M98" s="2272">
        <v>3775838.9011908341</v>
      </c>
      <c r="N98" s="2272">
        <v>3788861.6671550008</v>
      </c>
      <c r="O98" s="2272">
        <v>3801884.4331191676</v>
      </c>
      <c r="P98" s="2272">
        <v>3815525.6057566674</v>
      </c>
      <c r="Q98" s="2272">
        <v>3829166.7783941673</v>
      </c>
      <c r="R98" s="2272">
        <v>3842807.9510316672</v>
      </c>
      <c r="S98" s="2272">
        <v>3856449.123669167</v>
      </c>
      <c r="T98" s="2272">
        <v>3870090.2963066669</v>
      </c>
      <c r="U98" s="2272">
        <v>3883731.4689441668</v>
      </c>
      <c r="V98" s="2272">
        <f t="shared" si="2"/>
        <v>3802835.8280071169</v>
      </c>
      <c r="W98" s="2308"/>
    </row>
    <row r="99" spans="6:23" ht="14.4">
      <c r="F99" s="2078">
        <v>353</v>
      </c>
      <c r="G99" s="2078">
        <v>33</v>
      </c>
      <c r="H99" s="2309" t="s">
        <v>3049</v>
      </c>
      <c r="I99" s="2074">
        <v>353541.72250666691</v>
      </c>
      <c r="J99" s="2272">
        <v>355223.07331750024</v>
      </c>
      <c r="K99" s="2272">
        <v>356904.42412833357</v>
      </c>
      <c r="L99" s="2272">
        <v>358585.77493916691</v>
      </c>
      <c r="M99" s="2272">
        <v>360267.12575000024</v>
      </c>
      <c r="N99" s="2272">
        <v>361948.47656083357</v>
      </c>
      <c r="O99" s="2272">
        <v>363629.82737166691</v>
      </c>
      <c r="P99" s="2272">
        <v>365311.17818250024</v>
      </c>
      <c r="Q99" s="2272">
        <v>366992.52899333357</v>
      </c>
      <c r="R99" s="2272">
        <v>368673.87980416691</v>
      </c>
      <c r="S99" s="2272">
        <v>370355.23061500024</v>
      </c>
      <c r="T99" s="2272">
        <v>372036.58142583357</v>
      </c>
      <c r="U99" s="2272">
        <v>373717.93223666691</v>
      </c>
      <c r="V99" s="2272">
        <f t="shared" si="2"/>
        <v>363629.82737166691</v>
      </c>
      <c r="W99" s="2308"/>
    </row>
    <row r="100" spans="6:23" ht="14.4">
      <c r="F100" s="2078">
        <v>353</v>
      </c>
      <c r="G100" s="2078">
        <v>34</v>
      </c>
      <c r="H100" s="2309" t="s">
        <v>3050</v>
      </c>
      <c r="I100" s="2074">
        <v>349132.50739166827</v>
      </c>
      <c r="J100" s="2272">
        <v>350773.39758000162</v>
      </c>
      <c r="K100" s="2272">
        <v>352414.28776833497</v>
      </c>
      <c r="L100" s="2272">
        <v>354055.17795666831</v>
      </c>
      <c r="M100" s="2272">
        <v>355696.06814500166</v>
      </c>
      <c r="N100" s="2272">
        <v>357336.958333335</v>
      </c>
      <c r="O100" s="2272">
        <v>358977.84852166835</v>
      </c>
      <c r="P100" s="2272">
        <v>360618.73871000169</v>
      </c>
      <c r="Q100" s="2272">
        <v>362259.62889833504</v>
      </c>
      <c r="R100" s="2272">
        <v>363900.51908666838</v>
      </c>
      <c r="S100" s="2272">
        <v>365541.40927500173</v>
      </c>
      <c r="T100" s="2272">
        <v>367182.29946333508</v>
      </c>
      <c r="U100" s="2272">
        <v>368823.18965166842</v>
      </c>
      <c r="V100" s="2272">
        <f t="shared" si="2"/>
        <v>358977.84852166835</v>
      </c>
      <c r="W100" s="2308"/>
    </row>
    <row r="101" spans="6:23" ht="14.4">
      <c r="F101" s="2078">
        <v>353</v>
      </c>
      <c r="G101" s="2078">
        <v>35</v>
      </c>
      <c r="H101" s="2309" t="s">
        <v>3051</v>
      </c>
      <c r="I101" s="2074">
        <v>361509.07710416557</v>
      </c>
      <c r="J101" s="2272">
        <v>363198.25259166554</v>
      </c>
      <c r="K101" s="2272">
        <v>364887.42807916552</v>
      </c>
      <c r="L101" s="2272">
        <v>366576.60356666549</v>
      </c>
      <c r="M101" s="2272">
        <v>368265.77905416547</v>
      </c>
      <c r="N101" s="2272">
        <v>369954.95454166544</v>
      </c>
      <c r="O101" s="2272">
        <v>371644.13002916542</v>
      </c>
      <c r="P101" s="2272">
        <v>373333.30551666539</v>
      </c>
      <c r="Q101" s="2272">
        <v>375022.48100416537</v>
      </c>
      <c r="R101" s="2272">
        <v>376711.65649166534</v>
      </c>
      <c r="S101" s="2272">
        <v>378400.83197916532</v>
      </c>
      <c r="T101" s="2272">
        <v>380090.00746666529</v>
      </c>
      <c r="U101" s="2272">
        <v>381779.18295416527</v>
      </c>
      <c r="V101" s="2272">
        <f t="shared" si="2"/>
        <v>371644.13002916542</v>
      </c>
      <c r="W101" s="2308"/>
    </row>
    <row r="102" spans="6:23" ht="14.4">
      <c r="F102" s="2078">
        <v>353</v>
      </c>
      <c r="G102" s="2078">
        <v>36</v>
      </c>
      <c r="H102" s="2309" t="s">
        <v>3052</v>
      </c>
      <c r="I102" s="2074">
        <v>361509.07710416557</v>
      </c>
      <c r="J102" s="2272">
        <v>363198.25259166554</v>
      </c>
      <c r="K102" s="2272">
        <v>364887.42807916552</v>
      </c>
      <c r="L102" s="2272">
        <v>366576.60356666549</v>
      </c>
      <c r="M102" s="2272">
        <v>368265.77905416547</v>
      </c>
      <c r="N102" s="2272">
        <v>369954.95454166544</v>
      </c>
      <c r="O102" s="2272">
        <v>371644.13002916542</v>
      </c>
      <c r="P102" s="2272">
        <v>373333.30551666539</v>
      </c>
      <c r="Q102" s="2272">
        <v>375022.48100416537</v>
      </c>
      <c r="R102" s="2272">
        <v>376711.65649166534</v>
      </c>
      <c r="S102" s="2272">
        <v>378400.83197916532</v>
      </c>
      <c r="T102" s="2272">
        <v>380090.00746666529</v>
      </c>
      <c r="U102" s="2272">
        <v>381779.18295416527</v>
      </c>
      <c r="V102" s="2272">
        <f t="shared" si="2"/>
        <v>371644.13002916542</v>
      </c>
      <c r="W102" s="2308"/>
    </row>
    <row r="103" spans="6:23" ht="14.4">
      <c r="F103" s="2078">
        <v>353</v>
      </c>
      <c r="G103" s="2078" t="s">
        <v>3053</v>
      </c>
      <c r="H103" s="2309" t="s">
        <v>3054</v>
      </c>
      <c r="I103" s="2074">
        <v>2770903.0730050192</v>
      </c>
      <c r="J103" s="2272">
        <v>2778582.0501533528</v>
      </c>
      <c r="K103" s="2272">
        <v>2786261.0273016864</v>
      </c>
      <c r="L103" s="2272">
        <v>2793940.0044500199</v>
      </c>
      <c r="M103" s="2272">
        <v>2801618.9815983535</v>
      </c>
      <c r="N103" s="2272">
        <v>2809297.958746687</v>
      </c>
      <c r="O103" s="2272">
        <v>2816976.9358950206</v>
      </c>
      <c r="P103" s="2272">
        <v>2824655.9130433542</v>
      </c>
      <c r="Q103" s="2272">
        <v>2832334.8901916877</v>
      </c>
      <c r="R103" s="2272">
        <v>2840013.8673400213</v>
      </c>
      <c r="S103" s="2272">
        <v>2847692.8444883549</v>
      </c>
      <c r="T103" s="2272">
        <v>2855371.8216366884</v>
      </c>
      <c r="U103" s="2272">
        <v>2863050.798785022</v>
      </c>
      <c r="V103" s="2272">
        <f t="shared" si="2"/>
        <v>2816976.9358950211</v>
      </c>
      <c r="W103" s="2308"/>
    </row>
    <row r="104" spans="6:23" ht="14.4">
      <c r="F104" s="2078">
        <v>353</v>
      </c>
      <c r="G104" s="2078" t="s">
        <v>3055</v>
      </c>
      <c r="H104" s="2309" t="s">
        <v>3056</v>
      </c>
      <c r="I104" s="2074">
        <v>1049693.8891141689</v>
      </c>
      <c r="J104" s="2272">
        <v>1049693.8891141689</v>
      </c>
      <c r="K104" s="2272">
        <v>1049693.8891141689</v>
      </c>
      <c r="L104" s="2272">
        <v>1049693.8891141689</v>
      </c>
      <c r="M104" s="2272">
        <v>1049693.8891141689</v>
      </c>
      <c r="N104" s="2272">
        <v>1049693.8891141689</v>
      </c>
      <c r="O104" s="2272">
        <v>1049693.8891141689</v>
      </c>
      <c r="P104" s="2272">
        <v>1049693.8891141689</v>
      </c>
      <c r="Q104" s="2272">
        <v>1049693.8891141689</v>
      </c>
      <c r="R104" s="2272">
        <v>1049693.8891141689</v>
      </c>
      <c r="S104" s="2272">
        <v>1049693.8891141689</v>
      </c>
      <c r="T104" s="2272">
        <v>1049693.8891141689</v>
      </c>
      <c r="U104" s="2272">
        <v>1049693.8891141689</v>
      </c>
      <c r="V104" s="2272">
        <f t="shared" si="2"/>
        <v>1049693.8891141692</v>
      </c>
      <c r="W104" s="2308"/>
    </row>
    <row r="105" spans="6:23" ht="14.4">
      <c r="F105" s="2078">
        <v>353</v>
      </c>
      <c r="G105" s="2078" t="s">
        <v>3057</v>
      </c>
      <c r="H105" s="2309" t="s">
        <v>3058</v>
      </c>
      <c r="I105" s="2074">
        <v>814324.83952999313</v>
      </c>
      <c r="J105" s="2272">
        <v>814324.83952999313</v>
      </c>
      <c r="K105" s="2272">
        <v>814324.83952999313</v>
      </c>
      <c r="L105" s="2272">
        <v>814324.83952999313</v>
      </c>
      <c r="M105" s="2272">
        <v>814324.83952999313</v>
      </c>
      <c r="N105" s="2272">
        <v>814324.83952999313</v>
      </c>
      <c r="O105" s="2272">
        <v>814324.83952999313</v>
      </c>
      <c r="P105" s="2272">
        <v>814324.83952999313</v>
      </c>
      <c r="Q105" s="2272">
        <v>814324.83952999313</v>
      </c>
      <c r="R105" s="2272">
        <v>814324.83952999313</v>
      </c>
      <c r="S105" s="2272">
        <v>814324.83952999313</v>
      </c>
      <c r="T105" s="2272">
        <v>814324.83952999313</v>
      </c>
      <c r="U105" s="2272">
        <v>814324.83952999313</v>
      </c>
      <c r="V105" s="2272">
        <f t="shared" si="2"/>
        <v>814324.83952999313</v>
      </c>
      <c r="W105" s="2308"/>
    </row>
    <row r="106" spans="6:23" ht="14.4">
      <c r="F106" s="2078">
        <v>353</v>
      </c>
      <c r="G106" s="2078" t="s">
        <v>3059</v>
      </c>
      <c r="H106" s="2309" t="s">
        <v>3060</v>
      </c>
      <c r="I106" s="2074">
        <v>1407774.872748334</v>
      </c>
      <c r="J106" s="2272">
        <v>1407774.872748334</v>
      </c>
      <c r="K106" s="2272">
        <v>1407774.872748334</v>
      </c>
      <c r="L106" s="2272">
        <v>1407774.872748334</v>
      </c>
      <c r="M106" s="2272">
        <v>1407774.872748334</v>
      </c>
      <c r="N106" s="2272">
        <v>1407774.872748334</v>
      </c>
      <c r="O106" s="2272">
        <v>1407774.872748334</v>
      </c>
      <c r="P106" s="2272">
        <v>1407774.872748334</v>
      </c>
      <c r="Q106" s="2272">
        <v>1407774.872748334</v>
      </c>
      <c r="R106" s="2272">
        <v>1407774.872748334</v>
      </c>
      <c r="S106" s="2272">
        <v>1407774.872748334</v>
      </c>
      <c r="T106" s="2272">
        <v>1407774.872748334</v>
      </c>
      <c r="U106" s="2272">
        <v>1407774.872748334</v>
      </c>
      <c r="V106" s="2272">
        <f t="shared" si="2"/>
        <v>1407774.872748334</v>
      </c>
      <c r="W106" s="2308"/>
    </row>
    <row r="107" spans="6:23" ht="14.4">
      <c r="F107" s="2078">
        <v>353</v>
      </c>
      <c r="G107" s="2078" t="s">
        <v>3061</v>
      </c>
      <c r="H107" s="2309" t="s">
        <v>3062</v>
      </c>
      <c r="I107" s="2074">
        <v>2233824.1992141507</v>
      </c>
      <c r="J107" s="2272">
        <v>2239923.8642658172</v>
      </c>
      <c r="K107" s="2272">
        <v>2245447.3584066504</v>
      </c>
      <c r="L107" s="2272">
        <v>2250970.8525474835</v>
      </c>
      <c r="M107" s="2272">
        <v>2256494.3466883167</v>
      </c>
      <c r="N107" s="2272">
        <v>2262017.8408291498</v>
      </c>
      <c r="O107" s="2272">
        <v>2267541.334969983</v>
      </c>
      <c r="P107" s="2272">
        <v>2273064.8291108161</v>
      </c>
      <c r="Q107" s="2272">
        <v>2278588.3232516493</v>
      </c>
      <c r="R107" s="2272">
        <v>2284111.8173924824</v>
      </c>
      <c r="S107" s="2272">
        <v>2289635.3115333156</v>
      </c>
      <c r="T107" s="2272">
        <v>2295158.8056741487</v>
      </c>
      <c r="U107" s="2272">
        <v>2300682.2998149819</v>
      </c>
      <c r="V107" s="2272">
        <f t="shared" si="2"/>
        <v>2267497.0141306883</v>
      </c>
      <c r="W107" s="2308"/>
    </row>
    <row r="108" spans="6:23" ht="14.4">
      <c r="F108" s="2078">
        <v>353</v>
      </c>
      <c r="G108" s="2315">
        <v>44</v>
      </c>
      <c r="H108" s="2309" t="s">
        <v>3063</v>
      </c>
      <c r="I108" s="2074">
        <v>544740.55642666633</v>
      </c>
      <c r="J108" s="2272">
        <v>547715.06859083299</v>
      </c>
      <c r="K108" s="2272">
        <v>550689.58075499965</v>
      </c>
      <c r="L108" s="2272">
        <v>553664.09291916632</v>
      </c>
      <c r="M108" s="2272">
        <v>556638.60508333298</v>
      </c>
      <c r="N108" s="2272">
        <v>559613.11724749964</v>
      </c>
      <c r="O108" s="2272">
        <v>562587.6294116663</v>
      </c>
      <c r="P108" s="2272">
        <v>565562.14157583297</v>
      </c>
      <c r="Q108" s="2272">
        <v>568536.65373999963</v>
      </c>
      <c r="R108" s="2272">
        <v>571511.16590416629</v>
      </c>
      <c r="S108" s="2272">
        <v>574485.67806833296</v>
      </c>
      <c r="T108" s="2272">
        <v>577460.19023249962</v>
      </c>
      <c r="U108" s="2272">
        <v>580434.70239666628</v>
      </c>
      <c r="V108" s="2272">
        <f t="shared" si="2"/>
        <v>562587.62941166642</v>
      </c>
      <c r="W108" s="2308"/>
    </row>
    <row r="109" spans="6:23" ht="14.4">
      <c r="F109" s="2078">
        <v>353</v>
      </c>
      <c r="G109" s="2078" t="s">
        <v>3064</v>
      </c>
      <c r="H109" s="2309" t="s">
        <v>3065</v>
      </c>
      <c r="I109" s="2272">
        <v>0</v>
      </c>
      <c r="J109" s="2272">
        <v>0</v>
      </c>
      <c r="K109" s="2272">
        <v>0</v>
      </c>
      <c r="L109" s="2272">
        <v>0</v>
      </c>
      <c r="M109" s="2272">
        <v>0</v>
      </c>
      <c r="N109" s="2272">
        <v>0</v>
      </c>
      <c r="O109" s="2272">
        <v>0</v>
      </c>
      <c r="P109" s="2272">
        <v>0</v>
      </c>
      <c r="Q109" s="2272">
        <v>0</v>
      </c>
      <c r="R109" s="2272">
        <v>0</v>
      </c>
      <c r="S109" s="2272">
        <v>0</v>
      </c>
      <c r="T109" s="2272">
        <v>0</v>
      </c>
      <c r="U109" s="2272">
        <v>0</v>
      </c>
      <c r="V109" s="2272">
        <f t="shared" si="2"/>
        <v>0</v>
      </c>
      <c r="W109" s="2308"/>
    </row>
    <row r="110" spans="6:23" ht="14.4">
      <c r="F110" s="2078">
        <v>353</v>
      </c>
      <c r="G110" s="2078" t="s">
        <v>3066</v>
      </c>
      <c r="H110" s="2309" t="s">
        <v>3067</v>
      </c>
      <c r="I110" s="2272">
        <v>0</v>
      </c>
      <c r="J110" s="2272">
        <v>0</v>
      </c>
      <c r="K110" s="2272">
        <v>0</v>
      </c>
      <c r="L110" s="2272">
        <v>0</v>
      </c>
      <c r="M110" s="2272">
        <v>0</v>
      </c>
      <c r="N110" s="2272">
        <v>0</v>
      </c>
      <c r="O110" s="2272">
        <v>0</v>
      </c>
      <c r="P110" s="2272">
        <v>0</v>
      </c>
      <c r="Q110" s="2272">
        <v>0</v>
      </c>
      <c r="R110" s="2272">
        <v>0</v>
      </c>
      <c r="S110" s="2272">
        <v>0</v>
      </c>
      <c r="T110" s="2272">
        <v>0</v>
      </c>
      <c r="U110" s="2272">
        <v>0</v>
      </c>
      <c r="V110" s="2272">
        <f t="shared" si="2"/>
        <v>0</v>
      </c>
      <c r="W110" s="2308"/>
    </row>
    <row r="111" spans="6:23" ht="14.4">
      <c r="F111" s="2078">
        <v>353</v>
      </c>
      <c r="G111" s="2078" t="s">
        <v>3068</v>
      </c>
      <c r="H111" s="2309" t="s">
        <v>3069</v>
      </c>
      <c r="I111" s="2272">
        <v>0</v>
      </c>
      <c r="J111" s="2272">
        <v>0</v>
      </c>
      <c r="K111" s="2272">
        <v>0</v>
      </c>
      <c r="L111" s="2272">
        <v>0</v>
      </c>
      <c r="M111" s="2272">
        <v>0</v>
      </c>
      <c r="N111" s="2272">
        <v>0</v>
      </c>
      <c r="O111" s="2272">
        <v>0</v>
      </c>
      <c r="P111" s="2272">
        <v>0</v>
      </c>
      <c r="Q111" s="2272">
        <v>0</v>
      </c>
      <c r="R111" s="2272">
        <v>0</v>
      </c>
      <c r="S111" s="2272">
        <v>0</v>
      </c>
      <c r="T111" s="2272">
        <v>0</v>
      </c>
      <c r="U111" s="2272">
        <v>0</v>
      </c>
      <c r="V111" s="2272">
        <f t="shared" si="2"/>
        <v>0</v>
      </c>
      <c r="W111" s="2308"/>
    </row>
    <row r="112" spans="6:23" ht="14.4">
      <c r="F112" s="2078">
        <v>353</v>
      </c>
      <c r="G112" s="2078" t="s">
        <v>3070</v>
      </c>
      <c r="H112" s="2309" t="s">
        <v>3071</v>
      </c>
      <c r="I112" s="2272">
        <v>0</v>
      </c>
      <c r="J112" s="2272">
        <v>0</v>
      </c>
      <c r="K112" s="2272">
        <v>0</v>
      </c>
      <c r="L112" s="2272">
        <v>0</v>
      </c>
      <c r="M112" s="2272">
        <v>0</v>
      </c>
      <c r="N112" s="2272">
        <v>0</v>
      </c>
      <c r="O112" s="2272">
        <v>0</v>
      </c>
      <c r="P112" s="2272">
        <v>0</v>
      </c>
      <c r="Q112" s="2272">
        <v>0</v>
      </c>
      <c r="R112" s="2272">
        <v>0</v>
      </c>
      <c r="S112" s="2272">
        <v>0</v>
      </c>
      <c r="T112" s="2272">
        <v>0</v>
      </c>
      <c r="U112" s="2272">
        <v>0</v>
      </c>
      <c r="V112" s="2272">
        <f t="shared" si="2"/>
        <v>0</v>
      </c>
      <c r="W112" s="2308"/>
    </row>
    <row r="113" spans="6:23" ht="14.4">
      <c r="F113" s="2078">
        <v>353</v>
      </c>
      <c r="G113" s="2078" t="s">
        <v>3072</v>
      </c>
      <c r="H113" s="2309" t="s">
        <v>3073</v>
      </c>
      <c r="I113" s="2272">
        <v>0</v>
      </c>
      <c r="J113" s="2272">
        <v>0</v>
      </c>
      <c r="K113" s="2272">
        <v>0</v>
      </c>
      <c r="L113" s="2272">
        <v>0</v>
      </c>
      <c r="M113" s="2272">
        <v>0</v>
      </c>
      <c r="N113" s="2272">
        <v>0</v>
      </c>
      <c r="O113" s="2272">
        <v>0</v>
      </c>
      <c r="P113" s="2272">
        <v>0</v>
      </c>
      <c r="Q113" s="2272">
        <v>0</v>
      </c>
      <c r="R113" s="2272">
        <v>0</v>
      </c>
      <c r="S113" s="2272">
        <v>0</v>
      </c>
      <c r="T113" s="2272">
        <v>0</v>
      </c>
      <c r="U113" s="2272">
        <v>0</v>
      </c>
      <c r="V113" s="2272">
        <f t="shared" si="2"/>
        <v>0</v>
      </c>
      <c r="W113" s="2308"/>
    </row>
    <row r="114" spans="6:23" ht="14.4">
      <c r="F114" s="2078">
        <v>353</v>
      </c>
      <c r="G114" s="2078" t="s">
        <v>3074</v>
      </c>
      <c r="H114" s="2309" t="s">
        <v>3075</v>
      </c>
      <c r="I114" s="2074">
        <v>1477536.0263091628</v>
      </c>
      <c r="J114" s="2272">
        <v>1481625.4207316628</v>
      </c>
      <c r="K114" s="2272">
        <v>1485714.8151541627</v>
      </c>
      <c r="L114" s="2272">
        <v>1489804.2095766626</v>
      </c>
      <c r="M114" s="2272">
        <v>1493893.6039991626</v>
      </c>
      <c r="N114" s="2272">
        <v>1497982.9984216625</v>
      </c>
      <c r="O114" s="2272">
        <v>1502072.3928441624</v>
      </c>
      <c r="P114" s="2272">
        <v>1506161.7872666623</v>
      </c>
      <c r="Q114" s="2272">
        <v>1510251.1816891623</v>
      </c>
      <c r="R114" s="2272">
        <v>1514340.5761116622</v>
      </c>
      <c r="S114" s="2272">
        <v>1518429.9705341621</v>
      </c>
      <c r="T114" s="2272">
        <v>1522519.3649566621</v>
      </c>
      <c r="U114" s="2272">
        <v>1526608.759379162</v>
      </c>
      <c r="V114" s="2272">
        <f t="shared" si="2"/>
        <v>1502072.3928441624</v>
      </c>
      <c r="W114" s="2308"/>
    </row>
    <row r="115" spans="6:23" ht="14.4">
      <c r="F115" s="2078">
        <v>353</v>
      </c>
      <c r="G115" s="2078" t="s">
        <v>3076</v>
      </c>
      <c r="H115" s="2309" t="s">
        <v>3077</v>
      </c>
      <c r="I115" s="2074">
        <v>913136.94749583956</v>
      </c>
      <c r="J115" s="2272">
        <v>915710.7865883396</v>
      </c>
      <c r="K115" s="2272">
        <v>918284.62568083964</v>
      </c>
      <c r="L115" s="2272">
        <v>920858.46477333969</v>
      </c>
      <c r="M115" s="2272">
        <v>923432.30386583973</v>
      </c>
      <c r="N115" s="2272">
        <v>926006.14295833977</v>
      </c>
      <c r="O115" s="2272">
        <v>928579.98205083981</v>
      </c>
      <c r="P115" s="2272">
        <v>931153.82114333985</v>
      </c>
      <c r="Q115" s="2272">
        <v>933727.6602358399</v>
      </c>
      <c r="R115" s="2272">
        <v>936301.49932833994</v>
      </c>
      <c r="S115" s="2272">
        <v>938875.33842083998</v>
      </c>
      <c r="T115" s="2272">
        <v>941449.17751334002</v>
      </c>
      <c r="U115" s="2272">
        <v>944023.01660584006</v>
      </c>
      <c r="V115" s="2272">
        <f t="shared" si="2"/>
        <v>928579.98205083981</v>
      </c>
      <c r="W115" s="2308"/>
    </row>
    <row r="116" spans="6:23" ht="14.4">
      <c r="F116" s="2078">
        <v>353</v>
      </c>
      <c r="G116" s="2078"/>
      <c r="H116" s="2309" t="s">
        <v>3078</v>
      </c>
      <c r="I116" s="2074">
        <v>947186.86675499787</v>
      </c>
      <c r="J116" s="2272">
        <v>958074.07211999781</v>
      </c>
      <c r="K116" s="2272">
        <v>968961.27748499776</v>
      </c>
      <c r="L116" s="2272">
        <v>979848.4828499977</v>
      </c>
      <c r="M116" s="2272">
        <v>990735.68821499764</v>
      </c>
      <c r="N116" s="2272">
        <v>1001622.8935799976</v>
      </c>
      <c r="O116" s="2272">
        <v>1012510.0989449975</v>
      </c>
      <c r="P116" s="2272">
        <v>1023397.3043099975</v>
      </c>
      <c r="Q116" s="2272">
        <v>1034284.5096749974</v>
      </c>
      <c r="R116" s="2272">
        <v>1045171.7150399974</v>
      </c>
      <c r="S116" s="2272">
        <v>1056058.9204049974</v>
      </c>
      <c r="T116" s="2272">
        <v>1066946.1257699975</v>
      </c>
      <c r="U116" s="2272">
        <v>1077833.3311349975</v>
      </c>
      <c r="V116" s="2272">
        <f t="shared" si="2"/>
        <v>1012510.0989449974</v>
      </c>
      <c r="W116" s="2308"/>
    </row>
    <row r="117" spans="6:23" ht="14.4">
      <c r="F117" s="2078">
        <v>353</v>
      </c>
      <c r="G117" s="2078" t="s">
        <v>3079</v>
      </c>
      <c r="H117" s="2309" t="s">
        <v>3080</v>
      </c>
      <c r="I117" s="2074">
        <v>833312.90746332612</v>
      </c>
      <c r="J117" s="2272">
        <v>835989.00882999273</v>
      </c>
      <c r="K117" s="2272">
        <v>838665.11019665934</v>
      </c>
      <c r="L117" s="2272">
        <v>841341.21156332595</v>
      </c>
      <c r="M117" s="2272">
        <v>844017.31292999256</v>
      </c>
      <c r="N117" s="2272">
        <v>846693.41429665918</v>
      </c>
      <c r="O117" s="2272">
        <v>849369.51566332579</v>
      </c>
      <c r="P117" s="2272">
        <v>852045.6170299924</v>
      </c>
      <c r="Q117" s="2272">
        <v>854721.71839665901</v>
      </c>
      <c r="R117" s="2272">
        <v>857397.81976332562</v>
      </c>
      <c r="S117" s="2272">
        <v>860073.92112999223</v>
      </c>
      <c r="T117" s="2272">
        <v>862750.02249665884</v>
      </c>
      <c r="U117" s="2272">
        <v>865426.12386332545</v>
      </c>
      <c r="V117" s="2272">
        <f t="shared" si="2"/>
        <v>849369.51566332579</v>
      </c>
      <c r="W117" s="2308"/>
    </row>
    <row r="118" spans="6:23" ht="14.4">
      <c r="F118" s="2078">
        <v>353</v>
      </c>
      <c r="G118" s="2078" t="s">
        <v>3081</v>
      </c>
      <c r="H118" s="2309" t="s">
        <v>3082</v>
      </c>
      <c r="I118" s="2074">
        <v>387662.53597166721</v>
      </c>
      <c r="J118" s="2272">
        <v>389162.86633666721</v>
      </c>
      <c r="K118" s="2272">
        <v>390663.19670166721</v>
      </c>
      <c r="L118" s="2272">
        <v>392163.52706666721</v>
      </c>
      <c r="M118" s="2272">
        <v>393663.85743166722</v>
      </c>
      <c r="N118" s="2272">
        <v>395164.18779666722</v>
      </c>
      <c r="O118" s="2272">
        <v>396664.51816166722</v>
      </c>
      <c r="P118" s="2272">
        <v>398164.84852666722</v>
      </c>
      <c r="Q118" s="2272">
        <v>399665.17889166722</v>
      </c>
      <c r="R118" s="2272">
        <v>401165.50925666722</v>
      </c>
      <c r="S118" s="2272">
        <v>402665.83962166723</v>
      </c>
      <c r="T118" s="2272">
        <v>404166.16998666723</v>
      </c>
      <c r="U118" s="2272">
        <v>405666.50035166723</v>
      </c>
      <c r="V118" s="2272">
        <f t="shared" si="2"/>
        <v>396664.51816166722</v>
      </c>
      <c r="W118" s="2308"/>
    </row>
    <row r="119" spans="6:23" ht="14.4">
      <c r="F119" s="2078">
        <v>353</v>
      </c>
      <c r="G119" s="2078" t="s">
        <v>3083</v>
      </c>
      <c r="H119" s="2309" t="s">
        <v>3084</v>
      </c>
      <c r="I119" s="2074">
        <v>502097.07378166798</v>
      </c>
      <c r="J119" s="2272">
        <v>504357.84486666799</v>
      </c>
      <c r="K119" s="2272">
        <v>506618.61595166801</v>
      </c>
      <c r="L119" s="2272">
        <v>508879.38703666802</v>
      </c>
      <c r="M119" s="2272">
        <v>511140.15812166804</v>
      </c>
      <c r="N119" s="2272">
        <v>513400.92920666805</v>
      </c>
      <c r="O119" s="2272">
        <v>515661.70029166806</v>
      </c>
      <c r="P119" s="2272">
        <v>517922.47137666808</v>
      </c>
      <c r="Q119" s="2272">
        <v>520183.24246166809</v>
      </c>
      <c r="R119" s="2272">
        <v>522444.01354666811</v>
      </c>
      <c r="S119" s="2272">
        <v>524704.78463166812</v>
      </c>
      <c r="T119" s="2272">
        <v>526965.55571666814</v>
      </c>
      <c r="U119" s="2272">
        <v>529226.32680166815</v>
      </c>
      <c r="V119" s="2272">
        <f t="shared" si="2"/>
        <v>515661.70029166812</v>
      </c>
      <c r="W119" s="2308"/>
    </row>
    <row r="120" spans="6:23" ht="14.4">
      <c r="F120" s="2078">
        <v>352</v>
      </c>
      <c r="G120" s="2078"/>
      <c r="H120" s="2309" t="s">
        <v>8409</v>
      </c>
      <c r="I120" s="2074">
        <v>23358.039108499997</v>
      </c>
      <c r="J120" s="2272">
        <v>23606.528886249998</v>
      </c>
      <c r="K120" s="2272">
        <v>23855.018663999999</v>
      </c>
      <c r="L120" s="2272">
        <v>24103.50844175</v>
      </c>
      <c r="M120" s="2272">
        <v>24351.998219500001</v>
      </c>
      <c r="N120" s="2272">
        <v>24600.487997250002</v>
      </c>
      <c r="O120" s="2272">
        <v>24848.977775000003</v>
      </c>
      <c r="P120" s="2272">
        <v>25097.467552750004</v>
      </c>
      <c r="Q120" s="2272">
        <v>25345.957330500005</v>
      </c>
      <c r="R120" s="2272">
        <v>25594.447108250006</v>
      </c>
      <c r="S120" s="2272">
        <v>25842.936886000007</v>
      </c>
      <c r="T120" s="2272">
        <v>26091.426663750008</v>
      </c>
      <c r="U120" s="2272">
        <v>26339.916441500009</v>
      </c>
      <c r="V120" s="2272">
        <f t="shared" si="2"/>
        <v>24848.977775000003</v>
      </c>
      <c r="W120" s="2308"/>
    </row>
    <row r="121" spans="6:23" ht="14.4">
      <c r="F121" s="2078">
        <v>353</v>
      </c>
      <c r="G121" s="2315"/>
      <c r="H121" s="2123" t="s">
        <v>8409</v>
      </c>
      <c r="I121" s="2074">
        <v>203882.58261433328</v>
      </c>
      <c r="J121" s="2272">
        <v>206051.54625916661</v>
      </c>
      <c r="K121" s="2272">
        <v>208220.50990399995</v>
      </c>
      <c r="L121" s="2272">
        <v>210389.47354883328</v>
      </c>
      <c r="M121" s="2272">
        <v>212558.43719366661</v>
      </c>
      <c r="N121" s="2272">
        <v>214727.40083849995</v>
      </c>
      <c r="O121" s="2272">
        <v>216896.36448333328</v>
      </c>
      <c r="P121" s="2272">
        <v>219065.32812816661</v>
      </c>
      <c r="Q121" s="2272">
        <v>221234.29177299995</v>
      </c>
      <c r="R121" s="2272">
        <v>223403.25541783328</v>
      </c>
      <c r="S121" s="2272">
        <v>225572.21906266661</v>
      </c>
      <c r="T121" s="2272">
        <v>227741.18270749995</v>
      </c>
      <c r="U121" s="2272">
        <v>229910.14635233328</v>
      </c>
      <c r="V121" s="2272">
        <f t="shared" si="2"/>
        <v>216896.36448333331</v>
      </c>
      <c r="W121" s="2308"/>
    </row>
    <row r="122" spans="6:23" ht="14.4">
      <c r="F122" s="2078">
        <v>353</v>
      </c>
      <c r="G122" s="2315"/>
      <c r="H122" s="2123" t="s">
        <v>3085</v>
      </c>
      <c r="I122" s="2074">
        <v>630580.5684458341</v>
      </c>
      <c r="J122" s="2272">
        <v>638988.30935844523</v>
      </c>
      <c r="K122" s="2272">
        <v>647396.05027105636</v>
      </c>
      <c r="L122" s="2272">
        <v>655803.79118366749</v>
      </c>
      <c r="M122" s="2272">
        <v>664211.53209627862</v>
      </c>
      <c r="N122" s="2272">
        <v>672619.27300888975</v>
      </c>
      <c r="O122" s="2272">
        <v>681027.01392150088</v>
      </c>
      <c r="P122" s="2272">
        <v>689434.75483411201</v>
      </c>
      <c r="Q122" s="2272">
        <v>697842.49574672314</v>
      </c>
      <c r="R122" s="2272">
        <v>706250.23665933427</v>
      </c>
      <c r="S122" s="2272">
        <v>714657.9775719454</v>
      </c>
      <c r="T122" s="2272">
        <v>723065.71848455654</v>
      </c>
      <c r="U122" s="2272">
        <v>731473.45939716767</v>
      </c>
      <c r="V122" s="2272">
        <f t="shared" si="2"/>
        <v>681027.01392150088</v>
      </c>
      <c r="W122" s="2308"/>
    </row>
    <row r="123" spans="6:23" ht="14.4">
      <c r="F123" s="2078">
        <v>353</v>
      </c>
      <c r="G123" s="2315"/>
      <c r="H123" s="2123" t="s">
        <v>3086</v>
      </c>
      <c r="I123" s="2074">
        <v>574918.71171588893</v>
      </c>
      <c r="J123" s="2272">
        <v>582687.88349583338</v>
      </c>
      <c r="K123" s="2272">
        <v>590457.05527577782</v>
      </c>
      <c r="L123" s="2272">
        <v>598226.22705572227</v>
      </c>
      <c r="M123" s="2272">
        <v>605995.39883566671</v>
      </c>
      <c r="N123" s="2272">
        <v>613764.57061561116</v>
      </c>
      <c r="O123" s="2272">
        <v>621533.7423955556</v>
      </c>
      <c r="P123" s="2272">
        <v>629302.91417550005</v>
      </c>
      <c r="Q123" s="2272">
        <v>637072.08595544449</v>
      </c>
      <c r="R123" s="2272">
        <v>644841.25773538894</v>
      </c>
      <c r="S123" s="2272">
        <v>652610.42951533338</v>
      </c>
      <c r="T123" s="2272">
        <v>660379.60129527783</v>
      </c>
      <c r="U123" s="2272">
        <v>668148.77307522227</v>
      </c>
      <c r="V123" s="2272">
        <f t="shared" si="2"/>
        <v>621533.74239555572</v>
      </c>
      <c r="W123" s="2308"/>
    </row>
    <row r="124" spans="6:23" ht="14.4">
      <c r="F124" s="2078">
        <v>353</v>
      </c>
      <c r="G124" s="2315"/>
      <c r="H124" s="2123" t="s">
        <v>3087</v>
      </c>
      <c r="I124" s="2074">
        <v>740930.87286333449</v>
      </c>
      <c r="J124" s="2272">
        <v>751366.51896000118</v>
      </c>
      <c r="K124" s="2272">
        <v>761802.16505666787</v>
      </c>
      <c r="L124" s="2272">
        <v>772237.81115333457</v>
      </c>
      <c r="M124" s="2272">
        <v>782673.45725000126</v>
      </c>
      <c r="N124" s="2272">
        <v>793109.10334666795</v>
      </c>
      <c r="O124" s="2272">
        <v>803544.74944333464</v>
      </c>
      <c r="P124" s="2272">
        <v>813980.39554000134</v>
      </c>
      <c r="Q124" s="2272">
        <v>824416.04163666803</v>
      </c>
      <c r="R124" s="2272">
        <v>834851.68773333472</v>
      </c>
      <c r="S124" s="2272">
        <v>845287.33383000141</v>
      </c>
      <c r="T124" s="2272">
        <v>855722.97992666811</v>
      </c>
      <c r="U124" s="2272">
        <v>866158.6260233348</v>
      </c>
      <c r="V124" s="2272">
        <f t="shared" si="2"/>
        <v>803544.74944333476</v>
      </c>
      <c r="W124" s="2308"/>
    </row>
    <row r="125" spans="6:23" ht="14.4">
      <c r="F125" s="2078">
        <v>353</v>
      </c>
      <c r="G125" s="2315"/>
      <c r="H125" s="2123" t="s">
        <v>3088</v>
      </c>
      <c r="I125" s="2074">
        <v>507607.30304555612</v>
      </c>
      <c r="J125" s="2272">
        <v>514756.70168000058</v>
      </c>
      <c r="K125" s="2272">
        <v>521906.10031444504</v>
      </c>
      <c r="L125" s="2272">
        <v>529055.49894888944</v>
      </c>
      <c r="M125" s="2272">
        <v>536204.89758333389</v>
      </c>
      <c r="N125" s="2272">
        <v>543354.29621777835</v>
      </c>
      <c r="O125" s="2272">
        <v>550503.6948522228</v>
      </c>
      <c r="P125" s="2272">
        <v>557653.09348666726</v>
      </c>
      <c r="Q125" s="2272">
        <v>564802.49212111172</v>
      </c>
      <c r="R125" s="2272">
        <v>571951.89075555617</v>
      </c>
      <c r="S125" s="2272">
        <v>579101.28939000063</v>
      </c>
      <c r="T125" s="2272">
        <v>586250.68802444509</v>
      </c>
      <c r="U125" s="2272">
        <v>593400.08665888954</v>
      </c>
      <c r="V125" s="2272">
        <f t="shared" si="2"/>
        <v>550503.6948522228</v>
      </c>
      <c r="W125" s="2308"/>
    </row>
    <row r="126" spans="6:23" ht="14.4">
      <c r="F126" s="2078">
        <v>353</v>
      </c>
      <c r="G126" s="2315"/>
      <c r="H126" s="2123" t="s">
        <v>3089</v>
      </c>
      <c r="I126" s="2074">
        <v>413742.87761800055</v>
      </c>
      <c r="J126" s="2272">
        <v>419739.15120666724</v>
      </c>
      <c r="K126" s="2272">
        <v>425735.42479533394</v>
      </c>
      <c r="L126" s="2272">
        <v>431731.69838400063</v>
      </c>
      <c r="M126" s="2272">
        <v>437727.97197266732</v>
      </c>
      <c r="N126" s="2272">
        <v>443724.24556133401</v>
      </c>
      <c r="O126" s="2272">
        <v>449720.51915000071</v>
      </c>
      <c r="P126" s="2272">
        <v>455716.7927386674</v>
      </c>
      <c r="Q126" s="2272">
        <v>461713.06632733409</v>
      </c>
      <c r="R126" s="2272">
        <v>467709.33991600078</v>
      </c>
      <c r="S126" s="2272">
        <v>473705.61350466748</v>
      </c>
      <c r="T126" s="2272">
        <v>479701.88709333417</v>
      </c>
      <c r="U126" s="2272">
        <v>485698.16068200086</v>
      </c>
      <c r="V126" s="2272">
        <f t="shared" si="2"/>
        <v>449720.51915000071</v>
      </c>
      <c r="W126" s="2308"/>
    </row>
    <row r="127" spans="6:23" ht="14.4">
      <c r="F127" s="2078">
        <v>353</v>
      </c>
      <c r="G127" s="2315"/>
      <c r="H127" s="2123" t="s">
        <v>3090</v>
      </c>
      <c r="I127" s="2074">
        <v>653210.83909499948</v>
      </c>
      <c r="J127" s="2272">
        <v>664097.68641324947</v>
      </c>
      <c r="K127" s="2272">
        <v>674984.53373149945</v>
      </c>
      <c r="L127" s="2272">
        <v>685871.38104974944</v>
      </c>
      <c r="M127" s="2272">
        <v>696758.22836799943</v>
      </c>
      <c r="N127" s="2272">
        <v>707645.07568624942</v>
      </c>
      <c r="O127" s="2272">
        <v>718531.9230044994</v>
      </c>
      <c r="P127" s="2272">
        <v>729418.77032274939</v>
      </c>
      <c r="Q127" s="2272">
        <v>740305.61764099938</v>
      </c>
      <c r="R127" s="2272">
        <v>751192.46495924937</v>
      </c>
      <c r="S127" s="2272">
        <v>762079.31227749935</v>
      </c>
      <c r="T127" s="2272">
        <v>772966.15959574934</v>
      </c>
      <c r="U127" s="2272">
        <v>783853.00691399933</v>
      </c>
      <c r="V127" s="2272">
        <f t="shared" si="2"/>
        <v>718531.92300449929</v>
      </c>
      <c r="W127" s="2308"/>
    </row>
    <row r="128" spans="6:23" ht="14.4">
      <c r="F128" s="2078">
        <v>353</v>
      </c>
      <c r="G128" s="2315"/>
      <c r="H128" s="2123" t="s">
        <v>3091</v>
      </c>
      <c r="I128" s="2074">
        <v>400796.64463299984</v>
      </c>
      <c r="J128" s="2272">
        <v>406869.32106683316</v>
      </c>
      <c r="K128" s="2272">
        <v>412941.99750066648</v>
      </c>
      <c r="L128" s="2272">
        <v>419014.67393449979</v>
      </c>
      <c r="M128" s="2272">
        <v>425087.35036833311</v>
      </c>
      <c r="N128" s="2272">
        <v>431160.02680216642</v>
      </c>
      <c r="O128" s="2272">
        <v>437232.70323599974</v>
      </c>
      <c r="P128" s="2272">
        <v>443305.37966983306</v>
      </c>
      <c r="Q128" s="2272">
        <v>449378.05610366637</v>
      </c>
      <c r="R128" s="2272">
        <v>455450.73253749969</v>
      </c>
      <c r="S128" s="2272">
        <v>461523.408971333</v>
      </c>
      <c r="T128" s="2272">
        <v>467596.08540516632</v>
      </c>
      <c r="U128" s="2272">
        <v>473668.76183899964</v>
      </c>
      <c r="V128" s="2272">
        <f t="shared" si="2"/>
        <v>437232.70323599974</v>
      </c>
      <c r="W128" s="2308"/>
    </row>
    <row r="129" spans="6:23" ht="14.4">
      <c r="F129" s="2078">
        <v>353</v>
      </c>
      <c r="G129" s="2315"/>
      <c r="H129" s="2123" t="s">
        <v>3092</v>
      </c>
      <c r="I129" s="2074">
        <v>394030.7638161669</v>
      </c>
      <c r="J129" s="2272">
        <v>399580.49288400024</v>
      </c>
      <c r="K129" s="2272">
        <v>405130.22195183358</v>
      </c>
      <c r="L129" s="2272">
        <v>410679.95101966691</v>
      </c>
      <c r="M129" s="2272">
        <v>416229.68008750025</v>
      </c>
      <c r="N129" s="2272">
        <v>421779.40915533359</v>
      </c>
      <c r="O129" s="2272">
        <v>427329.13822316693</v>
      </c>
      <c r="P129" s="2272">
        <v>432878.86729100026</v>
      </c>
      <c r="Q129" s="2272">
        <v>438428.5963588336</v>
      </c>
      <c r="R129" s="2272">
        <v>443978.32542666694</v>
      </c>
      <c r="S129" s="2272">
        <v>449528.05449450028</v>
      </c>
      <c r="T129" s="2272">
        <v>455077.78356233361</v>
      </c>
      <c r="U129" s="2272">
        <v>460627.51263016695</v>
      </c>
      <c r="V129" s="2272">
        <f t="shared" si="2"/>
        <v>427329.13822316693</v>
      </c>
      <c r="W129" s="2308"/>
    </row>
    <row r="130" spans="6:23" ht="14.4">
      <c r="F130" s="2078">
        <v>352</v>
      </c>
      <c r="G130" s="2315"/>
      <c r="H130" s="2123" t="s">
        <v>3085</v>
      </c>
      <c r="I130" s="2074">
        <v>157352.94445624985</v>
      </c>
      <c r="J130" s="2272">
        <v>159450.98371566652</v>
      </c>
      <c r="K130" s="2272">
        <v>161549.02297508318</v>
      </c>
      <c r="L130" s="2272">
        <v>163647.06223449984</v>
      </c>
      <c r="M130" s="2272">
        <v>165745.1014939165</v>
      </c>
      <c r="N130" s="2272">
        <v>167843.14075333317</v>
      </c>
      <c r="O130" s="2272">
        <v>169941.18001274983</v>
      </c>
      <c r="P130" s="2272">
        <v>172039.21927216649</v>
      </c>
      <c r="Q130" s="2272">
        <v>174137.25853158315</v>
      </c>
      <c r="R130" s="2272">
        <v>176235.29779099982</v>
      </c>
      <c r="S130" s="2272">
        <v>178333.33705041648</v>
      </c>
      <c r="T130" s="2272">
        <v>180431.37630983314</v>
      </c>
      <c r="U130" s="2272">
        <v>182529.4155692498</v>
      </c>
      <c r="V130" s="2272">
        <f t="shared" si="2"/>
        <v>169941.18001274983</v>
      </c>
      <c r="W130" s="2308"/>
    </row>
    <row r="131" spans="6:23" ht="14.4">
      <c r="F131" s="2078">
        <v>352</v>
      </c>
      <c r="G131" s="2315"/>
      <c r="H131" s="2123" t="s">
        <v>3086</v>
      </c>
      <c r="I131" s="2074">
        <v>97636.179783833315</v>
      </c>
      <c r="J131" s="2272">
        <v>98955.587618749982</v>
      </c>
      <c r="K131" s="2272">
        <v>100274.99545366665</v>
      </c>
      <c r="L131" s="2272">
        <v>101594.40328858331</v>
      </c>
      <c r="M131" s="2272">
        <v>102913.81112349998</v>
      </c>
      <c r="N131" s="2272">
        <v>104233.21895841665</v>
      </c>
      <c r="O131" s="2272">
        <v>105552.62679333331</v>
      </c>
      <c r="P131" s="2272">
        <v>106872.03462824998</v>
      </c>
      <c r="Q131" s="2272">
        <v>108191.44246316665</v>
      </c>
      <c r="R131" s="2272">
        <v>109510.85029808331</v>
      </c>
      <c r="S131" s="2272">
        <v>110830.25813299998</v>
      </c>
      <c r="T131" s="2272">
        <v>112149.66596791665</v>
      </c>
      <c r="U131" s="2272">
        <v>113469.07380283331</v>
      </c>
      <c r="V131" s="2272">
        <f t="shared" si="2"/>
        <v>105552.6267933333</v>
      </c>
      <c r="W131" s="2308"/>
    </row>
    <row r="132" spans="6:23" ht="14.4">
      <c r="F132" s="2078">
        <v>352</v>
      </c>
      <c r="G132" s="2315"/>
      <c r="H132" s="2123" t="s">
        <v>3087</v>
      </c>
      <c r="I132" s="2074">
        <v>29047.446751666648</v>
      </c>
      <c r="J132" s="2272">
        <v>29456.565719999981</v>
      </c>
      <c r="K132" s="2272">
        <v>29865.684688333313</v>
      </c>
      <c r="L132" s="2272">
        <v>30274.803656666645</v>
      </c>
      <c r="M132" s="2272">
        <v>30683.922624999977</v>
      </c>
      <c r="N132" s="2272">
        <v>31093.04159333331</v>
      </c>
      <c r="O132" s="2272">
        <v>31502.160561666642</v>
      </c>
      <c r="P132" s="2272">
        <v>31911.279529999974</v>
      </c>
      <c r="Q132" s="2272">
        <v>32320.398498333307</v>
      </c>
      <c r="R132" s="2272">
        <v>32729.517466666639</v>
      </c>
      <c r="S132" s="2272">
        <v>33138.636434999971</v>
      </c>
      <c r="T132" s="2272">
        <v>33547.755403333307</v>
      </c>
      <c r="U132" s="2272">
        <v>33956.874371666643</v>
      </c>
      <c r="V132" s="2272">
        <f t="shared" si="2"/>
        <v>31502.160561666646</v>
      </c>
      <c r="W132" s="2308"/>
    </row>
    <row r="133" spans="6:23" ht="14.4">
      <c r="F133" s="2078">
        <v>352</v>
      </c>
      <c r="G133" s="2315"/>
      <c r="H133" s="2123" t="s">
        <v>3088</v>
      </c>
      <c r="I133" s="2074">
        <v>77941.849984999848</v>
      </c>
      <c r="J133" s="2272">
        <v>79039.622519999844</v>
      </c>
      <c r="K133" s="2272">
        <v>80137.395054999841</v>
      </c>
      <c r="L133" s="2272">
        <v>81235.167589999837</v>
      </c>
      <c r="M133" s="2272">
        <v>82332.940124999834</v>
      </c>
      <c r="N133" s="2272">
        <v>83430.71265999983</v>
      </c>
      <c r="O133" s="2272">
        <v>84528.485194999826</v>
      </c>
      <c r="P133" s="2272">
        <v>85626.257729999823</v>
      </c>
      <c r="Q133" s="2272">
        <v>86724.030264999819</v>
      </c>
      <c r="R133" s="2272">
        <v>87821.802799999816</v>
      </c>
      <c r="S133" s="2272">
        <v>88919.575334999812</v>
      </c>
      <c r="T133" s="2272">
        <v>90017.347869999809</v>
      </c>
      <c r="U133" s="2272">
        <v>91115.120404999805</v>
      </c>
      <c r="V133" s="2272">
        <f t="shared" si="2"/>
        <v>84528.485194999826</v>
      </c>
      <c r="W133" s="2308"/>
    </row>
    <row r="134" spans="6:23" ht="14.4">
      <c r="F134" s="2078">
        <v>352</v>
      </c>
      <c r="G134" s="2315"/>
      <c r="H134" s="2123" t="s">
        <v>3089</v>
      </c>
      <c r="I134" s="2074">
        <v>85053.062278500045</v>
      </c>
      <c r="J134" s="2272">
        <v>86285.715355000051</v>
      </c>
      <c r="K134" s="2272">
        <v>87518.368431500057</v>
      </c>
      <c r="L134" s="2272">
        <v>88751.021508000063</v>
      </c>
      <c r="M134" s="2272">
        <v>89983.67458450007</v>
      </c>
      <c r="N134" s="2272">
        <v>91216.327661000076</v>
      </c>
      <c r="O134" s="2272">
        <v>92448.980737500082</v>
      </c>
      <c r="P134" s="2272">
        <v>93681.633814000088</v>
      </c>
      <c r="Q134" s="2272">
        <v>94914.286890500094</v>
      </c>
      <c r="R134" s="2272">
        <v>96146.9399670001</v>
      </c>
      <c r="S134" s="2272">
        <v>97379.593043500106</v>
      </c>
      <c r="T134" s="2272">
        <v>98612.246120000113</v>
      </c>
      <c r="U134" s="2272">
        <v>99844.899196500119</v>
      </c>
      <c r="V134" s="2272">
        <f t="shared" si="2"/>
        <v>92448.980737500067</v>
      </c>
      <c r="W134" s="2308"/>
    </row>
    <row r="135" spans="6:23" ht="14.4">
      <c r="F135" s="2078">
        <v>352</v>
      </c>
      <c r="G135" s="2315"/>
      <c r="H135" s="2123" t="s">
        <v>3090</v>
      </c>
      <c r="I135" s="2074">
        <v>94679.150972583215</v>
      </c>
      <c r="J135" s="2272">
        <v>96283.882344999874</v>
      </c>
      <c r="K135" s="2272">
        <v>97888.613717416534</v>
      </c>
      <c r="L135" s="2272">
        <v>99493.345089833194</v>
      </c>
      <c r="M135" s="2272">
        <v>101098.07646224985</v>
      </c>
      <c r="N135" s="2272">
        <v>102702.80783466651</v>
      </c>
      <c r="O135" s="2272">
        <v>104307.53920708317</v>
      </c>
      <c r="P135" s="2272">
        <v>105912.27057949983</v>
      </c>
      <c r="Q135" s="2272">
        <v>107517.00195191649</v>
      </c>
      <c r="R135" s="2272">
        <v>109121.73332433315</v>
      </c>
      <c r="S135" s="2272">
        <v>110726.46469674981</v>
      </c>
      <c r="T135" s="2272">
        <v>112331.19606916647</v>
      </c>
      <c r="U135" s="2272">
        <v>113935.92744158313</v>
      </c>
      <c r="V135" s="2272">
        <f t="shared" si="2"/>
        <v>104307.53920708317</v>
      </c>
      <c r="W135" s="2308"/>
    </row>
    <row r="136" spans="6:23" ht="14.4">
      <c r="F136" s="2078">
        <v>352</v>
      </c>
      <c r="G136" s="2315"/>
      <c r="H136" s="2123" t="s">
        <v>3091</v>
      </c>
      <c r="I136" s="2074">
        <v>82023.193554499958</v>
      </c>
      <c r="J136" s="2272">
        <v>83265.969214416618</v>
      </c>
      <c r="K136" s="2272">
        <v>84508.744874333279</v>
      </c>
      <c r="L136" s="2272">
        <v>85751.520534249939</v>
      </c>
      <c r="M136" s="2272">
        <v>86994.2961941666</v>
      </c>
      <c r="N136" s="2272">
        <v>88237.07185408326</v>
      </c>
      <c r="O136" s="2272">
        <v>89479.847513999921</v>
      </c>
      <c r="P136" s="2272">
        <v>90722.623173916581</v>
      </c>
      <c r="Q136" s="2272">
        <v>91965.398833833242</v>
      </c>
      <c r="R136" s="2272">
        <v>93208.174493749902</v>
      </c>
      <c r="S136" s="2272">
        <v>94450.950153666563</v>
      </c>
      <c r="T136" s="2272">
        <v>95693.725813583223</v>
      </c>
      <c r="U136" s="2272">
        <v>96936.501473499884</v>
      </c>
      <c r="V136" s="2272">
        <f t="shared" si="2"/>
        <v>89479.847513999921</v>
      </c>
      <c r="W136" s="2308"/>
    </row>
    <row r="137" spans="6:23" ht="14.4">
      <c r="F137" s="2078">
        <v>352</v>
      </c>
      <c r="G137" s="2315"/>
      <c r="H137" s="2123" t="s">
        <v>3092</v>
      </c>
      <c r="I137" s="2074">
        <v>84524.495557083326</v>
      </c>
      <c r="J137" s="2272">
        <v>85714.981409999993</v>
      </c>
      <c r="K137" s="2272">
        <v>86905.46726291666</v>
      </c>
      <c r="L137" s="2272">
        <v>88095.953115833327</v>
      </c>
      <c r="M137" s="2272">
        <v>89286.438968749993</v>
      </c>
      <c r="N137" s="2272">
        <v>90476.92482166666</v>
      </c>
      <c r="O137" s="2272">
        <v>91667.410674583327</v>
      </c>
      <c r="P137" s="2272">
        <v>92857.896527499994</v>
      </c>
      <c r="Q137" s="2272">
        <v>94048.38238041666</v>
      </c>
      <c r="R137" s="2272">
        <v>95238.868233333327</v>
      </c>
      <c r="S137" s="2272">
        <v>96429.354086249994</v>
      </c>
      <c r="T137" s="2272">
        <v>97619.839939166661</v>
      </c>
      <c r="U137" s="2272">
        <v>98810.325792083328</v>
      </c>
      <c r="V137" s="2272">
        <f t="shared" si="2"/>
        <v>91667.410674583312</v>
      </c>
      <c r="W137" s="2308"/>
    </row>
    <row r="138" spans="6:23" ht="14.4">
      <c r="F138" s="2078">
        <v>353</v>
      </c>
      <c r="G138" s="2315"/>
      <c r="H138" s="2123" t="s">
        <v>3093</v>
      </c>
      <c r="I138" s="2074">
        <v>582709.15468933363</v>
      </c>
      <c r="J138" s="2272">
        <v>592585.58104000031</v>
      </c>
      <c r="K138" s="2272">
        <v>602462.00739066699</v>
      </c>
      <c r="L138" s="2272">
        <v>612338.43374133366</v>
      </c>
      <c r="M138" s="2272">
        <v>622214.86009200034</v>
      </c>
      <c r="N138" s="2272">
        <v>632091.28644266701</v>
      </c>
      <c r="O138" s="2272">
        <v>641967.71279333369</v>
      </c>
      <c r="P138" s="2272">
        <v>651844.13914400036</v>
      </c>
      <c r="Q138" s="2272">
        <v>661720.56549466704</v>
      </c>
      <c r="R138" s="2272">
        <v>671596.99184533372</v>
      </c>
      <c r="S138" s="2272">
        <v>681473.41819600039</v>
      </c>
      <c r="T138" s="2272">
        <v>691349.84454666707</v>
      </c>
      <c r="U138" s="2272">
        <v>701226.27089733374</v>
      </c>
      <c r="V138" s="2272">
        <f t="shared" si="2"/>
        <v>641967.71279333369</v>
      </c>
      <c r="W138" s="2308"/>
    </row>
    <row r="139" spans="6:23" ht="14.4">
      <c r="F139" s="2078">
        <v>352</v>
      </c>
      <c r="G139" s="2315"/>
      <c r="H139" s="2123" t="s">
        <v>3093</v>
      </c>
      <c r="I139" s="2074">
        <v>52638.264758541591</v>
      </c>
      <c r="J139" s="2272">
        <v>53530.438737499921</v>
      </c>
      <c r="K139" s="2272">
        <v>54422.61271645825</v>
      </c>
      <c r="L139" s="2272">
        <v>55314.78669541658</v>
      </c>
      <c r="M139" s="2272">
        <v>56206.96067437491</v>
      </c>
      <c r="N139" s="2272">
        <v>57099.13465333324</v>
      </c>
      <c r="O139" s="2272">
        <v>57991.30863229157</v>
      </c>
      <c r="P139" s="2272">
        <v>58883.482611249899</v>
      </c>
      <c r="Q139" s="2272">
        <v>59775.656590208229</v>
      </c>
      <c r="R139" s="2272">
        <v>60667.830569166559</v>
      </c>
      <c r="S139" s="2272">
        <v>61560.004548124889</v>
      </c>
      <c r="T139" s="2272">
        <v>62452.178527083219</v>
      </c>
      <c r="U139" s="2272">
        <v>63344.352506041549</v>
      </c>
      <c r="V139" s="2272">
        <f t="shared" si="2"/>
        <v>57991.30863229157</v>
      </c>
      <c r="W139" s="2308"/>
    </row>
    <row r="140" spans="6:23" ht="14.4">
      <c r="F140" s="2078">
        <v>353</v>
      </c>
      <c r="G140" s="2315"/>
      <c r="H140" s="2123" t="s">
        <v>3408</v>
      </c>
      <c r="I140" s="2074">
        <v>240377.66639333309</v>
      </c>
      <c r="J140" s="2272">
        <v>245840.79517499974</v>
      </c>
      <c r="K140" s="2272">
        <v>251303.9239566664</v>
      </c>
      <c r="L140" s="2272">
        <v>256767.05273833306</v>
      </c>
      <c r="M140" s="2272">
        <v>262230.18151999975</v>
      </c>
      <c r="N140" s="2272">
        <v>267693.31030166644</v>
      </c>
      <c r="O140" s="2272">
        <v>273156.43908333313</v>
      </c>
      <c r="P140" s="2272">
        <v>278619.56786499982</v>
      </c>
      <c r="Q140" s="2272">
        <v>284082.6966466665</v>
      </c>
      <c r="R140" s="2272">
        <v>289545.82542833319</v>
      </c>
      <c r="S140" s="2272">
        <v>295008.95420999988</v>
      </c>
      <c r="T140" s="2272">
        <v>300472.08299166657</v>
      </c>
      <c r="U140" s="2272">
        <v>305935.21177333326</v>
      </c>
      <c r="V140" s="2272">
        <f t="shared" si="2"/>
        <v>273156.43908333319</v>
      </c>
      <c r="W140" s="2308"/>
    </row>
    <row r="141" spans="6:23" ht="14.4">
      <c r="F141" s="2078">
        <v>352</v>
      </c>
      <c r="G141" s="2315"/>
      <c r="H141" s="2123" t="s">
        <v>3094</v>
      </c>
      <c r="I141" s="2074">
        <v>34012.579320000019</v>
      </c>
      <c r="J141" s="2272">
        <v>34957.37319000002</v>
      </c>
      <c r="K141" s="2272">
        <v>35902.167060000022</v>
      </c>
      <c r="L141" s="2272">
        <v>36846.960930000023</v>
      </c>
      <c r="M141" s="2272">
        <v>37791.754800000024</v>
      </c>
      <c r="N141" s="2272">
        <v>38736.548670000026</v>
      </c>
      <c r="O141" s="2272">
        <v>39681.342540000027</v>
      </c>
      <c r="P141" s="2272">
        <v>40626.136410000028</v>
      </c>
      <c r="Q141" s="2272">
        <v>41570.93028000003</v>
      </c>
      <c r="R141" s="2272">
        <v>42515.724150000031</v>
      </c>
      <c r="S141" s="2272">
        <v>43460.518020000032</v>
      </c>
      <c r="T141" s="2272">
        <v>44405.311890000034</v>
      </c>
      <c r="U141" s="2272">
        <v>45350.105760000035</v>
      </c>
      <c r="V141" s="2272">
        <f t="shared" si="2"/>
        <v>39681.34254000002</v>
      </c>
      <c r="W141" s="2308"/>
    </row>
    <row r="142" spans="6:23" ht="14.4">
      <c r="F142" s="2078">
        <v>353</v>
      </c>
      <c r="G142" s="2315"/>
      <c r="H142" s="2123" t="s">
        <v>3094</v>
      </c>
      <c r="I142" s="2074">
        <v>242335.26288000002</v>
      </c>
      <c r="J142" s="2272">
        <v>249066.79796000003</v>
      </c>
      <c r="K142" s="2272">
        <v>255798.33304000003</v>
      </c>
      <c r="L142" s="2272">
        <v>262529.86812</v>
      </c>
      <c r="M142" s="2272">
        <v>269261.4032</v>
      </c>
      <c r="N142" s="2272">
        <v>275992.93828</v>
      </c>
      <c r="O142" s="2272">
        <v>282724.47336</v>
      </c>
      <c r="P142" s="2272">
        <v>289456.00844000001</v>
      </c>
      <c r="Q142" s="2272">
        <v>296187.54352000001</v>
      </c>
      <c r="R142" s="2272">
        <v>302919.07860000001</v>
      </c>
      <c r="S142" s="2272">
        <v>309650.61368000001</v>
      </c>
      <c r="T142" s="2272">
        <v>316382.14876000001</v>
      </c>
      <c r="U142" s="2272">
        <v>323113.68384000001</v>
      </c>
      <c r="V142" s="2272">
        <f t="shared" si="2"/>
        <v>282724.47336000006</v>
      </c>
      <c r="W142" s="2308"/>
    </row>
    <row r="143" spans="6:23" ht="14.4">
      <c r="F143" s="2078">
        <v>352</v>
      </c>
      <c r="G143" s="2315"/>
      <c r="H143" s="2123" t="s">
        <v>3095</v>
      </c>
      <c r="I143" s="2074">
        <v>59141.387812499983</v>
      </c>
      <c r="J143" s="2272">
        <v>60831.141749999981</v>
      </c>
      <c r="K143" s="2272">
        <v>62520.895687499979</v>
      </c>
      <c r="L143" s="2272">
        <v>64210.649624999976</v>
      </c>
      <c r="M143" s="2272">
        <v>65900.403562499981</v>
      </c>
      <c r="N143" s="2272">
        <v>67590.157499999987</v>
      </c>
      <c r="O143" s="2272">
        <v>69279.911437499992</v>
      </c>
      <c r="P143" s="2272">
        <v>70969.665374999997</v>
      </c>
      <c r="Q143" s="2272">
        <v>72659.419312500002</v>
      </c>
      <c r="R143" s="2272">
        <v>74349.173250000007</v>
      </c>
      <c r="S143" s="2272">
        <v>76038.927187500012</v>
      </c>
      <c r="T143" s="2272">
        <v>77728.681125000017</v>
      </c>
      <c r="U143" s="2272">
        <v>79418.435062500022</v>
      </c>
      <c r="V143" s="2272">
        <f t="shared" si="2"/>
        <v>69279.911437500006</v>
      </c>
      <c r="W143" s="2308"/>
    </row>
    <row r="144" spans="6:23" ht="14.4">
      <c r="F144" s="2078">
        <v>353</v>
      </c>
      <c r="G144" s="2315"/>
      <c r="H144" s="2123" t="s">
        <v>3095</v>
      </c>
      <c r="I144" s="2074">
        <v>288340.96709750022</v>
      </c>
      <c r="J144" s="2272">
        <v>296274.02557000023</v>
      </c>
      <c r="K144" s="2272">
        <v>304207.08404250024</v>
      </c>
      <c r="L144" s="2272">
        <v>312140.14251500025</v>
      </c>
      <c r="M144" s="2272">
        <v>320073.20098750025</v>
      </c>
      <c r="N144" s="2272">
        <v>328006.25946000026</v>
      </c>
      <c r="O144" s="2272">
        <v>335939.31793250027</v>
      </c>
      <c r="P144" s="2272">
        <v>343872.37640500028</v>
      </c>
      <c r="Q144" s="2272">
        <v>351805.43487750029</v>
      </c>
      <c r="R144" s="2272">
        <v>359738.4933500003</v>
      </c>
      <c r="S144" s="2272">
        <v>367671.5518225003</v>
      </c>
      <c r="T144" s="2272">
        <v>375604.61029500031</v>
      </c>
      <c r="U144" s="2272">
        <v>383537.66876750032</v>
      </c>
      <c r="V144" s="2272">
        <f t="shared" si="2"/>
        <v>335939.31793250027</v>
      </c>
      <c r="W144" s="2308"/>
    </row>
    <row r="145" spans="6:23" ht="14.4">
      <c r="F145" s="2078">
        <v>352</v>
      </c>
      <c r="G145" s="2315"/>
      <c r="H145" s="2123" t="s">
        <v>3096</v>
      </c>
      <c r="I145" s="2074">
        <v>68833.152990000002</v>
      </c>
      <c r="J145" s="2272">
        <v>70799.814504000009</v>
      </c>
      <c r="K145" s="2272">
        <v>72766.476018000016</v>
      </c>
      <c r="L145" s="2272">
        <v>74733.137532000022</v>
      </c>
      <c r="M145" s="2272">
        <v>76699.799046000029</v>
      </c>
      <c r="N145" s="2272">
        <v>78666.460560000036</v>
      </c>
      <c r="O145" s="2272">
        <v>80633.122074000043</v>
      </c>
      <c r="P145" s="2272">
        <v>82599.783588000049</v>
      </c>
      <c r="Q145" s="2272">
        <v>84566.445102000056</v>
      </c>
      <c r="R145" s="2272">
        <v>86533.106616000063</v>
      </c>
      <c r="S145" s="2272">
        <v>88499.76813000007</v>
      </c>
      <c r="T145" s="2272">
        <v>90466.429644000076</v>
      </c>
      <c r="U145" s="2272">
        <v>92433.091158000083</v>
      </c>
      <c r="V145" s="2272">
        <f t="shared" si="2"/>
        <v>80633.122074000057</v>
      </c>
      <c r="W145" s="2308"/>
    </row>
    <row r="146" spans="6:23" ht="14.4">
      <c r="F146" s="2078">
        <v>353</v>
      </c>
      <c r="G146" s="2315"/>
      <c r="H146" s="2123" t="s">
        <v>3096</v>
      </c>
      <c r="I146" s="2074">
        <v>318031.55760000012</v>
      </c>
      <c r="J146" s="2272">
        <v>326785.89080971439</v>
      </c>
      <c r="K146" s="2272">
        <v>335540.22401942866</v>
      </c>
      <c r="L146" s="2272">
        <v>344294.55722914293</v>
      </c>
      <c r="M146" s="2272">
        <v>353048.8904388572</v>
      </c>
      <c r="N146" s="2272">
        <v>361803.22364857147</v>
      </c>
      <c r="O146" s="2272">
        <v>370557.55685828574</v>
      </c>
      <c r="P146" s="2272">
        <v>379311.89006800001</v>
      </c>
      <c r="Q146" s="2272">
        <v>388066.22327771428</v>
      </c>
      <c r="R146" s="2272">
        <v>396820.55648742855</v>
      </c>
      <c r="S146" s="2272">
        <v>405574.88969714282</v>
      </c>
      <c r="T146" s="2272">
        <v>414329.22290685709</v>
      </c>
      <c r="U146" s="2272">
        <v>423083.55611657136</v>
      </c>
      <c r="V146" s="2272">
        <f t="shared" si="2"/>
        <v>370557.55685828574</v>
      </c>
      <c r="W146" s="2308"/>
    </row>
    <row r="147" spans="6:23" ht="14.4">
      <c r="F147" s="2078">
        <v>352</v>
      </c>
      <c r="G147" s="2315"/>
      <c r="H147" s="2123" t="s">
        <v>3097</v>
      </c>
      <c r="I147" s="2074">
        <v>65950.51364999995</v>
      </c>
      <c r="J147" s="2272">
        <v>67834.814039999954</v>
      </c>
      <c r="K147" s="2272">
        <v>69719.114429999958</v>
      </c>
      <c r="L147" s="2272">
        <v>71603.414819999962</v>
      </c>
      <c r="M147" s="2272">
        <v>73487.715209999966</v>
      </c>
      <c r="N147" s="2272">
        <v>75372.01559999997</v>
      </c>
      <c r="O147" s="2272">
        <v>77256.315989999974</v>
      </c>
      <c r="P147" s="2272">
        <v>79140.616379999978</v>
      </c>
      <c r="Q147" s="2272">
        <v>81024.916769999982</v>
      </c>
      <c r="R147" s="2272">
        <v>82909.217159999986</v>
      </c>
      <c r="S147" s="2272">
        <v>84793.51754999999</v>
      </c>
      <c r="T147" s="2272">
        <v>86677.817939999994</v>
      </c>
      <c r="U147" s="2272">
        <v>88562.118329999998</v>
      </c>
      <c r="V147" s="2272">
        <f t="shared" si="2"/>
        <v>77256.315989999974</v>
      </c>
      <c r="W147" s="2308"/>
    </row>
    <row r="148" spans="6:23" ht="14.4">
      <c r="F148" s="2078">
        <v>353</v>
      </c>
      <c r="G148" s="2315"/>
      <c r="H148" s="2123" t="s">
        <v>3097</v>
      </c>
      <c r="I148" s="2074">
        <v>336909.82791999989</v>
      </c>
      <c r="J148" s="2272">
        <v>346207.09979999991</v>
      </c>
      <c r="K148" s="2272">
        <v>355504.37167999992</v>
      </c>
      <c r="L148" s="2272">
        <v>364801.64355999994</v>
      </c>
      <c r="M148" s="2272">
        <v>374098.91543999995</v>
      </c>
      <c r="N148" s="2272">
        <v>383396.18731999997</v>
      </c>
      <c r="O148" s="2272">
        <v>392693.45919999998</v>
      </c>
      <c r="P148" s="2272">
        <v>401990.73108</v>
      </c>
      <c r="Q148" s="2272">
        <v>411288.00296000001</v>
      </c>
      <c r="R148" s="2272">
        <v>420585.27484000003</v>
      </c>
      <c r="S148" s="2272">
        <v>429882.54672000004</v>
      </c>
      <c r="T148" s="2272">
        <v>439179.81860000006</v>
      </c>
      <c r="U148" s="2272">
        <v>448477.09048000007</v>
      </c>
      <c r="V148" s="2272">
        <f t="shared" si="2"/>
        <v>392693.45919999998</v>
      </c>
      <c r="W148" s="2308"/>
    </row>
    <row r="149" spans="6:23" ht="14.4">
      <c r="F149" s="2078">
        <v>352</v>
      </c>
      <c r="G149" s="2315"/>
      <c r="H149" s="2123" t="s">
        <v>8410</v>
      </c>
      <c r="I149" s="2074">
        <v>66611.184255000029</v>
      </c>
      <c r="J149" s="2272">
        <v>68514.36094800003</v>
      </c>
      <c r="K149" s="2272">
        <v>70417.537641000032</v>
      </c>
      <c r="L149" s="2272">
        <v>72320.714334000033</v>
      </c>
      <c r="M149" s="2272">
        <v>74223.891027000034</v>
      </c>
      <c r="N149" s="2272">
        <v>76127.067720000035</v>
      </c>
      <c r="O149" s="2272">
        <v>78030.244413000037</v>
      </c>
      <c r="P149" s="2272">
        <v>79933.421106000038</v>
      </c>
      <c r="Q149" s="2272">
        <v>81836.597799000039</v>
      </c>
      <c r="R149" s="2272">
        <v>83739.77449200004</v>
      </c>
      <c r="S149" s="2272">
        <v>85642.951185000042</v>
      </c>
      <c r="T149" s="2272">
        <v>87546.127878000043</v>
      </c>
      <c r="U149" s="2272">
        <v>89449.304571000044</v>
      </c>
      <c r="V149" s="2272">
        <f t="shared" si="2"/>
        <v>78030.244413000037</v>
      </c>
      <c r="W149" s="2308"/>
    </row>
    <row r="150" spans="6:23" ht="14.4">
      <c r="F150" s="2078">
        <v>353</v>
      </c>
      <c r="G150" s="2315"/>
      <c r="H150" s="2123" t="s">
        <v>8410</v>
      </c>
      <c r="I150" s="2074">
        <v>301409.5846399999</v>
      </c>
      <c r="J150" s="2272">
        <v>309700.58092057134</v>
      </c>
      <c r="K150" s="2272">
        <v>317991.57720114279</v>
      </c>
      <c r="L150" s="2272">
        <v>326282.57348171424</v>
      </c>
      <c r="M150" s="2272">
        <v>334573.56976228568</v>
      </c>
      <c r="N150" s="2272">
        <v>342864.56604285713</v>
      </c>
      <c r="O150" s="2272">
        <v>351155.56232342857</v>
      </c>
      <c r="P150" s="2272">
        <v>359446.55860400002</v>
      </c>
      <c r="Q150" s="2272">
        <v>367737.55488457147</v>
      </c>
      <c r="R150" s="2272">
        <v>376028.55116514291</v>
      </c>
      <c r="S150" s="2272">
        <v>384319.54744571436</v>
      </c>
      <c r="T150" s="2272">
        <v>392610.5437262858</v>
      </c>
      <c r="U150" s="2272">
        <v>400901.54000685725</v>
      </c>
      <c r="V150" s="2272">
        <f t="shared" si="2"/>
        <v>351155.56232342863</v>
      </c>
      <c r="W150" s="2308"/>
    </row>
    <row r="151" spans="6:23" ht="14.4">
      <c r="F151" s="2078">
        <v>352</v>
      </c>
      <c r="G151" s="2315"/>
      <c r="H151" s="2123" t="s">
        <v>8275</v>
      </c>
      <c r="I151" s="2074">
        <v>0</v>
      </c>
      <c r="J151" s="2272">
        <v>0</v>
      </c>
      <c r="K151" s="2272">
        <v>0</v>
      </c>
      <c r="L151" s="2272">
        <v>0</v>
      </c>
      <c r="M151" s="2272">
        <v>0</v>
      </c>
      <c r="N151" s="2272">
        <v>0</v>
      </c>
      <c r="O151" s="2272">
        <v>0</v>
      </c>
      <c r="P151" s="2272">
        <v>0</v>
      </c>
      <c r="Q151" s="2272">
        <v>0</v>
      </c>
      <c r="R151" s="2272">
        <v>0</v>
      </c>
      <c r="S151" s="2272">
        <v>0</v>
      </c>
      <c r="T151" s="2272">
        <v>0</v>
      </c>
      <c r="U151" s="2272">
        <v>0</v>
      </c>
      <c r="V151" s="2272">
        <f t="shared" si="2"/>
        <v>0</v>
      </c>
      <c r="W151" s="2308"/>
    </row>
    <row r="152" spans="6:23" ht="14.4">
      <c r="F152" s="2078">
        <v>353</v>
      </c>
      <c r="G152" s="2315"/>
      <c r="H152" s="2123" t="s">
        <v>8275</v>
      </c>
      <c r="I152" s="2074">
        <v>241474.76430000007</v>
      </c>
      <c r="J152" s="2272">
        <v>248374.04328000007</v>
      </c>
      <c r="K152" s="2272">
        <v>255273.32226000007</v>
      </c>
      <c r="L152" s="2272">
        <v>262172.60124000005</v>
      </c>
      <c r="M152" s="2272">
        <v>269071.88022000005</v>
      </c>
      <c r="N152" s="2272">
        <v>275971.15920000005</v>
      </c>
      <c r="O152" s="2272">
        <v>282870.43818000006</v>
      </c>
      <c r="P152" s="2272">
        <v>289769.71716000006</v>
      </c>
      <c r="Q152" s="2272">
        <v>296668.99614000006</v>
      </c>
      <c r="R152" s="2272">
        <v>303568.27512000006</v>
      </c>
      <c r="S152" s="2272">
        <v>310467.55410000007</v>
      </c>
      <c r="T152" s="2272">
        <v>317366.83308000007</v>
      </c>
      <c r="U152" s="2272">
        <v>324266.11206000007</v>
      </c>
      <c r="V152" s="2272">
        <f t="shared" si="2"/>
        <v>282870.43818000011</v>
      </c>
      <c r="W152" s="2308"/>
    </row>
    <row r="153" spans="6:23" ht="14.4">
      <c r="F153" s="2078">
        <v>352</v>
      </c>
      <c r="G153" s="2315"/>
      <c r="H153" s="2123" t="s">
        <v>8276</v>
      </c>
      <c r="I153" s="2074">
        <v>0</v>
      </c>
      <c r="J153" s="2272">
        <v>0</v>
      </c>
      <c r="K153" s="2272">
        <v>0</v>
      </c>
      <c r="L153" s="2272">
        <v>0</v>
      </c>
      <c r="M153" s="2272">
        <v>0</v>
      </c>
      <c r="N153" s="2272">
        <v>0</v>
      </c>
      <c r="O153" s="2272">
        <v>0</v>
      </c>
      <c r="P153" s="2272">
        <v>0</v>
      </c>
      <c r="Q153" s="2272">
        <v>0</v>
      </c>
      <c r="R153" s="2272">
        <v>0</v>
      </c>
      <c r="S153" s="2272">
        <v>0</v>
      </c>
      <c r="T153" s="2272">
        <v>0</v>
      </c>
      <c r="U153" s="2272">
        <v>0</v>
      </c>
      <c r="V153" s="2272">
        <f t="shared" si="2"/>
        <v>0</v>
      </c>
      <c r="W153" s="2308"/>
    </row>
    <row r="154" spans="6:23" ht="14.4">
      <c r="F154" s="2078">
        <v>353</v>
      </c>
      <c r="G154" s="2315"/>
      <c r="H154" s="2123" t="s">
        <v>8276</v>
      </c>
      <c r="I154" s="2074">
        <v>8139.598599999993</v>
      </c>
      <c r="J154" s="2272">
        <v>8372.1585599999926</v>
      </c>
      <c r="K154" s="2272">
        <v>8604.7185199999931</v>
      </c>
      <c r="L154" s="2272">
        <v>8837.2784799999936</v>
      </c>
      <c r="M154" s="2272">
        <v>9069.8384399999941</v>
      </c>
      <c r="N154" s="2272">
        <v>9302.3983999999946</v>
      </c>
      <c r="O154" s="2272">
        <v>9534.9583599999951</v>
      </c>
      <c r="P154" s="2272">
        <v>9767.5183199999956</v>
      </c>
      <c r="Q154" s="2272">
        <v>10000.078279999996</v>
      </c>
      <c r="R154" s="2272">
        <v>10232.638239999997</v>
      </c>
      <c r="S154" s="2272">
        <v>10465.198199999997</v>
      </c>
      <c r="T154" s="2272">
        <v>10697.758159999998</v>
      </c>
      <c r="U154" s="2272">
        <v>10930.318119999998</v>
      </c>
      <c r="V154" s="2272">
        <f t="shared" si="2"/>
        <v>9534.9583599999969</v>
      </c>
      <c r="W154" s="2308"/>
    </row>
    <row r="155" spans="6:23" ht="14.4">
      <c r="F155" s="2078">
        <v>352</v>
      </c>
      <c r="G155" s="2315"/>
      <c r="H155" s="2123" t="s">
        <v>9013</v>
      </c>
      <c r="I155" s="2074"/>
      <c r="J155" s="2272">
        <v>0</v>
      </c>
      <c r="K155" s="2272">
        <v>0</v>
      </c>
      <c r="L155" s="2272">
        <v>0</v>
      </c>
      <c r="M155" s="2272">
        <v>0</v>
      </c>
      <c r="N155" s="2272">
        <v>0</v>
      </c>
      <c r="O155" s="2272">
        <v>0</v>
      </c>
      <c r="P155" s="2272">
        <v>0</v>
      </c>
      <c r="Q155" s="2272">
        <v>0</v>
      </c>
      <c r="R155" s="2272">
        <v>0</v>
      </c>
      <c r="S155" s="2272">
        <v>0</v>
      </c>
      <c r="T155" s="2272">
        <v>0</v>
      </c>
      <c r="U155" s="2272">
        <v>0</v>
      </c>
      <c r="V155" s="2272">
        <f t="shared" si="2"/>
        <v>0</v>
      </c>
      <c r="W155" s="2308"/>
    </row>
    <row r="156" spans="6:23" ht="14.4">
      <c r="F156" s="2078">
        <v>353</v>
      </c>
      <c r="G156" s="2315"/>
      <c r="H156" s="2123" t="s">
        <v>9013</v>
      </c>
      <c r="I156" s="2074"/>
      <c r="J156" s="2272">
        <v>154.13451999999998</v>
      </c>
      <c r="K156" s="2272">
        <v>308.26903999999996</v>
      </c>
      <c r="L156" s="2272">
        <v>462.40355999999997</v>
      </c>
      <c r="M156" s="2272">
        <v>616.53807999999992</v>
      </c>
      <c r="N156" s="2272">
        <v>770.67259999999987</v>
      </c>
      <c r="O156" s="2272">
        <v>924.80711999999983</v>
      </c>
      <c r="P156" s="2272">
        <v>1078.9416399999998</v>
      </c>
      <c r="Q156" s="2272">
        <v>1233.0761599999998</v>
      </c>
      <c r="R156" s="2272">
        <v>1387.2106799999999</v>
      </c>
      <c r="S156" s="2272">
        <v>1541.3452</v>
      </c>
      <c r="T156" s="2272">
        <v>1695.47972</v>
      </c>
      <c r="U156" s="2272">
        <v>1849.6142400000001</v>
      </c>
      <c r="V156" s="2272">
        <f t="shared" si="2"/>
        <v>1001.8743799999999</v>
      </c>
      <c r="W156" s="2308"/>
    </row>
    <row r="157" spans="6:23" ht="14.4">
      <c r="F157" s="2078">
        <v>352</v>
      </c>
      <c r="G157" s="2315"/>
      <c r="H157" s="2123" t="s">
        <v>9028</v>
      </c>
      <c r="I157" s="2074"/>
      <c r="J157" s="2272">
        <v>0</v>
      </c>
      <c r="K157" s="2272">
        <v>0</v>
      </c>
      <c r="L157" s="2272">
        <v>0</v>
      </c>
      <c r="M157" s="2272">
        <v>0</v>
      </c>
      <c r="N157" s="2272">
        <v>0</v>
      </c>
      <c r="O157" s="2272">
        <v>0</v>
      </c>
      <c r="P157" s="2272">
        <v>0</v>
      </c>
      <c r="Q157" s="2272">
        <v>0</v>
      </c>
      <c r="R157" s="2272">
        <v>0</v>
      </c>
      <c r="S157" s="2272">
        <v>0</v>
      </c>
      <c r="T157" s="2272">
        <v>0</v>
      </c>
      <c r="U157" s="2272">
        <v>0</v>
      </c>
      <c r="V157" s="2272">
        <f t="shared" si="2"/>
        <v>0</v>
      </c>
      <c r="W157" s="2308"/>
    </row>
    <row r="158" spans="6:23" ht="14.4">
      <c r="F158" s="2078">
        <v>353</v>
      </c>
      <c r="G158" s="2315"/>
      <c r="H158" s="2123" t="s">
        <v>9028</v>
      </c>
      <c r="I158" s="2074"/>
      <c r="J158" s="2272">
        <v>225.15042000000003</v>
      </c>
      <c r="K158" s="2272">
        <v>450.30084000000005</v>
      </c>
      <c r="L158" s="2272">
        <v>675.45126000000005</v>
      </c>
      <c r="M158" s="2272">
        <v>900.6016800000001</v>
      </c>
      <c r="N158" s="2272">
        <v>1125.7521000000002</v>
      </c>
      <c r="O158" s="2272">
        <v>1350.9025200000001</v>
      </c>
      <c r="P158" s="2272">
        <v>1576.05294</v>
      </c>
      <c r="Q158" s="2272">
        <v>1801.20336</v>
      </c>
      <c r="R158" s="2272">
        <v>2026.3537799999999</v>
      </c>
      <c r="S158" s="2272">
        <v>2251.5041999999999</v>
      </c>
      <c r="T158" s="2272">
        <v>2476.6546199999998</v>
      </c>
      <c r="U158" s="2272">
        <v>2701.8050399999997</v>
      </c>
      <c r="V158" s="2272">
        <f t="shared" si="2"/>
        <v>1463.4777299999998</v>
      </c>
      <c r="W158" s="2308"/>
    </row>
    <row r="159" spans="6:23" ht="14.4">
      <c r="F159" s="2078">
        <v>352</v>
      </c>
      <c r="G159" s="2315"/>
      <c r="H159" s="2123" t="s">
        <v>8305</v>
      </c>
      <c r="I159" s="2074"/>
      <c r="J159" s="2272">
        <v>0</v>
      </c>
      <c r="K159" s="2272">
        <v>0</v>
      </c>
      <c r="L159" s="2272">
        <v>0</v>
      </c>
      <c r="M159" s="2272">
        <v>0</v>
      </c>
      <c r="N159" s="2272">
        <v>0</v>
      </c>
      <c r="O159" s="2272">
        <v>0</v>
      </c>
      <c r="P159" s="2272">
        <v>0</v>
      </c>
      <c r="Q159" s="2272">
        <v>0</v>
      </c>
      <c r="R159" s="2272">
        <v>0</v>
      </c>
      <c r="S159" s="2272">
        <v>0</v>
      </c>
      <c r="T159" s="2272">
        <v>0</v>
      </c>
      <c r="U159" s="2272">
        <v>0</v>
      </c>
      <c r="V159" s="2272">
        <f t="shared" si="2"/>
        <v>0</v>
      </c>
      <c r="W159" s="2308"/>
    </row>
    <row r="160" spans="6:23" ht="14.4">
      <c r="F160" s="2078">
        <v>353</v>
      </c>
      <c r="G160" s="2315"/>
      <c r="H160" s="2123" t="s">
        <v>8305</v>
      </c>
      <c r="I160" s="2074"/>
      <c r="J160" s="2272">
        <v>2696.6476599999996</v>
      </c>
      <c r="K160" s="2272">
        <v>5393.2953199999993</v>
      </c>
      <c r="L160" s="2272">
        <v>8089.9429799999989</v>
      </c>
      <c r="M160" s="2272">
        <v>10786.590639999999</v>
      </c>
      <c r="N160" s="2272">
        <v>13483.238299999997</v>
      </c>
      <c r="O160" s="2272">
        <v>16179.885959999996</v>
      </c>
      <c r="P160" s="2272">
        <v>18876.533619999995</v>
      </c>
      <c r="Q160" s="2272">
        <v>21573.181279999993</v>
      </c>
      <c r="R160" s="2272">
        <v>24269.828939999992</v>
      </c>
      <c r="S160" s="2272">
        <v>26966.476599999991</v>
      </c>
      <c r="T160" s="2272">
        <v>29663.12425999999</v>
      </c>
      <c r="U160" s="2272">
        <v>32359.771919999988</v>
      </c>
      <c r="V160" s="2272">
        <f t="shared" si="2"/>
        <v>17528.209789999994</v>
      </c>
      <c r="W160" s="2308"/>
    </row>
    <row r="161" spans="6:23" ht="14.4">
      <c r="F161" s="2078">
        <v>352</v>
      </c>
      <c r="G161" s="2315"/>
      <c r="H161" s="2123" t="s">
        <v>9014</v>
      </c>
      <c r="I161" s="2074"/>
      <c r="J161" s="2272">
        <v>0</v>
      </c>
      <c r="K161" s="2272">
        <v>0</v>
      </c>
      <c r="L161" s="2272">
        <v>0</v>
      </c>
      <c r="M161" s="2272">
        <v>0</v>
      </c>
      <c r="N161" s="2272">
        <v>0</v>
      </c>
      <c r="O161" s="2272">
        <v>0</v>
      </c>
      <c r="P161" s="2272">
        <v>0</v>
      </c>
      <c r="Q161" s="2272">
        <v>0</v>
      </c>
      <c r="R161" s="2272">
        <v>0</v>
      </c>
      <c r="S161" s="2272">
        <v>0</v>
      </c>
      <c r="T161" s="2272">
        <v>0</v>
      </c>
      <c r="U161" s="2272">
        <v>0</v>
      </c>
      <c r="V161" s="2272">
        <f t="shared" si="2"/>
        <v>0</v>
      </c>
      <c r="W161" s="2308"/>
    </row>
    <row r="162" spans="6:23" ht="14.4">
      <c r="F162" s="2078">
        <v>353</v>
      </c>
      <c r="G162" s="2315"/>
      <c r="H162" s="2123" t="s">
        <v>9014</v>
      </c>
      <c r="I162" s="2074"/>
      <c r="J162" s="2272">
        <v>79.084800000000001</v>
      </c>
      <c r="K162" s="2272">
        <v>158.1696</v>
      </c>
      <c r="L162" s="2272">
        <v>237.2544</v>
      </c>
      <c r="M162" s="2272">
        <v>316.33920000000001</v>
      </c>
      <c r="N162" s="2272">
        <v>395.42399999999998</v>
      </c>
      <c r="O162" s="2272">
        <v>474.50879999999995</v>
      </c>
      <c r="P162" s="2272">
        <v>553.59359999999992</v>
      </c>
      <c r="Q162" s="2272">
        <v>632.6783999999999</v>
      </c>
      <c r="R162" s="2272">
        <v>711.76319999999987</v>
      </c>
      <c r="S162" s="2272">
        <v>790.84799999999984</v>
      </c>
      <c r="T162" s="2272">
        <v>869.93279999999982</v>
      </c>
      <c r="U162" s="2272">
        <v>949.01759999999979</v>
      </c>
      <c r="V162" s="2272">
        <f t="shared" si="2"/>
        <v>514.05119999999988</v>
      </c>
      <c r="W162" s="2308"/>
    </row>
    <row r="163" spans="6:23" ht="14.4">
      <c r="F163" s="2078">
        <v>352</v>
      </c>
      <c r="G163" s="2315"/>
      <c r="H163" s="2123" t="s">
        <v>9436</v>
      </c>
      <c r="I163" s="2074"/>
      <c r="J163" s="2272">
        <v>0</v>
      </c>
      <c r="K163" s="2272">
        <v>0</v>
      </c>
      <c r="L163" s="2272">
        <v>0</v>
      </c>
      <c r="M163" s="2272">
        <v>0</v>
      </c>
      <c r="N163" s="2272">
        <v>0</v>
      </c>
      <c r="O163" s="2272">
        <v>0</v>
      </c>
      <c r="P163" s="2272">
        <v>0</v>
      </c>
      <c r="Q163" s="2272">
        <v>0</v>
      </c>
      <c r="R163" s="2272">
        <v>0</v>
      </c>
      <c r="S163" s="2272">
        <v>0</v>
      </c>
      <c r="T163" s="2272">
        <v>0</v>
      </c>
      <c r="U163" s="2272">
        <v>0</v>
      </c>
      <c r="V163" s="2272">
        <f t="shared" si="2"/>
        <v>0</v>
      </c>
      <c r="W163" s="2308"/>
    </row>
    <row r="164" spans="6:23" ht="14.4">
      <c r="F164" s="2078">
        <v>353</v>
      </c>
      <c r="G164" s="2315"/>
      <c r="H164" s="2123" t="s">
        <v>9436</v>
      </c>
      <c r="I164" s="2074"/>
      <c r="J164" s="2272">
        <v>18806.025979999995</v>
      </c>
      <c r="K164" s="2272">
        <v>37612.05195999999</v>
      </c>
      <c r="L164" s="2272">
        <v>56418.077939999988</v>
      </c>
      <c r="M164" s="2272">
        <v>75224.10391999998</v>
      </c>
      <c r="N164" s="2272">
        <v>94030.129899999971</v>
      </c>
      <c r="O164" s="2272">
        <v>112836.15587999996</v>
      </c>
      <c r="P164" s="2272">
        <v>131642.18185999995</v>
      </c>
      <c r="Q164" s="2272">
        <v>150448.20783999996</v>
      </c>
      <c r="R164" s="2272">
        <v>169254.23381999996</v>
      </c>
      <c r="S164" s="2272">
        <v>188060.25979999997</v>
      </c>
      <c r="T164" s="2272">
        <v>206866.28577999998</v>
      </c>
      <c r="U164" s="2272">
        <v>225672.31175999998</v>
      </c>
      <c r="V164" s="2272">
        <f t="shared" si="2"/>
        <v>122239.16886999998</v>
      </c>
      <c r="W164" s="2308"/>
    </row>
    <row r="165" spans="6:23" ht="14.4">
      <c r="F165" s="2078">
        <v>352</v>
      </c>
      <c r="G165" s="2315"/>
      <c r="H165" s="2123" t="s">
        <v>9437</v>
      </c>
      <c r="I165" s="2074"/>
      <c r="J165" s="2272">
        <v>0</v>
      </c>
      <c r="K165" s="2272">
        <v>0</v>
      </c>
      <c r="L165" s="2272">
        <v>0</v>
      </c>
      <c r="M165" s="2272">
        <v>0</v>
      </c>
      <c r="N165" s="2272">
        <v>0</v>
      </c>
      <c r="O165" s="2272">
        <v>0</v>
      </c>
      <c r="P165" s="2272">
        <v>0</v>
      </c>
      <c r="Q165" s="2272">
        <v>0</v>
      </c>
      <c r="R165" s="2272">
        <v>0</v>
      </c>
      <c r="S165" s="2272">
        <v>0</v>
      </c>
      <c r="T165" s="2272">
        <v>0</v>
      </c>
      <c r="U165" s="2272">
        <v>0</v>
      </c>
      <c r="V165" s="2272">
        <f t="shared" si="2"/>
        <v>0</v>
      </c>
      <c r="W165" s="2308"/>
    </row>
    <row r="166" spans="6:23" ht="14.4">
      <c r="F166" s="2078">
        <v>353</v>
      </c>
      <c r="G166" s="2315"/>
      <c r="H166" s="2123" t="s">
        <v>9437</v>
      </c>
      <c r="I166" s="2074"/>
      <c r="J166" s="2272">
        <v>6309.673960000001</v>
      </c>
      <c r="K166" s="2272">
        <v>12619.347920000002</v>
      </c>
      <c r="L166" s="2272">
        <v>18929.021880000004</v>
      </c>
      <c r="M166" s="2272">
        <v>25238.695840000004</v>
      </c>
      <c r="N166" s="2272">
        <v>31548.369800000004</v>
      </c>
      <c r="O166" s="2272">
        <v>37858.043760000008</v>
      </c>
      <c r="P166" s="2272">
        <v>44167.717720000008</v>
      </c>
      <c r="Q166" s="2272">
        <v>50477.391680000008</v>
      </c>
      <c r="R166" s="2272">
        <v>56787.065640000008</v>
      </c>
      <c r="S166" s="2272">
        <v>63096.739600000008</v>
      </c>
      <c r="T166" s="2272">
        <v>69406.413560000015</v>
      </c>
      <c r="U166" s="2272">
        <v>75716.087520000016</v>
      </c>
      <c r="V166" s="2272">
        <f t="shared" si="2"/>
        <v>41012.880740000008</v>
      </c>
      <c r="W166" s="2308"/>
    </row>
    <row r="167" spans="6:23" ht="14.4">
      <c r="F167" s="2078">
        <v>352</v>
      </c>
      <c r="G167" s="2315"/>
      <c r="H167" s="2123" t="s">
        <v>9438</v>
      </c>
      <c r="I167" s="2074"/>
      <c r="J167" s="2272">
        <v>0</v>
      </c>
      <c r="K167" s="2272">
        <v>0</v>
      </c>
      <c r="L167" s="2272">
        <v>0</v>
      </c>
      <c r="M167" s="2272">
        <v>0</v>
      </c>
      <c r="N167" s="2272">
        <v>0</v>
      </c>
      <c r="O167" s="2272">
        <v>0</v>
      </c>
      <c r="P167" s="2272">
        <v>0</v>
      </c>
      <c r="Q167" s="2272">
        <v>0</v>
      </c>
      <c r="R167" s="2272">
        <v>0</v>
      </c>
      <c r="S167" s="2272">
        <v>0</v>
      </c>
      <c r="T167" s="2272">
        <v>0</v>
      </c>
      <c r="U167" s="2272">
        <v>0</v>
      </c>
      <c r="V167" s="2272">
        <f t="shared" si="2"/>
        <v>0</v>
      </c>
      <c r="W167" s="2308"/>
    </row>
    <row r="168" spans="6:23" ht="14.4">
      <c r="F168" s="2078">
        <v>353</v>
      </c>
      <c r="G168" s="2315"/>
      <c r="H168" s="2123" t="s">
        <v>9438</v>
      </c>
      <c r="I168" s="2074"/>
      <c r="J168" s="2272">
        <v>0</v>
      </c>
      <c r="K168" s="2272">
        <v>0</v>
      </c>
      <c r="L168" s="2272">
        <v>0</v>
      </c>
      <c r="M168" s="2272">
        <v>0</v>
      </c>
      <c r="N168" s="2272">
        <v>0</v>
      </c>
      <c r="O168" s="2272">
        <v>0</v>
      </c>
      <c r="P168" s="2272">
        <v>0</v>
      </c>
      <c r="Q168" s="2272">
        <v>0</v>
      </c>
      <c r="R168" s="2272">
        <v>0</v>
      </c>
      <c r="S168" s="2272">
        <v>0</v>
      </c>
      <c r="T168" s="2272">
        <v>0</v>
      </c>
      <c r="U168" s="2272">
        <v>0</v>
      </c>
      <c r="V168" s="2272">
        <f t="shared" si="2"/>
        <v>0</v>
      </c>
      <c r="W168" s="2308"/>
    </row>
    <row r="169" spans="6:23" ht="14.4">
      <c r="F169" s="2078">
        <v>352</v>
      </c>
      <c r="G169" s="2315"/>
      <c r="H169" s="2123" t="s">
        <v>9439</v>
      </c>
      <c r="I169" s="2074"/>
      <c r="J169" s="2272">
        <v>0</v>
      </c>
      <c r="K169" s="2272">
        <v>0</v>
      </c>
      <c r="L169" s="2272">
        <v>0</v>
      </c>
      <c r="M169" s="2272">
        <v>0</v>
      </c>
      <c r="N169" s="2272">
        <v>0</v>
      </c>
      <c r="O169" s="2272">
        <v>0</v>
      </c>
      <c r="P169" s="2272">
        <v>0</v>
      </c>
      <c r="Q169" s="2272">
        <v>0</v>
      </c>
      <c r="R169" s="2272">
        <v>0</v>
      </c>
      <c r="S169" s="2272">
        <v>0</v>
      </c>
      <c r="T169" s="2272">
        <v>0</v>
      </c>
      <c r="U169" s="2272">
        <v>0</v>
      </c>
      <c r="V169" s="2272">
        <f t="shared" si="2"/>
        <v>0</v>
      </c>
      <c r="W169" s="2308"/>
    </row>
    <row r="170" spans="6:23" ht="14.4">
      <c r="F170" s="2078">
        <v>353</v>
      </c>
      <c r="G170" s="2315"/>
      <c r="H170" s="2123" t="s">
        <v>9439</v>
      </c>
      <c r="I170" s="2074"/>
      <c r="J170" s="2272">
        <v>0</v>
      </c>
      <c r="K170" s="2272">
        <v>0</v>
      </c>
      <c r="L170" s="2272">
        <v>0</v>
      </c>
      <c r="M170" s="2272">
        <v>0</v>
      </c>
      <c r="N170" s="2272">
        <v>0</v>
      </c>
      <c r="O170" s="2272">
        <v>0</v>
      </c>
      <c r="P170" s="2272">
        <v>0</v>
      </c>
      <c r="Q170" s="2272">
        <v>0</v>
      </c>
      <c r="R170" s="2272">
        <v>0</v>
      </c>
      <c r="S170" s="2272">
        <v>0</v>
      </c>
      <c r="T170" s="2272">
        <v>0</v>
      </c>
      <c r="U170" s="2272">
        <v>0</v>
      </c>
      <c r="V170" s="2272">
        <f t="shared" si="2"/>
        <v>0</v>
      </c>
      <c r="W170" s="2308"/>
    </row>
    <row r="171" spans="6:23" ht="14.4">
      <c r="F171" s="2078"/>
      <c r="G171" s="2315"/>
      <c r="H171" s="2123"/>
      <c r="I171" s="2074"/>
      <c r="J171" s="2272"/>
      <c r="K171" s="2272"/>
      <c r="L171" s="2272"/>
      <c r="M171" s="2272"/>
      <c r="N171" s="2272"/>
      <c r="O171" s="2272"/>
      <c r="P171" s="2272"/>
      <c r="Q171" s="2272"/>
      <c r="R171" s="2272"/>
      <c r="S171" s="2272"/>
      <c r="T171" s="2272"/>
      <c r="U171" s="2272"/>
      <c r="V171" s="2272"/>
      <c r="W171" s="2308"/>
    </row>
    <row r="172" spans="6:23" ht="14.4">
      <c r="F172" s="2078"/>
      <c r="G172" s="2315"/>
      <c r="H172" s="2123"/>
      <c r="I172" s="2074"/>
      <c r="J172" s="2272"/>
      <c r="K172" s="2272"/>
      <c r="L172" s="2272"/>
      <c r="M172" s="2272"/>
      <c r="N172" s="2272"/>
      <c r="O172" s="2272"/>
      <c r="P172" s="2272"/>
      <c r="Q172" s="2272"/>
      <c r="R172" s="2272"/>
      <c r="S172" s="2272"/>
      <c r="T172" s="2272"/>
      <c r="U172" s="2272"/>
      <c r="V172" s="2272"/>
      <c r="W172" s="2308"/>
    </row>
    <row r="173" spans="6:23" ht="14.4">
      <c r="F173" s="2078"/>
      <c r="G173" s="2315"/>
      <c r="H173" s="2123"/>
      <c r="I173" s="2074"/>
      <c r="J173" s="2272"/>
      <c r="K173" s="2272"/>
      <c r="L173" s="2272"/>
      <c r="M173" s="2272"/>
      <c r="N173" s="2272"/>
      <c r="O173" s="2272"/>
      <c r="P173" s="2272"/>
      <c r="Q173" s="2272"/>
      <c r="R173" s="2272"/>
      <c r="S173" s="2272"/>
      <c r="T173" s="2272"/>
      <c r="U173" s="2272"/>
      <c r="V173" s="2272"/>
      <c r="W173" s="2308"/>
    </row>
    <row r="174" spans="6:23" ht="14.4">
      <c r="F174" s="2078"/>
      <c r="G174" s="2315"/>
      <c r="H174" s="2123"/>
      <c r="I174" s="2074"/>
      <c r="J174" s="2272"/>
      <c r="K174" s="2272"/>
      <c r="L174" s="2272"/>
      <c r="M174" s="2272"/>
      <c r="N174" s="2272"/>
      <c r="O174" s="2272"/>
      <c r="P174" s="2272"/>
      <c r="Q174" s="2272"/>
      <c r="R174" s="2272"/>
      <c r="S174" s="2272"/>
      <c r="T174" s="2272"/>
      <c r="U174" s="2272"/>
      <c r="V174" s="2272"/>
      <c r="W174" s="2308"/>
    </row>
    <row r="175" spans="6:23" ht="14.4">
      <c r="F175" s="2078"/>
      <c r="G175" s="2315"/>
      <c r="H175" s="2123"/>
      <c r="I175" s="2074"/>
      <c r="J175" s="2272"/>
      <c r="K175" s="2272"/>
      <c r="L175" s="2272"/>
      <c r="M175" s="2272"/>
      <c r="N175" s="2272"/>
      <c r="O175" s="2272"/>
      <c r="P175" s="2272"/>
      <c r="Q175" s="2272"/>
      <c r="R175" s="2272"/>
      <c r="S175" s="2272"/>
      <c r="T175" s="2272"/>
      <c r="U175" s="2272"/>
      <c r="V175" s="2272"/>
      <c r="W175" s="2308"/>
    </row>
    <row r="176" spans="6:23" ht="14.4">
      <c r="F176" s="2078"/>
      <c r="G176" s="2315"/>
      <c r="H176" s="2123"/>
      <c r="I176" s="2074"/>
      <c r="J176" s="2272"/>
      <c r="K176" s="2272"/>
      <c r="L176" s="2272"/>
      <c r="M176" s="2272"/>
      <c r="N176" s="2272"/>
      <c r="O176" s="2272"/>
      <c r="P176" s="2272"/>
      <c r="Q176" s="2272"/>
      <c r="R176" s="2272"/>
      <c r="S176" s="2272"/>
      <c r="T176" s="2272"/>
      <c r="U176" s="2272"/>
      <c r="V176" s="2272"/>
      <c r="W176" s="2308"/>
    </row>
    <row r="177" spans="6:23" ht="14.4">
      <c r="F177" s="2078"/>
      <c r="G177" s="2315"/>
      <c r="H177" s="2123"/>
      <c r="I177" s="2074"/>
      <c r="J177" s="2272"/>
      <c r="K177" s="2272"/>
      <c r="L177" s="2272"/>
      <c r="M177" s="2272"/>
      <c r="N177" s="2272"/>
      <c r="O177" s="2272"/>
      <c r="P177" s="2272"/>
      <c r="Q177" s="2272"/>
      <c r="R177" s="2272"/>
      <c r="S177" s="2272"/>
      <c r="T177" s="2272"/>
      <c r="U177" s="2272"/>
      <c r="V177" s="2272"/>
      <c r="W177" s="2308"/>
    </row>
    <row r="178" spans="6:23" ht="14.4">
      <c r="F178" s="2078"/>
      <c r="G178" s="2308"/>
      <c r="H178" s="2123"/>
      <c r="I178" s="2308"/>
      <c r="J178" s="2272"/>
      <c r="K178" s="2272"/>
      <c r="L178" s="2272"/>
      <c r="M178" s="2272"/>
      <c r="N178" s="2272"/>
      <c r="O178" s="2272"/>
      <c r="P178" s="2272"/>
      <c r="Q178" s="2272"/>
      <c r="R178" s="2272"/>
      <c r="S178" s="2272"/>
      <c r="T178" s="2272"/>
      <c r="U178" s="2272"/>
      <c r="V178" s="2272"/>
      <c r="W178" s="2308"/>
    </row>
    <row r="179" spans="6:23" ht="13.8" thickBot="1">
      <c r="F179" s="2078"/>
      <c r="G179" s="2078"/>
      <c r="H179" s="2317">
        <v>0</v>
      </c>
      <c r="I179" s="2280">
        <f>+SUM(I95:I178)</f>
        <v>32024247.408404555</v>
      </c>
      <c r="J179" s="2280">
        <f t="shared" ref="J179:U179" si="3">+SUM(J95:J178)</f>
        <v>32287384.31433573</v>
      </c>
      <c r="K179" s="2280">
        <f t="shared" si="3"/>
        <v>32548862.837696876</v>
      </c>
      <c r="L179" s="2280">
        <f t="shared" si="3"/>
        <v>32810341.361058038</v>
      </c>
      <c r="M179" s="2280">
        <f t="shared" si="3"/>
        <v>33071819.884419207</v>
      </c>
      <c r="N179" s="2280">
        <f t="shared" si="3"/>
        <v>33333298.407780364</v>
      </c>
      <c r="O179" s="2280">
        <f t="shared" si="3"/>
        <v>33594776.931141526</v>
      </c>
      <c r="P179" s="2280">
        <f t="shared" si="3"/>
        <v>33857337.666181006</v>
      </c>
      <c r="Q179" s="2280">
        <f t="shared" si="3"/>
        <v>34119898.401220515</v>
      </c>
      <c r="R179" s="2280">
        <f t="shared" si="3"/>
        <v>34382459.136260018</v>
      </c>
      <c r="S179" s="2280">
        <f t="shared" si="3"/>
        <v>34645019.871299498</v>
      </c>
      <c r="T179" s="2280">
        <f t="shared" si="3"/>
        <v>34907580.606339</v>
      </c>
      <c r="U179" s="2280">
        <f t="shared" si="3"/>
        <v>35170141.341378495</v>
      </c>
      <c r="V179" s="2280">
        <f t="shared" si="2"/>
        <v>33596397.551347293</v>
      </c>
      <c r="W179" s="2308"/>
    </row>
    <row r="180" spans="6:23" ht="15" thickTop="1">
      <c r="F180" s="2078"/>
      <c r="G180" s="2078"/>
      <c r="H180" s="2318"/>
      <c r="I180" s="2319"/>
      <c r="J180" s="2319"/>
      <c r="K180" s="2319"/>
      <c r="L180" s="2319"/>
      <c r="M180" s="2319"/>
      <c r="N180" s="2319"/>
      <c r="O180" s="2319"/>
      <c r="P180" s="2319"/>
      <c r="Q180" s="2319"/>
      <c r="R180" s="2319"/>
      <c r="S180" s="2319"/>
      <c r="T180" s="2319"/>
      <c r="U180" s="2319"/>
      <c r="V180" s="2319"/>
      <c r="W180" s="2308"/>
    </row>
    <row r="181" spans="6:23" ht="14.4">
      <c r="F181" s="2078"/>
      <c r="G181" s="2078"/>
      <c r="H181" s="2321"/>
      <c r="I181" s="2320"/>
      <c r="J181" s="2320"/>
      <c r="K181" s="2320"/>
      <c r="L181" s="2320"/>
      <c r="M181" s="2320"/>
      <c r="N181" s="2320"/>
      <c r="O181" s="2320"/>
      <c r="P181" s="2320"/>
      <c r="Q181" s="2320"/>
      <c r="R181" s="2320"/>
      <c r="S181" s="2320"/>
      <c r="T181" s="2320"/>
      <c r="U181" s="2320"/>
      <c r="V181" s="2320"/>
      <c r="W181" s="2308"/>
    </row>
    <row r="182" spans="6:23">
      <c r="F182" s="2078"/>
      <c r="G182" s="2078"/>
      <c r="H182" s="2304"/>
      <c r="I182" s="2317"/>
      <c r="J182" s="2308"/>
      <c r="K182" s="2308"/>
      <c r="L182" s="2308"/>
      <c r="M182" s="2308"/>
      <c r="N182" s="2308"/>
      <c r="O182" s="2308"/>
      <c r="P182" s="2308"/>
      <c r="Q182" s="2308"/>
      <c r="R182" s="2308"/>
      <c r="S182" s="2308"/>
      <c r="T182" s="2308"/>
      <c r="U182" s="2322"/>
      <c r="V182" s="2308"/>
      <c r="W182" s="2308"/>
    </row>
    <row r="183" spans="6:23">
      <c r="F183" s="2078"/>
      <c r="G183" s="2078"/>
      <c r="H183" s="2304"/>
      <c r="I183" s="2317"/>
      <c r="J183" s="2308"/>
      <c r="K183" s="2308"/>
      <c r="L183" s="2308"/>
      <c r="M183" s="2308"/>
      <c r="N183" s="2308"/>
      <c r="O183" s="2308"/>
      <c r="P183" s="2308"/>
      <c r="Q183" s="2308"/>
      <c r="R183" s="2308"/>
      <c r="S183" s="2308"/>
      <c r="T183" s="2308"/>
      <c r="U183" s="2322"/>
      <c r="V183" s="2308"/>
      <c r="W183" s="2308"/>
    </row>
    <row r="184" spans="6:23" ht="15.6">
      <c r="F184" s="2323" t="s">
        <v>3100</v>
      </c>
      <c r="G184" s="2303"/>
      <c r="H184" s="2324"/>
      <c r="I184" s="2303"/>
      <c r="J184" s="2303">
        <v>2025</v>
      </c>
      <c r="K184" s="2303">
        <v>2025</v>
      </c>
      <c r="L184" s="2303">
        <v>2025</v>
      </c>
      <c r="M184" s="2303">
        <v>2025</v>
      </c>
      <c r="N184" s="2303">
        <v>2025</v>
      </c>
      <c r="O184" s="2303">
        <v>2025</v>
      </c>
      <c r="P184" s="2303">
        <v>2025</v>
      </c>
      <c r="Q184" s="2303">
        <v>2025</v>
      </c>
      <c r="R184" s="2303">
        <v>2025</v>
      </c>
      <c r="S184" s="2303">
        <v>2025</v>
      </c>
      <c r="T184" s="2303">
        <v>2025</v>
      </c>
      <c r="U184" s="2303">
        <v>2025</v>
      </c>
      <c r="V184" s="2305" t="s">
        <v>3101</v>
      </c>
      <c r="W184" s="2308"/>
    </row>
    <row r="185" spans="6:23">
      <c r="F185" s="2303" t="s">
        <v>113</v>
      </c>
      <c r="G185" s="2303" t="s">
        <v>3038</v>
      </c>
      <c r="H185" s="2303" t="s">
        <v>3039</v>
      </c>
      <c r="I185" s="2309"/>
      <c r="J185" s="2303" t="s">
        <v>2287</v>
      </c>
      <c r="K185" s="2303" t="s">
        <v>2288</v>
      </c>
      <c r="L185" s="2303" t="s">
        <v>2289</v>
      </c>
      <c r="M185" s="2303" t="s">
        <v>2290</v>
      </c>
      <c r="N185" s="2303" t="s">
        <v>1361</v>
      </c>
      <c r="O185" s="2303" t="s">
        <v>2291</v>
      </c>
      <c r="P185" s="2303" t="s">
        <v>3040</v>
      </c>
      <c r="Q185" s="2303" t="s">
        <v>2292</v>
      </c>
      <c r="R185" s="2303" t="s">
        <v>2293</v>
      </c>
      <c r="S185" s="2303" t="s">
        <v>2294</v>
      </c>
      <c r="T185" s="2303" t="s">
        <v>2295</v>
      </c>
      <c r="U185" s="2307" t="s">
        <v>2296</v>
      </c>
      <c r="V185" s="2306" t="s">
        <v>1537</v>
      </c>
      <c r="W185" s="2308"/>
    </row>
    <row r="186" spans="6:23" ht="14.4">
      <c r="F186" s="2078">
        <v>353</v>
      </c>
      <c r="G186" s="2078" t="s">
        <v>3042</v>
      </c>
      <c r="H186" s="2309" t="s">
        <v>1873</v>
      </c>
      <c r="I186" s="2304">
        <v>2.3E-2</v>
      </c>
      <c r="J186" s="2272">
        <v>0</v>
      </c>
      <c r="K186" s="2272">
        <v>0</v>
      </c>
      <c r="L186" s="2272">
        <v>0</v>
      </c>
      <c r="M186" s="2272">
        <v>0</v>
      </c>
      <c r="N186" s="2272">
        <v>0</v>
      </c>
      <c r="O186" s="2272">
        <v>0</v>
      </c>
      <c r="P186" s="2272">
        <v>0</v>
      </c>
      <c r="Q186" s="2272">
        <v>0</v>
      </c>
      <c r="R186" s="2272">
        <v>0</v>
      </c>
      <c r="S186" s="2272">
        <v>0</v>
      </c>
      <c r="T186" s="2272">
        <v>0</v>
      </c>
      <c r="U186" s="2272">
        <v>0</v>
      </c>
      <c r="V186" s="2272">
        <f>+SUM(J186:U186)</f>
        <v>0</v>
      </c>
      <c r="W186" s="2308"/>
    </row>
    <row r="187" spans="6:23" ht="14.4">
      <c r="F187" s="2078">
        <v>353</v>
      </c>
      <c r="G187" s="2078" t="s">
        <v>3043</v>
      </c>
      <c r="H187" s="2309" t="s">
        <v>3044</v>
      </c>
      <c r="I187" s="2304">
        <v>2.3E-2</v>
      </c>
      <c r="J187" s="2272">
        <v>17483.795498333333</v>
      </c>
      <c r="K187" s="2272">
        <v>17019.990435833333</v>
      </c>
      <c r="L187" s="2272">
        <v>17019.990435833333</v>
      </c>
      <c r="M187" s="2272">
        <v>17019.990435833333</v>
      </c>
      <c r="N187" s="2272">
        <v>17019.990435833333</v>
      </c>
      <c r="O187" s="2272">
        <v>17019.990435833333</v>
      </c>
      <c r="P187" s="2272">
        <v>17483.795440833335</v>
      </c>
      <c r="Q187" s="2272">
        <v>17483.795440833335</v>
      </c>
      <c r="R187" s="2272">
        <v>17483.795440833335</v>
      </c>
      <c r="S187" s="2272">
        <v>17483.795440833335</v>
      </c>
      <c r="T187" s="2272">
        <v>17483.795440833335</v>
      </c>
      <c r="U187" s="2272">
        <v>17483.795440833335</v>
      </c>
      <c r="V187" s="2272">
        <f t="shared" ref="V187:V262" si="4">+SUM(J187:U187)</f>
        <v>207486.52032250003</v>
      </c>
      <c r="W187" s="2308"/>
    </row>
    <row r="188" spans="6:23" ht="14.4">
      <c r="F188" s="2078">
        <v>353</v>
      </c>
      <c r="G188" s="2078"/>
      <c r="H188" s="2309" t="s">
        <v>3045</v>
      </c>
      <c r="I188" s="2304">
        <v>2.3E-2</v>
      </c>
      <c r="J188" s="2272">
        <v>36.862291666666664</v>
      </c>
      <c r="K188" s="2272">
        <v>36.862291666666664</v>
      </c>
      <c r="L188" s="2272">
        <v>36.862291666666664</v>
      </c>
      <c r="M188" s="2272">
        <v>36.862291666666664</v>
      </c>
      <c r="N188" s="2272">
        <v>36.862291666666664</v>
      </c>
      <c r="O188" s="2272">
        <v>36.862291666666664</v>
      </c>
      <c r="P188" s="2272">
        <v>36.862291666666664</v>
      </c>
      <c r="Q188" s="2272">
        <v>36.862291666666664</v>
      </c>
      <c r="R188" s="2272">
        <v>36.862291666666664</v>
      </c>
      <c r="S188" s="2272">
        <v>36.862291666666664</v>
      </c>
      <c r="T188" s="2272">
        <v>36.862291666666664</v>
      </c>
      <c r="U188" s="2272">
        <v>36.862291666666664</v>
      </c>
      <c r="V188" s="2272">
        <f t="shared" si="4"/>
        <v>442.34750000000008</v>
      </c>
      <c r="W188" s="2308"/>
    </row>
    <row r="189" spans="6:23" ht="14.4">
      <c r="F189" s="2078">
        <v>353</v>
      </c>
      <c r="G189" s="2078"/>
      <c r="H189" s="2309" t="s">
        <v>3046</v>
      </c>
      <c r="I189" s="2304">
        <v>2.3E-2</v>
      </c>
      <c r="J189" s="2272">
        <v>8623.5990124999989</v>
      </c>
      <c r="K189" s="2272">
        <v>8623.5990124999989</v>
      </c>
      <c r="L189" s="2272">
        <v>8623.5990124999989</v>
      </c>
      <c r="M189" s="2272">
        <v>8623.5990124999989</v>
      </c>
      <c r="N189" s="2272">
        <v>8623.5990124999989</v>
      </c>
      <c r="O189" s="2272">
        <v>8623.5990124999989</v>
      </c>
      <c r="P189" s="2272">
        <v>8623.5990124999989</v>
      </c>
      <c r="Q189" s="2272">
        <v>8623.5990124999989</v>
      </c>
      <c r="R189" s="2272">
        <v>8623.5990124999989</v>
      </c>
      <c r="S189" s="2272">
        <v>8623.5990124999989</v>
      </c>
      <c r="T189" s="2272">
        <v>8623.5990124999989</v>
      </c>
      <c r="U189" s="2272">
        <v>8623.5990124999989</v>
      </c>
      <c r="V189" s="2272">
        <f t="shared" si="4"/>
        <v>103483.18814999996</v>
      </c>
      <c r="W189" s="2308"/>
    </row>
    <row r="190" spans="6:23" ht="13.5" customHeight="1">
      <c r="F190" s="2078">
        <v>353</v>
      </c>
      <c r="G190" s="2078" t="s">
        <v>3047</v>
      </c>
      <c r="H190" s="2309" t="s">
        <v>3048</v>
      </c>
      <c r="I190" s="2304">
        <v>2.3E-2</v>
      </c>
      <c r="J190" s="2272">
        <v>13641.172560833331</v>
      </c>
      <c r="K190" s="2272">
        <v>13022.765964166667</v>
      </c>
      <c r="L190" s="2272">
        <v>13022.765964166667</v>
      </c>
      <c r="M190" s="2272">
        <v>13022.765964166667</v>
      </c>
      <c r="N190" s="2272">
        <v>13022.765964166667</v>
      </c>
      <c r="O190" s="2272">
        <v>13022.765964166667</v>
      </c>
      <c r="P190" s="2272">
        <v>13641.172637500002</v>
      </c>
      <c r="Q190" s="2272">
        <v>13641.172637500002</v>
      </c>
      <c r="R190" s="2272">
        <v>13641.172637500002</v>
      </c>
      <c r="S190" s="2272">
        <v>13641.172637500002</v>
      </c>
      <c r="T190" s="2272">
        <v>13641.172637500002</v>
      </c>
      <c r="U190" s="2272">
        <v>13641.172637500002</v>
      </c>
      <c r="V190" s="2272">
        <f t="shared" si="4"/>
        <v>160602.03820666671</v>
      </c>
      <c r="W190" s="2308"/>
    </row>
    <row r="191" spans="6:23" ht="14.4">
      <c r="F191" s="2078">
        <v>353</v>
      </c>
      <c r="G191" s="2078">
        <v>33</v>
      </c>
      <c r="H191" s="2309" t="s">
        <v>3049</v>
      </c>
      <c r="I191" s="2304">
        <v>2.3E-2</v>
      </c>
      <c r="J191" s="2272">
        <v>1681.3508108333333</v>
      </c>
      <c r="K191" s="2272">
        <v>1681.3508108333333</v>
      </c>
      <c r="L191" s="2272">
        <v>1681.3508108333333</v>
      </c>
      <c r="M191" s="2272">
        <v>1681.3508108333333</v>
      </c>
      <c r="N191" s="2272">
        <v>1681.3508108333333</v>
      </c>
      <c r="O191" s="2272">
        <v>1681.3508108333333</v>
      </c>
      <c r="P191" s="2272">
        <v>1681.3508108333333</v>
      </c>
      <c r="Q191" s="2272">
        <v>1681.3508108333333</v>
      </c>
      <c r="R191" s="2272">
        <v>1681.3508108333333</v>
      </c>
      <c r="S191" s="2272">
        <v>1681.3508108333333</v>
      </c>
      <c r="T191" s="2272">
        <v>1681.3508108333333</v>
      </c>
      <c r="U191" s="2272">
        <v>1681.3508108333333</v>
      </c>
      <c r="V191" s="2272">
        <f t="shared" si="4"/>
        <v>20176.209729999999</v>
      </c>
      <c r="W191" s="2308"/>
    </row>
    <row r="192" spans="6:23" ht="14.4">
      <c r="F192" s="2078">
        <v>353</v>
      </c>
      <c r="G192" s="2078">
        <v>34</v>
      </c>
      <c r="H192" s="2309" t="s">
        <v>3050</v>
      </c>
      <c r="I192" s="2304">
        <v>2.3E-2</v>
      </c>
      <c r="J192" s="2272">
        <v>1640.8901883333331</v>
      </c>
      <c r="K192" s="2272">
        <v>1640.8901883333331</v>
      </c>
      <c r="L192" s="2272">
        <v>1640.8901883333331</v>
      </c>
      <c r="M192" s="2272">
        <v>1640.8901883333331</v>
      </c>
      <c r="N192" s="2272">
        <v>1640.8901883333331</v>
      </c>
      <c r="O192" s="2272">
        <v>1640.8901883333331</v>
      </c>
      <c r="P192" s="2272">
        <v>1640.8901883333331</v>
      </c>
      <c r="Q192" s="2272">
        <v>1640.8901883333331</v>
      </c>
      <c r="R192" s="2272">
        <v>1640.8901883333331</v>
      </c>
      <c r="S192" s="2272">
        <v>1640.8901883333331</v>
      </c>
      <c r="T192" s="2272">
        <v>1640.8901883333331</v>
      </c>
      <c r="U192" s="2272">
        <v>1640.8901883333331</v>
      </c>
      <c r="V192" s="2272">
        <f t="shared" si="4"/>
        <v>19690.682260000001</v>
      </c>
      <c r="W192" s="2308"/>
    </row>
    <row r="193" spans="6:23" ht="14.4">
      <c r="F193" s="2078">
        <v>353</v>
      </c>
      <c r="G193" s="2078">
        <v>35</v>
      </c>
      <c r="H193" s="2309" t="s">
        <v>3051</v>
      </c>
      <c r="I193" s="2304">
        <v>2.3E-2</v>
      </c>
      <c r="J193" s="2272">
        <v>1689.1754874999999</v>
      </c>
      <c r="K193" s="2272">
        <v>1689.1754874999999</v>
      </c>
      <c r="L193" s="2272">
        <v>1689.1754874999999</v>
      </c>
      <c r="M193" s="2272">
        <v>1689.1754874999999</v>
      </c>
      <c r="N193" s="2272">
        <v>1689.1754874999999</v>
      </c>
      <c r="O193" s="2272">
        <v>1689.1754874999999</v>
      </c>
      <c r="P193" s="2272">
        <v>1689.1754874999999</v>
      </c>
      <c r="Q193" s="2272">
        <v>1689.1754874999999</v>
      </c>
      <c r="R193" s="2272">
        <v>1689.1754874999999</v>
      </c>
      <c r="S193" s="2272">
        <v>1689.1754874999999</v>
      </c>
      <c r="T193" s="2272">
        <v>1689.1754874999999</v>
      </c>
      <c r="U193" s="2272">
        <v>1689.1754874999999</v>
      </c>
      <c r="V193" s="2272">
        <f t="shared" si="4"/>
        <v>20270.105850000004</v>
      </c>
      <c r="W193" s="2308"/>
    </row>
    <row r="194" spans="6:23" ht="14.4">
      <c r="F194" s="2078">
        <v>353</v>
      </c>
      <c r="G194" s="2078">
        <v>36</v>
      </c>
      <c r="H194" s="2309" t="s">
        <v>3052</v>
      </c>
      <c r="I194" s="2304">
        <v>2.3E-2</v>
      </c>
      <c r="J194" s="2272">
        <v>1689.1754874999999</v>
      </c>
      <c r="K194" s="2272">
        <v>1689.1754874999999</v>
      </c>
      <c r="L194" s="2272">
        <v>1689.1754874999999</v>
      </c>
      <c r="M194" s="2272">
        <v>1689.1754874999999</v>
      </c>
      <c r="N194" s="2272">
        <v>1689.1754874999999</v>
      </c>
      <c r="O194" s="2272">
        <v>1689.1754874999999</v>
      </c>
      <c r="P194" s="2272">
        <v>1689.1754874999999</v>
      </c>
      <c r="Q194" s="2272">
        <v>1689.1754874999999</v>
      </c>
      <c r="R194" s="2272">
        <v>1689.1754874999999</v>
      </c>
      <c r="S194" s="2272">
        <v>1689.1754874999999</v>
      </c>
      <c r="T194" s="2272">
        <v>1689.1754874999999</v>
      </c>
      <c r="U194" s="2272">
        <v>1689.1754874999999</v>
      </c>
      <c r="V194" s="2272">
        <f t="shared" si="4"/>
        <v>20270.105850000004</v>
      </c>
      <c r="W194" s="2308"/>
    </row>
    <row r="195" spans="6:23" ht="14.4">
      <c r="F195" s="2078">
        <v>353</v>
      </c>
      <c r="G195" s="2078" t="s">
        <v>3053</v>
      </c>
      <c r="H195" s="2309" t="s">
        <v>3054</v>
      </c>
      <c r="I195" s="2304">
        <v>2.3E-2</v>
      </c>
      <c r="J195" s="2272">
        <v>7678.9771483333343</v>
      </c>
      <c r="K195" s="2272">
        <v>7678.9771483333343</v>
      </c>
      <c r="L195" s="2272">
        <v>7678.9771483333343</v>
      </c>
      <c r="M195" s="2272">
        <v>7678.9771483333343</v>
      </c>
      <c r="N195" s="2272">
        <v>7678.9771483333343</v>
      </c>
      <c r="O195" s="2272">
        <v>7678.9771483333343</v>
      </c>
      <c r="P195" s="2272">
        <v>7678.9771483333343</v>
      </c>
      <c r="Q195" s="2272">
        <v>7678.9771483333343</v>
      </c>
      <c r="R195" s="2272">
        <v>7678.9771483333343</v>
      </c>
      <c r="S195" s="2272">
        <v>7678.9771483333343</v>
      </c>
      <c r="T195" s="2272">
        <v>7678.9771483333343</v>
      </c>
      <c r="U195" s="2272">
        <v>7678.9771483333343</v>
      </c>
      <c r="V195" s="2272">
        <f t="shared" si="4"/>
        <v>92147.725779999993</v>
      </c>
      <c r="W195" s="2308"/>
    </row>
    <row r="196" spans="6:23" ht="14.4">
      <c r="F196" s="2078">
        <v>353</v>
      </c>
      <c r="G196" s="2078" t="s">
        <v>3055</v>
      </c>
      <c r="H196" s="2309" t="s">
        <v>3056</v>
      </c>
      <c r="I196" s="2304">
        <v>2.3E-2</v>
      </c>
      <c r="J196" s="2272">
        <v>0</v>
      </c>
      <c r="K196" s="2272">
        <v>0</v>
      </c>
      <c r="L196" s="2272">
        <v>0</v>
      </c>
      <c r="M196" s="2272">
        <v>0</v>
      </c>
      <c r="N196" s="2272">
        <v>0</v>
      </c>
      <c r="O196" s="2272">
        <v>0</v>
      </c>
      <c r="P196" s="2272">
        <v>0</v>
      </c>
      <c r="Q196" s="2272">
        <v>0</v>
      </c>
      <c r="R196" s="2272">
        <v>0</v>
      </c>
      <c r="S196" s="2272">
        <v>0</v>
      </c>
      <c r="T196" s="2272">
        <v>0</v>
      </c>
      <c r="U196" s="2272">
        <v>0</v>
      </c>
      <c r="V196" s="2272">
        <f t="shared" si="4"/>
        <v>0</v>
      </c>
      <c r="W196" s="2308"/>
    </row>
    <row r="197" spans="6:23" ht="14.4">
      <c r="F197" s="2078">
        <v>353</v>
      </c>
      <c r="G197" s="2078" t="s">
        <v>3057</v>
      </c>
      <c r="H197" s="2309" t="s">
        <v>3058</v>
      </c>
      <c r="I197" s="2304">
        <v>2.3E-2</v>
      </c>
      <c r="J197" s="2272">
        <v>0</v>
      </c>
      <c r="K197" s="2272">
        <v>0</v>
      </c>
      <c r="L197" s="2272">
        <v>0</v>
      </c>
      <c r="M197" s="2272">
        <v>0</v>
      </c>
      <c r="N197" s="2272">
        <v>0</v>
      </c>
      <c r="O197" s="2272">
        <v>0</v>
      </c>
      <c r="P197" s="2272">
        <v>0</v>
      </c>
      <c r="Q197" s="2272">
        <v>0</v>
      </c>
      <c r="R197" s="2272">
        <v>0</v>
      </c>
      <c r="S197" s="2272">
        <v>0</v>
      </c>
      <c r="T197" s="2272">
        <v>0</v>
      </c>
      <c r="U197" s="2272">
        <v>0</v>
      </c>
      <c r="V197" s="2272">
        <f t="shared" si="4"/>
        <v>0</v>
      </c>
      <c r="W197" s="2308"/>
    </row>
    <row r="198" spans="6:23" ht="14.4">
      <c r="F198" s="2078">
        <v>353</v>
      </c>
      <c r="G198" s="2078" t="s">
        <v>3059</v>
      </c>
      <c r="H198" s="2309" t="s">
        <v>3060</v>
      </c>
      <c r="I198" s="2304">
        <v>2.3E-2</v>
      </c>
      <c r="J198" s="2272">
        <v>0</v>
      </c>
      <c r="K198" s="2272">
        <v>0</v>
      </c>
      <c r="L198" s="2272">
        <v>0</v>
      </c>
      <c r="M198" s="2272">
        <v>0</v>
      </c>
      <c r="N198" s="2272">
        <v>0</v>
      </c>
      <c r="O198" s="2272">
        <v>0</v>
      </c>
      <c r="P198" s="2272">
        <v>0</v>
      </c>
      <c r="Q198" s="2272">
        <v>0</v>
      </c>
      <c r="R198" s="2272">
        <v>0</v>
      </c>
      <c r="S198" s="2272">
        <v>0</v>
      </c>
      <c r="T198" s="2272">
        <v>0</v>
      </c>
      <c r="U198" s="2272">
        <v>0</v>
      </c>
      <c r="V198" s="2272">
        <f t="shared" si="4"/>
        <v>0</v>
      </c>
      <c r="W198" s="2308"/>
    </row>
    <row r="199" spans="6:23" ht="14.4">
      <c r="F199" s="2078">
        <v>353</v>
      </c>
      <c r="G199" s="2078" t="s">
        <v>3061</v>
      </c>
      <c r="H199" s="2309" t="s">
        <v>3062</v>
      </c>
      <c r="I199" s="2304">
        <v>2.3E-2</v>
      </c>
      <c r="J199" s="2272">
        <v>6099.6650516666668</v>
      </c>
      <c r="K199" s="2272">
        <v>5523.4941408333325</v>
      </c>
      <c r="L199" s="2272">
        <v>5523.4941408333325</v>
      </c>
      <c r="M199" s="2272">
        <v>5523.4941408333325</v>
      </c>
      <c r="N199" s="2272">
        <v>5523.4941408333325</v>
      </c>
      <c r="O199" s="2272">
        <v>5523.4941408333325</v>
      </c>
      <c r="P199" s="2272">
        <v>5523.4941408333325</v>
      </c>
      <c r="Q199" s="2272">
        <v>5523.4941408333325</v>
      </c>
      <c r="R199" s="2272">
        <v>5523.4941408333325</v>
      </c>
      <c r="S199" s="2272">
        <v>5523.4941408333325</v>
      </c>
      <c r="T199" s="2272">
        <v>5523.4941408333325</v>
      </c>
      <c r="U199" s="2272">
        <v>5523.4941408333325</v>
      </c>
      <c r="V199" s="2272">
        <f t="shared" si="4"/>
        <v>66858.100600833321</v>
      </c>
      <c r="W199" s="2308"/>
    </row>
    <row r="200" spans="6:23" ht="14.4">
      <c r="F200" s="2078">
        <v>353</v>
      </c>
      <c r="G200" s="2315">
        <v>44</v>
      </c>
      <c r="H200" s="2309" t="s">
        <v>3063</v>
      </c>
      <c r="I200" s="2304">
        <v>2.3E-2</v>
      </c>
      <c r="J200" s="2272">
        <v>2974.5121641666665</v>
      </c>
      <c r="K200" s="2272">
        <v>2974.5121641666665</v>
      </c>
      <c r="L200" s="2272">
        <v>2974.5121641666665</v>
      </c>
      <c r="M200" s="2272">
        <v>2974.5121641666665</v>
      </c>
      <c r="N200" s="2272">
        <v>2974.5121641666665</v>
      </c>
      <c r="O200" s="2272">
        <v>2974.5121641666665</v>
      </c>
      <c r="P200" s="2272">
        <v>2974.5121641666665</v>
      </c>
      <c r="Q200" s="2272">
        <v>2974.5121641666665</v>
      </c>
      <c r="R200" s="2272">
        <v>2974.5121641666665</v>
      </c>
      <c r="S200" s="2272">
        <v>2974.5121641666665</v>
      </c>
      <c r="T200" s="2272">
        <v>2974.5121641666665</v>
      </c>
      <c r="U200" s="2272">
        <v>2974.5121641666665</v>
      </c>
      <c r="V200" s="2272">
        <f t="shared" si="4"/>
        <v>35694.145969999998</v>
      </c>
      <c r="W200" s="2308"/>
    </row>
    <row r="201" spans="6:23" ht="14.4">
      <c r="F201" s="2078">
        <v>353</v>
      </c>
      <c r="G201" s="2078" t="s">
        <v>3064</v>
      </c>
      <c r="H201" s="2309" t="s">
        <v>3065</v>
      </c>
      <c r="I201" s="2304">
        <v>2.3E-2</v>
      </c>
      <c r="J201" s="2272">
        <v>0</v>
      </c>
      <c r="K201" s="2272">
        <v>0</v>
      </c>
      <c r="L201" s="2272">
        <v>0</v>
      </c>
      <c r="M201" s="2272">
        <v>0</v>
      </c>
      <c r="N201" s="2272">
        <v>0</v>
      </c>
      <c r="O201" s="2272">
        <v>0</v>
      </c>
      <c r="P201" s="2272">
        <v>0</v>
      </c>
      <c r="Q201" s="2272">
        <v>0</v>
      </c>
      <c r="R201" s="2272">
        <v>0</v>
      </c>
      <c r="S201" s="2272">
        <v>0</v>
      </c>
      <c r="T201" s="2272">
        <v>0</v>
      </c>
      <c r="U201" s="2272">
        <v>0</v>
      </c>
      <c r="V201" s="2272">
        <f t="shared" si="4"/>
        <v>0</v>
      </c>
      <c r="W201" s="2308"/>
    </row>
    <row r="202" spans="6:23" ht="14.4">
      <c r="F202" s="2078">
        <v>353</v>
      </c>
      <c r="G202" s="2078" t="s">
        <v>3066</v>
      </c>
      <c r="H202" s="2309" t="s">
        <v>3067</v>
      </c>
      <c r="I202" s="2304">
        <v>2.3E-2</v>
      </c>
      <c r="J202" s="2272">
        <v>0</v>
      </c>
      <c r="K202" s="2272">
        <v>0</v>
      </c>
      <c r="L202" s="2272">
        <v>0</v>
      </c>
      <c r="M202" s="2272">
        <v>0</v>
      </c>
      <c r="N202" s="2272">
        <v>0</v>
      </c>
      <c r="O202" s="2272">
        <v>0</v>
      </c>
      <c r="P202" s="2272">
        <v>0</v>
      </c>
      <c r="Q202" s="2272">
        <v>0</v>
      </c>
      <c r="R202" s="2272">
        <v>0</v>
      </c>
      <c r="S202" s="2272">
        <v>0</v>
      </c>
      <c r="T202" s="2272">
        <v>0</v>
      </c>
      <c r="U202" s="2272">
        <v>0</v>
      </c>
      <c r="V202" s="2272">
        <f t="shared" si="4"/>
        <v>0</v>
      </c>
      <c r="W202" s="2308"/>
    </row>
    <row r="203" spans="6:23" ht="14.4">
      <c r="F203" s="2078">
        <v>353</v>
      </c>
      <c r="G203" s="2078" t="s">
        <v>3068</v>
      </c>
      <c r="H203" s="2309" t="s">
        <v>3069</v>
      </c>
      <c r="I203" s="2304">
        <v>2.3E-2</v>
      </c>
      <c r="J203" s="2272">
        <v>0</v>
      </c>
      <c r="K203" s="2272">
        <v>0</v>
      </c>
      <c r="L203" s="2272">
        <v>0</v>
      </c>
      <c r="M203" s="2272">
        <v>0</v>
      </c>
      <c r="N203" s="2272">
        <v>0</v>
      </c>
      <c r="O203" s="2272">
        <v>0</v>
      </c>
      <c r="P203" s="2272">
        <v>0</v>
      </c>
      <c r="Q203" s="2272">
        <v>0</v>
      </c>
      <c r="R203" s="2272">
        <v>0</v>
      </c>
      <c r="S203" s="2272">
        <v>0</v>
      </c>
      <c r="T203" s="2272">
        <v>0</v>
      </c>
      <c r="U203" s="2272">
        <v>0</v>
      </c>
      <c r="V203" s="2272">
        <f t="shared" si="4"/>
        <v>0</v>
      </c>
      <c r="W203" s="2308"/>
    </row>
    <row r="204" spans="6:23" ht="14.4">
      <c r="F204" s="2078">
        <v>353</v>
      </c>
      <c r="G204" s="2078" t="s">
        <v>3070</v>
      </c>
      <c r="H204" s="2309" t="s">
        <v>3071</v>
      </c>
      <c r="I204" s="2304">
        <v>2.3E-2</v>
      </c>
      <c r="J204" s="2272">
        <v>0</v>
      </c>
      <c r="K204" s="2272">
        <v>0</v>
      </c>
      <c r="L204" s="2272">
        <v>0</v>
      </c>
      <c r="M204" s="2272">
        <v>0</v>
      </c>
      <c r="N204" s="2272">
        <v>0</v>
      </c>
      <c r="O204" s="2272">
        <v>0</v>
      </c>
      <c r="P204" s="2272">
        <v>0</v>
      </c>
      <c r="Q204" s="2272">
        <v>0</v>
      </c>
      <c r="R204" s="2272">
        <v>0</v>
      </c>
      <c r="S204" s="2272">
        <v>0</v>
      </c>
      <c r="T204" s="2272">
        <v>0</v>
      </c>
      <c r="U204" s="2272">
        <v>0</v>
      </c>
      <c r="V204" s="2272">
        <f t="shared" si="4"/>
        <v>0</v>
      </c>
      <c r="W204" s="2308"/>
    </row>
    <row r="205" spans="6:23" ht="14.4">
      <c r="F205" s="2078">
        <v>353</v>
      </c>
      <c r="G205" s="2078" t="s">
        <v>3072</v>
      </c>
      <c r="H205" s="2309" t="s">
        <v>3073</v>
      </c>
      <c r="I205" s="2304">
        <v>2.3E-2</v>
      </c>
      <c r="J205" s="2272">
        <v>0</v>
      </c>
      <c r="K205" s="2272">
        <v>0</v>
      </c>
      <c r="L205" s="2272">
        <v>0</v>
      </c>
      <c r="M205" s="2272">
        <v>0</v>
      </c>
      <c r="N205" s="2272">
        <v>0</v>
      </c>
      <c r="O205" s="2272">
        <v>0</v>
      </c>
      <c r="P205" s="2272">
        <v>0</v>
      </c>
      <c r="Q205" s="2272">
        <v>0</v>
      </c>
      <c r="R205" s="2272">
        <v>0</v>
      </c>
      <c r="S205" s="2272">
        <v>0</v>
      </c>
      <c r="T205" s="2272">
        <v>0</v>
      </c>
      <c r="U205" s="2272">
        <v>0</v>
      </c>
      <c r="V205" s="2272">
        <f t="shared" si="4"/>
        <v>0</v>
      </c>
      <c r="W205" s="2308"/>
    </row>
    <row r="206" spans="6:23" ht="14.4">
      <c r="F206" s="2078">
        <v>353</v>
      </c>
      <c r="G206" s="2078" t="s">
        <v>3074</v>
      </c>
      <c r="H206" s="2309" t="s">
        <v>3075</v>
      </c>
      <c r="I206" s="2304">
        <v>2.3E-2</v>
      </c>
      <c r="J206" s="2272">
        <v>4089.3944224999996</v>
      </c>
      <c r="K206" s="2272">
        <v>4089.3944224999996</v>
      </c>
      <c r="L206" s="2272">
        <v>4089.3944224999996</v>
      </c>
      <c r="M206" s="2272">
        <v>4089.3944224999996</v>
      </c>
      <c r="N206" s="2272">
        <v>4089.3944225000009</v>
      </c>
      <c r="O206" s="2272">
        <v>4089.3944224999996</v>
      </c>
      <c r="P206" s="2272">
        <v>4089.3944225000009</v>
      </c>
      <c r="Q206" s="2272">
        <v>4089.3944225000009</v>
      </c>
      <c r="R206" s="2272">
        <v>4089.3944224999996</v>
      </c>
      <c r="S206" s="2272">
        <v>4089.3944224999996</v>
      </c>
      <c r="T206" s="2272">
        <v>4089.3944225000009</v>
      </c>
      <c r="U206" s="2272">
        <v>4089.3944224999996</v>
      </c>
      <c r="V206" s="2272">
        <f t="shared" si="4"/>
        <v>49072.733070000009</v>
      </c>
      <c r="W206" s="2308"/>
    </row>
    <row r="207" spans="6:23" ht="14.4">
      <c r="F207" s="2078">
        <v>353</v>
      </c>
      <c r="G207" s="2078" t="s">
        <v>3076</v>
      </c>
      <c r="H207" s="2309" t="s">
        <v>3077</v>
      </c>
      <c r="I207" s="2304">
        <v>2.3E-2</v>
      </c>
      <c r="J207" s="2272">
        <v>2573.8390924999999</v>
      </c>
      <c r="K207" s="2272">
        <v>2573.8390924999999</v>
      </c>
      <c r="L207" s="2272">
        <v>2573.8390924999999</v>
      </c>
      <c r="M207" s="2272">
        <v>2573.8390924999999</v>
      </c>
      <c r="N207" s="2272">
        <v>2573.8390924999999</v>
      </c>
      <c r="O207" s="2272">
        <v>2573.8390924999999</v>
      </c>
      <c r="P207" s="2272">
        <v>2573.8390924999999</v>
      </c>
      <c r="Q207" s="2272">
        <v>2573.8390924999999</v>
      </c>
      <c r="R207" s="2272">
        <v>2573.8390924999999</v>
      </c>
      <c r="S207" s="2272">
        <v>2573.8390924999999</v>
      </c>
      <c r="T207" s="2272">
        <v>2573.8390924999999</v>
      </c>
      <c r="U207" s="2272">
        <v>2573.8390924999999</v>
      </c>
      <c r="V207" s="2272">
        <f t="shared" si="4"/>
        <v>30886.069109999993</v>
      </c>
      <c r="W207" s="2308"/>
    </row>
    <row r="208" spans="6:23" ht="14.4">
      <c r="F208" s="2078">
        <v>353</v>
      </c>
      <c r="G208" s="2078"/>
      <c r="H208" s="2309" t="s">
        <v>3078</v>
      </c>
      <c r="I208" s="2304">
        <v>2.3E-2</v>
      </c>
      <c r="J208" s="2272">
        <v>10887.205365</v>
      </c>
      <c r="K208" s="2272">
        <v>10887.205365</v>
      </c>
      <c r="L208" s="2272">
        <v>10887.205365</v>
      </c>
      <c r="M208" s="2272">
        <v>10887.205365</v>
      </c>
      <c r="N208" s="2272">
        <v>10887.205365</v>
      </c>
      <c r="O208" s="2272">
        <v>10887.205365</v>
      </c>
      <c r="P208" s="2272">
        <v>10887.205365</v>
      </c>
      <c r="Q208" s="2272">
        <v>10887.205365</v>
      </c>
      <c r="R208" s="2272">
        <v>10887.205365</v>
      </c>
      <c r="S208" s="2272">
        <v>10887.205365</v>
      </c>
      <c r="T208" s="2272">
        <v>10887.205365</v>
      </c>
      <c r="U208" s="2272">
        <v>10887.205365</v>
      </c>
      <c r="V208" s="2272">
        <f t="shared" si="4"/>
        <v>130646.46438</v>
      </c>
      <c r="W208" s="2308"/>
    </row>
    <row r="209" spans="6:23" ht="14.4">
      <c r="F209" s="2078">
        <v>353</v>
      </c>
      <c r="G209" s="2078" t="s">
        <v>3079</v>
      </c>
      <c r="H209" s="2309" t="s">
        <v>3080</v>
      </c>
      <c r="I209" s="2304">
        <v>2.3E-2</v>
      </c>
      <c r="J209" s="2272">
        <v>2676.1013666666663</v>
      </c>
      <c r="K209" s="2272">
        <v>2676.1013666666663</v>
      </c>
      <c r="L209" s="2272">
        <v>2676.1013666666663</v>
      </c>
      <c r="M209" s="2272">
        <v>2676.1013666666663</v>
      </c>
      <c r="N209" s="2272">
        <v>2676.1013666666663</v>
      </c>
      <c r="O209" s="2272">
        <v>2676.1013666666663</v>
      </c>
      <c r="P209" s="2272">
        <v>2676.1013666666663</v>
      </c>
      <c r="Q209" s="2272">
        <v>2676.1013666666663</v>
      </c>
      <c r="R209" s="2272">
        <v>2676.1013666666663</v>
      </c>
      <c r="S209" s="2272">
        <v>2676.1013666666663</v>
      </c>
      <c r="T209" s="2272">
        <v>2676.1013666666663</v>
      </c>
      <c r="U209" s="2272">
        <v>2676.1013666666663</v>
      </c>
      <c r="V209" s="2272">
        <f t="shared" si="4"/>
        <v>32113.216399999994</v>
      </c>
      <c r="W209" s="2308"/>
    </row>
    <row r="210" spans="6:23" ht="14.4">
      <c r="F210" s="2078">
        <v>353</v>
      </c>
      <c r="G210" s="2078" t="s">
        <v>3081</v>
      </c>
      <c r="H210" s="2309" t="s">
        <v>3082</v>
      </c>
      <c r="I210" s="2304">
        <v>2.3E-2</v>
      </c>
      <c r="J210" s="2272">
        <v>1500.330365</v>
      </c>
      <c r="K210" s="2272">
        <v>1500.330365</v>
      </c>
      <c r="L210" s="2272">
        <v>1500.330365</v>
      </c>
      <c r="M210" s="2272">
        <v>1500.330365</v>
      </c>
      <c r="N210" s="2272">
        <v>1500.330365</v>
      </c>
      <c r="O210" s="2272">
        <v>1500.330365</v>
      </c>
      <c r="P210" s="2272">
        <v>1500.330365</v>
      </c>
      <c r="Q210" s="2272">
        <v>1500.330365</v>
      </c>
      <c r="R210" s="2272">
        <v>1500.330365</v>
      </c>
      <c r="S210" s="2272">
        <v>1500.330365</v>
      </c>
      <c r="T210" s="2272">
        <v>1500.330365</v>
      </c>
      <c r="U210" s="2272">
        <v>1500.330365</v>
      </c>
      <c r="V210" s="2272">
        <f t="shared" si="4"/>
        <v>18003.964380000001</v>
      </c>
      <c r="W210" s="2308"/>
    </row>
    <row r="211" spans="6:23" ht="14.4">
      <c r="F211" s="2078">
        <v>353</v>
      </c>
      <c r="G211" s="2078" t="s">
        <v>3083</v>
      </c>
      <c r="H211" s="2309" t="s">
        <v>3084</v>
      </c>
      <c r="I211" s="2304">
        <v>2.3E-2</v>
      </c>
      <c r="J211" s="2272">
        <v>2260.7710849999999</v>
      </c>
      <c r="K211" s="2272">
        <v>2260.7710849999999</v>
      </c>
      <c r="L211" s="2272">
        <v>2260.7710849999999</v>
      </c>
      <c r="M211" s="2272">
        <v>2260.7710849999999</v>
      </c>
      <c r="N211" s="2272">
        <v>2260.7710849999999</v>
      </c>
      <c r="O211" s="2272">
        <v>2260.7710849999999</v>
      </c>
      <c r="P211" s="2272">
        <v>2260.7710849999999</v>
      </c>
      <c r="Q211" s="2272">
        <v>2260.7710849999999</v>
      </c>
      <c r="R211" s="2272">
        <v>2260.7710849999999</v>
      </c>
      <c r="S211" s="2272">
        <v>2260.7710849999999</v>
      </c>
      <c r="T211" s="2272">
        <v>2260.7710849999999</v>
      </c>
      <c r="U211" s="2272">
        <v>2260.7710849999999</v>
      </c>
      <c r="V211" s="2272">
        <f t="shared" si="4"/>
        <v>27129.25302</v>
      </c>
      <c r="W211" s="2308"/>
    </row>
    <row r="212" spans="6:23" ht="14.4">
      <c r="F212" s="2078">
        <v>352</v>
      </c>
      <c r="G212" s="2078"/>
      <c r="H212" s="2309" t="s">
        <v>8409</v>
      </c>
      <c r="I212" s="2304">
        <v>1.6999999999999998E-2</v>
      </c>
      <c r="J212" s="2272">
        <v>248.48977774999992</v>
      </c>
      <c r="K212" s="2272">
        <v>248.48977774999992</v>
      </c>
      <c r="L212" s="2272">
        <v>248.48977774999992</v>
      </c>
      <c r="M212" s="2272">
        <v>248.48977774999992</v>
      </c>
      <c r="N212" s="2272">
        <v>248.48977774999992</v>
      </c>
      <c r="O212" s="2272">
        <v>248.48977774999992</v>
      </c>
      <c r="P212" s="2272">
        <v>248.48977774999992</v>
      </c>
      <c r="Q212" s="2272">
        <v>248.48977774999992</v>
      </c>
      <c r="R212" s="2272">
        <v>248.48977774999992</v>
      </c>
      <c r="S212" s="2272">
        <v>248.48977774999992</v>
      </c>
      <c r="T212" s="2272">
        <v>248.48977774999992</v>
      </c>
      <c r="U212" s="2272">
        <v>248.48977774999992</v>
      </c>
      <c r="V212" s="2272">
        <f t="shared" si="4"/>
        <v>2981.8773329999999</v>
      </c>
      <c r="W212" s="2308"/>
    </row>
    <row r="213" spans="6:23" ht="14.4">
      <c r="F213" s="2078">
        <v>353</v>
      </c>
      <c r="G213" s="2315"/>
      <c r="H213" s="2123" t="s">
        <v>8409</v>
      </c>
      <c r="I213" s="2304">
        <v>2.3E-2</v>
      </c>
      <c r="J213" s="2272">
        <v>2168.9636448333326</v>
      </c>
      <c r="K213" s="2272">
        <v>2168.9636448333326</v>
      </c>
      <c r="L213" s="2272">
        <v>2168.9636448333326</v>
      </c>
      <c r="M213" s="2272">
        <v>2168.9636448333326</v>
      </c>
      <c r="N213" s="2272">
        <v>2168.9636448333326</v>
      </c>
      <c r="O213" s="2272">
        <v>2168.9636448333326</v>
      </c>
      <c r="P213" s="2272">
        <v>2168.9636448333326</v>
      </c>
      <c r="Q213" s="2272">
        <v>2168.9636448333326</v>
      </c>
      <c r="R213" s="2272">
        <v>2168.9636448333326</v>
      </c>
      <c r="S213" s="2272">
        <v>2168.9636448333326</v>
      </c>
      <c r="T213" s="2272">
        <v>2168.9636448333326</v>
      </c>
      <c r="U213" s="2272">
        <v>2168.9636448333326</v>
      </c>
      <c r="V213" s="2272">
        <f t="shared" si="4"/>
        <v>26027.563737999993</v>
      </c>
      <c r="W213" s="2308"/>
    </row>
    <row r="214" spans="6:23" ht="14.4">
      <c r="F214" s="2078">
        <v>353</v>
      </c>
      <c r="G214" s="2315"/>
      <c r="H214" s="2123" t="s">
        <v>3085</v>
      </c>
      <c r="I214" s="2304">
        <v>2.3E-2</v>
      </c>
      <c r="J214" s="2272">
        <v>8407.7409126111124</v>
      </c>
      <c r="K214" s="2272">
        <v>8407.7409126111124</v>
      </c>
      <c r="L214" s="2272">
        <v>8407.7409126111124</v>
      </c>
      <c r="M214" s="2272">
        <v>8407.7409126111124</v>
      </c>
      <c r="N214" s="2272">
        <v>8407.7409126111124</v>
      </c>
      <c r="O214" s="2272">
        <v>8407.7409126111124</v>
      </c>
      <c r="P214" s="2272">
        <v>8407.7409126111124</v>
      </c>
      <c r="Q214" s="2272">
        <v>8407.7409126111124</v>
      </c>
      <c r="R214" s="2272">
        <v>8407.7409126111124</v>
      </c>
      <c r="S214" s="2272">
        <v>8407.7409126111124</v>
      </c>
      <c r="T214" s="2272">
        <v>8407.7409126111124</v>
      </c>
      <c r="U214" s="2272">
        <v>8407.7409126111124</v>
      </c>
      <c r="V214" s="2272">
        <f t="shared" si="4"/>
        <v>100892.89095133338</v>
      </c>
      <c r="W214" s="2308"/>
    </row>
    <row r="215" spans="6:23" ht="14.4">
      <c r="F215" s="2078">
        <v>353</v>
      </c>
      <c r="G215" s="2315"/>
      <c r="H215" s="2123" t="s">
        <v>3086</v>
      </c>
      <c r="I215" s="2304">
        <v>2.3E-2</v>
      </c>
      <c r="J215" s="2272">
        <v>7769.171779944445</v>
      </c>
      <c r="K215" s="2272">
        <v>7769.171779944445</v>
      </c>
      <c r="L215" s="2272">
        <v>7769.171779944445</v>
      </c>
      <c r="M215" s="2272">
        <v>7769.171779944445</v>
      </c>
      <c r="N215" s="2272">
        <v>7769.171779944445</v>
      </c>
      <c r="O215" s="2272">
        <v>7769.171779944445</v>
      </c>
      <c r="P215" s="2272">
        <v>7769.171779944445</v>
      </c>
      <c r="Q215" s="2272">
        <v>7769.171779944445</v>
      </c>
      <c r="R215" s="2272">
        <v>7769.171779944445</v>
      </c>
      <c r="S215" s="2272">
        <v>7769.171779944445</v>
      </c>
      <c r="T215" s="2272">
        <v>7769.171779944445</v>
      </c>
      <c r="U215" s="2272">
        <v>7769.171779944445</v>
      </c>
      <c r="V215" s="2272">
        <f t="shared" si="4"/>
        <v>93230.06135933334</v>
      </c>
      <c r="W215" s="2308"/>
    </row>
    <row r="216" spans="6:23" ht="14.4">
      <c r="F216" s="2078">
        <v>353</v>
      </c>
      <c r="G216" s="2315"/>
      <c r="H216" s="2123" t="s">
        <v>3087</v>
      </c>
      <c r="I216" s="2304">
        <v>2.3E-2</v>
      </c>
      <c r="J216" s="2272">
        <v>10435.646096666669</v>
      </c>
      <c r="K216" s="2272">
        <v>10435.646096666669</v>
      </c>
      <c r="L216" s="2272">
        <v>10435.646096666669</v>
      </c>
      <c r="M216" s="2272">
        <v>10435.646096666669</v>
      </c>
      <c r="N216" s="2272">
        <v>10435.646096666669</v>
      </c>
      <c r="O216" s="2272">
        <v>10435.646096666669</v>
      </c>
      <c r="P216" s="2272">
        <v>10435.646096666669</v>
      </c>
      <c r="Q216" s="2272">
        <v>10435.646096666669</v>
      </c>
      <c r="R216" s="2272">
        <v>10435.646096666669</v>
      </c>
      <c r="S216" s="2272">
        <v>10435.646096666669</v>
      </c>
      <c r="T216" s="2272">
        <v>10435.646096666669</v>
      </c>
      <c r="U216" s="2272">
        <v>10435.646096666669</v>
      </c>
      <c r="V216" s="2272">
        <f t="shared" si="4"/>
        <v>125227.75316000001</v>
      </c>
      <c r="W216" s="2308"/>
    </row>
    <row r="217" spans="6:23" ht="14.4">
      <c r="F217" s="2078">
        <v>353</v>
      </c>
      <c r="G217" s="2315"/>
      <c r="H217" s="2123" t="s">
        <v>3088</v>
      </c>
      <c r="I217" s="2304">
        <v>2.3E-2</v>
      </c>
      <c r="J217" s="2272">
        <v>7149.3986344444447</v>
      </c>
      <c r="K217" s="2272">
        <v>7149.3986344444447</v>
      </c>
      <c r="L217" s="2272">
        <v>7149.3986344444447</v>
      </c>
      <c r="M217" s="2272">
        <v>7149.3986344444447</v>
      </c>
      <c r="N217" s="2272">
        <v>7149.3986344444447</v>
      </c>
      <c r="O217" s="2272">
        <v>7149.3986344444447</v>
      </c>
      <c r="P217" s="2272">
        <v>7149.3986344444447</v>
      </c>
      <c r="Q217" s="2272">
        <v>7149.3986344444447</v>
      </c>
      <c r="R217" s="2272">
        <v>7149.3986344444447</v>
      </c>
      <c r="S217" s="2272">
        <v>7149.3986344444447</v>
      </c>
      <c r="T217" s="2272">
        <v>7149.3986344444447</v>
      </c>
      <c r="U217" s="2272">
        <v>7149.3986344444447</v>
      </c>
      <c r="V217" s="2272">
        <f t="shared" si="4"/>
        <v>85792.783613333318</v>
      </c>
      <c r="W217" s="2308"/>
    </row>
    <row r="218" spans="6:23" ht="14.4">
      <c r="F218" s="2078">
        <v>353</v>
      </c>
      <c r="G218" s="2315"/>
      <c r="H218" s="2123" t="s">
        <v>3089</v>
      </c>
      <c r="I218" s="2304">
        <v>2.3E-2</v>
      </c>
      <c r="J218" s="2272">
        <v>5996.2735886666669</v>
      </c>
      <c r="K218" s="2272">
        <v>5996.2735886666669</v>
      </c>
      <c r="L218" s="2272">
        <v>5996.2735886666669</v>
      </c>
      <c r="M218" s="2272">
        <v>5996.2735886666669</v>
      </c>
      <c r="N218" s="2272">
        <v>5996.2735886666669</v>
      </c>
      <c r="O218" s="2272">
        <v>5996.2735886666669</v>
      </c>
      <c r="P218" s="2272">
        <v>5996.2735886666669</v>
      </c>
      <c r="Q218" s="2272">
        <v>5996.2735886666669</v>
      </c>
      <c r="R218" s="2272">
        <v>5996.2735886666669</v>
      </c>
      <c r="S218" s="2272">
        <v>5996.2735886666669</v>
      </c>
      <c r="T218" s="2272">
        <v>5996.2735886666669</v>
      </c>
      <c r="U218" s="2272">
        <v>5996.2735886666669</v>
      </c>
      <c r="V218" s="2272">
        <f t="shared" si="4"/>
        <v>71955.283063999988</v>
      </c>
      <c r="W218" s="2308"/>
    </row>
    <row r="219" spans="6:23" ht="14.4">
      <c r="F219" s="2078">
        <v>353</v>
      </c>
      <c r="G219" s="2315"/>
      <c r="H219" s="2123" t="s">
        <v>3090</v>
      </c>
      <c r="I219" s="2304">
        <v>2.3E-2</v>
      </c>
      <c r="J219" s="2272">
        <v>10886.84731825</v>
      </c>
      <c r="K219" s="2272">
        <v>10886.84731825</v>
      </c>
      <c r="L219" s="2272">
        <v>10886.84731825</v>
      </c>
      <c r="M219" s="2272">
        <v>10886.84731825</v>
      </c>
      <c r="N219" s="2272">
        <v>10886.84731825</v>
      </c>
      <c r="O219" s="2272">
        <v>10886.84731825</v>
      </c>
      <c r="P219" s="2272">
        <v>10886.84731825</v>
      </c>
      <c r="Q219" s="2272">
        <v>10886.84731825</v>
      </c>
      <c r="R219" s="2272">
        <v>10886.84731825</v>
      </c>
      <c r="S219" s="2272">
        <v>10886.84731825</v>
      </c>
      <c r="T219" s="2272">
        <v>10886.84731825</v>
      </c>
      <c r="U219" s="2272">
        <v>10886.84731825</v>
      </c>
      <c r="V219" s="2272">
        <f t="shared" si="4"/>
        <v>130642.16781900001</v>
      </c>
      <c r="W219" s="2308"/>
    </row>
    <row r="220" spans="6:23" ht="14.4">
      <c r="F220" s="2078">
        <v>353</v>
      </c>
      <c r="G220" s="2315"/>
      <c r="H220" s="2123" t="s">
        <v>3091</v>
      </c>
      <c r="I220" s="2304">
        <v>2.3E-2</v>
      </c>
      <c r="J220" s="2272">
        <v>6072.6764338333342</v>
      </c>
      <c r="K220" s="2272">
        <v>6072.6764338333342</v>
      </c>
      <c r="L220" s="2272">
        <v>6072.6764338333342</v>
      </c>
      <c r="M220" s="2272">
        <v>6072.6764338333342</v>
      </c>
      <c r="N220" s="2272">
        <v>6072.6764338333342</v>
      </c>
      <c r="O220" s="2272">
        <v>6072.6764338333342</v>
      </c>
      <c r="P220" s="2272">
        <v>6072.6764338333342</v>
      </c>
      <c r="Q220" s="2272">
        <v>6072.6764338333342</v>
      </c>
      <c r="R220" s="2272">
        <v>6072.6764338333342</v>
      </c>
      <c r="S220" s="2272">
        <v>6072.6764338333342</v>
      </c>
      <c r="T220" s="2272">
        <v>6072.6764338333342</v>
      </c>
      <c r="U220" s="2272">
        <v>6072.6764338333342</v>
      </c>
      <c r="V220" s="2272">
        <f t="shared" si="4"/>
        <v>72872.117205999995</v>
      </c>
      <c r="W220" s="2308"/>
    </row>
    <row r="221" spans="6:23" ht="14.4">
      <c r="F221" s="2078">
        <v>353</v>
      </c>
      <c r="G221" s="2315"/>
      <c r="H221" s="2123" t="s">
        <v>3092</v>
      </c>
      <c r="I221" s="2304">
        <v>2.3E-2</v>
      </c>
      <c r="J221" s="2272">
        <v>5549.7290678333329</v>
      </c>
      <c r="K221" s="2272">
        <v>5549.7290678333329</v>
      </c>
      <c r="L221" s="2272">
        <v>5549.7290678333329</v>
      </c>
      <c r="M221" s="2272">
        <v>5549.7290678333329</v>
      </c>
      <c r="N221" s="2272">
        <v>5549.7290678333329</v>
      </c>
      <c r="O221" s="2272">
        <v>5549.7290678333329</v>
      </c>
      <c r="P221" s="2272">
        <v>5549.7290678333329</v>
      </c>
      <c r="Q221" s="2272">
        <v>5549.7290678333329</v>
      </c>
      <c r="R221" s="2272">
        <v>5549.7290678333329</v>
      </c>
      <c r="S221" s="2272">
        <v>5549.7290678333329</v>
      </c>
      <c r="T221" s="2272">
        <v>5549.7290678333329</v>
      </c>
      <c r="U221" s="2272">
        <v>5549.7290678333329</v>
      </c>
      <c r="V221" s="2272">
        <f t="shared" si="4"/>
        <v>66596.748813999977</v>
      </c>
      <c r="W221" s="2308"/>
    </row>
    <row r="222" spans="6:23" ht="14.4">
      <c r="F222" s="2078">
        <v>352</v>
      </c>
      <c r="G222" s="2315"/>
      <c r="H222" s="2123" t="s">
        <v>3085</v>
      </c>
      <c r="I222" s="2304">
        <v>1.6999999999999998E-2</v>
      </c>
      <c r="J222" s="2272">
        <v>2098.0392594166665</v>
      </c>
      <c r="K222" s="2272">
        <v>2098.0392594166665</v>
      </c>
      <c r="L222" s="2272">
        <v>2098.0392594166665</v>
      </c>
      <c r="M222" s="2272">
        <v>2098.0392594166665</v>
      </c>
      <c r="N222" s="2272">
        <v>2098.0392594166665</v>
      </c>
      <c r="O222" s="2272">
        <v>2098.0392594166665</v>
      </c>
      <c r="P222" s="2272">
        <v>2098.0392594166665</v>
      </c>
      <c r="Q222" s="2272">
        <v>2098.0392594166665</v>
      </c>
      <c r="R222" s="2272">
        <v>2098.0392594166665</v>
      </c>
      <c r="S222" s="2272">
        <v>2098.0392594166665</v>
      </c>
      <c r="T222" s="2272">
        <v>2098.0392594166665</v>
      </c>
      <c r="U222" s="2272">
        <v>2098.0392594166665</v>
      </c>
      <c r="V222" s="2272">
        <f t="shared" si="4"/>
        <v>25176.471112999996</v>
      </c>
      <c r="W222" s="2308"/>
    </row>
    <row r="223" spans="6:23" ht="14.4">
      <c r="F223" s="2078">
        <v>352</v>
      </c>
      <c r="G223" s="2315"/>
      <c r="H223" s="2123" t="s">
        <v>3086</v>
      </c>
      <c r="I223" s="2304">
        <v>1.6999999999999998E-2</v>
      </c>
      <c r="J223" s="2272">
        <v>1319.4078349166664</v>
      </c>
      <c r="K223" s="2272">
        <v>1319.4078349166664</v>
      </c>
      <c r="L223" s="2272">
        <v>1319.4078349166664</v>
      </c>
      <c r="M223" s="2272">
        <v>1319.4078349166664</v>
      </c>
      <c r="N223" s="2272">
        <v>1319.4078349166664</v>
      </c>
      <c r="O223" s="2272">
        <v>1319.4078349166664</v>
      </c>
      <c r="P223" s="2272">
        <v>1319.4078349166664</v>
      </c>
      <c r="Q223" s="2272">
        <v>1319.4078349166664</v>
      </c>
      <c r="R223" s="2272">
        <v>1319.4078349166664</v>
      </c>
      <c r="S223" s="2272">
        <v>1319.4078349166664</v>
      </c>
      <c r="T223" s="2272">
        <v>1319.4078349166664</v>
      </c>
      <c r="U223" s="2272">
        <v>1319.4078349166664</v>
      </c>
      <c r="V223" s="2272">
        <f t="shared" si="4"/>
        <v>15832.894018999998</v>
      </c>
      <c r="W223" s="2308"/>
    </row>
    <row r="224" spans="6:23" ht="14.4">
      <c r="F224" s="2078">
        <v>352</v>
      </c>
      <c r="G224" s="2315"/>
      <c r="H224" s="2123" t="s">
        <v>3087</v>
      </c>
      <c r="I224" s="2304">
        <v>1.6999999999999998E-2</v>
      </c>
      <c r="J224" s="2272">
        <v>409.11896833333327</v>
      </c>
      <c r="K224" s="2272">
        <v>409.11896833333327</v>
      </c>
      <c r="L224" s="2272">
        <v>409.11896833333327</v>
      </c>
      <c r="M224" s="2272">
        <v>409.11896833333327</v>
      </c>
      <c r="N224" s="2272">
        <v>409.11896833333327</v>
      </c>
      <c r="O224" s="2272">
        <v>409.11896833333327</v>
      </c>
      <c r="P224" s="2272">
        <v>409.11896833333327</v>
      </c>
      <c r="Q224" s="2272">
        <v>409.11896833333327</v>
      </c>
      <c r="R224" s="2272">
        <v>409.11896833333327</v>
      </c>
      <c r="S224" s="2272">
        <v>409.11896833333327</v>
      </c>
      <c r="T224" s="2272">
        <v>409.11896833333327</v>
      </c>
      <c r="U224" s="2272">
        <v>409.11896833333327</v>
      </c>
      <c r="V224" s="2272">
        <f t="shared" si="4"/>
        <v>4909.4276199999995</v>
      </c>
      <c r="W224" s="2308"/>
    </row>
    <row r="225" spans="6:23" ht="14.4">
      <c r="F225" s="2078">
        <v>352</v>
      </c>
      <c r="G225" s="2315"/>
      <c r="H225" s="2123" t="s">
        <v>3088</v>
      </c>
      <c r="I225" s="2304">
        <v>1.6999999999999998E-2</v>
      </c>
      <c r="J225" s="2272">
        <v>1097.7725349999998</v>
      </c>
      <c r="K225" s="2272">
        <v>1097.7725349999998</v>
      </c>
      <c r="L225" s="2272">
        <v>1097.7725349999998</v>
      </c>
      <c r="M225" s="2272">
        <v>1097.7725349999998</v>
      </c>
      <c r="N225" s="2272">
        <v>1097.7725349999998</v>
      </c>
      <c r="O225" s="2272">
        <v>1097.7725349999998</v>
      </c>
      <c r="P225" s="2272">
        <v>1097.7725349999998</v>
      </c>
      <c r="Q225" s="2272">
        <v>1097.7725349999998</v>
      </c>
      <c r="R225" s="2272">
        <v>1097.7725349999998</v>
      </c>
      <c r="S225" s="2272">
        <v>1097.7725349999998</v>
      </c>
      <c r="T225" s="2272">
        <v>1097.7725349999998</v>
      </c>
      <c r="U225" s="2272">
        <v>1097.7725349999998</v>
      </c>
      <c r="V225" s="2272">
        <f t="shared" si="4"/>
        <v>13173.270419999999</v>
      </c>
      <c r="W225" s="2308"/>
    </row>
    <row r="226" spans="6:23" ht="14.4">
      <c r="F226" s="2078">
        <v>352</v>
      </c>
      <c r="G226" s="2315"/>
      <c r="H226" s="2123" t="s">
        <v>3089</v>
      </c>
      <c r="I226" s="2304">
        <v>1.6999999999999998E-2</v>
      </c>
      <c r="J226" s="2272">
        <v>1232.6530764999998</v>
      </c>
      <c r="K226" s="2272">
        <v>1232.6530764999998</v>
      </c>
      <c r="L226" s="2272">
        <v>1232.6530764999998</v>
      </c>
      <c r="M226" s="2272">
        <v>1232.6530764999998</v>
      </c>
      <c r="N226" s="2272">
        <v>1232.6530764999998</v>
      </c>
      <c r="O226" s="2272">
        <v>1232.6530764999998</v>
      </c>
      <c r="P226" s="2272">
        <v>1232.6530764999998</v>
      </c>
      <c r="Q226" s="2272">
        <v>1232.6530764999998</v>
      </c>
      <c r="R226" s="2272">
        <v>1232.6530764999998</v>
      </c>
      <c r="S226" s="2272">
        <v>1232.6530764999998</v>
      </c>
      <c r="T226" s="2272">
        <v>1232.6530764999998</v>
      </c>
      <c r="U226" s="2272">
        <v>1232.6530764999998</v>
      </c>
      <c r="V226" s="2272">
        <f t="shared" si="4"/>
        <v>14791.836917999994</v>
      </c>
      <c r="W226" s="2308"/>
    </row>
    <row r="227" spans="6:23" ht="14.4">
      <c r="F227" s="2078">
        <v>352</v>
      </c>
      <c r="G227" s="2315"/>
      <c r="H227" s="2123" t="s">
        <v>3090</v>
      </c>
      <c r="I227" s="2304">
        <v>1.6999999999999998E-2</v>
      </c>
      <c r="J227" s="2272">
        <v>1604.7313724166663</v>
      </c>
      <c r="K227" s="2272">
        <v>1604.7313724166663</v>
      </c>
      <c r="L227" s="2272">
        <v>1604.7313724166663</v>
      </c>
      <c r="M227" s="2272">
        <v>1604.7313724166663</v>
      </c>
      <c r="N227" s="2272">
        <v>1604.7313724166663</v>
      </c>
      <c r="O227" s="2272">
        <v>1604.7313724166663</v>
      </c>
      <c r="P227" s="2272">
        <v>1604.7313724166663</v>
      </c>
      <c r="Q227" s="2272">
        <v>1604.7313724166663</v>
      </c>
      <c r="R227" s="2272">
        <v>1604.7313724166663</v>
      </c>
      <c r="S227" s="2272">
        <v>1604.7313724166663</v>
      </c>
      <c r="T227" s="2272">
        <v>1604.7313724166663</v>
      </c>
      <c r="U227" s="2272">
        <v>1604.7313724166663</v>
      </c>
      <c r="V227" s="2272">
        <f t="shared" si="4"/>
        <v>19256.776469</v>
      </c>
      <c r="W227" s="2308"/>
    </row>
    <row r="228" spans="6:23" ht="14.4">
      <c r="F228" s="2078">
        <v>352</v>
      </c>
      <c r="G228" s="2315"/>
      <c r="H228" s="2123" t="s">
        <v>3091</v>
      </c>
      <c r="I228" s="2304">
        <v>1.6999999999999998E-2</v>
      </c>
      <c r="J228" s="2272">
        <v>1242.7756599166667</v>
      </c>
      <c r="K228" s="2272">
        <v>1242.7756599166667</v>
      </c>
      <c r="L228" s="2272">
        <v>1242.7756599166667</v>
      </c>
      <c r="M228" s="2272">
        <v>1242.7756599166667</v>
      </c>
      <c r="N228" s="2272">
        <v>1242.7756599166667</v>
      </c>
      <c r="O228" s="2272">
        <v>1242.7756599166667</v>
      </c>
      <c r="P228" s="2272">
        <v>1242.7756599166667</v>
      </c>
      <c r="Q228" s="2272">
        <v>1242.7756599166667</v>
      </c>
      <c r="R228" s="2272">
        <v>1242.7756599166667</v>
      </c>
      <c r="S228" s="2272">
        <v>1242.7756599166667</v>
      </c>
      <c r="T228" s="2272">
        <v>1242.7756599166667</v>
      </c>
      <c r="U228" s="2272">
        <v>1242.7756599166667</v>
      </c>
      <c r="V228" s="2272">
        <f t="shared" si="4"/>
        <v>14913.307918999997</v>
      </c>
      <c r="W228" s="2308"/>
    </row>
    <row r="229" spans="6:23" ht="14.4">
      <c r="F229" s="2078">
        <v>352</v>
      </c>
      <c r="G229" s="2315"/>
      <c r="H229" s="2123" t="s">
        <v>3092</v>
      </c>
      <c r="I229" s="2304">
        <v>1.6999999999999998E-2</v>
      </c>
      <c r="J229" s="2272">
        <v>1190.4858529166665</v>
      </c>
      <c r="K229" s="2272">
        <v>1190.4858529166665</v>
      </c>
      <c r="L229" s="2272">
        <v>1190.4858529166665</v>
      </c>
      <c r="M229" s="2272">
        <v>1190.4858529166665</v>
      </c>
      <c r="N229" s="2272">
        <v>1190.4858529166665</v>
      </c>
      <c r="O229" s="2272">
        <v>1190.4858529166665</v>
      </c>
      <c r="P229" s="2272">
        <v>1190.4858529166665</v>
      </c>
      <c r="Q229" s="2272">
        <v>1190.4858529166665</v>
      </c>
      <c r="R229" s="2272">
        <v>1190.4858529166665</v>
      </c>
      <c r="S229" s="2272">
        <v>1190.4858529166665</v>
      </c>
      <c r="T229" s="2272">
        <v>1190.4858529166665</v>
      </c>
      <c r="U229" s="2272">
        <v>1190.4858529166665</v>
      </c>
      <c r="V229" s="2272">
        <f t="shared" si="4"/>
        <v>14285.830234999999</v>
      </c>
      <c r="W229" s="2308"/>
    </row>
    <row r="230" spans="6:23" ht="14.4">
      <c r="F230" s="2078">
        <v>353</v>
      </c>
      <c r="G230" s="2315"/>
      <c r="H230" s="2123" t="s">
        <v>3093</v>
      </c>
      <c r="I230" s="2304">
        <v>2.3E-2</v>
      </c>
      <c r="J230" s="2272">
        <v>9876.4263506666648</v>
      </c>
      <c r="K230" s="2272">
        <v>9876.4263506666648</v>
      </c>
      <c r="L230" s="2272">
        <v>9876.4263506666648</v>
      </c>
      <c r="M230" s="2272">
        <v>9876.4263506666648</v>
      </c>
      <c r="N230" s="2272">
        <v>9876.4263506666648</v>
      </c>
      <c r="O230" s="2272">
        <v>9876.4263506666648</v>
      </c>
      <c r="P230" s="2272">
        <v>9876.4263506666648</v>
      </c>
      <c r="Q230" s="2272">
        <v>9876.4263506666648</v>
      </c>
      <c r="R230" s="2272">
        <v>9876.4263506666648</v>
      </c>
      <c r="S230" s="2272">
        <v>9876.4263506666648</v>
      </c>
      <c r="T230" s="2272">
        <v>9876.4263506666648</v>
      </c>
      <c r="U230" s="2272">
        <v>9876.4263506666648</v>
      </c>
      <c r="V230" s="2272">
        <f t="shared" si="4"/>
        <v>118517.11620799995</v>
      </c>
      <c r="W230" s="2308"/>
    </row>
    <row r="231" spans="6:23" ht="14.4">
      <c r="F231" s="2078">
        <v>352</v>
      </c>
      <c r="G231" s="2315"/>
      <c r="H231" s="2123" t="s">
        <v>3093</v>
      </c>
      <c r="I231" s="2304">
        <v>1.6999999999999998E-2</v>
      </c>
      <c r="J231" s="2272">
        <v>892.17397895833335</v>
      </c>
      <c r="K231" s="2272">
        <v>892.17397895833335</v>
      </c>
      <c r="L231" s="2272">
        <v>892.17397895833335</v>
      </c>
      <c r="M231" s="2272">
        <v>892.17397895833335</v>
      </c>
      <c r="N231" s="2272">
        <v>892.17397895833335</v>
      </c>
      <c r="O231" s="2272">
        <v>892.17397895833335</v>
      </c>
      <c r="P231" s="2272">
        <v>892.17397895833335</v>
      </c>
      <c r="Q231" s="2272">
        <v>892.17397895833335</v>
      </c>
      <c r="R231" s="2272">
        <v>892.17397895833335</v>
      </c>
      <c r="S231" s="2272">
        <v>892.17397895833335</v>
      </c>
      <c r="T231" s="2272">
        <v>892.17397895833335</v>
      </c>
      <c r="U231" s="2272">
        <v>892.17397895833335</v>
      </c>
      <c r="V231" s="2272">
        <f t="shared" si="4"/>
        <v>10706.0877475</v>
      </c>
      <c r="W231" s="2308"/>
    </row>
    <row r="232" spans="6:23" ht="14.4">
      <c r="F232" s="2078">
        <v>353</v>
      </c>
      <c r="G232" s="2315"/>
      <c r="H232" s="2123" t="s">
        <v>3408</v>
      </c>
      <c r="I232" s="2304">
        <v>2.3E-2</v>
      </c>
      <c r="J232" s="2272">
        <v>5463.1287816666663</v>
      </c>
      <c r="K232" s="2272">
        <v>5463.1287816666663</v>
      </c>
      <c r="L232" s="2272">
        <v>5463.1287816666663</v>
      </c>
      <c r="M232" s="2272">
        <v>5463.1287816666663</v>
      </c>
      <c r="N232" s="2272">
        <v>5463.1287816666663</v>
      </c>
      <c r="O232" s="2272">
        <v>5463.1287816666663</v>
      </c>
      <c r="P232" s="2272">
        <v>5463.1287816666663</v>
      </c>
      <c r="Q232" s="2272">
        <v>5463.1287816666663</v>
      </c>
      <c r="R232" s="2272">
        <v>5463.1287816666663</v>
      </c>
      <c r="S232" s="2272">
        <v>5463.1287816666663</v>
      </c>
      <c r="T232" s="2272">
        <v>5463.1287816666663</v>
      </c>
      <c r="U232" s="2272">
        <v>5463.1287816666663</v>
      </c>
      <c r="V232" s="2272">
        <f t="shared" si="4"/>
        <v>65557.545379999996</v>
      </c>
      <c r="W232" s="2308"/>
    </row>
    <row r="233" spans="6:23" ht="14.4">
      <c r="F233" s="2078">
        <v>352</v>
      </c>
      <c r="G233" s="2315"/>
      <c r="H233" s="2123" t="s">
        <v>3094</v>
      </c>
      <c r="I233" s="2304">
        <v>1.7999999999999999E-2</v>
      </c>
      <c r="J233" s="2272">
        <v>944.79386999999997</v>
      </c>
      <c r="K233" s="2272">
        <v>944.79386999999997</v>
      </c>
      <c r="L233" s="2272">
        <v>944.79386999999997</v>
      </c>
      <c r="M233" s="2272">
        <v>944.79386999999997</v>
      </c>
      <c r="N233" s="2272">
        <v>944.79386999999997</v>
      </c>
      <c r="O233" s="2272">
        <v>944.79386999999997</v>
      </c>
      <c r="P233" s="2272">
        <v>944.79386999999997</v>
      </c>
      <c r="Q233" s="2272">
        <v>944.79386999999997</v>
      </c>
      <c r="R233" s="2272">
        <v>944.79386999999997</v>
      </c>
      <c r="S233" s="2272">
        <v>944.79386999999997</v>
      </c>
      <c r="T233" s="2272">
        <v>944.79386999999997</v>
      </c>
      <c r="U233" s="2272">
        <v>944.79386999999997</v>
      </c>
      <c r="V233" s="2272">
        <f t="shared" si="4"/>
        <v>11337.526439999996</v>
      </c>
      <c r="W233" s="2308"/>
    </row>
    <row r="234" spans="6:23" ht="14.4">
      <c r="F234" s="2078">
        <v>353</v>
      </c>
      <c r="G234" s="2315"/>
      <c r="H234" s="2123" t="s">
        <v>3094</v>
      </c>
      <c r="I234" s="2304">
        <v>2.4E-2</v>
      </c>
      <c r="J234" s="2272">
        <v>6731.5350800000006</v>
      </c>
      <c r="K234" s="2272">
        <v>6731.5350800000006</v>
      </c>
      <c r="L234" s="2272">
        <v>6731.5350800000006</v>
      </c>
      <c r="M234" s="2272">
        <v>6731.5350800000006</v>
      </c>
      <c r="N234" s="2272">
        <v>6731.5350800000006</v>
      </c>
      <c r="O234" s="2272">
        <v>6731.5350800000006</v>
      </c>
      <c r="P234" s="2272">
        <v>6731.5350800000006</v>
      </c>
      <c r="Q234" s="2272">
        <v>6731.5350800000006</v>
      </c>
      <c r="R234" s="2272">
        <v>6731.5350800000006</v>
      </c>
      <c r="S234" s="2272">
        <v>6731.5350800000006</v>
      </c>
      <c r="T234" s="2272">
        <v>6731.5350800000006</v>
      </c>
      <c r="U234" s="2272">
        <v>6731.5350800000006</v>
      </c>
      <c r="V234" s="2272">
        <f t="shared" si="4"/>
        <v>80778.420960000003</v>
      </c>
      <c r="W234" s="2308"/>
    </row>
    <row r="235" spans="6:23" ht="14.4">
      <c r="F235" s="2078">
        <v>352</v>
      </c>
      <c r="G235" s="2315"/>
      <c r="H235" s="2123" t="s">
        <v>3095</v>
      </c>
      <c r="I235" s="2304">
        <v>1.7999999999999999E-2</v>
      </c>
      <c r="J235" s="2272">
        <v>1689.7539374999999</v>
      </c>
      <c r="K235" s="2272">
        <v>1689.7539374999999</v>
      </c>
      <c r="L235" s="2272">
        <v>1689.7539374999999</v>
      </c>
      <c r="M235" s="2272">
        <v>1689.7539374999999</v>
      </c>
      <c r="N235" s="2272">
        <v>1689.7539374999999</v>
      </c>
      <c r="O235" s="2272">
        <v>1689.7539374999999</v>
      </c>
      <c r="P235" s="2272">
        <v>1689.7539374999999</v>
      </c>
      <c r="Q235" s="2272">
        <v>1689.7539374999999</v>
      </c>
      <c r="R235" s="2272">
        <v>1689.7539374999999</v>
      </c>
      <c r="S235" s="2272">
        <v>1689.7539374999999</v>
      </c>
      <c r="T235" s="2272">
        <v>1689.7539374999999</v>
      </c>
      <c r="U235" s="2272">
        <v>1689.7539374999999</v>
      </c>
      <c r="V235" s="2272">
        <f t="shared" si="4"/>
        <v>20277.047250000003</v>
      </c>
      <c r="W235" s="2308"/>
    </row>
    <row r="236" spans="6:23" ht="14.4">
      <c r="F236" s="2078">
        <v>353</v>
      </c>
      <c r="G236" s="2315"/>
      <c r="H236" s="2123" t="s">
        <v>3095</v>
      </c>
      <c r="I236" s="2304">
        <v>2.4E-2</v>
      </c>
      <c r="J236" s="2272">
        <v>7933.0584725000008</v>
      </c>
      <c r="K236" s="2272">
        <v>7933.0584725000008</v>
      </c>
      <c r="L236" s="2272">
        <v>7933.0584725000008</v>
      </c>
      <c r="M236" s="2272">
        <v>7933.0584725000008</v>
      </c>
      <c r="N236" s="2272">
        <v>7933.0584725000008</v>
      </c>
      <c r="O236" s="2272">
        <v>7933.0584725000008</v>
      </c>
      <c r="P236" s="2272">
        <v>7933.0584725000008</v>
      </c>
      <c r="Q236" s="2272">
        <v>7933.0584725000008</v>
      </c>
      <c r="R236" s="2272">
        <v>7933.0584725000008</v>
      </c>
      <c r="S236" s="2272">
        <v>7933.0584725000008</v>
      </c>
      <c r="T236" s="2272">
        <v>7933.0584725000008</v>
      </c>
      <c r="U236" s="2272">
        <v>7933.0584725000008</v>
      </c>
      <c r="V236" s="2272">
        <f t="shared" si="4"/>
        <v>95196.701670000039</v>
      </c>
      <c r="W236" s="2308"/>
    </row>
    <row r="237" spans="6:23" ht="14.4">
      <c r="F237" s="2078">
        <v>352</v>
      </c>
      <c r="G237" s="2315"/>
      <c r="H237" s="2123" t="s">
        <v>3096</v>
      </c>
      <c r="I237" s="2304">
        <v>1.7999999999999999E-2</v>
      </c>
      <c r="J237" s="2272">
        <v>1966.6615139999997</v>
      </c>
      <c r="K237" s="2272">
        <v>1966.6615139999997</v>
      </c>
      <c r="L237" s="2272">
        <v>1966.6615139999997</v>
      </c>
      <c r="M237" s="2272">
        <v>1966.6615139999997</v>
      </c>
      <c r="N237" s="2272">
        <v>1966.6615139999997</v>
      </c>
      <c r="O237" s="2272">
        <v>1966.6615139999997</v>
      </c>
      <c r="P237" s="2272">
        <v>1966.6615139999997</v>
      </c>
      <c r="Q237" s="2272">
        <v>1966.6615139999997</v>
      </c>
      <c r="R237" s="2272">
        <v>1966.6615139999997</v>
      </c>
      <c r="S237" s="2272">
        <v>1966.6615139999997</v>
      </c>
      <c r="T237" s="2272">
        <v>1966.6615139999997</v>
      </c>
      <c r="U237" s="2272">
        <v>1966.6615139999997</v>
      </c>
      <c r="V237" s="2272">
        <f t="shared" si="4"/>
        <v>23599.938167999997</v>
      </c>
      <c r="W237" s="2308"/>
    </row>
    <row r="238" spans="6:23" ht="14.4">
      <c r="F238" s="2078">
        <v>353</v>
      </c>
      <c r="G238" s="2315"/>
      <c r="H238" s="2123" t="s">
        <v>3096</v>
      </c>
      <c r="I238" s="2304">
        <v>2.4E-2</v>
      </c>
      <c r="J238" s="2272">
        <v>8754.3332097142866</v>
      </c>
      <c r="K238" s="2272">
        <v>8754.3332097142866</v>
      </c>
      <c r="L238" s="2272">
        <v>8754.3332097142866</v>
      </c>
      <c r="M238" s="2272">
        <v>8754.3332097142866</v>
      </c>
      <c r="N238" s="2272">
        <v>8754.3332097142866</v>
      </c>
      <c r="O238" s="2272">
        <v>8754.3332097142866</v>
      </c>
      <c r="P238" s="2272">
        <v>8754.3332097142866</v>
      </c>
      <c r="Q238" s="2272">
        <v>8754.3332097142866</v>
      </c>
      <c r="R238" s="2272">
        <v>8754.3332097142866</v>
      </c>
      <c r="S238" s="2272">
        <v>8754.3332097142866</v>
      </c>
      <c r="T238" s="2272">
        <v>8754.3332097142866</v>
      </c>
      <c r="U238" s="2272">
        <v>8754.3332097142866</v>
      </c>
      <c r="V238" s="2272">
        <f t="shared" si="4"/>
        <v>105051.99851657143</v>
      </c>
      <c r="W238" s="2308"/>
    </row>
    <row r="239" spans="6:23" ht="14.4">
      <c r="F239" s="2078">
        <v>352</v>
      </c>
      <c r="G239" s="2315"/>
      <c r="H239" s="2123" t="s">
        <v>3097</v>
      </c>
      <c r="I239" s="2304">
        <v>1.7999999999999999E-2</v>
      </c>
      <c r="J239" s="2272">
        <v>1884.3003899999997</v>
      </c>
      <c r="K239" s="2272">
        <v>1884.3003899999997</v>
      </c>
      <c r="L239" s="2272">
        <v>1884.3003899999997</v>
      </c>
      <c r="M239" s="2272">
        <v>1884.3003899999997</v>
      </c>
      <c r="N239" s="2272">
        <v>1884.3003899999997</v>
      </c>
      <c r="O239" s="2272">
        <v>1884.3003899999997</v>
      </c>
      <c r="P239" s="2272">
        <v>1884.3003899999997</v>
      </c>
      <c r="Q239" s="2272">
        <v>1884.3003899999997</v>
      </c>
      <c r="R239" s="2272">
        <v>1884.3003899999997</v>
      </c>
      <c r="S239" s="2272">
        <v>1884.3003899999997</v>
      </c>
      <c r="T239" s="2272">
        <v>1884.3003899999997</v>
      </c>
      <c r="U239" s="2272">
        <v>1884.3003899999997</v>
      </c>
      <c r="V239" s="2272">
        <f t="shared" si="4"/>
        <v>22611.60468</v>
      </c>
      <c r="W239" s="2308"/>
    </row>
    <row r="240" spans="6:23" ht="14.4">
      <c r="F240" s="2078">
        <v>353</v>
      </c>
      <c r="G240" s="2315"/>
      <c r="H240" s="2123" t="s">
        <v>3097</v>
      </c>
      <c r="I240" s="2304">
        <v>2.4E-2</v>
      </c>
      <c r="J240" s="2272">
        <v>9297.2718799999984</v>
      </c>
      <c r="K240" s="2272">
        <v>9297.2718799999984</v>
      </c>
      <c r="L240" s="2272">
        <v>9297.2718799999984</v>
      </c>
      <c r="M240" s="2272">
        <v>9297.2718799999984</v>
      </c>
      <c r="N240" s="2272">
        <v>9297.2718799999984</v>
      </c>
      <c r="O240" s="2272">
        <v>9297.2718799999984</v>
      </c>
      <c r="P240" s="2272">
        <v>9297.2718799999984</v>
      </c>
      <c r="Q240" s="2272">
        <v>9297.2718799999984</v>
      </c>
      <c r="R240" s="2272">
        <v>9297.2718799999984</v>
      </c>
      <c r="S240" s="2272">
        <v>9297.2718799999984</v>
      </c>
      <c r="T240" s="2272">
        <v>9297.2718799999984</v>
      </c>
      <c r="U240" s="2272">
        <v>9297.2718799999984</v>
      </c>
      <c r="V240" s="2272">
        <f t="shared" si="4"/>
        <v>111567.26255999999</v>
      </c>
      <c r="W240" s="2308"/>
    </row>
    <row r="241" spans="6:23" ht="14.4">
      <c r="F241" s="2078">
        <v>352</v>
      </c>
      <c r="G241" s="2315"/>
      <c r="H241" s="2123" t="s">
        <v>8410</v>
      </c>
      <c r="I241" s="2304">
        <v>1.7999999999999999E-2</v>
      </c>
      <c r="J241" s="2272">
        <v>1903.1766930000001</v>
      </c>
      <c r="K241" s="2272">
        <v>1903.1766930000001</v>
      </c>
      <c r="L241" s="2272">
        <v>1903.1766930000001</v>
      </c>
      <c r="M241" s="2272">
        <v>1903.1766930000001</v>
      </c>
      <c r="N241" s="2272">
        <v>1903.1766930000001</v>
      </c>
      <c r="O241" s="2272">
        <v>1903.1766930000001</v>
      </c>
      <c r="P241" s="2272">
        <v>1903.1766930000001</v>
      </c>
      <c r="Q241" s="2272">
        <v>1903.1766930000001</v>
      </c>
      <c r="R241" s="2272">
        <v>1903.1766930000001</v>
      </c>
      <c r="S241" s="2272">
        <v>1903.1766930000001</v>
      </c>
      <c r="T241" s="2272">
        <v>1903.1766930000001</v>
      </c>
      <c r="U241" s="2272">
        <v>1903.1766930000001</v>
      </c>
      <c r="V241" s="2272">
        <f t="shared" si="4"/>
        <v>22838.120316000004</v>
      </c>
      <c r="W241" s="2308"/>
    </row>
    <row r="242" spans="6:23" ht="14.4">
      <c r="F242" s="2078">
        <v>353</v>
      </c>
      <c r="G242" s="2315"/>
      <c r="H242" s="2123" t="s">
        <v>8410</v>
      </c>
      <c r="I242" s="2304">
        <v>2.4E-2</v>
      </c>
      <c r="J242" s="2272">
        <v>8290.9962805714295</v>
      </c>
      <c r="K242" s="2272">
        <v>8290.9962805714295</v>
      </c>
      <c r="L242" s="2272">
        <v>8290.9962805714295</v>
      </c>
      <c r="M242" s="2272">
        <v>8290.9962805714295</v>
      </c>
      <c r="N242" s="2272">
        <v>8290.9962805714295</v>
      </c>
      <c r="O242" s="2272">
        <v>8290.9962805714295</v>
      </c>
      <c r="P242" s="2272">
        <v>8290.9962805714295</v>
      </c>
      <c r="Q242" s="2272">
        <v>8290.9962805714295</v>
      </c>
      <c r="R242" s="2272">
        <v>8290.9962805714295</v>
      </c>
      <c r="S242" s="2272">
        <v>8290.9962805714295</v>
      </c>
      <c r="T242" s="2272">
        <v>8290.9962805714295</v>
      </c>
      <c r="U242" s="2272">
        <v>8290.9962805714295</v>
      </c>
      <c r="V242" s="2272">
        <f t="shared" si="4"/>
        <v>99491.955366857161</v>
      </c>
      <c r="W242" s="2308"/>
    </row>
    <row r="243" spans="6:23" ht="14.4">
      <c r="F243" s="2078">
        <v>352</v>
      </c>
      <c r="G243" s="2315"/>
      <c r="H243" s="2123" t="s">
        <v>8275</v>
      </c>
      <c r="I243" s="2304">
        <v>1.7999999999999999E-2</v>
      </c>
      <c r="J243" s="2272">
        <v>0</v>
      </c>
      <c r="K243" s="2272">
        <v>0</v>
      </c>
      <c r="L243" s="2272">
        <v>0</v>
      </c>
      <c r="M243" s="2272">
        <v>0</v>
      </c>
      <c r="N243" s="2272">
        <v>0</v>
      </c>
      <c r="O243" s="2272">
        <v>0</v>
      </c>
      <c r="P243" s="2272">
        <v>0</v>
      </c>
      <c r="Q243" s="2272">
        <v>0</v>
      </c>
      <c r="R243" s="2272">
        <v>0</v>
      </c>
      <c r="S243" s="2272">
        <v>0</v>
      </c>
      <c r="T243" s="2272">
        <v>0</v>
      </c>
      <c r="U243" s="2272">
        <v>0</v>
      </c>
      <c r="V243" s="2272">
        <f t="shared" si="4"/>
        <v>0</v>
      </c>
      <c r="W243" s="2308"/>
    </row>
    <row r="244" spans="6:23" ht="14.4">
      <c r="F244" s="2078">
        <v>353</v>
      </c>
      <c r="G244" s="2315"/>
      <c r="H244" s="2123" t="s">
        <v>8275</v>
      </c>
      <c r="I244" s="2304">
        <v>2.4E-2</v>
      </c>
      <c r="J244" s="2272">
        <v>6899.27898</v>
      </c>
      <c r="K244" s="2272">
        <v>6899.27898</v>
      </c>
      <c r="L244" s="2272">
        <v>6899.27898</v>
      </c>
      <c r="M244" s="2272">
        <v>6899.27898</v>
      </c>
      <c r="N244" s="2272">
        <v>6899.27898</v>
      </c>
      <c r="O244" s="2272">
        <v>6899.27898</v>
      </c>
      <c r="P244" s="2272">
        <v>6899.27898</v>
      </c>
      <c r="Q244" s="2272">
        <v>6899.27898</v>
      </c>
      <c r="R244" s="2272">
        <v>6899.27898</v>
      </c>
      <c r="S244" s="2272">
        <v>6899.27898</v>
      </c>
      <c r="T244" s="2272">
        <v>6899.27898</v>
      </c>
      <c r="U244" s="2272">
        <v>6899.27898</v>
      </c>
      <c r="V244" s="2272">
        <f t="shared" si="4"/>
        <v>82791.347760000019</v>
      </c>
      <c r="W244" s="2308"/>
    </row>
    <row r="245" spans="6:23" ht="14.4">
      <c r="F245" s="2078">
        <v>352</v>
      </c>
      <c r="G245" s="2315"/>
      <c r="H245" s="2123" t="s">
        <v>8276</v>
      </c>
      <c r="I245" s="2304">
        <v>1.7999999999999999E-2</v>
      </c>
      <c r="J245" s="2272">
        <v>0</v>
      </c>
      <c r="K245" s="2272">
        <v>0</v>
      </c>
      <c r="L245" s="2272">
        <v>0</v>
      </c>
      <c r="M245" s="2272">
        <v>0</v>
      </c>
      <c r="N245" s="2272">
        <v>0</v>
      </c>
      <c r="O245" s="2272">
        <v>0</v>
      </c>
      <c r="P245" s="2272">
        <v>0</v>
      </c>
      <c r="Q245" s="2272">
        <v>0</v>
      </c>
      <c r="R245" s="2272">
        <v>0</v>
      </c>
      <c r="S245" s="2272">
        <v>0</v>
      </c>
      <c r="T245" s="2272">
        <v>0</v>
      </c>
      <c r="U245" s="2272">
        <v>0</v>
      </c>
      <c r="V245" s="2272">
        <f t="shared" si="4"/>
        <v>0</v>
      </c>
      <c r="W245" s="2308"/>
    </row>
    <row r="246" spans="6:23" ht="14.4">
      <c r="F246" s="2078">
        <v>353</v>
      </c>
      <c r="G246" s="2315"/>
      <c r="H246" s="2123" t="s">
        <v>8276</v>
      </c>
      <c r="I246" s="2304">
        <v>2.4E-2</v>
      </c>
      <c r="J246" s="2272">
        <v>232.55996000000002</v>
      </c>
      <c r="K246" s="2272">
        <v>232.55996000000002</v>
      </c>
      <c r="L246" s="2272">
        <v>232.55996000000002</v>
      </c>
      <c r="M246" s="2272">
        <v>232.55996000000002</v>
      </c>
      <c r="N246" s="2272">
        <v>232.55996000000002</v>
      </c>
      <c r="O246" s="2272">
        <v>232.55996000000002</v>
      </c>
      <c r="P246" s="2272">
        <v>232.55996000000002</v>
      </c>
      <c r="Q246" s="2272">
        <v>232.55996000000002</v>
      </c>
      <c r="R246" s="2272">
        <v>232.55996000000002</v>
      </c>
      <c r="S246" s="2272">
        <v>232.55996000000002</v>
      </c>
      <c r="T246" s="2272">
        <v>232.55996000000002</v>
      </c>
      <c r="U246" s="2272">
        <v>232.55996000000002</v>
      </c>
      <c r="V246" s="2272">
        <f t="shared" si="4"/>
        <v>2790.7195200000001</v>
      </c>
      <c r="W246" s="2308"/>
    </row>
    <row r="247" spans="6:23" ht="14.4">
      <c r="F247" s="2078">
        <v>352</v>
      </c>
      <c r="G247" s="2315"/>
      <c r="H247" s="2123" t="s">
        <v>9013</v>
      </c>
      <c r="I247" s="2304">
        <v>1.7999999999999999E-2</v>
      </c>
      <c r="J247" s="2272">
        <v>0</v>
      </c>
      <c r="K247" s="2272">
        <v>0</v>
      </c>
      <c r="L247" s="2272">
        <v>0</v>
      </c>
      <c r="M247" s="2272">
        <v>0</v>
      </c>
      <c r="N247" s="2272">
        <v>0</v>
      </c>
      <c r="O247" s="2272">
        <v>0</v>
      </c>
      <c r="P247" s="2272">
        <v>0</v>
      </c>
      <c r="Q247" s="2272">
        <v>0</v>
      </c>
      <c r="R247" s="2272">
        <v>0</v>
      </c>
      <c r="S247" s="2272">
        <v>0</v>
      </c>
      <c r="T247" s="2272">
        <v>0</v>
      </c>
      <c r="U247" s="2272">
        <v>0</v>
      </c>
      <c r="V247" s="2272">
        <f t="shared" si="4"/>
        <v>0</v>
      </c>
      <c r="W247" s="2308"/>
    </row>
    <row r="248" spans="6:23" ht="14.4">
      <c r="F248" s="2078">
        <v>353</v>
      </c>
      <c r="G248" s="2315"/>
      <c r="H248" s="2123" t="s">
        <v>9013</v>
      </c>
      <c r="I248" s="2304">
        <v>2.4E-2</v>
      </c>
      <c r="J248" s="2272">
        <v>154.13451999999998</v>
      </c>
      <c r="K248" s="2272">
        <v>154.13451999999998</v>
      </c>
      <c r="L248" s="2272">
        <v>154.13451999999998</v>
      </c>
      <c r="M248" s="2272">
        <v>154.13451999999998</v>
      </c>
      <c r="N248" s="2272">
        <v>154.13451999999998</v>
      </c>
      <c r="O248" s="2272">
        <v>154.13451999999998</v>
      </c>
      <c r="P248" s="2272">
        <v>154.13451999999998</v>
      </c>
      <c r="Q248" s="2272">
        <v>154.13451999999998</v>
      </c>
      <c r="R248" s="2272">
        <v>154.13451999999998</v>
      </c>
      <c r="S248" s="2272">
        <v>154.13451999999998</v>
      </c>
      <c r="T248" s="2272">
        <v>154.13451999999998</v>
      </c>
      <c r="U248" s="2272">
        <v>154.13451999999998</v>
      </c>
      <c r="V248" s="2272">
        <f t="shared" si="4"/>
        <v>1849.6142400000001</v>
      </c>
      <c r="W248" s="2308"/>
    </row>
    <row r="249" spans="6:23" ht="14.4">
      <c r="F249" s="2078">
        <v>352</v>
      </c>
      <c r="G249" s="2315"/>
      <c r="H249" s="2123" t="s">
        <v>9028</v>
      </c>
      <c r="I249" s="2304">
        <v>1.7999999999999999E-2</v>
      </c>
      <c r="J249" s="2272">
        <v>0</v>
      </c>
      <c r="K249" s="2272">
        <v>0</v>
      </c>
      <c r="L249" s="2272">
        <v>0</v>
      </c>
      <c r="M249" s="2272">
        <v>0</v>
      </c>
      <c r="N249" s="2272">
        <v>0</v>
      </c>
      <c r="O249" s="2272">
        <v>0</v>
      </c>
      <c r="P249" s="2272">
        <v>0</v>
      </c>
      <c r="Q249" s="2272">
        <v>0</v>
      </c>
      <c r="R249" s="2272">
        <v>0</v>
      </c>
      <c r="S249" s="2272">
        <v>0</v>
      </c>
      <c r="T249" s="2272">
        <v>0</v>
      </c>
      <c r="U249" s="2272">
        <v>0</v>
      </c>
      <c r="V249" s="2272">
        <f t="shared" si="4"/>
        <v>0</v>
      </c>
      <c r="W249" s="2308"/>
    </row>
    <row r="250" spans="6:23" ht="14.4">
      <c r="F250" s="2078">
        <v>353</v>
      </c>
      <c r="G250" s="2315"/>
      <c r="H250" s="2123" t="s">
        <v>9028</v>
      </c>
      <c r="I250" s="2304">
        <v>2.4E-2</v>
      </c>
      <c r="J250" s="2272">
        <v>225.15042000000003</v>
      </c>
      <c r="K250" s="2272">
        <v>225.15042000000003</v>
      </c>
      <c r="L250" s="2272">
        <v>225.15042000000003</v>
      </c>
      <c r="M250" s="2272">
        <v>225.15042000000003</v>
      </c>
      <c r="N250" s="2272">
        <v>225.15042000000003</v>
      </c>
      <c r="O250" s="2272">
        <v>225.15042000000003</v>
      </c>
      <c r="P250" s="2272">
        <v>225.15042000000003</v>
      </c>
      <c r="Q250" s="2272">
        <v>225.15042000000003</v>
      </c>
      <c r="R250" s="2272">
        <v>225.15042000000003</v>
      </c>
      <c r="S250" s="2272">
        <v>225.15042000000003</v>
      </c>
      <c r="T250" s="2272">
        <v>225.15042000000003</v>
      </c>
      <c r="U250" s="2272">
        <v>225.15042000000003</v>
      </c>
      <c r="V250" s="2272">
        <f t="shared" si="4"/>
        <v>2701.8050399999997</v>
      </c>
      <c r="W250" s="2308"/>
    </row>
    <row r="251" spans="6:23" ht="14.4">
      <c r="F251" s="2078">
        <v>352</v>
      </c>
      <c r="G251" s="2315"/>
      <c r="H251" s="2123" t="s">
        <v>8305</v>
      </c>
      <c r="I251" s="2304">
        <v>1.7999999999999999E-2</v>
      </c>
      <c r="J251" s="2272">
        <v>0</v>
      </c>
      <c r="K251" s="2272">
        <v>0</v>
      </c>
      <c r="L251" s="2272">
        <v>0</v>
      </c>
      <c r="M251" s="2272">
        <v>0</v>
      </c>
      <c r="N251" s="2272">
        <v>0</v>
      </c>
      <c r="O251" s="2272">
        <v>0</v>
      </c>
      <c r="P251" s="2272">
        <v>0</v>
      </c>
      <c r="Q251" s="2272">
        <v>0</v>
      </c>
      <c r="R251" s="2272">
        <v>0</v>
      </c>
      <c r="S251" s="2272">
        <v>0</v>
      </c>
      <c r="T251" s="2272">
        <v>0</v>
      </c>
      <c r="U251" s="2272">
        <v>0</v>
      </c>
      <c r="V251" s="2272">
        <f t="shared" si="4"/>
        <v>0</v>
      </c>
      <c r="W251" s="2308"/>
    </row>
    <row r="252" spans="6:23" ht="14.4">
      <c r="F252" s="2078">
        <v>353</v>
      </c>
      <c r="G252" s="2315"/>
      <c r="H252" s="2123" t="s">
        <v>8305</v>
      </c>
      <c r="I252" s="2304">
        <v>2.4E-2</v>
      </c>
      <c r="J252" s="2272">
        <v>2696.6476599999996</v>
      </c>
      <c r="K252" s="2272">
        <v>2696.6476599999996</v>
      </c>
      <c r="L252" s="2272">
        <v>2696.6476599999996</v>
      </c>
      <c r="M252" s="2272">
        <v>2696.6476599999996</v>
      </c>
      <c r="N252" s="2272">
        <v>2696.6476599999996</v>
      </c>
      <c r="O252" s="2272">
        <v>2696.6476599999996</v>
      </c>
      <c r="P252" s="2272">
        <v>2696.6476599999996</v>
      </c>
      <c r="Q252" s="2272">
        <v>2696.6476599999996</v>
      </c>
      <c r="R252" s="2272">
        <v>2696.6476599999996</v>
      </c>
      <c r="S252" s="2272">
        <v>2696.6476599999996</v>
      </c>
      <c r="T252" s="2272">
        <v>2696.6476599999996</v>
      </c>
      <c r="U252" s="2272">
        <v>2696.6476599999996</v>
      </c>
      <c r="V252" s="2272">
        <f t="shared" si="4"/>
        <v>32359.771919999988</v>
      </c>
      <c r="W252" s="2308"/>
    </row>
    <row r="253" spans="6:23" ht="14.4">
      <c r="F253" s="2078">
        <v>352</v>
      </c>
      <c r="G253" s="2315"/>
      <c r="H253" s="2123" t="s">
        <v>9014</v>
      </c>
      <c r="I253" s="2304">
        <v>1.7999999999999999E-2</v>
      </c>
      <c r="J253" s="2272">
        <v>0</v>
      </c>
      <c r="K253" s="2272">
        <v>0</v>
      </c>
      <c r="L253" s="2272">
        <v>0</v>
      </c>
      <c r="M253" s="2272">
        <v>0</v>
      </c>
      <c r="N253" s="2272">
        <v>0</v>
      </c>
      <c r="O253" s="2272">
        <v>0</v>
      </c>
      <c r="P253" s="2272">
        <v>0</v>
      </c>
      <c r="Q253" s="2272">
        <v>0</v>
      </c>
      <c r="R253" s="2272">
        <v>0</v>
      </c>
      <c r="S253" s="2272">
        <v>0</v>
      </c>
      <c r="T253" s="2272">
        <v>0</v>
      </c>
      <c r="U253" s="2272">
        <v>0</v>
      </c>
      <c r="V253" s="2272">
        <f t="shared" si="4"/>
        <v>0</v>
      </c>
      <c r="W253" s="2308"/>
    </row>
    <row r="254" spans="6:23" ht="14.4">
      <c r="F254" s="2078">
        <v>353</v>
      </c>
      <c r="G254" s="2315"/>
      <c r="H254" s="2123" t="s">
        <v>9014</v>
      </c>
      <c r="I254" s="2304">
        <v>2.4E-2</v>
      </c>
      <c r="J254" s="2272">
        <v>79.084800000000001</v>
      </c>
      <c r="K254" s="2272">
        <v>79.084800000000001</v>
      </c>
      <c r="L254" s="2272">
        <v>79.084800000000001</v>
      </c>
      <c r="M254" s="2272">
        <v>79.084800000000001</v>
      </c>
      <c r="N254" s="2272">
        <v>79.084800000000001</v>
      </c>
      <c r="O254" s="2272">
        <v>79.084800000000001</v>
      </c>
      <c r="P254" s="2272">
        <v>79.084800000000001</v>
      </c>
      <c r="Q254" s="2272">
        <v>79.084800000000001</v>
      </c>
      <c r="R254" s="2272">
        <v>79.084800000000001</v>
      </c>
      <c r="S254" s="2272">
        <v>79.084800000000001</v>
      </c>
      <c r="T254" s="2272">
        <v>79.084800000000001</v>
      </c>
      <c r="U254" s="2272">
        <v>79.084800000000001</v>
      </c>
      <c r="V254" s="2272">
        <f t="shared" si="4"/>
        <v>949.01759999999979</v>
      </c>
      <c r="W254" s="2308"/>
    </row>
    <row r="255" spans="6:23" ht="14.4">
      <c r="F255" s="2078">
        <v>352</v>
      </c>
      <c r="G255" s="2315"/>
      <c r="H255" s="2123" t="s">
        <v>9436</v>
      </c>
      <c r="I255" s="2304">
        <v>1.7999999999999999E-2</v>
      </c>
      <c r="J255" s="2272">
        <v>0</v>
      </c>
      <c r="K255" s="2272">
        <v>0</v>
      </c>
      <c r="L255" s="2272">
        <v>0</v>
      </c>
      <c r="M255" s="2272">
        <v>0</v>
      </c>
      <c r="N255" s="2272">
        <v>0</v>
      </c>
      <c r="O255" s="2272">
        <v>0</v>
      </c>
      <c r="P255" s="2272">
        <v>0</v>
      </c>
      <c r="Q255" s="2272">
        <v>0</v>
      </c>
      <c r="R255" s="2272">
        <v>0</v>
      </c>
      <c r="S255" s="2272">
        <v>0</v>
      </c>
      <c r="T255" s="2272">
        <v>0</v>
      </c>
      <c r="U255" s="2272">
        <v>0</v>
      </c>
      <c r="V255" s="2272">
        <f t="shared" si="4"/>
        <v>0</v>
      </c>
      <c r="W255" s="2308"/>
    </row>
    <row r="256" spans="6:23" ht="14.4">
      <c r="F256" s="2078">
        <v>353</v>
      </c>
      <c r="G256" s="2315"/>
      <c r="H256" s="2123" t="s">
        <v>9436</v>
      </c>
      <c r="I256" s="2304">
        <v>2.4E-2</v>
      </c>
      <c r="J256" s="2272">
        <v>18806.025979999995</v>
      </c>
      <c r="K256" s="2272">
        <v>18806.025979999995</v>
      </c>
      <c r="L256" s="2272">
        <v>18806.025979999995</v>
      </c>
      <c r="M256" s="2272">
        <v>18806.025979999995</v>
      </c>
      <c r="N256" s="2272">
        <v>18806.025979999995</v>
      </c>
      <c r="O256" s="2272">
        <v>18806.025979999995</v>
      </c>
      <c r="P256" s="2272">
        <v>18806.025979999995</v>
      </c>
      <c r="Q256" s="2272">
        <v>18806.025979999995</v>
      </c>
      <c r="R256" s="2272">
        <v>18806.025979999995</v>
      </c>
      <c r="S256" s="2272">
        <v>18806.025979999995</v>
      </c>
      <c r="T256" s="2272">
        <v>18806.025979999995</v>
      </c>
      <c r="U256" s="2272">
        <v>18806.025979999995</v>
      </c>
      <c r="V256" s="2272">
        <f t="shared" si="4"/>
        <v>225672.31175999998</v>
      </c>
      <c r="W256" s="2308"/>
    </row>
    <row r="257" spans="6:23" ht="14.4">
      <c r="F257" s="2078">
        <v>352</v>
      </c>
      <c r="G257" s="2315"/>
      <c r="H257" s="2123" t="s">
        <v>9437</v>
      </c>
      <c r="I257" s="2304">
        <v>1.7999999999999999E-2</v>
      </c>
      <c r="J257" s="2272">
        <v>0</v>
      </c>
      <c r="K257" s="2272">
        <v>0</v>
      </c>
      <c r="L257" s="2272">
        <v>0</v>
      </c>
      <c r="M257" s="2272">
        <v>0</v>
      </c>
      <c r="N257" s="2272">
        <v>0</v>
      </c>
      <c r="O257" s="2272">
        <v>0</v>
      </c>
      <c r="P257" s="2272">
        <v>0</v>
      </c>
      <c r="Q257" s="2272">
        <v>0</v>
      </c>
      <c r="R257" s="2272">
        <v>0</v>
      </c>
      <c r="S257" s="2272">
        <v>0</v>
      </c>
      <c r="T257" s="2272">
        <v>0</v>
      </c>
      <c r="U257" s="2272">
        <v>0</v>
      </c>
      <c r="V257" s="2272">
        <f t="shared" si="4"/>
        <v>0</v>
      </c>
      <c r="W257" s="2308"/>
    </row>
    <row r="258" spans="6:23" ht="14.4">
      <c r="F258" s="2078">
        <v>353</v>
      </c>
      <c r="G258" s="2315"/>
      <c r="H258" s="2123" t="s">
        <v>9437</v>
      </c>
      <c r="I258" s="2304">
        <v>2.4E-2</v>
      </c>
      <c r="J258" s="2272">
        <v>6309.673960000001</v>
      </c>
      <c r="K258" s="2272">
        <v>6309.673960000001</v>
      </c>
      <c r="L258" s="2272">
        <v>6309.673960000001</v>
      </c>
      <c r="M258" s="2272">
        <v>6309.673960000001</v>
      </c>
      <c r="N258" s="2272">
        <v>6309.673960000001</v>
      </c>
      <c r="O258" s="2272">
        <v>6309.673960000001</v>
      </c>
      <c r="P258" s="2272">
        <v>6309.673960000001</v>
      </c>
      <c r="Q258" s="2272">
        <v>6309.673960000001</v>
      </c>
      <c r="R258" s="2272">
        <v>6309.673960000001</v>
      </c>
      <c r="S258" s="2272">
        <v>6309.673960000001</v>
      </c>
      <c r="T258" s="2272">
        <v>6309.673960000001</v>
      </c>
      <c r="U258" s="2272">
        <v>6309.673960000001</v>
      </c>
      <c r="V258" s="2272">
        <f t="shared" si="4"/>
        <v>75716.087520000016</v>
      </c>
      <c r="W258" s="2308"/>
    </row>
    <row r="259" spans="6:23" ht="14.4">
      <c r="F259" s="2078">
        <v>352</v>
      </c>
      <c r="G259" s="2315"/>
      <c r="H259" s="2123" t="s">
        <v>9438</v>
      </c>
      <c r="I259" s="2304">
        <v>1.7999999999999999E-2</v>
      </c>
      <c r="J259" s="2272"/>
      <c r="K259" s="2272"/>
      <c r="L259" s="2272"/>
      <c r="M259" s="2272"/>
      <c r="N259" s="2272"/>
      <c r="O259" s="2272"/>
      <c r="P259" s="2272"/>
      <c r="Q259" s="2272"/>
      <c r="R259" s="2272"/>
      <c r="S259" s="2272"/>
      <c r="T259" s="2272"/>
      <c r="U259" s="2272"/>
      <c r="V259" s="2272"/>
      <c r="W259" s="2308"/>
    </row>
    <row r="260" spans="6:23" ht="14.4">
      <c r="F260" s="2078">
        <v>353</v>
      </c>
      <c r="G260" s="2315"/>
      <c r="H260" s="2123" t="s">
        <v>9438</v>
      </c>
      <c r="I260" s="2304">
        <v>2.4E-2</v>
      </c>
      <c r="J260" s="2272"/>
      <c r="K260" s="2272"/>
      <c r="L260" s="2272"/>
      <c r="M260" s="2272"/>
      <c r="N260" s="2272"/>
      <c r="O260" s="2272"/>
      <c r="P260" s="2272"/>
      <c r="Q260" s="2272"/>
      <c r="R260" s="2272"/>
      <c r="S260" s="2272"/>
      <c r="T260" s="2272"/>
      <c r="U260" s="2272"/>
      <c r="V260" s="2272"/>
      <c r="W260" s="2308"/>
    </row>
    <row r="261" spans="6:23" ht="14.4">
      <c r="F261" s="2078">
        <v>352</v>
      </c>
      <c r="G261" s="2315"/>
      <c r="H261" s="2123" t="s">
        <v>9439</v>
      </c>
      <c r="I261" s="2304">
        <v>1.7999999999999999E-2</v>
      </c>
      <c r="J261" s="2272"/>
      <c r="K261" s="2272"/>
      <c r="L261" s="2272"/>
      <c r="M261" s="2272"/>
      <c r="N261" s="2272"/>
      <c r="O261" s="2272"/>
      <c r="P261" s="2272"/>
      <c r="Q261" s="2272"/>
      <c r="R261" s="2272"/>
      <c r="S261" s="2272"/>
      <c r="T261" s="2272"/>
      <c r="U261" s="2272"/>
      <c r="V261" s="2272">
        <f>+SUM(J261:U261)</f>
        <v>0</v>
      </c>
      <c r="W261" s="2308"/>
    </row>
    <row r="262" spans="6:23" ht="14.4">
      <c r="F262" s="2078">
        <v>353</v>
      </c>
      <c r="G262" s="2315"/>
      <c r="H262" s="2123" t="s">
        <v>9439</v>
      </c>
      <c r="I262" s="2304">
        <v>2.4E-2</v>
      </c>
      <c r="J262" s="2272"/>
      <c r="K262" s="2272"/>
      <c r="L262" s="2272"/>
      <c r="M262" s="2272"/>
      <c r="N262" s="2272"/>
      <c r="O262" s="2272"/>
      <c r="P262" s="2272"/>
      <c r="Q262" s="2272"/>
      <c r="R262" s="2272"/>
      <c r="S262" s="2272"/>
      <c r="T262" s="2272"/>
      <c r="U262" s="2272"/>
      <c r="V262" s="2272">
        <f t="shared" si="4"/>
        <v>0</v>
      </c>
      <c r="W262" s="2308"/>
    </row>
    <row r="263" spans="6:23" ht="14.4">
      <c r="F263" s="2078"/>
      <c r="G263" s="2315"/>
      <c r="H263" s="2123"/>
      <c r="I263" s="2304"/>
      <c r="J263" s="2272"/>
      <c r="K263" s="2272"/>
      <c r="L263" s="2272"/>
      <c r="M263" s="2272"/>
      <c r="N263" s="2272"/>
      <c r="O263" s="2272"/>
      <c r="P263" s="2272"/>
      <c r="Q263" s="2272"/>
      <c r="R263" s="2272"/>
      <c r="S263" s="2272"/>
      <c r="T263" s="2272"/>
      <c r="U263" s="2272"/>
      <c r="V263" s="2272"/>
      <c r="W263" s="2308"/>
    </row>
    <row r="264" spans="6:23" ht="14.4">
      <c r="F264" s="2078"/>
      <c r="G264" s="2315"/>
      <c r="H264" s="2123"/>
      <c r="I264" s="2304"/>
      <c r="J264" s="2272"/>
      <c r="K264" s="2272"/>
      <c r="L264" s="2272"/>
      <c r="M264" s="2272"/>
      <c r="N264" s="2272"/>
      <c r="O264" s="2272"/>
      <c r="P264" s="2272"/>
      <c r="Q264" s="2272"/>
      <c r="R264" s="2272"/>
      <c r="S264" s="2272"/>
      <c r="T264" s="2272"/>
      <c r="U264" s="2272"/>
      <c r="V264" s="2272"/>
      <c r="W264" s="2308"/>
    </row>
    <row r="265" spans="6:23" ht="14.4">
      <c r="F265" s="2078"/>
      <c r="G265" s="2315"/>
      <c r="H265" s="2123"/>
      <c r="I265" s="2304"/>
      <c r="J265" s="2272"/>
      <c r="K265" s="2272"/>
      <c r="L265" s="2272"/>
      <c r="M265" s="2272"/>
      <c r="N265" s="2272"/>
      <c r="O265" s="2272"/>
      <c r="P265" s="2272"/>
      <c r="Q265" s="2272"/>
      <c r="R265" s="2272"/>
      <c r="S265" s="2272"/>
      <c r="T265" s="2272"/>
      <c r="U265" s="2272"/>
      <c r="V265" s="2272"/>
      <c r="W265" s="2308"/>
    </row>
    <row r="266" spans="6:23" ht="14.4">
      <c r="F266" s="2078"/>
      <c r="G266" s="2315"/>
      <c r="H266" s="2123"/>
      <c r="I266" s="2304"/>
      <c r="J266" s="2272"/>
      <c r="K266" s="2272"/>
      <c r="L266" s="2272"/>
      <c r="M266" s="2272"/>
      <c r="N266" s="2272"/>
      <c r="O266" s="2272"/>
      <c r="P266" s="2272"/>
      <c r="Q266" s="2272"/>
      <c r="R266" s="2272"/>
      <c r="S266" s="2272"/>
      <c r="T266" s="2272"/>
      <c r="U266" s="2272"/>
      <c r="V266" s="2272"/>
      <c r="W266" s="2308"/>
    </row>
    <row r="267" spans="6:23" ht="14.4">
      <c r="F267" s="2078"/>
      <c r="G267" s="2315"/>
      <c r="H267" s="2123"/>
      <c r="I267" s="2304"/>
      <c r="J267" s="2272"/>
      <c r="K267" s="2272"/>
      <c r="L267" s="2272"/>
      <c r="M267" s="2272"/>
      <c r="N267" s="2272"/>
      <c r="O267" s="2272"/>
      <c r="P267" s="2272"/>
      <c r="Q267" s="2272"/>
      <c r="R267" s="2272"/>
      <c r="S267" s="2272"/>
      <c r="T267" s="2272"/>
      <c r="U267" s="2272"/>
      <c r="V267" s="2272"/>
      <c r="W267" s="2308"/>
    </row>
    <row r="268" spans="6:23" ht="14.4">
      <c r="F268" s="2078"/>
      <c r="G268" s="2308"/>
      <c r="H268" s="2123"/>
      <c r="I268" s="2304"/>
      <c r="J268" s="2272"/>
      <c r="K268" s="2272"/>
      <c r="L268" s="2272"/>
      <c r="M268" s="2272"/>
      <c r="N268" s="2272"/>
      <c r="O268" s="2272"/>
      <c r="P268" s="2272"/>
      <c r="Q268" s="2272"/>
      <c r="R268" s="2272"/>
      <c r="S268" s="2272"/>
      <c r="T268" s="2272"/>
      <c r="U268" s="2272"/>
      <c r="V268" s="2272"/>
      <c r="W268" s="2308"/>
    </row>
    <row r="269" spans="6:23" ht="15" thickBot="1">
      <c r="F269" s="2078"/>
      <c r="G269" s="2078"/>
      <c r="H269" s="2304"/>
      <c r="I269" s="2280"/>
      <c r="J269" s="2280">
        <f>+SUM(J186:J268)</f>
        <v>263136.90593116067</v>
      </c>
      <c r="K269" s="2280">
        <f t="shared" ref="K269:T269" si="5">+SUM(K186:K268)</f>
        <v>261478.52336116068</v>
      </c>
      <c r="L269" s="2280">
        <f t="shared" si="5"/>
        <v>261478.52336116068</v>
      </c>
      <c r="M269" s="2280">
        <f t="shared" si="5"/>
        <v>261478.52336116068</v>
      </c>
      <c r="N269" s="2280">
        <f t="shared" si="5"/>
        <v>261478.52336116068</v>
      </c>
      <c r="O269" s="2280">
        <f t="shared" si="5"/>
        <v>261478.52336116068</v>
      </c>
      <c r="P269" s="2280">
        <f t="shared" si="5"/>
        <v>262560.735039494</v>
      </c>
      <c r="Q269" s="2280">
        <f t="shared" si="5"/>
        <v>262560.735039494</v>
      </c>
      <c r="R269" s="2280">
        <f t="shared" si="5"/>
        <v>262560.735039494</v>
      </c>
      <c r="S269" s="2280">
        <f t="shared" si="5"/>
        <v>262560.735039494</v>
      </c>
      <c r="T269" s="2280">
        <f t="shared" si="5"/>
        <v>262560.735039494</v>
      </c>
      <c r="U269" s="2280">
        <f>+SUM(U186:U268)</f>
        <v>262560.735039494</v>
      </c>
      <c r="V269" s="2325">
        <f>+SUM(J269:U269)</f>
        <v>3145893.9329739278</v>
      </c>
      <c r="W269" s="2308"/>
    </row>
    <row r="270" spans="6:23" ht="15" thickTop="1">
      <c r="F270" s="2078"/>
      <c r="G270" s="2078"/>
      <c r="H270" s="2318"/>
      <c r="I270" s="2320"/>
      <c r="J270" s="2320"/>
      <c r="K270" s="2320"/>
      <c r="L270" s="2320"/>
      <c r="M270" s="2320"/>
      <c r="N270" s="2320"/>
      <c r="O270" s="2320"/>
      <c r="P270" s="2320"/>
      <c r="Q270" s="2320"/>
      <c r="R270" s="2320"/>
      <c r="S270" s="2320"/>
      <c r="T270" s="2320"/>
      <c r="U270" s="2319"/>
      <c r="V270" s="2319">
        <f>+V269-SUM(V186:V268)</f>
        <v>0</v>
      </c>
      <c r="W270" s="2308"/>
    </row>
    <row r="271" spans="6:23" ht="14.4">
      <c r="F271" s="2078"/>
      <c r="G271" s="2078"/>
      <c r="H271" s="2321"/>
      <c r="I271" s="2320"/>
      <c r="J271" s="2320"/>
      <c r="K271" s="2320"/>
      <c r="L271" s="2320"/>
      <c r="M271" s="2320"/>
      <c r="N271" s="2320"/>
      <c r="O271" s="2320"/>
      <c r="P271" s="2320"/>
      <c r="Q271" s="2320"/>
      <c r="R271" s="2320"/>
      <c r="S271" s="2320"/>
      <c r="T271" s="2320"/>
      <c r="U271" s="2320"/>
      <c r="V271" s="2320"/>
      <c r="W271" s="230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8" tint="0.59999389629810485"/>
  </sheetPr>
  <dimension ref="A2:Z248"/>
  <sheetViews>
    <sheetView tabSelected="1" showOutlineSymbols="0" workbookViewId="0"/>
  </sheetViews>
  <sheetFormatPr defaultRowHeight="14.4"/>
  <cols>
    <col min="2" max="2" width="23.109375" bestFit="1" customWidth="1"/>
    <col min="3" max="3" width="44.44140625" bestFit="1" customWidth="1"/>
    <col min="4" max="5" width="9.88671875" bestFit="1" customWidth="1"/>
    <col min="6" max="6" width="10.88671875" bestFit="1" customWidth="1"/>
    <col min="7" max="7" width="11.33203125" bestFit="1" customWidth="1"/>
    <col min="9" max="9" width="19.88671875" bestFit="1" customWidth="1"/>
    <col min="10" max="10" width="18" customWidth="1"/>
    <col min="13" max="13" width="38" bestFit="1" customWidth="1"/>
    <col min="14" max="14" width="9.88671875" bestFit="1" customWidth="1"/>
    <col min="16" max="16" width="10.88671875" bestFit="1" customWidth="1"/>
    <col min="17" max="17" width="12" bestFit="1" customWidth="1"/>
    <col min="18" max="18" width="12" customWidth="1"/>
    <col min="19" max="19" width="13.44140625" bestFit="1" customWidth="1"/>
    <col min="20" max="20" width="13.88671875" bestFit="1" customWidth="1"/>
    <col min="22" max="22" width="38" bestFit="1" customWidth="1"/>
    <col min="26" max="26" width="12" bestFit="1" customWidth="1"/>
  </cols>
  <sheetData>
    <row r="2" spans="1:26">
      <c r="C2" s="50" t="s">
        <v>3450</v>
      </c>
      <c r="P2" t="s">
        <v>9448</v>
      </c>
      <c r="Q2" t="s">
        <v>1480</v>
      </c>
    </row>
    <row r="3" spans="1:26" ht="15" thickBot="1">
      <c r="B3" s="50" t="s">
        <v>3460</v>
      </c>
      <c r="C3" s="50" t="s">
        <v>9443</v>
      </c>
      <c r="D3" s="49" t="s">
        <v>3451</v>
      </c>
      <c r="E3" s="49" t="s">
        <v>3452</v>
      </c>
      <c r="F3" s="49" t="s">
        <v>3453</v>
      </c>
      <c r="G3" s="49"/>
      <c r="I3" s="1962" t="s">
        <v>116</v>
      </c>
      <c r="N3" s="46">
        <f>+SUM(D5:D158)-SUM(N6:O163)</f>
        <v>0</v>
      </c>
      <c r="P3" s="46">
        <f>+SUM(E5:E196)-SUM(P6:P155)</f>
        <v>-26439.608223125339</v>
      </c>
      <c r="Q3" s="46">
        <f>+SUM(F5:F196)-SUM(Q6:Q199)</f>
        <v>-35491.757845878601</v>
      </c>
      <c r="S3" t="s">
        <v>9445</v>
      </c>
      <c r="T3" s="64">
        <f>+SUM(W6:Z131)</f>
        <v>518972993</v>
      </c>
    </row>
    <row r="4" spans="1:26" ht="15" thickBot="1">
      <c r="B4" s="2329" t="s">
        <v>3461</v>
      </c>
      <c r="C4" s="2330"/>
      <c r="D4" s="2331">
        <v>350</v>
      </c>
      <c r="E4" s="2331">
        <v>352</v>
      </c>
      <c r="F4" s="2331">
        <v>353</v>
      </c>
      <c r="G4" s="2331" t="s">
        <v>3454</v>
      </c>
      <c r="S4" t="s">
        <v>9446</v>
      </c>
      <c r="T4" s="2332">
        <v>528438828.20999998</v>
      </c>
    </row>
    <row r="5" spans="1:26">
      <c r="A5" s="46">
        <f>+_xlfn.XLOOKUP(C5,M:M,P:P)-E5</f>
        <v>0</v>
      </c>
      <c r="B5" s="1962">
        <v>1</v>
      </c>
      <c r="C5" s="1962" t="s">
        <v>3224</v>
      </c>
      <c r="D5" s="2333">
        <f>+_xlfn.XLOOKUP($C5,$M:$M,N:N,0)+_xlfn.XLOOKUP(C5,M:M,O:O)</f>
        <v>65176.495523137732</v>
      </c>
      <c r="E5" s="2333">
        <f>+IFERROR(_xlfn.XLOOKUP(C5,M:M,P:P),0)</f>
        <v>329725.31368724612</v>
      </c>
      <c r="F5" s="2333">
        <f>+_xlfn.XLOOKUP($C5,$M:$M,Q:Q,0)</f>
        <v>3779724.5658470248</v>
      </c>
      <c r="G5" s="2334">
        <f>+SUM(D5:F5)</f>
        <v>4174626.3750574086</v>
      </c>
      <c r="I5" s="50" t="s">
        <v>8321</v>
      </c>
      <c r="J5" s="46">
        <f>+SUM(G:G)</f>
        <v>528376896.84393126</v>
      </c>
      <c r="M5" t="s">
        <v>4046</v>
      </c>
      <c r="N5">
        <v>135000</v>
      </c>
      <c r="O5">
        <v>135001</v>
      </c>
      <c r="P5">
        <v>135200</v>
      </c>
      <c r="Q5">
        <v>135300</v>
      </c>
      <c r="S5" t="s">
        <v>9447</v>
      </c>
      <c r="T5">
        <f>+T4/T3</f>
        <v>1.018239552611941</v>
      </c>
      <c r="V5" t="s">
        <v>4046</v>
      </c>
      <c r="W5">
        <v>135000</v>
      </c>
      <c r="X5">
        <v>135001</v>
      </c>
      <c r="Y5">
        <v>135200</v>
      </c>
      <c r="Z5">
        <v>135300</v>
      </c>
    </row>
    <row r="6" spans="1:26">
      <c r="A6" s="46">
        <f t="shared" ref="A6:A69" si="0">+_xlfn.XLOOKUP(C6,M:M,P:P)-E6</f>
        <v>0</v>
      </c>
      <c r="B6" s="1962">
        <v>7</v>
      </c>
      <c r="C6" s="1962" t="s">
        <v>3226</v>
      </c>
      <c r="D6" s="2333">
        <f t="shared" ref="D6:D70" si="1">+_xlfn.SINGLE(_xlfn.XLOOKUP(C6,M:M,N:N,0))+_xlfn.SINGLE(_xlfn.XLOOKUP(C6,M:M,O:O))</f>
        <v>44699.6981201116</v>
      </c>
      <c r="E6" s="2333">
        <f t="shared" ref="E6:E70" si="2">+IFERROR(_xlfn.XLOOKUP(C6,M:M,P:P),0)</f>
        <v>1016778.3788539428</v>
      </c>
      <c r="F6" s="2333">
        <f t="shared" ref="F6:F70" si="3">+_xlfn.SINGLE(_xlfn.XLOOKUP($C6,$M:$M,Q:Q,0))</f>
        <v>5661259.1765895002</v>
      </c>
      <c r="G6" s="2334">
        <f t="shared" ref="G6:G70" si="4">+SUM(D6:F6)</f>
        <v>6722737.253563555</v>
      </c>
      <c r="I6" s="50" t="s">
        <v>8322</v>
      </c>
      <c r="J6" s="1657">
        <f>+'Tranmission Substation Detail'!F147+'Tranmission Substation Detail'!H147+'Tranmission Substation Detail'!J147-'Tranmission Substation Detail'!C9</f>
        <v>528376896.8439312</v>
      </c>
      <c r="L6">
        <f t="shared" ref="L6:L37" si="5">+_xlfn.XLOOKUP(M6,C:C,F:F)-Q6</f>
        <v>0</v>
      </c>
      <c r="M6" t="s">
        <v>3224</v>
      </c>
      <c r="N6" s="64">
        <f>+W6*$T$5</f>
        <v>65176.495523137732</v>
      </c>
      <c r="O6" s="64">
        <f t="shared" ref="O6:O69" si="6">+X6*$T$5</f>
        <v>0</v>
      </c>
      <c r="P6" s="64">
        <f t="shared" ref="P6:P69" si="7">+Y6*$T$5</f>
        <v>329725.31368724612</v>
      </c>
      <c r="Q6" s="64">
        <f t="shared" ref="Q6:Q69" si="8">+Z6*$T$5</f>
        <v>3779724.5658470248</v>
      </c>
      <c r="R6" s="64"/>
      <c r="S6" s="64"/>
      <c r="V6" t="s">
        <v>3224</v>
      </c>
      <c r="W6" s="64">
        <v>64009</v>
      </c>
      <c r="Y6" s="64">
        <v>323819</v>
      </c>
      <c r="Z6" s="64">
        <v>3712019</v>
      </c>
    </row>
    <row r="7" spans="1:26">
      <c r="A7" s="46">
        <f t="shared" si="0"/>
        <v>0</v>
      </c>
      <c r="B7" s="1962">
        <v>7</v>
      </c>
      <c r="C7" s="1962" t="s">
        <v>3228</v>
      </c>
      <c r="D7" s="2333">
        <f t="shared" si="1"/>
        <v>62536.200363214964</v>
      </c>
      <c r="E7" s="2333">
        <f t="shared" si="2"/>
        <v>181849.43818007177</v>
      </c>
      <c r="F7" s="2333">
        <f t="shared" si="3"/>
        <v>4459371.9747475749</v>
      </c>
      <c r="G7" s="2334">
        <f t="shared" si="4"/>
        <v>4703757.6132908612</v>
      </c>
      <c r="J7" s="46">
        <f>+J5-J6</f>
        <v>0</v>
      </c>
      <c r="L7">
        <f t="shared" si="5"/>
        <v>0</v>
      </c>
      <c r="M7" t="s">
        <v>3226</v>
      </c>
      <c r="N7" s="64">
        <f t="shared" ref="N7:N70" si="9">+W7*$T$5</f>
        <v>44699.6981201116</v>
      </c>
      <c r="O7" s="64">
        <f t="shared" si="6"/>
        <v>0</v>
      </c>
      <c r="P7" s="64">
        <f t="shared" si="7"/>
        <v>1016778.3788539428</v>
      </c>
      <c r="Q7" s="64">
        <f t="shared" si="8"/>
        <v>5661259.1765895002</v>
      </c>
      <c r="R7" s="64"/>
      <c r="S7" s="64"/>
      <c r="V7" t="s">
        <v>3226</v>
      </c>
      <c r="W7" s="64">
        <v>43899</v>
      </c>
      <c r="Y7" s="64">
        <v>998565</v>
      </c>
      <c r="Z7" s="64">
        <v>5559850</v>
      </c>
    </row>
    <row r="8" spans="1:26">
      <c r="A8" s="46" t="e">
        <f t="shared" si="0"/>
        <v>#N/A</v>
      </c>
      <c r="B8" s="1962">
        <v>1</v>
      </c>
      <c r="C8" s="1962" t="s">
        <v>3230</v>
      </c>
      <c r="D8" s="2335"/>
      <c r="E8" s="2336">
        <f t="shared" si="2"/>
        <v>0</v>
      </c>
      <c r="F8" s="2336">
        <f t="shared" si="3"/>
        <v>0</v>
      </c>
      <c r="G8" s="2334">
        <f t="shared" si="4"/>
        <v>0</v>
      </c>
      <c r="L8">
        <f t="shared" si="5"/>
        <v>0</v>
      </c>
      <c r="M8" t="s">
        <v>3228</v>
      </c>
      <c r="N8" s="64">
        <f t="shared" si="9"/>
        <v>62536.200363214964</v>
      </c>
      <c r="O8" s="64">
        <f t="shared" si="6"/>
        <v>0</v>
      </c>
      <c r="P8" s="64">
        <f t="shared" si="7"/>
        <v>181849.43818007177</v>
      </c>
      <c r="Q8" s="64">
        <f t="shared" si="8"/>
        <v>4459371.9747475749</v>
      </c>
      <c r="R8" s="64"/>
      <c r="S8" s="64"/>
      <c r="V8" t="s">
        <v>3228</v>
      </c>
      <c r="W8" s="64">
        <v>61416</v>
      </c>
      <c r="Y8" s="64">
        <v>178592</v>
      </c>
      <c r="Z8" s="64">
        <v>4379492</v>
      </c>
    </row>
    <row r="9" spans="1:26">
      <c r="A9" s="46">
        <f t="shared" si="0"/>
        <v>0</v>
      </c>
      <c r="B9" s="1962">
        <v>1</v>
      </c>
      <c r="C9" s="1962" t="s">
        <v>3232</v>
      </c>
      <c r="D9" s="2335">
        <f t="shared" si="1"/>
        <v>3857.0914252940324</v>
      </c>
      <c r="E9" s="2336">
        <f t="shared" si="2"/>
        <v>128761.48262554299</v>
      </c>
      <c r="F9" s="2336">
        <f t="shared" si="3"/>
        <v>3476601.778711318</v>
      </c>
      <c r="G9" s="2334">
        <f t="shared" si="4"/>
        <v>3609220.3527621552</v>
      </c>
      <c r="L9">
        <f t="shared" si="5"/>
        <v>0</v>
      </c>
      <c r="M9" t="s">
        <v>3232</v>
      </c>
      <c r="N9" s="64">
        <f t="shared" si="9"/>
        <v>3857.0914252940324</v>
      </c>
      <c r="O9" s="64">
        <f t="shared" si="6"/>
        <v>0</v>
      </c>
      <c r="P9" s="64">
        <f t="shared" si="7"/>
        <v>128761.48262554299</v>
      </c>
      <c r="Q9" s="64">
        <f t="shared" si="8"/>
        <v>3476601.778711318</v>
      </c>
      <c r="R9" s="64"/>
      <c r="S9" s="64"/>
      <c r="V9" t="s">
        <v>3232</v>
      </c>
      <c r="W9" s="64">
        <v>3788</v>
      </c>
      <c r="Y9" s="64">
        <v>126455</v>
      </c>
      <c r="Z9" s="64">
        <v>3414326</v>
      </c>
    </row>
    <row r="10" spans="1:26">
      <c r="A10" s="46">
        <f t="shared" si="0"/>
        <v>0</v>
      </c>
      <c r="B10" s="1962">
        <v>1</v>
      </c>
      <c r="C10" s="1962" t="s">
        <v>3234</v>
      </c>
      <c r="D10" s="2335">
        <f t="shared" si="1"/>
        <v>8518.5920971514988</v>
      </c>
      <c r="E10" s="2336">
        <f t="shared" si="2"/>
        <v>426712.6310735335</v>
      </c>
      <c r="F10" s="2336">
        <f t="shared" si="3"/>
        <v>3300815.9570670505</v>
      </c>
      <c r="G10" s="2334">
        <f t="shared" si="4"/>
        <v>3736047.1802377356</v>
      </c>
      <c r="L10">
        <f t="shared" si="5"/>
        <v>0</v>
      </c>
      <c r="M10" t="s">
        <v>3234</v>
      </c>
      <c r="N10" s="64">
        <f t="shared" si="9"/>
        <v>8518.5920971514988</v>
      </c>
      <c r="O10" s="64">
        <f t="shared" si="6"/>
        <v>0</v>
      </c>
      <c r="P10" s="64">
        <f t="shared" si="7"/>
        <v>426712.6310735335</v>
      </c>
      <c r="Q10" s="64">
        <f t="shared" si="8"/>
        <v>3300815.9570670505</v>
      </c>
      <c r="R10" s="64"/>
      <c r="S10" s="64"/>
      <c r="V10" t="s">
        <v>3234</v>
      </c>
      <c r="W10" s="64">
        <v>8366</v>
      </c>
      <c r="Y10" s="64">
        <v>419069</v>
      </c>
      <c r="Z10" s="64">
        <v>3241689</v>
      </c>
    </row>
    <row r="11" spans="1:26">
      <c r="A11" s="46">
        <f t="shared" si="0"/>
        <v>0</v>
      </c>
      <c r="B11" s="1962">
        <v>7</v>
      </c>
      <c r="C11" s="1962" t="s">
        <v>3236</v>
      </c>
      <c r="D11" s="2335">
        <f t="shared" si="1"/>
        <v>258374.21351706958</v>
      </c>
      <c r="E11" s="2336">
        <f t="shared" si="2"/>
        <v>4255982.6970715495</v>
      </c>
      <c r="F11" s="2336">
        <f t="shared" si="3"/>
        <v>24934414.951024558</v>
      </c>
      <c r="G11" s="2334">
        <f t="shared" si="4"/>
        <v>29448771.861613177</v>
      </c>
      <c r="L11">
        <f t="shared" si="5"/>
        <v>0</v>
      </c>
      <c r="M11" t="s">
        <v>3236</v>
      </c>
      <c r="N11" s="64">
        <f t="shared" si="9"/>
        <v>258374.21351706958</v>
      </c>
      <c r="O11" s="64">
        <f t="shared" si="6"/>
        <v>0</v>
      </c>
      <c r="P11" s="64">
        <f t="shared" si="7"/>
        <v>4255982.6970715495</v>
      </c>
      <c r="Q11" s="64">
        <f t="shared" si="8"/>
        <v>24934414.951024558</v>
      </c>
      <c r="R11" s="64"/>
      <c r="S11" s="64"/>
      <c r="V11" t="s">
        <v>3236</v>
      </c>
      <c r="W11" s="64">
        <v>253746</v>
      </c>
      <c r="Y11" s="64">
        <v>4179746</v>
      </c>
      <c r="Z11" s="64">
        <v>24487769</v>
      </c>
    </row>
    <row r="12" spans="1:26">
      <c r="A12" s="46">
        <f t="shared" si="0"/>
        <v>0</v>
      </c>
      <c r="B12" s="1962">
        <v>1</v>
      </c>
      <c r="C12" s="1962" t="s">
        <v>3238</v>
      </c>
      <c r="D12" s="2335">
        <f t="shared" si="1"/>
        <v>0</v>
      </c>
      <c r="E12" s="2336">
        <f t="shared" si="2"/>
        <v>14156.584499963816</v>
      </c>
      <c r="F12" s="2336">
        <f t="shared" si="3"/>
        <v>356415.40884031029</v>
      </c>
      <c r="G12" s="2334">
        <f t="shared" si="4"/>
        <v>370571.99334027409</v>
      </c>
      <c r="L12">
        <f t="shared" si="5"/>
        <v>0</v>
      </c>
      <c r="M12" t="s">
        <v>3238</v>
      </c>
      <c r="N12" s="64">
        <f t="shared" si="9"/>
        <v>0</v>
      </c>
      <c r="O12" s="64">
        <f t="shared" si="6"/>
        <v>0</v>
      </c>
      <c r="P12" s="64">
        <f t="shared" si="7"/>
        <v>14156.584499963816</v>
      </c>
      <c r="Q12" s="64">
        <f t="shared" si="8"/>
        <v>356415.40884031029</v>
      </c>
      <c r="R12" s="64"/>
      <c r="S12" s="64"/>
      <c r="V12" t="s">
        <v>3238</v>
      </c>
      <c r="Y12" s="64">
        <v>13903</v>
      </c>
      <c r="Z12" s="64">
        <v>350031</v>
      </c>
    </row>
    <row r="13" spans="1:26">
      <c r="A13" s="46">
        <f t="shared" si="0"/>
        <v>0</v>
      </c>
      <c r="B13" s="1962">
        <v>1</v>
      </c>
      <c r="C13" s="1962" t="s">
        <v>3240</v>
      </c>
      <c r="D13" s="2335">
        <f t="shared" si="1"/>
        <v>2617.8938897653002</v>
      </c>
      <c r="E13" s="2336">
        <f t="shared" si="2"/>
        <v>111300.71077735344</v>
      </c>
      <c r="F13" s="2336">
        <f t="shared" si="3"/>
        <v>813559.1471832043</v>
      </c>
      <c r="G13" s="2334">
        <f t="shared" si="4"/>
        <v>927477.75185032305</v>
      </c>
      <c r="L13">
        <f t="shared" si="5"/>
        <v>0</v>
      </c>
      <c r="M13" t="s">
        <v>3240</v>
      </c>
      <c r="N13" s="64">
        <f t="shared" si="9"/>
        <v>2617.8938897653002</v>
      </c>
      <c r="O13" s="64">
        <f t="shared" si="6"/>
        <v>0</v>
      </c>
      <c r="P13" s="64">
        <f t="shared" si="7"/>
        <v>111300.71077735344</v>
      </c>
      <c r="Q13" s="64">
        <f t="shared" si="8"/>
        <v>813559.1471832043</v>
      </c>
      <c r="R13" s="64"/>
      <c r="S13" s="64"/>
      <c r="V13" t="s">
        <v>3240</v>
      </c>
      <c r="W13" s="64">
        <v>2571</v>
      </c>
      <c r="Y13" s="64">
        <v>109307</v>
      </c>
      <c r="Z13" s="64">
        <v>798986</v>
      </c>
    </row>
    <row r="14" spans="1:26">
      <c r="A14" s="46">
        <f t="shared" si="0"/>
        <v>0</v>
      </c>
      <c r="B14" s="1962">
        <v>1</v>
      </c>
      <c r="C14" s="1962" t="s">
        <v>3242</v>
      </c>
      <c r="D14" s="2335">
        <f t="shared" si="1"/>
        <v>0</v>
      </c>
      <c r="E14" s="2336">
        <f t="shared" si="2"/>
        <v>7211.1725115977661</v>
      </c>
      <c r="F14" s="2336">
        <f t="shared" si="3"/>
        <v>101246.61343486313</v>
      </c>
      <c r="G14" s="2334">
        <f t="shared" si="4"/>
        <v>108457.78594646089</v>
      </c>
      <c r="L14">
        <f t="shared" si="5"/>
        <v>0</v>
      </c>
      <c r="M14" t="s">
        <v>3242</v>
      </c>
      <c r="N14" s="64">
        <f t="shared" si="9"/>
        <v>0</v>
      </c>
      <c r="O14" s="64">
        <f t="shared" si="6"/>
        <v>0</v>
      </c>
      <c r="P14" s="64">
        <f t="shared" si="7"/>
        <v>7211.1725115977661</v>
      </c>
      <c r="Q14" s="64">
        <f t="shared" si="8"/>
        <v>101246.61343486313</v>
      </c>
      <c r="R14" s="64"/>
      <c r="S14" s="64"/>
      <c r="V14" t="s">
        <v>3242</v>
      </c>
      <c r="Y14" s="64">
        <v>7082</v>
      </c>
      <c r="Z14" s="64">
        <v>99433</v>
      </c>
    </row>
    <row r="15" spans="1:26">
      <c r="A15" s="46">
        <f t="shared" si="0"/>
        <v>0</v>
      </c>
      <c r="B15" s="1962">
        <v>1</v>
      </c>
      <c r="C15" s="1962" t="s">
        <v>3244</v>
      </c>
      <c r="D15" s="2335">
        <f t="shared" si="1"/>
        <v>0</v>
      </c>
      <c r="E15" s="2336">
        <f t="shared" si="2"/>
        <v>1408.2253012623144</v>
      </c>
      <c r="F15" s="2336">
        <f t="shared" si="3"/>
        <v>125723.05580054897</v>
      </c>
      <c r="G15" s="2334">
        <f t="shared" si="4"/>
        <v>127131.28110181128</v>
      </c>
      <c r="L15">
        <f t="shared" si="5"/>
        <v>0</v>
      </c>
      <c r="M15" t="s">
        <v>3244</v>
      </c>
      <c r="N15" s="64">
        <f t="shared" si="9"/>
        <v>0</v>
      </c>
      <c r="O15" s="64">
        <f t="shared" si="6"/>
        <v>0</v>
      </c>
      <c r="P15" s="64">
        <f t="shared" si="7"/>
        <v>1408.2253012623144</v>
      </c>
      <c r="Q15" s="64">
        <f t="shared" si="8"/>
        <v>125723.05580054897</v>
      </c>
      <c r="R15" s="64"/>
      <c r="S15" s="64"/>
      <c r="V15" t="s">
        <v>3244</v>
      </c>
      <c r="Y15" s="64">
        <v>1383</v>
      </c>
      <c r="Z15" s="64">
        <v>123471</v>
      </c>
    </row>
    <row r="16" spans="1:26">
      <c r="A16" s="46">
        <f t="shared" si="0"/>
        <v>0</v>
      </c>
      <c r="B16" s="1962">
        <v>7</v>
      </c>
      <c r="C16" s="1962" t="s">
        <v>3246</v>
      </c>
      <c r="D16" s="2335">
        <f t="shared" si="1"/>
        <v>162022.27761161205</v>
      </c>
      <c r="E16" s="2336">
        <f t="shared" si="2"/>
        <v>1686369.6539328974</v>
      </c>
      <c r="F16" s="2336">
        <f t="shared" si="3"/>
        <v>9246412.4192861188</v>
      </c>
      <c r="G16" s="2334">
        <f t="shared" si="4"/>
        <v>11094804.350830628</v>
      </c>
      <c r="L16">
        <f t="shared" si="5"/>
        <v>0</v>
      </c>
      <c r="M16" t="s">
        <v>3246</v>
      </c>
      <c r="N16" s="64">
        <f t="shared" si="9"/>
        <v>162022.27761161205</v>
      </c>
      <c r="O16" s="64">
        <f t="shared" si="6"/>
        <v>0</v>
      </c>
      <c r="P16" s="64">
        <f t="shared" si="7"/>
        <v>1686369.6539328974</v>
      </c>
      <c r="Q16" s="64">
        <f t="shared" si="8"/>
        <v>9246412.4192861188</v>
      </c>
      <c r="R16" s="64"/>
      <c r="S16" s="64"/>
      <c r="V16" t="s">
        <v>3246</v>
      </c>
      <c r="W16" s="64">
        <v>159120</v>
      </c>
      <c r="Y16" s="64">
        <v>1656162</v>
      </c>
      <c r="Z16" s="64">
        <v>9080783</v>
      </c>
    </row>
    <row r="17" spans="1:26">
      <c r="A17" s="46">
        <f t="shared" si="0"/>
        <v>0</v>
      </c>
      <c r="B17" s="1962">
        <v>7</v>
      </c>
      <c r="C17" s="1962" t="s">
        <v>3248</v>
      </c>
      <c r="D17" s="2335">
        <f t="shared" si="1"/>
        <v>491245.59919942048</v>
      </c>
      <c r="E17" s="2336">
        <f t="shared" si="2"/>
        <v>434374.88370693836</v>
      </c>
      <c r="F17" s="2336">
        <f t="shared" si="3"/>
        <v>5385968.9493848886</v>
      </c>
      <c r="G17" s="2334">
        <f t="shared" si="4"/>
        <v>6311589.432291247</v>
      </c>
      <c r="L17">
        <f t="shared" si="5"/>
        <v>0</v>
      </c>
      <c r="M17" t="s">
        <v>3248</v>
      </c>
      <c r="N17" s="64">
        <f t="shared" si="9"/>
        <v>491245.59919942048</v>
      </c>
      <c r="O17" s="64">
        <f t="shared" si="6"/>
        <v>0</v>
      </c>
      <c r="P17" s="64">
        <f t="shared" si="7"/>
        <v>434374.88370693836</v>
      </c>
      <c r="Q17" s="64">
        <f t="shared" si="8"/>
        <v>5385968.9493848886</v>
      </c>
      <c r="R17" s="64"/>
      <c r="S17" s="64"/>
      <c r="V17" t="s">
        <v>3248</v>
      </c>
      <c r="W17" s="64">
        <v>482446</v>
      </c>
      <c r="Y17" s="64">
        <v>426594</v>
      </c>
      <c r="Z17" s="64">
        <v>5289491</v>
      </c>
    </row>
    <row r="18" spans="1:26">
      <c r="A18" s="46">
        <f t="shared" si="0"/>
        <v>0</v>
      </c>
      <c r="B18" s="1962">
        <v>7</v>
      </c>
      <c r="C18" s="1962" t="s">
        <v>3250</v>
      </c>
      <c r="D18" s="2335">
        <f t="shared" si="1"/>
        <v>111976.82184028777</v>
      </c>
      <c r="E18" s="2336">
        <f t="shared" si="2"/>
        <v>1092714.6117295309</v>
      </c>
      <c r="F18" s="2336">
        <f t="shared" si="3"/>
        <v>10549905.67312498</v>
      </c>
      <c r="G18" s="2334">
        <f t="shared" si="4"/>
        <v>11754597.106694799</v>
      </c>
      <c r="L18">
        <f t="shared" si="5"/>
        <v>0</v>
      </c>
      <c r="M18" t="s">
        <v>3250</v>
      </c>
      <c r="N18" s="64">
        <f t="shared" si="9"/>
        <v>111976.82184028777</v>
      </c>
      <c r="O18" s="64">
        <f t="shared" si="6"/>
        <v>0</v>
      </c>
      <c r="P18" s="64">
        <f t="shared" si="7"/>
        <v>1092714.6117295309</v>
      </c>
      <c r="Q18" s="64">
        <f t="shared" si="8"/>
        <v>10549905.67312498</v>
      </c>
      <c r="R18" s="64"/>
      <c r="S18" s="64"/>
      <c r="V18" t="s">
        <v>3250</v>
      </c>
      <c r="W18" s="64">
        <v>109971</v>
      </c>
      <c r="Y18" s="64">
        <v>1073141</v>
      </c>
      <c r="Z18" s="64">
        <v>10360927</v>
      </c>
    </row>
    <row r="19" spans="1:26">
      <c r="A19" s="46">
        <f t="shared" si="0"/>
        <v>0</v>
      </c>
      <c r="B19" s="1962">
        <v>7</v>
      </c>
      <c r="C19" s="1962" t="s">
        <v>3252</v>
      </c>
      <c r="D19" s="2335">
        <f t="shared" si="1"/>
        <v>3131.0866242817187</v>
      </c>
      <c r="E19" s="2336">
        <f t="shared" si="2"/>
        <v>424352.35179057904</v>
      </c>
      <c r="F19" s="2336">
        <f t="shared" si="3"/>
        <v>5249026.9301936608</v>
      </c>
      <c r="G19" s="2334">
        <f t="shared" si="4"/>
        <v>5676510.3686085213</v>
      </c>
      <c r="L19">
        <f t="shared" si="5"/>
        <v>0</v>
      </c>
      <c r="M19" t="s">
        <v>3252</v>
      </c>
      <c r="N19" s="64">
        <f t="shared" si="9"/>
        <v>3131.0866242817187</v>
      </c>
      <c r="O19" s="64">
        <f t="shared" si="6"/>
        <v>0</v>
      </c>
      <c r="P19" s="64">
        <f t="shared" si="7"/>
        <v>424352.35179057904</v>
      </c>
      <c r="Q19" s="64">
        <f t="shared" si="8"/>
        <v>5249026.9301936608</v>
      </c>
      <c r="R19" s="64"/>
      <c r="S19" s="64"/>
      <c r="V19" t="s">
        <v>3252</v>
      </c>
      <c r="W19" s="64">
        <v>3075</v>
      </c>
      <c r="Y19" s="64">
        <v>416751</v>
      </c>
      <c r="Z19" s="64">
        <v>5155002</v>
      </c>
    </row>
    <row r="20" spans="1:26">
      <c r="A20" s="46">
        <f t="shared" si="0"/>
        <v>0</v>
      </c>
      <c r="B20" s="1962">
        <v>7</v>
      </c>
      <c r="C20" s="1962" t="s">
        <v>3254</v>
      </c>
      <c r="D20" s="2335">
        <f t="shared" si="1"/>
        <v>17348.765497402252</v>
      </c>
      <c r="E20" s="2336">
        <f t="shared" si="2"/>
        <v>138030.5172729695</v>
      </c>
      <c r="F20" s="2336">
        <f t="shared" si="3"/>
        <v>7408552.1394342752</v>
      </c>
      <c r="G20" s="2334">
        <f t="shared" si="4"/>
        <v>7563931.4222046472</v>
      </c>
      <c r="L20">
        <f t="shared" si="5"/>
        <v>0</v>
      </c>
      <c r="M20" t="s">
        <v>3254</v>
      </c>
      <c r="N20" s="64">
        <f t="shared" si="9"/>
        <v>17348.765497402252</v>
      </c>
      <c r="O20" s="64">
        <f t="shared" si="6"/>
        <v>0</v>
      </c>
      <c r="P20" s="64">
        <f t="shared" si="7"/>
        <v>138030.5172729695</v>
      </c>
      <c r="Q20" s="64">
        <f t="shared" si="8"/>
        <v>7408552.1394342752</v>
      </c>
      <c r="R20" s="64"/>
      <c r="S20" s="64"/>
      <c r="V20" t="s">
        <v>3254</v>
      </c>
      <c r="W20" s="64">
        <v>17038</v>
      </c>
      <c r="Y20" s="64">
        <v>135558</v>
      </c>
      <c r="Z20" s="64">
        <v>7275844</v>
      </c>
    </row>
    <row r="21" spans="1:26">
      <c r="A21" s="46">
        <f t="shared" si="0"/>
        <v>0</v>
      </c>
      <c r="B21" s="1962">
        <v>7</v>
      </c>
      <c r="C21" s="1962" t="s">
        <v>3256</v>
      </c>
      <c r="D21" s="2335">
        <f t="shared" si="1"/>
        <v>73359.068567927286</v>
      </c>
      <c r="E21" s="2336">
        <f t="shared" si="2"/>
        <v>485496.61868537345</v>
      </c>
      <c r="F21" s="2336">
        <f t="shared" si="3"/>
        <v>6265840.9474319452</v>
      </c>
      <c r="G21" s="2334">
        <f t="shared" si="4"/>
        <v>6824696.6346852463</v>
      </c>
      <c r="L21">
        <f t="shared" si="5"/>
        <v>0</v>
      </c>
      <c r="M21" t="s">
        <v>3256</v>
      </c>
      <c r="N21" s="64">
        <f t="shared" si="9"/>
        <v>73359.068567927286</v>
      </c>
      <c r="O21" s="64">
        <f t="shared" si="6"/>
        <v>0</v>
      </c>
      <c r="P21" s="64">
        <f t="shared" si="7"/>
        <v>485496.61868537345</v>
      </c>
      <c r="Q21" s="64">
        <f t="shared" si="8"/>
        <v>6265840.9474319452</v>
      </c>
      <c r="R21" s="64"/>
      <c r="S21" s="64"/>
      <c r="V21" t="s">
        <v>3256</v>
      </c>
      <c r="W21" s="64">
        <v>72045</v>
      </c>
      <c r="Y21" s="64">
        <v>476800</v>
      </c>
      <c r="Z21" s="64">
        <v>6153602</v>
      </c>
    </row>
    <row r="22" spans="1:26">
      <c r="A22" s="46">
        <f t="shared" si="0"/>
        <v>0</v>
      </c>
      <c r="B22" s="1962">
        <v>7</v>
      </c>
      <c r="C22" s="1962" t="s">
        <v>3258</v>
      </c>
      <c r="D22" s="2335">
        <f t="shared" si="1"/>
        <v>7450.4588064615718</v>
      </c>
      <c r="E22" s="2336">
        <f t="shared" si="2"/>
        <v>566610.59968599328</v>
      </c>
      <c r="F22" s="2336">
        <f t="shared" si="3"/>
        <v>8748368.0345939081</v>
      </c>
      <c r="G22" s="2334">
        <f t="shared" si="4"/>
        <v>9322429.0930863637</v>
      </c>
      <c r="L22">
        <f t="shared" si="5"/>
        <v>0</v>
      </c>
      <c r="M22" t="s">
        <v>3258</v>
      </c>
      <c r="N22" s="64">
        <f t="shared" si="9"/>
        <v>7450.4588064615718</v>
      </c>
      <c r="O22" s="64">
        <f t="shared" si="6"/>
        <v>0</v>
      </c>
      <c r="P22" s="64">
        <f t="shared" si="7"/>
        <v>566610.59968599328</v>
      </c>
      <c r="Q22" s="64">
        <f t="shared" si="8"/>
        <v>8748368.0345939081</v>
      </c>
      <c r="R22" s="64"/>
      <c r="S22" s="64"/>
      <c r="V22" t="s">
        <v>3258</v>
      </c>
      <c r="W22" s="64">
        <v>7317</v>
      </c>
      <c r="Y22" s="64">
        <v>556461</v>
      </c>
      <c r="Z22" s="64">
        <v>8591660</v>
      </c>
    </row>
    <row r="23" spans="1:26">
      <c r="A23" s="46">
        <f t="shared" si="0"/>
        <v>0</v>
      </c>
      <c r="B23" s="1962">
        <v>7</v>
      </c>
      <c r="C23" s="1962" t="s">
        <v>3260</v>
      </c>
      <c r="D23" s="2335">
        <f t="shared" si="1"/>
        <v>24465.241730607107</v>
      </c>
      <c r="E23" s="2336">
        <f t="shared" si="2"/>
        <v>794519.08578891365</v>
      </c>
      <c r="F23" s="2336">
        <f t="shared" si="3"/>
        <v>8141676.4713984514</v>
      </c>
      <c r="G23" s="2334">
        <f t="shared" si="4"/>
        <v>8960660.7989179716</v>
      </c>
      <c r="L23">
        <f t="shared" si="5"/>
        <v>0</v>
      </c>
      <c r="M23" t="s">
        <v>3260</v>
      </c>
      <c r="N23" s="64">
        <f t="shared" si="9"/>
        <v>24465.241730607107</v>
      </c>
      <c r="O23" s="64">
        <f t="shared" si="6"/>
        <v>0</v>
      </c>
      <c r="P23" s="64">
        <f t="shared" si="7"/>
        <v>794519.08578891365</v>
      </c>
      <c r="Q23" s="64">
        <f t="shared" si="8"/>
        <v>8141676.4713984514</v>
      </c>
      <c r="R23" s="64"/>
      <c r="S23" s="64"/>
      <c r="V23" t="s">
        <v>3260</v>
      </c>
      <c r="W23" s="64">
        <v>24027</v>
      </c>
      <c r="Y23" s="64">
        <v>780287</v>
      </c>
      <c r="Z23" s="64">
        <v>7995836</v>
      </c>
    </row>
    <row r="24" spans="1:26">
      <c r="A24" s="46">
        <f t="shared" si="0"/>
        <v>0</v>
      </c>
      <c r="B24" s="1962">
        <v>7</v>
      </c>
      <c r="C24" s="1962" t="s">
        <v>8273</v>
      </c>
      <c r="D24" s="2335">
        <f t="shared" si="1"/>
        <v>327344.66961323941</v>
      </c>
      <c r="E24" s="2336">
        <f t="shared" si="2"/>
        <v>0</v>
      </c>
      <c r="F24" s="2336">
        <f t="shared" si="3"/>
        <v>0</v>
      </c>
      <c r="G24" s="2334">
        <f t="shared" si="4"/>
        <v>327344.66961323941</v>
      </c>
      <c r="L24">
        <f t="shared" si="5"/>
        <v>0</v>
      </c>
      <c r="M24" t="s">
        <v>8273</v>
      </c>
      <c r="N24" s="64">
        <f t="shared" si="9"/>
        <v>327344.66961323941</v>
      </c>
      <c r="O24" s="64">
        <f t="shared" si="6"/>
        <v>0</v>
      </c>
      <c r="P24" s="64">
        <f t="shared" si="7"/>
        <v>0</v>
      </c>
      <c r="Q24" s="64">
        <f t="shared" si="8"/>
        <v>0</v>
      </c>
      <c r="V24" t="s">
        <v>8273</v>
      </c>
      <c r="W24" s="64">
        <v>321481</v>
      </c>
    </row>
    <row r="25" spans="1:26">
      <c r="A25" s="46">
        <f t="shared" si="0"/>
        <v>0</v>
      </c>
      <c r="B25" s="1962">
        <v>7</v>
      </c>
      <c r="C25" s="1962" t="s">
        <v>3262</v>
      </c>
      <c r="D25" s="2335">
        <f t="shared" si="1"/>
        <v>12301.352035104859</v>
      </c>
      <c r="E25" s="2336">
        <f t="shared" si="2"/>
        <v>353560.26513478643</v>
      </c>
      <c r="F25" s="2336">
        <f t="shared" si="3"/>
        <v>7593096.857710111</v>
      </c>
      <c r="G25" s="2334">
        <f t="shared" si="4"/>
        <v>7958958.4748800024</v>
      </c>
      <c r="L25">
        <f t="shared" si="5"/>
        <v>0</v>
      </c>
      <c r="M25" t="s">
        <v>3262</v>
      </c>
      <c r="N25" s="64">
        <f t="shared" si="9"/>
        <v>12301.352035104859</v>
      </c>
      <c r="O25" s="64">
        <f t="shared" si="6"/>
        <v>0</v>
      </c>
      <c r="P25" s="64">
        <f t="shared" si="7"/>
        <v>353560.26513478643</v>
      </c>
      <c r="Q25" s="64">
        <f t="shared" si="8"/>
        <v>7593096.857710111</v>
      </c>
      <c r="R25" s="64"/>
      <c r="S25" s="64"/>
      <c r="V25" t="s">
        <v>3262</v>
      </c>
      <c r="W25" s="64">
        <v>12081</v>
      </c>
      <c r="Y25" s="64">
        <v>347227</v>
      </c>
      <c r="Z25" s="64">
        <v>7457083</v>
      </c>
    </row>
    <row r="26" spans="1:26">
      <c r="A26" s="46">
        <f t="shared" si="0"/>
        <v>0</v>
      </c>
      <c r="B26" s="1962">
        <v>1</v>
      </c>
      <c r="C26" s="1962" t="s">
        <v>3264</v>
      </c>
      <c r="D26" s="2335">
        <f t="shared" si="1"/>
        <v>3438.5949691705246</v>
      </c>
      <c r="E26" s="2336">
        <f t="shared" si="2"/>
        <v>174658.63045952623</v>
      </c>
      <c r="F26" s="2336">
        <f t="shared" si="3"/>
        <v>1969430.0671634909</v>
      </c>
      <c r="G26" s="2334">
        <f t="shared" si="4"/>
        <v>2147527.2925921879</v>
      </c>
      <c r="L26">
        <f t="shared" si="5"/>
        <v>0</v>
      </c>
      <c r="M26" t="s">
        <v>3264</v>
      </c>
      <c r="N26" s="64">
        <f t="shared" si="9"/>
        <v>3438.5949691705246</v>
      </c>
      <c r="O26" s="64">
        <f t="shared" si="6"/>
        <v>0</v>
      </c>
      <c r="P26" s="64">
        <f t="shared" si="7"/>
        <v>174658.63045952623</v>
      </c>
      <c r="Q26" s="64">
        <f t="shared" si="8"/>
        <v>1969430.0671634909</v>
      </c>
      <c r="R26" s="64"/>
      <c r="S26" s="64"/>
      <c r="V26" t="s">
        <v>3264</v>
      </c>
      <c r="W26" s="64">
        <v>3377</v>
      </c>
      <c r="Y26" s="64">
        <v>171530</v>
      </c>
      <c r="Z26" s="64">
        <v>1934152</v>
      </c>
    </row>
    <row r="27" spans="1:26">
      <c r="A27" s="46">
        <f t="shared" si="0"/>
        <v>0</v>
      </c>
      <c r="B27" s="1962">
        <v>7</v>
      </c>
      <c r="C27" s="1962" t="s">
        <v>3266</v>
      </c>
      <c r="D27" s="2335">
        <f t="shared" si="1"/>
        <v>19442.266017572401</v>
      </c>
      <c r="E27" s="2336">
        <f t="shared" si="2"/>
        <v>5998807.6247594636</v>
      </c>
      <c r="F27" s="2336">
        <f t="shared" si="3"/>
        <v>23431390.529174518</v>
      </c>
      <c r="G27" s="2334">
        <f t="shared" si="4"/>
        <v>29449640.419951554</v>
      </c>
      <c r="L27">
        <f t="shared" si="5"/>
        <v>0</v>
      </c>
      <c r="M27" t="s">
        <v>3266</v>
      </c>
      <c r="N27" s="64">
        <f t="shared" si="9"/>
        <v>19442.266017572401</v>
      </c>
      <c r="O27" s="64">
        <f t="shared" si="6"/>
        <v>0</v>
      </c>
      <c r="P27" s="64">
        <f t="shared" si="7"/>
        <v>5998807.6247594636</v>
      </c>
      <c r="Q27" s="64">
        <f t="shared" si="8"/>
        <v>23431390.529174518</v>
      </c>
      <c r="R27" s="64"/>
      <c r="S27" s="64"/>
      <c r="V27" t="s">
        <v>3266</v>
      </c>
      <c r="W27" s="64">
        <v>19094</v>
      </c>
      <c r="Y27" s="64">
        <v>5891352</v>
      </c>
      <c r="Z27" s="64">
        <v>23011668</v>
      </c>
    </row>
    <row r="28" spans="1:26">
      <c r="A28" s="46">
        <f t="shared" si="0"/>
        <v>0</v>
      </c>
      <c r="B28" s="1962">
        <v>7</v>
      </c>
      <c r="C28" s="1962" t="s">
        <v>3268</v>
      </c>
      <c r="D28" s="2335">
        <f t="shared" si="1"/>
        <v>22492.911717197778</v>
      </c>
      <c r="E28" s="2336">
        <f t="shared" si="2"/>
        <v>961590.8133419283</v>
      </c>
      <c r="F28" s="2336">
        <f t="shared" si="3"/>
        <v>11360914.130228892</v>
      </c>
      <c r="G28" s="2334">
        <f t="shared" si="4"/>
        <v>12344997.855288018</v>
      </c>
      <c r="L28">
        <f t="shared" si="5"/>
        <v>0</v>
      </c>
      <c r="M28" t="s">
        <v>3268</v>
      </c>
      <c r="N28" s="64">
        <f t="shared" si="9"/>
        <v>22492.911717197778</v>
      </c>
      <c r="O28" s="64">
        <f t="shared" si="6"/>
        <v>0</v>
      </c>
      <c r="P28" s="64">
        <f t="shared" si="7"/>
        <v>961590.8133419283</v>
      </c>
      <c r="Q28" s="64">
        <f t="shared" si="8"/>
        <v>11360914.130228892</v>
      </c>
      <c r="R28" s="64"/>
      <c r="S28" s="64"/>
      <c r="V28" t="s">
        <v>3268</v>
      </c>
      <c r="W28" s="64">
        <v>22090</v>
      </c>
      <c r="Y28" s="64">
        <v>944366</v>
      </c>
      <c r="Z28" s="64">
        <v>11157408</v>
      </c>
    </row>
    <row r="29" spans="1:26">
      <c r="A29" s="46">
        <f t="shared" si="0"/>
        <v>0</v>
      </c>
      <c r="B29" s="1962">
        <v>7</v>
      </c>
      <c r="C29" s="1962" t="s">
        <v>3270</v>
      </c>
      <c r="D29" s="2335">
        <f t="shared" si="1"/>
        <v>62936.36850739146</v>
      </c>
      <c r="E29" s="2336">
        <f t="shared" si="2"/>
        <v>286632.39758115617</v>
      </c>
      <c r="F29" s="2336">
        <f t="shared" si="3"/>
        <v>9154599.7953062057</v>
      </c>
      <c r="G29" s="2334">
        <f t="shared" si="4"/>
        <v>9504168.5613947529</v>
      </c>
      <c r="L29">
        <f t="shared" si="5"/>
        <v>0</v>
      </c>
      <c r="M29" t="s">
        <v>3270</v>
      </c>
      <c r="N29" s="64">
        <f t="shared" si="9"/>
        <v>62936.36850739146</v>
      </c>
      <c r="O29" s="64">
        <f t="shared" si="6"/>
        <v>0</v>
      </c>
      <c r="P29" s="64">
        <f t="shared" si="7"/>
        <v>286632.39758115617</v>
      </c>
      <c r="Q29" s="64">
        <f t="shared" si="8"/>
        <v>9154599.7953062057</v>
      </c>
      <c r="R29" s="64"/>
      <c r="S29" s="64"/>
      <c r="V29" t="s">
        <v>3270</v>
      </c>
      <c r="W29" s="64">
        <v>61809</v>
      </c>
      <c r="Y29" s="64">
        <v>281498</v>
      </c>
      <c r="Z29" s="64">
        <v>8990615</v>
      </c>
    </row>
    <row r="30" spans="1:26">
      <c r="A30" s="46">
        <f t="shared" si="0"/>
        <v>0</v>
      </c>
      <c r="B30" s="1962">
        <v>7</v>
      </c>
      <c r="C30" s="1962" t="s">
        <v>3272</v>
      </c>
      <c r="D30" s="2335">
        <f t="shared" si="1"/>
        <v>17338.583101876131</v>
      </c>
      <c r="E30" s="2336">
        <f t="shared" si="2"/>
        <v>3067825.4373570438</v>
      </c>
      <c r="F30" s="2336">
        <f t="shared" si="3"/>
        <v>14008137.392067626</v>
      </c>
      <c r="G30" s="2334">
        <f t="shared" si="4"/>
        <v>17093301.412526548</v>
      </c>
      <c r="L30">
        <f t="shared" si="5"/>
        <v>0</v>
      </c>
      <c r="M30" t="s">
        <v>3272</v>
      </c>
      <c r="N30" s="64">
        <f t="shared" si="9"/>
        <v>17338.583101876131</v>
      </c>
      <c r="O30" s="64">
        <f t="shared" si="6"/>
        <v>0</v>
      </c>
      <c r="P30" s="64">
        <f t="shared" si="7"/>
        <v>3067825.4373570438</v>
      </c>
      <c r="Q30" s="64">
        <f t="shared" si="8"/>
        <v>14008137.392067626</v>
      </c>
      <c r="R30" s="64"/>
      <c r="S30" s="64"/>
      <c r="V30" t="s">
        <v>3272</v>
      </c>
      <c r="W30" s="64">
        <v>17028</v>
      </c>
      <c r="Y30" s="64">
        <v>3012872</v>
      </c>
      <c r="Z30" s="64">
        <v>13757212</v>
      </c>
    </row>
    <row r="31" spans="1:26">
      <c r="A31" s="46">
        <f t="shared" si="0"/>
        <v>0</v>
      </c>
      <c r="B31" s="1962">
        <v>1</v>
      </c>
      <c r="C31" s="1962" t="s">
        <v>3274</v>
      </c>
      <c r="D31" s="2335">
        <f t="shared" si="1"/>
        <v>0</v>
      </c>
      <c r="E31" s="2337">
        <f t="shared" si="2"/>
        <v>2583.2737449764941</v>
      </c>
      <c r="F31" s="2337">
        <f t="shared" si="3"/>
        <v>113278.13198852583</v>
      </c>
      <c r="G31" s="2334">
        <f t="shared" si="4"/>
        <v>115861.40573350232</v>
      </c>
      <c r="L31" t="e">
        <f t="shared" si="5"/>
        <v>#N/A</v>
      </c>
      <c r="M31" t="s">
        <v>3859</v>
      </c>
      <c r="N31" s="64">
        <f t="shared" si="9"/>
        <v>0</v>
      </c>
      <c r="O31" s="64">
        <f t="shared" si="6"/>
        <v>0</v>
      </c>
      <c r="P31" s="64">
        <f t="shared" si="7"/>
        <v>0</v>
      </c>
      <c r="Q31" s="64">
        <f t="shared" si="8"/>
        <v>0</v>
      </c>
      <c r="V31" t="s">
        <v>3859</v>
      </c>
    </row>
    <row r="32" spans="1:26">
      <c r="A32" s="46">
        <f t="shared" si="0"/>
        <v>0</v>
      </c>
      <c r="B32" s="1962">
        <v>1</v>
      </c>
      <c r="C32" s="1962" t="s">
        <v>3276</v>
      </c>
      <c r="D32" s="2335">
        <f t="shared" si="1"/>
        <v>0</v>
      </c>
      <c r="E32" s="2336">
        <f t="shared" si="2"/>
        <v>22100.889489442179</v>
      </c>
      <c r="F32" s="2336">
        <f t="shared" si="3"/>
        <v>118570.94118300269</v>
      </c>
      <c r="G32" s="2334">
        <f t="shared" si="4"/>
        <v>140671.83067244486</v>
      </c>
      <c r="L32">
        <f t="shared" si="5"/>
        <v>0</v>
      </c>
      <c r="M32" t="s">
        <v>3274</v>
      </c>
      <c r="N32" s="64">
        <f t="shared" si="9"/>
        <v>0</v>
      </c>
      <c r="O32" s="64">
        <f t="shared" si="6"/>
        <v>0</v>
      </c>
      <c r="P32" s="64">
        <f t="shared" si="7"/>
        <v>2583.2737449764941</v>
      </c>
      <c r="Q32" s="64">
        <f t="shared" si="8"/>
        <v>113278.13198852583</v>
      </c>
      <c r="R32" s="64"/>
      <c r="S32" s="64"/>
      <c r="V32" t="s">
        <v>3274</v>
      </c>
      <c r="Y32" s="64">
        <v>2537</v>
      </c>
      <c r="Z32" s="64">
        <v>111249</v>
      </c>
    </row>
    <row r="33" spans="1:26">
      <c r="A33" s="46">
        <f t="shared" si="0"/>
        <v>0</v>
      </c>
      <c r="B33" s="1962">
        <v>7</v>
      </c>
      <c r="C33" s="1962" t="s">
        <v>3278</v>
      </c>
      <c r="D33" s="2335">
        <f t="shared" si="1"/>
        <v>445968.5592529779</v>
      </c>
      <c r="E33" s="2336">
        <f t="shared" si="2"/>
        <v>778076.55349333596</v>
      </c>
      <c r="F33" s="2336">
        <f t="shared" si="3"/>
        <v>8930499.525130054</v>
      </c>
      <c r="G33" s="2334">
        <f t="shared" si="4"/>
        <v>10154544.637876367</v>
      </c>
      <c r="L33">
        <f t="shared" si="5"/>
        <v>0</v>
      </c>
      <c r="M33" t="s">
        <v>3276</v>
      </c>
      <c r="N33" s="64">
        <f t="shared" si="9"/>
        <v>0</v>
      </c>
      <c r="O33" s="64">
        <f t="shared" si="6"/>
        <v>0</v>
      </c>
      <c r="P33" s="64">
        <f t="shared" si="7"/>
        <v>22100.889489442179</v>
      </c>
      <c r="Q33" s="64">
        <f t="shared" si="8"/>
        <v>118570.94118300269</v>
      </c>
      <c r="R33" s="64"/>
      <c r="S33" s="64"/>
      <c r="V33" t="s">
        <v>3276</v>
      </c>
      <c r="Y33" s="64">
        <v>21705</v>
      </c>
      <c r="Z33" s="64">
        <v>116447</v>
      </c>
    </row>
    <row r="34" spans="1:26">
      <c r="A34" s="46">
        <f t="shared" si="0"/>
        <v>0</v>
      </c>
      <c r="B34" s="1962">
        <v>1</v>
      </c>
      <c r="C34" s="1962" t="s">
        <v>8274</v>
      </c>
      <c r="D34" s="2335">
        <f t="shared" si="1"/>
        <v>0</v>
      </c>
      <c r="E34" s="2336">
        <f t="shared" si="2"/>
        <v>0</v>
      </c>
      <c r="F34" s="2336">
        <f t="shared" si="3"/>
        <v>60031.331063789592</v>
      </c>
      <c r="G34" s="2334">
        <f t="shared" si="4"/>
        <v>60031.331063789592</v>
      </c>
      <c r="L34">
        <f t="shared" si="5"/>
        <v>0</v>
      </c>
      <c r="M34" t="s">
        <v>3278</v>
      </c>
      <c r="N34" s="64">
        <f t="shared" si="9"/>
        <v>445968.5592529779</v>
      </c>
      <c r="O34" s="64">
        <f t="shared" si="6"/>
        <v>0</v>
      </c>
      <c r="P34" s="64">
        <f t="shared" si="7"/>
        <v>778076.55349333596</v>
      </c>
      <c r="Q34" s="64">
        <f t="shared" si="8"/>
        <v>8930499.525130054</v>
      </c>
      <c r="R34" s="64"/>
      <c r="S34" s="64"/>
      <c r="V34" t="s">
        <v>3278</v>
      </c>
      <c r="W34" s="64">
        <v>437980</v>
      </c>
      <c r="Y34" s="64">
        <v>764139</v>
      </c>
      <c r="Z34" s="64">
        <v>8770529</v>
      </c>
    </row>
    <row r="35" spans="1:26">
      <c r="A35" s="46">
        <f t="shared" si="0"/>
        <v>0</v>
      </c>
      <c r="B35" s="1962">
        <v>1</v>
      </c>
      <c r="C35" s="1962" t="s">
        <v>3281</v>
      </c>
      <c r="D35" s="2335">
        <f t="shared" si="1"/>
        <v>0</v>
      </c>
      <c r="E35" s="2336">
        <f t="shared" si="2"/>
        <v>130777.59693971464</v>
      </c>
      <c r="F35" s="2336">
        <f t="shared" si="3"/>
        <v>544697.06627423177</v>
      </c>
      <c r="G35" s="2334">
        <f t="shared" si="4"/>
        <v>675474.66321394639</v>
      </c>
      <c r="L35">
        <f t="shared" si="5"/>
        <v>0</v>
      </c>
      <c r="M35" t="s">
        <v>8274</v>
      </c>
      <c r="N35" s="64">
        <f t="shared" si="9"/>
        <v>0</v>
      </c>
      <c r="O35" s="64">
        <f t="shared" si="6"/>
        <v>0</v>
      </c>
      <c r="P35" s="64">
        <v>0</v>
      </c>
      <c r="Q35" s="64">
        <f t="shared" si="8"/>
        <v>60031.331063789592</v>
      </c>
      <c r="R35" s="64"/>
      <c r="S35" s="64"/>
      <c r="V35" t="s">
        <v>8274</v>
      </c>
      <c r="Y35" t="s">
        <v>9444</v>
      </c>
      <c r="Z35" s="64">
        <v>58956</v>
      </c>
    </row>
    <row r="36" spans="1:26">
      <c r="A36" s="46">
        <f t="shared" si="0"/>
        <v>0</v>
      </c>
      <c r="B36" s="1962">
        <v>7</v>
      </c>
      <c r="C36" s="1962" t="s">
        <v>3283</v>
      </c>
      <c r="D36" s="2335">
        <f t="shared" si="1"/>
        <v>37208.50973154555</v>
      </c>
      <c r="E36" s="2336">
        <f t="shared" si="2"/>
        <v>389629.36480695923</v>
      </c>
      <c r="F36" s="2336">
        <f t="shared" si="3"/>
        <v>21294701.378380332</v>
      </c>
      <c r="G36" s="2334">
        <f t="shared" si="4"/>
        <v>21721539.252918836</v>
      </c>
      <c r="L36">
        <f t="shared" si="5"/>
        <v>0</v>
      </c>
      <c r="M36" t="s">
        <v>3281</v>
      </c>
      <c r="N36" s="64">
        <f t="shared" si="9"/>
        <v>0</v>
      </c>
      <c r="O36" s="64">
        <f t="shared" si="6"/>
        <v>0</v>
      </c>
      <c r="P36" s="64">
        <f t="shared" si="7"/>
        <v>130777.59693971464</v>
      </c>
      <c r="Q36" s="64">
        <f t="shared" si="8"/>
        <v>544697.06627423177</v>
      </c>
      <c r="R36" s="64"/>
      <c r="S36" s="64"/>
      <c r="V36" t="s">
        <v>3281</v>
      </c>
      <c r="Y36" s="64">
        <v>128435</v>
      </c>
      <c r="Z36" s="64">
        <v>534940</v>
      </c>
    </row>
    <row r="37" spans="1:26">
      <c r="A37" s="46">
        <f t="shared" si="0"/>
        <v>0</v>
      </c>
      <c r="B37" s="1962">
        <v>7</v>
      </c>
      <c r="C37" s="1962" t="s">
        <v>3285</v>
      </c>
      <c r="D37" s="2335">
        <f t="shared" si="1"/>
        <v>1320971.3357594446</v>
      </c>
      <c r="E37" s="2336">
        <f t="shared" si="2"/>
        <v>2048365.0155215212</v>
      </c>
      <c r="F37" s="2336">
        <f t="shared" si="3"/>
        <v>5215807.8830292495</v>
      </c>
      <c r="G37" s="2334">
        <f t="shared" si="4"/>
        <v>8585144.2343102153</v>
      </c>
      <c r="L37">
        <f t="shared" si="5"/>
        <v>0</v>
      </c>
      <c r="M37" t="s">
        <v>3283</v>
      </c>
      <c r="N37" s="64">
        <f t="shared" si="9"/>
        <v>37208.50973154555</v>
      </c>
      <c r="O37" s="64">
        <f t="shared" si="6"/>
        <v>0</v>
      </c>
      <c r="P37" s="64">
        <f t="shared" si="7"/>
        <v>389629.36480695923</v>
      </c>
      <c r="Q37" s="64">
        <f t="shared" si="8"/>
        <v>21294701.378380332</v>
      </c>
      <c r="R37" s="64"/>
      <c r="S37" s="64"/>
      <c r="V37" t="s">
        <v>3283</v>
      </c>
      <c r="W37" s="64">
        <v>36542</v>
      </c>
      <c r="Y37" s="64">
        <v>382650</v>
      </c>
      <c r="Z37" s="64">
        <v>20913253</v>
      </c>
    </row>
    <row r="38" spans="1:26">
      <c r="A38" s="46">
        <f t="shared" si="0"/>
        <v>0</v>
      </c>
      <c r="B38" s="1962">
        <v>1</v>
      </c>
      <c r="C38" s="1962" t="s">
        <v>3287</v>
      </c>
      <c r="D38" s="2335">
        <f t="shared" si="1"/>
        <v>11985.697773795157</v>
      </c>
      <c r="E38" s="2336">
        <f t="shared" si="2"/>
        <v>582138.75286332541</v>
      </c>
      <c r="F38" s="2336">
        <f t="shared" si="3"/>
        <v>1699566.0385347481</v>
      </c>
      <c r="G38" s="2334">
        <f t="shared" si="4"/>
        <v>2293690.4891718687</v>
      </c>
      <c r="L38">
        <f t="shared" ref="L38:L69" si="10">+_xlfn.XLOOKUP(M38,C:C,F:F)-Q38</f>
        <v>0</v>
      </c>
      <c r="M38" t="s">
        <v>3285</v>
      </c>
      <c r="N38" s="64">
        <f t="shared" si="9"/>
        <v>1320971.3357594446</v>
      </c>
      <c r="O38" s="64">
        <f t="shared" si="6"/>
        <v>0</v>
      </c>
      <c r="P38" s="64">
        <f t="shared" si="7"/>
        <v>2048365.0155215212</v>
      </c>
      <c r="Q38" s="64">
        <f t="shared" si="8"/>
        <v>5215807.8830292495</v>
      </c>
      <c r="R38" s="64"/>
      <c r="S38" s="64"/>
      <c r="V38" t="s">
        <v>3285</v>
      </c>
      <c r="W38" s="64">
        <v>1297309</v>
      </c>
      <c r="Y38" s="64">
        <v>2011673</v>
      </c>
      <c r="Z38" s="64">
        <v>5122378</v>
      </c>
    </row>
    <row r="39" spans="1:26">
      <c r="A39" s="46">
        <f t="shared" si="0"/>
        <v>0</v>
      </c>
      <c r="B39" s="1962">
        <v>7</v>
      </c>
      <c r="C39" s="1962" t="s">
        <v>3289</v>
      </c>
      <c r="D39" s="2335">
        <f t="shared" si="1"/>
        <v>45497.997929359357</v>
      </c>
      <c r="E39" s="2336">
        <f t="shared" si="2"/>
        <v>561027.59221902199</v>
      </c>
      <c r="F39" s="2336">
        <f t="shared" si="3"/>
        <v>7868842.2379947398</v>
      </c>
      <c r="G39" s="2334">
        <f t="shared" si="4"/>
        <v>8475367.8281431217</v>
      </c>
      <c r="L39">
        <f t="shared" si="10"/>
        <v>0</v>
      </c>
      <c r="M39" t="s">
        <v>3287</v>
      </c>
      <c r="N39" s="64">
        <f t="shared" si="9"/>
        <v>11985.697773795157</v>
      </c>
      <c r="O39" s="64">
        <f t="shared" si="6"/>
        <v>0</v>
      </c>
      <c r="P39" s="64">
        <f t="shared" si="7"/>
        <v>582138.75286332541</v>
      </c>
      <c r="Q39" s="64">
        <f t="shared" si="8"/>
        <v>1699566.0385347481</v>
      </c>
      <c r="R39" s="64"/>
      <c r="S39" s="64"/>
      <c r="V39" t="s">
        <v>3287</v>
      </c>
      <c r="W39" s="64">
        <v>11771</v>
      </c>
      <c r="Y39" s="64">
        <v>571711</v>
      </c>
      <c r="Z39" s="64">
        <v>1669122</v>
      </c>
    </row>
    <row r="40" spans="1:26">
      <c r="A40" s="46">
        <f t="shared" si="0"/>
        <v>0</v>
      </c>
      <c r="B40" s="1962">
        <v>1</v>
      </c>
      <c r="C40" s="1962" t="s">
        <v>3291</v>
      </c>
      <c r="D40" s="2335">
        <f t="shared" si="1"/>
        <v>0</v>
      </c>
      <c r="E40" s="2336">
        <f t="shared" si="2"/>
        <v>0</v>
      </c>
      <c r="F40" s="2336">
        <f t="shared" si="3"/>
        <v>73750.072556130268</v>
      </c>
      <c r="G40" s="2334">
        <f t="shared" si="4"/>
        <v>73750.072556130268</v>
      </c>
      <c r="L40">
        <f t="shared" si="10"/>
        <v>0</v>
      </c>
      <c r="M40" t="s">
        <v>3289</v>
      </c>
      <c r="N40" s="64">
        <f t="shared" si="9"/>
        <v>45497.997929359357</v>
      </c>
      <c r="O40" s="64">
        <f t="shared" si="6"/>
        <v>0</v>
      </c>
      <c r="P40" s="64">
        <f t="shared" si="7"/>
        <v>561027.59221902199</v>
      </c>
      <c r="Q40" s="64">
        <f t="shared" si="8"/>
        <v>7868842.2379947398</v>
      </c>
      <c r="R40" s="64"/>
      <c r="S40" s="64"/>
      <c r="V40" t="s">
        <v>3289</v>
      </c>
      <c r="W40" s="64">
        <v>44683</v>
      </c>
      <c r="Y40" s="64">
        <v>550978</v>
      </c>
      <c r="Z40" s="64">
        <v>7727889</v>
      </c>
    </row>
    <row r="41" spans="1:26">
      <c r="A41" s="46">
        <f t="shared" si="0"/>
        <v>0</v>
      </c>
      <c r="B41" s="1962">
        <v>1</v>
      </c>
      <c r="C41" s="1962" t="s">
        <v>3293</v>
      </c>
      <c r="D41" s="2335">
        <f t="shared" si="1"/>
        <v>0</v>
      </c>
      <c r="E41" s="2336">
        <f t="shared" si="2"/>
        <v>9399.3693101608278</v>
      </c>
      <c r="F41" s="2336">
        <f t="shared" si="3"/>
        <v>40348.76051180077</v>
      </c>
      <c r="G41" s="2334">
        <f t="shared" si="4"/>
        <v>49748.1298219616</v>
      </c>
      <c r="L41">
        <f t="shared" si="10"/>
        <v>0</v>
      </c>
      <c r="M41" t="s">
        <v>3291</v>
      </c>
      <c r="N41" s="64">
        <f t="shared" si="9"/>
        <v>0</v>
      </c>
      <c r="O41" s="64">
        <f t="shared" si="6"/>
        <v>0</v>
      </c>
      <c r="P41" s="64">
        <f t="shared" si="7"/>
        <v>0</v>
      </c>
      <c r="Q41" s="64">
        <f t="shared" si="8"/>
        <v>73750.072556130268</v>
      </c>
      <c r="R41" s="64"/>
      <c r="S41" s="64"/>
      <c r="V41" t="s">
        <v>3291</v>
      </c>
      <c r="Z41" s="64">
        <v>72429</v>
      </c>
    </row>
    <row r="42" spans="1:26">
      <c r="A42" s="46">
        <f t="shared" si="0"/>
        <v>0</v>
      </c>
      <c r="B42" s="1962">
        <v>7</v>
      </c>
      <c r="C42" s="1962" t="s">
        <v>3295</v>
      </c>
      <c r="D42" s="2335">
        <f t="shared" si="1"/>
        <v>202684.65590561731</v>
      </c>
      <c r="E42" s="2336">
        <f t="shared" si="2"/>
        <v>4873173.3282939885</v>
      </c>
      <c r="F42" s="2336">
        <f t="shared" si="3"/>
        <v>6829863.1821751995</v>
      </c>
      <c r="G42" s="2334">
        <f t="shared" si="4"/>
        <v>11905721.166374806</v>
      </c>
      <c r="L42">
        <f t="shared" si="10"/>
        <v>0</v>
      </c>
      <c r="M42" t="s">
        <v>3293</v>
      </c>
      <c r="N42" s="64">
        <f t="shared" si="9"/>
        <v>0</v>
      </c>
      <c r="O42" s="64">
        <f t="shared" si="6"/>
        <v>0</v>
      </c>
      <c r="P42" s="64">
        <f t="shared" si="7"/>
        <v>9399.3693101608278</v>
      </c>
      <c r="Q42" s="64">
        <f t="shared" si="8"/>
        <v>40348.76051180077</v>
      </c>
      <c r="R42" s="64"/>
      <c r="S42" s="64"/>
      <c r="V42" t="s">
        <v>3293</v>
      </c>
      <c r="Y42" s="64">
        <v>9231</v>
      </c>
      <c r="Z42" s="64">
        <v>39626</v>
      </c>
    </row>
    <row r="43" spans="1:26">
      <c r="A43" s="46">
        <f t="shared" si="0"/>
        <v>0</v>
      </c>
      <c r="B43" s="1962">
        <v>1</v>
      </c>
      <c r="C43" s="1962" t="s">
        <v>3297</v>
      </c>
      <c r="D43" s="2335">
        <f t="shared" si="1"/>
        <v>0</v>
      </c>
      <c r="E43" s="2336">
        <f t="shared" si="2"/>
        <v>7255.9750519126919</v>
      </c>
      <c r="F43" s="2336">
        <f t="shared" si="3"/>
        <v>82570.063560854906</v>
      </c>
      <c r="G43" s="2334">
        <f t="shared" si="4"/>
        <v>89826.038612767603</v>
      </c>
      <c r="L43">
        <f t="shared" si="10"/>
        <v>0</v>
      </c>
      <c r="M43" t="s">
        <v>3295</v>
      </c>
      <c r="N43" s="64">
        <f t="shared" si="9"/>
        <v>202684.65590561731</v>
      </c>
      <c r="O43" s="64">
        <f t="shared" si="6"/>
        <v>0</v>
      </c>
      <c r="P43" s="64">
        <f t="shared" si="7"/>
        <v>4873173.3282939885</v>
      </c>
      <c r="Q43" s="64">
        <f t="shared" si="8"/>
        <v>6829863.1821751995</v>
      </c>
      <c r="R43" s="64"/>
      <c r="S43" s="64"/>
      <c r="V43" t="s">
        <v>3295</v>
      </c>
      <c r="W43" s="64">
        <v>199054</v>
      </c>
      <c r="Y43" s="64">
        <v>4785881</v>
      </c>
      <c r="Z43" s="64">
        <v>6707521</v>
      </c>
    </row>
    <row r="44" spans="1:26">
      <c r="A44" s="46">
        <f t="shared" si="0"/>
        <v>0</v>
      </c>
      <c r="B44" s="1962">
        <v>1</v>
      </c>
      <c r="C44" s="1962" t="s">
        <v>3299</v>
      </c>
      <c r="D44" s="2335">
        <f t="shared" si="1"/>
        <v>0</v>
      </c>
      <c r="E44" s="2336">
        <f t="shared" si="2"/>
        <v>0</v>
      </c>
      <c r="F44" s="2336">
        <f t="shared" si="3"/>
        <v>150157.75034457771</v>
      </c>
      <c r="G44" s="2334">
        <f t="shared" si="4"/>
        <v>150157.75034457771</v>
      </c>
      <c r="L44">
        <f t="shared" si="10"/>
        <v>0</v>
      </c>
      <c r="M44" t="s">
        <v>3297</v>
      </c>
      <c r="N44" s="64">
        <f t="shared" si="9"/>
        <v>0</v>
      </c>
      <c r="O44" s="64">
        <f t="shared" si="6"/>
        <v>0</v>
      </c>
      <c r="P44" s="64">
        <f t="shared" si="7"/>
        <v>7255.9750519126919</v>
      </c>
      <c r="Q44" s="64">
        <f t="shared" si="8"/>
        <v>82570.063560854906</v>
      </c>
      <c r="R44" s="64"/>
      <c r="S44" s="64"/>
      <c r="V44" t="s">
        <v>3297</v>
      </c>
      <c r="Y44" s="64">
        <v>7126</v>
      </c>
      <c r="Z44" s="64">
        <v>81091</v>
      </c>
    </row>
    <row r="45" spans="1:26">
      <c r="A45" s="46">
        <f t="shared" si="0"/>
        <v>0</v>
      </c>
      <c r="B45" s="1962">
        <v>1</v>
      </c>
      <c r="C45" s="1962" t="s">
        <v>3301</v>
      </c>
      <c r="D45" s="2335">
        <f t="shared" si="1"/>
        <v>12321.716826157099</v>
      </c>
      <c r="E45" s="2336">
        <f t="shared" si="2"/>
        <v>129010.95131593292</v>
      </c>
      <c r="F45" s="2336">
        <f t="shared" si="3"/>
        <v>1080840.9203065231</v>
      </c>
      <c r="G45" s="2334">
        <f t="shared" si="4"/>
        <v>1222173.5884486132</v>
      </c>
      <c r="L45">
        <f t="shared" si="10"/>
        <v>0</v>
      </c>
      <c r="M45" t="s">
        <v>3299</v>
      </c>
      <c r="N45" s="64">
        <f t="shared" si="9"/>
        <v>0</v>
      </c>
      <c r="O45" s="64">
        <f t="shared" si="6"/>
        <v>0</v>
      </c>
      <c r="P45" s="64">
        <f t="shared" si="7"/>
        <v>0</v>
      </c>
      <c r="Q45" s="64">
        <f t="shared" si="8"/>
        <v>150157.75034457771</v>
      </c>
      <c r="R45" s="64"/>
      <c r="S45" s="64"/>
      <c r="V45" t="s">
        <v>3299</v>
      </c>
      <c r="Z45" s="64">
        <v>147468</v>
      </c>
    </row>
    <row r="46" spans="1:26">
      <c r="A46" s="46">
        <f t="shared" si="0"/>
        <v>0</v>
      </c>
      <c r="B46" s="1962"/>
      <c r="C46" s="1962"/>
      <c r="D46" s="2335"/>
      <c r="E46" s="2336"/>
      <c r="F46" s="2336"/>
      <c r="G46" s="2334"/>
      <c r="L46">
        <f t="shared" si="10"/>
        <v>0</v>
      </c>
      <c r="M46" t="s">
        <v>3301</v>
      </c>
      <c r="N46" s="64">
        <f t="shared" si="9"/>
        <v>12321.716826157099</v>
      </c>
      <c r="O46" s="64">
        <f t="shared" si="6"/>
        <v>0</v>
      </c>
      <c r="P46" s="64">
        <f t="shared" si="7"/>
        <v>129010.95131593292</v>
      </c>
      <c r="Q46" s="64">
        <f t="shared" si="8"/>
        <v>1080840.9203065231</v>
      </c>
      <c r="R46" s="64"/>
      <c r="S46" s="64"/>
      <c r="V46" t="s">
        <v>3301</v>
      </c>
      <c r="W46" s="64">
        <v>12101</v>
      </c>
      <c r="Y46" s="64">
        <v>126700</v>
      </c>
      <c r="Z46" s="64">
        <v>1061480</v>
      </c>
    </row>
    <row r="47" spans="1:26">
      <c r="A47" s="46">
        <f t="shared" si="0"/>
        <v>0</v>
      </c>
      <c r="B47" s="1962">
        <v>7</v>
      </c>
      <c r="C47" s="1962" t="s">
        <v>3303</v>
      </c>
      <c r="D47" s="2335">
        <f t="shared" si="1"/>
        <v>119465.97374974859</v>
      </c>
      <c r="E47" s="2336">
        <f t="shared" si="2"/>
        <v>318318.99421888718</v>
      </c>
      <c r="F47" s="2336">
        <f t="shared" si="3"/>
        <v>3230270.2843829901</v>
      </c>
      <c r="G47" s="2334">
        <f t="shared" si="4"/>
        <v>3668055.2523516258</v>
      </c>
      <c r="L47" t="e">
        <f t="shared" si="10"/>
        <v>#N/A</v>
      </c>
      <c r="M47" t="s">
        <v>3969</v>
      </c>
      <c r="N47" s="64">
        <f t="shared" si="9"/>
        <v>0</v>
      </c>
      <c r="O47" s="64">
        <f t="shared" si="6"/>
        <v>0</v>
      </c>
      <c r="P47" s="64">
        <f t="shared" si="7"/>
        <v>0</v>
      </c>
      <c r="Q47" s="64">
        <f t="shared" si="8"/>
        <v>35491.757845841814</v>
      </c>
      <c r="R47" s="64"/>
      <c r="S47" s="64"/>
      <c r="V47" t="s">
        <v>3969</v>
      </c>
      <c r="Z47" s="64">
        <v>34856</v>
      </c>
    </row>
    <row r="48" spans="1:26">
      <c r="A48" s="46">
        <f t="shared" si="0"/>
        <v>0</v>
      </c>
      <c r="B48" s="1962">
        <v>1</v>
      </c>
      <c r="C48" s="1962" t="s">
        <v>3305</v>
      </c>
      <c r="D48" s="2335">
        <f t="shared" si="1"/>
        <v>142377.38192306989</v>
      </c>
      <c r="E48" s="2336">
        <f t="shared" si="2"/>
        <v>99434.14703121387</v>
      </c>
      <c r="F48" s="2336">
        <f t="shared" si="3"/>
        <v>1053968.5602735414</v>
      </c>
      <c r="G48" s="2334">
        <f t="shared" si="4"/>
        <v>1295780.0892278252</v>
      </c>
      <c r="L48">
        <f t="shared" si="10"/>
        <v>0</v>
      </c>
      <c r="M48" t="s">
        <v>3303</v>
      </c>
      <c r="N48" s="64">
        <f t="shared" si="9"/>
        <v>119465.97374974859</v>
      </c>
      <c r="O48" s="64">
        <f t="shared" si="6"/>
        <v>0</v>
      </c>
      <c r="P48" s="64">
        <f t="shared" si="7"/>
        <v>318318.99421888718</v>
      </c>
      <c r="Q48" s="64">
        <f t="shared" si="8"/>
        <v>3230270.2843829901</v>
      </c>
      <c r="R48" s="64"/>
      <c r="S48" s="64"/>
      <c r="V48" t="s">
        <v>3303</v>
      </c>
      <c r="W48" s="64">
        <v>117326</v>
      </c>
      <c r="Y48" s="64">
        <v>312617</v>
      </c>
      <c r="Z48" s="64">
        <v>3172407</v>
      </c>
    </row>
    <row r="49" spans="1:26">
      <c r="A49" s="46">
        <f t="shared" si="0"/>
        <v>0</v>
      </c>
      <c r="B49" s="1962">
        <v>1</v>
      </c>
      <c r="C49" s="1962" t="s">
        <v>3307</v>
      </c>
      <c r="D49" s="2335">
        <f t="shared" si="1"/>
        <v>0</v>
      </c>
      <c r="E49" s="2336">
        <f t="shared" si="2"/>
        <v>908046.68646782939</v>
      </c>
      <c r="F49" s="2336">
        <f t="shared" si="3"/>
        <v>4091050.290818573</v>
      </c>
      <c r="G49" s="2334">
        <f t="shared" si="4"/>
        <v>4999096.9772864021</v>
      </c>
      <c r="L49">
        <f t="shared" si="10"/>
        <v>0</v>
      </c>
      <c r="M49" t="s">
        <v>3305</v>
      </c>
      <c r="N49" s="64">
        <f t="shared" si="9"/>
        <v>142377.38192306989</v>
      </c>
      <c r="O49" s="64">
        <f t="shared" si="6"/>
        <v>0</v>
      </c>
      <c r="P49" s="64">
        <f t="shared" si="7"/>
        <v>99434.14703121387</v>
      </c>
      <c r="Q49" s="64">
        <f t="shared" si="8"/>
        <v>1053968.5602735414</v>
      </c>
      <c r="R49" s="64"/>
      <c r="S49" s="64"/>
      <c r="V49" t="s">
        <v>3305</v>
      </c>
      <c r="W49" s="64">
        <v>139827</v>
      </c>
      <c r="Y49" s="64">
        <v>97653</v>
      </c>
      <c r="Z49" s="64">
        <v>1035089</v>
      </c>
    </row>
    <row r="50" spans="1:26">
      <c r="A50" s="46">
        <f t="shared" si="0"/>
        <v>0</v>
      </c>
      <c r="B50" s="1962">
        <v>1</v>
      </c>
      <c r="C50" s="1962" t="s">
        <v>3309</v>
      </c>
      <c r="D50" s="2335">
        <f t="shared" si="1"/>
        <v>0</v>
      </c>
      <c r="E50" s="2336">
        <f t="shared" si="2"/>
        <v>-19286.475366022773</v>
      </c>
      <c r="F50" s="2336">
        <f t="shared" si="3"/>
        <v>83401.965275338865</v>
      </c>
      <c r="G50" s="2334">
        <f t="shared" si="4"/>
        <v>64115.489909316093</v>
      </c>
      <c r="L50">
        <f t="shared" si="10"/>
        <v>0</v>
      </c>
      <c r="M50" t="s">
        <v>3307</v>
      </c>
      <c r="N50" s="64">
        <f t="shared" si="9"/>
        <v>0</v>
      </c>
      <c r="O50" s="64">
        <f t="shared" si="6"/>
        <v>0</v>
      </c>
      <c r="P50" s="64">
        <f t="shared" si="7"/>
        <v>908046.68646782939</v>
      </c>
      <c r="Q50" s="64">
        <f t="shared" si="8"/>
        <v>4091050.290818573</v>
      </c>
      <c r="R50" s="64"/>
      <c r="S50" s="64"/>
      <c r="V50" t="s">
        <v>3307</v>
      </c>
      <c r="Y50" s="64">
        <v>891781</v>
      </c>
      <c r="Z50" s="64">
        <v>4017768</v>
      </c>
    </row>
    <row r="51" spans="1:26">
      <c r="A51" s="46">
        <f t="shared" si="0"/>
        <v>0</v>
      </c>
      <c r="B51" s="1962">
        <v>7</v>
      </c>
      <c r="C51" s="1962" t="s">
        <v>3311</v>
      </c>
      <c r="D51" s="2335">
        <f t="shared" si="1"/>
        <v>46528.456356602641</v>
      </c>
      <c r="E51" s="2336">
        <f t="shared" si="2"/>
        <v>2180030.5173511133</v>
      </c>
      <c r="F51" s="2336">
        <f t="shared" si="3"/>
        <v>14056173.861201648</v>
      </c>
      <c r="G51" s="2334">
        <f t="shared" si="4"/>
        <v>16282732.834909365</v>
      </c>
      <c r="L51">
        <f t="shared" si="10"/>
        <v>0</v>
      </c>
      <c r="M51" t="s">
        <v>3309</v>
      </c>
      <c r="N51" s="64">
        <f t="shared" si="9"/>
        <v>0</v>
      </c>
      <c r="O51" s="64">
        <f t="shared" si="6"/>
        <v>0</v>
      </c>
      <c r="P51" s="64">
        <f t="shared" si="7"/>
        <v>-19286.475366022773</v>
      </c>
      <c r="Q51" s="64">
        <f t="shared" si="8"/>
        <v>83401.965275338865</v>
      </c>
      <c r="R51" s="64"/>
      <c r="S51" s="64"/>
      <c r="V51" t="s">
        <v>3309</v>
      </c>
      <c r="Y51" s="64">
        <v>-18941</v>
      </c>
      <c r="Z51" s="64">
        <v>81908</v>
      </c>
    </row>
    <row r="52" spans="1:26">
      <c r="A52" s="46">
        <f t="shared" si="0"/>
        <v>0</v>
      </c>
      <c r="B52" s="1962">
        <v>1</v>
      </c>
      <c r="C52" s="1962" t="s">
        <v>3313</v>
      </c>
      <c r="D52" s="2335">
        <f t="shared" si="1"/>
        <v>0</v>
      </c>
      <c r="E52" s="2336">
        <f t="shared" si="2"/>
        <v>0</v>
      </c>
      <c r="F52" s="2336">
        <f t="shared" si="3"/>
        <v>53219.308456815706</v>
      </c>
      <c r="G52" s="2334">
        <f t="shared" si="4"/>
        <v>53219.308456815706</v>
      </c>
      <c r="L52">
        <f t="shared" si="10"/>
        <v>0</v>
      </c>
      <c r="M52" t="s">
        <v>3311</v>
      </c>
      <c r="N52" s="64">
        <f t="shared" si="9"/>
        <v>46528.456356602641</v>
      </c>
      <c r="O52" s="64">
        <f t="shared" si="6"/>
        <v>0</v>
      </c>
      <c r="P52" s="64">
        <f t="shared" si="7"/>
        <v>2180030.5173511133</v>
      </c>
      <c r="Q52" s="64">
        <f t="shared" si="8"/>
        <v>14056173.861201648</v>
      </c>
      <c r="R52" s="64"/>
      <c r="S52" s="64"/>
      <c r="V52" t="s">
        <v>3311</v>
      </c>
      <c r="W52" s="64">
        <v>45695</v>
      </c>
      <c r="Y52" s="64">
        <v>2140980</v>
      </c>
      <c r="Z52" s="64">
        <v>13804388</v>
      </c>
    </row>
    <row r="53" spans="1:26">
      <c r="A53" s="46">
        <f t="shared" si="0"/>
        <v>0</v>
      </c>
      <c r="B53" s="1962">
        <v>7</v>
      </c>
      <c r="C53" s="1962" t="s">
        <v>3315</v>
      </c>
      <c r="D53" s="2335">
        <f t="shared" si="1"/>
        <v>0</v>
      </c>
      <c r="E53" s="2336">
        <f t="shared" si="2"/>
        <v>1278933.3158298605</v>
      </c>
      <c r="F53" s="2336">
        <f t="shared" si="3"/>
        <v>2088751.4508967686</v>
      </c>
      <c r="G53" s="2334">
        <f t="shared" si="4"/>
        <v>3367684.7667266289</v>
      </c>
      <c r="L53">
        <f t="shared" si="10"/>
        <v>0</v>
      </c>
      <c r="M53" t="s">
        <v>3313</v>
      </c>
      <c r="N53" s="64">
        <f t="shared" si="9"/>
        <v>0</v>
      </c>
      <c r="O53" s="64">
        <f t="shared" si="6"/>
        <v>0</v>
      </c>
      <c r="P53" s="64">
        <f t="shared" si="7"/>
        <v>0</v>
      </c>
      <c r="Q53" s="64">
        <f t="shared" si="8"/>
        <v>53219.308456815706</v>
      </c>
      <c r="R53" s="64"/>
      <c r="S53" s="64"/>
      <c r="V53" t="s">
        <v>3313</v>
      </c>
      <c r="Z53" s="64">
        <v>52266</v>
      </c>
    </row>
    <row r="54" spans="1:26">
      <c r="A54" s="46">
        <f t="shared" si="0"/>
        <v>0</v>
      </c>
      <c r="B54" s="1962">
        <v>1</v>
      </c>
      <c r="C54" s="1962" t="s">
        <v>3317</v>
      </c>
      <c r="D54" s="2335">
        <f t="shared" si="1"/>
        <v>0</v>
      </c>
      <c r="E54" s="2336">
        <f t="shared" si="2"/>
        <v>11022.443157024261</v>
      </c>
      <c r="F54" s="2336">
        <f t="shared" si="3"/>
        <v>68371.731239233995</v>
      </c>
      <c r="G54" s="2334">
        <f t="shared" si="4"/>
        <v>79394.174396258255</v>
      </c>
      <c r="L54">
        <f t="shared" si="10"/>
        <v>0</v>
      </c>
      <c r="M54" t="s">
        <v>3315</v>
      </c>
      <c r="N54" s="64">
        <f t="shared" si="9"/>
        <v>0</v>
      </c>
      <c r="O54" s="64">
        <f t="shared" si="6"/>
        <v>0</v>
      </c>
      <c r="P54" s="64">
        <f t="shared" si="7"/>
        <v>1278933.3158298605</v>
      </c>
      <c r="Q54" s="64">
        <f t="shared" si="8"/>
        <v>2088751.4508967686</v>
      </c>
      <c r="R54" s="64"/>
      <c r="S54" s="64"/>
      <c r="V54" t="s">
        <v>3315</v>
      </c>
      <c r="Y54" s="64">
        <v>1256024</v>
      </c>
      <c r="Z54" s="64">
        <v>2051336</v>
      </c>
    </row>
    <row r="55" spans="1:26">
      <c r="A55" s="46">
        <f t="shared" si="0"/>
        <v>0</v>
      </c>
      <c r="B55" s="1962">
        <v>7</v>
      </c>
      <c r="C55" s="1962" t="s">
        <v>3319</v>
      </c>
      <c r="D55" s="2335">
        <f t="shared" si="1"/>
        <v>462996.57929130743</v>
      </c>
      <c r="E55" s="2336">
        <f t="shared" si="2"/>
        <v>614728.52798422321</v>
      </c>
      <c r="F55" s="2336">
        <f t="shared" si="3"/>
        <v>6121007.5717079751</v>
      </c>
      <c r="G55" s="2334">
        <f t="shared" si="4"/>
        <v>7198732.6789835058</v>
      </c>
      <c r="L55">
        <f t="shared" si="10"/>
        <v>0</v>
      </c>
      <c r="M55" t="s">
        <v>3317</v>
      </c>
      <c r="N55" s="64">
        <f t="shared" si="9"/>
        <v>0</v>
      </c>
      <c r="O55" s="64">
        <f t="shared" si="6"/>
        <v>0</v>
      </c>
      <c r="P55" s="64">
        <f t="shared" si="7"/>
        <v>11022.443157024261</v>
      </c>
      <c r="Q55" s="64">
        <f t="shared" si="8"/>
        <v>68371.731239233995</v>
      </c>
      <c r="R55" s="64"/>
      <c r="S55" s="64"/>
      <c r="V55" t="s">
        <v>3317</v>
      </c>
      <c r="Y55" s="64">
        <v>10825</v>
      </c>
      <c r="Z55" s="64">
        <v>67147</v>
      </c>
    </row>
    <row r="56" spans="1:26">
      <c r="A56" s="46">
        <f t="shared" si="0"/>
        <v>0</v>
      </c>
      <c r="B56" s="1962">
        <v>7</v>
      </c>
      <c r="C56" s="1962" t="s">
        <v>3321</v>
      </c>
      <c r="D56" s="2335">
        <f t="shared" si="1"/>
        <v>245611.5989646315</v>
      </c>
      <c r="E56" s="2336">
        <f t="shared" si="2"/>
        <v>592950.42043295898</v>
      </c>
      <c r="F56" s="2336">
        <f t="shared" si="3"/>
        <v>3196156.2046518321</v>
      </c>
      <c r="G56" s="2334">
        <f t="shared" si="4"/>
        <v>4034718.2240494229</v>
      </c>
      <c r="L56">
        <f t="shared" si="10"/>
        <v>0</v>
      </c>
      <c r="M56" t="s">
        <v>3319</v>
      </c>
      <c r="N56" s="64">
        <f t="shared" si="9"/>
        <v>462996.57929130743</v>
      </c>
      <c r="O56" s="64">
        <f t="shared" si="6"/>
        <v>0</v>
      </c>
      <c r="P56" s="64">
        <f t="shared" si="7"/>
        <v>614728.52798422321</v>
      </c>
      <c r="Q56" s="64">
        <f t="shared" si="8"/>
        <v>6121007.5717079751</v>
      </c>
      <c r="R56" s="64"/>
      <c r="S56" s="64"/>
      <c r="V56" t="s">
        <v>3319</v>
      </c>
      <c r="W56" s="64">
        <v>454703</v>
      </c>
      <c r="Y56" s="64">
        <v>603717</v>
      </c>
      <c r="Z56" s="64">
        <v>6011363</v>
      </c>
    </row>
    <row r="57" spans="1:26">
      <c r="A57" s="46">
        <f t="shared" si="0"/>
        <v>0</v>
      </c>
      <c r="B57" s="1962">
        <v>7</v>
      </c>
      <c r="C57" s="1962" t="s">
        <v>3323</v>
      </c>
      <c r="D57" s="2335">
        <f t="shared" si="1"/>
        <v>0</v>
      </c>
      <c r="E57" s="2336">
        <f t="shared" si="2"/>
        <v>1422155.8365815983</v>
      </c>
      <c r="F57" s="2336">
        <f t="shared" si="3"/>
        <v>3820631.3216336565</v>
      </c>
      <c r="G57" s="2334">
        <f t="shared" si="4"/>
        <v>5242787.1582152545</v>
      </c>
      <c r="L57">
        <f t="shared" si="10"/>
        <v>0</v>
      </c>
      <c r="M57" t="s">
        <v>3321</v>
      </c>
      <c r="N57" s="64">
        <f t="shared" si="9"/>
        <v>245611.5989646315</v>
      </c>
      <c r="O57" s="64">
        <f t="shared" si="6"/>
        <v>0</v>
      </c>
      <c r="P57" s="64">
        <f t="shared" si="7"/>
        <v>592950.42043295898</v>
      </c>
      <c r="Q57" s="64">
        <f t="shared" si="8"/>
        <v>3196156.2046518321</v>
      </c>
      <c r="R57" s="64"/>
      <c r="S57" s="64"/>
      <c r="V57" t="s">
        <v>3321</v>
      </c>
      <c r="W57" s="64">
        <v>241212</v>
      </c>
      <c r="Y57" s="64">
        <v>582329</v>
      </c>
      <c r="Z57" s="64">
        <v>3138904</v>
      </c>
    </row>
    <row r="58" spans="1:26">
      <c r="A58" s="46">
        <f t="shared" si="0"/>
        <v>0</v>
      </c>
      <c r="B58" s="1962">
        <v>1</v>
      </c>
      <c r="C58" s="1962" t="s">
        <v>3325</v>
      </c>
      <c r="D58" s="2335">
        <f t="shared" si="1"/>
        <v>0</v>
      </c>
      <c r="E58" s="2336">
        <f t="shared" si="2"/>
        <v>0</v>
      </c>
      <c r="F58" s="2336">
        <f t="shared" si="3"/>
        <v>242711.6527187927</v>
      </c>
      <c r="G58" s="2334">
        <f t="shared" si="4"/>
        <v>242711.6527187927</v>
      </c>
      <c r="L58">
        <f t="shared" si="10"/>
        <v>0</v>
      </c>
      <c r="M58" t="s">
        <v>3323</v>
      </c>
      <c r="N58" s="64">
        <f t="shared" si="9"/>
        <v>0</v>
      </c>
      <c r="O58" s="64">
        <f t="shared" si="6"/>
        <v>0</v>
      </c>
      <c r="P58" s="64">
        <f t="shared" si="7"/>
        <v>1422155.8365815983</v>
      </c>
      <c r="Q58" s="64">
        <f t="shared" si="8"/>
        <v>3820631.3216336565</v>
      </c>
      <c r="R58" s="64"/>
      <c r="S58" s="64"/>
      <c r="V58" t="s">
        <v>3323</v>
      </c>
      <c r="Y58" s="64">
        <v>1396681</v>
      </c>
      <c r="Z58" s="64">
        <v>3752193</v>
      </c>
    </row>
    <row r="59" spans="1:26">
      <c r="A59" s="46">
        <f t="shared" si="0"/>
        <v>0</v>
      </c>
      <c r="B59" s="1962">
        <v>1</v>
      </c>
      <c r="C59" s="1962" t="s">
        <v>3327</v>
      </c>
      <c r="D59" s="2335">
        <f t="shared" si="1"/>
        <v>1059045.5026828644</v>
      </c>
      <c r="E59" s="2336">
        <f t="shared" si="2"/>
        <v>1489633.553493639</v>
      </c>
      <c r="F59" s="2336">
        <f t="shared" si="3"/>
        <v>6398488.0321902558</v>
      </c>
      <c r="G59" s="2334">
        <f t="shared" si="4"/>
        <v>8947167.0883667581</v>
      </c>
      <c r="L59">
        <f t="shared" si="10"/>
        <v>0</v>
      </c>
      <c r="M59" t="s">
        <v>3325</v>
      </c>
      <c r="N59" s="64">
        <f t="shared" si="9"/>
        <v>0</v>
      </c>
      <c r="O59" s="64">
        <f t="shared" si="6"/>
        <v>0</v>
      </c>
      <c r="P59" s="64">
        <f t="shared" si="7"/>
        <v>0</v>
      </c>
      <c r="Q59" s="64">
        <f t="shared" si="8"/>
        <v>242711.6527187927</v>
      </c>
      <c r="R59" s="64"/>
      <c r="S59" s="64"/>
      <c r="V59" t="s">
        <v>3325</v>
      </c>
      <c r="Z59" s="64">
        <v>238364</v>
      </c>
    </row>
    <row r="60" spans="1:26">
      <c r="A60" s="46">
        <f t="shared" si="0"/>
        <v>0</v>
      </c>
      <c r="B60" s="1962">
        <v>1</v>
      </c>
      <c r="C60" s="1962" t="s">
        <v>3329</v>
      </c>
      <c r="D60" s="2335">
        <f t="shared" si="1"/>
        <v>0</v>
      </c>
      <c r="E60" s="2336">
        <f t="shared" si="2"/>
        <v>0</v>
      </c>
      <c r="F60" s="2336">
        <f t="shared" si="3"/>
        <v>196180.14164353223</v>
      </c>
      <c r="G60" s="2334">
        <f t="shared" si="4"/>
        <v>196180.14164353223</v>
      </c>
      <c r="L60">
        <f t="shared" si="10"/>
        <v>0</v>
      </c>
      <c r="M60" t="s">
        <v>3327</v>
      </c>
      <c r="N60" s="64">
        <f t="shared" si="9"/>
        <v>1059045.5026828644</v>
      </c>
      <c r="O60" s="64">
        <f t="shared" si="6"/>
        <v>0</v>
      </c>
      <c r="P60" s="64">
        <f t="shared" si="7"/>
        <v>1489633.553493639</v>
      </c>
      <c r="Q60" s="64">
        <f t="shared" si="8"/>
        <v>6398488.0321902558</v>
      </c>
      <c r="R60" s="64"/>
      <c r="S60" s="64"/>
      <c r="V60" t="s">
        <v>3327</v>
      </c>
      <c r="W60" s="64">
        <v>1040075</v>
      </c>
      <c r="Y60" s="64">
        <v>1462950</v>
      </c>
      <c r="Z60" s="64">
        <v>6283873</v>
      </c>
    </row>
    <row r="61" spans="1:26">
      <c r="A61" s="46">
        <f t="shared" si="0"/>
        <v>0</v>
      </c>
      <c r="B61" s="1962">
        <v>7</v>
      </c>
      <c r="C61" s="1962" t="s">
        <v>3331</v>
      </c>
      <c r="D61" s="2335">
        <f t="shared" si="1"/>
        <v>0</v>
      </c>
      <c r="E61" s="2336">
        <f t="shared" si="2"/>
        <v>2969127.4775223685</v>
      </c>
      <c r="F61" s="2336">
        <f t="shared" si="3"/>
        <v>9939001.652900368</v>
      </c>
      <c r="G61" s="2334">
        <f>+SUM(D61:F61)</f>
        <v>12908129.130422737</v>
      </c>
      <c r="L61">
        <f t="shared" si="10"/>
        <v>0</v>
      </c>
      <c r="M61" t="s">
        <v>3329</v>
      </c>
      <c r="N61" s="64">
        <f t="shared" si="9"/>
        <v>0</v>
      </c>
      <c r="O61" s="64">
        <f t="shared" si="6"/>
        <v>0</v>
      </c>
      <c r="P61" s="64">
        <f t="shared" si="7"/>
        <v>0</v>
      </c>
      <c r="Q61" s="64">
        <f t="shared" si="8"/>
        <v>196180.14164353223</v>
      </c>
      <c r="R61" s="64"/>
      <c r="S61" s="64"/>
      <c r="V61" t="s">
        <v>3329</v>
      </c>
      <c r="Z61" s="64">
        <v>192666</v>
      </c>
    </row>
    <row r="62" spans="1:26">
      <c r="A62" s="46">
        <f t="shared" si="0"/>
        <v>0</v>
      </c>
      <c r="B62" s="1962">
        <v>1</v>
      </c>
      <c r="C62" s="1962" t="s">
        <v>3333</v>
      </c>
      <c r="D62" s="2335">
        <f t="shared" si="1"/>
        <v>0</v>
      </c>
      <c r="E62" s="2336">
        <f t="shared" si="2"/>
        <v>28479.142047003377</v>
      </c>
      <c r="F62" s="2336">
        <f t="shared" si="3"/>
        <v>78285.311523463854</v>
      </c>
      <c r="G62" s="2334">
        <f t="shared" si="4"/>
        <v>106764.45357046723</v>
      </c>
      <c r="L62">
        <f t="shared" si="10"/>
        <v>0</v>
      </c>
      <c r="M62" t="s">
        <v>3331</v>
      </c>
      <c r="N62" s="64">
        <f t="shared" si="9"/>
        <v>0</v>
      </c>
      <c r="O62" s="64">
        <f t="shared" si="6"/>
        <v>0</v>
      </c>
      <c r="P62" s="64">
        <f t="shared" si="7"/>
        <v>2969127.4775223685</v>
      </c>
      <c r="Q62" s="64">
        <f t="shared" si="8"/>
        <v>9939001.652900368</v>
      </c>
      <c r="R62" s="64"/>
      <c r="S62" s="64"/>
      <c r="V62" t="s">
        <v>3331</v>
      </c>
      <c r="Y62" s="64">
        <v>2915942</v>
      </c>
      <c r="Z62" s="64">
        <v>9760966</v>
      </c>
    </row>
    <row r="63" spans="1:26">
      <c r="A63" s="46">
        <f t="shared" si="0"/>
        <v>0</v>
      </c>
      <c r="B63" s="1962">
        <v>1</v>
      </c>
      <c r="C63" s="1962" t="s">
        <v>3335</v>
      </c>
      <c r="D63" s="2335">
        <f t="shared" si="1"/>
        <v>659120.71775944601</v>
      </c>
      <c r="E63" s="2336">
        <f t="shared" si="2"/>
        <v>1078121.2024614967</v>
      </c>
      <c r="F63" s="2336">
        <f t="shared" si="3"/>
        <v>1714820.2852724276</v>
      </c>
      <c r="G63" s="2334">
        <f t="shared" si="4"/>
        <v>3452062.2054933701</v>
      </c>
      <c r="L63">
        <f t="shared" si="10"/>
        <v>0</v>
      </c>
      <c r="M63" t="s">
        <v>3333</v>
      </c>
      <c r="N63" s="64">
        <f t="shared" si="9"/>
        <v>0</v>
      </c>
      <c r="O63" s="64">
        <f t="shared" si="6"/>
        <v>0</v>
      </c>
      <c r="P63" s="64">
        <f t="shared" si="7"/>
        <v>28479.142047003377</v>
      </c>
      <c r="Q63" s="64">
        <f t="shared" si="8"/>
        <v>78285.311523463854</v>
      </c>
      <c r="R63" s="64"/>
      <c r="S63" s="64"/>
      <c r="V63" t="s">
        <v>3333</v>
      </c>
      <c r="Y63" s="64">
        <v>27969</v>
      </c>
      <c r="Z63" s="64">
        <v>76883</v>
      </c>
    </row>
    <row r="64" spans="1:26">
      <c r="A64" s="46">
        <f t="shared" si="0"/>
        <v>0</v>
      </c>
      <c r="B64" s="1962">
        <v>1</v>
      </c>
      <c r="C64" s="1962" t="s">
        <v>3337</v>
      </c>
      <c r="D64" s="2335">
        <f t="shared" si="1"/>
        <v>458510.21582249919</v>
      </c>
      <c r="E64" s="2336">
        <f t="shared" si="2"/>
        <v>860468.42513248383</v>
      </c>
      <c r="F64" s="2336">
        <f t="shared" si="3"/>
        <v>1597952.8588609446</v>
      </c>
      <c r="G64" s="2334">
        <f t="shared" si="4"/>
        <v>2916931.4998159278</v>
      </c>
      <c r="L64">
        <f t="shared" si="10"/>
        <v>0</v>
      </c>
      <c r="M64" t="s">
        <v>3335</v>
      </c>
      <c r="N64" s="64">
        <f t="shared" si="9"/>
        <v>659120.71775944601</v>
      </c>
      <c r="O64" s="64">
        <f t="shared" si="6"/>
        <v>0</v>
      </c>
      <c r="P64" s="64">
        <f t="shared" si="7"/>
        <v>1078121.2024614967</v>
      </c>
      <c r="Q64" s="64">
        <f t="shared" si="8"/>
        <v>1714820.2852724276</v>
      </c>
      <c r="R64" s="64"/>
      <c r="S64" s="64"/>
      <c r="V64" t="s">
        <v>3335</v>
      </c>
      <c r="W64" s="64">
        <v>647314</v>
      </c>
      <c r="Y64" s="64">
        <v>1058809</v>
      </c>
      <c r="Z64" s="64">
        <v>1684103</v>
      </c>
    </row>
    <row r="65" spans="1:26">
      <c r="A65" s="46">
        <f t="shared" si="0"/>
        <v>0</v>
      </c>
      <c r="B65" s="1962">
        <v>7</v>
      </c>
      <c r="C65" s="1962" t="s">
        <v>3339</v>
      </c>
      <c r="D65" s="2335">
        <f t="shared" si="1"/>
        <v>0</v>
      </c>
      <c r="E65" s="2337">
        <f t="shared" si="2"/>
        <v>0</v>
      </c>
      <c r="F65" s="2337">
        <f t="shared" si="3"/>
        <v>281482.14192404499</v>
      </c>
      <c r="G65" s="2334">
        <f t="shared" si="4"/>
        <v>281482.14192404499</v>
      </c>
      <c r="L65">
        <f t="shared" si="10"/>
        <v>0</v>
      </c>
      <c r="M65" t="s">
        <v>3337</v>
      </c>
      <c r="N65" s="64">
        <f t="shared" si="9"/>
        <v>458510.21582249919</v>
      </c>
      <c r="O65" s="64">
        <f t="shared" si="6"/>
        <v>0</v>
      </c>
      <c r="P65" s="64">
        <f t="shared" si="7"/>
        <v>860468.42513248383</v>
      </c>
      <c r="Q65" s="64">
        <f t="shared" si="8"/>
        <v>1597952.8588609446</v>
      </c>
      <c r="R65" s="64"/>
      <c r="S65" s="64"/>
      <c r="V65" t="s">
        <v>3337</v>
      </c>
      <c r="W65" s="64">
        <v>450297</v>
      </c>
      <c r="Y65" s="64">
        <v>845055</v>
      </c>
      <c r="Z65" s="64">
        <v>1569329</v>
      </c>
    </row>
    <row r="66" spans="1:26">
      <c r="A66" s="46">
        <f t="shared" si="0"/>
        <v>0</v>
      </c>
      <c r="B66" s="1962">
        <v>7</v>
      </c>
      <c r="C66" s="1962" t="s">
        <v>3341</v>
      </c>
      <c r="D66" s="2335">
        <f t="shared" si="1"/>
        <v>0</v>
      </c>
      <c r="E66" s="2337">
        <f t="shared" si="2"/>
        <v>5412887.1301977374</v>
      </c>
      <c r="F66" s="2337">
        <f t="shared" si="3"/>
        <v>6360616.6485099597</v>
      </c>
      <c r="G66" s="2334">
        <f t="shared" si="4"/>
        <v>11773503.778707698</v>
      </c>
      <c r="L66">
        <f t="shared" si="10"/>
        <v>0</v>
      </c>
      <c r="M66" t="s">
        <v>3339</v>
      </c>
      <c r="N66" s="64">
        <f t="shared" si="9"/>
        <v>0</v>
      </c>
      <c r="O66" s="64">
        <f t="shared" si="6"/>
        <v>0</v>
      </c>
      <c r="P66" s="64">
        <f t="shared" si="7"/>
        <v>0</v>
      </c>
      <c r="Q66" s="64">
        <f t="shared" si="8"/>
        <v>281482.14192404499</v>
      </c>
      <c r="R66" s="64"/>
      <c r="S66" s="64"/>
      <c r="V66" t="s">
        <v>3339</v>
      </c>
      <c r="Z66" s="64">
        <v>276440</v>
      </c>
    </row>
    <row r="67" spans="1:26">
      <c r="A67" s="46">
        <f t="shared" si="0"/>
        <v>0</v>
      </c>
      <c r="B67" s="1962">
        <v>1</v>
      </c>
      <c r="C67" s="1962" t="s">
        <v>3343</v>
      </c>
      <c r="D67" s="2335">
        <f t="shared" si="1"/>
        <v>661865.89159328782</v>
      </c>
      <c r="E67" s="2336">
        <f t="shared" si="2"/>
        <v>373648.0950287148</v>
      </c>
      <c r="F67" s="2336">
        <f t="shared" si="3"/>
        <v>1166435.1553386354</v>
      </c>
      <c r="G67" s="2334">
        <f t="shared" si="4"/>
        <v>2201949.1419606381</v>
      </c>
      <c r="L67">
        <f t="shared" si="10"/>
        <v>0</v>
      </c>
      <c r="M67" t="s">
        <v>3341</v>
      </c>
      <c r="N67" s="64">
        <f t="shared" si="9"/>
        <v>0</v>
      </c>
      <c r="O67" s="64">
        <f t="shared" si="6"/>
        <v>0</v>
      </c>
      <c r="P67" s="64">
        <f t="shared" si="7"/>
        <v>5412887.1301977374</v>
      </c>
      <c r="Q67" s="64">
        <f t="shared" si="8"/>
        <v>6360616.6485099597</v>
      </c>
      <c r="R67" s="64"/>
      <c r="S67" s="64"/>
      <c r="V67" t="s">
        <v>3341</v>
      </c>
      <c r="Y67" s="64">
        <v>5315927</v>
      </c>
      <c r="Z67" s="64">
        <v>6246680</v>
      </c>
    </row>
    <row r="68" spans="1:26">
      <c r="A68" s="46">
        <f t="shared" si="0"/>
        <v>0</v>
      </c>
      <c r="B68" s="1962">
        <v>7</v>
      </c>
      <c r="C68" s="1962" t="s">
        <v>3345</v>
      </c>
      <c r="D68" s="2335">
        <f t="shared" si="1"/>
        <v>0</v>
      </c>
      <c r="E68" s="2336">
        <f t="shared" si="2"/>
        <v>499650.14846667944</v>
      </c>
      <c r="F68" s="2336">
        <f t="shared" si="3"/>
        <v>2319132.2226334307</v>
      </c>
      <c r="G68" s="2334">
        <f t="shared" si="4"/>
        <v>2818782.37110011</v>
      </c>
      <c r="L68">
        <f t="shared" si="10"/>
        <v>0</v>
      </c>
      <c r="M68" t="s">
        <v>3343</v>
      </c>
      <c r="N68" s="64">
        <f t="shared" si="9"/>
        <v>661865.89159328782</v>
      </c>
      <c r="O68" s="64">
        <f t="shared" si="6"/>
        <v>0</v>
      </c>
      <c r="P68" s="64">
        <f t="shared" si="7"/>
        <v>373648.0950287148</v>
      </c>
      <c r="Q68" s="64">
        <f t="shared" si="8"/>
        <v>1166435.1553386354</v>
      </c>
      <c r="R68" s="64"/>
      <c r="S68" s="64"/>
      <c r="V68" t="s">
        <v>3343</v>
      </c>
      <c r="W68" s="64">
        <v>650010</v>
      </c>
      <c r="Y68" s="64">
        <v>366955</v>
      </c>
      <c r="Z68" s="64">
        <v>1145541</v>
      </c>
    </row>
    <row r="69" spans="1:26">
      <c r="A69" s="46" t="e">
        <f t="shared" si="0"/>
        <v>#N/A</v>
      </c>
      <c r="B69" s="1962">
        <v>1</v>
      </c>
      <c r="C69" s="1962" t="s">
        <v>4020</v>
      </c>
      <c r="D69" s="2335"/>
      <c r="E69" s="2336">
        <f t="shared" si="2"/>
        <v>0</v>
      </c>
      <c r="F69" s="2336">
        <f t="shared" si="3"/>
        <v>0</v>
      </c>
      <c r="G69" s="2334">
        <f t="shared" si="4"/>
        <v>0</v>
      </c>
      <c r="L69">
        <f t="shared" si="10"/>
        <v>0</v>
      </c>
      <c r="M69" t="s">
        <v>3345</v>
      </c>
      <c r="N69" s="64">
        <f t="shared" si="9"/>
        <v>0</v>
      </c>
      <c r="O69" s="64">
        <f t="shared" si="6"/>
        <v>0</v>
      </c>
      <c r="P69" s="64">
        <f t="shared" si="7"/>
        <v>499650.14846667944</v>
      </c>
      <c r="Q69" s="64">
        <f t="shared" si="8"/>
        <v>2319132.2226334307</v>
      </c>
      <c r="R69" s="64"/>
      <c r="S69" s="64"/>
      <c r="V69" t="s">
        <v>3345</v>
      </c>
      <c r="Y69" s="64">
        <v>490700</v>
      </c>
      <c r="Z69" s="64">
        <v>2277590</v>
      </c>
    </row>
    <row r="70" spans="1:26">
      <c r="A70" s="46">
        <f t="shared" ref="A70:A124" si="11">+_xlfn.XLOOKUP(C70,M:M,P:P)-E70</f>
        <v>0</v>
      </c>
      <c r="B70" s="1962">
        <v>7</v>
      </c>
      <c r="C70" s="1962" t="s">
        <v>3347</v>
      </c>
      <c r="D70" s="2335">
        <f t="shared" si="1"/>
        <v>0</v>
      </c>
      <c r="E70" s="2336">
        <f t="shared" si="2"/>
        <v>1083466.9601127093</v>
      </c>
      <c r="F70" s="2336">
        <f t="shared" si="3"/>
        <v>8942547.335516559</v>
      </c>
      <c r="G70" s="2334">
        <f t="shared" si="4"/>
        <v>10026014.295629269</v>
      </c>
      <c r="L70">
        <f t="shared" ref="L70:L101" si="12">+_xlfn.XLOOKUP(M70,C:C,F:F)-Q70</f>
        <v>0</v>
      </c>
      <c r="M70" t="s">
        <v>3347</v>
      </c>
      <c r="N70" s="64">
        <f t="shared" si="9"/>
        <v>0</v>
      </c>
      <c r="O70" s="64">
        <f t="shared" ref="O70:O131" si="13">+X70*$T$5</f>
        <v>0</v>
      </c>
      <c r="P70" s="64">
        <f t="shared" ref="P70:P131" si="14">+Y70*$T$5</f>
        <v>1083466.9601127093</v>
      </c>
      <c r="Q70" s="64">
        <f t="shared" ref="Q70:Q131" si="15">+Z70*$T$5</f>
        <v>8942547.335516559</v>
      </c>
      <c r="R70" s="64"/>
      <c r="S70" s="64"/>
      <c r="V70" t="s">
        <v>3347</v>
      </c>
      <c r="Y70" s="64">
        <v>1064059</v>
      </c>
      <c r="Z70" s="64">
        <v>8782361</v>
      </c>
    </row>
    <row r="71" spans="1:26">
      <c r="A71" s="46">
        <f t="shared" si="11"/>
        <v>0</v>
      </c>
      <c r="B71" s="1962">
        <v>1</v>
      </c>
      <c r="C71" s="1962" t="s">
        <v>3349</v>
      </c>
      <c r="D71" s="2335">
        <f t="shared" ref="D71:D124" si="16">+_xlfn.SINGLE(_xlfn.XLOOKUP(C71,M:M,N:N,0))+_xlfn.SINGLE(_xlfn.XLOOKUP(C71,M:M,O:O))</f>
        <v>0</v>
      </c>
      <c r="E71" s="2336">
        <f t="shared" ref="E71:E124" si="17">+IFERROR(_xlfn.XLOOKUP(C71,M:M,P:P),0)</f>
        <v>0</v>
      </c>
      <c r="F71" s="2336">
        <f t="shared" ref="F71:F124" si="18">+_xlfn.SINGLE(_xlfn.XLOOKUP($C71,$M:$M,Q:Q,0))</f>
        <v>42882.140518699285</v>
      </c>
      <c r="G71" s="2334">
        <f t="shared" ref="G71:G124" si="19">+SUM(D71:F71)</f>
        <v>42882.140518699285</v>
      </c>
      <c r="L71">
        <f t="shared" si="12"/>
        <v>0</v>
      </c>
      <c r="M71" t="s">
        <v>3349</v>
      </c>
      <c r="N71" s="64">
        <f t="shared" ref="N71:N131" si="20">+W71*$T$5</f>
        <v>0</v>
      </c>
      <c r="O71" s="64">
        <f t="shared" si="13"/>
        <v>0</v>
      </c>
      <c r="P71" s="64">
        <f t="shared" si="14"/>
        <v>0</v>
      </c>
      <c r="Q71" s="64">
        <f t="shared" si="15"/>
        <v>42882.140518699285</v>
      </c>
      <c r="R71" s="64"/>
      <c r="S71" s="64"/>
      <c r="V71" t="s">
        <v>3349</v>
      </c>
      <c r="Z71" s="64">
        <v>42114</v>
      </c>
    </row>
    <row r="72" spans="1:26">
      <c r="A72" s="46">
        <f t="shared" si="11"/>
        <v>0</v>
      </c>
      <c r="B72" s="1962">
        <v>1</v>
      </c>
      <c r="C72" s="1962" t="s">
        <v>3351</v>
      </c>
      <c r="D72" s="2335">
        <f t="shared" si="16"/>
        <v>0</v>
      </c>
      <c r="E72" s="2336">
        <f t="shared" si="17"/>
        <v>23927.611246828001</v>
      </c>
      <c r="F72" s="2336">
        <f t="shared" si="18"/>
        <v>22356.467617147777</v>
      </c>
      <c r="G72" s="2334">
        <f t="shared" si="19"/>
        <v>46284.078863975781</v>
      </c>
      <c r="L72">
        <f t="shared" si="12"/>
        <v>0</v>
      </c>
      <c r="M72" t="s">
        <v>3351</v>
      </c>
      <c r="N72" s="64">
        <f t="shared" si="20"/>
        <v>0</v>
      </c>
      <c r="O72" s="64">
        <f t="shared" si="13"/>
        <v>0</v>
      </c>
      <c r="P72" s="64">
        <f t="shared" si="14"/>
        <v>23927.611246828001</v>
      </c>
      <c r="Q72" s="64">
        <f t="shared" si="15"/>
        <v>22356.467617147777</v>
      </c>
      <c r="R72" s="64"/>
      <c r="S72" s="64"/>
      <c r="V72" t="s">
        <v>3351</v>
      </c>
      <c r="Y72" s="64">
        <v>23499</v>
      </c>
      <c r="Z72" s="64">
        <v>21956</v>
      </c>
    </row>
    <row r="73" spans="1:26">
      <c r="A73" s="46">
        <f t="shared" si="11"/>
        <v>0</v>
      </c>
      <c r="B73" s="1962">
        <v>1</v>
      </c>
      <c r="C73" s="1962" t="s">
        <v>3353</v>
      </c>
      <c r="D73" s="2335">
        <f t="shared" si="16"/>
        <v>0</v>
      </c>
      <c r="E73" s="2336">
        <f t="shared" si="17"/>
        <v>253284.03399356248</v>
      </c>
      <c r="F73" s="2336">
        <f t="shared" si="18"/>
        <v>1655075.0795229219</v>
      </c>
      <c r="G73" s="2334">
        <f t="shared" si="19"/>
        <v>1908359.1135164844</v>
      </c>
      <c r="L73">
        <f t="shared" si="12"/>
        <v>0</v>
      </c>
      <c r="M73" t="s">
        <v>3353</v>
      </c>
      <c r="N73" s="64">
        <f t="shared" si="20"/>
        <v>0</v>
      </c>
      <c r="O73" s="64">
        <f t="shared" si="13"/>
        <v>0</v>
      </c>
      <c r="P73" s="64">
        <f t="shared" si="14"/>
        <v>253284.03399356248</v>
      </c>
      <c r="Q73" s="64">
        <f t="shared" si="15"/>
        <v>1655075.0795229219</v>
      </c>
      <c r="R73" s="64"/>
      <c r="S73" s="64"/>
      <c r="V73" t="s">
        <v>3353</v>
      </c>
      <c r="Y73" s="64">
        <v>248747</v>
      </c>
      <c r="Z73" s="64">
        <v>1625428</v>
      </c>
    </row>
    <row r="74" spans="1:26">
      <c r="A74" s="46">
        <f t="shared" si="11"/>
        <v>0</v>
      </c>
      <c r="B74" s="1962">
        <v>7</v>
      </c>
      <c r="C74" s="1962" t="s">
        <v>3355</v>
      </c>
      <c r="D74" s="2335">
        <f t="shared" si="16"/>
        <v>0</v>
      </c>
      <c r="E74" s="2337">
        <f t="shared" si="17"/>
        <v>1761801.8582299426</v>
      </c>
      <c r="F74" s="2337">
        <f t="shared" si="18"/>
        <v>2042683.2388179465</v>
      </c>
      <c r="G74" s="2334">
        <f t="shared" si="19"/>
        <v>3804485.0970478891</v>
      </c>
      <c r="L74">
        <f t="shared" si="12"/>
        <v>0</v>
      </c>
      <c r="M74" t="s">
        <v>3355</v>
      </c>
      <c r="N74" s="64">
        <f t="shared" si="20"/>
        <v>0</v>
      </c>
      <c r="O74" s="64">
        <f t="shared" si="13"/>
        <v>0</v>
      </c>
      <c r="P74" s="64">
        <f t="shared" si="14"/>
        <v>1761801.8582299426</v>
      </c>
      <c r="Q74" s="64">
        <f t="shared" si="15"/>
        <v>2042683.2388179465</v>
      </c>
      <c r="R74" s="64"/>
      <c r="S74" s="64"/>
      <c r="V74" t="s">
        <v>3355</v>
      </c>
      <c r="Y74" s="64">
        <v>1730243</v>
      </c>
      <c r="Z74" s="64">
        <v>2006093</v>
      </c>
    </row>
    <row r="75" spans="1:26">
      <c r="A75" s="46">
        <f t="shared" si="11"/>
        <v>0</v>
      </c>
      <c r="B75" s="1962">
        <v>7</v>
      </c>
      <c r="C75" s="1962" t="s">
        <v>3357</v>
      </c>
      <c r="D75" s="2335">
        <f t="shared" si="16"/>
        <v>0</v>
      </c>
      <c r="E75" s="2337">
        <f t="shared" si="17"/>
        <v>1187615.5562725165</v>
      </c>
      <c r="F75" s="2337">
        <f t="shared" si="18"/>
        <v>2595058.8495584247</v>
      </c>
      <c r="G75" s="2334">
        <f t="shared" si="19"/>
        <v>3782674.4058309412</v>
      </c>
      <c r="L75">
        <f t="shared" si="12"/>
        <v>0</v>
      </c>
      <c r="M75" t="s">
        <v>3357</v>
      </c>
      <c r="N75" s="64">
        <f t="shared" si="20"/>
        <v>0</v>
      </c>
      <c r="O75" s="64">
        <f t="shared" si="13"/>
        <v>0</v>
      </c>
      <c r="P75" s="64">
        <f t="shared" si="14"/>
        <v>1187615.5562725165</v>
      </c>
      <c r="Q75" s="64">
        <f t="shared" si="15"/>
        <v>2595058.8495584247</v>
      </c>
      <c r="R75" s="64"/>
      <c r="S75" s="64"/>
      <c r="V75" t="s">
        <v>3357</v>
      </c>
      <c r="Y75" s="64">
        <v>1166342</v>
      </c>
      <c r="Z75" s="64">
        <v>2548574</v>
      </c>
    </row>
    <row r="76" spans="1:26">
      <c r="A76" s="46">
        <f t="shared" si="11"/>
        <v>0</v>
      </c>
      <c r="B76" s="1962">
        <v>7</v>
      </c>
      <c r="C76" s="1962" t="s">
        <v>9302</v>
      </c>
      <c r="D76" s="2335">
        <f>+_xlfn.XLOOKUP(C76,M:M,N:N,0)+_xlfn.XLOOKUP(C76,M:M,O:O)</f>
        <v>0</v>
      </c>
      <c r="E76" s="2336">
        <f t="shared" si="17"/>
        <v>0</v>
      </c>
      <c r="F76" s="2336">
        <f>+_xlfn.XLOOKUP($C76,$M:$M,Q:Q,0)</f>
        <v>7803746.1833962584</v>
      </c>
      <c r="G76" s="2334">
        <f>+SUM(D76:F76)</f>
        <v>7803746.1833962584</v>
      </c>
      <c r="L76">
        <f t="shared" si="12"/>
        <v>0</v>
      </c>
      <c r="M76" t="s">
        <v>9302</v>
      </c>
      <c r="N76" s="64">
        <f t="shared" si="20"/>
        <v>0</v>
      </c>
      <c r="O76" s="64">
        <f t="shared" si="13"/>
        <v>0</v>
      </c>
      <c r="P76" s="64">
        <f t="shared" si="14"/>
        <v>0</v>
      </c>
      <c r="Q76" s="64">
        <f t="shared" si="15"/>
        <v>7803746.1833962584</v>
      </c>
      <c r="R76" s="64"/>
      <c r="S76" s="64"/>
      <c r="V76" t="s">
        <v>9302</v>
      </c>
      <c r="Z76" s="64">
        <v>7663959</v>
      </c>
    </row>
    <row r="77" spans="1:26">
      <c r="A77" s="46">
        <f t="shared" si="11"/>
        <v>0</v>
      </c>
      <c r="B77" s="1962">
        <v>7</v>
      </c>
      <c r="C77" s="1962" t="s">
        <v>3085</v>
      </c>
      <c r="D77" s="2335">
        <f t="shared" si="16"/>
        <v>0</v>
      </c>
      <c r="E77" s="2337">
        <f t="shared" si="17"/>
        <v>1603715.0764891757</v>
      </c>
      <c r="F77" s="2337">
        <f t="shared" si="18"/>
        <v>4404941.9794627037</v>
      </c>
      <c r="G77" s="2334">
        <f t="shared" si="19"/>
        <v>6008657.0559518794</v>
      </c>
      <c r="L77">
        <f t="shared" si="12"/>
        <v>0</v>
      </c>
      <c r="M77" t="s">
        <v>3085</v>
      </c>
      <c r="N77" s="64">
        <f t="shared" si="20"/>
        <v>0</v>
      </c>
      <c r="O77" s="64">
        <f t="shared" si="13"/>
        <v>0</v>
      </c>
      <c r="P77" s="64">
        <f t="shared" si="14"/>
        <v>1603715.0764891757</v>
      </c>
      <c r="Q77" s="64">
        <f t="shared" si="15"/>
        <v>4404941.9794627037</v>
      </c>
      <c r="R77" s="64"/>
      <c r="S77" s="64"/>
      <c r="V77" t="s">
        <v>3085</v>
      </c>
      <c r="Y77" s="64">
        <v>1574988</v>
      </c>
      <c r="Z77" s="64">
        <v>4326037</v>
      </c>
    </row>
    <row r="78" spans="1:26">
      <c r="A78" s="46">
        <f t="shared" si="11"/>
        <v>0</v>
      </c>
      <c r="B78" s="1962">
        <v>1</v>
      </c>
      <c r="C78" s="1962" t="s">
        <v>3086</v>
      </c>
      <c r="D78" s="2335">
        <f t="shared" si="16"/>
        <v>0</v>
      </c>
      <c r="E78" s="2336">
        <f t="shared" si="17"/>
        <v>1050629.7527805269</v>
      </c>
      <c r="F78" s="2336">
        <f t="shared" si="18"/>
        <v>4091613.3772911672</v>
      </c>
      <c r="G78" s="2334">
        <f t="shared" si="19"/>
        <v>5142243.130071694</v>
      </c>
      <c r="L78">
        <f t="shared" si="12"/>
        <v>0</v>
      </c>
      <c r="M78" t="s">
        <v>3086</v>
      </c>
      <c r="N78" s="64">
        <f t="shared" si="20"/>
        <v>0</v>
      </c>
      <c r="O78" s="64">
        <f t="shared" si="13"/>
        <v>0</v>
      </c>
      <c r="P78" s="64">
        <f t="shared" si="14"/>
        <v>1050629.7527805269</v>
      </c>
      <c r="Q78" s="64">
        <f t="shared" si="15"/>
        <v>4091613.3772911672</v>
      </c>
      <c r="R78" s="64"/>
      <c r="S78" s="64"/>
      <c r="V78" t="s">
        <v>3086</v>
      </c>
      <c r="Y78" s="64">
        <v>1031810</v>
      </c>
      <c r="Z78" s="64">
        <v>4018321</v>
      </c>
    </row>
    <row r="79" spans="1:26">
      <c r="A79" s="46">
        <f t="shared" si="11"/>
        <v>0</v>
      </c>
      <c r="B79" s="1962">
        <v>7</v>
      </c>
      <c r="C79" s="1962" t="s">
        <v>3087</v>
      </c>
      <c r="D79" s="2335">
        <f t="shared" si="16"/>
        <v>0</v>
      </c>
      <c r="E79" s="2336">
        <f t="shared" si="17"/>
        <v>653268.89505058515</v>
      </c>
      <c r="F79" s="2336">
        <f t="shared" si="18"/>
        <v>5256658.6356404871</v>
      </c>
      <c r="G79" s="2334">
        <f t="shared" si="19"/>
        <v>5909927.5306910723</v>
      </c>
      <c r="L79">
        <f t="shared" si="12"/>
        <v>0</v>
      </c>
      <c r="M79" t="s">
        <v>3087</v>
      </c>
      <c r="N79" s="64">
        <f t="shared" si="20"/>
        <v>0</v>
      </c>
      <c r="O79" s="64">
        <f t="shared" si="13"/>
        <v>0</v>
      </c>
      <c r="P79" s="64">
        <f t="shared" si="14"/>
        <v>653268.89505058515</v>
      </c>
      <c r="Q79" s="64">
        <f t="shared" si="15"/>
        <v>5256658.6356404871</v>
      </c>
      <c r="R79" s="64"/>
      <c r="S79" s="64"/>
      <c r="V79" t="s">
        <v>3087</v>
      </c>
      <c r="Y79" s="64">
        <v>641567</v>
      </c>
      <c r="Z79" s="64">
        <v>5162497</v>
      </c>
    </row>
    <row r="80" spans="1:26">
      <c r="A80" s="46">
        <f t="shared" si="11"/>
        <v>0</v>
      </c>
      <c r="B80" s="1962">
        <v>1</v>
      </c>
      <c r="C80" s="1962" t="s">
        <v>3088</v>
      </c>
      <c r="D80" s="2335">
        <f t="shared" si="16"/>
        <v>0</v>
      </c>
      <c r="E80" s="2336">
        <f t="shared" si="17"/>
        <v>871536.68906937563</v>
      </c>
      <c r="F80" s="2336">
        <f t="shared" si="18"/>
        <v>3685020.1415376933</v>
      </c>
      <c r="G80" s="2334">
        <f t="shared" si="19"/>
        <v>4556556.8306070687</v>
      </c>
      <c r="L80">
        <f t="shared" si="12"/>
        <v>0</v>
      </c>
      <c r="M80" t="s">
        <v>3088</v>
      </c>
      <c r="N80" s="64">
        <f t="shared" si="20"/>
        <v>0</v>
      </c>
      <c r="O80" s="64">
        <f t="shared" si="13"/>
        <v>0</v>
      </c>
      <c r="P80" s="64">
        <f t="shared" si="14"/>
        <v>871536.68906937563</v>
      </c>
      <c r="Q80" s="64">
        <f t="shared" si="15"/>
        <v>3685020.1415376933</v>
      </c>
      <c r="R80" s="64"/>
      <c r="S80" s="64"/>
      <c r="V80" t="s">
        <v>3088</v>
      </c>
      <c r="Y80" s="64">
        <v>855925</v>
      </c>
      <c r="Z80" s="64">
        <v>3619011</v>
      </c>
    </row>
    <row r="81" spans="1:26">
      <c r="A81" s="46">
        <f t="shared" si="11"/>
        <v>0</v>
      </c>
      <c r="B81" s="1962">
        <v>1</v>
      </c>
      <c r="C81" s="1962" t="s">
        <v>3089</v>
      </c>
      <c r="D81" s="2335">
        <f t="shared" si="16"/>
        <v>0</v>
      </c>
      <c r="E81" s="2336">
        <f t="shared" si="17"/>
        <v>985386.05344691675</v>
      </c>
      <c r="F81" s="2336">
        <f t="shared" si="18"/>
        <v>3323317.0147006689</v>
      </c>
      <c r="G81" s="2334">
        <f>+SUM(D81:F81)</f>
        <v>4308703.0681475857</v>
      </c>
      <c r="L81">
        <f t="shared" si="12"/>
        <v>0</v>
      </c>
      <c r="M81" t="s">
        <v>3089</v>
      </c>
      <c r="N81" s="64">
        <f t="shared" si="20"/>
        <v>0</v>
      </c>
      <c r="O81" s="64">
        <f t="shared" si="13"/>
        <v>0</v>
      </c>
      <c r="P81" s="64">
        <f t="shared" si="14"/>
        <v>985386.05344691675</v>
      </c>
      <c r="Q81" s="64">
        <f t="shared" si="15"/>
        <v>3323317.0147006689</v>
      </c>
      <c r="R81" s="64"/>
      <c r="S81" s="64"/>
      <c r="V81" t="s">
        <v>3089</v>
      </c>
      <c r="Y81" s="64">
        <v>967735</v>
      </c>
      <c r="Z81" s="64">
        <v>3263787</v>
      </c>
    </row>
    <row r="82" spans="1:26">
      <c r="A82" s="46">
        <f t="shared" si="11"/>
        <v>0</v>
      </c>
      <c r="B82" s="1962">
        <v>1</v>
      </c>
      <c r="C82" s="1962" t="s">
        <v>3090</v>
      </c>
      <c r="D82" s="2335">
        <f>+_xlfn.SINGLE(_xlfn.XLOOKUP(C82,M:M,N:N,0))+_xlfn.SINGLE(_xlfn.XLOOKUP(C82,M:M,O:O))</f>
        <v>0</v>
      </c>
      <c r="E82" s="2336">
        <f t="shared" si="17"/>
        <v>1275087.4250396453</v>
      </c>
      <c r="F82" s="2336">
        <f>+_xlfn.SINGLE(_xlfn.XLOOKUP($C82,$M:$M,Q:Q,0))</f>
        <v>4761061.0805932032</v>
      </c>
      <c r="G82" s="2334">
        <f>+SUM(D82:F82)</f>
        <v>6036148.5056328485</v>
      </c>
      <c r="L82">
        <f t="shared" si="12"/>
        <v>0</v>
      </c>
      <c r="M82" t="s">
        <v>3090</v>
      </c>
      <c r="N82" s="64">
        <f t="shared" si="20"/>
        <v>0</v>
      </c>
      <c r="O82" s="64">
        <f t="shared" si="13"/>
        <v>0</v>
      </c>
      <c r="P82" s="64">
        <f t="shared" si="14"/>
        <v>1275087.4250396453</v>
      </c>
      <c r="Q82" s="64">
        <f t="shared" si="15"/>
        <v>4761061.0805932032</v>
      </c>
      <c r="R82" s="64"/>
      <c r="S82" s="64"/>
      <c r="V82" t="s">
        <v>3090</v>
      </c>
      <c r="Y82" s="64">
        <v>1252247</v>
      </c>
      <c r="Z82" s="64">
        <v>4675777</v>
      </c>
    </row>
    <row r="83" spans="1:26">
      <c r="A83" s="46">
        <f t="shared" si="11"/>
        <v>0</v>
      </c>
      <c r="B83" s="1962"/>
      <c r="C83" s="1962"/>
      <c r="D83" s="2335"/>
      <c r="E83" s="2336"/>
      <c r="F83" s="2336"/>
      <c r="G83" s="2334"/>
      <c r="L83">
        <f t="shared" si="12"/>
        <v>0</v>
      </c>
      <c r="M83" t="s">
        <v>9401</v>
      </c>
      <c r="N83" s="64">
        <f t="shared" si="20"/>
        <v>0</v>
      </c>
      <c r="O83" s="64">
        <f t="shared" si="13"/>
        <v>0</v>
      </c>
      <c r="P83" s="64">
        <f t="shared" si="14"/>
        <v>0</v>
      </c>
      <c r="Q83" s="64">
        <f t="shared" si="15"/>
        <v>78472.667601144451</v>
      </c>
      <c r="R83" s="64"/>
      <c r="S83" s="64"/>
      <c r="V83" t="s">
        <v>9401</v>
      </c>
      <c r="Z83" s="64">
        <v>77067</v>
      </c>
    </row>
    <row r="84" spans="1:26">
      <c r="A84" s="46">
        <f t="shared" si="11"/>
        <v>0</v>
      </c>
      <c r="B84" s="1962">
        <v>1</v>
      </c>
      <c r="C84" s="1962" t="s">
        <v>9401</v>
      </c>
      <c r="D84" s="2335">
        <f t="shared" si="16"/>
        <v>0</v>
      </c>
      <c r="E84" s="2336">
        <f t="shared" si="17"/>
        <v>0</v>
      </c>
      <c r="F84" s="2336">
        <f t="shared" si="18"/>
        <v>78472.667601144451</v>
      </c>
      <c r="G84" s="2334">
        <f t="shared" si="19"/>
        <v>78472.667601144451</v>
      </c>
      <c r="L84">
        <f t="shared" si="12"/>
        <v>0</v>
      </c>
      <c r="M84" t="s">
        <v>3091</v>
      </c>
      <c r="N84" s="64">
        <f t="shared" si="20"/>
        <v>0</v>
      </c>
      <c r="O84" s="64">
        <f t="shared" si="13"/>
        <v>0</v>
      </c>
      <c r="P84" s="64">
        <f t="shared" si="14"/>
        <v>993383.30689313088</v>
      </c>
      <c r="Q84" s="64">
        <f t="shared" si="15"/>
        <v>3428178.3785473048</v>
      </c>
      <c r="R84" s="64"/>
      <c r="S84" s="64"/>
      <c r="V84" t="s">
        <v>3091</v>
      </c>
      <c r="Y84" s="64">
        <v>975589</v>
      </c>
      <c r="Z84" s="64">
        <v>3366770</v>
      </c>
    </row>
    <row r="85" spans="1:26">
      <c r="A85" s="46">
        <f t="shared" si="11"/>
        <v>0</v>
      </c>
      <c r="B85" s="1962">
        <v>1</v>
      </c>
      <c r="C85" s="1962" t="s">
        <v>3091</v>
      </c>
      <c r="D85" s="2335">
        <f t="shared" ref="D85" si="21">+_xlfn.SINGLE(_xlfn.XLOOKUP(C85,M:M,N:N,0))+_xlfn.SINGLE(_xlfn.XLOOKUP(C85,M:M,O:O))</f>
        <v>0</v>
      </c>
      <c r="E85" s="2336">
        <f t="shared" si="17"/>
        <v>993383.30689313088</v>
      </c>
      <c r="F85" s="2336">
        <f t="shared" ref="F85" si="22">+_xlfn.SINGLE(_xlfn.XLOOKUP($C85,$M:$M,Q:Q,0))</f>
        <v>3428178.3785473048</v>
      </c>
      <c r="G85" s="2334">
        <f t="shared" ref="G85" si="23">+SUM(D85:F85)</f>
        <v>4421561.685440436</v>
      </c>
      <c r="L85">
        <f t="shared" si="12"/>
        <v>0</v>
      </c>
      <c r="M85" t="s">
        <v>3092</v>
      </c>
      <c r="N85" s="64">
        <f t="shared" si="20"/>
        <v>0</v>
      </c>
      <c r="O85" s="64">
        <f t="shared" si="13"/>
        <v>0</v>
      </c>
      <c r="P85" s="64">
        <f t="shared" si="14"/>
        <v>917937.8654819018</v>
      </c>
      <c r="Q85" s="64">
        <f t="shared" si="15"/>
        <v>3022991.3316159877</v>
      </c>
      <c r="R85" s="64"/>
      <c r="S85" s="64"/>
      <c r="V85" t="s">
        <v>3092</v>
      </c>
      <c r="Y85" s="64">
        <v>901495</v>
      </c>
      <c r="Z85" s="64">
        <v>2968841</v>
      </c>
    </row>
    <row r="86" spans="1:26">
      <c r="A86" s="46">
        <f t="shared" si="11"/>
        <v>0</v>
      </c>
      <c r="B86" s="1962">
        <v>1</v>
      </c>
      <c r="C86" s="1962" t="s">
        <v>3092</v>
      </c>
      <c r="D86" s="2335">
        <f t="shared" si="16"/>
        <v>0</v>
      </c>
      <c r="E86" s="2336">
        <f t="shared" si="17"/>
        <v>917937.8654819018</v>
      </c>
      <c r="F86" s="2336">
        <f t="shared" si="18"/>
        <v>3022991.3316159877</v>
      </c>
      <c r="G86" s="2334">
        <f t="shared" si="19"/>
        <v>3940929.1970978896</v>
      </c>
      <c r="L86">
        <f t="shared" si="12"/>
        <v>0</v>
      </c>
      <c r="M86" t="s">
        <v>3095</v>
      </c>
      <c r="N86" s="64">
        <f t="shared" si="20"/>
        <v>0</v>
      </c>
      <c r="O86" s="64">
        <f t="shared" si="13"/>
        <v>0</v>
      </c>
      <c r="P86" s="64">
        <f t="shared" si="14"/>
        <v>1261086.6311912311</v>
      </c>
      <c r="Q86" s="64">
        <f t="shared" si="15"/>
        <v>4208279.1922712335</v>
      </c>
      <c r="R86" s="64"/>
      <c r="S86" s="64"/>
      <c r="V86" t="s">
        <v>3095</v>
      </c>
      <c r="Y86" s="64">
        <v>1238497</v>
      </c>
      <c r="Z86" s="64">
        <v>4132897</v>
      </c>
    </row>
    <row r="87" spans="1:26">
      <c r="A87" s="46">
        <f t="shared" si="11"/>
        <v>0</v>
      </c>
      <c r="B87" s="1962">
        <v>1</v>
      </c>
      <c r="C87" s="1962" t="s">
        <v>3095</v>
      </c>
      <c r="D87" s="2335">
        <f t="shared" si="16"/>
        <v>0</v>
      </c>
      <c r="E87" s="2336">
        <f t="shared" si="17"/>
        <v>1261086.6311912311</v>
      </c>
      <c r="F87" s="2336">
        <f t="shared" si="18"/>
        <v>4208279.1922712335</v>
      </c>
      <c r="G87" s="2334">
        <f t="shared" si="19"/>
        <v>5469365.8234624648</v>
      </c>
      <c r="L87">
        <f t="shared" si="12"/>
        <v>0</v>
      </c>
      <c r="M87" t="s">
        <v>3370</v>
      </c>
      <c r="N87" s="64">
        <f t="shared" si="20"/>
        <v>0</v>
      </c>
      <c r="O87" s="64">
        <f t="shared" si="13"/>
        <v>0</v>
      </c>
      <c r="P87" s="64">
        <f t="shared" si="14"/>
        <v>1215940.9441470755</v>
      </c>
      <c r="Q87" s="64">
        <f t="shared" si="15"/>
        <v>6000914.3623938179</v>
      </c>
      <c r="R87" s="64"/>
      <c r="S87" s="64"/>
      <c r="V87" t="s">
        <v>3370</v>
      </c>
      <c r="Y87" s="64">
        <v>1194160</v>
      </c>
      <c r="Z87" s="64">
        <v>5893421</v>
      </c>
    </row>
    <row r="88" spans="1:26">
      <c r="A88" s="46">
        <f t="shared" si="11"/>
        <v>0</v>
      </c>
      <c r="B88" s="1962">
        <v>7</v>
      </c>
      <c r="C88" s="1962" t="s">
        <v>3370</v>
      </c>
      <c r="D88" s="2335">
        <f t="shared" si="16"/>
        <v>0</v>
      </c>
      <c r="E88" s="2336">
        <f t="shared" si="17"/>
        <v>1215940.9441470755</v>
      </c>
      <c r="F88" s="2336">
        <f t="shared" si="18"/>
        <v>6000914.3623938179</v>
      </c>
      <c r="G88" s="2334">
        <f t="shared" si="19"/>
        <v>7216855.3065408934</v>
      </c>
      <c r="L88">
        <f t="shared" si="12"/>
        <v>0</v>
      </c>
      <c r="M88" t="s">
        <v>3372</v>
      </c>
      <c r="N88" s="64">
        <f t="shared" si="20"/>
        <v>0</v>
      </c>
      <c r="O88" s="64">
        <f t="shared" si="13"/>
        <v>0</v>
      </c>
      <c r="P88" s="64">
        <f t="shared" si="14"/>
        <v>1026404.8155843362</v>
      </c>
      <c r="Q88" s="64">
        <f t="shared" si="15"/>
        <v>3986891.5122632398</v>
      </c>
      <c r="R88" s="64"/>
      <c r="S88" s="64"/>
      <c r="V88" t="s">
        <v>3372</v>
      </c>
      <c r="Y88" s="64">
        <v>1008019</v>
      </c>
      <c r="Z88" s="64">
        <v>3915475</v>
      </c>
    </row>
    <row r="89" spans="1:26">
      <c r="A89" s="46">
        <f t="shared" si="11"/>
        <v>0</v>
      </c>
      <c r="B89" s="1962">
        <v>7</v>
      </c>
      <c r="C89" s="1962" t="s">
        <v>3372</v>
      </c>
      <c r="D89" s="2335">
        <f t="shared" si="16"/>
        <v>0</v>
      </c>
      <c r="E89" s="2337">
        <f t="shared" si="17"/>
        <v>1026404.8155843362</v>
      </c>
      <c r="F89" s="2337">
        <f t="shared" si="18"/>
        <v>3986891.5122632398</v>
      </c>
      <c r="G89" s="2334">
        <f t="shared" si="19"/>
        <v>5013296.3278475758</v>
      </c>
      <c r="L89">
        <f t="shared" si="12"/>
        <v>0</v>
      </c>
      <c r="M89" t="s">
        <v>8275</v>
      </c>
      <c r="N89" s="64">
        <f t="shared" si="20"/>
        <v>0</v>
      </c>
      <c r="O89" s="64">
        <f t="shared" si="13"/>
        <v>0</v>
      </c>
      <c r="P89" s="64">
        <f t="shared" si="14"/>
        <v>0</v>
      </c>
      <c r="Q89" s="64">
        <f t="shared" si="15"/>
        <v>3424714.3275893186</v>
      </c>
      <c r="R89" s="64"/>
      <c r="S89" s="64"/>
      <c r="V89" t="s">
        <v>8275</v>
      </c>
      <c r="Z89" s="64">
        <v>3363368</v>
      </c>
    </row>
    <row r="90" spans="1:26">
      <c r="A90" s="46">
        <f t="shared" si="11"/>
        <v>0</v>
      </c>
      <c r="B90" s="1962">
        <v>1</v>
      </c>
      <c r="C90" s="1962" t="s">
        <v>8275</v>
      </c>
      <c r="D90" s="2335">
        <f t="shared" si="16"/>
        <v>0</v>
      </c>
      <c r="E90" s="2337">
        <f t="shared" si="17"/>
        <v>0</v>
      </c>
      <c r="F90" s="2337">
        <f t="shared" si="18"/>
        <v>3424714.3275893186</v>
      </c>
      <c r="G90" s="2334">
        <f t="shared" si="19"/>
        <v>3424714.3275893186</v>
      </c>
      <c r="L90">
        <f t="shared" si="12"/>
        <v>0</v>
      </c>
      <c r="M90" t="s">
        <v>3096</v>
      </c>
      <c r="N90" s="64">
        <f t="shared" si="20"/>
        <v>0</v>
      </c>
      <c r="O90" s="64">
        <f t="shared" si="13"/>
        <v>0</v>
      </c>
      <c r="P90" s="64">
        <f t="shared" si="14"/>
        <v>1455615.1882804267</v>
      </c>
      <c r="Q90" s="64">
        <f t="shared" si="15"/>
        <v>4643075.6271529524</v>
      </c>
      <c r="R90" s="64"/>
      <c r="S90" s="64"/>
      <c r="V90" t="s">
        <v>3096</v>
      </c>
      <c r="Y90" s="64">
        <v>1429541</v>
      </c>
      <c r="Z90" s="64">
        <v>4559905</v>
      </c>
    </row>
    <row r="91" spans="1:26">
      <c r="A91" s="46">
        <f t="shared" si="11"/>
        <v>0</v>
      </c>
      <c r="B91" s="1962">
        <v>1</v>
      </c>
      <c r="C91" s="1962" t="s">
        <v>3096</v>
      </c>
      <c r="D91" s="2335">
        <f t="shared" si="16"/>
        <v>0</v>
      </c>
      <c r="E91" s="2337">
        <f t="shared" si="17"/>
        <v>1455615.1882804267</v>
      </c>
      <c r="F91" s="2337">
        <f t="shared" si="18"/>
        <v>4643075.6271529524</v>
      </c>
      <c r="G91" s="2334">
        <f t="shared" si="19"/>
        <v>6098690.8154333793</v>
      </c>
      <c r="L91">
        <f t="shared" si="12"/>
        <v>0</v>
      </c>
      <c r="M91" t="s">
        <v>3097</v>
      </c>
      <c r="N91" s="64">
        <f t="shared" si="20"/>
        <v>0</v>
      </c>
      <c r="O91" s="64">
        <f t="shared" si="13"/>
        <v>0</v>
      </c>
      <c r="P91" s="64">
        <f t="shared" si="14"/>
        <v>1279112.5259911204</v>
      </c>
      <c r="Q91" s="64">
        <f t="shared" si="15"/>
        <v>4733425.0408957629</v>
      </c>
      <c r="R91" s="64"/>
      <c r="S91" s="64"/>
      <c r="V91" t="s">
        <v>3097</v>
      </c>
      <c r="Y91" s="64">
        <v>1256200</v>
      </c>
      <c r="Z91" s="64">
        <v>4648636</v>
      </c>
    </row>
    <row r="92" spans="1:26">
      <c r="A92" s="46">
        <f t="shared" si="11"/>
        <v>0</v>
      </c>
      <c r="B92" s="1962">
        <v>7</v>
      </c>
      <c r="C92" s="1962" t="s">
        <v>3097</v>
      </c>
      <c r="D92" s="2335">
        <f t="shared" si="16"/>
        <v>0</v>
      </c>
      <c r="E92" s="2337">
        <f t="shared" si="17"/>
        <v>1279112.5259911204</v>
      </c>
      <c r="F92" s="2337">
        <f t="shared" si="18"/>
        <v>4733425.0408957629</v>
      </c>
      <c r="G92" s="2334">
        <f t="shared" si="19"/>
        <v>6012537.5668868832</v>
      </c>
      <c r="L92">
        <f t="shared" si="12"/>
        <v>0</v>
      </c>
      <c r="M92" t="s">
        <v>3098</v>
      </c>
      <c r="N92" s="64">
        <f t="shared" si="20"/>
        <v>0</v>
      </c>
      <c r="O92" s="64">
        <f t="shared" si="13"/>
        <v>0</v>
      </c>
      <c r="P92" s="64">
        <f t="shared" si="14"/>
        <v>1460623.9086397248</v>
      </c>
      <c r="Q92" s="64">
        <f t="shared" si="15"/>
        <v>4368958.4119129498</v>
      </c>
      <c r="R92" s="64"/>
      <c r="S92" s="64"/>
      <c r="V92" t="s">
        <v>3098</v>
      </c>
      <c r="Y92" s="64">
        <v>1434460</v>
      </c>
      <c r="Z92" s="64">
        <v>4290698</v>
      </c>
    </row>
    <row r="93" spans="1:26">
      <c r="A93" s="46">
        <f t="shared" si="11"/>
        <v>0</v>
      </c>
      <c r="B93" s="1962">
        <v>1</v>
      </c>
      <c r="C93" s="1962" t="s">
        <v>3098</v>
      </c>
      <c r="D93" s="2335">
        <f t="shared" si="16"/>
        <v>0</v>
      </c>
      <c r="E93" s="2337">
        <f t="shared" si="17"/>
        <v>1460623.9086397248</v>
      </c>
      <c r="F93" s="2337">
        <f t="shared" si="18"/>
        <v>4368958.4119129498</v>
      </c>
      <c r="G93" s="2334">
        <f t="shared" si="19"/>
        <v>5829582.3205526751</v>
      </c>
      <c r="L93">
        <f t="shared" si="12"/>
        <v>0</v>
      </c>
      <c r="M93" t="s">
        <v>9402</v>
      </c>
      <c r="N93" s="64">
        <f t="shared" si="20"/>
        <v>0</v>
      </c>
      <c r="O93" s="64">
        <f t="shared" si="13"/>
        <v>0</v>
      </c>
      <c r="P93" s="64">
        <f t="shared" si="14"/>
        <v>0</v>
      </c>
      <c r="Q93" s="64">
        <f t="shared" si="15"/>
        <v>114628.31763528926</v>
      </c>
      <c r="R93" s="64"/>
      <c r="S93" s="64"/>
      <c r="V93" t="s">
        <v>9402</v>
      </c>
      <c r="Z93" s="64">
        <v>112575</v>
      </c>
    </row>
    <row r="94" spans="1:26">
      <c r="A94" s="46">
        <f t="shared" si="11"/>
        <v>0</v>
      </c>
      <c r="B94" s="1962">
        <v>1</v>
      </c>
      <c r="C94" s="1962" t="s">
        <v>9402</v>
      </c>
      <c r="D94" s="2335">
        <f t="shared" ref="D94:D95" si="24">+_xlfn.SINGLE(_xlfn.XLOOKUP(C94,M:M,N:N,0))+_xlfn.SINGLE(_xlfn.XLOOKUP(C94,M:M,O:O))</f>
        <v>0</v>
      </c>
      <c r="E94" s="2337">
        <f t="shared" si="17"/>
        <v>0</v>
      </c>
      <c r="F94" s="2337">
        <f t="shared" ref="F94:F95" si="25">+_xlfn.SINGLE(_xlfn.XLOOKUP($C94,$M:$M,Q:Q,0))</f>
        <v>114628.31763528926</v>
      </c>
      <c r="G94" s="2334">
        <f t="shared" ref="G94:G95" si="26">+SUM(D94:F94)</f>
        <v>114628.31763528926</v>
      </c>
      <c r="L94">
        <f t="shared" si="12"/>
        <v>0</v>
      </c>
      <c r="M94" t="s">
        <v>9403</v>
      </c>
      <c r="N94" s="64">
        <f t="shared" si="20"/>
        <v>0</v>
      </c>
      <c r="O94" s="64">
        <f t="shared" si="13"/>
        <v>0</v>
      </c>
      <c r="P94" s="64">
        <f t="shared" si="14"/>
        <v>0</v>
      </c>
      <c r="Q94" s="64">
        <f t="shared" si="15"/>
        <v>1372916.8265359427</v>
      </c>
      <c r="R94" s="64"/>
      <c r="S94" s="64"/>
      <c r="V94" t="s">
        <v>9403</v>
      </c>
      <c r="Z94" s="64">
        <v>1348324</v>
      </c>
    </row>
    <row r="95" spans="1:26">
      <c r="A95" s="46">
        <f t="shared" si="11"/>
        <v>0</v>
      </c>
      <c r="B95" s="1962">
        <v>1</v>
      </c>
      <c r="C95" s="1962" t="s">
        <v>9403</v>
      </c>
      <c r="D95" s="2335">
        <f t="shared" si="24"/>
        <v>0</v>
      </c>
      <c r="E95" s="2337">
        <f t="shared" si="17"/>
        <v>0</v>
      </c>
      <c r="F95" s="2337">
        <f t="shared" si="25"/>
        <v>1372916.8265359427</v>
      </c>
      <c r="G95" s="2334">
        <f t="shared" si="26"/>
        <v>1372916.8265359427</v>
      </c>
      <c r="L95">
        <f t="shared" si="12"/>
        <v>0</v>
      </c>
      <c r="M95" t="s">
        <v>8276</v>
      </c>
      <c r="N95" s="64">
        <f t="shared" si="20"/>
        <v>0</v>
      </c>
      <c r="O95" s="64">
        <f t="shared" si="13"/>
        <v>0</v>
      </c>
      <c r="P95" s="64">
        <f t="shared" si="14"/>
        <v>0</v>
      </c>
      <c r="Q95" s="64">
        <f t="shared" si="15"/>
        <v>123383.14130864672</v>
      </c>
      <c r="R95" s="64"/>
      <c r="S95" s="64"/>
      <c r="V95" t="s">
        <v>8276</v>
      </c>
      <c r="Z95" s="64">
        <v>121173</v>
      </c>
    </row>
    <row r="96" spans="1:26">
      <c r="A96" s="46">
        <f t="shared" si="11"/>
        <v>0</v>
      </c>
      <c r="B96" s="1962">
        <v>1</v>
      </c>
      <c r="C96" s="1962" t="s">
        <v>8276</v>
      </c>
      <c r="D96" s="2335">
        <f t="shared" si="16"/>
        <v>0</v>
      </c>
      <c r="E96" s="2336">
        <f t="shared" si="17"/>
        <v>0</v>
      </c>
      <c r="F96" s="2336">
        <f t="shared" si="18"/>
        <v>123383.14130864672</v>
      </c>
      <c r="G96" s="2334">
        <f t="shared" si="19"/>
        <v>123383.14130864672</v>
      </c>
      <c r="L96">
        <f t="shared" si="12"/>
        <v>0</v>
      </c>
      <c r="M96" t="s">
        <v>9404</v>
      </c>
      <c r="N96" s="64">
        <f t="shared" si="20"/>
        <v>0</v>
      </c>
      <c r="O96" s="64">
        <f t="shared" si="13"/>
        <v>0</v>
      </c>
      <c r="P96" s="64">
        <f t="shared" si="14"/>
        <v>0</v>
      </c>
      <c r="Q96" s="64">
        <f t="shared" si="15"/>
        <v>40263.228389381373</v>
      </c>
      <c r="R96" s="64"/>
      <c r="S96" s="64"/>
      <c r="V96" t="s">
        <v>9404</v>
      </c>
      <c r="Z96" s="64">
        <v>39542</v>
      </c>
    </row>
    <row r="97" spans="1:26">
      <c r="A97" s="46">
        <f t="shared" si="11"/>
        <v>0</v>
      </c>
      <c r="B97" s="1962">
        <v>1</v>
      </c>
      <c r="C97" s="1962" t="s">
        <v>9404</v>
      </c>
      <c r="D97" s="2335">
        <f t="shared" si="16"/>
        <v>0</v>
      </c>
      <c r="E97" s="2337">
        <f t="shared" si="17"/>
        <v>0</v>
      </c>
      <c r="F97" s="2337">
        <f t="shared" si="18"/>
        <v>40263.228389381373</v>
      </c>
      <c r="G97" s="2334">
        <f t="shared" si="19"/>
        <v>40263.228389381373</v>
      </c>
      <c r="L97">
        <f t="shared" si="12"/>
        <v>0</v>
      </c>
      <c r="M97" t="s">
        <v>3377</v>
      </c>
      <c r="N97" s="64">
        <f t="shared" si="20"/>
        <v>0</v>
      </c>
      <c r="O97" s="64">
        <f t="shared" si="13"/>
        <v>0</v>
      </c>
      <c r="P97" s="64">
        <f t="shared" si="14"/>
        <v>0</v>
      </c>
      <c r="Q97" s="64">
        <f t="shared" si="15"/>
        <v>251412.50969586175</v>
      </c>
      <c r="R97" s="64"/>
      <c r="S97" s="64"/>
      <c r="V97" t="s">
        <v>3377</v>
      </c>
      <c r="Z97" s="64">
        <v>246909</v>
      </c>
    </row>
    <row r="98" spans="1:26">
      <c r="A98" s="46">
        <f t="shared" si="11"/>
        <v>0</v>
      </c>
      <c r="B98" s="1962">
        <v>7</v>
      </c>
      <c r="C98" s="2338" t="s">
        <v>3377</v>
      </c>
      <c r="D98" s="2335">
        <f t="shared" si="16"/>
        <v>0</v>
      </c>
      <c r="E98" s="2336">
        <f t="shared" si="17"/>
        <v>0</v>
      </c>
      <c r="F98" s="2336">
        <f t="shared" si="18"/>
        <v>251412.50969586175</v>
      </c>
      <c r="G98" s="2334">
        <f t="shared" si="19"/>
        <v>251412.50969586175</v>
      </c>
      <c r="L98">
        <f t="shared" si="12"/>
        <v>0</v>
      </c>
      <c r="M98" t="s">
        <v>3379</v>
      </c>
      <c r="N98" s="64">
        <f t="shared" si="20"/>
        <v>0</v>
      </c>
      <c r="O98" s="64">
        <f t="shared" si="13"/>
        <v>0</v>
      </c>
      <c r="P98" s="64">
        <f t="shared" si="14"/>
        <v>0</v>
      </c>
      <c r="Q98" s="64">
        <f t="shared" si="15"/>
        <v>-4482.2905105977643</v>
      </c>
      <c r="R98" s="64"/>
      <c r="S98" s="64"/>
      <c r="V98" t="s">
        <v>3379</v>
      </c>
      <c r="Z98" s="64">
        <v>-4402</v>
      </c>
    </row>
    <row r="99" spans="1:26">
      <c r="A99" s="46">
        <f t="shared" si="11"/>
        <v>0</v>
      </c>
      <c r="B99" s="1962">
        <v>1</v>
      </c>
      <c r="C99" s="1962" t="s">
        <v>3379</v>
      </c>
      <c r="D99" s="2335">
        <f t="shared" si="16"/>
        <v>0</v>
      </c>
      <c r="E99" s="2336">
        <f t="shared" si="17"/>
        <v>0</v>
      </c>
      <c r="F99" s="2336">
        <f t="shared" si="18"/>
        <v>-4482.2905105977643</v>
      </c>
      <c r="G99" s="2334">
        <f t="shared" si="19"/>
        <v>-4482.2905105977643</v>
      </c>
      <c r="L99">
        <f t="shared" si="12"/>
        <v>0</v>
      </c>
      <c r="M99" t="s">
        <v>3381</v>
      </c>
      <c r="N99" s="64">
        <f t="shared" si="20"/>
        <v>0</v>
      </c>
      <c r="O99" s="64">
        <f t="shared" si="13"/>
        <v>0</v>
      </c>
      <c r="P99" s="64">
        <f t="shared" si="14"/>
        <v>16233.793187292174</v>
      </c>
      <c r="Q99" s="64">
        <f t="shared" si="15"/>
        <v>19583.801315385463</v>
      </c>
      <c r="R99" s="64"/>
      <c r="S99" s="64"/>
      <c r="V99" t="s">
        <v>3381</v>
      </c>
      <c r="Y99" s="64">
        <v>15943</v>
      </c>
      <c r="Z99" s="64">
        <v>19233</v>
      </c>
    </row>
    <row r="100" spans="1:26">
      <c r="A100" s="46">
        <f t="shared" si="11"/>
        <v>0</v>
      </c>
      <c r="B100" s="1962">
        <v>7</v>
      </c>
      <c r="C100" s="1962" t="s">
        <v>3381</v>
      </c>
      <c r="D100" s="2335">
        <f t="shared" si="16"/>
        <v>0</v>
      </c>
      <c r="E100" s="2336">
        <f t="shared" si="17"/>
        <v>16233.793187292174</v>
      </c>
      <c r="F100" s="2336">
        <f t="shared" si="18"/>
        <v>19583.801315385463</v>
      </c>
      <c r="G100" s="2334">
        <f t="shared" si="19"/>
        <v>35817.594502677639</v>
      </c>
      <c r="L100">
        <f t="shared" si="12"/>
        <v>0</v>
      </c>
      <c r="M100" t="s">
        <v>3383</v>
      </c>
      <c r="N100" s="64">
        <f t="shared" si="20"/>
        <v>0</v>
      </c>
      <c r="O100" s="64">
        <f t="shared" si="13"/>
        <v>0</v>
      </c>
      <c r="P100" s="64">
        <f t="shared" si="14"/>
        <v>1085846.5859471634</v>
      </c>
      <c r="Q100" s="64">
        <f t="shared" si="15"/>
        <v>9288360.8341350742</v>
      </c>
      <c r="R100" s="64"/>
      <c r="S100" s="64"/>
      <c r="V100" t="s">
        <v>3383</v>
      </c>
      <c r="Y100" s="64">
        <v>1066396</v>
      </c>
      <c r="Z100" s="64">
        <v>9121980</v>
      </c>
    </row>
    <row r="101" spans="1:26">
      <c r="A101" s="46">
        <f t="shared" si="11"/>
        <v>0</v>
      </c>
      <c r="B101" s="1962">
        <v>7</v>
      </c>
      <c r="C101" s="1962" t="s">
        <v>3383</v>
      </c>
      <c r="D101" s="2335">
        <f t="shared" si="16"/>
        <v>0</v>
      </c>
      <c r="E101" s="2336">
        <f t="shared" si="17"/>
        <v>1085846.5859471634</v>
      </c>
      <c r="F101" s="2336">
        <f t="shared" si="18"/>
        <v>9288360.8341350742</v>
      </c>
      <c r="G101" s="2334">
        <f t="shared" si="19"/>
        <v>10374207.420082238</v>
      </c>
      <c r="L101">
        <f t="shared" si="12"/>
        <v>0</v>
      </c>
      <c r="M101" t="s">
        <v>3385</v>
      </c>
      <c r="N101" s="64">
        <f t="shared" si="20"/>
        <v>0</v>
      </c>
      <c r="O101" s="64">
        <f t="shared" si="13"/>
        <v>0</v>
      </c>
      <c r="P101" s="64">
        <f t="shared" si="14"/>
        <v>0</v>
      </c>
      <c r="Q101" s="64">
        <f t="shared" si="15"/>
        <v>4581333.653640775</v>
      </c>
      <c r="R101" s="64"/>
      <c r="S101" s="64"/>
      <c r="V101" t="s">
        <v>3385</v>
      </c>
      <c r="Z101" s="64">
        <v>4499269</v>
      </c>
    </row>
    <row r="102" spans="1:26">
      <c r="A102" s="46">
        <f t="shared" si="11"/>
        <v>0</v>
      </c>
      <c r="B102" s="1962">
        <v>7</v>
      </c>
      <c r="C102" s="1962" t="s">
        <v>3385</v>
      </c>
      <c r="D102" s="2335">
        <f t="shared" si="16"/>
        <v>0</v>
      </c>
      <c r="E102" s="2336">
        <f t="shared" si="17"/>
        <v>0</v>
      </c>
      <c r="F102" s="2336">
        <f t="shared" si="18"/>
        <v>4581333.653640775</v>
      </c>
      <c r="G102" s="2334">
        <f t="shared" si="19"/>
        <v>4581333.653640775</v>
      </c>
      <c r="L102">
        <f t="shared" ref="L102:L133" si="27">+_xlfn.XLOOKUP(M102,C:C,F:F)-Q102</f>
        <v>0</v>
      </c>
      <c r="M102" t="s">
        <v>3387</v>
      </c>
      <c r="N102" s="64">
        <f t="shared" si="20"/>
        <v>0</v>
      </c>
      <c r="O102" s="64">
        <f t="shared" si="13"/>
        <v>0</v>
      </c>
      <c r="P102" s="64">
        <f t="shared" si="14"/>
        <v>1445737.2463805382</v>
      </c>
      <c r="Q102" s="64">
        <f t="shared" si="15"/>
        <v>7263120.0388533697</v>
      </c>
      <c r="R102" s="64"/>
      <c r="S102" s="64"/>
      <c r="V102" t="s">
        <v>3387</v>
      </c>
      <c r="Y102" s="64">
        <v>1419840</v>
      </c>
      <c r="Z102" s="64">
        <v>7133017</v>
      </c>
    </row>
    <row r="103" spans="1:26">
      <c r="A103" s="46">
        <f t="shared" si="11"/>
        <v>0</v>
      </c>
      <c r="B103" s="1962">
        <v>7</v>
      </c>
      <c r="C103" s="1962" t="s">
        <v>3387</v>
      </c>
      <c r="D103" s="2335">
        <f t="shared" si="16"/>
        <v>0</v>
      </c>
      <c r="E103" s="2336">
        <f t="shared" si="17"/>
        <v>1445737.2463805382</v>
      </c>
      <c r="F103" s="2336">
        <f t="shared" si="18"/>
        <v>7263120.0388533697</v>
      </c>
      <c r="G103" s="2334">
        <f t="shared" si="19"/>
        <v>8708857.2852339074</v>
      </c>
      <c r="L103">
        <f t="shared" si="27"/>
        <v>0</v>
      </c>
      <c r="M103" t="s">
        <v>3389</v>
      </c>
      <c r="N103" s="64">
        <f t="shared" si="20"/>
        <v>0</v>
      </c>
      <c r="O103" s="64">
        <f t="shared" si="13"/>
        <v>0</v>
      </c>
      <c r="P103" s="64">
        <f t="shared" si="14"/>
        <v>0</v>
      </c>
      <c r="Q103" s="64">
        <f t="shared" si="15"/>
        <v>893227.22801911517</v>
      </c>
      <c r="R103" s="64"/>
      <c r="S103" s="64"/>
      <c r="V103" t="s">
        <v>3389</v>
      </c>
      <c r="Z103" s="64">
        <v>877227</v>
      </c>
    </row>
    <row r="104" spans="1:26">
      <c r="A104" s="46">
        <f t="shared" si="11"/>
        <v>0</v>
      </c>
      <c r="B104" s="1962">
        <v>7</v>
      </c>
      <c r="C104" s="1962" t="s">
        <v>3389</v>
      </c>
      <c r="D104" s="2335">
        <f t="shared" si="16"/>
        <v>0</v>
      </c>
      <c r="E104" s="2336">
        <f t="shared" si="17"/>
        <v>0</v>
      </c>
      <c r="F104" s="2336">
        <f t="shared" si="18"/>
        <v>893227.22801911517</v>
      </c>
      <c r="G104" s="2334">
        <f t="shared" si="19"/>
        <v>893227.22801911517</v>
      </c>
      <c r="L104">
        <f t="shared" si="27"/>
        <v>0</v>
      </c>
      <c r="M104" t="s">
        <v>3391</v>
      </c>
      <c r="N104" s="64">
        <f t="shared" si="20"/>
        <v>0</v>
      </c>
      <c r="O104" s="64">
        <f t="shared" si="13"/>
        <v>0</v>
      </c>
      <c r="P104" s="64">
        <f t="shared" si="14"/>
        <v>0</v>
      </c>
      <c r="Q104" s="64">
        <f t="shared" si="15"/>
        <v>871732.19106347708</v>
      </c>
      <c r="R104" s="64"/>
      <c r="S104" s="64"/>
      <c r="V104" t="s">
        <v>3391</v>
      </c>
      <c r="Z104" s="64">
        <v>856117</v>
      </c>
    </row>
    <row r="105" spans="1:26">
      <c r="A105" s="46">
        <f t="shared" si="11"/>
        <v>0</v>
      </c>
      <c r="B105" s="1962">
        <v>7</v>
      </c>
      <c r="C105" s="1962" t="s">
        <v>3391</v>
      </c>
      <c r="D105" s="2335">
        <f t="shared" si="16"/>
        <v>0</v>
      </c>
      <c r="E105" s="2336">
        <f t="shared" si="17"/>
        <v>0</v>
      </c>
      <c r="F105" s="2336">
        <f t="shared" si="18"/>
        <v>871732.19106347708</v>
      </c>
      <c r="G105" s="2334">
        <f t="shared" si="19"/>
        <v>871732.19106347708</v>
      </c>
      <c r="L105">
        <f t="shared" si="27"/>
        <v>0</v>
      </c>
      <c r="M105" t="s">
        <v>3393</v>
      </c>
      <c r="N105" s="64">
        <f t="shared" si="20"/>
        <v>0</v>
      </c>
      <c r="O105" s="64">
        <f t="shared" si="13"/>
        <v>0</v>
      </c>
      <c r="P105" s="64">
        <f t="shared" si="14"/>
        <v>0</v>
      </c>
      <c r="Q105" s="64">
        <f t="shared" si="15"/>
        <v>897383.68187287706</v>
      </c>
      <c r="R105" s="64"/>
      <c r="S105" s="64"/>
      <c r="V105" t="s">
        <v>3393</v>
      </c>
      <c r="Z105" s="64">
        <v>881309</v>
      </c>
    </row>
    <row r="106" spans="1:26">
      <c r="A106" s="46">
        <f t="shared" si="11"/>
        <v>0</v>
      </c>
      <c r="B106" s="1962">
        <v>7</v>
      </c>
      <c r="C106" s="1962" t="s">
        <v>3393</v>
      </c>
      <c r="D106" s="2335">
        <f t="shared" si="16"/>
        <v>0</v>
      </c>
      <c r="E106" s="2336">
        <f t="shared" si="17"/>
        <v>0</v>
      </c>
      <c r="F106" s="2336">
        <f t="shared" si="18"/>
        <v>897383.68187287706</v>
      </c>
      <c r="G106" s="2334">
        <f t="shared" si="19"/>
        <v>897383.68187287706</v>
      </c>
      <c r="L106">
        <f t="shared" si="27"/>
        <v>0</v>
      </c>
      <c r="M106" t="s">
        <v>3395</v>
      </c>
      <c r="N106" s="64">
        <f t="shared" si="20"/>
        <v>0</v>
      </c>
      <c r="O106" s="64">
        <f t="shared" si="13"/>
        <v>0</v>
      </c>
      <c r="P106" s="64">
        <f t="shared" si="14"/>
        <v>0</v>
      </c>
      <c r="Q106" s="64">
        <f t="shared" si="15"/>
        <v>897383.68187287706</v>
      </c>
      <c r="R106" s="64"/>
      <c r="S106" s="64"/>
      <c r="V106" t="s">
        <v>3395</v>
      </c>
      <c r="Z106" s="64">
        <v>881309</v>
      </c>
    </row>
    <row r="107" spans="1:26">
      <c r="A107" s="46">
        <f t="shared" si="11"/>
        <v>0</v>
      </c>
      <c r="B107" s="1962">
        <v>7</v>
      </c>
      <c r="C107" s="1962" t="s">
        <v>3395</v>
      </c>
      <c r="D107" s="2335">
        <f t="shared" si="16"/>
        <v>0</v>
      </c>
      <c r="E107" s="2336">
        <f t="shared" si="17"/>
        <v>0</v>
      </c>
      <c r="F107" s="2336">
        <f t="shared" si="18"/>
        <v>897383.68187287706</v>
      </c>
      <c r="G107" s="2334">
        <f t="shared" si="19"/>
        <v>897383.68187287706</v>
      </c>
      <c r="L107">
        <f t="shared" si="27"/>
        <v>0</v>
      </c>
      <c r="M107" t="s">
        <v>2448</v>
      </c>
      <c r="N107" s="64">
        <f t="shared" si="20"/>
        <v>0</v>
      </c>
      <c r="O107" s="64">
        <f t="shared" si="13"/>
        <v>0</v>
      </c>
      <c r="P107" s="64">
        <f t="shared" si="14"/>
        <v>0</v>
      </c>
      <c r="Q107" s="64">
        <f t="shared" si="15"/>
        <v>4079498.3630941906</v>
      </c>
      <c r="R107" s="64"/>
      <c r="S107" s="64"/>
      <c r="V107" t="s">
        <v>2448</v>
      </c>
      <c r="Z107" s="64">
        <v>4006423</v>
      </c>
    </row>
    <row r="108" spans="1:26">
      <c r="A108" s="46">
        <f t="shared" si="11"/>
        <v>0</v>
      </c>
      <c r="B108" s="1962">
        <v>7</v>
      </c>
      <c r="C108" s="1962" t="s">
        <v>2448</v>
      </c>
      <c r="D108" s="2335">
        <f t="shared" si="16"/>
        <v>0</v>
      </c>
      <c r="E108" s="2336">
        <f t="shared" si="17"/>
        <v>0</v>
      </c>
      <c r="F108" s="2336">
        <f t="shared" si="18"/>
        <v>4079498.3630941906</v>
      </c>
      <c r="G108" s="2334">
        <f t="shared" si="19"/>
        <v>4079498.3630941906</v>
      </c>
      <c r="L108">
        <f t="shared" si="27"/>
        <v>0</v>
      </c>
      <c r="M108" t="s">
        <v>3398</v>
      </c>
      <c r="N108" s="64">
        <f t="shared" si="20"/>
        <v>0</v>
      </c>
      <c r="O108" s="64">
        <f t="shared" si="13"/>
        <v>0</v>
      </c>
      <c r="P108" s="64">
        <f t="shared" si="14"/>
        <v>0</v>
      </c>
      <c r="Q108" s="64">
        <f t="shared" si="15"/>
        <v>1580225.3082499709</v>
      </c>
      <c r="R108" s="64"/>
      <c r="S108" s="64"/>
      <c r="V108" t="s">
        <v>3398</v>
      </c>
      <c r="Z108" s="64">
        <v>1551919</v>
      </c>
    </row>
    <row r="109" spans="1:26">
      <c r="A109" s="46">
        <f t="shared" si="11"/>
        <v>0</v>
      </c>
      <c r="B109" s="1962">
        <v>7</v>
      </c>
      <c r="C109" s="1962" t="s">
        <v>3398</v>
      </c>
      <c r="D109" s="2335">
        <f t="shared" si="16"/>
        <v>0</v>
      </c>
      <c r="E109" s="2336">
        <f t="shared" si="17"/>
        <v>0</v>
      </c>
      <c r="F109" s="2336">
        <f t="shared" si="18"/>
        <v>1580225.3082499709</v>
      </c>
      <c r="G109" s="2334">
        <f t="shared" si="19"/>
        <v>1580225.3082499709</v>
      </c>
      <c r="L109">
        <f t="shared" si="27"/>
        <v>0</v>
      </c>
      <c r="M109" t="s">
        <v>8277</v>
      </c>
      <c r="N109" s="64">
        <f t="shared" si="20"/>
        <v>0</v>
      </c>
      <c r="O109" s="64">
        <f t="shared" si="13"/>
        <v>0</v>
      </c>
      <c r="P109" s="64">
        <f t="shared" si="14"/>
        <v>0</v>
      </c>
      <c r="Q109" s="64">
        <f t="shared" si="15"/>
        <v>1327576.6557372382</v>
      </c>
      <c r="R109" s="64"/>
      <c r="S109" s="64"/>
      <c r="V109" t="s">
        <v>8277</v>
      </c>
      <c r="Z109" s="64">
        <v>1303796</v>
      </c>
    </row>
    <row r="110" spans="1:26">
      <c r="A110" s="46">
        <f t="shared" si="11"/>
        <v>0</v>
      </c>
      <c r="B110" s="1962">
        <v>7</v>
      </c>
      <c r="C110" s="1962" t="s">
        <v>8277</v>
      </c>
      <c r="D110" s="2335">
        <f t="shared" si="16"/>
        <v>0</v>
      </c>
      <c r="E110" s="2336">
        <f t="shared" si="17"/>
        <v>0</v>
      </c>
      <c r="F110" s="2336">
        <f t="shared" si="18"/>
        <v>1327576.6557372382</v>
      </c>
      <c r="G110" s="2334">
        <f t="shared" si="19"/>
        <v>1327576.6557372382</v>
      </c>
      <c r="L110">
        <f t="shared" si="27"/>
        <v>0</v>
      </c>
      <c r="M110" t="s">
        <v>8278</v>
      </c>
      <c r="N110" s="64">
        <f t="shared" si="20"/>
        <v>0</v>
      </c>
      <c r="O110" s="64">
        <f t="shared" si="13"/>
        <v>0</v>
      </c>
      <c r="P110" s="64">
        <f t="shared" si="14"/>
        <v>0</v>
      </c>
      <c r="Q110" s="64">
        <f t="shared" si="15"/>
        <v>1327576.6557372382</v>
      </c>
      <c r="R110" s="64"/>
      <c r="S110" s="64"/>
      <c r="V110" t="s">
        <v>8278</v>
      </c>
      <c r="Z110" s="64">
        <v>1303796</v>
      </c>
    </row>
    <row r="111" spans="1:26">
      <c r="A111" s="46">
        <f t="shared" si="11"/>
        <v>0</v>
      </c>
      <c r="B111" s="1962">
        <v>7</v>
      </c>
      <c r="C111" s="1962" t="s">
        <v>8278</v>
      </c>
      <c r="D111" s="2335">
        <f t="shared" si="16"/>
        <v>0</v>
      </c>
      <c r="E111" s="2336">
        <f t="shared" si="17"/>
        <v>0</v>
      </c>
      <c r="F111" s="2336">
        <f t="shared" si="18"/>
        <v>1327576.6557372382</v>
      </c>
      <c r="G111" s="2334">
        <f t="shared" si="19"/>
        <v>1327576.6557372382</v>
      </c>
      <c r="L111">
        <f t="shared" si="27"/>
        <v>0</v>
      </c>
      <c r="M111" t="s">
        <v>8279</v>
      </c>
      <c r="N111" s="64">
        <f t="shared" si="20"/>
        <v>0</v>
      </c>
      <c r="O111" s="64">
        <f t="shared" si="13"/>
        <v>0</v>
      </c>
      <c r="P111" s="64">
        <f t="shared" si="14"/>
        <v>0</v>
      </c>
      <c r="Q111" s="64">
        <f t="shared" si="15"/>
        <v>206205.72827854939</v>
      </c>
      <c r="R111" s="64"/>
      <c r="S111" s="64"/>
      <c r="V111" t="s">
        <v>8279</v>
      </c>
      <c r="Z111" s="64">
        <v>202512</v>
      </c>
    </row>
    <row r="112" spans="1:26">
      <c r="A112" s="46">
        <f t="shared" si="11"/>
        <v>0</v>
      </c>
      <c r="B112" s="1962">
        <v>7</v>
      </c>
      <c r="C112" s="1962" t="s">
        <v>8279</v>
      </c>
      <c r="D112" s="2335">
        <f t="shared" si="16"/>
        <v>0</v>
      </c>
      <c r="E112" s="2336">
        <f t="shared" si="17"/>
        <v>0</v>
      </c>
      <c r="F112" s="2336">
        <f t="shared" si="18"/>
        <v>206205.72827854939</v>
      </c>
      <c r="G112" s="2334">
        <f t="shared" si="19"/>
        <v>206205.72827854939</v>
      </c>
      <c r="L112">
        <f t="shared" si="27"/>
        <v>0</v>
      </c>
      <c r="M112" t="s">
        <v>3400</v>
      </c>
      <c r="N112" s="64">
        <f t="shared" si="20"/>
        <v>0</v>
      </c>
      <c r="O112" s="64">
        <f t="shared" si="13"/>
        <v>0</v>
      </c>
      <c r="P112" s="64">
        <f t="shared" si="14"/>
        <v>0</v>
      </c>
      <c r="Q112" s="64">
        <f t="shared" si="15"/>
        <v>3270533.5127723711</v>
      </c>
      <c r="R112" s="64"/>
      <c r="S112" s="64"/>
      <c r="V112" t="s">
        <v>3400</v>
      </c>
      <c r="Z112" s="64">
        <v>3211949</v>
      </c>
    </row>
    <row r="113" spans="1:26">
      <c r="A113" s="46">
        <f t="shared" si="11"/>
        <v>0</v>
      </c>
      <c r="B113" s="1962">
        <v>7</v>
      </c>
      <c r="C113" s="1962" t="s">
        <v>3400</v>
      </c>
      <c r="D113" s="2335">
        <f t="shared" si="16"/>
        <v>0</v>
      </c>
      <c r="E113" s="2336">
        <f t="shared" si="17"/>
        <v>0</v>
      </c>
      <c r="F113" s="2336">
        <f t="shared" si="18"/>
        <v>3270533.5127723711</v>
      </c>
      <c r="G113" s="2334">
        <f t="shared" si="19"/>
        <v>3270533.5127723711</v>
      </c>
      <c r="L113" t="e">
        <f t="shared" si="27"/>
        <v>#N/A</v>
      </c>
      <c r="M113" t="s">
        <v>9295</v>
      </c>
      <c r="N113" s="64">
        <f t="shared" si="20"/>
        <v>0</v>
      </c>
      <c r="O113" s="64">
        <f t="shared" si="13"/>
        <v>0</v>
      </c>
      <c r="P113" s="64">
        <f t="shared" si="14"/>
        <v>0</v>
      </c>
      <c r="Q113" s="64">
        <f t="shared" si="15"/>
        <v>0</v>
      </c>
      <c r="V113" t="s">
        <v>9295</v>
      </c>
    </row>
    <row r="114" spans="1:26">
      <c r="A114" s="46">
        <f t="shared" si="11"/>
        <v>0</v>
      </c>
      <c r="B114" s="1962">
        <v>1</v>
      </c>
      <c r="C114" s="1962" t="s">
        <v>3402</v>
      </c>
      <c r="D114" s="2335">
        <f t="shared" si="16"/>
        <v>0</v>
      </c>
      <c r="E114" s="2336">
        <f t="shared" si="17"/>
        <v>0</v>
      </c>
      <c r="F114" s="2336">
        <f t="shared" si="18"/>
        <v>160596.74223795533</v>
      </c>
      <c r="G114" s="2334">
        <f t="shared" si="19"/>
        <v>160596.74223795533</v>
      </c>
      <c r="L114" t="e">
        <f t="shared" si="27"/>
        <v>#N/A</v>
      </c>
      <c r="M114" t="s">
        <v>9296</v>
      </c>
      <c r="N114" s="64">
        <f t="shared" si="20"/>
        <v>0</v>
      </c>
      <c r="O114" s="64">
        <f t="shared" si="13"/>
        <v>0</v>
      </c>
      <c r="P114" s="64">
        <f t="shared" si="14"/>
        <v>0</v>
      </c>
      <c r="Q114" s="64">
        <f t="shared" si="15"/>
        <v>0</v>
      </c>
      <c r="V114" t="s">
        <v>9296</v>
      </c>
    </row>
    <row r="115" spans="1:26">
      <c r="A115" s="46">
        <f t="shared" si="11"/>
        <v>0</v>
      </c>
      <c r="B115" s="1962">
        <v>1</v>
      </c>
      <c r="C115" s="1962" t="s">
        <v>3404</v>
      </c>
      <c r="D115" s="2335">
        <f t="shared" si="16"/>
        <v>709.71296817052291</v>
      </c>
      <c r="E115" s="2336">
        <f t="shared" si="17"/>
        <v>0</v>
      </c>
      <c r="F115" s="2336">
        <f t="shared" si="18"/>
        <v>0</v>
      </c>
      <c r="G115" s="2334">
        <f>+SUM(D115:F115)</f>
        <v>709.71296817052291</v>
      </c>
      <c r="L115" t="e">
        <f t="shared" si="27"/>
        <v>#N/A</v>
      </c>
      <c r="M115" t="s">
        <v>9297</v>
      </c>
      <c r="N115" s="64">
        <f t="shared" si="20"/>
        <v>0</v>
      </c>
      <c r="O115" s="64">
        <f t="shared" si="13"/>
        <v>0</v>
      </c>
      <c r="P115" s="64">
        <f t="shared" si="14"/>
        <v>0</v>
      </c>
      <c r="Q115" s="64">
        <f t="shared" si="15"/>
        <v>0</v>
      </c>
      <c r="V115" t="s">
        <v>9297</v>
      </c>
    </row>
    <row r="116" spans="1:26">
      <c r="A116" s="46">
        <f t="shared" si="11"/>
        <v>0</v>
      </c>
      <c r="B116" s="1962">
        <v>1</v>
      </c>
      <c r="C116" s="1962" t="s">
        <v>3406</v>
      </c>
      <c r="D116" s="2335">
        <f t="shared" si="16"/>
        <v>792317.65187616658</v>
      </c>
      <c r="E116" s="2336">
        <f t="shared" si="17"/>
        <v>0</v>
      </c>
      <c r="F116" s="2336">
        <f t="shared" si="18"/>
        <v>0</v>
      </c>
      <c r="G116" s="2334">
        <f t="shared" si="19"/>
        <v>792317.65187616658</v>
      </c>
      <c r="L116">
        <f t="shared" si="27"/>
        <v>0</v>
      </c>
      <c r="M116" t="s">
        <v>3402</v>
      </c>
      <c r="N116" s="64">
        <f t="shared" si="20"/>
        <v>0</v>
      </c>
      <c r="O116" s="64">
        <f t="shared" si="13"/>
        <v>0</v>
      </c>
      <c r="P116" s="64">
        <f t="shared" si="14"/>
        <v>0</v>
      </c>
      <c r="Q116" s="64">
        <f t="shared" si="15"/>
        <v>160596.74223795533</v>
      </c>
      <c r="R116" s="64"/>
      <c r="S116" s="64"/>
      <c r="V116" t="s">
        <v>3402</v>
      </c>
      <c r="Z116" s="64">
        <v>157720</v>
      </c>
    </row>
    <row r="117" spans="1:26">
      <c r="A117" s="46">
        <f t="shared" si="11"/>
        <v>0</v>
      </c>
      <c r="B117" s="1962">
        <v>1</v>
      </c>
      <c r="C117" s="1962" t="s">
        <v>3408</v>
      </c>
      <c r="D117" s="2335">
        <f t="shared" si="16"/>
        <v>0</v>
      </c>
      <c r="E117" s="2336">
        <f t="shared" si="17"/>
        <v>119160.501883965</v>
      </c>
      <c r="F117" s="2336">
        <f t="shared" si="18"/>
        <v>2783156.2056333236</v>
      </c>
      <c r="G117" s="2334">
        <f t="shared" si="19"/>
        <v>2902316.7075172886</v>
      </c>
      <c r="L117">
        <f t="shared" si="27"/>
        <v>0</v>
      </c>
      <c r="M117" t="s">
        <v>3404</v>
      </c>
      <c r="N117" s="64">
        <f t="shared" si="20"/>
        <v>709.71296817052291</v>
      </c>
      <c r="O117" s="64">
        <f t="shared" si="13"/>
        <v>0</v>
      </c>
      <c r="P117" s="64">
        <f t="shared" si="14"/>
        <v>0</v>
      </c>
      <c r="Q117" s="64">
        <f t="shared" si="15"/>
        <v>0</v>
      </c>
      <c r="V117" t="s">
        <v>3404</v>
      </c>
      <c r="W117">
        <v>697</v>
      </c>
    </row>
    <row r="118" spans="1:26">
      <c r="A118" s="46">
        <f t="shared" si="11"/>
        <v>0</v>
      </c>
      <c r="B118" s="1962">
        <v>7</v>
      </c>
      <c r="C118" s="1962" t="s">
        <v>3410</v>
      </c>
      <c r="D118" s="2335">
        <f t="shared" si="16"/>
        <v>0</v>
      </c>
      <c r="E118" s="2336">
        <f t="shared" si="17"/>
        <v>339725.44433344802</v>
      </c>
      <c r="F118" s="2336">
        <f t="shared" si="18"/>
        <v>2172512.8547341796</v>
      </c>
      <c r="G118" s="2334">
        <f t="shared" si="19"/>
        <v>2512238.2990676276</v>
      </c>
      <c r="L118" t="e">
        <f t="shared" si="27"/>
        <v>#N/A</v>
      </c>
      <c r="M118" t="s">
        <v>9298</v>
      </c>
      <c r="N118" s="64">
        <f t="shared" si="20"/>
        <v>0</v>
      </c>
      <c r="O118" s="64">
        <f t="shared" si="13"/>
        <v>0</v>
      </c>
      <c r="P118" s="64">
        <f t="shared" si="14"/>
        <v>0</v>
      </c>
      <c r="Q118" s="64">
        <f t="shared" si="15"/>
        <v>0</v>
      </c>
      <c r="V118" t="s">
        <v>9298</v>
      </c>
    </row>
    <row r="119" spans="1:26">
      <c r="A119" s="46">
        <f t="shared" si="11"/>
        <v>0</v>
      </c>
      <c r="B119" s="1962">
        <v>7</v>
      </c>
      <c r="C119" s="1962" t="s">
        <v>3412</v>
      </c>
      <c r="D119" s="2335">
        <f t="shared" si="16"/>
        <v>0</v>
      </c>
      <c r="E119" s="2336">
        <f t="shared" si="17"/>
        <v>0</v>
      </c>
      <c r="F119" s="2336">
        <f t="shared" si="18"/>
        <v>1367366.402734655</v>
      </c>
      <c r="G119" s="2334">
        <f t="shared" si="19"/>
        <v>1367366.402734655</v>
      </c>
      <c r="L119" t="e">
        <f t="shared" si="27"/>
        <v>#N/A</v>
      </c>
      <c r="M119" t="s">
        <v>2200</v>
      </c>
      <c r="N119" s="64">
        <f t="shared" si="20"/>
        <v>0</v>
      </c>
      <c r="O119" s="64">
        <f t="shared" si="13"/>
        <v>0</v>
      </c>
      <c r="P119" s="64">
        <f t="shared" si="14"/>
        <v>26439.608223121661</v>
      </c>
      <c r="Q119" s="64">
        <f t="shared" si="15"/>
        <v>0</v>
      </c>
      <c r="V119" t="s">
        <v>2200</v>
      </c>
      <c r="Y119" s="64">
        <v>25966</v>
      </c>
    </row>
    <row r="120" spans="1:26">
      <c r="A120" s="46">
        <f t="shared" si="11"/>
        <v>0</v>
      </c>
      <c r="B120" s="1962">
        <v>7</v>
      </c>
      <c r="C120" s="1962" t="s">
        <v>3414</v>
      </c>
      <c r="D120" s="2335">
        <f t="shared" si="16"/>
        <v>0</v>
      </c>
      <c r="E120" s="2336">
        <f t="shared" si="17"/>
        <v>0</v>
      </c>
      <c r="F120" s="2336">
        <f t="shared" si="18"/>
        <v>5783886.7841501087</v>
      </c>
      <c r="G120" s="2334">
        <f t="shared" si="19"/>
        <v>5783886.7841501087</v>
      </c>
      <c r="L120">
        <f t="shared" si="27"/>
        <v>0</v>
      </c>
      <c r="M120" t="s">
        <v>3406</v>
      </c>
      <c r="N120" s="64">
        <f t="shared" si="20"/>
        <v>0</v>
      </c>
      <c r="O120" s="64">
        <f t="shared" si="13"/>
        <v>792317.65187616658</v>
      </c>
      <c r="P120" s="64">
        <f t="shared" si="14"/>
        <v>0</v>
      </c>
      <c r="Q120" s="64">
        <f t="shared" si="15"/>
        <v>0</v>
      </c>
      <c r="V120" t="s">
        <v>3406</v>
      </c>
      <c r="X120" s="64">
        <v>778125</v>
      </c>
    </row>
    <row r="121" spans="1:26">
      <c r="A121" s="46">
        <f t="shared" si="11"/>
        <v>0</v>
      </c>
      <c r="B121" s="1962">
        <v>7</v>
      </c>
      <c r="C121" s="1962" t="s">
        <v>3416</v>
      </c>
      <c r="D121" s="2335">
        <f t="shared" si="16"/>
        <v>0</v>
      </c>
      <c r="E121" s="2336">
        <f t="shared" si="17"/>
        <v>0</v>
      </c>
      <c r="F121" s="2336">
        <f t="shared" si="18"/>
        <v>1441015.6695750768</v>
      </c>
      <c r="G121" s="2334">
        <f t="shared" si="19"/>
        <v>1441015.6695750768</v>
      </c>
      <c r="L121" t="e">
        <f t="shared" si="27"/>
        <v>#N/A</v>
      </c>
      <c r="M121" t="s">
        <v>9299</v>
      </c>
      <c r="N121" s="64">
        <f t="shared" si="20"/>
        <v>0</v>
      </c>
      <c r="O121" s="64">
        <f t="shared" si="13"/>
        <v>0</v>
      </c>
      <c r="P121" s="64">
        <f t="shared" si="14"/>
        <v>0</v>
      </c>
      <c r="Q121" s="64">
        <f t="shared" si="15"/>
        <v>0</v>
      </c>
      <c r="V121" t="s">
        <v>9299</v>
      </c>
    </row>
    <row r="122" spans="1:26">
      <c r="A122" s="46">
        <f t="shared" si="11"/>
        <v>0</v>
      </c>
      <c r="B122" s="1962">
        <v>7</v>
      </c>
      <c r="C122" s="1962" t="s">
        <v>3417</v>
      </c>
      <c r="D122" s="2335">
        <f t="shared" si="16"/>
        <v>0</v>
      </c>
      <c r="E122" s="2336">
        <f t="shared" si="17"/>
        <v>173180.1466291337</v>
      </c>
      <c r="F122" s="2336">
        <f t="shared" si="18"/>
        <v>797058.57523312781</v>
      </c>
      <c r="G122" s="2334">
        <f t="shared" si="19"/>
        <v>970238.72186226153</v>
      </c>
      <c r="L122">
        <f t="shared" si="27"/>
        <v>0</v>
      </c>
      <c r="M122" t="s">
        <v>3408</v>
      </c>
      <c r="N122" s="64">
        <f t="shared" si="20"/>
        <v>0</v>
      </c>
      <c r="O122" s="64">
        <f t="shared" si="13"/>
        <v>0</v>
      </c>
      <c r="P122" s="64">
        <f t="shared" si="14"/>
        <v>119160.501883965</v>
      </c>
      <c r="Q122" s="64">
        <f t="shared" si="15"/>
        <v>2783156.2056333236</v>
      </c>
      <c r="R122" s="64"/>
      <c r="S122" s="64"/>
      <c r="V122" t="s">
        <v>3408</v>
      </c>
      <c r="Y122" s="64">
        <v>117026</v>
      </c>
      <c r="Z122" s="64">
        <v>2733302</v>
      </c>
    </row>
    <row r="123" spans="1:26">
      <c r="A123" s="46">
        <f t="shared" si="11"/>
        <v>0</v>
      </c>
      <c r="B123" s="1962">
        <v>7</v>
      </c>
      <c r="C123" s="1962" t="s">
        <v>3419</v>
      </c>
      <c r="D123" s="2335">
        <f t="shared" si="16"/>
        <v>0</v>
      </c>
      <c r="E123" s="2336">
        <f t="shared" si="17"/>
        <v>0</v>
      </c>
      <c r="F123" s="2336">
        <f t="shared" si="18"/>
        <v>1201047.1542110206</v>
      </c>
      <c r="G123" s="2334">
        <f t="shared" si="19"/>
        <v>1201047.1542110206</v>
      </c>
      <c r="L123">
        <f t="shared" si="27"/>
        <v>0</v>
      </c>
      <c r="M123" t="s">
        <v>3410</v>
      </c>
      <c r="N123" s="64">
        <f t="shared" si="20"/>
        <v>0</v>
      </c>
      <c r="O123" s="64">
        <f t="shared" si="13"/>
        <v>0</v>
      </c>
      <c r="P123" s="64">
        <f t="shared" si="14"/>
        <v>339725.44433344802</v>
      </c>
      <c r="Q123" s="64">
        <f t="shared" si="15"/>
        <v>2172512.8547341796</v>
      </c>
      <c r="R123" s="64"/>
      <c r="S123" s="64"/>
      <c r="V123" t="s">
        <v>3410</v>
      </c>
      <c r="Y123" s="64">
        <v>333640</v>
      </c>
      <c r="Z123" s="64">
        <v>2133597</v>
      </c>
    </row>
    <row r="124" spans="1:26">
      <c r="A124" s="46">
        <f t="shared" si="11"/>
        <v>0</v>
      </c>
      <c r="B124" s="1962">
        <v>1</v>
      </c>
      <c r="C124" s="1962" t="s">
        <v>3421</v>
      </c>
      <c r="D124" s="2335">
        <f t="shared" si="16"/>
        <v>0</v>
      </c>
      <c r="E124" s="2336">
        <f t="shared" si="17"/>
        <v>0</v>
      </c>
      <c r="F124" s="2336">
        <f t="shared" si="18"/>
        <v>5303154.5083314069</v>
      </c>
      <c r="G124" s="2334">
        <f t="shared" si="19"/>
        <v>5303154.5083314069</v>
      </c>
      <c r="L124">
        <f t="shared" si="27"/>
        <v>0</v>
      </c>
      <c r="M124" t="s">
        <v>3412</v>
      </c>
      <c r="N124" s="64">
        <f t="shared" si="20"/>
        <v>0</v>
      </c>
      <c r="O124" s="64">
        <f t="shared" si="13"/>
        <v>0</v>
      </c>
      <c r="P124" s="64">
        <f t="shared" si="14"/>
        <v>0</v>
      </c>
      <c r="Q124" s="64">
        <f t="shared" si="15"/>
        <v>1367366.402734655</v>
      </c>
      <c r="R124" s="64"/>
      <c r="S124" s="64"/>
      <c r="V124" t="s">
        <v>3412</v>
      </c>
      <c r="Z124" s="64">
        <v>1342873</v>
      </c>
    </row>
    <row r="125" spans="1:26">
      <c r="L125">
        <f t="shared" si="27"/>
        <v>0</v>
      </c>
      <c r="M125" t="s">
        <v>3414</v>
      </c>
      <c r="N125" s="64">
        <f t="shared" si="20"/>
        <v>0</v>
      </c>
      <c r="O125" s="64">
        <f t="shared" si="13"/>
        <v>0</v>
      </c>
      <c r="P125" s="64">
        <f t="shared" si="14"/>
        <v>0</v>
      </c>
      <c r="Q125" s="64">
        <f t="shared" si="15"/>
        <v>5783886.7841501087</v>
      </c>
      <c r="R125" s="64"/>
      <c r="S125" s="64"/>
      <c r="V125" t="s">
        <v>3414</v>
      </c>
      <c r="Z125" s="64">
        <v>5680281</v>
      </c>
    </row>
    <row r="126" spans="1:26">
      <c r="L126">
        <f t="shared" si="27"/>
        <v>0</v>
      </c>
      <c r="M126" t="s">
        <v>3416</v>
      </c>
      <c r="N126" s="64">
        <f t="shared" si="20"/>
        <v>0</v>
      </c>
      <c r="O126" s="64">
        <f t="shared" si="13"/>
        <v>0</v>
      </c>
      <c r="P126" s="64">
        <f t="shared" si="14"/>
        <v>0</v>
      </c>
      <c r="Q126" s="64">
        <f t="shared" si="15"/>
        <v>1441015.6695750768</v>
      </c>
      <c r="R126" s="64"/>
      <c r="S126" s="64"/>
      <c r="V126" t="s">
        <v>3416</v>
      </c>
      <c r="Z126" s="64">
        <v>1415203</v>
      </c>
    </row>
    <row r="127" spans="1:26">
      <c r="L127">
        <f t="shared" si="27"/>
        <v>0</v>
      </c>
      <c r="M127" t="s">
        <v>3417</v>
      </c>
      <c r="N127" s="64">
        <f t="shared" si="20"/>
        <v>0</v>
      </c>
      <c r="O127" s="64">
        <f t="shared" si="13"/>
        <v>0</v>
      </c>
      <c r="P127" s="64">
        <f t="shared" si="14"/>
        <v>173180.1466291337</v>
      </c>
      <c r="Q127" s="64">
        <f t="shared" si="15"/>
        <v>797058.57523312781</v>
      </c>
      <c r="R127" s="64"/>
      <c r="S127" s="64"/>
      <c r="V127" t="s">
        <v>3417</v>
      </c>
      <c r="Y127" s="64">
        <v>170078</v>
      </c>
      <c r="Z127" s="64">
        <v>782781</v>
      </c>
    </row>
    <row r="128" spans="1:26">
      <c r="L128">
        <f t="shared" si="27"/>
        <v>0</v>
      </c>
      <c r="M128" t="s">
        <v>3419</v>
      </c>
      <c r="N128" s="64">
        <f t="shared" si="20"/>
        <v>0</v>
      </c>
      <c r="O128" s="64">
        <f t="shared" si="13"/>
        <v>0</v>
      </c>
      <c r="P128" s="64">
        <f t="shared" si="14"/>
        <v>0</v>
      </c>
      <c r="Q128" s="64">
        <f t="shared" si="15"/>
        <v>1201047.1542110206</v>
      </c>
      <c r="R128" s="64"/>
      <c r="S128" s="64"/>
      <c r="V128" t="s">
        <v>3419</v>
      </c>
      <c r="Z128" s="64">
        <v>1179533</v>
      </c>
    </row>
    <row r="129" spans="12:26">
      <c r="L129">
        <f t="shared" si="27"/>
        <v>0</v>
      </c>
      <c r="M129" t="s">
        <v>3421</v>
      </c>
      <c r="N129" s="64">
        <f t="shared" si="20"/>
        <v>0</v>
      </c>
      <c r="O129" s="64">
        <f t="shared" si="13"/>
        <v>0</v>
      </c>
      <c r="P129" s="64">
        <f t="shared" si="14"/>
        <v>0</v>
      </c>
      <c r="Q129" s="64">
        <f t="shared" si="15"/>
        <v>5303154.5083314069</v>
      </c>
      <c r="R129" s="64"/>
      <c r="S129" s="64"/>
      <c r="V129" t="s">
        <v>3421</v>
      </c>
      <c r="Z129" s="64">
        <v>5208160</v>
      </c>
    </row>
    <row r="130" spans="12:26">
      <c r="L130" t="e">
        <f t="shared" si="27"/>
        <v>#N/A</v>
      </c>
      <c r="M130" t="s">
        <v>9300</v>
      </c>
      <c r="N130" s="64">
        <f t="shared" si="20"/>
        <v>0</v>
      </c>
      <c r="O130" s="64">
        <f t="shared" si="13"/>
        <v>0</v>
      </c>
      <c r="P130" s="64">
        <f t="shared" si="14"/>
        <v>0</v>
      </c>
      <c r="Q130" s="64">
        <f t="shared" si="15"/>
        <v>0</v>
      </c>
      <c r="V130" t="s">
        <v>9300</v>
      </c>
    </row>
    <row r="131" spans="12:26">
      <c r="L131" t="e">
        <f t="shared" si="27"/>
        <v>#N/A</v>
      </c>
      <c r="M131" t="s">
        <v>9301</v>
      </c>
      <c r="N131" s="64">
        <f t="shared" si="20"/>
        <v>0</v>
      </c>
      <c r="O131" s="64">
        <f t="shared" si="13"/>
        <v>0</v>
      </c>
      <c r="P131" s="64">
        <f t="shared" si="14"/>
        <v>0</v>
      </c>
      <c r="Q131" s="64">
        <f t="shared" si="15"/>
        <v>0</v>
      </c>
      <c r="V131" t="s">
        <v>9301</v>
      </c>
    </row>
    <row r="132" spans="12:26">
      <c r="L132">
        <f t="shared" si="27"/>
        <v>0</v>
      </c>
    </row>
    <row r="133" spans="12:26">
      <c r="L133">
        <f t="shared" si="27"/>
        <v>0</v>
      </c>
    </row>
    <row r="134" spans="12:26">
      <c r="L134">
        <f t="shared" ref="L134:L165" si="28">+_xlfn.XLOOKUP(M134,C:C,F:F)-Q134</f>
        <v>0</v>
      </c>
    </row>
    <row r="135" spans="12:26">
      <c r="L135">
        <f t="shared" si="28"/>
        <v>0</v>
      </c>
    </row>
    <row r="136" spans="12:26">
      <c r="L136">
        <f t="shared" si="28"/>
        <v>0</v>
      </c>
    </row>
    <row r="137" spans="12:26">
      <c r="L137">
        <f t="shared" si="28"/>
        <v>0</v>
      </c>
    </row>
    <row r="138" spans="12:26">
      <c r="L138">
        <f t="shared" si="28"/>
        <v>0</v>
      </c>
    </row>
    <row r="139" spans="12:26">
      <c r="L139">
        <f t="shared" si="28"/>
        <v>0</v>
      </c>
    </row>
    <row r="140" spans="12:26">
      <c r="L140">
        <f t="shared" si="28"/>
        <v>0</v>
      </c>
    </row>
    <row r="141" spans="12:26">
      <c r="L141">
        <f t="shared" si="28"/>
        <v>0</v>
      </c>
    </row>
    <row r="142" spans="12:26">
      <c r="L142">
        <f t="shared" si="28"/>
        <v>0</v>
      </c>
    </row>
    <row r="143" spans="12:26">
      <c r="L143">
        <f t="shared" si="28"/>
        <v>0</v>
      </c>
    </row>
    <row r="144" spans="12:26">
      <c r="L144">
        <f t="shared" si="28"/>
        <v>0</v>
      </c>
    </row>
    <row r="145" spans="12:12">
      <c r="L145">
        <f t="shared" si="28"/>
        <v>0</v>
      </c>
    </row>
    <row r="146" spans="12:12">
      <c r="L146">
        <f t="shared" si="28"/>
        <v>0</v>
      </c>
    </row>
    <row r="147" spans="12:12">
      <c r="L147">
        <f t="shared" si="28"/>
        <v>0</v>
      </c>
    </row>
    <row r="148" spans="12:12">
      <c r="L148">
        <f t="shared" si="28"/>
        <v>0</v>
      </c>
    </row>
    <row r="149" spans="12:12">
      <c r="L149">
        <f t="shared" si="28"/>
        <v>0</v>
      </c>
    </row>
    <row r="150" spans="12:12">
      <c r="L150">
        <f t="shared" si="28"/>
        <v>0</v>
      </c>
    </row>
    <row r="151" spans="12:12">
      <c r="L151">
        <f t="shared" si="28"/>
        <v>0</v>
      </c>
    </row>
    <row r="152" spans="12:12">
      <c r="L152">
        <f t="shared" si="28"/>
        <v>0</v>
      </c>
    </row>
    <row r="153" spans="12:12">
      <c r="L153">
        <f t="shared" si="28"/>
        <v>0</v>
      </c>
    </row>
    <row r="154" spans="12:12">
      <c r="L154">
        <f t="shared" si="28"/>
        <v>0</v>
      </c>
    </row>
    <row r="155" spans="12:12">
      <c r="L155">
        <f t="shared" si="28"/>
        <v>0</v>
      </c>
    </row>
    <row r="156" spans="12:12">
      <c r="L156">
        <f t="shared" si="28"/>
        <v>0</v>
      </c>
    </row>
    <row r="157" spans="12:12">
      <c r="L157">
        <f t="shared" si="28"/>
        <v>0</v>
      </c>
    </row>
    <row r="158" spans="12:12">
      <c r="L158">
        <f t="shared" si="28"/>
        <v>0</v>
      </c>
    </row>
    <row r="159" spans="12:12">
      <c r="L159">
        <f t="shared" si="28"/>
        <v>0</v>
      </c>
    </row>
    <row r="160" spans="12:12">
      <c r="L160">
        <f t="shared" si="28"/>
        <v>0</v>
      </c>
    </row>
    <row r="161" spans="12:12">
      <c r="L161">
        <f t="shared" si="28"/>
        <v>0</v>
      </c>
    </row>
    <row r="162" spans="12:12">
      <c r="L162">
        <f t="shared" si="28"/>
        <v>0</v>
      </c>
    </row>
    <row r="163" spans="12:12">
      <c r="L163">
        <f t="shared" si="28"/>
        <v>0</v>
      </c>
    </row>
    <row r="164" spans="12:12">
      <c r="L164">
        <f t="shared" si="28"/>
        <v>0</v>
      </c>
    </row>
    <row r="165" spans="12:12">
      <c r="L165">
        <f t="shared" si="28"/>
        <v>0</v>
      </c>
    </row>
    <row r="166" spans="12:12">
      <c r="L166">
        <f t="shared" ref="L166:L196" si="29">+_xlfn.XLOOKUP(M166,C:C,F:F)-Q166</f>
        <v>0</v>
      </c>
    </row>
    <row r="167" spans="12:12">
      <c r="L167">
        <f t="shared" si="29"/>
        <v>0</v>
      </c>
    </row>
    <row r="168" spans="12:12">
      <c r="L168">
        <f t="shared" si="29"/>
        <v>0</v>
      </c>
    </row>
    <row r="169" spans="12:12">
      <c r="L169">
        <f t="shared" si="29"/>
        <v>0</v>
      </c>
    </row>
    <row r="170" spans="12:12">
      <c r="L170">
        <f t="shared" si="29"/>
        <v>0</v>
      </c>
    </row>
    <row r="171" spans="12:12">
      <c r="L171">
        <f t="shared" si="29"/>
        <v>0</v>
      </c>
    </row>
    <row r="172" spans="12:12">
      <c r="L172">
        <f t="shared" si="29"/>
        <v>0</v>
      </c>
    </row>
    <row r="173" spans="12:12">
      <c r="L173">
        <f t="shared" si="29"/>
        <v>0</v>
      </c>
    </row>
    <row r="174" spans="12:12">
      <c r="L174">
        <f t="shared" si="29"/>
        <v>0</v>
      </c>
    </row>
    <row r="175" spans="12:12">
      <c r="L175">
        <f t="shared" si="29"/>
        <v>0</v>
      </c>
    </row>
    <row r="176" spans="12:12">
      <c r="L176">
        <f t="shared" si="29"/>
        <v>0</v>
      </c>
    </row>
    <row r="177" spans="12:12">
      <c r="L177">
        <f t="shared" si="29"/>
        <v>0</v>
      </c>
    </row>
    <row r="178" spans="12:12">
      <c r="L178">
        <f t="shared" si="29"/>
        <v>0</v>
      </c>
    </row>
    <row r="179" spans="12:12">
      <c r="L179">
        <f t="shared" si="29"/>
        <v>0</v>
      </c>
    </row>
    <row r="180" spans="12:12">
      <c r="L180">
        <f t="shared" si="29"/>
        <v>0</v>
      </c>
    </row>
    <row r="181" spans="12:12">
      <c r="L181">
        <f t="shared" si="29"/>
        <v>0</v>
      </c>
    </row>
    <row r="182" spans="12:12">
      <c r="L182">
        <f t="shared" si="29"/>
        <v>0</v>
      </c>
    </row>
    <row r="183" spans="12:12">
      <c r="L183">
        <f t="shared" si="29"/>
        <v>0</v>
      </c>
    </row>
    <row r="184" spans="12:12">
      <c r="L184">
        <f t="shared" si="29"/>
        <v>0</v>
      </c>
    </row>
    <row r="185" spans="12:12">
      <c r="L185">
        <f t="shared" si="29"/>
        <v>0</v>
      </c>
    </row>
    <row r="186" spans="12:12">
      <c r="L186">
        <f t="shared" si="29"/>
        <v>0</v>
      </c>
    </row>
    <row r="187" spans="12:12">
      <c r="L187">
        <f t="shared" si="29"/>
        <v>0</v>
      </c>
    </row>
    <row r="188" spans="12:12">
      <c r="L188">
        <f t="shared" si="29"/>
        <v>0</v>
      </c>
    </row>
    <row r="189" spans="12:12">
      <c r="L189">
        <f t="shared" si="29"/>
        <v>0</v>
      </c>
    </row>
    <row r="190" spans="12:12">
      <c r="L190">
        <f t="shared" si="29"/>
        <v>0</v>
      </c>
    </row>
    <row r="191" spans="12:12">
      <c r="L191">
        <f t="shared" si="29"/>
        <v>0</v>
      </c>
    </row>
    <row r="192" spans="12:12">
      <c r="L192">
        <f t="shared" si="29"/>
        <v>0</v>
      </c>
    </row>
    <row r="193" spans="12:12">
      <c r="L193">
        <f t="shared" si="29"/>
        <v>0</v>
      </c>
    </row>
    <row r="194" spans="12:12">
      <c r="L194">
        <f t="shared" si="29"/>
        <v>0</v>
      </c>
    </row>
    <row r="195" spans="12:12">
      <c r="L195">
        <f t="shared" si="29"/>
        <v>0</v>
      </c>
    </row>
    <row r="196" spans="12:12">
      <c r="L196">
        <f t="shared" si="29"/>
        <v>0</v>
      </c>
    </row>
    <row r="247" spans="13:26">
      <c r="M247" t="s">
        <v>9302</v>
      </c>
      <c r="Q247">
        <v>13556602.890000001</v>
      </c>
      <c r="V247" t="s">
        <v>9302</v>
      </c>
      <c r="Z247">
        <v>13556602.890000001</v>
      </c>
    </row>
    <row r="248" spans="13:26">
      <c r="M248" t="s">
        <v>3454</v>
      </c>
      <c r="N248">
        <v>7589222.4299999997</v>
      </c>
      <c r="O248">
        <v>778124.83</v>
      </c>
      <c r="P248">
        <v>74767175.819999993</v>
      </c>
      <c r="Q248">
        <v>430441183.21000004</v>
      </c>
      <c r="V248" t="s">
        <v>3454</v>
      </c>
      <c r="W248">
        <v>7589222.4299999997</v>
      </c>
      <c r="X248">
        <v>778124.83</v>
      </c>
      <c r="Y248">
        <v>74767175.819999993</v>
      </c>
      <c r="Z248">
        <v>430441183.21000004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8" tint="0.59999389629810485"/>
  </sheetPr>
  <dimension ref="A1:G145"/>
  <sheetViews>
    <sheetView tabSelected="1" showOutlineSymbols="0" workbookViewId="0"/>
  </sheetViews>
  <sheetFormatPr defaultRowHeight="14.4"/>
  <cols>
    <col min="1" max="1" width="12.88671875" bestFit="1" customWidth="1"/>
    <col min="2" max="2" width="16.6640625" customWidth="1"/>
    <col min="3" max="3" width="41" bestFit="1" customWidth="1"/>
    <col min="4" max="4" width="17.88671875" bestFit="1" customWidth="1"/>
    <col min="5" max="5" width="18.88671875" bestFit="1" customWidth="1"/>
    <col min="6" max="6" width="16.6640625" bestFit="1" customWidth="1"/>
    <col min="7" max="7" width="15.33203125" bestFit="1" customWidth="1"/>
  </cols>
  <sheetData>
    <row r="1" spans="1:7" ht="15.6">
      <c r="B1" s="757" t="s">
        <v>3574</v>
      </c>
      <c r="C1" s="2131"/>
      <c r="D1" s="2131"/>
      <c r="E1" s="2131"/>
      <c r="F1" s="2131"/>
      <c r="G1" s="2131"/>
    </row>
    <row r="2" spans="1:7">
      <c r="B2" s="2339" t="s">
        <v>3575</v>
      </c>
      <c r="C2" s="2340">
        <v>136500</v>
      </c>
      <c r="D2" s="1962" t="s">
        <v>116</v>
      </c>
    </row>
    <row r="4" spans="1:7">
      <c r="B4" s="2341"/>
      <c r="C4" s="2342"/>
      <c r="D4" s="2343" t="s">
        <v>3576</v>
      </c>
      <c r="E4" s="2344"/>
      <c r="F4" s="2344"/>
      <c r="G4" s="2345"/>
    </row>
    <row r="5" spans="1:7">
      <c r="A5" t="s">
        <v>3658</v>
      </c>
      <c r="B5" s="2346" t="s">
        <v>3577</v>
      </c>
      <c r="C5" s="2346" t="s">
        <v>3578</v>
      </c>
      <c r="D5" s="2346" t="s">
        <v>3579</v>
      </c>
      <c r="E5" s="2347" t="s">
        <v>3580</v>
      </c>
      <c r="F5" s="2347" t="s">
        <v>3581</v>
      </c>
      <c r="G5" s="2348" t="s">
        <v>3582</v>
      </c>
    </row>
    <row r="6" spans="1:7">
      <c r="A6" s="1962" t="s">
        <v>2338</v>
      </c>
      <c r="B6" s="2346" t="s">
        <v>3554</v>
      </c>
      <c r="C6" s="2346" t="s">
        <v>3583</v>
      </c>
      <c r="D6" s="2349">
        <v>-56795.57</v>
      </c>
      <c r="E6" s="2350">
        <v>-1730.79</v>
      </c>
      <c r="F6" s="2350">
        <v>1</v>
      </c>
      <c r="G6" s="2351">
        <v>-1216.4100000000001</v>
      </c>
    </row>
    <row r="7" spans="1:7">
      <c r="A7" s="1962" t="s">
        <v>2338</v>
      </c>
      <c r="B7" s="2346" t="s">
        <v>2752</v>
      </c>
      <c r="C7" s="2346" t="s">
        <v>3584</v>
      </c>
      <c r="D7" s="2349">
        <v>42326.66</v>
      </c>
      <c r="E7" s="2350">
        <v>44932.68</v>
      </c>
      <c r="F7" s="2350">
        <v>16</v>
      </c>
      <c r="G7" s="2351">
        <v>906.53</v>
      </c>
    </row>
    <row r="8" spans="1:7">
      <c r="A8" s="1962" t="s">
        <v>2338</v>
      </c>
      <c r="B8" s="2346" t="s">
        <v>2754</v>
      </c>
      <c r="C8" s="2346" t="s">
        <v>3585</v>
      </c>
      <c r="D8" s="2349">
        <v>143727.44</v>
      </c>
      <c r="E8" s="2350">
        <v>86983.37</v>
      </c>
      <c r="F8" s="2350">
        <v>53</v>
      </c>
      <c r="G8" s="2351">
        <v>3078.2599999999998</v>
      </c>
    </row>
    <row r="9" spans="1:7">
      <c r="A9" s="1962" t="s">
        <v>3555</v>
      </c>
      <c r="B9" s="2346" t="s">
        <v>3482</v>
      </c>
      <c r="C9" s="2346" t="s">
        <v>3586</v>
      </c>
      <c r="D9" s="2349">
        <v>3051042.2799999993</v>
      </c>
      <c r="E9" s="2350">
        <v>242993.16</v>
      </c>
      <c r="F9" s="2350">
        <v>3966</v>
      </c>
      <c r="G9" s="2351">
        <v>65345.199999999983</v>
      </c>
    </row>
    <row r="10" spans="1:7">
      <c r="A10" s="1962" t="s">
        <v>2338</v>
      </c>
      <c r="B10" s="2346" t="s">
        <v>2756</v>
      </c>
      <c r="C10" s="2346" t="s">
        <v>3587</v>
      </c>
      <c r="D10" s="2349">
        <v>10912.45</v>
      </c>
      <c r="E10" s="2350">
        <v>12938.53</v>
      </c>
      <c r="F10" s="2350">
        <v>1</v>
      </c>
      <c r="G10" s="2351">
        <v>233.72</v>
      </c>
    </row>
    <row r="11" spans="1:7">
      <c r="A11" s="1962" t="s">
        <v>2338</v>
      </c>
      <c r="B11" s="2346" t="s">
        <v>3556</v>
      </c>
      <c r="C11" s="2346" t="s">
        <v>3588</v>
      </c>
      <c r="D11" s="2349">
        <v>8671.85</v>
      </c>
      <c r="E11" s="2350">
        <v>10306.66</v>
      </c>
      <c r="F11" s="2350">
        <v>152</v>
      </c>
      <c r="G11" s="2351">
        <v>185.73</v>
      </c>
    </row>
    <row r="12" spans="1:7">
      <c r="A12" s="1962" t="s">
        <v>2338</v>
      </c>
      <c r="B12" s="2346" t="s">
        <v>3557</v>
      </c>
      <c r="C12" s="2346" t="s">
        <v>3589</v>
      </c>
      <c r="D12" s="2349">
        <v>405.09000000000003</v>
      </c>
      <c r="E12" s="2350">
        <v>481.47</v>
      </c>
      <c r="F12" s="2350">
        <v>2</v>
      </c>
      <c r="G12" s="2351">
        <v>8.68</v>
      </c>
    </row>
    <row r="13" spans="1:7">
      <c r="A13" s="1962" t="s">
        <v>2338</v>
      </c>
      <c r="B13" s="2346" t="s">
        <v>2900</v>
      </c>
      <c r="C13" s="2346" t="s">
        <v>3590</v>
      </c>
      <c r="D13" s="2349">
        <v>7918.88</v>
      </c>
      <c r="E13" s="2350">
        <v>9411.74</v>
      </c>
      <c r="F13" s="2350">
        <v>124</v>
      </c>
      <c r="G13" s="2351">
        <v>169.6</v>
      </c>
    </row>
    <row r="14" spans="1:7">
      <c r="A14" s="1962" t="s">
        <v>2338</v>
      </c>
      <c r="B14" s="2346" t="s">
        <v>2760</v>
      </c>
      <c r="C14" s="2346" t="s">
        <v>3591</v>
      </c>
      <c r="D14" s="2349">
        <v>30419717.330000006</v>
      </c>
      <c r="E14" s="2350">
        <v>12882618.820000002</v>
      </c>
      <c r="F14" s="2350">
        <v>17307</v>
      </c>
      <c r="G14" s="2351">
        <v>651509.19000000018</v>
      </c>
    </row>
    <row r="15" spans="1:7">
      <c r="A15" s="1962" t="s">
        <v>2338</v>
      </c>
      <c r="B15" s="2346" t="s">
        <v>2902</v>
      </c>
      <c r="C15" s="2346" t="s">
        <v>3592</v>
      </c>
      <c r="D15" s="2349">
        <v>583106.31000000006</v>
      </c>
      <c r="E15" s="2350">
        <v>338438.19</v>
      </c>
      <c r="F15" s="2350">
        <v>1207</v>
      </c>
      <c r="G15" s="2351">
        <v>12488.590000000002</v>
      </c>
    </row>
    <row r="16" spans="1:7">
      <c r="A16" s="1962" t="s">
        <v>2338</v>
      </c>
      <c r="B16" s="2346" t="s">
        <v>2762</v>
      </c>
      <c r="C16" s="2346" t="s">
        <v>3593</v>
      </c>
      <c r="D16" s="2349">
        <v>7699.9800000000005</v>
      </c>
      <c r="E16" s="2350">
        <v>9147.76</v>
      </c>
      <c r="F16" s="2350">
        <v>23</v>
      </c>
      <c r="G16" s="2351">
        <v>164.91</v>
      </c>
    </row>
    <row r="17" spans="1:7">
      <c r="A17" s="1962" t="s">
        <v>2338</v>
      </c>
      <c r="B17" s="2346" t="s">
        <v>2764</v>
      </c>
      <c r="C17" s="2346" t="s">
        <v>3594</v>
      </c>
      <c r="D17" s="2349">
        <v>462845.19000000006</v>
      </c>
      <c r="E17" s="2350">
        <v>295106.5</v>
      </c>
      <c r="F17" s="2350">
        <v>22</v>
      </c>
      <c r="G17" s="2351">
        <v>9912.9</v>
      </c>
    </row>
    <row r="18" spans="1:7">
      <c r="A18" s="1962" t="s">
        <v>2338</v>
      </c>
      <c r="B18" s="2346" t="s">
        <v>2836</v>
      </c>
      <c r="C18" s="2346" t="s">
        <v>3595</v>
      </c>
      <c r="D18" s="2349">
        <v>717687.13</v>
      </c>
      <c r="E18" s="2350">
        <v>159066.57</v>
      </c>
      <c r="F18" s="2350">
        <v>3107</v>
      </c>
      <c r="G18" s="2351">
        <v>15370.939999999999</v>
      </c>
    </row>
    <row r="19" spans="1:7">
      <c r="A19" s="1962" t="s">
        <v>2338</v>
      </c>
      <c r="B19" s="2346" t="s">
        <v>2712</v>
      </c>
      <c r="C19" s="2346" t="s">
        <v>3596</v>
      </c>
      <c r="D19" s="2349">
        <v>8249947.2899999991</v>
      </c>
      <c r="E19" s="2350">
        <v>5237781.33</v>
      </c>
      <c r="F19" s="2350">
        <v>1451</v>
      </c>
      <c r="G19" s="2351">
        <v>176691.85000000003</v>
      </c>
    </row>
    <row r="20" spans="1:7">
      <c r="A20" s="1962" t="s">
        <v>3555</v>
      </c>
      <c r="B20" s="2346" t="s">
        <v>3484</v>
      </c>
      <c r="C20" s="2346" t="s">
        <v>3597</v>
      </c>
      <c r="D20" s="2349">
        <v>71965.91</v>
      </c>
      <c r="E20" s="2350">
        <v>14257.57</v>
      </c>
      <c r="F20" s="2350">
        <v>14</v>
      </c>
      <c r="G20" s="2351">
        <v>1541.3200000000002</v>
      </c>
    </row>
    <row r="21" spans="1:7">
      <c r="A21" s="1962" t="s">
        <v>3555</v>
      </c>
      <c r="B21" s="2346" t="s">
        <v>2906</v>
      </c>
      <c r="C21" s="2346" t="s">
        <v>3598</v>
      </c>
      <c r="D21" s="2349">
        <v>316715.61</v>
      </c>
      <c r="E21" s="2350">
        <v>287761.45</v>
      </c>
      <c r="F21" s="2350">
        <v>2873372.55</v>
      </c>
      <c r="G21" s="2351">
        <v>6783.21</v>
      </c>
    </row>
    <row r="22" spans="1:7">
      <c r="A22" s="1962" t="s">
        <v>3555</v>
      </c>
      <c r="B22" s="2346" t="s">
        <v>3485</v>
      </c>
      <c r="C22" s="2346" t="s">
        <v>3599</v>
      </c>
      <c r="D22" s="2349">
        <v>1758691.51</v>
      </c>
      <c r="E22" s="2350">
        <v>1619229.29</v>
      </c>
      <c r="F22" s="2350">
        <v>14175182.449999999</v>
      </c>
      <c r="G22" s="2351">
        <v>37666.47</v>
      </c>
    </row>
    <row r="23" spans="1:7">
      <c r="A23" s="1962" t="s">
        <v>3555</v>
      </c>
      <c r="B23" s="2346" t="s">
        <v>3487</v>
      </c>
      <c r="C23" s="2346" t="s">
        <v>3600</v>
      </c>
      <c r="D23" s="2349">
        <v>3431763.4600000004</v>
      </c>
      <c r="E23" s="2350">
        <v>2597208.2400000002</v>
      </c>
      <c r="F23" s="2350">
        <v>10467122.85</v>
      </c>
      <c r="G23" s="2351">
        <v>73499.22</v>
      </c>
    </row>
    <row r="24" spans="1:7">
      <c r="A24" s="1962" t="s">
        <v>3555</v>
      </c>
      <c r="B24" s="2346" t="s">
        <v>2768</v>
      </c>
      <c r="C24" s="2346" t="s">
        <v>3601</v>
      </c>
      <c r="D24" s="2349">
        <v>162959.84</v>
      </c>
      <c r="E24" s="2350">
        <v>189888.13999999998</v>
      </c>
      <c r="F24" s="2350">
        <v>967216.95</v>
      </c>
      <c r="G24" s="2351">
        <v>3490.16</v>
      </c>
    </row>
    <row r="25" spans="1:7">
      <c r="A25" s="1962" t="s">
        <v>3555</v>
      </c>
      <c r="B25" s="2346" t="s">
        <v>3490</v>
      </c>
      <c r="C25" s="2346" t="s">
        <v>3602</v>
      </c>
      <c r="D25" s="2349">
        <v>3657548.1700000004</v>
      </c>
      <c r="E25" s="2350">
        <v>2333124.3600000003</v>
      </c>
      <c r="F25" s="2350">
        <v>2665074.1999999997</v>
      </c>
      <c r="G25" s="2351">
        <v>78334.899999999994</v>
      </c>
    </row>
    <row r="26" spans="1:7">
      <c r="A26" s="1962" t="s">
        <v>3555</v>
      </c>
      <c r="B26" s="2346" t="s">
        <v>2908</v>
      </c>
      <c r="C26" s="2346" t="s">
        <v>3492</v>
      </c>
      <c r="D26" s="2349">
        <v>2876.82</v>
      </c>
      <c r="E26" s="2350">
        <v>3375.66</v>
      </c>
      <c r="F26" s="2350">
        <v>1747</v>
      </c>
      <c r="G26" s="2351">
        <v>61.61</v>
      </c>
    </row>
    <row r="27" spans="1:7">
      <c r="A27" s="1962" t="s">
        <v>3555</v>
      </c>
      <c r="B27" s="2346" t="s">
        <v>2910</v>
      </c>
      <c r="C27" s="2346" t="s">
        <v>3603</v>
      </c>
      <c r="D27" s="2349">
        <v>3889521.26</v>
      </c>
      <c r="E27" s="2350">
        <v>2632338.850000001</v>
      </c>
      <c r="F27" s="2350">
        <v>2692689.5</v>
      </c>
      <c r="G27" s="2351">
        <v>83303.17</v>
      </c>
    </row>
    <row r="28" spans="1:7">
      <c r="A28" s="1962" t="s">
        <v>3555</v>
      </c>
      <c r="B28" s="2346" t="s">
        <v>3494</v>
      </c>
      <c r="C28" s="2346" t="s">
        <v>3604</v>
      </c>
      <c r="D28" s="2349">
        <v>-40332.339999999997</v>
      </c>
      <c r="E28" s="2350">
        <v>-19127.27</v>
      </c>
      <c r="F28" s="2350">
        <v>-1289</v>
      </c>
      <c r="G28" s="2351">
        <v>-863.81000000000006</v>
      </c>
    </row>
    <row r="29" spans="1:7">
      <c r="A29" s="1962" t="s">
        <v>3555</v>
      </c>
      <c r="B29" s="2346" t="s">
        <v>3496</v>
      </c>
      <c r="C29" s="2346" t="s">
        <v>3605</v>
      </c>
      <c r="D29" s="2349">
        <v>2141</v>
      </c>
      <c r="E29" s="2350">
        <v>2542.7600000000002</v>
      </c>
      <c r="F29" s="2350">
        <v>1454</v>
      </c>
      <c r="G29" s="2351">
        <v>45.85</v>
      </c>
    </row>
    <row r="30" spans="1:7">
      <c r="A30" s="1962" t="s">
        <v>3555</v>
      </c>
      <c r="B30" s="2346" t="s">
        <v>3498</v>
      </c>
      <c r="C30" s="2346" t="s">
        <v>3606</v>
      </c>
      <c r="D30" s="2349">
        <v>1027952.6700000002</v>
      </c>
      <c r="E30" s="2350">
        <v>808101.3</v>
      </c>
      <c r="F30" s="2350">
        <v>169385</v>
      </c>
      <c r="G30" s="2351">
        <v>22015.999999999996</v>
      </c>
    </row>
    <row r="31" spans="1:7">
      <c r="A31" s="1962" t="s">
        <v>3555</v>
      </c>
      <c r="B31" s="2346" t="s">
        <v>2838</v>
      </c>
      <c r="C31" s="2346" t="s">
        <v>3607</v>
      </c>
      <c r="D31" s="2349">
        <v>11476.81</v>
      </c>
      <c r="E31" s="2350">
        <v>11007.69</v>
      </c>
      <c r="F31" s="2350">
        <v>776</v>
      </c>
      <c r="G31" s="2351">
        <v>245.8</v>
      </c>
    </row>
    <row r="32" spans="1:7">
      <c r="A32" s="1962" t="s">
        <v>3555</v>
      </c>
      <c r="B32" s="2346" t="s">
        <v>3501</v>
      </c>
      <c r="C32" s="2346" t="s">
        <v>3608</v>
      </c>
      <c r="D32" s="2349">
        <v>2243161.9900000002</v>
      </c>
      <c r="E32" s="2350">
        <v>2533742.39</v>
      </c>
      <c r="F32" s="2350">
        <v>12347385</v>
      </c>
      <c r="G32" s="2351">
        <v>48042.54</v>
      </c>
    </row>
    <row r="33" spans="1:7">
      <c r="A33" s="1962" t="s">
        <v>3555</v>
      </c>
      <c r="B33" s="2346" t="s">
        <v>2720</v>
      </c>
      <c r="C33" s="2346" t="s">
        <v>3609</v>
      </c>
      <c r="D33" s="2349">
        <v>1047281.27</v>
      </c>
      <c r="E33" s="2350">
        <v>1182946.6499999999</v>
      </c>
      <c r="F33" s="2350">
        <v>3130699</v>
      </c>
      <c r="G33" s="2351">
        <v>22429.97</v>
      </c>
    </row>
    <row r="34" spans="1:7">
      <c r="A34" s="1962" t="s">
        <v>3555</v>
      </c>
      <c r="B34" s="2346" t="s">
        <v>3504</v>
      </c>
      <c r="C34" s="2346" t="s">
        <v>3610</v>
      </c>
      <c r="D34" s="2349">
        <v>57024900.190000013</v>
      </c>
      <c r="E34" s="2350">
        <v>31997323.510000002</v>
      </c>
      <c r="F34" s="2350">
        <v>27989476.279999997</v>
      </c>
      <c r="G34" s="2351">
        <v>1221321.2100000007</v>
      </c>
    </row>
    <row r="35" spans="1:7">
      <c r="A35" s="1962" t="s">
        <v>3555</v>
      </c>
      <c r="B35" s="2346" t="s">
        <v>2776</v>
      </c>
      <c r="C35" s="2346" t="s">
        <v>3611</v>
      </c>
      <c r="D35" s="2349">
        <v>13443.83</v>
      </c>
      <c r="E35" s="2350">
        <v>15775.01</v>
      </c>
      <c r="F35" s="2350">
        <v>16560</v>
      </c>
      <c r="G35" s="2351">
        <v>287.93</v>
      </c>
    </row>
    <row r="36" spans="1:7">
      <c r="A36" s="1962" t="s">
        <v>3555</v>
      </c>
      <c r="B36" s="2346" t="s">
        <v>2778</v>
      </c>
      <c r="C36" s="2346" t="s">
        <v>3612</v>
      </c>
      <c r="D36" s="2349">
        <v>4007.67</v>
      </c>
      <c r="E36" s="2350">
        <v>1689.83</v>
      </c>
      <c r="F36" s="2350">
        <v>1</v>
      </c>
      <c r="G36" s="2351">
        <v>85.83</v>
      </c>
    </row>
    <row r="37" spans="1:7">
      <c r="A37" s="1962" t="s">
        <v>3555</v>
      </c>
      <c r="B37" s="2346" t="s">
        <v>2780</v>
      </c>
      <c r="C37" s="2346" t="s">
        <v>3508</v>
      </c>
      <c r="D37" s="2349">
        <v>-992.63</v>
      </c>
      <c r="E37" s="2350">
        <v>-471.6</v>
      </c>
      <c r="F37" s="2350">
        <v>-50</v>
      </c>
      <c r="G37" s="2351">
        <v>-21.26</v>
      </c>
    </row>
    <row r="38" spans="1:7">
      <c r="A38" s="1962" t="s">
        <v>3555</v>
      </c>
      <c r="B38" s="2346" t="s">
        <v>3509</v>
      </c>
      <c r="C38" s="2346" t="s">
        <v>3613</v>
      </c>
      <c r="D38" s="2349">
        <v>28403.010000000002</v>
      </c>
      <c r="E38" s="2350">
        <v>1379.7700000000002</v>
      </c>
      <c r="F38" s="2350">
        <v>410.8</v>
      </c>
      <c r="G38" s="2351">
        <v>608.32000000000005</v>
      </c>
    </row>
    <row r="39" spans="1:7">
      <c r="A39" s="1962" t="s">
        <v>3555</v>
      </c>
      <c r="B39" s="2346" t="s">
        <v>2784</v>
      </c>
      <c r="C39" s="2346" t="s">
        <v>3614</v>
      </c>
      <c r="D39" s="2349">
        <v>64884392.649999991</v>
      </c>
      <c r="E39" s="2350">
        <v>39862669.089999974</v>
      </c>
      <c r="F39" s="2350">
        <v>33453562.999999996</v>
      </c>
      <c r="G39" s="2351">
        <v>1389650.58</v>
      </c>
    </row>
    <row r="40" spans="1:7">
      <c r="A40" s="1962" t="s">
        <v>3555</v>
      </c>
      <c r="B40" s="2346" t="s">
        <v>3512</v>
      </c>
      <c r="C40" s="2346" t="s">
        <v>3615</v>
      </c>
      <c r="D40" s="2349">
        <v>1225726.74</v>
      </c>
      <c r="E40" s="2350">
        <v>1367188.29</v>
      </c>
      <c r="F40" s="2350">
        <v>5224064.0999999996</v>
      </c>
      <c r="G40" s="2351">
        <v>26251.8</v>
      </c>
    </row>
    <row r="41" spans="1:7">
      <c r="A41" s="1962" t="s">
        <v>3555</v>
      </c>
      <c r="B41" s="2346" t="s">
        <v>2786</v>
      </c>
      <c r="C41" s="2346" t="s">
        <v>3616</v>
      </c>
      <c r="D41" s="2349">
        <v>18368384.349999994</v>
      </c>
      <c r="E41" s="2350">
        <v>11603833.310000001</v>
      </c>
      <c r="F41" s="2350">
        <v>13996575.610000005</v>
      </c>
      <c r="G41" s="2351">
        <v>393401.78999999992</v>
      </c>
    </row>
    <row r="42" spans="1:7">
      <c r="A42" s="1962" t="s">
        <v>3555</v>
      </c>
      <c r="B42" s="2346" t="s">
        <v>2846</v>
      </c>
      <c r="C42" s="2346" t="s">
        <v>3617</v>
      </c>
      <c r="D42" s="2349">
        <v>3195035.2299999991</v>
      </c>
      <c r="E42" s="2350">
        <v>1696297.1099999999</v>
      </c>
      <c r="F42" s="2350">
        <v>2240913.5</v>
      </c>
      <c r="G42" s="2351">
        <v>68429.10000000002</v>
      </c>
    </row>
    <row r="43" spans="1:7">
      <c r="A43" s="1962" t="s">
        <v>3555</v>
      </c>
      <c r="B43" s="2346" t="s">
        <v>3516</v>
      </c>
      <c r="C43" s="2346" t="s">
        <v>3618</v>
      </c>
      <c r="D43" s="2349">
        <v>28065.100000000002</v>
      </c>
      <c r="E43" s="2350">
        <v>33072.699999999997</v>
      </c>
      <c r="F43" s="2350">
        <v>51721</v>
      </c>
      <c r="G43" s="2351">
        <v>601.08000000000004</v>
      </c>
    </row>
    <row r="44" spans="1:7">
      <c r="A44" s="1962" t="s">
        <v>3555</v>
      </c>
      <c r="B44" s="2346" t="s">
        <v>3518</v>
      </c>
      <c r="C44" s="2346" t="s">
        <v>3619</v>
      </c>
      <c r="D44" s="2349">
        <v>4991.3599999999997</v>
      </c>
      <c r="E44" s="2350">
        <v>3420.24</v>
      </c>
      <c r="F44" s="2350">
        <v>751</v>
      </c>
      <c r="G44" s="2351">
        <v>106.89999999999999</v>
      </c>
    </row>
    <row r="45" spans="1:7">
      <c r="A45" s="1962" t="s">
        <v>3555</v>
      </c>
      <c r="B45" s="2346" t="s">
        <v>3520</v>
      </c>
      <c r="C45" s="2346" t="s">
        <v>3521</v>
      </c>
      <c r="D45" s="2349">
        <v>1413233.1600000001</v>
      </c>
      <c r="E45" s="2350">
        <v>932089.45</v>
      </c>
      <c r="F45" s="2350">
        <v>1324864.5</v>
      </c>
      <c r="G45" s="2351">
        <v>30267.659999999996</v>
      </c>
    </row>
    <row r="46" spans="1:7">
      <c r="A46" s="1962" t="s">
        <v>3555</v>
      </c>
      <c r="B46" s="2346" t="s">
        <v>3524</v>
      </c>
      <c r="C46" s="2346" t="s">
        <v>3620</v>
      </c>
      <c r="D46" s="2349">
        <v>172223.24</v>
      </c>
      <c r="E46" s="2350">
        <v>100429.6</v>
      </c>
      <c r="F46" s="2350">
        <v>3263</v>
      </c>
      <c r="G46" s="2351">
        <v>3688.56</v>
      </c>
    </row>
    <row r="47" spans="1:7">
      <c r="A47" s="1962" t="s">
        <v>3555</v>
      </c>
      <c r="B47" s="2346" t="s">
        <v>3526</v>
      </c>
      <c r="C47" s="2346" t="s">
        <v>3621</v>
      </c>
      <c r="D47" s="2349">
        <v>3336.32</v>
      </c>
      <c r="E47" s="2350">
        <v>3924.04</v>
      </c>
      <c r="F47" s="2350">
        <v>1604</v>
      </c>
      <c r="G47" s="2351">
        <v>71.459999999999994</v>
      </c>
    </row>
    <row r="48" spans="1:7">
      <c r="A48" s="1962" t="s">
        <v>3555</v>
      </c>
      <c r="B48" s="2346" t="s">
        <v>3530</v>
      </c>
      <c r="C48" s="2346" t="s">
        <v>3622</v>
      </c>
      <c r="D48" s="2349">
        <v>11600554.949999999</v>
      </c>
      <c r="E48" s="2350">
        <v>7938409.5599999996</v>
      </c>
      <c r="F48" s="2350">
        <v>11679736</v>
      </c>
      <c r="G48" s="2351">
        <v>248452.91000000006</v>
      </c>
    </row>
    <row r="49" spans="1:7">
      <c r="A49" s="1962" t="s">
        <v>3555</v>
      </c>
      <c r="B49" s="2346" t="s">
        <v>3532</v>
      </c>
      <c r="C49" s="2346" t="s">
        <v>3623</v>
      </c>
      <c r="D49" s="2349">
        <v>16704929.01</v>
      </c>
      <c r="E49" s="2350">
        <v>9584851.0799999963</v>
      </c>
      <c r="F49" s="2350">
        <v>7135265.6000000006</v>
      </c>
      <c r="G49" s="2351">
        <v>357774.94</v>
      </c>
    </row>
    <row r="50" spans="1:7">
      <c r="A50" s="1962" t="s">
        <v>3555</v>
      </c>
      <c r="B50" s="2346" t="s">
        <v>3534</v>
      </c>
      <c r="C50" s="2346" t="s">
        <v>3624</v>
      </c>
      <c r="D50" s="2349">
        <v>1636569.7900000003</v>
      </c>
      <c r="E50" s="2350">
        <v>899606.54</v>
      </c>
      <c r="F50" s="2350">
        <v>479440.45</v>
      </c>
      <c r="G50" s="2351">
        <v>35050.97</v>
      </c>
    </row>
    <row r="51" spans="1:7">
      <c r="A51" s="1962" t="s">
        <v>3555</v>
      </c>
      <c r="B51" s="2346" t="s">
        <v>3536</v>
      </c>
      <c r="C51" s="2346" t="s">
        <v>3625</v>
      </c>
      <c r="D51" s="2349">
        <v>2934475.2199999997</v>
      </c>
      <c r="E51" s="2350">
        <v>1697041.97</v>
      </c>
      <c r="F51" s="2350">
        <v>926160.45000000007</v>
      </c>
      <c r="G51" s="2351">
        <v>62848.649999999994</v>
      </c>
    </row>
    <row r="52" spans="1:7">
      <c r="A52" s="1962" t="s">
        <v>3555</v>
      </c>
      <c r="B52" s="2346" t="s">
        <v>3538</v>
      </c>
      <c r="C52" s="2346" t="s">
        <v>3626</v>
      </c>
      <c r="D52" s="2349">
        <v>882425.11999999976</v>
      </c>
      <c r="E52" s="2350">
        <v>501816.43999999994</v>
      </c>
      <c r="F52" s="2350">
        <v>207227.90000000002</v>
      </c>
      <c r="G52" s="2351">
        <v>18899.189999999995</v>
      </c>
    </row>
    <row r="53" spans="1:7">
      <c r="A53" s="1962" t="s">
        <v>2338</v>
      </c>
      <c r="B53" s="2346" t="s">
        <v>3558</v>
      </c>
      <c r="C53" s="2346" t="s">
        <v>3627</v>
      </c>
      <c r="D53" s="2349">
        <v>30173.05</v>
      </c>
      <c r="E53" s="2350">
        <v>35613.089999999997</v>
      </c>
      <c r="F53" s="2350">
        <v>88</v>
      </c>
      <c r="G53" s="2351">
        <v>646.23</v>
      </c>
    </row>
    <row r="54" spans="1:7">
      <c r="A54" s="1962" t="s">
        <v>2338</v>
      </c>
      <c r="B54" s="2346" t="s">
        <v>3559</v>
      </c>
      <c r="C54" s="2346" t="s">
        <v>3628</v>
      </c>
      <c r="D54" s="2349">
        <v>23932.799999999999</v>
      </c>
      <c r="E54" s="2350">
        <v>27477.65</v>
      </c>
      <c r="F54" s="2350">
        <v>6</v>
      </c>
      <c r="G54" s="2351">
        <v>512.58000000000004</v>
      </c>
    </row>
    <row r="55" spans="1:7">
      <c r="A55" s="1962" t="s">
        <v>2338</v>
      </c>
      <c r="B55" s="2346" t="s">
        <v>3560</v>
      </c>
      <c r="C55" s="2346" t="s">
        <v>3629</v>
      </c>
      <c r="D55" s="2349">
        <v>735.55000000000007</v>
      </c>
      <c r="E55" s="2350">
        <v>870.98</v>
      </c>
      <c r="F55" s="2350">
        <v>10</v>
      </c>
      <c r="G55" s="2351">
        <v>15.75</v>
      </c>
    </row>
    <row r="56" spans="1:7">
      <c r="A56" s="1962" t="s">
        <v>2338</v>
      </c>
      <c r="B56" s="2346" t="s">
        <v>3561</v>
      </c>
      <c r="C56" s="2346" t="s">
        <v>3630</v>
      </c>
      <c r="D56" s="2349">
        <v>2408.81</v>
      </c>
      <c r="E56" s="2350">
        <v>2862.05</v>
      </c>
      <c r="F56" s="2350">
        <v>2</v>
      </c>
      <c r="G56" s="2351">
        <v>51.59</v>
      </c>
    </row>
    <row r="57" spans="1:7">
      <c r="A57" s="1962" t="s">
        <v>2338</v>
      </c>
      <c r="B57" s="2346" t="s">
        <v>3562</v>
      </c>
      <c r="C57" s="2346" t="s">
        <v>3631</v>
      </c>
      <c r="D57" s="2349">
        <v>479717.12</v>
      </c>
      <c r="E57" s="2350">
        <v>475640.22</v>
      </c>
      <c r="F57" s="2350">
        <v>126</v>
      </c>
      <c r="G57" s="2351">
        <v>10274.26</v>
      </c>
    </row>
    <row r="58" spans="1:7">
      <c r="A58" s="1962" t="s">
        <v>2338</v>
      </c>
      <c r="B58" s="2346" t="s">
        <v>3563</v>
      </c>
      <c r="C58" s="2346" t="s">
        <v>3632</v>
      </c>
      <c r="D58" s="2349">
        <v>149362.78</v>
      </c>
      <c r="E58" s="2350">
        <v>57477.64</v>
      </c>
      <c r="F58" s="2350">
        <v>122</v>
      </c>
      <c r="G58" s="2351">
        <v>3198.95</v>
      </c>
    </row>
    <row r="59" spans="1:7">
      <c r="A59" s="1962" t="s">
        <v>2338</v>
      </c>
      <c r="B59" s="2346" t="s">
        <v>3564</v>
      </c>
      <c r="C59" s="2346" t="s">
        <v>3633</v>
      </c>
      <c r="D59" s="2349">
        <v>98051.13</v>
      </c>
      <c r="E59" s="2350">
        <v>72978.009999999995</v>
      </c>
      <c r="F59" s="2350">
        <v>153</v>
      </c>
      <c r="G59" s="2351">
        <v>2099.9899999999998</v>
      </c>
    </row>
    <row r="60" spans="1:7">
      <c r="A60" s="1962" t="s">
        <v>2338</v>
      </c>
      <c r="B60" s="2346" t="s">
        <v>3565</v>
      </c>
      <c r="C60" s="2346" t="s">
        <v>3634</v>
      </c>
      <c r="D60" s="2349">
        <v>599030.63</v>
      </c>
      <c r="E60" s="2350">
        <v>414850.46</v>
      </c>
      <c r="F60" s="2350">
        <v>30</v>
      </c>
      <c r="G60" s="2351">
        <v>12829.64</v>
      </c>
    </row>
    <row r="61" spans="1:7">
      <c r="A61" s="1962" t="s">
        <v>2338</v>
      </c>
      <c r="B61" s="2346" t="s">
        <v>3566</v>
      </c>
      <c r="C61" s="2346" t="s">
        <v>3635</v>
      </c>
      <c r="D61" s="2349">
        <v>6828981.2399999993</v>
      </c>
      <c r="E61" s="2350">
        <v>717246.57000000018</v>
      </c>
      <c r="F61" s="2350">
        <v>948</v>
      </c>
      <c r="G61" s="2351">
        <v>146258.56</v>
      </c>
    </row>
    <row r="62" spans="1:7">
      <c r="A62" s="1962" t="s">
        <v>2338</v>
      </c>
      <c r="B62" s="2346" t="s">
        <v>3567</v>
      </c>
      <c r="C62" s="2346" t="s">
        <v>3636</v>
      </c>
      <c r="D62" s="2349">
        <v>258350.23</v>
      </c>
      <c r="E62" s="2350">
        <v>83339.97</v>
      </c>
      <c r="F62" s="2350">
        <v>8</v>
      </c>
      <c r="G62" s="2351">
        <v>5533.18</v>
      </c>
    </row>
    <row r="63" spans="1:7">
      <c r="A63" s="1962" t="s">
        <v>2338</v>
      </c>
      <c r="B63" s="2346" t="s">
        <v>3568</v>
      </c>
      <c r="C63" s="2346" t="s">
        <v>3637</v>
      </c>
      <c r="D63" s="2349">
        <v>326112.98</v>
      </c>
      <c r="E63" s="2350">
        <v>354482.5</v>
      </c>
      <c r="F63" s="2350">
        <v>46</v>
      </c>
      <c r="G63" s="2351">
        <v>6984.47</v>
      </c>
    </row>
    <row r="64" spans="1:7">
      <c r="A64" s="1962" t="s">
        <v>2338</v>
      </c>
      <c r="B64" s="2346" t="s">
        <v>3569</v>
      </c>
      <c r="C64" s="2346" t="s">
        <v>3638</v>
      </c>
      <c r="D64" s="2349">
        <v>5111823.959999999</v>
      </c>
      <c r="E64" s="2350">
        <v>2828288.3200000008</v>
      </c>
      <c r="F64" s="2350">
        <v>47060</v>
      </c>
      <c r="G64" s="2351">
        <v>109481.64</v>
      </c>
    </row>
    <row r="65" spans="1:7">
      <c r="A65" s="1962" t="s">
        <v>2338</v>
      </c>
      <c r="B65" s="2346" t="s">
        <v>3570</v>
      </c>
      <c r="C65" s="2346" t="s">
        <v>3639</v>
      </c>
      <c r="D65" s="2349">
        <v>19729242.729999993</v>
      </c>
      <c r="E65" s="2350">
        <v>2470298.0400000005</v>
      </c>
      <c r="F65" s="2350">
        <v>395</v>
      </c>
      <c r="G65" s="2351">
        <v>422547.73</v>
      </c>
    </row>
    <row r="66" spans="1:7">
      <c r="A66" s="1962" t="s">
        <v>2338</v>
      </c>
      <c r="B66" s="2346" t="s">
        <v>3571</v>
      </c>
      <c r="C66" s="2346" t="s">
        <v>3640</v>
      </c>
      <c r="D66" s="2349">
        <v>286049.40999999997</v>
      </c>
      <c r="E66" s="2350">
        <v>195853.12</v>
      </c>
      <c r="F66" s="2350">
        <v>31</v>
      </c>
      <c r="G66" s="2351">
        <v>6126.41</v>
      </c>
    </row>
    <row r="67" spans="1:7">
      <c r="A67" s="1962" t="s">
        <v>2338</v>
      </c>
      <c r="B67" s="2346" t="s">
        <v>3572</v>
      </c>
      <c r="C67" s="2346" t="s">
        <v>3641</v>
      </c>
      <c r="D67" s="2349">
        <v>1043.6500000000001</v>
      </c>
      <c r="E67" s="2350">
        <v>1221.1300000000001</v>
      </c>
      <c r="F67" s="2350">
        <v>501</v>
      </c>
      <c r="G67" s="2351">
        <v>22.35</v>
      </c>
    </row>
    <row r="68" spans="1:7">
      <c r="A68" s="1962" t="s">
        <v>2338</v>
      </c>
      <c r="B68" s="2346" t="s">
        <v>2816</v>
      </c>
      <c r="C68" s="2346" t="s">
        <v>3642</v>
      </c>
      <c r="D68" s="2349">
        <v>106160.29</v>
      </c>
      <c r="E68" s="2350">
        <v>10863.32</v>
      </c>
      <c r="F68" s="2350">
        <v>60</v>
      </c>
      <c r="G68" s="2351">
        <v>2273.6799999999998</v>
      </c>
    </row>
    <row r="69" spans="1:7">
      <c r="A69" s="1962" t="s">
        <v>8323</v>
      </c>
      <c r="B69" s="2346" t="s">
        <v>9406</v>
      </c>
      <c r="C69" s="2346" t="s">
        <v>9407</v>
      </c>
      <c r="D69" s="2349">
        <v>11763210.010000002</v>
      </c>
      <c r="E69" s="2350">
        <v>194234.72000000006</v>
      </c>
      <c r="F69" s="2350">
        <v>1063527.7</v>
      </c>
      <c r="G69" s="2351">
        <v>251936.48000000004</v>
      </c>
    </row>
    <row r="70" spans="1:7">
      <c r="A70" s="1962" t="s">
        <v>2338</v>
      </c>
      <c r="B70" s="2346" t="s">
        <v>3540</v>
      </c>
      <c r="C70" s="2346" t="s">
        <v>3643</v>
      </c>
      <c r="D70" s="2349">
        <v>2821.8100000000004</v>
      </c>
      <c r="E70" s="2350">
        <v>28.6</v>
      </c>
      <c r="F70" s="2350">
        <v>250</v>
      </c>
      <c r="G70" s="2351">
        <v>60.45</v>
      </c>
    </row>
    <row r="71" spans="1:7">
      <c r="A71" s="1962" t="s">
        <v>3573</v>
      </c>
      <c r="B71" s="2346" t="s">
        <v>3545</v>
      </c>
      <c r="C71" s="2346" t="s">
        <v>3644</v>
      </c>
      <c r="D71" s="2349">
        <v>1604.6000000000001</v>
      </c>
      <c r="E71" s="2350">
        <v>51.92</v>
      </c>
      <c r="F71" s="2350">
        <v>0</v>
      </c>
      <c r="G71" s="2351">
        <v>34.369999999999997</v>
      </c>
    </row>
    <row r="72" spans="1:7">
      <c r="A72" s="1962" t="s">
        <v>3573</v>
      </c>
      <c r="B72" s="2346" t="s">
        <v>9254</v>
      </c>
      <c r="C72" s="2346" t="s">
        <v>9255</v>
      </c>
      <c r="D72" s="2349">
        <v>7849.6</v>
      </c>
      <c r="E72" s="2350">
        <v>253.98</v>
      </c>
      <c r="F72" s="2350">
        <v>551.80000000000007</v>
      </c>
      <c r="G72" s="2351">
        <v>168.12</v>
      </c>
    </row>
    <row r="73" spans="1:7">
      <c r="A73" s="1962" t="s">
        <v>3573</v>
      </c>
      <c r="B73" s="2346" t="s">
        <v>3549</v>
      </c>
      <c r="C73" s="2346" t="s">
        <v>3645</v>
      </c>
      <c r="D73" s="2349">
        <v>147184.10000000003</v>
      </c>
      <c r="E73" s="2350">
        <v>40605.639999999985</v>
      </c>
      <c r="F73" s="2350">
        <v>2139</v>
      </c>
      <c r="G73" s="2351">
        <v>3152.2900000000004</v>
      </c>
    </row>
    <row r="74" spans="1:7">
      <c r="A74" s="1962" t="s">
        <v>3555</v>
      </c>
      <c r="B74" s="2346" t="s">
        <v>3522</v>
      </c>
      <c r="C74" s="2346" t="s">
        <v>3523</v>
      </c>
      <c r="D74" s="2349">
        <v>137952.65</v>
      </c>
      <c r="E74" s="2350">
        <v>73066.649999999994</v>
      </c>
      <c r="F74" s="2350">
        <v>2534</v>
      </c>
      <c r="G74" s="2351">
        <v>2954.58</v>
      </c>
    </row>
    <row r="75" spans="1:7">
      <c r="A75" s="1962"/>
      <c r="B75" s="2346"/>
      <c r="C75" s="2346"/>
      <c r="D75" s="2349"/>
      <c r="E75" s="2350"/>
      <c r="F75" s="2350"/>
      <c r="G75" s="2351"/>
    </row>
    <row r="76" spans="1:7">
      <c r="A76" s="1962"/>
      <c r="B76" s="2346"/>
      <c r="C76" s="2346"/>
      <c r="D76" s="2349"/>
      <c r="E76" s="2350"/>
      <c r="F76" s="2350"/>
      <c r="G76" s="2351"/>
    </row>
    <row r="77" spans="1:7">
      <c r="A77" s="1962"/>
      <c r="B77" s="2346"/>
      <c r="C77" s="2346"/>
      <c r="D77" s="2349"/>
      <c r="E77" s="2350"/>
      <c r="F77" s="2350"/>
      <c r="G77" s="2351"/>
    </row>
    <row r="78" spans="1:7">
      <c r="A78" s="1962"/>
      <c r="B78" s="2346"/>
      <c r="C78" s="2346"/>
      <c r="D78" s="2349"/>
      <c r="E78" s="2350"/>
      <c r="F78" s="2350"/>
      <c r="G78" s="2351"/>
    </row>
    <row r="79" spans="1:7">
      <c r="A79" s="1962"/>
      <c r="B79" s="2346"/>
      <c r="C79" s="2346"/>
      <c r="D79" s="2349"/>
      <c r="E79" s="2350"/>
      <c r="F79" s="2350"/>
      <c r="G79" s="2351"/>
    </row>
    <row r="80" spans="1:7">
      <c r="A80" s="1962"/>
      <c r="B80" s="2346"/>
      <c r="C80" s="2346"/>
      <c r="D80" s="2349"/>
      <c r="E80" s="2350"/>
      <c r="F80" s="2350"/>
      <c r="G80" s="2351"/>
    </row>
    <row r="81" spans="1:7">
      <c r="A81" s="1962"/>
      <c r="B81" s="2346"/>
      <c r="C81" s="2346"/>
      <c r="D81" s="2349"/>
      <c r="E81" s="2350"/>
      <c r="F81" s="2350"/>
      <c r="G81" s="2351"/>
    </row>
    <row r="82" spans="1:7">
      <c r="A82" s="1962"/>
      <c r="B82" s="2346"/>
      <c r="C82" s="2346"/>
      <c r="D82" s="2349"/>
      <c r="E82" s="2350"/>
      <c r="F82" s="2350"/>
      <c r="G82" s="2351"/>
    </row>
    <row r="83" spans="1:7">
      <c r="A83" s="1962"/>
      <c r="B83" s="2346"/>
      <c r="C83" s="2346"/>
      <c r="D83" s="2349"/>
      <c r="E83" s="2350"/>
      <c r="F83" s="2350"/>
      <c r="G83" s="2351"/>
    </row>
    <row r="84" spans="1:7">
      <c r="A84" s="1962"/>
      <c r="B84" s="2346"/>
      <c r="C84" s="2346"/>
      <c r="D84" s="2349"/>
      <c r="E84" s="2350"/>
      <c r="F84" s="2350"/>
      <c r="G84" s="2351"/>
    </row>
    <row r="85" spans="1:7">
      <c r="A85" s="1962"/>
      <c r="B85" s="2346"/>
      <c r="C85" s="2346"/>
      <c r="D85" s="2349"/>
      <c r="E85" s="2350"/>
      <c r="F85" s="2350"/>
      <c r="G85" s="2351"/>
    </row>
    <row r="86" spans="1:7">
      <c r="A86" s="1962"/>
      <c r="B86" s="2346"/>
      <c r="C86" s="2346"/>
      <c r="D86" s="2349"/>
      <c r="E86" s="2350"/>
      <c r="F86" s="2350"/>
      <c r="G86" s="2351"/>
    </row>
    <row r="87" spans="1:7">
      <c r="A87" s="1962"/>
      <c r="B87" s="2346"/>
      <c r="C87" s="2346"/>
      <c r="D87" s="2349"/>
      <c r="E87" s="2350"/>
      <c r="F87" s="2350"/>
      <c r="G87" s="2351"/>
    </row>
    <row r="88" spans="1:7">
      <c r="A88" s="1962"/>
      <c r="B88" s="2346"/>
      <c r="C88" s="2346"/>
      <c r="D88" s="2349"/>
      <c r="E88" s="2350"/>
      <c r="F88" s="2350"/>
      <c r="G88" s="2351"/>
    </row>
    <row r="89" spans="1:7">
      <c r="A89" s="1962"/>
      <c r="B89" s="2346"/>
      <c r="C89" s="2346"/>
      <c r="D89" s="2349"/>
      <c r="E89" s="2350"/>
      <c r="F89" s="2350"/>
      <c r="G89" s="2351"/>
    </row>
    <row r="90" spans="1:7">
      <c r="A90" s="1962"/>
      <c r="B90" s="2346"/>
      <c r="C90" s="2346"/>
      <c r="D90" s="2349"/>
      <c r="E90" s="2350"/>
      <c r="F90" s="2350"/>
      <c r="G90" s="2351"/>
    </row>
    <row r="91" spans="1:7">
      <c r="A91" s="1962"/>
      <c r="B91" s="2346"/>
      <c r="C91" s="2346"/>
      <c r="D91" s="2349"/>
      <c r="E91" s="2350"/>
      <c r="F91" s="2350"/>
      <c r="G91" s="2351"/>
    </row>
    <row r="92" spans="1:7">
      <c r="A92" s="1962"/>
      <c r="B92" s="2346"/>
      <c r="C92" s="2346"/>
      <c r="D92" s="2349"/>
      <c r="E92" s="2350"/>
      <c r="F92" s="2350"/>
      <c r="G92" s="2351"/>
    </row>
    <row r="93" spans="1:7">
      <c r="A93" s="1962"/>
      <c r="B93" s="2346"/>
      <c r="C93" s="2346"/>
      <c r="D93" s="2349"/>
      <c r="E93" s="2350"/>
      <c r="F93" s="2350"/>
      <c r="G93" s="2351"/>
    </row>
    <row r="94" spans="1:7">
      <c r="A94" s="1962"/>
      <c r="B94" s="2346"/>
      <c r="C94" s="2346"/>
      <c r="D94" s="2349"/>
      <c r="E94" s="2350"/>
      <c r="F94" s="2350"/>
      <c r="G94" s="2351"/>
    </row>
    <row r="95" spans="1:7">
      <c r="A95" s="1962"/>
      <c r="B95" s="2346"/>
      <c r="C95" s="2346"/>
      <c r="D95" s="2349"/>
      <c r="E95" s="2350"/>
      <c r="F95" s="2350"/>
      <c r="G95" s="2351"/>
    </row>
    <row r="96" spans="1:7">
      <c r="A96" s="1962"/>
      <c r="B96" s="2346"/>
      <c r="C96" s="2346"/>
      <c r="D96" s="2349"/>
      <c r="E96" s="2350"/>
      <c r="F96" s="2350"/>
      <c r="G96" s="2351"/>
    </row>
    <row r="97" spans="1:7">
      <c r="A97" s="1962"/>
      <c r="B97" s="2346"/>
      <c r="C97" s="2346"/>
      <c r="D97" s="2349"/>
      <c r="E97" s="2350"/>
      <c r="F97" s="2350"/>
      <c r="G97" s="2351"/>
    </row>
    <row r="98" spans="1:7">
      <c r="A98" s="1962"/>
      <c r="B98" s="2346"/>
      <c r="C98" s="2346"/>
      <c r="D98" s="2349"/>
      <c r="E98" s="2350"/>
      <c r="F98" s="2350"/>
      <c r="G98" s="2351"/>
    </row>
    <row r="99" spans="1:7">
      <c r="A99" s="1962"/>
      <c r="B99" s="2346"/>
      <c r="C99" s="2346"/>
      <c r="D99" s="2349"/>
      <c r="E99" s="2350"/>
      <c r="F99" s="2350"/>
      <c r="G99" s="2351"/>
    </row>
    <row r="100" spans="1:7">
      <c r="A100" s="1962"/>
      <c r="B100" s="2346"/>
      <c r="C100" s="2346"/>
      <c r="D100" s="2349"/>
      <c r="E100" s="2350"/>
      <c r="F100" s="2350"/>
      <c r="G100" s="2351"/>
    </row>
    <row r="101" spans="1:7">
      <c r="A101" s="1962"/>
      <c r="B101" s="2346"/>
      <c r="C101" s="2346"/>
      <c r="D101" s="2349"/>
      <c r="E101" s="2350"/>
      <c r="F101" s="2350"/>
      <c r="G101" s="2351"/>
    </row>
    <row r="102" spans="1:7">
      <c r="A102" s="1962"/>
      <c r="B102" s="2346"/>
      <c r="C102" s="2346"/>
      <c r="D102" s="2349"/>
      <c r="E102" s="2350"/>
      <c r="F102" s="2350"/>
      <c r="G102" s="2351"/>
    </row>
    <row r="103" spans="1:7">
      <c r="A103" s="1962"/>
      <c r="B103" s="2346"/>
      <c r="C103" s="2346"/>
      <c r="D103" s="2349"/>
      <c r="E103" s="2350"/>
      <c r="F103" s="2350"/>
      <c r="G103" s="2351"/>
    </row>
    <row r="114" spans="5:7">
      <c r="E114" s="62"/>
      <c r="F114" s="758"/>
      <c r="G114" s="758"/>
    </row>
    <row r="115" spans="5:7">
      <c r="F115" s="513"/>
      <c r="G115" s="513"/>
    </row>
    <row r="116" spans="5:7">
      <c r="F116" s="512"/>
      <c r="G116" s="512"/>
    </row>
    <row r="137" spans="2:7" ht="15" thickBot="1"/>
    <row r="138" spans="2:7">
      <c r="B138" s="759" t="s">
        <v>3646</v>
      </c>
      <c r="C138" s="2352"/>
      <c r="G138" s="162"/>
    </row>
    <row r="139" spans="2:7">
      <c r="B139" s="2353" t="s">
        <v>3577</v>
      </c>
      <c r="C139" s="2062"/>
      <c r="G139" s="2086"/>
    </row>
    <row r="140" spans="2:7">
      <c r="B140" s="2353" t="s">
        <v>3647</v>
      </c>
      <c r="C140" s="97" t="s">
        <v>3648</v>
      </c>
      <c r="E140" s="62" t="s">
        <v>3649</v>
      </c>
      <c r="F140" s="512">
        <v>156681371.66000006</v>
      </c>
    </row>
    <row r="141" spans="2:7">
      <c r="B141" s="2353" t="s">
        <v>3650</v>
      </c>
      <c r="C141" s="97" t="s">
        <v>3651</v>
      </c>
      <c r="E141" s="62" t="s">
        <v>3652</v>
      </c>
      <c r="F141" s="512">
        <v>40360981.329999991</v>
      </c>
      <c r="G141" s="760"/>
    </row>
    <row r="142" spans="2:7" ht="15" thickBot="1">
      <c r="B142" s="2353" t="s">
        <v>3653</v>
      </c>
      <c r="C142" s="97" t="s">
        <v>3654</v>
      </c>
      <c r="E142" s="62" t="s">
        <v>3655</v>
      </c>
      <c r="F142" s="448">
        <v>197042352.99000004</v>
      </c>
      <c r="G142" s="760"/>
    </row>
    <row r="143" spans="2:7" ht="15" thickTop="1">
      <c r="B143" s="2353"/>
      <c r="C143" s="2062"/>
      <c r="E143" s="62" t="s">
        <v>3656</v>
      </c>
      <c r="F143" s="502">
        <v>5280</v>
      </c>
      <c r="G143" s="760"/>
    </row>
    <row r="144" spans="2:7" ht="15" thickBot="1">
      <c r="B144" s="1770"/>
      <c r="C144" s="2354" t="s">
        <v>3657</v>
      </c>
      <c r="F144" s="502">
        <v>37318.627460227282</v>
      </c>
      <c r="G144" s="760"/>
    </row>
    <row r="145" spans="7:7">
      <c r="G145" s="761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8" tint="0.59999389629810485"/>
  </sheetPr>
  <dimension ref="B2:G79"/>
  <sheetViews>
    <sheetView tabSelected="1" showOutlineSymbols="0" workbookViewId="0"/>
  </sheetViews>
  <sheetFormatPr defaultRowHeight="14.4"/>
  <cols>
    <col min="3" max="3" width="31.88671875" bestFit="1" customWidth="1"/>
    <col min="4" max="4" width="12.5546875" bestFit="1" customWidth="1"/>
    <col min="5" max="5" width="12.33203125" bestFit="1" customWidth="1"/>
    <col min="6" max="6" width="9.33203125" bestFit="1" customWidth="1"/>
    <col min="7" max="7" width="11.33203125" bestFit="1" customWidth="1"/>
  </cols>
  <sheetData>
    <row r="2" spans="2:7" ht="15.6">
      <c r="B2" s="768" t="s">
        <v>3706</v>
      </c>
      <c r="C2" s="2131"/>
      <c r="D2" s="2131"/>
      <c r="E2" s="2131"/>
      <c r="F2" s="2131"/>
      <c r="G2" s="2131"/>
    </row>
    <row r="3" spans="2:7">
      <c r="B3" s="2355" t="s">
        <v>3575</v>
      </c>
      <c r="C3" s="2356">
        <v>136400</v>
      </c>
      <c r="D3" s="1962"/>
      <c r="E3" s="1962"/>
      <c r="F3" s="1962"/>
      <c r="G3" s="1962"/>
    </row>
    <row r="4" spans="2:7">
      <c r="B4" s="1962"/>
      <c r="C4" s="1962"/>
      <c r="D4" s="1962"/>
      <c r="E4" s="1962"/>
      <c r="F4" s="1962"/>
      <c r="G4" s="1962"/>
    </row>
    <row r="5" spans="2:7">
      <c r="B5" s="2346"/>
      <c r="C5" s="2357"/>
      <c r="D5" s="2346" t="s">
        <v>3576</v>
      </c>
      <c r="E5" s="2357"/>
      <c r="F5" s="2357"/>
      <c r="G5" s="2358"/>
    </row>
    <row r="6" spans="2:7">
      <c r="B6" s="2346" t="s">
        <v>3577</v>
      </c>
      <c r="C6" s="2346" t="s">
        <v>3578</v>
      </c>
      <c r="D6" s="2346" t="s">
        <v>3579</v>
      </c>
      <c r="E6" s="2347" t="s">
        <v>3580</v>
      </c>
      <c r="F6" s="2347" t="s">
        <v>3581</v>
      </c>
      <c r="G6" s="2348" t="s">
        <v>3582</v>
      </c>
    </row>
    <row r="7" spans="2:7">
      <c r="B7" s="2346" t="s">
        <v>2683</v>
      </c>
      <c r="C7" s="2346" t="s">
        <v>3659</v>
      </c>
      <c r="D7" s="2349">
        <v>460865.71</v>
      </c>
      <c r="E7" s="2350">
        <v>473694.68</v>
      </c>
      <c r="F7" s="2350">
        <v>3363</v>
      </c>
      <c r="G7" s="2351">
        <v>16240.1</v>
      </c>
    </row>
    <row r="8" spans="2:7">
      <c r="B8" s="2346" t="s">
        <v>2741</v>
      </c>
      <c r="C8" s="2346" t="s">
        <v>3660</v>
      </c>
      <c r="D8" s="2349">
        <v>37685618.029999986</v>
      </c>
      <c r="E8" s="2350">
        <v>28192161.680000007</v>
      </c>
      <c r="F8" s="2350">
        <v>67830</v>
      </c>
      <c r="G8" s="2351">
        <v>1327974.9899999998</v>
      </c>
    </row>
    <row r="9" spans="2:7">
      <c r="B9" s="2346" t="s">
        <v>2686</v>
      </c>
      <c r="C9" s="2346" t="s">
        <v>3661</v>
      </c>
      <c r="D9" s="2349">
        <v>70050204.329999998</v>
      </c>
      <c r="E9" s="2350">
        <v>36447649.719999991</v>
      </c>
      <c r="F9" s="2350">
        <v>73524</v>
      </c>
      <c r="G9" s="2351">
        <v>2468446.2299999995</v>
      </c>
    </row>
    <row r="10" spans="2:7">
      <c r="B10" s="2346" t="s">
        <v>2744</v>
      </c>
      <c r="C10" s="2346" t="s">
        <v>3662</v>
      </c>
      <c r="D10" s="2349">
        <v>111134707.68999997</v>
      </c>
      <c r="E10" s="2350">
        <v>58475842.589999981</v>
      </c>
      <c r="F10" s="2350">
        <v>107761</v>
      </c>
      <c r="G10" s="2351">
        <v>3916192.1</v>
      </c>
    </row>
    <row r="11" spans="2:7">
      <c r="B11" s="2346" t="s">
        <v>3663</v>
      </c>
      <c r="C11" s="2346" t="s">
        <v>3664</v>
      </c>
      <c r="D11" s="2349">
        <v>83400076.969999954</v>
      </c>
      <c r="E11" s="2350">
        <v>41957085.359999977</v>
      </c>
      <c r="F11" s="2350">
        <v>57107</v>
      </c>
      <c r="G11" s="2351">
        <v>2938872.3000000003</v>
      </c>
    </row>
    <row r="12" spans="2:7">
      <c r="B12" s="2346" t="s">
        <v>3665</v>
      </c>
      <c r="C12" s="2346" t="s">
        <v>3666</v>
      </c>
      <c r="D12" s="2349">
        <v>20201712.090000004</v>
      </c>
      <c r="E12" s="2350">
        <v>10188856.319999993</v>
      </c>
      <c r="F12" s="2350">
        <v>7248</v>
      </c>
      <c r="G12" s="2351">
        <v>711872.92</v>
      </c>
    </row>
    <row r="13" spans="2:7">
      <c r="B13" s="2346" t="s">
        <v>2688</v>
      </c>
      <c r="C13" s="2346" t="s">
        <v>3667</v>
      </c>
      <c r="D13" s="2349">
        <v>4160710.3499999982</v>
      </c>
      <c r="E13" s="2350">
        <v>2054194.2700000003</v>
      </c>
      <c r="F13" s="2350">
        <v>1393</v>
      </c>
      <c r="G13" s="2351">
        <v>146616.15999999997</v>
      </c>
    </row>
    <row r="14" spans="2:7">
      <c r="B14" s="2346" t="s">
        <v>3668</v>
      </c>
      <c r="C14" s="2346" t="s">
        <v>3669</v>
      </c>
      <c r="D14" s="2349">
        <v>1103094.3200000003</v>
      </c>
      <c r="E14" s="2350">
        <v>434883.03</v>
      </c>
      <c r="F14" s="2350">
        <v>296</v>
      </c>
      <c r="G14" s="2351">
        <v>38871.120000000003</v>
      </c>
    </row>
    <row r="15" spans="2:7">
      <c r="B15" s="2346" t="s">
        <v>3670</v>
      </c>
      <c r="C15" s="2346" t="s">
        <v>3671</v>
      </c>
      <c r="D15" s="2349">
        <v>-0.01</v>
      </c>
      <c r="E15" s="2350">
        <v>-0.01</v>
      </c>
      <c r="F15" s="2350">
        <v>0</v>
      </c>
      <c r="G15" s="2351">
        <v>0</v>
      </c>
    </row>
    <row r="16" spans="2:7">
      <c r="B16" s="2346" t="s">
        <v>2889</v>
      </c>
      <c r="C16" s="2346" t="s">
        <v>3672</v>
      </c>
      <c r="D16" s="2349">
        <v>53322.62</v>
      </c>
      <c r="E16" s="2350">
        <v>49176.639999999999</v>
      </c>
      <c r="F16" s="2350">
        <v>10</v>
      </c>
      <c r="G16" s="2351">
        <v>1879</v>
      </c>
    </row>
    <row r="17" spans="2:7">
      <c r="B17" s="2346" t="s">
        <v>3673</v>
      </c>
      <c r="C17" s="2346" t="s">
        <v>3674</v>
      </c>
      <c r="D17" s="2349">
        <v>7504.09</v>
      </c>
      <c r="E17" s="2350">
        <v>7834.52</v>
      </c>
      <c r="F17" s="2350">
        <v>5</v>
      </c>
      <c r="G17" s="2351">
        <v>264.43</v>
      </c>
    </row>
    <row r="18" spans="2:7">
      <c r="B18" s="2346" t="s">
        <v>2696</v>
      </c>
      <c r="C18" s="2346" t="s">
        <v>3675</v>
      </c>
      <c r="D18" s="2349">
        <v>1244.2</v>
      </c>
      <c r="E18" s="2350">
        <v>614.53</v>
      </c>
      <c r="F18" s="2350">
        <v>0</v>
      </c>
      <c r="G18" s="2351">
        <v>43.84</v>
      </c>
    </row>
    <row r="19" spans="2:7">
      <c r="B19" s="2346" t="s">
        <v>3676</v>
      </c>
      <c r="C19" s="2346" t="s">
        <v>3677</v>
      </c>
      <c r="D19" s="2349">
        <v>2003391.0899999999</v>
      </c>
      <c r="E19" s="2350">
        <v>1076260.1199999999</v>
      </c>
      <c r="F19" s="2350">
        <v>1151</v>
      </c>
      <c r="G19" s="2351">
        <v>70595.98</v>
      </c>
    </row>
    <row r="20" spans="2:7">
      <c r="B20" s="2346" t="s">
        <v>3678</v>
      </c>
      <c r="C20" s="2346" t="s">
        <v>3679</v>
      </c>
      <c r="D20" s="2349">
        <v>1971.76</v>
      </c>
      <c r="E20" s="2350">
        <v>2058.64</v>
      </c>
      <c r="F20" s="2350">
        <v>10</v>
      </c>
      <c r="G20" s="2351">
        <v>69.48</v>
      </c>
    </row>
    <row r="21" spans="2:7">
      <c r="B21" s="2346" t="s">
        <v>2892</v>
      </c>
      <c r="C21" s="2346" t="s">
        <v>3680</v>
      </c>
      <c r="D21" s="2349">
        <v>34846.18</v>
      </c>
      <c r="E21" s="2350">
        <v>36380.550000000003</v>
      </c>
      <c r="F21" s="2350">
        <v>156</v>
      </c>
      <c r="G21" s="2351">
        <v>1227.92</v>
      </c>
    </row>
    <row r="22" spans="2:7">
      <c r="B22" s="2346" t="s">
        <v>2700</v>
      </c>
      <c r="C22" s="2346" t="s">
        <v>3681</v>
      </c>
      <c r="D22" s="2349">
        <v>6145</v>
      </c>
      <c r="E22" s="2350">
        <v>3863.65</v>
      </c>
      <c r="F22" s="2350">
        <v>4</v>
      </c>
      <c r="G22" s="2351">
        <v>216.54</v>
      </c>
    </row>
    <row r="23" spans="2:7">
      <c r="B23" s="2346" t="s">
        <v>2702</v>
      </c>
      <c r="C23" s="2346" t="s">
        <v>3682</v>
      </c>
      <c r="D23" s="2349">
        <v>2001721.5099999995</v>
      </c>
      <c r="E23" s="2350">
        <v>972130.15</v>
      </c>
      <c r="F23" s="2350">
        <v>1247</v>
      </c>
      <c r="G23" s="2351">
        <v>70537.16</v>
      </c>
    </row>
    <row r="24" spans="2:7">
      <c r="B24" s="2346" t="s">
        <v>2894</v>
      </c>
      <c r="C24" s="2346" t="s">
        <v>3683</v>
      </c>
      <c r="D24" s="2349">
        <v>13314976.629999993</v>
      </c>
      <c r="E24" s="2350">
        <v>5264830.7199999979</v>
      </c>
      <c r="F24" s="2350">
        <v>5232</v>
      </c>
      <c r="G24" s="2351">
        <v>469196.45000000013</v>
      </c>
    </row>
    <row r="25" spans="2:7">
      <c r="B25" s="2346" t="s">
        <v>3684</v>
      </c>
      <c r="C25" s="2346" t="s">
        <v>3685</v>
      </c>
      <c r="D25" s="2349">
        <v>2432156.15</v>
      </c>
      <c r="E25" s="2350">
        <v>785023.06</v>
      </c>
      <c r="F25" s="2350">
        <v>195</v>
      </c>
      <c r="G25" s="2351">
        <v>85704.920000000013</v>
      </c>
    </row>
    <row r="26" spans="2:7">
      <c r="B26" s="2346" t="s">
        <v>2748</v>
      </c>
      <c r="C26" s="2346" t="s">
        <v>3686</v>
      </c>
      <c r="D26" s="2349">
        <v>1047895.9199999999</v>
      </c>
      <c r="E26" s="2350">
        <v>511107.68999999994</v>
      </c>
      <c r="F26" s="2350">
        <v>55</v>
      </c>
      <c r="G26" s="2351">
        <v>36926.03</v>
      </c>
    </row>
    <row r="27" spans="2:7">
      <c r="B27" s="2346" t="s">
        <v>2704</v>
      </c>
      <c r="C27" s="2346" t="s">
        <v>3687</v>
      </c>
      <c r="D27" s="2349">
        <v>380695.25</v>
      </c>
      <c r="E27" s="2350">
        <v>175348.14</v>
      </c>
      <c r="F27" s="2350">
        <v>19</v>
      </c>
      <c r="G27" s="2351">
        <v>13415.029999999999</v>
      </c>
    </row>
    <row r="28" spans="2:7">
      <c r="B28" s="2346" t="s">
        <v>2750</v>
      </c>
      <c r="C28" s="2346" t="s">
        <v>3688</v>
      </c>
      <c r="D28" s="2349">
        <v>143299.85</v>
      </c>
      <c r="E28" s="2350">
        <v>101162.03</v>
      </c>
      <c r="F28" s="2350">
        <v>4</v>
      </c>
      <c r="G28" s="2351">
        <v>5049.63</v>
      </c>
    </row>
    <row r="29" spans="2:7">
      <c r="B29" s="2346" t="s">
        <v>3689</v>
      </c>
      <c r="C29" s="2346" t="s">
        <v>3690</v>
      </c>
      <c r="D29" s="2349">
        <v>64449.25</v>
      </c>
      <c r="E29" s="2350">
        <v>45527.21</v>
      </c>
      <c r="F29" s="2350">
        <v>4</v>
      </c>
      <c r="G29" s="2351">
        <v>2271.08</v>
      </c>
    </row>
    <row r="30" spans="2:7">
      <c r="B30" s="2346" t="s">
        <v>2898</v>
      </c>
      <c r="C30" s="2346" t="s">
        <v>3691</v>
      </c>
      <c r="D30" s="2349">
        <v>176953.72</v>
      </c>
      <c r="E30" s="2350">
        <v>91665.110000000015</v>
      </c>
      <c r="F30" s="2350">
        <v>38</v>
      </c>
      <c r="G30" s="2351">
        <v>6235.5400000000009</v>
      </c>
    </row>
    <row r="31" spans="2:7">
      <c r="B31" s="2346" t="s">
        <v>3692</v>
      </c>
      <c r="C31" s="2346" t="s">
        <v>3693</v>
      </c>
      <c r="D31" s="2349">
        <v>8605934.1900000032</v>
      </c>
      <c r="E31" s="2350">
        <v>1310149.2200000002</v>
      </c>
      <c r="F31" s="2350">
        <v>1323</v>
      </c>
      <c r="G31" s="2351">
        <v>303257.97999999986</v>
      </c>
    </row>
    <row r="32" spans="2:7">
      <c r="B32" s="2346" t="s">
        <v>3694</v>
      </c>
      <c r="C32" s="2346" t="s">
        <v>3695</v>
      </c>
      <c r="D32" s="2349">
        <v>113407.46</v>
      </c>
      <c r="E32" s="2350">
        <v>49328.45</v>
      </c>
      <c r="F32" s="2350">
        <v>19</v>
      </c>
      <c r="G32" s="2351">
        <v>3996.29</v>
      </c>
    </row>
    <row r="33" spans="2:7">
      <c r="B33" s="2346" t="s">
        <v>3696</v>
      </c>
      <c r="C33" s="2346" t="s">
        <v>3697</v>
      </c>
      <c r="D33" s="2349">
        <v>55465.75</v>
      </c>
      <c r="E33" s="2350">
        <v>28313.52</v>
      </c>
      <c r="F33" s="2350">
        <v>4</v>
      </c>
      <c r="G33" s="2351">
        <v>1954.52</v>
      </c>
    </row>
    <row r="34" spans="2:7">
      <c r="B34" s="2346" t="s">
        <v>3698</v>
      </c>
      <c r="C34" s="2346" t="s">
        <v>3699</v>
      </c>
      <c r="D34" s="2349">
        <v>141953.96</v>
      </c>
      <c r="E34" s="2350">
        <v>78263.349999999991</v>
      </c>
      <c r="F34" s="2350">
        <v>6</v>
      </c>
      <c r="G34" s="2351">
        <v>5002.2099999999991</v>
      </c>
    </row>
    <row r="35" spans="2:7">
      <c r="B35" s="2346" t="s">
        <v>3700</v>
      </c>
      <c r="C35" s="2346" t="s">
        <v>3701</v>
      </c>
      <c r="D35" s="2349">
        <v>108910.70000000001</v>
      </c>
      <c r="E35" s="2350">
        <v>12570.49</v>
      </c>
      <c r="F35" s="2350">
        <v>3</v>
      </c>
      <c r="G35" s="2351">
        <v>3837.8199999999997</v>
      </c>
    </row>
    <row r="36" spans="2:7">
      <c r="B36" s="2346" t="s">
        <v>3702</v>
      </c>
      <c r="C36" s="2346" t="s">
        <v>3703</v>
      </c>
      <c r="D36" s="2349">
        <v>2754929.3599999989</v>
      </c>
      <c r="E36" s="2350">
        <v>358728.30999999994</v>
      </c>
      <c r="F36" s="2350">
        <v>284</v>
      </c>
      <c r="G36" s="2351">
        <v>97078.880000000034</v>
      </c>
    </row>
    <row r="37" spans="2:7">
      <c r="B37" s="2346" t="s">
        <v>3704</v>
      </c>
      <c r="C37" s="2346" t="s">
        <v>3705</v>
      </c>
      <c r="D37" s="2349">
        <v>-181.85</v>
      </c>
      <c r="E37" s="2350">
        <v>-79.56</v>
      </c>
      <c r="F37" s="2350">
        <v>1</v>
      </c>
      <c r="G37" s="2351">
        <v>-6.41</v>
      </c>
    </row>
    <row r="38" spans="2:7">
      <c r="B38" s="2346" t="s">
        <v>9406</v>
      </c>
      <c r="C38" s="2346" t="s">
        <v>9407</v>
      </c>
      <c r="D38" s="2349">
        <v>36673030.039999999</v>
      </c>
      <c r="E38" s="2350">
        <v>1274426.8600000001</v>
      </c>
      <c r="F38" s="2350">
        <v>15350.4</v>
      </c>
      <c r="G38" s="2351">
        <v>1292293.1600000008</v>
      </c>
    </row>
    <row r="39" spans="2:7">
      <c r="B39" s="2346" t="s">
        <v>2858</v>
      </c>
      <c r="C39" s="2346" t="s">
        <v>9256</v>
      </c>
      <c r="D39" s="2349">
        <v>63067.46</v>
      </c>
      <c r="E39" s="2350">
        <v>1145.2</v>
      </c>
      <c r="F39" s="2350">
        <v>11</v>
      </c>
      <c r="G39" s="2351">
        <v>2222.39</v>
      </c>
    </row>
    <row r="40" spans="2:7">
      <c r="B40" s="2346"/>
      <c r="C40" s="2346"/>
      <c r="D40" s="2349"/>
      <c r="E40" s="2350"/>
      <c r="F40" s="2350"/>
      <c r="G40" s="2351"/>
    </row>
    <row r="41" spans="2:7">
      <c r="B41" s="2346"/>
      <c r="C41" s="2346"/>
      <c r="D41" s="2349"/>
      <c r="E41" s="2350"/>
      <c r="F41" s="2350"/>
      <c r="G41" s="2351"/>
    </row>
    <row r="42" spans="2:7">
      <c r="B42" s="2346"/>
      <c r="C42" s="2346"/>
      <c r="D42" s="2349"/>
      <c r="E42" s="2350"/>
      <c r="F42" s="2350"/>
      <c r="G42" s="2351"/>
    </row>
    <row r="43" spans="2:7">
      <c r="B43" s="2346"/>
      <c r="C43" s="2346"/>
      <c r="D43" s="2349"/>
      <c r="E43" s="2350"/>
      <c r="F43" s="2350"/>
      <c r="G43" s="2351"/>
    </row>
    <row r="44" spans="2:7">
      <c r="B44" s="2346"/>
      <c r="C44" s="2346"/>
      <c r="D44" s="2349"/>
      <c r="E44" s="2350"/>
      <c r="F44" s="2350"/>
      <c r="G44" s="2351"/>
    </row>
    <row r="45" spans="2:7">
      <c r="B45" s="2346"/>
      <c r="C45" s="2346"/>
      <c r="D45" s="2349"/>
      <c r="E45" s="2350"/>
      <c r="F45" s="2350"/>
      <c r="G45" s="2351"/>
    </row>
    <row r="46" spans="2:7">
      <c r="B46" s="2346"/>
      <c r="C46" s="2346"/>
      <c r="D46" s="2349"/>
      <c r="E46" s="2350"/>
      <c r="F46" s="2350"/>
      <c r="G46" s="2351"/>
    </row>
    <row r="47" spans="2:7">
      <c r="B47" s="2346"/>
      <c r="C47" s="2346"/>
      <c r="D47" s="2349"/>
      <c r="E47" s="2350"/>
      <c r="F47" s="2350"/>
      <c r="G47" s="2351"/>
    </row>
    <row r="48" spans="2:7">
      <c r="B48" s="2346"/>
      <c r="C48" s="2346"/>
      <c r="D48" s="2349"/>
      <c r="E48" s="2350"/>
      <c r="F48" s="2350"/>
      <c r="G48" s="2351"/>
    </row>
    <row r="49" spans="2:7">
      <c r="B49" s="2346"/>
      <c r="C49" s="2346"/>
      <c r="D49" s="2349"/>
      <c r="E49" s="2350"/>
      <c r="F49" s="2350"/>
      <c r="G49" s="2351"/>
    </row>
    <row r="50" spans="2:7">
      <c r="B50" s="2346"/>
      <c r="C50" s="2346"/>
      <c r="D50" s="2349"/>
      <c r="E50" s="2350"/>
      <c r="F50" s="2350"/>
      <c r="G50" s="2351"/>
    </row>
    <row r="51" spans="2:7">
      <c r="B51" s="2346"/>
      <c r="C51" s="2346"/>
      <c r="D51" s="2349"/>
      <c r="E51" s="2350"/>
      <c r="F51" s="2350"/>
      <c r="G51" s="2351"/>
    </row>
    <row r="52" spans="2:7">
      <c r="B52" s="2346"/>
      <c r="C52" s="2346"/>
      <c r="D52" s="2349"/>
      <c r="E52" s="2350"/>
      <c r="F52" s="2350"/>
      <c r="G52" s="2351"/>
    </row>
    <row r="53" spans="2:7">
      <c r="B53" s="2346"/>
      <c r="C53" s="2346"/>
      <c r="D53" s="2349"/>
      <c r="E53" s="2350"/>
      <c r="F53" s="2350"/>
      <c r="G53" s="2351"/>
    </row>
    <row r="54" spans="2:7">
      <c r="B54" s="2346"/>
      <c r="C54" s="2346"/>
      <c r="D54" s="2349"/>
      <c r="E54" s="2350"/>
      <c r="F54" s="2350"/>
      <c r="G54" s="2351"/>
    </row>
    <row r="55" spans="2:7">
      <c r="B55" s="2346"/>
      <c r="C55" s="2346"/>
      <c r="D55" s="2349"/>
      <c r="E55" s="2350"/>
      <c r="F55" s="2350"/>
      <c r="G55" s="2351"/>
    </row>
    <row r="56" spans="2:7">
      <c r="B56" s="2346"/>
      <c r="C56" s="2346"/>
      <c r="D56" s="2349"/>
      <c r="E56" s="2350"/>
      <c r="F56" s="2350"/>
      <c r="G56" s="2351"/>
    </row>
    <row r="57" spans="2:7">
      <c r="B57" s="2346"/>
      <c r="C57" s="2346"/>
      <c r="D57" s="2349"/>
      <c r="E57" s="2350"/>
      <c r="F57" s="2350"/>
      <c r="G57" s="2351"/>
    </row>
    <row r="58" spans="2:7">
      <c r="B58" s="2346"/>
      <c r="C58" s="2346"/>
      <c r="D58" s="2349"/>
      <c r="E58" s="2350"/>
      <c r="F58" s="2350"/>
      <c r="G58" s="2351"/>
    </row>
    <row r="59" spans="2:7">
      <c r="B59" s="2346"/>
      <c r="C59" s="2346"/>
      <c r="D59" s="2349"/>
      <c r="E59" s="2350"/>
      <c r="F59" s="2350"/>
      <c r="G59" s="2351"/>
    </row>
    <row r="60" spans="2:7">
      <c r="B60" s="2346"/>
      <c r="C60" s="2346"/>
      <c r="D60" s="2349"/>
      <c r="E60" s="2350"/>
      <c r="F60" s="2350"/>
      <c r="G60" s="2351"/>
    </row>
    <row r="61" spans="2:7">
      <c r="B61" s="2346"/>
      <c r="C61" s="2346"/>
      <c r="D61" s="2349"/>
      <c r="E61" s="2350"/>
      <c r="F61" s="2350"/>
      <c r="G61" s="2351"/>
    </row>
    <row r="62" spans="2:7">
      <c r="B62" s="2346"/>
      <c r="C62" s="2346"/>
      <c r="D62" s="2349"/>
      <c r="E62" s="2350"/>
      <c r="F62" s="2350"/>
      <c r="G62" s="2351"/>
    </row>
    <row r="63" spans="2:7">
      <c r="B63" s="2346"/>
      <c r="C63" s="2346"/>
      <c r="D63" s="2349"/>
      <c r="E63" s="2350"/>
      <c r="F63" s="2350"/>
      <c r="G63" s="2351"/>
    </row>
    <row r="64" spans="2:7">
      <c r="B64" s="2346"/>
      <c r="C64" s="2346"/>
      <c r="D64" s="2349"/>
      <c r="E64" s="2350"/>
      <c r="F64" s="2350"/>
      <c r="G64" s="2351"/>
    </row>
    <row r="65" spans="2:7">
      <c r="B65" s="2346"/>
      <c r="C65" s="2346"/>
      <c r="D65" s="2349"/>
      <c r="E65" s="2350"/>
      <c r="F65" s="2350"/>
      <c r="G65" s="2351"/>
    </row>
    <row r="66" spans="2:7">
      <c r="B66" s="2346"/>
      <c r="C66" s="2346"/>
      <c r="D66" s="2349"/>
      <c r="E66" s="2350"/>
      <c r="F66" s="2350"/>
      <c r="G66" s="2351"/>
    </row>
    <row r="67" spans="2:7">
      <c r="B67" s="2346"/>
      <c r="C67" s="2346"/>
      <c r="D67" s="2349"/>
      <c r="E67" s="2350"/>
      <c r="F67" s="2350"/>
      <c r="G67" s="2351"/>
    </row>
    <row r="68" spans="2:7">
      <c r="B68" s="2346"/>
      <c r="C68" s="2346"/>
      <c r="D68" s="2349"/>
      <c r="E68" s="2350"/>
      <c r="F68" s="2350"/>
      <c r="G68" s="2351"/>
    </row>
    <row r="69" spans="2:7">
      <c r="B69" s="2346"/>
      <c r="C69" s="2346"/>
      <c r="D69" s="2349"/>
      <c r="E69" s="2350"/>
      <c r="F69" s="2350"/>
      <c r="G69" s="2351"/>
    </row>
    <row r="70" spans="2:7">
      <c r="B70" s="2346"/>
      <c r="C70" s="2346"/>
      <c r="D70" s="2349"/>
      <c r="E70" s="2350"/>
      <c r="F70" s="2350"/>
      <c r="G70" s="2351"/>
    </row>
    <row r="71" spans="2:7">
      <c r="B71" s="2346"/>
      <c r="C71" s="2346"/>
      <c r="D71" s="2349"/>
      <c r="E71" s="2350"/>
      <c r="F71" s="2350"/>
      <c r="G71" s="2351"/>
    </row>
    <row r="72" spans="2:7">
      <c r="B72" s="2346"/>
      <c r="C72" s="2346"/>
      <c r="D72" s="2349"/>
      <c r="E72" s="2350"/>
      <c r="F72" s="2350"/>
      <c r="G72" s="2351"/>
    </row>
    <row r="73" spans="2:7">
      <c r="B73" s="2346"/>
      <c r="C73" s="2346"/>
      <c r="D73" s="2349"/>
      <c r="E73" s="2350"/>
      <c r="F73" s="2350"/>
      <c r="G73" s="2351"/>
    </row>
    <row r="74" spans="2:7">
      <c r="B74" s="2346"/>
      <c r="C74" s="2346"/>
      <c r="D74" s="2349"/>
      <c r="E74" s="2350"/>
      <c r="F74" s="2350"/>
      <c r="G74" s="2351"/>
    </row>
    <row r="75" spans="2:7">
      <c r="B75" s="2346"/>
      <c r="C75" s="2346"/>
      <c r="D75" s="2349"/>
      <c r="E75" s="2350"/>
      <c r="F75" s="2350"/>
      <c r="G75" s="2351"/>
    </row>
    <row r="76" spans="2:7">
      <c r="B76" s="2346"/>
      <c r="C76" s="2346"/>
      <c r="D76" s="2349"/>
      <c r="E76" s="2350"/>
      <c r="F76" s="2350"/>
      <c r="G76" s="2351"/>
    </row>
    <row r="77" spans="2:7">
      <c r="B77" s="2346"/>
      <c r="C77" s="2346"/>
      <c r="D77" s="2349"/>
      <c r="E77" s="2350"/>
      <c r="F77" s="2350"/>
      <c r="G77" s="2351"/>
    </row>
    <row r="78" spans="2:7">
      <c r="B78" s="2346"/>
      <c r="C78" s="2346"/>
      <c r="D78" s="2349"/>
      <c r="E78" s="2350"/>
      <c r="F78" s="2350"/>
      <c r="G78" s="2351"/>
    </row>
    <row r="79" spans="2:7">
      <c r="B79" s="2346"/>
      <c r="C79" s="2346"/>
      <c r="D79" s="2349"/>
      <c r="E79" s="2350"/>
      <c r="F79" s="2350"/>
      <c r="G79" s="2351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8" tint="0.59999389629810485"/>
  </sheetPr>
  <dimension ref="A1:I70"/>
  <sheetViews>
    <sheetView tabSelected="1" showOutlineSymbols="0" workbookViewId="0"/>
  </sheetViews>
  <sheetFormatPr defaultRowHeight="14.4"/>
  <cols>
    <col min="1" max="1" width="50.88671875" bestFit="1" customWidth="1"/>
    <col min="2" max="2" width="40.44140625" bestFit="1" customWidth="1"/>
    <col min="3" max="3" width="14" bestFit="1" customWidth="1"/>
    <col min="4" max="4" width="13.109375" bestFit="1" customWidth="1"/>
    <col min="5" max="5" width="15" bestFit="1" customWidth="1"/>
    <col min="6" max="6" width="14" bestFit="1" customWidth="1"/>
    <col min="8" max="8" width="15" bestFit="1" customWidth="1"/>
    <col min="9" max="9" width="13.44140625" bestFit="1" customWidth="1"/>
  </cols>
  <sheetData>
    <row r="1" spans="1:9" ht="15.6">
      <c r="A1" s="650" t="s">
        <v>2173</v>
      </c>
      <c r="C1" s="62"/>
    </row>
    <row r="2" spans="1:9" ht="15.6">
      <c r="A2" s="2258" t="s">
        <v>3463</v>
      </c>
      <c r="C2" s="62"/>
    </row>
    <row r="3" spans="1:9" ht="15.6">
      <c r="A3" s="2259" t="s">
        <v>9433</v>
      </c>
      <c r="B3" s="1962"/>
      <c r="C3" s="62"/>
    </row>
    <row r="4" spans="1:9">
      <c r="A4" s="96"/>
      <c r="C4" s="62"/>
      <c r="E4" s="1962" t="s">
        <v>116</v>
      </c>
    </row>
    <row r="5" spans="1:9">
      <c r="A5" s="96"/>
      <c r="C5" s="62"/>
    </row>
    <row r="6" spans="1:9">
      <c r="A6" s="96"/>
      <c r="C6" s="62"/>
    </row>
    <row r="7" spans="1:9">
      <c r="A7" s="2260" t="s">
        <v>1829</v>
      </c>
      <c r="B7" s="1962"/>
      <c r="C7" s="1968" t="s">
        <v>3464</v>
      </c>
      <c r="D7" s="1962"/>
      <c r="E7" s="1968" t="s">
        <v>1546</v>
      </c>
      <c r="F7" s="1968" t="s">
        <v>3118</v>
      </c>
      <c r="G7" s="1962"/>
      <c r="H7" s="1962"/>
      <c r="I7" s="1962"/>
    </row>
    <row r="8" spans="1:9">
      <c r="A8" s="2263" t="s">
        <v>3197</v>
      </c>
      <c r="B8" s="2264" t="s">
        <v>1918</v>
      </c>
      <c r="C8" s="2263" t="s">
        <v>3465</v>
      </c>
      <c r="D8" s="2263" t="s">
        <v>3121</v>
      </c>
      <c r="E8" s="2263" t="s">
        <v>115</v>
      </c>
      <c r="F8" s="2263" t="s">
        <v>3198</v>
      </c>
      <c r="G8" s="1962"/>
      <c r="H8" s="2263"/>
      <c r="I8" s="2265"/>
    </row>
    <row r="9" spans="1:9">
      <c r="A9" s="2269">
        <v>36000</v>
      </c>
      <c r="B9" s="2270" t="s">
        <v>3180</v>
      </c>
      <c r="C9" s="2122">
        <v>641365.21999999974</v>
      </c>
      <c r="D9" s="2122">
        <v>9478417.3199999984</v>
      </c>
      <c r="E9" s="2271">
        <v>10119782.539999999</v>
      </c>
      <c r="F9" s="2122">
        <v>10119782.539999999</v>
      </c>
      <c r="G9" s="2262"/>
      <c r="H9" s="2122"/>
      <c r="I9" s="2272"/>
    </row>
    <row r="10" spans="1:9">
      <c r="A10" s="2269">
        <v>36100</v>
      </c>
      <c r="B10" s="2270" t="s">
        <v>2533</v>
      </c>
      <c r="C10" s="2122">
        <v>0</v>
      </c>
      <c r="D10" s="2122">
        <v>34138496.829999983</v>
      </c>
      <c r="E10" s="2271">
        <v>34138496.829999983</v>
      </c>
      <c r="F10" s="2122">
        <v>34138496.829999998</v>
      </c>
      <c r="G10" s="1962"/>
      <c r="H10" s="2122"/>
      <c r="I10" s="2272"/>
    </row>
    <row r="11" spans="1:9">
      <c r="A11" s="2269">
        <v>36200</v>
      </c>
      <c r="B11" s="1973" t="s">
        <v>2534</v>
      </c>
      <c r="C11" s="2122">
        <v>565119.82610937499</v>
      </c>
      <c r="D11" s="2122">
        <v>342575833.23429078</v>
      </c>
      <c r="E11" s="2271">
        <v>343140953.06040013</v>
      </c>
      <c r="F11" s="2122">
        <v>331220247.22000003</v>
      </c>
      <c r="G11" s="1962"/>
      <c r="H11" s="2122"/>
      <c r="I11" s="2272"/>
    </row>
    <row r="12" spans="1:9">
      <c r="A12" s="2269">
        <v>36400</v>
      </c>
      <c r="B12" s="2270" t="s">
        <v>2536</v>
      </c>
      <c r="C12" s="2122">
        <v>536871995.4956038</v>
      </c>
      <c r="D12" s="2122">
        <v>98997.631596374908</v>
      </c>
      <c r="E12" s="2271">
        <v>536970993.12720013</v>
      </c>
      <c r="F12" s="2122">
        <v>499219433.48000002</v>
      </c>
      <c r="G12" s="1962"/>
      <c r="H12" s="2122"/>
      <c r="I12" s="2272"/>
    </row>
    <row r="13" spans="1:9">
      <c r="A13" s="2269">
        <v>36500</v>
      </c>
      <c r="B13" s="2270" t="s">
        <v>2537</v>
      </c>
      <c r="C13" s="2122">
        <v>311772195.95078218</v>
      </c>
      <c r="D13" s="2122">
        <v>43297.814417854468</v>
      </c>
      <c r="E13" s="2271">
        <v>311815493.76520002</v>
      </c>
      <c r="F13" s="2122">
        <v>303327783.04000002</v>
      </c>
      <c r="G13" s="1962"/>
      <c r="H13" s="2122"/>
      <c r="I13" s="2272"/>
    </row>
    <row r="14" spans="1:9">
      <c r="A14" s="2269">
        <v>36600</v>
      </c>
      <c r="B14" s="2270" t="s">
        <v>2539</v>
      </c>
      <c r="C14" s="2122">
        <v>476694707.79693174</v>
      </c>
      <c r="D14" s="2122">
        <v>6644.837468507887</v>
      </c>
      <c r="E14" s="2271">
        <v>476701352.63440025</v>
      </c>
      <c r="F14" s="2122">
        <v>464182170.16000003</v>
      </c>
      <c r="G14" s="1962"/>
      <c r="H14" s="2122"/>
      <c r="I14" s="2272"/>
    </row>
    <row r="15" spans="1:9">
      <c r="A15" s="2269">
        <v>36700</v>
      </c>
      <c r="B15" s="2270" t="s">
        <v>2540</v>
      </c>
      <c r="C15" s="2122">
        <v>858643155.97828829</v>
      </c>
      <c r="D15" s="2122">
        <v>13453.32091178705</v>
      </c>
      <c r="E15" s="2271">
        <v>858656609.29920006</v>
      </c>
      <c r="F15" s="2122">
        <v>784983492.21000004</v>
      </c>
      <c r="G15" s="1962"/>
      <c r="H15" s="2122"/>
      <c r="I15" s="2272"/>
    </row>
    <row r="16" spans="1:9">
      <c r="A16" s="2269">
        <v>36800</v>
      </c>
      <c r="B16" s="2270" t="s">
        <v>3466</v>
      </c>
      <c r="C16" s="2122">
        <v>1072534244.0560706</v>
      </c>
      <c r="D16" s="2122">
        <v>682428.08832944778</v>
      </c>
      <c r="E16" s="2271">
        <v>1073216672.1444</v>
      </c>
      <c r="F16" s="2122">
        <v>1040688198.04</v>
      </c>
      <c r="G16" s="1962"/>
      <c r="H16" s="2122"/>
      <c r="I16" s="2272"/>
    </row>
    <row r="17" spans="1:9">
      <c r="A17" s="2269">
        <v>36900</v>
      </c>
      <c r="B17" s="2270" t="s">
        <v>3467</v>
      </c>
      <c r="C17" s="2122">
        <v>86144095.358800054</v>
      </c>
      <c r="D17" s="2122">
        <v>0</v>
      </c>
      <c r="E17" s="2271">
        <v>86144095.358800054</v>
      </c>
      <c r="F17" s="2122">
        <v>85268628.049999997</v>
      </c>
      <c r="G17" s="1962"/>
      <c r="H17" s="2122"/>
      <c r="I17" s="2272"/>
    </row>
    <row r="18" spans="1:9">
      <c r="A18" s="2269">
        <v>36902</v>
      </c>
      <c r="B18" s="2270" t="s">
        <v>3468</v>
      </c>
      <c r="C18" s="2122">
        <v>155957380.53760001</v>
      </c>
      <c r="D18" s="2122">
        <v>0</v>
      </c>
      <c r="E18" s="2271">
        <v>155957380.53760001</v>
      </c>
      <c r="F18" s="2122">
        <v>154070262.12</v>
      </c>
      <c r="G18" s="1962"/>
      <c r="H18" s="2122"/>
      <c r="I18" s="2272"/>
    </row>
    <row r="19" spans="1:9">
      <c r="A19" s="2269">
        <v>37000</v>
      </c>
      <c r="B19" s="2270" t="s">
        <v>2548</v>
      </c>
      <c r="C19" s="2122">
        <v>18799459.209999971</v>
      </c>
      <c r="D19" s="2122">
        <v>0</v>
      </c>
      <c r="E19" s="2271">
        <v>18799459.209999971</v>
      </c>
      <c r="F19" s="2122">
        <v>18799459.210000001</v>
      </c>
      <c r="G19" s="1962"/>
      <c r="H19" s="2122"/>
      <c r="I19" s="2272"/>
    </row>
    <row r="20" spans="1:9">
      <c r="A20" s="2269">
        <v>37001</v>
      </c>
      <c r="B20" s="2270" t="s">
        <v>3469</v>
      </c>
      <c r="C20" s="2122">
        <v>128346450.77279995</v>
      </c>
      <c r="D20" s="2122">
        <v>0</v>
      </c>
      <c r="E20" s="2271">
        <v>128346450.77279995</v>
      </c>
      <c r="F20" s="2122">
        <v>124480363.42</v>
      </c>
      <c r="G20" s="1962"/>
      <c r="H20" s="2122"/>
      <c r="I20" s="2272"/>
    </row>
    <row r="21" spans="1:9">
      <c r="A21" s="2269">
        <v>37010</v>
      </c>
      <c r="B21" s="2270" t="s">
        <v>8951</v>
      </c>
      <c r="C21" s="2122">
        <v>8168361.0100000016</v>
      </c>
      <c r="D21" s="2122">
        <v>0</v>
      </c>
      <c r="E21" s="2271">
        <v>8168361.0100000016</v>
      </c>
      <c r="F21" s="2122">
        <v>6574569.5800000001</v>
      </c>
      <c r="G21" s="1962"/>
      <c r="H21" s="2122"/>
      <c r="I21" s="2272"/>
    </row>
    <row r="22" spans="1:9">
      <c r="A22" s="2269">
        <v>37300</v>
      </c>
      <c r="B22" s="2270" t="s">
        <v>3470</v>
      </c>
      <c r="C22" s="2122">
        <v>398909054.0777483</v>
      </c>
      <c r="D22" s="2122">
        <v>16.172251440203993</v>
      </c>
      <c r="E22" s="2271">
        <v>398909070.24999976</v>
      </c>
      <c r="F22" s="2122">
        <v>394175875.25999999</v>
      </c>
      <c r="G22" s="1962"/>
      <c r="H22" s="2122"/>
      <c r="I22" s="2272"/>
    </row>
    <row r="23" spans="1:9">
      <c r="A23" s="2269">
        <v>37302</v>
      </c>
      <c r="B23" s="2270" t="s">
        <v>3471</v>
      </c>
      <c r="C23" s="2122">
        <v>22121804.289999999</v>
      </c>
      <c r="D23" s="2122">
        <v>0</v>
      </c>
      <c r="E23" s="2271">
        <v>22121804.289999999</v>
      </c>
      <c r="F23" s="2122">
        <v>22121804.289999999</v>
      </c>
      <c r="G23" s="1962"/>
      <c r="H23" s="2122"/>
      <c r="I23" s="2272"/>
    </row>
    <row r="24" spans="1:9">
      <c r="A24" s="2269">
        <v>37400</v>
      </c>
      <c r="B24" s="2270" t="s">
        <v>3472</v>
      </c>
      <c r="C24" s="2122">
        <v>7160182.2599999998</v>
      </c>
      <c r="D24" s="2122">
        <v>0</v>
      </c>
      <c r="E24" s="2271">
        <v>7160182.2599999998</v>
      </c>
      <c r="F24" s="2122">
        <v>7160182.2599999998</v>
      </c>
      <c r="G24" s="1962"/>
      <c r="H24" s="2122"/>
      <c r="I24" s="2272"/>
    </row>
    <row r="25" spans="1:9" ht="15" thickBot="1">
      <c r="A25" s="2269">
        <v>37001</v>
      </c>
      <c r="B25" s="2261" t="s">
        <v>3200</v>
      </c>
      <c r="C25" s="2280">
        <v>4083329571.8407345</v>
      </c>
      <c r="D25" s="2280">
        <v>387037585.24926615</v>
      </c>
      <c r="E25" s="2280">
        <v>4470367157.0900011</v>
      </c>
      <c r="F25" s="2280">
        <v>4280530747.710001</v>
      </c>
      <c r="G25" s="1962"/>
      <c r="H25" s="2280"/>
      <c r="I25" s="2280"/>
    </row>
    <row r="26" spans="1:9" ht="15" thickTop="1">
      <c r="C26" s="162"/>
      <c r="D26" s="162"/>
      <c r="E26" s="162"/>
      <c r="I26" s="512"/>
    </row>
    <row r="27" spans="1:9">
      <c r="I27" s="512"/>
    </row>
    <row r="28" spans="1:9">
      <c r="I28" s="512"/>
    </row>
    <row r="29" spans="1:9">
      <c r="A29" s="1968" t="s">
        <v>1533</v>
      </c>
      <c r="B29" s="2262"/>
      <c r="C29" s="1968" t="s">
        <v>3464</v>
      </c>
      <c r="D29" s="1962"/>
      <c r="E29" s="1968" t="s">
        <v>1546</v>
      </c>
      <c r="F29" s="1968" t="s">
        <v>3118</v>
      </c>
      <c r="G29" s="1962"/>
      <c r="H29" s="1962"/>
      <c r="I29" s="2272"/>
    </row>
    <row r="30" spans="1:9">
      <c r="A30" s="2263" t="s">
        <v>3197</v>
      </c>
      <c r="B30" s="2264" t="s">
        <v>1918</v>
      </c>
      <c r="C30" s="2263" t="s">
        <v>3465</v>
      </c>
      <c r="D30" s="2263" t="s">
        <v>3121</v>
      </c>
      <c r="E30" s="2263" t="s">
        <v>115</v>
      </c>
      <c r="F30" s="2263" t="s">
        <v>3198</v>
      </c>
      <c r="G30" s="1962"/>
      <c r="H30" s="2267"/>
      <c r="I30" s="2265"/>
    </row>
    <row r="31" spans="1:9">
      <c r="A31" s="2269">
        <v>36000</v>
      </c>
      <c r="B31" s="2270" t="s">
        <v>3180</v>
      </c>
      <c r="C31" s="2122">
        <v>0</v>
      </c>
      <c r="D31" s="2122">
        <v>0</v>
      </c>
      <c r="E31" s="2271">
        <v>0</v>
      </c>
      <c r="F31" s="2122">
        <v>0</v>
      </c>
      <c r="G31" s="1962"/>
      <c r="H31" s="2122"/>
      <c r="I31" s="2272"/>
    </row>
    <row r="32" spans="1:9">
      <c r="A32" s="2269">
        <v>36100</v>
      </c>
      <c r="B32" s="2270" t="s">
        <v>2533</v>
      </c>
      <c r="C32" s="2122">
        <v>0</v>
      </c>
      <c r="D32" s="2122">
        <v>10737268.58</v>
      </c>
      <c r="E32" s="2271">
        <v>10737268.58</v>
      </c>
      <c r="F32" s="2122">
        <v>10296881.960000001</v>
      </c>
      <c r="G32" s="1962"/>
      <c r="H32" s="2122"/>
      <c r="I32" s="2272"/>
    </row>
    <row r="33" spans="1:9">
      <c r="A33" s="2269">
        <v>36200</v>
      </c>
      <c r="B33" s="1973" t="s">
        <v>2534</v>
      </c>
      <c r="C33" s="2122">
        <v>15553.646763085622</v>
      </c>
      <c r="D33" s="2122">
        <v>85483885.530437037</v>
      </c>
      <c r="E33" s="2271">
        <v>85499439.177200124</v>
      </c>
      <c r="F33" s="2122">
        <v>82677371.489999995</v>
      </c>
      <c r="G33" s="1962"/>
      <c r="H33" s="2122"/>
      <c r="I33" s="2272"/>
    </row>
    <row r="34" spans="1:9">
      <c r="A34" s="2269">
        <v>36400</v>
      </c>
      <c r="B34" s="2270" t="s">
        <v>2536</v>
      </c>
      <c r="C34" s="2122">
        <v>196442848.87980708</v>
      </c>
      <c r="D34" s="2122">
        <v>1375.572292779194</v>
      </c>
      <c r="E34" s="2271">
        <v>196444224.45209986</v>
      </c>
      <c r="F34" s="2122">
        <v>192985641.19</v>
      </c>
      <c r="G34" s="1962"/>
      <c r="H34" s="2122"/>
      <c r="I34" s="2272"/>
    </row>
    <row r="35" spans="1:9">
      <c r="A35" s="2269">
        <v>36500</v>
      </c>
      <c r="B35" s="2270" t="s">
        <v>2537</v>
      </c>
      <c r="C35" s="2122">
        <v>150698542.71493167</v>
      </c>
      <c r="D35" s="2122">
        <v>10243.638668357165</v>
      </c>
      <c r="E35" s="2271">
        <v>150708786.35360003</v>
      </c>
      <c r="F35" s="2122">
        <v>151439200.53999999</v>
      </c>
      <c r="G35" s="1962"/>
      <c r="H35" s="2122"/>
      <c r="I35" s="2272"/>
    </row>
    <row r="36" spans="1:9">
      <c r="A36" s="2269">
        <v>36600</v>
      </c>
      <c r="B36" s="2270" t="s">
        <v>2539</v>
      </c>
      <c r="C36" s="2122">
        <v>104486032.81790553</v>
      </c>
      <c r="D36" s="2122">
        <v>57.388794481111006</v>
      </c>
      <c r="E36" s="2271">
        <v>104486090.20670001</v>
      </c>
      <c r="F36" s="2122">
        <v>101456610.04000001</v>
      </c>
      <c r="G36" s="1962"/>
      <c r="H36" s="2122"/>
      <c r="I36" s="2272"/>
    </row>
    <row r="37" spans="1:9">
      <c r="A37" s="2269">
        <v>36700</v>
      </c>
      <c r="B37" s="2270" t="s">
        <v>2540</v>
      </c>
      <c r="C37" s="2122">
        <v>65188963.401351869</v>
      </c>
      <c r="D37" s="2122">
        <v>69.601748152928337</v>
      </c>
      <c r="E37" s="2271">
        <v>65189033.003100023</v>
      </c>
      <c r="F37" s="2122">
        <v>63380247.600000001</v>
      </c>
      <c r="G37" s="1962"/>
      <c r="H37" s="2122"/>
      <c r="I37" s="2272"/>
    </row>
    <row r="38" spans="1:9">
      <c r="A38" s="2269">
        <v>36800</v>
      </c>
      <c r="B38" s="2270" t="s">
        <v>3466</v>
      </c>
      <c r="C38" s="2122">
        <v>392120119.70428026</v>
      </c>
      <c r="D38" s="2122">
        <v>442172.46991989622</v>
      </c>
      <c r="E38" s="2271">
        <v>392562292.17420018</v>
      </c>
      <c r="F38" s="2122">
        <v>379252067.89999998</v>
      </c>
      <c r="G38" s="1962"/>
      <c r="H38" s="2122"/>
      <c r="I38" s="2272"/>
    </row>
    <row r="39" spans="1:9">
      <c r="A39" s="2269">
        <v>36900</v>
      </c>
      <c r="B39" s="2270" t="s">
        <v>3467</v>
      </c>
      <c r="C39" s="2122">
        <v>68283262.805900007</v>
      </c>
      <c r="D39" s="2122">
        <v>0</v>
      </c>
      <c r="E39" s="2271">
        <v>68283262.805900007</v>
      </c>
      <c r="F39" s="2122">
        <v>67453988.900000006</v>
      </c>
      <c r="G39" s="1962"/>
      <c r="H39" s="2122"/>
      <c r="I39" s="2272"/>
    </row>
    <row r="40" spans="1:9">
      <c r="A40" s="2269">
        <v>36902</v>
      </c>
      <c r="B40" s="2270" t="s">
        <v>3468</v>
      </c>
      <c r="C40" s="2122">
        <v>78473702.431799933</v>
      </c>
      <c r="D40" s="2122">
        <v>0</v>
      </c>
      <c r="E40" s="2271">
        <v>78473702.431799933</v>
      </c>
      <c r="F40" s="2122">
        <v>76639637.709999993</v>
      </c>
      <c r="G40" s="1962"/>
      <c r="H40" s="2122"/>
      <c r="I40" s="2272"/>
    </row>
    <row r="41" spans="1:9">
      <c r="A41" s="2269">
        <v>37000</v>
      </c>
      <c r="B41" s="2270" t="s">
        <v>2548</v>
      </c>
      <c r="C41" s="2122">
        <v>6582736.2500000019</v>
      </c>
      <c r="D41" s="2122">
        <v>0</v>
      </c>
      <c r="E41" s="2271">
        <v>6582736.2500000019</v>
      </c>
      <c r="F41" s="2122">
        <v>5896555.9699999997</v>
      </c>
      <c r="G41" s="1962"/>
      <c r="H41" s="2122"/>
      <c r="I41" s="2272"/>
    </row>
    <row r="42" spans="1:9">
      <c r="A42" s="2269">
        <v>37001</v>
      </c>
      <c r="B42" s="2270" t="s">
        <v>3469</v>
      </c>
      <c r="C42" s="2122">
        <v>21245154.5154</v>
      </c>
      <c r="D42" s="2122">
        <v>0</v>
      </c>
      <c r="E42" s="2271">
        <v>21245154.5154</v>
      </c>
      <c r="F42" s="2122">
        <v>18779219.93</v>
      </c>
      <c r="G42" s="1962"/>
      <c r="H42" s="2122"/>
      <c r="I42" s="2272"/>
    </row>
    <row r="43" spans="1:9">
      <c r="A43" s="2269">
        <v>37010</v>
      </c>
      <c r="B43" s="2270" t="s">
        <v>8951</v>
      </c>
      <c r="C43" s="2122">
        <v>1051821.22</v>
      </c>
      <c r="D43" s="2122">
        <v>0</v>
      </c>
      <c r="E43" s="2271">
        <v>1051821.22</v>
      </c>
      <c r="F43" s="2122">
        <v>705136.44</v>
      </c>
      <c r="G43" s="1962"/>
      <c r="H43" s="2122"/>
      <c r="I43" s="2272"/>
    </row>
    <row r="44" spans="1:9">
      <c r="A44" s="2269">
        <v>37300</v>
      </c>
      <c r="B44" s="2270" t="s">
        <v>3470</v>
      </c>
      <c r="C44" s="2122">
        <v>133779788.24677673</v>
      </c>
      <c r="D44" s="2122">
        <v>0.2932231978785324</v>
      </c>
      <c r="E44" s="2271">
        <v>133779788.53999993</v>
      </c>
      <c r="F44" s="2122">
        <v>130582391.13</v>
      </c>
      <c r="G44" s="1962"/>
      <c r="H44" s="2122"/>
      <c r="I44" s="2272"/>
    </row>
    <row r="45" spans="1:9">
      <c r="A45" s="2269">
        <v>37302</v>
      </c>
      <c r="B45" s="2270" t="s">
        <v>3471</v>
      </c>
      <c r="C45" s="2122">
        <v>2086476.1500000004</v>
      </c>
      <c r="D45" s="2122">
        <v>0</v>
      </c>
      <c r="E45" s="2271">
        <v>2086476.1500000004</v>
      </c>
      <c r="F45" s="2122">
        <v>1635191.37</v>
      </c>
      <c r="G45" s="1962"/>
      <c r="H45" s="2122"/>
      <c r="I45" s="2272"/>
    </row>
    <row r="46" spans="1:9">
      <c r="A46" s="2269">
        <v>37400</v>
      </c>
      <c r="B46" s="2270" t="s">
        <v>3472</v>
      </c>
      <c r="C46" s="2122">
        <v>1967554.8500000013</v>
      </c>
      <c r="D46" s="2122">
        <v>0</v>
      </c>
      <c r="E46" s="2271">
        <v>1967554.8500000013</v>
      </c>
      <c r="F46" s="2122">
        <v>1917433.55</v>
      </c>
      <c r="G46" s="1962"/>
      <c r="H46" s="2122"/>
      <c r="I46" s="2272"/>
    </row>
    <row r="47" spans="1:9" ht="15" thickBot="1">
      <c r="A47" s="2269"/>
      <c r="B47" s="2261" t="s">
        <v>3201</v>
      </c>
      <c r="C47" s="2280">
        <v>1222422557.6349163</v>
      </c>
      <c r="D47" s="2280">
        <v>96675073.075083897</v>
      </c>
      <c r="E47" s="2280">
        <v>1319097630.71</v>
      </c>
      <c r="F47" s="2280">
        <v>1285097575.72</v>
      </c>
      <c r="G47" s="1962"/>
      <c r="H47" s="2280"/>
      <c r="I47" s="2280"/>
    </row>
    <row r="48" spans="1:9" ht="15" thickTop="1">
      <c r="C48" s="2359"/>
      <c r="D48" s="2359"/>
      <c r="E48" s="162"/>
      <c r="F48" s="2360"/>
      <c r="I48" s="509"/>
    </row>
    <row r="49" spans="1:9">
      <c r="C49" s="516"/>
      <c r="D49" s="516"/>
      <c r="I49" s="512"/>
    </row>
    <row r="50" spans="1:9">
      <c r="I50" s="512"/>
    </row>
    <row r="51" spans="1:9">
      <c r="A51" s="1968" t="s">
        <v>3202</v>
      </c>
      <c r="B51" s="1962"/>
      <c r="C51" s="1968" t="s">
        <v>3464</v>
      </c>
      <c r="D51" s="1962"/>
      <c r="E51" s="1968" t="s">
        <v>1546</v>
      </c>
      <c r="F51" s="1968" t="s">
        <v>3118</v>
      </c>
      <c r="G51" s="1962"/>
      <c r="H51" s="1962"/>
      <c r="I51" s="2272"/>
    </row>
    <row r="52" spans="1:9">
      <c r="A52" s="2263" t="s">
        <v>3197</v>
      </c>
      <c r="B52" s="2264" t="s">
        <v>1918</v>
      </c>
      <c r="C52" s="2263" t="s">
        <v>3465</v>
      </c>
      <c r="D52" s="2263" t="s">
        <v>3121</v>
      </c>
      <c r="E52" s="2263" t="s">
        <v>115</v>
      </c>
      <c r="F52" s="2263" t="s">
        <v>3198</v>
      </c>
      <c r="G52" s="1962"/>
      <c r="H52" s="2267"/>
      <c r="I52" s="2265"/>
    </row>
    <row r="53" spans="1:9">
      <c r="A53" s="2269">
        <v>36000</v>
      </c>
      <c r="B53" s="2270" t="s">
        <v>3180</v>
      </c>
      <c r="C53" s="2285">
        <v>641365.21999999974</v>
      </c>
      <c r="D53" s="2285">
        <v>9478417.3199999984</v>
      </c>
      <c r="E53" s="2271">
        <v>10119782.539999999</v>
      </c>
      <c r="F53" s="2271">
        <v>10119782.539999999</v>
      </c>
      <c r="G53" s="2262"/>
      <c r="H53" s="2122"/>
      <c r="I53" s="2272"/>
    </row>
    <row r="54" spans="1:9">
      <c r="A54" s="2269">
        <v>36100</v>
      </c>
      <c r="B54" s="2270" t="s">
        <v>2533</v>
      </c>
      <c r="C54" s="2285">
        <v>0</v>
      </c>
      <c r="D54" s="2285">
        <v>23401228.249999985</v>
      </c>
      <c r="E54" s="2271">
        <v>23401228.249999985</v>
      </c>
      <c r="F54" s="2271">
        <v>23841614.869999997</v>
      </c>
      <c r="G54" s="1962"/>
      <c r="H54" s="2122"/>
      <c r="I54" s="2272"/>
    </row>
    <row r="55" spans="1:9">
      <c r="A55" s="2269">
        <v>36200</v>
      </c>
      <c r="B55" s="1973" t="s">
        <v>2534</v>
      </c>
      <c r="C55" s="2285">
        <v>549566.17934628937</v>
      </c>
      <c r="D55" s="2285">
        <v>257091947.70385373</v>
      </c>
      <c r="E55" s="2271">
        <v>257641513.88320002</v>
      </c>
      <c r="F55" s="2271">
        <v>248542875.73000002</v>
      </c>
      <c r="G55" s="1962"/>
      <c r="H55" s="2122"/>
      <c r="I55" s="2272"/>
    </row>
    <row r="56" spans="1:9">
      <c r="A56" s="2269">
        <v>36400</v>
      </c>
      <c r="B56" s="2270" t="s">
        <v>2536</v>
      </c>
      <c r="C56" s="2285">
        <v>340429146.61579669</v>
      </c>
      <c r="D56" s="2285">
        <v>97622.059303595714</v>
      </c>
      <c r="E56" s="2271">
        <v>340526768.67510027</v>
      </c>
      <c r="F56" s="2271">
        <v>306233792.29000002</v>
      </c>
      <c r="G56" s="1962"/>
      <c r="H56" s="2122"/>
      <c r="I56" s="2272"/>
    </row>
    <row r="57" spans="1:9">
      <c r="A57" s="2269">
        <v>36500</v>
      </c>
      <c r="B57" s="2270" t="s">
        <v>2537</v>
      </c>
      <c r="C57" s="2285">
        <v>161073653.23585051</v>
      </c>
      <c r="D57" s="2285">
        <v>33054.175749497299</v>
      </c>
      <c r="E57" s="2271">
        <v>161106707.41160002</v>
      </c>
      <c r="F57" s="2271">
        <v>151888582.50000003</v>
      </c>
      <c r="G57" s="1962"/>
      <c r="H57" s="2122"/>
      <c r="I57" s="2272"/>
    </row>
    <row r="58" spans="1:9">
      <c r="A58" s="2269">
        <v>36600</v>
      </c>
      <c r="B58" s="2270" t="s">
        <v>2539</v>
      </c>
      <c r="C58" s="2285">
        <v>372208674.9790262</v>
      </c>
      <c r="D58" s="2285">
        <v>6587.4486740267757</v>
      </c>
      <c r="E58" s="2271">
        <v>372215262.42770022</v>
      </c>
      <c r="F58" s="2271">
        <v>362725560.12</v>
      </c>
      <c r="G58" s="1962"/>
      <c r="H58" s="2122"/>
      <c r="I58" s="2272"/>
    </row>
    <row r="59" spans="1:9">
      <c r="A59" s="2269">
        <v>36700</v>
      </c>
      <c r="B59" s="2270" t="s">
        <v>2540</v>
      </c>
      <c r="C59" s="2285">
        <v>793454192.57693648</v>
      </c>
      <c r="D59" s="2285">
        <v>13383.719163634121</v>
      </c>
      <c r="E59" s="2271">
        <v>793467576.29610014</v>
      </c>
      <c r="F59" s="2271">
        <v>721603244.61000001</v>
      </c>
      <c r="G59" s="1962"/>
      <c r="H59" s="2122"/>
      <c r="I59" s="2272"/>
    </row>
    <row r="60" spans="1:9">
      <c r="A60" s="2269">
        <v>36800</v>
      </c>
      <c r="B60" s="2270" t="s">
        <v>3466</v>
      </c>
      <c r="C60" s="2285">
        <v>680414124.35179031</v>
      </c>
      <c r="D60" s="2285">
        <v>240255.61840955156</v>
      </c>
      <c r="E60" s="2361">
        <v>680654379.97019982</v>
      </c>
      <c r="F60" s="2271">
        <v>661436130.13999999</v>
      </c>
      <c r="G60" s="1962"/>
      <c r="H60" s="2317"/>
      <c r="I60" s="2272"/>
    </row>
    <row r="61" spans="1:9">
      <c r="A61" s="2269">
        <v>36900</v>
      </c>
      <c r="B61" s="2270" t="s">
        <v>3467</v>
      </c>
      <c r="C61" s="2285">
        <v>17860832.552900046</v>
      </c>
      <c r="D61" s="2285">
        <v>0</v>
      </c>
      <c r="E61" s="2271">
        <v>17860832.552900046</v>
      </c>
      <c r="F61" s="2271">
        <v>17814639.149999991</v>
      </c>
      <c r="G61" s="1962"/>
      <c r="H61" s="2122"/>
      <c r="I61" s="2272"/>
    </row>
    <row r="62" spans="1:9">
      <c r="A62" s="2269">
        <v>36902</v>
      </c>
      <c r="B62" s="2270" t="s">
        <v>3468</v>
      </c>
      <c r="C62" s="2285">
        <v>77483678.105800077</v>
      </c>
      <c r="D62" s="2285">
        <v>0</v>
      </c>
      <c r="E62" s="2271">
        <v>77483678.105800077</v>
      </c>
      <c r="F62" s="2271">
        <v>77430624.410000011</v>
      </c>
      <c r="G62" s="1962"/>
      <c r="H62" s="2122"/>
      <c r="I62" s="2272"/>
    </row>
    <row r="63" spans="1:9">
      <c r="A63" s="2269">
        <v>37000</v>
      </c>
      <c r="B63" s="2270" t="s">
        <v>2548</v>
      </c>
      <c r="C63" s="2285">
        <v>12216722.959999969</v>
      </c>
      <c r="D63" s="2285">
        <v>0</v>
      </c>
      <c r="E63" s="2271">
        <v>12216722.959999969</v>
      </c>
      <c r="F63" s="2271">
        <v>12902903.240000002</v>
      </c>
      <c r="G63" s="1962"/>
      <c r="H63" s="2122"/>
      <c r="I63" s="2272"/>
    </row>
    <row r="64" spans="1:9">
      <c r="A64" s="2269">
        <v>37001</v>
      </c>
      <c r="B64" s="2270" t="s">
        <v>3469</v>
      </c>
      <c r="C64" s="2285">
        <v>107101296.25739995</v>
      </c>
      <c r="D64" s="2285">
        <v>0</v>
      </c>
      <c r="E64" s="2271">
        <v>107101296.25739995</v>
      </c>
      <c r="F64" s="2271">
        <v>105701143.49000001</v>
      </c>
      <c r="G64" s="1962"/>
      <c r="H64" s="2122"/>
      <c r="I64" s="2272"/>
    </row>
    <row r="65" spans="1:9">
      <c r="A65" s="2269">
        <v>37010</v>
      </c>
      <c r="B65" s="2270" t="s">
        <v>8951</v>
      </c>
      <c r="C65" s="2285">
        <v>7116539.7900000019</v>
      </c>
      <c r="D65" s="2285">
        <v>0</v>
      </c>
      <c r="E65" s="2271">
        <v>7116539.7900000019</v>
      </c>
      <c r="F65" s="2271">
        <v>5869433.1400000006</v>
      </c>
      <c r="G65" s="1962"/>
      <c r="H65" s="2122"/>
      <c r="I65" s="2272"/>
    </row>
    <row r="66" spans="1:9">
      <c r="A66" s="2269">
        <v>37300</v>
      </c>
      <c r="B66" s="2270" t="s">
        <v>3470</v>
      </c>
      <c r="C66" s="2285">
        <v>265129265.83097157</v>
      </c>
      <c r="D66" s="2285">
        <v>15.879028242325461</v>
      </c>
      <c r="E66" s="2271">
        <v>265129281.7099998</v>
      </c>
      <c r="F66" s="2271">
        <v>263593484.13</v>
      </c>
      <c r="G66" s="1962"/>
      <c r="H66" s="2122"/>
      <c r="I66" s="2272"/>
    </row>
    <row r="67" spans="1:9">
      <c r="A67" s="2269">
        <v>37302</v>
      </c>
      <c r="B67" s="2270" t="s">
        <v>3471</v>
      </c>
      <c r="C67" s="2285">
        <v>20035328.140000001</v>
      </c>
      <c r="D67" s="2285">
        <v>0</v>
      </c>
      <c r="E67" s="2271">
        <v>20035328.140000001</v>
      </c>
      <c r="F67" s="2271">
        <v>20486612.919999998</v>
      </c>
      <c r="G67" s="1962"/>
      <c r="H67" s="2122"/>
      <c r="I67" s="2272"/>
    </row>
    <row r="68" spans="1:9">
      <c r="A68" s="2269">
        <v>37400</v>
      </c>
      <c r="B68" s="2270" t="s">
        <v>3472</v>
      </c>
      <c r="C68" s="2285">
        <v>5192627.4099999983</v>
      </c>
      <c r="D68" s="2285">
        <v>0</v>
      </c>
      <c r="E68" s="2271">
        <v>5192627.4099999983</v>
      </c>
      <c r="F68" s="2271">
        <v>5242748.71</v>
      </c>
      <c r="G68" s="1962"/>
      <c r="H68" s="2122"/>
      <c r="I68" s="2272"/>
    </row>
    <row r="69" spans="1:9" ht="15" thickBot="1">
      <c r="A69" s="1962"/>
      <c r="B69" s="2261" t="s">
        <v>3203</v>
      </c>
      <c r="C69" s="2280">
        <v>2860907014.2058182</v>
      </c>
      <c r="D69" s="2280">
        <v>290362512.1741823</v>
      </c>
      <c r="E69" s="2280">
        <v>3151269526.3799996</v>
      </c>
      <c r="F69" s="2280">
        <v>2995433171.9900002</v>
      </c>
      <c r="G69" s="1962"/>
      <c r="H69" s="2280"/>
      <c r="I69" s="2280"/>
    </row>
    <row r="70" spans="1:9" ht="15" thickTop="1"/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8" tint="0.59999389629810485"/>
  </sheetPr>
  <dimension ref="B2:M172"/>
  <sheetViews>
    <sheetView tabSelected="1" showOutlineSymbols="0" workbookViewId="0"/>
  </sheetViews>
  <sheetFormatPr defaultRowHeight="14.4"/>
  <cols>
    <col min="2" max="2" width="35" customWidth="1"/>
    <col min="3" max="3" width="17" bestFit="1" customWidth="1"/>
    <col min="4" max="4" width="13.44140625" bestFit="1" customWidth="1"/>
    <col min="5" max="5" width="12.33203125" bestFit="1" customWidth="1"/>
    <col min="6" max="11" width="9.33203125" bestFit="1" customWidth="1"/>
    <col min="12" max="12" width="13.44140625" bestFit="1" customWidth="1"/>
  </cols>
  <sheetData>
    <row r="2" spans="2:13" ht="15.6">
      <c r="B2" s="768" t="s">
        <v>4045</v>
      </c>
      <c r="C2" s="2131"/>
      <c r="D2" s="2131"/>
      <c r="E2" s="2131"/>
      <c r="F2" s="328"/>
      <c r="G2" s="328"/>
      <c r="H2" s="328"/>
      <c r="I2" s="328"/>
      <c r="J2" s="328"/>
      <c r="K2" s="328"/>
      <c r="L2" s="2131"/>
    </row>
    <row r="3" spans="2:13"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</row>
    <row r="4" spans="2:13">
      <c r="B4" s="2346" t="s">
        <v>3579</v>
      </c>
      <c r="C4" s="2346" t="s">
        <v>3575</v>
      </c>
      <c r="D4" s="2357"/>
      <c r="E4" s="2357"/>
      <c r="F4" s="2357"/>
      <c r="G4" s="2357"/>
      <c r="H4" s="2357"/>
      <c r="I4" s="2357"/>
      <c r="J4" s="2357"/>
      <c r="K4" s="2357"/>
      <c r="L4" s="2358"/>
    </row>
    <row r="5" spans="2:13">
      <c r="B5" s="2346" t="s">
        <v>4046</v>
      </c>
      <c r="C5" s="2362">
        <v>136000</v>
      </c>
      <c r="D5" s="2363">
        <v>136100</v>
      </c>
      <c r="E5" s="2363">
        <v>136200</v>
      </c>
      <c r="F5" s="2363">
        <v>136400</v>
      </c>
      <c r="G5" s="2363">
        <v>136500</v>
      </c>
      <c r="H5" s="2363">
        <v>136600</v>
      </c>
      <c r="I5" s="2363">
        <v>136700</v>
      </c>
      <c r="J5" s="2363">
        <v>136800</v>
      </c>
      <c r="K5" s="2363">
        <v>137300</v>
      </c>
      <c r="L5" s="2364" t="s">
        <v>3454</v>
      </c>
    </row>
    <row r="6" spans="2:13">
      <c r="B6" s="2346" t="s">
        <v>3230</v>
      </c>
      <c r="C6" s="2349"/>
      <c r="D6" s="2350">
        <v>59934.58</v>
      </c>
      <c r="E6" s="2350">
        <v>1033117.9600000002</v>
      </c>
      <c r="F6" s="2350"/>
      <c r="G6" s="2350"/>
      <c r="H6" s="2350"/>
      <c r="I6" s="2350"/>
      <c r="J6" s="2350"/>
      <c r="K6" s="2350"/>
      <c r="L6" s="2365">
        <v>1093052.5400000003</v>
      </c>
      <c r="M6">
        <f>+MATCH(B6,'Distribution Substation Detail'!E:E,0)</f>
        <v>11</v>
      </c>
    </row>
    <row r="7" spans="2:13">
      <c r="B7" s="2366" t="s">
        <v>3721</v>
      </c>
      <c r="C7" s="2367">
        <v>88561.419999999984</v>
      </c>
      <c r="D7" s="2284">
        <v>495348.81</v>
      </c>
      <c r="E7" s="2284">
        <v>3047957.15</v>
      </c>
      <c r="F7" s="2284"/>
      <c r="G7" s="2284"/>
      <c r="H7" s="2284"/>
      <c r="I7" s="2284"/>
      <c r="J7" s="2284"/>
      <c r="K7" s="2284"/>
      <c r="L7" s="2368">
        <v>3631867.38</v>
      </c>
      <c r="M7">
        <f>+MATCH(B7,'Distribution Substation Detail'!E:E,0)</f>
        <v>12</v>
      </c>
    </row>
    <row r="8" spans="2:13">
      <c r="B8" s="2366" t="s">
        <v>3232</v>
      </c>
      <c r="C8" s="2367"/>
      <c r="D8" s="2284"/>
      <c r="E8" s="2284"/>
      <c r="F8" s="2284"/>
      <c r="G8" s="2284"/>
      <c r="H8" s="2284">
        <v>3384.55</v>
      </c>
      <c r="I8" s="2284"/>
      <c r="J8" s="2284"/>
      <c r="K8" s="2284"/>
      <c r="L8" s="2368">
        <v>3384.55</v>
      </c>
      <c r="M8">
        <f>+MATCH(B8,'Distribution Substation Detail'!E:E,0)</f>
        <v>13</v>
      </c>
    </row>
    <row r="9" spans="2:13">
      <c r="B9" s="2366" t="s">
        <v>3723</v>
      </c>
      <c r="C9" s="2367">
        <v>14244.439999999999</v>
      </c>
      <c r="D9" s="2284">
        <v>64386.159999999996</v>
      </c>
      <c r="E9" s="2284">
        <v>1028286.8099999999</v>
      </c>
      <c r="F9" s="2284"/>
      <c r="G9" s="2284"/>
      <c r="H9" s="2284"/>
      <c r="I9" s="2284"/>
      <c r="J9" s="2284"/>
      <c r="K9" s="2284"/>
      <c r="L9" s="2368">
        <v>1106917.4099999999</v>
      </c>
      <c r="M9">
        <f>+MATCH(B9,'Distribution Substation Detail'!E:E,0)</f>
        <v>14</v>
      </c>
    </row>
    <row r="10" spans="2:13">
      <c r="B10" s="2366" t="s">
        <v>3725</v>
      </c>
      <c r="C10" s="2367">
        <v>1524522.38</v>
      </c>
      <c r="D10" s="2284">
        <v>2824932.0800000005</v>
      </c>
      <c r="E10" s="2284">
        <v>14030790.170000006</v>
      </c>
      <c r="F10" s="2284"/>
      <c r="G10" s="2284"/>
      <c r="H10" s="2284"/>
      <c r="I10" s="2284"/>
      <c r="J10" s="2284"/>
      <c r="K10" s="2284"/>
      <c r="L10" s="2368">
        <v>18380244.630000006</v>
      </c>
      <c r="M10">
        <f>+MATCH(B10,'Distribution Substation Detail'!E:E,0)</f>
        <v>15</v>
      </c>
    </row>
    <row r="11" spans="2:13">
      <c r="B11" s="2366" t="s">
        <v>3727</v>
      </c>
      <c r="C11" s="2367">
        <v>5209.01</v>
      </c>
      <c r="D11" s="2284">
        <v>121053.75</v>
      </c>
      <c r="E11" s="2284">
        <v>2934504.9699999993</v>
      </c>
      <c r="F11" s="2284"/>
      <c r="G11" s="2284">
        <v>30884.83</v>
      </c>
      <c r="H11" s="2284"/>
      <c r="I11" s="2284"/>
      <c r="J11" s="2284"/>
      <c r="K11" s="2284"/>
      <c r="L11" s="2368">
        <v>3091652.5599999991</v>
      </c>
      <c r="M11">
        <f>+MATCH(B11,'Distribution Substation Detail'!E:E,0)</f>
        <v>16</v>
      </c>
    </row>
    <row r="12" spans="2:13">
      <c r="B12" s="2366" t="s">
        <v>3729</v>
      </c>
      <c r="C12" s="2367">
        <v>17529.7</v>
      </c>
      <c r="D12" s="2284">
        <v>182774.27000000002</v>
      </c>
      <c r="E12" s="2284">
        <v>1593500.3799999997</v>
      </c>
      <c r="F12" s="2284"/>
      <c r="G12" s="2284"/>
      <c r="H12" s="2284"/>
      <c r="I12" s="2284"/>
      <c r="J12" s="2284"/>
      <c r="K12" s="2284"/>
      <c r="L12" s="2368">
        <v>1793804.3499999996</v>
      </c>
      <c r="M12">
        <f>+MATCH(B12,'Distribution Substation Detail'!E:E,0)</f>
        <v>17</v>
      </c>
    </row>
    <row r="13" spans="2:13">
      <c r="B13" s="2366" t="s">
        <v>3731</v>
      </c>
      <c r="C13" s="2367">
        <v>13909.55</v>
      </c>
      <c r="D13" s="2284">
        <v>37109.67</v>
      </c>
      <c r="E13" s="2284">
        <v>1475603.8199999998</v>
      </c>
      <c r="F13" s="2284"/>
      <c r="G13" s="2284"/>
      <c r="H13" s="2284"/>
      <c r="I13" s="2284"/>
      <c r="J13" s="2284"/>
      <c r="K13" s="2284"/>
      <c r="L13" s="2368">
        <v>1526623.0399999998</v>
      </c>
      <c r="M13">
        <f>+MATCH(B13,'Distribution Substation Detail'!E:E,0)</f>
        <v>18</v>
      </c>
    </row>
    <row r="14" spans="2:13">
      <c r="B14" s="2366" t="s">
        <v>3733</v>
      </c>
      <c r="C14" s="2367">
        <v>1806.0100000000002</v>
      </c>
      <c r="D14" s="2284">
        <v>65123.91</v>
      </c>
      <c r="E14" s="2284">
        <v>597707.53999999992</v>
      </c>
      <c r="F14" s="2284"/>
      <c r="G14" s="2284"/>
      <c r="H14" s="2284"/>
      <c r="I14" s="2284"/>
      <c r="J14" s="2284"/>
      <c r="K14" s="2284"/>
      <c r="L14" s="2368">
        <v>664637.46</v>
      </c>
      <c r="M14">
        <f>+MATCH(B14,'Distribution Substation Detail'!E:E,0)</f>
        <v>19</v>
      </c>
    </row>
    <row r="15" spans="2:13">
      <c r="B15" s="2366" t="s">
        <v>3735</v>
      </c>
      <c r="C15" s="2367">
        <v>3991.61</v>
      </c>
      <c r="D15" s="2284">
        <v>30363.74</v>
      </c>
      <c r="E15" s="2284">
        <v>785366.85999999987</v>
      </c>
      <c r="F15" s="2284"/>
      <c r="G15" s="2284"/>
      <c r="H15" s="2284"/>
      <c r="I15" s="2284"/>
      <c r="J15" s="2284">
        <v>7074.03</v>
      </c>
      <c r="K15" s="2284"/>
      <c r="L15" s="2368">
        <v>826796.23999999987</v>
      </c>
      <c r="M15">
        <f>+MATCH(B15,'Distribution Substation Detail'!E:E,0)</f>
        <v>20</v>
      </c>
    </row>
    <row r="16" spans="2:13">
      <c r="B16" s="2366" t="s">
        <v>3737</v>
      </c>
      <c r="C16" s="2367">
        <v>13646.18</v>
      </c>
      <c r="D16" s="2284">
        <v>41762.18</v>
      </c>
      <c r="E16" s="2284">
        <v>2204434.5</v>
      </c>
      <c r="F16" s="2284"/>
      <c r="G16" s="2284"/>
      <c r="H16" s="2284"/>
      <c r="I16" s="2284"/>
      <c r="J16" s="2284"/>
      <c r="K16" s="2284"/>
      <c r="L16" s="2368">
        <v>2259842.86</v>
      </c>
      <c r="M16">
        <f>+MATCH(B16,'Distribution Substation Detail'!E:E,0)</f>
        <v>21</v>
      </c>
    </row>
    <row r="17" spans="2:13">
      <c r="B17" s="2366" t="s">
        <v>3739</v>
      </c>
      <c r="C17" s="2367">
        <v>2733.65</v>
      </c>
      <c r="D17" s="2284">
        <v>27884.719999999998</v>
      </c>
      <c r="E17" s="2284">
        <v>1368648.91</v>
      </c>
      <c r="F17" s="2284"/>
      <c r="G17" s="2284"/>
      <c r="H17" s="2284"/>
      <c r="I17" s="2284"/>
      <c r="J17" s="2284"/>
      <c r="K17" s="2284"/>
      <c r="L17" s="2368">
        <v>1399267.28</v>
      </c>
      <c r="M17">
        <f>+MATCH(B17,'Distribution Substation Detail'!E:E,0)</f>
        <v>22</v>
      </c>
    </row>
    <row r="18" spans="2:13">
      <c r="B18" s="2366" t="s">
        <v>3741</v>
      </c>
      <c r="C18" s="2367">
        <v>56485.760000000002</v>
      </c>
      <c r="D18" s="2284">
        <v>86186.62</v>
      </c>
      <c r="E18" s="2284">
        <v>433782.63999999996</v>
      </c>
      <c r="F18" s="2284"/>
      <c r="G18" s="2284"/>
      <c r="H18" s="2284"/>
      <c r="I18" s="2284"/>
      <c r="J18" s="2284"/>
      <c r="K18" s="2284"/>
      <c r="L18" s="2368">
        <v>576455.02</v>
      </c>
      <c r="M18">
        <f>+MATCH(B18,'Distribution Substation Detail'!E:E,0)</f>
        <v>23</v>
      </c>
    </row>
    <row r="19" spans="2:13">
      <c r="B19" s="2366" t="s">
        <v>3743</v>
      </c>
      <c r="C19" s="2367">
        <v>2794.98</v>
      </c>
      <c r="D19" s="2284">
        <v>319662.22000000009</v>
      </c>
      <c r="E19" s="2284">
        <v>3584446.5099999993</v>
      </c>
      <c r="F19" s="2284"/>
      <c r="G19" s="2284"/>
      <c r="H19" s="2284"/>
      <c r="I19" s="2284"/>
      <c r="J19" s="2284"/>
      <c r="K19" s="2284"/>
      <c r="L19" s="2368">
        <v>3906903.7099999995</v>
      </c>
      <c r="M19">
        <f>+MATCH(B19,'Distribution Substation Detail'!E:E,0)</f>
        <v>24</v>
      </c>
    </row>
    <row r="20" spans="2:13">
      <c r="B20" s="2366" t="s">
        <v>3745</v>
      </c>
      <c r="C20" s="2367">
        <v>31339.600000000002</v>
      </c>
      <c r="D20" s="2284">
        <v>129899.35000000002</v>
      </c>
      <c r="E20" s="2284">
        <v>2225943.5299999993</v>
      </c>
      <c r="F20" s="2284"/>
      <c r="G20" s="2284"/>
      <c r="H20" s="2284"/>
      <c r="I20" s="2284"/>
      <c r="J20" s="2284"/>
      <c r="K20" s="2284"/>
      <c r="L20" s="2368">
        <v>2387182.4799999995</v>
      </c>
      <c r="M20">
        <f>+MATCH(B20,'Distribution Substation Detail'!E:E,0)</f>
        <v>25</v>
      </c>
    </row>
    <row r="21" spans="2:13">
      <c r="B21" s="2366" t="s">
        <v>3747</v>
      </c>
      <c r="C21" s="2367">
        <v>3248</v>
      </c>
      <c r="D21" s="2284">
        <v>59067.18</v>
      </c>
      <c r="E21" s="2284">
        <v>2098893.1400000006</v>
      </c>
      <c r="F21" s="2284"/>
      <c r="G21" s="2284"/>
      <c r="H21" s="2284"/>
      <c r="I21" s="2284"/>
      <c r="J21" s="2284"/>
      <c r="K21" s="2284"/>
      <c r="L21" s="2368">
        <v>2161208.3200000008</v>
      </c>
      <c r="M21">
        <f>+MATCH(B21,'Distribution Substation Detail'!E:E,0)</f>
        <v>26</v>
      </c>
    </row>
    <row r="22" spans="2:13">
      <c r="B22" s="2366" t="s">
        <v>3749</v>
      </c>
      <c r="C22" s="2367">
        <v>68450.37</v>
      </c>
      <c r="D22" s="2284">
        <v>82940.969999999987</v>
      </c>
      <c r="E22" s="2284">
        <v>1432715.44</v>
      </c>
      <c r="F22" s="2284"/>
      <c r="G22" s="2284"/>
      <c r="H22" s="2284"/>
      <c r="I22" s="2284"/>
      <c r="J22" s="2284"/>
      <c r="K22" s="2284"/>
      <c r="L22" s="2368">
        <v>1584106.7799999998</v>
      </c>
      <c r="M22">
        <f>+MATCH(B22,'Distribution Substation Detail'!E:E,0)</f>
        <v>27</v>
      </c>
    </row>
    <row r="23" spans="2:13">
      <c r="B23" s="2366" t="s">
        <v>3751</v>
      </c>
      <c r="C23" s="2367">
        <v>29476.43</v>
      </c>
      <c r="D23" s="2284">
        <v>59471.17</v>
      </c>
      <c r="E23" s="2284">
        <v>1633895.19</v>
      </c>
      <c r="F23" s="2284"/>
      <c r="G23" s="2284"/>
      <c r="H23" s="2284"/>
      <c r="I23" s="2284"/>
      <c r="J23" s="2284"/>
      <c r="K23" s="2284"/>
      <c r="L23" s="2368">
        <v>1722842.79</v>
      </c>
      <c r="M23">
        <f>+MATCH(B23,'Distribution Substation Detail'!E:E,0)</f>
        <v>28</v>
      </c>
    </row>
    <row r="24" spans="2:13">
      <c r="B24" s="2366" t="s">
        <v>3753</v>
      </c>
      <c r="C24" s="2367"/>
      <c r="D24" s="2284">
        <v>37827.33</v>
      </c>
      <c r="E24" s="2284"/>
      <c r="F24" s="2284"/>
      <c r="G24" s="2284"/>
      <c r="H24" s="2284"/>
      <c r="I24" s="2284"/>
      <c r="J24" s="2284"/>
      <c r="K24" s="2284"/>
      <c r="L24" s="2368">
        <v>37827.33</v>
      </c>
      <c r="M24">
        <f>+MATCH(B24,'Distribution Substation Detail'!E:E,0)</f>
        <v>29</v>
      </c>
    </row>
    <row r="25" spans="2:13">
      <c r="B25" s="2366" t="s">
        <v>3236</v>
      </c>
      <c r="C25" s="2367"/>
      <c r="D25" s="2284"/>
      <c r="E25" s="2284"/>
      <c r="F25" s="2284"/>
      <c r="G25" s="2284">
        <v>9029.5</v>
      </c>
      <c r="H25" s="2284"/>
      <c r="I25" s="2284"/>
      <c r="J25" s="2284"/>
      <c r="K25" s="2284"/>
      <c r="L25" s="2368">
        <v>9029.5</v>
      </c>
      <c r="M25">
        <f>+MATCH(B25,'Distribution Substation Detail'!E:E,0)</f>
        <v>30</v>
      </c>
    </row>
    <row r="26" spans="2:13">
      <c r="B26" s="2366" t="s">
        <v>3755</v>
      </c>
      <c r="C26" s="2367">
        <v>3972.76</v>
      </c>
      <c r="D26" s="2284">
        <v>80173.73000000001</v>
      </c>
      <c r="E26" s="2284">
        <v>1934977.6799999992</v>
      </c>
      <c r="F26" s="2284"/>
      <c r="G26" s="2284"/>
      <c r="H26" s="2284"/>
      <c r="I26" s="2284"/>
      <c r="J26" s="2284"/>
      <c r="K26" s="2284"/>
      <c r="L26" s="2368">
        <v>2019124.1699999992</v>
      </c>
      <c r="M26">
        <f>+MATCH(B26,'Distribution Substation Detail'!E:E,0)</f>
        <v>31</v>
      </c>
    </row>
    <row r="27" spans="2:13">
      <c r="B27" s="2366" t="s">
        <v>3757</v>
      </c>
      <c r="C27" s="2367"/>
      <c r="D27" s="2284"/>
      <c r="E27" s="2284">
        <v>259931.22000000003</v>
      </c>
      <c r="F27" s="2284"/>
      <c r="G27" s="2284"/>
      <c r="H27" s="2284"/>
      <c r="I27" s="2284"/>
      <c r="J27" s="2284"/>
      <c r="K27" s="2284"/>
      <c r="L27" s="2368">
        <v>259931.22000000003</v>
      </c>
      <c r="M27">
        <f>+MATCH(B27,'Distribution Substation Detail'!E:E,0)</f>
        <v>32</v>
      </c>
    </row>
    <row r="28" spans="2:13">
      <c r="B28" s="2366" t="s">
        <v>3759</v>
      </c>
      <c r="C28" s="2367"/>
      <c r="D28" s="2284">
        <v>8463.23</v>
      </c>
      <c r="E28" s="2284"/>
      <c r="F28" s="2284"/>
      <c r="G28" s="2284"/>
      <c r="H28" s="2284"/>
      <c r="I28" s="2284"/>
      <c r="J28" s="2284"/>
      <c r="K28" s="2284"/>
      <c r="L28" s="2368">
        <v>8463.23</v>
      </c>
      <c r="M28">
        <f>+MATCH(B28,'Distribution Substation Detail'!E:E,0)</f>
        <v>33</v>
      </c>
    </row>
    <row r="29" spans="2:13">
      <c r="B29" s="2366" t="s">
        <v>3761</v>
      </c>
      <c r="C29" s="2367">
        <v>20797.84</v>
      </c>
      <c r="D29" s="2284">
        <v>42878.34</v>
      </c>
      <c r="E29" s="2284">
        <v>1457364.9099999997</v>
      </c>
      <c r="F29" s="2284"/>
      <c r="G29" s="2284"/>
      <c r="H29" s="2284"/>
      <c r="I29" s="2284"/>
      <c r="J29" s="2284"/>
      <c r="K29" s="2284"/>
      <c r="L29" s="2368">
        <v>1521041.0899999996</v>
      </c>
      <c r="M29">
        <f>+MATCH(B29,'Distribution Substation Detail'!E:E,0)</f>
        <v>34</v>
      </c>
    </row>
    <row r="30" spans="2:13">
      <c r="B30" s="2366" t="s">
        <v>3763</v>
      </c>
      <c r="C30" s="2367"/>
      <c r="D30" s="2284">
        <v>160754.10000000003</v>
      </c>
      <c r="E30" s="2284">
        <v>1586926.3699999999</v>
      </c>
      <c r="F30" s="2284"/>
      <c r="G30" s="2284"/>
      <c r="H30" s="2284"/>
      <c r="I30" s="2284"/>
      <c r="J30" s="2284"/>
      <c r="K30" s="2284"/>
      <c r="L30" s="2368">
        <v>1747680.47</v>
      </c>
      <c r="M30">
        <f>+MATCH(B30,'Distribution Substation Detail'!E:E,0)</f>
        <v>35</v>
      </c>
    </row>
    <row r="31" spans="2:13">
      <c r="B31" s="2366" t="s">
        <v>3765</v>
      </c>
      <c r="C31" s="2367">
        <v>12383.98</v>
      </c>
      <c r="D31" s="2284">
        <v>75215.520000000004</v>
      </c>
      <c r="E31" s="2284">
        <v>1531838.1299999997</v>
      </c>
      <c r="F31" s="2284"/>
      <c r="G31" s="2284"/>
      <c r="H31" s="2284"/>
      <c r="I31" s="2284"/>
      <c r="J31" s="2284">
        <v>5204.5499999999993</v>
      </c>
      <c r="K31" s="2284"/>
      <c r="L31" s="2368">
        <v>1624642.1799999997</v>
      </c>
      <c r="M31">
        <f>+MATCH(B31,'Distribution Substation Detail'!E:E,0)</f>
        <v>36</v>
      </c>
    </row>
    <row r="32" spans="2:13">
      <c r="B32" s="2366" t="s">
        <v>3767</v>
      </c>
      <c r="C32" s="2367">
        <v>8474.68</v>
      </c>
      <c r="D32" s="2284">
        <v>265620.07</v>
      </c>
      <c r="E32" s="2284">
        <v>2597230.7800000007</v>
      </c>
      <c r="F32" s="2284"/>
      <c r="G32" s="2284"/>
      <c r="H32" s="2284"/>
      <c r="I32" s="2284"/>
      <c r="J32" s="2284"/>
      <c r="K32" s="2284"/>
      <c r="L32" s="2368">
        <v>2871325.5300000007</v>
      </c>
      <c r="M32">
        <f>+MATCH(B32,'Distribution Substation Detail'!E:E,0)</f>
        <v>37</v>
      </c>
    </row>
    <row r="33" spans="2:13">
      <c r="B33" s="2366" t="s">
        <v>3769</v>
      </c>
      <c r="C33" s="2367">
        <v>16076.550000000001</v>
      </c>
      <c r="D33" s="2284">
        <v>65411.99</v>
      </c>
      <c r="E33" s="2284">
        <v>1780794.1100000003</v>
      </c>
      <c r="F33" s="2284"/>
      <c r="G33" s="2284"/>
      <c r="H33" s="2284"/>
      <c r="I33" s="2284"/>
      <c r="J33" s="2284"/>
      <c r="K33" s="2284"/>
      <c r="L33" s="2368">
        <v>1862282.6500000004</v>
      </c>
      <c r="M33">
        <f>+MATCH(B33,'Distribution Substation Detail'!E:E,0)</f>
        <v>38</v>
      </c>
    </row>
    <row r="34" spans="2:13">
      <c r="B34" s="2366" t="s">
        <v>3771</v>
      </c>
      <c r="C34" s="2367"/>
      <c r="D34" s="2284">
        <v>2619.1899999999996</v>
      </c>
      <c r="E34" s="2284">
        <v>152045.04</v>
      </c>
      <c r="F34" s="2284"/>
      <c r="G34" s="2284"/>
      <c r="H34" s="2284"/>
      <c r="I34" s="2284"/>
      <c r="J34" s="2284"/>
      <c r="K34" s="2284"/>
      <c r="L34" s="2368">
        <v>154664.23000000001</v>
      </c>
      <c r="M34">
        <f>+MATCH(B34,'Distribution Substation Detail'!E:E,0)</f>
        <v>39</v>
      </c>
    </row>
    <row r="35" spans="2:13">
      <c r="B35" s="2366" t="s">
        <v>3773</v>
      </c>
      <c r="C35" s="2367">
        <v>9897.07</v>
      </c>
      <c r="D35" s="2284">
        <v>89588.89</v>
      </c>
      <c r="E35" s="2284">
        <v>2637175.4199999995</v>
      </c>
      <c r="F35" s="2284"/>
      <c r="G35" s="2284"/>
      <c r="H35" s="2284"/>
      <c r="I35" s="2284"/>
      <c r="J35" s="2284"/>
      <c r="K35" s="2284"/>
      <c r="L35" s="2368">
        <v>2736661.3799999994</v>
      </c>
      <c r="M35">
        <f>+MATCH(B35,'Distribution Substation Detail'!E:E,0)</f>
        <v>40</v>
      </c>
    </row>
    <row r="36" spans="2:13">
      <c r="B36" s="2366" t="s">
        <v>3775</v>
      </c>
      <c r="C36" s="2367">
        <v>5279.42</v>
      </c>
      <c r="D36" s="2284">
        <v>82990.189999999988</v>
      </c>
      <c r="E36" s="2284">
        <v>1539114.6500000006</v>
      </c>
      <c r="F36" s="2284"/>
      <c r="G36" s="2284"/>
      <c r="H36" s="2284"/>
      <c r="I36" s="2284"/>
      <c r="J36" s="2284"/>
      <c r="K36" s="2284"/>
      <c r="L36" s="2368">
        <v>1627384.2600000007</v>
      </c>
      <c r="M36">
        <f>+MATCH(B36,'Distribution Substation Detail'!E:E,0)</f>
        <v>41</v>
      </c>
    </row>
    <row r="37" spans="2:13">
      <c r="B37" s="2366" t="s">
        <v>3777</v>
      </c>
      <c r="C37" s="2367">
        <v>7177.66</v>
      </c>
      <c r="D37" s="2284">
        <v>257230.72999999998</v>
      </c>
      <c r="E37" s="2284">
        <v>1815876.76</v>
      </c>
      <c r="F37" s="2284"/>
      <c r="G37" s="2284"/>
      <c r="H37" s="2284"/>
      <c r="I37" s="2284"/>
      <c r="J37" s="2284"/>
      <c r="K37" s="2284"/>
      <c r="L37" s="2368">
        <v>2080285.15</v>
      </c>
      <c r="M37">
        <f>+MATCH(B37,'Distribution Substation Detail'!E:E,0)</f>
        <v>42</v>
      </c>
    </row>
    <row r="38" spans="2:13">
      <c r="B38" s="2366" t="s">
        <v>3779</v>
      </c>
      <c r="C38" s="2367">
        <v>4385.9000000000005</v>
      </c>
      <c r="D38" s="2284">
        <v>9030.57</v>
      </c>
      <c r="E38" s="2284">
        <v>995710.88000000035</v>
      </c>
      <c r="F38" s="2284"/>
      <c r="G38" s="2284"/>
      <c r="H38" s="2284"/>
      <c r="I38" s="2284"/>
      <c r="J38" s="2284"/>
      <c r="K38" s="2284"/>
      <c r="L38" s="2368">
        <v>1009127.3500000003</v>
      </c>
      <c r="M38">
        <f>+MATCH(B38,'Distribution Substation Detail'!E:E,0)</f>
        <v>43</v>
      </c>
    </row>
    <row r="39" spans="2:13">
      <c r="B39" s="2366" t="s">
        <v>3781</v>
      </c>
      <c r="C39" s="2367">
        <v>3419.37</v>
      </c>
      <c r="D39" s="2284">
        <v>381592.85000000003</v>
      </c>
      <c r="E39" s="2284">
        <v>2073000.1700000002</v>
      </c>
      <c r="F39" s="2284"/>
      <c r="G39" s="2284"/>
      <c r="H39" s="2284"/>
      <c r="I39" s="2284"/>
      <c r="J39" s="2284"/>
      <c r="K39" s="2284"/>
      <c r="L39" s="2368">
        <v>2458012.39</v>
      </c>
      <c r="M39">
        <f>+MATCH(B39,'Distribution Substation Detail'!E:E,0)</f>
        <v>44</v>
      </c>
    </row>
    <row r="40" spans="2:13">
      <c r="B40" s="2366" t="s">
        <v>3783</v>
      </c>
      <c r="C40" s="2367">
        <v>17187.310000000001</v>
      </c>
      <c r="D40" s="2284">
        <v>405253.83999999997</v>
      </c>
      <c r="E40" s="2284">
        <v>2685848.9499999993</v>
      </c>
      <c r="F40" s="2284"/>
      <c r="G40" s="2284"/>
      <c r="H40" s="2284"/>
      <c r="I40" s="2284"/>
      <c r="J40" s="2284"/>
      <c r="K40" s="2284"/>
      <c r="L40" s="2368">
        <v>3108290.0999999992</v>
      </c>
      <c r="M40">
        <f>+MATCH(B40,'Distribution Substation Detail'!E:E,0)</f>
        <v>45</v>
      </c>
    </row>
    <row r="41" spans="2:13">
      <c r="B41" s="2366" t="s">
        <v>3785</v>
      </c>
      <c r="C41" s="2367">
        <v>1164.24</v>
      </c>
      <c r="D41" s="2284">
        <v>126494.90000000001</v>
      </c>
      <c r="E41" s="2284">
        <v>1466932.2799999996</v>
      </c>
      <c r="F41" s="2284"/>
      <c r="G41" s="2284"/>
      <c r="H41" s="2284"/>
      <c r="I41" s="2284"/>
      <c r="J41" s="2284"/>
      <c r="K41" s="2284"/>
      <c r="L41" s="2368">
        <v>1594591.4199999995</v>
      </c>
      <c r="M41">
        <f>+MATCH(B41,'Distribution Substation Detail'!E:E,0)</f>
        <v>46</v>
      </c>
    </row>
    <row r="42" spans="2:13">
      <c r="B42" s="2366" t="s">
        <v>3787</v>
      </c>
      <c r="C42" s="2367"/>
      <c r="D42" s="2284">
        <v>433855.95999999996</v>
      </c>
      <c r="E42" s="2284">
        <v>2739078.09</v>
      </c>
      <c r="F42" s="2284"/>
      <c r="G42" s="2284"/>
      <c r="H42" s="2284"/>
      <c r="I42" s="2284"/>
      <c r="J42" s="2284"/>
      <c r="K42" s="2284"/>
      <c r="L42" s="2368">
        <v>3172934.05</v>
      </c>
      <c r="M42">
        <f>+MATCH(B42,'Distribution Substation Detail'!E:E,0)</f>
        <v>47</v>
      </c>
    </row>
    <row r="43" spans="2:13">
      <c r="B43" s="2366" t="s">
        <v>3789</v>
      </c>
      <c r="C43" s="2367">
        <v>37222.9</v>
      </c>
      <c r="D43" s="2284">
        <v>77927.060000000012</v>
      </c>
      <c r="E43" s="2284">
        <v>796614.18</v>
      </c>
      <c r="F43" s="2284"/>
      <c r="G43" s="2284"/>
      <c r="H43" s="2284"/>
      <c r="I43" s="2284"/>
      <c r="J43" s="2284"/>
      <c r="K43" s="2284"/>
      <c r="L43" s="2368">
        <v>911764.14000000013</v>
      </c>
      <c r="M43">
        <f>+MATCH(B43,'Distribution Substation Detail'!E:E,0)</f>
        <v>48</v>
      </c>
    </row>
    <row r="44" spans="2:13">
      <c r="B44" s="2366" t="s">
        <v>3791</v>
      </c>
      <c r="C44" s="2367">
        <v>11173.99</v>
      </c>
      <c r="D44" s="2284">
        <v>67770.570000000007</v>
      </c>
      <c r="E44" s="2284">
        <v>1433697.3499999996</v>
      </c>
      <c r="F44" s="2284"/>
      <c r="G44" s="2284"/>
      <c r="H44" s="2284"/>
      <c r="I44" s="2284"/>
      <c r="J44" s="2284"/>
      <c r="K44" s="2284"/>
      <c r="L44" s="2368">
        <v>1512641.9099999997</v>
      </c>
      <c r="M44">
        <f>+MATCH(B44,'Distribution Substation Detail'!E:E,0)</f>
        <v>49</v>
      </c>
    </row>
    <row r="45" spans="2:13">
      <c r="B45" s="2366" t="s">
        <v>3795</v>
      </c>
      <c r="C45" s="2367">
        <v>17303.11</v>
      </c>
      <c r="D45" s="2284">
        <v>96663.329999999987</v>
      </c>
      <c r="E45" s="2284">
        <v>1895617.9600000004</v>
      </c>
      <c r="F45" s="2284"/>
      <c r="G45" s="2284"/>
      <c r="H45" s="2284"/>
      <c r="I45" s="2284"/>
      <c r="J45" s="2284"/>
      <c r="K45" s="2284"/>
      <c r="L45" s="2368">
        <v>2009584.4000000004</v>
      </c>
      <c r="M45">
        <f>+MATCH(B45,'Distribution Substation Detail'!E:E,0)</f>
        <v>51</v>
      </c>
    </row>
    <row r="46" spans="2:13">
      <c r="B46" s="2366" t="s">
        <v>3797</v>
      </c>
      <c r="C46" s="2367">
        <v>6842.35</v>
      </c>
      <c r="D46" s="2284">
        <v>43311.340000000004</v>
      </c>
      <c r="E46" s="2284">
        <v>655595.23000000021</v>
      </c>
      <c r="F46" s="2284"/>
      <c r="G46" s="2284"/>
      <c r="H46" s="2284"/>
      <c r="I46" s="2284"/>
      <c r="J46" s="2284"/>
      <c r="K46" s="2284"/>
      <c r="L46" s="2368">
        <v>705748.92000000016</v>
      </c>
      <c r="M46">
        <f>+MATCH(B46,'Distribution Substation Detail'!E:E,0)</f>
        <v>53</v>
      </c>
    </row>
    <row r="47" spans="2:13">
      <c r="B47" s="2366" t="s">
        <v>3799</v>
      </c>
      <c r="C47" s="2367">
        <v>3091.75</v>
      </c>
      <c r="D47" s="2284">
        <v>94255.13</v>
      </c>
      <c r="E47" s="2284">
        <v>1376660.1600000004</v>
      </c>
      <c r="F47" s="2284"/>
      <c r="G47" s="2284"/>
      <c r="H47" s="2284"/>
      <c r="I47" s="2284"/>
      <c r="J47" s="2284"/>
      <c r="K47" s="2284"/>
      <c r="L47" s="2368">
        <v>1474007.0400000005</v>
      </c>
      <c r="M47">
        <f>+MATCH(B47,'Distribution Substation Detail'!E:E,0)</f>
        <v>54</v>
      </c>
    </row>
    <row r="48" spans="2:13">
      <c r="B48" s="2366" t="s">
        <v>3801</v>
      </c>
      <c r="C48" s="2367">
        <v>3517.53</v>
      </c>
      <c r="D48" s="2284">
        <v>70056.350000000006</v>
      </c>
      <c r="E48" s="2284">
        <v>435286.6100000001</v>
      </c>
      <c r="F48" s="2284"/>
      <c r="G48" s="2284"/>
      <c r="H48" s="2284"/>
      <c r="I48" s="2284"/>
      <c r="J48" s="2284"/>
      <c r="K48" s="2284"/>
      <c r="L48" s="2368">
        <v>508860.49000000011</v>
      </c>
      <c r="M48">
        <f>+MATCH(B48,'Distribution Substation Detail'!E:E,0)</f>
        <v>55</v>
      </c>
    </row>
    <row r="49" spans="2:13">
      <c r="B49" s="2366" t="s">
        <v>3803</v>
      </c>
      <c r="C49" s="2367">
        <v>6165.3600000000006</v>
      </c>
      <c r="D49" s="2284">
        <v>104589.91000000002</v>
      </c>
      <c r="E49" s="2284">
        <v>2483186.6799999997</v>
      </c>
      <c r="F49" s="2284"/>
      <c r="G49" s="2284"/>
      <c r="H49" s="2284"/>
      <c r="I49" s="2284"/>
      <c r="J49" s="2284"/>
      <c r="K49" s="2284"/>
      <c r="L49" s="2368">
        <v>2593941.9499999997</v>
      </c>
      <c r="M49">
        <f>+MATCH(B49,'Distribution Substation Detail'!E:E,0)</f>
        <v>56</v>
      </c>
    </row>
    <row r="50" spans="2:13">
      <c r="B50" s="2366" t="s">
        <v>3805</v>
      </c>
      <c r="C50" s="2367">
        <v>22187.07</v>
      </c>
      <c r="D50" s="2284">
        <v>806421.72000000009</v>
      </c>
      <c r="E50" s="2284">
        <v>3751892.3899999997</v>
      </c>
      <c r="F50" s="2284"/>
      <c r="G50" s="2284"/>
      <c r="H50" s="2284"/>
      <c r="I50" s="2284"/>
      <c r="J50" s="2284"/>
      <c r="K50" s="2284"/>
      <c r="L50" s="2368">
        <v>4580501.18</v>
      </c>
      <c r="M50">
        <f>+MATCH(B50,'Distribution Substation Detail'!E:E,0)</f>
        <v>57</v>
      </c>
    </row>
    <row r="51" spans="2:13">
      <c r="B51" s="2366" t="s">
        <v>3807</v>
      </c>
      <c r="C51" s="2367">
        <v>39563.57</v>
      </c>
      <c r="D51" s="2284">
        <v>270356.60000000003</v>
      </c>
      <c r="E51" s="2284">
        <v>3210522.8600000003</v>
      </c>
      <c r="F51" s="2284"/>
      <c r="G51" s="2284"/>
      <c r="H51" s="2284"/>
      <c r="I51" s="2284"/>
      <c r="J51" s="2284"/>
      <c r="K51" s="2284"/>
      <c r="L51" s="2368">
        <v>3520443.0300000003</v>
      </c>
      <c r="M51">
        <f>+MATCH(B51,'Distribution Substation Detail'!E:E,0)</f>
        <v>58</v>
      </c>
    </row>
    <row r="52" spans="2:13">
      <c r="B52" s="2366" t="s">
        <v>3809</v>
      </c>
      <c r="C52" s="2367">
        <v>4533.93</v>
      </c>
      <c r="D52" s="2284">
        <v>76641.259999999995</v>
      </c>
      <c r="E52" s="2284">
        <v>763395.47000000009</v>
      </c>
      <c r="F52" s="2284"/>
      <c r="G52" s="2284"/>
      <c r="H52" s="2284"/>
      <c r="I52" s="2284"/>
      <c r="J52" s="2284"/>
      <c r="K52" s="2284"/>
      <c r="L52" s="2368">
        <v>844570.66000000015</v>
      </c>
      <c r="M52">
        <f>+MATCH(B52,'Distribution Substation Detail'!E:E,0)</f>
        <v>59</v>
      </c>
    </row>
    <row r="53" spans="2:13">
      <c r="B53" s="2366" t="s">
        <v>3811</v>
      </c>
      <c r="C53" s="2367">
        <v>2244.84</v>
      </c>
      <c r="D53" s="2284">
        <v>49025.740000000005</v>
      </c>
      <c r="E53" s="2284">
        <v>1178767.9200000011</v>
      </c>
      <c r="F53" s="2284"/>
      <c r="G53" s="2284"/>
      <c r="H53" s="2284"/>
      <c r="I53" s="2284"/>
      <c r="J53" s="2284"/>
      <c r="K53" s="2284"/>
      <c r="L53" s="2368">
        <v>1230038.5000000012</v>
      </c>
      <c r="M53">
        <f>+MATCH(B53,'Distribution Substation Detail'!E:E,0)</f>
        <v>60</v>
      </c>
    </row>
    <row r="54" spans="2:13">
      <c r="B54" s="2366" t="s">
        <v>3813</v>
      </c>
      <c r="C54" s="2367">
        <v>35732.080000000002</v>
      </c>
      <c r="D54" s="2284">
        <v>187372.13999999998</v>
      </c>
      <c r="E54" s="2284">
        <v>2025778.9499999997</v>
      </c>
      <c r="F54" s="2284"/>
      <c r="G54" s="2284"/>
      <c r="H54" s="2284"/>
      <c r="I54" s="2284"/>
      <c r="J54" s="2284"/>
      <c r="K54" s="2284"/>
      <c r="L54" s="2368">
        <v>2248883.17</v>
      </c>
      <c r="M54">
        <f>+MATCH(B54,'Distribution Substation Detail'!E:E,0)</f>
        <v>61</v>
      </c>
    </row>
    <row r="55" spans="2:13">
      <c r="B55" s="2366" t="s">
        <v>3815</v>
      </c>
      <c r="C55" s="2367">
        <v>140632.26</v>
      </c>
      <c r="D55" s="2284">
        <v>222098.88999999998</v>
      </c>
      <c r="E55" s="2284">
        <v>2438472.6199999992</v>
      </c>
      <c r="F55" s="2284"/>
      <c r="G55" s="2284"/>
      <c r="H55" s="2284"/>
      <c r="I55" s="2284"/>
      <c r="J55" s="2284"/>
      <c r="K55" s="2284"/>
      <c r="L55" s="2368">
        <v>2801203.7699999991</v>
      </c>
      <c r="M55">
        <f>+MATCH(B55,'Distribution Substation Detail'!E:E,0)</f>
        <v>62</v>
      </c>
    </row>
    <row r="56" spans="2:13">
      <c r="B56" s="2366" t="s">
        <v>3817</v>
      </c>
      <c r="C56" s="2367"/>
      <c r="D56" s="2284">
        <v>221856.74000000002</v>
      </c>
      <c r="E56" s="2284">
        <v>2973047.41</v>
      </c>
      <c r="F56" s="2284"/>
      <c r="G56" s="2284"/>
      <c r="H56" s="2284"/>
      <c r="I56" s="2284"/>
      <c r="J56" s="2284"/>
      <c r="K56" s="2284"/>
      <c r="L56" s="2368">
        <v>3194904.1500000004</v>
      </c>
      <c r="M56">
        <f>+MATCH(B56,'Distribution Substation Detail'!E:E,0)</f>
        <v>63</v>
      </c>
    </row>
    <row r="57" spans="2:13">
      <c r="B57" s="2366" t="s">
        <v>3819</v>
      </c>
      <c r="C57" s="2367">
        <v>10295.33</v>
      </c>
      <c r="D57" s="2284">
        <v>381328.53000000009</v>
      </c>
      <c r="E57" s="2284">
        <v>4091617.1299999994</v>
      </c>
      <c r="F57" s="2284"/>
      <c r="G57" s="2284"/>
      <c r="H57" s="2284">
        <v>94.91</v>
      </c>
      <c r="I57" s="2284"/>
      <c r="J57" s="2284">
        <v>6859.4000000000005</v>
      </c>
      <c r="K57" s="2284"/>
      <c r="L57" s="2368">
        <v>4490195.3</v>
      </c>
      <c r="M57">
        <f>+MATCH(B57,'Distribution Substation Detail'!E:E,0)</f>
        <v>64</v>
      </c>
    </row>
    <row r="58" spans="2:13">
      <c r="B58" s="2366" t="s">
        <v>3821</v>
      </c>
      <c r="C58" s="2367">
        <v>1339.58</v>
      </c>
      <c r="D58" s="2284">
        <v>28740.940000000002</v>
      </c>
      <c r="E58" s="2284">
        <v>593151.27</v>
      </c>
      <c r="F58" s="2284"/>
      <c r="G58" s="2284"/>
      <c r="H58" s="2284"/>
      <c r="I58" s="2284"/>
      <c r="J58" s="2284"/>
      <c r="K58" s="2284"/>
      <c r="L58" s="2368">
        <v>623231.79</v>
      </c>
      <c r="M58">
        <f>+MATCH(B58,'Distribution Substation Detail'!E:E,0)</f>
        <v>65</v>
      </c>
    </row>
    <row r="59" spans="2:13">
      <c r="B59" s="2366" t="s">
        <v>3823</v>
      </c>
      <c r="C59" s="2367">
        <v>23377.82</v>
      </c>
      <c r="D59" s="2284">
        <v>117209.29999999999</v>
      </c>
      <c r="E59" s="2284">
        <v>3671075.9300000016</v>
      </c>
      <c r="F59" s="2284"/>
      <c r="G59" s="2284"/>
      <c r="H59" s="2284"/>
      <c r="I59" s="2284"/>
      <c r="J59" s="2284"/>
      <c r="K59" s="2284"/>
      <c r="L59" s="2368">
        <v>3811663.0500000017</v>
      </c>
      <c r="M59">
        <f>+MATCH(B59,'Distribution Substation Detail'!E:E,0)</f>
        <v>66</v>
      </c>
    </row>
    <row r="60" spans="2:13">
      <c r="B60" s="2366" t="s">
        <v>3825</v>
      </c>
      <c r="C60" s="2367">
        <v>2.2000000000000002</v>
      </c>
      <c r="D60" s="2284">
        <v>202570.15</v>
      </c>
      <c r="E60" s="2284">
        <v>4227131.8499999987</v>
      </c>
      <c r="F60" s="2284"/>
      <c r="G60" s="2284"/>
      <c r="H60" s="2284"/>
      <c r="I60" s="2284"/>
      <c r="J60" s="2284"/>
      <c r="K60" s="2284"/>
      <c r="L60" s="2368">
        <v>4429704.1999999983</v>
      </c>
      <c r="M60">
        <f>+MATCH(B60,'Distribution Substation Detail'!E:E,0)</f>
        <v>67</v>
      </c>
    </row>
    <row r="61" spans="2:13">
      <c r="B61" s="2366" t="s">
        <v>3827</v>
      </c>
      <c r="C61" s="2367">
        <v>5172.03</v>
      </c>
      <c r="D61" s="2284">
        <v>107673.03000000001</v>
      </c>
      <c r="E61" s="2284">
        <v>2320951.8800000004</v>
      </c>
      <c r="F61" s="2284"/>
      <c r="G61" s="2284"/>
      <c r="H61" s="2284"/>
      <c r="I61" s="2284"/>
      <c r="J61" s="2284"/>
      <c r="K61" s="2284"/>
      <c r="L61" s="2368">
        <v>2433796.9400000004</v>
      </c>
      <c r="M61">
        <f>+MATCH(B61,'Distribution Substation Detail'!E:E,0)</f>
        <v>68</v>
      </c>
    </row>
    <row r="62" spans="2:13">
      <c r="B62" s="2366" t="s">
        <v>3829</v>
      </c>
      <c r="C62" s="2367">
        <v>124807.40000000001</v>
      </c>
      <c r="D62" s="2284">
        <v>335151.12000000005</v>
      </c>
      <c r="E62" s="2284">
        <v>6764164.709999999</v>
      </c>
      <c r="F62" s="2284"/>
      <c r="G62" s="2284"/>
      <c r="H62" s="2284"/>
      <c r="I62" s="2284"/>
      <c r="J62" s="2284"/>
      <c r="K62" s="2284"/>
      <c r="L62" s="2368">
        <v>7224123.2299999995</v>
      </c>
      <c r="M62">
        <f>+MATCH(B62,'Distribution Substation Detail'!E:E,0)</f>
        <v>69</v>
      </c>
    </row>
    <row r="63" spans="2:13">
      <c r="B63" s="2366" t="s">
        <v>3831</v>
      </c>
      <c r="C63" s="2367">
        <v>3942</v>
      </c>
      <c r="D63" s="2284">
        <v>136151.99</v>
      </c>
      <c r="E63" s="2284">
        <v>2161892.0399999996</v>
      </c>
      <c r="F63" s="2284"/>
      <c r="G63" s="2284"/>
      <c r="H63" s="2284"/>
      <c r="I63" s="2284"/>
      <c r="J63" s="2284"/>
      <c r="K63" s="2284"/>
      <c r="L63" s="2368">
        <v>2301986.0299999993</v>
      </c>
      <c r="M63">
        <f>+MATCH(B63,'Distribution Substation Detail'!E:E,0)</f>
        <v>70</v>
      </c>
    </row>
    <row r="64" spans="2:13">
      <c r="B64" s="2366" t="s">
        <v>3266</v>
      </c>
      <c r="C64" s="2367"/>
      <c r="D64" s="2284"/>
      <c r="E64" s="2284"/>
      <c r="F64" s="2284">
        <v>118.85000000000001</v>
      </c>
      <c r="G64" s="2284"/>
      <c r="H64" s="2284">
        <v>384.87</v>
      </c>
      <c r="I64" s="2284"/>
      <c r="J64" s="2284"/>
      <c r="K64" s="2284"/>
      <c r="L64" s="2368">
        <v>503.72</v>
      </c>
      <c r="M64" t="e">
        <f>+MATCH(B64,'Distribution Substation Detail'!E:E,0)</f>
        <v>#N/A</v>
      </c>
    </row>
    <row r="65" spans="2:13">
      <c r="B65" s="2366" t="s">
        <v>3833</v>
      </c>
      <c r="C65" s="2367">
        <v>10161.43</v>
      </c>
      <c r="D65" s="2284">
        <v>398200.02999999997</v>
      </c>
      <c r="E65" s="2284">
        <v>3148587.01</v>
      </c>
      <c r="F65" s="2284"/>
      <c r="G65" s="2284"/>
      <c r="H65" s="2284"/>
      <c r="I65" s="2284"/>
      <c r="J65" s="2284"/>
      <c r="K65" s="2284"/>
      <c r="L65" s="2368">
        <v>3556948.4699999997</v>
      </c>
      <c r="M65">
        <f>+MATCH(B65,'Distribution Substation Detail'!E:E,0)</f>
        <v>71</v>
      </c>
    </row>
    <row r="66" spans="2:13">
      <c r="B66" s="2366" t="s">
        <v>3835</v>
      </c>
      <c r="C66" s="2367">
        <v>5916.17</v>
      </c>
      <c r="D66" s="2284">
        <v>50282.51</v>
      </c>
      <c r="E66" s="2284">
        <v>860487.89000000036</v>
      </c>
      <c r="F66" s="2284"/>
      <c r="G66" s="2284"/>
      <c r="H66" s="2284"/>
      <c r="I66" s="2284"/>
      <c r="J66" s="2284"/>
      <c r="K66" s="2284"/>
      <c r="L66" s="2368">
        <v>916686.57000000041</v>
      </c>
      <c r="M66">
        <f>+MATCH(B66,'Distribution Substation Detail'!E:E,0)</f>
        <v>72</v>
      </c>
    </row>
    <row r="67" spans="2:13">
      <c r="B67" s="2366" t="s">
        <v>3837</v>
      </c>
      <c r="C67" s="2367">
        <v>3919.13</v>
      </c>
      <c r="D67" s="2284">
        <v>7167.75</v>
      </c>
      <c r="E67" s="2284">
        <v>149661.00999999998</v>
      </c>
      <c r="F67" s="2284"/>
      <c r="G67" s="2284"/>
      <c r="H67" s="2284"/>
      <c r="I67" s="2284"/>
      <c r="J67" s="2284"/>
      <c r="K67" s="2284"/>
      <c r="L67" s="2368">
        <v>160747.88999999998</v>
      </c>
      <c r="M67">
        <f>+MATCH(B67,'Distribution Substation Detail'!E:E,0)</f>
        <v>73</v>
      </c>
    </row>
    <row r="68" spans="2:13">
      <c r="B68" s="2366" t="s">
        <v>3839</v>
      </c>
      <c r="C68" s="2367">
        <v>5730.4000000000005</v>
      </c>
      <c r="D68" s="2284">
        <v>342545.05</v>
      </c>
      <c r="E68" s="2284">
        <v>2611381.2499999986</v>
      </c>
      <c r="F68" s="2284"/>
      <c r="G68" s="2284"/>
      <c r="H68" s="2284"/>
      <c r="I68" s="2284"/>
      <c r="J68" s="2284"/>
      <c r="K68" s="2284"/>
      <c r="L68" s="2368">
        <v>2959656.6999999988</v>
      </c>
      <c r="M68">
        <f>+MATCH(B68,'Distribution Substation Detail'!E:E,0)</f>
        <v>74</v>
      </c>
    </row>
    <row r="69" spans="2:13">
      <c r="B69" s="2366" t="s">
        <v>9258</v>
      </c>
      <c r="C69" s="2367"/>
      <c r="D69" s="2284">
        <v>248602.99</v>
      </c>
      <c r="E69" s="2284"/>
      <c r="F69" s="2284"/>
      <c r="G69" s="2284"/>
      <c r="H69" s="2284"/>
      <c r="I69" s="2284"/>
      <c r="J69" s="2284"/>
      <c r="K69" s="2284"/>
      <c r="L69" s="2368">
        <v>248602.99</v>
      </c>
      <c r="M69">
        <f>+MATCH(B69,'Distribution Substation Detail'!E:E,0)</f>
        <v>75</v>
      </c>
    </row>
    <row r="70" spans="2:13">
      <c r="B70" s="2366" t="s">
        <v>3841</v>
      </c>
      <c r="C70" s="2367">
        <v>8290.5400000000009</v>
      </c>
      <c r="D70" s="2284">
        <v>303225.71000000008</v>
      </c>
      <c r="E70" s="2284">
        <v>3156779.6500000027</v>
      </c>
      <c r="F70" s="2284"/>
      <c r="G70" s="2284"/>
      <c r="H70" s="2284"/>
      <c r="I70" s="2284"/>
      <c r="J70" s="2284"/>
      <c r="K70" s="2284"/>
      <c r="L70" s="2368">
        <v>3468295.9000000027</v>
      </c>
      <c r="M70">
        <f>+MATCH(B70,'Distribution Substation Detail'!E:E,0)</f>
        <v>76</v>
      </c>
    </row>
    <row r="71" spans="2:13">
      <c r="B71" s="2366" t="s">
        <v>3843</v>
      </c>
      <c r="C71" s="2367">
        <v>2450.9299999999998</v>
      </c>
      <c r="D71" s="2284">
        <v>140995.85</v>
      </c>
      <c r="E71" s="2284">
        <v>2405532.6099999994</v>
      </c>
      <c r="F71" s="2284"/>
      <c r="G71" s="2284"/>
      <c r="H71" s="2284"/>
      <c r="I71" s="2284"/>
      <c r="J71" s="2284"/>
      <c r="K71" s="2284"/>
      <c r="L71" s="2368">
        <v>2548979.3899999992</v>
      </c>
      <c r="M71">
        <f>+MATCH(B71,'Distribution Substation Detail'!E:E,0)</f>
        <v>77</v>
      </c>
    </row>
    <row r="72" spans="2:13">
      <c r="B72" s="2366" t="s">
        <v>3845</v>
      </c>
      <c r="C72" s="2367">
        <v>6983.76</v>
      </c>
      <c r="D72" s="2284">
        <v>65581.12000000001</v>
      </c>
      <c r="E72" s="2284">
        <v>1459265.6000000003</v>
      </c>
      <c r="F72" s="2284"/>
      <c r="G72" s="2284"/>
      <c r="H72" s="2284"/>
      <c r="I72" s="2284"/>
      <c r="J72" s="2284"/>
      <c r="K72" s="2284"/>
      <c r="L72" s="2368">
        <v>1531830.4800000004</v>
      </c>
      <c r="M72">
        <f>+MATCH(B72,'Distribution Substation Detail'!E:E,0)</f>
        <v>78</v>
      </c>
    </row>
    <row r="73" spans="2:13">
      <c r="B73" s="2366" t="s">
        <v>3847</v>
      </c>
      <c r="C73" s="2367">
        <v>7655.35</v>
      </c>
      <c r="D73" s="2284">
        <v>123171.03000000003</v>
      </c>
      <c r="E73" s="2284">
        <v>2475459.9799999991</v>
      </c>
      <c r="F73" s="2284"/>
      <c r="G73" s="2284"/>
      <c r="H73" s="2284"/>
      <c r="I73" s="2284"/>
      <c r="J73" s="2284"/>
      <c r="K73" s="2284"/>
      <c r="L73" s="2368">
        <v>2606286.3599999989</v>
      </c>
      <c r="M73">
        <f>+MATCH(B73,'Distribution Substation Detail'!E:E,0)</f>
        <v>79</v>
      </c>
    </row>
    <row r="74" spans="2:13">
      <c r="B74" s="2366" t="s">
        <v>3849</v>
      </c>
      <c r="C74" s="2367">
        <v>75743.520000000004</v>
      </c>
      <c r="D74" s="2284">
        <v>319140.73</v>
      </c>
      <c r="E74" s="2284">
        <v>5888573.6900000004</v>
      </c>
      <c r="F74" s="2284"/>
      <c r="G74" s="2284"/>
      <c r="H74" s="2284"/>
      <c r="I74" s="2284">
        <v>132.27000000000001</v>
      </c>
      <c r="J74" s="2284"/>
      <c r="K74" s="2284"/>
      <c r="L74" s="2368">
        <v>6283590.21</v>
      </c>
      <c r="M74">
        <f>+MATCH(B74,'Distribution Substation Detail'!E:E,0)</f>
        <v>80</v>
      </c>
    </row>
    <row r="75" spans="2:13">
      <c r="B75" s="2366" t="s">
        <v>3851</v>
      </c>
      <c r="C75" s="2367">
        <v>3456.77</v>
      </c>
      <c r="D75" s="2284">
        <v>180177.89</v>
      </c>
      <c r="E75" s="2284">
        <v>2664935.6400000029</v>
      </c>
      <c r="F75" s="2284"/>
      <c r="G75" s="2284"/>
      <c r="H75" s="2284"/>
      <c r="I75" s="2284"/>
      <c r="J75" s="2284"/>
      <c r="K75" s="2284"/>
      <c r="L75" s="2368">
        <v>2848570.3000000031</v>
      </c>
      <c r="M75">
        <f>+MATCH(B75,'Distribution Substation Detail'!E:E,0)</f>
        <v>81</v>
      </c>
    </row>
    <row r="76" spans="2:13">
      <c r="B76" s="2366" t="s">
        <v>3853</v>
      </c>
      <c r="C76" s="2367">
        <v>7572.32</v>
      </c>
      <c r="D76" s="2284">
        <v>87225.29</v>
      </c>
      <c r="E76" s="2284">
        <v>862081.76000000013</v>
      </c>
      <c r="F76" s="2284"/>
      <c r="G76" s="2284"/>
      <c r="H76" s="2284"/>
      <c r="I76" s="2284"/>
      <c r="J76" s="2284"/>
      <c r="K76" s="2284"/>
      <c r="L76" s="2368">
        <v>956879.37000000011</v>
      </c>
      <c r="M76">
        <f>+MATCH(B76,'Distribution Substation Detail'!E:E,0)</f>
        <v>82</v>
      </c>
    </row>
    <row r="77" spans="2:13">
      <c r="B77" s="2366" t="s">
        <v>3855</v>
      </c>
      <c r="C77" s="2367">
        <v>10116.61</v>
      </c>
      <c r="D77" s="2284">
        <v>62680.280000000006</v>
      </c>
      <c r="E77" s="2284">
        <v>1334147.6800000006</v>
      </c>
      <c r="F77" s="2284"/>
      <c r="G77" s="2284"/>
      <c r="H77" s="2284"/>
      <c r="I77" s="2284"/>
      <c r="J77" s="2284"/>
      <c r="K77" s="2284"/>
      <c r="L77" s="2368">
        <v>1406944.5700000008</v>
      </c>
      <c r="M77">
        <f>+MATCH(B77,'Distribution Substation Detail'!E:E,0)</f>
        <v>83</v>
      </c>
    </row>
    <row r="78" spans="2:13">
      <c r="B78" s="2366" t="s">
        <v>3857</v>
      </c>
      <c r="C78" s="2367">
        <v>47814.19</v>
      </c>
      <c r="D78" s="2284">
        <v>86768.710000000021</v>
      </c>
      <c r="E78" s="2284">
        <v>2312746.0499999998</v>
      </c>
      <c r="F78" s="2284"/>
      <c r="G78" s="2284"/>
      <c r="H78" s="2284"/>
      <c r="I78" s="2284"/>
      <c r="J78" s="2284"/>
      <c r="K78" s="2284"/>
      <c r="L78" s="2368">
        <v>2447328.9499999997</v>
      </c>
      <c r="M78">
        <f>+MATCH(B78,'Distribution Substation Detail'!E:E,0)</f>
        <v>84</v>
      </c>
    </row>
    <row r="79" spans="2:13">
      <c r="B79" s="2366" t="s">
        <v>3859</v>
      </c>
      <c r="C79" s="2367">
        <v>2697.33</v>
      </c>
      <c r="D79" s="2284">
        <v>95127.510000000009</v>
      </c>
      <c r="E79" s="2284">
        <v>2904487.2399999974</v>
      </c>
      <c r="F79" s="2284">
        <v>-17.36</v>
      </c>
      <c r="G79" s="2284"/>
      <c r="H79" s="2284">
        <v>-17.240000000000002</v>
      </c>
      <c r="I79" s="2284">
        <v>-17.240000000000002</v>
      </c>
      <c r="J79" s="2284"/>
      <c r="K79" s="2284"/>
      <c r="L79" s="2368">
        <v>3002260.239999997</v>
      </c>
      <c r="M79">
        <f>+MATCH(B79,'Distribution Substation Detail'!E:E,0)</f>
        <v>85</v>
      </c>
    </row>
    <row r="80" spans="2:13">
      <c r="B80" s="2366" t="s">
        <v>3861</v>
      </c>
      <c r="C80" s="2367">
        <v>6426.95</v>
      </c>
      <c r="D80" s="2284">
        <v>163592.32000000001</v>
      </c>
      <c r="E80" s="2284">
        <v>2968779.870000002</v>
      </c>
      <c r="F80" s="2284"/>
      <c r="G80" s="2284"/>
      <c r="H80" s="2284"/>
      <c r="I80" s="2284"/>
      <c r="J80" s="2284"/>
      <c r="K80" s="2284"/>
      <c r="L80" s="2368">
        <v>3138799.140000002</v>
      </c>
      <c r="M80">
        <f>+MATCH(B80,'Distribution Substation Detail'!E:E,0)</f>
        <v>86</v>
      </c>
    </row>
    <row r="81" spans="2:13">
      <c r="B81" s="2366" t="s">
        <v>3863</v>
      </c>
      <c r="C81" s="2367">
        <v>15683.61</v>
      </c>
      <c r="D81" s="2284">
        <v>58757.72</v>
      </c>
      <c r="E81" s="2284">
        <v>1466073.9300000018</v>
      </c>
      <c r="F81" s="2284"/>
      <c r="G81" s="2284"/>
      <c r="H81" s="2284"/>
      <c r="I81" s="2284"/>
      <c r="J81" s="2284"/>
      <c r="K81" s="2284"/>
      <c r="L81" s="2368">
        <v>1540515.2600000019</v>
      </c>
      <c r="M81">
        <f>+MATCH(B81,'Distribution Substation Detail'!E:E,0)</f>
        <v>87</v>
      </c>
    </row>
    <row r="82" spans="2:13">
      <c r="B82" s="2366" t="s">
        <v>3865</v>
      </c>
      <c r="C82" s="2367">
        <v>19976.14</v>
      </c>
      <c r="D82" s="2284">
        <v>51065.23</v>
      </c>
      <c r="E82" s="2284">
        <v>860717.23</v>
      </c>
      <c r="F82" s="2284"/>
      <c r="G82" s="2284"/>
      <c r="H82" s="2284"/>
      <c r="I82" s="2284"/>
      <c r="J82" s="2284"/>
      <c r="K82" s="2284"/>
      <c r="L82" s="2368">
        <v>931758.6</v>
      </c>
      <c r="M82">
        <f>+MATCH(B82,'Distribution Substation Detail'!E:E,0)</f>
        <v>88</v>
      </c>
    </row>
    <row r="83" spans="2:13">
      <c r="B83" s="2366" t="s">
        <v>3867</v>
      </c>
      <c r="C83" s="2367">
        <v>14982.24</v>
      </c>
      <c r="D83" s="2284">
        <v>137645.51999999999</v>
      </c>
      <c r="E83" s="2284">
        <v>2730589.6300000008</v>
      </c>
      <c r="F83" s="2284"/>
      <c r="G83" s="2284"/>
      <c r="H83" s="2284"/>
      <c r="I83" s="2284"/>
      <c r="J83" s="2284"/>
      <c r="K83" s="2284"/>
      <c r="L83" s="2368">
        <v>2883217.3900000006</v>
      </c>
      <c r="M83">
        <f>+MATCH(B83,'Distribution Substation Detail'!E:E,0)</f>
        <v>89</v>
      </c>
    </row>
    <row r="84" spans="2:13">
      <c r="B84" s="2366" t="s">
        <v>3869</v>
      </c>
      <c r="C84" s="2367">
        <v>51951.96</v>
      </c>
      <c r="D84" s="2284">
        <v>106095.79999999999</v>
      </c>
      <c r="E84" s="2284">
        <v>1362728.1500000001</v>
      </c>
      <c r="F84" s="2284"/>
      <c r="G84" s="2284"/>
      <c r="H84" s="2284"/>
      <c r="I84" s="2284"/>
      <c r="J84" s="2284"/>
      <c r="K84" s="2284"/>
      <c r="L84" s="2368">
        <v>1520775.9100000001</v>
      </c>
      <c r="M84">
        <f>+MATCH(B84,'Distribution Substation Detail'!E:E,0)</f>
        <v>90</v>
      </c>
    </row>
    <row r="85" spans="2:13">
      <c r="B85" s="2366" t="s">
        <v>3871</v>
      </c>
      <c r="C85" s="2367">
        <v>169713.66</v>
      </c>
      <c r="D85" s="2284">
        <v>358201.61</v>
      </c>
      <c r="E85" s="2284">
        <v>4569636.3500000024</v>
      </c>
      <c r="F85" s="2284"/>
      <c r="G85" s="2284"/>
      <c r="H85" s="2284"/>
      <c r="I85" s="2284"/>
      <c r="J85" s="2284"/>
      <c r="K85" s="2284"/>
      <c r="L85" s="2368">
        <v>5097551.6200000029</v>
      </c>
      <c r="M85">
        <f>+MATCH(B85,'Distribution Substation Detail'!E:E,0)</f>
        <v>91</v>
      </c>
    </row>
    <row r="86" spans="2:13">
      <c r="B86" s="2366" t="s">
        <v>3873</v>
      </c>
      <c r="C86" s="2367"/>
      <c r="D86" s="2284">
        <v>119582.23999999999</v>
      </c>
      <c r="E86" s="2284">
        <v>2987197.9600000009</v>
      </c>
      <c r="F86" s="2284"/>
      <c r="G86" s="2284"/>
      <c r="H86" s="2284"/>
      <c r="I86" s="2284"/>
      <c r="J86" s="2284"/>
      <c r="K86" s="2284"/>
      <c r="L86" s="2368">
        <v>3106780.2000000011</v>
      </c>
      <c r="M86">
        <f>+MATCH(B86,'Distribution Substation Detail'!E:E,0)</f>
        <v>92</v>
      </c>
    </row>
    <row r="87" spans="2:13">
      <c r="B87" s="2366" t="s">
        <v>3875</v>
      </c>
      <c r="C87" s="2367">
        <v>8565.5</v>
      </c>
      <c r="D87" s="2284">
        <v>272164.19</v>
      </c>
      <c r="E87" s="2284">
        <v>2381328.3799999994</v>
      </c>
      <c r="F87" s="2284"/>
      <c r="G87" s="2284"/>
      <c r="H87" s="2284">
        <v>54.59</v>
      </c>
      <c r="I87" s="2284"/>
      <c r="J87" s="2284"/>
      <c r="K87" s="2284">
        <v>32.54</v>
      </c>
      <c r="L87" s="2368">
        <v>2662145.1999999993</v>
      </c>
      <c r="M87">
        <f>+MATCH(B87,'Distribution Substation Detail'!E:E,0)</f>
        <v>93</v>
      </c>
    </row>
    <row r="88" spans="2:13">
      <c r="B88" s="2366" t="s">
        <v>3877</v>
      </c>
      <c r="C88" s="2367">
        <v>58825.83</v>
      </c>
      <c r="D88" s="2284">
        <v>77476.09</v>
      </c>
      <c r="E88" s="2284">
        <v>1186673.2600000002</v>
      </c>
      <c r="F88" s="2284"/>
      <c r="G88" s="2284"/>
      <c r="H88" s="2284"/>
      <c r="I88" s="2284"/>
      <c r="J88" s="2284"/>
      <c r="K88" s="2284"/>
      <c r="L88" s="2368">
        <v>1322975.1800000002</v>
      </c>
      <c r="M88">
        <f>+MATCH(B88,'Distribution Substation Detail'!E:E,0)</f>
        <v>94</v>
      </c>
    </row>
    <row r="89" spans="2:13">
      <c r="B89" s="2366" t="s">
        <v>3879</v>
      </c>
      <c r="C89" s="2367">
        <v>16703.63</v>
      </c>
      <c r="D89" s="2284">
        <v>283218.33</v>
      </c>
      <c r="E89" s="2284">
        <v>3431386.819999997</v>
      </c>
      <c r="F89" s="2284"/>
      <c r="G89" s="2284"/>
      <c r="H89" s="2284"/>
      <c r="I89" s="2284"/>
      <c r="J89" s="2284"/>
      <c r="K89" s="2284"/>
      <c r="L89" s="2368">
        <v>3731308.779999997</v>
      </c>
      <c r="M89">
        <f>+MATCH(B89,'Distribution Substation Detail'!E:E,0)</f>
        <v>95</v>
      </c>
    </row>
    <row r="90" spans="2:13">
      <c r="B90" s="2366" t="s">
        <v>3881</v>
      </c>
      <c r="C90" s="2367">
        <v>128.25</v>
      </c>
      <c r="D90" s="2284">
        <v>294212.32</v>
      </c>
      <c r="E90" s="2284">
        <v>2589241.100000001</v>
      </c>
      <c r="F90" s="2284"/>
      <c r="G90" s="2284"/>
      <c r="H90" s="2284"/>
      <c r="I90" s="2284"/>
      <c r="J90" s="2284"/>
      <c r="K90" s="2284"/>
      <c r="L90" s="2368">
        <v>2883581.6700000009</v>
      </c>
      <c r="M90">
        <f>+MATCH(B90,'Distribution Substation Detail'!E:E,0)</f>
        <v>96</v>
      </c>
    </row>
    <row r="91" spans="2:13">
      <c r="B91" s="2366" t="s">
        <v>3883</v>
      </c>
      <c r="C91" s="2367">
        <v>13756.37</v>
      </c>
      <c r="D91" s="2284">
        <v>237031.56000000003</v>
      </c>
      <c r="E91" s="2284">
        <v>2410423.0499999989</v>
      </c>
      <c r="F91" s="2284"/>
      <c r="G91" s="2284"/>
      <c r="H91" s="2284"/>
      <c r="I91" s="2284"/>
      <c r="J91" s="2284"/>
      <c r="K91" s="2284"/>
      <c r="L91" s="2368">
        <v>2661210.9799999991</v>
      </c>
      <c r="M91">
        <f>+MATCH(B91,'Distribution Substation Detail'!E:E,0)</f>
        <v>97</v>
      </c>
    </row>
    <row r="92" spans="2:13">
      <c r="B92" s="2366" t="s">
        <v>3885</v>
      </c>
      <c r="C92" s="2367"/>
      <c r="D92" s="2284">
        <v>139645.28999999998</v>
      </c>
      <c r="E92" s="2284">
        <v>2524839.0599999991</v>
      </c>
      <c r="F92" s="2284"/>
      <c r="G92" s="2284"/>
      <c r="H92" s="2284"/>
      <c r="I92" s="2284"/>
      <c r="J92" s="2284"/>
      <c r="K92" s="2284"/>
      <c r="L92" s="2368">
        <v>2664484.3499999992</v>
      </c>
      <c r="M92">
        <f>+MATCH(B92,'Distribution Substation Detail'!E:E,0)</f>
        <v>98</v>
      </c>
    </row>
    <row r="93" spans="2:13">
      <c r="B93" s="2366" t="s">
        <v>3887</v>
      </c>
      <c r="C93" s="2367">
        <v>19277.190000000002</v>
      </c>
      <c r="D93" s="2284">
        <v>114266.77</v>
      </c>
      <c r="E93" s="2284">
        <v>1395858.1600000008</v>
      </c>
      <c r="F93" s="2284"/>
      <c r="G93" s="2284"/>
      <c r="H93" s="2284"/>
      <c r="I93" s="2284"/>
      <c r="J93" s="2284"/>
      <c r="K93" s="2284"/>
      <c r="L93" s="2368">
        <v>1529402.1200000008</v>
      </c>
      <c r="M93">
        <f>+MATCH(B93,'Distribution Substation Detail'!E:E,0)</f>
        <v>99</v>
      </c>
    </row>
    <row r="94" spans="2:13">
      <c r="B94" s="2366" t="s">
        <v>3889</v>
      </c>
      <c r="C94" s="2367">
        <v>5611.7</v>
      </c>
      <c r="D94" s="2284">
        <v>278700.01</v>
      </c>
      <c r="E94" s="2284">
        <v>1513656.6800000002</v>
      </c>
      <c r="F94" s="2284"/>
      <c r="G94" s="2284"/>
      <c r="H94" s="2284"/>
      <c r="I94" s="2284"/>
      <c r="J94" s="2284"/>
      <c r="K94" s="2284"/>
      <c r="L94" s="2368">
        <v>1797968.3900000001</v>
      </c>
      <c r="M94">
        <f>+MATCH(B94,'Distribution Substation Detail'!E:E,0)</f>
        <v>100</v>
      </c>
    </row>
    <row r="95" spans="2:13">
      <c r="B95" s="2366" t="s">
        <v>3891</v>
      </c>
      <c r="C95" s="2367">
        <v>12485.54</v>
      </c>
      <c r="D95" s="2284">
        <v>53975.01</v>
      </c>
      <c r="E95" s="2284">
        <v>991233.46000000008</v>
      </c>
      <c r="F95" s="2284"/>
      <c r="G95" s="2284"/>
      <c r="H95" s="2284"/>
      <c r="I95" s="2284"/>
      <c r="J95" s="2284"/>
      <c r="K95" s="2284"/>
      <c r="L95" s="2368">
        <v>1057694.01</v>
      </c>
      <c r="M95">
        <f>+MATCH(B95,'Distribution Substation Detail'!E:E,0)</f>
        <v>101</v>
      </c>
    </row>
    <row r="96" spans="2:13">
      <c r="B96" s="2366" t="s">
        <v>3893</v>
      </c>
      <c r="C96" s="2367"/>
      <c r="D96" s="2284">
        <v>69.47</v>
      </c>
      <c r="E96" s="2284"/>
      <c r="F96" s="2284"/>
      <c r="G96" s="2284"/>
      <c r="H96" s="2284"/>
      <c r="I96" s="2284"/>
      <c r="J96" s="2284"/>
      <c r="K96" s="2284"/>
      <c r="L96" s="2368">
        <v>69.47</v>
      </c>
      <c r="M96">
        <f>+MATCH(B96,'Distribution Substation Detail'!E:E,0)</f>
        <v>102</v>
      </c>
    </row>
    <row r="97" spans="2:13">
      <c r="B97" s="2366" t="s">
        <v>3895</v>
      </c>
      <c r="C97" s="2367">
        <v>5955.89</v>
      </c>
      <c r="D97" s="2284">
        <v>117683.72999999998</v>
      </c>
      <c r="E97" s="2284">
        <v>2328486.4300000002</v>
      </c>
      <c r="F97" s="2284"/>
      <c r="G97" s="2284"/>
      <c r="H97" s="2284"/>
      <c r="I97" s="2284"/>
      <c r="J97" s="2284"/>
      <c r="K97" s="2284"/>
      <c r="L97" s="2368">
        <v>2452126.0500000003</v>
      </c>
      <c r="M97">
        <f>+MATCH(B97,'Distribution Substation Detail'!E:E,0)</f>
        <v>103</v>
      </c>
    </row>
    <row r="98" spans="2:13">
      <c r="B98" s="2366" t="s">
        <v>3897</v>
      </c>
      <c r="C98" s="2367">
        <v>6209.46</v>
      </c>
      <c r="D98" s="2284">
        <v>93849.69</v>
      </c>
      <c r="E98" s="2284">
        <v>1612490.9900000009</v>
      </c>
      <c r="F98" s="2284"/>
      <c r="G98" s="2284"/>
      <c r="H98" s="2284"/>
      <c r="I98" s="2284"/>
      <c r="J98" s="2284"/>
      <c r="K98" s="2284"/>
      <c r="L98" s="2368">
        <v>1712550.1400000008</v>
      </c>
      <c r="M98">
        <f>+MATCH(B98,'Distribution Substation Detail'!E:E,0)</f>
        <v>104</v>
      </c>
    </row>
    <row r="99" spans="2:13">
      <c r="B99" s="2366" t="s">
        <v>3899</v>
      </c>
      <c r="C99" s="2367">
        <v>29117.22</v>
      </c>
      <c r="D99" s="2284">
        <v>144274.41</v>
      </c>
      <c r="E99" s="2284">
        <v>823229.24000000057</v>
      </c>
      <c r="F99" s="2284"/>
      <c r="G99" s="2284"/>
      <c r="H99" s="2284"/>
      <c r="I99" s="2284"/>
      <c r="J99" s="2284"/>
      <c r="K99" s="2284"/>
      <c r="L99" s="2368">
        <v>996620.87000000058</v>
      </c>
      <c r="M99">
        <f>+MATCH(B99,'Distribution Substation Detail'!E:E,0)</f>
        <v>105</v>
      </c>
    </row>
    <row r="100" spans="2:13">
      <c r="B100" s="2366" t="s">
        <v>3901</v>
      </c>
      <c r="C100" s="2367">
        <v>8926.76</v>
      </c>
      <c r="D100" s="2284">
        <v>259536.67000000004</v>
      </c>
      <c r="E100" s="2284">
        <v>1407311.4900000002</v>
      </c>
      <c r="F100" s="2284"/>
      <c r="G100" s="2284"/>
      <c r="H100" s="2284"/>
      <c r="I100" s="2284"/>
      <c r="J100" s="2284"/>
      <c r="K100" s="2284"/>
      <c r="L100" s="2368">
        <v>1675774.9200000004</v>
      </c>
      <c r="M100">
        <f>+MATCH(B100,'Distribution Substation Detail'!E:E,0)</f>
        <v>106</v>
      </c>
    </row>
    <row r="101" spans="2:13">
      <c r="B101" s="2366" t="s">
        <v>3903</v>
      </c>
      <c r="C101" s="2367">
        <v>19120.16</v>
      </c>
      <c r="D101" s="2284">
        <v>185045.24</v>
      </c>
      <c r="E101" s="2284">
        <v>1566931.9499999995</v>
      </c>
      <c r="F101" s="2284"/>
      <c r="G101" s="2284"/>
      <c r="H101" s="2284"/>
      <c r="I101" s="2284"/>
      <c r="J101" s="2284"/>
      <c r="K101" s="2284"/>
      <c r="L101" s="2368">
        <v>1771097.3499999994</v>
      </c>
      <c r="M101">
        <f>+MATCH(B101,'Distribution Substation Detail'!E:E,0)</f>
        <v>107</v>
      </c>
    </row>
    <row r="102" spans="2:13">
      <c r="B102" s="2366" t="s">
        <v>3905</v>
      </c>
      <c r="C102" s="2367">
        <v>3408.06</v>
      </c>
      <c r="D102" s="2284">
        <v>309063.09999999998</v>
      </c>
      <c r="E102" s="2284">
        <v>3355331.6199999992</v>
      </c>
      <c r="F102" s="2284"/>
      <c r="G102" s="2284"/>
      <c r="H102" s="2284"/>
      <c r="I102" s="2284"/>
      <c r="J102" s="2284"/>
      <c r="K102" s="2284"/>
      <c r="L102" s="2368">
        <v>3667802.7799999993</v>
      </c>
      <c r="M102">
        <f>+MATCH(B102,'Distribution Substation Detail'!E:E,0)</f>
        <v>108</v>
      </c>
    </row>
    <row r="103" spans="2:13">
      <c r="B103" s="2366" t="s">
        <v>3907</v>
      </c>
      <c r="C103" s="2367">
        <v>351887.93</v>
      </c>
      <c r="D103" s="2284">
        <v>131701.76999999999</v>
      </c>
      <c r="E103" s="2284">
        <v>1012008.0599999999</v>
      </c>
      <c r="F103" s="2284"/>
      <c r="G103" s="2284"/>
      <c r="H103" s="2284"/>
      <c r="I103" s="2284"/>
      <c r="J103" s="2284"/>
      <c r="K103" s="2284"/>
      <c r="L103" s="2368">
        <v>1495597.7599999998</v>
      </c>
      <c r="M103">
        <f>+MATCH(B103,'Distribution Substation Detail'!E:E,0)</f>
        <v>109</v>
      </c>
    </row>
    <row r="104" spans="2:13">
      <c r="B104" s="2366" t="s">
        <v>3909</v>
      </c>
      <c r="C104" s="2367">
        <v>4640.2</v>
      </c>
      <c r="D104" s="2284">
        <v>122858.24999999999</v>
      </c>
      <c r="E104" s="2284">
        <v>1137271.6099999996</v>
      </c>
      <c r="F104" s="2284"/>
      <c r="G104" s="2284"/>
      <c r="H104" s="2284"/>
      <c r="I104" s="2284"/>
      <c r="J104" s="2284"/>
      <c r="K104" s="2284"/>
      <c r="L104" s="2368">
        <v>1264770.0599999996</v>
      </c>
      <c r="M104">
        <f>+MATCH(B104,'Distribution Substation Detail'!E:E,0)</f>
        <v>110</v>
      </c>
    </row>
    <row r="105" spans="2:13">
      <c r="B105" s="2366" t="s">
        <v>3911</v>
      </c>
      <c r="C105" s="2367">
        <v>11680.34</v>
      </c>
      <c r="D105" s="2284">
        <v>101329.97</v>
      </c>
      <c r="E105" s="2284">
        <v>1147774.1800000006</v>
      </c>
      <c r="F105" s="2284"/>
      <c r="G105" s="2284"/>
      <c r="H105" s="2284"/>
      <c r="I105" s="2284"/>
      <c r="J105" s="2284"/>
      <c r="K105" s="2284"/>
      <c r="L105" s="2368">
        <v>1260784.4900000007</v>
      </c>
      <c r="M105">
        <f>+MATCH(B105,'Distribution Substation Detail'!E:E,0)</f>
        <v>111</v>
      </c>
    </row>
    <row r="106" spans="2:13">
      <c r="B106" s="2366" t="s">
        <v>3913</v>
      </c>
      <c r="C106" s="2367">
        <v>44117.66</v>
      </c>
      <c r="D106" s="2284">
        <v>77132.259999999995</v>
      </c>
      <c r="E106" s="2284">
        <v>2273215.9699999993</v>
      </c>
      <c r="F106" s="2284"/>
      <c r="G106" s="2284"/>
      <c r="H106" s="2284"/>
      <c r="I106" s="2284"/>
      <c r="J106" s="2284"/>
      <c r="K106" s="2284"/>
      <c r="L106" s="2368">
        <v>2394465.8899999992</v>
      </c>
      <c r="M106">
        <f>+MATCH(B106,'Distribution Substation Detail'!E:E,0)</f>
        <v>112</v>
      </c>
    </row>
    <row r="107" spans="2:13">
      <c r="B107" s="2366" t="s">
        <v>3915</v>
      </c>
      <c r="C107" s="2367">
        <v>73783.22</v>
      </c>
      <c r="D107" s="2284">
        <v>81551.789999999994</v>
      </c>
      <c r="E107" s="2284">
        <v>1273195.4599999997</v>
      </c>
      <c r="F107" s="2284"/>
      <c r="G107" s="2284"/>
      <c r="H107" s="2284"/>
      <c r="I107" s="2284"/>
      <c r="J107" s="2284"/>
      <c r="K107" s="2284"/>
      <c r="L107" s="2368">
        <v>1428530.4699999997</v>
      </c>
      <c r="M107">
        <f>+MATCH(B107,'Distribution Substation Detail'!E:E,0)</f>
        <v>113</v>
      </c>
    </row>
    <row r="108" spans="2:13">
      <c r="B108" s="2366" t="s">
        <v>3917</v>
      </c>
      <c r="C108" s="2367">
        <v>5761.46</v>
      </c>
      <c r="D108" s="2284">
        <v>107933.47000000002</v>
      </c>
      <c r="E108" s="2284">
        <v>914248.42999999935</v>
      </c>
      <c r="F108" s="2284"/>
      <c r="G108" s="2284"/>
      <c r="H108" s="2284"/>
      <c r="I108" s="2284"/>
      <c r="J108" s="2284"/>
      <c r="K108" s="2284"/>
      <c r="L108" s="2368">
        <v>1027943.3599999994</v>
      </c>
      <c r="M108">
        <f>+MATCH(B108,'Distribution Substation Detail'!E:E,0)</f>
        <v>114</v>
      </c>
    </row>
    <row r="109" spans="2:13">
      <c r="B109" s="2366" t="s">
        <v>3919</v>
      </c>
      <c r="C109" s="2367">
        <v>32148.23</v>
      </c>
      <c r="D109" s="2284">
        <v>88241.72</v>
      </c>
      <c r="E109" s="2284">
        <v>751055.43999999971</v>
      </c>
      <c r="F109" s="2284"/>
      <c r="G109" s="2284"/>
      <c r="H109" s="2284"/>
      <c r="I109" s="2284"/>
      <c r="J109" s="2284"/>
      <c r="K109" s="2284"/>
      <c r="L109" s="2368">
        <v>871445.38999999966</v>
      </c>
      <c r="M109">
        <f>+MATCH(B109,'Distribution Substation Detail'!E:E,0)</f>
        <v>115</v>
      </c>
    </row>
    <row r="110" spans="2:13">
      <c r="B110" s="2366" t="s">
        <v>3921</v>
      </c>
      <c r="C110" s="2367">
        <v>9479.56</v>
      </c>
      <c r="D110" s="2284">
        <v>236344.3</v>
      </c>
      <c r="E110" s="2284">
        <v>872636.41000000015</v>
      </c>
      <c r="F110" s="2284"/>
      <c r="G110" s="2284"/>
      <c r="H110" s="2284"/>
      <c r="I110" s="2284"/>
      <c r="J110" s="2284"/>
      <c r="K110" s="2284"/>
      <c r="L110" s="2368">
        <v>1118460.27</v>
      </c>
      <c r="M110">
        <f>+MATCH(B110,'Distribution Substation Detail'!E:E,0)</f>
        <v>116</v>
      </c>
    </row>
    <row r="111" spans="2:13">
      <c r="B111" s="2366" t="s">
        <v>3923</v>
      </c>
      <c r="C111" s="2367">
        <v>8905.5499999999993</v>
      </c>
      <c r="D111" s="2284">
        <v>143085.47</v>
      </c>
      <c r="E111" s="2284">
        <v>1356316.24</v>
      </c>
      <c r="F111" s="2284"/>
      <c r="G111" s="2284"/>
      <c r="H111" s="2284"/>
      <c r="I111" s="2284"/>
      <c r="J111" s="2284"/>
      <c r="K111" s="2284"/>
      <c r="L111" s="2368">
        <v>1508307.26</v>
      </c>
      <c r="M111">
        <f>+MATCH(B111,'Distribution Substation Detail'!E:E,0)</f>
        <v>117</v>
      </c>
    </row>
    <row r="112" spans="2:13">
      <c r="B112" s="2366" t="s">
        <v>3925</v>
      </c>
      <c r="C112" s="2367">
        <v>5046.5</v>
      </c>
      <c r="D112" s="2284">
        <v>165326.58000000002</v>
      </c>
      <c r="E112" s="2284">
        <v>1031457.6700000002</v>
      </c>
      <c r="F112" s="2284"/>
      <c r="G112" s="2284"/>
      <c r="H112" s="2284"/>
      <c r="I112" s="2284"/>
      <c r="J112" s="2284"/>
      <c r="K112" s="2284"/>
      <c r="L112" s="2368">
        <v>1201830.7500000002</v>
      </c>
      <c r="M112">
        <f>+MATCH(B112,'Distribution Substation Detail'!E:E,0)</f>
        <v>118</v>
      </c>
    </row>
    <row r="113" spans="2:13">
      <c r="B113" s="2366" t="s">
        <v>3927</v>
      </c>
      <c r="C113" s="2367">
        <v>40147.01</v>
      </c>
      <c r="D113" s="2284">
        <v>238276.75000000003</v>
      </c>
      <c r="E113" s="2284">
        <v>1212043.3799999992</v>
      </c>
      <c r="F113" s="2284"/>
      <c r="G113" s="2284"/>
      <c r="H113" s="2284"/>
      <c r="I113" s="2284"/>
      <c r="J113" s="2284"/>
      <c r="K113" s="2284"/>
      <c r="L113" s="2368">
        <v>1490467.1399999992</v>
      </c>
      <c r="M113">
        <f>+MATCH(B113,'Distribution Substation Detail'!E:E,0)</f>
        <v>119</v>
      </c>
    </row>
    <row r="114" spans="2:13">
      <c r="B114" s="2366" t="s">
        <v>3929</v>
      </c>
      <c r="C114" s="2367">
        <v>24007.62</v>
      </c>
      <c r="D114" s="2284">
        <v>90338.32</v>
      </c>
      <c r="E114" s="2284">
        <v>433579.70000000013</v>
      </c>
      <c r="F114" s="2284"/>
      <c r="G114" s="2284"/>
      <c r="H114" s="2284"/>
      <c r="I114" s="2284"/>
      <c r="J114" s="2284"/>
      <c r="K114" s="2284"/>
      <c r="L114" s="2368">
        <v>547925.64000000013</v>
      </c>
      <c r="M114">
        <f>+MATCH(B114,'Distribution Substation Detail'!E:E,0)</f>
        <v>120</v>
      </c>
    </row>
    <row r="115" spans="2:13">
      <c r="B115" s="2366" t="s">
        <v>3931</v>
      </c>
      <c r="C115" s="2367">
        <v>41615.480000000003</v>
      </c>
      <c r="D115" s="2284">
        <v>538968.21000000008</v>
      </c>
      <c r="E115" s="2284">
        <v>2227735.0300000007</v>
      </c>
      <c r="F115" s="2284"/>
      <c r="G115" s="2284"/>
      <c r="H115" s="2284"/>
      <c r="I115" s="2284"/>
      <c r="J115" s="2284"/>
      <c r="K115" s="2284"/>
      <c r="L115" s="2368">
        <v>2808318.7200000007</v>
      </c>
      <c r="M115">
        <f>+MATCH(B115,'Distribution Substation Detail'!E:E,0)</f>
        <v>121</v>
      </c>
    </row>
    <row r="116" spans="2:13">
      <c r="B116" s="2366" t="s">
        <v>3933</v>
      </c>
      <c r="C116" s="2367">
        <v>54803.090000000004</v>
      </c>
      <c r="D116" s="2284">
        <v>214695.23</v>
      </c>
      <c r="E116" s="2284">
        <v>1856326.7899999993</v>
      </c>
      <c r="F116" s="2284"/>
      <c r="G116" s="2284"/>
      <c r="H116" s="2284"/>
      <c r="I116" s="2284"/>
      <c r="J116" s="2284"/>
      <c r="K116" s="2284"/>
      <c r="L116" s="2368">
        <v>2125825.1099999994</v>
      </c>
      <c r="M116">
        <f>+MATCH(B116,'Distribution Substation Detail'!E:E,0)</f>
        <v>122</v>
      </c>
    </row>
    <row r="117" spans="2:13">
      <c r="B117" s="2366" t="s">
        <v>3935</v>
      </c>
      <c r="C117" s="2367">
        <v>37388.370000000003</v>
      </c>
      <c r="D117" s="2284">
        <v>149548.03</v>
      </c>
      <c r="E117" s="2284">
        <v>3640112.450000002</v>
      </c>
      <c r="F117" s="2284"/>
      <c r="G117" s="2284"/>
      <c r="H117" s="2284"/>
      <c r="I117" s="2284"/>
      <c r="J117" s="2284"/>
      <c r="K117" s="2284"/>
      <c r="L117" s="2368">
        <v>3827048.850000002</v>
      </c>
      <c r="M117">
        <f>+MATCH(B117,'Distribution Substation Detail'!E:E,0)</f>
        <v>123</v>
      </c>
    </row>
    <row r="118" spans="2:13">
      <c r="B118" s="2366" t="s">
        <v>3937</v>
      </c>
      <c r="C118" s="2367">
        <v>295808.92</v>
      </c>
      <c r="D118" s="2284">
        <v>644022.27999999991</v>
      </c>
      <c r="E118" s="2284">
        <v>3843507.3299999991</v>
      </c>
      <c r="F118" s="2284"/>
      <c r="G118" s="2284"/>
      <c r="H118" s="2284"/>
      <c r="I118" s="2284"/>
      <c r="J118" s="2284"/>
      <c r="K118" s="2284"/>
      <c r="L118" s="2368">
        <v>4783338.5299999993</v>
      </c>
      <c r="M118">
        <f>+MATCH(B118,'Distribution Substation Detail'!E:E,0)</f>
        <v>124</v>
      </c>
    </row>
    <row r="119" spans="2:13">
      <c r="B119" s="2366" t="s">
        <v>3939</v>
      </c>
      <c r="C119" s="2367">
        <v>8294.6200000000008</v>
      </c>
      <c r="D119" s="2284">
        <v>114694.37999999999</v>
      </c>
      <c r="E119" s="2284">
        <v>1395471.3800000006</v>
      </c>
      <c r="F119" s="2284"/>
      <c r="G119" s="2284"/>
      <c r="H119" s="2284"/>
      <c r="I119" s="2284"/>
      <c r="J119" s="2284"/>
      <c r="K119" s="2284"/>
      <c r="L119" s="2368">
        <v>1518460.3800000006</v>
      </c>
      <c r="M119">
        <f>+MATCH(B119,'Distribution Substation Detail'!E:E,0)</f>
        <v>125</v>
      </c>
    </row>
    <row r="120" spans="2:13">
      <c r="B120" s="2366" t="s">
        <v>3941</v>
      </c>
      <c r="C120" s="2367">
        <v>163047.55000000002</v>
      </c>
      <c r="D120" s="2284">
        <v>210379.37</v>
      </c>
      <c r="E120" s="2284">
        <v>2299861.9800000014</v>
      </c>
      <c r="F120" s="2284"/>
      <c r="G120" s="2284"/>
      <c r="H120" s="2284"/>
      <c r="I120" s="2284"/>
      <c r="J120" s="2284">
        <v>389.89</v>
      </c>
      <c r="K120" s="2284"/>
      <c r="L120" s="2368">
        <v>2673678.7900000014</v>
      </c>
      <c r="M120">
        <f>+MATCH(B120,'Distribution Substation Detail'!E:E,0)</f>
        <v>126</v>
      </c>
    </row>
    <row r="121" spans="2:13">
      <c r="B121" s="2366" t="s">
        <v>3943</v>
      </c>
      <c r="C121" s="2367">
        <v>52247.31</v>
      </c>
      <c r="D121" s="2284">
        <v>161913.38</v>
      </c>
      <c r="E121" s="2284">
        <v>466917.8299999999</v>
      </c>
      <c r="F121" s="2284"/>
      <c r="G121" s="2284"/>
      <c r="H121" s="2284"/>
      <c r="I121" s="2284"/>
      <c r="J121" s="2284"/>
      <c r="K121" s="2284"/>
      <c r="L121" s="2368">
        <v>681078.5199999999</v>
      </c>
      <c r="M121">
        <f>+MATCH(B121,'Distribution Substation Detail'!E:E,0)</f>
        <v>127</v>
      </c>
    </row>
    <row r="122" spans="2:13">
      <c r="B122" s="2366" t="s">
        <v>3945</v>
      </c>
      <c r="C122" s="2367">
        <v>27135.100000000002</v>
      </c>
      <c r="D122" s="2284">
        <v>1045662.51</v>
      </c>
      <c r="E122" s="2284">
        <v>3345558.2999999989</v>
      </c>
      <c r="F122" s="2284"/>
      <c r="G122" s="2284"/>
      <c r="H122" s="2284"/>
      <c r="I122" s="2284"/>
      <c r="J122" s="2284">
        <v>372.91</v>
      </c>
      <c r="K122" s="2284"/>
      <c r="L122" s="2368">
        <v>4418728.8199999994</v>
      </c>
      <c r="M122">
        <f>+MATCH(B122,'Distribution Substation Detail'!E:E,0)</f>
        <v>128</v>
      </c>
    </row>
    <row r="123" spans="2:13">
      <c r="B123" s="2366" t="s">
        <v>3947</v>
      </c>
      <c r="C123" s="2367">
        <v>34421.61</v>
      </c>
      <c r="D123" s="2284">
        <v>177132.44</v>
      </c>
      <c r="E123" s="2284">
        <v>2037042.9900000012</v>
      </c>
      <c r="F123" s="2284"/>
      <c r="G123" s="2284"/>
      <c r="H123" s="2284"/>
      <c r="I123" s="2284"/>
      <c r="J123" s="2284"/>
      <c r="K123" s="2284"/>
      <c r="L123" s="2368">
        <v>2248597.040000001</v>
      </c>
      <c r="M123">
        <f>+MATCH(B123,'Distribution Substation Detail'!E:E,0)</f>
        <v>129</v>
      </c>
    </row>
    <row r="124" spans="2:13">
      <c r="B124" s="2366" t="s">
        <v>3949</v>
      </c>
      <c r="C124" s="2367">
        <v>42437.78</v>
      </c>
      <c r="D124" s="2284">
        <v>131631.24</v>
      </c>
      <c r="E124" s="2284">
        <v>977638.58999999985</v>
      </c>
      <c r="F124" s="2284"/>
      <c r="G124" s="2284"/>
      <c r="H124" s="2284"/>
      <c r="I124" s="2284"/>
      <c r="J124" s="2284"/>
      <c r="K124" s="2284"/>
      <c r="L124" s="2368">
        <v>1151707.6099999999</v>
      </c>
      <c r="M124">
        <f>+MATCH(B124,'Distribution Substation Detail'!E:E,0)</f>
        <v>130</v>
      </c>
    </row>
    <row r="125" spans="2:13">
      <c r="B125" s="2366" t="s">
        <v>3951</v>
      </c>
      <c r="C125" s="2367">
        <v>133487.65</v>
      </c>
      <c r="D125" s="2284">
        <v>260097.42999999996</v>
      </c>
      <c r="E125" s="2284">
        <v>2114626.0900000012</v>
      </c>
      <c r="F125" s="2284"/>
      <c r="G125" s="2284"/>
      <c r="H125" s="2284"/>
      <c r="I125" s="2284"/>
      <c r="J125" s="2284"/>
      <c r="K125" s="2284"/>
      <c r="L125" s="2368">
        <v>2508211.1700000013</v>
      </c>
      <c r="M125">
        <f>+MATCH(B125,'Distribution Substation Detail'!E:E,0)</f>
        <v>131</v>
      </c>
    </row>
    <row r="126" spans="2:13">
      <c r="B126" s="2366" t="s">
        <v>3953</v>
      </c>
      <c r="C126" s="2367">
        <v>128157.36</v>
      </c>
      <c r="D126" s="2284">
        <v>429151.26</v>
      </c>
      <c r="E126" s="2284">
        <v>2347173.8100000005</v>
      </c>
      <c r="F126" s="2284"/>
      <c r="G126" s="2284"/>
      <c r="H126" s="2284"/>
      <c r="I126" s="2284"/>
      <c r="J126" s="2284"/>
      <c r="K126" s="2284"/>
      <c r="L126" s="2368">
        <v>2904482.4300000006</v>
      </c>
      <c r="M126">
        <f>+MATCH(B126,'Distribution Substation Detail'!E:E,0)</f>
        <v>132</v>
      </c>
    </row>
    <row r="127" spans="2:13">
      <c r="B127" s="2366" t="s">
        <v>3957</v>
      </c>
      <c r="C127" s="2367">
        <v>104042.7</v>
      </c>
      <c r="D127" s="2284">
        <v>217281.47</v>
      </c>
      <c r="E127" s="2284">
        <v>977107.90000000037</v>
      </c>
      <c r="F127" s="2284"/>
      <c r="G127" s="2284"/>
      <c r="H127" s="2284"/>
      <c r="I127" s="2284"/>
      <c r="J127" s="2284"/>
      <c r="K127" s="2284"/>
      <c r="L127" s="2368">
        <v>1298432.0700000003</v>
      </c>
      <c r="M127">
        <f>+MATCH(B127,'Distribution Substation Detail'!E:E,0)</f>
        <v>134</v>
      </c>
    </row>
    <row r="128" spans="2:13">
      <c r="B128" s="2366" t="s">
        <v>3959</v>
      </c>
      <c r="C128" s="2367">
        <v>108660.84</v>
      </c>
      <c r="D128" s="2284">
        <v>82332.509999999995</v>
      </c>
      <c r="E128" s="2284">
        <v>679880.89999999979</v>
      </c>
      <c r="F128" s="2284"/>
      <c r="G128" s="2284"/>
      <c r="H128" s="2284"/>
      <c r="I128" s="2284"/>
      <c r="J128" s="2284"/>
      <c r="K128" s="2284"/>
      <c r="L128" s="2368">
        <v>870874.24999999977</v>
      </c>
      <c r="M128">
        <f>+MATCH(B128,'Distribution Substation Detail'!E:E,0)</f>
        <v>135</v>
      </c>
    </row>
    <row r="129" spans="2:13">
      <c r="B129" s="2366" t="s">
        <v>3961</v>
      </c>
      <c r="C129" s="2367">
        <v>88562.16</v>
      </c>
      <c r="D129" s="2284">
        <v>316180.03000000003</v>
      </c>
      <c r="E129" s="2284">
        <v>2400985.02</v>
      </c>
      <c r="F129" s="2284"/>
      <c r="G129" s="2284"/>
      <c r="H129" s="2284"/>
      <c r="I129" s="2284"/>
      <c r="J129" s="2284"/>
      <c r="K129" s="2284"/>
      <c r="L129" s="2368">
        <v>2805727.21</v>
      </c>
      <c r="M129">
        <f>+MATCH(B129,'Distribution Substation Detail'!E:E,0)</f>
        <v>136</v>
      </c>
    </row>
    <row r="130" spans="2:13">
      <c r="B130" s="2366" t="s">
        <v>3963</v>
      </c>
      <c r="C130" s="2367">
        <v>259667.48</v>
      </c>
      <c r="D130" s="2284">
        <v>87397.190000000017</v>
      </c>
      <c r="E130" s="2284">
        <v>1282851.6699999995</v>
      </c>
      <c r="F130" s="2284"/>
      <c r="G130" s="2284"/>
      <c r="H130" s="2284"/>
      <c r="I130" s="2284"/>
      <c r="J130" s="2284"/>
      <c r="K130" s="2284"/>
      <c r="L130" s="2368">
        <v>1629916.3399999994</v>
      </c>
      <c r="M130">
        <f>+MATCH(B130,'Distribution Substation Detail'!E:E,0)</f>
        <v>137</v>
      </c>
    </row>
    <row r="131" spans="2:13">
      <c r="B131" s="2366" t="s">
        <v>3965</v>
      </c>
      <c r="C131" s="2367">
        <v>490298.88</v>
      </c>
      <c r="D131" s="2284">
        <v>295610.32</v>
      </c>
      <c r="E131" s="2284">
        <v>1574326.4299999997</v>
      </c>
      <c r="F131" s="2284"/>
      <c r="G131" s="2284"/>
      <c r="H131" s="2284"/>
      <c r="I131" s="2284"/>
      <c r="J131" s="2284"/>
      <c r="K131" s="2284"/>
      <c r="L131" s="2368">
        <v>2360235.63</v>
      </c>
      <c r="M131">
        <f>+MATCH(B131,'Distribution Substation Detail'!E:E,0)</f>
        <v>138</v>
      </c>
    </row>
    <row r="132" spans="2:13">
      <c r="B132" s="2366" t="s">
        <v>3967</v>
      </c>
      <c r="C132" s="2367"/>
      <c r="D132" s="2284">
        <v>6928.56</v>
      </c>
      <c r="E132" s="2284">
        <v>344617.87</v>
      </c>
      <c r="F132" s="2284"/>
      <c r="G132" s="2284"/>
      <c r="H132" s="2284"/>
      <c r="I132" s="2284"/>
      <c r="J132" s="2284"/>
      <c r="K132" s="2284"/>
      <c r="L132" s="2368">
        <v>351546.43</v>
      </c>
      <c r="M132">
        <f>+MATCH(B132,'Distribution Substation Detail'!E:E,0)</f>
        <v>139</v>
      </c>
    </row>
    <row r="133" spans="2:13">
      <c r="B133" s="2366" t="s">
        <v>3301</v>
      </c>
      <c r="C133" s="2367"/>
      <c r="D133" s="2284"/>
      <c r="E133" s="2284"/>
      <c r="F133" s="2284">
        <v>586.69000000000005</v>
      </c>
      <c r="G133" s="2284"/>
      <c r="H133" s="2284"/>
      <c r="I133" s="2284"/>
      <c r="J133" s="2284"/>
      <c r="K133" s="2284"/>
      <c r="L133" s="2368">
        <v>586.69000000000005</v>
      </c>
      <c r="M133">
        <f>+MATCH(B133,'Distribution Substation Detail'!E:E,0)</f>
        <v>140</v>
      </c>
    </row>
    <row r="134" spans="2:13">
      <c r="B134" s="2366" t="s">
        <v>3969</v>
      </c>
      <c r="C134" s="2367">
        <v>163393.80000000002</v>
      </c>
      <c r="D134" s="2284">
        <v>201924.47000000003</v>
      </c>
      <c r="E134" s="2284">
        <v>2654202.2700000014</v>
      </c>
      <c r="F134" s="2284"/>
      <c r="G134" s="2284"/>
      <c r="H134" s="2284"/>
      <c r="I134" s="2284"/>
      <c r="J134" s="2284"/>
      <c r="K134" s="2284"/>
      <c r="L134" s="2368">
        <v>3019520.5400000014</v>
      </c>
      <c r="M134">
        <f>+MATCH(B134,'Distribution Substation Detail'!E:E,0)</f>
        <v>141</v>
      </c>
    </row>
    <row r="135" spans="2:13">
      <c r="B135" s="2366" t="s">
        <v>3971</v>
      </c>
      <c r="C135" s="2367">
        <v>174297.9</v>
      </c>
      <c r="D135" s="2284">
        <v>580114.81000000017</v>
      </c>
      <c r="E135" s="2284">
        <v>2801377.38</v>
      </c>
      <c r="F135" s="2284"/>
      <c r="G135" s="2284"/>
      <c r="H135" s="2284"/>
      <c r="I135" s="2284"/>
      <c r="J135" s="2284"/>
      <c r="K135" s="2284"/>
      <c r="L135" s="2368">
        <v>3555790.09</v>
      </c>
      <c r="M135">
        <f>+MATCH(B135,'Distribution Substation Detail'!E:E,0)</f>
        <v>142</v>
      </c>
    </row>
    <row r="136" spans="2:13">
      <c r="B136" s="2366" t="s">
        <v>3973</v>
      </c>
      <c r="C136" s="2367">
        <v>631732.99</v>
      </c>
      <c r="D136" s="2284">
        <v>281186.78999999998</v>
      </c>
      <c r="E136" s="2284">
        <v>2976080.049999998</v>
      </c>
      <c r="F136" s="2284"/>
      <c r="G136" s="2284"/>
      <c r="H136" s="2284"/>
      <c r="I136" s="2284"/>
      <c r="J136" s="2284"/>
      <c r="K136" s="2284"/>
      <c r="L136" s="2368">
        <v>3888999.8299999982</v>
      </c>
      <c r="M136">
        <f>+MATCH(B136,'Distribution Substation Detail'!E:E,0)</f>
        <v>143</v>
      </c>
    </row>
    <row r="137" spans="2:13">
      <c r="B137" s="2366" t="s">
        <v>3975</v>
      </c>
      <c r="C137" s="2367">
        <v>14574.94</v>
      </c>
      <c r="D137" s="2284">
        <v>250112.12999999998</v>
      </c>
      <c r="E137" s="2284">
        <v>1828809.5899999992</v>
      </c>
      <c r="F137" s="2284"/>
      <c r="G137" s="2284"/>
      <c r="H137" s="2284"/>
      <c r="I137" s="2284"/>
      <c r="J137" s="2284"/>
      <c r="K137" s="2284"/>
      <c r="L137" s="2368">
        <v>2093496.6599999992</v>
      </c>
      <c r="M137">
        <f>+MATCH(B137,'Distribution Substation Detail'!E:E,0)</f>
        <v>144</v>
      </c>
    </row>
    <row r="138" spans="2:13">
      <c r="B138" s="2366" t="s">
        <v>3977</v>
      </c>
      <c r="C138" s="2367"/>
      <c r="D138" s="2284"/>
      <c r="E138" s="2284">
        <v>201660.53</v>
      </c>
      <c r="F138" s="2284"/>
      <c r="G138" s="2284"/>
      <c r="H138" s="2284"/>
      <c r="I138" s="2284"/>
      <c r="J138" s="2284"/>
      <c r="K138" s="2284"/>
      <c r="L138" s="2368">
        <v>201660.53</v>
      </c>
      <c r="M138">
        <f>+MATCH(B138,'Distribution Substation Detail'!E:E,0)</f>
        <v>145</v>
      </c>
    </row>
    <row r="139" spans="2:13">
      <c r="B139" s="2366" t="s">
        <v>3979</v>
      </c>
      <c r="C139" s="2367">
        <v>313369.85000000003</v>
      </c>
      <c r="D139" s="2284">
        <v>602510.35000000009</v>
      </c>
      <c r="E139" s="2284">
        <v>1950175.4199999997</v>
      </c>
      <c r="F139" s="2284"/>
      <c r="G139" s="2284"/>
      <c r="H139" s="2284"/>
      <c r="I139" s="2284"/>
      <c r="J139" s="2284"/>
      <c r="K139" s="2284"/>
      <c r="L139" s="2368">
        <v>2866055.62</v>
      </c>
      <c r="M139">
        <f>+MATCH(B139,'Distribution Substation Detail'!E:E,0)</f>
        <v>146</v>
      </c>
    </row>
    <row r="140" spans="2:13">
      <c r="B140" s="2366" t="s">
        <v>3981</v>
      </c>
      <c r="C140" s="2367">
        <v>114576.8</v>
      </c>
      <c r="D140" s="2284">
        <v>144761.10999999999</v>
      </c>
      <c r="E140" s="2284">
        <v>987619.60000000033</v>
      </c>
      <c r="F140" s="2284"/>
      <c r="G140" s="2284"/>
      <c r="H140" s="2284"/>
      <c r="I140" s="2284"/>
      <c r="J140" s="2284"/>
      <c r="K140" s="2284"/>
      <c r="L140" s="2368">
        <v>1246957.5100000002</v>
      </c>
      <c r="M140">
        <f>+MATCH(B140,'Distribution Substation Detail'!E:E,0)</f>
        <v>147</v>
      </c>
    </row>
    <row r="141" spans="2:13">
      <c r="B141" s="2366" t="s">
        <v>3983</v>
      </c>
      <c r="C141" s="2367"/>
      <c r="D141" s="2284">
        <v>2656.29</v>
      </c>
      <c r="E141" s="2284">
        <v>1892361.6700000002</v>
      </c>
      <c r="F141" s="2284"/>
      <c r="G141" s="2284"/>
      <c r="H141" s="2284"/>
      <c r="I141" s="2284"/>
      <c r="J141" s="2284"/>
      <c r="K141" s="2284"/>
      <c r="L141" s="2368">
        <v>1895017.9600000002</v>
      </c>
      <c r="M141">
        <f>+MATCH(B141,'Distribution Substation Detail'!E:E,0)</f>
        <v>148</v>
      </c>
    </row>
    <row r="142" spans="2:13">
      <c r="B142" s="2366" t="s">
        <v>3985</v>
      </c>
      <c r="C142" s="2367"/>
      <c r="D142" s="2284"/>
      <c r="E142" s="2284">
        <v>273032.34000000003</v>
      </c>
      <c r="F142" s="2284"/>
      <c r="G142" s="2284"/>
      <c r="H142" s="2284"/>
      <c r="I142" s="2284"/>
      <c r="J142" s="2284"/>
      <c r="K142" s="2284"/>
      <c r="L142" s="2368">
        <v>273032.34000000003</v>
      </c>
      <c r="M142">
        <f>+MATCH(B142,'Distribution Substation Detail'!E:E,0)</f>
        <v>149</v>
      </c>
    </row>
    <row r="143" spans="2:13">
      <c r="B143" s="2366" t="s">
        <v>3987</v>
      </c>
      <c r="C143" s="2367">
        <v>19888.43</v>
      </c>
      <c r="D143" s="2284">
        <v>611388.35000000009</v>
      </c>
      <c r="E143" s="2284">
        <v>3063708.9299999978</v>
      </c>
      <c r="F143" s="2284"/>
      <c r="G143" s="2284"/>
      <c r="H143" s="2284"/>
      <c r="I143" s="2284"/>
      <c r="J143" s="2284"/>
      <c r="K143" s="2284"/>
      <c r="L143" s="2368">
        <v>3694985.7099999981</v>
      </c>
      <c r="M143">
        <f>+MATCH(B143,'Distribution Substation Detail'!E:E,0)</f>
        <v>150</v>
      </c>
    </row>
    <row r="144" spans="2:13">
      <c r="B144" s="2366" t="s">
        <v>3989</v>
      </c>
      <c r="C144" s="2367">
        <v>45274.770000000004</v>
      </c>
      <c r="D144" s="2284">
        <v>89720.809999999983</v>
      </c>
      <c r="E144" s="2284">
        <v>1203169.4399999997</v>
      </c>
      <c r="F144" s="2284"/>
      <c r="G144" s="2284"/>
      <c r="H144" s="2284"/>
      <c r="I144" s="2284"/>
      <c r="J144" s="2284"/>
      <c r="K144" s="2284"/>
      <c r="L144" s="2368">
        <v>1338165.0199999998</v>
      </c>
      <c r="M144">
        <f>+MATCH(B144,'Distribution Substation Detail'!E:E,0)</f>
        <v>151</v>
      </c>
    </row>
    <row r="145" spans="2:13">
      <c r="B145" s="2366" t="s">
        <v>3991</v>
      </c>
      <c r="C145" s="2367"/>
      <c r="D145" s="2284">
        <v>2117.98</v>
      </c>
      <c r="E145" s="2284">
        <v>73766.16</v>
      </c>
      <c r="F145" s="2284"/>
      <c r="G145" s="2284"/>
      <c r="H145" s="2284"/>
      <c r="I145" s="2284"/>
      <c r="J145" s="2284"/>
      <c r="K145" s="2284"/>
      <c r="L145" s="2368">
        <v>75884.14</v>
      </c>
      <c r="M145">
        <f>+MATCH(B145,'Distribution Substation Detail'!E:E,0)</f>
        <v>152</v>
      </c>
    </row>
    <row r="146" spans="2:13">
      <c r="B146" s="2366" t="s">
        <v>3993</v>
      </c>
      <c r="C146" s="2367"/>
      <c r="D146" s="2284">
        <v>1454.5300000000002</v>
      </c>
      <c r="E146" s="2284">
        <v>82275.460000000006</v>
      </c>
      <c r="F146" s="2284"/>
      <c r="G146" s="2284"/>
      <c r="H146" s="2284"/>
      <c r="I146" s="2284"/>
      <c r="J146" s="2284"/>
      <c r="K146" s="2284"/>
      <c r="L146" s="2368">
        <v>83729.990000000005</v>
      </c>
      <c r="M146">
        <f>+MATCH(B146,'Distribution Substation Detail'!E:E,0)</f>
        <v>153</v>
      </c>
    </row>
    <row r="147" spans="2:13">
      <c r="B147" s="2366" t="s">
        <v>3995</v>
      </c>
      <c r="C147" s="2367"/>
      <c r="D147" s="2284">
        <v>2152.34</v>
      </c>
      <c r="E147" s="2284">
        <v>65361.3</v>
      </c>
      <c r="F147" s="2284"/>
      <c r="G147" s="2284"/>
      <c r="H147" s="2284"/>
      <c r="I147" s="2284"/>
      <c r="J147" s="2284"/>
      <c r="K147" s="2284"/>
      <c r="L147" s="2368">
        <v>67513.64</v>
      </c>
      <c r="M147">
        <f>+MATCH(B147,'Distribution Substation Detail'!E:E,0)</f>
        <v>154</v>
      </c>
    </row>
    <row r="148" spans="2:13">
      <c r="B148" s="2366" t="s">
        <v>3311</v>
      </c>
      <c r="C148" s="2367"/>
      <c r="D148" s="2284"/>
      <c r="E148" s="2284"/>
      <c r="F148" s="2284">
        <v>72759.14</v>
      </c>
      <c r="G148" s="2284"/>
      <c r="H148" s="2284">
        <v>2048.4700000000003</v>
      </c>
      <c r="I148" s="2284">
        <v>6750.99</v>
      </c>
      <c r="J148" s="2284"/>
      <c r="K148" s="2284"/>
      <c r="L148" s="2368">
        <v>81558.600000000006</v>
      </c>
      <c r="M148" t="e">
        <f>+MATCH(B148,'Distribution Substation Detail'!E:E,0)</f>
        <v>#N/A</v>
      </c>
    </row>
    <row r="149" spans="2:13">
      <c r="B149" s="2366" t="s">
        <v>3997</v>
      </c>
      <c r="C149" s="2367">
        <v>4625.62</v>
      </c>
      <c r="D149" s="2284">
        <v>184521.38</v>
      </c>
      <c r="E149" s="2284">
        <v>906864.06999999983</v>
      </c>
      <c r="F149" s="2284"/>
      <c r="G149" s="2284"/>
      <c r="H149" s="2284"/>
      <c r="I149" s="2284"/>
      <c r="J149" s="2284"/>
      <c r="K149" s="2284"/>
      <c r="L149" s="2368">
        <v>1096011.0699999998</v>
      </c>
      <c r="M149">
        <f>+MATCH(B149,'Distribution Substation Detail'!E:E,0)</f>
        <v>155</v>
      </c>
    </row>
    <row r="150" spans="2:13">
      <c r="B150" s="2366" t="s">
        <v>3999</v>
      </c>
      <c r="C150" s="2367"/>
      <c r="D150" s="2284"/>
      <c r="E150" s="2284">
        <v>185104.90000000002</v>
      </c>
      <c r="F150" s="2284"/>
      <c r="G150" s="2284"/>
      <c r="H150" s="2284"/>
      <c r="I150" s="2284"/>
      <c r="J150" s="2284"/>
      <c r="K150" s="2284"/>
      <c r="L150" s="2368">
        <v>185104.90000000002</v>
      </c>
      <c r="M150">
        <f>+MATCH(B150,'Distribution Substation Detail'!E:E,0)</f>
        <v>156</v>
      </c>
    </row>
    <row r="151" spans="2:13">
      <c r="B151" s="2366" t="s">
        <v>4001</v>
      </c>
      <c r="C151" s="2367">
        <v>178474.02</v>
      </c>
      <c r="D151" s="2284">
        <v>360810.22</v>
      </c>
      <c r="E151" s="2284">
        <v>3141538.5400000005</v>
      </c>
      <c r="F151" s="2284"/>
      <c r="G151" s="2284"/>
      <c r="H151" s="2284"/>
      <c r="I151" s="2284"/>
      <c r="J151" s="2284"/>
      <c r="K151" s="2284"/>
      <c r="L151" s="2368">
        <v>3680822.7800000003</v>
      </c>
      <c r="M151">
        <f>+MATCH(B151,'Distribution Substation Detail'!E:E,0)</f>
        <v>157</v>
      </c>
    </row>
    <row r="152" spans="2:13">
      <c r="B152" s="2366" t="s">
        <v>4003</v>
      </c>
      <c r="C152" s="2367"/>
      <c r="D152" s="2284">
        <v>14864.62</v>
      </c>
      <c r="E152" s="2284">
        <v>108465.45999999999</v>
      </c>
      <c r="F152" s="2284"/>
      <c r="G152" s="2284"/>
      <c r="H152" s="2284"/>
      <c r="I152" s="2284"/>
      <c r="J152" s="2284"/>
      <c r="K152" s="2284"/>
      <c r="L152" s="2368">
        <v>123330.07999999999</v>
      </c>
      <c r="M152">
        <f>+MATCH(B152,'Distribution Substation Detail'!E:E,0)</f>
        <v>158</v>
      </c>
    </row>
    <row r="153" spans="2:13">
      <c r="B153" s="2366" t="s">
        <v>4005</v>
      </c>
      <c r="C153" s="2367"/>
      <c r="D153" s="2284">
        <v>83189.709999999992</v>
      </c>
      <c r="E153" s="2284">
        <v>1016847.1699999999</v>
      </c>
      <c r="F153" s="2284"/>
      <c r="G153" s="2284"/>
      <c r="H153" s="2284"/>
      <c r="I153" s="2284"/>
      <c r="J153" s="2284"/>
      <c r="K153" s="2284"/>
      <c r="L153" s="2368">
        <v>1100036.8799999999</v>
      </c>
      <c r="M153">
        <f>+MATCH(B153,'Distribution Substation Detail'!E:E,0)</f>
        <v>159</v>
      </c>
    </row>
    <row r="154" spans="2:13">
      <c r="B154" s="2366" t="s">
        <v>4007</v>
      </c>
      <c r="C154" s="2367"/>
      <c r="D154" s="2284">
        <v>39214.5</v>
      </c>
      <c r="E154" s="2284">
        <v>160921.66</v>
      </c>
      <c r="F154" s="2284"/>
      <c r="G154" s="2284"/>
      <c r="H154" s="2284"/>
      <c r="I154" s="2284"/>
      <c r="J154" s="2284"/>
      <c r="K154" s="2284"/>
      <c r="L154" s="2368">
        <v>200136.16</v>
      </c>
      <c r="M154">
        <f>+MATCH(B154,'Distribution Substation Detail'!E:E,0)</f>
        <v>160</v>
      </c>
    </row>
    <row r="155" spans="2:13">
      <c r="B155" s="2366" t="s">
        <v>4009</v>
      </c>
      <c r="C155" s="2367"/>
      <c r="D155" s="2284">
        <v>14513.58</v>
      </c>
      <c r="E155" s="2284">
        <v>1572835.7599999998</v>
      </c>
      <c r="F155" s="2284"/>
      <c r="G155" s="2284"/>
      <c r="H155" s="2284"/>
      <c r="I155" s="2284"/>
      <c r="J155" s="2284"/>
      <c r="K155" s="2284"/>
      <c r="L155" s="2368">
        <v>1587349.3399999999</v>
      </c>
      <c r="M155">
        <f>+MATCH(B155,'Distribution Substation Detail'!E:E,0)</f>
        <v>161</v>
      </c>
    </row>
    <row r="156" spans="2:13">
      <c r="B156" s="2366" t="s">
        <v>9408</v>
      </c>
      <c r="C156" s="2367"/>
      <c r="D156" s="2284"/>
      <c r="E156" s="2284">
        <v>3409740.6199999992</v>
      </c>
      <c r="F156" s="2284"/>
      <c r="G156" s="2284"/>
      <c r="H156" s="2284"/>
      <c r="I156" s="2284"/>
      <c r="J156" s="2284"/>
      <c r="K156" s="2284"/>
      <c r="L156" s="2368">
        <v>3409740.6199999992</v>
      </c>
      <c r="M156" t="e">
        <f>+MATCH(B156,'Distribution Substation Detail'!E:E,0)</f>
        <v>#N/A</v>
      </c>
    </row>
    <row r="157" spans="2:13">
      <c r="B157" s="2366" t="s">
        <v>4012</v>
      </c>
      <c r="C157" s="2367">
        <v>550026.44000000006</v>
      </c>
      <c r="D157" s="2284">
        <v>578059.19999999995</v>
      </c>
      <c r="E157" s="2284">
        <v>958840.28999999969</v>
      </c>
      <c r="F157" s="2284"/>
      <c r="G157" s="2284"/>
      <c r="H157" s="2284"/>
      <c r="I157" s="2284"/>
      <c r="J157" s="2284"/>
      <c r="K157" s="2284"/>
      <c r="L157" s="2368">
        <v>2086925.9299999997</v>
      </c>
      <c r="M157">
        <f>+MATCH(B157,'Distribution Substation Detail'!E:E,0)</f>
        <v>163</v>
      </c>
    </row>
    <row r="158" spans="2:13">
      <c r="B158" s="2366" t="s">
        <v>4014</v>
      </c>
      <c r="C158" s="2367"/>
      <c r="D158" s="2284">
        <v>178752.24000000002</v>
      </c>
      <c r="E158" s="2284">
        <v>1979127.2200000007</v>
      </c>
      <c r="F158" s="2284"/>
      <c r="G158" s="2284"/>
      <c r="H158" s="2284"/>
      <c r="I158" s="2284"/>
      <c r="J158" s="2284"/>
      <c r="K158" s="2284"/>
      <c r="L158" s="2368">
        <v>2157879.4600000009</v>
      </c>
      <c r="M158">
        <f>+MATCH(B158,'Distribution Substation Detail'!E:E,0)</f>
        <v>164</v>
      </c>
    </row>
    <row r="159" spans="2:13">
      <c r="B159" s="2366" t="s">
        <v>4016</v>
      </c>
      <c r="C159" s="2367">
        <v>725769.94000000006</v>
      </c>
      <c r="D159" s="2284">
        <v>968806.22</v>
      </c>
      <c r="E159" s="2284">
        <v>1850538.3799999997</v>
      </c>
      <c r="F159" s="2284"/>
      <c r="G159" s="2284"/>
      <c r="H159" s="2284"/>
      <c r="I159" s="2284"/>
      <c r="J159" s="2284"/>
      <c r="K159" s="2284"/>
      <c r="L159" s="2368">
        <v>3545114.54</v>
      </c>
      <c r="M159">
        <f>+MATCH(B159,'Distribution Substation Detail'!E:E,0)</f>
        <v>165</v>
      </c>
    </row>
    <row r="160" spans="2:13">
      <c r="B160" s="2366" t="s">
        <v>4018</v>
      </c>
      <c r="C160" s="2367">
        <v>688082.1</v>
      </c>
      <c r="D160" s="2284">
        <v>409157.32999999996</v>
      </c>
      <c r="E160" s="2284">
        <v>314625.54000000004</v>
      </c>
      <c r="F160" s="2284"/>
      <c r="G160" s="2284"/>
      <c r="H160" s="2284"/>
      <c r="I160" s="2284"/>
      <c r="J160" s="2284"/>
      <c r="K160" s="2284"/>
      <c r="L160" s="2368">
        <v>1411864.97</v>
      </c>
      <c r="M160">
        <f>+MATCH(B160,'Distribution Substation Detail'!E:E,0)</f>
        <v>166</v>
      </c>
    </row>
    <row r="161" spans="2:13">
      <c r="B161" s="2366" t="s">
        <v>4020</v>
      </c>
      <c r="C161" s="2367"/>
      <c r="D161" s="2284">
        <v>1560939.85</v>
      </c>
      <c r="E161" s="2284">
        <v>1984942.4700000004</v>
      </c>
      <c r="F161" s="2284"/>
      <c r="G161" s="2284"/>
      <c r="H161" s="2284"/>
      <c r="I161" s="2284"/>
      <c r="J161" s="2284"/>
      <c r="K161" s="2284"/>
      <c r="L161" s="2368">
        <v>3545882.3200000003</v>
      </c>
      <c r="M161">
        <f>+MATCH(B161,'Distribution Substation Detail'!E:E,0)</f>
        <v>168</v>
      </c>
    </row>
    <row r="162" spans="2:13">
      <c r="B162" s="2366" t="s">
        <v>4022</v>
      </c>
      <c r="C162" s="2367"/>
      <c r="D162" s="2284"/>
      <c r="E162" s="2284">
        <v>2050190.34</v>
      </c>
      <c r="F162" s="2284"/>
      <c r="G162" s="2284"/>
      <c r="H162" s="2284"/>
      <c r="I162" s="2284"/>
      <c r="J162" s="2284"/>
      <c r="K162" s="2284"/>
      <c r="L162" s="2368">
        <v>2050190.34</v>
      </c>
      <c r="M162">
        <f>+MATCH(B162,'Distribution Substation Detail'!E:E,0)</f>
        <v>169</v>
      </c>
    </row>
    <row r="163" spans="2:13">
      <c r="B163" s="2366" t="s">
        <v>8280</v>
      </c>
      <c r="C163" s="2367"/>
      <c r="D163" s="2284">
        <v>418625.54</v>
      </c>
      <c r="E163" s="2284">
        <v>3255367.93</v>
      </c>
      <c r="F163" s="2284"/>
      <c r="G163" s="2284"/>
      <c r="H163" s="2284"/>
      <c r="I163" s="2284"/>
      <c r="J163" s="2284"/>
      <c r="K163" s="2284"/>
      <c r="L163" s="2368">
        <v>3673993.47</v>
      </c>
      <c r="M163">
        <f>+MATCH(B163,'Distribution Substation Detail'!E:E,0)</f>
        <v>170</v>
      </c>
    </row>
    <row r="164" spans="2:13">
      <c r="B164" s="2366" t="s">
        <v>4024</v>
      </c>
      <c r="C164" s="2367"/>
      <c r="D164" s="2284">
        <v>1962179.7299999997</v>
      </c>
      <c r="E164" s="2284">
        <v>2215583.15</v>
      </c>
      <c r="F164" s="2284"/>
      <c r="G164" s="2284"/>
      <c r="H164" s="2284"/>
      <c r="I164" s="2284"/>
      <c r="J164" s="2284"/>
      <c r="K164" s="2284"/>
      <c r="L164" s="2368">
        <v>4177762.88</v>
      </c>
      <c r="M164">
        <f>+MATCH(B164,'Distribution Substation Detail'!E:E,0)</f>
        <v>171</v>
      </c>
    </row>
    <row r="165" spans="2:13">
      <c r="B165" s="2366" t="s">
        <v>4026</v>
      </c>
      <c r="C165" s="2367"/>
      <c r="D165" s="2284"/>
      <c r="E165" s="2284">
        <v>2486078.5999999996</v>
      </c>
      <c r="F165" s="2284"/>
      <c r="G165" s="2284"/>
      <c r="H165" s="2284"/>
      <c r="I165" s="2284"/>
      <c r="J165" s="2284"/>
      <c r="K165" s="2284"/>
      <c r="L165" s="2368">
        <v>2486078.5999999996</v>
      </c>
      <c r="M165">
        <f>+MATCH(B165,'Distribution Substation Detail'!E:E,0)</f>
        <v>172</v>
      </c>
    </row>
    <row r="166" spans="2:13">
      <c r="B166" s="2366" t="s">
        <v>3359</v>
      </c>
      <c r="C166" s="2367"/>
      <c r="D166" s="2284">
        <v>650896.85999999987</v>
      </c>
      <c r="E166" s="2284">
        <v>1296841.5</v>
      </c>
      <c r="F166" s="2284"/>
      <c r="G166" s="2284"/>
      <c r="H166" s="2284"/>
      <c r="I166" s="2284"/>
      <c r="J166" s="2284"/>
      <c r="K166" s="2284"/>
      <c r="L166" s="2368">
        <v>1947738.3599999999</v>
      </c>
      <c r="M166">
        <f>+MATCH(B166,'Distribution Substation Detail'!E:E,0)</f>
        <v>173</v>
      </c>
    </row>
    <row r="167" spans="2:13">
      <c r="B167" s="2366" t="s">
        <v>8281</v>
      </c>
      <c r="C167" s="2367"/>
      <c r="D167" s="2284"/>
      <c r="E167" s="2284">
        <v>492243.31000000006</v>
      </c>
      <c r="F167" s="2284"/>
      <c r="G167" s="2284"/>
      <c r="H167" s="2284"/>
      <c r="I167" s="2284"/>
      <c r="J167" s="2284"/>
      <c r="K167" s="2284"/>
      <c r="L167" s="2368">
        <v>492243.31000000006</v>
      </c>
      <c r="M167">
        <f>+MATCH(B167,'Distribution Substation Detail'!E:E,0)</f>
        <v>174</v>
      </c>
    </row>
    <row r="168" spans="2:13">
      <c r="B168" s="2366" t="s">
        <v>4028</v>
      </c>
      <c r="C168" s="2367"/>
      <c r="D168" s="2284"/>
      <c r="E168" s="2284">
        <v>15408.960000000001</v>
      </c>
      <c r="F168" s="2284"/>
      <c r="G168" s="2284"/>
      <c r="H168" s="2284"/>
      <c r="I168" s="2284"/>
      <c r="J168" s="2284"/>
      <c r="K168" s="2284"/>
      <c r="L168" s="2368">
        <v>15408.960000000001</v>
      </c>
      <c r="M168">
        <f>+MATCH(B168,'Distribution Substation Detail'!E:E,0)</f>
        <v>175</v>
      </c>
    </row>
    <row r="169" spans="2:13">
      <c r="B169" s="2366" t="s">
        <v>4030</v>
      </c>
      <c r="C169" s="2367"/>
      <c r="D169" s="2284"/>
      <c r="E169" s="2284">
        <v>7943.6</v>
      </c>
      <c r="F169" s="2284"/>
      <c r="G169" s="2284"/>
      <c r="H169" s="2284"/>
      <c r="I169" s="2284"/>
      <c r="J169" s="2284"/>
      <c r="K169" s="2284"/>
      <c r="L169" s="2368">
        <v>7943.6</v>
      </c>
    </row>
    <row r="170" spans="2:13">
      <c r="B170" s="2369" t="s">
        <v>4032</v>
      </c>
      <c r="C170" s="2370"/>
      <c r="D170" s="2371">
        <v>-0.02</v>
      </c>
      <c r="E170" s="2371">
        <v>66738.450000000012</v>
      </c>
      <c r="F170" s="2371"/>
      <c r="G170" s="2371"/>
      <c r="H170" s="2371"/>
      <c r="I170" s="2371"/>
      <c r="J170" s="2371"/>
      <c r="K170" s="2371">
        <v>-17.240000000000002</v>
      </c>
      <c r="L170" s="2372">
        <v>66721.19</v>
      </c>
    </row>
    <row r="171" spans="2:13">
      <c r="B171" s="2369" t="s">
        <v>3421</v>
      </c>
      <c r="C171" s="2370"/>
      <c r="D171" s="2371"/>
      <c r="E171" s="2371">
        <v>15192329.749999996</v>
      </c>
      <c r="F171" s="2371"/>
      <c r="G171" s="2371"/>
      <c r="H171" s="2371"/>
      <c r="I171" s="2371"/>
      <c r="J171" s="2371">
        <v>580187.72</v>
      </c>
      <c r="K171" s="2371"/>
      <c r="L171" s="2372">
        <v>15772517.469999997</v>
      </c>
    </row>
    <row r="172" spans="2:13">
      <c r="C172" s="162"/>
      <c r="D172" s="162"/>
      <c r="E172" s="162"/>
      <c r="L172" s="162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8" tint="0.59999389629810485"/>
  </sheetPr>
  <dimension ref="A1:T38"/>
  <sheetViews>
    <sheetView tabSelected="1" showOutlineSymbols="0" workbookViewId="0"/>
  </sheetViews>
  <sheetFormatPr defaultRowHeight="14.4"/>
  <cols>
    <col min="2" max="2" width="27.5546875" bestFit="1" customWidth="1"/>
    <col min="3" max="3" width="12.6640625" bestFit="1" customWidth="1"/>
    <col min="5" max="5" width="11.5546875" bestFit="1" customWidth="1"/>
    <col min="7" max="19" width="11.33203125" bestFit="1" customWidth="1"/>
  </cols>
  <sheetData>
    <row r="1" spans="1:20">
      <c r="A1" s="2373" t="s">
        <v>9409</v>
      </c>
      <c r="C1" s="1962" t="s">
        <v>116</v>
      </c>
    </row>
    <row r="3" spans="1:20">
      <c r="B3" s="1962"/>
      <c r="C3" s="1962"/>
      <c r="D3" s="1962"/>
      <c r="E3" s="1962"/>
      <c r="F3" s="1962"/>
      <c r="G3" s="1962"/>
      <c r="H3" s="1962"/>
      <c r="I3" s="1962"/>
      <c r="J3" s="2374"/>
      <c r="K3" s="1962"/>
      <c r="L3" s="1962"/>
      <c r="M3" s="1962"/>
      <c r="N3" s="1962"/>
      <c r="O3" s="1962"/>
      <c r="P3" s="1962"/>
      <c r="Q3" s="1962"/>
      <c r="R3" s="1962"/>
      <c r="S3" s="2294"/>
      <c r="T3" s="1962"/>
    </row>
    <row r="4" spans="1:20">
      <c r="B4" s="2262" t="s">
        <v>2173</v>
      </c>
      <c r="C4" s="1968" t="s">
        <v>9314</v>
      </c>
      <c r="D4" s="1962"/>
      <c r="E4" s="1968"/>
      <c r="F4" s="1962"/>
      <c r="G4" s="1962"/>
      <c r="H4" s="1962"/>
      <c r="I4" s="1962"/>
      <c r="J4" s="1962"/>
      <c r="K4" s="1962"/>
      <c r="L4" s="1962"/>
      <c r="M4" s="1962"/>
      <c r="N4" s="1962"/>
      <c r="O4" s="1962"/>
      <c r="P4" s="1962"/>
      <c r="Q4" s="1962"/>
      <c r="R4" s="1962"/>
      <c r="S4" s="1962"/>
      <c r="T4" s="1962"/>
    </row>
    <row r="5" spans="1:20">
      <c r="B5" s="2262" t="s">
        <v>4179</v>
      </c>
      <c r="C5" s="1962"/>
      <c r="D5" s="1962"/>
      <c r="E5" s="1962"/>
      <c r="F5" s="1962"/>
      <c r="G5" s="1962"/>
      <c r="H5" s="1962"/>
      <c r="I5" s="1962"/>
      <c r="J5" s="2284"/>
      <c r="K5" s="2284"/>
      <c r="L5" s="2284"/>
      <c r="M5" s="2284"/>
      <c r="N5" s="2284"/>
      <c r="O5" s="2284"/>
      <c r="P5" s="2284"/>
      <c r="Q5" s="2284"/>
      <c r="R5" s="2284"/>
      <c r="S5" s="2284"/>
      <c r="T5" s="1962"/>
    </row>
    <row r="6" spans="1:20">
      <c r="B6" s="2261" t="s">
        <v>9315</v>
      </c>
      <c r="C6" s="1962"/>
      <c r="D6" s="1962"/>
      <c r="E6" s="1962"/>
      <c r="F6" s="1962"/>
      <c r="G6" s="1962"/>
      <c r="H6" s="1962"/>
      <c r="I6" s="1962"/>
      <c r="J6" s="1962"/>
      <c r="K6" s="1962"/>
      <c r="L6" s="1962"/>
      <c r="M6" s="1962"/>
      <c r="N6" s="1962"/>
      <c r="O6" s="1962"/>
      <c r="P6" s="1962"/>
      <c r="Q6" s="1962"/>
      <c r="R6" s="1962"/>
      <c r="S6" s="1962"/>
      <c r="T6" s="1962"/>
    </row>
    <row r="7" spans="1:20">
      <c r="B7" s="2261"/>
      <c r="C7" s="1962"/>
      <c r="D7" s="1962"/>
      <c r="E7" s="1962"/>
      <c r="F7" s="1962"/>
      <c r="G7" s="1968">
        <v>2023</v>
      </c>
      <c r="H7" s="1968" t="s">
        <v>9316</v>
      </c>
      <c r="I7" s="1968" t="s">
        <v>9316</v>
      </c>
      <c r="J7" s="1968" t="s">
        <v>9316</v>
      </c>
      <c r="K7" s="1968" t="s">
        <v>9316</v>
      </c>
      <c r="L7" s="1968" t="s">
        <v>9316</v>
      </c>
      <c r="M7" s="1968" t="s">
        <v>9316</v>
      </c>
      <c r="N7" s="1968" t="s">
        <v>9316</v>
      </c>
      <c r="O7" s="1968" t="s">
        <v>9316</v>
      </c>
      <c r="P7" s="1968" t="s">
        <v>9316</v>
      </c>
      <c r="Q7" s="1968" t="s">
        <v>9316</v>
      </c>
      <c r="R7" s="1968" t="s">
        <v>9316</v>
      </c>
      <c r="S7" s="1968" t="s">
        <v>9316</v>
      </c>
      <c r="T7" s="1962"/>
    </row>
    <row r="8" spans="1:20">
      <c r="B8" s="2261" t="s">
        <v>9312</v>
      </c>
      <c r="C8" s="1968" t="s">
        <v>4180</v>
      </c>
      <c r="D8" s="1962"/>
      <c r="E8" s="2260" t="s">
        <v>3104</v>
      </c>
      <c r="F8" s="1962"/>
      <c r="G8" s="1968" t="s">
        <v>2296</v>
      </c>
      <c r="H8" s="1968" t="s">
        <v>2287</v>
      </c>
      <c r="I8" s="1968" t="s">
        <v>2288</v>
      </c>
      <c r="J8" s="1968" t="s">
        <v>2289</v>
      </c>
      <c r="K8" s="1968" t="s">
        <v>2290</v>
      </c>
      <c r="L8" s="1968" t="s">
        <v>1361</v>
      </c>
      <c r="M8" s="1968" t="s">
        <v>2291</v>
      </c>
      <c r="N8" s="1968" t="s">
        <v>3040</v>
      </c>
      <c r="O8" s="1968" t="s">
        <v>2292</v>
      </c>
      <c r="P8" s="1968" t="s">
        <v>2293</v>
      </c>
      <c r="Q8" s="1968" t="s">
        <v>2294</v>
      </c>
      <c r="R8" s="1968" t="s">
        <v>2295</v>
      </c>
      <c r="S8" s="1968" t="s">
        <v>2296</v>
      </c>
      <c r="T8" s="1962"/>
    </row>
    <row r="9" spans="1:20">
      <c r="B9" s="1962" t="s">
        <v>4181</v>
      </c>
      <c r="C9" s="2374">
        <v>5602918</v>
      </c>
      <c r="D9" s="2374"/>
      <c r="E9" s="2374">
        <v>5602918</v>
      </c>
      <c r="F9" s="2374"/>
      <c r="G9" s="2375">
        <v>5602918</v>
      </c>
      <c r="H9" s="2375">
        <v>5602918</v>
      </c>
      <c r="I9" s="2375">
        <v>5602918</v>
      </c>
      <c r="J9" s="2375">
        <v>5602918</v>
      </c>
      <c r="K9" s="2375">
        <v>5602918</v>
      </c>
      <c r="L9" s="2375">
        <v>5602918</v>
      </c>
      <c r="M9" s="2375">
        <v>5602918</v>
      </c>
      <c r="N9" s="2375">
        <v>5602918</v>
      </c>
      <c r="O9" s="2375">
        <v>5602918</v>
      </c>
      <c r="P9" s="2375">
        <v>5602918</v>
      </c>
      <c r="Q9" s="2375">
        <v>5602918</v>
      </c>
      <c r="R9" s="2375">
        <v>5602918</v>
      </c>
      <c r="S9" s="2375">
        <v>5602918</v>
      </c>
      <c r="T9" s="1962"/>
    </row>
    <row r="10" spans="1:20">
      <c r="B10" s="1962" t="s">
        <v>4182</v>
      </c>
      <c r="C10" s="2374">
        <v>1852442</v>
      </c>
      <c r="D10" s="2374"/>
      <c r="E10" s="2374">
        <v>1852442</v>
      </c>
      <c r="F10" s="2374"/>
      <c r="G10" s="2375">
        <v>1852442</v>
      </c>
      <c r="H10" s="2375">
        <v>1852442</v>
      </c>
      <c r="I10" s="2375">
        <v>1852442</v>
      </c>
      <c r="J10" s="2375">
        <v>1852442</v>
      </c>
      <c r="K10" s="2375">
        <v>1852442</v>
      </c>
      <c r="L10" s="2375">
        <v>1852442</v>
      </c>
      <c r="M10" s="2375">
        <v>1852442</v>
      </c>
      <c r="N10" s="2375">
        <v>1852442</v>
      </c>
      <c r="O10" s="2375">
        <v>1852442</v>
      </c>
      <c r="P10" s="2375">
        <v>1852442</v>
      </c>
      <c r="Q10" s="2375">
        <v>1852442</v>
      </c>
      <c r="R10" s="2375">
        <v>1852442</v>
      </c>
      <c r="S10" s="2375">
        <v>1852442</v>
      </c>
      <c r="T10" s="1962"/>
    </row>
    <row r="11" spans="1:20">
      <c r="B11" s="1973" t="s">
        <v>4183</v>
      </c>
      <c r="C11" s="2374">
        <v>10523791</v>
      </c>
      <c r="D11" s="2374"/>
      <c r="E11" s="2374">
        <v>10523791</v>
      </c>
      <c r="F11" s="2374"/>
      <c r="G11" s="2375">
        <v>10523791</v>
      </c>
      <c r="H11" s="2375">
        <v>10523791</v>
      </c>
      <c r="I11" s="2375">
        <v>10523791</v>
      </c>
      <c r="J11" s="2375">
        <v>10523791</v>
      </c>
      <c r="K11" s="2375">
        <v>10523791</v>
      </c>
      <c r="L11" s="2375">
        <v>10523791</v>
      </c>
      <c r="M11" s="2375">
        <v>10523791</v>
      </c>
      <c r="N11" s="2375">
        <v>10523791</v>
      </c>
      <c r="O11" s="2375">
        <v>10523791</v>
      </c>
      <c r="P11" s="2375">
        <v>10523791</v>
      </c>
      <c r="Q11" s="2375">
        <v>10523791</v>
      </c>
      <c r="R11" s="2375">
        <v>10523791</v>
      </c>
      <c r="S11" s="2375">
        <v>10523791</v>
      </c>
      <c r="T11" s="1962"/>
    </row>
    <row r="12" spans="1:20">
      <c r="B12" s="1962" t="s">
        <v>4184</v>
      </c>
      <c r="C12" s="2374" t="s">
        <v>9317</v>
      </c>
      <c r="D12" s="2374"/>
      <c r="E12" s="2374" t="s">
        <v>9311</v>
      </c>
      <c r="F12" s="2374"/>
      <c r="G12" s="2375" t="s">
        <v>9317</v>
      </c>
      <c r="H12" s="2375" t="s">
        <v>9317</v>
      </c>
      <c r="I12" s="2375" t="s">
        <v>9310</v>
      </c>
      <c r="J12" s="2375" t="s">
        <v>9310</v>
      </c>
      <c r="K12" s="2375" t="s">
        <v>9310</v>
      </c>
      <c r="L12" s="2375" t="s">
        <v>9310</v>
      </c>
      <c r="M12" s="2375" t="s">
        <v>9317</v>
      </c>
      <c r="N12" s="2375" t="s">
        <v>9317</v>
      </c>
      <c r="O12" s="2375" t="s">
        <v>9317</v>
      </c>
      <c r="P12" s="2375" t="s">
        <v>9318</v>
      </c>
      <c r="Q12" s="2375" t="s">
        <v>9318</v>
      </c>
      <c r="R12" s="2375" t="s">
        <v>9318</v>
      </c>
      <c r="S12" s="2375" t="s">
        <v>9318</v>
      </c>
      <c r="T12" s="1962"/>
    </row>
    <row r="13" spans="1:20">
      <c r="B13" s="1962" t="s">
        <v>4185</v>
      </c>
      <c r="C13" s="2374">
        <v>8572308</v>
      </c>
      <c r="D13" s="2374"/>
      <c r="E13" s="2374">
        <v>8572308</v>
      </c>
      <c r="F13" s="2374"/>
      <c r="G13" s="2375">
        <v>8572308</v>
      </c>
      <c r="H13" s="2375">
        <v>8572308</v>
      </c>
      <c r="I13" s="2375">
        <v>8572308</v>
      </c>
      <c r="J13" s="2375">
        <v>8572308</v>
      </c>
      <c r="K13" s="2375">
        <v>8572308</v>
      </c>
      <c r="L13" s="2375">
        <v>8572308</v>
      </c>
      <c r="M13" s="2375">
        <v>8572308</v>
      </c>
      <c r="N13" s="2375">
        <v>8572308</v>
      </c>
      <c r="O13" s="2375">
        <v>8572308</v>
      </c>
      <c r="P13" s="2375">
        <v>8572308</v>
      </c>
      <c r="Q13" s="2375">
        <v>8572308</v>
      </c>
      <c r="R13" s="2375">
        <v>8572308</v>
      </c>
      <c r="S13" s="2375">
        <v>8572308</v>
      </c>
      <c r="T13" s="1962"/>
    </row>
    <row r="14" spans="1:20">
      <c r="B14" s="2295" t="s">
        <v>4186</v>
      </c>
      <c r="C14" s="2376">
        <v>269188</v>
      </c>
      <c r="D14" s="2374"/>
      <c r="E14" s="2376">
        <v>269188</v>
      </c>
      <c r="F14" s="2374"/>
      <c r="G14" s="2377">
        <v>269188</v>
      </c>
      <c r="H14" s="2377">
        <v>269188</v>
      </c>
      <c r="I14" s="2377">
        <v>269188</v>
      </c>
      <c r="J14" s="2377">
        <v>269188</v>
      </c>
      <c r="K14" s="2377">
        <v>269188</v>
      </c>
      <c r="L14" s="2377">
        <v>269188</v>
      </c>
      <c r="M14" s="2377">
        <v>269188</v>
      </c>
      <c r="N14" s="2377">
        <v>269188</v>
      </c>
      <c r="O14" s="2377">
        <v>269188</v>
      </c>
      <c r="P14" s="2377">
        <v>269188</v>
      </c>
      <c r="Q14" s="2377">
        <v>269188</v>
      </c>
      <c r="R14" s="2377">
        <v>269188</v>
      </c>
      <c r="S14" s="2377">
        <v>269188</v>
      </c>
      <c r="T14" s="1962"/>
    </row>
    <row r="15" spans="1:20" ht="15" thickBot="1">
      <c r="B15" s="2378" t="s">
        <v>4187</v>
      </c>
      <c r="C15" s="2379">
        <v>26820647</v>
      </c>
      <c r="D15" s="2380"/>
      <c r="E15" s="2379">
        <v>26820647</v>
      </c>
      <c r="F15" s="2380"/>
      <c r="G15" s="2379">
        <v>26820647</v>
      </c>
      <c r="H15" s="2379">
        <v>26820647</v>
      </c>
      <c r="I15" s="2379">
        <v>26820647</v>
      </c>
      <c r="J15" s="2379">
        <v>26820647</v>
      </c>
      <c r="K15" s="2379">
        <v>26820647</v>
      </c>
      <c r="L15" s="2379">
        <v>26820647</v>
      </c>
      <c r="M15" s="2379">
        <v>26820647</v>
      </c>
      <c r="N15" s="2379">
        <v>26820647</v>
      </c>
      <c r="O15" s="2379">
        <v>26820647</v>
      </c>
      <c r="P15" s="2379">
        <v>26820647</v>
      </c>
      <c r="Q15" s="2379">
        <v>26820647</v>
      </c>
      <c r="R15" s="2379">
        <v>26820647</v>
      </c>
      <c r="S15" s="2379">
        <v>26820647</v>
      </c>
      <c r="T15" s="1962"/>
    </row>
    <row r="16" spans="1:20" ht="15" thickTop="1">
      <c r="B16" s="1962"/>
      <c r="C16" s="2374" t="s">
        <v>9317</v>
      </c>
      <c r="D16" s="1962"/>
      <c r="E16" s="2374" t="s">
        <v>9311</v>
      </c>
      <c r="F16" s="1962"/>
      <c r="G16" s="2374" t="s">
        <v>9317</v>
      </c>
      <c r="H16" s="2374" t="s">
        <v>9317</v>
      </c>
      <c r="I16" s="2374" t="s">
        <v>9310</v>
      </c>
      <c r="J16" s="2374" t="s">
        <v>9310</v>
      </c>
      <c r="K16" s="2374" t="s">
        <v>9310</v>
      </c>
      <c r="L16" s="2374" t="s">
        <v>9310</v>
      </c>
      <c r="M16" s="2374" t="s">
        <v>9317</v>
      </c>
      <c r="N16" s="2374" t="s">
        <v>9317</v>
      </c>
      <c r="O16" s="2374" t="s">
        <v>9317</v>
      </c>
      <c r="P16" s="2374" t="s">
        <v>9318</v>
      </c>
      <c r="Q16" s="2374" t="s">
        <v>9318</v>
      </c>
      <c r="R16" s="2374" t="s">
        <v>9318</v>
      </c>
      <c r="S16" s="2374" t="s">
        <v>9318</v>
      </c>
      <c r="T16" s="1962"/>
    </row>
    <row r="17" spans="2:20">
      <c r="B17" s="2262" t="s">
        <v>2173</v>
      </c>
      <c r="C17" s="1968" t="s">
        <v>9314</v>
      </c>
      <c r="D17" s="1962"/>
      <c r="E17" s="1962"/>
      <c r="F17" s="1962"/>
      <c r="G17" s="1962"/>
      <c r="H17" s="1962"/>
      <c r="I17" s="1962"/>
      <c r="J17" s="1962"/>
      <c r="K17" s="1962"/>
      <c r="L17" s="1962"/>
      <c r="M17" s="1962"/>
      <c r="N17" s="1962"/>
      <c r="O17" s="1962"/>
      <c r="P17" s="1962"/>
      <c r="Q17" s="1962"/>
      <c r="R17" s="1962"/>
      <c r="S17" s="1962"/>
      <c r="T17" s="1962"/>
    </row>
    <row r="18" spans="2:20">
      <c r="B18" s="2262" t="s">
        <v>4179</v>
      </c>
      <c r="C18" s="1962"/>
      <c r="D18" s="1962"/>
      <c r="E18" s="1962"/>
      <c r="F18" s="1962"/>
      <c r="G18" s="1962"/>
      <c r="H18" s="1962"/>
      <c r="I18" s="1962"/>
      <c r="J18" s="2284"/>
      <c r="K18" s="2284"/>
      <c r="L18" s="2284"/>
      <c r="M18" s="2284"/>
      <c r="N18" s="2284"/>
      <c r="O18" s="2284"/>
      <c r="P18" s="2284"/>
      <c r="Q18" s="2284"/>
      <c r="R18" s="2284"/>
      <c r="S18" s="2284"/>
      <c r="T18" s="1962"/>
    </row>
    <row r="19" spans="2:20">
      <c r="B19" s="2261" t="s">
        <v>9313</v>
      </c>
      <c r="C19" s="1962"/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</row>
    <row r="20" spans="2:20">
      <c r="B20" s="2261"/>
      <c r="C20" s="1962"/>
      <c r="D20" s="1962"/>
      <c r="E20" s="1962"/>
      <c r="F20" s="1962"/>
      <c r="G20" s="1968" t="s">
        <v>9316</v>
      </c>
      <c r="H20" s="1968" t="s">
        <v>9266</v>
      </c>
      <c r="I20" s="1968" t="s">
        <v>9266</v>
      </c>
      <c r="J20" s="1968" t="s">
        <v>9266</v>
      </c>
      <c r="K20" s="1968" t="s">
        <v>9266</v>
      </c>
      <c r="L20" s="1968" t="s">
        <v>9266</v>
      </c>
      <c r="M20" s="1968" t="s">
        <v>9266</v>
      </c>
      <c r="N20" s="1968" t="s">
        <v>9266</v>
      </c>
      <c r="O20" s="1968" t="s">
        <v>9266</v>
      </c>
      <c r="P20" s="1968" t="s">
        <v>9266</v>
      </c>
      <c r="Q20" s="1968" t="s">
        <v>9266</v>
      </c>
      <c r="R20" s="1968" t="s">
        <v>9266</v>
      </c>
      <c r="S20" s="1968" t="s">
        <v>9266</v>
      </c>
      <c r="T20" s="1962"/>
    </row>
    <row r="21" spans="2:20">
      <c r="B21" s="2261" t="s">
        <v>4185</v>
      </c>
      <c r="C21" s="1968" t="s">
        <v>4180</v>
      </c>
      <c r="D21" s="1962"/>
      <c r="E21" s="2260" t="s">
        <v>3104</v>
      </c>
      <c r="F21" s="1962"/>
      <c r="G21" s="1968" t="s">
        <v>2296</v>
      </c>
      <c r="H21" s="1968" t="s">
        <v>2287</v>
      </c>
      <c r="I21" s="1968" t="s">
        <v>2288</v>
      </c>
      <c r="J21" s="1968" t="s">
        <v>2289</v>
      </c>
      <c r="K21" s="1968" t="s">
        <v>2290</v>
      </c>
      <c r="L21" s="1968" t="s">
        <v>1361</v>
      </c>
      <c r="M21" s="1968" t="s">
        <v>2291</v>
      </c>
      <c r="N21" s="1968" t="s">
        <v>3040</v>
      </c>
      <c r="O21" s="1968" t="s">
        <v>2292</v>
      </c>
      <c r="P21" s="1968" t="s">
        <v>2293</v>
      </c>
      <c r="Q21" s="1968" t="s">
        <v>2294</v>
      </c>
      <c r="R21" s="1968" t="s">
        <v>2295</v>
      </c>
      <c r="S21" s="1968" t="s">
        <v>2296</v>
      </c>
      <c r="T21" s="1962"/>
    </row>
    <row r="22" spans="2:20">
      <c r="B22" s="1962" t="s">
        <v>4181</v>
      </c>
      <c r="C22" s="2374">
        <v>5602918</v>
      </c>
      <c r="D22" s="2374"/>
      <c r="E22" s="2374">
        <v>5602918</v>
      </c>
      <c r="F22" s="2374"/>
      <c r="G22" s="2375">
        <v>5602918</v>
      </c>
      <c r="H22" s="2375">
        <v>5602918</v>
      </c>
      <c r="I22" s="2375">
        <v>5602918</v>
      </c>
      <c r="J22" s="2375">
        <v>5602918</v>
      </c>
      <c r="K22" s="2375">
        <v>5602918</v>
      </c>
      <c r="L22" s="2375">
        <v>5602918</v>
      </c>
      <c r="M22" s="2375">
        <v>5602918</v>
      </c>
      <c r="N22" s="2375">
        <v>5602918</v>
      </c>
      <c r="O22" s="2375">
        <v>5602918</v>
      </c>
      <c r="P22" s="2375">
        <v>5602918</v>
      </c>
      <c r="Q22" s="2375">
        <v>5602918</v>
      </c>
      <c r="R22" s="2375">
        <v>5602918</v>
      </c>
      <c r="S22" s="2375">
        <v>5602918</v>
      </c>
      <c r="T22" s="2374"/>
    </row>
    <row r="23" spans="2:20">
      <c r="B23" s="1962" t="s">
        <v>4182</v>
      </c>
      <c r="C23" s="2374">
        <v>1852442</v>
      </c>
      <c r="D23" s="2374"/>
      <c r="E23" s="2374">
        <v>1852442</v>
      </c>
      <c r="F23" s="2374"/>
      <c r="G23" s="2375">
        <v>1852442</v>
      </c>
      <c r="H23" s="2375">
        <v>1852442</v>
      </c>
      <c r="I23" s="2375">
        <v>1852442</v>
      </c>
      <c r="J23" s="2375">
        <v>1852442</v>
      </c>
      <c r="K23" s="2375">
        <v>1852442</v>
      </c>
      <c r="L23" s="2375">
        <v>1852442</v>
      </c>
      <c r="M23" s="2375">
        <v>1852442</v>
      </c>
      <c r="N23" s="2375">
        <v>1852442</v>
      </c>
      <c r="O23" s="2375">
        <v>1852442</v>
      </c>
      <c r="P23" s="2375">
        <v>1852442</v>
      </c>
      <c r="Q23" s="2375">
        <v>1852442</v>
      </c>
      <c r="R23" s="2375">
        <v>1852442</v>
      </c>
      <c r="S23" s="2375">
        <v>1852442</v>
      </c>
      <c r="T23" s="1962"/>
    </row>
    <row r="24" spans="2:20">
      <c r="B24" s="1973" t="s">
        <v>4183</v>
      </c>
      <c r="C24" s="2374">
        <v>10523791</v>
      </c>
      <c r="D24" s="2374"/>
      <c r="E24" s="2374">
        <v>10523791</v>
      </c>
      <c r="F24" s="2374"/>
      <c r="G24" s="2375">
        <v>10523791</v>
      </c>
      <c r="H24" s="2375">
        <v>10523791</v>
      </c>
      <c r="I24" s="2375">
        <v>10523791</v>
      </c>
      <c r="J24" s="2375">
        <v>10523791</v>
      </c>
      <c r="K24" s="2375">
        <v>10523791</v>
      </c>
      <c r="L24" s="2375">
        <v>10523791</v>
      </c>
      <c r="M24" s="2375">
        <v>10523791</v>
      </c>
      <c r="N24" s="2375">
        <v>10523791</v>
      </c>
      <c r="O24" s="2375">
        <v>10523791</v>
      </c>
      <c r="P24" s="2375">
        <v>10523791</v>
      </c>
      <c r="Q24" s="2375">
        <v>10523791</v>
      </c>
      <c r="R24" s="2375">
        <v>10523791</v>
      </c>
      <c r="S24" s="2375">
        <v>10523791</v>
      </c>
      <c r="T24" s="1962"/>
    </row>
    <row r="25" spans="2:20">
      <c r="B25" s="1962" t="s">
        <v>4184</v>
      </c>
      <c r="C25" s="2374" t="s">
        <v>9317</v>
      </c>
      <c r="D25" s="2374"/>
      <c r="E25" s="2374" t="s">
        <v>9311</v>
      </c>
      <c r="F25" s="2374"/>
      <c r="G25" s="2375" t="s">
        <v>9317</v>
      </c>
      <c r="H25" s="2375" t="s">
        <v>9317</v>
      </c>
      <c r="I25" s="2375" t="s">
        <v>9310</v>
      </c>
      <c r="J25" s="2375" t="s">
        <v>9310</v>
      </c>
      <c r="K25" s="2375" t="s">
        <v>9310</v>
      </c>
      <c r="L25" s="2375" t="s">
        <v>9310</v>
      </c>
      <c r="M25" s="2375" t="s">
        <v>9317</v>
      </c>
      <c r="N25" s="2375" t="s">
        <v>9317</v>
      </c>
      <c r="O25" s="2375" t="s">
        <v>9317</v>
      </c>
      <c r="P25" s="2375" t="s">
        <v>9318</v>
      </c>
      <c r="Q25" s="2375" t="s">
        <v>9318</v>
      </c>
      <c r="R25" s="2375" t="s">
        <v>9318</v>
      </c>
      <c r="S25" s="2375" t="s">
        <v>9318</v>
      </c>
      <c r="T25" s="1962"/>
    </row>
    <row r="26" spans="2:20">
      <c r="B26" s="1962" t="s">
        <v>4185</v>
      </c>
      <c r="C26" s="2374">
        <v>8572308</v>
      </c>
      <c r="D26" s="2374"/>
      <c r="E26" s="2374">
        <v>8572308</v>
      </c>
      <c r="F26" s="2374"/>
      <c r="G26" s="2375">
        <v>8572308</v>
      </c>
      <c r="H26" s="2375">
        <v>8572308</v>
      </c>
      <c r="I26" s="2375">
        <v>8572308</v>
      </c>
      <c r="J26" s="2375">
        <v>8572308</v>
      </c>
      <c r="K26" s="2375">
        <v>8572308</v>
      </c>
      <c r="L26" s="2375">
        <v>8572308</v>
      </c>
      <c r="M26" s="2375">
        <v>8572308</v>
      </c>
      <c r="N26" s="2375">
        <v>8572308</v>
      </c>
      <c r="O26" s="2375">
        <v>8572308</v>
      </c>
      <c r="P26" s="2375">
        <v>8572308</v>
      </c>
      <c r="Q26" s="2375">
        <v>8572308</v>
      </c>
      <c r="R26" s="2375">
        <v>8572308</v>
      </c>
      <c r="S26" s="2375">
        <v>8572308</v>
      </c>
      <c r="T26" s="1962"/>
    </row>
    <row r="27" spans="2:20">
      <c r="B27" s="2295" t="s">
        <v>4186</v>
      </c>
      <c r="C27" s="2376">
        <v>269188</v>
      </c>
      <c r="D27" s="2374"/>
      <c r="E27" s="2376">
        <v>269188</v>
      </c>
      <c r="F27" s="2374"/>
      <c r="G27" s="2377">
        <v>269188</v>
      </c>
      <c r="H27" s="2377">
        <v>269188</v>
      </c>
      <c r="I27" s="2377">
        <v>269188</v>
      </c>
      <c r="J27" s="2377">
        <v>269188</v>
      </c>
      <c r="K27" s="2377">
        <v>269188</v>
      </c>
      <c r="L27" s="2377">
        <v>269188</v>
      </c>
      <c r="M27" s="2377">
        <v>269188</v>
      </c>
      <c r="N27" s="2377">
        <v>269188</v>
      </c>
      <c r="O27" s="2377">
        <v>269188</v>
      </c>
      <c r="P27" s="2377">
        <v>269188</v>
      </c>
      <c r="Q27" s="2377">
        <v>269188</v>
      </c>
      <c r="R27" s="2377">
        <v>269188</v>
      </c>
      <c r="S27" s="2377">
        <v>269188</v>
      </c>
      <c r="T27" s="1962"/>
    </row>
    <row r="28" spans="2:20" ht="15" thickBot="1">
      <c r="B28" s="2378" t="s">
        <v>4187</v>
      </c>
      <c r="C28" s="2379">
        <v>26820647</v>
      </c>
      <c r="D28" s="2380"/>
      <c r="E28" s="2379">
        <v>26820647</v>
      </c>
      <c r="F28" s="2380"/>
      <c r="G28" s="2379">
        <v>26820647</v>
      </c>
      <c r="H28" s="2379">
        <v>26820647</v>
      </c>
      <c r="I28" s="2379">
        <v>26820647</v>
      </c>
      <c r="J28" s="2379">
        <v>26820647</v>
      </c>
      <c r="K28" s="2379">
        <v>26820647</v>
      </c>
      <c r="L28" s="2379">
        <v>26820647</v>
      </c>
      <c r="M28" s="2379">
        <v>26820647</v>
      </c>
      <c r="N28" s="2379">
        <v>26820647</v>
      </c>
      <c r="O28" s="2379">
        <v>26820647</v>
      </c>
      <c r="P28" s="2379">
        <v>26820647</v>
      </c>
      <c r="Q28" s="2379">
        <v>26820647</v>
      </c>
      <c r="R28" s="2379">
        <v>26820647</v>
      </c>
      <c r="S28" s="2379">
        <v>26820647</v>
      </c>
      <c r="T28" s="1962"/>
    </row>
    <row r="29" spans="2:20" ht="15" thickTop="1">
      <c r="B29" s="1962"/>
      <c r="C29" s="2374">
        <v>0</v>
      </c>
      <c r="D29" s="1962"/>
      <c r="E29" s="2374">
        <v>0</v>
      </c>
      <c r="F29" s="1962"/>
      <c r="G29" s="2374">
        <v>0</v>
      </c>
      <c r="H29" s="2374">
        <v>0</v>
      </c>
      <c r="I29" s="2374">
        <v>0</v>
      </c>
      <c r="J29" s="2374">
        <v>0</v>
      </c>
      <c r="K29" s="2374">
        <v>0</v>
      </c>
      <c r="L29" s="2374">
        <v>0</v>
      </c>
      <c r="M29" s="2374">
        <v>0</v>
      </c>
      <c r="N29" s="2374">
        <v>0</v>
      </c>
      <c r="O29" s="2374">
        <v>0</v>
      </c>
      <c r="P29" s="2374">
        <v>0</v>
      </c>
      <c r="Q29" s="2374">
        <v>0</v>
      </c>
      <c r="R29" s="2374">
        <v>0</v>
      </c>
      <c r="S29" s="2374">
        <v>0</v>
      </c>
      <c r="T29" s="1962"/>
    </row>
    <row r="33" spans="8:19">
      <c r="H33" s="2381">
        <f t="shared" ref="H33:R37" si="0">+H22-G22</f>
        <v>0</v>
      </c>
      <c r="I33" s="2381">
        <f t="shared" si="0"/>
        <v>0</v>
      </c>
      <c r="J33" s="2381">
        <f t="shared" si="0"/>
        <v>0</v>
      </c>
      <c r="K33" s="2381">
        <f t="shared" si="0"/>
        <v>0</v>
      </c>
      <c r="L33" s="2381">
        <f t="shared" si="0"/>
        <v>0</v>
      </c>
      <c r="M33" s="2381">
        <f t="shared" si="0"/>
        <v>0</v>
      </c>
      <c r="N33" s="2381">
        <f t="shared" si="0"/>
        <v>0</v>
      </c>
      <c r="O33" s="2381">
        <f t="shared" si="0"/>
        <v>0</v>
      </c>
      <c r="P33" s="2381">
        <f t="shared" si="0"/>
        <v>0</v>
      </c>
      <c r="Q33" s="2381">
        <f t="shared" si="0"/>
        <v>0</v>
      </c>
      <c r="R33" s="2381">
        <f t="shared" si="0"/>
        <v>0</v>
      </c>
      <c r="S33" s="2381">
        <f>+S22-R22</f>
        <v>0</v>
      </c>
    </row>
    <row r="34" spans="8:19">
      <c r="H34" s="2381">
        <f t="shared" si="0"/>
        <v>0</v>
      </c>
      <c r="I34" s="2381">
        <f t="shared" si="0"/>
        <v>0</v>
      </c>
      <c r="J34" s="2381">
        <f t="shared" si="0"/>
        <v>0</v>
      </c>
      <c r="K34" s="2381">
        <f t="shared" si="0"/>
        <v>0</v>
      </c>
      <c r="L34" s="2381">
        <f t="shared" si="0"/>
        <v>0</v>
      </c>
      <c r="M34" s="2381">
        <f t="shared" si="0"/>
        <v>0</v>
      </c>
      <c r="N34" s="2381">
        <f t="shared" si="0"/>
        <v>0</v>
      </c>
      <c r="O34" s="2381">
        <f t="shared" si="0"/>
        <v>0</v>
      </c>
      <c r="P34" s="2381">
        <f t="shared" si="0"/>
        <v>0</v>
      </c>
      <c r="Q34" s="2381">
        <f t="shared" si="0"/>
        <v>0</v>
      </c>
      <c r="R34" s="2381">
        <f t="shared" si="0"/>
        <v>0</v>
      </c>
      <c r="S34" s="2381">
        <f>+S23-R23</f>
        <v>0</v>
      </c>
    </row>
    <row r="35" spans="8:19">
      <c r="H35" s="2381"/>
      <c r="I35" s="2381"/>
      <c r="J35" s="2381"/>
      <c r="K35" s="2381"/>
      <c r="L35" s="2381"/>
      <c r="M35" s="2381"/>
      <c r="N35" s="2381"/>
      <c r="O35" s="2381"/>
      <c r="P35" s="2381"/>
      <c r="Q35" s="2381"/>
      <c r="R35" s="2381"/>
      <c r="S35" s="2381"/>
    </row>
    <row r="36" spans="8:19">
      <c r="H36" s="2381"/>
      <c r="I36" s="2381"/>
      <c r="J36" s="2381"/>
      <c r="K36" s="2381"/>
      <c r="L36" s="2381"/>
      <c r="M36" s="2381"/>
      <c r="N36" s="2381"/>
      <c r="O36" s="2381"/>
      <c r="P36" s="2381"/>
      <c r="Q36" s="2381"/>
      <c r="R36" s="2381"/>
      <c r="S36" s="2381"/>
    </row>
    <row r="37" spans="8:19">
      <c r="H37" s="2381">
        <f t="shared" si="0"/>
        <v>0</v>
      </c>
      <c r="I37" s="2381">
        <f t="shared" si="0"/>
        <v>0</v>
      </c>
      <c r="J37" s="2381">
        <f t="shared" si="0"/>
        <v>0</v>
      </c>
      <c r="K37" s="2381">
        <f t="shared" si="0"/>
        <v>0</v>
      </c>
      <c r="L37" s="2381">
        <f t="shared" si="0"/>
        <v>0</v>
      </c>
      <c r="M37" s="2381">
        <f t="shared" si="0"/>
        <v>0</v>
      </c>
      <c r="N37" s="2381">
        <f t="shared" si="0"/>
        <v>0</v>
      </c>
      <c r="O37" s="2381">
        <f t="shared" si="0"/>
        <v>0</v>
      </c>
      <c r="P37" s="2381">
        <f t="shared" si="0"/>
        <v>0</v>
      </c>
      <c r="Q37" s="2381">
        <f t="shared" si="0"/>
        <v>0</v>
      </c>
      <c r="R37" s="2381">
        <f t="shared" si="0"/>
        <v>0</v>
      </c>
      <c r="S37" s="2381">
        <f>+S26-R26</f>
        <v>0</v>
      </c>
    </row>
    <row r="38" spans="8:19">
      <c r="H38" s="2381">
        <f t="shared" ref="H38:R38" si="1">+H27-G27</f>
        <v>0</v>
      </c>
      <c r="I38" s="2381">
        <f t="shared" si="1"/>
        <v>0</v>
      </c>
      <c r="J38" s="2381">
        <f t="shared" si="1"/>
        <v>0</v>
      </c>
      <c r="K38" s="2381">
        <f t="shared" si="1"/>
        <v>0</v>
      </c>
      <c r="L38" s="2381">
        <f t="shared" si="1"/>
        <v>0</v>
      </c>
      <c r="M38" s="2381">
        <f t="shared" si="1"/>
        <v>0</v>
      </c>
      <c r="N38" s="2381">
        <f t="shared" si="1"/>
        <v>0</v>
      </c>
      <c r="O38" s="2381">
        <f t="shared" si="1"/>
        <v>0</v>
      </c>
      <c r="P38" s="2381">
        <f t="shared" si="1"/>
        <v>0</v>
      </c>
      <c r="Q38" s="2381">
        <f t="shared" si="1"/>
        <v>0</v>
      </c>
      <c r="R38" s="2381">
        <f t="shared" si="1"/>
        <v>0</v>
      </c>
      <c r="S38" s="2381">
        <f>+S27-R27</f>
        <v>0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8" tint="0.59999389629810485"/>
  </sheetPr>
  <dimension ref="A1:H39"/>
  <sheetViews>
    <sheetView tabSelected="1" showOutlineSymbols="0" workbookViewId="0"/>
  </sheetViews>
  <sheetFormatPr defaultRowHeight="14.4"/>
  <cols>
    <col min="2" max="2" width="37" bestFit="1" customWidth="1"/>
    <col min="4" max="4" width="17.5546875" bestFit="1" customWidth="1"/>
    <col min="6" max="6" width="17.5546875" bestFit="1" customWidth="1"/>
    <col min="8" max="8" width="16.33203125" bestFit="1" customWidth="1"/>
  </cols>
  <sheetData>
    <row r="1" spans="1:8">
      <c r="A1" s="328"/>
    </row>
    <row r="3" spans="1:8" ht="15.6">
      <c r="B3" s="3064" t="s">
        <v>4999</v>
      </c>
      <c r="C3" s="3064"/>
      <c r="D3" s="3064"/>
      <c r="E3" s="3064"/>
      <c r="F3" s="3064"/>
      <c r="G3" s="328"/>
      <c r="H3" s="470" t="s">
        <v>2302</v>
      </c>
    </row>
    <row r="4" spans="1:8" ht="15.6">
      <c r="B4" s="3064" t="s">
        <v>5000</v>
      </c>
      <c r="C4" s="3064"/>
      <c r="D4" s="3064"/>
      <c r="E4" s="3064"/>
      <c r="F4" s="3064"/>
      <c r="G4" s="328"/>
      <c r="H4" s="470" t="s">
        <v>5001</v>
      </c>
    </row>
    <row r="5" spans="1:8">
      <c r="B5" s="3064" t="s">
        <v>5002</v>
      </c>
      <c r="C5" s="3064"/>
      <c r="D5" s="3064"/>
      <c r="E5" s="3064"/>
      <c r="F5" s="3064"/>
      <c r="G5" s="328"/>
      <c r="H5" s="328"/>
    </row>
    <row r="6" spans="1:8">
      <c r="B6" s="3065" t="s">
        <v>9359</v>
      </c>
      <c r="C6" s="3066"/>
      <c r="D6" s="3066"/>
      <c r="E6" s="3066"/>
      <c r="F6" s="3066"/>
      <c r="G6" s="1962"/>
      <c r="H6" s="1962"/>
    </row>
    <row r="7" spans="1:8" ht="15.6">
      <c r="B7" s="1965"/>
      <c r="C7" s="1965"/>
      <c r="D7" s="1965"/>
      <c r="E7" s="1965"/>
      <c r="F7" s="1965"/>
      <c r="G7" s="1965"/>
      <c r="H7" s="1965"/>
    </row>
    <row r="8" spans="1:8" ht="15.6">
      <c r="B8" s="1965"/>
      <c r="C8" s="1965"/>
      <c r="D8" s="1965"/>
      <c r="E8" s="1965"/>
      <c r="F8" s="1965"/>
      <c r="G8" s="1965"/>
      <c r="H8" s="1965"/>
    </row>
    <row r="9" spans="1:8" ht="15.6">
      <c r="B9" s="1965" t="s">
        <v>5004</v>
      </c>
      <c r="C9" s="1965"/>
      <c r="D9" s="1969" t="s">
        <v>2403</v>
      </c>
      <c r="E9" s="1969"/>
      <c r="F9" s="1969" t="s">
        <v>2404</v>
      </c>
      <c r="G9" s="1965"/>
      <c r="H9" s="1965"/>
    </row>
    <row r="10" spans="1:8" ht="15.6">
      <c r="B10" s="1966" t="s">
        <v>2332</v>
      </c>
      <c r="C10" s="1965"/>
      <c r="D10" s="1966" t="s">
        <v>2332</v>
      </c>
      <c r="E10" s="1965"/>
      <c r="F10" s="1966" t="s">
        <v>2332</v>
      </c>
      <c r="G10" s="1965"/>
      <c r="H10" s="1965"/>
    </row>
    <row r="11" spans="1:8" ht="15.6">
      <c r="B11" s="1965" t="s">
        <v>2353</v>
      </c>
      <c r="C11" s="1964" t="s">
        <v>2334</v>
      </c>
      <c r="D11" s="1965">
        <v>-4744787.4028472388</v>
      </c>
      <c r="E11" s="1964" t="s">
        <v>2334</v>
      </c>
      <c r="F11" s="1970">
        <v>-4744787</v>
      </c>
      <c r="G11" s="1965"/>
      <c r="H11" s="1965"/>
    </row>
    <row r="12" spans="1:8" ht="15.6">
      <c r="B12" s="1965" t="s">
        <v>2354</v>
      </c>
      <c r="C12" s="1964" t="s">
        <v>2334</v>
      </c>
      <c r="D12" s="1965">
        <v>-3795196.384615385</v>
      </c>
      <c r="E12" s="1964" t="s">
        <v>2334</v>
      </c>
      <c r="F12" s="1970">
        <v>-3795196</v>
      </c>
      <c r="G12" s="1965"/>
      <c r="H12" s="1965"/>
    </row>
    <row r="13" spans="1:8" ht="15.6">
      <c r="B13" s="1965" t="s">
        <v>2340</v>
      </c>
      <c r="C13" s="1964" t="s">
        <v>2334</v>
      </c>
      <c r="D13" s="1965">
        <v>-3360346.384615385</v>
      </c>
      <c r="E13" s="1964" t="s">
        <v>2334</v>
      </c>
      <c r="F13" s="1970">
        <v>-3360346</v>
      </c>
      <c r="G13" s="1965"/>
      <c r="H13" s="1965"/>
    </row>
    <row r="14" spans="1:8" ht="15.6">
      <c r="B14" s="1965" t="s">
        <v>2339</v>
      </c>
      <c r="C14" s="1964" t="s">
        <v>2334</v>
      </c>
      <c r="D14" s="1965">
        <v>0</v>
      </c>
      <c r="E14" s="1964" t="s">
        <v>2334</v>
      </c>
      <c r="F14" s="1970">
        <v>0</v>
      </c>
      <c r="G14" s="1965"/>
      <c r="H14" s="1965"/>
    </row>
    <row r="15" spans="1:8" ht="15.6">
      <c r="B15" s="1965" t="s">
        <v>8682</v>
      </c>
      <c r="C15" s="1964" t="s">
        <v>2334</v>
      </c>
      <c r="D15" s="1965">
        <v>-520846683.32923043</v>
      </c>
      <c r="E15" s="1964" t="s">
        <v>2334</v>
      </c>
      <c r="F15" s="1970">
        <v>-520846683</v>
      </c>
      <c r="G15" s="1965"/>
      <c r="H15" s="1965"/>
    </row>
    <row r="16" spans="1:8" ht="15.6">
      <c r="B16" s="1965"/>
      <c r="C16" s="1964"/>
      <c r="D16" s="1966" t="s">
        <v>2332</v>
      </c>
      <c r="E16" s="1964"/>
      <c r="F16" s="1966" t="s">
        <v>2332</v>
      </c>
      <c r="G16" s="1965"/>
      <c r="H16" s="1965"/>
    </row>
    <row r="17" spans="2:8" ht="15.6">
      <c r="B17" s="1965" t="s">
        <v>5005</v>
      </c>
      <c r="C17" s="1964"/>
      <c r="D17" s="1965"/>
      <c r="E17" s="1964"/>
      <c r="F17" s="1965"/>
      <c r="G17" s="1965"/>
      <c r="H17" s="1965"/>
    </row>
    <row r="18" spans="2:8" ht="15.6">
      <c r="B18" s="1965" t="s">
        <v>5006</v>
      </c>
      <c r="C18" s="1964"/>
      <c r="D18" s="1965">
        <v>-1000000</v>
      </c>
      <c r="E18" s="1964"/>
      <c r="F18" s="1970">
        <v>-1000000</v>
      </c>
      <c r="G18" s="1965"/>
      <c r="H18" s="1965"/>
    </row>
    <row r="19" spans="2:8" ht="15.6">
      <c r="B19" s="1965" t="s">
        <v>8326</v>
      </c>
      <c r="C19" s="1964"/>
      <c r="D19" s="1965">
        <v>-17272815.748461545</v>
      </c>
      <c r="E19" s="1964"/>
      <c r="F19" s="1970">
        <v>-17272816</v>
      </c>
      <c r="G19" s="1965"/>
      <c r="H19" s="1965"/>
    </row>
    <row r="20" spans="2:8" ht="15.6">
      <c r="B20" s="1965" t="s">
        <v>5007</v>
      </c>
      <c r="C20" s="1964"/>
      <c r="D20" s="1965">
        <v>0</v>
      </c>
      <c r="E20" s="1964"/>
      <c r="F20" s="1970">
        <v>0</v>
      </c>
      <c r="G20" s="1965"/>
      <c r="H20" s="1965"/>
    </row>
    <row r="21" spans="2:8" ht="15.6">
      <c r="B21" s="1965" t="s">
        <v>5008</v>
      </c>
      <c r="C21" s="1964"/>
      <c r="D21" s="1965">
        <v>-1778891.2051282381</v>
      </c>
      <c r="E21" s="1964"/>
      <c r="F21" s="1970">
        <v>-1778891</v>
      </c>
      <c r="G21" s="1965"/>
      <c r="H21" s="1965"/>
    </row>
    <row r="22" spans="2:8" ht="15.6">
      <c r="B22" s="1965"/>
      <c r="C22" s="1964"/>
      <c r="D22" s="1966" t="s">
        <v>2332</v>
      </c>
      <c r="E22" s="1964"/>
      <c r="F22" s="1966" t="s">
        <v>2332</v>
      </c>
      <c r="G22" s="1965"/>
      <c r="H22" s="1965"/>
    </row>
    <row r="23" spans="2:8" ht="15.6">
      <c r="B23" s="1965"/>
      <c r="C23" s="1964" t="s">
        <v>2334</v>
      </c>
      <c r="D23" s="1965">
        <v>-19770201.342307705</v>
      </c>
      <c r="E23" s="1964" t="s">
        <v>2334</v>
      </c>
      <c r="F23" s="1965">
        <v>-19770201</v>
      </c>
      <c r="G23" s="1965"/>
      <c r="H23" s="1965"/>
    </row>
    <row r="24" spans="2:8" ht="15.6">
      <c r="B24" s="1965"/>
      <c r="C24" s="1964"/>
      <c r="D24" s="1966" t="s">
        <v>2336</v>
      </c>
      <c r="E24" s="1964"/>
      <c r="F24" s="1966" t="s">
        <v>2336</v>
      </c>
      <c r="G24" s="1965"/>
      <c r="H24" s="1965"/>
    </row>
    <row r="25" spans="2:8" ht="15.6">
      <c r="B25" s="1965"/>
      <c r="C25" s="1971"/>
      <c r="D25" s="1965"/>
      <c r="E25" s="1964"/>
      <c r="F25" s="1965"/>
      <c r="G25" s="1965"/>
      <c r="H25" s="1965"/>
    </row>
    <row r="26" spans="2:8" ht="15.6">
      <c r="B26" s="1965" t="s">
        <v>2341</v>
      </c>
      <c r="C26" s="1964" t="s">
        <v>2334</v>
      </c>
      <c r="D26" s="1965">
        <v>-188876</v>
      </c>
      <c r="E26" s="1964" t="s">
        <v>2334</v>
      </c>
      <c r="F26" s="1970">
        <v>-188876</v>
      </c>
      <c r="G26" s="1962"/>
      <c r="H26" s="1962"/>
    </row>
    <row r="27" spans="2:8" ht="15.6">
      <c r="B27" s="1962"/>
      <c r="C27" s="1964"/>
      <c r="D27" s="1966" t="s">
        <v>2332</v>
      </c>
      <c r="E27" s="1972"/>
      <c r="F27" s="1966" t="s">
        <v>2332</v>
      </c>
      <c r="G27" s="1965"/>
      <c r="H27" s="1965"/>
    </row>
    <row r="28" spans="2:8">
      <c r="B28" s="1962"/>
      <c r="C28" s="1972"/>
      <c r="D28" s="1962"/>
      <c r="E28" s="1972"/>
      <c r="F28" s="1962"/>
      <c r="G28" s="1962"/>
      <c r="H28" s="1962"/>
    </row>
    <row r="29" spans="2:8" ht="15.6">
      <c r="B29" s="1965"/>
      <c r="C29" s="1964"/>
      <c r="D29" s="1965"/>
      <c r="E29" s="1964"/>
      <c r="F29" s="1970"/>
      <c r="G29" s="1962"/>
      <c r="H29" s="1962"/>
    </row>
    <row r="30" spans="2:8" ht="15.6">
      <c r="B30" s="1965" t="s">
        <v>2339</v>
      </c>
      <c r="C30" s="1964"/>
      <c r="D30" s="1965">
        <v>0</v>
      </c>
      <c r="E30" s="1964"/>
      <c r="F30" s="1970">
        <v>0</v>
      </c>
      <c r="G30" s="1962"/>
      <c r="H30" s="1962"/>
    </row>
    <row r="31" spans="2:8" ht="15.6">
      <c r="B31" s="1965"/>
      <c r="C31" s="1964"/>
      <c r="D31" s="1966" t="s">
        <v>2332</v>
      </c>
      <c r="E31" s="1964"/>
      <c r="F31" s="1966" t="s">
        <v>2332</v>
      </c>
      <c r="G31" s="1962"/>
      <c r="H31" s="1962"/>
    </row>
    <row r="32" spans="2:8">
      <c r="B32" s="1973"/>
      <c r="C32" s="1972"/>
      <c r="D32" s="1962"/>
      <c r="E32" s="1972"/>
      <c r="F32" s="1962"/>
      <c r="G32" s="1962"/>
      <c r="H32" s="1962"/>
    </row>
    <row r="33" spans="2:8" ht="15.6">
      <c r="B33" s="1965" t="s">
        <v>2347</v>
      </c>
      <c r="C33" s="1964" t="s">
        <v>2334</v>
      </c>
      <c r="D33" s="1965">
        <v>33124850.294533931</v>
      </c>
      <c r="E33" s="1964" t="s">
        <v>2334</v>
      </c>
      <c r="F33" s="1970">
        <v>33124850</v>
      </c>
      <c r="G33" s="1965"/>
      <c r="H33" s="1965"/>
    </row>
    <row r="34" spans="2:8" ht="15.6">
      <c r="B34" s="1965"/>
      <c r="C34" s="1964"/>
      <c r="D34" s="1966" t="s">
        <v>2332</v>
      </c>
      <c r="E34" s="1964"/>
      <c r="F34" s="1966" t="s">
        <v>2332</v>
      </c>
      <c r="G34" s="1965"/>
      <c r="H34" s="1965"/>
    </row>
    <row r="35" spans="2:8" ht="15.6">
      <c r="B35" s="1965"/>
      <c r="C35" s="1964"/>
      <c r="D35" s="1965"/>
      <c r="E35" s="1964"/>
      <c r="F35" s="1965"/>
      <c r="G35" s="1965"/>
      <c r="H35" s="1965"/>
    </row>
    <row r="36" spans="2:8" ht="15.6">
      <c r="B36" s="1965" t="s">
        <v>2415</v>
      </c>
      <c r="C36" s="1964" t="s">
        <v>2334</v>
      </c>
      <c r="D36" s="1965">
        <v>-506155656.71402341</v>
      </c>
      <c r="E36" s="1964" t="s">
        <v>2334</v>
      </c>
      <c r="F36" s="1965">
        <v>-506155657</v>
      </c>
      <c r="G36" s="1965"/>
      <c r="H36" s="1965"/>
    </row>
    <row r="37" spans="2:8" ht="15.6">
      <c r="B37" s="1965"/>
      <c r="C37" s="1965"/>
      <c r="D37" s="1966" t="s">
        <v>2336</v>
      </c>
      <c r="E37" s="1965"/>
      <c r="F37" s="1966" t="s">
        <v>2336</v>
      </c>
      <c r="G37" s="1962"/>
      <c r="H37" s="1962"/>
    </row>
    <row r="38" spans="2:8" ht="15.6">
      <c r="B38" s="1962"/>
      <c r="C38" s="1962"/>
      <c r="D38" s="1962"/>
      <c r="E38" s="1962"/>
      <c r="F38" s="1962"/>
      <c r="G38" s="1965"/>
      <c r="H38" s="1962"/>
    </row>
    <row r="39" spans="2:8" ht="16.2" thickBot="1">
      <c r="B39" s="1974"/>
      <c r="C39" s="1974"/>
      <c r="D39" s="1965"/>
      <c r="E39" s="1965"/>
      <c r="F39" s="1965"/>
      <c r="G39" s="1969"/>
      <c r="H39" s="1962"/>
    </row>
  </sheetData>
  <mergeCells count="4">
    <mergeCell ref="B3:F3"/>
    <mergeCell ref="B4:F4"/>
    <mergeCell ref="B5:F5"/>
    <mergeCell ref="B6:F6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8" tint="0.59999389629810485"/>
  </sheetPr>
  <dimension ref="B1:F344"/>
  <sheetViews>
    <sheetView tabSelected="1" showOutlineSymbols="0" workbookViewId="0"/>
  </sheetViews>
  <sheetFormatPr defaultRowHeight="14.4"/>
  <cols>
    <col min="2" max="2" width="67.33203125" style="329" customWidth="1"/>
    <col min="3" max="3" width="64.109375" style="1822" customWidth="1"/>
    <col min="4" max="4" width="28.88671875" style="1821" customWidth="1"/>
    <col min="5" max="5" width="27.5546875" style="329" customWidth="1"/>
    <col min="6" max="6" width="26.44140625" style="1693" customWidth="1"/>
  </cols>
  <sheetData>
    <row r="1" spans="2:6">
      <c r="B1" s="1889" t="s">
        <v>9020</v>
      </c>
      <c r="C1" s="1890"/>
      <c r="D1" s="1642"/>
      <c r="E1" s="1642"/>
    </row>
    <row r="2" spans="2:6">
      <c r="B2" s="1896" t="s">
        <v>8282</v>
      </c>
      <c r="C2" s="1892"/>
      <c r="D2" s="1694"/>
      <c r="E2" s="1695"/>
      <c r="F2" s="1706">
        <v>1.097</v>
      </c>
    </row>
    <row r="3" spans="2:6" ht="24.75" customHeight="1" thickBot="1">
      <c r="B3" s="1642"/>
      <c r="C3" s="1642"/>
      <c r="D3" s="1694"/>
      <c r="E3" s="1642"/>
      <c r="F3" s="1706">
        <v>1.026</v>
      </c>
    </row>
    <row r="4" spans="2:6" ht="15.6" thickTop="1" thickBot="1">
      <c r="B4" s="1897" t="s">
        <v>6192</v>
      </c>
      <c r="C4" s="1894" t="s">
        <v>6193</v>
      </c>
      <c r="D4" s="1891" t="s">
        <v>6194</v>
      </c>
      <c r="E4" s="1899" t="s">
        <v>9293</v>
      </c>
    </row>
    <row r="5" spans="2:6" ht="15" thickTop="1">
      <c r="B5" s="1895" t="s">
        <v>2173</v>
      </c>
      <c r="C5" s="1890"/>
      <c r="D5" s="1694"/>
      <c r="E5" s="1696"/>
      <c r="F5" s="1707"/>
    </row>
    <row r="6" spans="2:6" ht="15" thickBot="1">
      <c r="B6" s="1893"/>
      <c r="C6" s="1890"/>
      <c r="D6" s="1694"/>
      <c r="E6" s="1696"/>
    </row>
    <row r="7" spans="2:6" ht="15.6" thickTop="1" thickBot="1">
      <c r="B7" s="1895" t="s">
        <v>6195</v>
      </c>
      <c r="C7" s="1894" t="s">
        <v>6193</v>
      </c>
      <c r="D7" s="1891" t="s">
        <v>6194</v>
      </c>
      <c r="E7" s="1899" t="s">
        <v>9293</v>
      </c>
      <c r="F7" s="1708" t="s">
        <v>7142</v>
      </c>
    </row>
    <row r="8" spans="2:6" ht="15" thickTop="1">
      <c r="B8" s="1895" t="s">
        <v>3424</v>
      </c>
      <c r="C8" s="1892" t="s">
        <v>6196</v>
      </c>
      <c r="D8" s="1898" t="s">
        <v>6197</v>
      </c>
      <c r="E8" s="1900">
        <v>2265735262.3733959</v>
      </c>
      <c r="F8" s="1709"/>
    </row>
    <row r="9" spans="2:6">
      <c r="B9" s="1895" t="s">
        <v>6198</v>
      </c>
      <c r="C9" s="1892" t="s">
        <v>6196</v>
      </c>
      <c r="D9" s="1898" t="s">
        <v>6197</v>
      </c>
      <c r="E9" s="1900">
        <v>96196.319331840015</v>
      </c>
    </row>
    <row r="10" spans="2:6">
      <c r="B10" s="1895" t="s">
        <v>3423</v>
      </c>
      <c r="C10" s="1892" t="s">
        <v>6199</v>
      </c>
      <c r="D10" s="1898" t="s">
        <v>6200</v>
      </c>
      <c r="E10" s="1900">
        <v>2310135197.7600002</v>
      </c>
      <c r="F10" s="1710"/>
    </row>
    <row r="11" spans="2:6">
      <c r="B11" s="1895" t="s">
        <v>6203</v>
      </c>
      <c r="C11" s="1892" t="s">
        <v>6199</v>
      </c>
      <c r="D11" s="1898" t="s">
        <v>6200</v>
      </c>
      <c r="E11" s="1900">
        <v>12270960</v>
      </c>
    </row>
    <row r="12" spans="2:6">
      <c r="B12" s="1895" t="s">
        <v>6204</v>
      </c>
      <c r="C12" s="1892" t="s">
        <v>6199</v>
      </c>
      <c r="D12" s="1898" t="s">
        <v>6200</v>
      </c>
      <c r="E12" s="1900">
        <v>16681053.108743338</v>
      </c>
    </row>
    <row r="13" spans="2:6">
      <c r="B13" s="1895" t="s">
        <v>6205</v>
      </c>
      <c r="C13" s="1892" t="s">
        <v>6199</v>
      </c>
      <c r="D13" s="1898" t="s">
        <v>6200</v>
      </c>
      <c r="E13" s="1900">
        <v>10754287.068437116</v>
      </c>
    </row>
    <row r="14" spans="2:6">
      <c r="B14" s="1895" t="s">
        <v>6206</v>
      </c>
      <c r="C14" s="1892" t="s">
        <v>6201</v>
      </c>
      <c r="D14" s="1898" t="s">
        <v>6202</v>
      </c>
      <c r="E14" s="1900">
        <v>4908384</v>
      </c>
      <c r="F14" s="1707"/>
    </row>
    <row r="15" spans="2:6">
      <c r="B15" s="1895" t="s">
        <v>2493</v>
      </c>
      <c r="C15" s="1892" t="s">
        <v>6207</v>
      </c>
      <c r="D15" s="1898" t="s">
        <v>6208</v>
      </c>
      <c r="E15" s="1900">
        <v>1745363579.0820465</v>
      </c>
    </row>
    <row r="16" spans="2:6">
      <c r="B16" s="1895" t="s">
        <v>6209</v>
      </c>
      <c r="C16" s="1892" t="s">
        <v>6207</v>
      </c>
      <c r="D16" s="1898" t="s">
        <v>6208</v>
      </c>
      <c r="E16" s="1900">
        <v>0</v>
      </c>
    </row>
    <row r="17" spans="2:6">
      <c r="B17" s="1895" t="s">
        <v>6210</v>
      </c>
      <c r="C17" s="1892" t="s">
        <v>6207</v>
      </c>
      <c r="D17" s="1898" t="s">
        <v>6208</v>
      </c>
      <c r="E17" s="1900">
        <v>5750140.5660016658</v>
      </c>
      <c r="F17" s="870"/>
    </row>
    <row r="18" spans="2:6">
      <c r="B18" s="1895" t="s">
        <v>6211</v>
      </c>
      <c r="C18" s="1892" t="s">
        <v>6207</v>
      </c>
      <c r="D18" s="1898" t="s">
        <v>6208</v>
      </c>
      <c r="E18" s="1900">
        <v>277677.50512320001</v>
      </c>
    </row>
    <row r="19" spans="2:6">
      <c r="B19" s="1895" t="s">
        <v>6212</v>
      </c>
      <c r="C19" s="1892" t="s">
        <v>6207</v>
      </c>
      <c r="D19" s="1898" t="s">
        <v>6208</v>
      </c>
      <c r="E19" s="1900">
        <v>0</v>
      </c>
    </row>
    <row r="20" spans="2:6">
      <c r="B20" s="1895" t="s">
        <v>6213</v>
      </c>
      <c r="C20" s="1892" t="s">
        <v>6207</v>
      </c>
      <c r="D20" s="1898" t="s">
        <v>6208</v>
      </c>
      <c r="E20" s="1900">
        <v>0</v>
      </c>
    </row>
    <row r="21" spans="2:6">
      <c r="B21" s="1901" t="s">
        <v>9272</v>
      </c>
      <c r="C21" s="1642"/>
      <c r="D21" s="1642"/>
      <c r="E21" s="1902">
        <v>101000000</v>
      </c>
      <c r="F21" s="1711"/>
    </row>
    <row r="22" spans="2:6">
      <c r="B22" s="1895" t="s">
        <v>6214</v>
      </c>
      <c r="C22" s="1890"/>
      <c r="D22" s="1903"/>
      <c r="E22" s="1904">
        <v>6472972737.7830811</v>
      </c>
    </row>
    <row r="23" spans="2:6" ht="15" thickBot="1">
      <c r="B23" s="1905"/>
      <c r="C23" s="1642"/>
      <c r="D23" s="1642"/>
      <c r="E23" s="1900"/>
    </row>
    <row r="24" spans="2:6" ht="15.6" thickTop="1" thickBot="1">
      <c r="B24" s="1895" t="s">
        <v>6215</v>
      </c>
      <c r="C24" s="1894" t="s">
        <v>6193</v>
      </c>
      <c r="D24" s="1891" t="s">
        <v>6194</v>
      </c>
      <c r="E24" s="1899" t="s">
        <v>9293</v>
      </c>
    </row>
    <row r="25" spans="2:6" ht="15" thickTop="1">
      <c r="B25" s="1895" t="s">
        <v>6216</v>
      </c>
      <c r="C25" s="1892" t="s">
        <v>6217</v>
      </c>
      <c r="D25" s="1697" t="s">
        <v>6218</v>
      </c>
      <c r="E25" s="1900">
        <v>1674195.6397585936</v>
      </c>
    </row>
    <row r="26" spans="2:6">
      <c r="B26" s="1895" t="s">
        <v>6219</v>
      </c>
      <c r="C26" s="1892" t="s">
        <v>6220</v>
      </c>
      <c r="D26" s="1697" t="s">
        <v>6221</v>
      </c>
      <c r="E26" s="1900">
        <v>6359505.3322996302</v>
      </c>
    </row>
    <row r="27" spans="2:6">
      <c r="B27" s="1895" t="s">
        <v>6222</v>
      </c>
      <c r="C27" s="1890"/>
      <c r="D27" s="1698"/>
      <c r="E27" s="1904">
        <v>8636025.2630554009</v>
      </c>
      <c r="F27" s="870"/>
    </row>
    <row r="28" spans="2:6">
      <c r="B28" s="1642"/>
      <c r="C28" s="1890"/>
      <c r="D28" s="1698"/>
      <c r="E28" s="1900"/>
      <c r="F28" s="870"/>
    </row>
    <row r="29" spans="2:6" ht="15" thickBot="1">
      <c r="B29" s="1642"/>
      <c r="C29" s="1890"/>
      <c r="D29" s="1698"/>
      <c r="E29" s="1900"/>
    </row>
    <row r="30" spans="2:6" ht="15.6" thickTop="1" thickBot="1">
      <c r="B30" s="1906" t="s">
        <v>6223</v>
      </c>
      <c r="C30" s="1894" t="s">
        <v>6193</v>
      </c>
      <c r="D30" s="1891" t="s">
        <v>6194</v>
      </c>
      <c r="E30" s="1899" t="s">
        <v>9293</v>
      </c>
      <c r="F30" s="870"/>
    </row>
    <row r="31" spans="2:6" ht="15" thickTop="1">
      <c r="B31" s="1907" t="s">
        <v>9021</v>
      </c>
      <c r="C31" s="1908" t="s">
        <v>6199</v>
      </c>
      <c r="D31" s="1898" t="s">
        <v>6200</v>
      </c>
      <c r="E31" s="1900">
        <v>40184361.274822056</v>
      </c>
      <c r="F31" s="1712"/>
    </row>
    <row r="32" spans="2:6">
      <c r="B32" s="1909" t="s">
        <v>9022</v>
      </c>
      <c r="C32" s="1908" t="s">
        <v>6224</v>
      </c>
      <c r="D32" s="1697" t="s">
        <v>6225</v>
      </c>
      <c r="E32" s="1900">
        <v>6281185.9987307796</v>
      </c>
      <c r="F32" s="1713"/>
    </row>
    <row r="33" spans="2:6">
      <c r="B33" s="1909" t="s">
        <v>9023</v>
      </c>
      <c r="C33" s="1910"/>
      <c r="D33" s="1699" t="s">
        <v>8294</v>
      </c>
      <c r="E33" s="1900">
        <v>4941373.7257494871</v>
      </c>
      <c r="F33" s="1712"/>
    </row>
    <row r="34" spans="2:6" ht="15" thickBot="1">
      <c r="B34" s="1911" t="s">
        <v>9024</v>
      </c>
      <c r="C34" s="1908"/>
      <c r="D34" s="1697"/>
      <c r="E34" s="1900">
        <v>0</v>
      </c>
      <c r="F34" s="1712"/>
    </row>
    <row r="35" spans="2:6">
      <c r="B35" s="1912" t="s">
        <v>8283</v>
      </c>
      <c r="C35" s="1892" t="s">
        <v>8284</v>
      </c>
      <c r="D35" s="1913" t="s">
        <v>8285</v>
      </c>
      <c r="E35" s="1900">
        <v>91618234.14202711</v>
      </c>
      <c r="F35" s="1712"/>
    </row>
    <row r="36" spans="2:6">
      <c r="B36" s="1895" t="s">
        <v>8286</v>
      </c>
      <c r="C36" s="1892" t="s">
        <v>8287</v>
      </c>
      <c r="D36" s="1913" t="s">
        <v>8288</v>
      </c>
      <c r="E36" s="1900">
        <v>86569379.723938331</v>
      </c>
    </row>
    <row r="37" spans="2:6">
      <c r="B37" s="1895" t="s">
        <v>6226</v>
      </c>
      <c r="C37" s="1914" t="s">
        <v>6227</v>
      </c>
      <c r="D37" s="1915" t="s">
        <v>9025</v>
      </c>
      <c r="E37" s="1900">
        <v>91741376.929852411</v>
      </c>
    </row>
    <row r="38" spans="2:6">
      <c r="B38" s="1895" t="s">
        <v>6228</v>
      </c>
      <c r="C38" s="1914" t="s">
        <v>6229</v>
      </c>
      <c r="D38" s="1700" t="s">
        <v>8289</v>
      </c>
      <c r="E38" s="1900">
        <v>75240243.361261502</v>
      </c>
    </row>
    <row r="39" spans="2:6">
      <c r="B39" s="1895" t="s">
        <v>6230</v>
      </c>
      <c r="C39" s="1916" t="s">
        <v>6231</v>
      </c>
      <c r="D39" s="1700" t="s">
        <v>8290</v>
      </c>
      <c r="E39" s="1900">
        <v>68221104.455219105</v>
      </c>
    </row>
    <row r="40" spans="2:6">
      <c r="B40" s="1895" t="s">
        <v>6232</v>
      </c>
      <c r="C40" s="1914" t="s">
        <v>6233</v>
      </c>
      <c r="D40" s="1915" t="s">
        <v>9026</v>
      </c>
      <c r="E40" s="1900">
        <v>46178545.434489474</v>
      </c>
      <c r="F40" s="1714"/>
    </row>
    <row r="41" spans="2:6">
      <c r="B41" s="1895" t="s">
        <v>6234</v>
      </c>
      <c r="C41" s="1914" t="s">
        <v>6235</v>
      </c>
      <c r="D41" s="1700" t="s">
        <v>8291</v>
      </c>
      <c r="E41" s="1900">
        <v>61078822.761351399</v>
      </c>
    </row>
    <row r="42" spans="2:6">
      <c r="B42" s="1895" t="s">
        <v>6236</v>
      </c>
      <c r="C42" s="1914" t="s">
        <v>6237</v>
      </c>
      <c r="D42" s="1700" t="s">
        <v>8292</v>
      </c>
      <c r="E42" s="1900">
        <v>92110805.29332833</v>
      </c>
    </row>
    <row r="43" spans="2:6">
      <c r="B43" s="1895" t="s">
        <v>6238</v>
      </c>
      <c r="C43" s="1892"/>
      <c r="D43" s="1700" t="s">
        <v>8293</v>
      </c>
      <c r="E43" s="1900">
        <v>91741376.929852411</v>
      </c>
    </row>
    <row r="44" spans="2:6">
      <c r="B44" s="1917" t="s">
        <v>6239</v>
      </c>
      <c r="C44" s="1918" t="s">
        <v>6240</v>
      </c>
      <c r="D44" s="1919" t="s">
        <v>6241</v>
      </c>
      <c r="E44" s="1900">
        <v>74008862.383513898</v>
      </c>
      <c r="F44" s="1707"/>
    </row>
    <row r="45" spans="2:6">
      <c r="B45" s="1920" t="s">
        <v>6242</v>
      </c>
      <c r="C45" s="1921" t="s">
        <v>8295</v>
      </c>
      <c r="D45" s="1913" t="s">
        <v>8296</v>
      </c>
      <c r="E45" s="1900">
        <v>90013051.945439994</v>
      </c>
      <c r="F45" s="1715"/>
    </row>
    <row r="46" spans="2:6">
      <c r="B46" s="1920" t="s">
        <v>8297</v>
      </c>
      <c r="C46" s="1921" t="s">
        <v>9273</v>
      </c>
      <c r="D46" s="1913" t="s">
        <v>8298</v>
      </c>
      <c r="E46" s="1900">
        <v>44982935.318880007</v>
      </c>
      <c r="F46" s="1707"/>
    </row>
    <row r="47" spans="2:6">
      <c r="B47" s="1920" t="s">
        <v>8299</v>
      </c>
      <c r="C47" s="1921"/>
      <c r="D47" s="1913" t="s">
        <v>8300</v>
      </c>
      <c r="E47" s="1900">
        <v>77305188.149279997</v>
      </c>
      <c r="F47" s="1707"/>
    </row>
    <row r="48" spans="2:6">
      <c r="B48" s="1920" t="s">
        <v>6243</v>
      </c>
      <c r="C48" s="1921"/>
      <c r="D48" s="1913" t="s">
        <v>8301</v>
      </c>
      <c r="E48" s="1900">
        <v>100270780.62768</v>
      </c>
      <c r="F48" s="1707"/>
    </row>
    <row r="49" spans="2:6">
      <c r="B49" s="1922" t="s">
        <v>8302</v>
      </c>
      <c r="C49" s="1923" t="s">
        <v>9274</v>
      </c>
      <c r="D49" s="1924"/>
      <c r="E49" s="1900">
        <v>70251878.754720002</v>
      </c>
      <c r="F49" s="1715"/>
    </row>
    <row r="50" spans="2:6">
      <c r="B50" s="1922" t="s">
        <v>8303</v>
      </c>
      <c r="C50" s="1923" t="s">
        <v>9275</v>
      </c>
      <c r="D50" s="1924"/>
      <c r="E50" s="1900">
        <v>66225019.180320002</v>
      </c>
      <c r="F50" s="1707"/>
    </row>
    <row r="51" spans="2:6">
      <c r="B51" s="1922" t="s">
        <v>8304</v>
      </c>
      <c r="C51" s="1923" t="s">
        <v>9273</v>
      </c>
      <c r="D51" s="1924"/>
      <c r="E51" s="1900">
        <v>17353505.201760001</v>
      </c>
      <c r="F51" s="1707"/>
    </row>
    <row r="52" spans="2:6">
      <c r="B52" s="1922" t="s">
        <v>8305</v>
      </c>
      <c r="C52" s="1923" t="s">
        <v>9276</v>
      </c>
      <c r="D52" s="1924"/>
      <c r="E52" s="1900">
        <v>57378405.671999998</v>
      </c>
      <c r="F52" s="1707"/>
    </row>
    <row r="53" spans="2:6">
      <c r="B53" s="1922" t="s">
        <v>9027</v>
      </c>
      <c r="C53" s="1923" t="s">
        <v>8295</v>
      </c>
      <c r="D53" s="1924"/>
      <c r="E53" s="1900">
        <v>30944160</v>
      </c>
      <c r="F53" s="1707"/>
    </row>
    <row r="54" spans="2:6">
      <c r="B54" s="1925" t="s">
        <v>9013</v>
      </c>
      <c r="C54" s="1923" t="s">
        <v>9277</v>
      </c>
      <c r="D54" s="1924"/>
      <c r="E54" s="1900">
        <v>47901474.522</v>
      </c>
      <c r="F54" s="1707"/>
    </row>
    <row r="55" spans="2:6">
      <c r="B55" s="1925" t="s">
        <v>9014</v>
      </c>
      <c r="C55" s="1923" t="s">
        <v>9278</v>
      </c>
      <c r="D55" s="1924"/>
      <c r="E55" s="1900">
        <v>58531708.674000002</v>
      </c>
      <c r="F55" s="1707"/>
    </row>
    <row r="56" spans="2:6">
      <c r="B56" s="1925" t="s">
        <v>9028</v>
      </c>
      <c r="C56" s="1923" t="s">
        <v>9279</v>
      </c>
      <c r="D56" s="1924"/>
      <c r="E56" s="1900">
        <v>22114241.892000001</v>
      </c>
      <c r="F56" s="1716"/>
    </row>
    <row r="57" spans="2:6">
      <c r="B57" s="1925" t="s">
        <v>9280</v>
      </c>
      <c r="C57" s="1923"/>
      <c r="D57" s="1924"/>
      <c r="E57" s="1926">
        <v>47000000</v>
      </c>
    </row>
    <row r="58" spans="2:6">
      <c r="B58" s="1925" t="s">
        <v>9281</v>
      </c>
      <c r="C58" s="1923"/>
      <c r="D58" s="1924"/>
      <c r="E58" s="1926">
        <v>34000000</v>
      </c>
    </row>
    <row r="59" spans="2:6">
      <c r="B59" s="1925" t="s">
        <v>9282</v>
      </c>
      <c r="C59" s="1923"/>
      <c r="D59" s="1924"/>
      <c r="E59" s="1926">
        <v>85000000</v>
      </c>
    </row>
    <row r="60" spans="2:6">
      <c r="B60" s="1912" t="s">
        <v>6244</v>
      </c>
      <c r="C60" s="1890"/>
      <c r="D60" s="1701"/>
      <c r="E60" s="1904">
        <v>1627781101.3529139</v>
      </c>
    </row>
    <row r="61" spans="2:6" ht="15" thickBot="1">
      <c r="B61" s="1890"/>
      <c r="C61" s="1890"/>
      <c r="D61" s="1698"/>
      <c r="E61" s="1900"/>
    </row>
    <row r="62" spans="2:6" ht="15" thickTop="1">
      <c r="B62" s="1895" t="s">
        <v>6245</v>
      </c>
      <c r="C62" s="1927" t="s">
        <v>6193</v>
      </c>
      <c r="D62" s="1928" t="s">
        <v>6194</v>
      </c>
      <c r="E62" s="1899" t="s">
        <v>9293</v>
      </c>
    </row>
    <row r="63" spans="2:6">
      <c r="B63" s="1901" t="s">
        <v>6246</v>
      </c>
      <c r="C63" s="1929" t="s">
        <v>6247</v>
      </c>
      <c r="D63" s="1929" t="s">
        <v>9029</v>
      </c>
      <c r="E63" s="1900">
        <v>6737574.2542990744</v>
      </c>
    </row>
    <row r="64" spans="2:6">
      <c r="B64" s="1930" t="s">
        <v>9410</v>
      </c>
      <c r="C64" s="1929" t="s">
        <v>6248</v>
      </c>
      <c r="D64" s="1929" t="s">
        <v>9030</v>
      </c>
      <c r="E64" s="1900">
        <v>7422004.9848672003</v>
      </c>
    </row>
    <row r="65" spans="2:5">
      <c r="B65" s="1930" t="s">
        <v>3001</v>
      </c>
      <c r="C65" s="1929" t="s">
        <v>6249</v>
      </c>
      <c r="D65" s="1929" t="s">
        <v>6250</v>
      </c>
      <c r="E65" s="1900">
        <v>12850738.4888064</v>
      </c>
    </row>
    <row r="66" spans="2:5">
      <c r="B66" s="1901" t="s">
        <v>6251</v>
      </c>
      <c r="C66" s="1931" t="s">
        <v>6252</v>
      </c>
      <c r="D66" s="1702" t="s">
        <v>6253</v>
      </c>
      <c r="E66" s="1900">
        <v>4098591.8337752838</v>
      </c>
    </row>
    <row r="67" spans="2:5">
      <c r="B67" s="1901" t="s">
        <v>3423</v>
      </c>
      <c r="C67" s="1931" t="s">
        <v>6254</v>
      </c>
      <c r="D67" s="1702" t="s">
        <v>6255</v>
      </c>
      <c r="E67" s="1900">
        <v>15517648.847101748</v>
      </c>
    </row>
    <row r="68" spans="2:5">
      <c r="B68" s="1930" t="s">
        <v>9411</v>
      </c>
      <c r="C68" s="1929" t="s">
        <v>6256</v>
      </c>
      <c r="D68" s="1929"/>
      <c r="E68" s="1900">
        <v>3423736.8966528</v>
      </c>
    </row>
    <row r="69" spans="2:5">
      <c r="B69" s="1930" t="s">
        <v>3006</v>
      </c>
      <c r="C69" s="1929" t="s">
        <v>6233</v>
      </c>
      <c r="D69" s="1929" t="s">
        <v>9031</v>
      </c>
      <c r="E69" s="1900">
        <v>6378468.7389695998</v>
      </c>
    </row>
    <row r="70" spans="2:5">
      <c r="B70" s="1930" t="s">
        <v>9412</v>
      </c>
      <c r="C70" s="1929" t="s">
        <v>6257</v>
      </c>
      <c r="D70" s="1929" t="s">
        <v>9032</v>
      </c>
      <c r="E70" s="1900">
        <v>1348389.531216</v>
      </c>
    </row>
    <row r="71" spans="2:5">
      <c r="B71" s="1901" t="s">
        <v>6258</v>
      </c>
      <c r="C71" s="1931" t="s">
        <v>6259</v>
      </c>
      <c r="D71" s="1702" t="s">
        <v>6260</v>
      </c>
      <c r="E71" s="1900">
        <v>1176153.017896377</v>
      </c>
    </row>
    <row r="72" spans="2:5">
      <c r="B72" s="1901" t="s">
        <v>6261</v>
      </c>
      <c r="C72" s="1931" t="s">
        <v>6262</v>
      </c>
      <c r="D72" s="1702" t="s">
        <v>6263</v>
      </c>
      <c r="E72" s="1900">
        <v>1501301.5003054268</v>
      </c>
    </row>
    <row r="73" spans="2:5">
      <c r="B73" s="1901" t="s">
        <v>6264</v>
      </c>
      <c r="C73" s="1931" t="s">
        <v>6265</v>
      </c>
      <c r="D73" s="1702" t="s">
        <v>6266</v>
      </c>
      <c r="E73" s="1900">
        <v>4476648.6473875875</v>
      </c>
    </row>
    <row r="74" spans="2:5">
      <c r="B74" s="1932" t="s">
        <v>6267</v>
      </c>
      <c r="C74" s="1933" t="s">
        <v>6268</v>
      </c>
      <c r="D74" s="1929" t="s">
        <v>9033</v>
      </c>
      <c r="E74" s="1900">
        <v>9974725.2755682003</v>
      </c>
    </row>
    <row r="75" spans="2:5">
      <c r="B75" s="1930" t="s">
        <v>9413</v>
      </c>
      <c r="C75" s="1934" t="s">
        <v>6269</v>
      </c>
      <c r="D75" s="1929"/>
      <c r="E75" s="1900">
        <v>2298124.7662463994</v>
      </c>
    </row>
    <row r="76" spans="2:5">
      <c r="B76" s="1930" t="s">
        <v>9414</v>
      </c>
      <c r="C76" s="1934" t="s">
        <v>6269</v>
      </c>
      <c r="D76" s="1929" t="s">
        <v>9034</v>
      </c>
      <c r="E76" s="1900">
        <v>1008360.8668224</v>
      </c>
    </row>
    <row r="77" spans="2:5">
      <c r="B77" s="1930" t="s">
        <v>6270</v>
      </c>
      <c r="C77" s="1929" t="s">
        <v>6271</v>
      </c>
      <c r="D77" s="1929" t="s">
        <v>9035</v>
      </c>
      <c r="E77" s="1900">
        <v>0</v>
      </c>
    </row>
    <row r="78" spans="2:5">
      <c r="B78" s="1901" t="s">
        <v>6272</v>
      </c>
      <c r="C78" s="1934" t="s">
        <v>6273</v>
      </c>
      <c r="D78" s="1929" t="s">
        <v>9036</v>
      </c>
      <c r="E78" s="1900">
        <v>3506489.4616539958</v>
      </c>
    </row>
    <row r="79" spans="2:5">
      <c r="B79" s="1901" t="s">
        <v>6274</v>
      </c>
      <c r="C79" s="1931" t="s">
        <v>6275</v>
      </c>
      <c r="D79" s="1702" t="s">
        <v>6276</v>
      </c>
      <c r="E79" s="1900">
        <v>8893440.2784878891</v>
      </c>
    </row>
    <row r="80" spans="2:5">
      <c r="B80" s="1901" t="s">
        <v>6277</v>
      </c>
      <c r="C80" s="1931" t="s">
        <v>6278</v>
      </c>
      <c r="D80" s="1702" t="s">
        <v>6279</v>
      </c>
      <c r="E80" s="1900">
        <v>7297697.5167904636</v>
      </c>
    </row>
    <row r="81" spans="2:5">
      <c r="B81" s="1930" t="s">
        <v>6280</v>
      </c>
      <c r="C81" s="1929" t="s">
        <v>6281</v>
      </c>
      <c r="D81" s="1929" t="s">
        <v>9037</v>
      </c>
      <c r="E81" s="1900">
        <v>1008360.8668224</v>
      </c>
    </row>
    <row r="82" spans="2:5">
      <c r="B82" s="1901" t="s">
        <v>6282</v>
      </c>
      <c r="C82" s="1931" t="s">
        <v>6283</v>
      </c>
      <c r="D82" s="1702" t="s">
        <v>6284</v>
      </c>
      <c r="E82" s="1900">
        <v>7640011.1269082818</v>
      </c>
    </row>
    <row r="83" spans="2:5">
      <c r="B83" s="1901" t="s">
        <v>6285</v>
      </c>
      <c r="C83" s="1929" t="s">
        <v>6286</v>
      </c>
      <c r="D83" s="1929" t="s">
        <v>9038</v>
      </c>
      <c r="E83" s="1900">
        <v>18207423.881853305</v>
      </c>
    </row>
    <row r="84" spans="2:5">
      <c r="B84" s="1930" t="s">
        <v>6287</v>
      </c>
      <c r="C84" s="1929" t="s">
        <v>6288</v>
      </c>
      <c r="D84" s="1931"/>
      <c r="E84" s="1900">
        <v>1008360.8668224</v>
      </c>
    </row>
    <row r="85" spans="2:5" ht="22.8">
      <c r="B85" s="1930" t="s">
        <v>9415</v>
      </c>
      <c r="C85" s="1934" t="s">
        <v>6288</v>
      </c>
      <c r="D85" s="1929" t="s">
        <v>9039</v>
      </c>
      <c r="E85" s="1900">
        <v>340028.66439359996</v>
      </c>
    </row>
    <row r="86" spans="2:5">
      <c r="B86" s="1930" t="s">
        <v>9416</v>
      </c>
      <c r="C86" s="1929" t="s">
        <v>6289</v>
      </c>
      <c r="D86" s="1929" t="s">
        <v>9040</v>
      </c>
      <c r="E86" s="1900">
        <v>1008360.8668224</v>
      </c>
    </row>
    <row r="87" spans="2:5">
      <c r="B87" s="1930" t="s">
        <v>9417</v>
      </c>
      <c r="C87" s="1929" t="s">
        <v>6290</v>
      </c>
      <c r="D87" s="1929" t="s">
        <v>9041</v>
      </c>
      <c r="E87" s="1900">
        <v>1008360.8668224</v>
      </c>
    </row>
    <row r="88" spans="2:5">
      <c r="B88" s="1930" t="s">
        <v>9418</v>
      </c>
      <c r="C88" s="1934" t="s">
        <v>6291</v>
      </c>
      <c r="D88" s="1929"/>
      <c r="E88" s="1900">
        <v>0</v>
      </c>
    </row>
    <row r="89" spans="2:5">
      <c r="B89" s="1930" t="s">
        <v>9419</v>
      </c>
      <c r="C89" s="1934" t="s">
        <v>6291</v>
      </c>
      <c r="D89" s="1929" t="s">
        <v>9042</v>
      </c>
      <c r="E89" s="1900">
        <v>1008360.8668224</v>
      </c>
    </row>
    <row r="90" spans="2:5">
      <c r="B90" s="1930" t="s">
        <v>9420</v>
      </c>
      <c r="C90" s="1934" t="s">
        <v>6292</v>
      </c>
      <c r="D90" s="1929" t="s">
        <v>9043</v>
      </c>
      <c r="E90" s="1900">
        <v>0</v>
      </c>
    </row>
    <row r="91" spans="2:5">
      <c r="B91" s="1930" t="s">
        <v>9421</v>
      </c>
      <c r="C91" s="1934" t="s">
        <v>6293</v>
      </c>
      <c r="D91" s="1929" t="s">
        <v>9044</v>
      </c>
      <c r="E91" s="1900">
        <v>1008360.8668224</v>
      </c>
    </row>
    <row r="92" spans="2:5">
      <c r="B92" s="1901" t="s">
        <v>6294</v>
      </c>
      <c r="C92" s="1931" t="s">
        <v>6295</v>
      </c>
      <c r="D92" s="1702" t="s">
        <v>6296</v>
      </c>
      <c r="E92" s="1900">
        <v>21254373.514675383</v>
      </c>
    </row>
    <row r="93" spans="2:5">
      <c r="B93" s="1901" t="s">
        <v>6294</v>
      </c>
      <c r="C93" s="1931" t="s">
        <v>6295</v>
      </c>
      <c r="D93" s="1702" t="s">
        <v>6297</v>
      </c>
      <c r="E93" s="1900">
        <v>7033676.6791619053</v>
      </c>
    </row>
    <row r="94" spans="2:5">
      <c r="B94" s="1901" t="s">
        <v>6298</v>
      </c>
      <c r="C94" s="1931" t="s">
        <v>6299</v>
      </c>
      <c r="D94" s="1702" t="s">
        <v>6300</v>
      </c>
      <c r="E94" s="1900">
        <v>1505919.8868764846</v>
      </c>
    </row>
    <row r="95" spans="2:5">
      <c r="B95" s="1930" t="s">
        <v>3004</v>
      </c>
      <c r="C95" s="1929" t="s">
        <v>6301</v>
      </c>
      <c r="D95" s="1929" t="s">
        <v>9045</v>
      </c>
      <c r="E95" s="1900">
        <v>1887745.3437023999</v>
      </c>
    </row>
    <row r="96" spans="2:5">
      <c r="B96" s="1901" t="s">
        <v>6302</v>
      </c>
      <c r="C96" s="1931" t="s">
        <v>6303</v>
      </c>
      <c r="D96" s="1702" t="s">
        <v>6304</v>
      </c>
      <c r="E96" s="1900">
        <v>7092704.963518179</v>
      </c>
    </row>
    <row r="97" spans="2:5">
      <c r="B97" s="1901" t="s">
        <v>6305</v>
      </c>
      <c r="C97" s="1931" t="s">
        <v>6306</v>
      </c>
      <c r="D97" s="1702" t="s">
        <v>6307</v>
      </c>
      <c r="E97" s="1900">
        <v>2024096.7091478438</v>
      </c>
    </row>
    <row r="98" spans="2:5">
      <c r="B98" s="1901" t="s">
        <v>6308</v>
      </c>
      <c r="C98" s="1931" t="s">
        <v>6309</v>
      </c>
      <c r="D98" s="1702" t="s">
        <v>6310</v>
      </c>
      <c r="E98" s="1900">
        <v>6594818.9414150855</v>
      </c>
    </row>
    <row r="99" spans="2:5">
      <c r="B99" s="1901" t="s">
        <v>6311</v>
      </c>
      <c r="C99" s="1931" t="s">
        <v>6312</v>
      </c>
      <c r="D99" s="1702" t="s">
        <v>6313</v>
      </c>
      <c r="E99" s="1900">
        <v>12886301.793687169</v>
      </c>
    </row>
    <row r="100" spans="2:5">
      <c r="B100" s="1901" t="s">
        <v>6314</v>
      </c>
      <c r="C100" s="1931" t="s">
        <v>6315</v>
      </c>
      <c r="D100" s="1702" t="s">
        <v>6316</v>
      </c>
      <c r="E100" s="1900">
        <v>7278167.9235505108</v>
      </c>
    </row>
    <row r="101" spans="2:5">
      <c r="B101" s="1930" t="s">
        <v>6317</v>
      </c>
      <c r="C101" s="1931"/>
      <c r="D101" s="1931"/>
      <c r="E101" s="1900">
        <v>340028.66439359996</v>
      </c>
    </row>
    <row r="102" spans="2:5">
      <c r="B102" s="1901" t="s">
        <v>6318</v>
      </c>
      <c r="C102" s="1931" t="s">
        <v>6319</v>
      </c>
      <c r="D102" s="1702" t="s">
        <v>6320</v>
      </c>
      <c r="E102" s="1900">
        <v>9842331.4920225069</v>
      </c>
    </row>
    <row r="103" spans="2:5">
      <c r="B103" s="1901" t="s">
        <v>6321</v>
      </c>
      <c r="C103" s="1931" t="s">
        <v>6322</v>
      </c>
      <c r="D103" s="1702" t="s">
        <v>6323</v>
      </c>
      <c r="E103" s="1900">
        <v>2516152.1073159371</v>
      </c>
    </row>
    <row r="104" spans="2:5">
      <c r="B104" s="1930" t="s">
        <v>3007</v>
      </c>
      <c r="C104" s="1929" t="s">
        <v>6235</v>
      </c>
      <c r="D104" s="1929" t="s">
        <v>9046</v>
      </c>
      <c r="E104" s="1900">
        <v>680057.32878719992</v>
      </c>
    </row>
    <row r="105" spans="2:5">
      <c r="B105" s="1901" t="s">
        <v>6324</v>
      </c>
      <c r="C105" s="1931" t="s">
        <v>6325</v>
      </c>
      <c r="D105" s="1702" t="s">
        <v>6326</v>
      </c>
      <c r="E105" s="1900">
        <v>4360370.3934144396</v>
      </c>
    </row>
    <row r="106" spans="2:5">
      <c r="B106" s="1930" t="s">
        <v>6327</v>
      </c>
      <c r="C106" s="1929" t="s">
        <v>6328</v>
      </c>
      <c r="D106" s="1929" t="s">
        <v>9047</v>
      </c>
      <c r="E106" s="1900">
        <v>2028446.8600031999</v>
      </c>
    </row>
    <row r="107" spans="2:5">
      <c r="B107" s="1930" t="s">
        <v>3003</v>
      </c>
      <c r="C107" s="1929" t="s">
        <v>6227</v>
      </c>
      <c r="D107" s="1929" t="s">
        <v>9047</v>
      </c>
      <c r="E107" s="1900">
        <v>5123880.2186207995</v>
      </c>
    </row>
    <row r="108" spans="2:5">
      <c r="B108" s="1930" t="s">
        <v>6329</v>
      </c>
      <c r="C108" s="1929" t="s">
        <v>6330</v>
      </c>
      <c r="D108" s="1929" t="s">
        <v>9048</v>
      </c>
      <c r="E108" s="1900">
        <v>3705139.9292544001</v>
      </c>
    </row>
    <row r="109" spans="2:5">
      <c r="B109" s="1930" t="s">
        <v>3034</v>
      </c>
      <c r="C109" s="1929" t="s">
        <v>6330</v>
      </c>
      <c r="D109" s="1929" t="s">
        <v>9049</v>
      </c>
      <c r="E109" s="1900">
        <v>3376836.3912192001</v>
      </c>
    </row>
    <row r="110" spans="2:5">
      <c r="B110" s="1930" t="s">
        <v>6331</v>
      </c>
      <c r="C110" s="1929" t="s">
        <v>6332</v>
      </c>
      <c r="D110" s="1929" t="s">
        <v>9050</v>
      </c>
      <c r="E110" s="1900">
        <v>3447187.1493696002</v>
      </c>
    </row>
    <row r="111" spans="2:5">
      <c r="B111" s="1930" t="s">
        <v>9422</v>
      </c>
      <c r="C111" s="1929" t="s">
        <v>6333</v>
      </c>
      <c r="D111" s="1929" t="s">
        <v>9051</v>
      </c>
      <c r="E111" s="1900">
        <v>2696779.0624319999</v>
      </c>
    </row>
    <row r="112" spans="2:5">
      <c r="B112" s="1901" t="s">
        <v>6334</v>
      </c>
      <c r="C112" s="1931" t="s">
        <v>6335</v>
      </c>
      <c r="D112" s="1702" t="s">
        <v>6336</v>
      </c>
      <c r="E112" s="1900">
        <v>8375768.5629349239</v>
      </c>
    </row>
    <row r="113" spans="2:5">
      <c r="B113" s="1895" t="s">
        <v>6337</v>
      </c>
      <c r="C113" s="1892" t="s">
        <v>6338</v>
      </c>
      <c r="D113" s="1703" t="s">
        <v>9052</v>
      </c>
      <c r="E113" s="1900">
        <v>4204719.5168835754</v>
      </c>
    </row>
    <row r="114" spans="2:5">
      <c r="B114" s="1901" t="s">
        <v>6339</v>
      </c>
      <c r="C114" s="1931" t="s">
        <v>6340</v>
      </c>
      <c r="D114" s="1702" t="s">
        <v>6341</v>
      </c>
      <c r="E114" s="1900">
        <v>9335320.2848048527</v>
      </c>
    </row>
    <row r="115" spans="2:5">
      <c r="B115" s="1901" t="s">
        <v>6342</v>
      </c>
      <c r="C115" s="1931" t="s">
        <v>6343</v>
      </c>
      <c r="D115" s="1702" t="s">
        <v>6344</v>
      </c>
      <c r="E115" s="1900">
        <v>4619125.4767954396</v>
      </c>
    </row>
    <row r="116" spans="2:5">
      <c r="B116" s="1930" t="s">
        <v>3002</v>
      </c>
      <c r="C116" s="1929" t="s">
        <v>6345</v>
      </c>
      <c r="D116" s="1929" t="s">
        <v>9053</v>
      </c>
      <c r="E116" s="1900">
        <v>11936178.632851198</v>
      </c>
    </row>
    <row r="117" spans="2:5">
      <c r="B117" s="1930" t="s">
        <v>3005</v>
      </c>
      <c r="C117" s="1929" t="s">
        <v>6346</v>
      </c>
      <c r="D117" s="1929" t="s">
        <v>9054</v>
      </c>
      <c r="E117" s="1900">
        <v>9180773.9386272002</v>
      </c>
    </row>
    <row r="118" spans="2:5">
      <c r="B118" s="1901" t="s">
        <v>6347</v>
      </c>
      <c r="C118" s="1931" t="s">
        <v>6348</v>
      </c>
      <c r="D118" s="1702" t="s">
        <v>6349</v>
      </c>
      <c r="E118" s="1900">
        <v>15417314.947581438</v>
      </c>
    </row>
    <row r="119" spans="2:5">
      <c r="B119" s="1901" t="s">
        <v>6350</v>
      </c>
      <c r="C119" s="1931" t="s">
        <v>6351</v>
      </c>
      <c r="D119" s="1702" t="s">
        <v>6352</v>
      </c>
      <c r="E119" s="1900">
        <v>9334514.9914014284</v>
      </c>
    </row>
    <row r="120" spans="2:5">
      <c r="B120" s="1930" t="s">
        <v>9423</v>
      </c>
      <c r="C120" s="1934" t="s">
        <v>6353</v>
      </c>
      <c r="D120" s="1929" t="s">
        <v>9055</v>
      </c>
      <c r="E120" s="1900">
        <v>91423.987200000003</v>
      </c>
    </row>
    <row r="121" spans="2:5">
      <c r="B121" s="1901" t="s">
        <v>6354</v>
      </c>
      <c r="C121" s="1931" t="s">
        <v>6355</v>
      </c>
      <c r="D121" s="1702" t="s">
        <v>6356</v>
      </c>
      <c r="E121" s="1900">
        <v>4677993.947679447</v>
      </c>
    </row>
    <row r="122" spans="2:5">
      <c r="B122" s="1901" t="s">
        <v>6357</v>
      </c>
      <c r="C122" s="1929" t="s">
        <v>6358</v>
      </c>
      <c r="D122" s="1929" t="s">
        <v>9056</v>
      </c>
      <c r="E122" s="1900">
        <v>1008360.8668224</v>
      </c>
    </row>
    <row r="123" spans="2:5">
      <c r="B123" s="1901" t="s">
        <v>6359</v>
      </c>
      <c r="C123" s="1931" t="s">
        <v>6360</v>
      </c>
      <c r="D123" s="1702" t="s">
        <v>6361</v>
      </c>
      <c r="E123" s="1900">
        <v>8168314.8352892548</v>
      </c>
    </row>
    <row r="124" spans="2:5">
      <c r="B124" s="1901" t="s">
        <v>6362</v>
      </c>
      <c r="C124" s="1931" t="s">
        <v>6363</v>
      </c>
      <c r="D124" s="1702" t="s">
        <v>6364</v>
      </c>
      <c r="E124" s="1900">
        <v>6146908.8667637678</v>
      </c>
    </row>
    <row r="125" spans="2:5">
      <c r="B125" s="1901" t="s">
        <v>6365</v>
      </c>
      <c r="C125" s="1931" t="s">
        <v>6366</v>
      </c>
      <c r="D125" s="1702" t="s">
        <v>6367</v>
      </c>
      <c r="E125" s="1900">
        <v>3830956.8080226341</v>
      </c>
    </row>
    <row r="126" spans="2:5">
      <c r="B126" s="1901" t="s">
        <v>6368</v>
      </c>
      <c r="C126" s="1931" t="s">
        <v>6369</v>
      </c>
      <c r="D126" s="1702" t="s">
        <v>6370</v>
      </c>
      <c r="E126" s="1900">
        <v>15247317.054011794</v>
      </c>
    </row>
    <row r="127" spans="2:5">
      <c r="B127" s="1901" t="s">
        <v>6371</v>
      </c>
      <c r="C127" s="1931" t="s">
        <v>6372</v>
      </c>
      <c r="D127" s="1702" t="s">
        <v>6373</v>
      </c>
      <c r="E127" s="1900">
        <v>5651995.1641925285</v>
      </c>
    </row>
    <row r="128" spans="2:5">
      <c r="B128" s="1901" t="s">
        <v>6374</v>
      </c>
      <c r="C128" s="1931" t="s">
        <v>6375</v>
      </c>
      <c r="D128" s="1702" t="s">
        <v>6376</v>
      </c>
      <c r="E128" s="1900">
        <v>5408897.509697251</v>
      </c>
    </row>
    <row r="129" spans="2:6">
      <c r="B129" s="1930" t="s">
        <v>6377</v>
      </c>
      <c r="C129" s="1929" t="s">
        <v>6378</v>
      </c>
      <c r="D129" s="1929" t="s">
        <v>9057</v>
      </c>
      <c r="E129" s="1900">
        <v>6073615.4536512</v>
      </c>
    </row>
    <row r="130" spans="2:6">
      <c r="B130" s="1901" t="s">
        <v>6379</v>
      </c>
      <c r="C130" s="1931" t="s">
        <v>6380</v>
      </c>
      <c r="D130" s="1702" t="s">
        <v>6381</v>
      </c>
      <c r="E130" s="1900">
        <v>8002324.1209038561</v>
      </c>
    </row>
    <row r="131" spans="2:6">
      <c r="B131" s="1901" t="s">
        <v>6382</v>
      </c>
      <c r="C131" s="1931" t="s">
        <v>6383</v>
      </c>
      <c r="D131" s="1702" t="s">
        <v>6384</v>
      </c>
      <c r="E131" s="1900">
        <v>3853289.2692683083</v>
      </c>
    </row>
    <row r="132" spans="2:6">
      <c r="B132" s="1930" t="s">
        <v>6385</v>
      </c>
      <c r="C132" s="1931" t="s">
        <v>6386</v>
      </c>
      <c r="D132" s="1702" t="s">
        <v>6387</v>
      </c>
      <c r="E132" s="1900">
        <v>1670761.7264807818</v>
      </c>
    </row>
    <row r="133" spans="2:6">
      <c r="B133" s="1930" t="s">
        <v>9424</v>
      </c>
      <c r="C133" s="1929" t="s">
        <v>6388</v>
      </c>
      <c r="D133" s="1929" t="s">
        <v>9058</v>
      </c>
      <c r="E133" s="1900">
        <v>1008360.8668224</v>
      </c>
    </row>
    <row r="134" spans="2:6">
      <c r="B134" s="1901" t="s">
        <v>6389</v>
      </c>
      <c r="C134" s="1931" t="s">
        <v>6390</v>
      </c>
      <c r="D134" s="1702" t="s">
        <v>6391</v>
      </c>
      <c r="E134" s="1900">
        <v>1628225.7820828322</v>
      </c>
      <c r="F134" s="1693" t="s">
        <v>8309</v>
      </c>
    </row>
    <row r="135" spans="2:6">
      <c r="B135" s="1901" t="s">
        <v>6392</v>
      </c>
      <c r="C135" s="1931" t="s">
        <v>6393</v>
      </c>
      <c r="D135" s="1702" t="s">
        <v>6394</v>
      </c>
      <c r="E135" s="1900">
        <v>3114290.5744865299</v>
      </c>
    </row>
    <row r="136" spans="2:6">
      <c r="B136" s="1901" t="s">
        <v>6395</v>
      </c>
      <c r="C136" s="1931" t="s">
        <v>6396</v>
      </c>
      <c r="D136" s="1702" t="s">
        <v>6397</v>
      </c>
      <c r="E136" s="1900">
        <v>6838025.0885045575</v>
      </c>
      <c r="F136" s="1711"/>
    </row>
    <row r="137" spans="2:6">
      <c r="B137" s="1930" t="s">
        <v>3008</v>
      </c>
      <c r="C137" s="1929" t="s">
        <v>6398</v>
      </c>
      <c r="D137" s="1929" t="s">
        <v>9059</v>
      </c>
      <c r="E137" s="1900">
        <v>4045168.5936480002</v>
      </c>
    </row>
    <row r="138" spans="2:6">
      <c r="B138" s="1935" t="s">
        <v>6399</v>
      </c>
      <c r="C138" s="1936" t="s">
        <v>6400</v>
      </c>
      <c r="D138" s="1936"/>
      <c r="E138" s="1900">
        <v>0</v>
      </c>
    </row>
    <row r="139" spans="2:6">
      <c r="B139" s="1935" t="s">
        <v>9283</v>
      </c>
      <c r="C139" s="1936"/>
      <c r="D139" s="1936"/>
      <c r="E139" s="1900">
        <v>788696.14484204899</v>
      </c>
    </row>
    <row r="140" spans="2:6">
      <c r="B140" s="1935" t="s">
        <v>9284</v>
      </c>
      <c r="C140" s="1936"/>
      <c r="D140" s="1936"/>
      <c r="E140" s="1900">
        <v>319741.48381739279</v>
      </c>
    </row>
    <row r="141" spans="2:6">
      <c r="B141" s="1901" t="s">
        <v>6401</v>
      </c>
      <c r="C141" s="1931" t="s">
        <v>6402</v>
      </c>
      <c r="D141" s="1702"/>
      <c r="E141" s="1900">
        <v>0</v>
      </c>
    </row>
    <row r="142" spans="2:6">
      <c r="B142" s="1895" t="s">
        <v>6403</v>
      </c>
      <c r="C142" s="1890"/>
      <c r="D142" s="1698"/>
      <c r="E142" s="1904">
        <v>395801123.62957156</v>
      </c>
    </row>
    <row r="143" spans="2:6" ht="15" thickBot="1">
      <c r="B143" s="1642"/>
      <c r="C143" s="1642"/>
      <c r="D143" s="1698"/>
      <c r="E143" s="1900"/>
    </row>
    <row r="144" spans="2:6" ht="15" thickTop="1">
      <c r="B144" s="1906" t="s">
        <v>6404</v>
      </c>
      <c r="C144" s="1927" t="s">
        <v>6193</v>
      </c>
      <c r="D144" s="1928" t="s">
        <v>6194</v>
      </c>
      <c r="E144" s="1899" t="s">
        <v>9293</v>
      </c>
    </row>
    <row r="145" spans="2:5">
      <c r="B145" s="1895" t="s">
        <v>6405</v>
      </c>
      <c r="C145" s="1937" t="s">
        <v>6406</v>
      </c>
      <c r="D145" s="1703" t="s">
        <v>6407</v>
      </c>
      <c r="E145" s="1900">
        <v>3817794.8260546438</v>
      </c>
    </row>
    <row r="146" spans="2:5">
      <c r="B146" s="1935" t="s">
        <v>6408</v>
      </c>
      <c r="C146" s="1936" t="s">
        <v>6409</v>
      </c>
      <c r="D146" s="1936" t="s">
        <v>9060</v>
      </c>
      <c r="E146" s="1900">
        <v>4045168.5936480002</v>
      </c>
    </row>
    <row r="147" spans="2:5">
      <c r="B147" s="1895" t="s">
        <v>6410</v>
      </c>
      <c r="C147" s="1937" t="s">
        <v>6411</v>
      </c>
      <c r="D147" s="1703" t="s">
        <v>6412</v>
      </c>
      <c r="E147" s="1900">
        <v>1695202.6468487293</v>
      </c>
    </row>
    <row r="148" spans="2:5">
      <c r="B148" s="1935" t="s">
        <v>6413</v>
      </c>
      <c r="C148" s="1936" t="s">
        <v>6414</v>
      </c>
      <c r="D148" s="1936" t="s">
        <v>9061</v>
      </c>
      <c r="E148" s="1900">
        <v>4385197.2580416007</v>
      </c>
    </row>
    <row r="149" spans="2:5">
      <c r="B149" s="1935" t="s">
        <v>6415</v>
      </c>
      <c r="C149" s="1938" t="s">
        <v>6416</v>
      </c>
      <c r="D149" s="1936" t="s">
        <v>9062</v>
      </c>
      <c r="E149" s="1900">
        <v>6073615.4536512</v>
      </c>
    </row>
    <row r="150" spans="2:5" ht="22.8">
      <c r="B150" s="1935" t="s">
        <v>6417</v>
      </c>
      <c r="C150" s="1938" t="s">
        <v>6418</v>
      </c>
      <c r="D150" s="1936" t="s">
        <v>9063</v>
      </c>
      <c r="E150" s="1900">
        <v>3036807.7268256</v>
      </c>
    </row>
    <row r="151" spans="2:5">
      <c r="B151" s="1935" t="s">
        <v>6419</v>
      </c>
      <c r="C151" s="1936" t="s">
        <v>6420</v>
      </c>
      <c r="D151" s="1936" t="s">
        <v>9064</v>
      </c>
      <c r="E151" s="1900">
        <v>3705139.9292544001</v>
      </c>
    </row>
    <row r="152" spans="2:5">
      <c r="B152" s="1895" t="s">
        <v>6421</v>
      </c>
      <c r="C152" s="1937" t="s">
        <v>6422</v>
      </c>
      <c r="D152" s="1703" t="s">
        <v>6423</v>
      </c>
      <c r="E152" s="1900">
        <v>2306213.7784944177</v>
      </c>
    </row>
    <row r="153" spans="2:5">
      <c r="B153" s="1895" t="s">
        <v>6424</v>
      </c>
      <c r="C153" s="1937" t="s">
        <v>6425</v>
      </c>
      <c r="D153" s="1703" t="s">
        <v>6426</v>
      </c>
      <c r="E153" s="1900">
        <v>1543886.8661109768</v>
      </c>
    </row>
    <row r="154" spans="2:5">
      <c r="B154" s="1895" t="s">
        <v>6427</v>
      </c>
      <c r="C154" s="1937" t="s">
        <v>6428</v>
      </c>
      <c r="D154" s="1703" t="s">
        <v>6429</v>
      </c>
      <c r="E154" s="1900">
        <v>2033718.0547093875</v>
      </c>
    </row>
    <row r="155" spans="2:5">
      <c r="B155" s="1895" t="s">
        <v>6430</v>
      </c>
      <c r="C155" s="1937" t="s">
        <v>6431</v>
      </c>
      <c r="D155" s="1703" t="s">
        <v>6432</v>
      </c>
      <c r="E155" s="1900">
        <v>2126533.0528006046</v>
      </c>
    </row>
    <row r="156" spans="2:5">
      <c r="B156" s="1935" t="s">
        <v>6433</v>
      </c>
      <c r="C156" s="1936" t="s">
        <v>6434</v>
      </c>
      <c r="D156" s="1936" t="s">
        <v>9065</v>
      </c>
      <c r="E156" s="1900">
        <v>6401918.991686401</v>
      </c>
    </row>
    <row r="157" spans="2:5">
      <c r="B157" s="1895" t="s">
        <v>6435</v>
      </c>
      <c r="C157" s="1937" t="s">
        <v>6436</v>
      </c>
      <c r="D157" s="1703" t="s">
        <v>6437</v>
      </c>
      <c r="E157" s="1900">
        <v>3172310.3572744643</v>
      </c>
    </row>
    <row r="158" spans="2:5">
      <c r="B158" s="1895" t="s">
        <v>6438</v>
      </c>
      <c r="C158" s="1937" t="s">
        <v>6439</v>
      </c>
      <c r="D158" s="1703" t="s">
        <v>6440</v>
      </c>
      <c r="E158" s="1900">
        <v>1092344.5349158489</v>
      </c>
    </row>
    <row r="159" spans="2:5">
      <c r="B159" s="1935" t="s">
        <v>6441</v>
      </c>
      <c r="C159" s="1936" t="s">
        <v>6442</v>
      </c>
      <c r="D159" s="1936" t="s">
        <v>9066</v>
      </c>
      <c r="E159" s="1900">
        <v>4385197.2580416007</v>
      </c>
    </row>
    <row r="160" spans="2:5">
      <c r="B160" s="1935" t="s">
        <v>6443</v>
      </c>
      <c r="C160" s="1936" t="s">
        <v>6444</v>
      </c>
      <c r="D160" s="1936" t="s">
        <v>9067</v>
      </c>
      <c r="E160" s="1900">
        <v>4725225.9224351998</v>
      </c>
    </row>
    <row r="161" spans="2:5">
      <c r="B161" s="1895" t="s">
        <v>6445</v>
      </c>
      <c r="C161" s="1937" t="s">
        <v>6446</v>
      </c>
      <c r="D161" s="1703" t="s">
        <v>6447</v>
      </c>
      <c r="E161" s="1900">
        <v>3286032.8737301468</v>
      </c>
    </row>
    <row r="162" spans="2:5">
      <c r="B162" s="1935" t="s">
        <v>6448</v>
      </c>
      <c r="C162" s="1936" t="s">
        <v>6449</v>
      </c>
      <c r="D162" s="1936" t="s">
        <v>9068</v>
      </c>
      <c r="E162" s="1900">
        <v>4045168.5936480002</v>
      </c>
    </row>
    <row r="163" spans="2:5">
      <c r="B163" s="1901" t="s">
        <v>6450</v>
      </c>
      <c r="C163" s="1939" t="s">
        <v>6451</v>
      </c>
      <c r="D163" s="1702" t="s">
        <v>6452</v>
      </c>
      <c r="E163" s="1900">
        <v>2029841.0713282248</v>
      </c>
    </row>
    <row r="164" spans="2:5">
      <c r="B164" s="1935" t="s">
        <v>6453</v>
      </c>
      <c r="C164" s="1936" t="s">
        <v>6454</v>
      </c>
      <c r="D164" s="1936" t="s">
        <v>9069</v>
      </c>
      <c r="E164" s="1900">
        <v>4385197.2580416007</v>
      </c>
    </row>
    <row r="165" spans="2:5">
      <c r="B165" s="1895" t="s">
        <v>6455</v>
      </c>
      <c r="C165" s="1937" t="s">
        <v>6456</v>
      </c>
      <c r="D165" s="1703" t="s">
        <v>6457</v>
      </c>
      <c r="E165" s="1900">
        <v>3148433.6148115043</v>
      </c>
    </row>
    <row r="166" spans="2:5" ht="22.8">
      <c r="B166" s="1935" t="s">
        <v>6458</v>
      </c>
      <c r="C166" s="1938" t="s">
        <v>6459</v>
      </c>
      <c r="D166" s="1936" t="s">
        <v>9070</v>
      </c>
      <c r="E166" s="1900">
        <v>4385197.2580416007</v>
      </c>
    </row>
    <row r="167" spans="2:5">
      <c r="B167" s="1895" t="s">
        <v>6460</v>
      </c>
      <c r="C167" s="1937" t="s">
        <v>6461</v>
      </c>
      <c r="D167" s="1703" t="s">
        <v>6462</v>
      </c>
      <c r="E167" s="1900">
        <v>2003054.1759533624</v>
      </c>
    </row>
    <row r="168" spans="2:5">
      <c r="B168" s="1895" t="s">
        <v>6463</v>
      </c>
      <c r="C168" s="1937" t="s">
        <v>9071</v>
      </c>
      <c r="D168" s="1703" t="s">
        <v>6464</v>
      </c>
      <c r="E168" s="1900">
        <v>1451696.3247993556</v>
      </c>
    </row>
    <row r="169" spans="2:5">
      <c r="B169" s="1895" t="s">
        <v>6465</v>
      </c>
      <c r="C169" s="1937" t="s">
        <v>6466</v>
      </c>
      <c r="D169" s="1703" t="s">
        <v>6467</v>
      </c>
      <c r="E169" s="1900">
        <v>2700765.8516215095</v>
      </c>
    </row>
    <row r="170" spans="2:5">
      <c r="B170" s="1935" t="s">
        <v>6468</v>
      </c>
      <c r="C170" s="1936" t="s">
        <v>6469</v>
      </c>
      <c r="D170" s="1936" t="s">
        <v>9072</v>
      </c>
      <c r="E170" s="1900">
        <v>7750308.5229024002</v>
      </c>
    </row>
    <row r="171" spans="2:5">
      <c r="B171" s="1895" t="s">
        <v>6470</v>
      </c>
      <c r="C171" s="1936" t="s">
        <v>6471</v>
      </c>
      <c r="D171" s="1936" t="s">
        <v>9073</v>
      </c>
      <c r="E171" s="1900">
        <v>3217309.1879142481</v>
      </c>
    </row>
    <row r="172" spans="2:5">
      <c r="B172" s="1895" t="s">
        <v>6472</v>
      </c>
      <c r="C172" s="1937" t="s">
        <v>6473</v>
      </c>
      <c r="D172" s="1703" t="s">
        <v>6474</v>
      </c>
      <c r="E172" s="1900">
        <v>1887348.5537013058</v>
      </c>
    </row>
    <row r="173" spans="2:5">
      <c r="B173" s="1895" t="s">
        <v>6475</v>
      </c>
      <c r="C173" s="1937" t="s">
        <v>6476</v>
      </c>
      <c r="D173" s="1703" t="s">
        <v>6477</v>
      </c>
      <c r="E173" s="1900">
        <v>1607767.934039339</v>
      </c>
    </row>
    <row r="174" spans="2:5">
      <c r="B174" s="1935" t="s">
        <v>6478</v>
      </c>
      <c r="C174" s="1936" t="s">
        <v>6479</v>
      </c>
      <c r="D174" s="1936" t="s">
        <v>9074</v>
      </c>
      <c r="E174" s="1900">
        <v>4385197.2580416007</v>
      </c>
    </row>
    <row r="175" spans="2:5">
      <c r="B175" s="1935" t="s">
        <v>6480</v>
      </c>
      <c r="C175" s="1936" t="s">
        <v>6481</v>
      </c>
      <c r="D175" s="1936" t="s">
        <v>9075</v>
      </c>
      <c r="E175" s="1900">
        <v>4385197.2580416007</v>
      </c>
    </row>
    <row r="176" spans="2:5">
      <c r="B176" s="1895" t="s">
        <v>6482</v>
      </c>
      <c r="C176" s="1937" t="s">
        <v>6483</v>
      </c>
      <c r="D176" s="1703" t="s">
        <v>6484</v>
      </c>
      <c r="E176" s="1900">
        <v>885797.35886483162</v>
      </c>
    </row>
    <row r="177" spans="2:5">
      <c r="B177" s="1895" t="s">
        <v>6485</v>
      </c>
      <c r="C177" s="1937" t="s">
        <v>6486</v>
      </c>
      <c r="D177" s="1703" t="s">
        <v>6487</v>
      </c>
      <c r="E177" s="1900">
        <v>2340663.8647033395</v>
      </c>
    </row>
    <row r="178" spans="2:5">
      <c r="B178" s="1901" t="s">
        <v>6488</v>
      </c>
      <c r="C178" s="1939" t="s">
        <v>6489</v>
      </c>
      <c r="D178" s="1704" t="s">
        <v>6490</v>
      </c>
      <c r="E178" s="1900">
        <v>982735.45308449946</v>
      </c>
    </row>
    <row r="179" spans="2:5">
      <c r="B179" s="1895" t="s">
        <v>6491</v>
      </c>
      <c r="C179" s="1937" t="s">
        <v>6492</v>
      </c>
      <c r="D179" s="1703" t="s">
        <v>6493</v>
      </c>
      <c r="E179" s="1900">
        <v>2339632.2880863273</v>
      </c>
    </row>
    <row r="180" spans="2:5">
      <c r="B180" s="1895" t="s">
        <v>6494</v>
      </c>
      <c r="C180" s="1937" t="s">
        <v>6495</v>
      </c>
      <c r="D180" s="1703" t="s">
        <v>6496</v>
      </c>
      <c r="E180" s="1900">
        <v>2063029.3228887084</v>
      </c>
    </row>
    <row r="181" spans="2:5">
      <c r="B181" s="1895" t="s">
        <v>6497</v>
      </c>
      <c r="C181" s="1937" t="s">
        <v>6498</v>
      </c>
      <c r="D181" s="1703" t="s">
        <v>6499</v>
      </c>
      <c r="E181" s="1900">
        <v>1978551.7690227909</v>
      </c>
    </row>
    <row r="182" spans="2:5">
      <c r="B182" s="1930" t="s">
        <v>6500</v>
      </c>
      <c r="C182" s="1929" t="s">
        <v>6501</v>
      </c>
      <c r="D182" s="1929" t="s">
        <v>9076</v>
      </c>
      <c r="E182" s="1900">
        <v>4385197.2580416007</v>
      </c>
    </row>
    <row r="183" spans="2:5">
      <c r="B183" s="1901" t="s">
        <v>6502</v>
      </c>
      <c r="C183" s="1939" t="s">
        <v>6503</v>
      </c>
      <c r="D183" s="1702" t="s">
        <v>6504</v>
      </c>
      <c r="E183" s="1900">
        <v>2082333.4888492937</v>
      </c>
    </row>
    <row r="184" spans="2:5">
      <c r="B184" s="1930" t="s">
        <v>6505</v>
      </c>
      <c r="C184" s="1929" t="s">
        <v>6506</v>
      </c>
      <c r="D184" s="1929" t="s">
        <v>9077</v>
      </c>
      <c r="E184" s="1900">
        <v>3705139.9292544001</v>
      </c>
    </row>
    <row r="185" spans="2:5">
      <c r="B185" s="1930" t="s">
        <v>6507</v>
      </c>
      <c r="C185" s="1929" t="s">
        <v>6508</v>
      </c>
      <c r="D185" s="1929" t="s">
        <v>9078</v>
      </c>
      <c r="E185" s="1900">
        <v>2696779.0624319999</v>
      </c>
    </row>
    <row r="186" spans="2:5">
      <c r="B186" s="1901" t="s">
        <v>6509</v>
      </c>
      <c r="C186" s="1939" t="s">
        <v>6510</v>
      </c>
      <c r="D186" s="1702" t="s">
        <v>6511</v>
      </c>
      <c r="E186" s="1900">
        <v>2596664.6690022461</v>
      </c>
    </row>
    <row r="187" spans="2:5">
      <c r="B187" s="1930" t="s">
        <v>6512</v>
      </c>
      <c r="C187" s="1929" t="s">
        <v>6513</v>
      </c>
      <c r="D187" s="1929" t="s">
        <v>9079</v>
      </c>
      <c r="E187" s="1900">
        <v>3705139.9292544001</v>
      </c>
    </row>
    <row r="188" spans="2:5" ht="22.8">
      <c r="B188" s="1930" t="s">
        <v>6514</v>
      </c>
      <c r="C188" s="1934" t="s">
        <v>6515</v>
      </c>
      <c r="D188" s="1929" t="s">
        <v>9080</v>
      </c>
      <c r="E188" s="1900">
        <v>3376836.3912192001</v>
      </c>
    </row>
    <row r="189" spans="2:5">
      <c r="B189" s="1901" t="s">
        <v>6516</v>
      </c>
      <c r="C189" s="1939" t="s">
        <v>6517</v>
      </c>
      <c r="D189" s="1702" t="s">
        <v>6518</v>
      </c>
      <c r="E189" s="1900">
        <v>1275360.9535324895</v>
      </c>
    </row>
    <row r="190" spans="2:5">
      <c r="B190" s="1901" t="s">
        <v>6519</v>
      </c>
      <c r="C190" s="1939" t="s">
        <v>6520</v>
      </c>
      <c r="D190" s="1702" t="s">
        <v>6521</v>
      </c>
      <c r="E190" s="1900">
        <v>3207840.9607778187</v>
      </c>
    </row>
    <row r="191" spans="2:5">
      <c r="B191" s="1930" t="s">
        <v>6522</v>
      </c>
      <c r="C191" s="1929" t="s">
        <v>6523</v>
      </c>
      <c r="D191" s="1929" t="s">
        <v>9081</v>
      </c>
      <c r="E191" s="1900">
        <v>6741947.6560800001</v>
      </c>
    </row>
    <row r="192" spans="2:5">
      <c r="B192" s="1930" t="s">
        <v>6524</v>
      </c>
      <c r="C192" s="1929" t="s">
        <v>6525</v>
      </c>
      <c r="D192" s="1929" t="s">
        <v>6526</v>
      </c>
      <c r="E192" s="1900">
        <v>3376836.3912192001</v>
      </c>
    </row>
    <row r="193" spans="2:5">
      <c r="B193" s="1901" t="s">
        <v>6527</v>
      </c>
      <c r="C193" s="1939" t="s">
        <v>6528</v>
      </c>
      <c r="D193" s="1702" t="s">
        <v>6529</v>
      </c>
      <c r="E193" s="1900">
        <v>2731371.866878957</v>
      </c>
    </row>
    <row r="194" spans="2:5">
      <c r="B194" s="1901" t="s">
        <v>6530</v>
      </c>
      <c r="C194" s="1939" t="s">
        <v>6531</v>
      </c>
      <c r="D194" s="1702" t="s">
        <v>6532</v>
      </c>
      <c r="E194" s="1900">
        <v>2230301.5115091959</v>
      </c>
    </row>
    <row r="195" spans="2:5">
      <c r="B195" s="1895" t="s">
        <v>6533</v>
      </c>
      <c r="C195" s="1937" t="s">
        <v>6534</v>
      </c>
      <c r="D195" s="1703" t="s">
        <v>6535</v>
      </c>
      <c r="E195" s="1900">
        <v>2007344.6576406807</v>
      </c>
    </row>
    <row r="196" spans="2:5">
      <c r="B196" s="1901" t="s">
        <v>6536</v>
      </c>
      <c r="C196" s="1939" t="s">
        <v>6537</v>
      </c>
      <c r="D196" s="1702" t="s">
        <v>6538</v>
      </c>
      <c r="E196" s="1900">
        <v>1403529.3415672795</v>
      </c>
    </row>
    <row r="197" spans="2:5">
      <c r="B197" s="1901" t="s">
        <v>6539</v>
      </c>
      <c r="C197" s="1939" t="s">
        <v>6540</v>
      </c>
      <c r="D197" s="1702" t="s">
        <v>6541</v>
      </c>
      <c r="E197" s="1900">
        <v>883579.17601009679</v>
      </c>
    </row>
    <row r="198" spans="2:5">
      <c r="B198" s="1901" t="s">
        <v>6542</v>
      </c>
      <c r="C198" s="1939" t="s">
        <v>6543</v>
      </c>
      <c r="D198" s="1702" t="s">
        <v>6544</v>
      </c>
      <c r="E198" s="1900">
        <v>3262246.5554416613</v>
      </c>
    </row>
    <row r="199" spans="2:5">
      <c r="B199" s="1935" t="s">
        <v>6545</v>
      </c>
      <c r="C199" s="1936" t="s">
        <v>6546</v>
      </c>
      <c r="D199" s="1936" t="s">
        <v>9082</v>
      </c>
      <c r="E199" s="1900">
        <v>3036807.7268256</v>
      </c>
    </row>
    <row r="200" spans="2:5" ht="22.8">
      <c r="B200" s="1935" t="s">
        <v>6547</v>
      </c>
      <c r="C200" s="1938" t="s">
        <v>6548</v>
      </c>
      <c r="D200" s="1936" t="s">
        <v>9083</v>
      </c>
      <c r="E200" s="1900">
        <v>3705139.9292544001</v>
      </c>
    </row>
    <row r="201" spans="2:5">
      <c r="B201" s="1935" t="s">
        <v>6549</v>
      </c>
      <c r="C201" s="1936" t="s">
        <v>6550</v>
      </c>
      <c r="D201" s="1936" t="s">
        <v>9084</v>
      </c>
      <c r="E201" s="1900">
        <v>2696779.0624319999</v>
      </c>
    </row>
    <row r="202" spans="2:5">
      <c r="B202" s="1895" t="s">
        <v>6551</v>
      </c>
      <c r="C202" s="1937" t="s">
        <v>6552</v>
      </c>
      <c r="D202" s="1703" t="s">
        <v>9085</v>
      </c>
      <c r="E202" s="1900">
        <v>8911922.7241430245</v>
      </c>
    </row>
    <row r="203" spans="2:5">
      <c r="B203" s="1935" t="s">
        <v>6553</v>
      </c>
      <c r="C203" s="1936" t="s">
        <v>6554</v>
      </c>
      <c r="D203" s="1936" t="s">
        <v>9086</v>
      </c>
      <c r="E203" s="1900">
        <v>4385197.2580416007</v>
      </c>
    </row>
    <row r="204" spans="2:5">
      <c r="B204" s="1935" t="s">
        <v>6555</v>
      </c>
      <c r="C204" s="1936" t="s">
        <v>6556</v>
      </c>
      <c r="D204" s="1936" t="s">
        <v>9087</v>
      </c>
      <c r="E204" s="1900">
        <v>4385197.2580416007</v>
      </c>
    </row>
    <row r="205" spans="2:5">
      <c r="B205" s="1901" t="s">
        <v>6557</v>
      </c>
      <c r="C205" s="1939" t="s">
        <v>6558</v>
      </c>
      <c r="D205" s="1702" t="s">
        <v>6559</v>
      </c>
      <c r="E205" s="1900">
        <v>1995707.6690571166</v>
      </c>
    </row>
    <row r="206" spans="2:5">
      <c r="B206" s="1901" t="s">
        <v>6560</v>
      </c>
      <c r="C206" s="1939" t="s">
        <v>6561</v>
      </c>
      <c r="D206" s="1702" t="s">
        <v>6562</v>
      </c>
      <c r="E206" s="1900">
        <v>1916147.4807592696</v>
      </c>
    </row>
    <row r="207" spans="2:5">
      <c r="B207" s="1930" t="s">
        <v>6563</v>
      </c>
      <c r="C207" s="1929" t="s">
        <v>6564</v>
      </c>
      <c r="D207" s="1929" t="s">
        <v>9088</v>
      </c>
      <c r="E207" s="1900">
        <v>4725225.9224351998</v>
      </c>
    </row>
    <row r="208" spans="2:5">
      <c r="B208" s="1930" t="s">
        <v>6565</v>
      </c>
      <c r="C208" s="1929" t="s">
        <v>6566</v>
      </c>
      <c r="D208" s="1929" t="s">
        <v>9089</v>
      </c>
      <c r="E208" s="1900">
        <v>4045168.5936480002</v>
      </c>
    </row>
    <row r="209" spans="2:5">
      <c r="B209" s="1901" t="s">
        <v>6567</v>
      </c>
      <c r="C209" s="1939" t="s">
        <v>6568</v>
      </c>
      <c r="D209" s="1702" t="s">
        <v>6569</v>
      </c>
      <c r="E209" s="1900">
        <v>976042.17408290785</v>
      </c>
    </row>
    <row r="210" spans="2:5">
      <c r="B210" s="1901" t="s">
        <v>6570</v>
      </c>
      <c r="C210" s="1939" t="s">
        <v>6571</v>
      </c>
      <c r="D210" s="1702" t="s">
        <v>6572</v>
      </c>
      <c r="E210" s="1900">
        <v>1864232.5022610989</v>
      </c>
    </row>
    <row r="211" spans="2:5">
      <c r="B211" s="1901" t="s">
        <v>6573</v>
      </c>
      <c r="C211" s="1939" t="s">
        <v>6574</v>
      </c>
      <c r="D211" s="1702" t="s">
        <v>6575</v>
      </c>
      <c r="E211" s="1900">
        <v>1384013.0094452389</v>
      </c>
    </row>
    <row r="212" spans="2:5">
      <c r="B212" s="1901" t="s">
        <v>6576</v>
      </c>
      <c r="C212" s="1939" t="s">
        <v>6577</v>
      </c>
      <c r="D212" s="1702" t="s">
        <v>6578</v>
      </c>
      <c r="E212" s="1900">
        <v>1148351.0666075414</v>
      </c>
    </row>
    <row r="213" spans="2:5" ht="22.8">
      <c r="B213" s="1930" t="s">
        <v>6579</v>
      </c>
      <c r="C213" s="1934" t="s">
        <v>6580</v>
      </c>
      <c r="D213" s="1929" t="s">
        <v>9090</v>
      </c>
      <c r="E213" s="1900">
        <v>4045168.5936480002</v>
      </c>
    </row>
    <row r="214" spans="2:5" ht="22.8">
      <c r="B214" s="1930" t="s">
        <v>6581</v>
      </c>
      <c r="C214" s="1934" t="s">
        <v>6582</v>
      </c>
      <c r="D214" s="1929" t="s">
        <v>9091</v>
      </c>
      <c r="E214" s="1900">
        <v>6401918.991686401</v>
      </c>
    </row>
    <row r="215" spans="2:5">
      <c r="B215" s="1901" t="s">
        <v>6583</v>
      </c>
      <c r="C215" s="1939" t="s">
        <v>6584</v>
      </c>
      <c r="D215" s="1702" t="s">
        <v>6585</v>
      </c>
      <c r="E215" s="1900">
        <v>991518.77806993085</v>
      </c>
    </row>
    <row r="216" spans="2:5">
      <c r="B216" s="1901" t="s">
        <v>6586</v>
      </c>
      <c r="C216" s="1939" t="s">
        <v>6587</v>
      </c>
      <c r="D216" s="1702" t="s">
        <v>6588</v>
      </c>
      <c r="E216" s="1900">
        <v>3126489.3373241774</v>
      </c>
    </row>
    <row r="217" spans="2:5">
      <c r="B217" s="1901" t="s">
        <v>6589</v>
      </c>
      <c r="C217" s="1939" t="s">
        <v>6590</v>
      </c>
      <c r="D217" s="1702" t="s">
        <v>6591</v>
      </c>
      <c r="E217" s="1900">
        <v>3302976.6076030168</v>
      </c>
    </row>
    <row r="218" spans="2:5">
      <c r="B218" s="1901" t="s">
        <v>6592</v>
      </c>
      <c r="C218" s="1939" t="s">
        <v>6593</v>
      </c>
      <c r="D218" s="1702" t="s">
        <v>6594</v>
      </c>
      <c r="E218" s="1900">
        <v>1197995.9551165882</v>
      </c>
    </row>
    <row r="219" spans="2:5">
      <c r="B219" s="1901" t="s">
        <v>6595</v>
      </c>
      <c r="C219" s="1939" t="s">
        <v>6596</v>
      </c>
      <c r="D219" s="1702" t="s">
        <v>6597</v>
      </c>
      <c r="E219" s="1900">
        <v>2412568.0965700909</v>
      </c>
    </row>
    <row r="220" spans="2:5">
      <c r="B220" s="1930" t="s">
        <v>6598</v>
      </c>
      <c r="C220" s="1929" t="s">
        <v>6599</v>
      </c>
      <c r="D220" s="1929" t="s">
        <v>9092</v>
      </c>
      <c r="E220" s="1900">
        <v>6741947.6560800001</v>
      </c>
    </row>
    <row r="221" spans="2:5">
      <c r="B221" s="1901" t="s">
        <v>6600</v>
      </c>
      <c r="C221" s="1939" t="s">
        <v>6601</v>
      </c>
      <c r="D221" s="1702" t="s">
        <v>6602</v>
      </c>
      <c r="E221" s="1900">
        <v>2182296.0770680858</v>
      </c>
    </row>
    <row r="222" spans="2:5">
      <c r="B222" s="1901" t="s">
        <v>6603</v>
      </c>
      <c r="C222" s="1939" t="s">
        <v>6604</v>
      </c>
      <c r="D222" s="1702" t="s">
        <v>6605</v>
      </c>
      <c r="E222" s="1900">
        <v>4673139.2763620159</v>
      </c>
    </row>
    <row r="223" spans="2:5">
      <c r="B223" s="1901" t="s">
        <v>6606</v>
      </c>
      <c r="C223" s="1939" t="s">
        <v>6607</v>
      </c>
      <c r="D223" s="1702" t="s">
        <v>6608</v>
      </c>
      <c r="E223" s="1900">
        <v>2412787.5088596349</v>
      </c>
    </row>
    <row r="224" spans="2:5">
      <c r="B224" s="1930" t="s">
        <v>6609</v>
      </c>
      <c r="C224" s="1929" t="s">
        <v>6610</v>
      </c>
      <c r="D224" s="1929" t="s">
        <v>9093</v>
      </c>
      <c r="E224" s="1900">
        <v>4045168.5936480002</v>
      </c>
    </row>
    <row r="225" spans="2:6">
      <c r="B225" s="1895" t="s">
        <v>6611</v>
      </c>
      <c r="C225" s="1937" t="s">
        <v>6612</v>
      </c>
      <c r="D225" s="1703" t="s">
        <v>6613</v>
      </c>
      <c r="E225" s="1900">
        <v>2420593.3124055918</v>
      </c>
    </row>
    <row r="226" spans="2:6">
      <c r="B226" s="1935" t="s">
        <v>6614</v>
      </c>
      <c r="C226" s="1936" t="s">
        <v>6615</v>
      </c>
      <c r="D226" s="1936" t="s">
        <v>9094</v>
      </c>
      <c r="E226" s="1900">
        <v>4385197.2580416007</v>
      </c>
    </row>
    <row r="227" spans="2:6">
      <c r="B227" s="1895" t="s">
        <v>6616</v>
      </c>
      <c r="C227" s="1937" t="s">
        <v>6617</v>
      </c>
      <c r="D227" s="1703" t="s">
        <v>6618</v>
      </c>
      <c r="E227" s="1900">
        <v>1859224.7359688052</v>
      </c>
      <c r="F227" s="1693" t="s">
        <v>8310</v>
      </c>
    </row>
    <row r="228" spans="2:6">
      <c r="B228" s="1895" t="s">
        <v>6619</v>
      </c>
      <c r="C228" s="1937" t="s">
        <v>6620</v>
      </c>
      <c r="D228" s="1703" t="s">
        <v>6621</v>
      </c>
      <c r="E228" s="1900">
        <v>1180978.7516019563</v>
      </c>
    </row>
    <row r="229" spans="2:6">
      <c r="B229" s="1895" t="s">
        <v>6622</v>
      </c>
      <c r="C229" s="1937" t="s">
        <v>6623</v>
      </c>
      <c r="D229" s="1703" t="s">
        <v>6624</v>
      </c>
      <c r="E229" s="1900">
        <v>1120927.6610231865</v>
      </c>
    </row>
    <row r="230" spans="2:6">
      <c r="B230" s="1935" t="s">
        <v>6625</v>
      </c>
      <c r="C230" s="1938" t="s">
        <v>6626</v>
      </c>
      <c r="D230" s="1936" t="s">
        <v>9095</v>
      </c>
      <c r="E230" s="1900">
        <v>3036807.7268256</v>
      </c>
    </row>
    <row r="231" spans="2:6">
      <c r="B231" s="1935" t="s">
        <v>6627</v>
      </c>
      <c r="C231" s="1936" t="s">
        <v>6628</v>
      </c>
      <c r="D231" s="1936" t="s">
        <v>9096</v>
      </c>
      <c r="E231" s="1900">
        <v>2696779.0624319999</v>
      </c>
    </row>
    <row r="232" spans="2:6">
      <c r="B232" s="1895" t="s">
        <v>6629</v>
      </c>
      <c r="C232" s="1937" t="s">
        <v>6630</v>
      </c>
      <c r="D232" s="1703" t="s">
        <v>6631</v>
      </c>
      <c r="E232" s="1900">
        <v>2589722.0223582895</v>
      </c>
    </row>
    <row r="233" spans="2:6">
      <c r="B233" s="1895" t="s">
        <v>8306</v>
      </c>
      <c r="C233" s="1937"/>
      <c r="D233" s="1703"/>
      <c r="E233" s="1900">
        <v>577858.71311999997</v>
      </c>
    </row>
    <row r="234" spans="2:6">
      <c r="B234" s="1895" t="s">
        <v>6632</v>
      </c>
      <c r="C234" s="1937" t="s">
        <v>6633</v>
      </c>
      <c r="D234" s="1703" t="s">
        <v>6634</v>
      </c>
      <c r="E234" s="1900">
        <v>2190716.7110648979</v>
      </c>
    </row>
    <row r="235" spans="2:6">
      <c r="B235" s="1895" t="s">
        <v>6635</v>
      </c>
      <c r="C235" s="1937" t="s">
        <v>6636</v>
      </c>
      <c r="D235" s="1703" t="s">
        <v>6637</v>
      </c>
      <c r="E235" s="1900">
        <v>1705325.4877897485</v>
      </c>
    </row>
    <row r="236" spans="2:6">
      <c r="B236" s="1895" t="s">
        <v>6638</v>
      </c>
      <c r="C236" s="1937" t="s">
        <v>6639</v>
      </c>
      <c r="D236" s="1936" t="s">
        <v>9097</v>
      </c>
      <c r="E236" s="1900">
        <v>4045168.5936480002</v>
      </c>
    </row>
    <row r="237" spans="2:6">
      <c r="B237" s="1895" t="s">
        <v>6640</v>
      </c>
      <c r="C237" s="1937" t="s">
        <v>6641</v>
      </c>
      <c r="D237" s="1703" t="s">
        <v>6642</v>
      </c>
      <c r="E237" s="1900">
        <v>2417710.8894175272</v>
      </c>
    </row>
    <row r="238" spans="2:6">
      <c r="B238" s="1895" t="s">
        <v>6643</v>
      </c>
      <c r="C238" s="1937" t="s">
        <v>6644</v>
      </c>
      <c r="D238" s="1703" t="s">
        <v>6645</v>
      </c>
      <c r="E238" s="1900">
        <v>2494938.3872766239</v>
      </c>
      <c r="F238" s="1717"/>
    </row>
    <row r="239" spans="2:6">
      <c r="B239" s="1895" t="s">
        <v>6646</v>
      </c>
      <c r="C239" s="1937" t="s">
        <v>6647</v>
      </c>
      <c r="D239" s="1703" t="s">
        <v>6648</v>
      </c>
      <c r="E239" s="1900">
        <v>2293926.819256302</v>
      </c>
      <c r="F239" s="1717"/>
    </row>
    <row r="240" spans="2:6">
      <c r="B240" s="1935" t="s">
        <v>6649</v>
      </c>
      <c r="C240" s="1936" t="s">
        <v>6650</v>
      </c>
      <c r="D240" s="1936" t="s">
        <v>9098</v>
      </c>
      <c r="E240" s="1900">
        <v>3705139.9292544001</v>
      </c>
      <c r="F240" s="1717"/>
    </row>
    <row r="241" spans="2:6">
      <c r="B241" s="1895" t="s">
        <v>6651</v>
      </c>
      <c r="C241" s="1937" t="s">
        <v>6652</v>
      </c>
      <c r="D241" s="1703" t="s">
        <v>6653</v>
      </c>
      <c r="E241" s="1900">
        <v>4807255.7623727899</v>
      </c>
      <c r="F241" s="1717"/>
    </row>
    <row r="242" spans="2:6">
      <c r="B242" s="1895" t="s">
        <v>6654</v>
      </c>
      <c r="C242" s="1937" t="s">
        <v>6655</v>
      </c>
      <c r="D242" s="1703" t="s">
        <v>6656</v>
      </c>
      <c r="E242" s="1900">
        <v>2090723.9775462383</v>
      </c>
    </row>
    <row r="243" spans="2:6">
      <c r="B243" s="1895" t="s">
        <v>6657</v>
      </c>
      <c r="C243" s="1937" t="s">
        <v>6658</v>
      </c>
      <c r="D243" s="1703" t="s">
        <v>6659</v>
      </c>
      <c r="E243" s="1900">
        <v>2523702.3500077864</v>
      </c>
      <c r="F243" s="1717"/>
    </row>
    <row r="244" spans="2:6">
      <c r="B244" s="1935" t="s">
        <v>6660</v>
      </c>
      <c r="C244" s="1936" t="s">
        <v>6661</v>
      </c>
      <c r="D244" s="1936" t="s">
        <v>9099</v>
      </c>
      <c r="E244" s="1900">
        <v>3376836.3912192001</v>
      </c>
      <c r="F244" s="1717"/>
    </row>
    <row r="245" spans="2:6">
      <c r="B245" s="1935" t="s">
        <v>6662</v>
      </c>
      <c r="C245" s="1936" t="s">
        <v>6663</v>
      </c>
      <c r="D245" s="1936" t="s">
        <v>9100</v>
      </c>
      <c r="E245" s="1900">
        <v>3376836.3912192001</v>
      </c>
      <c r="F245" s="1717"/>
    </row>
    <row r="246" spans="2:6">
      <c r="B246" s="1935" t="s">
        <v>6664</v>
      </c>
      <c r="C246" s="1936" t="s">
        <v>6665</v>
      </c>
      <c r="D246" s="1936" t="s">
        <v>9101</v>
      </c>
      <c r="E246" s="1900">
        <v>6073615.4536512</v>
      </c>
      <c r="F246" s="1717"/>
    </row>
    <row r="247" spans="2:6">
      <c r="B247" s="1895" t="s">
        <v>6666</v>
      </c>
      <c r="C247" s="1937" t="s">
        <v>6667</v>
      </c>
      <c r="D247" s="1703" t="s">
        <v>6668</v>
      </c>
      <c r="E247" s="1900">
        <v>1902447.8313969886</v>
      </c>
      <c r="F247" s="1717"/>
    </row>
    <row r="248" spans="2:6">
      <c r="B248" s="1935" t="s">
        <v>6669</v>
      </c>
      <c r="C248" s="1936" t="s">
        <v>6670</v>
      </c>
      <c r="D248" s="1936" t="s">
        <v>9102</v>
      </c>
      <c r="E248" s="1900">
        <v>7750308.5229024002</v>
      </c>
      <c r="F248" s="1717"/>
    </row>
    <row r="249" spans="2:6">
      <c r="B249" s="1895" t="s">
        <v>6671</v>
      </c>
      <c r="C249" s="1937" t="s">
        <v>6672</v>
      </c>
      <c r="D249" s="1703" t="s">
        <v>6673</v>
      </c>
      <c r="E249" s="1900">
        <v>1485534.3594123693</v>
      </c>
    </row>
    <row r="250" spans="2:6">
      <c r="B250" s="1935" t="s">
        <v>6674</v>
      </c>
      <c r="C250" s="1936" t="s">
        <v>6675</v>
      </c>
      <c r="D250" s="1936" t="s">
        <v>9103</v>
      </c>
      <c r="E250" s="1900">
        <v>2696779.0624319999</v>
      </c>
      <c r="F250" s="1717"/>
    </row>
    <row r="251" spans="2:6">
      <c r="B251" s="1935" t="s">
        <v>6676</v>
      </c>
      <c r="C251" s="1936" t="s">
        <v>6677</v>
      </c>
      <c r="D251" s="1936" t="s">
        <v>9104</v>
      </c>
      <c r="E251" s="1900">
        <v>2696779.0624319999</v>
      </c>
      <c r="F251" s="1717"/>
    </row>
    <row r="252" spans="2:6">
      <c r="B252" s="1935" t="s">
        <v>6678</v>
      </c>
      <c r="C252" s="1936" t="s">
        <v>6679</v>
      </c>
      <c r="D252" s="1936" t="s">
        <v>9105</v>
      </c>
      <c r="E252" s="1900">
        <v>2696779.0624319999</v>
      </c>
      <c r="F252" s="1717"/>
    </row>
    <row r="253" spans="2:6">
      <c r="B253" s="1895" t="s">
        <v>6680</v>
      </c>
      <c r="C253" s="1937" t="s">
        <v>6681</v>
      </c>
      <c r="D253" s="1703" t="s">
        <v>6682</v>
      </c>
      <c r="E253" s="1900">
        <v>2236626.9357765196</v>
      </c>
      <c r="F253" s="1717"/>
    </row>
    <row r="254" spans="2:6">
      <c r="B254" s="1935" t="s">
        <v>6683</v>
      </c>
      <c r="C254" s="1936" t="s">
        <v>6684</v>
      </c>
      <c r="D254" s="1936" t="s">
        <v>9106</v>
      </c>
      <c r="E254" s="1900">
        <v>4385197.2580416007</v>
      </c>
      <c r="F254" s="1717"/>
    </row>
    <row r="255" spans="2:6">
      <c r="B255" s="1895" t="s">
        <v>6685</v>
      </c>
      <c r="C255" s="1937" t="s">
        <v>6686</v>
      </c>
      <c r="D255" s="1703" t="s">
        <v>6687</v>
      </c>
      <c r="E255" s="1900">
        <v>1165885.512346348</v>
      </c>
      <c r="F255" s="1717"/>
    </row>
    <row r="256" spans="2:6">
      <c r="B256" s="1935" t="s">
        <v>6688</v>
      </c>
      <c r="C256" s="1936" t="s">
        <v>6689</v>
      </c>
      <c r="D256" s="1936" t="s">
        <v>9107</v>
      </c>
      <c r="E256" s="1900">
        <v>3376836.3912192001</v>
      </c>
    </row>
    <row r="257" spans="2:5">
      <c r="B257" s="1935" t="s">
        <v>6690</v>
      </c>
      <c r="C257" s="1936" t="s">
        <v>6691</v>
      </c>
      <c r="D257" s="1936" t="s">
        <v>9108</v>
      </c>
      <c r="E257" s="1900">
        <v>4385197.2580416007</v>
      </c>
    </row>
    <row r="258" spans="2:5">
      <c r="B258" s="1930" t="s">
        <v>6692</v>
      </c>
      <c r="C258" s="1929" t="s">
        <v>6693</v>
      </c>
      <c r="D258" s="1929" t="s">
        <v>9109</v>
      </c>
      <c r="E258" s="1900">
        <v>3705139.9292544001</v>
      </c>
    </row>
    <row r="259" spans="2:5">
      <c r="B259" s="1930" t="s">
        <v>6694</v>
      </c>
      <c r="C259" s="1929" t="s">
        <v>6695</v>
      </c>
      <c r="D259" s="1929" t="s">
        <v>9110</v>
      </c>
      <c r="E259" s="1900">
        <v>3705139.9292544001</v>
      </c>
    </row>
    <row r="260" spans="2:5">
      <c r="B260" s="1901" t="s">
        <v>6696</v>
      </c>
      <c r="C260" s="1939" t="s">
        <v>6697</v>
      </c>
      <c r="D260" s="1702" t="s">
        <v>6698</v>
      </c>
      <c r="E260" s="1900">
        <v>3524403.6490601725</v>
      </c>
    </row>
    <row r="261" spans="2:5">
      <c r="B261" s="1901" t="s">
        <v>6699</v>
      </c>
      <c r="C261" s="1939" t="s">
        <v>6700</v>
      </c>
      <c r="D261" s="1702" t="s">
        <v>6701</v>
      </c>
      <c r="E261" s="1900">
        <v>1755870.9832543842</v>
      </c>
    </row>
    <row r="262" spans="2:5">
      <c r="B262" s="1930" t="s">
        <v>6702</v>
      </c>
      <c r="C262" s="1929" t="s">
        <v>6703</v>
      </c>
      <c r="D262" s="1929" t="s">
        <v>9111</v>
      </c>
      <c r="E262" s="1900">
        <v>4045168.5936480002</v>
      </c>
    </row>
    <row r="263" spans="2:5">
      <c r="B263" s="1930" t="s">
        <v>8307</v>
      </c>
      <c r="C263" s="1929"/>
      <c r="D263" s="1929"/>
      <c r="E263" s="1900">
        <v>2078314.35552</v>
      </c>
    </row>
    <row r="264" spans="2:5">
      <c r="B264" s="1901" t="s">
        <v>6704</v>
      </c>
      <c r="C264" s="1939" t="s">
        <v>6705</v>
      </c>
      <c r="D264" s="1702" t="s">
        <v>6706</v>
      </c>
      <c r="E264" s="1900">
        <v>2362104.5831889529</v>
      </c>
    </row>
    <row r="265" spans="2:5">
      <c r="B265" s="1930" t="s">
        <v>6707</v>
      </c>
      <c r="C265" s="1929" t="s">
        <v>6708</v>
      </c>
      <c r="D265" s="1929" t="s">
        <v>9112</v>
      </c>
      <c r="E265" s="1900">
        <v>7750308.5229024002</v>
      </c>
    </row>
    <row r="266" spans="2:5">
      <c r="B266" s="1901" t="s">
        <v>6709</v>
      </c>
      <c r="C266" s="1939" t="s">
        <v>6710</v>
      </c>
      <c r="D266" s="1702" t="s">
        <v>6711</v>
      </c>
      <c r="E266" s="1900">
        <v>3049025.5664438335</v>
      </c>
    </row>
    <row r="267" spans="2:5">
      <c r="B267" s="1901" t="s">
        <v>6712</v>
      </c>
      <c r="C267" s="1929" t="s">
        <v>6713</v>
      </c>
      <c r="D267" s="1929" t="s">
        <v>9113</v>
      </c>
      <c r="E267" s="1900">
        <v>6401918.991686401</v>
      </c>
    </row>
    <row r="268" spans="2:5">
      <c r="B268" s="1895" t="s">
        <v>6714</v>
      </c>
      <c r="C268" s="1937" t="s">
        <v>6715</v>
      </c>
      <c r="D268" s="1703" t="s">
        <v>6716</v>
      </c>
      <c r="E268" s="1900">
        <v>1322867.2962450283</v>
      </c>
    </row>
    <row r="269" spans="2:5">
      <c r="B269" s="1895" t="s">
        <v>6717</v>
      </c>
      <c r="C269" s="1937" t="s">
        <v>6718</v>
      </c>
      <c r="D269" s="1703" t="s">
        <v>6719</v>
      </c>
      <c r="E269" s="1900">
        <v>1475186.0911919833</v>
      </c>
    </row>
    <row r="270" spans="2:5">
      <c r="B270" s="1895" t="s">
        <v>6720</v>
      </c>
      <c r="C270" s="1937" t="s">
        <v>6721</v>
      </c>
      <c r="D270" s="1703" t="s">
        <v>6722</v>
      </c>
      <c r="E270" s="1900">
        <v>2455463.287114535</v>
      </c>
    </row>
    <row r="271" spans="2:5">
      <c r="B271" s="1895" t="s">
        <v>6723</v>
      </c>
      <c r="C271" s="1937" t="s">
        <v>6724</v>
      </c>
      <c r="D271" s="1703" t="s">
        <v>6725</v>
      </c>
      <c r="E271" s="1900">
        <v>1763123.4546372353</v>
      </c>
    </row>
    <row r="272" spans="2:5">
      <c r="B272" s="1935" t="s">
        <v>6726</v>
      </c>
      <c r="C272" s="1936" t="s">
        <v>6727</v>
      </c>
      <c r="D272" s="1936" t="s">
        <v>9114</v>
      </c>
      <c r="E272" s="1900">
        <v>3705139.9292544001</v>
      </c>
    </row>
    <row r="273" spans="2:6">
      <c r="B273" s="1935" t="s">
        <v>6728</v>
      </c>
      <c r="C273" s="1936" t="s">
        <v>6729</v>
      </c>
      <c r="D273" s="1936" t="s">
        <v>9115</v>
      </c>
      <c r="E273" s="1900">
        <v>4385197.2580416007</v>
      </c>
    </row>
    <row r="274" spans="2:6">
      <c r="B274" s="1935" t="s">
        <v>6730</v>
      </c>
      <c r="C274" s="1936" t="s">
        <v>6731</v>
      </c>
      <c r="D274" s="1936" t="s">
        <v>9116</v>
      </c>
      <c r="E274" s="1900">
        <v>4385197.2580416007</v>
      </c>
    </row>
    <row r="275" spans="2:6">
      <c r="B275" s="1895" t="s">
        <v>6732</v>
      </c>
      <c r="C275" s="1937" t="s">
        <v>6733</v>
      </c>
      <c r="D275" s="1703" t="s">
        <v>6734</v>
      </c>
      <c r="E275" s="1900">
        <v>1251765.098196571</v>
      </c>
    </row>
    <row r="276" spans="2:6">
      <c r="B276" s="1895" t="s">
        <v>6735</v>
      </c>
      <c r="C276" s="1937" t="s">
        <v>6736</v>
      </c>
      <c r="D276" s="1703" t="s">
        <v>6737</v>
      </c>
      <c r="E276" s="1900">
        <v>1449945.8924104366</v>
      </c>
    </row>
    <row r="277" spans="2:6">
      <c r="B277" s="1935" t="s">
        <v>6738</v>
      </c>
      <c r="C277" s="1936" t="s">
        <v>6739</v>
      </c>
      <c r="D277" s="1936" t="s">
        <v>9117</v>
      </c>
      <c r="E277" s="1900">
        <v>4385197.2580416007</v>
      </c>
    </row>
    <row r="278" spans="2:6">
      <c r="B278" s="1895" t="s">
        <v>6740</v>
      </c>
      <c r="C278" s="1937" t="s">
        <v>6741</v>
      </c>
      <c r="D278" s="1703" t="s">
        <v>6742</v>
      </c>
      <c r="E278" s="1900">
        <v>3782119.5696674064</v>
      </c>
    </row>
    <row r="279" spans="2:6">
      <c r="B279" s="1895" t="s">
        <v>6743</v>
      </c>
      <c r="C279" s="1937" t="s">
        <v>6744</v>
      </c>
      <c r="D279" s="1703" t="s">
        <v>6745</v>
      </c>
      <c r="E279" s="1900">
        <v>4266036.4169286182</v>
      </c>
    </row>
    <row r="280" spans="2:6">
      <c r="B280" s="1935" t="s">
        <v>6746</v>
      </c>
      <c r="C280" s="1936" t="s">
        <v>6388</v>
      </c>
      <c r="D280" s="1936" t="s">
        <v>9118</v>
      </c>
      <c r="E280" s="1900">
        <v>4045168.5936480002</v>
      </c>
      <c r="F280" s="1693" t="s">
        <v>8310</v>
      </c>
    </row>
    <row r="281" spans="2:6">
      <c r="B281" s="1895" t="s">
        <v>6747</v>
      </c>
      <c r="C281" s="1937" t="s">
        <v>6748</v>
      </c>
      <c r="D281" s="1703" t="s">
        <v>6749</v>
      </c>
      <c r="E281" s="1900">
        <v>4821283.3166188104</v>
      </c>
    </row>
    <row r="282" spans="2:6">
      <c r="B282" s="1895" t="s">
        <v>6750</v>
      </c>
      <c r="C282" s="1937" t="s">
        <v>6751</v>
      </c>
      <c r="D282" s="1703" t="s">
        <v>6752</v>
      </c>
      <c r="E282" s="1900">
        <v>2754038.247998192</v>
      </c>
    </row>
    <row r="283" spans="2:6">
      <c r="B283" s="1935" t="s">
        <v>6753</v>
      </c>
      <c r="C283" s="1936" t="s">
        <v>6754</v>
      </c>
      <c r="D283" s="1936" t="s">
        <v>9119</v>
      </c>
      <c r="E283" s="1900">
        <v>3705139.9292544001</v>
      </c>
    </row>
    <row r="284" spans="2:6">
      <c r="B284" s="1895" t="s">
        <v>6755</v>
      </c>
      <c r="C284" s="1937" t="s">
        <v>6756</v>
      </c>
      <c r="D284" s="1703" t="s">
        <v>6757</v>
      </c>
      <c r="E284" s="1900">
        <v>5288221.4774054792</v>
      </c>
    </row>
    <row r="285" spans="2:6">
      <c r="B285" s="1935" t="s">
        <v>6758</v>
      </c>
      <c r="C285" s="1936" t="s">
        <v>6759</v>
      </c>
      <c r="D285" s="1936" t="s">
        <v>9120</v>
      </c>
      <c r="E285" s="1900">
        <v>4045168.5936480002</v>
      </c>
    </row>
    <row r="286" spans="2:6">
      <c r="B286" s="1935" t="s">
        <v>8308</v>
      </c>
      <c r="C286" s="1936"/>
      <c r="D286" s="1936"/>
      <c r="E286" s="1900">
        <v>3777831.64512</v>
      </c>
      <c r="F286" s="1718"/>
    </row>
    <row r="287" spans="2:6">
      <c r="B287" s="1895" t="s">
        <v>6760</v>
      </c>
      <c r="C287" s="1937" t="s">
        <v>6761</v>
      </c>
      <c r="D287" s="1703" t="s">
        <v>6762</v>
      </c>
      <c r="E287" s="1900">
        <v>2240616.0348159224</v>
      </c>
    </row>
    <row r="288" spans="2:6">
      <c r="B288" s="1895" t="s">
        <v>6763</v>
      </c>
      <c r="C288" s="1937" t="s">
        <v>6764</v>
      </c>
      <c r="D288" s="1703" t="s">
        <v>6765</v>
      </c>
      <c r="E288" s="1900">
        <v>2441860.0769165517</v>
      </c>
    </row>
    <row r="289" spans="2:5">
      <c r="B289" s="1895" t="s">
        <v>6766</v>
      </c>
      <c r="C289" s="1937" t="s">
        <v>6767</v>
      </c>
      <c r="D289" s="1703" t="s">
        <v>6768</v>
      </c>
      <c r="E289" s="1900">
        <v>1930250.9786487129</v>
      </c>
    </row>
    <row r="290" spans="2:5">
      <c r="B290" s="1935" t="s">
        <v>6769</v>
      </c>
      <c r="C290" s="1938" t="s">
        <v>6770</v>
      </c>
      <c r="D290" s="1892"/>
      <c r="E290" s="1900">
        <v>435406.73904000007</v>
      </c>
    </row>
    <row r="291" spans="2:5">
      <c r="B291" s="1935" t="s">
        <v>9285</v>
      </c>
      <c r="C291" s="1938"/>
      <c r="D291" s="1892"/>
      <c r="E291" s="1900">
        <v>1013504.3955574915</v>
      </c>
    </row>
    <row r="292" spans="2:5">
      <c r="B292" s="1935" t="s">
        <v>9286</v>
      </c>
      <c r="C292" s="1938"/>
      <c r="D292" s="1892"/>
      <c r="E292" s="1900">
        <v>255066.66774</v>
      </c>
    </row>
    <row r="293" spans="2:5">
      <c r="B293" s="1935" t="s">
        <v>9287</v>
      </c>
      <c r="C293" s="1938"/>
      <c r="D293" s="1892"/>
      <c r="E293" s="1900">
        <v>3032310.440438875</v>
      </c>
    </row>
    <row r="294" spans="2:5">
      <c r="B294" s="1935" t="s">
        <v>9288</v>
      </c>
      <c r="C294" s="1938"/>
      <c r="D294" s="1892"/>
      <c r="E294" s="1900">
        <v>3274904.3656431711</v>
      </c>
    </row>
    <row r="295" spans="2:5">
      <c r="B295" s="1935" t="s">
        <v>9288</v>
      </c>
      <c r="C295" s="1938"/>
      <c r="D295" s="1892"/>
      <c r="E295" s="1900">
        <v>3315294.0001161997</v>
      </c>
    </row>
    <row r="296" spans="2:5">
      <c r="B296" s="1935" t="s">
        <v>9289</v>
      </c>
      <c r="C296" s="1938"/>
      <c r="D296" s="1892"/>
      <c r="E296" s="1900">
        <v>520281.5028981361</v>
      </c>
    </row>
    <row r="297" spans="2:5">
      <c r="B297" s="1895" t="s">
        <v>6401</v>
      </c>
      <c r="C297" s="1937" t="s">
        <v>6402</v>
      </c>
      <c r="D297" s="1703"/>
      <c r="E297" s="1900">
        <v>0</v>
      </c>
    </row>
    <row r="298" spans="2:5">
      <c r="B298" s="1940" t="s">
        <v>6771</v>
      </c>
      <c r="C298" s="1890"/>
      <c r="D298" s="1698"/>
      <c r="E298" s="1904">
        <v>467832897.25526661</v>
      </c>
    </row>
    <row r="299" spans="2:5" ht="15" thickBot="1">
      <c r="B299" s="1642"/>
      <c r="C299" s="1642"/>
      <c r="D299" s="1698"/>
      <c r="E299" s="1900"/>
    </row>
    <row r="300" spans="2:5" ht="15.6" thickTop="1" thickBot="1">
      <c r="B300" s="1940" t="s">
        <v>6772</v>
      </c>
      <c r="C300" s="1894" t="s">
        <v>6193</v>
      </c>
      <c r="D300" s="1891" t="s">
        <v>6194</v>
      </c>
      <c r="E300" s="1899" t="s">
        <v>9293</v>
      </c>
    </row>
    <row r="301" spans="2:5" ht="15" thickTop="1">
      <c r="B301" s="1901" t="s">
        <v>6773</v>
      </c>
      <c r="C301" s="1939" t="s">
        <v>6774</v>
      </c>
      <c r="D301" s="1704" t="s">
        <v>6775</v>
      </c>
      <c r="E301" s="1900">
        <v>90773250.45892483</v>
      </c>
    </row>
    <row r="302" spans="2:5">
      <c r="B302" s="1901" t="s">
        <v>6776</v>
      </c>
      <c r="C302" s="1939" t="s">
        <v>6777</v>
      </c>
      <c r="D302" s="1704" t="s">
        <v>6778</v>
      </c>
      <c r="E302" s="1900">
        <v>43123419.355152123</v>
      </c>
    </row>
    <row r="303" spans="2:5">
      <c r="B303" s="1901" t="s">
        <v>6779</v>
      </c>
      <c r="C303" s="1939" t="s">
        <v>6780</v>
      </c>
      <c r="D303" s="1704" t="s">
        <v>6781</v>
      </c>
      <c r="E303" s="1900">
        <v>35728999.711589411</v>
      </c>
    </row>
    <row r="304" spans="2:5">
      <c r="B304" s="1901" t="s">
        <v>6782</v>
      </c>
      <c r="C304" s="1939" t="s">
        <v>6780</v>
      </c>
      <c r="D304" s="1941"/>
      <c r="E304" s="1900">
        <v>23306243.542353496</v>
      </c>
    </row>
    <row r="305" spans="2:5">
      <c r="B305" s="1901" t="s">
        <v>6783</v>
      </c>
      <c r="C305" s="1939" t="s">
        <v>6784</v>
      </c>
      <c r="D305" s="1704" t="s">
        <v>6785</v>
      </c>
      <c r="E305" s="1900">
        <v>29048970.255209491</v>
      </c>
    </row>
    <row r="306" spans="2:5">
      <c r="B306" s="1901" t="s">
        <v>6786</v>
      </c>
      <c r="C306" s="1939" t="s">
        <v>6784</v>
      </c>
      <c r="D306" s="1941"/>
      <c r="E306" s="1900">
        <v>31401601.349788792</v>
      </c>
    </row>
    <row r="307" spans="2:5">
      <c r="B307" s="1901" t="s">
        <v>6787</v>
      </c>
      <c r="C307" s="1939" t="s">
        <v>6788</v>
      </c>
      <c r="D307" s="1704" t="s">
        <v>6789</v>
      </c>
      <c r="E307" s="1900">
        <v>7209840.8635839382</v>
      </c>
    </row>
    <row r="308" spans="2:5">
      <c r="B308" s="1901" t="s">
        <v>6790</v>
      </c>
      <c r="C308" s="1939" t="s">
        <v>6788</v>
      </c>
      <c r="D308" s="1941"/>
      <c r="E308" s="1900">
        <v>9228242.5895088017</v>
      </c>
    </row>
    <row r="309" spans="2:5">
      <c r="B309" s="1901" t="s">
        <v>6791</v>
      </c>
      <c r="C309" s="1939" t="s">
        <v>6792</v>
      </c>
      <c r="D309" s="1704" t="s">
        <v>6793</v>
      </c>
      <c r="E309" s="1900">
        <v>4933178.2610792601</v>
      </c>
    </row>
    <row r="310" spans="2:5">
      <c r="B310" s="1901" t="s">
        <v>6794</v>
      </c>
      <c r="C310" s="1939" t="s">
        <v>6792</v>
      </c>
      <c r="D310" s="1941"/>
      <c r="E310" s="1900">
        <v>9025432.4295553025</v>
      </c>
    </row>
    <row r="311" spans="2:5">
      <c r="B311" s="1901" t="s">
        <v>6795</v>
      </c>
      <c r="C311" s="1939" t="s">
        <v>6796</v>
      </c>
      <c r="D311" s="1704" t="s">
        <v>6797</v>
      </c>
      <c r="E311" s="1900">
        <v>2163011.2106654863</v>
      </c>
    </row>
    <row r="312" spans="2:5">
      <c r="B312" s="1901" t="s">
        <v>6798</v>
      </c>
      <c r="C312" s="1939" t="s">
        <v>6799</v>
      </c>
      <c r="D312" s="1704" t="s">
        <v>6800</v>
      </c>
      <c r="E312" s="1900">
        <v>3040743.5703410823</v>
      </c>
    </row>
    <row r="313" spans="2:5">
      <c r="B313" s="1901" t="s">
        <v>6801</v>
      </c>
      <c r="C313" s="1939" t="s">
        <v>6799</v>
      </c>
      <c r="D313" s="1941"/>
      <c r="E313" s="1900">
        <v>5982597.4645008026</v>
      </c>
    </row>
    <row r="314" spans="2:5">
      <c r="B314" s="1901" t="s">
        <v>6802</v>
      </c>
      <c r="C314" s="1939" t="s">
        <v>6803</v>
      </c>
      <c r="D314" s="1704" t="s">
        <v>6804</v>
      </c>
      <c r="E314" s="1900">
        <v>4947659.0852600439</v>
      </c>
    </row>
    <row r="315" spans="2:5">
      <c r="B315" s="1901" t="s">
        <v>6805</v>
      </c>
      <c r="C315" s="1939" t="s">
        <v>6806</v>
      </c>
      <c r="D315" s="1704" t="s">
        <v>6807</v>
      </c>
      <c r="E315" s="1900">
        <v>24017679.302547254</v>
      </c>
    </row>
    <row r="316" spans="2:5">
      <c r="B316" s="1901" t="s">
        <v>6808</v>
      </c>
      <c r="C316" s="1939" t="s">
        <v>6809</v>
      </c>
      <c r="D316" s="1704" t="s">
        <v>6810</v>
      </c>
      <c r="E316" s="1900">
        <v>6003402.5009108903</v>
      </c>
    </row>
    <row r="317" spans="2:5">
      <c r="B317" s="1901" t="s">
        <v>6811</v>
      </c>
      <c r="C317" s="1939" t="s">
        <v>6809</v>
      </c>
      <c r="D317" s="1941"/>
      <c r="E317" s="1900">
        <v>7114882.1908320021</v>
      </c>
    </row>
    <row r="318" spans="2:5">
      <c r="B318" s="1901" t="s">
        <v>6812</v>
      </c>
      <c r="C318" s="1939" t="s">
        <v>6813</v>
      </c>
      <c r="D318" s="1704" t="s">
        <v>6814</v>
      </c>
      <c r="E318" s="1900">
        <v>5187442.7383162575</v>
      </c>
    </row>
    <row r="319" spans="2:5">
      <c r="B319" s="1901" t="s">
        <v>6815</v>
      </c>
      <c r="C319" s="1939" t="s">
        <v>6816</v>
      </c>
      <c r="D319" s="1704" t="s">
        <v>6817</v>
      </c>
      <c r="E319" s="1900">
        <v>139534.13927030499</v>
      </c>
    </row>
    <row r="320" spans="2:5">
      <c r="B320" s="1901" t="s">
        <v>6818</v>
      </c>
      <c r="C320" s="1939" t="s">
        <v>6819</v>
      </c>
      <c r="D320" s="1704" t="s">
        <v>6820</v>
      </c>
      <c r="E320" s="1900">
        <v>3373673.7494362961</v>
      </c>
    </row>
    <row r="321" spans="2:6">
      <c r="B321" s="1901" t="s">
        <v>6821</v>
      </c>
      <c r="C321" s="1939" t="s">
        <v>6822</v>
      </c>
      <c r="D321" s="1704" t="s">
        <v>6823</v>
      </c>
      <c r="E321" s="1900">
        <v>2326461.8640273595</v>
      </c>
    </row>
    <row r="322" spans="2:6">
      <c r="B322" s="1901" t="s">
        <v>6824</v>
      </c>
      <c r="C322" s="1939" t="s">
        <v>6825</v>
      </c>
      <c r="D322" s="1704" t="s">
        <v>6826</v>
      </c>
      <c r="E322" s="1900">
        <v>3707480.3465514211</v>
      </c>
      <c r="F322" s="1719"/>
    </row>
    <row r="323" spans="2:6">
      <c r="B323" s="1901" t="s">
        <v>6827</v>
      </c>
      <c r="C323" s="1942" t="s">
        <v>6828</v>
      </c>
      <c r="D323" s="1705"/>
      <c r="E323" s="1900">
        <v>6929624.9179502418</v>
      </c>
    </row>
    <row r="324" spans="2:6">
      <c r="B324" s="1901" t="s">
        <v>6829</v>
      </c>
      <c r="C324" s="1939"/>
      <c r="D324" s="1702"/>
      <c r="E324" s="1900">
        <v>800585.77691349934</v>
      </c>
      <c r="F324" s="1693" t="e">
        <f>SUM(#REF!)/SUM(#REF!)</f>
        <v>#REF!</v>
      </c>
    </row>
    <row r="325" spans="2:6">
      <c r="B325" s="1901" t="s">
        <v>6830</v>
      </c>
      <c r="C325" s="1923" t="s">
        <v>6831</v>
      </c>
      <c r="D325" s="1702" t="s">
        <v>6832</v>
      </c>
      <c r="E325" s="1900">
        <v>4690050.5433600005</v>
      </c>
    </row>
    <row r="326" spans="2:6">
      <c r="B326" s="1901" t="s">
        <v>6833</v>
      </c>
      <c r="C326" s="1921" t="s">
        <v>6240</v>
      </c>
      <c r="D326" s="1931" t="s">
        <v>6241</v>
      </c>
      <c r="E326" s="1900">
        <v>10552613.722560002</v>
      </c>
    </row>
    <row r="327" spans="2:6">
      <c r="B327" s="1901" t="s">
        <v>6834</v>
      </c>
      <c r="C327" s="1892" t="s">
        <v>6835</v>
      </c>
      <c r="D327" s="1898"/>
      <c r="E327" s="1900">
        <v>820758.84508800006</v>
      </c>
    </row>
    <row r="328" spans="2:6">
      <c r="B328" s="1943" t="s">
        <v>9121</v>
      </c>
      <c r="C328" s="1905"/>
      <c r="D328" s="1944"/>
      <c r="E328" s="1900">
        <v>18468000</v>
      </c>
    </row>
    <row r="329" spans="2:6">
      <c r="B329" s="1943" t="s">
        <v>9122</v>
      </c>
      <c r="C329" s="1905"/>
      <c r="D329" s="1944"/>
      <c r="E329" s="1900">
        <v>58482000</v>
      </c>
    </row>
    <row r="330" spans="2:6">
      <c r="B330" s="1943" t="s">
        <v>9123</v>
      </c>
      <c r="C330" s="1905"/>
      <c r="D330" s="1944"/>
      <c r="E330" s="1900">
        <v>58482000</v>
      </c>
    </row>
    <row r="331" spans="2:6">
      <c r="B331" s="1945" t="s">
        <v>9290</v>
      </c>
      <c r="C331" s="1905"/>
      <c r="D331" s="1944"/>
      <c r="E331" s="1900">
        <v>255000000</v>
      </c>
    </row>
    <row r="332" spans="2:6">
      <c r="B332" s="1945" t="s">
        <v>9291</v>
      </c>
      <c r="C332" s="1905"/>
      <c r="D332" s="1944"/>
      <c r="E332" s="1900">
        <v>300000000</v>
      </c>
    </row>
    <row r="333" spans="2:6">
      <c r="B333" s="1946" t="s">
        <v>6836</v>
      </c>
      <c r="C333" s="1890"/>
      <c r="D333" s="1698"/>
      <c r="E333" s="1947">
        <v>1066009380.7852764</v>
      </c>
    </row>
    <row r="334" spans="2:6">
      <c r="B334" s="1642"/>
      <c r="C334" s="1642"/>
      <c r="D334" s="1698"/>
      <c r="E334" s="1900"/>
    </row>
    <row r="335" spans="2:6">
      <c r="B335" s="1940" t="s">
        <v>6837</v>
      </c>
      <c r="C335" s="1890"/>
      <c r="D335" s="1698"/>
      <c r="E335" s="1947">
        <v>8462659085.7155533</v>
      </c>
    </row>
    <row r="336" spans="2:6">
      <c r="B336" s="1940" t="s">
        <v>6838</v>
      </c>
      <c r="C336" s="1890"/>
      <c r="D336" s="1698"/>
      <c r="E336" s="1947">
        <v>1627781101.3529139</v>
      </c>
    </row>
    <row r="337" spans="2:5">
      <c r="B337" s="1889" t="s">
        <v>9292</v>
      </c>
      <c r="C337" s="1890"/>
      <c r="D337" s="1698"/>
      <c r="E337" s="1948">
        <v>10090440187.068466</v>
      </c>
    </row>
    <row r="338" spans="2:5">
      <c r="B338" s="1949"/>
      <c r="C338" s="1890"/>
      <c r="D338" s="1698"/>
      <c r="E338" s="1948"/>
    </row>
    <row r="339" spans="2:5">
      <c r="B339" s="1642"/>
      <c r="C339" s="1642"/>
      <c r="D339" s="1698"/>
      <c r="E339" s="1642"/>
    </row>
    <row r="340" spans="2:5">
      <c r="B340" s="1642"/>
      <c r="C340" s="1642"/>
      <c r="D340" s="1698"/>
      <c r="E340" s="1642"/>
    </row>
    <row r="341" spans="2:5">
      <c r="B341" s="1642"/>
      <c r="C341" s="1642"/>
      <c r="D341" s="1698"/>
      <c r="E341" s="1642"/>
    </row>
    <row r="342" spans="2:5">
      <c r="B342" s="1642"/>
      <c r="C342" s="1642"/>
      <c r="D342" s="1698"/>
      <c r="E342" s="1642"/>
    </row>
    <row r="343" spans="2:5">
      <c r="B343" s="1642"/>
      <c r="C343" s="1642"/>
      <c r="D343" s="1698"/>
      <c r="E343" s="1642"/>
    </row>
    <row r="344" spans="2:5">
      <c r="B344" s="1642"/>
      <c r="C344" s="1642"/>
      <c r="D344" s="1698"/>
      <c r="E344" s="1642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8" tint="0.59999389629810485"/>
  </sheetPr>
  <dimension ref="A1:O123"/>
  <sheetViews>
    <sheetView tabSelected="1" showOutlineSymbols="0" workbookViewId="0"/>
  </sheetViews>
  <sheetFormatPr defaultRowHeight="14.4"/>
  <cols>
    <col min="1" max="1" width="43.33203125" bestFit="1" customWidth="1"/>
    <col min="2" max="2" width="37.5546875" customWidth="1"/>
    <col min="3" max="3" width="3.33203125" bestFit="1" customWidth="1"/>
    <col min="4" max="4" width="4.6640625" customWidth="1"/>
    <col min="5" max="5" width="6.5546875" style="33" customWidth="1"/>
    <col min="6" max="6" width="20.33203125" style="512" customWidth="1"/>
    <col min="7" max="8" width="18.44140625" style="752" customWidth="1"/>
    <col min="9" max="9" width="13.6640625" style="752" customWidth="1"/>
    <col min="10" max="10" width="18.44140625" style="752" customWidth="1"/>
    <col min="11" max="11" width="13.6640625" bestFit="1" customWidth="1"/>
    <col min="13" max="13" width="39.6640625" hidden="1" customWidth="1"/>
    <col min="14" max="14" width="8.6640625" customWidth="1"/>
    <col min="15" max="15" width="15" style="1586" customWidth="1"/>
    <col min="260" max="260" width="37.5546875" customWidth="1"/>
    <col min="261" max="261" width="15.44140625" customWidth="1"/>
    <col min="262" max="266" width="18.44140625" customWidth="1"/>
    <col min="267" max="267" width="13.6640625" bestFit="1" customWidth="1"/>
    <col min="516" max="516" width="37.5546875" customWidth="1"/>
    <col min="517" max="517" width="15.44140625" customWidth="1"/>
    <col min="518" max="522" width="18.44140625" customWidth="1"/>
    <col min="523" max="523" width="13.6640625" bestFit="1" customWidth="1"/>
    <col min="772" max="772" width="37.5546875" customWidth="1"/>
    <col min="773" max="773" width="15.44140625" customWidth="1"/>
    <col min="774" max="778" width="18.44140625" customWidth="1"/>
    <col min="779" max="779" width="13.6640625" bestFit="1" customWidth="1"/>
    <col min="1028" max="1028" width="37.5546875" customWidth="1"/>
    <col min="1029" max="1029" width="15.44140625" customWidth="1"/>
    <col min="1030" max="1034" width="18.44140625" customWidth="1"/>
    <col min="1035" max="1035" width="13.6640625" bestFit="1" customWidth="1"/>
    <col min="1284" max="1284" width="37.5546875" customWidth="1"/>
    <col min="1285" max="1285" width="15.44140625" customWidth="1"/>
    <col min="1286" max="1290" width="18.44140625" customWidth="1"/>
    <col min="1291" max="1291" width="13.6640625" bestFit="1" customWidth="1"/>
    <col min="1540" max="1540" width="37.5546875" customWidth="1"/>
    <col min="1541" max="1541" width="15.44140625" customWidth="1"/>
    <col min="1542" max="1546" width="18.44140625" customWidth="1"/>
    <col min="1547" max="1547" width="13.6640625" bestFit="1" customWidth="1"/>
    <col min="1796" max="1796" width="37.5546875" customWidth="1"/>
    <col min="1797" max="1797" width="15.44140625" customWidth="1"/>
    <col min="1798" max="1802" width="18.44140625" customWidth="1"/>
    <col min="1803" max="1803" width="13.6640625" bestFit="1" customWidth="1"/>
    <col min="2052" max="2052" width="37.5546875" customWidth="1"/>
    <col min="2053" max="2053" width="15.44140625" customWidth="1"/>
    <col min="2054" max="2058" width="18.44140625" customWidth="1"/>
    <col min="2059" max="2059" width="13.6640625" bestFit="1" customWidth="1"/>
    <col min="2308" max="2308" width="37.5546875" customWidth="1"/>
    <col min="2309" max="2309" width="15.44140625" customWidth="1"/>
    <col min="2310" max="2314" width="18.44140625" customWidth="1"/>
    <col min="2315" max="2315" width="13.6640625" bestFit="1" customWidth="1"/>
    <col min="2564" max="2564" width="37.5546875" customWidth="1"/>
    <col min="2565" max="2565" width="15.44140625" customWidth="1"/>
    <col min="2566" max="2570" width="18.44140625" customWidth="1"/>
    <col min="2571" max="2571" width="13.6640625" bestFit="1" customWidth="1"/>
    <col min="2820" max="2820" width="37.5546875" customWidth="1"/>
    <col min="2821" max="2821" width="15.44140625" customWidth="1"/>
    <col min="2822" max="2826" width="18.44140625" customWidth="1"/>
    <col min="2827" max="2827" width="13.6640625" bestFit="1" customWidth="1"/>
    <col min="3076" max="3076" width="37.5546875" customWidth="1"/>
    <col min="3077" max="3077" width="15.44140625" customWidth="1"/>
    <col min="3078" max="3082" width="18.44140625" customWidth="1"/>
    <col min="3083" max="3083" width="13.6640625" bestFit="1" customWidth="1"/>
    <col min="3332" max="3332" width="37.5546875" customWidth="1"/>
    <col min="3333" max="3333" width="15.44140625" customWidth="1"/>
    <col min="3334" max="3338" width="18.44140625" customWidth="1"/>
    <col min="3339" max="3339" width="13.6640625" bestFit="1" customWidth="1"/>
    <col min="3588" max="3588" width="37.5546875" customWidth="1"/>
    <col min="3589" max="3589" width="15.44140625" customWidth="1"/>
    <col min="3590" max="3594" width="18.44140625" customWidth="1"/>
    <col min="3595" max="3595" width="13.6640625" bestFit="1" customWidth="1"/>
    <col min="3844" max="3844" width="37.5546875" customWidth="1"/>
    <col min="3845" max="3845" width="15.44140625" customWidth="1"/>
    <col min="3846" max="3850" width="18.44140625" customWidth="1"/>
    <col min="3851" max="3851" width="13.6640625" bestFit="1" customWidth="1"/>
    <col min="4100" max="4100" width="37.5546875" customWidth="1"/>
    <col min="4101" max="4101" width="15.44140625" customWidth="1"/>
    <col min="4102" max="4106" width="18.44140625" customWidth="1"/>
    <col min="4107" max="4107" width="13.6640625" bestFit="1" customWidth="1"/>
    <col min="4356" max="4356" width="37.5546875" customWidth="1"/>
    <col min="4357" max="4357" width="15.44140625" customWidth="1"/>
    <col min="4358" max="4362" width="18.44140625" customWidth="1"/>
    <col min="4363" max="4363" width="13.6640625" bestFit="1" customWidth="1"/>
    <col min="4612" max="4612" width="37.5546875" customWidth="1"/>
    <col min="4613" max="4613" width="15.44140625" customWidth="1"/>
    <col min="4614" max="4618" width="18.44140625" customWidth="1"/>
    <col min="4619" max="4619" width="13.6640625" bestFit="1" customWidth="1"/>
    <col min="4868" max="4868" width="37.5546875" customWidth="1"/>
    <col min="4869" max="4869" width="15.44140625" customWidth="1"/>
    <col min="4870" max="4874" width="18.44140625" customWidth="1"/>
    <col min="4875" max="4875" width="13.6640625" bestFit="1" customWidth="1"/>
    <col min="5124" max="5124" width="37.5546875" customWidth="1"/>
    <col min="5125" max="5125" width="15.44140625" customWidth="1"/>
    <col min="5126" max="5130" width="18.44140625" customWidth="1"/>
    <col min="5131" max="5131" width="13.6640625" bestFit="1" customWidth="1"/>
    <col min="5380" max="5380" width="37.5546875" customWidth="1"/>
    <col min="5381" max="5381" width="15.44140625" customWidth="1"/>
    <col min="5382" max="5386" width="18.44140625" customWidth="1"/>
    <col min="5387" max="5387" width="13.6640625" bestFit="1" customWidth="1"/>
    <col min="5636" max="5636" width="37.5546875" customWidth="1"/>
    <col min="5637" max="5637" width="15.44140625" customWidth="1"/>
    <col min="5638" max="5642" width="18.44140625" customWidth="1"/>
    <col min="5643" max="5643" width="13.6640625" bestFit="1" customWidth="1"/>
    <col min="5892" max="5892" width="37.5546875" customWidth="1"/>
    <col min="5893" max="5893" width="15.44140625" customWidth="1"/>
    <col min="5894" max="5898" width="18.44140625" customWidth="1"/>
    <col min="5899" max="5899" width="13.6640625" bestFit="1" customWidth="1"/>
    <col min="6148" max="6148" width="37.5546875" customWidth="1"/>
    <col min="6149" max="6149" width="15.44140625" customWidth="1"/>
    <col min="6150" max="6154" width="18.44140625" customWidth="1"/>
    <col min="6155" max="6155" width="13.6640625" bestFit="1" customWidth="1"/>
    <col min="6404" max="6404" width="37.5546875" customWidth="1"/>
    <col min="6405" max="6405" width="15.44140625" customWidth="1"/>
    <col min="6406" max="6410" width="18.44140625" customWidth="1"/>
    <col min="6411" max="6411" width="13.6640625" bestFit="1" customWidth="1"/>
    <col min="6660" max="6660" width="37.5546875" customWidth="1"/>
    <col min="6661" max="6661" width="15.44140625" customWidth="1"/>
    <col min="6662" max="6666" width="18.44140625" customWidth="1"/>
    <col min="6667" max="6667" width="13.6640625" bestFit="1" customWidth="1"/>
    <col min="6916" max="6916" width="37.5546875" customWidth="1"/>
    <col min="6917" max="6917" width="15.44140625" customWidth="1"/>
    <col min="6918" max="6922" width="18.44140625" customWidth="1"/>
    <col min="6923" max="6923" width="13.6640625" bestFit="1" customWidth="1"/>
    <col min="7172" max="7172" width="37.5546875" customWidth="1"/>
    <col min="7173" max="7173" width="15.44140625" customWidth="1"/>
    <col min="7174" max="7178" width="18.44140625" customWidth="1"/>
    <col min="7179" max="7179" width="13.6640625" bestFit="1" customWidth="1"/>
    <col min="7428" max="7428" width="37.5546875" customWidth="1"/>
    <col min="7429" max="7429" width="15.44140625" customWidth="1"/>
    <col min="7430" max="7434" width="18.44140625" customWidth="1"/>
    <col min="7435" max="7435" width="13.6640625" bestFit="1" customWidth="1"/>
    <col min="7684" max="7684" width="37.5546875" customWidth="1"/>
    <col min="7685" max="7685" width="15.44140625" customWidth="1"/>
    <col min="7686" max="7690" width="18.44140625" customWidth="1"/>
    <col min="7691" max="7691" width="13.6640625" bestFit="1" customWidth="1"/>
    <col min="7940" max="7940" width="37.5546875" customWidth="1"/>
    <col min="7941" max="7941" width="15.44140625" customWidth="1"/>
    <col min="7942" max="7946" width="18.44140625" customWidth="1"/>
    <col min="7947" max="7947" width="13.6640625" bestFit="1" customWidth="1"/>
    <col min="8196" max="8196" width="37.5546875" customWidth="1"/>
    <col min="8197" max="8197" width="15.44140625" customWidth="1"/>
    <col min="8198" max="8202" width="18.44140625" customWidth="1"/>
    <col min="8203" max="8203" width="13.6640625" bestFit="1" customWidth="1"/>
    <col min="8452" max="8452" width="37.5546875" customWidth="1"/>
    <col min="8453" max="8453" width="15.44140625" customWidth="1"/>
    <col min="8454" max="8458" width="18.44140625" customWidth="1"/>
    <col min="8459" max="8459" width="13.6640625" bestFit="1" customWidth="1"/>
    <col min="8708" max="8708" width="37.5546875" customWidth="1"/>
    <col min="8709" max="8709" width="15.44140625" customWidth="1"/>
    <col min="8710" max="8714" width="18.44140625" customWidth="1"/>
    <col min="8715" max="8715" width="13.6640625" bestFit="1" customWidth="1"/>
    <col min="8964" max="8964" width="37.5546875" customWidth="1"/>
    <col min="8965" max="8965" width="15.44140625" customWidth="1"/>
    <col min="8966" max="8970" width="18.44140625" customWidth="1"/>
    <col min="8971" max="8971" width="13.6640625" bestFit="1" customWidth="1"/>
    <col min="9220" max="9220" width="37.5546875" customWidth="1"/>
    <col min="9221" max="9221" width="15.44140625" customWidth="1"/>
    <col min="9222" max="9226" width="18.44140625" customWidth="1"/>
    <col min="9227" max="9227" width="13.6640625" bestFit="1" customWidth="1"/>
    <col min="9476" max="9476" width="37.5546875" customWidth="1"/>
    <col min="9477" max="9477" width="15.44140625" customWidth="1"/>
    <col min="9478" max="9482" width="18.44140625" customWidth="1"/>
    <col min="9483" max="9483" width="13.6640625" bestFit="1" customWidth="1"/>
    <col min="9732" max="9732" width="37.5546875" customWidth="1"/>
    <col min="9733" max="9733" width="15.44140625" customWidth="1"/>
    <col min="9734" max="9738" width="18.44140625" customWidth="1"/>
    <col min="9739" max="9739" width="13.6640625" bestFit="1" customWidth="1"/>
    <col min="9988" max="9988" width="37.5546875" customWidth="1"/>
    <col min="9989" max="9989" width="15.44140625" customWidth="1"/>
    <col min="9990" max="9994" width="18.44140625" customWidth="1"/>
    <col min="9995" max="9995" width="13.6640625" bestFit="1" customWidth="1"/>
    <col min="10244" max="10244" width="37.5546875" customWidth="1"/>
    <col min="10245" max="10245" width="15.44140625" customWidth="1"/>
    <col min="10246" max="10250" width="18.44140625" customWidth="1"/>
    <col min="10251" max="10251" width="13.6640625" bestFit="1" customWidth="1"/>
    <col min="10500" max="10500" width="37.5546875" customWidth="1"/>
    <col min="10501" max="10501" width="15.44140625" customWidth="1"/>
    <col min="10502" max="10506" width="18.44140625" customWidth="1"/>
    <col min="10507" max="10507" width="13.6640625" bestFit="1" customWidth="1"/>
    <col min="10756" max="10756" width="37.5546875" customWidth="1"/>
    <col min="10757" max="10757" width="15.44140625" customWidth="1"/>
    <col min="10758" max="10762" width="18.44140625" customWidth="1"/>
    <col min="10763" max="10763" width="13.6640625" bestFit="1" customWidth="1"/>
    <col min="11012" max="11012" width="37.5546875" customWidth="1"/>
    <col min="11013" max="11013" width="15.44140625" customWidth="1"/>
    <col min="11014" max="11018" width="18.44140625" customWidth="1"/>
    <col min="11019" max="11019" width="13.6640625" bestFit="1" customWidth="1"/>
    <col min="11268" max="11268" width="37.5546875" customWidth="1"/>
    <col min="11269" max="11269" width="15.44140625" customWidth="1"/>
    <col min="11270" max="11274" width="18.44140625" customWidth="1"/>
    <col min="11275" max="11275" width="13.6640625" bestFit="1" customWidth="1"/>
    <col min="11524" max="11524" width="37.5546875" customWidth="1"/>
    <col min="11525" max="11525" width="15.44140625" customWidth="1"/>
    <col min="11526" max="11530" width="18.44140625" customWidth="1"/>
    <col min="11531" max="11531" width="13.6640625" bestFit="1" customWidth="1"/>
    <col min="11780" max="11780" width="37.5546875" customWidth="1"/>
    <col min="11781" max="11781" width="15.44140625" customWidth="1"/>
    <col min="11782" max="11786" width="18.44140625" customWidth="1"/>
    <col min="11787" max="11787" width="13.6640625" bestFit="1" customWidth="1"/>
    <col min="12036" max="12036" width="37.5546875" customWidth="1"/>
    <col min="12037" max="12037" width="15.44140625" customWidth="1"/>
    <col min="12038" max="12042" width="18.44140625" customWidth="1"/>
    <col min="12043" max="12043" width="13.6640625" bestFit="1" customWidth="1"/>
    <col min="12292" max="12292" width="37.5546875" customWidth="1"/>
    <col min="12293" max="12293" width="15.44140625" customWidth="1"/>
    <col min="12294" max="12298" width="18.44140625" customWidth="1"/>
    <col min="12299" max="12299" width="13.6640625" bestFit="1" customWidth="1"/>
    <col min="12548" max="12548" width="37.5546875" customWidth="1"/>
    <col min="12549" max="12549" width="15.44140625" customWidth="1"/>
    <col min="12550" max="12554" width="18.44140625" customWidth="1"/>
    <col min="12555" max="12555" width="13.6640625" bestFit="1" customWidth="1"/>
    <col min="12804" max="12804" width="37.5546875" customWidth="1"/>
    <col min="12805" max="12805" width="15.44140625" customWidth="1"/>
    <col min="12806" max="12810" width="18.44140625" customWidth="1"/>
    <col min="12811" max="12811" width="13.6640625" bestFit="1" customWidth="1"/>
    <col min="13060" max="13060" width="37.5546875" customWidth="1"/>
    <col min="13061" max="13061" width="15.44140625" customWidth="1"/>
    <col min="13062" max="13066" width="18.44140625" customWidth="1"/>
    <col min="13067" max="13067" width="13.6640625" bestFit="1" customWidth="1"/>
    <col min="13316" max="13316" width="37.5546875" customWidth="1"/>
    <col min="13317" max="13317" width="15.44140625" customWidth="1"/>
    <col min="13318" max="13322" width="18.44140625" customWidth="1"/>
    <col min="13323" max="13323" width="13.6640625" bestFit="1" customWidth="1"/>
    <col min="13572" max="13572" width="37.5546875" customWidth="1"/>
    <col min="13573" max="13573" width="15.44140625" customWidth="1"/>
    <col min="13574" max="13578" width="18.44140625" customWidth="1"/>
    <col min="13579" max="13579" width="13.6640625" bestFit="1" customWidth="1"/>
    <col min="13828" max="13828" width="37.5546875" customWidth="1"/>
    <col min="13829" max="13829" width="15.44140625" customWidth="1"/>
    <col min="13830" max="13834" width="18.44140625" customWidth="1"/>
    <col min="13835" max="13835" width="13.6640625" bestFit="1" customWidth="1"/>
    <col min="14084" max="14084" width="37.5546875" customWidth="1"/>
    <col min="14085" max="14085" width="15.44140625" customWidth="1"/>
    <col min="14086" max="14090" width="18.44140625" customWidth="1"/>
    <col min="14091" max="14091" width="13.6640625" bestFit="1" customWidth="1"/>
    <col min="14340" max="14340" width="37.5546875" customWidth="1"/>
    <col min="14341" max="14341" width="15.44140625" customWidth="1"/>
    <col min="14342" max="14346" width="18.44140625" customWidth="1"/>
    <col min="14347" max="14347" width="13.6640625" bestFit="1" customWidth="1"/>
    <col min="14596" max="14596" width="37.5546875" customWidth="1"/>
    <col min="14597" max="14597" width="15.44140625" customWidth="1"/>
    <col min="14598" max="14602" width="18.44140625" customWidth="1"/>
    <col min="14603" max="14603" width="13.6640625" bestFit="1" customWidth="1"/>
    <col min="14852" max="14852" width="37.5546875" customWidth="1"/>
    <col min="14853" max="14853" width="15.44140625" customWidth="1"/>
    <col min="14854" max="14858" width="18.44140625" customWidth="1"/>
    <col min="14859" max="14859" width="13.6640625" bestFit="1" customWidth="1"/>
    <col min="15108" max="15108" width="37.5546875" customWidth="1"/>
    <col min="15109" max="15109" width="15.44140625" customWidth="1"/>
    <col min="15110" max="15114" width="18.44140625" customWidth="1"/>
    <col min="15115" max="15115" width="13.6640625" bestFit="1" customWidth="1"/>
    <col min="15364" max="15364" width="37.5546875" customWidth="1"/>
    <col min="15365" max="15365" width="15.44140625" customWidth="1"/>
    <col min="15366" max="15370" width="18.44140625" customWidth="1"/>
    <col min="15371" max="15371" width="13.6640625" bestFit="1" customWidth="1"/>
    <col min="15620" max="15620" width="37.5546875" customWidth="1"/>
    <col min="15621" max="15621" width="15.44140625" customWidth="1"/>
    <col min="15622" max="15626" width="18.44140625" customWidth="1"/>
    <col min="15627" max="15627" width="13.6640625" bestFit="1" customWidth="1"/>
    <col min="15876" max="15876" width="37.5546875" customWidth="1"/>
    <col min="15877" max="15877" width="15.44140625" customWidth="1"/>
    <col min="15878" max="15882" width="18.44140625" customWidth="1"/>
    <col min="15883" max="15883" width="13.6640625" bestFit="1" customWidth="1"/>
    <col min="16132" max="16132" width="37.5546875" customWidth="1"/>
    <col min="16133" max="16133" width="15.44140625" customWidth="1"/>
    <col min="16134" max="16138" width="18.44140625" customWidth="1"/>
    <col min="16139" max="16139" width="13.6640625" bestFit="1" customWidth="1"/>
  </cols>
  <sheetData>
    <row r="1" spans="1:10" ht="22.8">
      <c r="A1" s="1648" t="s">
        <v>4537</v>
      </c>
      <c r="B1" s="1648"/>
      <c r="C1" s="1648"/>
      <c r="D1" s="1648"/>
      <c r="F1" s="1720"/>
      <c r="G1" s="1656"/>
      <c r="H1" s="1656"/>
      <c r="I1" s="1656"/>
      <c r="J1" s="1656"/>
    </row>
    <row r="2" spans="1:10" ht="17.399999999999999">
      <c r="A2" s="507" t="s">
        <v>6937</v>
      </c>
      <c r="B2" s="507"/>
      <c r="C2" s="507"/>
      <c r="D2" s="507"/>
      <c r="G2" s="50"/>
    </row>
    <row r="3" spans="1:10" ht="30.45" customHeight="1">
      <c r="A3" s="3103" t="s">
        <v>9266</v>
      </c>
      <c r="B3" s="3103"/>
      <c r="C3" s="3103"/>
      <c r="D3" s="3103"/>
      <c r="E3" s="3103"/>
      <c r="F3" s="650"/>
      <c r="G3" s="1647" t="s">
        <v>6938</v>
      </c>
    </row>
    <row r="4" spans="1:10" ht="15.6">
      <c r="A4" s="1721"/>
      <c r="B4" s="1721"/>
      <c r="C4" s="1721"/>
      <c r="D4" s="1721"/>
      <c r="E4" s="1721"/>
      <c r="F4" s="1721"/>
      <c r="G4" s="1721"/>
    </row>
    <row r="5" spans="1:10">
      <c r="F5" s="645" t="s">
        <v>122</v>
      </c>
      <c r="G5" s="1649" t="s">
        <v>6939</v>
      </c>
      <c r="H5" s="1646"/>
      <c r="I5" s="1646"/>
      <c r="J5" s="1649" t="s">
        <v>6940</v>
      </c>
    </row>
    <row r="6" spans="1:10" ht="17.399999999999999">
      <c r="F6" s="1722" t="s">
        <v>6941</v>
      </c>
      <c r="G6" s="1650" t="s">
        <v>6940</v>
      </c>
      <c r="H6" s="1650" t="s">
        <v>6940</v>
      </c>
      <c r="I6" s="1650" t="s">
        <v>593</v>
      </c>
      <c r="J6" s="1650" t="s">
        <v>5097</v>
      </c>
    </row>
    <row r="8" spans="1:10">
      <c r="A8" t="s">
        <v>6942</v>
      </c>
      <c r="B8" s="50" t="s">
        <v>6943</v>
      </c>
      <c r="C8" s="50"/>
      <c r="D8" s="50"/>
      <c r="F8" s="512">
        <v>454059544</v>
      </c>
      <c r="G8" s="752">
        <v>44087200</v>
      </c>
      <c r="H8" s="752">
        <f>+F8-G8</f>
        <v>409972344</v>
      </c>
      <c r="J8" s="78">
        <f>+H8+I8</f>
        <v>409972344</v>
      </c>
    </row>
    <row r="10" spans="1:10">
      <c r="A10" s="62" t="s">
        <v>6944</v>
      </c>
      <c r="B10" s="62"/>
      <c r="C10" s="62"/>
      <c r="D10" s="62"/>
    </row>
    <row r="11" spans="1:10">
      <c r="A11" t="s">
        <v>6945</v>
      </c>
      <c r="B11" t="s">
        <v>6946</v>
      </c>
      <c r="E11" s="290" t="s">
        <v>6947</v>
      </c>
      <c r="F11" s="512">
        <v>0</v>
      </c>
      <c r="H11" s="752">
        <f>+F11-G11</f>
        <v>0</v>
      </c>
      <c r="J11" s="78">
        <f>+H11+I11</f>
        <v>0</v>
      </c>
    </row>
    <row r="12" spans="1:10">
      <c r="A12" t="s">
        <v>6906</v>
      </c>
      <c r="B12" t="s">
        <v>6948</v>
      </c>
      <c r="E12" s="290" t="s">
        <v>6947</v>
      </c>
      <c r="F12" s="512">
        <v>0</v>
      </c>
      <c r="H12" s="752">
        <f t="shared" ref="H12:H25" si="0">+F12-G12</f>
        <v>0</v>
      </c>
      <c r="J12" s="78">
        <f>+H12+I12</f>
        <v>0</v>
      </c>
    </row>
    <row r="13" spans="1:10">
      <c r="A13" t="s">
        <v>9425</v>
      </c>
      <c r="B13" t="s">
        <v>9426</v>
      </c>
      <c r="E13" s="1950" t="s">
        <v>6947</v>
      </c>
      <c r="F13" s="512">
        <v>-35354521.160000004</v>
      </c>
      <c r="G13" s="752">
        <f t="shared" ref="G13:G14" si="1">F13</f>
        <v>-35354521.160000004</v>
      </c>
      <c r="H13" s="752">
        <f t="shared" si="0"/>
        <v>0</v>
      </c>
      <c r="J13" s="78">
        <f t="shared" ref="J13:J20" si="2">+H13+I13</f>
        <v>0</v>
      </c>
    </row>
    <row r="14" spans="1:10">
      <c r="A14" t="s">
        <v>9427</v>
      </c>
      <c r="B14" t="s">
        <v>9428</v>
      </c>
      <c r="E14" s="1950" t="s">
        <v>6947</v>
      </c>
      <c r="F14" s="512">
        <v>11388333</v>
      </c>
      <c r="G14" s="752">
        <f t="shared" si="1"/>
        <v>11388333</v>
      </c>
      <c r="H14" s="752">
        <f t="shared" si="0"/>
        <v>0</v>
      </c>
      <c r="J14" s="78">
        <f t="shared" si="2"/>
        <v>0</v>
      </c>
    </row>
    <row r="15" spans="1:10">
      <c r="A15" t="s">
        <v>6949</v>
      </c>
      <c r="B15" t="s">
        <v>6950</v>
      </c>
      <c r="E15" s="290" t="s">
        <v>6951</v>
      </c>
      <c r="F15" s="512">
        <v>123485</v>
      </c>
      <c r="G15" s="752">
        <f>F15</f>
        <v>123485</v>
      </c>
      <c r="H15" s="752">
        <f t="shared" si="0"/>
        <v>0</v>
      </c>
      <c r="J15" s="78">
        <f t="shared" si="2"/>
        <v>0</v>
      </c>
    </row>
    <row r="16" spans="1:10">
      <c r="A16" t="s">
        <v>6907</v>
      </c>
      <c r="B16" t="s">
        <v>6952</v>
      </c>
      <c r="E16" s="290" t="s">
        <v>6951</v>
      </c>
      <c r="F16" s="512">
        <v>1000</v>
      </c>
      <c r="G16" s="512"/>
      <c r="H16" s="512">
        <f t="shared" si="0"/>
        <v>1000</v>
      </c>
      <c r="J16" s="78">
        <f t="shared" si="2"/>
        <v>1000</v>
      </c>
    </row>
    <row r="17" spans="1:10">
      <c r="A17" t="s">
        <v>6908</v>
      </c>
      <c r="B17" t="s">
        <v>6953</v>
      </c>
      <c r="E17" s="290" t="s">
        <v>6951</v>
      </c>
      <c r="F17" s="512">
        <v>867734</v>
      </c>
      <c r="G17" s="512"/>
      <c r="H17" s="512">
        <f t="shared" si="0"/>
        <v>867734</v>
      </c>
      <c r="J17" s="78">
        <f t="shared" si="2"/>
        <v>867734</v>
      </c>
    </row>
    <row r="18" spans="1:10">
      <c r="A18" t="s">
        <v>6954</v>
      </c>
      <c r="B18" t="s">
        <v>6955</v>
      </c>
      <c r="E18" s="290" t="s">
        <v>6951</v>
      </c>
      <c r="F18" s="512">
        <v>0</v>
      </c>
      <c r="G18" s="512"/>
      <c r="H18" s="512">
        <f t="shared" si="0"/>
        <v>0</v>
      </c>
      <c r="J18" s="78">
        <f t="shared" si="2"/>
        <v>0</v>
      </c>
    </row>
    <row r="19" spans="1:10">
      <c r="A19" t="s">
        <v>1159</v>
      </c>
      <c r="B19" t="s">
        <v>6956</v>
      </c>
      <c r="E19" s="290" t="s">
        <v>6951</v>
      </c>
      <c r="F19" s="512">
        <v>75000</v>
      </c>
      <c r="G19" s="512"/>
      <c r="H19" s="512">
        <f t="shared" si="0"/>
        <v>75000</v>
      </c>
      <c r="J19" s="78">
        <f t="shared" si="2"/>
        <v>75000</v>
      </c>
    </row>
    <row r="20" spans="1:10">
      <c r="A20" t="s">
        <v>6957</v>
      </c>
      <c r="B20" t="s">
        <v>6958</v>
      </c>
      <c r="E20" s="290" t="s">
        <v>6951</v>
      </c>
      <c r="F20" s="512">
        <v>0</v>
      </c>
      <c r="G20" s="512"/>
      <c r="H20" s="512">
        <f t="shared" si="0"/>
        <v>0</v>
      </c>
      <c r="J20" s="78">
        <f t="shared" si="2"/>
        <v>0</v>
      </c>
    </row>
    <row r="21" spans="1:10">
      <c r="A21" t="s">
        <v>6959</v>
      </c>
      <c r="E21" s="290" t="s">
        <v>6951</v>
      </c>
      <c r="F21" s="512">
        <v>0</v>
      </c>
      <c r="G21" s="512"/>
      <c r="H21" s="512">
        <f t="shared" si="0"/>
        <v>0</v>
      </c>
      <c r="J21" s="78">
        <f>+H21+I21</f>
        <v>0</v>
      </c>
    </row>
    <row r="22" spans="1:10">
      <c r="A22" t="s">
        <v>6960</v>
      </c>
      <c r="B22" t="s">
        <v>6961</v>
      </c>
      <c r="E22" s="290" t="s">
        <v>6947</v>
      </c>
      <c r="F22" s="512">
        <v>6244879.1800000006</v>
      </c>
      <c r="G22" s="512"/>
      <c r="H22" s="512">
        <f t="shared" si="0"/>
        <v>6244879.1800000006</v>
      </c>
      <c r="J22" s="78">
        <f>+H22+I22</f>
        <v>6244879.1800000006</v>
      </c>
    </row>
    <row r="23" spans="1:10">
      <c r="A23" t="s">
        <v>6909</v>
      </c>
      <c r="B23" t="s">
        <v>6962</v>
      </c>
      <c r="E23" s="290" t="s">
        <v>6951</v>
      </c>
      <c r="F23" s="512">
        <v>131158</v>
      </c>
      <c r="G23" s="512"/>
      <c r="H23" s="512">
        <f t="shared" si="0"/>
        <v>131158</v>
      </c>
      <c r="J23" s="78">
        <f>+H23+I23</f>
        <v>131158</v>
      </c>
    </row>
    <row r="24" spans="1:10">
      <c r="A24" t="s">
        <v>6963</v>
      </c>
      <c r="B24" t="s">
        <v>9349</v>
      </c>
      <c r="E24" s="290" t="s">
        <v>6951</v>
      </c>
      <c r="F24" s="513">
        <v>0</v>
      </c>
      <c r="G24" s="513"/>
      <c r="H24" s="512">
        <f t="shared" si="0"/>
        <v>0</v>
      </c>
      <c r="I24" s="850"/>
      <c r="J24" s="78">
        <f t="shared" ref="J24:J25" si="3">+H24+I24</f>
        <v>0</v>
      </c>
    </row>
    <row r="25" spans="1:10">
      <c r="A25" t="s">
        <v>9124</v>
      </c>
      <c r="B25" t="s">
        <v>6965</v>
      </c>
      <c r="E25" s="290" t="s">
        <v>6951</v>
      </c>
      <c r="F25" s="506">
        <v>0</v>
      </c>
      <c r="G25" s="506"/>
      <c r="H25" s="506">
        <f t="shared" si="0"/>
        <v>0</v>
      </c>
      <c r="I25" s="848"/>
      <c r="J25" s="1723">
        <f t="shared" si="3"/>
        <v>0</v>
      </c>
    </row>
    <row r="26" spans="1:10">
      <c r="A26" t="s">
        <v>6966</v>
      </c>
      <c r="F26" s="512">
        <f>SUM(F8:F25)</f>
        <v>437536612.01999998</v>
      </c>
      <c r="G26" s="512">
        <f t="shared" ref="G26:J26" si="4">SUM(G8:G25)</f>
        <v>20244496.839999996</v>
      </c>
      <c r="H26" s="512">
        <f t="shared" si="4"/>
        <v>417292115.18000001</v>
      </c>
      <c r="I26" s="512">
        <f t="shared" si="4"/>
        <v>0</v>
      </c>
      <c r="J26" s="512">
        <f t="shared" si="4"/>
        <v>417292115.18000001</v>
      </c>
    </row>
    <row r="27" spans="1:10">
      <c r="G27" s="512"/>
      <c r="H27" s="512"/>
    </row>
    <row r="28" spans="1:10">
      <c r="A28" s="1651" t="s">
        <v>6967</v>
      </c>
      <c r="B28" s="1651"/>
      <c r="C28" s="1651"/>
      <c r="D28" s="1651"/>
      <c r="G28" s="512"/>
      <c r="H28" s="512"/>
    </row>
    <row r="29" spans="1:10">
      <c r="A29" t="s">
        <v>1537</v>
      </c>
      <c r="D29" s="162"/>
      <c r="E29" s="33" t="s">
        <v>6947</v>
      </c>
      <c r="F29" s="512">
        <v>-324729816</v>
      </c>
      <c r="G29" s="512"/>
      <c r="H29" s="512">
        <f>+F29-G29</f>
        <v>-324729816</v>
      </c>
      <c r="J29" s="78">
        <f>+H29+I29</f>
        <v>-324729816</v>
      </c>
    </row>
    <row r="30" spans="1:10">
      <c r="A30" t="s">
        <v>2325</v>
      </c>
      <c r="B30" t="s">
        <v>6968</v>
      </c>
      <c r="D30" s="162"/>
      <c r="E30" s="33" t="s">
        <v>6947</v>
      </c>
      <c r="F30" s="512">
        <v>9043444</v>
      </c>
      <c r="G30" s="512"/>
      <c r="H30" s="512">
        <f t="shared" ref="H30:H71" si="5">+F30-G30</f>
        <v>9043444</v>
      </c>
      <c r="J30" s="78">
        <f t="shared" ref="J30:J71" si="6">+H30+I30</f>
        <v>9043444</v>
      </c>
    </row>
    <row r="31" spans="1:10">
      <c r="A31" t="s">
        <v>6969</v>
      </c>
      <c r="B31" t="s">
        <v>6970</v>
      </c>
      <c r="D31" s="162"/>
      <c r="E31" s="33" t="s">
        <v>6947</v>
      </c>
      <c r="F31" s="512">
        <v>-5131354</v>
      </c>
      <c r="G31" s="512"/>
      <c r="H31" s="512">
        <f t="shared" si="5"/>
        <v>-5131354</v>
      </c>
      <c r="J31" s="78">
        <f t="shared" si="6"/>
        <v>-5131354</v>
      </c>
    </row>
    <row r="32" spans="1:10">
      <c r="A32" t="s">
        <v>6971</v>
      </c>
      <c r="B32" t="s">
        <v>6972</v>
      </c>
      <c r="D32" s="162"/>
      <c r="E32" s="33" t="s">
        <v>6947</v>
      </c>
      <c r="F32" s="512">
        <v>54520880</v>
      </c>
      <c r="G32" s="512"/>
      <c r="H32" s="512">
        <f t="shared" si="5"/>
        <v>54520880</v>
      </c>
      <c r="J32" s="78">
        <f t="shared" si="6"/>
        <v>54520880</v>
      </c>
    </row>
    <row r="33" spans="1:13">
      <c r="A33" t="s">
        <v>6973</v>
      </c>
      <c r="B33" t="s">
        <v>6974</v>
      </c>
      <c r="D33" s="162"/>
      <c r="E33" s="33" t="s">
        <v>6964</v>
      </c>
      <c r="F33" s="512">
        <v>-5710523.3099999996</v>
      </c>
      <c r="G33" s="512"/>
      <c r="H33" s="512">
        <f t="shared" si="5"/>
        <v>-5710523.3099999996</v>
      </c>
      <c r="J33" s="78">
        <f t="shared" si="6"/>
        <v>-5710523.3099999996</v>
      </c>
    </row>
    <row r="34" spans="1:13">
      <c r="A34" t="s">
        <v>6975</v>
      </c>
      <c r="B34" t="s">
        <v>6976</v>
      </c>
      <c r="D34" s="162"/>
      <c r="E34" s="33" t="s">
        <v>6947</v>
      </c>
      <c r="F34" s="512">
        <v>25857457.039999995</v>
      </c>
      <c r="G34" s="512"/>
      <c r="H34" s="512">
        <f t="shared" si="5"/>
        <v>25857457.039999995</v>
      </c>
      <c r="J34" s="78">
        <f t="shared" si="6"/>
        <v>25857457.039999995</v>
      </c>
    </row>
    <row r="35" spans="1:13">
      <c r="A35" t="s">
        <v>877</v>
      </c>
      <c r="D35" s="162"/>
      <c r="E35" s="33" t="s">
        <v>6951</v>
      </c>
      <c r="F35" s="512">
        <v>-3097055</v>
      </c>
      <c r="G35" s="512"/>
      <c r="H35" s="512">
        <f t="shared" si="5"/>
        <v>-3097055</v>
      </c>
      <c r="J35" s="78">
        <f t="shared" si="6"/>
        <v>-3097055</v>
      </c>
    </row>
    <row r="36" spans="1:13">
      <c r="A36" t="s">
        <v>6977</v>
      </c>
      <c r="B36" t="s">
        <v>6978</v>
      </c>
      <c r="D36" s="162"/>
      <c r="E36" s="33" t="s">
        <v>6951</v>
      </c>
      <c r="F36" s="512">
        <v>-4999608</v>
      </c>
      <c r="G36" s="512"/>
      <c r="H36" s="512">
        <f t="shared" si="5"/>
        <v>-4999608</v>
      </c>
      <c r="J36" s="78">
        <f t="shared" si="6"/>
        <v>-4999608</v>
      </c>
      <c r="M36" t="s">
        <v>6983</v>
      </c>
    </row>
    <row r="37" spans="1:13">
      <c r="A37" t="s">
        <v>6979</v>
      </c>
      <c r="B37" t="s">
        <v>6980</v>
      </c>
      <c r="D37" s="162"/>
      <c r="E37" s="33" t="s">
        <v>6951</v>
      </c>
      <c r="F37" s="512">
        <v>-700000</v>
      </c>
      <c r="G37" s="512"/>
      <c r="H37" s="512">
        <f t="shared" si="5"/>
        <v>-700000</v>
      </c>
      <c r="J37" s="78">
        <f t="shared" si="6"/>
        <v>-700000</v>
      </c>
      <c r="M37" t="s">
        <v>6986</v>
      </c>
    </row>
    <row r="38" spans="1:13">
      <c r="A38" t="s">
        <v>6981</v>
      </c>
      <c r="B38" t="s">
        <v>6982</v>
      </c>
      <c r="D38" s="162"/>
      <c r="E38" s="33" t="s">
        <v>6951</v>
      </c>
      <c r="F38" s="512">
        <v>-8842612</v>
      </c>
      <c r="G38" s="512"/>
      <c r="H38" s="512">
        <f t="shared" si="5"/>
        <v>-8842612</v>
      </c>
      <c r="J38" s="78">
        <f t="shared" si="6"/>
        <v>-8842612</v>
      </c>
      <c r="M38" t="s">
        <v>6989</v>
      </c>
    </row>
    <row r="39" spans="1:13">
      <c r="A39" t="s">
        <v>6984</v>
      </c>
      <c r="B39" t="s">
        <v>6985</v>
      </c>
      <c r="D39" s="162"/>
      <c r="E39" s="33" t="s">
        <v>6951</v>
      </c>
      <c r="F39" s="512">
        <v>328860</v>
      </c>
      <c r="G39" s="512"/>
      <c r="H39" s="512">
        <f t="shared" si="5"/>
        <v>328860</v>
      </c>
      <c r="J39" s="78">
        <f t="shared" si="6"/>
        <v>328860</v>
      </c>
      <c r="M39" t="s">
        <v>6992</v>
      </c>
    </row>
    <row r="40" spans="1:13">
      <c r="A40" t="s">
        <v>6987</v>
      </c>
      <c r="B40" t="s">
        <v>6988</v>
      </c>
      <c r="D40" s="162"/>
      <c r="E40" s="33" t="s">
        <v>6951</v>
      </c>
      <c r="F40" s="512">
        <v>683085</v>
      </c>
      <c r="G40" s="512"/>
      <c r="H40" s="512">
        <f t="shared" si="5"/>
        <v>683085</v>
      </c>
      <c r="J40" s="78">
        <f t="shared" si="6"/>
        <v>683085</v>
      </c>
    </row>
    <row r="41" spans="1:13">
      <c r="A41" t="s">
        <v>6990</v>
      </c>
      <c r="B41" t="s">
        <v>6991</v>
      </c>
      <c r="D41" s="162"/>
      <c r="E41" s="33" t="s">
        <v>6964</v>
      </c>
      <c r="F41" s="512">
        <v>-1313685</v>
      </c>
      <c r="G41" s="512"/>
      <c r="H41" s="512">
        <f t="shared" si="5"/>
        <v>-1313685</v>
      </c>
      <c r="J41" s="78">
        <f t="shared" si="6"/>
        <v>-1313685</v>
      </c>
    </row>
    <row r="42" spans="1:13">
      <c r="A42" t="s">
        <v>9350</v>
      </c>
      <c r="B42" t="s">
        <v>9351</v>
      </c>
      <c r="D42" s="162"/>
      <c r="E42" s="290" t="s">
        <v>6951</v>
      </c>
      <c r="F42" s="512">
        <v>250000</v>
      </c>
      <c r="G42" s="512"/>
      <c r="H42" s="512">
        <f t="shared" si="5"/>
        <v>250000</v>
      </c>
      <c r="J42" s="78">
        <f t="shared" si="6"/>
        <v>250000</v>
      </c>
      <c r="M42" t="s">
        <v>6996</v>
      </c>
    </row>
    <row r="43" spans="1:13">
      <c r="A43" t="s">
        <v>15</v>
      </c>
      <c r="B43" t="s">
        <v>6993</v>
      </c>
      <c r="D43" s="162"/>
      <c r="E43" s="290" t="s">
        <v>6951</v>
      </c>
      <c r="F43" s="512">
        <v>-5522712</v>
      </c>
      <c r="G43" s="512"/>
      <c r="H43" s="512">
        <f t="shared" si="5"/>
        <v>-5522712</v>
      </c>
      <c r="J43" s="78">
        <f t="shared" si="6"/>
        <v>-5522712</v>
      </c>
      <c r="M43" t="s">
        <v>6999</v>
      </c>
    </row>
    <row r="44" spans="1:13">
      <c r="A44" t="s">
        <v>1188</v>
      </c>
      <c r="B44" t="s">
        <v>6994</v>
      </c>
      <c r="D44" s="162"/>
      <c r="E44" s="290" t="s">
        <v>6951</v>
      </c>
      <c r="F44" s="512">
        <v>1142652</v>
      </c>
      <c r="G44" s="512"/>
      <c r="H44" s="512">
        <f t="shared" si="5"/>
        <v>1142652</v>
      </c>
      <c r="J44" s="78">
        <f t="shared" si="6"/>
        <v>1142652</v>
      </c>
    </row>
    <row r="45" spans="1:13">
      <c r="A45" t="s">
        <v>6995</v>
      </c>
      <c r="D45" s="162"/>
      <c r="E45" s="33" t="s">
        <v>6951</v>
      </c>
      <c r="F45" s="512">
        <v>124317</v>
      </c>
      <c r="G45" s="512"/>
      <c r="H45" s="512">
        <f t="shared" si="5"/>
        <v>124317</v>
      </c>
      <c r="J45" s="78">
        <f t="shared" si="6"/>
        <v>124317</v>
      </c>
      <c r="M45" t="s">
        <v>7003</v>
      </c>
    </row>
    <row r="46" spans="1:13">
      <c r="A46" t="s">
        <v>6997</v>
      </c>
      <c r="B46" t="s">
        <v>6998</v>
      </c>
      <c r="D46" s="162"/>
      <c r="E46" s="33" t="s">
        <v>6951</v>
      </c>
      <c r="F46" s="512">
        <v>-175544</v>
      </c>
      <c r="G46" s="512"/>
      <c r="H46" s="512">
        <f t="shared" si="5"/>
        <v>-175544</v>
      </c>
      <c r="J46" s="78">
        <f t="shared" si="6"/>
        <v>-175544</v>
      </c>
    </row>
    <row r="47" spans="1:13">
      <c r="A47" t="s">
        <v>7000</v>
      </c>
      <c r="B47" t="s">
        <v>7001</v>
      </c>
      <c r="D47" s="162"/>
      <c r="E47" s="33" t="s">
        <v>6964</v>
      </c>
      <c r="F47" s="512">
        <v>17442392</v>
      </c>
      <c r="G47" s="512"/>
      <c r="H47" s="512">
        <f t="shared" si="5"/>
        <v>17442392</v>
      </c>
      <c r="J47" s="78">
        <f t="shared" si="6"/>
        <v>17442392</v>
      </c>
    </row>
    <row r="48" spans="1:13">
      <c r="A48" t="s">
        <v>7002</v>
      </c>
      <c r="D48" s="162"/>
      <c r="E48" s="33" t="s">
        <v>6951</v>
      </c>
      <c r="F48" s="512">
        <v>0</v>
      </c>
      <c r="G48" s="512">
        <v>0</v>
      </c>
      <c r="H48" s="512">
        <f t="shared" si="5"/>
        <v>0</v>
      </c>
      <c r="J48" s="78">
        <f t="shared" si="6"/>
        <v>0</v>
      </c>
      <c r="M48" t="s">
        <v>7010</v>
      </c>
    </row>
    <row r="49" spans="1:13">
      <c r="A49" t="s">
        <v>7004</v>
      </c>
      <c r="B49" t="s">
        <v>7005</v>
      </c>
      <c r="D49" s="162"/>
      <c r="E49" s="33" t="s">
        <v>6951</v>
      </c>
      <c r="F49" s="512">
        <v>1721847</v>
      </c>
      <c r="G49" s="512"/>
      <c r="H49" s="512">
        <f t="shared" si="5"/>
        <v>1721847</v>
      </c>
      <c r="J49" s="78">
        <f t="shared" si="6"/>
        <v>1721847</v>
      </c>
    </row>
    <row r="50" spans="1:13">
      <c r="A50" t="s">
        <v>7006</v>
      </c>
      <c r="B50" t="s">
        <v>7007</v>
      </c>
      <c r="D50" s="162"/>
      <c r="E50" s="33" t="s">
        <v>6951</v>
      </c>
      <c r="F50" s="512">
        <v>-1297223</v>
      </c>
      <c r="G50" s="512"/>
      <c r="H50" s="512">
        <f t="shared" si="5"/>
        <v>-1297223</v>
      </c>
      <c r="J50" s="78">
        <f t="shared" si="6"/>
        <v>-1297223</v>
      </c>
    </row>
    <row r="51" spans="1:13">
      <c r="A51" t="s">
        <v>7008</v>
      </c>
      <c r="B51" t="s">
        <v>7009</v>
      </c>
      <c r="D51" s="162"/>
      <c r="E51" s="33" t="s">
        <v>6951</v>
      </c>
      <c r="F51" s="512">
        <v>-7254</v>
      </c>
      <c r="G51" s="512"/>
      <c r="H51" s="512">
        <f t="shared" si="5"/>
        <v>-7254</v>
      </c>
      <c r="J51" s="78">
        <f t="shared" si="6"/>
        <v>-7254</v>
      </c>
    </row>
    <row r="52" spans="1:13">
      <c r="A52" t="s">
        <v>7011</v>
      </c>
      <c r="D52" s="162"/>
      <c r="E52" s="33" t="s">
        <v>6951</v>
      </c>
      <c r="F52" s="512">
        <v>69192</v>
      </c>
      <c r="G52" s="512"/>
      <c r="H52" s="512">
        <f t="shared" si="5"/>
        <v>69192</v>
      </c>
      <c r="J52" s="78">
        <f t="shared" si="6"/>
        <v>69192</v>
      </c>
    </row>
    <row r="53" spans="1:13">
      <c r="A53" t="s">
        <v>7012</v>
      </c>
      <c r="B53" t="s">
        <v>7013</v>
      </c>
      <c r="D53" s="162"/>
      <c r="E53" s="33" t="s">
        <v>6951</v>
      </c>
      <c r="F53" s="512">
        <v>3652</v>
      </c>
      <c r="G53" s="512"/>
      <c r="H53" s="512">
        <f t="shared" si="5"/>
        <v>3652</v>
      </c>
      <c r="J53" s="78">
        <f t="shared" si="6"/>
        <v>3652</v>
      </c>
    </row>
    <row r="54" spans="1:13">
      <c r="A54" t="s">
        <v>7014</v>
      </c>
      <c r="B54" t="s">
        <v>7015</v>
      </c>
      <c r="D54" s="162"/>
      <c r="E54" s="33" t="s">
        <v>6951</v>
      </c>
      <c r="F54" s="512">
        <v>0</v>
      </c>
      <c r="G54" s="512"/>
      <c r="H54" s="512">
        <f t="shared" si="5"/>
        <v>0</v>
      </c>
      <c r="J54" s="78">
        <f t="shared" si="6"/>
        <v>0</v>
      </c>
    </row>
    <row r="55" spans="1:13">
      <c r="A55" t="s">
        <v>7016</v>
      </c>
      <c r="B55" t="s">
        <v>9352</v>
      </c>
      <c r="E55" s="33" t="s">
        <v>6951</v>
      </c>
      <c r="F55" s="512">
        <v>611521</v>
      </c>
      <c r="G55" s="512"/>
      <c r="H55" s="512">
        <f t="shared" si="5"/>
        <v>611521</v>
      </c>
      <c r="J55" s="78">
        <f t="shared" si="6"/>
        <v>611521</v>
      </c>
    </row>
    <row r="56" spans="1:13">
      <c r="A56" s="96" t="s">
        <v>9125</v>
      </c>
      <c r="B56" t="s">
        <v>7017</v>
      </c>
      <c r="D56" s="162"/>
      <c r="E56" s="33" t="s">
        <v>6951</v>
      </c>
      <c r="F56" s="512">
        <v>0</v>
      </c>
      <c r="G56" s="512"/>
      <c r="H56" s="512">
        <f t="shared" si="5"/>
        <v>0</v>
      </c>
      <c r="J56" s="78">
        <f t="shared" si="6"/>
        <v>0</v>
      </c>
    </row>
    <row r="57" spans="1:13">
      <c r="A57" t="s">
        <v>7018</v>
      </c>
      <c r="B57" t="s">
        <v>7019</v>
      </c>
      <c r="D57" s="162"/>
      <c r="E57" s="33" t="s">
        <v>6951</v>
      </c>
      <c r="F57" s="512">
        <v>0</v>
      </c>
      <c r="G57" s="512"/>
      <c r="H57" s="512">
        <f t="shared" si="5"/>
        <v>0</v>
      </c>
      <c r="J57" s="78">
        <f t="shared" si="6"/>
        <v>0</v>
      </c>
    </row>
    <row r="58" spans="1:13">
      <c r="A58" t="s">
        <v>7020</v>
      </c>
      <c r="B58" t="s">
        <v>7021</v>
      </c>
      <c r="D58" s="162"/>
      <c r="E58" s="33" t="s">
        <v>6951</v>
      </c>
      <c r="F58" s="512">
        <v>212628</v>
      </c>
      <c r="G58" s="512"/>
      <c r="H58" s="512">
        <f t="shared" si="5"/>
        <v>212628</v>
      </c>
      <c r="J58" s="78">
        <f t="shared" si="6"/>
        <v>212628</v>
      </c>
    </row>
    <row r="59" spans="1:13">
      <c r="A59" t="s">
        <v>7022</v>
      </c>
      <c r="B59" t="s">
        <v>7023</v>
      </c>
      <c r="D59" s="162"/>
      <c r="E59" s="33" t="s">
        <v>6964</v>
      </c>
      <c r="F59" s="512">
        <v>13559518</v>
      </c>
      <c r="G59" s="512"/>
      <c r="H59" s="512">
        <f t="shared" si="5"/>
        <v>13559518</v>
      </c>
      <c r="J59" s="78">
        <f t="shared" si="6"/>
        <v>13559518</v>
      </c>
      <c r="M59" t="s">
        <v>7030</v>
      </c>
    </row>
    <row r="60" spans="1:13">
      <c r="A60" t="s">
        <v>7024</v>
      </c>
      <c r="B60" t="s">
        <v>7025</v>
      </c>
      <c r="D60" s="162"/>
      <c r="E60" s="33" t="s">
        <v>6951</v>
      </c>
      <c r="F60" s="512">
        <v>0</v>
      </c>
      <c r="G60" s="512"/>
      <c r="H60" s="512">
        <f t="shared" si="5"/>
        <v>0</v>
      </c>
      <c r="J60" s="78">
        <f t="shared" si="6"/>
        <v>0</v>
      </c>
      <c r="M60" t="s">
        <v>7033</v>
      </c>
    </row>
    <row r="61" spans="1:13">
      <c r="A61" s="96" t="s">
        <v>7026</v>
      </c>
      <c r="B61" t="s">
        <v>7027</v>
      </c>
      <c r="D61" s="162"/>
      <c r="E61" s="33" t="s">
        <v>6951</v>
      </c>
      <c r="F61" s="512">
        <v>129649</v>
      </c>
      <c r="G61" s="512"/>
      <c r="H61" s="512">
        <f t="shared" si="5"/>
        <v>129649</v>
      </c>
      <c r="J61" s="78">
        <f t="shared" si="6"/>
        <v>129649</v>
      </c>
    </row>
    <row r="62" spans="1:13">
      <c r="A62" t="s">
        <v>7028</v>
      </c>
      <c r="B62" t="s">
        <v>7029</v>
      </c>
      <c r="D62" s="162"/>
      <c r="E62" s="33" t="s">
        <v>6951</v>
      </c>
      <c r="F62" s="512">
        <v>2076825</v>
      </c>
      <c r="G62" s="512"/>
      <c r="H62" s="512">
        <f t="shared" si="5"/>
        <v>2076825</v>
      </c>
      <c r="J62" s="78">
        <f t="shared" si="6"/>
        <v>2076825</v>
      </c>
    </row>
    <row r="63" spans="1:13">
      <c r="A63" s="96" t="s">
        <v>7031</v>
      </c>
      <c r="B63" t="s">
        <v>7032</v>
      </c>
      <c r="D63" s="162"/>
      <c r="E63" s="33" t="s">
        <v>6951</v>
      </c>
      <c r="F63" s="512">
        <v>1014000</v>
      </c>
      <c r="G63" s="512"/>
      <c r="H63" s="512">
        <f t="shared" si="5"/>
        <v>1014000</v>
      </c>
      <c r="J63" s="78">
        <f t="shared" si="6"/>
        <v>1014000</v>
      </c>
    </row>
    <row r="64" spans="1:13">
      <c r="A64" s="96" t="s">
        <v>7034</v>
      </c>
      <c r="B64" t="s">
        <v>7035</v>
      </c>
      <c r="E64" s="290" t="s">
        <v>6951</v>
      </c>
      <c r="F64" s="512">
        <v>0</v>
      </c>
      <c r="G64" s="512"/>
      <c r="H64" s="512">
        <f t="shared" si="5"/>
        <v>0</v>
      </c>
      <c r="J64" s="78">
        <f t="shared" si="6"/>
        <v>0</v>
      </c>
    </row>
    <row r="65" spans="1:15">
      <c r="A65" s="96" t="s">
        <v>7036</v>
      </c>
      <c r="B65" t="s">
        <v>7037</v>
      </c>
      <c r="E65" s="290" t="s">
        <v>6951</v>
      </c>
      <c r="F65" s="512">
        <v>-8276151</v>
      </c>
      <c r="G65" s="512"/>
      <c r="H65" s="512">
        <f t="shared" si="5"/>
        <v>-8276151</v>
      </c>
      <c r="J65" s="78">
        <f t="shared" si="6"/>
        <v>-8276151</v>
      </c>
    </row>
    <row r="66" spans="1:15">
      <c r="A66" s="96" t="s">
        <v>7038</v>
      </c>
      <c r="B66" t="s">
        <v>7039</v>
      </c>
      <c r="E66" s="290" t="s">
        <v>6951</v>
      </c>
      <c r="F66" s="512">
        <v>-17122528</v>
      </c>
      <c r="G66" s="512"/>
      <c r="H66" s="512">
        <f t="shared" si="5"/>
        <v>-17122528</v>
      </c>
      <c r="J66" s="78">
        <f t="shared" si="6"/>
        <v>-17122528</v>
      </c>
    </row>
    <row r="67" spans="1:15">
      <c r="A67" s="96" t="s">
        <v>9353</v>
      </c>
      <c r="B67" t="s">
        <v>9354</v>
      </c>
      <c r="E67" s="290" t="s">
        <v>6951</v>
      </c>
      <c r="F67" s="512">
        <v>-34712969</v>
      </c>
      <c r="G67" s="512"/>
      <c r="H67" s="512">
        <f t="shared" si="5"/>
        <v>-34712969</v>
      </c>
      <c r="J67" s="78">
        <f t="shared" si="6"/>
        <v>-34712969</v>
      </c>
      <c r="M67" t="s">
        <v>7048</v>
      </c>
    </row>
    <row r="68" spans="1:15">
      <c r="A68" s="96" t="s">
        <v>7040</v>
      </c>
      <c r="B68" t="s">
        <v>7041</v>
      </c>
      <c r="E68" s="290" t="s">
        <v>6951</v>
      </c>
      <c r="F68" s="512">
        <v>0</v>
      </c>
      <c r="G68" s="512"/>
      <c r="H68" s="512">
        <f t="shared" si="5"/>
        <v>0</v>
      </c>
      <c r="J68" s="78">
        <f t="shared" si="6"/>
        <v>0</v>
      </c>
    </row>
    <row r="69" spans="1:15">
      <c r="A69" s="96" t="s">
        <v>7042</v>
      </c>
      <c r="B69" t="s">
        <v>7043</v>
      </c>
      <c r="E69" s="290" t="s">
        <v>6951</v>
      </c>
      <c r="F69" s="512">
        <v>0</v>
      </c>
      <c r="G69" s="512"/>
      <c r="H69" s="512">
        <f t="shared" si="5"/>
        <v>0</v>
      </c>
      <c r="J69" s="78">
        <f t="shared" si="6"/>
        <v>0</v>
      </c>
      <c r="M69" t="s">
        <v>7050</v>
      </c>
    </row>
    <row r="70" spans="1:15">
      <c r="A70" s="96" t="s">
        <v>7044</v>
      </c>
      <c r="B70" t="s">
        <v>7045</v>
      </c>
      <c r="E70" s="290" t="s">
        <v>6951</v>
      </c>
      <c r="F70" s="512">
        <v>0</v>
      </c>
      <c r="G70" s="512"/>
      <c r="H70" s="512">
        <f t="shared" si="5"/>
        <v>0</v>
      </c>
      <c r="J70" s="78">
        <f t="shared" si="6"/>
        <v>0</v>
      </c>
      <c r="M70" t="s">
        <v>7052</v>
      </c>
    </row>
    <row r="71" spans="1:15">
      <c r="A71" s="96" t="s">
        <v>7046</v>
      </c>
      <c r="B71" t="s">
        <v>7047</v>
      </c>
      <c r="D71" s="162"/>
      <c r="E71" s="33" t="s">
        <v>6951</v>
      </c>
      <c r="F71" s="506">
        <v>0</v>
      </c>
      <c r="G71" s="506"/>
      <c r="H71" s="506">
        <f t="shared" si="5"/>
        <v>0</v>
      </c>
      <c r="I71" s="848"/>
      <c r="J71" s="1723">
        <f t="shared" si="6"/>
        <v>0</v>
      </c>
      <c r="K71" s="516"/>
    </row>
    <row r="72" spans="1:15">
      <c r="A72" t="s">
        <v>7049</v>
      </c>
      <c r="F72" s="512">
        <f>SUM(F29:F71)</f>
        <v>-292847115.26999998</v>
      </c>
      <c r="G72" s="512">
        <f t="shared" ref="G72" si="7">SUM(G29:G71)</f>
        <v>0</v>
      </c>
      <c r="H72" s="512">
        <f>SUM(H29:H71)</f>
        <v>-292847115.26999998</v>
      </c>
      <c r="I72" s="512">
        <f t="shared" ref="I72:J72" si="8">SUM(I29:I71)</f>
        <v>0</v>
      </c>
      <c r="J72" s="512">
        <f t="shared" si="8"/>
        <v>-292847115.26999998</v>
      </c>
      <c r="K72" s="516"/>
    </row>
    <row r="73" spans="1:15">
      <c r="G73" s="512"/>
      <c r="H73" s="512"/>
      <c r="I73" s="512"/>
      <c r="J73" s="512"/>
      <c r="K73" s="516"/>
    </row>
    <row r="74" spans="1:15">
      <c r="A74" t="s">
        <v>7051</v>
      </c>
      <c r="E74" s="1652"/>
      <c r="F74" s="512">
        <f>SUM(F26:F71)</f>
        <v>144689496.74999997</v>
      </c>
      <c r="G74" s="512">
        <f t="shared" ref="G74:J74" si="9">SUM(G26:G71)</f>
        <v>20244496.839999996</v>
      </c>
      <c r="H74" s="512">
        <f t="shared" si="9"/>
        <v>124444999.91</v>
      </c>
      <c r="I74" s="512">
        <f t="shared" si="9"/>
        <v>0</v>
      </c>
      <c r="J74" s="512">
        <f t="shared" si="9"/>
        <v>124444999.91</v>
      </c>
    </row>
    <row r="75" spans="1:15">
      <c r="A75" t="s">
        <v>7053</v>
      </c>
      <c r="B75" s="1645" t="s">
        <v>7054</v>
      </c>
      <c r="C75" s="1645"/>
      <c r="D75" s="1645"/>
      <c r="F75" s="512">
        <v>-8808851.916666666</v>
      </c>
      <c r="G75" s="512"/>
      <c r="H75" s="512">
        <f>+F75-G75</f>
        <v>-8808851.916666666</v>
      </c>
      <c r="I75" s="512"/>
      <c r="J75" s="512">
        <f>+H75+I75</f>
        <v>-8808851.916666666</v>
      </c>
      <c r="O75"/>
    </row>
    <row r="76" spans="1:15">
      <c r="A76" t="s">
        <v>7055</v>
      </c>
      <c r="B76" s="1645"/>
      <c r="C76" s="1645"/>
      <c r="D76" s="1645"/>
      <c r="F76" s="512">
        <v>0</v>
      </c>
      <c r="G76" s="512"/>
      <c r="H76" s="512">
        <f>+F76-G76</f>
        <v>0</v>
      </c>
      <c r="I76" s="512"/>
      <c r="J76" s="512">
        <f>+H76+I76</f>
        <v>0</v>
      </c>
      <c r="O76"/>
    </row>
    <row r="77" spans="1:15" ht="16.2" customHeight="1">
      <c r="A77" t="s">
        <v>7056</v>
      </c>
      <c r="B77" s="1645" t="s">
        <v>9126</v>
      </c>
      <c r="C77" s="1645"/>
      <c r="D77" s="1645"/>
      <c r="F77" s="506">
        <v>0</v>
      </c>
      <c r="G77" s="506"/>
      <c r="H77" s="506">
        <f>+F77-G77</f>
        <v>0</v>
      </c>
      <c r="I77" s="506"/>
      <c r="J77" s="506">
        <f>+H77+I77</f>
        <v>0</v>
      </c>
      <c r="K77" s="162"/>
      <c r="L77" s="162"/>
      <c r="O77"/>
    </row>
    <row r="78" spans="1:15">
      <c r="A78" t="s">
        <v>7057</v>
      </c>
      <c r="F78" s="1657">
        <f>SUM(F74:F77)</f>
        <v>135880644.83333331</v>
      </c>
      <c r="G78" s="512">
        <f>SUM(G74:G77)</f>
        <v>20244496.839999996</v>
      </c>
      <c r="H78" s="512">
        <f>SUM(H74:H77)</f>
        <v>115636147.99333332</v>
      </c>
      <c r="I78" s="512">
        <f>SUM(I74:I77)</f>
        <v>0</v>
      </c>
      <c r="J78" s="512">
        <f>SUM(J74:J77)</f>
        <v>115636147.99333332</v>
      </c>
      <c r="O78"/>
    </row>
    <row r="79" spans="1:15">
      <c r="F79" s="1657"/>
      <c r="G79" s="512"/>
      <c r="H79" s="512"/>
      <c r="I79" s="512"/>
      <c r="J79" s="512"/>
      <c r="O79"/>
    </row>
    <row r="80" spans="1:15">
      <c r="A80" t="s">
        <v>7058</v>
      </c>
      <c r="E80" s="1652"/>
      <c r="F80" s="1657">
        <f>F78*0.055</f>
        <v>7473435.4658333324</v>
      </c>
      <c r="G80" s="512">
        <f>G78*0.055</f>
        <v>1113447.3261999998</v>
      </c>
      <c r="H80" s="512">
        <f>H78*0.055</f>
        <v>6359988.1396333333</v>
      </c>
      <c r="I80" s="512">
        <f>I78*0.055</f>
        <v>0</v>
      </c>
      <c r="J80" s="512">
        <f>+H80+I80</f>
        <v>6359988.1396333333</v>
      </c>
      <c r="O80"/>
    </row>
    <row r="81" spans="1:15">
      <c r="A81" t="s">
        <v>7059</v>
      </c>
      <c r="B81" s="1645" t="s">
        <v>9127</v>
      </c>
      <c r="C81" s="1645"/>
      <c r="D81" s="1645"/>
      <c r="F81" s="1657">
        <v>0</v>
      </c>
      <c r="G81" s="512"/>
      <c r="H81" s="512"/>
      <c r="I81" s="512"/>
      <c r="J81" s="512">
        <f t="shared" ref="J81:J91" si="10">+H81+I81</f>
        <v>0</v>
      </c>
      <c r="O81"/>
    </row>
    <row r="82" spans="1:15">
      <c r="A82" t="s">
        <v>7060</v>
      </c>
      <c r="E82" s="48"/>
      <c r="F82" s="1657">
        <f>SUM(F80:F81)</f>
        <v>7473435.4658333324</v>
      </c>
      <c r="G82" s="512">
        <f>SUM(G80:G81)</f>
        <v>1113447.3261999998</v>
      </c>
      <c r="H82" s="512">
        <f>SUM(H80:H81)</f>
        <v>6359988.1396333333</v>
      </c>
      <c r="I82" s="512">
        <f>SUM(I80:I81)</f>
        <v>0</v>
      </c>
      <c r="J82" s="512">
        <f t="shared" si="10"/>
        <v>6359988.1396333333</v>
      </c>
      <c r="O82"/>
    </row>
    <row r="83" spans="1:15">
      <c r="G83" s="512"/>
      <c r="H83" s="512"/>
      <c r="I83" s="512"/>
      <c r="J83" s="512"/>
      <c r="O83"/>
    </row>
    <row r="84" spans="1:15" ht="16.5" customHeight="1">
      <c r="A84" t="s">
        <v>7061</v>
      </c>
      <c r="F84" s="512">
        <f>F74-F80</f>
        <v>137216061.28416663</v>
      </c>
      <c r="G84" s="512">
        <f>+G74-G81-G82</f>
        <v>19131049.513799995</v>
      </c>
      <c r="H84" s="512">
        <f>+H74-H81-H82</f>
        <v>118085011.77036667</v>
      </c>
      <c r="I84" s="512">
        <f>+I74-I81-I82</f>
        <v>0</v>
      </c>
      <c r="J84" s="512">
        <f t="shared" si="10"/>
        <v>118085011.77036667</v>
      </c>
      <c r="K84" s="162"/>
      <c r="L84" s="162"/>
      <c r="O84"/>
    </row>
    <row r="85" spans="1:15">
      <c r="A85" s="1645" t="s">
        <v>9128</v>
      </c>
      <c r="F85" s="506">
        <v>-17381684</v>
      </c>
      <c r="G85" s="506">
        <f>IF(G84&lt;0,G84*-1,0)</f>
        <v>0</v>
      </c>
      <c r="H85" s="506">
        <f>+F85-G85</f>
        <v>-17381684</v>
      </c>
      <c r="I85" s="506">
        <f>IF(I84&lt;0,I84*-1,0)</f>
        <v>0</v>
      </c>
      <c r="J85" s="506">
        <f t="shared" si="10"/>
        <v>-17381684</v>
      </c>
      <c r="O85"/>
    </row>
    <row r="86" spans="1:15">
      <c r="A86" s="328" t="s">
        <v>5601</v>
      </c>
      <c r="F86" s="512">
        <f>SUM(F84:F85)</f>
        <v>119834377.28416663</v>
      </c>
      <c r="G86" s="512">
        <f>SUM(G84:G85)</f>
        <v>19131049.513799995</v>
      </c>
      <c r="H86" s="512">
        <f>SUM(H84:H85)</f>
        <v>100703327.77036667</v>
      </c>
      <c r="I86" s="512">
        <f>SUM(I84:I85)</f>
        <v>0</v>
      </c>
      <c r="J86" s="512">
        <f t="shared" si="10"/>
        <v>100703327.77036667</v>
      </c>
      <c r="O86"/>
    </row>
    <row r="87" spans="1:15">
      <c r="A87" t="s">
        <v>7062</v>
      </c>
      <c r="F87" s="512">
        <f>F86*0.21</f>
        <v>25165219.229674991</v>
      </c>
      <c r="G87" s="512">
        <f>G86*0.21</f>
        <v>4017520.3978979988</v>
      </c>
      <c r="H87" s="512">
        <f>H86*0.21</f>
        <v>21147698.831776999</v>
      </c>
      <c r="I87" s="512">
        <f>I84*0.21</f>
        <v>0</v>
      </c>
      <c r="J87" s="512">
        <f t="shared" si="10"/>
        <v>21147698.831776999</v>
      </c>
      <c r="O87"/>
    </row>
    <row r="88" spans="1:15">
      <c r="A88" t="s">
        <v>7059</v>
      </c>
      <c r="B88" t="s">
        <v>9129</v>
      </c>
      <c r="C88" s="33">
        <v>36</v>
      </c>
      <c r="D88" s="33">
        <v>85</v>
      </c>
      <c r="F88" s="506">
        <v>0</v>
      </c>
      <c r="G88" s="506">
        <f>IFERROR(HLOOKUP($G$2,PP_51004_NO_CB,$C$88,0),0)</f>
        <v>0</v>
      </c>
      <c r="H88" s="506">
        <f>+F88-G88</f>
        <v>0</v>
      </c>
      <c r="I88" s="506"/>
      <c r="J88" s="506">
        <f t="shared" si="10"/>
        <v>0</v>
      </c>
      <c r="O88"/>
    </row>
    <row r="89" spans="1:15">
      <c r="A89" t="s">
        <v>7063</v>
      </c>
      <c r="E89" s="48"/>
      <c r="F89" s="512">
        <f>+F87+F88</f>
        <v>25165219.229674991</v>
      </c>
      <c r="G89" s="512">
        <f>+G87+G88</f>
        <v>4017520.3978979988</v>
      </c>
      <c r="H89" s="512">
        <f>+H87+H88</f>
        <v>21147698.831776999</v>
      </c>
      <c r="I89" s="512">
        <f>+I87+I88</f>
        <v>0</v>
      </c>
      <c r="J89" s="512">
        <f t="shared" si="10"/>
        <v>21147698.831776999</v>
      </c>
      <c r="O89"/>
    </row>
    <row r="90" spans="1:15">
      <c r="G90" s="512"/>
      <c r="H90" s="512"/>
      <c r="I90" s="512"/>
      <c r="J90" s="512"/>
      <c r="O90"/>
    </row>
    <row r="91" spans="1:15">
      <c r="A91" t="s">
        <v>7064</v>
      </c>
      <c r="E91" s="48"/>
      <c r="F91" s="1657">
        <f>+F82+F89</f>
        <v>32638654.695508324</v>
      </c>
      <c r="G91" s="512">
        <f>+G82+G89</f>
        <v>5130967.7240979988</v>
      </c>
      <c r="H91" s="512">
        <f>+H82+H89</f>
        <v>27507686.971410334</v>
      </c>
      <c r="I91" s="512">
        <f>+I82+I89</f>
        <v>0</v>
      </c>
      <c r="J91" s="512">
        <f t="shared" si="10"/>
        <v>27507686.971410334</v>
      </c>
      <c r="O91"/>
    </row>
    <row r="92" spans="1:15">
      <c r="G92" s="512"/>
      <c r="H92" s="512"/>
      <c r="I92" s="512"/>
      <c r="J92" s="512"/>
      <c r="O92"/>
    </row>
    <row r="93" spans="1:15">
      <c r="A93" t="s">
        <v>7065</v>
      </c>
      <c r="E93" s="48"/>
      <c r="G93" s="512"/>
      <c r="H93" s="512"/>
      <c r="I93" s="512"/>
      <c r="J93" s="512"/>
      <c r="K93" s="162"/>
    </row>
    <row r="94" spans="1:15">
      <c r="A94" t="s">
        <v>7058</v>
      </c>
      <c r="E94" s="48"/>
      <c r="F94" s="512">
        <f>(-F72-F75-F76)*0.055</f>
        <v>16591078.195266666</v>
      </c>
      <c r="G94" s="512">
        <f>(-G72-G75-G76)*0.055</f>
        <v>0</v>
      </c>
      <c r="H94" s="512">
        <f>(-H72-H75-H76)*0.055</f>
        <v>16591078.195266666</v>
      </c>
      <c r="I94" s="512">
        <f>(-I72-I75)*0.055</f>
        <v>0</v>
      </c>
      <c r="J94" s="512">
        <f>+H94+I94</f>
        <v>16591078.195266666</v>
      </c>
    </row>
    <row r="95" spans="1:15">
      <c r="A95" t="s">
        <v>7059</v>
      </c>
      <c r="E95" s="48"/>
      <c r="F95" s="512">
        <v>0</v>
      </c>
      <c r="G95" s="512">
        <f>O87</f>
        <v>0</v>
      </c>
      <c r="H95" s="512">
        <f>+F95-G95</f>
        <v>0</v>
      </c>
      <c r="I95" s="512"/>
      <c r="J95" s="512">
        <f>+H95+I95</f>
        <v>0</v>
      </c>
    </row>
    <row r="96" spans="1:15">
      <c r="A96" t="s">
        <v>6915</v>
      </c>
      <c r="B96" s="345" t="s">
        <v>7066</v>
      </c>
      <c r="E96" s="48"/>
      <c r="F96" s="506">
        <v>0</v>
      </c>
      <c r="G96" s="506">
        <v>0</v>
      </c>
      <c r="H96" s="506">
        <f>+F96-G96</f>
        <v>0</v>
      </c>
      <c r="I96" s="506"/>
      <c r="J96" s="506">
        <f>+H96+I96</f>
        <v>0</v>
      </c>
    </row>
    <row r="97" spans="1:12">
      <c r="A97" t="s">
        <v>7067</v>
      </c>
      <c r="E97" s="48"/>
      <c r="F97" s="512">
        <f>SUM(F94:F96)</f>
        <v>16591078.195266666</v>
      </c>
      <c r="G97" s="512">
        <f>SUM(G94:G96)</f>
        <v>0</v>
      </c>
      <c r="H97" s="512">
        <f>SUM(H94:H96)</f>
        <v>16591078.195266666</v>
      </c>
      <c r="I97" s="512">
        <f>SUM(I94:I96)</f>
        <v>0</v>
      </c>
      <c r="J97" s="512">
        <f>+H97+I97</f>
        <v>16591078.195266666</v>
      </c>
    </row>
    <row r="98" spans="1:12">
      <c r="E98" s="48"/>
      <c r="G98" s="512"/>
      <c r="H98" s="512"/>
    </row>
    <row r="99" spans="1:12">
      <c r="A99" t="s">
        <v>6916</v>
      </c>
      <c r="E99" s="48"/>
      <c r="G99" s="512"/>
      <c r="H99" s="512"/>
    </row>
    <row r="100" spans="1:12">
      <c r="A100" t="s">
        <v>7062</v>
      </c>
      <c r="E100" s="48"/>
      <c r="F100" s="512">
        <f>-F72*0.19845-F85*0.21</f>
        <v>61765663.66533149</v>
      </c>
      <c r="G100" s="512">
        <f>-G72*0.19845</f>
        <v>0</v>
      </c>
      <c r="H100" s="512">
        <f>+F100-G100</f>
        <v>61765663.66533149</v>
      </c>
      <c r="I100" s="752">
        <f>-I72*0.19845</f>
        <v>0</v>
      </c>
      <c r="J100" s="752">
        <f t="shared" ref="J100:J105" si="11">+H100-I100</f>
        <v>61765663.66533149</v>
      </c>
    </row>
    <row r="101" spans="1:12">
      <c r="A101" t="s">
        <v>7059</v>
      </c>
      <c r="E101" s="48"/>
      <c r="F101" s="512">
        <v>-79497971.142924577</v>
      </c>
      <c r="G101" s="512">
        <f>O82</f>
        <v>0</v>
      </c>
      <c r="H101" s="512">
        <f>+F101-G101</f>
        <v>-79497971.142924577</v>
      </c>
      <c r="J101" s="752">
        <f t="shared" si="11"/>
        <v>-79497971.142924577</v>
      </c>
      <c r="K101" s="752"/>
    </row>
    <row r="102" spans="1:12">
      <c r="A102" s="96" t="s">
        <v>7068</v>
      </c>
      <c r="B102" s="96"/>
      <c r="C102" s="96"/>
      <c r="D102" s="96"/>
      <c r="E102" s="48"/>
      <c r="F102" s="512">
        <f>((F75+F76-F81)*0.055)*0.21</f>
        <v>-101742.2396375</v>
      </c>
      <c r="G102" s="512"/>
      <c r="H102" s="512">
        <f>+F102-G102</f>
        <v>-101742.2396375</v>
      </c>
      <c r="J102" s="752">
        <f t="shared" si="11"/>
        <v>-101742.2396375</v>
      </c>
    </row>
    <row r="103" spans="1:12">
      <c r="A103" t="s">
        <v>6917</v>
      </c>
      <c r="B103" s="1635" t="s">
        <v>7069</v>
      </c>
      <c r="E103" s="48"/>
      <c r="F103" s="512">
        <v>-26794647.939999998</v>
      </c>
      <c r="G103" s="752">
        <v>0</v>
      </c>
      <c r="H103" s="752">
        <f>+F103-G103</f>
        <v>-26794647.939999998</v>
      </c>
      <c r="J103" s="752">
        <f t="shared" si="11"/>
        <v>-26794647.939999998</v>
      </c>
    </row>
    <row r="104" spans="1:12">
      <c r="A104" t="s">
        <v>6918</v>
      </c>
      <c r="B104" s="345" t="s">
        <v>7070</v>
      </c>
      <c r="E104" s="48"/>
      <c r="F104" s="506">
        <v>0</v>
      </c>
      <c r="G104" s="848"/>
      <c r="H104" s="848">
        <f>+F104-G104</f>
        <v>0</v>
      </c>
      <c r="I104" s="848"/>
      <c r="J104" s="848">
        <f t="shared" si="11"/>
        <v>0</v>
      </c>
    </row>
    <row r="105" spans="1:12">
      <c r="A105" t="s">
        <v>7071</v>
      </c>
      <c r="E105" s="48"/>
      <c r="F105" s="512">
        <f>SUM(F100:F104)</f>
        <v>-44628697.657230586</v>
      </c>
      <c r="G105" s="752">
        <f>SUM(G100:G104)</f>
        <v>0</v>
      </c>
      <c r="H105" s="752">
        <f>SUM(H100:H104)</f>
        <v>-44628697.657230586</v>
      </c>
      <c r="I105" s="752">
        <f>SUM(I100:I104)</f>
        <v>0</v>
      </c>
      <c r="J105" s="752">
        <f t="shared" si="11"/>
        <v>-44628697.657230586</v>
      </c>
    </row>
    <row r="106" spans="1:12">
      <c r="E106" s="48"/>
      <c r="F106" s="752"/>
      <c r="K106" s="162"/>
      <c r="L106" s="162"/>
    </row>
    <row r="107" spans="1:12">
      <c r="A107" t="s">
        <v>7072</v>
      </c>
      <c r="E107" s="48"/>
      <c r="F107" s="512">
        <f>+F97+F105-1</f>
        <v>-28037620.461963922</v>
      </c>
      <c r="G107" s="752">
        <f>+G97+G105+1</f>
        <v>1</v>
      </c>
      <c r="H107" s="752">
        <f>+H97+H105</f>
        <v>-28037619.461963922</v>
      </c>
      <c r="I107" s="752">
        <f>+I97+I105</f>
        <v>0</v>
      </c>
      <c r="J107" s="752">
        <f>+J97+J105</f>
        <v>-28037619.461963922</v>
      </c>
      <c r="K107" s="162"/>
    </row>
    <row r="108" spans="1:12">
      <c r="E108" s="48"/>
    </row>
    <row r="109" spans="1:12">
      <c r="A109" t="s">
        <v>7073</v>
      </c>
      <c r="B109" s="258" t="s">
        <v>7074</v>
      </c>
      <c r="E109" s="48"/>
      <c r="F109" s="512">
        <f>+H109+G109</f>
        <v>29434147.100000001</v>
      </c>
      <c r="G109" s="752">
        <v>-11135</v>
      </c>
      <c r="H109" s="752">
        <v>29445282.100000001</v>
      </c>
      <c r="J109" s="1655">
        <f>+H109+I109</f>
        <v>29445282.100000001</v>
      </c>
    </row>
    <row r="110" spans="1:12">
      <c r="B110" s="258" t="s">
        <v>7075</v>
      </c>
      <c r="E110" s="48"/>
    </row>
    <row r="111" spans="1:12" ht="15" thickBot="1">
      <c r="A111" t="s">
        <v>7076</v>
      </c>
      <c r="E111" s="48"/>
      <c r="F111" s="1724">
        <f>+F91+F107+F109</f>
        <v>34035181.333544403</v>
      </c>
      <c r="G111" s="1653">
        <f>+G91+G107+G109</f>
        <v>5119833.7240979988</v>
      </c>
      <c r="H111" s="1653">
        <f>+H91+H107+H109</f>
        <v>28915349.609446414</v>
      </c>
      <c r="I111" s="1653">
        <v>0</v>
      </c>
      <c r="J111" s="1725">
        <f>+H111+I111</f>
        <v>28915349.609446414</v>
      </c>
    </row>
    <row r="112" spans="1:12" ht="15" thickTop="1">
      <c r="E112" s="48"/>
      <c r="F112" s="1657"/>
    </row>
    <row r="113" spans="1:8">
      <c r="A113" s="1654" t="s">
        <v>7077</v>
      </c>
      <c r="B113" s="1654"/>
      <c r="C113" s="1654"/>
      <c r="D113" s="1654"/>
    </row>
    <row r="116" spans="1:8">
      <c r="H116" s="1586"/>
    </row>
    <row r="117" spans="1:8" ht="15.6">
      <c r="A117" t="s">
        <v>7078</v>
      </c>
      <c r="F117" s="512">
        <v>-2.1119639426469803</v>
      </c>
      <c r="G117" s="1658" t="s">
        <v>7079</v>
      </c>
      <c r="H117" s="1586"/>
    </row>
    <row r="118" spans="1:8" ht="15.6">
      <c r="A118" t="s">
        <v>7080</v>
      </c>
      <c r="F118" s="512">
        <v>0</v>
      </c>
      <c r="G118" s="1658" t="s">
        <v>7079</v>
      </c>
      <c r="H118" s="1586"/>
    </row>
    <row r="119" spans="1:8" ht="15.6">
      <c r="A119" t="s">
        <v>7081</v>
      </c>
      <c r="F119" s="512">
        <v>-2.1119639314711094</v>
      </c>
      <c r="G119" s="1658" t="s">
        <v>7079</v>
      </c>
      <c r="H119" s="1586"/>
    </row>
    <row r="120" spans="1:8" ht="15.6">
      <c r="A120" t="s">
        <v>7082</v>
      </c>
      <c r="F120" s="512">
        <v>0</v>
      </c>
      <c r="G120" s="1658" t="s">
        <v>7079</v>
      </c>
      <c r="H120" s="1586"/>
    </row>
    <row r="121" spans="1:8">
      <c r="H121" s="1586"/>
    </row>
    <row r="122" spans="1:8">
      <c r="H122" s="1586"/>
    </row>
    <row r="123" spans="1:8">
      <c r="H123" s="1586"/>
    </row>
  </sheetData>
  <protectedRanges>
    <protectedRange sqref="B61" name="Perm and Timing Descripts_6"/>
    <protectedRange sqref="B56" name="Perm and Timing Descripts_1_4"/>
    <protectedRange sqref="A25" name="Perm and Timing Descripts_2_2"/>
    <protectedRange sqref="B25" name="Perm and Timing Descripts_3_2"/>
    <protectedRange sqref="B60" name="Perm and Timing Descripts_1_2_2"/>
  </protectedRanges>
  <mergeCells count="1">
    <mergeCell ref="A3:E3"/>
  </mergeCells>
  <dataValidations count="2">
    <dataValidation type="list" showInputMessage="1" showErrorMessage="1" error="You must chose from the drop down list.  Please press Cancel." sqref="B23">
      <formula1>Perm_Diffs_List</formula1>
    </dataValidation>
    <dataValidation errorStyle="warning" allowBlank="1" showInputMessage="1" showErrorMessage="1" error="Please only update the current description here if needed.  Please do not change the order of these differences. " prompt="Please only update the current description here if needed.  Please do not change the order of these differences. " sqref="B56 A25:B25 B60:B61"/>
  </dataValidation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B2:J79"/>
  <sheetViews>
    <sheetView tabSelected="1" showOutlineSymbols="0" workbookViewId="0"/>
  </sheetViews>
  <sheetFormatPr defaultRowHeight="14.4"/>
  <cols>
    <col min="2" max="2" width="16" style="33" bestFit="1" customWidth="1"/>
    <col min="3" max="3" width="47" bestFit="1" customWidth="1"/>
    <col min="4" max="4" width="14.5546875" bestFit="1" customWidth="1"/>
    <col min="5" max="5" width="17.44140625" bestFit="1" customWidth="1"/>
    <col min="6" max="6" width="14.33203125" bestFit="1" customWidth="1"/>
    <col min="7" max="7" width="75" bestFit="1" customWidth="1"/>
    <col min="8" max="8" width="14.5546875" bestFit="1" customWidth="1"/>
    <col min="9" max="9" width="13.33203125" bestFit="1" customWidth="1"/>
  </cols>
  <sheetData>
    <row r="2" spans="2:10" ht="15" thickBot="1">
      <c r="B2" s="49"/>
      <c r="C2" s="50"/>
    </row>
    <row r="3" spans="2:10" ht="15" thickBot="1">
      <c r="B3" s="51" t="s">
        <v>1434</v>
      </c>
      <c r="C3" s="51" t="s">
        <v>608</v>
      </c>
      <c r="D3" s="51" t="s">
        <v>606</v>
      </c>
      <c r="E3" s="51" t="s">
        <v>607</v>
      </c>
      <c r="G3" s="2382" t="s">
        <v>610</v>
      </c>
      <c r="H3" s="2383" t="s">
        <v>606</v>
      </c>
      <c r="I3" s="56" t="s">
        <v>605</v>
      </c>
    </row>
    <row r="4" spans="2:10">
      <c r="B4" s="33">
        <v>101</v>
      </c>
      <c r="C4" t="s">
        <v>1369</v>
      </c>
      <c r="D4" s="44">
        <f>+SUMIFS('Balance Sheet Accounts'!R:R,'Balance Sheet Accounts'!B:B,'100s and 200s FERC Accounts'!B4)*1000</f>
        <v>13366959071.14131</v>
      </c>
      <c r="E4" s="44">
        <f>+SUMIFS('Balance Sheet Accounts'!S:S,'Balance Sheet Accounts'!B:B,'100s and 200s FERC Accounts'!B4)*1000</f>
        <v>12385468870.342119</v>
      </c>
      <c r="F4" s="46"/>
      <c r="G4" s="30" t="s">
        <v>8311</v>
      </c>
      <c r="H4" s="45">
        <f>+SUMIFS(D:D,B:B,"&lt;200")/1000</f>
        <v>14224620.787586132</v>
      </c>
      <c r="I4" s="55">
        <f>+SUMIFS(E:E,B:B,"&lt;200")/1000</f>
        <v>13741720.370454483</v>
      </c>
    </row>
    <row r="5" spans="2:10">
      <c r="B5" s="33">
        <v>102</v>
      </c>
      <c r="C5" t="s">
        <v>1370</v>
      </c>
      <c r="D5" s="44">
        <f>+SUMIFS('Balance Sheet Accounts'!R:R,'Balance Sheet Accounts'!B:B,'100s and 200s FERC Accounts'!B5)*1000</f>
        <v>0</v>
      </c>
      <c r="E5" s="44">
        <f>+SUMIFS('Balance Sheet Accounts'!S:S,'Balance Sheet Accounts'!B:B,'100s and 200s FERC Accounts'!B5)*1000</f>
        <v>0</v>
      </c>
      <c r="F5" s="46"/>
      <c r="G5" s="30" t="s">
        <v>8312</v>
      </c>
      <c r="H5" s="45">
        <f>+H4-'Balance Sheet Accounts'!Y16</f>
        <v>4585.2010100018233</v>
      </c>
      <c r="I5" s="55">
        <f>+I4-'Balance Sheet Accounts'!Y17</f>
        <v>4305.1640438456088</v>
      </c>
    </row>
    <row r="6" spans="2:10">
      <c r="B6" s="33">
        <v>105</v>
      </c>
      <c r="C6" t="s">
        <v>1371</v>
      </c>
      <c r="D6" s="44">
        <f>+SUMIFS('Balance Sheet Accounts'!R:R,'Balance Sheet Accounts'!B:B,'100s and 200s FERC Accounts'!B6)*1000</f>
        <v>70764952.269999996</v>
      </c>
      <c r="E6" s="44">
        <f>+SUMIFS('Balance Sheet Accounts'!S:S,'Balance Sheet Accounts'!B:B,'100s and 200s FERC Accounts'!B6)*1000</f>
        <v>69494543.313076928</v>
      </c>
      <c r="F6" s="46"/>
      <c r="G6" s="30" t="s">
        <v>8313</v>
      </c>
      <c r="H6" s="45">
        <f>+SUMIFS('Balance Sheet Accounts'!R:R,'Balance Sheet Accounts'!B:B,115)</f>
        <v>-7120.0749299999998</v>
      </c>
      <c r="I6" s="55">
        <f>+SUMIFS('Balance Sheet Accounts'!S:S,'Balance Sheet Accounts'!B:B,115)</f>
        <v>-7001.7205499999991</v>
      </c>
    </row>
    <row r="7" spans="2:10">
      <c r="B7" s="33">
        <v>106</v>
      </c>
      <c r="C7" t="s">
        <v>1372</v>
      </c>
      <c r="D7" s="44">
        <f>+SUMIFS('Balance Sheet Accounts'!R:R,'Balance Sheet Accounts'!B:B,'100s and 200s FERC Accounts'!B7)*1000</f>
        <v>2078381704.5999999</v>
      </c>
      <c r="E7" s="44">
        <f>+SUMIFS('Balance Sheet Accounts'!S:S,'Balance Sheet Accounts'!B:B,'100s and 200s FERC Accounts'!B7)*1000</f>
        <v>2078381704.5999992</v>
      </c>
      <c r="F7" s="46"/>
      <c r="G7" s="30" t="s">
        <v>8314</v>
      </c>
      <c r="H7" s="45">
        <f>+SUMIFS('Balance Sheet Accounts'!R:R,'Balance Sheet Accounts'!B:B,189)</f>
        <v>2534.8739200000005</v>
      </c>
      <c r="I7" s="55">
        <f>+SUMIFS('Balance Sheet Accounts'!S:S,'Balance Sheet Accounts'!B:B,189)</f>
        <v>2696.5565061538459</v>
      </c>
    </row>
    <row r="8" spans="2:10">
      <c r="B8" s="33">
        <v>107</v>
      </c>
      <c r="C8" t="s">
        <v>1373</v>
      </c>
      <c r="D8" s="44">
        <f>+SUMIFS('Balance Sheet Accounts'!R:R,'Balance Sheet Accounts'!B:B,'100s and 200s FERC Accounts'!B8)*1000</f>
        <v>711966473.15999997</v>
      </c>
      <c r="E8" s="44">
        <f>+SUMIFS('Balance Sheet Accounts'!S:S,'Balance Sheet Accounts'!B:B,'100s and 200s FERC Accounts'!B8)*1000</f>
        <v>1050507012.4984616</v>
      </c>
      <c r="F8" s="46"/>
      <c r="G8" s="30"/>
      <c r="I8" s="55"/>
    </row>
    <row r="9" spans="2:10">
      <c r="B9" s="33">
        <v>108</v>
      </c>
      <c r="C9" t="s">
        <v>1374</v>
      </c>
      <c r="D9" s="44">
        <f>+SUMIFS('Balance Sheet Accounts'!R:R,'Balance Sheet Accounts'!B:B,'100s and 200s FERC Accounts'!B9)*1000</f>
        <v>-4143340762.1500001</v>
      </c>
      <c r="E9" s="44">
        <f>+SUMIFS('Balance Sheet Accounts'!S:S,'Balance Sheet Accounts'!B:B,'100s and 200s FERC Accounts'!B9)*1000</f>
        <v>-3970177519.8138456</v>
      </c>
      <c r="F9" s="46"/>
      <c r="G9" s="2384" t="s">
        <v>1438</v>
      </c>
      <c r="H9" s="46">
        <f>+H5+SUM(H6:H7)</f>
        <v>1.824446371756494E-9</v>
      </c>
      <c r="I9" s="2385">
        <f>+I5+SUM(I6:I7)</f>
        <v>-5.4387783166021109E-10</v>
      </c>
    </row>
    <row r="10" spans="2:10">
      <c r="B10" s="33">
        <v>111</v>
      </c>
      <c r="C10" t="s">
        <v>1375</v>
      </c>
      <c r="D10" s="44">
        <f>+SUMIFS('Balance Sheet Accounts'!R:R,'Balance Sheet Accounts'!B:B,'100s and 200s FERC Accounts'!B10)*1000</f>
        <v>-211782127.44999999</v>
      </c>
      <c r="E10" s="44">
        <f>+SUMIFS('Balance Sheet Accounts'!S:S,'Balance Sheet Accounts'!B:B,'100s and 200s FERC Accounts'!B10)*1000</f>
        <v>-192471130.09615386</v>
      </c>
      <c r="F10" s="46"/>
      <c r="G10" s="30"/>
      <c r="I10" s="55"/>
    </row>
    <row r="11" spans="2:10">
      <c r="B11" s="33">
        <v>114</v>
      </c>
      <c r="C11" t="s">
        <v>1376</v>
      </c>
      <c r="D11" s="44">
        <f>+SUMIFS('Balance Sheet Accounts'!R:R,'Balance Sheet Accounts'!B:B,'100s and 200s FERC Accounts'!B11)*1000</f>
        <v>7484822.7599999998</v>
      </c>
      <c r="E11" s="44">
        <f>+SUMIFS('Balance Sheet Accounts'!S:S,'Balance Sheet Accounts'!B:B,'100s and 200s FERC Accounts'!B11)*1000</f>
        <v>7484822.7599999988</v>
      </c>
      <c r="F11" s="46"/>
      <c r="G11" s="2384" t="s">
        <v>1439</v>
      </c>
      <c r="H11" s="46">
        <f>(H4+H6+H7)-'Balance Sheet Accounts'!Y16</f>
        <v>0</v>
      </c>
      <c r="I11" s="2385">
        <f>(I4+I6+I7)-'Balance Sheet Accounts'!Y17</f>
        <v>0</v>
      </c>
    </row>
    <row r="12" spans="2:10" ht="15" thickBot="1">
      <c r="B12" s="33">
        <v>121</v>
      </c>
      <c r="C12" t="s">
        <v>1377</v>
      </c>
      <c r="D12" s="44">
        <f>+SUMIFS('Balance Sheet Accounts'!R:R,'Balance Sheet Accounts'!B:B,'100s and 200s FERC Accounts'!B12)*1000</f>
        <v>24891627.456666697</v>
      </c>
      <c r="E12" s="44">
        <f>+SUMIFS('Balance Sheet Accounts'!S:S,'Balance Sheet Accounts'!B:B,'100s and 200s FERC Accounts'!B12)*1000</f>
        <v>24533891.339230772</v>
      </c>
      <c r="F12" s="46"/>
      <c r="G12" s="2386" t="s">
        <v>1440</v>
      </c>
      <c r="H12" s="2387">
        <f>(+SUMIFS(D:D,B:B,"&gt;=200")/1000)-'Balance Sheet Accounts'!Y16</f>
        <v>0</v>
      </c>
      <c r="I12" s="2388">
        <f>(+SUMIFS(E:E,B:B,"&gt;=200")/1000)-'Balance Sheet Accounts'!Y17</f>
        <v>0</v>
      </c>
      <c r="J12" t="s">
        <v>9130</v>
      </c>
    </row>
    <row r="13" spans="2:10">
      <c r="B13" s="33">
        <v>122</v>
      </c>
      <c r="C13" t="s">
        <v>1378</v>
      </c>
      <c r="D13" s="44">
        <f>+SUMIFS('Balance Sheet Accounts'!R:R,'Balance Sheet Accounts'!B:B,'100s and 200s FERC Accounts'!B13)*1000</f>
        <v>-8408943.3000000007</v>
      </c>
      <c r="E13" s="44">
        <f>+SUMIFS('Balance Sheet Accounts'!S:S,'Balance Sheet Accounts'!B:B,'100s and 200s FERC Accounts'!B13)*1000</f>
        <v>-8155856.6861538468</v>
      </c>
      <c r="F13" s="46"/>
    </row>
    <row r="14" spans="2:10">
      <c r="B14" s="33">
        <v>123</v>
      </c>
      <c r="C14" t="s">
        <v>1379</v>
      </c>
      <c r="D14" s="44">
        <f>+SUMIFS('Balance Sheet Accounts'!R:R,'Balance Sheet Accounts'!B:B,'100s and 200s FERC Accounts'!B14)*1000</f>
        <v>0</v>
      </c>
      <c r="E14" s="44">
        <f>+SUMIFS('Balance Sheet Accounts'!S:S,'Balance Sheet Accounts'!B:B,'100s and 200s FERC Accounts'!B14)*1000</f>
        <v>0</v>
      </c>
      <c r="F14" s="46"/>
    </row>
    <row r="15" spans="2:10">
      <c r="B15" s="33">
        <v>124</v>
      </c>
      <c r="C15" t="s">
        <v>1380</v>
      </c>
      <c r="D15" s="44">
        <f>+SUMIFS('Balance Sheet Accounts'!R:R,'Balance Sheet Accounts'!B:B,'100s and 200s FERC Accounts'!B15)*1000</f>
        <v>0</v>
      </c>
      <c r="E15" s="44">
        <f>+SUMIFS('Balance Sheet Accounts'!S:S,'Balance Sheet Accounts'!B:B,'100s and 200s FERC Accounts'!B15)*1000</f>
        <v>0</v>
      </c>
      <c r="F15" s="46"/>
    </row>
    <row r="16" spans="2:10">
      <c r="B16" s="33">
        <v>128</v>
      </c>
      <c r="C16" t="s">
        <v>1381</v>
      </c>
      <c r="D16" s="44">
        <f>+SUMIFS('Balance Sheet Accounts'!R:R,'Balance Sheet Accounts'!B:B,'100s and 200s FERC Accounts'!B16)*1000</f>
        <v>0</v>
      </c>
      <c r="E16" s="44">
        <f>+SUMIFS('Balance Sheet Accounts'!S:S,'Balance Sheet Accounts'!B:B,'100s and 200s FERC Accounts'!B16)*1000</f>
        <v>0</v>
      </c>
      <c r="F16" s="46"/>
      <c r="G16" s="2389"/>
    </row>
    <row r="17" spans="2:7">
      <c r="B17" s="33">
        <v>129</v>
      </c>
      <c r="C17" t="s">
        <v>1382</v>
      </c>
      <c r="D17" s="44">
        <f>+SUMIFS('Balance Sheet Accounts'!R:R,'Balance Sheet Accounts'!B:B,'100s and 200s FERC Accounts'!B17)*1000</f>
        <v>0</v>
      </c>
      <c r="E17" s="44">
        <f>+SUMIFS('Balance Sheet Accounts'!S:S,'Balance Sheet Accounts'!B:B,'100s and 200s FERC Accounts'!B17)*1000</f>
        <v>0</v>
      </c>
      <c r="F17" s="46"/>
      <c r="G17" s="46"/>
    </row>
    <row r="18" spans="2:7">
      <c r="B18" s="33">
        <v>131</v>
      </c>
      <c r="C18" t="s">
        <v>1383</v>
      </c>
      <c r="D18" s="44">
        <f>+SUMIFS('Balance Sheet Accounts'!R:R,'Balance Sheet Accounts'!B:B,'100s and 200s FERC Accounts'!B18)*1000</f>
        <v>1000000</v>
      </c>
      <c r="E18" s="44">
        <f>+SUMIFS('Balance Sheet Accounts'!S:S,'Balance Sheet Accounts'!B:B,'100s and 200s FERC Accounts'!B18)*1000</f>
        <v>1000000</v>
      </c>
      <c r="F18" s="46"/>
    </row>
    <row r="19" spans="2:7">
      <c r="B19" s="33">
        <v>134</v>
      </c>
      <c r="C19" t="s">
        <v>168</v>
      </c>
      <c r="D19" s="44">
        <f>+SUMIFS('Balance Sheet Accounts'!R:R,'Balance Sheet Accounts'!B:B,'100s and 200s FERC Accounts'!B19)*1000</f>
        <v>0</v>
      </c>
      <c r="E19" s="44">
        <f>+SUMIFS('Balance Sheet Accounts'!S:S,'Balance Sheet Accounts'!B:B,'100s and 200s FERC Accounts'!B19)*1000</f>
        <v>0</v>
      </c>
      <c r="F19" s="46"/>
    </row>
    <row r="20" spans="2:7">
      <c r="B20" s="33">
        <v>135</v>
      </c>
      <c r="C20" t="s">
        <v>1384</v>
      </c>
      <c r="D20" s="44">
        <f>+SUMIFS('Balance Sheet Accounts'!R:R,'Balance Sheet Accounts'!B:B,'100s and 200s FERC Accounts'!B20)*1000</f>
        <v>52665.39</v>
      </c>
      <c r="E20" s="44">
        <f>+SUMIFS('Balance Sheet Accounts'!S:S,'Balance Sheet Accounts'!B:B,'100s and 200s FERC Accounts'!B20)*1000</f>
        <v>52665.39</v>
      </c>
      <c r="F20" s="46"/>
    </row>
    <row r="21" spans="2:7">
      <c r="B21" s="33">
        <v>136</v>
      </c>
      <c r="C21" t="s">
        <v>1385</v>
      </c>
      <c r="D21" s="44">
        <f>+SUMIFS('Balance Sheet Accounts'!R:R,'Balance Sheet Accounts'!B:B,'100s and 200s FERC Accounts'!B21)*1000</f>
        <v>0</v>
      </c>
      <c r="E21" s="44">
        <f>+SUMIFS('Balance Sheet Accounts'!S:S,'Balance Sheet Accounts'!B:B,'100s and 200s FERC Accounts'!B21)*1000</f>
        <v>0</v>
      </c>
      <c r="F21" s="46"/>
    </row>
    <row r="22" spans="2:7">
      <c r="B22" s="33">
        <v>141</v>
      </c>
      <c r="C22" t="s">
        <v>1386</v>
      </c>
      <c r="D22" s="44">
        <f>+SUMIFS('Balance Sheet Accounts'!R:R,'Balance Sheet Accounts'!B:B,'100s and 200s FERC Accounts'!B22)*1000</f>
        <v>0</v>
      </c>
      <c r="E22" s="44">
        <f>+SUMIFS('Balance Sheet Accounts'!S:S,'Balance Sheet Accounts'!B:B,'100s and 200s FERC Accounts'!B22)*1000</f>
        <v>0</v>
      </c>
      <c r="F22" s="46"/>
    </row>
    <row r="23" spans="2:7">
      <c r="B23" s="33">
        <v>142</v>
      </c>
      <c r="C23" t="s">
        <v>1387</v>
      </c>
      <c r="D23" s="44">
        <f>+SUMIFS('Balance Sheet Accounts'!R:R,'Balance Sheet Accounts'!B:B,'100s and 200s FERC Accounts'!B23)*1000</f>
        <v>174116238.38903299</v>
      </c>
      <c r="E23" s="44">
        <f>+SUMIFS('Balance Sheet Accounts'!S:S,'Balance Sheet Accounts'!B:B,'100s and 200s FERC Accounts'!B23)*1000</f>
        <v>181510058.24442819</v>
      </c>
      <c r="F23" s="46"/>
    </row>
    <row r="24" spans="2:7">
      <c r="B24" s="33">
        <v>143</v>
      </c>
      <c r="C24" t="s">
        <v>1388</v>
      </c>
      <c r="D24" s="44">
        <f>+SUMIFS('Balance Sheet Accounts'!R:R,'Balance Sheet Accounts'!B:B,'100s and 200s FERC Accounts'!B24)*1000</f>
        <v>7380411.9499999993</v>
      </c>
      <c r="E24" s="44">
        <f>+SUMIFS('Balance Sheet Accounts'!S:S,'Balance Sheet Accounts'!B:B,'100s and 200s FERC Accounts'!B24)*1000</f>
        <v>7359140.4307692302</v>
      </c>
      <c r="F24" s="46"/>
    </row>
    <row r="25" spans="2:7">
      <c r="B25" s="33">
        <v>144</v>
      </c>
      <c r="C25" t="s">
        <v>1389</v>
      </c>
      <c r="D25" s="44">
        <f>+SUMIFS('Balance Sheet Accounts'!R:R,'Balance Sheet Accounts'!B:B,'100s and 200s FERC Accounts'!B25)*1000</f>
        <v>-1625664.0538892001</v>
      </c>
      <c r="E25" s="44">
        <f>+SUMIFS('Balance Sheet Accounts'!S:S,'Balance Sheet Accounts'!B:B,'100s and 200s FERC Accounts'!B25)*1000</f>
        <v>-1650981.2270100154</v>
      </c>
      <c r="F25" s="46"/>
    </row>
    <row r="26" spans="2:7">
      <c r="B26" s="33">
        <v>145</v>
      </c>
      <c r="C26" t="s">
        <v>194</v>
      </c>
      <c r="D26" s="44">
        <f>+SUMIFS('Balance Sheet Accounts'!R:R,'Balance Sheet Accounts'!B:B,'100s and 200s FERC Accounts'!B26)*1000</f>
        <v>0</v>
      </c>
      <c r="E26" s="44">
        <f>+SUMIFS('Balance Sheet Accounts'!S:S,'Balance Sheet Accounts'!B:B,'100s and 200s FERC Accounts'!B26)*1000</f>
        <v>0</v>
      </c>
      <c r="F26" s="46"/>
    </row>
    <row r="27" spans="2:7">
      <c r="B27" s="33">
        <v>146</v>
      </c>
      <c r="C27" t="s">
        <v>1390</v>
      </c>
      <c r="D27" s="44">
        <f>+SUMIFS('Balance Sheet Accounts'!R:R,'Balance Sheet Accounts'!B:B,'100s and 200s FERC Accounts'!B27)*1000</f>
        <v>14237267.852737201</v>
      </c>
      <c r="E27" s="44">
        <f>+SUMIFS('Balance Sheet Accounts'!S:S,'Balance Sheet Accounts'!B:B,'100s and 200s FERC Accounts'!B27)*1000</f>
        <v>13678606.178257801</v>
      </c>
      <c r="F27" s="46"/>
    </row>
    <row r="28" spans="2:7">
      <c r="B28" s="33">
        <v>151</v>
      </c>
      <c r="C28" t="s">
        <v>1391</v>
      </c>
      <c r="D28" s="44">
        <f>+SUMIFS('Balance Sheet Accounts'!R:R,'Balance Sheet Accounts'!B:B,'100s and 200s FERC Accounts'!B28)*1000</f>
        <v>36044000</v>
      </c>
      <c r="E28" s="44">
        <f>+SUMIFS('Balance Sheet Accounts'!S:S,'Balance Sheet Accounts'!B:B,'100s and 200s FERC Accounts'!B28)*1000</f>
        <v>36823692.307692304</v>
      </c>
      <c r="F28" s="46"/>
    </row>
    <row r="29" spans="2:7">
      <c r="B29" s="33">
        <v>152</v>
      </c>
      <c r="C29" t="s">
        <v>1392</v>
      </c>
      <c r="D29" s="44">
        <f>+SUMIFS('Balance Sheet Accounts'!R:R,'Balance Sheet Accounts'!B:B,'100s and 200s FERC Accounts'!B29)*1000</f>
        <v>0</v>
      </c>
      <c r="E29" s="44">
        <f>+SUMIFS('Balance Sheet Accounts'!S:S,'Balance Sheet Accounts'!B:B,'100s and 200s FERC Accounts'!B29)*1000</f>
        <v>0</v>
      </c>
      <c r="F29" s="46"/>
    </row>
    <row r="30" spans="2:7">
      <c r="B30" s="33">
        <v>153</v>
      </c>
      <c r="C30" t="s">
        <v>1393</v>
      </c>
      <c r="D30" s="44">
        <f>+SUMIFS('Balance Sheet Accounts'!R:R,'Balance Sheet Accounts'!B:B,'100s and 200s FERC Accounts'!B30)*1000</f>
        <v>0</v>
      </c>
      <c r="E30" s="44">
        <f>+SUMIFS('Balance Sheet Accounts'!S:S,'Balance Sheet Accounts'!B:B,'100s and 200s FERC Accounts'!B30)*1000</f>
        <v>0</v>
      </c>
      <c r="F30" s="46"/>
    </row>
    <row r="31" spans="2:7">
      <c r="B31" s="33">
        <v>154</v>
      </c>
      <c r="C31" t="s">
        <v>1394</v>
      </c>
      <c r="D31" s="44">
        <f>+SUMIFS('Balance Sheet Accounts'!R:R,'Balance Sheet Accounts'!B:B,'100s and 200s FERC Accounts'!B31)*1000</f>
        <v>162822150</v>
      </c>
      <c r="E31" s="44">
        <f>+SUMIFS('Balance Sheet Accounts'!S:S,'Balance Sheet Accounts'!B:B,'100s and 200s FERC Accounts'!B31)*1000</f>
        <v>162822149.99999997</v>
      </c>
      <c r="F31" s="46"/>
    </row>
    <row r="32" spans="2:7">
      <c r="B32" s="33">
        <v>158</v>
      </c>
      <c r="C32" t="s">
        <v>1395</v>
      </c>
      <c r="D32" s="44">
        <f>+SUMIFS('Balance Sheet Accounts'!R:R,'Balance Sheet Accounts'!B:B,'100s and 200s FERC Accounts'!B32)*1000</f>
        <v>0</v>
      </c>
      <c r="E32" s="44">
        <f>+SUMIFS('Balance Sheet Accounts'!S:S,'Balance Sheet Accounts'!B:B,'100s and 200s FERC Accounts'!B32)*1000</f>
        <v>0</v>
      </c>
      <c r="F32" s="46"/>
    </row>
    <row r="33" spans="2:6">
      <c r="B33" s="33">
        <v>163</v>
      </c>
      <c r="C33" t="s">
        <v>1396</v>
      </c>
      <c r="D33" s="44">
        <f>+SUMIFS('Balance Sheet Accounts'!R:R,'Balance Sheet Accounts'!B:B,'100s and 200s FERC Accounts'!B33)*1000</f>
        <v>0</v>
      </c>
      <c r="E33" s="44">
        <f>+SUMIFS('Balance Sheet Accounts'!S:S,'Balance Sheet Accounts'!B:B,'100s and 200s FERC Accounts'!B33)*1000</f>
        <v>0</v>
      </c>
      <c r="F33" s="46"/>
    </row>
    <row r="34" spans="2:6">
      <c r="B34" s="33">
        <v>165</v>
      </c>
      <c r="C34" t="s">
        <v>1397</v>
      </c>
      <c r="D34" s="44">
        <f>+SUMIFS('Balance Sheet Accounts'!R:R,'Balance Sheet Accounts'!B:B,'100s and 200s FERC Accounts'!B34)*1000</f>
        <v>24364502.786596302</v>
      </c>
      <c r="E34" s="44">
        <f>+SUMIFS('Balance Sheet Accounts'!S:S,'Balance Sheet Accounts'!B:B,'100s and 200s FERC Accounts'!B34)*1000</f>
        <v>30636298.07948469</v>
      </c>
      <c r="F34" s="46"/>
    </row>
    <row r="35" spans="2:6">
      <c r="B35" s="33">
        <v>171</v>
      </c>
      <c r="C35" t="s">
        <v>1398</v>
      </c>
      <c r="D35" s="44">
        <f>+SUMIFS('Balance Sheet Accounts'!R:R,'Balance Sheet Accounts'!B:B,'100s and 200s FERC Accounts'!B35)*1000</f>
        <v>0</v>
      </c>
      <c r="E35" s="44">
        <f>+SUMIFS('Balance Sheet Accounts'!S:S,'Balance Sheet Accounts'!B:B,'100s and 200s FERC Accounts'!B35)*1000</f>
        <v>0</v>
      </c>
      <c r="F35" s="46"/>
    </row>
    <row r="36" spans="2:6">
      <c r="B36" s="33">
        <v>173</v>
      </c>
      <c r="C36" t="s">
        <v>1399</v>
      </c>
      <c r="D36" s="44">
        <f>+SUMIFS('Balance Sheet Accounts'!R:R,'Balance Sheet Accounts'!B:B,'100s and 200s FERC Accounts'!B36)*1000</f>
        <v>73315543</v>
      </c>
      <c r="E36" s="44">
        <f>+SUMIFS('Balance Sheet Accounts'!S:S,'Balance Sheet Accounts'!B:B,'100s and 200s FERC Accounts'!B36)*1000</f>
        <v>79503511.410000026</v>
      </c>
      <c r="F36" s="46"/>
    </row>
    <row r="37" spans="2:6">
      <c r="B37" s="33">
        <v>176</v>
      </c>
      <c r="C37" t="s">
        <v>1400</v>
      </c>
      <c r="D37" s="44">
        <f>+SUMIFS('Balance Sheet Accounts'!R:R,'Balance Sheet Accounts'!B:B,'100s and 200s FERC Accounts'!B37)*1000</f>
        <v>528000</v>
      </c>
      <c r="E37" s="44">
        <f>+SUMIFS('Balance Sheet Accounts'!S:S,'Balance Sheet Accounts'!B:B,'100s and 200s FERC Accounts'!B37)*1000</f>
        <v>528000</v>
      </c>
      <c r="F37" s="46"/>
    </row>
    <row r="38" spans="2:6">
      <c r="B38" s="33">
        <v>181</v>
      </c>
      <c r="C38" t="s">
        <v>1401</v>
      </c>
      <c r="D38" s="44">
        <f>+SUMIFS('Balance Sheet Accounts'!R:R,'Balance Sheet Accounts'!B:B,'100s and 200s FERC Accounts'!B38)*1000</f>
        <v>28259073.84</v>
      </c>
      <c r="E38" s="44">
        <f>+SUMIFS('Balance Sheet Accounts'!S:S,'Balance Sheet Accounts'!B:B,'100s and 200s FERC Accounts'!B38)*1000</f>
        <v>28826175.530000001</v>
      </c>
      <c r="F38" s="46"/>
    </row>
    <row r="39" spans="2:6">
      <c r="B39" s="33">
        <v>182</v>
      </c>
      <c r="C39" t="s">
        <v>1402</v>
      </c>
      <c r="D39" s="44">
        <f>+SUMIFS('Balance Sheet Accounts'!R:R,'Balance Sheet Accounts'!B:B,'100s and 200s FERC Accounts'!B39)*1000</f>
        <v>933606773.02367675</v>
      </c>
      <c r="E39" s="44">
        <f>+SUMIFS('Balance Sheet Accounts'!S:S,'Balance Sheet Accounts'!B:B,'100s and 200s FERC Accounts'!B39)*1000</f>
        <v>914858677.10489798</v>
      </c>
      <c r="F39" s="46"/>
    </row>
    <row r="40" spans="2:6">
      <c r="B40" s="33">
        <v>183</v>
      </c>
      <c r="C40" t="s">
        <v>1403</v>
      </c>
      <c r="D40" s="44">
        <f>+SUMIFS('Balance Sheet Accounts'!R:R,'Balance Sheet Accounts'!B:B,'100s and 200s FERC Accounts'!B40)*1000</f>
        <v>3692821.55</v>
      </c>
      <c r="E40" s="44">
        <f>+SUMIFS('Balance Sheet Accounts'!S:S,'Balance Sheet Accounts'!B:B,'100s and 200s FERC Accounts'!B40)*1000</f>
        <v>6566744.6269230749</v>
      </c>
      <c r="F40" s="46"/>
    </row>
    <row r="41" spans="2:6">
      <c r="B41" s="33">
        <v>184</v>
      </c>
      <c r="C41" t="s">
        <v>1404</v>
      </c>
      <c r="D41" s="44">
        <f>+SUMIFS('Balance Sheet Accounts'!R:R,'Balance Sheet Accounts'!B:B,'100s and 200s FERC Accounts'!B41)*1000</f>
        <v>0</v>
      </c>
      <c r="E41" s="44">
        <f>+SUMIFS('Balance Sheet Accounts'!S:S,'Balance Sheet Accounts'!B:B,'100s and 200s FERC Accounts'!B41)*1000</f>
        <v>0</v>
      </c>
      <c r="F41" s="46"/>
    </row>
    <row r="42" spans="2:6">
      <c r="B42" s="33">
        <v>186</v>
      </c>
      <c r="C42" t="s">
        <v>1405</v>
      </c>
      <c r="D42" s="44">
        <f>+SUMIFS('Balance Sheet Accounts'!R:R,'Balance Sheet Accounts'!B:B,'100s and 200s FERC Accounts'!B42)*1000</f>
        <v>2988385.3600000003</v>
      </c>
      <c r="E42" s="44">
        <f>+SUMIFS('Balance Sheet Accounts'!S:S,'Balance Sheet Accounts'!B:B,'100s and 200s FERC Accounts'!B42)*1000</f>
        <v>4110483.3084615394</v>
      </c>
      <c r="F42" s="46"/>
    </row>
    <row r="43" spans="2:6">
      <c r="B43" s="33">
        <v>188</v>
      </c>
      <c r="C43" t="s">
        <v>1405</v>
      </c>
      <c r="D43" s="44">
        <f>+SUMIFS('Balance Sheet Accounts'!R:R,'Balance Sheet Accounts'!B:B,'100s and 200s FERC Accounts'!B43)*1000</f>
        <v>0</v>
      </c>
      <c r="E43" s="44">
        <f>+SUMIFS('Balance Sheet Accounts'!S:S,'Balance Sheet Accounts'!B:B,'100s and 200s FERC Accounts'!B43)*1000</f>
        <v>0</v>
      </c>
      <c r="F43" s="46"/>
    </row>
    <row r="44" spans="2:6">
      <c r="B44" s="33">
        <v>190</v>
      </c>
      <c r="C44" t="s">
        <v>1406</v>
      </c>
      <c r="D44" s="44">
        <f>+SUMIFS('Balance Sheet Accounts'!R:R,'Balance Sheet Accounts'!B:B,'100s and 200s FERC Accounts'!B44)*1000</f>
        <v>866921800.00999963</v>
      </c>
      <c r="E44" s="44">
        <f>+SUMIFS('Balance Sheet Accounts'!S:S,'Balance Sheet Accounts'!B:B,'100s and 200s FERC Accounts'!B44)*1000</f>
        <v>830028810.81384587</v>
      </c>
      <c r="F44" s="46"/>
    </row>
    <row r="45" spans="2:6">
      <c r="B45" s="33">
        <v>201</v>
      </c>
      <c r="C45" t="s">
        <v>1407</v>
      </c>
      <c r="D45" s="44">
        <f>+SUMIFS('Balance Sheet Accounts'!R:R,'Balance Sheet Accounts'!B:B,'100s and 200s FERC Accounts'!B45)*1000</f>
        <v>119696800</v>
      </c>
      <c r="E45" s="44">
        <f>+SUMIFS('Balance Sheet Accounts'!S:S,'Balance Sheet Accounts'!B:B,'100s and 200s FERC Accounts'!B45)*1000</f>
        <v>119696800.00000003</v>
      </c>
      <c r="F45" s="46"/>
    </row>
    <row r="46" spans="2:6">
      <c r="B46" s="33">
        <v>211</v>
      </c>
      <c r="C46" t="s">
        <v>1408</v>
      </c>
      <c r="D46" s="44">
        <f>+SUMIFS('Balance Sheet Accounts'!R:R,'Balance Sheet Accounts'!B:B,'100s and 200s FERC Accounts'!B46)*1000</f>
        <v>5565840200</v>
      </c>
      <c r="E46" s="44">
        <f>+SUMIFS('Balance Sheet Accounts'!S:S,'Balance Sheet Accounts'!B:B,'100s and 200s FERC Accounts'!B46)*1000</f>
        <v>5291994046.1538467</v>
      </c>
      <c r="F46" s="46"/>
    </row>
    <row r="47" spans="2:6">
      <c r="B47" s="33">
        <v>214</v>
      </c>
      <c r="C47" t="s">
        <v>319</v>
      </c>
      <c r="D47" s="44">
        <f>+SUMIFS('Balance Sheet Accounts'!R:R,'Balance Sheet Accounts'!B:B,'100s and 200s FERC Accounts'!B47)*1000</f>
        <v>-700900</v>
      </c>
      <c r="E47" s="44">
        <f>+SUMIFS('Balance Sheet Accounts'!S:S,'Balance Sheet Accounts'!B:B,'100s and 200s FERC Accounts'!B47)*1000</f>
        <v>-700899.99999999977</v>
      </c>
      <c r="F47" s="46"/>
    </row>
    <row r="48" spans="2:6">
      <c r="B48" s="33">
        <v>216</v>
      </c>
      <c r="C48" t="s">
        <v>1409</v>
      </c>
      <c r="D48" s="44">
        <f>+SUMIFS('Balance Sheet Accounts'!R:R,'Balance Sheet Accounts'!B:B,'100s and 200s FERC Accounts'!B48)*1000</f>
        <v>199314502.54972699</v>
      </c>
      <c r="E48" s="44">
        <f>+SUMIFS('Balance Sheet Accounts'!S:S,'Balance Sheet Accounts'!B:B,'100s and 200s FERC Accounts'!B48)*1000</f>
        <v>240366525.21070337</v>
      </c>
      <c r="F48" s="46"/>
    </row>
    <row r="49" spans="2:6">
      <c r="B49" s="33">
        <v>219</v>
      </c>
      <c r="C49" t="s">
        <v>1410</v>
      </c>
      <c r="D49" s="44">
        <f>+SUMIFS('Balance Sheet Accounts'!R:R,'Balance Sheet Accounts'!B:B,'100s and 200s FERC Accounts'!B49)*1000</f>
        <v>-639981.06000029994</v>
      </c>
      <c r="E49" s="44">
        <f>+SUMIFS('Balance Sheet Accounts'!S:S,'Balance Sheet Accounts'!B:B,'100s and 200s FERC Accounts'!B49)*1000</f>
        <v>-681362.05923110002</v>
      </c>
      <c r="F49" s="46"/>
    </row>
    <row r="50" spans="2:6">
      <c r="B50" s="33">
        <v>221</v>
      </c>
      <c r="C50" t="s">
        <v>1411</v>
      </c>
      <c r="D50" s="44">
        <f>+SUMIFS('Balance Sheet Accounts'!R:R,'Balance Sheet Accounts'!B:B,'100s and 200s FERC Accounts'!B50)*1000</f>
        <v>4475000000</v>
      </c>
      <c r="E50" s="44">
        <f>+SUMIFS('Balance Sheet Accounts'!S:S,'Balance Sheet Accounts'!B:B,'100s and 200s FERC Accounts'!B50)*1000</f>
        <v>4359615384.6153851</v>
      </c>
      <c r="F50" s="46"/>
    </row>
    <row r="51" spans="2:6">
      <c r="B51" s="33">
        <v>223</v>
      </c>
      <c r="C51" t="s">
        <v>330</v>
      </c>
      <c r="D51" s="44">
        <f>+SUMIFS('Balance Sheet Accounts'!R:R,'Balance Sheet Accounts'!B:B,'100s and 200s FERC Accounts'!B51)*1000</f>
        <v>0</v>
      </c>
      <c r="E51" s="44">
        <f>+SUMIFS('Balance Sheet Accounts'!S:S,'Balance Sheet Accounts'!B:B,'100s and 200s FERC Accounts'!B51)*1000</f>
        <v>0</v>
      </c>
      <c r="F51" s="46"/>
    </row>
    <row r="52" spans="2:6">
      <c r="B52" s="33">
        <v>225</v>
      </c>
      <c r="C52" t="s">
        <v>1412</v>
      </c>
      <c r="D52" s="44">
        <f>+SUMIFS('Balance Sheet Accounts'!R:R,'Balance Sheet Accounts'!B:B,'100s and 200s FERC Accounts'!B52)*1000</f>
        <v>0</v>
      </c>
      <c r="E52" s="44">
        <f>+SUMIFS('Balance Sheet Accounts'!S:S,'Balance Sheet Accounts'!B:B,'100s and 200s FERC Accounts'!B52)*1000</f>
        <v>0</v>
      </c>
      <c r="F52" s="46"/>
    </row>
    <row r="53" spans="2:6">
      <c r="B53" s="33">
        <v>226</v>
      </c>
      <c r="C53" t="s">
        <v>1413</v>
      </c>
      <c r="D53" s="44">
        <f>+SUMIFS('Balance Sheet Accounts'!R:R,'Balance Sheet Accounts'!B:B,'100s and 200s FERC Accounts'!B53)*1000</f>
        <v>-13627452.279999999</v>
      </c>
      <c r="E53" s="44">
        <f>+SUMIFS('Balance Sheet Accounts'!S:S,'Balance Sheet Accounts'!B:B,'100s and 200s FERC Accounts'!B53)*1000</f>
        <v>-13945862.959999999</v>
      </c>
      <c r="F53" s="46"/>
    </row>
    <row r="54" spans="2:6">
      <c r="B54" s="33">
        <v>227</v>
      </c>
      <c r="C54" t="s">
        <v>334</v>
      </c>
      <c r="D54" s="44">
        <f>+SUMIFS('Balance Sheet Accounts'!R:R,'Balance Sheet Accounts'!B:B,'100s and 200s FERC Accounts'!B54)*1000</f>
        <v>31980076.6468652</v>
      </c>
      <c r="E54" s="44">
        <f>+SUMIFS('Balance Sheet Accounts'!S:S,'Balance Sheet Accounts'!B:B,'100s and 200s FERC Accounts'!B54)*1000</f>
        <v>32180446.293427493</v>
      </c>
      <c r="F54" s="46"/>
    </row>
    <row r="55" spans="2:6">
      <c r="B55" s="33">
        <v>228</v>
      </c>
      <c r="C55" t="s">
        <v>1414</v>
      </c>
      <c r="D55" s="44">
        <f>+SUMIFS('Balance Sheet Accounts'!R:R,'Balance Sheet Accounts'!B:B,'100s and 200s FERC Accounts'!B55)*1000</f>
        <v>96438427.796666682</v>
      </c>
      <c r="E55" s="44">
        <f>+SUMIFS('Balance Sheet Accounts'!S:S,'Balance Sheet Accounts'!B:B,'100s and 200s FERC Accounts'!B55)*1000</f>
        <v>102435481.18982378</v>
      </c>
      <c r="F55" s="46"/>
    </row>
    <row r="56" spans="2:6">
      <c r="B56" s="33">
        <v>229</v>
      </c>
      <c r="C56" t="s">
        <v>366</v>
      </c>
      <c r="D56" s="44">
        <f>+SUMIFS('Balance Sheet Accounts'!R:R,'Balance Sheet Accounts'!B:B,'100s and 200s FERC Accounts'!B56)*1000</f>
        <v>0</v>
      </c>
      <c r="E56" s="44">
        <f>+SUMIFS('Balance Sheet Accounts'!S:S,'Balance Sheet Accounts'!B:B,'100s and 200s FERC Accounts'!B56)*1000</f>
        <v>0</v>
      </c>
      <c r="F56" s="46"/>
    </row>
    <row r="57" spans="2:6">
      <c r="B57" s="33">
        <v>230</v>
      </c>
      <c r="C57" t="s">
        <v>1415</v>
      </c>
      <c r="D57" s="44">
        <f>+SUMIFS('Balance Sheet Accounts'!R:R,'Balance Sheet Accounts'!B:B,'100s and 200s FERC Accounts'!B57)*1000</f>
        <v>35518198.07</v>
      </c>
      <c r="E57" s="44">
        <f>+SUMIFS('Balance Sheet Accounts'!S:S,'Balance Sheet Accounts'!B:B,'100s and 200s FERC Accounts'!B57)*1000</f>
        <v>34647242.676153846</v>
      </c>
      <c r="F57" s="46"/>
    </row>
    <row r="58" spans="2:6">
      <c r="B58" s="33">
        <v>231</v>
      </c>
      <c r="C58" t="s">
        <v>1416</v>
      </c>
      <c r="D58" s="44">
        <f>+SUMIFS('Balance Sheet Accounts'!R:R,'Balance Sheet Accounts'!B:B,'100s and 200s FERC Accounts'!B58)*1000</f>
        <v>553907777.94710696</v>
      </c>
      <c r="E58" s="44">
        <f>+SUMIFS('Balance Sheet Accounts'!S:S,'Balance Sheet Accounts'!B:B,'100s and 200s FERC Accounts'!B58)*1000</f>
        <v>466612718.92759264</v>
      </c>
      <c r="F58" s="46"/>
    </row>
    <row r="59" spans="2:6">
      <c r="B59" s="33">
        <v>232</v>
      </c>
      <c r="C59" t="s">
        <v>1417</v>
      </c>
      <c r="D59" s="44">
        <f>+SUMIFS('Balance Sheet Accounts'!R:R,'Balance Sheet Accounts'!B:B,'100s and 200s FERC Accounts'!B59)*1000</f>
        <v>338131365.55483085</v>
      </c>
      <c r="E59" s="44">
        <f>+SUMIFS('Balance Sheet Accounts'!S:S,'Balance Sheet Accounts'!B:B,'100s and 200s FERC Accounts'!B59)*1000</f>
        <v>262287351.23794484</v>
      </c>
      <c r="F59" s="46"/>
    </row>
    <row r="60" spans="2:6">
      <c r="B60" s="33">
        <v>233</v>
      </c>
      <c r="C60" t="s">
        <v>1418</v>
      </c>
      <c r="D60" s="44">
        <f>+SUMIFS('Balance Sheet Accounts'!R:R,'Balance Sheet Accounts'!B:B,'100s and 200s FERC Accounts'!B60)*1000</f>
        <v>0</v>
      </c>
      <c r="E60" s="44">
        <f>+SUMIFS('Balance Sheet Accounts'!S:S,'Balance Sheet Accounts'!B:B,'100s and 200s FERC Accounts'!B60)*1000</f>
        <v>0</v>
      </c>
      <c r="F60" s="46"/>
    </row>
    <row r="61" spans="2:6">
      <c r="B61" s="33">
        <v>234</v>
      </c>
      <c r="C61" t="s">
        <v>1419</v>
      </c>
      <c r="D61" s="44">
        <f>+SUMIFS('Balance Sheet Accounts'!R:R,'Balance Sheet Accounts'!B:B,'100s and 200s FERC Accounts'!B61)*1000</f>
        <v>11344714.865146197</v>
      </c>
      <c r="E61" s="44">
        <f>+SUMIFS('Balance Sheet Accounts'!S:S,'Balance Sheet Accounts'!B:B,'100s and 200s FERC Accounts'!B61)*1000</f>
        <v>11430237.184311908</v>
      </c>
      <c r="F61" s="46"/>
    </row>
    <row r="62" spans="2:6">
      <c r="B62" s="33">
        <v>235</v>
      </c>
      <c r="C62" t="s">
        <v>16</v>
      </c>
      <c r="D62" s="44">
        <f>+SUMIFS('Balance Sheet Accounts'!R:R,'Balance Sheet Accounts'!B:B,'100s and 200s FERC Accounts'!B62)*1000</f>
        <v>121846518.30263001</v>
      </c>
      <c r="E62" s="44">
        <f>+SUMIFS('Balance Sheet Accounts'!S:S,'Balance Sheet Accounts'!B:B,'100s and 200s FERC Accounts'!B62)*1000</f>
        <v>121542493.39208646</v>
      </c>
      <c r="F62" s="46"/>
    </row>
    <row r="63" spans="2:6">
      <c r="B63" s="33">
        <v>236</v>
      </c>
      <c r="C63" t="s">
        <v>1420</v>
      </c>
      <c r="D63" s="44">
        <f>+SUMIFS('Balance Sheet Accounts'!R:R,'Balance Sheet Accounts'!B:B,'100s and 200s FERC Accounts'!B63)*1000</f>
        <v>12848947.166446701</v>
      </c>
      <c r="E63" s="44">
        <f>+SUMIFS('Balance Sheet Accounts'!S:S,'Balance Sheet Accounts'!B:B,'100s and 200s FERC Accounts'!B63)*1000</f>
        <v>44320676.262094028</v>
      </c>
      <c r="F63" s="46"/>
    </row>
    <row r="64" spans="2:6">
      <c r="B64" s="33">
        <v>237</v>
      </c>
      <c r="C64" t="s">
        <v>1421</v>
      </c>
      <c r="D64" s="44">
        <f>+SUMIFS('Balance Sheet Accounts'!R:R,'Balance Sheet Accounts'!B:B,'100s and 200s FERC Accounts'!B64)*1000</f>
        <v>32834563.451576106</v>
      </c>
      <c r="E64" s="44">
        <f>+SUMIFS('Balance Sheet Accounts'!S:S,'Balance Sheet Accounts'!B:B,'100s and 200s FERC Accounts'!B64)*1000</f>
        <v>46827295.570384495</v>
      </c>
      <c r="F64" s="46"/>
    </row>
    <row r="65" spans="2:6">
      <c r="B65" s="33">
        <v>238</v>
      </c>
      <c r="C65" t="s">
        <v>1422</v>
      </c>
      <c r="D65" s="44">
        <f>+SUMIFS('Balance Sheet Accounts'!R:R,'Balance Sheet Accounts'!B:B,'100s and 200s FERC Accounts'!B65)*1000</f>
        <v>0</v>
      </c>
      <c r="E65" s="44">
        <f>+SUMIFS('Balance Sheet Accounts'!S:S,'Balance Sheet Accounts'!B:B,'100s and 200s FERC Accounts'!B65)*1000</f>
        <v>0</v>
      </c>
      <c r="F65" s="46"/>
    </row>
    <row r="66" spans="2:6">
      <c r="B66" s="33">
        <v>241</v>
      </c>
      <c r="C66" t="s">
        <v>1423</v>
      </c>
      <c r="D66" s="44">
        <f>+SUMIFS('Balance Sheet Accounts'!R:R,'Balance Sheet Accounts'!B:B,'100s and 200s FERC Accounts'!B66)*1000</f>
        <v>14342125.780000001</v>
      </c>
      <c r="E66" s="44">
        <f>+SUMIFS('Balance Sheet Accounts'!S:S,'Balance Sheet Accounts'!B:B,'100s and 200s FERC Accounts'!B66)*1000</f>
        <v>14207134.949230762</v>
      </c>
      <c r="F66" s="46"/>
    </row>
    <row r="67" spans="2:6">
      <c r="B67" s="33">
        <v>242</v>
      </c>
      <c r="C67" t="s">
        <v>1424</v>
      </c>
      <c r="D67" s="44">
        <f>+SUMIFS('Balance Sheet Accounts'!R:R,'Balance Sheet Accounts'!B:B,'100s and 200s FERC Accounts'!B67)*1000</f>
        <v>43192375.682305098</v>
      </c>
      <c r="E67" s="44">
        <f>+SUMIFS('Balance Sheet Accounts'!S:S,'Balance Sheet Accounts'!B:B,'100s and 200s FERC Accounts'!B67)*1000</f>
        <v>41537637.46403496</v>
      </c>
      <c r="F67" s="46"/>
    </row>
    <row r="68" spans="2:6">
      <c r="B68" s="33">
        <v>243</v>
      </c>
      <c r="C68" t="s">
        <v>1425</v>
      </c>
      <c r="D68" s="44">
        <f>+SUMIFS('Balance Sheet Accounts'!R:R,'Balance Sheet Accounts'!B:B,'100s and 200s FERC Accounts'!B68)*1000</f>
        <v>394921.0335383999</v>
      </c>
      <c r="E68" s="44">
        <f>+SUMIFS('Balance Sheet Accounts'!S:S,'Balance Sheet Accounts'!B:B,'100s and 200s FERC Accounts'!B68)*1000</f>
        <v>944404.00110644614</v>
      </c>
      <c r="F68" s="46"/>
    </row>
    <row r="69" spans="2:6">
      <c r="B69" s="33">
        <v>245</v>
      </c>
      <c r="C69" t="s">
        <v>1400</v>
      </c>
      <c r="D69" s="44">
        <f>+SUMIFS('Balance Sheet Accounts'!R:R,'Balance Sheet Accounts'!B:B,'100s and 200s FERC Accounts'!B69)*1000</f>
        <v>0</v>
      </c>
      <c r="E69" s="44">
        <f>+SUMIFS('Balance Sheet Accounts'!S:S,'Balance Sheet Accounts'!B:B,'100s and 200s FERC Accounts'!B69)*1000</f>
        <v>0</v>
      </c>
      <c r="F69" s="46"/>
    </row>
    <row r="70" spans="2:6">
      <c r="B70" s="33">
        <v>246</v>
      </c>
      <c r="C70" t="s">
        <v>1426</v>
      </c>
      <c r="D70" s="44">
        <f>+SUMIFS('Balance Sheet Accounts'!R:R,'Balance Sheet Accounts'!B:B,'100s and 200s FERC Accounts'!B70)*1000</f>
        <v>0</v>
      </c>
      <c r="E70" s="44">
        <f>+SUMIFS('Balance Sheet Accounts'!S:S,'Balance Sheet Accounts'!B:B,'100s and 200s FERC Accounts'!B70)*1000</f>
        <v>0</v>
      </c>
      <c r="F70" s="46"/>
    </row>
    <row r="71" spans="2:6">
      <c r="B71" s="33">
        <v>253</v>
      </c>
      <c r="C71" t="s">
        <v>1427</v>
      </c>
      <c r="D71" s="44">
        <f>+SUMIFS('Balance Sheet Accounts'!R:R,'Balance Sheet Accounts'!B:B,'100s and 200s FERC Accounts'!B71)*1000</f>
        <v>15778410.867561001</v>
      </c>
      <c r="E71" s="44">
        <f>+SUMIFS('Balance Sheet Accounts'!S:S,'Balance Sheet Accounts'!B:B,'100s and 200s FERC Accounts'!B71)*1000</f>
        <v>36211952.579107605</v>
      </c>
      <c r="F71" s="46"/>
    </row>
    <row r="72" spans="2:6">
      <c r="B72" s="33">
        <v>254</v>
      </c>
      <c r="C72" t="s">
        <v>1428</v>
      </c>
      <c r="D72" s="44">
        <f>+SUMIFS('Balance Sheet Accounts'!R:R,'Balance Sheet Accounts'!B:B,'100s and 200s FERC Accounts'!B72)*1000</f>
        <v>508342291.73172992</v>
      </c>
      <c r="E72" s="44">
        <f>+SUMIFS('Balance Sheet Accounts'!S:S,'Balance Sheet Accounts'!B:B,'100s and 200s FERC Accounts'!B72)*1000</f>
        <v>523655042.00802428</v>
      </c>
      <c r="F72" s="46"/>
    </row>
    <row r="73" spans="2:6">
      <c r="B73" s="33">
        <v>255</v>
      </c>
      <c r="C73" t="s">
        <v>1429</v>
      </c>
      <c r="D73" s="44">
        <f>+SUMIFS('Balance Sheet Accounts'!R:R,'Balance Sheet Accounts'!B:B,'100s and 200s FERC Accounts'!B73)*1000</f>
        <v>264120667.28999996</v>
      </c>
      <c r="E73" s="44">
        <f>+SUMIFS('Balance Sheet Accounts'!S:S,'Balance Sheet Accounts'!B:B,'100s and 200s FERC Accounts'!B73)*1000</f>
        <v>259351149.60153839</v>
      </c>
      <c r="F73" s="46"/>
    </row>
    <row r="74" spans="2:6">
      <c r="B74" s="33">
        <v>256</v>
      </c>
      <c r="C74" t="s">
        <v>1430</v>
      </c>
      <c r="D74" s="44">
        <f>+SUMIFS('Balance Sheet Accounts'!R:R,'Balance Sheet Accounts'!B:B,'100s and 200s FERC Accounts'!B74)*1000</f>
        <v>-7876.12</v>
      </c>
      <c r="E74" s="44">
        <f>+SUMIFS('Balance Sheet Accounts'!S:S,'Balance Sheet Accounts'!B:B,'100s and 200s FERC Accounts'!B74)*1000</f>
        <v>-7876.12</v>
      </c>
      <c r="F74" s="46"/>
    </row>
    <row r="75" spans="2:6">
      <c r="B75" s="33">
        <v>257</v>
      </c>
      <c r="C75" t="s">
        <v>1431</v>
      </c>
      <c r="D75" s="44">
        <f>+SUMIFS('Balance Sheet Accounts'!R:R,'Balance Sheet Accounts'!B:B,'100s and 200s FERC Accounts'!B75)*1000</f>
        <v>0</v>
      </c>
      <c r="E75" s="44">
        <f>+SUMIFS('Balance Sheet Accounts'!S:S,'Balance Sheet Accounts'!B:B,'100s and 200s FERC Accounts'!B75)*1000</f>
        <v>0</v>
      </c>
      <c r="F75" s="46"/>
    </row>
    <row r="76" spans="2:6">
      <c r="B76" s="33">
        <v>281</v>
      </c>
      <c r="C76" t="s">
        <v>1432</v>
      </c>
      <c r="D76" s="44">
        <f>+SUMIFS('Balance Sheet Accounts'!R:R,'Balance Sheet Accounts'!B:B,'100s and 200s FERC Accounts'!B76)*1000</f>
        <v>50669057.350000001</v>
      </c>
      <c r="E76" s="44">
        <f>+SUMIFS('Balance Sheet Accounts'!S:S,'Balance Sheet Accounts'!B:B,'100s and 200s FERC Accounts'!B76)*1000</f>
        <v>51898464.26692307</v>
      </c>
      <c r="F76" s="46"/>
    </row>
    <row r="77" spans="2:6">
      <c r="B77" s="33">
        <v>282</v>
      </c>
      <c r="C77" t="s">
        <v>1432</v>
      </c>
      <c r="D77" s="44">
        <f>+SUMIFS('Balance Sheet Accounts'!R:R,'Balance Sheet Accounts'!B:B,'100s and 200s FERC Accounts'!B77)*1000</f>
        <v>1668101447.1900001</v>
      </c>
      <c r="E77" s="44">
        <f>+SUMIFS('Balance Sheet Accounts'!S:S,'Balance Sheet Accounts'!B:B,'100s and 200s FERC Accounts'!B77)*1000</f>
        <v>1625954765.7292311</v>
      </c>
      <c r="F77" s="46"/>
    </row>
    <row r="78" spans="2:6">
      <c r="B78" s="33">
        <v>283</v>
      </c>
      <c r="C78" t="s">
        <v>1432</v>
      </c>
      <c r="D78" s="44">
        <f>+SUMIFS('Balance Sheet Accounts'!R:R,'Balance Sheet Accounts'!B:B,'100s and 200s FERC Accounts'!B78)*1000</f>
        <v>75368406.760000005</v>
      </c>
      <c r="E78" s="44">
        <f>+SUMIFS('Balance Sheet Accounts'!S:S,'Balance Sheet Accounts'!B:B,'100s and 200s FERC Accounts'!B78)*1000</f>
        <v>65033958.236923091</v>
      </c>
      <c r="F78" s="46"/>
    </row>
    <row r="79" spans="2:6">
      <c r="B79" s="33">
        <v>299</v>
      </c>
      <c r="C79" t="s">
        <v>1433</v>
      </c>
      <c r="D79" s="44">
        <f>+SUMIFS('Balance Sheet Accounts'!R:R,'Balance Sheet Accounts'!B:B,'100s and 200s FERC Accounts'!B79)*1000</f>
        <v>0</v>
      </c>
      <c r="E79" s="44">
        <f>+SUMIFS('Balance Sheet Accounts'!S:S,'Balance Sheet Accounts'!B:B,'100s and 200s FERC Accounts'!B79)*1000</f>
        <v>0</v>
      </c>
      <c r="F79" s="46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B3:I253"/>
  <sheetViews>
    <sheetView tabSelected="1" showOutlineSymbols="0" workbookViewId="0"/>
  </sheetViews>
  <sheetFormatPr defaultRowHeight="14.4"/>
  <cols>
    <col min="2" max="2" width="16" bestFit="1" customWidth="1"/>
    <col min="3" max="3" width="65.33203125" bestFit="1" customWidth="1"/>
    <col min="4" max="4" width="18.6640625" bestFit="1" customWidth="1"/>
    <col min="5" max="5" width="22.6640625" bestFit="1" customWidth="1"/>
    <col min="6" max="6" width="29" bestFit="1" customWidth="1"/>
    <col min="8" max="8" width="13.5546875" bestFit="1" customWidth="1"/>
    <col min="9" max="9" width="9.88671875" bestFit="1" customWidth="1"/>
  </cols>
  <sheetData>
    <row r="3" spans="2:9" ht="15" thickBot="1">
      <c r="B3" s="51" t="s">
        <v>1434</v>
      </c>
      <c r="C3" s="51" t="s">
        <v>608</v>
      </c>
      <c r="D3" s="51" t="s">
        <v>1826</v>
      </c>
      <c r="E3" s="51" t="s">
        <v>1828</v>
      </c>
      <c r="F3" s="51" t="s">
        <v>1827</v>
      </c>
    </row>
    <row r="4" spans="2:9">
      <c r="B4" s="33">
        <v>301</v>
      </c>
      <c r="C4" t="s">
        <v>1773</v>
      </c>
      <c r="D4" s="44">
        <f>IF(B4="","",+SUMIFS('300s Plant Balances Input'!K:K,'300s Plant Balances Input'!B:B,'300s - 3 Digit FERC Accounts'!B4))</f>
        <v>0</v>
      </c>
      <c r="E4" s="44">
        <f>IF(B4="","",+SUMIFS('300s Plant Balances Input'!S:S,'300s Plant Balances Input'!B:B,'300s - 3 Digit FERC Accounts'!B4))</f>
        <v>0</v>
      </c>
      <c r="F4" s="44">
        <f>IF(B4="","",+SUMIFS('300s Plant Balances Input'!M:M,'300s Plant Balances Input'!B:B,'300s - 3 Digit FERC Accounts'!B4))</f>
        <v>0</v>
      </c>
      <c r="H4" s="44"/>
      <c r="I4" s="46"/>
    </row>
    <row r="5" spans="2:9">
      <c r="B5" s="33">
        <v>302</v>
      </c>
      <c r="C5" t="s">
        <v>1773</v>
      </c>
      <c r="D5" s="44">
        <f>IF(B5="","",+SUMIFS('300s Plant Balances Input'!K:K,'300s Plant Balances Input'!B:B,'300s - 3 Digit FERC Accounts'!B5))</f>
        <v>0</v>
      </c>
      <c r="E5" s="44">
        <f>IF(B5="","",+SUMIFS('300s Plant Balances Input'!S:S,'300s Plant Balances Input'!B:B,'300s - 3 Digit FERC Accounts'!B5))</f>
        <v>0</v>
      </c>
      <c r="F5" s="44">
        <f>IF(B5="","",+SUMIFS('300s Plant Balances Input'!M:M,'300s Plant Balances Input'!B:B,'300s - 3 Digit FERC Accounts'!B5))</f>
        <v>0</v>
      </c>
      <c r="H5" s="44"/>
      <c r="I5" s="46"/>
    </row>
    <row r="6" spans="2:9">
      <c r="B6" s="33">
        <v>303</v>
      </c>
      <c r="C6" t="s">
        <v>1774</v>
      </c>
      <c r="D6" s="44">
        <f>IF(B6="","",+SUMIFS('300s Plant Balances Input'!K:K,'300s Plant Balances Input'!B:B,'300s - 3 Digit FERC Accounts'!B6))</f>
        <v>601250207.54999995</v>
      </c>
      <c r="E6" s="44">
        <f>IF(B6="","",+SUMIFS('300s Plant Balances Input'!S:S,'300s Plant Balances Input'!B:B,'300s - 3 Digit FERC Accounts'!B6))</f>
        <v>192471130.09999999</v>
      </c>
      <c r="F6" s="44">
        <f>IF(B6="","",+SUMIFS('300s Plant Balances Input'!M:M,'300s Plant Balances Input'!B:B,'300s - 3 Digit FERC Accounts'!B6))</f>
        <v>39791532.470000006</v>
      </c>
      <c r="H6" s="44"/>
      <c r="I6" s="46"/>
    </row>
    <row r="7" spans="2:9">
      <c r="B7" s="33">
        <v>305</v>
      </c>
      <c r="C7" t="s">
        <v>1773</v>
      </c>
      <c r="D7" s="44">
        <f>IF(B7="","",+SUMIFS('300s Plant Balances Input'!K:K,'300s Plant Balances Input'!B:B,'300s - 3 Digit FERC Accounts'!B7))</f>
        <v>0</v>
      </c>
      <c r="E7" s="44">
        <f>IF(B7="","",+SUMIFS('300s Plant Balances Input'!S:S,'300s Plant Balances Input'!B:B,'300s - 3 Digit FERC Accounts'!B7))</f>
        <v>0</v>
      </c>
      <c r="F7" s="44">
        <f>IF(B7="","",+SUMIFS('300s Plant Balances Input'!M:M,'300s Plant Balances Input'!B:B,'300s - 3 Digit FERC Accounts'!B7))</f>
        <v>0</v>
      </c>
      <c r="H7" s="44"/>
      <c r="I7" s="46"/>
    </row>
    <row r="8" spans="2:9">
      <c r="B8" s="33">
        <v>310</v>
      </c>
      <c r="C8" t="s">
        <v>1775</v>
      </c>
      <c r="D8" s="44">
        <f>IF(B8="","",+SUMIFS('300s Plant Balances Input'!K:K,'300s Plant Balances Input'!B:B,'300s - 3 Digit FERC Accounts'!B8))</f>
        <v>6923628.5099999998</v>
      </c>
      <c r="E8" s="44">
        <f>IF(B8="","",+SUMIFS('300s Plant Balances Input'!S:S,'300s Plant Balances Input'!B:B,'300s - 3 Digit FERC Accounts'!B8))</f>
        <v>0</v>
      </c>
      <c r="F8" s="44">
        <f>IF(B8="","",+SUMIFS('300s Plant Balances Input'!M:M,'300s Plant Balances Input'!B:B,'300s - 3 Digit FERC Accounts'!B8))</f>
        <v>0</v>
      </c>
      <c r="H8" s="44"/>
      <c r="I8" s="46"/>
    </row>
    <row r="9" spans="2:9">
      <c r="B9" s="33">
        <v>311</v>
      </c>
      <c r="C9" t="s">
        <v>1776</v>
      </c>
      <c r="D9" s="44">
        <f>IF(B9="","",+SUMIFS('300s Plant Balances Input'!K:K,'300s Plant Balances Input'!B:B,'300s - 3 Digit FERC Accounts'!B9))</f>
        <v>385859853.00999999</v>
      </c>
      <c r="E9" s="44">
        <f>IF(B9="","",+SUMIFS('300s Plant Balances Input'!S:S,'300s Plant Balances Input'!B:B,'300s - 3 Digit FERC Accounts'!B9))</f>
        <v>131828364.59</v>
      </c>
      <c r="F9" s="44">
        <f>IF(B9="","",+SUMIFS('300s Plant Balances Input'!M:M,'300s Plant Balances Input'!B:B,'300s - 3 Digit FERC Accounts'!B9))</f>
        <v>10741162.679999998</v>
      </c>
      <c r="H9" s="44"/>
      <c r="I9" s="46"/>
    </row>
    <row r="10" spans="2:9">
      <c r="B10" s="33">
        <v>312</v>
      </c>
      <c r="C10" t="s">
        <v>1777</v>
      </c>
      <c r="D10" s="44">
        <f>IF(B10="","",+SUMIFS('300s Plant Balances Input'!K:K,'300s Plant Balances Input'!B:B,'300s - 3 Digit FERC Accounts'!B10))</f>
        <v>764198458.86000001</v>
      </c>
      <c r="E10" s="44">
        <f>IF(B10="","",+SUMIFS('300s Plant Balances Input'!S:S,'300s Plant Balances Input'!B:B,'300s - 3 Digit FERC Accounts'!B10))</f>
        <v>292185348.59000003</v>
      </c>
      <c r="F10" s="44">
        <f>IF(B10="","",+SUMIFS('300s Plant Balances Input'!M:M,'300s Plant Balances Input'!B:B,'300s - 3 Digit FERC Accounts'!B10))</f>
        <v>37417772.200000003</v>
      </c>
      <c r="H10" s="44"/>
      <c r="I10" s="46"/>
    </row>
    <row r="11" spans="2:9">
      <c r="B11" s="33">
        <v>314</v>
      </c>
      <c r="C11" t="s">
        <v>1778</v>
      </c>
      <c r="D11" s="44">
        <f>IF(B11="","",+SUMIFS('300s Plant Balances Input'!K:K,'300s Plant Balances Input'!B:B,'300s - 3 Digit FERC Accounts'!B11))</f>
        <v>151866185.35999998</v>
      </c>
      <c r="E11" s="44">
        <f>IF(B11="","",+SUMIFS('300s Plant Balances Input'!S:S,'300s Plant Balances Input'!B:B,'300s - 3 Digit FERC Accounts'!B11))</f>
        <v>56260014.349999994</v>
      </c>
      <c r="F11" s="44">
        <f>IF(B11="","",+SUMIFS('300s Plant Balances Input'!M:M,'300s Plant Balances Input'!B:B,'300s - 3 Digit FERC Accounts'!B11))</f>
        <v>6829870.8700000001</v>
      </c>
      <c r="H11" s="44"/>
      <c r="I11" s="46"/>
    </row>
    <row r="12" spans="2:9">
      <c r="B12" s="33">
        <v>315</v>
      </c>
      <c r="C12" t="s">
        <v>1779</v>
      </c>
      <c r="D12" s="44">
        <f>IF(B12="","",+SUMIFS('300s Plant Balances Input'!K:K,'300s Plant Balances Input'!B:B,'300s - 3 Digit FERC Accounts'!B12))</f>
        <v>139333150.36000001</v>
      </c>
      <c r="E12" s="44">
        <f>IF(B12="","",+SUMIFS('300s Plant Balances Input'!S:S,'300s Plant Balances Input'!B:B,'300s - 3 Digit FERC Accounts'!B12))</f>
        <v>83399702.659999996</v>
      </c>
      <c r="F12" s="44">
        <f>IF(B12="","",+SUMIFS('300s Plant Balances Input'!M:M,'300s Plant Balances Input'!B:B,'300s - 3 Digit FERC Accounts'!B12))</f>
        <v>3619128.2199999997</v>
      </c>
      <c r="H12" s="44"/>
      <c r="I12" s="46"/>
    </row>
    <row r="13" spans="2:9">
      <c r="B13" s="33">
        <v>316</v>
      </c>
      <c r="C13" t="s">
        <v>1780</v>
      </c>
      <c r="D13" s="44">
        <f>IF(B13="","",+SUMIFS('300s Plant Balances Input'!K:K,'300s Plant Balances Input'!B:B,'300s - 3 Digit FERC Accounts'!B13))</f>
        <v>35433232.269999996</v>
      </c>
      <c r="E13" s="44">
        <f>IF(B13="","",+SUMIFS('300s Plant Balances Input'!S:S,'300s Plant Balances Input'!B:B,'300s - 3 Digit FERC Accounts'!B13))</f>
        <v>18532910.069999997</v>
      </c>
      <c r="F13" s="44">
        <f>IF(B13="","",+SUMIFS('300s Plant Balances Input'!M:M,'300s Plant Balances Input'!B:B,'300s - 3 Digit FERC Accounts'!B13))</f>
        <v>797998.79</v>
      </c>
      <c r="H13" s="44"/>
      <c r="I13" s="46"/>
    </row>
    <row r="14" spans="2:9">
      <c r="B14" s="33">
        <v>317</v>
      </c>
      <c r="C14" t="s">
        <v>1781</v>
      </c>
      <c r="D14" s="44">
        <f>IF(B14="","",+SUMIFS('300s Plant Balances Input'!K:K,'300s Plant Balances Input'!B:B,'300s - 3 Digit FERC Accounts'!B14))</f>
        <v>5602918.4800000004</v>
      </c>
      <c r="E14" s="44">
        <f>IF(B14="","",+SUMIFS('300s Plant Balances Input'!S:S,'300s Plant Balances Input'!B:B,'300s - 3 Digit FERC Accounts'!B14))</f>
        <v>1582779.72</v>
      </c>
      <c r="F14" s="44">
        <f>IF(B14="","",+SUMIFS('300s Plant Balances Input'!M:M,'300s Plant Balances Input'!B:B,'300s - 3 Digit FERC Accounts'!B14))</f>
        <v>156881.76</v>
      </c>
      <c r="H14" s="44"/>
      <c r="I14" s="46"/>
    </row>
    <row r="15" spans="2:9">
      <c r="B15" s="33">
        <v>340</v>
      </c>
      <c r="C15" t="s">
        <v>1782</v>
      </c>
      <c r="D15" s="44">
        <f>IF(B15="","",+SUMIFS('300s Plant Balances Input'!K:K,'300s Plant Balances Input'!B:B,'300s - 3 Digit FERC Accounts'!B15))</f>
        <v>195135302.48000002</v>
      </c>
      <c r="E15" s="44">
        <f>IF(B15="","",+SUMIFS('300s Plant Balances Input'!S:S,'300s Plant Balances Input'!B:B,'300s - 3 Digit FERC Accounts'!B15))</f>
        <v>0</v>
      </c>
      <c r="F15" s="44">
        <f>IF(B15="","",+SUMIFS('300s Plant Balances Input'!M:M,'300s Plant Balances Input'!B:B,'300s - 3 Digit FERC Accounts'!B15))</f>
        <v>0</v>
      </c>
      <c r="H15" s="44"/>
      <c r="I15" s="46"/>
    </row>
    <row r="16" spans="2:9">
      <c r="B16" s="33">
        <v>341</v>
      </c>
      <c r="C16" t="s">
        <v>1783</v>
      </c>
      <c r="D16" s="44">
        <f>IF(B16="","",+SUMIFS('300s Plant Balances Input'!K:K,'300s Plant Balances Input'!B:B,'300s - 3 Digit FERC Accounts'!B16))</f>
        <v>925642429</v>
      </c>
      <c r="E16" s="44">
        <f>IF(B16="","",+SUMIFS('300s Plant Balances Input'!S:S,'300s Plant Balances Input'!B:B,'300s - 3 Digit FERC Accounts'!B16))</f>
        <v>237155261.64000002</v>
      </c>
      <c r="F16" s="44">
        <f>IF(B16="","",+SUMIFS('300s Plant Balances Input'!M:M,'300s Plant Balances Input'!B:B,'300s - 3 Digit FERC Accounts'!B16))</f>
        <v>31938177.210000001</v>
      </c>
      <c r="H16" s="44"/>
      <c r="I16" s="46"/>
    </row>
    <row r="17" spans="2:9">
      <c r="B17" s="33">
        <v>342</v>
      </c>
      <c r="C17" t="s">
        <v>1784</v>
      </c>
      <c r="D17" s="44">
        <f>IF(B17="","",+SUMIFS('300s Plant Balances Input'!K:K,'300s Plant Balances Input'!B:B,'300s - 3 Digit FERC Accounts'!B17))</f>
        <v>859120483.04999983</v>
      </c>
      <c r="E17" s="44">
        <f>IF(B17="","",+SUMIFS('300s Plant Balances Input'!S:S,'300s Plant Balances Input'!B:B,'300s - 3 Digit FERC Accounts'!B17))</f>
        <v>306790282.70999998</v>
      </c>
      <c r="F17" s="44">
        <f>IF(B17="","",+SUMIFS('300s Plant Balances Input'!M:M,'300s Plant Balances Input'!B:B,'300s - 3 Digit FERC Accounts'!B17))</f>
        <v>34186606.390000001</v>
      </c>
      <c r="H17" s="44"/>
      <c r="I17" s="46"/>
    </row>
    <row r="18" spans="2:9">
      <c r="B18" s="33">
        <v>343</v>
      </c>
      <c r="C18" t="s">
        <v>1785</v>
      </c>
      <c r="D18" s="44">
        <f>IF(B18="","",+SUMIFS('300s Plant Balances Input'!K:K,'300s Plant Balances Input'!B:B,'300s - 3 Digit FERC Accounts'!B18))</f>
        <v>3140699333.71</v>
      </c>
      <c r="E18" s="44">
        <f>IF(B18="","",+SUMIFS('300s Plant Balances Input'!S:S,'300s Plant Balances Input'!B:B,'300s - 3 Digit FERC Accounts'!B18))</f>
        <v>687928233.79000008</v>
      </c>
      <c r="F18" s="44">
        <f>IF(B18="","",+SUMIFS('300s Plant Balances Input'!M:M,'300s Plant Balances Input'!B:B,'300s - 3 Digit FERC Accounts'!B18))</f>
        <v>120327289.24000001</v>
      </c>
      <c r="H18" s="44"/>
      <c r="I18" s="46"/>
    </row>
    <row r="19" spans="2:9">
      <c r="B19" s="33">
        <v>344</v>
      </c>
      <c r="C19" t="s">
        <v>1786</v>
      </c>
      <c r="D19" s="44">
        <f>IF(B19="","",+SUMIFS('300s Plant Balances Input'!K:K,'300s Plant Balances Input'!B:B,'300s - 3 Digit FERC Accounts'!B19))</f>
        <v>0</v>
      </c>
      <c r="E19" s="44">
        <f>IF(B19="","",+SUMIFS('300s Plant Balances Input'!S:S,'300s Plant Balances Input'!B:B,'300s - 3 Digit FERC Accounts'!B19))</f>
        <v>0</v>
      </c>
      <c r="F19" s="44">
        <f>IF(B19="","",+SUMIFS('300s Plant Balances Input'!M:M,'300s Plant Balances Input'!B:B,'300s - 3 Digit FERC Accounts'!B19))</f>
        <v>0</v>
      </c>
      <c r="H19" s="44"/>
      <c r="I19" s="46"/>
    </row>
    <row r="20" spans="2:9">
      <c r="B20" s="33">
        <v>345</v>
      </c>
      <c r="C20" t="s">
        <v>1787</v>
      </c>
      <c r="D20" s="44">
        <f>IF(B20="","",+SUMIFS('300s Plant Balances Input'!K:K,'300s Plant Balances Input'!B:B,'300s - 3 Digit FERC Accounts'!B20))</f>
        <v>635788524.06999993</v>
      </c>
      <c r="E20" s="44">
        <f>IF(B20="","",+SUMIFS('300s Plant Balances Input'!S:S,'300s Plant Balances Input'!B:B,'300s - 3 Digit FERC Accounts'!B20))</f>
        <v>217818225.19</v>
      </c>
      <c r="F20" s="44">
        <f>IF(B20="","",+SUMIFS('300s Plant Balances Input'!M:M,'300s Plant Balances Input'!B:B,'300s - 3 Digit FERC Accounts'!B20))</f>
        <v>19377432.960000001</v>
      </c>
      <c r="H20" s="44"/>
      <c r="I20" s="46"/>
    </row>
    <row r="21" spans="2:9">
      <c r="B21" s="33">
        <v>346</v>
      </c>
      <c r="C21" t="s">
        <v>1788</v>
      </c>
      <c r="D21" s="44">
        <f>IF(B21="","",+SUMIFS('300s Plant Balances Input'!K:K,'300s Plant Balances Input'!B:B,'300s - 3 Digit FERC Accounts'!B21))</f>
        <v>26045885.710000005</v>
      </c>
      <c r="E21" s="44">
        <f>IF(B21="","",+SUMIFS('300s Plant Balances Input'!S:S,'300s Plant Balances Input'!B:B,'300s - 3 Digit FERC Accounts'!B21))</f>
        <v>12772269.469999999</v>
      </c>
      <c r="F21" s="44">
        <f>IF(B21="","",+SUMIFS('300s Plant Balances Input'!M:M,'300s Plant Balances Input'!B:B,'300s - 3 Digit FERC Accounts'!B21))</f>
        <v>1280525.8499999999</v>
      </c>
      <c r="H21" s="44"/>
      <c r="I21" s="46"/>
    </row>
    <row r="22" spans="2:9">
      <c r="B22" s="33">
        <v>347</v>
      </c>
      <c r="C22" t="s">
        <v>1789</v>
      </c>
      <c r="D22" s="44">
        <f>IF(B22="","",+SUMIFS('300s Plant Balances Input'!K:K,'300s Plant Balances Input'!B:B,'300s - 3 Digit FERC Accounts'!B22))</f>
        <v>12376233.220000001</v>
      </c>
      <c r="E22" s="44">
        <f>IF(B22="","",+SUMIFS('300s Plant Balances Input'!S:S,'300s Plant Balances Input'!B:B,'300s - 3 Digit FERC Accounts'!B22))</f>
        <v>2191178.02</v>
      </c>
      <c r="F22" s="44">
        <f>IF(B22="","",+SUMIFS('300s Plant Balances Input'!M:M,'300s Plant Balances Input'!B:B,'300s - 3 Digit FERC Accounts'!B22))</f>
        <v>420791.88</v>
      </c>
      <c r="H22" s="44"/>
      <c r="I22" s="46"/>
    </row>
    <row r="23" spans="2:9">
      <c r="B23" s="33">
        <v>348</v>
      </c>
      <c r="C23" t="s">
        <v>1790</v>
      </c>
      <c r="D23" s="44">
        <f>IF(B23="","",+SUMIFS('300s Plant Balances Input'!K:K,'300s Plant Balances Input'!B:B,'300s - 3 Digit FERC Accounts'!B23))</f>
        <v>129160776.06</v>
      </c>
      <c r="E23" s="44">
        <f>IF(B23="","",+SUMIFS('300s Plant Balances Input'!S:S,'300s Plant Balances Input'!B:B,'300s - 3 Digit FERC Accounts'!B23))</f>
        <v>9417450.0199999996</v>
      </c>
      <c r="F23" s="44">
        <f>IF(B23="","",+SUMIFS('300s Plant Balances Input'!M:M,'300s Plant Balances Input'!B:B,'300s - 3 Digit FERC Accounts'!B23))</f>
        <v>12826203.93</v>
      </c>
      <c r="H23" s="44"/>
      <c r="I23" s="46"/>
    </row>
    <row r="24" spans="2:9">
      <c r="B24" s="33">
        <v>350</v>
      </c>
      <c r="C24" t="s">
        <v>1791</v>
      </c>
      <c r="D24" s="44">
        <f>IF(B24="","",+SUMIFS('300s Plant Balances Input'!K:K,'300s Plant Balances Input'!B:B,'300s - 3 Digit FERC Accounts'!B24))</f>
        <v>29962252.649999999</v>
      </c>
      <c r="E24" s="44">
        <f>IF(B24="","",+SUMIFS('300s Plant Balances Input'!S:S,'300s Plant Balances Input'!B:B,'300s - 3 Digit FERC Accounts'!B24))</f>
        <v>5182555.41</v>
      </c>
      <c r="F24" s="44">
        <f>IF(B24="","",+SUMIFS('300s Plant Balances Input'!M:M,'300s Plant Balances Input'!B:B,'300s - 3 Digit FERC Accounts'!B24))</f>
        <v>187298.76</v>
      </c>
      <c r="H24" s="44"/>
      <c r="I24" s="46"/>
    </row>
    <row r="25" spans="2:9">
      <c r="B25" s="33">
        <v>351</v>
      </c>
      <c r="D25" s="44">
        <f>IF(B25="","",+SUMIFS('300s Plant Balances Input'!K:K,'300s Plant Balances Input'!B:B,'300s - 3 Digit FERC Accounts'!B25))</f>
        <v>0</v>
      </c>
      <c r="E25" s="44">
        <f>IF(B25="","",+SUMIFS('300s Plant Balances Input'!S:S,'300s Plant Balances Input'!B:B,'300s - 3 Digit FERC Accounts'!B25))</f>
        <v>0</v>
      </c>
      <c r="F25" s="44">
        <f>IF(B25="","",+SUMIFS('300s Plant Balances Input'!M:M,'300s Plant Balances Input'!B:B,'300s - 3 Digit FERC Accounts'!B25))</f>
        <v>0</v>
      </c>
      <c r="H25" s="44"/>
      <c r="I25" s="46"/>
    </row>
    <row r="26" spans="2:9">
      <c r="B26" s="33">
        <v>352</v>
      </c>
      <c r="C26" t="s">
        <v>1792</v>
      </c>
      <c r="D26" s="44">
        <f>IF(B26="","",+SUMIFS('300s Plant Balances Input'!K:K,'300s Plant Balances Input'!B:B,'300s - 3 Digit FERC Accounts'!B26))</f>
        <v>76277379.719999999</v>
      </c>
      <c r="E26" s="44">
        <f>IF(B26="","",+SUMIFS('300s Plant Balances Input'!S:S,'300s Plant Balances Input'!B:B,'300s - 3 Digit FERC Accounts'!B26))</f>
        <v>16973679.649999999</v>
      </c>
      <c r="F26" s="44">
        <f>IF(B26="","",+SUMIFS('300s Plant Balances Input'!M:M,'300s Plant Balances Input'!B:B,'300s - 3 Digit FERC Accounts'!B26))</f>
        <v>1655219.16</v>
      </c>
      <c r="H26" s="44"/>
      <c r="I26" s="46"/>
    </row>
    <row r="27" spans="2:9">
      <c r="B27" s="33">
        <v>353</v>
      </c>
      <c r="C27" t="s">
        <v>1793</v>
      </c>
      <c r="D27" s="44">
        <f>IF(B27="","",+SUMIFS('300s Plant Balances Input'!K:K,'300s Plant Balances Input'!B:B,'300s - 3 Digit FERC Accounts'!B27))</f>
        <v>458449851.30000001</v>
      </c>
      <c r="E27" s="44">
        <f>IF(B27="","",+SUMIFS('300s Plant Balances Input'!S:S,'300s Plant Balances Input'!B:B,'300s - 3 Digit FERC Accounts'!B27))</f>
        <v>99557050.689999998</v>
      </c>
      <c r="F27" s="44">
        <f>IF(B27="","",+SUMIFS('300s Plant Balances Input'!M:M,'300s Plant Balances Input'!B:B,'300s - 3 Digit FERC Accounts'!B27))</f>
        <v>10775994.01</v>
      </c>
      <c r="H27" s="44"/>
      <c r="I27" s="46"/>
    </row>
    <row r="28" spans="2:9">
      <c r="B28" s="33">
        <v>354</v>
      </c>
      <c r="C28" t="s">
        <v>1794</v>
      </c>
      <c r="D28" s="44">
        <f>IF(B28="","",+SUMIFS('300s Plant Balances Input'!K:K,'300s Plant Balances Input'!B:B,'300s - 3 Digit FERC Accounts'!B28))</f>
        <v>5092060.55</v>
      </c>
      <c r="E28" s="44">
        <f>IF(B28="","",+SUMIFS('300s Plant Balances Input'!S:S,'300s Plant Balances Input'!B:B,'300s - 3 Digit FERC Accounts'!B28))</f>
        <v>5314114.1100000003</v>
      </c>
      <c r="F28" s="44">
        <f>IF(B28="","",+SUMIFS('300s Plant Balances Input'!M:M,'300s Plant Balances Input'!B:B,'300s - 3 Digit FERC Accounts'!B28))</f>
        <v>65687.64</v>
      </c>
      <c r="H28" s="44"/>
      <c r="I28" s="46"/>
    </row>
    <row r="29" spans="2:9">
      <c r="B29" s="33">
        <v>355</v>
      </c>
      <c r="C29" t="s">
        <v>1795</v>
      </c>
      <c r="D29" s="44">
        <f>IF(B29="","",+SUMIFS('300s Plant Balances Input'!K:K,'300s Plant Balances Input'!B:B,'300s - 3 Digit FERC Accounts'!B29))</f>
        <v>534134812.68000001</v>
      </c>
      <c r="E29" s="44">
        <f>IF(B29="","",+SUMIFS('300s Plant Balances Input'!S:S,'300s Plant Balances Input'!B:B,'300s - 3 Digit FERC Accounts'!B29))</f>
        <v>143297337.16999999</v>
      </c>
      <c r="F29" s="44">
        <f>IF(B29="","",+SUMIFS('300s Plant Balances Input'!M:M,'300s Plant Balances Input'!B:B,'300s - 3 Digit FERC Accounts'!B29))</f>
        <v>15079041.050000001</v>
      </c>
      <c r="H29" s="44"/>
      <c r="I29" s="46"/>
    </row>
    <row r="30" spans="2:9">
      <c r="B30" s="33">
        <v>356</v>
      </c>
      <c r="C30" t="s">
        <v>1796</v>
      </c>
      <c r="D30" s="44">
        <f>IF(B30="","",+SUMIFS('300s Plant Balances Input'!K:K,'300s Plant Balances Input'!B:B,'300s - 3 Digit FERC Accounts'!B30))</f>
        <v>193473758.28999999</v>
      </c>
      <c r="E30" s="44">
        <f>IF(B30="","",+SUMIFS('300s Plant Balances Input'!S:S,'300s Plant Balances Input'!B:B,'300s - 3 Digit FERC Accounts'!B30))</f>
        <v>34586165.509999998</v>
      </c>
      <c r="F30" s="44">
        <f>IF(B30="","",+SUMIFS('300s Plant Balances Input'!M:M,'300s Plant Balances Input'!B:B,'300s - 3 Digit FERC Accounts'!B30))</f>
        <v>5713586.4500000002</v>
      </c>
      <c r="H30" s="44"/>
      <c r="I30" s="46"/>
    </row>
    <row r="31" spans="2:9">
      <c r="B31" s="33">
        <v>357</v>
      </c>
      <c r="C31" t="s">
        <v>1797</v>
      </c>
      <c r="D31" s="44">
        <f>IF(B31="","",+SUMIFS('300s Plant Balances Input'!K:K,'300s Plant Balances Input'!B:B,'300s - 3 Digit FERC Accounts'!B31))</f>
        <v>4322860.53</v>
      </c>
      <c r="E31" s="44">
        <f>IF(B31="","",+SUMIFS('300s Plant Balances Input'!S:S,'300s Plant Balances Input'!B:B,'300s - 3 Digit FERC Accounts'!B31))</f>
        <v>1885951.5</v>
      </c>
      <c r="F31" s="44">
        <f>IF(B31="","",+SUMIFS('300s Plant Balances Input'!M:M,'300s Plant Balances Input'!B:B,'300s - 3 Digit FERC Accounts'!B31))</f>
        <v>78676.08</v>
      </c>
      <c r="H31" s="44"/>
      <c r="I31" s="46"/>
    </row>
    <row r="32" spans="2:9">
      <c r="B32" s="33">
        <v>358</v>
      </c>
      <c r="C32" t="s">
        <v>1798</v>
      </c>
      <c r="D32" s="44">
        <f>IF(B32="","",+SUMIFS('300s Plant Balances Input'!K:K,'300s Plant Balances Input'!B:B,'300s - 3 Digit FERC Accounts'!B32))</f>
        <v>12363044.74</v>
      </c>
      <c r="E32" s="44">
        <f>IF(B32="","",+SUMIFS('300s Plant Balances Input'!S:S,'300s Plant Balances Input'!B:B,'300s - 3 Digit FERC Accounts'!B32))</f>
        <v>4137231.86</v>
      </c>
      <c r="F32" s="44">
        <f>IF(B32="","",+SUMIFS('300s Plant Balances Input'!M:M,'300s Plant Balances Input'!B:B,'300s - 3 Digit FERC Accounts'!B32))</f>
        <v>346165.2</v>
      </c>
      <c r="H32" s="44"/>
      <c r="I32" s="46"/>
    </row>
    <row r="33" spans="2:9">
      <c r="B33" s="33">
        <v>359</v>
      </c>
      <c r="C33" t="s">
        <v>1799</v>
      </c>
      <c r="D33" s="44">
        <f>IF(B33="","",+SUMIFS('300s Plant Balances Input'!K:K,'300s Plant Balances Input'!B:B,'300s - 3 Digit FERC Accounts'!B33))</f>
        <v>20219292.530000001</v>
      </c>
      <c r="E33" s="44">
        <f>IF(B33="","",+SUMIFS('300s Plant Balances Input'!S:S,'300s Plant Balances Input'!B:B,'300s - 3 Digit FERC Accounts'!B33))</f>
        <v>3738078.57</v>
      </c>
      <c r="F33" s="44">
        <f>IF(B33="","",+SUMIFS('300s Plant Balances Input'!M:M,'300s Plant Balances Input'!B:B,'300s - 3 Digit FERC Accounts'!B33))</f>
        <v>356448.25</v>
      </c>
      <c r="H33" s="44"/>
      <c r="I33" s="46"/>
    </row>
    <row r="34" spans="2:9">
      <c r="B34" s="33">
        <v>360</v>
      </c>
      <c r="C34" t="s">
        <v>1800</v>
      </c>
      <c r="D34" s="44">
        <f>IF(B34="","",+SUMIFS('300s Plant Balances Input'!K:K,'300s Plant Balances Input'!B:B,'300s - 3 Digit FERC Accounts'!B34))</f>
        <v>10119782.539999999</v>
      </c>
      <c r="E34" s="44">
        <f>IF(B34="","",+SUMIFS('300s Plant Balances Input'!S:S,'300s Plant Balances Input'!B:B,'300s - 3 Digit FERC Accounts'!B34))</f>
        <v>0</v>
      </c>
      <c r="F34" s="44">
        <f>IF(B34="","",+SUMIFS('300s Plant Balances Input'!M:M,'300s Plant Balances Input'!B:B,'300s - 3 Digit FERC Accounts'!B34))</f>
        <v>0</v>
      </c>
      <c r="H34" s="44"/>
      <c r="I34" s="46"/>
    </row>
    <row r="35" spans="2:9">
      <c r="B35" s="33">
        <v>361</v>
      </c>
      <c r="C35" t="s">
        <v>1801</v>
      </c>
      <c r="D35" s="44">
        <f>IF(B35="","",+SUMIFS('300s Plant Balances Input'!K:K,'300s Plant Balances Input'!B:B,'300s - 3 Digit FERC Accounts'!B35))</f>
        <v>34138496.829999998</v>
      </c>
      <c r="E35" s="44">
        <f>IF(B35="","",+SUMIFS('300s Plant Balances Input'!S:S,'300s Plant Balances Input'!B:B,'300s - 3 Digit FERC Accounts'!B35))</f>
        <v>10296881.960000001</v>
      </c>
      <c r="F35" s="44">
        <f>IF(B35="","",+SUMIFS('300s Plant Balances Input'!M:M,'300s Plant Balances Input'!B:B,'300s - 3 Digit FERC Accounts'!B35))</f>
        <v>880773.24</v>
      </c>
      <c r="H35" s="44"/>
      <c r="I35" s="46"/>
    </row>
    <row r="36" spans="2:9">
      <c r="B36" s="33">
        <v>362</v>
      </c>
      <c r="C36" t="s">
        <v>1802</v>
      </c>
      <c r="D36" s="44">
        <f>IF(B36="","",+SUMIFS('300s Plant Balances Input'!K:K,'300s Plant Balances Input'!B:B,'300s - 3 Digit FERC Accounts'!B36))</f>
        <v>331220247.22000003</v>
      </c>
      <c r="E36" s="44">
        <f>IF(B36="","",+SUMIFS('300s Plant Balances Input'!S:S,'300s Plant Balances Input'!B:B,'300s - 3 Digit FERC Accounts'!B36))</f>
        <v>82677371.489999995</v>
      </c>
      <c r="F36" s="44">
        <f>IF(B36="","",+SUMIFS('300s Plant Balances Input'!M:M,'300s Plant Balances Input'!B:B,'300s - 3 Digit FERC Accounts'!B36))</f>
        <v>9114261.2100000009</v>
      </c>
      <c r="H36" s="44"/>
      <c r="I36" s="46"/>
    </row>
    <row r="37" spans="2:9">
      <c r="B37" s="33">
        <v>363</v>
      </c>
      <c r="D37" s="44">
        <f>IF(B37="","",+SUMIFS('300s Plant Balances Input'!K:K,'300s Plant Balances Input'!B:B,'300s - 3 Digit FERC Accounts'!B37))</f>
        <v>0</v>
      </c>
      <c r="E37" s="44">
        <f>IF(B37="","",+SUMIFS('300s Plant Balances Input'!S:S,'300s Plant Balances Input'!B:B,'300s - 3 Digit FERC Accounts'!B37))</f>
        <v>0</v>
      </c>
      <c r="F37" s="44">
        <f>IF(B37="","",+SUMIFS('300s Plant Balances Input'!M:M,'300s Plant Balances Input'!B:B,'300s - 3 Digit FERC Accounts'!B37))</f>
        <v>0</v>
      </c>
      <c r="H37" s="44"/>
      <c r="I37" s="46"/>
    </row>
    <row r="38" spans="2:9">
      <c r="B38" s="33">
        <v>364</v>
      </c>
      <c r="C38" t="s">
        <v>1803</v>
      </c>
      <c r="D38" s="44">
        <f>IF(B38="","",+SUMIFS('300s Plant Balances Input'!K:K,'300s Plant Balances Input'!B:B,'300s - 3 Digit FERC Accounts'!B38))</f>
        <v>499219433.48000002</v>
      </c>
      <c r="E38" s="44">
        <f>IF(B38="","",+SUMIFS('300s Plant Balances Input'!S:S,'300s Plant Balances Input'!B:B,'300s - 3 Digit FERC Accounts'!B38))</f>
        <v>192985641.19</v>
      </c>
      <c r="F38" s="44">
        <f>IF(B38="","",+SUMIFS('300s Plant Balances Input'!M:M,'300s Plant Balances Input'!B:B,'300s - 3 Digit FERC Accounts'!B38))</f>
        <v>26341501.280000001</v>
      </c>
      <c r="H38" s="44"/>
      <c r="I38" s="46"/>
    </row>
    <row r="39" spans="2:9">
      <c r="B39" s="33">
        <v>365</v>
      </c>
      <c r="C39" t="s">
        <v>1804</v>
      </c>
      <c r="D39" s="44">
        <f>IF(B39="","",+SUMIFS('300s Plant Balances Input'!K:K,'300s Plant Balances Input'!B:B,'300s - 3 Digit FERC Accounts'!B39))</f>
        <v>303327783.04000002</v>
      </c>
      <c r="E39" s="44">
        <f>IF(B39="","",+SUMIFS('300s Plant Balances Input'!S:S,'300s Plant Balances Input'!B:B,'300s - 3 Digit FERC Accounts'!B39))</f>
        <v>151439200.53999999</v>
      </c>
      <c r="F39" s="44">
        <f>IF(B39="","",+SUMIFS('300s Plant Balances Input'!M:M,'300s Plant Balances Input'!B:B,'300s - 3 Digit FERC Accounts'!B39))</f>
        <v>7051057.04</v>
      </c>
      <c r="H39" s="44"/>
      <c r="I39" s="46"/>
    </row>
    <row r="40" spans="2:9">
      <c r="B40" s="33">
        <v>366</v>
      </c>
      <c r="C40" t="s">
        <v>1805</v>
      </c>
      <c r="D40" s="44">
        <f>IF(B40="","",+SUMIFS('300s Plant Balances Input'!K:K,'300s Plant Balances Input'!B:B,'300s - 3 Digit FERC Accounts'!B40))</f>
        <v>464182170.16000003</v>
      </c>
      <c r="E40" s="44">
        <f>IF(B40="","",+SUMIFS('300s Plant Balances Input'!S:S,'300s Plant Balances Input'!B:B,'300s - 3 Digit FERC Accounts'!B40))</f>
        <v>101456610.04000001</v>
      </c>
      <c r="F40" s="44">
        <f>IF(B40="","",+SUMIFS('300s Plant Balances Input'!M:M,'300s Plant Balances Input'!B:B,'300s - 3 Digit FERC Accounts'!B40))</f>
        <v>8151244.7199999997</v>
      </c>
      <c r="H40" s="44"/>
      <c r="I40" s="46"/>
    </row>
    <row r="41" spans="2:9">
      <c r="B41" s="33">
        <v>367</v>
      </c>
      <c r="C41" t="s">
        <v>1806</v>
      </c>
      <c r="D41" s="44">
        <f>IF(B41="","",+SUMIFS('300s Plant Balances Input'!K:K,'300s Plant Balances Input'!B:B,'300s - 3 Digit FERC Accounts'!B41))</f>
        <v>784983492.21000004</v>
      </c>
      <c r="E41" s="44">
        <f>IF(B41="","",+SUMIFS('300s Plant Balances Input'!S:S,'300s Plant Balances Input'!B:B,'300s - 3 Digit FERC Accounts'!B41))</f>
        <v>63380247.600000001</v>
      </c>
      <c r="F41" s="44">
        <f>IF(B41="","",+SUMIFS('300s Plant Balances Input'!M:M,'300s Plant Balances Input'!B:B,'300s - 3 Digit FERC Accounts'!B41))</f>
        <v>27882617.57</v>
      </c>
      <c r="H41" s="44"/>
      <c r="I41" s="46"/>
    </row>
    <row r="42" spans="2:9">
      <c r="B42" s="33">
        <v>368</v>
      </c>
      <c r="C42" t="s">
        <v>1807</v>
      </c>
      <c r="D42" s="44">
        <f>IF(B42="","",+SUMIFS('300s Plant Balances Input'!K:K,'300s Plant Balances Input'!B:B,'300s - 3 Digit FERC Accounts'!B42))</f>
        <v>1040688198.04</v>
      </c>
      <c r="E42" s="44">
        <f>IF(B42="","",+SUMIFS('300s Plant Balances Input'!S:S,'300s Plant Balances Input'!B:B,'300s - 3 Digit FERC Accounts'!B42))</f>
        <v>379252067.89999998</v>
      </c>
      <c r="F42" s="44">
        <f>IF(B42="","",+SUMIFS('300s Plant Balances Input'!M:M,'300s Plant Balances Input'!B:B,'300s - 3 Digit FERC Accounts'!B42))</f>
        <v>40688717.689999998</v>
      </c>
      <c r="H42" s="44"/>
      <c r="I42" s="46"/>
    </row>
    <row r="43" spans="2:9">
      <c r="B43" s="33">
        <v>369</v>
      </c>
      <c r="C43" t="s">
        <v>1808</v>
      </c>
      <c r="D43" s="44">
        <f>IF(B43="","",+SUMIFS('300s Plant Balances Input'!K:K,'300s Plant Balances Input'!B:B,'300s - 3 Digit FERC Accounts'!B43))</f>
        <v>239338890.17000002</v>
      </c>
      <c r="E43" s="44">
        <f>IF(B43="","",+SUMIFS('300s Plant Balances Input'!S:S,'300s Plant Balances Input'!B:B,'300s - 3 Digit FERC Accounts'!B43))</f>
        <v>144093626.61000001</v>
      </c>
      <c r="F43" s="44">
        <f>IF(B43="","",+SUMIFS('300s Plant Balances Input'!M:M,'300s Plant Balances Input'!B:B,'300s - 3 Digit FERC Accounts'!B43))</f>
        <v>6056882</v>
      </c>
      <c r="H43" s="44"/>
      <c r="I43" s="46"/>
    </row>
    <row r="44" spans="2:9">
      <c r="B44" s="33">
        <v>370</v>
      </c>
      <c r="C44" t="s">
        <v>1809</v>
      </c>
      <c r="D44" s="44">
        <f>IF(B44="","",+SUMIFS('300s Plant Balances Input'!K:K,'300s Plant Balances Input'!B:B,'300s - 3 Digit FERC Accounts'!B44))</f>
        <v>149854392.21000001</v>
      </c>
      <c r="E44" s="44">
        <f>IF(B44="","",+SUMIFS('300s Plant Balances Input'!S:S,'300s Plant Balances Input'!B:B,'300s - 3 Digit FERC Accounts'!B44))</f>
        <v>25380912.34</v>
      </c>
      <c r="F44" s="44">
        <f>IF(B44="","",+SUMIFS('300s Plant Balances Input'!M:M,'300s Plant Balances Input'!B:B,'300s - 3 Digit FERC Accounts'!B44))</f>
        <v>15404009.630000001</v>
      </c>
      <c r="H44" s="44"/>
      <c r="I44" s="46"/>
    </row>
    <row r="45" spans="2:9">
      <c r="B45" s="33">
        <v>371</v>
      </c>
      <c r="C45" t="s">
        <v>1810</v>
      </c>
      <c r="D45" s="44">
        <f>IF(B45="","",+SUMIFS('300s Plant Balances Input'!K:K,'300s Plant Balances Input'!B:B,'300s - 3 Digit FERC Accounts'!B45))</f>
        <v>0</v>
      </c>
      <c r="E45" s="44">
        <f>IF(B45="","",+SUMIFS('300s Plant Balances Input'!S:S,'300s Plant Balances Input'!B:B,'300s - 3 Digit FERC Accounts'!B45))</f>
        <v>0</v>
      </c>
      <c r="F45" s="44">
        <f>IF(B45="","",+SUMIFS('300s Plant Balances Input'!M:M,'300s Plant Balances Input'!B:B,'300s - 3 Digit FERC Accounts'!B45))</f>
        <v>0</v>
      </c>
      <c r="H45" s="44"/>
      <c r="I45" s="46"/>
    </row>
    <row r="46" spans="2:9">
      <c r="B46" s="33">
        <v>373</v>
      </c>
      <c r="C46" t="s">
        <v>1811</v>
      </c>
      <c r="D46" s="44">
        <f>IF(B46="","",+SUMIFS('300s Plant Balances Input'!K:K,'300s Plant Balances Input'!B:B,'300s - 3 Digit FERC Accounts'!B46))</f>
        <v>416297679.55000001</v>
      </c>
      <c r="E46" s="44">
        <f>IF(B46="","",+SUMIFS('300s Plant Balances Input'!S:S,'300s Plant Balances Input'!B:B,'300s - 3 Digit FERC Accounts'!B46))</f>
        <v>132217582.5</v>
      </c>
      <c r="F46" s="44">
        <f>IF(B46="","",+SUMIFS('300s Plant Balances Input'!M:M,'300s Plant Balances Input'!B:B,'300s - 3 Digit FERC Accounts'!B46))</f>
        <v>15275592.210000001</v>
      </c>
      <c r="H46" s="44"/>
      <c r="I46" s="46"/>
    </row>
    <row r="47" spans="2:9">
      <c r="B47" s="33">
        <v>374</v>
      </c>
      <c r="C47" t="s">
        <v>1812</v>
      </c>
      <c r="D47" s="44">
        <f>IF(B47="","",+SUMIFS('300s Plant Balances Input'!K:K,'300s Plant Balances Input'!B:B,'300s - 3 Digit FERC Accounts'!B47))</f>
        <v>7160182.2599999998</v>
      </c>
      <c r="E47" s="44">
        <f>IF(B47="","",+SUMIFS('300s Plant Balances Input'!S:S,'300s Plant Balances Input'!B:B,'300s - 3 Digit FERC Accounts'!B47))</f>
        <v>1917433.55</v>
      </c>
      <c r="F47" s="44">
        <f>IF(B47="","",+SUMIFS('300s Plant Balances Input'!M:M,'300s Plant Balances Input'!B:B,'300s - 3 Digit FERC Accounts'!B47))</f>
        <v>100242.6</v>
      </c>
      <c r="H47" s="44"/>
      <c r="I47" s="46"/>
    </row>
    <row r="48" spans="2:9">
      <c r="B48" s="33">
        <v>389</v>
      </c>
      <c r="C48" t="s">
        <v>1800</v>
      </c>
      <c r="D48" s="44">
        <f>IF(B48="","",+SUMIFS('300s Plant Balances Input'!K:K,'300s Plant Balances Input'!B:B,'300s - 3 Digit FERC Accounts'!B48))</f>
        <v>16600915.82</v>
      </c>
      <c r="E48" s="44">
        <f>IF(B48="","",+SUMIFS('300s Plant Balances Input'!S:S,'300s Plant Balances Input'!B:B,'300s - 3 Digit FERC Accounts'!B48))</f>
        <v>0</v>
      </c>
      <c r="F48" s="44">
        <f>IF(B48="","",+SUMIFS('300s Plant Balances Input'!M:M,'300s Plant Balances Input'!B:B,'300s - 3 Digit FERC Accounts'!B48))</f>
        <v>0</v>
      </c>
      <c r="H48" s="44"/>
      <c r="I48" s="46"/>
    </row>
    <row r="49" spans="2:9">
      <c r="B49" s="33">
        <v>390</v>
      </c>
      <c r="C49" t="s">
        <v>1813</v>
      </c>
      <c r="D49" s="44">
        <f>IF(B49="","",+SUMIFS('300s Plant Balances Input'!K:K,'300s Plant Balances Input'!B:B,'300s - 3 Digit FERC Accounts'!B49))</f>
        <v>440479478.23000002</v>
      </c>
      <c r="E49" s="44">
        <f>IF(B49="","",+SUMIFS('300s Plant Balances Input'!S:S,'300s Plant Balances Input'!B:B,'300s - 3 Digit FERC Accounts'!B49))</f>
        <v>45485804.700000003</v>
      </c>
      <c r="F49" s="44">
        <f>IF(B49="","",+SUMIFS('300s Plant Balances Input'!M:M,'300s Plant Balances Input'!B:B,'300s - 3 Digit FERC Accounts'!B49))</f>
        <v>7193325.5899999999</v>
      </c>
      <c r="H49" s="44"/>
      <c r="I49" s="46"/>
    </row>
    <row r="50" spans="2:9">
      <c r="B50" s="33">
        <v>391</v>
      </c>
      <c r="C50" t="s">
        <v>1814</v>
      </c>
      <c r="D50" s="44">
        <f>IF(B50="","",+SUMIFS('300s Plant Balances Input'!K:K,'300s Plant Balances Input'!B:B,'300s - 3 Digit FERC Accounts'!B50))</f>
        <v>73597785.439999998</v>
      </c>
      <c r="E50" s="44">
        <f>IF(B50="","",+SUMIFS('300s Plant Balances Input'!S:S,'300s Plant Balances Input'!B:B,'300s - 3 Digit FERC Accounts'!B50))</f>
        <v>39098282.799999997</v>
      </c>
      <c r="F50" s="44">
        <f>IF(B50="","",+SUMIFS('300s Plant Balances Input'!M:M,'300s Plant Balances Input'!B:B,'300s - 3 Digit FERC Accounts'!B50))</f>
        <v>14798877.050000001</v>
      </c>
      <c r="H50" s="44"/>
      <c r="I50" s="46"/>
    </row>
    <row r="51" spans="2:9">
      <c r="B51" s="33">
        <v>392</v>
      </c>
      <c r="C51" t="s">
        <v>1815</v>
      </c>
      <c r="D51" s="44">
        <f>IF(B51="","",+SUMIFS('300s Plant Balances Input'!K:K,'300s Plant Balances Input'!B:B,'300s - 3 Digit FERC Accounts'!B51))</f>
        <v>119302262.93999998</v>
      </c>
      <c r="E51" s="44">
        <f>IF(B51="","",+SUMIFS('300s Plant Balances Input'!S:S,'300s Plant Balances Input'!B:B,'300s - 3 Digit FERC Accounts'!B51))</f>
        <v>41605728.069999993</v>
      </c>
      <c r="F51" s="44">
        <f>IF(B51="","",+SUMIFS('300s Plant Balances Input'!M:M,'300s Plant Balances Input'!B:B,'300s - 3 Digit FERC Accounts'!B51))</f>
        <v>5961132.7799999993</v>
      </c>
      <c r="H51" s="44"/>
      <c r="I51" s="46"/>
    </row>
    <row r="52" spans="2:9">
      <c r="B52" s="33">
        <v>393</v>
      </c>
      <c r="C52" t="s">
        <v>1816</v>
      </c>
      <c r="D52" s="44">
        <f>IF(B52="","",+SUMIFS('300s Plant Balances Input'!K:K,'300s Plant Balances Input'!B:B,'300s - 3 Digit FERC Accounts'!B52))</f>
        <v>0</v>
      </c>
      <c r="E52" s="44">
        <f>IF(B52="","",+SUMIFS('300s Plant Balances Input'!S:S,'300s Plant Balances Input'!B:B,'300s - 3 Digit FERC Accounts'!B52))</f>
        <v>0</v>
      </c>
      <c r="F52" s="44">
        <f>IF(B52="","",+SUMIFS('300s Plant Balances Input'!M:M,'300s Plant Balances Input'!B:B,'300s - 3 Digit FERC Accounts'!B52))</f>
        <v>0</v>
      </c>
      <c r="H52" s="44"/>
      <c r="I52" s="46"/>
    </row>
    <row r="53" spans="2:9">
      <c r="B53" s="33">
        <v>394</v>
      </c>
      <c r="C53" t="s">
        <v>1817</v>
      </c>
      <c r="D53" s="44">
        <f>IF(B53="","",+SUMIFS('300s Plant Balances Input'!K:K,'300s Plant Balances Input'!B:B,'300s - 3 Digit FERC Accounts'!B53))</f>
        <v>20094336.080000002</v>
      </c>
      <c r="E53" s="44">
        <f>IF(B53="","",+SUMIFS('300s Plant Balances Input'!S:S,'300s Plant Balances Input'!B:B,'300s - 3 Digit FERC Accounts'!B53))</f>
        <v>10208401.609999999</v>
      </c>
      <c r="F53" s="44">
        <f>IF(B53="","",+SUMIFS('300s Plant Balances Input'!M:M,'300s Plant Balances Input'!B:B,'300s - 3 Digit FERC Accounts'!B53))</f>
        <v>3103557.6</v>
      </c>
      <c r="H53" s="44"/>
      <c r="I53" s="46"/>
    </row>
    <row r="54" spans="2:9">
      <c r="B54" s="33">
        <v>395</v>
      </c>
      <c r="C54" t="s">
        <v>1818</v>
      </c>
      <c r="D54" s="44">
        <f>IF(B54="","",+SUMIFS('300s Plant Balances Input'!K:K,'300s Plant Balances Input'!B:B,'300s - 3 Digit FERC Accounts'!B54))</f>
        <v>17773394.870000001</v>
      </c>
      <c r="E54" s="44">
        <f>IF(B54="","",+SUMIFS('300s Plant Balances Input'!S:S,'300s Plant Balances Input'!B:B,'300s - 3 Digit FERC Accounts'!B54))</f>
        <v>2821810.42</v>
      </c>
      <c r="F54" s="44">
        <f>IF(B54="","",+SUMIFS('300s Plant Balances Input'!M:M,'300s Plant Balances Input'!B:B,'300s - 3 Digit FERC Accounts'!B54))</f>
        <v>2503629.46</v>
      </c>
      <c r="H54" s="44"/>
      <c r="I54" s="46"/>
    </row>
    <row r="55" spans="2:9">
      <c r="B55" s="33">
        <v>396</v>
      </c>
      <c r="C55" t="s">
        <v>1819</v>
      </c>
      <c r="D55" s="44">
        <f>IF(B55="","",+SUMIFS('300s Plant Balances Input'!K:K,'300s Plant Balances Input'!B:B,'300s - 3 Digit FERC Accounts'!B55))</f>
        <v>0</v>
      </c>
      <c r="E55" s="44">
        <f>IF(B55="","",+SUMIFS('300s Plant Balances Input'!S:S,'300s Plant Balances Input'!B:B,'300s - 3 Digit FERC Accounts'!B55))</f>
        <v>0</v>
      </c>
      <c r="F55" s="44">
        <f>IF(B55="","",+SUMIFS('300s Plant Balances Input'!M:M,'300s Plant Balances Input'!B:B,'300s - 3 Digit FERC Accounts'!B55))</f>
        <v>0</v>
      </c>
      <c r="H55" s="44"/>
      <c r="I55" s="46"/>
    </row>
    <row r="56" spans="2:9">
      <c r="B56" s="33">
        <v>397</v>
      </c>
      <c r="C56" t="s">
        <v>1820</v>
      </c>
      <c r="D56" s="44">
        <f>IF(B56="","",+SUMIFS('300s Plant Balances Input'!K:K,'300s Plant Balances Input'!B:B,'300s - 3 Digit FERC Accounts'!B56))</f>
        <v>110001019.81999999</v>
      </c>
      <c r="E56" s="44">
        <f>IF(B56="","",+SUMIFS('300s Plant Balances Input'!S:S,'300s Plant Balances Input'!B:B,'300s - 3 Digit FERC Accounts'!B56))</f>
        <v>50483866.210000001</v>
      </c>
      <c r="F56" s="44">
        <f>IF(B56="","",+SUMIFS('300s Plant Balances Input'!M:M,'300s Plant Balances Input'!B:B,'300s - 3 Digit FERC Accounts'!B56))</f>
        <v>8349819.29</v>
      </c>
      <c r="H56" s="44"/>
      <c r="I56" s="46"/>
    </row>
    <row r="57" spans="2:9">
      <c r="B57" s="33">
        <v>398</v>
      </c>
      <c r="C57" t="s">
        <v>1821</v>
      </c>
      <c r="D57" s="44">
        <f>IF(B57="","",+SUMIFS('300s Plant Balances Input'!K:K,'300s Plant Balances Input'!B:B,'300s - 3 Digit FERC Accounts'!B57))</f>
        <v>4972845.12</v>
      </c>
      <c r="E57" s="44">
        <f>IF(B57="","",+SUMIFS('300s Plant Balances Input'!S:S,'300s Plant Balances Input'!B:B,'300s - 3 Digit FERC Accounts'!B57))</f>
        <v>2741421.98</v>
      </c>
      <c r="F57" s="44">
        <f>IF(B57="","",+SUMIFS('300s Plant Balances Input'!M:M,'300s Plant Balances Input'!B:B,'300s - 3 Digit FERC Accounts'!B57))</f>
        <v>705000.38</v>
      </c>
    </row>
    <row r="58" spans="2:9">
      <c r="B58" s="33">
        <v>399</v>
      </c>
      <c r="C58" t="s">
        <v>1822</v>
      </c>
      <c r="D58" s="44">
        <f>IF(B58="","",+SUMIFS('300s Plant Balances Input'!K:K,'300s Plant Balances Input'!B:B,'300s - 3 Digit FERC Accounts'!B58))</f>
        <v>269187.51</v>
      </c>
      <c r="E58" s="44">
        <f>IF(B58="","",+SUMIFS('300s Plant Balances Input'!S:S,'300s Plant Balances Input'!B:B,'300s - 3 Digit FERC Accounts'!B58))</f>
        <v>146622.67000000001</v>
      </c>
      <c r="F58" s="44">
        <f>IF(B58="","",+SUMIFS('300s Plant Balances Input'!M:M,'300s Plant Balances Input'!B:B,'300s - 3 Digit FERC Accounts'!B58))</f>
        <v>11575.08</v>
      </c>
    </row>
    <row r="59" spans="2:9">
      <c r="D59" s="44" t="str">
        <f>IF(B59="","",+SUMIFS('300s Plant Balances Input'!K:K,'300s Plant Balances Input'!B:B,'300s - 3 Digit FERC Accounts'!B59))</f>
        <v/>
      </c>
      <c r="E59" s="44" t="str">
        <f>IF(B59="","",+SUMIFS('300s Plant Balances Input'!S:S,'300s Plant Balances Input'!B:B,'300s - 3 Digit FERC Accounts'!B59))</f>
        <v/>
      </c>
      <c r="F59" s="44" t="str">
        <f>IF(B59="","",+SUMIFS('300s Plant Balances Input'!M:M,'300s Plant Balances Input'!B:B,'300s - 3 Digit FERC Accounts'!B59))</f>
        <v/>
      </c>
    </row>
    <row r="60" spans="2:9">
      <c r="D60" s="44" t="str">
        <f>IF(B60="","",+SUMIFS('300s Plant Balances Input'!K:K,'300s Plant Balances Input'!B:B,'300s - 3 Digit FERC Accounts'!B60))</f>
        <v/>
      </c>
      <c r="E60" s="44" t="str">
        <f>IF(B60="","",+SUMIFS('300s Plant Balances Input'!S:S,'300s Plant Balances Input'!B:B,'300s - 3 Digit FERC Accounts'!B60))</f>
        <v/>
      </c>
      <c r="F60" s="44" t="str">
        <f>IF(B60="","",+SUMIFS('300s Plant Balances Input'!M:M,'300s Plant Balances Input'!B:B,'300s - 3 Digit FERC Accounts'!B60))</f>
        <v/>
      </c>
    </row>
    <row r="61" spans="2:9">
      <c r="D61" s="44" t="str">
        <f>IF(B61="","",+SUMIFS('300s Plant Balances Input'!K:K,'300s Plant Balances Input'!B:B,'300s - 3 Digit FERC Accounts'!B61))</f>
        <v/>
      </c>
      <c r="E61" s="44" t="str">
        <f>IF(B61="","",+SUMIFS('300s Plant Balances Input'!S:S,'300s Plant Balances Input'!B:B,'300s - 3 Digit FERC Accounts'!B61))</f>
        <v/>
      </c>
      <c r="F61" s="44" t="str">
        <f>IF(B61="","",+SUMIFS('300s Plant Balances Input'!M:M,'300s Plant Balances Input'!B:B,'300s - 3 Digit FERC Accounts'!B61))</f>
        <v/>
      </c>
    </row>
    <row r="62" spans="2:9">
      <c r="D62" s="44" t="str">
        <f>IF(B62="","",+SUMIFS('300s Plant Balances Input'!K:K,'300s Plant Balances Input'!B:B,'300s - 3 Digit FERC Accounts'!B62))</f>
        <v/>
      </c>
      <c r="E62" s="44" t="str">
        <f>IF(B62="","",+SUMIFS('300s Plant Balances Input'!S:S,'300s Plant Balances Input'!B:B,'300s - 3 Digit FERC Accounts'!B62))</f>
        <v/>
      </c>
      <c r="F62" s="44" t="str">
        <f>IF(B62="","",+SUMIFS('300s Plant Balances Input'!M:M,'300s Plant Balances Input'!B:B,'300s - 3 Digit FERC Accounts'!B62))</f>
        <v/>
      </c>
    </row>
    <row r="63" spans="2:9">
      <c r="D63" s="44" t="str">
        <f>IF(B63="","",+SUMIFS('300s Plant Balances Input'!K:K,'300s Plant Balances Input'!B:B,'300s - 3 Digit FERC Accounts'!B63))</f>
        <v/>
      </c>
      <c r="E63" s="44" t="str">
        <f>IF(B63="","",+SUMIFS('300s Plant Balances Input'!S:S,'300s Plant Balances Input'!B:B,'300s - 3 Digit FERC Accounts'!B63))</f>
        <v/>
      </c>
      <c r="F63" s="44" t="str">
        <f>IF(B63="","",+SUMIFS('300s Plant Balances Input'!M:M,'300s Plant Balances Input'!B:B,'300s - 3 Digit FERC Accounts'!B63))</f>
        <v/>
      </c>
    </row>
    <row r="64" spans="2:9">
      <c r="D64" s="44" t="str">
        <f>IF(B64="","",+SUMIFS('300s Plant Balances Input'!K:K,'300s Plant Balances Input'!B:B,'300s - 3 Digit FERC Accounts'!B64))</f>
        <v/>
      </c>
      <c r="E64" s="44" t="str">
        <f>IF(B64="","",+SUMIFS('300s Plant Balances Input'!S:S,'300s Plant Balances Input'!B:B,'300s - 3 Digit FERC Accounts'!B64))</f>
        <v/>
      </c>
      <c r="F64" s="44" t="str">
        <f>IF(B64="","",+SUMIFS('300s Plant Balances Input'!M:M,'300s Plant Balances Input'!B:B,'300s - 3 Digit FERC Accounts'!B64))</f>
        <v/>
      </c>
    </row>
    <row r="65" spans="4:6">
      <c r="D65" s="44" t="str">
        <f>IF(B65="","",+SUMIFS('300s Plant Balances Input'!K:K,'300s Plant Balances Input'!B:B,'300s - 3 Digit FERC Accounts'!B65))</f>
        <v/>
      </c>
      <c r="E65" s="44" t="str">
        <f>IF(B65="","",+SUMIFS('300s Plant Balances Input'!S:S,'300s Plant Balances Input'!B:B,'300s - 3 Digit FERC Accounts'!B65))</f>
        <v/>
      </c>
      <c r="F65" s="44" t="str">
        <f>IF(B65="","",+SUMIFS('300s Plant Balances Input'!M:M,'300s Plant Balances Input'!B:B,'300s - 3 Digit FERC Accounts'!B65))</f>
        <v/>
      </c>
    </row>
    <row r="66" spans="4:6">
      <c r="D66" s="44" t="str">
        <f>IF(B66="","",+SUMIFS('300s Plant Balances Input'!K:K,'300s Plant Balances Input'!B:B,'300s - 3 Digit FERC Accounts'!B66))</f>
        <v/>
      </c>
      <c r="E66" s="44" t="str">
        <f>IF(B66="","",+SUMIFS('300s Plant Balances Input'!S:S,'300s Plant Balances Input'!B:B,'300s - 3 Digit FERC Accounts'!B66))</f>
        <v/>
      </c>
      <c r="F66" s="44" t="str">
        <f>IF(B66="","",+SUMIFS('300s Plant Balances Input'!M:M,'300s Plant Balances Input'!B:B,'300s - 3 Digit FERC Accounts'!B66))</f>
        <v/>
      </c>
    </row>
    <row r="67" spans="4:6">
      <c r="D67" s="44" t="str">
        <f>IF(B67="","",+SUMIFS('300s Plant Balances Input'!K:K,'300s Plant Balances Input'!B:B,'300s - 3 Digit FERC Accounts'!B67))</f>
        <v/>
      </c>
      <c r="E67" s="44" t="str">
        <f>IF(B67="","",+SUMIFS('300s Plant Balances Input'!S:S,'300s Plant Balances Input'!B:B,'300s - 3 Digit FERC Accounts'!B67))</f>
        <v/>
      </c>
      <c r="F67" s="44" t="str">
        <f>IF(B67="","",+SUMIFS('300s Plant Balances Input'!M:M,'300s Plant Balances Input'!B:B,'300s - 3 Digit FERC Accounts'!B67))</f>
        <v/>
      </c>
    </row>
    <row r="68" spans="4:6">
      <c r="D68" s="44" t="str">
        <f>IF(B68="","",+SUMIFS('300s Plant Balances Input'!K:K,'300s Plant Balances Input'!B:B,'300s - 3 Digit FERC Accounts'!B68))</f>
        <v/>
      </c>
      <c r="E68" s="44" t="str">
        <f>IF(B68="","",+SUMIFS('300s Plant Balances Input'!S:S,'300s Plant Balances Input'!B:B,'300s - 3 Digit FERC Accounts'!B68))</f>
        <v/>
      </c>
      <c r="F68" s="44" t="str">
        <f>IF(B68="","",+SUMIFS('300s Plant Balances Input'!M:M,'300s Plant Balances Input'!B:B,'300s - 3 Digit FERC Accounts'!B68))</f>
        <v/>
      </c>
    </row>
    <row r="69" spans="4:6">
      <c r="D69" s="44" t="str">
        <f>IF(B69="","",+SUMIFS('300s Plant Balances Input'!K:K,'300s Plant Balances Input'!B:B,'300s - 3 Digit FERC Accounts'!B69))</f>
        <v/>
      </c>
      <c r="E69" s="44" t="str">
        <f>IF(B69="","",+SUMIFS('300s Plant Balances Input'!S:S,'300s Plant Balances Input'!B:B,'300s - 3 Digit FERC Accounts'!B69))</f>
        <v/>
      </c>
      <c r="F69" s="44" t="str">
        <f>IF(B69="","",+SUMIFS('300s Plant Balances Input'!M:M,'300s Plant Balances Input'!B:B,'300s - 3 Digit FERC Accounts'!B69))</f>
        <v/>
      </c>
    </row>
    <row r="70" spans="4:6">
      <c r="D70" s="44" t="str">
        <f>IF(B70="","",+SUMIFS('300s Plant Balances Input'!K:K,'300s Plant Balances Input'!B:B,'300s - 3 Digit FERC Accounts'!B70))</f>
        <v/>
      </c>
      <c r="E70" s="44" t="str">
        <f>IF(B70="","",+SUMIFS('300s Plant Balances Input'!S:S,'300s Plant Balances Input'!B:B,'300s - 3 Digit FERC Accounts'!B70))</f>
        <v/>
      </c>
      <c r="F70" s="44" t="str">
        <f>IF(B70="","",+SUMIFS('300s Plant Balances Input'!M:M,'300s Plant Balances Input'!B:B,'300s - 3 Digit FERC Accounts'!B70))</f>
        <v/>
      </c>
    </row>
    <row r="71" spans="4:6">
      <c r="D71" s="44" t="str">
        <f>IF(B71="","",+SUMIFS('300s Plant Balances Input'!K:K,'300s Plant Balances Input'!B:B,'300s - 3 Digit FERC Accounts'!B71))</f>
        <v/>
      </c>
      <c r="E71" s="44" t="str">
        <f>IF(B71="","",+SUMIFS('300s Plant Balances Input'!S:S,'300s Plant Balances Input'!B:B,'300s - 3 Digit FERC Accounts'!B71))</f>
        <v/>
      </c>
      <c r="F71" s="44" t="str">
        <f>IF(B71="","",+SUMIFS('300s Plant Balances Input'!M:M,'300s Plant Balances Input'!B:B,'300s - 3 Digit FERC Accounts'!B71))</f>
        <v/>
      </c>
    </row>
    <row r="72" spans="4:6">
      <c r="D72" s="44" t="str">
        <f>IF(B72="","",+SUMIFS('300s Plant Balances Input'!K:K,'300s Plant Balances Input'!B:B,'300s - 3 Digit FERC Accounts'!B72))</f>
        <v/>
      </c>
      <c r="E72" s="44" t="str">
        <f>IF(B72="","",+SUMIFS('300s Plant Balances Input'!S:S,'300s Plant Balances Input'!B:B,'300s - 3 Digit FERC Accounts'!B72))</f>
        <v/>
      </c>
      <c r="F72" s="44" t="str">
        <f>IF(B72="","",+SUMIFS('300s Plant Balances Input'!M:M,'300s Plant Balances Input'!B:B,'300s - 3 Digit FERC Accounts'!B72))</f>
        <v/>
      </c>
    </row>
    <row r="73" spans="4:6">
      <c r="D73" s="44" t="str">
        <f>IF(B73="","",+SUMIFS('300s Plant Balances Input'!K:K,'300s Plant Balances Input'!B:B,'300s - 3 Digit FERC Accounts'!B73))</f>
        <v/>
      </c>
      <c r="E73" s="44" t="str">
        <f>IF(B73="","",+SUMIFS('300s Plant Balances Input'!S:S,'300s Plant Balances Input'!B:B,'300s - 3 Digit FERC Accounts'!B73))</f>
        <v/>
      </c>
      <c r="F73" s="44" t="str">
        <f>IF(B73="","",+SUMIFS('300s Plant Balances Input'!M:M,'300s Plant Balances Input'!B:B,'300s - 3 Digit FERC Accounts'!B73))</f>
        <v/>
      </c>
    </row>
    <row r="74" spans="4:6">
      <c r="D74" s="44" t="str">
        <f>IF(B74="","",+SUMIFS('300s Plant Balances Input'!K:K,'300s Plant Balances Input'!B:B,'300s - 3 Digit FERC Accounts'!B74))</f>
        <v/>
      </c>
      <c r="E74" s="44" t="str">
        <f>IF(B74="","",+SUMIFS('300s Plant Balances Input'!S:S,'300s Plant Balances Input'!B:B,'300s - 3 Digit FERC Accounts'!B74))</f>
        <v/>
      </c>
      <c r="F74" s="44" t="str">
        <f>IF(B74="","",+SUMIFS('300s Plant Balances Input'!M:M,'300s Plant Balances Input'!B:B,'300s - 3 Digit FERC Accounts'!B74))</f>
        <v/>
      </c>
    </row>
    <row r="75" spans="4:6">
      <c r="D75" s="44" t="str">
        <f>IF(B75="","",+SUMIFS('300s Plant Balances Input'!K:K,'300s Plant Balances Input'!B:B,'300s - 3 Digit FERC Accounts'!B75))</f>
        <v/>
      </c>
      <c r="E75" s="44" t="str">
        <f>IF(B75="","",+SUMIFS('300s Plant Balances Input'!S:S,'300s Plant Balances Input'!B:B,'300s - 3 Digit FERC Accounts'!B75))</f>
        <v/>
      </c>
      <c r="F75" s="44" t="str">
        <f>IF(B75="","",+SUMIFS('300s Plant Balances Input'!M:M,'300s Plant Balances Input'!B:B,'300s - 3 Digit FERC Accounts'!B75))</f>
        <v/>
      </c>
    </row>
    <row r="76" spans="4:6">
      <c r="D76" s="44" t="str">
        <f>IF(B76="","",+SUMIFS('300s Plant Balances Input'!K:K,'300s Plant Balances Input'!B:B,'300s - 3 Digit FERC Accounts'!B76))</f>
        <v/>
      </c>
      <c r="E76" s="44" t="str">
        <f>IF(B76="","",+SUMIFS('300s Plant Balances Input'!S:S,'300s Plant Balances Input'!B:B,'300s - 3 Digit FERC Accounts'!B76))</f>
        <v/>
      </c>
      <c r="F76" s="44" t="str">
        <f>IF(B76="","",+SUMIFS('300s Plant Balances Input'!M:M,'300s Plant Balances Input'!B:B,'300s - 3 Digit FERC Accounts'!B76))</f>
        <v/>
      </c>
    </row>
    <row r="77" spans="4:6">
      <c r="D77" s="44" t="str">
        <f>IF(B77="","",+SUMIFS('300s Plant Balances Input'!K:K,'300s Plant Balances Input'!B:B,'300s - 3 Digit FERC Accounts'!B77))</f>
        <v/>
      </c>
      <c r="E77" s="44" t="str">
        <f>IF(B77="","",+SUMIFS('300s Plant Balances Input'!S:S,'300s Plant Balances Input'!B:B,'300s - 3 Digit FERC Accounts'!B77))</f>
        <v/>
      </c>
      <c r="F77" s="44" t="str">
        <f>IF(B77="","",+SUMIFS('300s Plant Balances Input'!M:M,'300s Plant Balances Input'!B:B,'300s - 3 Digit FERC Accounts'!B77))</f>
        <v/>
      </c>
    </row>
    <row r="78" spans="4:6">
      <c r="D78" s="44" t="str">
        <f>IF(B78="","",+SUMIFS('300s Plant Balances Input'!K:K,'300s Plant Balances Input'!B:B,'300s - 3 Digit FERC Accounts'!B78))</f>
        <v/>
      </c>
      <c r="E78" s="44" t="str">
        <f>IF(B78="","",+SUMIFS('300s Plant Balances Input'!S:S,'300s Plant Balances Input'!B:B,'300s - 3 Digit FERC Accounts'!B78))</f>
        <v/>
      </c>
      <c r="F78" s="44" t="str">
        <f>IF(B78="","",+SUMIFS('300s Plant Balances Input'!M:M,'300s Plant Balances Input'!B:B,'300s - 3 Digit FERC Accounts'!B78))</f>
        <v/>
      </c>
    </row>
    <row r="79" spans="4:6">
      <c r="D79" s="44" t="str">
        <f>IF(B79="","",+SUMIFS('300s Plant Balances Input'!K:K,'300s Plant Balances Input'!B:B,'300s - 3 Digit FERC Accounts'!B79))</f>
        <v/>
      </c>
      <c r="E79" s="44" t="str">
        <f>IF(B79="","",+SUMIFS('300s Plant Balances Input'!S:S,'300s Plant Balances Input'!B:B,'300s - 3 Digit FERC Accounts'!B79))</f>
        <v/>
      </c>
      <c r="F79" s="44" t="str">
        <f>IF(B79="","",+SUMIFS('300s Plant Balances Input'!M:M,'300s Plant Balances Input'!B:B,'300s - 3 Digit FERC Accounts'!B79))</f>
        <v/>
      </c>
    </row>
    <row r="80" spans="4:6">
      <c r="D80" s="44" t="str">
        <f>IF(B80="","",+SUMIFS('300s Plant Balances Input'!K:K,'300s Plant Balances Input'!B:B,'300s - 3 Digit FERC Accounts'!B80))</f>
        <v/>
      </c>
      <c r="E80" s="44" t="str">
        <f>IF(B80="","",+SUMIFS('300s Plant Balances Input'!S:S,'300s Plant Balances Input'!B:B,'300s - 3 Digit FERC Accounts'!B80))</f>
        <v/>
      </c>
      <c r="F80" s="44" t="str">
        <f>IF(B80="","",+SUMIFS('300s Plant Balances Input'!M:M,'300s Plant Balances Input'!B:B,'300s - 3 Digit FERC Accounts'!B80))</f>
        <v/>
      </c>
    </row>
    <row r="81" spans="4:6">
      <c r="D81" s="44" t="str">
        <f>IF(B81="","",+SUMIFS('300s Plant Balances Input'!K:K,'300s Plant Balances Input'!B:B,'300s - 3 Digit FERC Accounts'!B81))</f>
        <v/>
      </c>
      <c r="E81" s="44" t="str">
        <f>IF(B81="","",+SUMIFS('300s Plant Balances Input'!S:S,'300s Plant Balances Input'!B:B,'300s - 3 Digit FERC Accounts'!B81))</f>
        <v/>
      </c>
      <c r="F81" s="44" t="str">
        <f>IF(B81="","",+SUMIFS('300s Plant Balances Input'!M:M,'300s Plant Balances Input'!B:B,'300s - 3 Digit FERC Accounts'!B81))</f>
        <v/>
      </c>
    </row>
    <row r="82" spans="4:6">
      <c r="D82" s="44" t="str">
        <f>IF(B82="","",+SUMIFS('300s Plant Balances Input'!K:K,'300s Plant Balances Input'!B:B,'300s - 3 Digit FERC Accounts'!B82))</f>
        <v/>
      </c>
      <c r="E82" s="44" t="str">
        <f>IF(B82="","",+SUMIFS('300s Plant Balances Input'!S:S,'300s Plant Balances Input'!B:B,'300s - 3 Digit FERC Accounts'!B82))</f>
        <v/>
      </c>
      <c r="F82" s="44" t="str">
        <f>IF(B82="","",+SUMIFS('300s Plant Balances Input'!M:M,'300s Plant Balances Input'!B:B,'300s - 3 Digit FERC Accounts'!B82))</f>
        <v/>
      </c>
    </row>
    <row r="83" spans="4:6">
      <c r="D83" s="44" t="str">
        <f>IF(B83="","",+SUMIFS('300s Plant Balances Input'!K:K,'300s Plant Balances Input'!B:B,'300s - 3 Digit FERC Accounts'!B83))</f>
        <v/>
      </c>
      <c r="E83" s="44" t="str">
        <f>IF(B83="","",+SUMIFS('300s Plant Balances Input'!S:S,'300s Plant Balances Input'!B:B,'300s - 3 Digit FERC Accounts'!B83))</f>
        <v/>
      </c>
      <c r="F83" s="44" t="str">
        <f>IF(B83="","",+SUMIFS('300s Plant Balances Input'!M:M,'300s Plant Balances Input'!B:B,'300s - 3 Digit FERC Accounts'!B83))</f>
        <v/>
      </c>
    </row>
    <row r="84" spans="4:6">
      <c r="D84" s="44" t="str">
        <f>IF(B84="","",+SUMIFS('300s Plant Balances Input'!K:K,'300s Plant Balances Input'!B:B,'300s - 3 Digit FERC Accounts'!B84))</f>
        <v/>
      </c>
      <c r="E84" s="44" t="str">
        <f>IF(B84="","",+SUMIFS('300s Plant Balances Input'!S:S,'300s Plant Balances Input'!B:B,'300s - 3 Digit FERC Accounts'!B84))</f>
        <v/>
      </c>
      <c r="F84" s="44" t="str">
        <f>IF(B84="","",+SUMIFS('300s Plant Balances Input'!M:M,'300s Plant Balances Input'!B:B,'300s - 3 Digit FERC Accounts'!B84))</f>
        <v/>
      </c>
    </row>
    <row r="85" spans="4:6">
      <c r="D85" s="44" t="str">
        <f>IF(B85="","",+SUMIFS('300s Plant Balances Input'!K:K,'300s Plant Balances Input'!B:B,'300s - 3 Digit FERC Accounts'!B85))</f>
        <v/>
      </c>
      <c r="E85" s="44" t="str">
        <f>IF(B85="","",+SUMIFS('300s Plant Balances Input'!S:S,'300s Plant Balances Input'!B:B,'300s - 3 Digit FERC Accounts'!B85))</f>
        <v/>
      </c>
      <c r="F85" s="44" t="str">
        <f>IF(B85="","",+SUMIFS('300s Plant Balances Input'!M:M,'300s Plant Balances Input'!B:B,'300s - 3 Digit FERC Accounts'!B85))</f>
        <v/>
      </c>
    </row>
    <row r="86" spans="4:6">
      <c r="D86" s="44" t="str">
        <f>IF(B86="","",+SUMIFS('300s Plant Balances Input'!K:K,'300s Plant Balances Input'!B:B,'300s - 3 Digit FERC Accounts'!B86))</f>
        <v/>
      </c>
      <c r="E86" s="44" t="str">
        <f>IF(B86="","",+SUMIFS('300s Plant Balances Input'!S:S,'300s Plant Balances Input'!B:B,'300s - 3 Digit FERC Accounts'!B86))</f>
        <v/>
      </c>
      <c r="F86" s="44" t="str">
        <f>IF(B86="","",+SUMIFS('300s Plant Balances Input'!M:M,'300s Plant Balances Input'!B:B,'300s - 3 Digit FERC Accounts'!B86))</f>
        <v/>
      </c>
    </row>
    <row r="87" spans="4:6">
      <c r="D87" s="44" t="str">
        <f>IF(B87="","",+SUMIFS('300s Plant Balances Input'!K:K,'300s Plant Balances Input'!B:B,'300s - 3 Digit FERC Accounts'!B87))</f>
        <v/>
      </c>
      <c r="E87" s="44" t="str">
        <f>IF(B87="","",+SUMIFS('300s Plant Balances Input'!S:S,'300s Plant Balances Input'!B:B,'300s - 3 Digit FERC Accounts'!B87))</f>
        <v/>
      </c>
      <c r="F87" s="44" t="str">
        <f>IF(B87="","",+SUMIFS('300s Plant Balances Input'!M:M,'300s Plant Balances Input'!B:B,'300s - 3 Digit FERC Accounts'!B87))</f>
        <v/>
      </c>
    </row>
    <row r="88" spans="4:6">
      <c r="D88" s="44" t="str">
        <f>IF(B88="","",+SUMIFS('300s Plant Balances Input'!K:K,'300s Plant Balances Input'!B:B,'300s - 3 Digit FERC Accounts'!B88))</f>
        <v/>
      </c>
      <c r="E88" s="44" t="str">
        <f>IF(B88="","",+SUMIFS('300s Plant Balances Input'!S:S,'300s Plant Balances Input'!B:B,'300s - 3 Digit FERC Accounts'!B88))</f>
        <v/>
      </c>
      <c r="F88" s="44" t="str">
        <f>IF(B88="","",+SUMIFS('300s Plant Balances Input'!M:M,'300s Plant Balances Input'!B:B,'300s - 3 Digit FERC Accounts'!B88))</f>
        <v/>
      </c>
    </row>
    <row r="89" spans="4:6">
      <c r="D89" s="44" t="str">
        <f>IF(B89="","",+SUMIFS('300s Plant Balances Input'!K:K,'300s Plant Balances Input'!B:B,'300s - 3 Digit FERC Accounts'!B89))</f>
        <v/>
      </c>
      <c r="E89" s="44" t="str">
        <f>IF(B89="","",+SUMIFS('300s Plant Balances Input'!S:S,'300s Plant Balances Input'!B:B,'300s - 3 Digit FERC Accounts'!B89))</f>
        <v/>
      </c>
      <c r="F89" s="44" t="str">
        <f>IF(B89="","",+SUMIFS('300s Plant Balances Input'!M:M,'300s Plant Balances Input'!B:B,'300s - 3 Digit FERC Accounts'!B89))</f>
        <v/>
      </c>
    </row>
    <row r="90" spans="4:6">
      <c r="D90" s="44" t="str">
        <f>IF(B90="","",+SUMIFS('300s Plant Balances Input'!K:K,'300s Plant Balances Input'!B:B,'300s - 3 Digit FERC Accounts'!B90))</f>
        <v/>
      </c>
      <c r="E90" s="44" t="str">
        <f>IF(B90="","",+SUMIFS('300s Plant Balances Input'!S:S,'300s Plant Balances Input'!B:B,'300s - 3 Digit FERC Accounts'!B90))</f>
        <v/>
      </c>
      <c r="F90" s="44" t="str">
        <f>IF(B90="","",+SUMIFS('300s Plant Balances Input'!M:M,'300s Plant Balances Input'!B:B,'300s - 3 Digit FERC Accounts'!B90))</f>
        <v/>
      </c>
    </row>
    <row r="91" spans="4:6">
      <c r="D91" s="44" t="str">
        <f>IF(B91="","",+SUMIFS('300s Plant Balances Input'!K:K,'300s Plant Balances Input'!B:B,'300s - 3 Digit FERC Accounts'!B91))</f>
        <v/>
      </c>
      <c r="E91" s="44" t="str">
        <f>IF(B91="","",+SUMIFS('300s Plant Balances Input'!S:S,'300s Plant Balances Input'!B:B,'300s - 3 Digit FERC Accounts'!B91))</f>
        <v/>
      </c>
      <c r="F91" s="44" t="str">
        <f>IF(B91="","",+SUMIFS('300s Plant Balances Input'!M:M,'300s Plant Balances Input'!B:B,'300s - 3 Digit FERC Accounts'!B91))</f>
        <v/>
      </c>
    </row>
    <row r="92" spans="4:6">
      <c r="D92" s="44" t="str">
        <f>IF(B92="","",+SUMIFS('300s Plant Balances Input'!K:K,'300s Plant Balances Input'!B:B,'300s - 3 Digit FERC Accounts'!B92))</f>
        <v/>
      </c>
      <c r="E92" s="44" t="str">
        <f>IF(B92="","",+SUMIFS('300s Plant Balances Input'!S:S,'300s Plant Balances Input'!B:B,'300s - 3 Digit FERC Accounts'!B92))</f>
        <v/>
      </c>
      <c r="F92" s="44" t="str">
        <f>IF(B92="","",+SUMIFS('300s Plant Balances Input'!M:M,'300s Plant Balances Input'!B:B,'300s - 3 Digit FERC Accounts'!B92))</f>
        <v/>
      </c>
    </row>
    <row r="93" spans="4:6">
      <c r="D93" s="44" t="str">
        <f>IF(B93="","",+SUMIFS('300s Plant Balances Input'!K:K,'300s Plant Balances Input'!B:B,'300s - 3 Digit FERC Accounts'!B93))</f>
        <v/>
      </c>
      <c r="E93" s="44" t="str">
        <f>IF(B93="","",+SUMIFS('300s Plant Balances Input'!S:S,'300s Plant Balances Input'!B:B,'300s - 3 Digit FERC Accounts'!B93))</f>
        <v/>
      </c>
      <c r="F93" s="44" t="str">
        <f>IF(B93="","",+SUMIFS('300s Plant Balances Input'!M:M,'300s Plant Balances Input'!B:B,'300s - 3 Digit FERC Accounts'!B93))</f>
        <v/>
      </c>
    </row>
    <row r="94" spans="4:6">
      <c r="D94" s="44" t="str">
        <f>IF(B94="","",+SUMIFS('300s Plant Balances Input'!K:K,'300s Plant Balances Input'!B:B,'300s - 3 Digit FERC Accounts'!B94))</f>
        <v/>
      </c>
      <c r="E94" s="44" t="str">
        <f>IF(B94="","",+SUMIFS('300s Plant Balances Input'!S:S,'300s Plant Balances Input'!B:B,'300s - 3 Digit FERC Accounts'!B94))</f>
        <v/>
      </c>
      <c r="F94" s="44" t="str">
        <f>IF(B94="","",+SUMIFS('300s Plant Balances Input'!M:M,'300s Plant Balances Input'!B:B,'300s - 3 Digit FERC Accounts'!B94))</f>
        <v/>
      </c>
    </row>
    <row r="95" spans="4:6">
      <c r="D95" s="44" t="str">
        <f>IF(B95="","",+SUMIFS('300s Plant Balances Input'!K:K,'300s Plant Balances Input'!B:B,'300s - 3 Digit FERC Accounts'!B95))</f>
        <v/>
      </c>
      <c r="E95" s="44" t="str">
        <f>IF(B95="","",+SUMIFS('300s Plant Balances Input'!S:S,'300s Plant Balances Input'!B:B,'300s - 3 Digit FERC Accounts'!B95))</f>
        <v/>
      </c>
      <c r="F95" s="44" t="str">
        <f>IF(B95="","",+SUMIFS('300s Plant Balances Input'!M:M,'300s Plant Balances Input'!B:B,'300s - 3 Digit FERC Accounts'!B95))</f>
        <v/>
      </c>
    </row>
    <row r="96" spans="4:6">
      <c r="D96" s="44" t="str">
        <f>IF(B96="","",+SUMIFS('300s Plant Balances Input'!K:K,'300s Plant Balances Input'!B:B,'300s - 3 Digit FERC Accounts'!B96))</f>
        <v/>
      </c>
      <c r="E96" s="44" t="str">
        <f>IF(B96="","",+SUMIFS('300s Plant Balances Input'!S:S,'300s Plant Balances Input'!B:B,'300s - 3 Digit FERC Accounts'!B96))</f>
        <v/>
      </c>
      <c r="F96" s="44" t="str">
        <f>IF(B96="","",+SUMIFS('300s Plant Balances Input'!M:M,'300s Plant Balances Input'!B:B,'300s - 3 Digit FERC Accounts'!B96))</f>
        <v/>
      </c>
    </row>
    <row r="97" spans="4:6">
      <c r="D97" s="44" t="str">
        <f>IF(B97="","",+SUMIFS('300s Plant Balances Input'!K:K,'300s Plant Balances Input'!B:B,'300s - 3 Digit FERC Accounts'!B97))</f>
        <v/>
      </c>
      <c r="E97" s="44" t="str">
        <f>IF(B97="","",+SUMIFS('300s Plant Balances Input'!S:S,'300s Plant Balances Input'!B:B,'300s - 3 Digit FERC Accounts'!B97))</f>
        <v/>
      </c>
      <c r="F97" s="44" t="str">
        <f>IF(B97="","",+SUMIFS('300s Plant Balances Input'!M:M,'300s Plant Balances Input'!B:B,'300s - 3 Digit FERC Accounts'!B97))</f>
        <v/>
      </c>
    </row>
    <row r="98" spans="4:6">
      <c r="D98" s="44" t="str">
        <f>IF(B98="","",+SUMIFS('300s Plant Balances Input'!K:K,'300s Plant Balances Input'!B:B,'300s - 3 Digit FERC Accounts'!B98))</f>
        <v/>
      </c>
      <c r="E98" s="44" t="str">
        <f>IF(B98="","",+SUMIFS('300s Plant Balances Input'!S:S,'300s Plant Balances Input'!B:B,'300s - 3 Digit FERC Accounts'!B98))</f>
        <v/>
      </c>
      <c r="F98" s="44" t="str">
        <f>IF(B98="","",+SUMIFS('300s Plant Balances Input'!M:M,'300s Plant Balances Input'!B:B,'300s - 3 Digit FERC Accounts'!B98))</f>
        <v/>
      </c>
    </row>
    <row r="99" spans="4:6">
      <c r="D99" s="44" t="str">
        <f>IF(B99="","",+SUMIFS('300s Plant Balances Input'!K:K,'300s Plant Balances Input'!B:B,'300s - 3 Digit FERC Accounts'!B99))</f>
        <v/>
      </c>
      <c r="E99" s="44" t="str">
        <f>IF(B99="","",+SUMIFS('300s Plant Balances Input'!S:S,'300s Plant Balances Input'!B:B,'300s - 3 Digit FERC Accounts'!B99))</f>
        <v/>
      </c>
      <c r="F99" s="44" t="str">
        <f>IF(B99="","",+SUMIFS('300s Plant Balances Input'!M:M,'300s Plant Balances Input'!B:B,'300s - 3 Digit FERC Accounts'!B99))</f>
        <v/>
      </c>
    </row>
    <row r="100" spans="4:6">
      <c r="D100" s="44" t="str">
        <f>IF(B100="","",+SUMIFS('300s Plant Balances Input'!K:K,'300s Plant Balances Input'!B:B,'300s - 3 Digit FERC Accounts'!B100))</f>
        <v/>
      </c>
      <c r="E100" s="44" t="str">
        <f>IF(B100="","",+SUMIFS('300s Plant Balances Input'!S:S,'300s Plant Balances Input'!B:B,'300s - 3 Digit FERC Accounts'!B100))</f>
        <v/>
      </c>
      <c r="F100" s="44" t="str">
        <f>IF(B100="","",+SUMIFS('300s Plant Balances Input'!M:M,'300s Plant Balances Input'!B:B,'300s - 3 Digit FERC Accounts'!B100))</f>
        <v/>
      </c>
    </row>
    <row r="101" spans="4:6">
      <c r="D101" s="44" t="str">
        <f>IF(B101="","",+SUMIFS('300s Plant Balances Input'!K:K,'300s Plant Balances Input'!B:B,'300s - 3 Digit FERC Accounts'!B101))</f>
        <v/>
      </c>
      <c r="E101" s="44" t="str">
        <f>IF(B101="","",+SUMIFS('300s Plant Balances Input'!S:S,'300s Plant Balances Input'!B:B,'300s - 3 Digit FERC Accounts'!B101))</f>
        <v/>
      </c>
      <c r="F101" s="44" t="str">
        <f>IF(B101="","",+SUMIFS('300s Plant Balances Input'!M:M,'300s Plant Balances Input'!B:B,'300s - 3 Digit FERC Accounts'!B101))</f>
        <v/>
      </c>
    </row>
    <row r="102" spans="4:6">
      <c r="D102" s="44" t="str">
        <f>IF(B102="","",+SUMIFS('300s Plant Balances Input'!K:K,'300s Plant Balances Input'!B:B,'300s - 3 Digit FERC Accounts'!B102))</f>
        <v/>
      </c>
      <c r="E102" s="44" t="str">
        <f>IF(B102="","",+SUMIFS('300s Plant Balances Input'!S:S,'300s Plant Balances Input'!B:B,'300s - 3 Digit FERC Accounts'!B102))</f>
        <v/>
      </c>
      <c r="F102" s="44" t="str">
        <f>IF(B102="","",+SUMIFS('300s Plant Balances Input'!M:M,'300s Plant Balances Input'!B:B,'300s - 3 Digit FERC Accounts'!B102))</f>
        <v/>
      </c>
    </row>
    <row r="103" spans="4:6">
      <c r="D103" s="44" t="str">
        <f>IF(B103="","",+SUMIFS('300s Plant Balances Input'!K:K,'300s Plant Balances Input'!B:B,'300s - 3 Digit FERC Accounts'!B103))</f>
        <v/>
      </c>
      <c r="E103" s="44" t="str">
        <f>IF(B103="","",+SUMIFS('300s Plant Balances Input'!S:S,'300s Plant Balances Input'!B:B,'300s - 3 Digit FERC Accounts'!B103))</f>
        <v/>
      </c>
      <c r="F103" s="44" t="str">
        <f>IF(B103="","",+SUMIFS('300s Plant Balances Input'!M:M,'300s Plant Balances Input'!B:B,'300s - 3 Digit FERC Accounts'!B103))</f>
        <v/>
      </c>
    </row>
    <row r="104" spans="4:6">
      <c r="D104" s="44" t="str">
        <f>IF(B104="","",+SUMIFS('300s Plant Balances Input'!K:K,'300s Plant Balances Input'!B:B,'300s - 3 Digit FERC Accounts'!B104))</f>
        <v/>
      </c>
      <c r="E104" s="44" t="str">
        <f>IF(B104="","",+SUMIFS('300s Plant Balances Input'!S:S,'300s Plant Balances Input'!B:B,'300s - 3 Digit FERC Accounts'!B104))</f>
        <v/>
      </c>
      <c r="F104" s="44" t="str">
        <f>IF(B104="","",+SUMIFS('300s Plant Balances Input'!M:M,'300s Plant Balances Input'!B:B,'300s - 3 Digit FERC Accounts'!B104))</f>
        <v/>
      </c>
    </row>
    <row r="105" spans="4:6">
      <c r="D105" s="44" t="str">
        <f>IF(B105="","",+SUMIFS('300s Plant Balances Input'!K:K,'300s Plant Balances Input'!B:B,'300s - 3 Digit FERC Accounts'!B105))</f>
        <v/>
      </c>
      <c r="E105" s="44" t="str">
        <f>IF(B105="","",+SUMIFS('300s Plant Balances Input'!S:S,'300s Plant Balances Input'!B:B,'300s - 3 Digit FERC Accounts'!B105))</f>
        <v/>
      </c>
      <c r="F105" s="44" t="str">
        <f>IF(B105="","",+SUMIFS('300s Plant Balances Input'!M:M,'300s Plant Balances Input'!B:B,'300s - 3 Digit FERC Accounts'!B105))</f>
        <v/>
      </c>
    </row>
    <row r="106" spans="4:6">
      <c r="D106" s="44" t="str">
        <f>IF(B106="","",+SUMIFS('300s Plant Balances Input'!K:K,'300s Plant Balances Input'!B:B,'300s - 3 Digit FERC Accounts'!B106))</f>
        <v/>
      </c>
      <c r="E106" s="44" t="str">
        <f>IF(B106="","",+SUMIFS('300s Plant Balances Input'!S:S,'300s Plant Balances Input'!B:B,'300s - 3 Digit FERC Accounts'!B106))</f>
        <v/>
      </c>
      <c r="F106" s="44" t="str">
        <f>IF(B106="","",+SUMIFS('300s Plant Balances Input'!M:M,'300s Plant Balances Input'!B:B,'300s - 3 Digit FERC Accounts'!B106))</f>
        <v/>
      </c>
    </row>
    <row r="107" spans="4:6">
      <c r="D107" s="44" t="str">
        <f>IF(B107="","",+SUMIFS('300s Plant Balances Input'!K:K,'300s Plant Balances Input'!B:B,'300s - 3 Digit FERC Accounts'!B107))</f>
        <v/>
      </c>
      <c r="E107" s="44" t="str">
        <f>IF(B107="","",+SUMIFS('300s Plant Balances Input'!S:S,'300s Plant Balances Input'!B:B,'300s - 3 Digit FERC Accounts'!B107))</f>
        <v/>
      </c>
      <c r="F107" s="44" t="str">
        <f>IF(B107="","",+SUMIFS('300s Plant Balances Input'!M:M,'300s Plant Balances Input'!B:B,'300s - 3 Digit FERC Accounts'!B107))</f>
        <v/>
      </c>
    </row>
    <row r="108" spans="4:6">
      <c r="D108" s="44" t="str">
        <f>IF(B108="","",+SUMIFS('300s Plant Balances Input'!K:K,'300s Plant Balances Input'!B:B,'300s - 3 Digit FERC Accounts'!B108))</f>
        <v/>
      </c>
      <c r="E108" s="44" t="str">
        <f>IF(B108="","",+SUMIFS('300s Plant Balances Input'!S:S,'300s Plant Balances Input'!B:B,'300s - 3 Digit FERC Accounts'!B108))</f>
        <v/>
      </c>
      <c r="F108" s="44" t="str">
        <f>IF(B108="","",+SUMIFS('300s Plant Balances Input'!M:M,'300s Plant Balances Input'!B:B,'300s - 3 Digit FERC Accounts'!B108))</f>
        <v/>
      </c>
    </row>
    <row r="109" spans="4:6">
      <c r="D109" s="44" t="str">
        <f>IF(B109="","",+SUMIFS('300s Plant Balances Input'!K:K,'300s Plant Balances Input'!B:B,'300s - 3 Digit FERC Accounts'!B109))</f>
        <v/>
      </c>
      <c r="E109" s="44" t="str">
        <f>IF(B109="","",+SUMIFS('300s Plant Balances Input'!S:S,'300s Plant Balances Input'!B:B,'300s - 3 Digit FERC Accounts'!B109))</f>
        <v/>
      </c>
      <c r="F109" s="44" t="str">
        <f>IF(B109="","",+SUMIFS('300s Plant Balances Input'!M:M,'300s Plant Balances Input'!B:B,'300s - 3 Digit FERC Accounts'!B109))</f>
        <v/>
      </c>
    </row>
    <row r="110" spans="4:6">
      <c r="D110" s="44" t="str">
        <f>IF(B110="","",+SUMIFS('300s Plant Balances Input'!K:K,'300s Plant Balances Input'!B:B,'300s - 3 Digit FERC Accounts'!B110))</f>
        <v/>
      </c>
      <c r="E110" s="44" t="str">
        <f>IF(B110="","",+SUMIFS('300s Plant Balances Input'!S:S,'300s Plant Balances Input'!B:B,'300s - 3 Digit FERC Accounts'!B110))</f>
        <v/>
      </c>
      <c r="F110" s="44" t="str">
        <f>IF(B110="","",+SUMIFS('300s Plant Balances Input'!M:M,'300s Plant Balances Input'!B:B,'300s - 3 Digit FERC Accounts'!B110))</f>
        <v/>
      </c>
    </row>
    <row r="111" spans="4:6">
      <c r="D111" s="44" t="str">
        <f>IF(B111="","",+SUMIFS('300s Plant Balances Input'!K:K,'300s Plant Balances Input'!B:B,'300s - 3 Digit FERC Accounts'!B111))</f>
        <v/>
      </c>
      <c r="E111" s="44" t="str">
        <f>IF(B111="","",+SUMIFS('300s Plant Balances Input'!S:S,'300s Plant Balances Input'!B:B,'300s - 3 Digit FERC Accounts'!B111))</f>
        <v/>
      </c>
      <c r="F111" s="44" t="str">
        <f>IF(B111="","",+SUMIFS('300s Plant Balances Input'!M:M,'300s Plant Balances Input'!B:B,'300s - 3 Digit FERC Accounts'!B111))</f>
        <v/>
      </c>
    </row>
    <row r="112" spans="4:6">
      <c r="D112" s="44" t="str">
        <f>IF(B112="","",+SUMIFS('300s Plant Balances Input'!K:K,'300s Plant Balances Input'!B:B,'300s - 3 Digit FERC Accounts'!B112))</f>
        <v/>
      </c>
      <c r="E112" s="44" t="str">
        <f>IF(B112="","",+SUMIFS('300s Plant Balances Input'!S:S,'300s Plant Balances Input'!B:B,'300s - 3 Digit FERC Accounts'!B112))</f>
        <v/>
      </c>
      <c r="F112" s="44" t="str">
        <f>IF(B112="","",+SUMIFS('300s Plant Balances Input'!M:M,'300s Plant Balances Input'!B:B,'300s - 3 Digit FERC Accounts'!B112))</f>
        <v/>
      </c>
    </row>
    <row r="113" spans="4:6">
      <c r="D113" s="44" t="str">
        <f>IF(B113="","",+SUMIFS('300s Plant Balances Input'!K:K,'300s Plant Balances Input'!B:B,'300s - 3 Digit FERC Accounts'!B113))</f>
        <v/>
      </c>
      <c r="E113" s="44" t="str">
        <f>IF(B113="","",+SUMIFS('300s Plant Balances Input'!S:S,'300s Plant Balances Input'!B:B,'300s - 3 Digit FERC Accounts'!B113))</f>
        <v/>
      </c>
      <c r="F113" s="44" t="str">
        <f>IF(B113="","",+SUMIFS('300s Plant Balances Input'!M:M,'300s Plant Balances Input'!B:B,'300s - 3 Digit FERC Accounts'!B113))</f>
        <v/>
      </c>
    </row>
    <row r="114" spans="4:6">
      <c r="D114" s="44" t="str">
        <f>IF(B114="","",+SUMIFS('300s Plant Balances Input'!K:K,'300s Plant Balances Input'!B:B,'300s - 3 Digit FERC Accounts'!B114))</f>
        <v/>
      </c>
      <c r="E114" s="44" t="str">
        <f>IF(B114="","",+SUMIFS('300s Plant Balances Input'!S:S,'300s Plant Balances Input'!B:B,'300s - 3 Digit FERC Accounts'!B114))</f>
        <v/>
      </c>
      <c r="F114" s="44" t="str">
        <f>IF(B114="","",+SUMIFS('300s Plant Balances Input'!M:M,'300s Plant Balances Input'!B:B,'300s - 3 Digit FERC Accounts'!B114))</f>
        <v/>
      </c>
    </row>
    <row r="115" spans="4:6">
      <c r="D115" s="44" t="str">
        <f>IF(B115="","",+SUMIFS('300s Plant Balances Input'!K:K,'300s Plant Balances Input'!B:B,'300s - 3 Digit FERC Accounts'!B115))</f>
        <v/>
      </c>
      <c r="E115" s="44" t="str">
        <f>IF(B115="","",+SUMIFS('300s Plant Balances Input'!S:S,'300s Plant Balances Input'!B:B,'300s - 3 Digit FERC Accounts'!B115))</f>
        <v/>
      </c>
      <c r="F115" s="44" t="str">
        <f>IF(B115="","",+SUMIFS('300s Plant Balances Input'!M:M,'300s Plant Balances Input'!B:B,'300s - 3 Digit FERC Accounts'!B115))</f>
        <v/>
      </c>
    </row>
    <row r="116" spans="4:6">
      <c r="D116" s="44" t="str">
        <f>IF(B116="","",+SUMIFS('300s Plant Balances Input'!K:K,'300s Plant Balances Input'!B:B,'300s - 3 Digit FERC Accounts'!B116))</f>
        <v/>
      </c>
      <c r="E116" s="44" t="str">
        <f>IF(B116="","",+SUMIFS('300s Plant Balances Input'!S:S,'300s Plant Balances Input'!B:B,'300s - 3 Digit FERC Accounts'!B116))</f>
        <v/>
      </c>
      <c r="F116" s="44" t="str">
        <f>IF(B116="","",+SUMIFS('300s Plant Balances Input'!M:M,'300s Plant Balances Input'!B:B,'300s - 3 Digit FERC Accounts'!B116))</f>
        <v/>
      </c>
    </row>
    <row r="117" spans="4:6">
      <c r="D117" s="44" t="str">
        <f>IF(B117="","",+SUMIFS('300s Plant Balances Input'!K:K,'300s Plant Balances Input'!B:B,'300s - 3 Digit FERC Accounts'!B117))</f>
        <v/>
      </c>
      <c r="E117" s="44" t="str">
        <f>IF(B117="","",+SUMIFS('300s Plant Balances Input'!S:S,'300s Plant Balances Input'!B:B,'300s - 3 Digit FERC Accounts'!B117))</f>
        <v/>
      </c>
      <c r="F117" s="44" t="str">
        <f>IF(B117="","",+SUMIFS('300s Plant Balances Input'!M:M,'300s Plant Balances Input'!B:B,'300s - 3 Digit FERC Accounts'!B117))</f>
        <v/>
      </c>
    </row>
    <row r="118" spans="4:6">
      <c r="D118" s="44" t="str">
        <f>IF(B118="","",+SUMIFS('300s Plant Balances Input'!K:K,'300s Plant Balances Input'!B:B,'300s - 3 Digit FERC Accounts'!B118))</f>
        <v/>
      </c>
      <c r="E118" s="44" t="str">
        <f>IF(B118="","",+SUMIFS('300s Plant Balances Input'!S:S,'300s Plant Balances Input'!B:B,'300s - 3 Digit FERC Accounts'!B118))</f>
        <v/>
      </c>
      <c r="F118" s="44" t="str">
        <f>IF(B118="","",+SUMIFS('300s Plant Balances Input'!M:M,'300s Plant Balances Input'!B:B,'300s - 3 Digit FERC Accounts'!B118))</f>
        <v/>
      </c>
    </row>
    <row r="119" spans="4:6">
      <c r="D119" s="44" t="str">
        <f>IF(B119="","",+SUMIFS('300s Plant Balances Input'!K:K,'300s Plant Balances Input'!B:B,'300s - 3 Digit FERC Accounts'!B119))</f>
        <v/>
      </c>
      <c r="E119" s="44" t="str">
        <f>IF(B119="","",+SUMIFS('300s Plant Balances Input'!S:S,'300s Plant Balances Input'!B:B,'300s - 3 Digit FERC Accounts'!B119))</f>
        <v/>
      </c>
      <c r="F119" s="44" t="str">
        <f>IF(B119="","",+SUMIFS('300s Plant Balances Input'!M:M,'300s Plant Balances Input'!B:B,'300s - 3 Digit FERC Accounts'!B119))</f>
        <v/>
      </c>
    </row>
    <row r="120" spans="4:6">
      <c r="D120" s="44" t="str">
        <f>IF(B120="","",+SUMIFS('300s Plant Balances Input'!K:K,'300s Plant Balances Input'!B:B,'300s - 3 Digit FERC Accounts'!B120))</f>
        <v/>
      </c>
      <c r="E120" s="44" t="str">
        <f>IF(B120="","",+SUMIFS('300s Plant Balances Input'!S:S,'300s Plant Balances Input'!B:B,'300s - 3 Digit FERC Accounts'!B120))</f>
        <v/>
      </c>
      <c r="F120" s="44" t="str">
        <f>IF(B120="","",+SUMIFS('300s Plant Balances Input'!M:M,'300s Plant Balances Input'!B:B,'300s - 3 Digit FERC Accounts'!B120))</f>
        <v/>
      </c>
    </row>
    <row r="121" spans="4:6">
      <c r="D121" s="44" t="str">
        <f>IF(B121="","",+SUMIFS('300s Plant Balances Input'!K:K,'300s Plant Balances Input'!B:B,'300s - 3 Digit FERC Accounts'!B121))</f>
        <v/>
      </c>
      <c r="E121" s="44" t="str">
        <f>IF(B121="","",+SUMIFS('300s Plant Balances Input'!S:S,'300s Plant Balances Input'!B:B,'300s - 3 Digit FERC Accounts'!B121))</f>
        <v/>
      </c>
      <c r="F121" s="44" t="str">
        <f>IF(B121="","",+SUMIFS('300s Plant Balances Input'!M:M,'300s Plant Balances Input'!B:B,'300s - 3 Digit FERC Accounts'!B121))</f>
        <v/>
      </c>
    </row>
    <row r="122" spans="4:6">
      <c r="D122" s="44" t="str">
        <f>IF(B122="","",+SUMIFS('300s Plant Balances Input'!K:K,'300s Plant Balances Input'!B:B,'300s - 3 Digit FERC Accounts'!B122))</f>
        <v/>
      </c>
      <c r="E122" s="44" t="str">
        <f>IF(B122="","",+SUMIFS('300s Plant Balances Input'!S:S,'300s Plant Balances Input'!B:B,'300s - 3 Digit FERC Accounts'!B122))</f>
        <v/>
      </c>
      <c r="F122" s="44" t="str">
        <f>IF(B122="","",+SUMIFS('300s Plant Balances Input'!M:M,'300s Plant Balances Input'!B:B,'300s - 3 Digit FERC Accounts'!B122))</f>
        <v/>
      </c>
    </row>
    <row r="123" spans="4:6">
      <c r="D123" s="44" t="str">
        <f>IF(B123="","",+SUMIFS('300s Plant Balances Input'!K:K,'300s Plant Balances Input'!B:B,'300s - 3 Digit FERC Accounts'!B123))</f>
        <v/>
      </c>
      <c r="E123" s="44" t="str">
        <f>IF(B123="","",+SUMIFS('300s Plant Balances Input'!S:S,'300s Plant Balances Input'!B:B,'300s - 3 Digit FERC Accounts'!B123))</f>
        <v/>
      </c>
      <c r="F123" s="44" t="str">
        <f>IF(B123="","",+SUMIFS('300s Plant Balances Input'!M:M,'300s Plant Balances Input'!B:B,'300s - 3 Digit FERC Accounts'!B123))</f>
        <v/>
      </c>
    </row>
    <row r="124" spans="4:6">
      <c r="D124" s="44" t="str">
        <f>IF(B124="","",+SUMIFS('300s Plant Balances Input'!K:K,'300s Plant Balances Input'!B:B,'300s - 3 Digit FERC Accounts'!B124))</f>
        <v/>
      </c>
      <c r="E124" s="44" t="str">
        <f>IF(B124="","",+SUMIFS('300s Plant Balances Input'!S:S,'300s Plant Balances Input'!B:B,'300s - 3 Digit FERC Accounts'!B124))</f>
        <v/>
      </c>
      <c r="F124" s="44" t="str">
        <f>IF(B124="","",+SUMIFS('300s Plant Balances Input'!M:M,'300s Plant Balances Input'!B:B,'300s - 3 Digit FERC Accounts'!B124))</f>
        <v/>
      </c>
    </row>
    <row r="125" spans="4:6">
      <c r="D125" s="44" t="str">
        <f>IF(B125="","",+SUMIFS('300s Plant Balances Input'!K:K,'300s Plant Balances Input'!B:B,'300s - 3 Digit FERC Accounts'!B125))</f>
        <v/>
      </c>
      <c r="E125" s="44" t="str">
        <f>IF(B125="","",+SUMIFS('300s Plant Balances Input'!S:S,'300s Plant Balances Input'!B:B,'300s - 3 Digit FERC Accounts'!B125))</f>
        <v/>
      </c>
      <c r="F125" s="44" t="str">
        <f>IF(B125="","",+SUMIFS('300s Plant Balances Input'!M:M,'300s Plant Balances Input'!B:B,'300s - 3 Digit FERC Accounts'!B125))</f>
        <v/>
      </c>
    </row>
    <row r="126" spans="4:6">
      <c r="D126" s="44" t="str">
        <f>IF(B126="","",+SUMIFS('300s Plant Balances Input'!K:K,'300s Plant Balances Input'!B:B,'300s - 3 Digit FERC Accounts'!B126))</f>
        <v/>
      </c>
      <c r="E126" s="44" t="str">
        <f>IF(B126="","",+SUMIFS('300s Plant Balances Input'!S:S,'300s Plant Balances Input'!B:B,'300s - 3 Digit FERC Accounts'!B126))</f>
        <v/>
      </c>
      <c r="F126" s="44" t="str">
        <f>IF(B126="","",+SUMIFS('300s Plant Balances Input'!M:M,'300s Plant Balances Input'!B:B,'300s - 3 Digit FERC Accounts'!B126))</f>
        <v/>
      </c>
    </row>
    <row r="127" spans="4:6">
      <c r="D127" s="44" t="str">
        <f>IF(B127="","",+SUMIFS('300s Plant Balances Input'!K:K,'300s Plant Balances Input'!B:B,'300s - 3 Digit FERC Accounts'!B127))</f>
        <v/>
      </c>
      <c r="E127" s="44" t="str">
        <f>IF(B127="","",+SUMIFS('300s Plant Balances Input'!S:S,'300s Plant Balances Input'!B:B,'300s - 3 Digit FERC Accounts'!B127))</f>
        <v/>
      </c>
      <c r="F127" s="44" t="str">
        <f>IF(B127="","",+SUMIFS('300s Plant Balances Input'!M:M,'300s Plant Balances Input'!B:B,'300s - 3 Digit FERC Accounts'!B127))</f>
        <v/>
      </c>
    </row>
    <row r="128" spans="4:6">
      <c r="D128" s="44" t="str">
        <f>IF(B128="","",+SUMIFS('300s Plant Balances Input'!K:K,'300s Plant Balances Input'!B:B,'300s - 3 Digit FERC Accounts'!B128))</f>
        <v/>
      </c>
      <c r="E128" s="44" t="str">
        <f>IF(B128="","",+SUMIFS('300s Plant Balances Input'!S:S,'300s Plant Balances Input'!B:B,'300s - 3 Digit FERC Accounts'!B128))</f>
        <v/>
      </c>
      <c r="F128" s="44" t="str">
        <f>IF(B128="","",+SUMIFS('300s Plant Balances Input'!M:M,'300s Plant Balances Input'!B:B,'300s - 3 Digit FERC Accounts'!B128))</f>
        <v/>
      </c>
    </row>
    <row r="129" spans="4:6">
      <c r="D129" s="44" t="str">
        <f>IF(B129="","",+SUMIFS('300s Plant Balances Input'!K:K,'300s Plant Balances Input'!B:B,'300s - 3 Digit FERC Accounts'!B129))</f>
        <v/>
      </c>
      <c r="E129" s="44" t="str">
        <f>IF(B129="","",+SUMIFS('300s Plant Balances Input'!S:S,'300s Plant Balances Input'!B:B,'300s - 3 Digit FERC Accounts'!B129))</f>
        <v/>
      </c>
      <c r="F129" s="44" t="str">
        <f>IF(B129="","",+SUMIFS('300s Plant Balances Input'!M:M,'300s Plant Balances Input'!B:B,'300s - 3 Digit FERC Accounts'!B129))</f>
        <v/>
      </c>
    </row>
    <row r="130" spans="4:6">
      <c r="D130" s="44" t="str">
        <f>IF(B130="","",+SUMIFS('300s Plant Balances Input'!K:K,'300s Plant Balances Input'!B:B,'300s - 3 Digit FERC Accounts'!B130))</f>
        <v/>
      </c>
      <c r="E130" s="44" t="str">
        <f>IF(B130="","",+SUMIFS('300s Plant Balances Input'!S:S,'300s Plant Balances Input'!B:B,'300s - 3 Digit FERC Accounts'!B130))</f>
        <v/>
      </c>
      <c r="F130" s="44" t="str">
        <f>IF(B130="","",+SUMIFS('300s Plant Balances Input'!M:M,'300s Plant Balances Input'!B:B,'300s - 3 Digit FERC Accounts'!B130))</f>
        <v/>
      </c>
    </row>
    <row r="131" spans="4:6">
      <c r="D131" s="44" t="str">
        <f>IF(B131="","",+SUMIFS('300s Plant Balances Input'!K:K,'300s Plant Balances Input'!B:B,'300s - 3 Digit FERC Accounts'!B131))</f>
        <v/>
      </c>
      <c r="E131" s="44" t="str">
        <f>IF(B131="","",+SUMIFS('300s Plant Balances Input'!S:S,'300s Plant Balances Input'!B:B,'300s - 3 Digit FERC Accounts'!B131))</f>
        <v/>
      </c>
      <c r="F131" s="44" t="str">
        <f>IF(B131="","",+SUMIFS('300s Plant Balances Input'!M:M,'300s Plant Balances Input'!B:B,'300s - 3 Digit FERC Accounts'!B131))</f>
        <v/>
      </c>
    </row>
    <row r="132" spans="4:6">
      <c r="D132" s="44" t="str">
        <f>IF(B132="","",+SUMIFS('300s Plant Balances Input'!K:K,'300s Plant Balances Input'!B:B,'300s - 3 Digit FERC Accounts'!B132))</f>
        <v/>
      </c>
      <c r="E132" s="44" t="str">
        <f>IF(B132="","",+SUMIFS('300s Plant Balances Input'!S:S,'300s Plant Balances Input'!B:B,'300s - 3 Digit FERC Accounts'!B132))</f>
        <v/>
      </c>
      <c r="F132" s="44" t="str">
        <f>IF(B132="","",+SUMIFS('300s Plant Balances Input'!M:M,'300s Plant Balances Input'!B:B,'300s - 3 Digit FERC Accounts'!B132))</f>
        <v/>
      </c>
    </row>
    <row r="133" spans="4:6">
      <c r="D133" s="44" t="str">
        <f>IF(B133="","",+SUMIFS('300s Plant Balances Input'!K:K,'300s Plant Balances Input'!B:B,'300s - 3 Digit FERC Accounts'!B133))</f>
        <v/>
      </c>
      <c r="E133" s="44" t="str">
        <f>IF(B133="","",+SUMIFS('300s Plant Balances Input'!S:S,'300s Plant Balances Input'!B:B,'300s - 3 Digit FERC Accounts'!B133))</f>
        <v/>
      </c>
      <c r="F133" s="44" t="str">
        <f>IF(B133="","",+SUMIFS('300s Plant Balances Input'!M:M,'300s Plant Balances Input'!B:B,'300s - 3 Digit FERC Accounts'!B133))</f>
        <v/>
      </c>
    </row>
    <row r="134" spans="4:6">
      <c r="D134" s="44" t="str">
        <f>IF(B134="","",+SUMIFS('300s Plant Balances Input'!K:K,'300s Plant Balances Input'!B:B,'300s - 3 Digit FERC Accounts'!B134))</f>
        <v/>
      </c>
      <c r="E134" s="44" t="str">
        <f>IF(B134="","",+SUMIFS('300s Plant Balances Input'!S:S,'300s Plant Balances Input'!B:B,'300s - 3 Digit FERC Accounts'!B134))</f>
        <v/>
      </c>
      <c r="F134" s="44" t="str">
        <f>IF(B134="","",+SUMIFS('300s Plant Balances Input'!M:M,'300s Plant Balances Input'!B:B,'300s - 3 Digit FERC Accounts'!B134))</f>
        <v/>
      </c>
    </row>
    <row r="135" spans="4:6">
      <c r="D135" s="44" t="str">
        <f>IF(B135="","",+SUMIFS('300s Plant Balances Input'!K:K,'300s Plant Balances Input'!B:B,'300s - 3 Digit FERC Accounts'!B135))</f>
        <v/>
      </c>
      <c r="E135" s="44" t="str">
        <f>IF(B135="","",+SUMIFS('300s Plant Balances Input'!S:S,'300s Plant Balances Input'!B:B,'300s - 3 Digit FERC Accounts'!B135))</f>
        <v/>
      </c>
      <c r="F135" s="44" t="str">
        <f>IF(B135="","",+SUMIFS('300s Plant Balances Input'!M:M,'300s Plant Balances Input'!B:B,'300s - 3 Digit FERC Accounts'!B135))</f>
        <v/>
      </c>
    </row>
    <row r="136" spans="4:6">
      <c r="D136" s="44" t="str">
        <f>IF(B136="","",+SUMIFS('300s Plant Balances Input'!K:K,'300s Plant Balances Input'!B:B,'300s - 3 Digit FERC Accounts'!B136))</f>
        <v/>
      </c>
      <c r="E136" s="44" t="str">
        <f>IF(B136="","",+SUMIFS('300s Plant Balances Input'!S:S,'300s Plant Balances Input'!B:B,'300s - 3 Digit FERC Accounts'!B136))</f>
        <v/>
      </c>
      <c r="F136" s="44" t="str">
        <f>IF(B136="","",+SUMIFS('300s Plant Balances Input'!M:M,'300s Plant Balances Input'!B:B,'300s - 3 Digit FERC Accounts'!B136))</f>
        <v/>
      </c>
    </row>
    <row r="137" spans="4:6">
      <c r="D137" s="44" t="str">
        <f>IF(B137="","",+SUMIFS('300s Plant Balances Input'!K:K,'300s Plant Balances Input'!B:B,'300s - 3 Digit FERC Accounts'!B137))</f>
        <v/>
      </c>
      <c r="E137" s="44" t="str">
        <f>IF(B137="","",+SUMIFS('300s Plant Balances Input'!S:S,'300s Plant Balances Input'!B:B,'300s - 3 Digit FERC Accounts'!B137))</f>
        <v/>
      </c>
      <c r="F137" s="44" t="str">
        <f>IF(B137="","",+SUMIFS('300s Plant Balances Input'!M:M,'300s Plant Balances Input'!B:B,'300s - 3 Digit FERC Accounts'!B137))</f>
        <v/>
      </c>
    </row>
    <row r="138" spans="4:6">
      <c r="D138" s="44" t="str">
        <f>IF(B138="","",+SUMIFS('300s Plant Balances Input'!K:K,'300s Plant Balances Input'!B:B,'300s - 3 Digit FERC Accounts'!B138))</f>
        <v/>
      </c>
      <c r="E138" s="44" t="str">
        <f>IF(B138="","",+SUMIFS('300s Plant Balances Input'!S:S,'300s Plant Balances Input'!B:B,'300s - 3 Digit FERC Accounts'!B138))</f>
        <v/>
      </c>
      <c r="F138" s="44" t="str">
        <f>IF(B138="","",+SUMIFS('300s Plant Balances Input'!M:M,'300s Plant Balances Input'!B:B,'300s - 3 Digit FERC Accounts'!B138))</f>
        <v/>
      </c>
    </row>
    <row r="139" spans="4:6">
      <c r="D139" s="44" t="str">
        <f>IF(B139="","",+SUMIFS('300s Plant Balances Input'!K:K,'300s Plant Balances Input'!B:B,'300s - 3 Digit FERC Accounts'!B139))</f>
        <v/>
      </c>
      <c r="E139" s="44" t="str">
        <f>IF(B139="","",+SUMIFS('300s Plant Balances Input'!S:S,'300s Plant Balances Input'!B:B,'300s - 3 Digit FERC Accounts'!B139))</f>
        <v/>
      </c>
      <c r="F139" s="44" t="str">
        <f>IF(B139="","",+SUMIFS('300s Plant Balances Input'!M:M,'300s Plant Balances Input'!B:B,'300s - 3 Digit FERC Accounts'!B139))</f>
        <v/>
      </c>
    </row>
    <row r="140" spans="4:6">
      <c r="D140" s="44" t="str">
        <f>IF(B140="","",+SUMIFS('300s Plant Balances Input'!K:K,'300s Plant Balances Input'!B:B,'300s - 3 Digit FERC Accounts'!B140))</f>
        <v/>
      </c>
      <c r="E140" s="44" t="str">
        <f>IF(B140="","",+SUMIFS('300s Plant Balances Input'!S:S,'300s Plant Balances Input'!B:B,'300s - 3 Digit FERC Accounts'!B140))</f>
        <v/>
      </c>
      <c r="F140" s="44" t="str">
        <f>IF(B140="","",+SUMIFS('300s Plant Balances Input'!M:M,'300s Plant Balances Input'!B:B,'300s - 3 Digit FERC Accounts'!B140))</f>
        <v/>
      </c>
    </row>
    <row r="141" spans="4:6">
      <c r="D141" s="44" t="str">
        <f>IF(B141="","",+SUMIFS('300s Plant Balances Input'!K:K,'300s Plant Balances Input'!B:B,'300s - 3 Digit FERC Accounts'!B141))</f>
        <v/>
      </c>
      <c r="E141" s="44" t="str">
        <f>IF(B141="","",+SUMIFS('300s Plant Balances Input'!S:S,'300s Plant Balances Input'!B:B,'300s - 3 Digit FERC Accounts'!B141))</f>
        <v/>
      </c>
      <c r="F141" s="44" t="str">
        <f>IF(B141="","",+SUMIFS('300s Plant Balances Input'!M:M,'300s Plant Balances Input'!B:B,'300s - 3 Digit FERC Accounts'!B141))</f>
        <v/>
      </c>
    </row>
    <row r="142" spans="4:6">
      <c r="D142" s="44" t="str">
        <f>IF(B142="","",+SUMIFS('300s Plant Balances Input'!K:K,'300s Plant Balances Input'!B:B,'300s - 3 Digit FERC Accounts'!B142))</f>
        <v/>
      </c>
      <c r="E142" s="44" t="str">
        <f>IF(B142="","",+SUMIFS('300s Plant Balances Input'!S:S,'300s Plant Balances Input'!B:B,'300s - 3 Digit FERC Accounts'!B142))</f>
        <v/>
      </c>
      <c r="F142" s="44" t="str">
        <f>IF(B142="","",+SUMIFS('300s Plant Balances Input'!M:M,'300s Plant Balances Input'!B:B,'300s - 3 Digit FERC Accounts'!B142))</f>
        <v/>
      </c>
    </row>
    <row r="143" spans="4:6">
      <c r="D143" s="44" t="str">
        <f>IF(B143="","",+SUMIFS('300s Plant Balances Input'!K:K,'300s Plant Balances Input'!B:B,'300s - 3 Digit FERC Accounts'!B143))</f>
        <v/>
      </c>
      <c r="E143" s="44" t="str">
        <f>IF(B143="","",+SUMIFS('300s Plant Balances Input'!S:S,'300s Plant Balances Input'!B:B,'300s - 3 Digit FERC Accounts'!B143))</f>
        <v/>
      </c>
      <c r="F143" s="44" t="str">
        <f>IF(B143="","",+SUMIFS('300s Plant Balances Input'!M:M,'300s Plant Balances Input'!B:B,'300s - 3 Digit FERC Accounts'!B143))</f>
        <v/>
      </c>
    </row>
    <row r="144" spans="4:6">
      <c r="D144" s="44" t="str">
        <f>IF(B144="","",+SUMIFS('300s Plant Balances Input'!K:K,'300s Plant Balances Input'!B:B,'300s - 3 Digit FERC Accounts'!B144))</f>
        <v/>
      </c>
      <c r="E144" s="44" t="str">
        <f>IF(B144="","",+SUMIFS('300s Plant Balances Input'!S:S,'300s Plant Balances Input'!B:B,'300s - 3 Digit FERC Accounts'!B144))</f>
        <v/>
      </c>
      <c r="F144" s="44" t="str">
        <f>IF(B144="","",+SUMIFS('300s Plant Balances Input'!M:M,'300s Plant Balances Input'!B:B,'300s - 3 Digit FERC Accounts'!B144))</f>
        <v/>
      </c>
    </row>
    <row r="145" spans="4:6">
      <c r="D145" s="44" t="str">
        <f>IF(B145="","",+SUMIFS('300s Plant Balances Input'!K:K,'300s Plant Balances Input'!B:B,'300s - 3 Digit FERC Accounts'!B145))</f>
        <v/>
      </c>
      <c r="E145" s="44" t="str">
        <f>IF(B145="","",+SUMIFS('300s Plant Balances Input'!S:S,'300s Plant Balances Input'!B:B,'300s - 3 Digit FERC Accounts'!B145))</f>
        <v/>
      </c>
      <c r="F145" s="44" t="str">
        <f>IF(B145="","",+SUMIFS('300s Plant Balances Input'!M:M,'300s Plant Balances Input'!B:B,'300s - 3 Digit FERC Accounts'!B145))</f>
        <v/>
      </c>
    </row>
    <row r="146" spans="4:6">
      <c r="D146" s="44" t="str">
        <f>IF(B146="","",+SUMIFS('300s Plant Balances Input'!K:K,'300s Plant Balances Input'!B:B,'300s - 3 Digit FERC Accounts'!B146))</f>
        <v/>
      </c>
      <c r="E146" s="44" t="str">
        <f>IF(B146="","",+SUMIFS('300s Plant Balances Input'!S:S,'300s Plant Balances Input'!B:B,'300s - 3 Digit FERC Accounts'!B146))</f>
        <v/>
      </c>
      <c r="F146" s="44" t="str">
        <f>IF(B146="","",+SUMIFS('300s Plant Balances Input'!M:M,'300s Plant Balances Input'!B:B,'300s - 3 Digit FERC Accounts'!B146))</f>
        <v/>
      </c>
    </row>
    <row r="147" spans="4:6">
      <c r="D147" s="44" t="str">
        <f>IF(B147="","",+SUMIFS('300s Plant Balances Input'!K:K,'300s Plant Balances Input'!B:B,'300s - 3 Digit FERC Accounts'!B147))</f>
        <v/>
      </c>
      <c r="E147" s="44" t="str">
        <f>IF(B147="","",+SUMIFS('300s Plant Balances Input'!S:S,'300s Plant Balances Input'!B:B,'300s - 3 Digit FERC Accounts'!B147))</f>
        <v/>
      </c>
      <c r="F147" s="44" t="str">
        <f>IF(B147="","",+SUMIFS('300s Plant Balances Input'!M:M,'300s Plant Balances Input'!B:B,'300s - 3 Digit FERC Accounts'!B147))</f>
        <v/>
      </c>
    </row>
    <row r="148" spans="4:6">
      <c r="D148" s="44" t="str">
        <f>IF(B148="","",+SUMIFS('300s Plant Balances Input'!K:K,'300s Plant Balances Input'!B:B,'300s - 3 Digit FERC Accounts'!B148))</f>
        <v/>
      </c>
      <c r="E148" s="44" t="str">
        <f>IF(B148="","",+SUMIFS('300s Plant Balances Input'!S:S,'300s Plant Balances Input'!B:B,'300s - 3 Digit FERC Accounts'!B148))</f>
        <v/>
      </c>
      <c r="F148" s="44" t="str">
        <f>IF(B148="","",+SUMIFS('300s Plant Balances Input'!M:M,'300s Plant Balances Input'!B:B,'300s - 3 Digit FERC Accounts'!B148))</f>
        <v/>
      </c>
    </row>
    <row r="149" spans="4:6">
      <c r="D149" s="44" t="str">
        <f>IF(B149="","",+SUMIFS('300s Plant Balances Input'!K:K,'300s Plant Balances Input'!B:B,'300s - 3 Digit FERC Accounts'!B149))</f>
        <v/>
      </c>
      <c r="E149" s="44" t="str">
        <f>IF(B149="","",+SUMIFS('300s Plant Balances Input'!S:S,'300s Plant Balances Input'!B:B,'300s - 3 Digit FERC Accounts'!B149))</f>
        <v/>
      </c>
      <c r="F149" s="44" t="str">
        <f>IF(B149="","",+SUMIFS('300s Plant Balances Input'!M:M,'300s Plant Balances Input'!B:B,'300s - 3 Digit FERC Accounts'!B149))</f>
        <v/>
      </c>
    </row>
    <row r="150" spans="4:6">
      <c r="D150" s="44" t="str">
        <f>IF(B150="","",+SUMIFS('300s Plant Balances Input'!K:K,'300s Plant Balances Input'!B:B,'300s - 3 Digit FERC Accounts'!B150))</f>
        <v/>
      </c>
      <c r="E150" s="44" t="str">
        <f>IF(B150="","",+SUMIFS('300s Plant Balances Input'!S:S,'300s Plant Balances Input'!B:B,'300s - 3 Digit FERC Accounts'!B150))</f>
        <v/>
      </c>
      <c r="F150" s="44" t="str">
        <f>IF(B150="","",+SUMIFS('300s Plant Balances Input'!M:M,'300s Plant Balances Input'!B:B,'300s - 3 Digit FERC Accounts'!B150))</f>
        <v/>
      </c>
    </row>
    <row r="151" spans="4:6">
      <c r="D151" s="44" t="str">
        <f>IF(B151="","",+SUMIFS('300s Plant Balances Input'!K:K,'300s Plant Balances Input'!B:B,'300s - 3 Digit FERC Accounts'!B151))</f>
        <v/>
      </c>
      <c r="E151" s="44" t="str">
        <f>IF(B151="","",+SUMIFS('300s Plant Balances Input'!S:S,'300s Plant Balances Input'!B:B,'300s - 3 Digit FERC Accounts'!B151))</f>
        <v/>
      </c>
      <c r="F151" s="44" t="str">
        <f>IF(B151="","",+SUMIFS('300s Plant Balances Input'!M:M,'300s Plant Balances Input'!B:B,'300s - 3 Digit FERC Accounts'!B151))</f>
        <v/>
      </c>
    </row>
    <row r="152" spans="4:6">
      <c r="D152" s="44" t="str">
        <f>IF(B152="","",+SUMIFS('300s Plant Balances Input'!K:K,'300s Plant Balances Input'!B:B,'300s - 3 Digit FERC Accounts'!B152))</f>
        <v/>
      </c>
      <c r="E152" s="44" t="str">
        <f>IF(B152="","",+SUMIFS('300s Plant Balances Input'!S:S,'300s Plant Balances Input'!B:B,'300s - 3 Digit FERC Accounts'!B152))</f>
        <v/>
      </c>
      <c r="F152" s="44" t="str">
        <f>IF(B152="","",+SUMIFS('300s Plant Balances Input'!M:M,'300s Plant Balances Input'!B:B,'300s - 3 Digit FERC Accounts'!B152))</f>
        <v/>
      </c>
    </row>
    <row r="153" spans="4:6">
      <c r="D153" s="44" t="str">
        <f>IF(B153="","",+SUMIFS('300s Plant Balances Input'!K:K,'300s Plant Balances Input'!B:B,'300s - 3 Digit FERC Accounts'!B153))</f>
        <v/>
      </c>
      <c r="E153" s="44" t="str">
        <f>IF(B153="","",+SUMIFS('300s Plant Balances Input'!S:S,'300s Plant Balances Input'!B:B,'300s - 3 Digit FERC Accounts'!B153))</f>
        <v/>
      </c>
      <c r="F153" s="44" t="str">
        <f>IF(B153="","",+SUMIFS('300s Plant Balances Input'!M:M,'300s Plant Balances Input'!B:B,'300s - 3 Digit FERC Accounts'!B153))</f>
        <v/>
      </c>
    </row>
    <row r="154" spans="4:6">
      <c r="D154" s="44" t="str">
        <f>IF(B154="","",+SUMIFS('300s Plant Balances Input'!K:K,'300s Plant Balances Input'!B:B,'300s - 3 Digit FERC Accounts'!B154))</f>
        <v/>
      </c>
      <c r="E154" s="44" t="str">
        <f>IF(B154="","",+SUMIFS('300s Plant Balances Input'!S:S,'300s Plant Balances Input'!B:B,'300s - 3 Digit FERC Accounts'!B154))</f>
        <v/>
      </c>
      <c r="F154" s="44" t="str">
        <f>IF(B154="","",+SUMIFS('300s Plant Balances Input'!M:M,'300s Plant Balances Input'!B:B,'300s - 3 Digit FERC Accounts'!B154))</f>
        <v/>
      </c>
    </row>
    <row r="155" spans="4:6">
      <c r="D155" s="44" t="str">
        <f>IF(B155="","",+SUMIFS('300s Plant Balances Input'!K:K,'300s Plant Balances Input'!B:B,'300s - 3 Digit FERC Accounts'!B155))</f>
        <v/>
      </c>
      <c r="E155" s="44" t="str">
        <f>IF(B155="","",+SUMIFS('300s Plant Balances Input'!S:S,'300s Plant Balances Input'!B:B,'300s - 3 Digit FERC Accounts'!B155))</f>
        <v/>
      </c>
      <c r="F155" s="44" t="str">
        <f>IF(B155="","",+SUMIFS('300s Plant Balances Input'!M:M,'300s Plant Balances Input'!B:B,'300s - 3 Digit FERC Accounts'!B155))</f>
        <v/>
      </c>
    </row>
    <row r="156" spans="4:6">
      <c r="D156" s="44" t="str">
        <f>IF(B156="","",+SUMIFS('300s Plant Balances Input'!K:K,'300s Plant Balances Input'!B:B,'300s - 3 Digit FERC Accounts'!B156))</f>
        <v/>
      </c>
      <c r="E156" s="44" t="str">
        <f>IF(B156="","",+SUMIFS('300s Plant Balances Input'!S:S,'300s Plant Balances Input'!B:B,'300s - 3 Digit FERC Accounts'!B156))</f>
        <v/>
      </c>
      <c r="F156" s="44" t="str">
        <f>IF(B156="","",+SUMIFS('300s Plant Balances Input'!M:M,'300s Plant Balances Input'!B:B,'300s - 3 Digit FERC Accounts'!B156))</f>
        <v/>
      </c>
    </row>
    <row r="157" spans="4:6">
      <c r="D157" s="44" t="str">
        <f>IF(B157="","",+SUMIFS('300s Plant Balances Input'!K:K,'300s Plant Balances Input'!B:B,'300s - 3 Digit FERC Accounts'!B157))</f>
        <v/>
      </c>
      <c r="E157" s="44" t="str">
        <f>IF(B157="","",+SUMIFS('300s Plant Balances Input'!S:S,'300s Plant Balances Input'!B:B,'300s - 3 Digit FERC Accounts'!B157))</f>
        <v/>
      </c>
      <c r="F157" s="44" t="str">
        <f>IF(B157="","",+SUMIFS('300s Plant Balances Input'!M:M,'300s Plant Balances Input'!B:B,'300s - 3 Digit FERC Accounts'!B157))</f>
        <v/>
      </c>
    </row>
    <row r="158" spans="4:6">
      <c r="D158" s="44" t="str">
        <f>IF(B158="","",+SUMIFS('300s Plant Balances Input'!K:K,'300s Plant Balances Input'!B:B,'300s - 3 Digit FERC Accounts'!B158))</f>
        <v/>
      </c>
      <c r="E158" s="44" t="str">
        <f>IF(B158="","",+SUMIFS('300s Plant Balances Input'!S:S,'300s Plant Balances Input'!B:B,'300s - 3 Digit FERC Accounts'!B158))</f>
        <v/>
      </c>
      <c r="F158" s="44" t="str">
        <f>IF(B158="","",+SUMIFS('300s Plant Balances Input'!M:M,'300s Plant Balances Input'!B:B,'300s - 3 Digit FERC Accounts'!B158))</f>
        <v/>
      </c>
    </row>
    <row r="159" spans="4:6">
      <c r="D159" s="44" t="str">
        <f>IF(B159="","",+SUMIFS('300s Plant Balances Input'!K:K,'300s Plant Balances Input'!B:B,'300s - 3 Digit FERC Accounts'!B159))</f>
        <v/>
      </c>
      <c r="E159" s="44" t="str">
        <f>IF(B159="","",+SUMIFS('300s Plant Balances Input'!S:S,'300s Plant Balances Input'!B:B,'300s - 3 Digit FERC Accounts'!B159))</f>
        <v/>
      </c>
      <c r="F159" s="44" t="str">
        <f>IF(B159="","",+SUMIFS('300s Plant Balances Input'!M:M,'300s Plant Balances Input'!B:B,'300s - 3 Digit FERC Accounts'!B159))</f>
        <v/>
      </c>
    </row>
    <row r="160" spans="4:6">
      <c r="D160" s="44" t="str">
        <f>IF(B160="","",+SUMIFS('300s Plant Balances Input'!K:K,'300s Plant Balances Input'!B:B,'300s - 3 Digit FERC Accounts'!B160))</f>
        <v/>
      </c>
      <c r="E160" s="44" t="str">
        <f>IF(B160="","",+SUMIFS('300s Plant Balances Input'!S:S,'300s Plant Balances Input'!B:B,'300s - 3 Digit FERC Accounts'!B160))</f>
        <v/>
      </c>
      <c r="F160" s="44" t="str">
        <f>IF(B160="","",+SUMIFS('300s Plant Balances Input'!M:M,'300s Plant Balances Input'!B:B,'300s - 3 Digit FERC Accounts'!B160))</f>
        <v/>
      </c>
    </row>
    <row r="161" spans="4:6">
      <c r="D161" s="44" t="str">
        <f>IF(B161="","",+SUMIFS('300s Plant Balances Input'!K:K,'300s Plant Balances Input'!B:B,'300s - 3 Digit FERC Accounts'!B161))</f>
        <v/>
      </c>
      <c r="E161" s="44" t="str">
        <f>IF(B161="","",+SUMIFS('300s Plant Balances Input'!S:S,'300s Plant Balances Input'!B:B,'300s - 3 Digit FERC Accounts'!B161))</f>
        <v/>
      </c>
      <c r="F161" s="44" t="str">
        <f>IF(B161="","",+SUMIFS('300s Plant Balances Input'!M:M,'300s Plant Balances Input'!B:B,'300s - 3 Digit FERC Accounts'!B161))</f>
        <v/>
      </c>
    </row>
    <row r="162" spans="4:6">
      <c r="D162" s="44" t="str">
        <f>IF(B162="","",+SUMIFS('300s Plant Balances Input'!K:K,'300s Plant Balances Input'!B:B,'300s - 3 Digit FERC Accounts'!B162))</f>
        <v/>
      </c>
      <c r="E162" s="44" t="str">
        <f>IF(B162="","",+SUMIFS('300s Plant Balances Input'!S:S,'300s Plant Balances Input'!B:B,'300s - 3 Digit FERC Accounts'!B162))</f>
        <v/>
      </c>
      <c r="F162" s="44" t="str">
        <f>IF(B162="","",+SUMIFS('300s Plant Balances Input'!M:M,'300s Plant Balances Input'!B:B,'300s - 3 Digit FERC Accounts'!B162))</f>
        <v/>
      </c>
    </row>
    <row r="163" spans="4:6">
      <c r="D163" s="44" t="str">
        <f>IF(B163="","",+SUMIFS('300s Plant Balances Input'!K:K,'300s Plant Balances Input'!B:B,'300s - 3 Digit FERC Accounts'!B163))</f>
        <v/>
      </c>
      <c r="E163" s="44" t="str">
        <f>IF(B163="","",+SUMIFS('300s Plant Balances Input'!S:S,'300s Plant Balances Input'!B:B,'300s - 3 Digit FERC Accounts'!B163))</f>
        <v/>
      </c>
      <c r="F163" s="44" t="str">
        <f>IF(B163="","",+SUMIFS('300s Plant Balances Input'!M:M,'300s Plant Balances Input'!B:B,'300s - 3 Digit FERC Accounts'!B163))</f>
        <v/>
      </c>
    </row>
    <row r="164" spans="4:6">
      <c r="D164" s="44" t="str">
        <f>IF(B164="","",+SUMIFS('300s Plant Balances Input'!K:K,'300s Plant Balances Input'!B:B,'300s - 3 Digit FERC Accounts'!B164))</f>
        <v/>
      </c>
      <c r="E164" s="44" t="str">
        <f>IF(B164="","",+SUMIFS('300s Plant Balances Input'!S:S,'300s Plant Balances Input'!B:B,'300s - 3 Digit FERC Accounts'!B164))</f>
        <v/>
      </c>
      <c r="F164" s="44" t="str">
        <f>IF(B164="","",+SUMIFS('300s Plant Balances Input'!M:M,'300s Plant Balances Input'!B:B,'300s - 3 Digit FERC Accounts'!B164))</f>
        <v/>
      </c>
    </row>
    <row r="165" spans="4:6">
      <c r="D165" s="44" t="str">
        <f>IF(B165="","",+SUMIFS('300s Plant Balances Input'!K:K,'300s Plant Balances Input'!B:B,'300s - 3 Digit FERC Accounts'!B165))</f>
        <v/>
      </c>
      <c r="E165" s="44" t="str">
        <f>IF(B165="","",+SUMIFS('300s Plant Balances Input'!S:S,'300s Plant Balances Input'!B:B,'300s - 3 Digit FERC Accounts'!B165))</f>
        <v/>
      </c>
      <c r="F165" s="44" t="str">
        <f>IF(B165="","",+SUMIFS('300s Plant Balances Input'!M:M,'300s Plant Balances Input'!B:B,'300s - 3 Digit FERC Accounts'!B165))</f>
        <v/>
      </c>
    </row>
    <row r="166" spans="4:6">
      <c r="D166" s="44" t="str">
        <f>IF(B166="","",+SUMIFS('300s Plant Balances Input'!K:K,'300s Plant Balances Input'!B:B,'300s - 3 Digit FERC Accounts'!B166))</f>
        <v/>
      </c>
      <c r="E166" s="44" t="str">
        <f>IF(B166="","",+SUMIFS('300s Plant Balances Input'!S:S,'300s Plant Balances Input'!B:B,'300s - 3 Digit FERC Accounts'!B166))</f>
        <v/>
      </c>
      <c r="F166" s="44" t="str">
        <f>IF(B166="","",+SUMIFS('300s Plant Balances Input'!M:M,'300s Plant Balances Input'!B:B,'300s - 3 Digit FERC Accounts'!B166))</f>
        <v/>
      </c>
    </row>
    <row r="167" spans="4:6">
      <c r="D167" s="44" t="str">
        <f>IF(B167="","",+SUMIFS('300s Plant Balances Input'!K:K,'300s Plant Balances Input'!B:B,'300s - 3 Digit FERC Accounts'!B167))</f>
        <v/>
      </c>
      <c r="E167" s="44" t="str">
        <f>IF(B167="","",+SUMIFS('300s Plant Balances Input'!S:S,'300s Plant Balances Input'!B:B,'300s - 3 Digit FERC Accounts'!B167))</f>
        <v/>
      </c>
      <c r="F167" s="44" t="str">
        <f>IF(B167="","",+SUMIFS('300s Plant Balances Input'!M:M,'300s Plant Balances Input'!B:B,'300s - 3 Digit FERC Accounts'!B167))</f>
        <v/>
      </c>
    </row>
    <row r="168" spans="4:6">
      <c r="D168" s="44" t="str">
        <f>IF(B168="","",+SUMIFS('300s Plant Balances Input'!K:K,'300s Plant Balances Input'!B:B,'300s - 3 Digit FERC Accounts'!B168))</f>
        <v/>
      </c>
      <c r="E168" s="44" t="str">
        <f>IF(B168="","",+SUMIFS('300s Plant Balances Input'!S:S,'300s Plant Balances Input'!B:B,'300s - 3 Digit FERC Accounts'!B168))</f>
        <v/>
      </c>
      <c r="F168" s="44" t="str">
        <f>IF(B168="","",+SUMIFS('300s Plant Balances Input'!M:M,'300s Plant Balances Input'!B:B,'300s - 3 Digit FERC Accounts'!B168))</f>
        <v/>
      </c>
    </row>
    <row r="169" spans="4:6">
      <c r="D169" s="44" t="str">
        <f>IF(B169="","",+SUMIFS('300s Plant Balances Input'!K:K,'300s Plant Balances Input'!B:B,'300s - 3 Digit FERC Accounts'!B169))</f>
        <v/>
      </c>
      <c r="E169" s="44" t="str">
        <f>IF(B169="","",+SUMIFS('300s Plant Balances Input'!S:S,'300s Plant Balances Input'!B:B,'300s - 3 Digit FERC Accounts'!B169))</f>
        <v/>
      </c>
      <c r="F169" s="44" t="str">
        <f>IF(B169="","",+SUMIFS('300s Plant Balances Input'!M:M,'300s Plant Balances Input'!B:B,'300s - 3 Digit FERC Accounts'!B169))</f>
        <v/>
      </c>
    </row>
    <row r="170" spans="4:6">
      <c r="D170" s="44" t="str">
        <f>IF(B170="","",+SUMIFS('300s Plant Balances Input'!K:K,'300s Plant Balances Input'!B:B,'300s - 3 Digit FERC Accounts'!B170))</f>
        <v/>
      </c>
      <c r="E170" s="44" t="str">
        <f>IF(B170="","",+SUMIFS('300s Plant Balances Input'!S:S,'300s Plant Balances Input'!B:B,'300s - 3 Digit FERC Accounts'!B170))</f>
        <v/>
      </c>
      <c r="F170" s="44" t="str">
        <f>IF(B170="","",+SUMIFS('300s Plant Balances Input'!M:M,'300s Plant Balances Input'!B:B,'300s - 3 Digit FERC Accounts'!B170))</f>
        <v/>
      </c>
    </row>
    <row r="171" spans="4:6">
      <c r="D171" s="44" t="str">
        <f>IF(B171="","",+SUMIFS('300s Plant Balances Input'!K:K,'300s Plant Balances Input'!B:B,'300s - 3 Digit FERC Accounts'!B171))</f>
        <v/>
      </c>
      <c r="E171" s="44" t="str">
        <f>IF(B171="","",+SUMIFS('300s Plant Balances Input'!S:S,'300s Plant Balances Input'!B:B,'300s - 3 Digit FERC Accounts'!B171))</f>
        <v/>
      </c>
      <c r="F171" s="44" t="str">
        <f>IF(B171="","",+SUMIFS('300s Plant Balances Input'!M:M,'300s Plant Balances Input'!B:B,'300s - 3 Digit FERC Accounts'!B171))</f>
        <v/>
      </c>
    </row>
    <row r="172" spans="4:6">
      <c r="D172" s="44" t="str">
        <f>IF(B172="","",+SUMIFS('300s Plant Balances Input'!K:K,'300s Plant Balances Input'!B:B,'300s - 3 Digit FERC Accounts'!B172))</f>
        <v/>
      </c>
      <c r="E172" s="44" t="str">
        <f>IF(B172="","",+SUMIFS('300s Plant Balances Input'!S:S,'300s Plant Balances Input'!B:B,'300s - 3 Digit FERC Accounts'!B172))</f>
        <v/>
      </c>
      <c r="F172" s="44" t="str">
        <f>IF(B172="","",+SUMIFS('300s Plant Balances Input'!M:M,'300s Plant Balances Input'!B:B,'300s - 3 Digit FERC Accounts'!B172))</f>
        <v/>
      </c>
    </row>
    <row r="173" spans="4:6">
      <c r="D173" s="44" t="str">
        <f>IF(B173="","",+SUMIFS('300s Plant Balances Input'!K:K,'300s Plant Balances Input'!B:B,'300s - 3 Digit FERC Accounts'!B173))</f>
        <v/>
      </c>
      <c r="E173" s="44" t="str">
        <f>IF(B173="","",+SUMIFS('300s Plant Balances Input'!S:S,'300s Plant Balances Input'!B:B,'300s - 3 Digit FERC Accounts'!B173))</f>
        <v/>
      </c>
      <c r="F173" s="44" t="str">
        <f>IF(B173="","",+SUMIFS('300s Plant Balances Input'!M:M,'300s Plant Balances Input'!B:B,'300s - 3 Digit FERC Accounts'!B173))</f>
        <v/>
      </c>
    </row>
    <row r="174" spans="4:6">
      <c r="D174" s="44" t="str">
        <f>IF(B174="","",+SUMIFS('300s Plant Balances Input'!K:K,'300s Plant Balances Input'!B:B,'300s - 3 Digit FERC Accounts'!B174))</f>
        <v/>
      </c>
      <c r="E174" s="44" t="str">
        <f>IF(B174="","",+SUMIFS('300s Plant Balances Input'!S:S,'300s Plant Balances Input'!B:B,'300s - 3 Digit FERC Accounts'!B174))</f>
        <v/>
      </c>
      <c r="F174" s="44" t="str">
        <f>IF(B174="","",+SUMIFS('300s Plant Balances Input'!M:M,'300s Plant Balances Input'!B:B,'300s - 3 Digit FERC Accounts'!B174))</f>
        <v/>
      </c>
    </row>
    <row r="175" spans="4:6">
      <c r="D175" s="44" t="str">
        <f>IF(B175="","",+SUMIFS('300s Plant Balances Input'!K:K,'300s Plant Balances Input'!B:B,'300s - 3 Digit FERC Accounts'!B175))</f>
        <v/>
      </c>
      <c r="E175" s="44" t="str">
        <f>IF(B175="","",+SUMIFS('300s Plant Balances Input'!S:S,'300s Plant Balances Input'!B:B,'300s - 3 Digit FERC Accounts'!B175))</f>
        <v/>
      </c>
      <c r="F175" s="44" t="str">
        <f>IF(B175="","",+SUMIFS('300s Plant Balances Input'!M:M,'300s Plant Balances Input'!B:B,'300s - 3 Digit FERC Accounts'!B175))</f>
        <v/>
      </c>
    </row>
    <row r="176" spans="4:6">
      <c r="D176" s="44" t="str">
        <f>IF(B176="","",+SUMIFS('300s Plant Balances Input'!K:K,'300s Plant Balances Input'!B:B,'300s - 3 Digit FERC Accounts'!B176))</f>
        <v/>
      </c>
      <c r="E176" s="44" t="str">
        <f>IF(B176="","",+SUMIFS('300s Plant Balances Input'!S:S,'300s Plant Balances Input'!B:B,'300s - 3 Digit FERC Accounts'!B176))</f>
        <v/>
      </c>
      <c r="F176" s="44" t="str">
        <f>IF(B176="","",+SUMIFS('300s Plant Balances Input'!M:M,'300s Plant Balances Input'!B:B,'300s - 3 Digit FERC Accounts'!B176))</f>
        <v/>
      </c>
    </row>
    <row r="177" spans="4:6">
      <c r="D177" s="44" t="str">
        <f>IF(B177="","",+SUMIFS('300s Plant Balances Input'!K:K,'300s Plant Balances Input'!B:B,'300s - 3 Digit FERC Accounts'!B177))</f>
        <v/>
      </c>
      <c r="E177" s="44" t="str">
        <f>IF(B177="","",+SUMIFS('300s Plant Balances Input'!S:S,'300s Plant Balances Input'!B:B,'300s - 3 Digit FERC Accounts'!B177))</f>
        <v/>
      </c>
      <c r="F177" s="44" t="str">
        <f>IF(B177="","",+SUMIFS('300s Plant Balances Input'!M:M,'300s Plant Balances Input'!B:B,'300s - 3 Digit FERC Accounts'!B177))</f>
        <v/>
      </c>
    </row>
    <row r="178" spans="4:6">
      <c r="D178" s="44" t="str">
        <f>IF(B178="","",+SUMIFS('300s Plant Balances Input'!K:K,'300s Plant Balances Input'!B:B,'300s - 3 Digit FERC Accounts'!B178))</f>
        <v/>
      </c>
      <c r="E178" s="44" t="str">
        <f>IF(B178="","",+SUMIFS('300s Plant Balances Input'!S:S,'300s Plant Balances Input'!B:B,'300s - 3 Digit FERC Accounts'!B178))</f>
        <v/>
      </c>
      <c r="F178" s="44" t="str">
        <f>IF(B178="","",+SUMIFS('300s Plant Balances Input'!M:M,'300s Plant Balances Input'!B:B,'300s - 3 Digit FERC Accounts'!B178))</f>
        <v/>
      </c>
    </row>
    <row r="179" spans="4:6">
      <c r="D179" s="44" t="str">
        <f>IF(B179="","",+SUMIFS('300s Plant Balances Input'!K:K,'300s Plant Balances Input'!B:B,'300s - 3 Digit FERC Accounts'!B179))</f>
        <v/>
      </c>
      <c r="E179" s="44" t="str">
        <f>IF(B179="","",+SUMIFS('300s Plant Balances Input'!S:S,'300s Plant Balances Input'!B:B,'300s - 3 Digit FERC Accounts'!B179))</f>
        <v/>
      </c>
      <c r="F179" s="44" t="str">
        <f>IF(B179="","",+SUMIFS('300s Plant Balances Input'!M:M,'300s Plant Balances Input'!B:B,'300s - 3 Digit FERC Accounts'!B179))</f>
        <v/>
      </c>
    </row>
    <row r="180" spans="4:6">
      <c r="D180" s="44" t="str">
        <f>IF(B180="","",+SUMIFS('300s Plant Balances Input'!K:K,'300s Plant Balances Input'!B:B,'300s - 3 Digit FERC Accounts'!B180))</f>
        <v/>
      </c>
      <c r="E180" s="44" t="str">
        <f>IF(B180="","",+SUMIFS('300s Plant Balances Input'!S:S,'300s Plant Balances Input'!B:B,'300s - 3 Digit FERC Accounts'!B180))</f>
        <v/>
      </c>
      <c r="F180" s="44" t="str">
        <f>IF(B180="","",+SUMIFS('300s Plant Balances Input'!M:M,'300s Plant Balances Input'!B:B,'300s - 3 Digit FERC Accounts'!B180))</f>
        <v/>
      </c>
    </row>
    <row r="181" spans="4:6">
      <c r="D181" s="44" t="str">
        <f>IF(B181="","",+SUMIFS('300s Plant Balances Input'!K:K,'300s Plant Balances Input'!B:B,'300s - 3 Digit FERC Accounts'!B181))</f>
        <v/>
      </c>
      <c r="E181" s="44" t="str">
        <f>IF(B181="","",+SUMIFS('300s Plant Balances Input'!S:S,'300s Plant Balances Input'!B:B,'300s - 3 Digit FERC Accounts'!B181))</f>
        <v/>
      </c>
      <c r="F181" s="44" t="str">
        <f>IF(B181="","",+SUMIFS('300s Plant Balances Input'!M:M,'300s Plant Balances Input'!B:B,'300s - 3 Digit FERC Accounts'!B181))</f>
        <v/>
      </c>
    </row>
    <row r="182" spans="4:6">
      <c r="D182" s="44" t="str">
        <f>IF(B182="","",+SUMIFS('300s Plant Balances Input'!K:K,'300s Plant Balances Input'!B:B,'300s - 3 Digit FERC Accounts'!B182))</f>
        <v/>
      </c>
      <c r="E182" s="44" t="str">
        <f>IF(B182="","",+SUMIFS('300s Plant Balances Input'!S:S,'300s Plant Balances Input'!B:B,'300s - 3 Digit FERC Accounts'!B182))</f>
        <v/>
      </c>
      <c r="F182" s="44" t="str">
        <f>IF(B182="","",+SUMIFS('300s Plant Balances Input'!M:M,'300s Plant Balances Input'!B:B,'300s - 3 Digit FERC Accounts'!B182))</f>
        <v/>
      </c>
    </row>
    <row r="183" spans="4:6">
      <c r="D183" s="44" t="str">
        <f>IF(B183="","",+SUMIFS('300s Plant Balances Input'!K:K,'300s Plant Balances Input'!B:B,'300s - 3 Digit FERC Accounts'!B183))</f>
        <v/>
      </c>
      <c r="E183" s="44" t="str">
        <f>IF(B183="","",+SUMIFS('300s Plant Balances Input'!S:S,'300s Plant Balances Input'!B:B,'300s - 3 Digit FERC Accounts'!B183))</f>
        <v/>
      </c>
      <c r="F183" s="44" t="str">
        <f>IF(B183="","",+SUMIFS('300s Plant Balances Input'!M:M,'300s Plant Balances Input'!B:B,'300s - 3 Digit FERC Accounts'!B183))</f>
        <v/>
      </c>
    </row>
    <row r="184" spans="4:6">
      <c r="D184" s="44" t="str">
        <f>IF(B184="","",+SUMIFS('300s Plant Balances Input'!K:K,'300s Plant Balances Input'!B:B,'300s - 3 Digit FERC Accounts'!B184))</f>
        <v/>
      </c>
      <c r="E184" s="44" t="str">
        <f>IF(B184="","",+SUMIFS('300s Plant Balances Input'!S:S,'300s Plant Balances Input'!B:B,'300s - 3 Digit FERC Accounts'!B184))</f>
        <v/>
      </c>
      <c r="F184" s="44" t="str">
        <f>IF(B184="","",+SUMIFS('300s Plant Balances Input'!M:M,'300s Plant Balances Input'!B:B,'300s - 3 Digit FERC Accounts'!B184))</f>
        <v/>
      </c>
    </row>
    <row r="185" spans="4:6">
      <c r="D185" s="44" t="str">
        <f>IF(B185="","",+SUMIFS('300s Plant Balances Input'!K:K,'300s Plant Balances Input'!B:B,'300s - 3 Digit FERC Accounts'!B185))</f>
        <v/>
      </c>
      <c r="E185" s="44" t="str">
        <f>IF(B185="","",+SUMIFS('300s Plant Balances Input'!S:S,'300s Plant Balances Input'!B:B,'300s - 3 Digit FERC Accounts'!B185))</f>
        <v/>
      </c>
      <c r="F185" s="44" t="str">
        <f>IF(B185="","",+SUMIFS('300s Plant Balances Input'!M:M,'300s Plant Balances Input'!B:B,'300s - 3 Digit FERC Accounts'!B185))</f>
        <v/>
      </c>
    </row>
    <row r="186" spans="4:6">
      <c r="D186" s="44" t="str">
        <f>IF(B186="","",+SUMIFS('300s Plant Balances Input'!K:K,'300s Plant Balances Input'!B:B,'300s - 3 Digit FERC Accounts'!B186))</f>
        <v/>
      </c>
      <c r="E186" s="44" t="str">
        <f>IF(B186="","",+SUMIFS('300s Plant Balances Input'!S:S,'300s Plant Balances Input'!B:B,'300s - 3 Digit FERC Accounts'!B186))</f>
        <v/>
      </c>
      <c r="F186" s="44" t="str">
        <f>IF(B186="","",+SUMIFS('300s Plant Balances Input'!M:M,'300s Plant Balances Input'!B:B,'300s - 3 Digit FERC Accounts'!B186))</f>
        <v/>
      </c>
    </row>
    <row r="187" spans="4:6">
      <c r="D187" s="44" t="str">
        <f>IF(B187="","",+SUMIFS('300s Plant Balances Input'!K:K,'300s Plant Balances Input'!B:B,'300s - 3 Digit FERC Accounts'!B187))</f>
        <v/>
      </c>
      <c r="E187" s="44" t="str">
        <f>IF(B187="","",+SUMIFS('300s Plant Balances Input'!S:S,'300s Plant Balances Input'!B:B,'300s - 3 Digit FERC Accounts'!B187))</f>
        <v/>
      </c>
      <c r="F187" s="44" t="str">
        <f>IF(B187="","",+SUMIFS('300s Plant Balances Input'!M:M,'300s Plant Balances Input'!B:B,'300s - 3 Digit FERC Accounts'!B187))</f>
        <v/>
      </c>
    </row>
    <row r="188" spans="4:6">
      <c r="D188" s="44" t="str">
        <f>IF(B188="","",+SUMIFS('300s Plant Balances Input'!K:K,'300s Plant Balances Input'!B:B,'300s - 3 Digit FERC Accounts'!B188))</f>
        <v/>
      </c>
      <c r="E188" s="44" t="str">
        <f>IF(B188="","",+SUMIFS('300s Plant Balances Input'!S:S,'300s Plant Balances Input'!B:B,'300s - 3 Digit FERC Accounts'!B188))</f>
        <v/>
      </c>
      <c r="F188" s="44" t="str">
        <f>IF(B188="","",+SUMIFS('300s Plant Balances Input'!M:M,'300s Plant Balances Input'!B:B,'300s - 3 Digit FERC Accounts'!B188))</f>
        <v/>
      </c>
    </row>
    <row r="189" spans="4:6">
      <c r="D189" s="44" t="str">
        <f>IF(B189="","",+SUMIFS('300s Plant Balances Input'!K:K,'300s Plant Balances Input'!B:B,'300s - 3 Digit FERC Accounts'!B189))</f>
        <v/>
      </c>
      <c r="E189" s="44" t="str">
        <f>IF(B189="","",+SUMIFS('300s Plant Balances Input'!S:S,'300s Plant Balances Input'!B:B,'300s - 3 Digit FERC Accounts'!B189))</f>
        <v/>
      </c>
      <c r="F189" s="44" t="str">
        <f>IF(B189="","",+SUMIFS('300s Plant Balances Input'!M:M,'300s Plant Balances Input'!B:B,'300s - 3 Digit FERC Accounts'!B189))</f>
        <v/>
      </c>
    </row>
    <row r="190" spans="4:6">
      <c r="D190" s="44" t="str">
        <f>IF(B190="","",+SUMIFS('300s Plant Balances Input'!K:K,'300s Plant Balances Input'!B:B,'300s - 3 Digit FERC Accounts'!B190))</f>
        <v/>
      </c>
      <c r="E190" s="44" t="str">
        <f>IF(B190="","",+SUMIFS('300s Plant Balances Input'!S:S,'300s Plant Balances Input'!B:B,'300s - 3 Digit FERC Accounts'!B190))</f>
        <v/>
      </c>
      <c r="F190" s="44" t="str">
        <f>IF(B190="","",+SUMIFS('300s Plant Balances Input'!M:M,'300s Plant Balances Input'!B:B,'300s - 3 Digit FERC Accounts'!B190))</f>
        <v/>
      </c>
    </row>
    <row r="191" spans="4:6">
      <c r="D191" s="44" t="str">
        <f>IF(B191="","",+SUMIFS('300s Plant Balances Input'!K:K,'300s Plant Balances Input'!B:B,'300s - 3 Digit FERC Accounts'!B191))</f>
        <v/>
      </c>
      <c r="E191" s="44" t="str">
        <f>IF(B191="","",+SUMIFS('300s Plant Balances Input'!S:S,'300s Plant Balances Input'!B:B,'300s - 3 Digit FERC Accounts'!B191))</f>
        <v/>
      </c>
      <c r="F191" s="44" t="str">
        <f>IF(B191="","",+SUMIFS('300s Plant Balances Input'!M:M,'300s Plant Balances Input'!B:B,'300s - 3 Digit FERC Accounts'!B191))</f>
        <v/>
      </c>
    </row>
    <row r="192" spans="4:6">
      <c r="D192" s="44" t="str">
        <f>IF(B192="","",+SUMIFS('300s Plant Balances Input'!K:K,'300s Plant Balances Input'!B:B,'300s - 3 Digit FERC Accounts'!B192))</f>
        <v/>
      </c>
      <c r="E192" s="44" t="str">
        <f>IF(B192="","",+SUMIFS('300s Plant Balances Input'!S:S,'300s Plant Balances Input'!B:B,'300s - 3 Digit FERC Accounts'!B192))</f>
        <v/>
      </c>
      <c r="F192" s="44" t="str">
        <f>IF(B192="","",+SUMIFS('300s Plant Balances Input'!M:M,'300s Plant Balances Input'!B:B,'300s - 3 Digit FERC Accounts'!B192))</f>
        <v/>
      </c>
    </row>
    <row r="193" spans="4:6">
      <c r="D193" s="44" t="str">
        <f>IF(B193="","",+SUMIFS('300s Plant Balances Input'!K:K,'300s Plant Balances Input'!B:B,'300s - 3 Digit FERC Accounts'!B193))</f>
        <v/>
      </c>
      <c r="E193" s="44" t="str">
        <f>IF(B193="","",+SUMIFS('300s Plant Balances Input'!S:S,'300s Plant Balances Input'!B:B,'300s - 3 Digit FERC Accounts'!B193))</f>
        <v/>
      </c>
      <c r="F193" s="44" t="str">
        <f>IF(B193="","",+SUMIFS('300s Plant Balances Input'!M:M,'300s Plant Balances Input'!B:B,'300s - 3 Digit FERC Accounts'!B193))</f>
        <v/>
      </c>
    </row>
    <row r="194" spans="4:6">
      <c r="D194" s="44" t="str">
        <f>IF(B194="","",+SUMIFS('300s Plant Balances Input'!K:K,'300s Plant Balances Input'!B:B,'300s - 3 Digit FERC Accounts'!B194))</f>
        <v/>
      </c>
      <c r="E194" s="44" t="str">
        <f>IF(B194="","",+SUMIFS('300s Plant Balances Input'!S:S,'300s Plant Balances Input'!B:B,'300s - 3 Digit FERC Accounts'!B194))</f>
        <v/>
      </c>
      <c r="F194" s="44" t="str">
        <f>IF(B194="","",+SUMIFS('300s Plant Balances Input'!M:M,'300s Plant Balances Input'!B:B,'300s - 3 Digit FERC Accounts'!B194))</f>
        <v/>
      </c>
    </row>
    <row r="195" spans="4:6">
      <c r="D195" s="44" t="str">
        <f>IF(B195="","",+SUMIFS('300s Plant Balances Input'!K:K,'300s Plant Balances Input'!B:B,'300s - 3 Digit FERC Accounts'!B195))</f>
        <v/>
      </c>
      <c r="E195" s="44" t="str">
        <f>IF(B195="","",+SUMIFS('300s Plant Balances Input'!S:S,'300s Plant Balances Input'!B:B,'300s - 3 Digit FERC Accounts'!B195))</f>
        <v/>
      </c>
      <c r="F195" s="44" t="str">
        <f>IF(B195="","",+SUMIFS('300s Plant Balances Input'!M:M,'300s Plant Balances Input'!B:B,'300s - 3 Digit FERC Accounts'!B195))</f>
        <v/>
      </c>
    </row>
    <row r="196" spans="4:6">
      <c r="D196" s="44" t="str">
        <f>IF(B196="","",+SUMIFS('300s Plant Balances Input'!K:K,'300s Plant Balances Input'!B:B,'300s - 3 Digit FERC Accounts'!B196))</f>
        <v/>
      </c>
      <c r="E196" s="44" t="str">
        <f>IF(B196="","",+SUMIFS('300s Plant Balances Input'!S:S,'300s Plant Balances Input'!B:B,'300s - 3 Digit FERC Accounts'!B196))</f>
        <v/>
      </c>
      <c r="F196" s="44" t="str">
        <f>IF(B196="","",+SUMIFS('300s Plant Balances Input'!M:M,'300s Plant Balances Input'!B:B,'300s - 3 Digit FERC Accounts'!B196))</f>
        <v/>
      </c>
    </row>
    <row r="197" spans="4:6">
      <c r="D197" s="44" t="str">
        <f>IF(B197="","",+SUMIFS('300s Plant Balances Input'!K:K,'300s Plant Balances Input'!B:B,'300s - 3 Digit FERC Accounts'!B197))</f>
        <v/>
      </c>
      <c r="E197" s="44" t="str">
        <f>IF(B197="","",+SUMIFS('300s Plant Balances Input'!S:S,'300s Plant Balances Input'!B:B,'300s - 3 Digit FERC Accounts'!B197))</f>
        <v/>
      </c>
      <c r="F197" s="44" t="str">
        <f>IF(B197="","",+SUMIFS('300s Plant Balances Input'!M:M,'300s Plant Balances Input'!B:B,'300s - 3 Digit FERC Accounts'!B197))</f>
        <v/>
      </c>
    </row>
    <row r="198" spans="4:6">
      <c r="D198" s="44" t="str">
        <f>IF(B198="","",+SUMIFS('300s Plant Balances Input'!K:K,'300s Plant Balances Input'!B:B,'300s - 3 Digit FERC Accounts'!B198))</f>
        <v/>
      </c>
      <c r="E198" s="44" t="str">
        <f>IF(B198="","",+SUMIFS('300s Plant Balances Input'!S:S,'300s Plant Balances Input'!B:B,'300s - 3 Digit FERC Accounts'!B198))</f>
        <v/>
      </c>
      <c r="F198" s="44" t="str">
        <f>IF(B198="","",+SUMIFS('300s Plant Balances Input'!M:M,'300s Plant Balances Input'!B:B,'300s - 3 Digit FERC Accounts'!B198))</f>
        <v/>
      </c>
    </row>
    <row r="199" spans="4:6">
      <c r="D199" s="44" t="str">
        <f>IF(B199="","",+SUMIFS('300s Plant Balances Input'!K:K,'300s Plant Balances Input'!B:B,'300s - 3 Digit FERC Accounts'!B199))</f>
        <v/>
      </c>
      <c r="E199" s="44" t="str">
        <f>IF(B199="","",+SUMIFS('300s Plant Balances Input'!S:S,'300s Plant Balances Input'!B:B,'300s - 3 Digit FERC Accounts'!B199))</f>
        <v/>
      </c>
      <c r="F199" s="44" t="str">
        <f>IF(B199="","",+SUMIFS('300s Plant Balances Input'!M:M,'300s Plant Balances Input'!B:B,'300s - 3 Digit FERC Accounts'!B199))</f>
        <v/>
      </c>
    </row>
    <row r="200" spans="4:6">
      <c r="D200" s="44" t="str">
        <f>IF(B200="","",+SUMIFS('300s Plant Balances Input'!K:K,'300s Plant Balances Input'!B:B,'300s - 3 Digit FERC Accounts'!B200))</f>
        <v/>
      </c>
      <c r="E200" s="44" t="str">
        <f>IF(B200="","",+SUMIFS('300s Plant Balances Input'!S:S,'300s Plant Balances Input'!B:B,'300s - 3 Digit FERC Accounts'!B200))</f>
        <v/>
      </c>
      <c r="F200" s="44" t="str">
        <f>IF(B200="","",+SUMIFS('300s Plant Balances Input'!M:M,'300s Plant Balances Input'!B:B,'300s - 3 Digit FERC Accounts'!B200))</f>
        <v/>
      </c>
    </row>
    <row r="201" spans="4:6">
      <c r="D201" s="44" t="str">
        <f>IF(B201="","",+SUMIFS('300s Plant Balances Input'!K:K,'300s Plant Balances Input'!B:B,'300s - 3 Digit FERC Accounts'!B201))</f>
        <v/>
      </c>
      <c r="E201" s="44" t="str">
        <f>IF(B201="","",+SUMIFS('300s Plant Balances Input'!S:S,'300s Plant Balances Input'!B:B,'300s - 3 Digit FERC Accounts'!B201))</f>
        <v/>
      </c>
      <c r="F201" s="44" t="str">
        <f>IF(B201="","",+SUMIFS('300s Plant Balances Input'!M:M,'300s Plant Balances Input'!B:B,'300s - 3 Digit FERC Accounts'!B201))</f>
        <v/>
      </c>
    </row>
    <row r="202" spans="4:6">
      <c r="D202" s="44" t="str">
        <f>IF(B202="","",+SUMIFS('300s Plant Balances Input'!K:K,'300s Plant Balances Input'!B:B,'300s - 3 Digit FERC Accounts'!B202))</f>
        <v/>
      </c>
      <c r="E202" s="44" t="str">
        <f>IF(B202="","",+SUMIFS('300s Plant Balances Input'!S:S,'300s Plant Balances Input'!B:B,'300s - 3 Digit FERC Accounts'!B202))</f>
        <v/>
      </c>
      <c r="F202" s="44" t="str">
        <f>IF(B202="","",+SUMIFS('300s Plant Balances Input'!M:M,'300s Plant Balances Input'!B:B,'300s - 3 Digit FERC Accounts'!B202))</f>
        <v/>
      </c>
    </row>
    <row r="203" spans="4:6">
      <c r="D203" s="44" t="str">
        <f>IF(B203="","",+SUMIFS('300s Plant Balances Input'!K:K,'300s Plant Balances Input'!B:B,'300s - 3 Digit FERC Accounts'!B203))</f>
        <v/>
      </c>
      <c r="E203" s="44" t="str">
        <f>IF(B203="","",+SUMIFS('300s Plant Balances Input'!S:S,'300s Plant Balances Input'!B:B,'300s - 3 Digit FERC Accounts'!B203))</f>
        <v/>
      </c>
      <c r="F203" s="44" t="str">
        <f>IF(B203="","",+SUMIFS('300s Plant Balances Input'!M:M,'300s Plant Balances Input'!B:B,'300s - 3 Digit FERC Accounts'!B203))</f>
        <v/>
      </c>
    </row>
    <row r="204" spans="4:6">
      <c r="D204" s="44" t="str">
        <f>IF(B204="","",+SUMIFS('300s Plant Balances Input'!K:K,'300s Plant Balances Input'!B:B,'300s - 3 Digit FERC Accounts'!B204))</f>
        <v/>
      </c>
      <c r="E204" s="44" t="str">
        <f>IF(B204="","",+SUMIFS('300s Plant Balances Input'!S:S,'300s Plant Balances Input'!B:B,'300s - 3 Digit FERC Accounts'!B204))</f>
        <v/>
      </c>
      <c r="F204" s="44" t="str">
        <f>IF(B204="","",+SUMIFS('300s Plant Balances Input'!M:M,'300s Plant Balances Input'!B:B,'300s - 3 Digit FERC Accounts'!B204))</f>
        <v/>
      </c>
    </row>
    <row r="205" spans="4:6">
      <c r="D205" s="44" t="str">
        <f>IF(B205="","",+SUMIFS('300s Plant Balances Input'!K:K,'300s Plant Balances Input'!B:B,'300s - 3 Digit FERC Accounts'!B205))</f>
        <v/>
      </c>
      <c r="E205" s="44" t="str">
        <f>IF(B205="","",+SUMIFS('300s Plant Balances Input'!S:S,'300s Plant Balances Input'!B:B,'300s - 3 Digit FERC Accounts'!B205))</f>
        <v/>
      </c>
      <c r="F205" s="44" t="str">
        <f>IF(B205="","",+SUMIFS('300s Plant Balances Input'!M:M,'300s Plant Balances Input'!B:B,'300s - 3 Digit FERC Accounts'!B205))</f>
        <v/>
      </c>
    </row>
    <row r="206" spans="4:6">
      <c r="D206" s="44" t="str">
        <f>IF(B206="","",+SUMIFS('300s Plant Balances Input'!K:K,'300s Plant Balances Input'!B:B,'300s - 3 Digit FERC Accounts'!B206))</f>
        <v/>
      </c>
      <c r="E206" s="44" t="str">
        <f>IF(B206="","",+SUMIFS('300s Plant Balances Input'!S:S,'300s Plant Balances Input'!B:B,'300s - 3 Digit FERC Accounts'!B206))</f>
        <v/>
      </c>
      <c r="F206" s="44" t="str">
        <f>IF(B206="","",+SUMIFS('300s Plant Balances Input'!M:M,'300s Plant Balances Input'!B:B,'300s - 3 Digit FERC Accounts'!B206))</f>
        <v/>
      </c>
    </row>
    <row r="207" spans="4:6">
      <c r="D207" s="44" t="str">
        <f>IF(B207="","",+SUMIFS('300s Plant Balances Input'!K:K,'300s Plant Balances Input'!B:B,'300s - 3 Digit FERC Accounts'!B207))</f>
        <v/>
      </c>
      <c r="E207" s="44" t="str">
        <f>IF(B207="","",+SUMIFS('300s Plant Balances Input'!S:S,'300s Plant Balances Input'!B:B,'300s - 3 Digit FERC Accounts'!B207))</f>
        <v/>
      </c>
      <c r="F207" s="44" t="str">
        <f>IF(B207="","",+SUMIFS('300s Plant Balances Input'!M:M,'300s Plant Balances Input'!B:B,'300s - 3 Digit FERC Accounts'!B207))</f>
        <v/>
      </c>
    </row>
    <row r="208" spans="4:6">
      <c r="D208" s="44" t="str">
        <f>IF(B208="","",+SUMIFS('300s Plant Balances Input'!K:K,'300s Plant Balances Input'!B:B,'300s - 3 Digit FERC Accounts'!B208))</f>
        <v/>
      </c>
      <c r="E208" s="44" t="str">
        <f>IF(B208="","",+SUMIFS('300s Plant Balances Input'!S:S,'300s Plant Balances Input'!B:B,'300s - 3 Digit FERC Accounts'!B208))</f>
        <v/>
      </c>
      <c r="F208" s="44" t="str">
        <f>IF(B208="","",+SUMIFS('300s Plant Balances Input'!M:M,'300s Plant Balances Input'!B:B,'300s - 3 Digit FERC Accounts'!B208))</f>
        <v/>
      </c>
    </row>
    <row r="209" spans="4:6">
      <c r="D209" s="44" t="str">
        <f>IF(B209="","",+SUMIFS('300s Plant Balances Input'!K:K,'300s Plant Balances Input'!B:B,'300s - 3 Digit FERC Accounts'!B209))</f>
        <v/>
      </c>
      <c r="E209" s="44" t="str">
        <f>IF(B209="","",+SUMIFS('300s Plant Balances Input'!S:S,'300s Plant Balances Input'!B:B,'300s - 3 Digit FERC Accounts'!B209))</f>
        <v/>
      </c>
      <c r="F209" s="44" t="str">
        <f>IF(B209="","",+SUMIFS('300s Plant Balances Input'!M:M,'300s Plant Balances Input'!B:B,'300s - 3 Digit FERC Accounts'!B209))</f>
        <v/>
      </c>
    </row>
    <row r="210" spans="4:6">
      <c r="D210" s="44" t="str">
        <f>IF(B210="","",+SUMIFS('300s Plant Balances Input'!K:K,'300s Plant Balances Input'!B:B,'300s - 3 Digit FERC Accounts'!B210))</f>
        <v/>
      </c>
      <c r="E210" s="44" t="str">
        <f>IF(B210="","",+SUMIFS('300s Plant Balances Input'!S:S,'300s Plant Balances Input'!B:B,'300s - 3 Digit FERC Accounts'!B210))</f>
        <v/>
      </c>
      <c r="F210" s="44" t="str">
        <f>IF(B210="","",+SUMIFS('300s Plant Balances Input'!M:M,'300s Plant Balances Input'!B:B,'300s - 3 Digit FERC Accounts'!B210))</f>
        <v/>
      </c>
    </row>
    <row r="211" spans="4:6">
      <c r="D211" s="44" t="str">
        <f>IF(B211="","",+SUMIFS('300s Plant Balances Input'!K:K,'300s Plant Balances Input'!B:B,'300s - 3 Digit FERC Accounts'!B211))</f>
        <v/>
      </c>
      <c r="E211" s="44" t="str">
        <f>IF(B211="","",+SUMIFS('300s Plant Balances Input'!S:S,'300s Plant Balances Input'!B:B,'300s - 3 Digit FERC Accounts'!B211))</f>
        <v/>
      </c>
      <c r="F211" s="44" t="str">
        <f>IF(B211="","",+SUMIFS('300s Plant Balances Input'!M:M,'300s Plant Balances Input'!B:B,'300s - 3 Digit FERC Accounts'!B211))</f>
        <v/>
      </c>
    </row>
    <row r="212" spans="4:6">
      <c r="D212" s="44" t="str">
        <f>IF(B212="","",+SUMIFS('300s Plant Balances Input'!K:K,'300s Plant Balances Input'!B:B,'300s - 3 Digit FERC Accounts'!B212))</f>
        <v/>
      </c>
      <c r="E212" s="44" t="str">
        <f>IF(B212="","",+SUMIFS('300s Plant Balances Input'!S:S,'300s Plant Balances Input'!B:B,'300s - 3 Digit FERC Accounts'!B212))</f>
        <v/>
      </c>
      <c r="F212" s="44" t="str">
        <f>IF(B212="","",+SUMIFS('300s Plant Balances Input'!M:M,'300s Plant Balances Input'!B:B,'300s - 3 Digit FERC Accounts'!B212))</f>
        <v/>
      </c>
    </row>
    <row r="213" spans="4:6">
      <c r="D213" s="44" t="str">
        <f>IF(B213="","",+SUMIFS('300s Plant Balances Input'!K:K,'300s Plant Balances Input'!B:B,'300s - 3 Digit FERC Accounts'!B213))</f>
        <v/>
      </c>
      <c r="E213" s="44" t="str">
        <f>IF(B213="","",+SUMIFS('300s Plant Balances Input'!S:S,'300s Plant Balances Input'!B:B,'300s - 3 Digit FERC Accounts'!B213))</f>
        <v/>
      </c>
      <c r="F213" s="44" t="str">
        <f>IF(B213="","",+SUMIFS('300s Plant Balances Input'!M:M,'300s Plant Balances Input'!B:B,'300s - 3 Digit FERC Accounts'!B213))</f>
        <v/>
      </c>
    </row>
    <row r="214" spans="4:6">
      <c r="D214" s="44" t="str">
        <f>IF(B214="","",+SUMIFS('300s Plant Balances Input'!K:K,'300s Plant Balances Input'!B:B,'300s - 3 Digit FERC Accounts'!B214))</f>
        <v/>
      </c>
      <c r="E214" s="44" t="str">
        <f>IF(B214="","",+SUMIFS('300s Plant Balances Input'!S:S,'300s Plant Balances Input'!B:B,'300s - 3 Digit FERC Accounts'!B214))</f>
        <v/>
      </c>
      <c r="F214" s="44" t="str">
        <f>IF(B214="","",+SUMIFS('300s Plant Balances Input'!M:M,'300s Plant Balances Input'!B:B,'300s - 3 Digit FERC Accounts'!B214))</f>
        <v/>
      </c>
    </row>
    <row r="215" spans="4:6">
      <c r="D215" s="44" t="str">
        <f>IF(B215="","",+SUMIFS('300s Plant Balances Input'!K:K,'300s Plant Balances Input'!B:B,'300s - 3 Digit FERC Accounts'!B215))</f>
        <v/>
      </c>
      <c r="E215" s="44" t="str">
        <f>IF(B215="","",+SUMIFS('300s Plant Balances Input'!S:S,'300s Plant Balances Input'!B:B,'300s - 3 Digit FERC Accounts'!B215))</f>
        <v/>
      </c>
      <c r="F215" s="44" t="str">
        <f>IF(B215="","",+SUMIFS('300s Plant Balances Input'!M:M,'300s Plant Balances Input'!B:B,'300s - 3 Digit FERC Accounts'!B215))</f>
        <v/>
      </c>
    </row>
    <row r="216" spans="4:6">
      <c r="D216" s="44" t="str">
        <f>IF(B216="","",+SUMIFS('300s Plant Balances Input'!K:K,'300s Plant Balances Input'!B:B,'300s - 3 Digit FERC Accounts'!B216))</f>
        <v/>
      </c>
      <c r="E216" s="44" t="str">
        <f>IF(B216="","",+SUMIFS('300s Plant Balances Input'!S:S,'300s Plant Balances Input'!B:B,'300s - 3 Digit FERC Accounts'!B216))</f>
        <v/>
      </c>
      <c r="F216" s="44" t="str">
        <f>IF(B216="","",+SUMIFS('300s Plant Balances Input'!M:M,'300s Plant Balances Input'!B:B,'300s - 3 Digit FERC Accounts'!B216))</f>
        <v/>
      </c>
    </row>
    <row r="217" spans="4:6">
      <c r="D217" s="44" t="str">
        <f>IF(B217="","",+SUMIFS('300s Plant Balances Input'!K:K,'300s Plant Balances Input'!B:B,'300s - 3 Digit FERC Accounts'!B217))</f>
        <v/>
      </c>
      <c r="E217" s="44" t="str">
        <f>IF(B217="","",+SUMIFS('300s Plant Balances Input'!S:S,'300s Plant Balances Input'!B:B,'300s - 3 Digit FERC Accounts'!B217))</f>
        <v/>
      </c>
      <c r="F217" s="44" t="str">
        <f>IF(B217="","",+SUMIFS('300s Plant Balances Input'!M:M,'300s Plant Balances Input'!B:B,'300s - 3 Digit FERC Accounts'!B217))</f>
        <v/>
      </c>
    </row>
    <row r="218" spans="4:6">
      <c r="D218" s="44" t="str">
        <f>IF(B218="","",+SUMIFS('300s Plant Balances Input'!K:K,'300s Plant Balances Input'!B:B,'300s - 3 Digit FERC Accounts'!B218))</f>
        <v/>
      </c>
      <c r="E218" s="44" t="str">
        <f>IF(B218="","",+SUMIFS('300s Plant Balances Input'!S:S,'300s Plant Balances Input'!B:B,'300s - 3 Digit FERC Accounts'!B218))</f>
        <v/>
      </c>
      <c r="F218" s="44" t="str">
        <f>IF(B218="","",+SUMIFS('300s Plant Balances Input'!M:M,'300s Plant Balances Input'!B:B,'300s - 3 Digit FERC Accounts'!B218))</f>
        <v/>
      </c>
    </row>
    <row r="219" spans="4:6">
      <c r="D219" s="44" t="str">
        <f>IF(B219="","",+SUMIFS('300s Plant Balances Input'!K:K,'300s Plant Balances Input'!B:B,'300s - 3 Digit FERC Accounts'!B219))</f>
        <v/>
      </c>
      <c r="E219" s="44" t="str">
        <f>IF(B219="","",+SUMIFS('300s Plant Balances Input'!S:S,'300s Plant Balances Input'!B:B,'300s - 3 Digit FERC Accounts'!B219))</f>
        <v/>
      </c>
      <c r="F219" s="44" t="str">
        <f>IF(B219="","",+SUMIFS('300s Plant Balances Input'!M:M,'300s Plant Balances Input'!B:B,'300s - 3 Digit FERC Accounts'!B219))</f>
        <v/>
      </c>
    </row>
    <row r="220" spans="4:6">
      <c r="D220" s="44" t="str">
        <f>IF(B220="","",+SUMIFS('300s Plant Balances Input'!K:K,'300s Plant Balances Input'!B:B,'300s - 3 Digit FERC Accounts'!B220))</f>
        <v/>
      </c>
      <c r="E220" s="44" t="str">
        <f>IF(B220="","",+SUMIFS('300s Plant Balances Input'!S:S,'300s Plant Balances Input'!B:B,'300s - 3 Digit FERC Accounts'!B220))</f>
        <v/>
      </c>
      <c r="F220" s="44" t="str">
        <f>IF(B220="","",+SUMIFS('300s Plant Balances Input'!M:M,'300s Plant Balances Input'!B:B,'300s - 3 Digit FERC Accounts'!B220))</f>
        <v/>
      </c>
    </row>
    <row r="221" spans="4:6">
      <c r="D221" s="44" t="str">
        <f>IF(B221="","",+SUMIFS('300s Plant Balances Input'!K:K,'300s Plant Balances Input'!B:B,'300s - 3 Digit FERC Accounts'!B221))</f>
        <v/>
      </c>
      <c r="E221" s="44" t="str">
        <f>IF(B221="","",+SUMIFS('300s Plant Balances Input'!S:S,'300s Plant Balances Input'!B:B,'300s - 3 Digit FERC Accounts'!B221))</f>
        <v/>
      </c>
      <c r="F221" s="44" t="str">
        <f>IF(B221="","",+SUMIFS('300s Plant Balances Input'!M:M,'300s Plant Balances Input'!B:B,'300s - 3 Digit FERC Accounts'!B221))</f>
        <v/>
      </c>
    </row>
    <row r="222" spans="4:6">
      <c r="D222" s="44" t="str">
        <f>IF(B222="","",+SUMIFS('300s Plant Balances Input'!K:K,'300s Plant Balances Input'!B:B,'300s - 3 Digit FERC Accounts'!B222))</f>
        <v/>
      </c>
      <c r="E222" s="44" t="str">
        <f>IF(B222="","",+SUMIFS('300s Plant Balances Input'!S:S,'300s Plant Balances Input'!B:B,'300s - 3 Digit FERC Accounts'!B222))</f>
        <v/>
      </c>
      <c r="F222" s="44" t="str">
        <f>IF(B222="","",+SUMIFS('300s Plant Balances Input'!M:M,'300s Plant Balances Input'!B:B,'300s - 3 Digit FERC Accounts'!B222))</f>
        <v/>
      </c>
    </row>
    <row r="223" spans="4:6">
      <c r="D223" s="44" t="str">
        <f>IF(B223="","",+SUMIFS('300s Plant Balances Input'!K:K,'300s Plant Balances Input'!B:B,'300s - 3 Digit FERC Accounts'!B223))</f>
        <v/>
      </c>
      <c r="E223" s="44" t="str">
        <f>IF(B223="","",+SUMIFS('300s Plant Balances Input'!S:S,'300s Plant Balances Input'!B:B,'300s - 3 Digit FERC Accounts'!B223))</f>
        <v/>
      </c>
      <c r="F223" s="44" t="str">
        <f>IF(B223="","",+SUMIFS('300s Plant Balances Input'!M:M,'300s Plant Balances Input'!B:B,'300s - 3 Digit FERC Accounts'!B223))</f>
        <v/>
      </c>
    </row>
    <row r="224" spans="4:6">
      <c r="D224" s="44" t="str">
        <f>IF(B224="","",+SUMIFS('300s Plant Balances Input'!K:K,'300s Plant Balances Input'!B:B,'300s - 3 Digit FERC Accounts'!B224))</f>
        <v/>
      </c>
      <c r="E224" s="44" t="str">
        <f>IF(B224="","",+SUMIFS('300s Plant Balances Input'!S:S,'300s Plant Balances Input'!B:B,'300s - 3 Digit FERC Accounts'!B224))</f>
        <v/>
      </c>
      <c r="F224" s="44" t="str">
        <f>IF(B224="","",+SUMIFS('300s Plant Balances Input'!M:M,'300s Plant Balances Input'!B:B,'300s - 3 Digit FERC Accounts'!B224))</f>
        <v/>
      </c>
    </row>
    <row r="225" spans="4:6">
      <c r="D225" s="44" t="str">
        <f>IF(B225="","",+SUMIFS('300s Plant Balances Input'!K:K,'300s Plant Balances Input'!B:B,'300s - 3 Digit FERC Accounts'!B225))</f>
        <v/>
      </c>
      <c r="E225" s="44" t="str">
        <f>IF(B225="","",+SUMIFS('300s Plant Balances Input'!S:S,'300s Plant Balances Input'!B:B,'300s - 3 Digit FERC Accounts'!B225))</f>
        <v/>
      </c>
      <c r="F225" s="44" t="str">
        <f>IF(B225="","",+SUMIFS('300s Plant Balances Input'!M:M,'300s Plant Balances Input'!B:B,'300s - 3 Digit FERC Accounts'!B225))</f>
        <v/>
      </c>
    </row>
    <row r="226" spans="4:6">
      <c r="D226" s="44" t="str">
        <f>IF(B226="","",+SUMIFS('300s Plant Balances Input'!K:K,'300s Plant Balances Input'!B:B,'300s - 3 Digit FERC Accounts'!B226))</f>
        <v/>
      </c>
      <c r="E226" s="44" t="str">
        <f>IF(B226="","",+SUMIFS('300s Plant Balances Input'!S:S,'300s Plant Balances Input'!B:B,'300s - 3 Digit FERC Accounts'!B226))</f>
        <v/>
      </c>
      <c r="F226" s="44" t="str">
        <f>IF(B226="","",+SUMIFS('300s Plant Balances Input'!M:M,'300s Plant Balances Input'!B:B,'300s - 3 Digit FERC Accounts'!B226))</f>
        <v/>
      </c>
    </row>
    <row r="227" spans="4:6">
      <c r="D227" s="44" t="str">
        <f>IF(B227="","",+SUMIFS('300s Plant Balances Input'!K:K,'300s Plant Balances Input'!B:B,'300s - 3 Digit FERC Accounts'!B227))</f>
        <v/>
      </c>
      <c r="E227" s="44" t="str">
        <f>IF(B227="","",+SUMIFS('300s Plant Balances Input'!S:S,'300s Plant Balances Input'!B:B,'300s - 3 Digit FERC Accounts'!B227))</f>
        <v/>
      </c>
      <c r="F227" s="44" t="str">
        <f>IF(B227="","",+SUMIFS('300s Plant Balances Input'!M:M,'300s Plant Balances Input'!B:B,'300s - 3 Digit FERC Accounts'!B227))</f>
        <v/>
      </c>
    </row>
    <row r="228" spans="4:6">
      <c r="D228" s="44" t="str">
        <f>IF(B228="","",+SUMIFS('300s Plant Balances Input'!K:K,'300s Plant Balances Input'!B:B,'300s - 3 Digit FERC Accounts'!B228))</f>
        <v/>
      </c>
      <c r="E228" s="44" t="str">
        <f>IF(B228="","",+SUMIFS('300s Plant Balances Input'!S:S,'300s Plant Balances Input'!B:B,'300s - 3 Digit FERC Accounts'!B228))</f>
        <v/>
      </c>
      <c r="F228" s="44" t="str">
        <f>IF(B228="","",+SUMIFS('300s Plant Balances Input'!M:M,'300s Plant Balances Input'!B:B,'300s - 3 Digit FERC Accounts'!B228))</f>
        <v/>
      </c>
    </row>
    <row r="229" spans="4:6">
      <c r="D229" s="44" t="str">
        <f>IF(B229="","",+SUMIFS('300s Plant Balances Input'!K:K,'300s Plant Balances Input'!B:B,'300s - 3 Digit FERC Accounts'!B229))</f>
        <v/>
      </c>
      <c r="E229" s="44" t="str">
        <f>IF(B229="","",+SUMIFS('300s Plant Balances Input'!S:S,'300s Plant Balances Input'!B:B,'300s - 3 Digit FERC Accounts'!B229))</f>
        <v/>
      </c>
      <c r="F229" s="44" t="str">
        <f>IF(B229="","",+SUMIFS('300s Plant Balances Input'!M:M,'300s Plant Balances Input'!B:B,'300s - 3 Digit FERC Accounts'!B229))</f>
        <v/>
      </c>
    </row>
    <row r="230" spans="4:6">
      <c r="D230" s="44" t="str">
        <f>IF(B230="","",+SUMIFS('300s Plant Balances Input'!K:K,'300s Plant Balances Input'!B:B,'300s - 3 Digit FERC Accounts'!B230))</f>
        <v/>
      </c>
      <c r="E230" s="44" t="str">
        <f>IF(B230="","",+SUMIFS('300s Plant Balances Input'!S:S,'300s Plant Balances Input'!B:B,'300s - 3 Digit FERC Accounts'!B230))</f>
        <v/>
      </c>
      <c r="F230" s="44" t="str">
        <f>IF(B230="","",+SUMIFS('300s Plant Balances Input'!M:M,'300s Plant Balances Input'!B:B,'300s - 3 Digit FERC Accounts'!B230))</f>
        <v/>
      </c>
    </row>
    <row r="231" spans="4:6">
      <c r="D231" s="44" t="str">
        <f>IF(B231="","",+SUMIFS('300s Plant Balances Input'!K:K,'300s Plant Balances Input'!B:B,'300s - 3 Digit FERC Accounts'!B231))</f>
        <v/>
      </c>
      <c r="E231" s="44" t="str">
        <f>IF(B231="","",+SUMIFS('300s Plant Balances Input'!S:S,'300s Plant Balances Input'!B:B,'300s - 3 Digit FERC Accounts'!B231))</f>
        <v/>
      </c>
      <c r="F231" s="44" t="str">
        <f>IF(B231="","",+SUMIFS('300s Plant Balances Input'!M:M,'300s Plant Balances Input'!B:B,'300s - 3 Digit FERC Accounts'!B231))</f>
        <v/>
      </c>
    </row>
    <row r="232" spans="4:6">
      <c r="D232" s="44" t="str">
        <f>IF(B232="","",+SUMIFS('300s Plant Balances Input'!K:K,'300s Plant Balances Input'!B:B,'300s - 3 Digit FERC Accounts'!B232))</f>
        <v/>
      </c>
      <c r="E232" s="44" t="str">
        <f>IF(B232="","",+SUMIFS('300s Plant Balances Input'!S:S,'300s Plant Balances Input'!B:B,'300s - 3 Digit FERC Accounts'!B232))</f>
        <v/>
      </c>
      <c r="F232" s="44" t="str">
        <f>IF(B232="","",+SUMIFS('300s Plant Balances Input'!M:M,'300s Plant Balances Input'!B:B,'300s - 3 Digit FERC Accounts'!B232))</f>
        <v/>
      </c>
    </row>
    <row r="233" spans="4:6">
      <c r="D233" s="44" t="str">
        <f>IF(B233="","",+SUMIFS('300s Plant Balances Input'!K:K,'300s Plant Balances Input'!B:B,'300s - 3 Digit FERC Accounts'!B233))</f>
        <v/>
      </c>
      <c r="E233" s="44" t="str">
        <f>IF(B233="","",+SUMIFS('300s Plant Balances Input'!S:S,'300s Plant Balances Input'!B:B,'300s - 3 Digit FERC Accounts'!B233))</f>
        <v/>
      </c>
      <c r="F233" s="44" t="str">
        <f>IF(B233="","",+SUMIFS('300s Plant Balances Input'!M:M,'300s Plant Balances Input'!B:B,'300s - 3 Digit FERC Accounts'!B233))</f>
        <v/>
      </c>
    </row>
    <row r="234" spans="4:6">
      <c r="D234" s="44" t="str">
        <f>IF(B234="","",+SUMIFS('300s Plant Balances Input'!K:K,'300s Plant Balances Input'!B:B,'300s - 3 Digit FERC Accounts'!B234))</f>
        <v/>
      </c>
      <c r="E234" s="44" t="str">
        <f>IF(B234="","",+SUMIFS('300s Plant Balances Input'!S:S,'300s Plant Balances Input'!B:B,'300s - 3 Digit FERC Accounts'!B234))</f>
        <v/>
      </c>
      <c r="F234" s="44" t="str">
        <f>IF(B234="","",+SUMIFS('300s Plant Balances Input'!M:M,'300s Plant Balances Input'!B:B,'300s - 3 Digit FERC Accounts'!B234))</f>
        <v/>
      </c>
    </row>
    <row r="235" spans="4:6">
      <c r="D235" s="44" t="str">
        <f>IF(B235="","",+SUMIFS('300s Plant Balances Input'!K:K,'300s Plant Balances Input'!B:B,'300s - 3 Digit FERC Accounts'!B235))</f>
        <v/>
      </c>
      <c r="E235" s="44" t="str">
        <f>IF(B235="","",+SUMIFS('300s Plant Balances Input'!S:S,'300s Plant Balances Input'!B:B,'300s - 3 Digit FERC Accounts'!B235))</f>
        <v/>
      </c>
      <c r="F235" s="44" t="str">
        <f>IF(B235="","",+SUMIFS('300s Plant Balances Input'!M:M,'300s Plant Balances Input'!B:B,'300s - 3 Digit FERC Accounts'!B235))</f>
        <v/>
      </c>
    </row>
    <row r="236" spans="4:6">
      <c r="D236" s="44" t="str">
        <f>IF(B236="","",+SUMIFS('300s Plant Balances Input'!K:K,'300s Plant Balances Input'!B:B,'300s - 3 Digit FERC Accounts'!B236))</f>
        <v/>
      </c>
      <c r="E236" s="44" t="str">
        <f>IF(B236="","",+SUMIFS('300s Plant Balances Input'!S:S,'300s Plant Balances Input'!B:B,'300s - 3 Digit FERC Accounts'!B236))</f>
        <v/>
      </c>
      <c r="F236" s="44" t="str">
        <f>IF(B236="","",+SUMIFS('300s Plant Balances Input'!M:M,'300s Plant Balances Input'!B:B,'300s - 3 Digit FERC Accounts'!B236))</f>
        <v/>
      </c>
    </row>
    <row r="237" spans="4:6">
      <c r="D237" s="44" t="str">
        <f>IF(B237="","",+SUMIFS('300s Plant Balances Input'!K:K,'300s Plant Balances Input'!B:B,'300s - 3 Digit FERC Accounts'!B237))</f>
        <v/>
      </c>
      <c r="E237" s="44" t="str">
        <f>IF(B237="","",+SUMIFS('300s Plant Balances Input'!S:S,'300s Plant Balances Input'!B:B,'300s - 3 Digit FERC Accounts'!B237))</f>
        <v/>
      </c>
      <c r="F237" s="44" t="str">
        <f>IF(B237="","",+SUMIFS('300s Plant Balances Input'!M:M,'300s Plant Balances Input'!B:B,'300s - 3 Digit FERC Accounts'!B237))</f>
        <v/>
      </c>
    </row>
    <row r="238" spans="4:6">
      <c r="D238" s="44" t="str">
        <f>IF(B238="","",+SUMIFS('300s Plant Balances Input'!K:K,'300s Plant Balances Input'!B:B,'300s - 3 Digit FERC Accounts'!B238))</f>
        <v/>
      </c>
      <c r="E238" s="44" t="str">
        <f>IF(B238="","",+SUMIFS('300s Plant Balances Input'!S:S,'300s Plant Balances Input'!B:B,'300s - 3 Digit FERC Accounts'!B238))</f>
        <v/>
      </c>
      <c r="F238" s="44" t="str">
        <f>IF(B238="","",+SUMIFS('300s Plant Balances Input'!M:M,'300s Plant Balances Input'!B:B,'300s - 3 Digit FERC Accounts'!B238))</f>
        <v/>
      </c>
    </row>
    <row r="239" spans="4:6">
      <c r="D239" s="44" t="str">
        <f>IF(B239="","",+SUMIFS('300s Plant Balances Input'!K:K,'300s Plant Balances Input'!B:B,'300s - 3 Digit FERC Accounts'!B239))</f>
        <v/>
      </c>
      <c r="E239" s="44" t="str">
        <f>IF(B239="","",+SUMIFS('300s Plant Balances Input'!S:S,'300s Plant Balances Input'!B:B,'300s - 3 Digit FERC Accounts'!B239))</f>
        <v/>
      </c>
      <c r="F239" s="44" t="str">
        <f>IF(B239="","",+SUMIFS('300s Plant Balances Input'!M:M,'300s Plant Balances Input'!B:B,'300s - 3 Digit FERC Accounts'!B239))</f>
        <v/>
      </c>
    </row>
    <row r="240" spans="4:6">
      <c r="D240" s="44" t="str">
        <f>IF(B240="","",+SUMIFS('300s Plant Balances Input'!K:K,'300s Plant Balances Input'!B:B,'300s - 3 Digit FERC Accounts'!B240))</f>
        <v/>
      </c>
      <c r="E240" s="44" t="str">
        <f>IF(B240="","",+SUMIFS('300s Plant Balances Input'!S:S,'300s Plant Balances Input'!B:B,'300s - 3 Digit FERC Accounts'!B240))</f>
        <v/>
      </c>
      <c r="F240" s="44" t="str">
        <f>IF(B240="","",+SUMIFS('300s Plant Balances Input'!M:M,'300s Plant Balances Input'!B:B,'300s - 3 Digit FERC Accounts'!B240))</f>
        <v/>
      </c>
    </row>
    <row r="241" spans="4:6">
      <c r="D241" s="44" t="str">
        <f>IF(B241="","",+SUMIFS('300s Plant Balances Input'!K:K,'300s Plant Balances Input'!B:B,'300s - 3 Digit FERC Accounts'!B241))</f>
        <v/>
      </c>
      <c r="E241" s="44" t="str">
        <f>IF(B241="","",+SUMIFS('300s Plant Balances Input'!S:S,'300s Plant Balances Input'!B:B,'300s - 3 Digit FERC Accounts'!B241))</f>
        <v/>
      </c>
      <c r="F241" s="44" t="str">
        <f>IF(B241="","",+SUMIFS('300s Plant Balances Input'!M:M,'300s Plant Balances Input'!B:B,'300s - 3 Digit FERC Accounts'!B241))</f>
        <v/>
      </c>
    </row>
    <row r="242" spans="4:6">
      <c r="D242" s="44" t="str">
        <f>IF(B242="","",+SUMIFS('300s Plant Balances Input'!K:K,'300s Plant Balances Input'!B:B,'300s - 3 Digit FERC Accounts'!B242))</f>
        <v/>
      </c>
      <c r="E242" s="44" t="str">
        <f>IF(B242="","",+SUMIFS('300s Plant Balances Input'!S:S,'300s Plant Balances Input'!B:B,'300s - 3 Digit FERC Accounts'!B242))</f>
        <v/>
      </c>
      <c r="F242" s="44" t="str">
        <f>IF(B242="","",+SUMIFS('300s Plant Balances Input'!M:M,'300s Plant Balances Input'!B:B,'300s - 3 Digit FERC Accounts'!B242))</f>
        <v/>
      </c>
    </row>
    <row r="243" spans="4:6">
      <c r="D243" s="44" t="str">
        <f>IF(B243="","",+SUMIFS('300s Plant Balances Input'!K:K,'300s Plant Balances Input'!B:B,'300s - 3 Digit FERC Accounts'!B243))</f>
        <v/>
      </c>
      <c r="E243" s="44" t="str">
        <f>IF(B243="","",+SUMIFS('300s Plant Balances Input'!S:S,'300s Plant Balances Input'!B:B,'300s - 3 Digit FERC Accounts'!B243))</f>
        <v/>
      </c>
      <c r="F243" s="44" t="str">
        <f>IF(B243="","",+SUMIFS('300s Plant Balances Input'!M:M,'300s Plant Balances Input'!B:B,'300s - 3 Digit FERC Accounts'!B243))</f>
        <v/>
      </c>
    </row>
    <row r="244" spans="4:6">
      <c r="D244" s="44" t="str">
        <f>IF(B244="","",+SUMIFS('300s Plant Balances Input'!K:K,'300s Plant Balances Input'!B:B,'300s - 3 Digit FERC Accounts'!B244))</f>
        <v/>
      </c>
      <c r="E244" s="44" t="str">
        <f>IF(B244="","",+SUMIFS('300s Plant Balances Input'!S:S,'300s Plant Balances Input'!B:B,'300s - 3 Digit FERC Accounts'!B244))</f>
        <v/>
      </c>
      <c r="F244" s="44" t="str">
        <f>IF(B244="","",+SUMIFS('300s Plant Balances Input'!M:M,'300s Plant Balances Input'!B:B,'300s - 3 Digit FERC Accounts'!B244))</f>
        <v/>
      </c>
    </row>
    <row r="245" spans="4:6">
      <c r="D245" s="44" t="str">
        <f>IF(B245="","",+SUMIFS('300s Plant Balances Input'!K:K,'300s Plant Balances Input'!B:B,'300s - 3 Digit FERC Accounts'!B245))</f>
        <v/>
      </c>
      <c r="E245" s="44" t="str">
        <f>IF(B245="","",+SUMIFS('300s Plant Balances Input'!S:S,'300s Plant Balances Input'!B:B,'300s - 3 Digit FERC Accounts'!B245))</f>
        <v/>
      </c>
      <c r="F245" s="44" t="str">
        <f>IF(B245="","",+SUMIFS('300s Plant Balances Input'!M:M,'300s Plant Balances Input'!B:B,'300s - 3 Digit FERC Accounts'!B245))</f>
        <v/>
      </c>
    </row>
    <row r="246" spans="4:6">
      <c r="D246" s="44" t="str">
        <f>IF(B246="","",+SUMIFS('300s Plant Balances Input'!K:K,'300s Plant Balances Input'!B:B,'300s - 3 Digit FERC Accounts'!B246))</f>
        <v/>
      </c>
      <c r="E246" s="44" t="str">
        <f>IF(B246="","",+SUMIFS('300s Plant Balances Input'!S:S,'300s Plant Balances Input'!B:B,'300s - 3 Digit FERC Accounts'!B246))</f>
        <v/>
      </c>
      <c r="F246" s="44" t="str">
        <f>IF(B246="","",+SUMIFS('300s Plant Balances Input'!M:M,'300s Plant Balances Input'!B:B,'300s - 3 Digit FERC Accounts'!B246))</f>
        <v/>
      </c>
    </row>
    <row r="247" spans="4:6">
      <c r="D247" s="44" t="str">
        <f>IF(B247="","",+SUMIFS('300s Plant Balances Input'!K:K,'300s Plant Balances Input'!B:B,'300s - 3 Digit FERC Accounts'!B247))</f>
        <v/>
      </c>
      <c r="E247" s="44" t="str">
        <f>IF(B247="","",+SUMIFS('300s Plant Balances Input'!S:S,'300s Plant Balances Input'!B:B,'300s - 3 Digit FERC Accounts'!B247))</f>
        <v/>
      </c>
      <c r="F247" s="44" t="str">
        <f>IF(B247="","",+SUMIFS('300s Plant Balances Input'!M:M,'300s Plant Balances Input'!B:B,'300s - 3 Digit FERC Accounts'!B247))</f>
        <v/>
      </c>
    </row>
    <row r="248" spans="4:6">
      <c r="D248" s="44" t="str">
        <f>IF(B248="","",+SUMIFS('300s Plant Balances Input'!K:K,'300s Plant Balances Input'!B:B,'300s - 3 Digit FERC Accounts'!B248))</f>
        <v/>
      </c>
      <c r="E248" s="44" t="str">
        <f>IF(B248="","",+SUMIFS('300s Plant Balances Input'!S:S,'300s Plant Balances Input'!B:B,'300s - 3 Digit FERC Accounts'!B248))</f>
        <v/>
      </c>
      <c r="F248" s="44" t="str">
        <f>IF(B248="","",+SUMIFS('300s Plant Balances Input'!M:M,'300s Plant Balances Input'!B:B,'300s - 3 Digit FERC Accounts'!B248))</f>
        <v/>
      </c>
    </row>
    <row r="249" spans="4:6">
      <c r="D249" s="44" t="str">
        <f>IF(B249="","",+SUMIFS('300s Plant Balances Input'!K:K,'300s Plant Balances Input'!B:B,'300s - 3 Digit FERC Accounts'!B249))</f>
        <v/>
      </c>
      <c r="E249" s="44" t="str">
        <f>IF(B249="","",+SUMIFS('300s Plant Balances Input'!S:S,'300s Plant Balances Input'!B:B,'300s - 3 Digit FERC Accounts'!B249))</f>
        <v/>
      </c>
      <c r="F249" s="44" t="str">
        <f>IF(B249="","",+SUMIFS('300s Plant Balances Input'!M:M,'300s Plant Balances Input'!B:B,'300s - 3 Digit FERC Accounts'!B249))</f>
        <v/>
      </c>
    </row>
    <row r="250" spans="4:6">
      <c r="D250" s="44" t="str">
        <f>IF(B250="","",+SUMIFS('300s Plant Balances Input'!K:K,'300s Plant Balances Input'!B:B,'300s - 3 Digit FERC Accounts'!B250))</f>
        <v/>
      </c>
      <c r="E250" s="44" t="str">
        <f>IF(B250="","",+SUMIFS('300s Plant Balances Input'!S:S,'300s Plant Balances Input'!B:B,'300s - 3 Digit FERC Accounts'!B250))</f>
        <v/>
      </c>
      <c r="F250" s="44" t="str">
        <f>IF(B250="","",+SUMIFS('300s Plant Balances Input'!M:M,'300s Plant Balances Input'!B:B,'300s - 3 Digit FERC Accounts'!B250))</f>
        <v/>
      </c>
    </row>
    <row r="251" spans="4:6">
      <c r="D251" s="44" t="str">
        <f>IF(B251="","",+SUMIFS('300s Plant Balances Input'!K:K,'300s Plant Balances Input'!B:B,'300s - 3 Digit FERC Accounts'!B251))</f>
        <v/>
      </c>
      <c r="E251" s="44" t="str">
        <f>IF(B251="","",+SUMIFS('300s Plant Balances Input'!S:S,'300s Plant Balances Input'!B:B,'300s - 3 Digit FERC Accounts'!B251))</f>
        <v/>
      </c>
      <c r="F251" s="44" t="str">
        <f>IF(B251="","",+SUMIFS('300s Plant Balances Input'!M:M,'300s Plant Balances Input'!B:B,'300s - 3 Digit FERC Accounts'!B251))</f>
        <v/>
      </c>
    </row>
    <row r="252" spans="4:6">
      <c r="D252" s="44" t="str">
        <f>IF(B252="","",+SUMIFS('300s Plant Balances Input'!K:K,'300s Plant Balances Input'!B:B,'300s - 3 Digit FERC Accounts'!B252))</f>
        <v/>
      </c>
      <c r="E252" s="44" t="str">
        <f>IF(B252="","",+SUMIFS('300s Plant Balances Input'!S:S,'300s Plant Balances Input'!B:B,'300s - 3 Digit FERC Accounts'!B252))</f>
        <v/>
      </c>
      <c r="F252" s="44" t="str">
        <f>IF(B252="","",+SUMIFS('300s Plant Balances Input'!M:M,'300s Plant Balances Input'!B:B,'300s - 3 Digit FERC Accounts'!B252))</f>
        <v/>
      </c>
    </row>
    <row r="253" spans="4:6">
      <c r="D253" s="44" t="str">
        <f>IF(B253="","",+SUMIFS('300s Plant Balances Input'!K:K,'300s Plant Balances Input'!B:B,'300s - 3 Digit FERC Accounts'!B253))</f>
        <v/>
      </c>
      <c r="F253" t="str">
        <f>IF(B253="","",+SUMIFS('300s Plant Balances Input'!M:M,'300s Plant Balances Input'!B:B,'300s - 3 Digit FERC Accounts'!B253))</f>
        <v/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O509"/>
  <sheetViews>
    <sheetView tabSelected="1" showOutlineSymbols="0" workbookViewId="0"/>
  </sheetViews>
  <sheetFormatPr defaultRowHeight="14.4"/>
  <cols>
    <col min="1" max="1" width="9.109375" style="33"/>
    <col min="2" max="2" width="16" bestFit="1" customWidth="1"/>
    <col min="3" max="3" width="36.44140625" bestFit="1" customWidth="1"/>
    <col min="4" max="4" width="18.6640625" bestFit="1" customWidth="1"/>
    <col min="5" max="5" width="22.33203125" bestFit="1" customWidth="1"/>
    <col min="6" max="6" width="29" bestFit="1" customWidth="1"/>
    <col min="9" max="9" width="20.5546875" bestFit="1" customWidth="1"/>
    <col min="10" max="10" width="14.6640625" bestFit="1" customWidth="1"/>
    <col min="11" max="11" width="15.33203125" bestFit="1" customWidth="1"/>
    <col min="12" max="12" width="12.6640625" bestFit="1" customWidth="1"/>
    <col min="15" max="15" width="14.33203125" bestFit="1" customWidth="1"/>
  </cols>
  <sheetData>
    <row r="2" spans="1:15" ht="15" thickBot="1"/>
    <row r="3" spans="1:15" ht="15" thickBot="1">
      <c r="A3" s="51" t="s">
        <v>8660</v>
      </c>
      <c r="B3" s="51" t="s">
        <v>1434</v>
      </c>
      <c r="C3" s="51" t="s">
        <v>608</v>
      </c>
      <c r="D3" s="51" t="s">
        <v>1826</v>
      </c>
      <c r="E3" s="51" t="s">
        <v>1828</v>
      </c>
      <c r="F3" s="51" t="s">
        <v>1827</v>
      </c>
      <c r="I3" s="2382" t="s">
        <v>610</v>
      </c>
      <c r="J3" s="2390" t="s">
        <v>1859</v>
      </c>
      <c r="K3" s="2390" t="s">
        <v>1860</v>
      </c>
      <c r="L3" s="2391" t="s">
        <v>1438</v>
      </c>
    </row>
    <row r="4" spans="1:15">
      <c r="A4" s="33" t="str">
        <f>+LEFT(B4,3)</f>
        <v>303</v>
      </c>
      <c r="B4" s="33">
        <v>30300</v>
      </c>
      <c r="C4" t="s">
        <v>1549</v>
      </c>
      <c r="D4" s="44">
        <f>IF(B4="","",+SUMIFS('300s Plant Balances Input'!K:K,'300s Plant Balances Input'!D:D,'300s - 5 Digit FERC Accounts'!B4))</f>
        <v>0</v>
      </c>
      <c r="E4" s="44">
        <f>IF(B4="","",+SUMIFS('300s Plant Balances Input'!S:S,'300s Plant Balances Input'!D:D,'300s - 5 Digit FERC Accounts'!B4))</f>
        <v>0</v>
      </c>
      <c r="F4" s="44">
        <f>IF(B4="","",+SUMIFS('300s Plant Balances Input'!M:M,'300s Plant Balances Input'!D:D,'300s - 5 Digit FERC Accounts'!B4))</f>
        <v>0</v>
      </c>
      <c r="I4" s="30" t="s">
        <v>1823</v>
      </c>
      <c r="J4" s="45">
        <f>+SUM('300s - 3 Digit FERC Accounts'!D:D)</f>
        <v>14432353888.230003</v>
      </c>
      <c r="K4" s="45">
        <f>+SUM(D:D)</f>
        <v>14432353888.230001</v>
      </c>
      <c r="L4" s="55">
        <f>+J4-K4</f>
        <v>0</v>
      </c>
    </row>
    <row r="5" spans="1:15">
      <c r="A5" s="33" t="str">
        <f t="shared" ref="A5:A68" si="0">+LEFT(B5,3)</f>
        <v>303</v>
      </c>
      <c r="B5" s="33">
        <v>30301</v>
      </c>
      <c r="C5" t="s">
        <v>1550</v>
      </c>
      <c r="D5" s="44">
        <f>IF(B5="","",+SUMIFS('300s Plant Balances Input'!K:K,'300s Plant Balances Input'!D:D,'300s - 5 Digit FERC Accounts'!B5))</f>
        <v>0</v>
      </c>
      <c r="E5" s="44">
        <f>IF(B5="","",+SUMIFS('300s Plant Balances Input'!S:S,'300s Plant Balances Input'!D:D,'300s - 5 Digit FERC Accounts'!B5))</f>
        <v>0</v>
      </c>
      <c r="F5" s="44">
        <f>IF(B5="","",+SUMIFS('300s Plant Balances Input'!M:M,'300s Plant Balances Input'!D:D,'300s - 5 Digit FERC Accounts'!B5))</f>
        <v>0</v>
      </c>
      <c r="I5" s="30" t="s">
        <v>1824</v>
      </c>
      <c r="J5" s="45">
        <f>+SUM('300s - 3 Digit FERC Accounts'!E:E)</f>
        <v>4042694829.5700016</v>
      </c>
      <c r="K5" s="45">
        <f>+SUM(E:E)</f>
        <v>4042694829.5699992</v>
      </c>
      <c r="L5" s="55">
        <f>+J5-K5</f>
        <v>0</v>
      </c>
      <c r="O5" s="2392"/>
    </row>
    <row r="6" spans="1:15" ht="15" thickBot="1">
      <c r="A6" s="33" t="str">
        <f t="shared" si="0"/>
        <v>303</v>
      </c>
      <c r="B6" s="33">
        <v>30302</v>
      </c>
      <c r="C6" t="s">
        <v>8187</v>
      </c>
      <c r="D6" s="44">
        <f>IF(B6="","",+SUMIFS('300s Plant Balances Input'!K:K,'300s Plant Balances Input'!D:D,'300s - 5 Digit FERC Accounts'!B6))</f>
        <v>0</v>
      </c>
      <c r="E6" s="44">
        <f>IF(B6="","",+SUMIFS('300s Plant Balances Input'!S:S,'300s Plant Balances Input'!D:D,'300s - 5 Digit FERC Accounts'!B6))</f>
        <v>0</v>
      </c>
      <c r="F6" s="44">
        <f>IF(B6="","",+SUMIFS('300s Plant Balances Input'!M:M,'300s Plant Balances Input'!D:D,'300s - 5 Digit FERC Accounts'!B6))</f>
        <v>0</v>
      </c>
      <c r="I6" s="31" t="s">
        <v>1825</v>
      </c>
      <c r="J6" s="75">
        <f>+SUM('300s - 3 Digit FERC Accounts'!F:F)</f>
        <v>553543307.47000003</v>
      </c>
      <c r="K6" s="75">
        <f>+SUM(F:F)</f>
        <v>553543307.46999991</v>
      </c>
      <c r="L6" s="2393">
        <f>+J6-K6</f>
        <v>0</v>
      </c>
    </row>
    <row r="7" spans="1:15">
      <c r="A7" s="33" t="str">
        <f t="shared" si="0"/>
        <v>303</v>
      </c>
      <c r="B7" s="33">
        <v>30315</v>
      </c>
      <c r="C7" t="s">
        <v>8188</v>
      </c>
      <c r="D7" s="44">
        <f>IF(B7="","",+SUMIFS('300s Plant Balances Input'!K:K,'300s Plant Balances Input'!D:D,'300s - 5 Digit FERC Accounts'!B7))</f>
        <v>596630121.51999998</v>
      </c>
      <c r="E7" s="44">
        <f>IF(B7="","",+SUMIFS('300s Plant Balances Input'!S:S,'300s Plant Balances Input'!D:D,'300s - 5 Digit FERC Accounts'!B7))</f>
        <v>192032007.41999999</v>
      </c>
      <c r="F7" s="44">
        <f>IF(B7="","",+SUMIFS('300s Plant Balances Input'!M:M,'300s Plant Balances Input'!D:D,'300s - 5 Digit FERC Accounts'!B7))</f>
        <v>39639069.590000004</v>
      </c>
    </row>
    <row r="8" spans="1:15">
      <c r="A8" s="33" t="str">
        <f t="shared" si="0"/>
        <v>303</v>
      </c>
      <c r="B8" s="33">
        <v>30399</v>
      </c>
      <c r="C8" t="s">
        <v>1551</v>
      </c>
      <c r="D8" s="44">
        <f>IF(B8="","",+SUMIFS('300s Plant Balances Input'!K:K,'300s Plant Balances Input'!D:D,'300s - 5 Digit FERC Accounts'!B8))</f>
        <v>4620086.03</v>
      </c>
      <c r="E8" s="44">
        <f>IF(B8="","",+SUMIFS('300s Plant Balances Input'!S:S,'300s Plant Balances Input'!D:D,'300s - 5 Digit FERC Accounts'!B8))</f>
        <v>439122.68</v>
      </c>
      <c r="F8" s="44">
        <f>IF(B8="","",+SUMIFS('300s Plant Balances Input'!M:M,'300s Plant Balances Input'!D:D,'300s - 5 Digit FERC Accounts'!B8))</f>
        <v>152462.88</v>
      </c>
    </row>
    <row r="9" spans="1:15">
      <c r="A9" s="33" t="str">
        <f t="shared" si="0"/>
        <v>310</v>
      </c>
      <c r="B9" s="33">
        <v>31001</v>
      </c>
      <c r="C9" t="s">
        <v>1552</v>
      </c>
      <c r="D9" s="44">
        <f>IF(B9="","",+SUMIFS('300s Plant Balances Input'!K:K,'300s Plant Balances Input'!D:D,'300s - 5 Digit FERC Accounts'!B9))</f>
        <v>0</v>
      </c>
      <c r="E9" s="44">
        <f>IF(B9="","",+SUMIFS('300s Plant Balances Input'!S:S,'300s Plant Balances Input'!D:D,'300s - 5 Digit FERC Accounts'!B9))</f>
        <v>0</v>
      </c>
      <c r="F9" s="44">
        <f>IF(B9="","",+SUMIFS('300s Plant Balances Input'!M:M,'300s Plant Balances Input'!D:D,'300s - 5 Digit FERC Accounts'!B9))</f>
        <v>0</v>
      </c>
      <c r="I9" s="50" t="s">
        <v>2110</v>
      </c>
      <c r="J9" s="50" t="s">
        <v>1823</v>
      </c>
      <c r="K9" s="50" t="s">
        <v>1824</v>
      </c>
      <c r="L9" s="50" t="s">
        <v>8659</v>
      </c>
    </row>
    <row r="10" spans="1:15">
      <c r="A10" s="33" t="str">
        <f t="shared" si="0"/>
        <v>310</v>
      </c>
      <c r="B10" s="33">
        <v>31011</v>
      </c>
      <c r="C10" t="s">
        <v>8189</v>
      </c>
      <c r="D10" s="44">
        <f>IF(B10="","",+SUMIFS('300s Plant Balances Input'!K:K,'300s Plant Balances Input'!D:D,'300s - 5 Digit FERC Accounts'!B10))</f>
        <v>0</v>
      </c>
      <c r="E10" s="44">
        <f>IF(B10="","",+SUMIFS('300s Plant Balances Input'!S:S,'300s Plant Balances Input'!D:D,'300s - 5 Digit FERC Accounts'!B10))</f>
        <v>0</v>
      </c>
      <c r="F10" s="44">
        <f>IF(B10="","",+SUMIFS('300s Plant Balances Input'!M:M,'300s Plant Balances Input'!D:D,'300s - 5 Digit FERC Accounts'!B10))</f>
        <v>0</v>
      </c>
      <c r="I10" s="50" t="s">
        <v>8618</v>
      </c>
      <c r="J10" s="2394">
        <f>+SUMIFS(D:D,$A:$A,$I10)-SUMIFS('300s - 3 Digit FERC Accounts'!D:D,'300s - 3 Digit FERC Accounts'!$B:$B,$I10)</f>
        <v>0</v>
      </c>
      <c r="K10" s="2394">
        <f>+SUMIFS(E:E,$A:$A,$I10)-SUMIFS('300s - 3 Digit FERC Accounts'!E:E,'300s - 3 Digit FERC Accounts'!$B:$B,$I10)</f>
        <v>0</v>
      </c>
      <c r="L10" s="2394">
        <f>+SUMIFS(F:F,$A:$A,$I10)-SUMIFS('300s - 3 Digit FERC Accounts'!F:F,'300s - 3 Digit FERC Accounts'!$B:$B,$I10)</f>
        <v>0</v>
      </c>
    </row>
    <row r="11" spans="1:15">
      <c r="A11" s="33" t="str">
        <f t="shared" si="0"/>
        <v>310</v>
      </c>
      <c r="B11" s="33">
        <v>31040</v>
      </c>
      <c r="C11" t="s">
        <v>1553</v>
      </c>
      <c r="D11" s="44">
        <f>IF(B11="","",+SUMIFS('300s Plant Balances Input'!K:K,'300s Plant Balances Input'!D:D,'300s - 5 Digit FERC Accounts'!B11))</f>
        <v>6923628.5099999998</v>
      </c>
      <c r="E11" s="44">
        <f>IF(B11="","",+SUMIFS('300s Plant Balances Input'!S:S,'300s Plant Balances Input'!D:D,'300s - 5 Digit FERC Accounts'!B11))</f>
        <v>0</v>
      </c>
      <c r="F11" s="44">
        <f>IF(B11="","",+SUMIFS('300s Plant Balances Input'!M:M,'300s Plant Balances Input'!D:D,'300s - 5 Digit FERC Accounts'!B11))</f>
        <v>0</v>
      </c>
      <c r="I11" s="50" t="s">
        <v>8619</v>
      </c>
      <c r="J11" s="2394">
        <f>+SUMIFS(D:D,$A:$A,$I11)-SUMIFS('300s - 3 Digit FERC Accounts'!D:D,'300s - 3 Digit FERC Accounts'!$B:$B,$I11)</f>
        <v>0</v>
      </c>
      <c r="K11" s="2394">
        <f>+SUMIFS(E:E,$A:$A,$I11)-SUMIFS('300s - 3 Digit FERC Accounts'!E:E,'300s - 3 Digit FERC Accounts'!$B:$B,$I11)</f>
        <v>0</v>
      </c>
      <c r="L11" s="2394">
        <f>+SUMIFS(F:F,$A:$A,$I11)-SUMIFS('300s - 3 Digit FERC Accounts'!F:F,'300s - 3 Digit FERC Accounts'!$B:$B,$I11)</f>
        <v>0</v>
      </c>
    </row>
    <row r="12" spans="1:15">
      <c r="A12" s="33" t="str">
        <f t="shared" si="0"/>
        <v>311</v>
      </c>
      <c r="B12" s="33">
        <v>31101</v>
      </c>
      <c r="C12" t="s">
        <v>1554</v>
      </c>
      <c r="D12" s="44">
        <f>IF(B12="","",+SUMIFS('300s Plant Balances Input'!K:K,'300s Plant Balances Input'!D:D,'300s - 5 Digit FERC Accounts'!B12))</f>
        <v>0</v>
      </c>
      <c r="E12" s="44">
        <f>IF(B12="","",+SUMIFS('300s Plant Balances Input'!S:S,'300s Plant Balances Input'!D:D,'300s - 5 Digit FERC Accounts'!B12))</f>
        <v>0</v>
      </c>
      <c r="F12" s="44">
        <f>IF(B12="","",+SUMIFS('300s Plant Balances Input'!M:M,'300s Plant Balances Input'!D:D,'300s - 5 Digit FERC Accounts'!B12))</f>
        <v>0</v>
      </c>
      <c r="I12" s="50" t="s">
        <v>8620</v>
      </c>
      <c r="J12" s="2394">
        <f>+SUMIFS(D:D,$A:$A,$I12)-SUMIFS('300s - 3 Digit FERC Accounts'!D:D,'300s - 3 Digit FERC Accounts'!$B:$B,$I12)</f>
        <v>0</v>
      </c>
      <c r="K12" s="2394">
        <f>+SUMIFS(E:E,$A:$A,$I12)-SUMIFS('300s - 3 Digit FERC Accounts'!E:E,'300s - 3 Digit FERC Accounts'!$B:$B,$I12)</f>
        <v>0</v>
      </c>
      <c r="L12" s="2394">
        <f>+SUMIFS(F:F,$A:$A,$I12)-SUMIFS('300s - 3 Digit FERC Accounts'!F:F,'300s - 3 Digit FERC Accounts'!$B:$B,$I12)</f>
        <v>0</v>
      </c>
    </row>
    <row r="13" spans="1:15">
      <c r="A13" s="33" t="str">
        <f t="shared" si="0"/>
        <v>311</v>
      </c>
      <c r="B13" s="33">
        <v>31130</v>
      </c>
      <c r="C13" t="s">
        <v>1555</v>
      </c>
      <c r="D13" s="44">
        <f>IF(B13="","",+SUMIFS('300s Plant Balances Input'!K:K,'300s Plant Balances Input'!D:D,'300s - 5 Digit FERC Accounts'!B13))</f>
        <v>0</v>
      </c>
      <c r="E13" s="44">
        <f>IF(B13="","",+SUMIFS('300s Plant Balances Input'!S:S,'300s Plant Balances Input'!D:D,'300s - 5 Digit FERC Accounts'!B13))</f>
        <v>0</v>
      </c>
      <c r="F13" s="44">
        <f>IF(B13="","",+SUMIFS('300s Plant Balances Input'!M:M,'300s Plant Balances Input'!D:D,'300s - 5 Digit FERC Accounts'!B13))</f>
        <v>0</v>
      </c>
      <c r="I13" s="50" t="s">
        <v>8621</v>
      </c>
      <c r="J13" s="2394">
        <f>+SUMIFS(D:D,$A:$A,$I13)-SUMIFS('300s - 3 Digit FERC Accounts'!D:D,'300s - 3 Digit FERC Accounts'!$B:$B,$I13)</f>
        <v>0</v>
      </c>
      <c r="K13" s="2394">
        <f>+SUMIFS(E:E,$A:$A,$I13)-SUMIFS('300s - 3 Digit FERC Accounts'!E:E,'300s - 3 Digit FERC Accounts'!$B:$B,$I13)</f>
        <v>0</v>
      </c>
      <c r="L13" s="2394">
        <f>+SUMIFS(F:F,$A:$A,$I13)-SUMIFS('300s - 3 Digit FERC Accounts'!F:F,'300s - 3 Digit FERC Accounts'!$B:$B,$I13)</f>
        <v>0</v>
      </c>
    </row>
    <row r="14" spans="1:15">
      <c r="A14" s="33" t="str">
        <f t="shared" si="0"/>
        <v>311</v>
      </c>
      <c r="B14" s="33">
        <v>31131</v>
      </c>
      <c r="C14" t="s">
        <v>8190</v>
      </c>
      <c r="D14" s="44">
        <f>IF(B14="","",+SUMIFS('300s Plant Balances Input'!K:K,'300s Plant Balances Input'!D:D,'300s - 5 Digit FERC Accounts'!B14))</f>
        <v>0</v>
      </c>
      <c r="E14" s="44">
        <f>IF(B14="","",+SUMIFS('300s Plant Balances Input'!S:S,'300s Plant Balances Input'!D:D,'300s - 5 Digit FERC Accounts'!B14))</f>
        <v>0</v>
      </c>
      <c r="F14" s="44">
        <f>IF(B14="","",+SUMIFS('300s Plant Balances Input'!M:M,'300s Plant Balances Input'!D:D,'300s - 5 Digit FERC Accounts'!B14))</f>
        <v>0</v>
      </c>
      <c r="I14" s="50" t="s">
        <v>8622</v>
      </c>
      <c r="J14" s="2394">
        <f>+SUMIFS(D:D,$A:$A,$I14)-SUMIFS('300s - 3 Digit FERC Accounts'!D:D,'300s - 3 Digit FERC Accounts'!$B:$B,$I14)</f>
        <v>0</v>
      </c>
      <c r="K14" s="2394">
        <f>+SUMIFS(E:E,$A:$A,$I14)-SUMIFS('300s - 3 Digit FERC Accounts'!E:E,'300s - 3 Digit FERC Accounts'!$B:$B,$I14)</f>
        <v>0</v>
      </c>
      <c r="L14" s="2394">
        <f>+SUMIFS(F:F,$A:$A,$I14)-SUMIFS('300s - 3 Digit FERC Accounts'!F:F,'300s - 3 Digit FERC Accounts'!$B:$B,$I14)</f>
        <v>0</v>
      </c>
    </row>
    <row r="15" spans="1:15">
      <c r="A15" s="33" t="str">
        <f t="shared" si="0"/>
        <v>311</v>
      </c>
      <c r="B15" s="33">
        <v>31132</v>
      </c>
      <c r="C15" t="s">
        <v>8191</v>
      </c>
      <c r="D15" s="44">
        <f>IF(B15="","",+SUMIFS('300s Plant Balances Input'!K:K,'300s Plant Balances Input'!D:D,'300s - 5 Digit FERC Accounts'!B15))</f>
        <v>0</v>
      </c>
      <c r="E15" s="44">
        <f>IF(B15="","",+SUMIFS('300s Plant Balances Input'!S:S,'300s Plant Balances Input'!D:D,'300s - 5 Digit FERC Accounts'!B15))</f>
        <v>0</v>
      </c>
      <c r="F15" s="44">
        <f>IF(B15="","",+SUMIFS('300s Plant Balances Input'!M:M,'300s Plant Balances Input'!D:D,'300s - 5 Digit FERC Accounts'!B15))</f>
        <v>0</v>
      </c>
      <c r="I15" s="50" t="s">
        <v>8623</v>
      </c>
      <c r="J15" s="2394">
        <f>+SUMIFS(D:D,$A:$A,$I15)-SUMIFS('300s - 3 Digit FERC Accounts'!D:D,'300s - 3 Digit FERC Accounts'!$B:$B,$I15)</f>
        <v>0</v>
      </c>
      <c r="K15" s="2394">
        <f>+SUMIFS(E:E,$A:$A,$I15)-SUMIFS('300s - 3 Digit FERC Accounts'!E:E,'300s - 3 Digit FERC Accounts'!$B:$B,$I15)</f>
        <v>0</v>
      </c>
      <c r="L15" s="2394">
        <f>+SUMIFS(F:F,$A:$A,$I15)-SUMIFS('300s - 3 Digit FERC Accounts'!F:F,'300s - 3 Digit FERC Accounts'!$B:$B,$I15)</f>
        <v>0</v>
      </c>
    </row>
    <row r="16" spans="1:15">
      <c r="A16" s="33" t="str">
        <f t="shared" si="0"/>
        <v>311</v>
      </c>
      <c r="B16" s="33">
        <v>31133</v>
      </c>
      <c r="C16" t="s">
        <v>8192</v>
      </c>
      <c r="D16" s="44">
        <f>IF(B16="","",+SUMIFS('300s Plant Balances Input'!K:K,'300s Plant Balances Input'!D:D,'300s - 5 Digit FERC Accounts'!B16))</f>
        <v>0</v>
      </c>
      <c r="E16" s="44">
        <f>IF(B16="","",+SUMIFS('300s Plant Balances Input'!S:S,'300s Plant Balances Input'!D:D,'300s - 5 Digit FERC Accounts'!B16))</f>
        <v>0</v>
      </c>
      <c r="F16" s="44">
        <f>IF(B16="","",+SUMIFS('300s Plant Balances Input'!M:M,'300s Plant Balances Input'!D:D,'300s - 5 Digit FERC Accounts'!B16))</f>
        <v>0</v>
      </c>
      <c r="I16" s="50" t="s">
        <v>8624</v>
      </c>
      <c r="J16" s="2394">
        <f>+SUMIFS(D:D,$A:$A,$I16)-SUMIFS('300s - 3 Digit FERC Accounts'!D:D,'300s - 3 Digit FERC Accounts'!$B:$B,$I16)</f>
        <v>0</v>
      </c>
      <c r="K16" s="2394">
        <f>+SUMIFS(E:E,$A:$A,$I16)-SUMIFS('300s - 3 Digit FERC Accounts'!E:E,'300s - 3 Digit FERC Accounts'!$B:$B,$I16)</f>
        <v>0</v>
      </c>
      <c r="L16" s="2394">
        <f>+SUMIFS(F:F,$A:$A,$I16)-SUMIFS('300s - 3 Digit FERC Accounts'!F:F,'300s - 3 Digit FERC Accounts'!$B:$B,$I16)</f>
        <v>0</v>
      </c>
    </row>
    <row r="17" spans="1:12">
      <c r="A17" s="33" t="str">
        <f t="shared" si="0"/>
        <v>311</v>
      </c>
      <c r="B17" s="33">
        <v>31134</v>
      </c>
      <c r="C17" t="s">
        <v>8193</v>
      </c>
      <c r="D17" s="44">
        <f>IF(B17="","",+SUMIFS('300s Plant Balances Input'!K:K,'300s Plant Balances Input'!D:D,'300s - 5 Digit FERC Accounts'!B17))</f>
        <v>0</v>
      </c>
      <c r="E17" s="44">
        <f>IF(B17="","",+SUMIFS('300s Plant Balances Input'!S:S,'300s Plant Balances Input'!D:D,'300s - 5 Digit FERC Accounts'!B17))</f>
        <v>0</v>
      </c>
      <c r="F17" s="44">
        <f>IF(B17="","",+SUMIFS('300s Plant Balances Input'!M:M,'300s Plant Balances Input'!D:D,'300s - 5 Digit FERC Accounts'!B17))</f>
        <v>0</v>
      </c>
      <c r="I17" s="50" t="s">
        <v>8625</v>
      </c>
      <c r="J17" s="2394">
        <f>+SUMIFS(D:D,$A:$A,$I17)-SUMIFS('300s - 3 Digit FERC Accounts'!D:D,'300s - 3 Digit FERC Accounts'!$B:$B,$I17)</f>
        <v>0</v>
      </c>
      <c r="K17" s="2394">
        <f>+SUMIFS(E:E,$A:$A,$I17)-SUMIFS('300s - 3 Digit FERC Accounts'!E:E,'300s - 3 Digit FERC Accounts'!$B:$B,$I17)</f>
        <v>0</v>
      </c>
      <c r="L17" s="2394">
        <f>+SUMIFS(F:F,$A:$A,$I17)-SUMIFS('300s - 3 Digit FERC Accounts'!F:F,'300s - 3 Digit FERC Accounts'!$B:$B,$I17)</f>
        <v>0</v>
      </c>
    </row>
    <row r="18" spans="1:12">
      <c r="A18" s="33" t="str">
        <f t="shared" si="0"/>
        <v>311</v>
      </c>
      <c r="B18" s="33">
        <v>31140</v>
      </c>
      <c r="C18" t="s">
        <v>1556</v>
      </c>
      <c r="D18" s="44">
        <f>IF(B18="","",+SUMIFS('300s Plant Balances Input'!K:K,'300s Plant Balances Input'!D:D,'300s - 5 Digit FERC Accounts'!B18))</f>
        <v>280963525.30000001</v>
      </c>
      <c r="E18" s="44">
        <f>IF(B18="","",+SUMIFS('300s Plant Balances Input'!S:S,'300s Plant Balances Input'!D:D,'300s - 5 Digit FERC Accounts'!B18))</f>
        <v>75964595.689999998</v>
      </c>
      <c r="F18" s="44">
        <f>IF(B18="","",+SUMIFS('300s Plant Balances Input'!M:M,'300s Plant Balances Input'!D:D,'300s - 5 Digit FERC Accounts'!B18))</f>
        <v>7080280.7999999998</v>
      </c>
      <c r="I18" s="50" t="s">
        <v>8626</v>
      </c>
      <c r="J18" s="2394">
        <f>+SUMIFS(D:D,$A:$A,$I18)-SUMIFS('300s - 3 Digit FERC Accounts'!D:D,'300s - 3 Digit FERC Accounts'!$B:$B,$I18)</f>
        <v>0</v>
      </c>
      <c r="K18" s="2394">
        <f>+SUMIFS(E:E,$A:$A,$I18)-SUMIFS('300s - 3 Digit FERC Accounts'!E:E,'300s - 3 Digit FERC Accounts'!$B:$B,$I18)</f>
        <v>0</v>
      </c>
      <c r="L18" s="2394">
        <f>+SUMIFS(F:F,$A:$A,$I18)-SUMIFS('300s - 3 Digit FERC Accounts'!F:F,'300s - 3 Digit FERC Accounts'!$B:$B,$I18)</f>
        <v>0</v>
      </c>
    </row>
    <row r="19" spans="1:12">
      <c r="A19" s="33" t="str">
        <f t="shared" si="0"/>
        <v>311</v>
      </c>
      <c r="B19" s="33">
        <v>31141</v>
      </c>
      <c r="C19" t="s">
        <v>1557</v>
      </c>
      <c r="D19" s="44">
        <f>IF(B19="","",+SUMIFS('300s Plant Balances Input'!K:K,'300s Plant Balances Input'!D:D,'300s - 5 Digit FERC Accounts'!B19))</f>
        <v>0</v>
      </c>
      <c r="E19" s="44">
        <f>IF(B19="","",+SUMIFS('300s Plant Balances Input'!S:S,'300s Plant Balances Input'!D:D,'300s - 5 Digit FERC Accounts'!B19))</f>
        <v>0</v>
      </c>
      <c r="F19" s="44">
        <f>IF(B19="","",+SUMIFS('300s Plant Balances Input'!M:M,'300s Plant Balances Input'!D:D,'300s - 5 Digit FERC Accounts'!B19))</f>
        <v>0</v>
      </c>
      <c r="I19" s="50" t="s">
        <v>8627</v>
      </c>
      <c r="J19" s="2394">
        <f>+SUMIFS(D:D,$A:$A,$I19)-SUMIFS('300s - 3 Digit FERC Accounts'!D:D,'300s - 3 Digit FERC Accounts'!$B:$B,$I19)</f>
        <v>0</v>
      </c>
      <c r="K19" s="2394">
        <f>+SUMIFS(E:E,$A:$A,$I19)-SUMIFS('300s - 3 Digit FERC Accounts'!E:E,'300s - 3 Digit FERC Accounts'!$B:$B,$I19)</f>
        <v>0</v>
      </c>
      <c r="L19" s="2394">
        <f>+SUMIFS(F:F,$A:$A,$I19)-SUMIFS('300s - 3 Digit FERC Accounts'!F:F,'300s - 3 Digit FERC Accounts'!$B:$B,$I19)</f>
        <v>0</v>
      </c>
    </row>
    <row r="20" spans="1:12">
      <c r="A20" s="33" t="str">
        <f t="shared" si="0"/>
        <v>311</v>
      </c>
      <c r="B20" s="33">
        <v>31142</v>
      </c>
      <c r="C20" t="s">
        <v>1558</v>
      </c>
      <c r="D20" s="44">
        <f>IF(B20="","",+SUMIFS('300s Plant Balances Input'!K:K,'300s Plant Balances Input'!D:D,'300s - 5 Digit FERC Accounts'!B20))</f>
        <v>0</v>
      </c>
      <c r="E20" s="44">
        <f>IF(B20="","",+SUMIFS('300s Plant Balances Input'!S:S,'300s Plant Balances Input'!D:D,'300s - 5 Digit FERC Accounts'!B20))</f>
        <v>0</v>
      </c>
      <c r="F20" s="44">
        <f>IF(B20="","",+SUMIFS('300s Plant Balances Input'!M:M,'300s Plant Balances Input'!D:D,'300s - 5 Digit FERC Accounts'!B20))</f>
        <v>0</v>
      </c>
      <c r="I20" s="50" t="s">
        <v>8628</v>
      </c>
      <c r="J20" s="2394">
        <f>+SUMIFS(D:D,$A:$A,$I20)-SUMIFS('300s - 3 Digit FERC Accounts'!D:D,'300s - 3 Digit FERC Accounts'!$B:$B,$I20)</f>
        <v>0</v>
      </c>
      <c r="K20" s="2394">
        <f>+SUMIFS(E:E,$A:$A,$I20)-SUMIFS('300s - 3 Digit FERC Accounts'!E:E,'300s - 3 Digit FERC Accounts'!$B:$B,$I20)</f>
        <v>0</v>
      </c>
      <c r="L20" s="2394">
        <f>+SUMIFS(F:F,$A:$A,$I20)-SUMIFS('300s - 3 Digit FERC Accounts'!F:F,'300s - 3 Digit FERC Accounts'!$B:$B,$I20)</f>
        <v>0</v>
      </c>
    </row>
    <row r="21" spans="1:12">
      <c r="A21" s="33" t="str">
        <f t="shared" si="0"/>
        <v>311</v>
      </c>
      <c r="B21" s="33">
        <v>31143</v>
      </c>
      <c r="C21" t="s">
        <v>1559</v>
      </c>
      <c r="D21" s="44">
        <f>IF(B21="","",+SUMIFS('300s Plant Balances Input'!K:K,'300s Plant Balances Input'!D:D,'300s - 5 Digit FERC Accounts'!B21))</f>
        <v>0</v>
      </c>
      <c r="E21" s="44">
        <f>IF(B21="","",+SUMIFS('300s Plant Balances Input'!S:S,'300s Plant Balances Input'!D:D,'300s - 5 Digit FERC Accounts'!B21))</f>
        <v>0</v>
      </c>
      <c r="F21" s="44">
        <f>IF(B21="","",+SUMIFS('300s Plant Balances Input'!M:M,'300s Plant Balances Input'!D:D,'300s - 5 Digit FERC Accounts'!B21))</f>
        <v>0</v>
      </c>
      <c r="I21" s="50" t="s">
        <v>8629</v>
      </c>
      <c r="J21" s="2394">
        <f>+SUMIFS(D:D,$A:$A,$I21)-SUMIFS('300s - 3 Digit FERC Accounts'!D:D,'300s - 3 Digit FERC Accounts'!$B:$B,$I21)</f>
        <v>0</v>
      </c>
      <c r="K21" s="2394">
        <f>+SUMIFS(E:E,$A:$A,$I21)-SUMIFS('300s - 3 Digit FERC Accounts'!E:E,'300s - 3 Digit FERC Accounts'!$B:$B,$I21)</f>
        <v>0</v>
      </c>
      <c r="L21" s="2394">
        <f>+SUMIFS(F:F,$A:$A,$I21)-SUMIFS('300s - 3 Digit FERC Accounts'!F:F,'300s - 3 Digit FERC Accounts'!$B:$B,$I21)</f>
        <v>0</v>
      </c>
    </row>
    <row r="22" spans="1:12">
      <c r="A22" s="33" t="str">
        <f t="shared" si="0"/>
        <v>311</v>
      </c>
      <c r="B22" s="33">
        <v>31144</v>
      </c>
      <c r="C22" t="s">
        <v>1560</v>
      </c>
      <c r="D22" s="44">
        <f>IF(B22="","",+SUMIFS('300s Plant Balances Input'!K:K,'300s Plant Balances Input'!D:D,'300s - 5 Digit FERC Accounts'!B22))</f>
        <v>55902236.310000002</v>
      </c>
      <c r="E22" s="44">
        <f>IF(B22="","",+SUMIFS('300s Plant Balances Input'!S:S,'300s Plant Balances Input'!D:D,'300s - 5 Digit FERC Accounts'!B22))</f>
        <v>28294967.710000001</v>
      </c>
      <c r="F22" s="44">
        <f>IF(B22="","",+SUMIFS('300s Plant Balances Input'!M:M,'300s Plant Balances Input'!D:D,'300s - 5 Digit FERC Accounts'!B22))</f>
        <v>1950988.08</v>
      </c>
      <c r="I22" s="50" t="s">
        <v>8630</v>
      </c>
      <c r="J22" s="2394">
        <f>+SUMIFS(D:D,$A:$A,$I22)-SUMIFS('300s - 3 Digit FERC Accounts'!D:D,'300s - 3 Digit FERC Accounts'!$B:$B,$I22)</f>
        <v>0</v>
      </c>
      <c r="K22" s="2394">
        <f>+SUMIFS(E:E,$A:$A,$I22)-SUMIFS('300s - 3 Digit FERC Accounts'!E:E,'300s - 3 Digit FERC Accounts'!$B:$B,$I22)</f>
        <v>0</v>
      </c>
      <c r="L22" s="2394">
        <f>+SUMIFS(F:F,$A:$A,$I22)-SUMIFS('300s - 3 Digit FERC Accounts'!F:F,'300s - 3 Digit FERC Accounts'!$B:$B,$I22)</f>
        <v>0</v>
      </c>
    </row>
    <row r="23" spans="1:12">
      <c r="A23" s="33" t="str">
        <f t="shared" si="0"/>
        <v>311</v>
      </c>
      <c r="B23" s="33">
        <v>31145</v>
      </c>
      <c r="C23" t="s">
        <v>1561</v>
      </c>
      <c r="D23" s="44">
        <f>IF(B23="","",+SUMIFS('300s Plant Balances Input'!K:K,'300s Plant Balances Input'!D:D,'300s - 5 Digit FERC Accounts'!B23))</f>
        <v>31998663.149999999</v>
      </c>
      <c r="E23" s="44">
        <f>IF(B23="","",+SUMIFS('300s Plant Balances Input'!S:S,'300s Plant Balances Input'!D:D,'300s - 5 Digit FERC Accounts'!B23))</f>
        <v>19931427.219999999</v>
      </c>
      <c r="F23" s="44">
        <f>IF(B23="","",+SUMIFS('300s Plant Balances Input'!M:M,'300s Plant Balances Input'!D:D,'300s - 5 Digit FERC Accounts'!B23))</f>
        <v>1116753.3600000001</v>
      </c>
      <c r="I23" s="50" t="s">
        <v>8631</v>
      </c>
      <c r="J23" s="2394">
        <f>+SUMIFS(D:D,$A:$A,$I23)-SUMIFS('300s - 3 Digit FERC Accounts'!D:D,'300s - 3 Digit FERC Accounts'!$B:$B,$I23)</f>
        <v>0</v>
      </c>
      <c r="K23" s="2394">
        <f>+SUMIFS(E:E,$A:$A,$I23)-SUMIFS('300s - 3 Digit FERC Accounts'!E:E,'300s - 3 Digit FERC Accounts'!$B:$B,$I23)</f>
        <v>0</v>
      </c>
      <c r="L23" s="2394">
        <f>+SUMIFS(F:F,$A:$A,$I23)-SUMIFS('300s - 3 Digit FERC Accounts'!F:F,'300s - 3 Digit FERC Accounts'!$B:$B,$I23)</f>
        <v>0</v>
      </c>
    </row>
    <row r="24" spans="1:12">
      <c r="A24" s="33" t="str">
        <f t="shared" si="0"/>
        <v>311</v>
      </c>
      <c r="B24" s="33">
        <v>31146</v>
      </c>
      <c r="C24" t="s">
        <v>1562</v>
      </c>
      <c r="D24" s="44">
        <f>IF(B24="","",+SUMIFS('300s Plant Balances Input'!K:K,'300s Plant Balances Input'!D:D,'300s - 5 Digit FERC Accounts'!B24))</f>
        <v>0</v>
      </c>
      <c r="E24" s="44">
        <f>IF(B24="","",+SUMIFS('300s Plant Balances Input'!S:S,'300s Plant Balances Input'!D:D,'300s - 5 Digit FERC Accounts'!B24))</f>
        <v>0</v>
      </c>
      <c r="F24" s="44">
        <f>IF(B24="","",+SUMIFS('300s Plant Balances Input'!M:M,'300s Plant Balances Input'!D:D,'300s - 5 Digit FERC Accounts'!B24))</f>
        <v>0</v>
      </c>
      <c r="I24" s="50" t="s">
        <v>8632</v>
      </c>
      <c r="J24" s="2394">
        <f>+SUMIFS(D:D,$A:$A,$I24)-SUMIFS('300s - 3 Digit FERC Accounts'!D:D,'300s - 3 Digit FERC Accounts'!$B:$B,$I24)</f>
        <v>0</v>
      </c>
      <c r="K24" s="2394">
        <f>+SUMIFS(E:E,$A:$A,$I24)-SUMIFS('300s - 3 Digit FERC Accounts'!E:E,'300s - 3 Digit FERC Accounts'!$B:$B,$I24)</f>
        <v>0</v>
      </c>
      <c r="L24" s="2394">
        <f>+SUMIFS(F:F,$A:$A,$I24)-SUMIFS('300s - 3 Digit FERC Accounts'!F:F,'300s - 3 Digit FERC Accounts'!$B:$B,$I24)</f>
        <v>0</v>
      </c>
    </row>
    <row r="25" spans="1:12">
      <c r="A25" s="33" t="str">
        <f t="shared" si="0"/>
        <v>311</v>
      </c>
      <c r="B25" s="33">
        <v>31151</v>
      </c>
      <c r="C25" t="s">
        <v>1563</v>
      </c>
      <c r="D25" s="44">
        <f>IF(B25="","",+SUMIFS('300s Plant Balances Input'!K:K,'300s Plant Balances Input'!D:D,'300s - 5 Digit FERC Accounts'!B25))</f>
        <v>0</v>
      </c>
      <c r="E25" s="44">
        <f>IF(B25="","",+SUMIFS('300s Plant Balances Input'!S:S,'300s Plant Balances Input'!D:D,'300s - 5 Digit FERC Accounts'!B25))</f>
        <v>0</v>
      </c>
      <c r="F25" s="44">
        <f>IF(B25="","",+SUMIFS('300s Plant Balances Input'!M:M,'300s Plant Balances Input'!D:D,'300s - 5 Digit FERC Accounts'!B25))</f>
        <v>0</v>
      </c>
      <c r="I25" s="50" t="s">
        <v>8633</v>
      </c>
      <c r="J25" s="2394">
        <f>+SUMIFS(D:D,$A:$A,$I25)-SUMIFS('300s - 3 Digit FERC Accounts'!D:D,'300s - 3 Digit FERC Accounts'!$B:$B,$I25)</f>
        <v>0</v>
      </c>
      <c r="K25" s="2394">
        <f>+SUMIFS(E:E,$A:$A,$I25)-SUMIFS('300s - 3 Digit FERC Accounts'!E:E,'300s - 3 Digit FERC Accounts'!$B:$B,$I25)</f>
        <v>0</v>
      </c>
      <c r="L25" s="2394">
        <f>+SUMIFS(F:F,$A:$A,$I25)-SUMIFS('300s - 3 Digit FERC Accounts'!F:F,'300s - 3 Digit FERC Accounts'!$B:$B,$I25)</f>
        <v>0</v>
      </c>
    </row>
    <row r="26" spans="1:12">
      <c r="A26" s="33" t="str">
        <f t="shared" si="0"/>
        <v>311</v>
      </c>
      <c r="B26" s="33">
        <v>31152</v>
      </c>
      <c r="C26" t="s">
        <v>1564</v>
      </c>
      <c r="D26" s="44">
        <f>IF(B26="","",+SUMIFS('300s Plant Balances Input'!K:K,'300s Plant Balances Input'!D:D,'300s - 5 Digit FERC Accounts'!B26))</f>
        <v>0</v>
      </c>
      <c r="E26" s="44">
        <f>IF(B26="","",+SUMIFS('300s Plant Balances Input'!S:S,'300s Plant Balances Input'!D:D,'300s - 5 Digit FERC Accounts'!B26))</f>
        <v>0</v>
      </c>
      <c r="F26" s="44">
        <f>IF(B26="","",+SUMIFS('300s Plant Balances Input'!M:M,'300s Plant Balances Input'!D:D,'300s - 5 Digit FERC Accounts'!B26))</f>
        <v>0</v>
      </c>
      <c r="I26" s="50" t="s">
        <v>8634</v>
      </c>
      <c r="J26" s="2394">
        <f>+SUMIFS(D:D,$A:$A,$I26)-SUMIFS('300s - 3 Digit FERC Accounts'!D:D,'300s - 3 Digit FERC Accounts'!$B:$B,$I26)</f>
        <v>0</v>
      </c>
      <c r="K26" s="2394">
        <f>+SUMIFS(E:E,$A:$A,$I26)-SUMIFS('300s - 3 Digit FERC Accounts'!E:E,'300s - 3 Digit FERC Accounts'!$B:$B,$I26)</f>
        <v>0</v>
      </c>
      <c r="L26" s="2394">
        <f>+SUMIFS(F:F,$A:$A,$I26)-SUMIFS('300s - 3 Digit FERC Accounts'!F:F,'300s - 3 Digit FERC Accounts'!$B:$B,$I26)</f>
        <v>0</v>
      </c>
    </row>
    <row r="27" spans="1:12">
      <c r="A27" s="33" t="str">
        <f t="shared" si="0"/>
        <v>311</v>
      </c>
      <c r="B27" s="33">
        <v>31153</v>
      </c>
      <c r="C27" t="s">
        <v>1565</v>
      </c>
      <c r="D27" s="44">
        <f>IF(B27="","",+SUMIFS('300s Plant Balances Input'!K:K,'300s Plant Balances Input'!D:D,'300s - 5 Digit FERC Accounts'!B27))</f>
        <v>0</v>
      </c>
      <c r="E27" s="44">
        <f>IF(B27="","",+SUMIFS('300s Plant Balances Input'!S:S,'300s Plant Balances Input'!D:D,'300s - 5 Digit FERC Accounts'!B27))</f>
        <v>0</v>
      </c>
      <c r="F27" s="44">
        <f>IF(B27="","",+SUMIFS('300s Plant Balances Input'!M:M,'300s Plant Balances Input'!D:D,'300s - 5 Digit FERC Accounts'!B27))</f>
        <v>0</v>
      </c>
      <c r="I27" s="50" t="s">
        <v>8635</v>
      </c>
      <c r="J27" s="2394">
        <f>+SUMIFS(D:D,$A:$A,$I27)-SUMIFS('300s - 3 Digit FERC Accounts'!D:D,'300s - 3 Digit FERC Accounts'!$B:$B,$I27)</f>
        <v>0</v>
      </c>
      <c r="K27" s="2394">
        <f>+SUMIFS(E:E,$A:$A,$I27)-SUMIFS('300s - 3 Digit FERC Accounts'!E:E,'300s - 3 Digit FERC Accounts'!$B:$B,$I27)</f>
        <v>0</v>
      </c>
      <c r="L27" s="2394">
        <f>+SUMIFS(F:F,$A:$A,$I27)-SUMIFS('300s - 3 Digit FERC Accounts'!F:F,'300s - 3 Digit FERC Accounts'!$B:$B,$I27)</f>
        <v>0</v>
      </c>
    </row>
    <row r="28" spans="1:12">
      <c r="A28" s="33" t="str">
        <f t="shared" si="0"/>
        <v>311</v>
      </c>
      <c r="B28" s="33">
        <v>31154</v>
      </c>
      <c r="C28" t="s">
        <v>1566</v>
      </c>
      <c r="D28" s="44">
        <f>IF(B28="","",+SUMIFS('300s Plant Balances Input'!K:K,'300s Plant Balances Input'!D:D,'300s - 5 Digit FERC Accounts'!B28))</f>
        <v>16995428.25</v>
      </c>
      <c r="E28" s="44">
        <f>IF(B28="","",+SUMIFS('300s Plant Balances Input'!S:S,'300s Plant Balances Input'!D:D,'300s - 5 Digit FERC Accounts'!B28))</f>
        <v>7637373.9699999997</v>
      </c>
      <c r="F28" s="44">
        <f>IF(B28="","",+SUMIFS('300s Plant Balances Input'!M:M,'300s Plant Balances Input'!D:D,'300s - 5 Digit FERC Accounts'!B28))</f>
        <v>593140.43999999994</v>
      </c>
      <c r="I28" s="50" t="s">
        <v>8636</v>
      </c>
      <c r="J28" s="2394">
        <f>+SUMIFS(D:D,$A:$A,$I28)-SUMIFS('300s - 3 Digit FERC Accounts'!D:D,'300s - 3 Digit FERC Accounts'!$B:$B,$I28)</f>
        <v>0</v>
      </c>
      <c r="K28" s="2394">
        <f>+SUMIFS(E:E,$A:$A,$I28)-SUMIFS('300s - 3 Digit FERC Accounts'!E:E,'300s - 3 Digit FERC Accounts'!$B:$B,$I28)</f>
        <v>0</v>
      </c>
      <c r="L28" s="2394">
        <f>+SUMIFS(F:F,$A:$A,$I28)-SUMIFS('300s - 3 Digit FERC Accounts'!F:F,'300s - 3 Digit FERC Accounts'!$B:$B,$I28)</f>
        <v>0</v>
      </c>
    </row>
    <row r="29" spans="1:12">
      <c r="A29" s="33" t="str">
        <f t="shared" si="0"/>
        <v>311</v>
      </c>
      <c r="B29" s="33">
        <v>31175</v>
      </c>
      <c r="C29" t="s">
        <v>8194</v>
      </c>
      <c r="D29" s="44">
        <f>IF(B29="","",+SUMIFS('300s Plant Balances Input'!K:K,'300s Plant Balances Input'!D:D,'300s - 5 Digit FERC Accounts'!B29))</f>
        <v>0</v>
      </c>
      <c r="E29" s="44">
        <f>IF(B29="","",+SUMIFS('300s Plant Balances Input'!S:S,'300s Plant Balances Input'!D:D,'300s - 5 Digit FERC Accounts'!B29))</f>
        <v>0</v>
      </c>
      <c r="F29" s="44">
        <f>IF(B29="","",+SUMIFS('300s Plant Balances Input'!M:M,'300s Plant Balances Input'!D:D,'300s - 5 Digit FERC Accounts'!B29))</f>
        <v>0</v>
      </c>
      <c r="I29" s="50" t="s">
        <v>8637</v>
      </c>
      <c r="J29" s="2394">
        <f>+SUMIFS(D:D,$A:$A,$I29)-SUMIFS('300s - 3 Digit FERC Accounts'!D:D,'300s - 3 Digit FERC Accounts'!$B:$B,$I29)</f>
        <v>0</v>
      </c>
      <c r="K29" s="2394">
        <f>+SUMIFS(E:E,$A:$A,$I29)-SUMIFS('300s - 3 Digit FERC Accounts'!E:E,'300s - 3 Digit FERC Accounts'!$B:$B,$I29)</f>
        <v>0</v>
      </c>
      <c r="L29" s="2394">
        <f>+SUMIFS(F:F,$A:$A,$I29)-SUMIFS('300s - 3 Digit FERC Accounts'!F:F,'300s - 3 Digit FERC Accounts'!$B:$B,$I29)</f>
        <v>0</v>
      </c>
    </row>
    <row r="30" spans="1:12">
      <c r="A30" s="33" t="str">
        <f t="shared" si="0"/>
        <v>311</v>
      </c>
      <c r="B30" s="33">
        <v>31178</v>
      </c>
      <c r="C30" t="s">
        <v>8195</v>
      </c>
      <c r="D30" s="44">
        <f>IF(B30="","",+SUMIFS('300s Plant Balances Input'!K:K,'300s Plant Balances Input'!D:D,'300s - 5 Digit FERC Accounts'!B30))</f>
        <v>0</v>
      </c>
      <c r="E30" s="44">
        <f>IF(B30="","",+SUMIFS('300s Plant Balances Input'!S:S,'300s Plant Balances Input'!D:D,'300s - 5 Digit FERC Accounts'!B30))</f>
        <v>0</v>
      </c>
      <c r="F30" s="44">
        <f>IF(B30="","",+SUMIFS('300s Plant Balances Input'!M:M,'300s Plant Balances Input'!D:D,'300s - 5 Digit FERC Accounts'!B30))</f>
        <v>0</v>
      </c>
      <c r="I30" s="50" t="s">
        <v>8638</v>
      </c>
      <c r="J30" s="2394">
        <f>+SUMIFS(D:D,$A:$A,$I30)-SUMIFS('300s - 3 Digit FERC Accounts'!D:D,'300s - 3 Digit FERC Accounts'!$B:$B,$I30)</f>
        <v>0</v>
      </c>
      <c r="K30" s="2394">
        <f>+SUMIFS(E:E,$A:$A,$I30)-SUMIFS('300s - 3 Digit FERC Accounts'!E:E,'300s - 3 Digit FERC Accounts'!$B:$B,$I30)</f>
        <v>0</v>
      </c>
      <c r="L30" s="2394">
        <f>+SUMIFS(F:F,$A:$A,$I30)-SUMIFS('300s - 3 Digit FERC Accounts'!F:F,'300s - 3 Digit FERC Accounts'!$B:$B,$I30)</f>
        <v>0</v>
      </c>
    </row>
    <row r="31" spans="1:12">
      <c r="A31" s="33" t="str">
        <f t="shared" si="0"/>
        <v>311</v>
      </c>
      <c r="B31" s="33">
        <v>31179</v>
      </c>
      <c r="C31" t="s">
        <v>8196</v>
      </c>
      <c r="D31" s="44">
        <f>IF(B31="","",+SUMIFS('300s Plant Balances Input'!K:K,'300s Plant Balances Input'!D:D,'300s - 5 Digit FERC Accounts'!B31))</f>
        <v>0</v>
      </c>
      <c r="E31" s="44">
        <f>IF(B31="","",+SUMIFS('300s Plant Balances Input'!S:S,'300s Plant Balances Input'!D:D,'300s - 5 Digit FERC Accounts'!B31))</f>
        <v>0</v>
      </c>
      <c r="F31" s="44">
        <f>IF(B31="","",+SUMIFS('300s Plant Balances Input'!M:M,'300s Plant Balances Input'!D:D,'300s - 5 Digit FERC Accounts'!B31))</f>
        <v>0</v>
      </c>
      <c r="I31" s="50" t="s">
        <v>8639</v>
      </c>
      <c r="J31" s="2394">
        <f>+SUMIFS(D:D,$A:$A,$I31)-SUMIFS('300s - 3 Digit FERC Accounts'!D:D,'300s - 3 Digit FERC Accounts'!$B:$B,$I31)</f>
        <v>0</v>
      </c>
      <c r="K31" s="2394">
        <f>+SUMIFS(E:E,$A:$A,$I31)-SUMIFS('300s - 3 Digit FERC Accounts'!E:E,'300s - 3 Digit FERC Accounts'!$B:$B,$I31)</f>
        <v>0</v>
      </c>
      <c r="L31" s="2394">
        <f>+SUMIFS(F:F,$A:$A,$I31)-SUMIFS('300s - 3 Digit FERC Accounts'!F:F,'300s - 3 Digit FERC Accounts'!$B:$B,$I31)</f>
        <v>0</v>
      </c>
    </row>
    <row r="32" spans="1:12">
      <c r="A32" s="33" t="str">
        <f t="shared" si="0"/>
        <v>312</v>
      </c>
      <c r="B32" s="33">
        <v>31230</v>
      </c>
      <c r="C32" t="s">
        <v>8197</v>
      </c>
      <c r="D32" s="44">
        <f>IF(B32="","",+SUMIFS('300s Plant Balances Input'!K:K,'300s Plant Balances Input'!D:D,'300s - 5 Digit FERC Accounts'!B32))</f>
        <v>0</v>
      </c>
      <c r="E32" s="44">
        <f>IF(B32="","",+SUMIFS('300s Plant Balances Input'!S:S,'300s Plant Balances Input'!D:D,'300s - 5 Digit FERC Accounts'!B32))</f>
        <v>0</v>
      </c>
      <c r="F32" s="44">
        <f>IF(B32="","",+SUMIFS('300s Plant Balances Input'!M:M,'300s Plant Balances Input'!D:D,'300s - 5 Digit FERC Accounts'!B32))</f>
        <v>0</v>
      </c>
      <c r="I32" s="50" t="s">
        <v>8640</v>
      </c>
      <c r="J32" s="2394">
        <f>+SUMIFS(D:D,$A:$A,$I32)-SUMIFS('300s - 3 Digit FERC Accounts'!D:D,'300s - 3 Digit FERC Accounts'!$B:$B,$I32)</f>
        <v>0</v>
      </c>
      <c r="K32" s="2394">
        <f>+SUMIFS(E:E,$A:$A,$I32)-SUMIFS('300s - 3 Digit FERC Accounts'!E:E,'300s - 3 Digit FERC Accounts'!$B:$B,$I32)</f>
        <v>0</v>
      </c>
      <c r="L32" s="2394">
        <f>+SUMIFS(F:F,$A:$A,$I32)-SUMIFS('300s - 3 Digit FERC Accounts'!F:F,'300s - 3 Digit FERC Accounts'!$B:$B,$I32)</f>
        <v>0</v>
      </c>
    </row>
    <row r="33" spans="1:12">
      <c r="A33" s="33" t="str">
        <f t="shared" si="0"/>
        <v>312</v>
      </c>
      <c r="B33" s="33">
        <v>31231</v>
      </c>
      <c r="C33" t="s">
        <v>8198</v>
      </c>
      <c r="D33" s="44">
        <f>IF(B33="","",+SUMIFS('300s Plant Balances Input'!K:K,'300s Plant Balances Input'!D:D,'300s - 5 Digit FERC Accounts'!B33))</f>
        <v>0</v>
      </c>
      <c r="E33" s="44">
        <f>IF(B33="","",+SUMIFS('300s Plant Balances Input'!S:S,'300s Plant Balances Input'!D:D,'300s - 5 Digit FERC Accounts'!B33))</f>
        <v>0</v>
      </c>
      <c r="F33" s="44">
        <f>IF(B33="","",+SUMIFS('300s Plant Balances Input'!M:M,'300s Plant Balances Input'!D:D,'300s - 5 Digit FERC Accounts'!B33))</f>
        <v>0</v>
      </c>
      <c r="I33" s="50" t="s">
        <v>8641</v>
      </c>
      <c r="J33" s="2394">
        <f>+SUMIFS(D:D,$A:$A,$I33)-SUMIFS('300s - 3 Digit FERC Accounts'!D:D,'300s - 3 Digit FERC Accounts'!$B:$B,$I33)</f>
        <v>0</v>
      </c>
      <c r="K33" s="2394">
        <f>+SUMIFS(E:E,$A:$A,$I33)-SUMIFS('300s - 3 Digit FERC Accounts'!E:E,'300s - 3 Digit FERC Accounts'!$B:$B,$I33)</f>
        <v>0</v>
      </c>
      <c r="L33" s="2394">
        <f>+SUMIFS(F:F,$A:$A,$I33)-SUMIFS('300s - 3 Digit FERC Accounts'!F:F,'300s - 3 Digit FERC Accounts'!$B:$B,$I33)</f>
        <v>0</v>
      </c>
    </row>
    <row r="34" spans="1:12">
      <c r="A34" s="33" t="str">
        <f t="shared" si="0"/>
        <v>312</v>
      </c>
      <c r="B34" s="33">
        <v>31232</v>
      </c>
      <c r="C34" t="s">
        <v>8199</v>
      </c>
      <c r="D34" s="44">
        <f>IF(B34="","",+SUMIFS('300s Plant Balances Input'!K:K,'300s Plant Balances Input'!D:D,'300s - 5 Digit FERC Accounts'!B34))</f>
        <v>0</v>
      </c>
      <c r="E34" s="44">
        <f>IF(B34="","",+SUMIFS('300s Plant Balances Input'!S:S,'300s Plant Balances Input'!D:D,'300s - 5 Digit FERC Accounts'!B34))</f>
        <v>0</v>
      </c>
      <c r="F34" s="44">
        <f>IF(B34="","",+SUMIFS('300s Plant Balances Input'!M:M,'300s Plant Balances Input'!D:D,'300s - 5 Digit FERC Accounts'!B34))</f>
        <v>0</v>
      </c>
      <c r="I34" s="50" t="s">
        <v>8642</v>
      </c>
      <c r="J34" s="2394">
        <f>+SUMIFS(D:D,$A:$A,$I34)-SUMIFS('300s - 3 Digit FERC Accounts'!D:D,'300s - 3 Digit FERC Accounts'!$B:$B,$I34)</f>
        <v>0</v>
      </c>
      <c r="K34" s="2394">
        <f>+SUMIFS(E:E,$A:$A,$I34)-SUMIFS('300s - 3 Digit FERC Accounts'!E:E,'300s - 3 Digit FERC Accounts'!$B:$B,$I34)</f>
        <v>0</v>
      </c>
      <c r="L34" s="2394">
        <f>+SUMIFS(F:F,$A:$A,$I34)-SUMIFS('300s - 3 Digit FERC Accounts'!F:F,'300s - 3 Digit FERC Accounts'!$B:$B,$I34)</f>
        <v>0</v>
      </c>
    </row>
    <row r="35" spans="1:12">
      <c r="A35" s="33" t="str">
        <f t="shared" si="0"/>
        <v>312</v>
      </c>
      <c r="B35" s="33">
        <v>31240</v>
      </c>
      <c r="C35" t="s">
        <v>1567</v>
      </c>
      <c r="D35" s="44">
        <f>IF(B35="","",+SUMIFS('300s Plant Balances Input'!K:K,'300s Plant Balances Input'!D:D,'300s - 5 Digit FERC Accounts'!B35))</f>
        <v>199557615.38999999</v>
      </c>
      <c r="E35" s="44">
        <f>IF(B35="","",+SUMIFS('300s Plant Balances Input'!S:S,'300s Plant Balances Input'!D:D,'300s - 5 Digit FERC Accounts'!B35))</f>
        <v>53547756.219999999</v>
      </c>
      <c r="F35" s="44">
        <f>IF(B35="","",+SUMIFS('300s Plant Balances Input'!M:M,'300s Plant Balances Input'!D:D,'300s - 5 Digit FERC Accounts'!B35))</f>
        <v>7595345.1100000003</v>
      </c>
      <c r="I35" s="50" t="s">
        <v>8643</v>
      </c>
      <c r="J35" s="2394">
        <f>+SUMIFS(D:D,$A:$A,$I35)-SUMIFS('300s - 3 Digit FERC Accounts'!D:D,'300s - 3 Digit FERC Accounts'!$B:$B,$I35)</f>
        <v>0</v>
      </c>
      <c r="K35" s="2394">
        <f>+SUMIFS(E:E,$A:$A,$I35)-SUMIFS('300s - 3 Digit FERC Accounts'!E:E,'300s - 3 Digit FERC Accounts'!$B:$B,$I35)</f>
        <v>0</v>
      </c>
      <c r="L35" s="2394">
        <f>+SUMIFS(F:F,$A:$A,$I35)-SUMIFS('300s - 3 Digit FERC Accounts'!F:F,'300s - 3 Digit FERC Accounts'!$B:$B,$I35)</f>
        <v>0</v>
      </c>
    </row>
    <row r="36" spans="1:12">
      <c r="A36" s="33" t="str">
        <f t="shared" si="0"/>
        <v>312</v>
      </c>
      <c r="B36" s="33">
        <v>31241</v>
      </c>
      <c r="C36" t="s">
        <v>1568</v>
      </c>
      <c r="D36" s="44">
        <f>IF(B36="","",+SUMIFS('300s Plant Balances Input'!K:K,'300s Plant Balances Input'!D:D,'300s - 5 Digit FERC Accounts'!B36))</f>
        <v>0</v>
      </c>
      <c r="E36" s="44">
        <f>IF(B36="","",+SUMIFS('300s Plant Balances Input'!S:S,'300s Plant Balances Input'!D:D,'300s - 5 Digit FERC Accounts'!B36))</f>
        <v>0</v>
      </c>
      <c r="F36" s="44">
        <f>IF(B36="","",+SUMIFS('300s Plant Balances Input'!M:M,'300s Plant Balances Input'!D:D,'300s - 5 Digit FERC Accounts'!B36))</f>
        <v>0</v>
      </c>
      <c r="I36" s="50" t="s">
        <v>1761</v>
      </c>
      <c r="J36" s="2394">
        <f>+SUMIFS(D:D,$A:$A,$I36)-SUMIFS('300s - 3 Digit FERC Accounts'!D:D,'300s - 3 Digit FERC Accounts'!$B:$B,$I36)</f>
        <v>0</v>
      </c>
      <c r="K36" s="2394">
        <f>+SUMIFS(E:E,$A:$A,$I36)-SUMIFS('300s - 3 Digit FERC Accounts'!E:E,'300s - 3 Digit FERC Accounts'!$B:$B,$I36)</f>
        <v>0</v>
      </c>
      <c r="L36" s="2394">
        <f>+SUMIFS(F:F,$A:$A,$I36)-SUMIFS('300s - 3 Digit FERC Accounts'!F:F,'300s - 3 Digit FERC Accounts'!$B:$B,$I36)</f>
        <v>0</v>
      </c>
    </row>
    <row r="37" spans="1:12">
      <c r="A37" s="33" t="str">
        <f t="shared" si="0"/>
        <v>312</v>
      </c>
      <c r="B37" s="33">
        <v>31242</v>
      </c>
      <c r="C37" t="s">
        <v>1569</v>
      </c>
      <c r="D37" s="44">
        <f>IF(B37="","",+SUMIFS('300s Plant Balances Input'!K:K,'300s Plant Balances Input'!D:D,'300s - 5 Digit FERC Accounts'!B37))</f>
        <v>0</v>
      </c>
      <c r="E37" s="44">
        <f>IF(B37="","",+SUMIFS('300s Plant Balances Input'!S:S,'300s Plant Balances Input'!D:D,'300s - 5 Digit FERC Accounts'!B37))</f>
        <v>0</v>
      </c>
      <c r="F37" s="44">
        <f>IF(B37="","",+SUMIFS('300s Plant Balances Input'!M:M,'300s Plant Balances Input'!D:D,'300s - 5 Digit FERC Accounts'!B37))</f>
        <v>0</v>
      </c>
      <c r="I37" s="50" t="s">
        <v>1763</v>
      </c>
      <c r="J37" s="2394">
        <f>+SUMIFS(D:D,$A:$A,$I37)-SUMIFS('300s - 3 Digit FERC Accounts'!D:D,'300s - 3 Digit FERC Accounts'!$B:$B,$I37)</f>
        <v>0</v>
      </c>
      <c r="K37" s="2394">
        <f>+SUMIFS(E:E,$A:$A,$I37)-SUMIFS('300s - 3 Digit FERC Accounts'!E:E,'300s - 3 Digit FERC Accounts'!$B:$B,$I37)</f>
        <v>0</v>
      </c>
      <c r="L37" s="2394">
        <f>+SUMIFS(F:F,$A:$A,$I37)-SUMIFS('300s - 3 Digit FERC Accounts'!F:F,'300s - 3 Digit FERC Accounts'!$B:$B,$I37)</f>
        <v>0</v>
      </c>
    </row>
    <row r="38" spans="1:12">
      <c r="A38" s="33" t="str">
        <f t="shared" si="0"/>
        <v>312</v>
      </c>
      <c r="B38" s="33">
        <v>31243</v>
      </c>
      <c r="C38" t="s">
        <v>1570</v>
      </c>
      <c r="D38" s="44">
        <f>IF(B38="","",+SUMIFS('300s Plant Balances Input'!K:K,'300s Plant Balances Input'!D:D,'300s - 5 Digit FERC Accounts'!B38))</f>
        <v>0</v>
      </c>
      <c r="E38" s="44">
        <f>IF(B38="","",+SUMIFS('300s Plant Balances Input'!S:S,'300s Plant Balances Input'!D:D,'300s - 5 Digit FERC Accounts'!B38))</f>
        <v>0</v>
      </c>
      <c r="F38" s="44">
        <f>IF(B38="","",+SUMIFS('300s Plant Balances Input'!M:M,'300s Plant Balances Input'!D:D,'300s - 5 Digit FERC Accounts'!B38))</f>
        <v>0</v>
      </c>
      <c r="I38" s="50" t="s">
        <v>1764</v>
      </c>
      <c r="J38" s="2394">
        <f>+SUMIFS(D:D,$A:$A,$I38)-SUMIFS('300s - 3 Digit FERC Accounts'!D:D,'300s - 3 Digit FERC Accounts'!$B:$B,$I38)</f>
        <v>0</v>
      </c>
      <c r="K38" s="2394">
        <f>+SUMIFS(E:E,$A:$A,$I38)-SUMIFS('300s - 3 Digit FERC Accounts'!E:E,'300s - 3 Digit FERC Accounts'!$B:$B,$I38)</f>
        <v>0</v>
      </c>
      <c r="L38" s="2394">
        <f>+SUMIFS(F:F,$A:$A,$I38)-SUMIFS('300s - 3 Digit FERC Accounts'!F:F,'300s - 3 Digit FERC Accounts'!$B:$B,$I38)</f>
        <v>0</v>
      </c>
    </row>
    <row r="39" spans="1:12">
      <c r="A39" s="33" t="str">
        <f t="shared" si="0"/>
        <v>312</v>
      </c>
      <c r="B39" s="33">
        <v>31244</v>
      </c>
      <c r="C39" t="s">
        <v>1571</v>
      </c>
      <c r="D39" s="44">
        <f>IF(B39="","",+SUMIFS('300s Plant Balances Input'!K:K,'300s Plant Balances Input'!D:D,'300s - 5 Digit FERC Accounts'!B39))</f>
        <v>316923751.88999999</v>
      </c>
      <c r="E39" s="44">
        <f>IF(B39="","",+SUMIFS('300s Plant Balances Input'!S:S,'300s Plant Balances Input'!D:D,'300s - 5 Digit FERC Accounts'!B39))</f>
        <v>125203501.81999999</v>
      </c>
      <c r="F39" s="44">
        <f>IF(B39="","",+SUMIFS('300s Plant Balances Input'!M:M,'300s Plant Balances Input'!D:D,'300s - 5 Digit FERC Accounts'!B39))</f>
        <v>17043066.280000001</v>
      </c>
      <c r="I39" s="50" t="s">
        <v>8644</v>
      </c>
      <c r="J39" s="2394">
        <f>+SUMIFS(D:D,$A:$A,$I39)-SUMIFS('300s - 3 Digit FERC Accounts'!D:D,'300s - 3 Digit FERC Accounts'!$B:$B,$I39)</f>
        <v>0</v>
      </c>
      <c r="K39" s="2394">
        <f>+SUMIFS(E:E,$A:$A,$I39)-SUMIFS('300s - 3 Digit FERC Accounts'!E:E,'300s - 3 Digit FERC Accounts'!$B:$B,$I39)</f>
        <v>0</v>
      </c>
      <c r="L39" s="2394">
        <f>+SUMIFS(F:F,$A:$A,$I39)-SUMIFS('300s - 3 Digit FERC Accounts'!F:F,'300s - 3 Digit FERC Accounts'!$B:$B,$I39)</f>
        <v>0</v>
      </c>
    </row>
    <row r="40" spans="1:12">
      <c r="A40" s="33" t="str">
        <f t="shared" si="0"/>
        <v>312</v>
      </c>
      <c r="B40" s="33">
        <v>31245</v>
      </c>
      <c r="C40" t="s">
        <v>1572</v>
      </c>
      <c r="D40" s="44">
        <f>IF(B40="","",+SUMIFS('300s Plant Balances Input'!K:K,'300s Plant Balances Input'!D:D,'300s - 5 Digit FERC Accounts'!B40))</f>
        <v>197292965.18000001</v>
      </c>
      <c r="E40" s="44">
        <f>IF(B40="","",+SUMIFS('300s Plant Balances Input'!S:S,'300s Plant Balances Input'!D:D,'300s - 5 Digit FERC Accounts'!B40))</f>
        <v>86017606.680000007</v>
      </c>
      <c r="F40" s="44">
        <f>IF(B40="","",+SUMIFS('300s Plant Balances Input'!M:M,'300s Plant Balances Input'!D:D,'300s - 5 Digit FERC Accounts'!B40))</f>
        <v>10612963.85</v>
      </c>
      <c r="I40" s="50" t="s">
        <v>1765</v>
      </c>
      <c r="J40" s="2394">
        <f>+SUMIFS(D:D,$A:$A,$I40)-SUMIFS('300s - 3 Digit FERC Accounts'!D:D,'300s - 3 Digit FERC Accounts'!$B:$B,$I40)</f>
        <v>0</v>
      </c>
      <c r="K40" s="2394">
        <f>+SUMIFS(E:E,$A:$A,$I40)-SUMIFS('300s - 3 Digit FERC Accounts'!E:E,'300s - 3 Digit FERC Accounts'!$B:$B,$I40)</f>
        <v>0</v>
      </c>
      <c r="L40" s="2394">
        <f>+SUMIFS(F:F,$A:$A,$I40)-SUMIFS('300s - 3 Digit FERC Accounts'!F:F,'300s - 3 Digit FERC Accounts'!$B:$B,$I40)</f>
        <v>0</v>
      </c>
    </row>
    <row r="41" spans="1:12">
      <c r="A41" s="33" t="str">
        <f t="shared" si="0"/>
        <v>312</v>
      </c>
      <c r="B41" s="33">
        <v>31246</v>
      </c>
      <c r="C41" t="s">
        <v>1573</v>
      </c>
      <c r="D41" s="44">
        <f>IF(B41="","",+SUMIFS('300s Plant Balances Input'!K:K,'300s Plant Balances Input'!D:D,'300s - 5 Digit FERC Accounts'!B41))</f>
        <v>0</v>
      </c>
      <c r="E41" s="44">
        <f>IF(B41="","",+SUMIFS('300s Plant Balances Input'!S:S,'300s Plant Balances Input'!D:D,'300s - 5 Digit FERC Accounts'!B41))</f>
        <v>0</v>
      </c>
      <c r="F41" s="44">
        <f>IF(B41="","",+SUMIFS('300s Plant Balances Input'!M:M,'300s Plant Balances Input'!D:D,'300s - 5 Digit FERC Accounts'!B41))</f>
        <v>0</v>
      </c>
      <c r="I41" s="50" t="s">
        <v>1766</v>
      </c>
      <c r="J41" s="2394">
        <f>+SUMIFS(D:D,$A:$A,$I41)-SUMIFS('300s - 3 Digit FERC Accounts'!D:D,'300s - 3 Digit FERC Accounts'!$B:$B,$I41)</f>
        <v>0</v>
      </c>
      <c r="K41" s="2394">
        <f>+SUMIFS(E:E,$A:$A,$I41)-SUMIFS('300s - 3 Digit FERC Accounts'!E:E,'300s - 3 Digit FERC Accounts'!$B:$B,$I41)</f>
        <v>0</v>
      </c>
      <c r="L41" s="2394">
        <f>+SUMIFS(F:F,$A:$A,$I41)-SUMIFS('300s - 3 Digit FERC Accounts'!F:F,'300s - 3 Digit FERC Accounts'!$B:$B,$I41)</f>
        <v>0</v>
      </c>
    </row>
    <row r="42" spans="1:12">
      <c r="A42" s="33" t="str">
        <f t="shared" si="0"/>
        <v>312</v>
      </c>
      <c r="B42" s="33">
        <v>31247</v>
      </c>
      <c r="C42" t="s">
        <v>8200</v>
      </c>
      <c r="D42" s="44">
        <f>IF(B42="","",+SUMIFS('300s Plant Balances Input'!K:K,'300s Plant Balances Input'!D:D,'300s - 5 Digit FERC Accounts'!B42))</f>
        <v>10156523.810000001</v>
      </c>
      <c r="E42" s="44">
        <f>IF(B42="","",+SUMIFS('300s Plant Balances Input'!S:S,'300s Plant Balances Input'!D:D,'300s - 5 Digit FERC Accounts'!B42))</f>
        <v>10187109.65</v>
      </c>
      <c r="F42" s="44">
        <f>IF(B42="","",+SUMIFS('300s Plant Balances Input'!M:M,'300s Plant Balances Input'!D:D,'300s - 5 Digit FERC Accounts'!B42))</f>
        <v>0</v>
      </c>
      <c r="I42" s="50" t="s">
        <v>1767</v>
      </c>
      <c r="J42" s="2394">
        <f>+SUMIFS(D:D,$A:$A,$I42)-SUMIFS('300s - 3 Digit FERC Accounts'!D:D,'300s - 3 Digit FERC Accounts'!$B:$B,$I42)</f>
        <v>0</v>
      </c>
      <c r="K42" s="2394">
        <f>+SUMIFS(E:E,$A:$A,$I42)-SUMIFS('300s - 3 Digit FERC Accounts'!E:E,'300s - 3 Digit FERC Accounts'!$B:$B,$I42)</f>
        <v>0</v>
      </c>
      <c r="L42" s="2394">
        <f>+SUMIFS(F:F,$A:$A,$I42)-SUMIFS('300s - 3 Digit FERC Accounts'!F:F,'300s - 3 Digit FERC Accounts'!$B:$B,$I42)</f>
        <v>0</v>
      </c>
    </row>
    <row r="43" spans="1:12">
      <c r="A43" s="33" t="str">
        <f t="shared" si="0"/>
        <v>312</v>
      </c>
      <c r="B43" s="33">
        <v>31251</v>
      </c>
      <c r="C43" t="s">
        <v>1574</v>
      </c>
      <c r="D43" s="44">
        <f>IF(B43="","",+SUMIFS('300s Plant Balances Input'!K:K,'300s Plant Balances Input'!D:D,'300s - 5 Digit FERC Accounts'!B43))</f>
        <v>0</v>
      </c>
      <c r="E43" s="44">
        <f>IF(B43="","",+SUMIFS('300s Plant Balances Input'!S:S,'300s Plant Balances Input'!D:D,'300s - 5 Digit FERC Accounts'!B43))</f>
        <v>0</v>
      </c>
      <c r="F43" s="44">
        <f>IF(B43="","",+SUMIFS('300s Plant Balances Input'!M:M,'300s Plant Balances Input'!D:D,'300s - 5 Digit FERC Accounts'!B43))</f>
        <v>0</v>
      </c>
      <c r="I43" s="50" t="s">
        <v>1768</v>
      </c>
      <c r="J43" s="2394">
        <f>+SUMIFS(D:D,$A:$A,$I43)-SUMIFS('300s - 3 Digit FERC Accounts'!D:D,'300s - 3 Digit FERC Accounts'!$B:$B,$I43)</f>
        <v>0</v>
      </c>
      <c r="K43" s="2394">
        <f>+SUMIFS(E:E,$A:$A,$I43)-SUMIFS('300s - 3 Digit FERC Accounts'!E:E,'300s - 3 Digit FERC Accounts'!$B:$B,$I43)</f>
        <v>0</v>
      </c>
      <c r="L43" s="2394">
        <f>+SUMIFS(F:F,$A:$A,$I43)-SUMIFS('300s - 3 Digit FERC Accounts'!F:F,'300s - 3 Digit FERC Accounts'!$B:$B,$I43)</f>
        <v>0</v>
      </c>
    </row>
    <row r="44" spans="1:12">
      <c r="A44" s="33" t="str">
        <f t="shared" si="0"/>
        <v>312</v>
      </c>
      <c r="B44" s="33">
        <v>31252</v>
      </c>
      <c r="C44" t="s">
        <v>1575</v>
      </c>
      <c r="D44" s="44">
        <f>IF(B44="","",+SUMIFS('300s Plant Balances Input'!K:K,'300s Plant Balances Input'!D:D,'300s - 5 Digit FERC Accounts'!B44))</f>
        <v>0</v>
      </c>
      <c r="E44" s="44">
        <f>IF(B44="","",+SUMIFS('300s Plant Balances Input'!S:S,'300s Plant Balances Input'!D:D,'300s - 5 Digit FERC Accounts'!B44))</f>
        <v>0</v>
      </c>
      <c r="F44" s="44">
        <f>IF(B44="","",+SUMIFS('300s Plant Balances Input'!M:M,'300s Plant Balances Input'!D:D,'300s - 5 Digit FERC Accounts'!B44))</f>
        <v>0</v>
      </c>
      <c r="I44" s="50" t="s">
        <v>1769</v>
      </c>
      <c r="J44" s="2394">
        <f>+SUMIFS(D:D,$A:$A,$I44)-SUMIFS('300s - 3 Digit FERC Accounts'!D:D,'300s - 3 Digit FERC Accounts'!$B:$B,$I44)</f>
        <v>0</v>
      </c>
      <c r="K44" s="2394">
        <f>+SUMIFS(E:E,$A:$A,$I44)-SUMIFS('300s - 3 Digit FERC Accounts'!E:E,'300s - 3 Digit FERC Accounts'!$B:$B,$I44)</f>
        <v>0</v>
      </c>
      <c r="L44" s="2394">
        <f>+SUMIFS(F:F,$A:$A,$I44)-SUMIFS('300s - 3 Digit FERC Accounts'!F:F,'300s - 3 Digit FERC Accounts'!$B:$B,$I44)</f>
        <v>0</v>
      </c>
    </row>
    <row r="45" spans="1:12">
      <c r="A45" s="33" t="str">
        <f t="shared" si="0"/>
        <v>312</v>
      </c>
      <c r="B45" s="33">
        <v>31253</v>
      </c>
      <c r="C45" t="s">
        <v>1576</v>
      </c>
      <c r="D45" s="44">
        <f>IF(B45="","",+SUMIFS('300s Plant Balances Input'!K:K,'300s Plant Balances Input'!D:D,'300s - 5 Digit FERC Accounts'!B45))</f>
        <v>0</v>
      </c>
      <c r="E45" s="44">
        <f>IF(B45="","",+SUMIFS('300s Plant Balances Input'!S:S,'300s Plant Balances Input'!D:D,'300s - 5 Digit FERC Accounts'!B45))</f>
        <v>0</v>
      </c>
      <c r="F45" s="44">
        <f>IF(B45="","",+SUMIFS('300s Plant Balances Input'!M:M,'300s Plant Balances Input'!D:D,'300s - 5 Digit FERC Accounts'!B45))</f>
        <v>0</v>
      </c>
      <c r="I45" s="50" t="s">
        <v>8645</v>
      </c>
      <c r="J45" s="2394">
        <f>+SUMIFS(D:D,$A:$A,$I45)-SUMIFS('300s - 3 Digit FERC Accounts'!D:D,'300s - 3 Digit FERC Accounts'!$B:$B,$I45)</f>
        <v>0</v>
      </c>
      <c r="K45" s="2394">
        <f>+SUMIFS(E:E,$A:$A,$I45)-SUMIFS('300s - 3 Digit FERC Accounts'!E:E,'300s - 3 Digit FERC Accounts'!$B:$B,$I45)</f>
        <v>0</v>
      </c>
      <c r="L45" s="2394">
        <f>+SUMIFS(F:F,$A:$A,$I45)-SUMIFS('300s - 3 Digit FERC Accounts'!F:F,'300s - 3 Digit FERC Accounts'!$B:$B,$I45)</f>
        <v>0</v>
      </c>
    </row>
    <row r="46" spans="1:12">
      <c r="A46" s="33" t="str">
        <f t="shared" si="0"/>
        <v>312</v>
      </c>
      <c r="B46" s="33">
        <v>31254</v>
      </c>
      <c r="C46" t="s">
        <v>1577</v>
      </c>
      <c r="D46" s="44">
        <f>IF(B46="","",+SUMIFS('300s Plant Balances Input'!K:K,'300s Plant Balances Input'!D:D,'300s - 5 Digit FERC Accounts'!B46))</f>
        <v>40267602.590000004</v>
      </c>
      <c r="E46" s="44">
        <f>IF(B46="","",+SUMIFS('300s Plant Balances Input'!S:S,'300s Plant Balances Input'!D:D,'300s - 5 Digit FERC Accounts'!B46))</f>
        <v>17229374.219999999</v>
      </c>
      <c r="F46" s="44">
        <f>IF(B46="","",+SUMIFS('300s Plant Balances Input'!M:M,'300s Plant Balances Input'!D:D,'300s - 5 Digit FERC Accounts'!B46))</f>
        <v>2166396.96</v>
      </c>
      <c r="I46" s="50" t="s">
        <v>1770</v>
      </c>
      <c r="J46" s="2394">
        <f>+SUMIFS(D:D,$A:$A,$I46)-SUMIFS('300s - 3 Digit FERC Accounts'!D:D,'300s - 3 Digit FERC Accounts'!$B:$B,$I46)</f>
        <v>0</v>
      </c>
      <c r="K46" s="2394">
        <f>+SUMIFS(E:E,$A:$A,$I46)-SUMIFS('300s - 3 Digit FERC Accounts'!E:E,'300s - 3 Digit FERC Accounts'!$B:$B,$I46)</f>
        <v>0</v>
      </c>
      <c r="L46" s="2394">
        <f>+SUMIFS(F:F,$A:$A,$I46)-SUMIFS('300s - 3 Digit FERC Accounts'!F:F,'300s - 3 Digit FERC Accounts'!$B:$B,$I46)</f>
        <v>0</v>
      </c>
    </row>
    <row r="47" spans="1:12">
      <c r="A47" s="33" t="str">
        <f t="shared" si="0"/>
        <v>312</v>
      </c>
      <c r="B47" s="33">
        <v>31275</v>
      </c>
      <c r="C47" t="s">
        <v>8201</v>
      </c>
      <c r="D47" s="44">
        <f>IF(B47="","",+SUMIFS('300s Plant Balances Input'!K:K,'300s Plant Balances Input'!D:D,'300s - 5 Digit FERC Accounts'!B47))</f>
        <v>0</v>
      </c>
      <c r="E47" s="44">
        <f>IF(B47="","",+SUMIFS('300s Plant Balances Input'!S:S,'300s Plant Balances Input'!D:D,'300s - 5 Digit FERC Accounts'!B47))</f>
        <v>0</v>
      </c>
      <c r="F47" s="44">
        <f>IF(B47="","",+SUMIFS('300s Plant Balances Input'!M:M,'300s Plant Balances Input'!D:D,'300s - 5 Digit FERC Accounts'!B47))</f>
        <v>0</v>
      </c>
      <c r="I47" s="50" t="s">
        <v>8646</v>
      </c>
      <c r="J47" s="2394">
        <f>+SUMIFS(D:D,$A:$A,$I47)-SUMIFS('300s - 3 Digit FERC Accounts'!D:D,'300s - 3 Digit FERC Accounts'!$B:$B,$I47)</f>
        <v>0</v>
      </c>
      <c r="K47" s="2394">
        <f>+SUMIFS(E:E,$A:$A,$I47)-SUMIFS('300s - 3 Digit FERC Accounts'!E:E,'300s - 3 Digit FERC Accounts'!$B:$B,$I47)</f>
        <v>0</v>
      </c>
      <c r="L47" s="2394">
        <f>+SUMIFS(F:F,$A:$A,$I47)-SUMIFS('300s - 3 Digit FERC Accounts'!F:F,'300s - 3 Digit FERC Accounts'!$B:$B,$I47)</f>
        <v>0</v>
      </c>
    </row>
    <row r="48" spans="1:12">
      <c r="A48" s="33" t="str">
        <f t="shared" si="0"/>
        <v>314</v>
      </c>
      <c r="B48" s="33">
        <v>31430</v>
      </c>
      <c r="C48" t="s">
        <v>8202</v>
      </c>
      <c r="D48" s="44">
        <f>IF(B48="","",+SUMIFS('300s Plant Balances Input'!K:K,'300s Plant Balances Input'!D:D,'300s - 5 Digit FERC Accounts'!B48))</f>
        <v>0</v>
      </c>
      <c r="E48" s="44">
        <f>IF(B48="","",+SUMIFS('300s Plant Balances Input'!S:S,'300s Plant Balances Input'!D:D,'300s - 5 Digit FERC Accounts'!B48))</f>
        <v>0</v>
      </c>
      <c r="F48" s="44">
        <f>IF(B48="","",+SUMIFS('300s Plant Balances Input'!M:M,'300s Plant Balances Input'!D:D,'300s - 5 Digit FERC Accounts'!B48))</f>
        <v>0</v>
      </c>
      <c r="I48" s="50" t="s">
        <v>1771</v>
      </c>
      <c r="J48" s="2394">
        <f>+SUMIFS(D:D,$A:$A,$I48)-SUMIFS('300s - 3 Digit FERC Accounts'!D:D,'300s - 3 Digit FERC Accounts'!$B:$B,$I48)</f>
        <v>0</v>
      </c>
      <c r="K48" s="2394">
        <f>+SUMIFS(E:E,$A:$A,$I48)-SUMIFS('300s - 3 Digit FERC Accounts'!E:E,'300s - 3 Digit FERC Accounts'!$B:$B,$I48)</f>
        <v>0</v>
      </c>
      <c r="L48" s="2394">
        <f>+SUMIFS(F:F,$A:$A,$I48)-SUMIFS('300s - 3 Digit FERC Accounts'!F:F,'300s - 3 Digit FERC Accounts'!$B:$B,$I48)</f>
        <v>0</v>
      </c>
    </row>
    <row r="49" spans="1:12">
      <c r="A49" s="33" t="str">
        <f t="shared" si="0"/>
        <v>314</v>
      </c>
      <c r="B49" s="33">
        <v>31431</v>
      </c>
      <c r="C49" t="s">
        <v>8203</v>
      </c>
      <c r="D49" s="44">
        <f>IF(B49="","",+SUMIFS('300s Plant Balances Input'!K:K,'300s Plant Balances Input'!D:D,'300s - 5 Digit FERC Accounts'!B49))</f>
        <v>0</v>
      </c>
      <c r="E49" s="44">
        <f>IF(B49="","",+SUMIFS('300s Plant Balances Input'!S:S,'300s Plant Balances Input'!D:D,'300s - 5 Digit FERC Accounts'!B49))</f>
        <v>0</v>
      </c>
      <c r="F49" s="44">
        <f>IF(B49="","",+SUMIFS('300s Plant Balances Input'!M:M,'300s Plant Balances Input'!D:D,'300s - 5 Digit FERC Accounts'!B49))</f>
        <v>0</v>
      </c>
      <c r="I49" s="50" t="s">
        <v>8647</v>
      </c>
      <c r="J49" s="2394">
        <f>+SUMIFS(D:D,$A:$A,$I49)-SUMIFS('300s - 3 Digit FERC Accounts'!D:D,'300s - 3 Digit FERC Accounts'!$B:$B,$I49)</f>
        <v>0</v>
      </c>
      <c r="K49" s="2394">
        <f>+SUMIFS(E:E,$A:$A,$I49)-SUMIFS('300s - 3 Digit FERC Accounts'!E:E,'300s - 3 Digit FERC Accounts'!$B:$B,$I49)</f>
        <v>0</v>
      </c>
      <c r="L49" s="2394">
        <f>+SUMIFS(F:F,$A:$A,$I49)-SUMIFS('300s - 3 Digit FERC Accounts'!F:F,'300s - 3 Digit FERC Accounts'!$B:$B,$I49)</f>
        <v>0</v>
      </c>
    </row>
    <row r="50" spans="1:12">
      <c r="A50" s="33" t="str">
        <f t="shared" si="0"/>
        <v>314</v>
      </c>
      <c r="B50" s="33">
        <v>31432</v>
      </c>
      <c r="C50" t="s">
        <v>8204</v>
      </c>
      <c r="D50" s="44">
        <f>IF(B50="","",+SUMIFS('300s Plant Balances Input'!K:K,'300s Plant Balances Input'!D:D,'300s - 5 Digit FERC Accounts'!B50))</f>
        <v>0</v>
      </c>
      <c r="E50" s="44">
        <f>IF(B50="","",+SUMIFS('300s Plant Balances Input'!S:S,'300s Plant Balances Input'!D:D,'300s - 5 Digit FERC Accounts'!B50))</f>
        <v>0</v>
      </c>
      <c r="F50" s="44">
        <f>IF(B50="","",+SUMIFS('300s Plant Balances Input'!M:M,'300s Plant Balances Input'!D:D,'300s - 5 Digit FERC Accounts'!B50))</f>
        <v>0</v>
      </c>
      <c r="I50" s="50" t="s">
        <v>8648</v>
      </c>
      <c r="J50" s="2394">
        <f>+SUMIFS(D:D,$A:$A,$I50)-SUMIFS('300s - 3 Digit FERC Accounts'!D:D,'300s - 3 Digit FERC Accounts'!$B:$B,$I50)</f>
        <v>0</v>
      </c>
      <c r="K50" s="2394">
        <f>+SUMIFS(E:E,$A:$A,$I50)-SUMIFS('300s - 3 Digit FERC Accounts'!E:E,'300s - 3 Digit FERC Accounts'!$B:$B,$I50)</f>
        <v>0</v>
      </c>
      <c r="L50" s="2394">
        <f>+SUMIFS(F:F,$A:$A,$I50)-SUMIFS('300s - 3 Digit FERC Accounts'!F:F,'300s - 3 Digit FERC Accounts'!$B:$B,$I50)</f>
        <v>0</v>
      </c>
    </row>
    <row r="51" spans="1:12">
      <c r="A51" s="33" t="str">
        <f t="shared" si="0"/>
        <v>314</v>
      </c>
      <c r="B51" s="33">
        <v>31433</v>
      </c>
      <c r="C51" t="s">
        <v>8205</v>
      </c>
      <c r="D51" s="44">
        <f>IF(B51="","",+SUMIFS('300s Plant Balances Input'!K:K,'300s Plant Balances Input'!D:D,'300s - 5 Digit FERC Accounts'!B51))</f>
        <v>0</v>
      </c>
      <c r="E51" s="44">
        <f>IF(B51="","",+SUMIFS('300s Plant Balances Input'!S:S,'300s Plant Balances Input'!D:D,'300s - 5 Digit FERC Accounts'!B51))</f>
        <v>0</v>
      </c>
      <c r="F51" s="44">
        <f>IF(B51="","",+SUMIFS('300s Plant Balances Input'!M:M,'300s Plant Balances Input'!D:D,'300s - 5 Digit FERC Accounts'!B51))</f>
        <v>0</v>
      </c>
      <c r="I51" s="50" t="s">
        <v>8649</v>
      </c>
      <c r="J51" s="2394">
        <f>+SUMIFS(D:D,$A:$A,$I51)-SUMIFS('300s - 3 Digit FERC Accounts'!D:D,'300s - 3 Digit FERC Accounts'!$B:$B,$I51)</f>
        <v>0</v>
      </c>
      <c r="K51" s="2394">
        <f>+SUMIFS(E:E,$A:$A,$I51)-SUMIFS('300s - 3 Digit FERC Accounts'!E:E,'300s - 3 Digit FERC Accounts'!$B:$B,$I51)</f>
        <v>0</v>
      </c>
      <c r="L51" s="2394">
        <f>+SUMIFS(F:F,$A:$A,$I51)-SUMIFS('300s - 3 Digit FERC Accounts'!F:F,'300s - 3 Digit FERC Accounts'!$B:$B,$I51)</f>
        <v>0</v>
      </c>
    </row>
    <row r="52" spans="1:12">
      <c r="A52" s="33" t="str">
        <f t="shared" si="0"/>
        <v>314</v>
      </c>
      <c r="B52" s="33">
        <v>31434</v>
      </c>
      <c r="C52" t="s">
        <v>8206</v>
      </c>
      <c r="D52" s="44">
        <f>IF(B52="","",+SUMIFS('300s Plant Balances Input'!K:K,'300s Plant Balances Input'!D:D,'300s - 5 Digit FERC Accounts'!B52))</f>
        <v>0</v>
      </c>
      <c r="E52" s="44">
        <f>IF(B52="","",+SUMIFS('300s Plant Balances Input'!S:S,'300s Plant Balances Input'!D:D,'300s - 5 Digit FERC Accounts'!B52))</f>
        <v>0</v>
      </c>
      <c r="F52" s="44">
        <f>IF(B52="","",+SUMIFS('300s Plant Balances Input'!M:M,'300s Plant Balances Input'!D:D,'300s - 5 Digit FERC Accounts'!B52))</f>
        <v>0</v>
      </c>
      <c r="I52" s="50" t="s">
        <v>8650</v>
      </c>
      <c r="J52" s="2394">
        <f>+SUMIFS(D:D,$A:$A,$I52)-SUMIFS('300s - 3 Digit FERC Accounts'!D:D,'300s - 3 Digit FERC Accounts'!$B:$B,$I52)</f>
        <v>0</v>
      </c>
      <c r="K52" s="2394">
        <f>+SUMIFS(E:E,$A:$A,$I52)-SUMIFS('300s - 3 Digit FERC Accounts'!E:E,'300s - 3 Digit FERC Accounts'!$B:$B,$I52)</f>
        <v>0</v>
      </c>
      <c r="L52" s="2394">
        <f>+SUMIFS(F:F,$A:$A,$I52)-SUMIFS('300s - 3 Digit FERC Accounts'!F:F,'300s - 3 Digit FERC Accounts'!$B:$B,$I52)</f>
        <v>0</v>
      </c>
    </row>
    <row r="53" spans="1:12">
      <c r="A53" s="33" t="str">
        <f t="shared" si="0"/>
        <v>314</v>
      </c>
      <c r="B53" s="33">
        <v>31440</v>
      </c>
      <c r="C53" t="s">
        <v>1578</v>
      </c>
      <c r="D53" s="44">
        <f>IF(B53="","",+SUMIFS('300s Plant Balances Input'!K:K,'300s Plant Balances Input'!D:D,'300s - 5 Digit FERC Accounts'!B53))</f>
        <v>30614742.949999999</v>
      </c>
      <c r="E53" s="44">
        <f>IF(B53="","",+SUMIFS('300s Plant Balances Input'!S:S,'300s Plant Balances Input'!D:D,'300s - 5 Digit FERC Accounts'!B53))</f>
        <v>809922.62</v>
      </c>
      <c r="F53" s="44">
        <f>IF(B53="","",+SUMIFS('300s Plant Balances Input'!M:M,'300s Plant Balances Input'!D:D,'300s - 5 Digit FERC Accounts'!B53))</f>
        <v>1185990.68</v>
      </c>
      <c r="I53" s="50" t="s">
        <v>8651</v>
      </c>
      <c r="J53" s="2394">
        <f>+SUMIFS(D:D,$A:$A,$I53)-SUMIFS('300s - 3 Digit FERC Accounts'!D:D,'300s - 3 Digit FERC Accounts'!$B:$B,$I53)</f>
        <v>0</v>
      </c>
      <c r="K53" s="2394">
        <f>+SUMIFS(E:E,$A:$A,$I53)-SUMIFS('300s - 3 Digit FERC Accounts'!E:E,'300s - 3 Digit FERC Accounts'!$B:$B,$I53)</f>
        <v>0</v>
      </c>
      <c r="L53" s="2394">
        <f>+SUMIFS(F:F,$A:$A,$I53)-SUMIFS('300s - 3 Digit FERC Accounts'!F:F,'300s - 3 Digit FERC Accounts'!$B:$B,$I53)</f>
        <v>0</v>
      </c>
    </row>
    <row r="54" spans="1:12">
      <c r="A54" s="33" t="str">
        <f t="shared" si="0"/>
        <v>314</v>
      </c>
      <c r="B54" s="33">
        <v>31441</v>
      </c>
      <c r="C54" t="s">
        <v>1579</v>
      </c>
      <c r="D54" s="44">
        <f>IF(B54="","",+SUMIFS('300s Plant Balances Input'!K:K,'300s Plant Balances Input'!D:D,'300s - 5 Digit FERC Accounts'!B54))</f>
        <v>0</v>
      </c>
      <c r="E54" s="44">
        <f>IF(B54="","",+SUMIFS('300s Plant Balances Input'!S:S,'300s Plant Balances Input'!D:D,'300s - 5 Digit FERC Accounts'!B54))</f>
        <v>0</v>
      </c>
      <c r="F54" s="44">
        <f>IF(B54="","",+SUMIFS('300s Plant Balances Input'!M:M,'300s Plant Balances Input'!D:D,'300s - 5 Digit FERC Accounts'!B54))</f>
        <v>0</v>
      </c>
      <c r="I54" s="50" t="s">
        <v>8652</v>
      </c>
      <c r="J54" s="2394">
        <f>+SUMIFS(D:D,$A:$A,$I54)-SUMIFS('300s - 3 Digit FERC Accounts'!D:D,'300s - 3 Digit FERC Accounts'!$B:$B,$I54)</f>
        <v>0</v>
      </c>
      <c r="K54" s="2394">
        <f>+SUMIFS(E:E,$A:$A,$I54)-SUMIFS('300s - 3 Digit FERC Accounts'!E:E,'300s - 3 Digit FERC Accounts'!$B:$B,$I54)</f>
        <v>0</v>
      </c>
      <c r="L54" s="2394">
        <f>+SUMIFS(F:F,$A:$A,$I54)-SUMIFS('300s - 3 Digit FERC Accounts'!F:F,'300s - 3 Digit FERC Accounts'!$B:$B,$I54)</f>
        <v>0</v>
      </c>
    </row>
    <row r="55" spans="1:12">
      <c r="A55" s="33" t="str">
        <f t="shared" si="0"/>
        <v>314</v>
      </c>
      <c r="B55" s="33">
        <v>31442</v>
      </c>
      <c r="C55" t="s">
        <v>1580</v>
      </c>
      <c r="D55" s="44">
        <f>IF(B55="","",+SUMIFS('300s Plant Balances Input'!K:K,'300s Plant Balances Input'!D:D,'300s - 5 Digit FERC Accounts'!B55))</f>
        <v>0</v>
      </c>
      <c r="E55" s="44">
        <f>IF(B55="","",+SUMIFS('300s Plant Balances Input'!S:S,'300s Plant Balances Input'!D:D,'300s - 5 Digit FERC Accounts'!B55))</f>
        <v>0</v>
      </c>
      <c r="F55" s="44">
        <f>IF(B55="","",+SUMIFS('300s Plant Balances Input'!M:M,'300s Plant Balances Input'!D:D,'300s - 5 Digit FERC Accounts'!B55))</f>
        <v>0</v>
      </c>
      <c r="I55" s="50" t="s">
        <v>8653</v>
      </c>
      <c r="J55" s="2394">
        <f>+SUMIFS(D:D,$A:$A,$I55)-SUMIFS('300s - 3 Digit FERC Accounts'!D:D,'300s - 3 Digit FERC Accounts'!$B:$B,$I55)</f>
        <v>0</v>
      </c>
      <c r="K55" s="2394">
        <f>+SUMIFS(E:E,$A:$A,$I55)-SUMIFS('300s - 3 Digit FERC Accounts'!E:E,'300s - 3 Digit FERC Accounts'!$B:$B,$I55)</f>
        <v>0</v>
      </c>
      <c r="L55" s="2394">
        <f>+SUMIFS(F:F,$A:$A,$I55)-SUMIFS('300s - 3 Digit FERC Accounts'!F:F,'300s - 3 Digit FERC Accounts'!$B:$B,$I55)</f>
        <v>0</v>
      </c>
    </row>
    <row r="56" spans="1:12">
      <c r="A56" s="33" t="str">
        <f t="shared" si="0"/>
        <v>314</v>
      </c>
      <c r="B56" s="33">
        <v>31443</v>
      </c>
      <c r="C56" t="s">
        <v>1581</v>
      </c>
      <c r="D56" s="44">
        <f>IF(B56="","",+SUMIFS('300s Plant Balances Input'!K:K,'300s Plant Balances Input'!D:D,'300s - 5 Digit FERC Accounts'!B56))</f>
        <v>0</v>
      </c>
      <c r="E56" s="44">
        <f>IF(B56="","",+SUMIFS('300s Plant Balances Input'!S:S,'300s Plant Balances Input'!D:D,'300s - 5 Digit FERC Accounts'!B56))</f>
        <v>0</v>
      </c>
      <c r="F56" s="44">
        <f>IF(B56="","",+SUMIFS('300s Plant Balances Input'!M:M,'300s Plant Balances Input'!D:D,'300s - 5 Digit FERC Accounts'!B56))</f>
        <v>0</v>
      </c>
      <c r="I56" s="50" t="s">
        <v>8654</v>
      </c>
      <c r="J56" s="2394">
        <f>+SUMIFS(D:D,$A:$A,$I56)-SUMIFS('300s - 3 Digit FERC Accounts'!D:D,'300s - 3 Digit FERC Accounts'!$B:$B,$I56)</f>
        <v>0</v>
      </c>
      <c r="K56" s="2394">
        <f>+SUMIFS(E:E,$A:$A,$I56)-SUMIFS('300s - 3 Digit FERC Accounts'!E:E,'300s - 3 Digit FERC Accounts'!$B:$B,$I56)</f>
        <v>0</v>
      </c>
      <c r="L56" s="2394">
        <f>+SUMIFS(F:F,$A:$A,$I56)-SUMIFS('300s - 3 Digit FERC Accounts'!F:F,'300s - 3 Digit FERC Accounts'!$B:$B,$I56)</f>
        <v>0</v>
      </c>
    </row>
    <row r="57" spans="1:12">
      <c r="A57" s="33" t="str">
        <f t="shared" si="0"/>
        <v>314</v>
      </c>
      <c r="B57" s="33">
        <v>31444</v>
      </c>
      <c r="C57" t="s">
        <v>1582</v>
      </c>
      <c r="D57" s="44">
        <f>IF(B57="","",+SUMIFS('300s Plant Balances Input'!K:K,'300s Plant Balances Input'!D:D,'300s - 5 Digit FERC Accounts'!B57))</f>
        <v>121251442.41</v>
      </c>
      <c r="E57" s="44">
        <f>IF(B57="","",+SUMIFS('300s Plant Balances Input'!S:S,'300s Plant Balances Input'!D:D,'300s - 5 Digit FERC Accounts'!B57))</f>
        <v>55450091.729999997</v>
      </c>
      <c r="F57" s="44">
        <f>IF(B57="","",+SUMIFS('300s Plant Balances Input'!M:M,'300s Plant Balances Input'!D:D,'300s - 5 Digit FERC Accounts'!B57))</f>
        <v>5643880.1900000004</v>
      </c>
      <c r="I57" s="50" t="s">
        <v>8655</v>
      </c>
      <c r="J57" s="2394">
        <f>+SUMIFS(D:D,$A:$A,$I57)-SUMIFS('300s - 3 Digit FERC Accounts'!D:D,'300s - 3 Digit FERC Accounts'!$B:$B,$I57)</f>
        <v>0</v>
      </c>
      <c r="K57" s="2394">
        <f>+SUMIFS(E:E,$A:$A,$I57)-SUMIFS('300s - 3 Digit FERC Accounts'!E:E,'300s - 3 Digit FERC Accounts'!$B:$B,$I57)</f>
        <v>0</v>
      </c>
      <c r="L57" s="2394">
        <f>+SUMIFS(F:F,$A:$A,$I57)-SUMIFS('300s - 3 Digit FERC Accounts'!F:F,'300s - 3 Digit FERC Accounts'!$B:$B,$I57)</f>
        <v>0</v>
      </c>
    </row>
    <row r="58" spans="1:12">
      <c r="A58" s="33" t="str">
        <f t="shared" si="0"/>
        <v>315</v>
      </c>
      <c r="B58" s="33">
        <v>31530</v>
      </c>
      <c r="C58" t="s">
        <v>8207</v>
      </c>
      <c r="D58" s="44">
        <f>IF(B58="","",+SUMIFS('300s Plant Balances Input'!K:K,'300s Plant Balances Input'!D:D,'300s - 5 Digit FERC Accounts'!B58))</f>
        <v>0</v>
      </c>
      <c r="E58" s="44">
        <f>IF(B58="","",+SUMIFS('300s Plant Balances Input'!S:S,'300s Plant Balances Input'!D:D,'300s - 5 Digit FERC Accounts'!B58))</f>
        <v>0</v>
      </c>
      <c r="F58" s="44">
        <f>IF(B58="","",+SUMIFS('300s Plant Balances Input'!M:M,'300s Plant Balances Input'!D:D,'300s - 5 Digit FERC Accounts'!B58))</f>
        <v>0</v>
      </c>
      <c r="I58" s="50" t="s">
        <v>8656</v>
      </c>
      <c r="J58" s="2394">
        <f>+SUMIFS(D:D,$A:$A,$I58)-SUMIFS('300s - 3 Digit FERC Accounts'!D:D,'300s - 3 Digit FERC Accounts'!$B:$B,$I58)</f>
        <v>0</v>
      </c>
      <c r="K58" s="2394">
        <f>+SUMIFS(E:E,$A:$A,$I58)-SUMIFS('300s - 3 Digit FERC Accounts'!E:E,'300s - 3 Digit FERC Accounts'!$B:$B,$I58)</f>
        <v>0</v>
      </c>
      <c r="L58" s="2394">
        <f>+SUMIFS(F:F,$A:$A,$I58)-SUMIFS('300s - 3 Digit FERC Accounts'!F:F,'300s - 3 Digit FERC Accounts'!$B:$B,$I58)</f>
        <v>0</v>
      </c>
    </row>
    <row r="59" spans="1:12">
      <c r="A59" s="33" t="str">
        <f t="shared" si="0"/>
        <v>315</v>
      </c>
      <c r="B59" s="33">
        <v>31531</v>
      </c>
      <c r="C59" t="s">
        <v>8208</v>
      </c>
      <c r="D59" s="44">
        <f>IF(B59="","",+SUMIFS('300s Plant Balances Input'!K:K,'300s Plant Balances Input'!D:D,'300s - 5 Digit FERC Accounts'!B59))</f>
        <v>0</v>
      </c>
      <c r="E59" s="44">
        <f>IF(B59="","",+SUMIFS('300s Plant Balances Input'!S:S,'300s Plant Balances Input'!D:D,'300s - 5 Digit FERC Accounts'!B59))</f>
        <v>0</v>
      </c>
      <c r="F59" s="44">
        <f>IF(B59="","",+SUMIFS('300s Plant Balances Input'!M:M,'300s Plant Balances Input'!D:D,'300s - 5 Digit FERC Accounts'!B59))</f>
        <v>0</v>
      </c>
      <c r="I59" s="50" t="s">
        <v>8657</v>
      </c>
      <c r="J59" s="2394">
        <f>+SUMIFS(D:D,$A:$A,$I59)-SUMIFS('300s - 3 Digit FERC Accounts'!D:D,'300s - 3 Digit FERC Accounts'!$B:$B,$I59)</f>
        <v>0</v>
      </c>
      <c r="K59" s="2394">
        <f>+SUMIFS(E:E,$A:$A,$I59)-SUMIFS('300s - 3 Digit FERC Accounts'!E:E,'300s - 3 Digit FERC Accounts'!$B:$B,$I59)</f>
        <v>0</v>
      </c>
      <c r="L59" s="2394">
        <f>+SUMIFS(F:F,$A:$A,$I59)-SUMIFS('300s - 3 Digit FERC Accounts'!F:F,'300s - 3 Digit FERC Accounts'!$B:$B,$I59)</f>
        <v>0</v>
      </c>
    </row>
    <row r="60" spans="1:12">
      <c r="A60" s="33" t="str">
        <f t="shared" si="0"/>
        <v>315</v>
      </c>
      <c r="B60" s="33">
        <v>31532</v>
      </c>
      <c r="C60" t="s">
        <v>8209</v>
      </c>
      <c r="D60" s="44">
        <f>IF(B60="","",+SUMIFS('300s Plant Balances Input'!K:K,'300s Plant Balances Input'!D:D,'300s - 5 Digit FERC Accounts'!B60))</f>
        <v>0</v>
      </c>
      <c r="E60" s="44">
        <f>IF(B60="","",+SUMIFS('300s Plant Balances Input'!S:S,'300s Plant Balances Input'!D:D,'300s - 5 Digit FERC Accounts'!B60))</f>
        <v>0</v>
      </c>
      <c r="F60" s="44">
        <f>IF(B60="","",+SUMIFS('300s Plant Balances Input'!M:M,'300s Plant Balances Input'!D:D,'300s - 5 Digit FERC Accounts'!B60))</f>
        <v>0</v>
      </c>
      <c r="I60" s="50" t="s">
        <v>8658</v>
      </c>
      <c r="J60" s="2394">
        <f>+SUMIFS(D:D,$A:$A,$I60)-SUMIFS('300s - 3 Digit FERC Accounts'!D:D,'300s - 3 Digit FERC Accounts'!$B:$B,$I60)</f>
        <v>0</v>
      </c>
      <c r="K60" s="2394">
        <f>+SUMIFS(E:E,$A:$A,$I60)-SUMIFS('300s - 3 Digit FERC Accounts'!E:E,'300s - 3 Digit FERC Accounts'!$B:$B,$I60)</f>
        <v>0</v>
      </c>
      <c r="L60" s="2394">
        <f>+SUMIFS(F:F,$A:$A,$I60)-SUMIFS('300s - 3 Digit FERC Accounts'!F:F,'300s - 3 Digit FERC Accounts'!$B:$B,$I60)</f>
        <v>0</v>
      </c>
    </row>
    <row r="61" spans="1:12">
      <c r="A61" s="33" t="str">
        <f t="shared" si="0"/>
        <v>315</v>
      </c>
      <c r="B61" s="33">
        <v>31533</v>
      </c>
      <c r="C61" t="s">
        <v>8210</v>
      </c>
      <c r="D61" s="44">
        <f>IF(B61="","",+SUMIFS('300s Plant Balances Input'!K:K,'300s Plant Balances Input'!D:D,'300s - 5 Digit FERC Accounts'!B61))</f>
        <v>0</v>
      </c>
      <c r="E61" s="44">
        <f>IF(B61="","",+SUMIFS('300s Plant Balances Input'!S:S,'300s Plant Balances Input'!D:D,'300s - 5 Digit FERC Accounts'!B61))</f>
        <v>0</v>
      </c>
      <c r="F61" s="44">
        <f>IF(B61="","",+SUMIFS('300s Plant Balances Input'!M:M,'300s Plant Balances Input'!D:D,'300s - 5 Digit FERC Accounts'!B61))</f>
        <v>0</v>
      </c>
    </row>
    <row r="62" spans="1:12">
      <c r="A62" s="33" t="str">
        <f t="shared" si="0"/>
        <v>315</v>
      </c>
      <c r="B62" s="33">
        <v>31534</v>
      </c>
      <c r="C62" t="s">
        <v>8211</v>
      </c>
      <c r="D62" s="44">
        <f>IF(B62="","",+SUMIFS('300s Plant Balances Input'!K:K,'300s Plant Balances Input'!D:D,'300s - 5 Digit FERC Accounts'!B62))</f>
        <v>0</v>
      </c>
      <c r="E62" s="44">
        <f>IF(B62="","",+SUMIFS('300s Plant Balances Input'!S:S,'300s Plant Balances Input'!D:D,'300s - 5 Digit FERC Accounts'!B62))</f>
        <v>0</v>
      </c>
      <c r="F62" s="44">
        <f>IF(B62="","",+SUMIFS('300s Plant Balances Input'!M:M,'300s Plant Balances Input'!D:D,'300s - 5 Digit FERC Accounts'!B62))</f>
        <v>0</v>
      </c>
    </row>
    <row r="63" spans="1:12">
      <c r="A63" s="33" t="str">
        <f t="shared" si="0"/>
        <v>315</v>
      </c>
      <c r="B63" s="33">
        <v>31540</v>
      </c>
      <c r="C63" t="s">
        <v>1583</v>
      </c>
      <c r="D63" s="44">
        <f>IF(B63="","",+SUMIFS('300s Plant Balances Input'!K:K,'300s Plant Balances Input'!D:D,'300s - 5 Digit FERC Accounts'!B63))</f>
        <v>43980094.719999999</v>
      </c>
      <c r="E63" s="44">
        <f>IF(B63="","",+SUMIFS('300s Plant Balances Input'!S:S,'300s Plant Balances Input'!D:D,'300s - 5 Digit FERC Accounts'!B63))</f>
        <v>20186984.16</v>
      </c>
      <c r="F63" s="44">
        <f>IF(B63="","",+SUMIFS('300s Plant Balances Input'!M:M,'300s Plant Balances Input'!D:D,'300s - 5 Digit FERC Accounts'!B63))</f>
        <v>949970.04</v>
      </c>
    </row>
    <row r="64" spans="1:12">
      <c r="A64" s="33" t="str">
        <f t="shared" si="0"/>
        <v>315</v>
      </c>
      <c r="B64" s="33">
        <v>31541</v>
      </c>
      <c r="C64" t="s">
        <v>1584</v>
      </c>
      <c r="D64" s="44">
        <f>IF(B64="","",+SUMIFS('300s Plant Balances Input'!K:K,'300s Plant Balances Input'!D:D,'300s - 5 Digit FERC Accounts'!B64))</f>
        <v>0</v>
      </c>
      <c r="E64" s="44">
        <f>IF(B64="","",+SUMIFS('300s Plant Balances Input'!S:S,'300s Plant Balances Input'!D:D,'300s - 5 Digit FERC Accounts'!B64))</f>
        <v>0</v>
      </c>
      <c r="F64" s="44">
        <f>IF(B64="","",+SUMIFS('300s Plant Balances Input'!M:M,'300s Plant Balances Input'!D:D,'300s - 5 Digit FERC Accounts'!B64))</f>
        <v>0</v>
      </c>
    </row>
    <row r="65" spans="1:6">
      <c r="A65" s="33" t="str">
        <f t="shared" si="0"/>
        <v>315</v>
      </c>
      <c r="B65" s="33">
        <v>31542</v>
      </c>
      <c r="C65" t="s">
        <v>1585</v>
      </c>
      <c r="D65" s="44">
        <f>IF(B65="","",+SUMIFS('300s Plant Balances Input'!K:K,'300s Plant Balances Input'!D:D,'300s - 5 Digit FERC Accounts'!B65))</f>
        <v>0</v>
      </c>
      <c r="E65" s="44">
        <f>IF(B65="","",+SUMIFS('300s Plant Balances Input'!S:S,'300s Plant Balances Input'!D:D,'300s - 5 Digit FERC Accounts'!B65))</f>
        <v>0</v>
      </c>
      <c r="F65" s="44">
        <f>IF(B65="","",+SUMIFS('300s Plant Balances Input'!M:M,'300s Plant Balances Input'!D:D,'300s - 5 Digit FERC Accounts'!B65))</f>
        <v>0</v>
      </c>
    </row>
    <row r="66" spans="1:6">
      <c r="A66" s="33" t="str">
        <f t="shared" si="0"/>
        <v>315</v>
      </c>
      <c r="B66" s="33">
        <v>31543</v>
      </c>
      <c r="C66" t="s">
        <v>1586</v>
      </c>
      <c r="D66" s="44">
        <f>IF(B66="","",+SUMIFS('300s Plant Balances Input'!K:K,'300s Plant Balances Input'!D:D,'300s - 5 Digit FERC Accounts'!B66))</f>
        <v>0</v>
      </c>
      <c r="E66" s="44">
        <f>IF(B66="","",+SUMIFS('300s Plant Balances Input'!S:S,'300s Plant Balances Input'!D:D,'300s - 5 Digit FERC Accounts'!B66))</f>
        <v>0</v>
      </c>
      <c r="F66" s="44">
        <f>IF(B66="","",+SUMIFS('300s Plant Balances Input'!M:M,'300s Plant Balances Input'!D:D,'300s - 5 Digit FERC Accounts'!B66))</f>
        <v>0</v>
      </c>
    </row>
    <row r="67" spans="1:6">
      <c r="A67" s="33" t="str">
        <f t="shared" si="0"/>
        <v>315</v>
      </c>
      <c r="B67" s="33">
        <v>31544</v>
      </c>
      <c r="C67" t="s">
        <v>1587</v>
      </c>
      <c r="D67" s="44">
        <f>IF(B67="","",+SUMIFS('300s Plant Balances Input'!K:K,'300s Plant Balances Input'!D:D,'300s - 5 Digit FERC Accounts'!B67))</f>
        <v>52859494.079999998</v>
      </c>
      <c r="E67" s="44">
        <f>IF(B67="","",+SUMIFS('300s Plant Balances Input'!S:S,'300s Plant Balances Input'!D:D,'300s - 5 Digit FERC Accounts'!B67))</f>
        <v>34990272.960000001</v>
      </c>
      <c r="F67" s="44">
        <f>IF(B67="","",+SUMIFS('300s Plant Balances Input'!M:M,'300s Plant Balances Input'!D:D,'300s - 5 Digit FERC Accounts'!B67))</f>
        <v>1480065.84</v>
      </c>
    </row>
    <row r="68" spans="1:6">
      <c r="A68" s="33" t="str">
        <f t="shared" si="0"/>
        <v>315</v>
      </c>
      <c r="B68" s="33">
        <v>31545</v>
      </c>
      <c r="C68" t="s">
        <v>1588</v>
      </c>
      <c r="D68" s="44">
        <f>IF(B68="","",+SUMIFS('300s Plant Balances Input'!K:K,'300s Plant Balances Input'!D:D,'300s - 5 Digit FERC Accounts'!B68))</f>
        <v>26997996.07</v>
      </c>
      <c r="E68" s="44">
        <f>IF(B68="","",+SUMIFS('300s Plant Balances Input'!S:S,'300s Plant Balances Input'!D:D,'300s - 5 Digit FERC Accounts'!B68))</f>
        <v>17975589.02</v>
      </c>
      <c r="F68" s="44">
        <f>IF(B68="","",+SUMIFS('300s Plant Balances Input'!M:M,'300s Plant Balances Input'!D:D,'300s - 5 Digit FERC Accounts'!B68))</f>
        <v>755216.5</v>
      </c>
    </row>
    <row r="69" spans="1:6">
      <c r="A69" s="33" t="str">
        <f t="shared" ref="A69:A135" si="1">+LEFT(B69,3)</f>
        <v>315</v>
      </c>
      <c r="B69" s="33">
        <v>31546</v>
      </c>
      <c r="C69" t="s">
        <v>1589</v>
      </c>
      <c r="D69" s="44">
        <f>IF(B69="","",+SUMIFS('300s Plant Balances Input'!K:K,'300s Plant Balances Input'!D:D,'300s - 5 Digit FERC Accounts'!B69))</f>
        <v>0</v>
      </c>
      <c r="E69" s="44">
        <f>IF(B69="","",+SUMIFS('300s Plant Balances Input'!S:S,'300s Plant Balances Input'!D:D,'300s - 5 Digit FERC Accounts'!B69))</f>
        <v>0</v>
      </c>
      <c r="F69" s="44">
        <f>IF(B69="","",+SUMIFS('300s Plant Balances Input'!M:M,'300s Plant Balances Input'!D:D,'300s - 5 Digit FERC Accounts'!B69))</f>
        <v>0</v>
      </c>
    </row>
    <row r="70" spans="1:6">
      <c r="A70" s="33" t="str">
        <f t="shared" si="1"/>
        <v>315</v>
      </c>
      <c r="B70" s="33">
        <v>31551</v>
      </c>
      <c r="C70" t="s">
        <v>1590</v>
      </c>
      <c r="D70" s="44">
        <f>IF(B70="","",+SUMIFS('300s Plant Balances Input'!K:K,'300s Plant Balances Input'!D:D,'300s - 5 Digit FERC Accounts'!B70))</f>
        <v>0</v>
      </c>
      <c r="E70" s="44">
        <f>IF(B70="","",+SUMIFS('300s Plant Balances Input'!S:S,'300s Plant Balances Input'!D:D,'300s - 5 Digit FERC Accounts'!B70))</f>
        <v>0</v>
      </c>
      <c r="F70" s="44">
        <f>IF(B70="","",+SUMIFS('300s Plant Balances Input'!M:M,'300s Plant Balances Input'!D:D,'300s - 5 Digit FERC Accounts'!B70))</f>
        <v>0</v>
      </c>
    </row>
    <row r="71" spans="1:6">
      <c r="A71" s="33" t="str">
        <f t="shared" si="1"/>
        <v>315</v>
      </c>
      <c r="B71" s="33">
        <v>31552</v>
      </c>
      <c r="C71" t="s">
        <v>1591</v>
      </c>
      <c r="D71" s="44">
        <f>IF(B71="","",+SUMIFS('300s Plant Balances Input'!K:K,'300s Plant Balances Input'!D:D,'300s - 5 Digit FERC Accounts'!B71))</f>
        <v>0</v>
      </c>
      <c r="E71" s="44">
        <f>IF(B71="","",+SUMIFS('300s Plant Balances Input'!S:S,'300s Plant Balances Input'!D:D,'300s - 5 Digit FERC Accounts'!B71))</f>
        <v>0</v>
      </c>
      <c r="F71" s="44">
        <f>IF(B71="","",+SUMIFS('300s Plant Balances Input'!M:M,'300s Plant Balances Input'!D:D,'300s - 5 Digit FERC Accounts'!B71))</f>
        <v>0</v>
      </c>
    </row>
    <row r="72" spans="1:6">
      <c r="A72" s="33" t="str">
        <f t="shared" si="1"/>
        <v>315</v>
      </c>
      <c r="B72" s="33">
        <v>31553</v>
      </c>
      <c r="C72" t="s">
        <v>1592</v>
      </c>
      <c r="D72" s="44">
        <f>IF(B72="","",+SUMIFS('300s Plant Balances Input'!K:K,'300s Plant Balances Input'!D:D,'300s - 5 Digit FERC Accounts'!B72))</f>
        <v>0</v>
      </c>
      <c r="E72" s="44">
        <f>IF(B72="","",+SUMIFS('300s Plant Balances Input'!S:S,'300s Plant Balances Input'!D:D,'300s - 5 Digit FERC Accounts'!B72))</f>
        <v>0</v>
      </c>
      <c r="F72" s="44">
        <f>IF(B72="","",+SUMIFS('300s Plant Balances Input'!M:M,'300s Plant Balances Input'!D:D,'300s - 5 Digit FERC Accounts'!B72))</f>
        <v>0</v>
      </c>
    </row>
    <row r="73" spans="1:6">
      <c r="A73" s="33" t="str">
        <f t="shared" si="1"/>
        <v>315</v>
      </c>
      <c r="B73" s="33">
        <v>31554</v>
      </c>
      <c r="C73" t="s">
        <v>1593</v>
      </c>
      <c r="D73" s="44">
        <f>IF(B73="","",+SUMIFS('300s Plant Balances Input'!K:K,'300s Plant Balances Input'!D:D,'300s - 5 Digit FERC Accounts'!B73))</f>
        <v>15495565.49</v>
      </c>
      <c r="E73" s="44">
        <f>IF(B73="","",+SUMIFS('300s Plant Balances Input'!S:S,'300s Plant Balances Input'!D:D,'300s - 5 Digit FERC Accounts'!B73))</f>
        <v>10246856.52</v>
      </c>
      <c r="F73" s="44">
        <f>IF(B73="","",+SUMIFS('300s Plant Balances Input'!M:M,'300s Plant Balances Input'!D:D,'300s - 5 Digit FERC Accounts'!B73))</f>
        <v>433875.84</v>
      </c>
    </row>
    <row r="74" spans="1:6">
      <c r="A74" s="33" t="str">
        <f t="shared" si="1"/>
        <v>316</v>
      </c>
      <c r="B74" s="33">
        <v>31601</v>
      </c>
      <c r="C74" t="s">
        <v>1594</v>
      </c>
      <c r="D74" s="44">
        <f>IF(B74="","",+SUMIFS('300s Plant Balances Input'!K:K,'300s Plant Balances Input'!D:D,'300s - 5 Digit FERC Accounts'!B74))</f>
        <v>0</v>
      </c>
      <c r="E74" s="44">
        <f>IF(B74="","",+SUMIFS('300s Plant Balances Input'!S:S,'300s Plant Balances Input'!D:D,'300s - 5 Digit FERC Accounts'!B74))</f>
        <v>0</v>
      </c>
      <c r="F74" s="44">
        <f>IF(B74="","",+SUMIFS('300s Plant Balances Input'!M:M,'300s Plant Balances Input'!D:D,'300s - 5 Digit FERC Accounts'!B74))</f>
        <v>0</v>
      </c>
    </row>
    <row r="75" spans="1:6">
      <c r="A75" s="33" t="str">
        <f t="shared" si="1"/>
        <v>316</v>
      </c>
      <c r="B75" s="33">
        <v>31617</v>
      </c>
      <c r="C75" t="s">
        <v>1595</v>
      </c>
      <c r="D75" s="44">
        <f>IF(B75="","",+SUMIFS('300s Plant Balances Input'!K:K,'300s Plant Balances Input'!D:D,'300s - 5 Digit FERC Accounts'!B75))</f>
        <v>0</v>
      </c>
      <c r="E75" s="44">
        <f>IF(B75="","",+SUMIFS('300s Plant Balances Input'!S:S,'300s Plant Balances Input'!D:D,'300s - 5 Digit FERC Accounts'!B75))</f>
        <v>0</v>
      </c>
      <c r="F75" s="44">
        <f>IF(B75="","",+SUMIFS('300s Plant Balances Input'!M:M,'300s Plant Balances Input'!D:D,'300s - 5 Digit FERC Accounts'!B75))</f>
        <v>0</v>
      </c>
    </row>
    <row r="76" spans="1:6">
      <c r="A76" s="33" t="str">
        <f t="shared" si="1"/>
        <v>316</v>
      </c>
      <c r="B76" s="33">
        <v>31630</v>
      </c>
      <c r="C76" t="s">
        <v>1596</v>
      </c>
      <c r="D76" s="44">
        <f>IF(B76="","",+SUMIFS('300s Plant Balances Input'!K:K,'300s Plant Balances Input'!D:D,'300s - 5 Digit FERC Accounts'!B76))</f>
        <v>0</v>
      </c>
      <c r="E76" s="44">
        <f>IF(B76="","",+SUMIFS('300s Plant Balances Input'!S:S,'300s Plant Balances Input'!D:D,'300s - 5 Digit FERC Accounts'!B76))</f>
        <v>0</v>
      </c>
      <c r="F76" s="44">
        <f>IF(B76="","",+SUMIFS('300s Plant Balances Input'!M:M,'300s Plant Balances Input'!D:D,'300s - 5 Digit FERC Accounts'!B76))</f>
        <v>0</v>
      </c>
    </row>
    <row r="77" spans="1:6">
      <c r="A77" s="33" t="str">
        <f t="shared" si="1"/>
        <v>316</v>
      </c>
      <c r="B77" s="33">
        <v>31631</v>
      </c>
      <c r="C77" t="s">
        <v>8212</v>
      </c>
      <c r="D77" s="44">
        <f>IF(B77="","",+SUMIFS('300s Plant Balances Input'!K:K,'300s Plant Balances Input'!D:D,'300s - 5 Digit FERC Accounts'!B77))</f>
        <v>0</v>
      </c>
      <c r="E77" s="44">
        <f>IF(B77="","",+SUMIFS('300s Plant Balances Input'!S:S,'300s Plant Balances Input'!D:D,'300s - 5 Digit FERC Accounts'!B77))</f>
        <v>0</v>
      </c>
      <c r="F77" s="44">
        <f>IF(B77="","",+SUMIFS('300s Plant Balances Input'!M:M,'300s Plant Balances Input'!D:D,'300s - 5 Digit FERC Accounts'!B77))</f>
        <v>0</v>
      </c>
    </row>
    <row r="78" spans="1:6">
      <c r="A78" s="33" t="str">
        <f t="shared" si="1"/>
        <v>316</v>
      </c>
      <c r="B78" s="33">
        <v>31632</v>
      </c>
      <c r="C78" t="s">
        <v>8213</v>
      </c>
      <c r="D78" s="44">
        <f>IF(B78="","",+SUMIFS('300s Plant Balances Input'!K:K,'300s Plant Balances Input'!D:D,'300s - 5 Digit FERC Accounts'!B78))</f>
        <v>0</v>
      </c>
      <c r="E78" s="44">
        <f>IF(B78="","",+SUMIFS('300s Plant Balances Input'!S:S,'300s Plant Balances Input'!D:D,'300s - 5 Digit FERC Accounts'!B78))</f>
        <v>0</v>
      </c>
      <c r="F78" s="44">
        <f>IF(B78="","",+SUMIFS('300s Plant Balances Input'!M:M,'300s Plant Balances Input'!D:D,'300s - 5 Digit FERC Accounts'!B78))</f>
        <v>0</v>
      </c>
    </row>
    <row r="79" spans="1:6">
      <c r="A79" s="33" t="str">
        <f t="shared" si="1"/>
        <v>316</v>
      </c>
      <c r="B79" s="33">
        <v>31633</v>
      </c>
      <c r="C79" t="s">
        <v>8214</v>
      </c>
      <c r="D79" s="44">
        <f>IF(B79="","",+SUMIFS('300s Plant Balances Input'!K:K,'300s Plant Balances Input'!D:D,'300s - 5 Digit FERC Accounts'!B79))</f>
        <v>0</v>
      </c>
      <c r="E79" s="44">
        <f>IF(B79="","",+SUMIFS('300s Plant Balances Input'!S:S,'300s Plant Balances Input'!D:D,'300s - 5 Digit FERC Accounts'!B79))</f>
        <v>0</v>
      </c>
      <c r="F79" s="44">
        <f>IF(B79="","",+SUMIFS('300s Plant Balances Input'!M:M,'300s Plant Balances Input'!D:D,'300s - 5 Digit FERC Accounts'!B79))</f>
        <v>0</v>
      </c>
    </row>
    <row r="80" spans="1:6">
      <c r="A80" s="33" t="str">
        <f t="shared" si="1"/>
        <v>316</v>
      </c>
      <c r="B80" s="33">
        <v>31634</v>
      </c>
      <c r="C80" t="s">
        <v>8215</v>
      </c>
      <c r="D80" s="44">
        <f>IF(B80="","",+SUMIFS('300s Plant Balances Input'!K:K,'300s Plant Balances Input'!D:D,'300s - 5 Digit FERC Accounts'!B80))</f>
        <v>0</v>
      </c>
      <c r="E80" s="44">
        <f>IF(B80="","",+SUMIFS('300s Plant Balances Input'!S:S,'300s Plant Balances Input'!D:D,'300s - 5 Digit FERC Accounts'!B80))</f>
        <v>0</v>
      </c>
      <c r="F80" s="44">
        <f>IF(B80="","",+SUMIFS('300s Plant Balances Input'!M:M,'300s Plant Balances Input'!D:D,'300s - 5 Digit FERC Accounts'!B80))</f>
        <v>0</v>
      </c>
    </row>
    <row r="81" spans="1:6">
      <c r="A81" s="33" t="str">
        <f t="shared" si="1"/>
        <v>316</v>
      </c>
      <c r="B81" s="33">
        <v>31640</v>
      </c>
      <c r="C81" t="s">
        <v>1597</v>
      </c>
      <c r="D81" s="44">
        <f>IF(B81="","",+SUMIFS('300s Plant Balances Input'!K:K,'300s Plant Balances Input'!D:D,'300s - 5 Digit FERC Accounts'!B81))</f>
        <v>26448498.800000001</v>
      </c>
      <c r="E81" s="44">
        <f>IF(B81="","",+SUMIFS('300s Plant Balances Input'!S:S,'300s Plant Balances Input'!D:D,'300s - 5 Digit FERC Accounts'!B81))</f>
        <v>12061291.08</v>
      </c>
      <c r="F81" s="44">
        <f>IF(B81="","",+SUMIFS('300s Plant Balances Input'!M:M,'300s Plant Balances Input'!D:D,'300s - 5 Digit FERC Accounts'!B81))</f>
        <v>534259.68000000005</v>
      </c>
    </row>
    <row r="82" spans="1:6">
      <c r="A82" s="33" t="str">
        <f t="shared" si="1"/>
        <v>316</v>
      </c>
      <c r="B82" s="33">
        <v>31641</v>
      </c>
      <c r="C82" t="s">
        <v>1598</v>
      </c>
      <c r="D82" s="44">
        <f>IF(B82="","",+SUMIFS('300s Plant Balances Input'!K:K,'300s Plant Balances Input'!D:D,'300s - 5 Digit FERC Accounts'!B82))</f>
        <v>0</v>
      </c>
      <c r="E82" s="44">
        <f>IF(B82="","",+SUMIFS('300s Plant Balances Input'!S:S,'300s Plant Balances Input'!D:D,'300s - 5 Digit FERC Accounts'!B82))</f>
        <v>0</v>
      </c>
      <c r="F82" s="44">
        <f>IF(B82="","",+SUMIFS('300s Plant Balances Input'!M:M,'300s Plant Balances Input'!D:D,'300s - 5 Digit FERC Accounts'!B82))</f>
        <v>0</v>
      </c>
    </row>
    <row r="83" spans="1:6">
      <c r="A83" s="33" t="str">
        <f t="shared" si="1"/>
        <v>316</v>
      </c>
      <c r="B83" s="33">
        <v>31642</v>
      </c>
      <c r="C83" t="s">
        <v>1599</v>
      </c>
      <c r="D83" s="44">
        <f>IF(B83="","",+SUMIFS('300s Plant Balances Input'!K:K,'300s Plant Balances Input'!D:D,'300s - 5 Digit FERC Accounts'!B83))</f>
        <v>0</v>
      </c>
      <c r="E83" s="44">
        <f>IF(B83="","",+SUMIFS('300s Plant Balances Input'!S:S,'300s Plant Balances Input'!D:D,'300s - 5 Digit FERC Accounts'!B83))</f>
        <v>0</v>
      </c>
      <c r="F83" s="44">
        <f>IF(B83="","",+SUMIFS('300s Plant Balances Input'!M:M,'300s Plant Balances Input'!D:D,'300s - 5 Digit FERC Accounts'!B83))</f>
        <v>0</v>
      </c>
    </row>
    <row r="84" spans="1:6">
      <c r="A84" s="33" t="str">
        <f t="shared" si="1"/>
        <v>316</v>
      </c>
      <c r="B84" s="33">
        <v>31643</v>
      </c>
      <c r="C84" t="s">
        <v>1600</v>
      </c>
      <c r="D84" s="44">
        <f>IF(B84="","",+SUMIFS('300s Plant Balances Input'!K:K,'300s Plant Balances Input'!D:D,'300s - 5 Digit FERC Accounts'!B84))</f>
        <v>0</v>
      </c>
      <c r="E84" s="44">
        <f>IF(B84="","",+SUMIFS('300s Plant Balances Input'!S:S,'300s Plant Balances Input'!D:D,'300s - 5 Digit FERC Accounts'!B84))</f>
        <v>0</v>
      </c>
      <c r="F84" s="44">
        <f>IF(B84="","",+SUMIFS('300s Plant Balances Input'!M:M,'300s Plant Balances Input'!D:D,'300s - 5 Digit FERC Accounts'!B84))</f>
        <v>0</v>
      </c>
    </row>
    <row r="85" spans="1:6">
      <c r="A85" s="33" t="str">
        <f t="shared" si="1"/>
        <v>316</v>
      </c>
      <c r="B85" s="33">
        <v>31644</v>
      </c>
      <c r="C85" t="s">
        <v>1601</v>
      </c>
      <c r="D85" s="44">
        <f>IF(B85="","",+SUMIFS('300s Plant Balances Input'!K:K,'300s Plant Balances Input'!D:D,'300s - 5 Digit FERC Accounts'!B85))</f>
        <v>5865811.79</v>
      </c>
      <c r="E85" s="44">
        <f>IF(B85="","",+SUMIFS('300s Plant Balances Input'!S:S,'300s Plant Balances Input'!D:D,'300s - 5 Digit FERC Accounts'!B85))</f>
        <v>4455992.71</v>
      </c>
      <c r="F85" s="44">
        <f>IF(B85="","",+SUMIFS('300s Plant Balances Input'!M:M,'300s Plant Balances Input'!D:D,'300s - 5 Digit FERC Accounts'!B85))</f>
        <v>112623.6</v>
      </c>
    </row>
    <row r="86" spans="1:6">
      <c r="A86" s="33" t="str">
        <f t="shared" si="1"/>
        <v>316</v>
      </c>
      <c r="B86" s="33">
        <v>31645</v>
      </c>
      <c r="C86" t="s">
        <v>1602</v>
      </c>
      <c r="D86" s="44">
        <f>IF(B86="","",+SUMIFS('300s Plant Balances Input'!K:K,'300s Plant Balances Input'!D:D,'300s - 5 Digit FERC Accounts'!B86))</f>
        <v>1694847.95</v>
      </c>
      <c r="E86" s="44">
        <f>IF(B86="","",+SUMIFS('300s Plant Balances Input'!S:S,'300s Plant Balances Input'!D:D,'300s - 5 Digit FERC Accounts'!B86))</f>
        <v>1295153.8799999999</v>
      </c>
      <c r="F86" s="44">
        <f>IF(B86="","",+SUMIFS('300s Plant Balances Input'!M:M,'300s Plant Balances Input'!D:D,'300s - 5 Digit FERC Accounts'!B86))</f>
        <v>32541.119999999999</v>
      </c>
    </row>
    <row r="87" spans="1:6">
      <c r="A87" s="33" t="str">
        <f t="shared" si="1"/>
        <v>316</v>
      </c>
      <c r="B87" s="33">
        <v>31646</v>
      </c>
      <c r="C87" t="s">
        <v>1603</v>
      </c>
      <c r="D87" s="44">
        <f>IF(B87="","",+SUMIFS('300s Plant Balances Input'!K:K,'300s Plant Balances Input'!D:D,'300s - 5 Digit FERC Accounts'!B87))</f>
        <v>0</v>
      </c>
      <c r="E87" s="44">
        <f>IF(B87="","",+SUMIFS('300s Plant Balances Input'!S:S,'300s Plant Balances Input'!D:D,'300s - 5 Digit FERC Accounts'!B87))</f>
        <v>0</v>
      </c>
      <c r="F87" s="44">
        <f>IF(B87="","",+SUMIFS('300s Plant Balances Input'!M:M,'300s Plant Balances Input'!D:D,'300s - 5 Digit FERC Accounts'!B87))</f>
        <v>0</v>
      </c>
    </row>
    <row r="88" spans="1:6">
      <c r="A88" s="33" t="str">
        <f t="shared" si="1"/>
        <v>316</v>
      </c>
      <c r="B88" s="33">
        <v>31647</v>
      </c>
      <c r="C88" t="s">
        <v>1604</v>
      </c>
      <c r="D88" s="44">
        <f>IF(B88="","",+SUMIFS('300s Plant Balances Input'!K:K,'300s Plant Balances Input'!D:D,'300s - 5 Digit FERC Accounts'!B88))</f>
        <v>736139.37</v>
      </c>
      <c r="E88" s="44">
        <f>IF(B88="","",+SUMIFS('300s Plant Balances Input'!S:S,'300s Plant Balances Input'!D:D,'300s - 5 Digit FERC Accounts'!B88))</f>
        <v>336339.82</v>
      </c>
      <c r="F88" s="44">
        <f>IF(B88="","",+SUMIFS('300s Plant Balances Input'!M:M,'300s Plant Balances Input'!D:D,'300s - 5 Digit FERC Accounts'!B88))</f>
        <v>105366.11</v>
      </c>
    </row>
    <row r="89" spans="1:6">
      <c r="A89" s="33" t="str">
        <f t="shared" si="1"/>
        <v>316</v>
      </c>
      <c r="B89" s="33">
        <v>31651</v>
      </c>
      <c r="C89" t="s">
        <v>1605</v>
      </c>
      <c r="D89" s="44">
        <f>IF(B89="","",+SUMIFS('300s Plant Balances Input'!K:K,'300s Plant Balances Input'!D:D,'300s - 5 Digit FERC Accounts'!B89))</f>
        <v>0</v>
      </c>
      <c r="E89" s="44">
        <f>IF(B89="","",+SUMIFS('300s Plant Balances Input'!S:S,'300s Plant Balances Input'!D:D,'300s - 5 Digit FERC Accounts'!B89))</f>
        <v>0</v>
      </c>
      <c r="F89" s="44">
        <f>IF(B89="","",+SUMIFS('300s Plant Balances Input'!M:M,'300s Plant Balances Input'!D:D,'300s - 5 Digit FERC Accounts'!B89))</f>
        <v>0</v>
      </c>
    </row>
    <row r="90" spans="1:6">
      <c r="A90" s="33" t="str">
        <f t="shared" si="1"/>
        <v>316</v>
      </c>
      <c r="B90" s="33">
        <v>31652</v>
      </c>
      <c r="C90" t="s">
        <v>1606</v>
      </c>
      <c r="D90" s="44">
        <f>IF(B90="","",+SUMIFS('300s Plant Balances Input'!K:K,'300s Plant Balances Input'!D:D,'300s - 5 Digit FERC Accounts'!B90))</f>
        <v>0</v>
      </c>
      <c r="E90" s="44">
        <f>IF(B90="","",+SUMIFS('300s Plant Balances Input'!S:S,'300s Plant Balances Input'!D:D,'300s - 5 Digit FERC Accounts'!B90))</f>
        <v>0</v>
      </c>
      <c r="F90" s="44">
        <f>IF(B90="","",+SUMIFS('300s Plant Balances Input'!M:M,'300s Plant Balances Input'!D:D,'300s - 5 Digit FERC Accounts'!B90))</f>
        <v>0</v>
      </c>
    </row>
    <row r="91" spans="1:6">
      <c r="A91" s="33" t="str">
        <f t="shared" si="1"/>
        <v>316</v>
      </c>
      <c r="B91" s="33">
        <v>31653</v>
      </c>
      <c r="C91" t="s">
        <v>1607</v>
      </c>
      <c r="D91" s="44">
        <f>IF(B91="","",+SUMIFS('300s Plant Balances Input'!K:K,'300s Plant Balances Input'!D:D,'300s - 5 Digit FERC Accounts'!B91))</f>
        <v>0</v>
      </c>
      <c r="E91" s="44">
        <f>IF(B91="","",+SUMIFS('300s Plant Balances Input'!S:S,'300s Plant Balances Input'!D:D,'300s - 5 Digit FERC Accounts'!B91))</f>
        <v>0</v>
      </c>
      <c r="F91" s="44">
        <f>IF(B91="","",+SUMIFS('300s Plant Balances Input'!M:M,'300s Plant Balances Input'!D:D,'300s - 5 Digit FERC Accounts'!B91))</f>
        <v>0</v>
      </c>
    </row>
    <row r="92" spans="1:6">
      <c r="A92" s="33" t="str">
        <f t="shared" si="1"/>
        <v>316</v>
      </c>
      <c r="B92" s="33">
        <v>31654</v>
      </c>
      <c r="C92" t="s">
        <v>1608</v>
      </c>
      <c r="D92" s="44">
        <f>IF(B92="","",+SUMIFS('300s Plant Balances Input'!K:K,'300s Plant Balances Input'!D:D,'300s - 5 Digit FERC Accounts'!B92))</f>
        <v>687934.36</v>
      </c>
      <c r="E92" s="44">
        <f>IF(B92="","",+SUMIFS('300s Plant Balances Input'!S:S,'300s Plant Balances Input'!D:D,'300s - 5 Digit FERC Accounts'!B92))</f>
        <v>384132.58</v>
      </c>
      <c r="F92" s="44">
        <f>IF(B92="","",+SUMIFS('300s Plant Balances Input'!M:M,'300s Plant Balances Input'!D:D,'300s - 5 Digit FERC Accounts'!B92))</f>
        <v>13208.28</v>
      </c>
    </row>
    <row r="93" spans="1:6">
      <c r="A93" s="33" t="str">
        <f t="shared" si="1"/>
        <v>317</v>
      </c>
      <c r="B93" s="33">
        <v>31700</v>
      </c>
      <c r="C93" t="s">
        <v>1609</v>
      </c>
      <c r="D93" s="44">
        <f>IF(B93="","",+SUMIFS('300s Plant Balances Input'!K:K,'300s Plant Balances Input'!D:D,'300s - 5 Digit FERC Accounts'!B93))</f>
        <v>5602918.4800000004</v>
      </c>
      <c r="E93" s="44">
        <f>IF(B93="","",+SUMIFS('300s Plant Balances Input'!S:S,'300s Plant Balances Input'!D:D,'300s - 5 Digit FERC Accounts'!B93))</f>
        <v>1582779.72</v>
      </c>
      <c r="F93" s="44">
        <f>IF(B93="","",+SUMIFS('300s Plant Balances Input'!M:M,'300s Plant Balances Input'!D:D,'300s - 5 Digit FERC Accounts'!B93))</f>
        <v>156881.76</v>
      </c>
    </row>
    <row r="94" spans="1:6">
      <c r="A94" s="33" t="str">
        <f t="shared" si="1"/>
        <v>340</v>
      </c>
      <c r="B94" s="33">
        <v>34028</v>
      </c>
      <c r="C94" t="s">
        <v>1610</v>
      </c>
      <c r="D94" s="44">
        <f>IF(B94="","",+SUMIFS('300s Plant Balances Input'!K:K,'300s Plant Balances Input'!D:D,'300s - 5 Digit FERC Accounts'!B94))</f>
        <v>0</v>
      </c>
      <c r="E94" s="44">
        <f>IF(B94="","",+SUMIFS('300s Plant Balances Input'!S:S,'300s Plant Balances Input'!D:D,'300s - 5 Digit FERC Accounts'!B94))</f>
        <v>0</v>
      </c>
      <c r="F94" s="44">
        <f>IF(B94="","",+SUMIFS('300s Plant Balances Input'!M:M,'300s Plant Balances Input'!D:D,'300s - 5 Digit FERC Accounts'!B94))</f>
        <v>0</v>
      </c>
    </row>
    <row r="95" spans="1:6">
      <c r="A95" s="33" t="str">
        <f t="shared" si="1"/>
        <v>340</v>
      </c>
      <c r="B95" s="33">
        <v>34030</v>
      </c>
      <c r="C95" t="s">
        <v>1611</v>
      </c>
      <c r="D95" s="44">
        <f>IF(B95="","",+SUMIFS('300s Plant Balances Input'!K:K,'300s Plant Balances Input'!D:D,'300s - 5 Digit FERC Accounts'!B95))</f>
        <v>1592891.05</v>
      </c>
      <c r="E95" s="44">
        <f>IF(B95="","",+SUMIFS('300s Plant Balances Input'!S:S,'300s Plant Balances Input'!D:D,'300s - 5 Digit FERC Accounts'!B95))</f>
        <v>0</v>
      </c>
      <c r="F95" s="44">
        <f>IF(B95="","",+SUMIFS('300s Plant Balances Input'!M:M,'300s Plant Balances Input'!D:D,'300s - 5 Digit FERC Accounts'!B95))</f>
        <v>0</v>
      </c>
    </row>
    <row r="96" spans="1:6">
      <c r="A96" s="33" t="str">
        <f t="shared" si="1"/>
        <v>340</v>
      </c>
      <c r="B96" s="33">
        <v>34042</v>
      </c>
      <c r="C96" t="s">
        <v>8216</v>
      </c>
      <c r="D96" s="44">
        <f>IF(B96="","",+SUMIFS('300s Plant Balances Input'!K:K,'300s Plant Balances Input'!D:D,'300s - 5 Digit FERC Accounts'!B96))</f>
        <v>0</v>
      </c>
      <c r="E96" s="44">
        <f>IF(B96="","",+SUMIFS('300s Plant Balances Input'!S:S,'300s Plant Balances Input'!D:D,'300s - 5 Digit FERC Accounts'!B96))</f>
        <v>0</v>
      </c>
      <c r="F96" s="44">
        <f>IF(B96="","",+SUMIFS('300s Plant Balances Input'!M:M,'300s Plant Balances Input'!D:D,'300s - 5 Digit FERC Accounts'!B96))</f>
        <v>0</v>
      </c>
    </row>
    <row r="97" spans="1:6">
      <c r="A97" s="33" t="str">
        <f t="shared" si="1"/>
        <v>340</v>
      </c>
      <c r="B97" s="33">
        <v>34081</v>
      </c>
      <c r="C97" t="s">
        <v>1612</v>
      </c>
      <c r="D97" s="44">
        <f>IF(B97="","",+SUMIFS('300s Plant Balances Input'!K:K,'300s Plant Balances Input'!D:D,'300s - 5 Digit FERC Accounts'!B97))</f>
        <v>18197341.469999999</v>
      </c>
      <c r="E97" s="44">
        <f>IF(B97="","",+SUMIFS('300s Plant Balances Input'!S:S,'300s Plant Balances Input'!D:D,'300s - 5 Digit FERC Accounts'!B97))</f>
        <v>0</v>
      </c>
      <c r="F97" s="44">
        <f>IF(B97="","",+SUMIFS('300s Plant Balances Input'!M:M,'300s Plant Balances Input'!D:D,'300s - 5 Digit FERC Accounts'!B97))</f>
        <v>0</v>
      </c>
    </row>
    <row r="98" spans="1:6">
      <c r="A98" s="33" t="str">
        <f t="shared" si="1"/>
        <v>340</v>
      </c>
      <c r="B98" s="33">
        <v>34099</v>
      </c>
      <c r="C98" t="s">
        <v>1613</v>
      </c>
      <c r="D98" s="44">
        <f>IF(B98="","",+SUMIFS('300s Plant Balances Input'!K:K,'300s Plant Balances Input'!D:D,'300s - 5 Digit FERC Accounts'!B98))</f>
        <v>175345069.96000001</v>
      </c>
      <c r="E98" s="44">
        <f>IF(B98="","",+SUMIFS('300s Plant Balances Input'!S:S,'300s Plant Balances Input'!D:D,'300s - 5 Digit FERC Accounts'!B98))</f>
        <v>0</v>
      </c>
      <c r="F98" s="44">
        <f>IF(B98="","",+SUMIFS('300s Plant Balances Input'!M:M,'300s Plant Balances Input'!D:D,'300s - 5 Digit FERC Accounts'!B98))</f>
        <v>0</v>
      </c>
    </row>
    <row r="99" spans="1:6">
      <c r="A99" s="33" t="str">
        <f t="shared" si="1"/>
        <v>341</v>
      </c>
      <c r="B99" s="33">
        <v>34120</v>
      </c>
      <c r="C99" t="s">
        <v>8953</v>
      </c>
      <c r="D99" s="44">
        <f>IF(B99="","",+SUMIFS('300s Plant Balances Input'!K:K,'300s Plant Balances Input'!D:D,'300s - 5 Digit FERC Accounts'!B99))</f>
        <v>0</v>
      </c>
      <c r="E99" s="44">
        <f>IF(B99="","",+SUMIFS('300s Plant Balances Input'!S:S,'300s Plant Balances Input'!D:D,'300s - 5 Digit FERC Accounts'!B99))</f>
        <v>0</v>
      </c>
      <c r="F99" s="44">
        <f>IF(B99="","",+SUMIFS('300s Plant Balances Input'!M:M,'300s Plant Balances Input'!D:D,'300s - 5 Digit FERC Accounts'!B99))</f>
        <v>0</v>
      </c>
    </row>
    <row r="100" spans="1:6">
      <c r="A100" s="33" t="str">
        <f t="shared" si="1"/>
        <v>341</v>
      </c>
      <c r="B100" s="33">
        <v>34128</v>
      </c>
      <c r="C100" t="s">
        <v>1614</v>
      </c>
      <c r="D100" s="44">
        <f>IF(B100="","",+SUMIFS('300s Plant Balances Input'!K:K,'300s Plant Balances Input'!D:D,'300s - 5 Digit FERC Accounts'!B100))</f>
        <v>0</v>
      </c>
      <c r="E100" s="44">
        <f>IF(B100="","",+SUMIFS('300s Plant Balances Input'!S:S,'300s Plant Balances Input'!D:D,'300s - 5 Digit FERC Accounts'!B100))</f>
        <v>0</v>
      </c>
      <c r="F100" s="44">
        <f>IF(B100="","",+SUMIFS('300s Plant Balances Input'!M:M,'300s Plant Balances Input'!D:D,'300s - 5 Digit FERC Accounts'!B100))</f>
        <v>0</v>
      </c>
    </row>
    <row r="101" spans="1:6">
      <c r="A101" s="33" t="str">
        <f t="shared" si="1"/>
        <v>341</v>
      </c>
      <c r="B101" s="33">
        <v>34130</v>
      </c>
      <c r="C101" t="s">
        <v>1615</v>
      </c>
      <c r="D101" s="44">
        <f>IF(B101="","",+SUMIFS('300s Plant Balances Input'!K:K,'300s Plant Balances Input'!D:D,'300s - 5 Digit FERC Accounts'!B101))</f>
        <v>112232113.92</v>
      </c>
      <c r="E101" s="44">
        <f>IF(B101="","",+SUMIFS('300s Plant Balances Input'!S:S,'300s Plant Balances Input'!D:D,'300s - 5 Digit FERC Accounts'!B101))</f>
        <v>29636967.079999998</v>
      </c>
      <c r="F101" s="44">
        <f>IF(B101="","",+SUMIFS('300s Plant Balances Input'!M:M,'300s Plant Balances Input'!D:D,'300s - 5 Digit FERC Accounts'!B101))</f>
        <v>4152588.24</v>
      </c>
    </row>
    <row r="102" spans="1:6">
      <c r="A102" s="33" t="str">
        <f t="shared" si="1"/>
        <v>341</v>
      </c>
      <c r="B102" s="33">
        <v>34131</v>
      </c>
      <c r="C102" t="s">
        <v>1616</v>
      </c>
      <c r="D102" s="44">
        <f>IF(B102="","",+SUMIFS('300s Plant Balances Input'!K:K,'300s Plant Balances Input'!D:D,'300s - 5 Digit FERC Accounts'!B102))</f>
        <v>21253120.77</v>
      </c>
      <c r="E102" s="44">
        <f>IF(B102="","",+SUMIFS('300s Plant Balances Input'!S:S,'300s Plant Balances Input'!D:D,'300s - 5 Digit FERC Accounts'!B102))</f>
        <v>10130427.1</v>
      </c>
      <c r="F102" s="44">
        <f>IF(B102="","",+SUMIFS('300s Plant Balances Input'!M:M,'300s Plant Balances Input'!D:D,'300s - 5 Digit FERC Accounts'!B102))</f>
        <v>1041402.96</v>
      </c>
    </row>
    <row r="103" spans="1:6">
      <c r="A103" s="33" t="str">
        <f t="shared" si="1"/>
        <v>341</v>
      </c>
      <c r="B103" s="33">
        <v>34132</v>
      </c>
      <c r="C103" t="s">
        <v>1617</v>
      </c>
      <c r="D103" s="44">
        <f>IF(B103="","",+SUMIFS('300s Plant Balances Input'!K:K,'300s Plant Balances Input'!D:D,'300s - 5 Digit FERC Accounts'!B103))</f>
        <v>27131136.170000002</v>
      </c>
      <c r="E103" s="44">
        <f>IF(B103="","",+SUMIFS('300s Plant Balances Input'!S:S,'300s Plant Balances Input'!D:D,'300s - 5 Digit FERC Accounts'!B103))</f>
        <v>15127845.060000001</v>
      </c>
      <c r="F103" s="44">
        <f>IF(B103="","",+SUMIFS('300s Plant Balances Input'!M:M,'300s Plant Balances Input'!D:D,'300s - 5 Digit FERC Accounts'!B103))</f>
        <v>1150360.2</v>
      </c>
    </row>
    <row r="104" spans="1:6">
      <c r="A104" s="33" t="str">
        <f t="shared" si="1"/>
        <v>341</v>
      </c>
      <c r="B104" s="33">
        <v>34133</v>
      </c>
      <c r="C104" t="s">
        <v>1618</v>
      </c>
      <c r="D104" s="44">
        <f>IF(B104="","",+SUMIFS('300s Plant Balances Input'!K:K,'300s Plant Balances Input'!D:D,'300s - 5 Digit FERC Accounts'!B104))</f>
        <v>656349.29</v>
      </c>
      <c r="E104" s="44">
        <f>IF(B104="","",+SUMIFS('300s Plant Balances Input'!S:S,'300s Plant Balances Input'!D:D,'300s - 5 Digit FERC Accounts'!B104))</f>
        <v>89085.79</v>
      </c>
      <c r="F104" s="44">
        <f>IF(B104="","",+SUMIFS('300s Plant Balances Input'!M:M,'300s Plant Balances Input'!D:D,'300s - 5 Digit FERC Accounts'!B104))</f>
        <v>27829.200000000001</v>
      </c>
    </row>
    <row r="105" spans="1:6">
      <c r="A105" s="33" t="str">
        <f t="shared" si="1"/>
        <v>341</v>
      </c>
      <c r="B105" s="33">
        <v>34134</v>
      </c>
      <c r="C105" t="s">
        <v>1619</v>
      </c>
      <c r="D105" s="44">
        <f>IF(B105="","",+SUMIFS('300s Plant Balances Input'!K:K,'300s Plant Balances Input'!D:D,'300s - 5 Digit FERC Accounts'!B105))</f>
        <v>242333.96</v>
      </c>
      <c r="E105" s="44">
        <f>IF(B105="","",+SUMIFS('300s Plant Balances Input'!S:S,'300s Plant Balances Input'!D:D,'300s - 5 Digit FERC Accounts'!B105))</f>
        <v>-65808.41</v>
      </c>
      <c r="F105" s="44">
        <f>IF(B105="","",+SUMIFS('300s Plant Balances Input'!M:M,'300s Plant Balances Input'!D:D,'300s - 5 Digit FERC Accounts'!B105))</f>
        <v>14661.24</v>
      </c>
    </row>
    <row r="106" spans="1:6">
      <c r="A106" s="33" t="str">
        <f t="shared" si="1"/>
        <v>341</v>
      </c>
      <c r="B106" s="33">
        <v>34135</v>
      </c>
      <c r="C106" t="s">
        <v>1620</v>
      </c>
      <c r="D106" s="44">
        <f>IF(B106="","",+SUMIFS('300s Plant Balances Input'!K:K,'300s Plant Balances Input'!D:D,'300s - 5 Digit FERC Accounts'!B106))</f>
        <v>793114.26</v>
      </c>
      <c r="E106" s="44">
        <f>IF(B106="","",+SUMIFS('300s Plant Balances Input'!S:S,'300s Plant Balances Input'!D:D,'300s - 5 Digit FERC Accounts'!B106))</f>
        <v>-8403.7199999999993</v>
      </c>
      <c r="F106" s="44">
        <f>IF(B106="","",+SUMIFS('300s Plant Balances Input'!M:M,'300s Plant Balances Input'!D:D,'300s - 5 Digit FERC Accounts'!B106))</f>
        <v>38545.32</v>
      </c>
    </row>
    <row r="107" spans="1:6">
      <c r="A107" s="33" t="str">
        <f t="shared" si="1"/>
        <v>341</v>
      </c>
      <c r="B107" s="33">
        <v>34136</v>
      </c>
      <c r="C107" t="s">
        <v>1621</v>
      </c>
      <c r="D107" s="44">
        <f>IF(B107="","",+SUMIFS('300s Plant Balances Input'!K:K,'300s Plant Balances Input'!D:D,'300s - 5 Digit FERC Accounts'!B107))</f>
        <v>2656231.54</v>
      </c>
      <c r="E107" s="44">
        <f>IF(B107="","",+SUMIFS('300s Plant Balances Input'!S:S,'300s Plant Balances Input'!D:D,'300s - 5 Digit FERC Accounts'!B107))</f>
        <v>743165.54</v>
      </c>
      <c r="F107" s="44">
        <f>IF(B107="","",+SUMIFS('300s Plant Balances Input'!M:M,'300s Plant Balances Input'!D:D,'300s - 5 Digit FERC Accounts'!B107))</f>
        <v>96155.64</v>
      </c>
    </row>
    <row r="108" spans="1:6">
      <c r="A108" s="33" t="str">
        <f t="shared" si="1"/>
        <v>341</v>
      </c>
      <c r="B108" s="33">
        <v>34141</v>
      </c>
      <c r="C108" t="s">
        <v>1622</v>
      </c>
      <c r="D108" s="44">
        <f>IF(B108="","",+SUMIFS('300s Plant Balances Input'!K:K,'300s Plant Balances Input'!D:D,'300s - 5 Digit FERC Accounts'!B108))</f>
        <v>0</v>
      </c>
      <c r="E108" s="44">
        <f>IF(B108="","",+SUMIFS('300s Plant Balances Input'!S:S,'300s Plant Balances Input'!D:D,'300s - 5 Digit FERC Accounts'!B108))</f>
        <v>0</v>
      </c>
      <c r="F108" s="44">
        <f>IF(B108="","",+SUMIFS('300s Plant Balances Input'!M:M,'300s Plant Balances Input'!D:D,'300s - 5 Digit FERC Accounts'!B108))</f>
        <v>0</v>
      </c>
    </row>
    <row r="109" spans="1:6">
      <c r="A109" s="33" t="str">
        <f t="shared" si="1"/>
        <v>341</v>
      </c>
      <c r="B109" s="33">
        <v>34142</v>
      </c>
      <c r="C109" t="s">
        <v>8217</v>
      </c>
      <c r="D109" s="44">
        <f>IF(B109="","",+SUMIFS('300s Plant Balances Input'!K:K,'300s Plant Balances Input'!D:D,'300s - 5 Digit FERC Accounts'!B109))</f>
        <v>0</v>
      </c>
      <c r="E109" s="44">
        <f>IF(B109="","",+SUMIFS('300s Plant Balances Input'!S:S,'300s Plant Balances Input'!D:D,'300s - 5 Digit FERC Accounts'!B109))</f>
        <v>0</v>
      </c>
      <c r="F109" s="44">
        <f>IF(B109="","",+SUMIFS('300s Plant Balances Input'!M:M,'300s Plant Balances Input'!D:D,'300s - 5 Digit FERC Accounts'!B109))</f>
        <v>0</v>
      </c>
    </row>
    <row r="110" spans="1:6">
      <c r="A110" s="33" t="str">
        <f t="shared" si="1"/>
        <v>341</v>
      </c>
      <c r="B110" s="33">
        <v>34143</v>
      </c>
      <c r="C110" t="s">
        <v>8218</v>
      </c>
      <c r="D110" s="44">
        <f>IF(B110="","",+SUMIFS('300s Plant Balances Input'!K:K,'300s Plant Balances Input'!D:D,'300s - 5 Digit FERC Accounts'!B110))</f>
        <v>2290548.98</v>
      </c>
      <c r="E110" s="44">
        <f>IF(B110="","",+SUMIFS('300s Plant Balances Input'!S:S,'300s Plant Balances Input'!D:D,'300s - 5 Digit FERC Accounts'!B110))</f>
        <v>1577119.04</v>
      </c>
      <c r="F110" s="44">
        <f>IF(B110="","",+SUMIFS('300s Plant Balances Input'!M:M,'300s Plant Balances Input'!D:D,'300s - 5 Digit FERC Accounts'!B110))</f>
        <v>78565.8</v>
      </c>
    </row>
    <row r="111" spans="1:6">
      <c r="A111" s="33" t="str">
        <f t="shared" si="1"/>
        <v>341</v>
      </c>
      <c r="B111" s="33">
        <v>34144</v>
      </c>
      <c r="C111" t="s">
        <v>1623</v>
      </c>
      <c r="D111" s="44">
        <f>IF(B111="","",+SUMIFS('300s Plant Balances Input'!K:K,'300s Plant Balances Input'!D:D,'300s - 5 Digit FERC Accounts'!B111))</f>
        <v>3335882.55</v>
      </c>
      <c r="E111" s="44">
        <f>IF(B111="","",+SUMIFS('300s Plant Balances Input'!S:S,'300s Plant Balances Input'!D:D,'300s - 5 Digit FERC Accounts'!B111))</f>
        <v>1106073.68</v>
      </c>
      <c r="F111" s="44">
        <f>IF(B111="","",+SUMIFS('300s Plant Balances Input'!M:M,'300s Plant Balances Input'!D:D,'300s - 5 Digit FERC Accounts'!B111))</f>
        <v>112752.84</v>
      </c>
    </row>
    <row r="112" spans="1:6">
      <c r="A112" s="33" t="str">
        <f t="shared" si="1"/>
        <v>341</v>
      </c>
      <c r="B112" s="33">
        <v>34145</v>
      </c>
      <c r="C112" t="s">
        <v>8219</v>
      </c>
      <c r="D112" s="44">
        <f>IF(B112="","",+SUMIFS('300s Plant Balances Input'!K:K,'300s Plant Balances Input'!D:D,'300s - 5 Digit FERC Accounts'!B112))</f>
        <v>0</v>
      </c>
      <c r="E112" s="44">
        <f>IF(B112="","",+SUMIFS('300s Plant Balances Input'!S:S,'300s Plant Balances Input'!D:D,'300s - 5 Digit FERC Accounts'!B112))</f>
        <v>0</v>
      </c>
      <c r="F112" s="44">
        <f>IF(B112="","",+SUMIFS('300s Plant Balances Input'!M:M,'300s Plant Balances Input'!D:D,'300s - 5 Digit FERC Accounts'!B112))</f>
        <v>0</v>
      </c>
    </row>
    <row r="113" spans="1:6">
      <c r="A113" s="33" t="str">
        <f t="shared" si="1"/>
        <v>341</v>
      </c>
      <c r="B113" s="33">
        <v>34146</v>
      </c>
      <c r="C113" t="s">
        <v>8220</v>
      </c>
      <c r="D113" s="44">
        <f>IF(B113="","",+SUMIFS('300s Plant Balances Input'!K:K,'300s Plant Balances Input'!D:D,'300s - 5 Digit FERC Accounts'!B113))</f>
        <v>0</v>
      </c>
      <c r="E113" s="44">
        <f>IF(B113="","",+SUMIFS('300s Plant Balances Input'!S:S,'300s Plant Balances Input'!D:D,'300s - 5 Digit FERC Accounts'!B113))</f>
        <v>0</v>
      </c>
      <c r="F113" s="44">
        <f>IF(B113="","",+SUMIFS('300s Plant Balances Input'!M:M,'300s Plant Balances Input'!D:D,'300s - 5 Digit FERC Accounts'!B113))</f>
        <v>0</v>
      </c>
    </row>
    <row r="114" spans="1:6">
      <c r="A114" s="33" t="str">
        <f t="shared" si="1"/>
        <v>341</v>
      </c>
      <c r="B114" s="33">
        <v>34180</v>
      </c>
      <c r="C114" t="s">
        <v>1624</v>
      </c>
      <c r="D114" s="44">
        <f>IF(B114="","",+SUMIFS('300s Plant Balances Input'!K:K,'300s Plant Balances Input'!D:D,'300s - 5 Digit FERC Accounts'!B114))</f>
        <v>193028877.69</v>
      </c>
      <c r="E114" s="44">
        <f>IF(B114="","",+SUMIFS('300s Plant Balances Input'!S:S,'300s Plant Balances Input'!D:D,'300s - 5 Digit FERC Accounts'!B114))</f>
        <v>70118245.200000003</v>
      </c>
      <c r="F114" s="44">
        <f>IF(B114="","",+SUMIFS('300s Plant Balances Input'!M:M,'300s Plant Balances Input'!D:D,'300s - 5 Digit FERC Accounts'!B114))</f>
        <v>5752260.5999999996</v>
      </c>
    </row>
    <row r="115" spans="1:6">
      <c r="A115" s="33" t="str">
        <f t="shared" si="1"/>
        <v>341</v>
      </c>
      <c r="B115" s="33">
        <v>34181</v>
      </c>
      <c r="C115" t="s">
        <v>1625</v>
      </c>
      <c r="D115" s="44">
        <f>IF(B115="","",+SUMIFS('300s Plant Balances Input'!K:K,'300s Plant Balances Input'!D:D,'300s - 5 Digit FERC Accounts'!B115))</f>
        <v>53101275.780000001</v>
      </c>
      <c r="E115" s="44">
        <f>IF(B115="","",+SUMIFS('300s Plant Balances Input'!S:S,'300s Plant Balances Input'!D:D,'300s - 5 Digit FERC Accounts'!B115))</f>
        <v>29872950.289999999</v>
      </c>
      <c r="F115" s="44">
        <f>IF(B115="","",+SUMIFS('300s Plant Balances Input'!M:M,'300s Plant Balances Input'!D:D,'300s - 5 Digit FERC Accounts'!B115))</f>
        <v>2601962.52</v>
      </c>
    </row>
    <row r="116" spans="1:6">
      <c r="A116" s="33" t="str">
        <f t="shared" si="1"/>
        <v>341</v>
      </c>
      <c r="B116" s="33">
        <v>34182</v>
      </c>
      <c r="C116" t="s">
        <v>1626</v>
      </c>
      <c r="D116" s="44">
        <f>IF(B116="","",+SUMIFS('300s Plant Balances Input'!K:K,'300s Plant Balances Input'!D:D,'300s - 5 Digit FERC Accounts'!B116))</f>
        <v>2342155.29</v>
      </c>
      <c r="E116" s="44">
        <f>IF(B116="","",+SUMIFS('300s Plant Balances Input'!S:S,'300s Plant Balances Input'!D:D,'300s - 5 Digit FERC Accounts'!B116))</f>
        <v>1357976.94</v>
      </c>
      <c r="F116" s="44">
        <f>IF(B116="","",+SUMIFS('300s Plant Balances Input'!M:M,'300s Plant Balances Input'!D:D,'300s - 5 Digit FERC Accounts'!B116))</f>
        <v>52932.72</v>
      </c>
    </row>
    <row r="117" spans="1:6">
      <c r="A117" s="33" t="str">
        <f t="shared" si="1"/>
        <v>341</v>
      </c>
      <c r="B117" s="33">
        <v>34183</v>
      </c>
      <c r="C117" t="s">
        <v>1627</v>
      </c>
      <c r="D117" s="44">
        <f>IF(B117="","",+SUMIFS('300s Plant Balances Input'!K:K,'300s Plant Balances Input'!D:D,'300s - 5 Digit FERC Accounts'!B117))</f>
        <v>10708676.689999999</v>
      </c>
      <c r="E117" s="44">
        <f>IF(B117="","",+SUMIFS('300s Plant Balances Input'!S:S,'300s Plant Balances Input'!D:D,'300s - 5 Digit FERC Accounts'!B117))</f>
        <v>6122503.8099999996</v>
      </c>
      <c r="F117" s="44">
        <f>IF(B117="","",+SUMIFS('300s Plant Balances Input'!M:M,'300s Plant Balances Input'!D:D,'300s - 5 Digit FERC Accounts'!B117))</f>
        <v>243087</v>
      </c>
    </row>
    <row r="118" spans="1:6">
      <c r="A118" s="33" t="str">
        <f t="shared" si="1"/>
        <v>341</v>
      </c>
      <c r="B118" s="33">
        <v>34184</v>
      </c>
      <c r="C118" t="s">
        <v>1628</v>
      </c>
      <c r="D118" s="44">
        <f>IF(B118="","",+SUMIFS('300s Plant Balances Input'!K:K,'300s Plant Balances Input'!D:D,'300s - 5 Digit FERC Accounts'!B118))</f>
        <v>5812062.1500000004</v>
      </c>
      <c r="E118" s="44">
        <f>IF(B118="","",+SUMIFS('300s Plant Balances Input'!S:S,'300s Plant Balances Input'!D:D,'300s - 5 Digit FERC Accounts'!B118))</f>
        <v>2477118.66</v>
      </c>
      <c r="F118" s="44">
        <f>IF(B118="","",+SUMIFS('300s Plant Balances Input'!M:M,'300s Plant Balances Input'!D:D,'300s - 5 Digit FERC Accounts'!B118))</f>
        <v>159250.56</v>
      </c>
    </row>
    <row r="119" spans="1:6">
      <c r="A119" s="33" t="str">
        <f t="shared" si="1"/>
        <v>341</v>
      </c>
      <c r="B119" s="33">
        <v>34185</v>
      </c>
      <c r="C119" t="s">
        <v>1629</v>
      </c>
      <c r="D119" s="44">
        <f>IF(B119="","",+SUMIFS('300s Plant Balances Input'!K:K,'300s Plant Balances Input'!D:D,'300s - 5 Digit FERC Accounts'!B119))</f>
        <v>5746580.1100000003</v>
      </c>
      <c r="E119" s="44">
        <f>IF(B119="","",+SUMIFS('300s Plant Balances Input'!S:S,'300s Plant Balances Input'!D:D,'300s - 5 Digit FERC Accounts'!B119))</f>
        <v>2502420.1800000002</v>
      </c>
      <c r="F119" s="44">
        <f>IF(B119="","",+SUMIFS('300s Plant Balances Input'!M:M,'300s Plant Balances Input'!D:D,'300s - 5 Digit FERC Accounts'!B119))</f>
        <v>156306.96</v>
      </c>
    </row>
    <row r="120" spans="1:6">
      <c r="A120" s="33" t="str">
        <f t="shared" si="1"/>
        <v>341</v>
      </c>
      <c r="B120" s="33">
        <v>34186</v>
      </c>
      <c r="C120" t="s">
        <v>1630</v>
      </c>
      <c r="D120" s="44">
        <f>IF(B120="","",+SUMIFS('300s Plant Balances Input'!K:K,'300s Plant Balances Input'!D:D,'300s - 5 Digit FERC Accounts'!B120))</f>
        <v>13593049.77</v>
      </c>
      <c r="E120" s="44">
        <f>IF(B120="","",+SUMIFS('300s Plant Balances Input'!S:S,'300s Plant Balances Input'!D:D,'300s - 5 Digit FERC Accounts'!B120))</f>
        <v>4353951.88</v>
      </c>
      <c r="F120" s="44">
        <f>IF(B120="","",+SUMIFS('300s Plant Balances Input'!M:M,'300s Plant Balances Input'!D:D,'300s - 5 Digit FERC Accounts'!B120))</f>
        <v>396287.85</v>
      </c>
    </row>
    <row r="121" spans="1:6">
      <c r="A121" s="33" t="str">
        <f t="shared" si="1"/>
        <v>341</v>
      </c>
      <c r="B121" s="33">
        <v>34198</v>
      </c>
      <c r="C121" t="s">
        <v>8507</v>
      </c>
      <c r="D121" s="44">
        <f>IF(B121="","",+SUMIFS('300s Plant Balances Input'!K:K,'300s Plant Balances Input'!D:D,'300s - 5 Digit FERC Accounts'!B121))</f>
        <v>0</v>
      </c>
      <c r="E121" s="44">
        <f>IF(B121="","",+SUMIFS('300s Plant Balances Input'!S:S,'300s Plant Balances Input'!D:D,'300s - 5 Digit FERC Accounts'!B121))</f>
        <v>0</v>
      </c>
      <c r="F121" s="44">
        <f>IF(B121="","",+SUMIFS('300s Plant Balances Input'!M:M,'300s Plant Balances Input'!D:D,'300s - 5 Digit FERC Accounts'!B121))</f>
        <v>0</v>
      </c>
    </row>
    <row r="122" spans="1:6">
      <c r="A122" s="33" t="str">
        <f t="shared" si="1"/>
        <v>341</v>
      </c>
      <c r="B122" s="33">
        <v>34199</v>
      </c>
      <c r="C122" t="s">
        <v>1631</v>
      </c>
      <c r="D122" s="44">
        <f>IF(B122="","",+SUMIFS('300s Plant Balances Input'!K:K,'300s Plant Balances Input'!D:D,'300s - 5 Digit FERC Accounts'!B122))</f>
        <v>470718920.07999998</v>
      </c>
      <c r="E122" s="44">
        <f>IF(B122="","",+SUMIFS('300s Plant Balances Input'!S:S,'300s Plant Balances Input'!D:D,'300s - 5 Digit FERC Accounts'!B122))</f>
        <v>62013623.520000003</v>
      </c>
      <c r="F122" s="44">
        <f>IF(B122="","",+SUMIFS('300s Plant Balances Input'!M:M,'300s Plant Balances Input'!D:D,'300s - 5 Digit FERC Accounts'!B122))</f>
        <v>15863227.560000001</v>
      </c>
    </row>
    <row r="123" spans="1:6">
      <c r="A123" s="33" t="str">
        <f t="shared" si="1"/>
        <v>342</v>
      </c>
      <c r="B123" s="33">
        <v>34220</v>
      </c>
      <c r="C123" t="s">
        <v>8954</v>
      </c>
      <c r="D123" s="44">
        <f>IF(B123="","",+SUMIFS('300s Plant Balances Input'!K:K,'300s Plant Balances Input'!D:D,'300s - 5 Digit FERC Accounts'!B123))</f>
        <v>36099210.57</v>
      </c>
      <c r="E123" s="44">
        <f>IF(B123="","",+SUMIFS('300s Plant Balances Input'!S:S,'300s Plant Balances Input'!D:D,'300s - 5 Digit FERC Accounts'!B123))</f>
        <v>261886.81</v>
      </c>
      <c r="F123" s="44">
        <f>IF(B123="","",+SUMIFS('300s Plant Balances Input'!M:M,'300s Plant Balances Input'!D:D,'300s - 5 Digit FERC Accounts'!B123))</f>
        <v>761749.3</v>
      </c>
    </row>
    <row r="124" spans="1:6">
      <c r="A124" s="33" t="str">
        <f t="shared" si="1"/>
        <v>342</v>
      </c>
      <c r="B124" s="33">
        <v>34228</v>
      </c>
      <c r="C124" t="s">
        <v>1632</v>
      </c>
      <c r="D124" s="44">
        <f>IF(B124="","",+SUMIFS('300s Plant Balances Input'!K:K,'300s Plant Balances Input'!D:D,'300s - 5 Digit FERC Accounts'!B124))</f>
        <v>0</v>
      </c>
      <c r="E124" s="44">
        <f>IF(B124="","",+SUMIFS('300s Plant Balances Input'!S:S,'300s Plant Balances Input'!D:D,'300s - 5 Digit FERC Accounts'!B124))</f>
        <v>0</v>
      </c>
      <c r="F124" s="44">
        <f>IF(B124="","",+SUMIFS('300s Plant Balances Input'!M:M,'300s Plant Balances Input'!D:D,'300s - 5 Digit FERC Accounts'!B124))</f>
        <v>0</v>
      </c>
    </row>
    <row r="125" spans="1:6">
      <c r="A125" s="33" t="str">
        <f t="shared" si="1"/>
        <v>342</v>
      </c>
      <c r="B125" s="33">
        <v>34230</v>
      </c>
      <c r="C125" t="s">
        <v>1633</v>
      </c>
      <c r="D125" s="44">
        <f>IF(B125="","",+SUMIFS('300s Plant Balances Input'!K:K,'300s Plant Balances Input'!D:D,'300s - 5 Digit FERC Accounts'!B125))</f>
        <v>45243593.82</v>
      </c>
      <c r="E125" s="44">
        <f>IF(B125="","",+SUMIFS('300s Plant Balances Input'!S:S,'300s Plant Balances Input'!D:D,'300s - 5 Digit FERC Accounts'!B125))</f>
        <v>4014239.17</v>
      </c>
      <c r="F125" s="44">
        <f>IF(B125="","",+SUMIFS('300s Plant Balances Input'!M:M,'300s Plant Balances Input'!D:D,'300s - 5 Digit FERC Accounts'!B125))</f>
        <v>1915840.89</v>
      </c>
    </row>
    <row r="126" spans="1:6">
      <c r="A126" s="33" t="str">
        <f t="shared" si="1"/>
        <v>342</v>
      </c>
      <c r="B126" s="33">
        <v>34231</v>
      </c>
      <c r="C126" t="s">
        <v>1634</v>
      </c>
      <c r="D126" s="44">
        <f>IF(B126="","",+SUMIFS('300s Plant Balances Input'!K:K,'300s Plant Balances Input'!D:D,'300s - 5 Digit FERC Accounts'!B126))</f>
        <v>97775274.159999996</v>
      </c>
      <c r="E126" s="44">
        <f>IF(B126="","",+SUMIFS('300s Plant Balances Input'!S:S,'300s Plant Balances Input'!D:D,'300s - 5 Digit FERC Accounts'!B126))</f>
        <v>38502885.350000001</v>
      </c>
      <c r="F126" s="44">
        <f>IF(B126="","",+SUMIFS('300s Plant Balances Input'!M:M,'300s Plant Balances Input'!D:D,'300s - 5 Digit FERC Accounts'!B126))</f>
        <v>4578160.8499999996</v>
      </c>
    </row>
    <row r="127" spans="1:6">
      <c r="A127" s="33" t="str">
        <f t="shared" si="1"/>
        <v>342</v>
      </c>
      <c r="B127" s="33">
        <v>34232</v>
      </c>
      <c r="C127" t="s">
        <v>1635</v>
      </c>
      <c r="D127" s="44">
        <f>IF(B127="","",+SUMIFS('300s Plant Balances Input'!K:K,'300s Plant Balances Input'!D:D,'300s - 5 Digit FERC Accounts'!B127))</f>
        <v>144286029.88</v>
      </c>
      <c r="E127" s="44">
        <f>IF(B127="","",+SUMIFS('300s Plant Balances Input'!S:S,'300s Plant Balances Input'!D:D,'300s - 5 Digit FERC Accounts'!B127))</f>
        <v>44248025.609999999</v>
      </c>
      <c r="F127" s="44">
        <f>IF(B127="","",+SUMIFS('300s Plant Balances Input'!M:M,'300s Plant Balances Input'!D:D,'300s - 5 Digit FERC Accounts'!B127))</f>
        <v>8065119.4000000004</v>
      </c>
    </row>
    <row r="128" spans="1:6">
      <c r="A128" s="33" t="str">
        <f t="shared" si="1"/>
        <v>342</v>
      </c>
      <c r="B128" s="33">
        <v>34233</v>
      </c>
      <c r="C128" t="s">
        <v>1636</v>
      </c>
      <c r="D128" s="44">
        <f>IF(B128="","",+SUMIFS('300s Plant Balances Input'!K:K,'300s Plant Balances Input'!D:D,'300s - 5 Digit FERC Accounts'!B128))</f>
        <v>4701026.29</v>
      </c>
      <c r="E128" s="44">
        <f>IF(B128="","",+SUMIFS('300s Plant Balances Input'!S:S,'300s Plant Balances Input'!D:D,'300s - 5 Digit FERC Accounts'!B128))</f>
        <v>1169241.82</v>
      </c>
      <c r="F128" s="44">
        <f>IF(B128="","",+SUMIFS('300s Plant Balances Input'!M:M,'300s Plant Balances Input'!D:D,'300s - 5 Digit FERC Accounts'!B128))</f>
        <v>151843.20000000001</v>
      </c>
    </row>
    <row r="129" spans="1:6">
      <c r="A129" s="33" t="str">
        <f t="shared" si="1"/>
        <v>342</v>
      </c>
      <c r="B129" s="33">
        <v>34234</v>
      </c>
      <c r="C129" t="s">
        <v>1637</v>
      </c>
      <c r="D129" s="44">
        <f>IF(B129="","",+SUMIFS('300s Plant Balances Input'!K:K,'300s Plant Balances Input'!D:D,'300s - 5 Digit FERC Accounts'!B129))</f>
        <v>3384097.56</v>
      </c>
      <c r="E129" s="44">
        <f>IF(B129="","",+SUMIFS('300s Plant Balances Input'!S:S,'300s Plant Balances Input'!D:D,'300s - 5 Digit FERC Accounts'!B129))</f>
        <v>1462174.9</v>
      </c>
      <c r="F129" s="44">
        <f>IF(B129="","",+SUMIFS('300s Plant Balances Input'!M:M,'300s Plant Balances Input'!D:D,'300s - 5 Digit FERC Accounts'!B129))</f>
        <v>95093.16</v>
      </c>
    </row>
    <row r="130" spans="1:6">
      <c r="A130" s="33" t="str">
        <f t="shared" si="1"/>
        <v>342</v>
      </c>
      <c r="B130" s="33">
        <v>34235</v>
      </c>
      <c r="C130" t="s">
        <v>1638</v>
      </c>
      <c r="D130" s="44">
        <f>IF(B130="","",+SUMIFS('300s Plant Balances Input'!K:K,'300s Plant Balances Input'!D:D,'300s - 5 Digit FERC Accounts'!B130))</f>
        <v>2224655.7000000002</v>
      </c>
      <c r="E130" s="44">
        <f>IF(B130="","",+SUMIFS('300s Plant Balances Input'!S:S,'300s Plant Balances Input'!D:D,'300s - 5 Digit FERC Accounts'!B130))</f>
        <v>878626.79</v>
      </c>
      <c r="F130" s="44">
        <f>IF(B130="","",+SUMIFS('300s Plant Balances Input'!M:M,'300s Plant Balances Input'!D:D,'300s - 5 Digit FERC Accounts'!B130))</f>
        <v>67851.960000000006</v>
      </c>
    </row>
    <row r="131" spans="1:6">
      <c r="A131" s="33" t="str">
        <f t="shared" si="1"/>
        <v>342</v>
      </c>
      <c r="B131" s="33">
        <v>34236</v>
      </c>
      <c r="C131" t="s">
        <v>1639</v>
      </c>
      <c r="D131" s="44">
        <f>IF(B131="","",+SUMIFS('300s Plant Balances Input'!K:K,'300s Plant Balances Input'!D:D,'300s - 5 Digit FERC Accounts'!B131))</f>
        <v>1562890.97</v>
      </c>
      <c r="E131" s="44">
        <f>IF(B131="","",+SUMIFS('300s Plant Balances Input'!S:S,'300s Plant Balances Input'!D:D,'300s - 5 Digit FERC Accounts'!B131))</f>
        <v>657591.19999999995</v>
      </c>
      <c r="F131" s="44">
        <f>IF(B131="","",+SUMIFS('300s Plant Balances Input'!M:M,'300s Plant Balances Input'!D:D,'300s - 5 Digit FERC Accounts'!B131))</f>
        <v>44386.080000000002</v>
      </c>
    </row>
    <row r="132" spans="1:6">
      <c r="A132" s="33" t="str">
        <f t="shared" si="1"/>
        <v>342</v>
      </c>
      <c r="B132" s="33">
        <v>34241</v>
      </c>
      <c r="C132" t="s">
        <v>1640</v>
      </c>
      <c r="D132" s="44">
        <f>IF(B132="","",+SUMIFS('300s Plant Balances Input'!K:K,'300s Plant Balances Input'!D:D,'300s - 5 Digit FERC Accounts'!B132))</f>
        <v>0</v>
      </c>
      <c r="E132" s="44">
        <f>IF(B132="","",+SUMIFS('300s Plant Balances Input'!S:S,'300s Plant Balances Input'!D:D,'300s - 5 Digit FERC Accounts'!B132))</f>
        <v>0</v>
      </c>
      <c r="F132" s="44">
        <f>IF(B132="","",+SUMIFS('300s Plant Balances Input'!M:M,'300s Plant Balances Input'!D:D,'300s - 5 Digit FERC Accounts'!B132))</f>
        <v>0</v>
      </c>
    </row>
    <row r="133" spans="1:6">
      <c r="A133" s="33" t="str">
        <f t="shared" si="1"/>
        <v>342</v>
      </c>
      <c r="B133" s="33">
        <v>34242</v>
      </c>
      <c r="C133" t="s">
        <v>8221</v>
      </c>
      <c r="D133" s="44">
        <f>IF(B133="","",+SUMIFS('300s Plant Balances Input'!K:K,'300s Plant Balances Input'!D:D,'300s - 5 Digit FERC Accounts'!B133))</f>
        <v>0</v>
      </c>
      <c r="E133" s="44">
        <f>IF(B133="","",+SUMIFS('300s Plant Balances Input'!S:S,'300s Plant Balances Input'!D:D,'300s - 5 Digit FERC Accounts'!B133))</f>
        <v>0</v>
      </c>
      <c r="F133" s="44">
        <f>IF(B133="","",+SUMIFS('300s Plant Balances Input'!M:M,'300s Plant Balances Input'!D:D,'300s - 5 Digit FERC Accounts'!B133))</f>
        <v>0</v>
      </c>
    </row>
    <row r="134" spans="1:6">
      <c r="A134" s="33" t="str">
        <f t="shared" si="1"/>
        <v>342</v>
      </c>
      <c r="B134" s="33">
        <v>34243</v>
      </c>
      <c r="C134" t="s">
        <v>8222</v>
      </c>
      <c r="D134" s="44">
        <f>IF(B134="","",+SUMIFS('300s Plant Balances Input'!K:K,'300s Plant Balances Input'!D:D,'300s - 5 Digit FERC Accounts'!B134))</f>
        <v>3590537.6</v>
      </c>
      <c r="E134" s="44">
        <f>IF(B134="","",+SUMIFS('300s Plant Balances Input'!S:S,'300s Plant Balances Input'!D:D,'300s - 5 Digit FERC Accounts'!B134))</f>
        <v>1485949.19</v>
      </c>
      <c r="F134" s="44">
        <f>IF(B134="","",+SUMIFS('300s Plant Balances Input'!M:M,'300s Plant Balances Input'!D:D,'300s - 5 Digit FERC Accounts'!B134))</f>
        <v>79690.559999999998</v>
      </c>
    </row>
    <row r="135" spans="1:6">
      <c r="A135" s="33" t="str">
        <f t="shared" si="1"/>
        <v>342</v>
      </c>
      <c r="B135" s="33">
        <v>34244</v>
      </c>
      <c r="C135" t="s">
        <v>1641</v>
      </c>
      <c r="D135" s="44">
        <f>IF(B135="","",+SUMIFS('300s Plant Balances Input'!K:K,'300s Plant Balances Input'!D:D,'300s - 5 Digit FERC Accounts'!B135))</f>
        <v>3722741.33</v>
      </c>
      <c r="E135" s="44">
        <f>IF(B135="","",+SUMIFS('300s Plant Balances Input'!S:S,'300s Plant Balances Input'!D:D,'300s - 5 Digit FERC Accounts'!B135))</f>
        <v>752376.63</v>
      </c>
      <c r="F135" s="44">
        <f>IF(B135="","",+SUMIFS('300s Plant Balances Input'!M:M,'300s Plant Balances Input'!D:D,'300s - 5 Digit FERC Accounts'!B135))</f>
        <v>165662.04</v>
      </c>
    </row>
    <row r="136" spans="1:6">
      <c r="A136" s="33" t="str">
        <f t="shared" ref="A136:A202" si="2">+LEFT(B136,3)</f>
        <v>342</v>
      </c>
      <c r="B136" s="33">
        <v>34245</v>
      </c>
      <c r="C136" t="s">
        <v>8223</v>
      </c>
      <c r="D136" s="44">
        <f>IF(B136="","",+SUMIFS('300s Plant Balances Input'!K:K,'300s Plant Balances Input'!D:D,'300s - 5 Digit FERC Accounts'!B136))</f>
        <v>391835.82</v>
      </c>
      <c r="E136" s="44">
        <f>IF(B136="","",+SUMIFS('300s Plant Balances Input'!S:S,'300s Plant Balances Input'!D:D,'300s - 5 Digit FERC Accounts'!B136))</f>
        <v>-18885.39</v>
      </c>
      <c r="F136" s="44">
        <f>IF(B136="","",+SUMIFS('300s Plant Balances Input'!M:M,'300s Plant Balances Input'!D:D,'300s - 5 Digit FERC Accounts'!B136))</f>
        <v>14440.65</v>
      </c>
    </row>
    <row r="137" spans="1:6">
      <c r="A137" s="33" t="str">
        <f t="shared" si="2"/>
        <v>342</v>
      </c>
      <c r="B137" s="33">
        <v>34246</v>
      </c>
      <c r="C137" t="s">
        <v>8224</v>
      </c>
      <c r="D137" s="44">
        <f>IF(B137="","",+SUMIFS('300s Plant Balances Input'!K:K,'300s Plant Balances Input'!D:D,'300s - 5 Digit FERC Accounts'!B137))</f>
        <v>388113.43</v>
      </c>
      <c r="E137" s="44">
        <f>IF(B137="","",+SUMIFS('300s Plant Balances Input'!S:S,'300s Plant Balances Input'!D:D,'300s - 5 Digit FERC Accounts'!B137))</f>
        <v>-7961.07</v>
      </c>
      <c r="F137" s="44">
        <f>IF(B137="","",+SUMIFS('300s Plant Balances Input'!M:M,'300s Plant Balances Input'!D:D,'300s - 5 Digit FERC Accounts'!B137))</f>
        <v>14166.12</v>
      </c>
    </row>
    <row r="138" spans="1:6">
      <c r="A138" s="33" t="str">
        <f t="shared" si="2"/>
        <v>342</v>
      </c>
      <c r="B138" s="33">
        <v>34280</v>
      </c>
      <c r="C138" t="s">
        <v>1642</v>
      </c>
      <c r="D138" s="44">
        <f>IF(B138="","",+SUMIFS('300s Plant Balances Input'!K:K,'300s Plant Balances Input'!D:D,'300s - 5 Digit FERC Accounts'!B138))</f>
        <v>13157136.470000001</v>
      </c>
      <c r="E138" s="44">
        <f>IF(B138="","",+SUMIFS('300s Plant Balances Input'!S:S,'300s Plant Balances Input'!D:D,'300s - 5 Digit FERC Accounts'!B138))</f>
        <v>3898106.62</v>
      </c>
      <c r="F138" s="44">
        <f>IF(B138="","",+SUMIFS('300s Plant Balances Input'!M:M,'300s Plant Balances Input'!D:D,'300s - 5 Digit FERC Accounts'!B138))</f>
        <v>413674.3</v>
      </c>
    </row>
    <row r="139" spans="1:6">
      <c r="A139" s="33" t="str">
        <f t="shared" si="2"/>
        <v>342</v>
      </c>
      <c r="B139" s="33">
        <v>34281</v>
      </c>
      <c r="C139" t="s">
        <v>1643</v>
      </c>
      <c r="D139" s="44">
        <f>IF(B139="","",+SUMIFS('300s Plant Balances Input'!K:K,'300s Plant Balances Input'!D:D,'300s - 5 Digit FERC Accounts'!B139))</f>
        <v>274202644.38</v>
      </c>
      <c r="E139" s="44">
        <f>IF(B139="","",+SUMIFS('300s Plant Balances Input'!S:S,'300s Plant Balances Input'!D:D,'300s - 5 Digit FERC Accounts'!B139))</f>
        <v>158218001.62</v>
      </c>
      <c r="F139" s="44">
        <f>IF(B139="","",+SUMIFS('300s Plant Balances Input'!M:M,'300s Plant Balances Input'!D:D,'300s - 5 Digit FERC Accounts'!B139))</f>
        <v>10176768.939999999</v>
      </c>
    </row>
    <row r="140" spans="1:6">
      <c r="A140" s="33" t="str">
        <f t="shared" si="2"/>
        <v>342</v>
      </c>
      <c r="B140" s="33">
        <v>34282</v>
      </c>
      <c r="C140" t="s">
        <v>1644</v>
      </c>
      <c r="D140" s="44">
        <f>IF(B140="","",+SUMIFS('300s Plant Balances Input'!K:K,'300s Plant Balances Input'!D:D,'300s - 5 Digit FERC Accounts'!B140))</f>
        <v>4238123.0599999996</v>
      </c>
      <c r="E140" s="44">
        <f>IF(B140="","",+SUMIFS('300s Plant Balances Input'!S:S,'300s Plant Balances Input'!D:D,'300s - 5 Digit FERC Accounts'!B140))</f>
        <v>357825.41</v>
      </c>
      <c r="F140" s="44">
        <f>IF(B140="","",+SUMIFS('300s Plant Balances Input'!M:M,'300s Plant Balances Input'!D:D,'300s - 5 Digit FERC Accounts'!B140))</f>
        <v>121342.79</v>
      </c>
    </row>
    <row r="141" spans="1:6">
      <c r="A141" s="33" t="str">
        <f t="shared" si="2"/>
        <v>342</v>
      </c>
      <c r="B141" s="33">
        <v>34283</v>
      </c>
      <c r="C141" t="s">
        <v>1645</v>
      </c>
      <c r="D141" s="44">
        <f>IF(B141="","",+SUMIFS('300s Plant Balances Input'!K:K,'300s Plant Balances Input'!D:D,'300s - 5 Digit FERC Accounts'!B141))</f>
        <v>1967078.81</v>
      </c>
      <c r="E141" s="44">
        <f>IF(B141="","",+SUMIFS('300s Plant Balances Input'!S:S,'300s Plant Balances Input'!D:D,'300s - 5 Digit FERC Accounts'!B141))</f>
        <v>556812.13</v>
      </c>
      <c r="F141" s="44">
        <f>IF(B141="","",+SUMIFS('300s Plant Balances Input'!M:M,'300s Plant Balances Input'!D:D,'300s - 5 Digit FERC Accounts'!B141))</f>
        <v>47285.52</v>
      </c>
    </row>
    <row r="142" spans="1:6">
      <c r="A142" s="33" t="str">
        <f t="shared" si="2"/>
        <v>342</v>
      </c>
      <c r="B142" s="33">
        <v>34284</v>
      </c>
      <c r="C142" t="s">
        <v>1646</v>
      </c>
      <c r="D142" s="44">
        <f>IF(B142="","",+SUMIFS('300s Plant Balances Input'!K:K,'300s Plant Balances Input'!D:D,'300s - 5 Digit FERC Accounts'!B142))</f>
        <v>2908013.91</v>
      </c>
      <c r="E142" s="44">
        <f>IF(B142="","",+SUMIFS('300s Plant Balances Input'!S:S,'300s Plant Balances Input'!D:D,'300s - 5 Digit FERC Accounts'!B142))</f>
        <v>293236.62</v>
      </c>
      <c r="F142" s="44">
        <f>IF(B142="","",+SUMIFS('300s Plant Balances Input'!M:M,'300s Plant Balances Input'!D:D,'300s - 5 Digit FERC Accounts'!B142))</f>
        <v>105173.88</v>
      </c>
    </row>
    <row r="143" spans="1:6">
      <c r="A143" s="33" t="str">
        <f t="shared" si="2"/>
        <v>342</v>
      </c>
      <c r="B143" s="33">
        <v>34285</v>
      </c>
      <c r="C143" t="s">
        <v>1647</v>
      </c>
      <c r="D143" s="44">
        <f>IF(B143="","",+SUMIFS('300s Plant Balances Input'!K:K,'300s Plant Balances Input'!D:D,'300s - 5 Digit FERC Accounts'!B143))</f>
        <v>3437805.12</v>
      </c>
      <c r="E143" s="44">
        <f>IF(B143="","",+SUMIFS('300s Plant Balances Input'!S:S,'300s Plant Balances Input'!D:D,'300s - 5 Digit FERC Accounts'!B143))</f>
        <v>783498.1</v>
      </c>
      <c r="F143" s="44">
        <f>IF(B143="","",+SUMIFS('300s Plant Balances Input'!M:M,'300s Plant Balances Input'!D:D,'300s - 5 Digit FERC Accounts'!B143))</f>
        <v>101114.82</v>
      </c>
    </row>
    <row r="144" spans="1:6">
      <c r="A144" s="33" t="str">
        <f t="shared" si="2"/>
        <v>342</v>
      </c>
      <c r="B144" s="33">
        <v>34286</v>
      </c>
      <c r="C144" t="s">
        <v>1648</v>
      </c>
      <c r="D144" s="44">
        <f>IF(B144="","",+SUMIFS('300s Plant Balances Input'!K:K,'300s Plant Balances Input'!D:D,'300s - 5 Digit FERC Accounts'!B144))</f>
        <v>215839674.16999999</v>
      </c>
      <c r="E144" s="44">
        <f>IF(B144="","",+SUMIFS('300s Plant Balances Input'!S:S,'300s Plant Balances Input'!D:D,'300s - 5 Digit FERC Accounts'!B144))</f>
        <v>49276651.200000003</v>
      </c>
      <c r="F144" s="44">
        <f>IF(B144="","",+SUMIFS('300s Plant Balances Input'!M:M,'300s Plant Balances Input'!D:D,'300s - 5 Digit FERC Accounts'!B144))</f>
        <v>7267241.9299999997</v>
      </c>
    </row>
    <row r="145" spans="1:6">
      <c r="A145" s="33" t="str">
        <f t="shared" si="2"/>
        <v>342</v>
      </c>
      <c r="B145" s="33">
        <v>34287</v>
      </c>
      <c r="C145" t="s">
        <v>1649</v>
      </c>
      <c r="D145" s="44">
        <f>IF(B145="","",+SUMIFS('300s Plant Balances Input'!K:K,'300s Plant Balances Input'!D:D,'300s - 5 Digit FERC Accounts'!B145))</f>
        <v>0</v>
      </c>
      <c r="E145" s="44">
        <f>IF(B145="","",+SUMIFS('300s Plant Balances Input'!S:S,'300s Plant Balances Input'!D:D,'300s - 5 Digit FERC Accounts'!B145))</f>
        <v>0</v>
      </c>
      <c r="F145" s="44">
        <f>IF(B145="","",+SUMIFS('300s Plant Balances Input'!M:M,'300s Plant Balances Input'!D:D,'300s - 5 Digit FERC Accounts'!B145))</f>
        <v>0</v>
      </c>
    </row>
    <row r="146" spans="1:6">
      <c r="A146" s="33" t="str">
        <f t="shared" si="2"/>
        <v>343</v>
      </c>
      <c r="B146" s="33">
        <v>34320</v>
      </c>
      <c r="C146" t="s">
        <v>8955</v>
      </c>
      <c r="D146" s="44">
        <f>IF(B146="","",+SUMIFS('300s Plant Balances Input'!K:K,'300s Plant Balances Input'!D:D,'300s - 5 Digit FERC Accounts'!B146))</f>
        <v>36099210.57</v>
      </c>
      <c r="E146" s="44">
        <f>IF(B146="","",+SUMIFS('300s Plant Balances Input'!S:S,'300s Plant Balances Input'!D:D,'300s - 5 Digit FERC Accounts'!B146))</f>
        <v>247602.08</v>
      </c>
      <c r="F146" s="44">
        <f>IF(B146="","",+SUMIFS('300s Plant Balances Input'!M:M,'300s Plant Balances Input'!D:D,'300s - 5 Digit FERC Accounts'!B146))</f>
        <v>720199.34</v>
      </c>
    </row>
    <row r="147" spans="1:6">
      <c r="A147" s="33" t="str">
        <f t="shared" si="2"/>
        <v>343</v>
      </c>
      <c r="B147" s="33">
        <v>34328</v>
      </c>
      <c r="C147" t="s">
        <v>1650</v>
      </c>
      <c r="D147" s="44">
        <f>IF(B147="","",+SUMIFS('300s Plant Balances Input'!K:K,'300s Plant Balances Input'!D:D,'300s - 5 Digit FERC Accounts'!B147))</f>
        <v>0</v>
      </c>
      <c r="E147" s="44">
        <f>IF(B147="","",+SUMIFS('300s Plant Balances Input'!S:S,'300s Plant Balances Input'!D:D,'300s - 5 Digit FERC Accounts'!B147))</f>
        <v>0</v>
      </c>
      <c r="F147" s="44">
        <f>IF(B147="","",+SUMIFS('300s Plant Balances Input'!M:M,'300s Plant Balances Input'!D:D,'300s - 5 Digit FERC Accounts'!B147))</f>
        <v>0</v>
      </c>
    </row>
    <row r="148" spans="1:6">
      <c r="A148" s="33" t="str">
        <f t="shared" si="2"/>
        <v>343</v>
      </c>
      <c r="B148" s="33">
        <v>34330</v>
      </c>
      <c r="C148" t="s">
        <v>1651</v>
      </c>
      <c r="D148" s="44">
        <f>IF(B148="","",+SUMIFS('300s Plant Balances Input'!K:K,'300s Plant Balances Input'!D:D,'300s - 5 Digit FERC Accounts'!B148))</f>
        <v>60257579.590000004</v>
      </c>
      <c r="E148" s="44">
        <f>IF(B148="","",+SUMIFS('300s Plant Balances Input'!S:S,'300s Plant Balances Input'!D:D,'300s - 5 Digit FERC Accounts'!B148))</f>
        <v>14861222.58</v>
      </c>
      <c r="F148" s="44">
        <f>IF(B148="","",+SUMIFS('300s Plant Balances Input'!M:M,'300s Plant Balances Input'!D:D,'300s - 5 Digit FERC Accounts'!B148))</f>
        <v>3281276.66</v>
      </c>
    </row>
    <row r="149" spans="1:6">
      <c r="A149" s="33" t="str">
        <f t="shared" si="2"/>
        <v>343</v>
      </c>
      <c r="B149" s="33">
        <v>34331</v>
      </c>
      <c r="C149" t="s">
        <v>1652</v>
      </c>
      <c r="D149" s="44">
        <f>IF(B149="","",+SUMIFS('300s Plant Balances Input'!K:K,'300s Plant Balances Input'!D:D,'300s - 5 Digit FERC Accounts'!B149))</f>
        <v>264269198.78999999</v>
      </c>
      <c r="E149" s="44">
        <f>IF(B149="","",+SUMIFS('300s Plant Balances Input'!S:S,'300s Plant Balances Input'!D:D,'300s - 5 Digit FERC Accounts'!B149))</f>
        <v>109964930.92</v>
      </c>
      <c r="F149" s="44">
        <f>IF(B149="","",+SUMIFS('300s Plant Balances Input'!M:M,'300s Plant Balances Input'!D:D,'300s - 5 Digit FERC Accounts'!B149))</f>
        <v>13633020.720000001</v>
      </c>
    </row>
    <row r="150" spans="1:6">
      <c r="A150" s="33" t="str">
        <f t="shared" si="2"/>
        <v>343</v>
      </c>
      <c r="B150" s="33">
        <v>34332</v>
      </c>
      <c r="C150" t="s">
        <v>1653</v>
      </c>
      <c r="D150" s="44">
        <f>IF(B150="","",+SUMIFS('300s Plant Balances Input'!K:K,'300s Plant Balances Input'!D:D,'300s - 5 Digit FERC Accounts'!B150))</f>
        <v>326975488.55000001</v>
      </c>
      <c r="E150" s="44">
        <f>IF(B150="","",+SUMIFS('300s Plant Balances Input'!S:S,'300s Plant Balances Input'!D:D,'300s - 5 Digit FERC Accounts'!B150))</f>
        <v>135165197.52000001</v>
      </c>
      <c r="F150" s="44">
        <f>IF(B150="","",+SUMIFS('300s Plant Balances Input'!M:M,'300s Plant Balances Input'!D:D,'300s - 5 Digit FERC Accounts'!B150))</f>
        <v>17642310.219999999</v>
      </c>
    </row>
    <row r="151" spans="1:6">
      <c r="A151" s="33" t="str">
        <f t="shared" si="2"/>
        <v>343</v>
      </c>
      <c r="B151" s="33">
        <v>34333</v>
      </c>
      <c r="C151" t="s">
        <v>1654</v>
      </c>
      <c r="D151" s="44">
        <f>IF(B151="","",+SUMIFS('300s Plant Balances Input'!K:K,'300s Plant Balances Input'!D:D,'300s - 5 Digit FERC Accounts'!B151))</f>
        <v>16800143.02</v>
      </c>
      <c r="E151" s="44">
        <f>IF(B151="","",+SUMIFS('300s Plant Balances Input'!S:S,'300s Plant Balances Input'!D:D,'300s - 5 Digit FERC Accounts'!B151))</f>
        <v>9201501.9900000002</v>
      </c>
      <c r="F151" s="44">
        <f>IF(B151="","",+SUMIFS('300s Plant Balances Input'!M:M,'300s Plant Balances Input'!D:D,'300s - 5 Digit FERC Accounts'!B151))</f>
        <v>356163</v>
      </c>
    </row>
    <row r="152" spans="1:6">
      <c r="A152" s="33" t="str">
        <f t="shared" si="2"/>
        <v>343</v>
      </c>
      <c r="B152" s="33">
        <v>34334</v>
      </c>
      <c r="C152" t="s">
        <v>1655</v>
      </c>
      <c r="D152" s="44">
        <f>IF(B152="","",+SUMIFS('300s Plant Balances Input'!K:K,'300s Plant Balances Input'!D:D,'300s - 5 Digit FERC Accounts'!B152))</f>
        <v>16052104.970000001</v>
      </c>
      <c r="E152" s="44">
        <f>IF(B152="","",+SUMIFS('300s Plant Balances Input'!S:S,'300s Plant Balances Input'!D:D,'300s - 5 Digit FERC Accounts'!B152))</f>
        <v>9656311.8399999999</v>
      </c>
      <c r="F152" s="44">
        <f>IF(B152="","",+SUMIFS('300s Plant Balances Input'!M:M,'300s Plant Balances Input'!D:D,'300s - 5 Digit FERC Accounts'!B152))</f>
        <v>329068.2</v>
      </c>
    </row>
    <row r="153" spans="1:6">
      <c r="A153" s="33" t="str">
        <f t="shared" si="2"/>
        <v>343</v>
      </c>
      <c r="B153" s="33">
        <v>34335</v>
      </c>
      <c r="C153" t="s">
        <v>1656</v>
      </c>
      <c r="D153" s="44">
        <f>IF(B153="","",+SUMIFS('300s Plant Balances Input'!K:K,'300s Plant Balances Input'!D:D,'300s - 5 Digit FERC Accounts'!B153))</f>
        <v>18801752.449999999</v>
      </c>
      <c r="E153" s="44">
        <f>IF(B153="","",+SUMIFS('300s Plant Balances Input'!S:S,'300s Plant Balances Input'!D:D,'300s - 5 Digit FERC Accounts'!B153))</f>
        <v>12123680.6</v>
      </c>
      <c r="F153" s="44">
        <f>IF(B153="","",+SUMIFS('300s Plant Balances Input'!M:M,'300s Plant Balances Input'!D:D,'300s - 5 Digit FERC Accounts'!B153))</f>
        <v>389196.24</v>
      </c>
    </row>
    <row r="154" spans="1:6">
      <c r="A154" s="33" t="str">
        <f t="shared" si="2"/>
        <v>343</v>
      </c>
      <c r="B154" s="33">
        <v>34336</v>
      </c>
      <c r="C154" t="s">
        <v>1657</v>
      </c>
      <c r="D154" s="44">
        <f>IF(B154="","",+SUMIFS('300s Plant Balances Input'!K:K,'300s Plant Balances Input'!D:D,'300s - 5 Digit FERC Accounts'!B154))</f>
        <v>17542092.239999998</v>
      </c>
      <c r="E154" s="44">
        <f>IF(B154="","",+SUMIFS('300s Plant Balances Input'!S:S,'300s Plant Balances Input'!D:D,'300s - 5 Digit FERC Accounts'!B154))</f>
        <v>11651844.109999999</v>
      </c>
      <c r="F154" s="44">
        <f>IF(B154="","",+SUMIFS('300s Plant Balances Input'!M:M,'300s Plant Balances Input'!D:D,'300s - 5 Digit FERC Accounts'!B154))</f>
        <v>315757.68</v>
      </c>
    </row>
    <row r="155" spans="1:6">
      <c r="A155" s="33" t="str">
        <f t="shared" si="2"/>
        <v>343</v>
      </c>
      <c r="B155" s="33">
        <v>34341</v>
      </c>
      <c r="C155" t="s">
        <v>8225</v>
      </c>
      <c r="D155" s="44">
        <f>IF(B155="","",+SUMIFS('300s Plant Balances Input'!K:K,'300s Plant Balances Input'!D:D,'300s - 5 Digit FERC Accounts'!B155))</f>
        <v>0</v>
      </c>
      <c r="E155" s="44">
        <f>IF(B155="","",+SUMIFS('300s Plant Balances Input'!S:S,'300s Plant Balances Input'!D:D,'300s - 5 Digit FERC Accounts'!B155))</f>
        <v>0</v>
      </c>
      <c r="F155" s="44">
        <f>IF(B155="","",+SUMIFS('300s Plant Balances Input'!M:M,'300s Plant Balances Input'!D:D,'300s - 5 Digit FERC Accounts'!B155))</f>
        <v>0</v>
      </c>
    </row>
    <row r="156" spans="1:6">
      <c r="A156" s="33" t="str">
        <f t="shared" si="2"/>
        <v>343</v>
      </c>
      <c r="B156" s="33">
        <v>34342</v>
      </c>
      <c r="C156" t="s">
        <v>1658</v>
      </c>
      <c r="D156" s="44">
        <f>IF(B156="","",+SUMIFS('300s Plant Balances Input'!K:K,'300s Plant Balances Input'!D:D,'300s - 5 Digit FERC Accounts'!B156))</f>
        <v>0</v>
      </c>
      <c r="E156" s="44">
        <f>IF(B156="","",+SUMIFS('300s Plant Balances Input'!S:S,'300s Plant Balances Input'!D:D,'300s - 5 Digit FERC Accounts'!B156))</f>
        <v>0</v>
      </c>
      <c r="F156" s="44">
        <f>IF(B156="","",+SUMIFS('300s Plant Balances Input'!M:M,'300s Plant Balances Input'!D:D,'300s - 5 Digit FERC Accounts'!B156))</f>
        <v>0</v>
      </c>
    </row>
    <row r="157" spans="1:6">
      <c r="A157" s="33" t="str">
        <f t="shared" si="2"/>
        <v>343</v>
      </c>
      <c r="B157" s="33">
        <v>34343</v>
      </c>
      <c r="C157" t="s">
        <v>8226</v>
      </c>
      <c r="D157" s="44">
        <f>IF(B157="","",+SUMIFS('300s Plant Balances Input'!K:K,'300s Plant Balances Input'!D:D,'300s - 5 Digit FERC Accounts'!B157))</f>
        <v>459247605.31</v>
      </c>
      <c r="E157" s="44">
        <f>IF(B157="","",+SUMIFS('300s Plant Balances Input'!S:S,'300s Plant Balances Input'!D:D,'300s - 5 Digit FERC Accounts'!B157))</f>
        <v>28036828.289999999</v>
      </c>
      <c r="F157" s="44">
        <f>IF(B157="","",+SUMIFS('300s Plant Balances Input'!M:M,'300s Plant Balances Input'!D:D,'300s - 5 Digit FERC Accounts'!B157))</f>
        <v>16716581.1</v>
      </c>
    </row>
    <row r="158" spans="1:6">
      <c r="A158" s="33" t="str">
        <f t="shared" si="2"/>
        <v>343</v>
      </c>
      <c r="B158" s="33">
        <v>34344</v>
      </c>
      <c r="C158" t="s">
        <v>1659</v>
      </c>
      <c r="D158" s="44">
        <f>IF(B158="","",+SUMIFS('300s Plant Balances Input'!K:K,'300s Plant Balances Input'!D:D,'300s - 5 Digit FERC Accounts'!B158))</f>
        <v>21710268.800000001</v>
      </c>
      <c r="E158" s="44">
        <f>IF(B158="","",+SUMIFS('300s Plant Balances Input'!S:S,'300s Plant Balances Input'!D:D,'300s - 5 Digit FERC Accounts'!B158))</f>
        <v>11442836.380000001</v>
      </c>
      <c r="F158" s="44">
        <f>IF(B158="","",+SUMIFS('300s Plant Balances Input'!M:M,'300s Plant Balances Input'!D:D,'300s - 5 Digit FERC Accounts'!B158))</f>
        <v>590519.28</v>
      </c>
    </row>
    <row r="159" spans="1:6">
      <c r="A159" s="33" t="str">
        <f t="shared" si="2"/>
        <v>343</v>
      </c>
      <c r="B159" s="33">
        <v>34345</v>
      </c>
      <c r="C159" t="s">
        <v>1660</v>
      </c>
      <c r="D159" s="44">
        <f>IF(B159="","",+SUMIFS('300s Plant Balances Input'!K:K,'300s Plant Balances Input'!D:D,'300s - 5 Digit FERC Accounts'!B159))</f>
        <v>176910190.94</v>
      </c>
      <c r="E159" s="44">
        <f>IF(B159="","",+SUMIFS('300s Plant Balances Input'!S:S,'300s Plant Balances Input'!D:D,'300s - 5 Digit FERC Accounts'!B159))</f>
        <v>17481093.02</v>
      </c>
      <c r="F159" s="44">
        <f>IF(B159="","",+SUMIFS('300s Plant Balances Input'!M:M,'300s Plant Balances Input'!D:D,'300s - 5 Digit FERC Accounts'!B159))</f>
        <v>6191513.4299999997</v>
      </c>
    </row>
    <row r="160" spans="1:6">
      <c r="A160" s="33" t="str">
        <f t="shared" si="2"/>
        <v>343</v>
      </c>
      <c r="B160" s="33">
        <v>34346</v>
      </c>
      <c r="C160" t="s">
        <v>1661</v>
      </c>
      <c r="D160" s="44">
        <f>IF(B160="","",+SUMIFS('300s Plant Balances Input'!K:K,'300s Plant Balances Input'!D:D,'300s - 5 Digit FERC Accounts'!B160))</f>
        <v>175636432.63</v>
      </c>
      <c r="E160" s="44">
        <f>IF(B160="","",+SUMIFS('300s Plant Balances Input'!S:S,'300s Plant Balances Input'!D:D,'300s - 5 Digit FERC Accounts'!B160))</f>
        <v>17379574.75</v>
      </c>
      <c r="F160" s="44">
        <f>IF(B160="","",+SUMIFS('300s Plant Balances Input'!M:M,'300s Plant Balances Input'!D:D,'300s - 5 Digit FERC Accounts'!B160))</f>
        <v>6147275.1600000001</v>
      </c>
    </row>
    <row r="161" spans="1:6">
      <c r="A161" s="33" t="str">
        <f t="shared" si="2"/>
        <v>343</v>
      </c>
      <c r="B161" s="33">
        <v>34352</v>
      </c>
      <c r="C161" t="s">
        <v>8227</v>
      </c>
      <c r="D161" s="44">
        <f>IF(B161="","",+SUMIFS('300s Plant Balances Input'!K:K,'300s Plant Balances Input'!D:D,'300s - 5 Digit FERC Accounts'!B161))</f>
        <v>0</v>
      </c>
      <c r="E161" s="44">
        <f>IF(B161="","",+SUMIFS('300s Plant Balances Input'!S:S,'300s Plant Balances Input'!D:D,'300s - 5 Digit FERC Accounts'!B161))</f>
        <v>0</v>
      </c>
      <c r="F161" s="44">
        <f>IF(B161="","",+SUMIFS('300s Plant Balances Input'!M:M,'300s Plant Balances Input'!D:D,'300s - 5 Digit FERC Accounts'!B161))</f>
        <v>0</v>
      </c>
    </row>
    <row r="162" spans="1:6">
      <c r="A162" s="33" t="str">
        <f t="shared" si="2"/>
        <v>343</v>
      </c>
      <c r="B162" s="33">
        <v>34380</v>
      </c>
      <c r="C162" t="s">
        <v>1662</v>
      </c>
      <c r="D162" s="44">
        <f>IF(B162="","",+SUMIFS('300s Plant Balances Input'!K:K,'300s Plant Balances Input'!D:D,'300s - 5 Digit FERC Accounts'!B162))</f>
        <v>14067968.84</v>
      </c>
      <c r="E162" s="44">
        <f>IF(B162="","",+SUMIFS('300s Plant Balances Input'!S:S,'300s Plant Balances Input'!D:D,'300s - 5 Digit FERC Accounts'!B162))</f>
        <v>2635807.2599999998</v>
      </c>
      <c r="F162" s="44">
        <f>IF(B162="","",+SUMIFS('300s Plant Balances Input'!M:M,'300s Plant Balances Input'!D:D,'300s - 5 Digit FERC Accounts'!B162))</f>
        <v>526155.56000000006</v>
      </c>
    </row>
    <row r="163" spans="1:6">
      <c r="A163" s="33" t="str">
        <f t="shared" si="2"/>
        <v>343</v>
      </c>
      <c r="B163" s="33">
        <v>34381</v>
      </c>
      <c r="C163" t="s">
        <v>1663</v>
      </c>
      <c r="D163" s="44">
        <f>IF(B163="","",+SUMIFS('300s Plant Balances Input'!K:K,'300s Plant Balances Input'!D:D,'300s - 5 Digit FERC Accounts'!B163))</f>
        <v>189031237.63999999</v>
      </c>
      <c r="E163" s="44">
        <f>IF(B163="","",+SUMIFS('300s Plant Balances Input'!S:S,'300s Plant Balances Input'!D:D,'300s - 5 Digit FERC Accounts'!B163))</f>
        <v>95489877.969999999</v>
      </c>
      <c r="F163" s="44">
        <f>IF(B163="","",+SUMIFS('300s Plant Balances Input'!M:M,'300s Plant Balances Input'!D:D,'300s - 5 Digit FERC Accounts'!B163))</f>
        <v>8032028.6799999997</v>
      </c>
    </row>
    <row r="164" spans="1:6">
      <c r="A164" s="33" t="str">
        <f t="shared" si="2"/>
        <v>343</v>
      </c>
      <c r="B164" s="33">
        <v>34382</v>
      </c>
      <c r="C164" t="s">
        <v>1664</v>
      </c>
      <c r="D164" s="44">
        <f>IF(B164="","",+SUMIFS('300s Plant Balances Input'!K:K,'300s Plant Balances Input'!D:D,'300s - 5 Digit FERC Accounts'!B164))</f>
        <v>37984211.68</v>
      </c>
      <c r="E164" s="44">
        <f>IF(B164="","",+SUMIFS('300s Plant Balances Input'!S:S,'300s Plant Balances Input'!D:D,'300s - 5 Digit FERC Accounts'!B164))</f>
        <v>10989787.67</v>
      </c>
      <c r="F164" s="44">
        <f>IF(B164="","",+SUMIFS('300s Plant Balances Input'!M:M,'300s Plant Balances Input'!D:D,'300s - 5 Digit FERC Accounts'!B164))</f>
        <v>1477282.95</v>
      </c>
    </row>
    <row r="165" spans="1:6">
      <c r="A165" s="33" t="str">
        <f t="shared" si="2"/>
        <v>343</v>
      </c>
      <c r="B165" s="33">
        <v>34383</v>
      </c>
      <c r="C165" t="s">
        <v>1665</v>
      </c>
      <c r="D165" s="44">
        <f>IF(B165="","",+SUMIFS('300s Plant Balances Input'!K:K,'300s Plant Balances Input'!D:D,'300s - 5 Digit FERC Accounts'!B165))</f>
        <v>38831517.770000003</v>
      </c>
      <c r="E165" s="44">
        <f>IF(B165="","",+SUMIFS('300s Plant Balances Input'!S:S,'300s Plant Balances Input'!D:D,'300s - 5 Digit FERC Accounts'!B165))</f>
        <v>23770269.550000001</v>
      </c>
      <c r="F165" s="44">
        <f>IF(B165="","",+SUMIFS('300s Plant Balances Input'!M:M,'300s Plant Balances Input'!D:D,'300s - 5 Digit FERC Accounts'!B165))</f>
        <v>874880.52</v>
      </c>
    </row>
    <row r="166" spans="1:6">
      <c r="A166" s="33" t="str">
        <f t="shared" si="2"/>
        <v>343</v>
      </c>
      <c r="B166" s="33">
        <v>34384</v>
      </c>
      <c r="C166" t="s">
        <v>1666</v>
      </c>
      <c r="D166" s="44">
        <f>IF(B166="","",+SUMIFS('300s Plant Balances Input'!K:K,'300s Plant Balances Input'!D:D,'300s - 5 Digit FERC Accounts'!B166))</f>
        <v>28927563.739999998</v>
      </c>
      <c r="E166" s="44">
        <f>IF(B166="","",+SUMIFS('300s Plant Balances Input'!S:S,'300s Plant Balances Input'!D:D,'300s - 5 Digit FERC Accounts'!B166))</f>
        <v>8908239.8900000006</v>
      </c>
      <c r="F166" s="44">
        <f>IF(B166="","",+SUMIFS('300s Plant Balances Input'!M:M,'300s Plant Balances Input'!D:D,'300s - 5 Digit FERC Accounts'!B166))</f>
        <v>1172192.76</v>
      </c>
    </row>
    <row r="167" spans="1:6">
      <c r="A167" s="33" t="str">
        <f t="shared" si="2"/>
        <v>343</v>
      </c>
      <c r="B167" s="33">
        <v>34385</v>
      </c>
      <c r="C167" t="s">
        <v>1667</v>
      </c>
      <c r="D167" s="44">
        <f>IF(B167="","",+SUMIFS('300s Plant Balances Input'!K:K,'300s Plant Balances Input'!D:D,'300s - 5 Digit FERC Accounts'!B167))</f>
        <v>25884448.329999998</v>
      </c>
      <c r="E167" s="44">
        <f>IF(B167="","",+SUMIFS('300s Plant Balances Input'!S:S,'300s Plant Balances Input'!D:D,'300s - 5 Digit FERC Accounts'!B167))</f>
        <v>7329332.8099999996</v>
      </c>
      <c r="F167" s="44">
        <f>IF(B167="","",+SUMIFS('300s Plant Balances Input'!M:M,'300s Plant Balances Input'!D:D,'300s - 5 Digit FERC Accounts'!B167))</f>
        <v>1073304.75</v>
      </c>
    </row>
    <row r="168" spans="1:6">
      <c r="A168" s="33" t="str">
        <f t="shared" si="2"/>
        <v>343</v>
      </c>
      <c r="B168" s="33">
        <v>34386</v>
      </c>
      <c r="C168" t="s">
        <v>1668</v>
      </c>
      <c r="D168" s="44">
        <f>IF(B168="","",+SUMIFS('300s Plant Balances Input'!K:K,'300s Plant Balances Input'!D:D,'300s - 5 Digit FERC Accounts'!B168))</f>
        <v>225920343.5</v>
      </c>
      <c r="E168" s="44">
        <f>IF(B168="","",+SUMIFS('300s Plant Balances Input'!S:S,'300s Plant Balances Input'!D:D,'300s - 5 Digit FERC Accounts'!B168))</f>
        <v>52306564.020000003</v>
      </c>
      <c r="F168" s="44">
        <f>IF(B168="","",+SUMIFS('300s Plant Balances Input'!M:M,'300s Plant Balances Input'!D:D,'300s - 5 Digit FERC Accounts'!B168))</f>
        <v>7855258.8600000003</v>
      </c>
    </row>
    <row r="169" spans="1:6">
      <c r="A169" s="33" t="str">
        <f t="shared" si="2"/>
        <v>343</v>
      </c>
      <c r="B169" s="33">
        <v>34390</v>
      </c>
      <c r="C169" t="s">
        <v>1669</v>
      </c>
      <c r="D169" s="44">
        <f>IF(B169="","",+SUMIFS('300s Plant Balances Input'!K:K,'300s Plant Balances Input'!D:D,'300s - 5 Digit FERC Accounts'!B169))</f>
        <v>0</v>
      </c>
      <c r="E169" s="44">
        <f>IF(B169="","",+SUMIFS('300s Plant Balances Input'!S:S,'300s Plant Balances Input'!D:D,'300s - 5 Digit FERC Accounts'!B169))</f>
        <v>0</v>
      </c>
      <c r="F169" s="44">
        <f>IF(B169="","",+SUMIFS('300s Plant Balances Input'!M:M,'300s Plant Balances Input'!D:D,'300s - 5 Digit FERC Accounts'!B169))</f>
        <v>0</v>
      </c>
    </row>
    <row r="170" spans="1:6">
      <c r="A170" s="33" t="str">
        <f t="shared" si="2"/>
        <v>343</v>
      </c>
      <c r="B170" s="33">
        <v>34399</v>
      </c>
      <c r="C170" t="s">
        <v>1670</v>
      </c>
      <c r="D170" s="44">
        <f>IF(B170="","",+SUMIFS('300s Plant Balances Input'!K:K,'300s Plant Balances Input'!D:D,'300s - 5 Digit FERC Accounts'!B170))</f>
        <v>988809302.15999997</v>
      </c>
      <c r="E170" s="44">
        <f>IF(B170="","",+SUMIFS('300s Plant Balances Input'!S:S,'300s Plant Balances Input'!D:D,'300s - 5 Digit FERC Accounts'!B170))</f>
        <v>109212885.17</v>
      </c>
      <c r="F170" s="44">
        <f>IF(B170="","",+SUMIFS('300s Plant Balances Input'!M:M,'300s Plant Balances Input'!D:D,'300s - 5 Digit FERC Accounts'!B170))</f>
        <v>32971227.170000002</v>
      </c>
    </row>
    <row r="171" spans="1:6">
      <c r="A171" s="33" t="str">
        <f t="shared" si="2"/>
        <v>345</v>
      </c>
      <c r="B171" s="33">
        <v>34520</v>
      </c>
      <c r="C171" t="s">
        <v>8956</v>
      </c>
      <c r="D171" s="44">
        <f>IF(B171="","",+SUMIFS('300s Plant Balances Input'!K:K,'300s Plant Balances Input'!D:D,'300s - 5 Digit FERC Accounts'!B171))</f>
        <v>0</v>
      </c>
      <c r="E171" s="44">
        <f>IF(B171="","",+SUMIFS('300s Plant Balances Input'!S:S,'300s Plant Balances Input'!D:D,'300s - 5 Digit FERC Accounts'!B171))</f>
        <v>0</v>
      </c>
      <c r="F171" s="44">
        <f>IF(B171="","",+SUMIFS('300s Plant Balances Input'!M:M,'300s Plant Balances Input'!D:D,'300s - 5 Digit FERC Accounts'!B171))</f>
        <v>0</v>
      </c>
    </row>
    <row r="172" spans="1:6">
      <c r="A172" s="33" t="str">
        <f t="shared" si="2"/>
        <v>345</v>
      </c>
      <c r="B172" s="33">
        <v>34528</v>
      </c>
      <c r="C172" t="s">
        <v>1671</v>
      </c>
      <c r="D172" s="44">
        <f>IF(B172="","",+SUMIFS('300s Plant Balances Input'!K:K,'300s Plant Balances Input'!D:D,'300s - 5 Digit FERC Accounts'!B172))</f>
        <v>0</v>
      </c>
      <c r="E172" s="44">
        <f>IF(B172="","",+SUMIFS('300s Plant Balances Input'!S:S,'300s Plant Balances Input'!D:D,'300s - 5 Digit FERC Accounts'!B172))</f>
        <v>0</v>
      </c>
      <c r="F172" s="44">
        <f>IF(B172="","",+SUMIFS('300s Plant Balances Input'!M:M,'300s Plant Balances Input'!D:D,'300s - 5 Digit FERC Accounts'!B172))</f>
        <v>0</v>
      </c>
    </row>
    <row r="173" spans="1:6">
      <c r="A173" s="33" t="str">
        <f t="shared" si="2"/>
        <v>345</v>
      </c>
      <c r="B173" s="33">
        <v>34530</v>
      </c>
      <c r="C173" t="s">
        <v>1672</v>
      </c>
      <c r="D173" s="44">
        <f>IF(B173="","",+SUMIFS('300s Plant Balances Input'!K:K,'300s Plant Balances Input'!D:D,'300s - 5 Digit FERC Accounts'!B173))</f>
        <v>32858830.609999999</v>
      </c>
      <c r="E173" s="44">
        <f>IF(B173="","",+SUMIFS('300s Plant Balances Input'!S:S,'300s Plant Balances Input'!D:D,'300s - 5 Digit FERC Accounts'!B173))</f>
        <v>14541550.460000001</v>
      </c>
      <c r="F173" s="44">
        <f>IF(B173="","",+SUMIFS('300s Plant Balances Input'!M:M,'300s Plant Balances Input'!D:D,'300s - 5 Digit FERC Accounts'!B173))</f>
        <v>808327.2</v>
      </c>
    </row>
    <row r="174" spans="1:6">
      <c r="A174" s="33" t="str">
        <f t="shared" si="2"/>
        <v>345</v>
      </c>
      <c r="B174" s="33">
        <v>34531</v>
      </c>
      <c r="C174" t="s">
        <v>1673</v>
      </c>
      <c r="D174" s="44">
        <f>IF(B174="","",+SUMIFS('300s Plant Balances Input'!K:K,'300s Plant Balances Input'!D:D,'300s - 5 Digit FERC Accounts'!B174))</f>
        <v>40601976.5</v>
      </c>
      <c r="E174" s="44">
        <f>IF(B174="","",+SUMIFS('300s Plant Balances Input'!S:S,'300s Plant Balances Input'!D:D,'300s - 5 Digit FERC Accounts'!B174))</f>
        <v>24218599.66</v>
      </c>
      <c r="F174" s="44">
        <f>IF(B174="","",+SUMIFS('300s Plant Balances Input'!M:M,'300s Plant Balances Input'!D:D,'300s - 5 Digit FERC Accounts'!B174))</f>
        <v>1364226.36</v>
      </c>
    </row>
    <row r="175" spans="1:6">
      <c r="A175" s="33" t="str">
        <f t="shared" si="2"/>
        <v>345</v>
      </c>
      <c r="B175" s="33">
        <v>34532</v>
      </c>
      <c r="C175" t="s">
        <v>1674</v>
      </c>
      <c r="D175" s="44">
        <f>IF(B175="","",+SUMIFS('300s Plant Balances Input'!K:K,'300s Plant Balances Input'!D:D,'300s - 5 Digit FERC Accounts'!B175))</f>
        <v>44698672.579999998</v>
      </c>
      <c r="E175" s="44">
        <f>IF(B175="","",+SUMIFS('300s Plant Balances Input'!S:S,'300s Plant Balances Input'!D:D,'300s - 5 Digit FERC Accounts'!B175))</f>
        <v>26533952.760000002</v>
      </c>
      <c r="F175" s="44">
        <f>IF(B175="","",+SUMIFS('300s Plant Balances Input'!M:M,'300s Plant Balances Input'!D:D,'300s - 5 Digit FERC Accounts'!B175))</f>
        <v>1600212.48</v>
      </c>
    </row>
    <row r="176" spans="1:6">
      <c r="A176" s="33" t="str">
        <f t="shared" si="2"/>
        <v>345</v>
      </c>
      <c r="B176" s="33">
        <v>34533</v>
      </c>
      <c r="C176" t="s">
        <v>1675</v>
      </c>
      <c r="D176" s="44">
        <f>IF(B176="","",+SUMIFS('300s Plant Balances Input'!K:K,'300s Plant Balances Input'!D:D,'300s - 5 Digit FERC Accounts'!B176))</f>
        <v>14174190.640000001</v>
      </c>
      <c r="E176" s="44">
        <f>IF(B176="","",+SUMIFS('300s Plant Balances Input'!S:S,'300s Plant Balances Input'!D:D,'300s - 5 Digit FERC Accounts'!B176))</f>
        <v>6679642.9900000002</v>
      </c>
      <c r="F176" s="44">
        <f>IF(B176="","",+SUMIFS('300s Plant Balances Input'!M:M,'300s Plant Balances Input'!D:D,'300s - 5 Digit FERC Accounts'!B176))</f>
        <v>364276.68</v>
      </c>
    </row>
    <row r="177" spans="1:6">
      <c r="A177" s="33" t="str">
        <f t="shared" si="2"/>
        <v>345</v>
      </c>
      <c r="B177" s="33">
        <v>34534</v>
      </c>
      <c r="C177" t="s">
        <v>1676</v>
      </c>
      <c r="D177" s="44">
        <f>IF(B177="","",+SUMIFS('300s Plant Balances Input'!K:K,'300s Plant Balances Input'!D:D,'300s - 5 Digit FERC Accounts'!B177))</f>
        <v>4189431.02</v>
      </c>
      <c r="E177" s="44">
        <f>IF(B177="","",+SUMIFS('300s Plant Balances Input'!S:S,'300s Plant Balances Input'!D:D,'300s - 5 Digit FERC Accounts'!B177))</f>
        <v>2110802.5699999998</v>
      </c>
      <c r="F177" s="44">
        <f>IF(B177="","",+SUMIFS('300s Plant Balances Input'!M:M,'300s Plant Balances Input'!D:D,'300s - 5 Digit FERC Accounts'!B177))</f>
        <v>101803.2</v>
      </c>
    </row>
    <row r="178" spans="1:6">
      <c r="A178" s="33" t="str">
        <f t="shared" si="2"/>
        <v>345</v>
      </c>
      <c r="B178" s="33">
        <v>34535</v>
      </c>
      <c r="C178" t="s">
        <v>1677</v>
      </c>
      <c r="D178" s="44">
        <f>IF(B178="","",+SUMIFS('300s Plant Balances Input'!K:K,'300s Plant Balances Input'!D:D,'300s - 5 Digit FERC Accounts'!B178))</f>
        <v>10408627.609999999</v>
      </c>
      <c r="E178" s="44">
        <f>IF(B178="","",+SUMIFS('300s Plant Balances Input'!S:S,'300s Plant Balances Input'!D:D,'300s - 5 Digit FERC Accounts'!B178))</f>
        <v>5277891.33</v>
      </c>
      <c r="F178" s="44">
        <f>IF(B178="","",+SUMIFS('300s Plant Balances Input'!M:M,'300s Plant Balances Input'!D:D,'300s - 5 Digit FERC Accounts'!B178))</f>
        <v>183191.88</v>
      </c>
    </row>
    <row r="179" spans="1:6">
      <c r="A179" s="33" t="str">
        <f t="shared" si="2"/>
        <v>345</v>
      </c>
      <c r="B179" s="33">
        <v>34536</v>
      </c>
      <c r="C179" t="s">
        <v>1678</v>
      </c>
      <c r="D179" s="44">
        <f>IF(B179="","",+SUMIFS('300s Plant Balances Input'!K:K,'300s Plant Balances Input'!D:D,'300s - 5 Digit FERC Accounts'!B179))</f>
        <v>14353367.07</v>
      </c>
      <c r="E179" s="44">
        <f>IF(B179="","",+SUMIFS('300s Plant Balances Input'!S:S,'300s Plant Balances Input'!D:D,'300s - 5 Digit FERC Accounts'!B179))</f>
        <v>7352101.5199999996</v>
      </c>
      <c r="F179" s="44">
        <f>IF(B179="","",+SUMIFS('300s Plant Balances Input'!M:M,'300s Plant Balances Input'!D:D,'300s - 5 Digit FERC Accounts'!B179))</f>
        <v>345916.2</v>
      </c>
    </row>
    <row r="180" spans="1:6">
      <c r="A180" s="33" t="str">
        <f t="shared" si="2"/>
        <v>345</v>
      </c>
      <c r="B180" s="33">
        <v>34541</v>
      </c>
      <c r="C180" t="s">
        <v>1679</v>
      </c>
      <c r="D180" s="44">
        <f>IF(B180="","",+SUMIFS('300s Plant Balances Input'!K:K,'300s Plant Balances Input'!D:D,'300s - 5 Digit FERC Accounts'!B180))</f>
        <v>0</v>
      </c>
      <c r="E180" s="44">
        <f>IF(B180="","",+SUMIFS('300s Plant Balances Input'!S:S,'300s Plant Balances Input'!D:D,'300s - 5 Digit FERC Accounts'!B180))</f>
        <v>0</v>
      </c>
      <c r="F180" s="44">
        <f>IF(B180="","",+SUMIFS('300s Plant Balances Input'!M:M,'300s Plant Balances Input'!D:D,'300s - 5 Digit FERC Accounts'!B180))</f>
        <v>0</v>
      </c>
    </row>
    <row r="181" spans="1:6">
      <c r="A181" s="33" t="str">
        <f t="shared" si="2"/>
        <v>345</v>
      </c>
      <c r="B181" s="33">
        <v>34542</v>
      </c>
      <c r="C181" t="s">
        <v>8228</v>
      </c>
      <c r="D181" s="44">
        <f>IF(B181="","",+SUMIFS('300s Plant Balances Input'!K:K,'300s Plant Balances Input'!D:D,'300s - 5 Digit FERC Accounts'!B181))</f>
        <v>0</v>
      </c>
      <c r="E181" s="44">
        <f>IF(B181="","",+SUMIFS('300s Plant Balances Input'!S:S,'300s Plant Balances Input'!D:D,'300s - 5 Digit FERC Accounts'!B181))</f>
        <v>0</v>
      </c>
      <c r="F181" s="44">
        <f>IF(B181="","",+SUMIFS('300s Plant Balances Input'!M:M,'300s Plant Balances Input'!D:D,'300s - 5 Digit FERC Accounts'!B181))</f>
        <v>0</v>
      </c>
    </row>
    <row r="182" spans="1:6">
      <c r="A182" s="33" t="str">
        <f t="shared" si="2"/>
        <v>345</v>
      </c>
      <c r="B182" s="33">
        <v>34543</v>
      </c>
      <c r="C182" t="s">
        <v>8229</v>
      </c>
      <c r="D182" s="44">
        <f>IF(B182="","",+SUMIFS('300s Plant Balances Input'!K:K,'300s Plant Balances Input'!D:D,'300s - 5 Digit FERC Accounts'!B182))</f>
        <v>700677.02</v>
      </c>
      <c r="E182" s="44">
        <f>IF(B182="","",+SUMIFS('300s Plant Balances Input'!S:S,'300s Plant Balances Input'!D:D,'300s - 5 Digit FERC Accounts'!B182))</f>
        <v>106214.61</v>
      </c>
      <c r="F182" s="44">
        <f>IF(B182="","",+SUMIFS('300s Plant Balances Input'!M:M,'300s Plant Balances Input'!D:D,'300s - 5 Digit FERC Accounts'!B182))</f>
        <v>20459.759999999998</v>
      </c>
    </row>
    <row r="183" spans="1:6">
      <c r="A183" s="33" t="str">
        <f t="shared" si="2"/>
        <v>345</v>
      </c>
      <c r="B183" s="33">
        <v>34544</v>
      </c>
      <c r="C183" t="s">
        <v>1680</v>
      </c>
      <c r="D183" s="44">
        <f>IF(B183="","",+SUMIFS('300s Plant Balances Input'!K:K,'300s Plant Balances Input'!D:D,'300s - 5 Digit FERC Accounts'!B183))</f>
        <v>16328713.470000001</v>
      </c>
      <c r="E183" s="44">
        <f>IF(B183="","",+SUMIFS('300s Plant Balances Input'!S:S,'300s Plant Balances Input'!D:D,'300s - 5 Digit FERC Accounts'!B183))</f>
        <v>7759346.8499999996</v>
      </c>
      <c r="F183" s="44">
        <f>IF(B183="","",+SUMIFS('300s Plant Balances Input'!M:M,'300s Plant Balances Input'!D:D,'300s - 5 Digit FERC Accounts'!B183))</f>
        <v>395154.84</v>
      </c>
    </row>
    <row r="184" spans="1:6">
      <c r="A184" s="33" t="str">
        <f t="shared" si="2"/>
        <v>345</v>
      </c>
      <c r="B184" s="33">
        <v>34545</v>
      </c>
      <c r="C184" t="s">
        <v>8230</v>
      </c>
      <c r="D184" s="44">
        <f>IF(B184="","",+SUMIFS('300s Plant Balances Input'!K:K,'300s Plant Balances Input'!D:D,'300s - 5 Digit FERC Accounts'!B184))</f>
        <v>58769.36</v>
      </c>
      <c r="E184" s="44">
        <f>IF(B184="","",+SUMIFS('300s Plant Balances Input'!S:S,'300s Plant Balances Input'!D:D,'300s - 5 Digit FERC Accounts'!B184))</f>
        <v>2259.7199999999998</v>
      </c>
      <c r="F184" s="44">
        <f>IF(B184="","",+SUMIFS('300s Plant Balances Input'!M:M,'300s Plant Balances Input'!D:D,'300s - 5 Digit FERC Accounts'!B184))</f>
        <v>1110.72</v>
      </c>
    </row>
    <row r="185" spans="1:6">
      <c r="A185" s="33" t="str">
        <f t="shared" si="2"/>
        <v>345</v>
      </c>
      <c r="B185" s="33">
        <v>34546</v>
      </c>
      <c r="C185" t="s">
        <v>8231</v>
      </c>
      <c r="D185" s="44">
        <f>IF(B185="","",+SUMIFS('300s Plant Balances Input'!K:K,'300s Plant Balances Input'!D:D,'300s - 5 Digit FERC Accounts'!B185))</f>
        <v>19190.82</v>
      </c>
      <c r="E185" s="44">
        <f>IF(B185="","",+SUMIFS('300s Plant Balances Input'!S:S,'300s Plant Balances Input'!D:D,'300s - 5 Digit FERC Accounts'!B185))</f>
        <v>867.85</v>
      </c>
      <c r="F185" s="44">
        <f>IF(B185="","",+SUMIFS('300s Plant Balances Input'!M:M,'300s Plant Balances Input'!D:D,'300s - 5 Digit FERC Accounts'!B185))</f>
        <v>362.76</v>
      </c>
    </row>
    <row r="186" spans="1:6">
      <c r="A186" s="33" t="str">
        <f t="shared" si="2"/>
        <v>345</v>
      </c>
      <c r="B186" s="33">
        <v>34580</v>
      </c>
      <c r="C186" t="s">
        <v>1681</v>
      </c>
      <c r="D186" s="44">
        <f>IF(B186="","",+SUMIFS('300s Plant Balances Input'!K:K,'300s Plant Balances Input'!D:D,'300s - 5 Digit FERC Accounts'!B186))</f>
        <v>14500596.529999999</v>
      </c>
      <c r="E186" s="44">
        <f>IF(B186="","",+SUMIFS('300s Plant Balances Input'!S:S,'300s Plant Balances Input'!D:D,'300s - 5 Digit FERC Accounts'!B186))</f>
        <v>4708384.0999999996</v>
      </c>
      <c r="F186" s="44">
        <f>IF(B186="","",+SUMIFS('300s Plant Balances Input'!M:M,'300s Plant Balances Input'!D:D,'300s - 5 Digit FERC Accounts'!B186))</f>
        <v>411816.96000000002</v>
      </c>
    </row>
    <row r="187" spans="1:6">
      <c r="A187" s="33" t="str">
        <f t="shared" si="2"/>
        <v>345</v>
      </c>
      <c r="B187" s="33">
        <v>34581</v>
      </c>
      <c r="C187" t="s">
        <v>1682</v>
      </c>
      <c r="D187" s="44">
        <f>IF(B187="","",+SUMIFS('300s Plant Balances Input'!K:K,'300s Plant Balances Input'!D:D,'300s - 5 Digit FERC Accounts'!B187))</f>
        <v>60502604.229999997</v>
      </c>
      <c r="E187" s="44">
        <f>IF(B187="","",+SUMIFS('300s Plant Balances Input'!S:S,'300s Plant Balances Input'!D:D,'300s - 5 Digit FERC Accounts'!B187))</f>
        <v>46369628.740000002</v>
      </c>
      <c r="F187" s="44">
        <f>IF(B187="","",+SUMIFS('300s Plant Balances Input'!M:M,'300s Plant Balances Input'!D:D,'300s - 5 Digit FERC Accounts'!B187))</f>
        <v>1536766.2</v>
      </c>
    </row>
    <row r="188" spans="1:6">
      <c r="A188" s="33" t="str">
        <f t="shared" si="2"/>
        <v>345</v>
      </c>
      <c r="B188" s="33">
        <v>34582</v>
      </c>
      <c r="C188" t="s">
        <v>1683</v>
      </c>
      <c r="D188" s="44">
        <f>IF(B188="","",+SUMIFS('300s Plant Balances Input'!K:K,'300s Plant Balances Input'!D:D,'300s - 5 Digit FERC Accounts'!B188))</f>
        <v>19218097.859999999</v>
      </c>
      <c r="E188" s="44">
        <f>IF(B188="","",+SUMIFS('300s Plant Balances Input'!S:S,'300s Plant Balances Input'!D:D,'300s - 5 Digit FERC Accounts'!B188))</f>
        <v>11412305.77</v>
      </c>
      <c r="F188" s="44">
        <f>IF(B188="","",+SUMIFS('300s Plant Balances Input'!M:M,'300s Plant Balances Input'!D:D,'300s - 5 Digit FERC Accounts'!B188))</f>
        <v>370909.32</v>
      </c>
    </row>
    <row r="189" spans="1:6">
      <c r="A189" s="33" t="str">
        <f t="shared" si="2"/>
        <v>345</v>
      </c>
      <c r="B189" s="33">
        <v>34583</v>
      </c>
      <c r="C189" t="s">
        <v>1684</v>
      </c>
      <c r="D189" s="44">
        <f>IF(B189="","",+SUMIFS('300s Plant Balances Input'!K:K,'300s Plant Balances Input'!D:D,'300s - 5 Digit FERC Accounts'!B189))</f>
        <v>9146691.5500000007</v>
      </c>
      <c r="E189" s="44">
        <f>IF(B189="","",+SUMIFS('300s Plant Balances Input'!S:S,'300s Plant Balances Input'!D:D,'300s - 5 Digit FERC Accounts'!B189))</f>
        <v>6022006.4900000002</v>
      </c>
      <c r="F189" s="44">
        <f>IF(B189="","",+SUMIFS('300s Plant Balances Input'!M:M,'300s Plant Balances Input'!D:D,'300s - 5 Digit FERC Accounts'!B189))</f>
        <v>151835.04</v>
      </c>
    </row>
    <row r="190" spans="1:6">
      <c r="A190" s="33" t="str">
        <f t="shared" si="2"/>
        <v>345</v>
      </c>
      <c r="B190" s="33">
        <v>34584</v>
      </c>
      <c r="C190" t="s">
        <v>1685</v>
      </c>
      <c r="D190" s="44">
        <f>IF(B190="","",+SUMIFS('300s Plant Balances Input'!K:K,'300s Plant Balances Input'!D:D,'300s - 5 Digit FERC Accounts'!B190))</f>
        <v>5586747.4299999997</v>
      </c>
      <c r="E190" s="44">
        <f>IF(B190="","",+SUMIFS('300s Plant Balances Input'!S:S,'300s Plant Balances Input'!D:D,'300s - 5 Digit FERC Accounts'!B190))</f>
        <v>3486798.89</v>
      </c>
      <c r="F190" s="44">
        <f>IF(B190="","",+SUMIFS('300s Plant Balances Input'!M:M,'300s Plant Balances Input'!D:D,'300s - 5 Digit FERC Accounts'!B190))</f>
        <v>97768.08</v>
      </c>
    </row>
    <row r="191" spans="1:6">
      <c r="A191" s="33" t="str">
        <f t="shared" si="2"/>
        <v>345</v>
      </c>
      <c r="B191" s="33">
        <v>34585</v>
      </c>
      <c r="C191" t="s">
        <v>1686</v>
      </c>
      <c r="D191" s="44">
        <f>IF(B191="","",+SUMIFS('300s Plant Balances Input'!K:K,'300s Plant Balances Input'!D:D,'300s - 5 Digit FERC Accounts'!B191))</f>
        <v>5489268.9800000004</v>
      </c>
      <c r="E191" s="44">
        <f>IF(B191="","",+SUMIFS('300s Plant Balances Input'!S:S,'300s Plant Balances Input'!D:D,'300s - 5 Digit FERC Accounts'!B191))</f>
        <v>3460485.28</v>
      </c>
      <c r="F191" s="44">
        <f>IF(B191="","",+SUMIFS('300s Plant Balances Input'!M:M,'300s Plant Balances Input'!D:D,'300s - 5 Digit FERC Accounts'!B191))</f>
        <v>93866.52</v>
      </c>
    </row>
    <row r="192" spans="1:6">
      <c r="A192" s="33" t="str">
        <f t="shared" si="2"/>
        <v>345</v>
      </c>
      <c r="B192" s="33">
        <v>34586</v>
      </c>
      <c r="C192" t="s">
        <v>1687</v>
      </c>
      <c r="D192" s="44">
        <f>IF(B192="","",+SUMIFS('300s Plant Balances Input'!K:K,'300s Plant Balances Input'!D:D,'300s - 5 Digit FERC Accounts'!B192))</f>
        <v>18338595.010000002</v>
      </c>
      <c r="E192" s="44">
        <f>IF(B192="","",+SUMIFS('300s Plant Balances Input'!S:S,'300s Plant Balances Input'!D:D,'300s - 5 Digit FERC Accounts'!B192))</f>
        <v>4844085.1500000004</v>
      </c>
      <c r="F192" s="44">
        <f>IF(B192="","",+SUMIFS('300s Plant Balances Input'!M:M,'300s Plant Balances Input'!D:D,'300s - 5 Digit FERC Accounts'!B192))</f>
        <v>557493.24</v>
      </c>
    </row>
    <row r="193" spans="1:6">
      <c r="A193" s="33" t="str">
        <f t="shared" si="2"/>
        <v>345</v>
      </c>
      <c r="B193" s="33">
        <v>34599</v>
      </c>
      <c r="C193" t="s">
        <v>1688</v>
      </c>
      <c r="D193" s="44">
        <f>IF(B193="","",+SUMIFS('300s Plant Balances Input'!K:K,'300s Plant Balances Input'!D:D,'300s - 5 Digit FERC Accounts'!B193))</f>
        <v>324613475.77999997</v>
      </c>
      <c r="E193" s="44">
        <f>IF(B193="","",+SUMIFS('300s Plant Balances Input'!S:S,'300s Plant Balances Input'!D:D,'300s - 5 Digit FERC Accounts'!B193))</f>
        <v>42931300.450000003</v>
      </c>
      <c r="F193" s="44">
        <f>IF(B193="","",+SUMIFS('300s Plant Balances Input'!M:M,'300s Plant Balances Input'!D:D,'300s - 5 Digit FERC Accounts'!B193))</f>
        <v>10971935.52</v>
      </c>
    </row>
    <row r="194" spans="1:6">
      <c r="A194" s="33" t="str">
        <f t="shared" si="2"/>
        <v>346</v>
      </c>
      <c r="B194" s="33">
        <v>34620</v>
      </c>
      <c r="C194" t="s">
        <v>8957</v>
      </c>
      <c r="D194" s="44">
        <f>IF(B194="","",+SUMIFS('300s Plant Balances Input'!K:K,'300s Plant Balances Input'!D:D,'300s - 5 Digit FERC Accounts'!B194))</f>
        <v>0</v>
      </c>
      <c r="E194" s="44">
        <f>IF(B194="","",+SUMIFS('300s Plant Balances Input'!S:S,'300s Plant Balances Input'!D:D,'300s - 5 Digit FERC Accounts'!B194))</f>
        <v>0</v>
      </c>
      <c r="F194" s="44">
        <f>IF(B194="","",+SUMIFS('300s Plant Balances Input'!M:M,'300s Plant Balances Input'!D:D,'300s - 5 Digit FERC Accounts'!B194))</f>
        <v>0</v>
      </c>
    </row>
    <row r="195" spans="1:6">
      <c r="A195" s="33" t="str">
        <f t="shared" si="2"/>
        <v>346</v>
      </c>
      <c r="B195" s="33">
        <v>34628</v>
      </c>
      <c r="C195" t="s">
        <v>1689</v>
      </c>
      <c r="D195" s="44">
        <f>IF(B195="","",+SUMIFS('300s Plant Balances Input'!K:K,'300s Plant Balances Input'!D:D,'300s - 5 Digit FERC Accounts'!B195))</f>
        <v>0</v>
      </c>
      <c r="E195" s="44">
        <f>IF(B195="","",+SUMIFS('300s Plant Balances Input'!S:S,'300s Plant Balances Input'!D:D,'300s - 5 Digit FERC Accounts'!B195))</f>
        <v>0</v>
      </c>
      <c r="F195" s="44">
        <f>IF(B195="","",+SUMIFS('300s Plant Balances Input'!M:M,'300s Plant Balances Input'!D:D,'300s - 5 Digit FERC Accounts'!B195))</f>
        <v>0</v>
      </c>
    </row>
    <row r="196" spans="1:6">
      <c r="A196" s="33" t="str">
        <f t="shared" si="2"/>
        <v>346</v>
      </c>
      <c r="B196" s="33">
        <v>34630</v>
      </c>
      <c r="C196" t="s">
        <v>1690</v>
      </c>
      <c r="D196" s="44">
        <f>IF(B196="","",+SUMIFS('300s Plant Balances Input'!K:K,'300s Plant Balances Input'!D:D,'300s - 5 Digit FERC Accounts'!B196))</f>
        <v>11491776.41</v>
      </c>
      <c r="E196" s="44">
        <f>IF(B196="","",+SUMIFS('300s Plant Balances Input'!S:S,'300s Plant Balances Input'!D:D,'300s - 5 Digit FERC Accounts'!B196))</f>
        <v>5589682.71</v>
      </c>
      <c r="F196" s="44">
        <f>IF(B196="","",+SUMIFS('300s Plant Balances Input'!M:M,'300s Plant Balances Input'!D:D,'300s - 5 Digit FERC Accounts'!B196))</f>
        <v>374631.96</v>
      </c>
    </row>
    <row r="197" spans="1:6">
      <c r="A197" s="33" t="str">
        <f t="shared" si="2"/>
        <v>346</v>
      </c>
      <c r="B197" s="33">
        <v>34631</v>
      </c>
      <c r="C197" t="s">
        <v>1691</v>
      </c>
      <c r="D197" s="44">
        <f>IF(B197="","",+SUMIFS('300s Plant Balances Input'!K:K,'300s Plant Balances Input'!D:D,'300s - 5 Digit FERC Accounts'!B197))</f>
        <v>1175705.21</v>
      </c>
      <c r="E197" s="44">
        <f>IF(B197="","",+SUMIFS('300s Plant Balances Input'!S:S,'300s Plant Balances Input'!D:D,'300s - 5 Digit FERC Accounts'!B197))</f>
        <v>698650.06</v>
      </c>
      <c r="F197" s="44">
        <f>IF(B197="","",+SUMIFS('300s Plant Balances Input'!M:M,'300s Plant Balances Input'!D:D,'300s - 5 Digit FERC Accounts'!B197))</f>
        <v>50437.8</v>
      </c>
    </row>
    <row r="198" spans="1:6">
      <c r="A198" s="33" t="str">
        <f t="shared" si="2"/>
        <v>346</v>
      </c>
      <c r="B198" s="33">
        <v>34632</v>
      </c>
      <c r="C198" t="s">
        <v>1692</v>
      </c>
      <c r="D198" s="44">
        <f>IF(B198="","",+SUMIFS('300s Plant Balances Input'!K:K,'300s Plant Balances Input'!D:D,'300s - 5 Digit FERC Accounts'!B198))</f>
        <v>1455592.35</v>
      </c>
      <c r="E198" s="44">
        <f>IF(B198="","",+SUMIFS('300s Plant Balances Input'!S:S,'300s Plant Balances Input'!D:D,'300s - 5 Digit FERC Accounts'!B198))</f>
        <v>883919.48</v>
      </c>
      <c r="F198" s="44">
        <f>IF(B198="","",+SUMIFS('300s Plant Balances Input'!M:M,'300s Plant Balances Input'!D:D,'300s - 5 Digit FERC Accounts'!B198))</f>
        <v>60261.48</v>
      </c>
    </row>
    <row r="199" spans="1:6">
      <c r="A199" s="33" t="str">
        <f t="shared" si="2"/>
        <v>346</v>
      </c>
      <c r="B199" s="33">
        <v>34633</v>
      </c>
      <c r="C199" t="s">
        <v>1693</v>
      </c>
      <c r="D199" s="44">
        <f>IF(B199="","",+SUMIFS('300s Plant Balances Input'!K:K,'300s Plant Balances Input'!D:D,'300s - 5 Digit FERC Accounts'!B199))</f>
        <v>904.61</v>
      </c>
      <c r="E199" s="44">
        <f>IF(B199="","",+SUMIFS('300s Plant Balances Input'!S:S,'300s Plant Balances Input'!D:D,'300s - 5 Digit FERC Accounts'!B199))</f>
        <v>499.92</v>
      </c>
      <c r="F199" s="44">
        <f>IF(B199="","",+SUMIFS('300s Plant Balances Input'!M:M,'300s Plant Balances Input'!D:D,'300s - 5 Digit FERC Accounts'!B199))</f>
        <v>25.92</v>
      </c>
    </row>
    <row r="200" spans="1:6">
      <c r="A200" s="33" t="str">
        <f t="shared" si="2"/>
        <v>346</v>
      </c>
      <c r="B200" s="33">
        <v>34634</v>
      </c>
      <c r="C200" t="s">
        <v>1694</v>
      </c>
      <c r="D200" s="44">
        <f>IF(B200="","",+SUMIFS('300s Plant Balances Input'!K:K,'300s Plant Balances Input'!D:D,'300s - 5 Digit FERC Accounts'!B200))</f>
        <v>904.61</v>
      </c>
      <c r="E200" s="44">
        <f>IF(B200="","",+SUMIFS('300s Plant Balances Input'!S:S,'300s Plant Balances Input'!D:D,'300s - 5 Digit FERC Accounts'!B200))</f>
        <v>499.92</v>
      </c>
      <c r="F200" s="44">
        <f>IF(B200="","",+SUMIFS('300s Plant Balances Input'!M:M,'300s Plant Balances Input'!D:D,'300s - 5 Digit FERC Accounts'!B200))</f>
        <v>25.92</v>
      </c>
    </row>
    <row r="201" spans="1:6">
      <c r="A201" s="33" t="str">
        <f t="shared" si="2"/>
        <v>346</v>
      </c>
      <c r="B201" s="33">
        <v>34635</v>
      </c>
      <c r="C201" t="s">
        <v>1695</v>
      </c>
      <c r="D201" s="44">
        <f>IF(B201="","",+SUMIFS('300s Plant Balances Input'!K:K,'300s Plant Balances Input'!D:D,'300s - 5 Digit FERC Accounts'!B201))</f>
        <v>0</v>
      </c>
      <c r="E201" s="44">
        <f>IF(B201="","",+SUMIFS('300s Plant Balances Input'!S:S,'300s Plant Balances Input'!D:D,'300s - 5 Digit FERC Accounts'!B201))</f>
        <v>0</v>
      </c>
      <c r="F201" s="44">
        <f>IF(B201="","",+SUMIFS('300s Plant Balances Input'!M:M,'300s Plant Balances Input'!D:D,'300s - 5 Digit FERC Accounts'!B201))</f>
        <v>0</v>
      </c>
    </row>
    <row r="202" spans="1:6">
      <c r="A202" s="33" t="str">
        <f t="shared" si="2"/>
        <v>346</v>
      </c>
      <c r="B202" s="33">
        <v>34636</v>
      </c>
      <c r="C202" t="s">
        <v>1696</v>
      </c>
      <c r="D202" s="44">
        <f>IF(B202="","",+SUMIFS('300s Plant Balances Input'!K:K,'300s Plant Balances Input'!D:D,'300s - 5 Digit FERC Accounts'!B202))</f>
        <v>11736.48</v>
      </c>
      <c r="E202" s="44">
        <f>IF(B202="","",+SUMIFS('300s Plant Balances Input'!S:S,'300s Plant Balances Input'!D:D,'300s - 5 Digit FERC Accounts'!B202))</f>
        <v>6071.64</v>
      </c>
      <c r="F202" s="44">
        <f>IF(B202="","",+SUMIFS('300s Plant Balances Input'!M:M,'300s Plant Balances Input'!D:D,'300s - 5 Digit FERC Accounts'!B202))</f>
        <v>363.84</v>
      </c>
    </row>
    <row r="203" spans="1:6">
      <c r="A203" s="33" t="str">
        <f t="shared" ref="A203:A269" si="3">+LEFT(B203,3)</f>
        <v>346</v>
      </c>
      <c r="B203" s="33">
        <v>34637</v>
      </c>
      <c r="C203" t="s">
        <v>1697</v>
      </c>
      <c r="D203" s="44">
        <f>IF(B203="","",+SUMIFS('300s Plant Balances Input'!K:K,'300s Plant Balances Input'!D:D,'300s - 5 Digit FERC Accounts'!B203))</f>
        <v>253800.35</v>
      </c>
      <c r="E203" s="44">
        <f>IF(B203="","",+SUMIFS('300s Plant Balances Input'!S:S,'300s Plant Balances Input'!D:D,'300s - 5 Digit FERC Accounts'!B203))</f>
        <v>169416.17</v>
      </c>
      <c r="F203" s="44">
        <f>IF(B203="","",+SUMIFS('300s Plant Balances Input'!M:M,'300s Plant Balances Input'!D:D,'300s - 5 Digit FERC Accounts'!B203))</f>
        <v>36682.89</v>
      </c>
    </row>
    <row r="204" spans="1:6">
      <c r="A204" s="33" t="str">
        <f t="shared" si="3"/>
        <v>346</v>
      </c>
      <c r="B204" s="33">
        <v>34641</v>
      </c>
      <c r="C204" t="s">
        <v>8232</v>
      </c>
      <c r="D204" s="44">
        <f>IF(B204="","",+SUMIFS('300s Plant Balances Input'!K:K,'300s Plant Balances Input'!D:D,'300s - 5 Digit FERC Accounts'!B204))</f>
        <v>0</v>
      </c>
      <c r="E204" s="44">
        <f>IF(B204="","",+SUMIFS('300s Plant Balances Input'!S:S,'300s Plant Balances Input'!D:D,'300s - 5 Digit FERC Accounts'!B204))</f>
        <v>0</v>
      </c>
      <c r="F204" s="44">
        <f>IF(B204="","",+SUMIFS('300s Plant Balances Input'!M:M,'300s Plant Balances Input'!D:D,'300s - 5 Digit FERC Accounts'!B204))</f>
        <v>0</v>
      </c>
    </row>
    <row r="205" spans="1:6">
      <c r="A205" s="33" t="str">
        <f t="shared" si="3"/>
        <v>346</v>
      </c>
      <c r="B205" s="33">
        <v>34643</v>
      </c>
      <c r="C205" t="s">
        <v>8233</v>
      </c>
      <c r="D205" s="44">
        <f>IF(B205="","",+SUMIFS('300s Plant Balances Input'!K:K,'300s Plant Balances Input'!D:D,'300s - 5 Digit FERC Accounts'!B205))</f>
        <v>308525.93</v>
      </c>
      <c r="E205" s="44">
        <f>IF(B205="","",+SUMIFS('300s Plant Balances Input'!S:S,'300s Plant Balances Input'!D:D,'300s - 5 Digit FERC Accounts'!B205))</f>
        <v>249335.6</v>
      </c>
      <c r="F205" s="44">
        <f>IF(B205="","",+SUMIFS('300s Plant Balances Input'!M:M,'300s Plant Balances Input'!D:D,'300s - 5 Digit FERC Accounts'!B205))</f>
        <v>8206.7999999999993</v>
      </c>
    </row>
    <row r="206" spans="1:6">
      <c r="A206" s="33" t="str">
        <f t="shared" si="3"/>
        <v>346</v>
      </c>
      <c r="B206" s="33">
        <v>34644</v>
      </c>
      <c r="C206" t="s">
        <v>1698</v>
      </c>
      <c r="D206" s="44">
        <f>IF(B206="","",+SUMIFS('300s Plant Balances Input'!K:K,'300s Plant Balances Input'!D:D,'300s - 5 Digit FERC Accounts'!B206))</f>
        <v>510664.71</v>
      </c>
      <c r="E206" s="44">
        <f>IF(B206="","",+SUMIFS('300s Plant Balances Input'!S:S,'300s Plant Balances Input'!D:D,'300s - 5 Digit FERC Accounts'!B206))</f>
        <v>260978.42</v>
      </c>
      <c r="F206" s="44">
        <f>IF(B206="","",+SUMIFS('300s Plant Balances Input'!M:M,'300s Plant Balances Input'!D:D,'300s - 5 Digit FERC Accounts'!B206))</f>
        <v>15983.76</v>
      </c>
    </row>
    <row r="207" spans="1:6">
      <c r="A207" s="33" t="str">
        <f t="shared" si="3"/>
        <v>346</v>
      </c>
      <c r="B207" s="33">
        <v>34645</v>
      </c>
      <c r="C207" t="s">
        <v>8234</v>
      </c>
      <c r="D207" s="44">
        <f>IF(B207="","",+SUMIFS('300s Plant Balances Input'!K:K,'300s Plant Balances Input'!D:D,'300s - 5 Digit FERC Accounts'!B207))</f>
        <v>0</v>
      </c>
      <c r="E207" s="44">
        <f>IF(B207="","",+SUMIFS('300s Plant Balances Input'!S:S,'300s Plant Balances Input'!D:D,'300s - 5 Digit FERC Accounts'!B207))</f>
        <v>0</v>
      </c>
      <c r="F207" s="44">
        <f>IF(B207="","",+SUMIFS('300s Plant Balances Input'!M:M,'300s Plant Balances Input'!D:D,'300s - 5 Digit FERC Accounts'!B207))</f>
        <v>0</v>
      </c>
    </row>
    <row r="208" spans="1:6">
      <c r="A208" s="33" t="str">
        <f t="shared" si="3"/>
        <v>346</v>
      </c>
      <c r="B208" s="33">
        <v>34646</v>
      </c>
      <c r="C208" t="s">
        <v>8235</v>
      </c>
      <c r="D208" s="44">
        <f>IF(B208="","",+SUMIFS('300s Plant Balances Input'!K:K,'300s Plant Balances Input'!D:D,'300s - 5 Digit FERC Accounts'!B208))</f>
        <v>0</v>
      </c>
      <c r="E208" s="44">
        <f>IF(B208="","",+SUMIFS('300s Plant Balances Input'!S:S,'300s Plant Balances Input'!D:D,'300s - 5 Digit FERC Accounts'!B208))</f>
        <v>0</v>
      </c>
      <c r="F208" s="44">
        <f>IF(B208="","",+SUMIFS('300s Plant Balances Input'!M:M,'300s Plant Balances Input'!D:D,'300s - 5 Digit FERC Accounts'!B208))</f>
        <v>0</v>
      </c>
    </row>
    <row r="209" spans="1:6">
      <c r="A209" s="33" t="str">
        <f t="shared" si="3"/>
        <v>346</v>
      </c>
      <c r="B209" s="33">
        <v>34680</v>
      </c>
      <c r="C209" t="s">
        <v>1699</v>
      </c>
      <c r="D209" s="44">
        <f>IF(B209="","",+SUMIFS('300s Plant Balances Input'!K:K,'300s Plant Balances Input'!D:D,'300s - 5 Digit FERC Accounts'!B209))</f>
        <v>1259507.78</v>
      </c>
      <c r="E209" s="44">
        <f>IF(B209="","",+SUMIFS('300s Plant Balances Input'!S:S,'300s Plant Balances Input'!D:D,'300s - 5 Digit FERC Accounts'!B209))</f>
        <v>97767.18</v>
      </c>
      <c r="F209" s="44">
        <f>IF(B209="","",+SUMIFS('300s Plant Balances Input'!M:M,'300s Plant Balances Input'!D:D,'300s - 5 Digit FERC Accounts'!B209))</f>
        <v>58818.96</v>
      </c>
    </row>
    <row r="210" spans="1:6">
      <c r="A210" s="33" t="str">
        <f t="shared" si="3"/>
        <v>346</v>
      </c>
      <c r="B210" s="33">
        <v>34681</v>
      </c>
      <c r="C210" t="s">
        <v>1700</v>
      </c>
      <c r="D210" s="44">
        <f>IF(B210="","",+SUMIFS('300s Plant Balances Input'!K:K,'300s Plant Balances Input'!D:D,'300s - 5 Digit FERC Accounts'!B210))</f>
        <v>6717060.5899999999</v>
      </c>
      <c r="E210" s="44">
        <f>IF(B210="","",+SUMIFS('300s Plant Balances Input'!S:S,'300s Plant Balances Input'!D:D,'300s - 5 Digit FERC Accounts'!B210))</f>
        <v>3113863.09</v>
      </c>
      <c r="F210" s="44">
        <f>IF(B210="","",+SUMIFS('300s Plant Balances Input'!M:M,'300s Plant Balances Input'!D:D,'300s - 5 Digit FERC Accounts'!B210))</f>
        <v>354660.84</v>
      </c>
    </row>
    <row r="211" spans="1:6">
      <c r="A211" s="33" t="str">
        <f t="shared" si="3"/>
        <v>346</v>
      </c>
      <c r="B211" s="33">
        <v>34682</v>
      </c>
      <c r="C211" t="s">
        <v>1701</v>
      </c>
      <c r="D211" s="44">
        <f>IF(B211="","",+SUMIFS('300s Plant Balances Input'!K:K,'300s Plant Balances Input'!D:D,'300s - 5 Digit FERC Accounts'!B211))</f>
        <v>173209.91</v>
      </c>
      <c r="E211" s="44">
        <f>IF(B211="","",+SUMIFS('300s Plant Balances Input'!S:S,'300s Plant Balances Input'!D:D,'300s - 5 Digit FERC Accounts'!B211))</f>
        <v>141196.32999999999</v>
      </c>
      <c r="F211" s="44">
        <f>IF(B211="","",+SUMIFS('300s Plant Balances Input'!M:M,'300s Plant Balances Input'!D:D,'300s - 5 Digit FERC Accounts'!B211))</f>
        <v>2598.12</v>
      </c>
    </row>
    <row r="212" spans="1:6">
      <c r="A212" s="33" t="str">
        <f t="shared" si="3"/>
        <v>346</v>
      </c>
      <c r="B212" s="33">
        <v>34683</v>
      </c>
      <c r="C212" t="s">
        <v>1702</v>
      </c>
      <c r="D212" s="44">
        <f>IF(B212="","",+SUMIFS('300s Plant Balances Input'!K:K,'300s Plant Balances Input'!D:D,'300s - 5 Digit FERC Accounts'!B212))</f>
        <v>432910.42</v>
      </c>
      <c r="E212" s="44">
        <f>IF(B212="","",+SUMIFS('300s Plant Balances Input'!S:S,'300s Plant Balances Input'!D:D,'300s - 5 Digit FERC Accounts'!B212))</f>
        <v>288978.14</v>
      </c>
      <c r="F212" s="44">
        <f>IF(B212="","",+SUMIFS('300s Plant Balances Input'!M:M,'300s Plant Balances Input'!D:D,'300s - 5 Digit FERC Accounts'!B212))</f>
        <v>10563</v>
      </c>
    </row>
    <row r="213" spans="1:6">
      <c r="A213" s="33" t="str">
        <f t="shared" si="3"/>
        <v>346</v>
      </c>
      <c r="B213" s="33">
        <v>34684</v>
      </c>
      <c r="C213" t="s">
        <v>1703</v>
      </c>
      <c r="D213" s="44">
        <f>IF(B213="","",+SUMIFS('300s Plant Balances Input'!K:K,'300s Plant Balances Input'!D:D,'300s - 5 Digit FERC Accounts'!B213))</f>
        <v>0</v>
      </c>
      <c r="E213" s="44">
        <f>IF(B213="","",+SUMIFS('300s Plant Balances Input'!S:S,'300s Plant Balances Input'!D:D,'300s - 5 Digit FERC Accounts'!B213))</f>
        <v>0</v>
      </c>
      <c r="F213" s="44">
        <f>IF(B213="","",+SUMIFS('300s Plant Balances Input'!M:M,'300s Plant Balances Input'!D:D,'300s - 5 Digit FERC Accounts'!B213))</f>
        <v>0</v>
      </c>
    </row>
    <row r="214" spans="1:6">
      <c r="A214" s="33" t="str">
        <f t="shared" si="3"/>
        <v>346</v>
      </c>
      <c r="B214" s="33">
        <v>34685</v>
      </c>
      <c r="C214" t="s">
        <v>1704</v>
      </c>
      <c r="D214" s="44">
        <f>IF(B214="","",+SUMIFS('300s Plant Balances Input'!K:K,'300s Plant Balances Input'!D:D,'300s - 5 Digit FERC Accounts'!B214))</f>
        <v>0</v>
      </c>
      <c r="E214" s="44">
        <f>IF(B214="","",+SUMIFS('300s Plant Balances Input'!S:S,'300s Plant Balances Input'!D:D,'300s - 5 Digit FERC Accounts'!B214))</f>
        <v>0</v>
      </c>
      <c r="F214" s="44">
        <f>IF(B214="","",+SUMIFS('300s Plant Balances Input'!M:M,'300s Plant Balances Input'!D:D,'300s - 5 Digit FERC Accounts'!B214))</f>
        <v>0</v>
      </c>
    </row>
    <row r="215" spans="1:6">
      <c r="A215" s="33" t="str">
        <f t="shared" si="3"/>
        <v>346</v>
      </c>
      <c r="B215" s="33">
        <v>34686</v>
      </c>
      <c r="C215" t="s">
        <v>1705</v>
      </c>
      <c r="D215" s="44">
        <f>IF(B215="","",+SUMIFS('300s Plant Balances Input'!K:K,'300s Plant Balances Input'!D:D,'300s - 5 Digit FERC Accounts'!B215))</f>
        <v>141626.41</v>
      </c>
      <c r="E215" s="44">
        <f>IF(B215="","",+SUMIFS('300s Plant Balances Input'!S:S,'300s Plant Balances Input'!D:D,'300s - 5 Digit FERC Accounts'!B215))</f>
        <v>33513.22</v>
      </c>
      <c r="F215" s="44">
        <f>IF(B215="","",+SUMIFS('300s Plant Balances Input'!M:M,'300s Plant Balances Input'!D:D,'300s - 5 Digit FERC Accounts'!B215))</f>
        <v>5254.32</v>
      </c>
    </row>
    <row r="216" spans="1:6">
      <c r="A216" s="33" t="str">
        <f t="shared" si="3"/>
        <v>346</v>
      </c>
      <c r="B216" s="33">
        <v>34687</v>
      </c>
      <c r="C216" t="s">
        <v>1706</v>
      </c>
      <c r="D216" s="44">
        <f>IF(B216="","",+SUMIFS('300s Plant Balances Input'!K:K,'300s Plant Balances Input'!D:D,'300s - 5 Digit FERC Accounts'!B216))</f>
        <v>2111959.94</v>
      </c>
      <c r="E216" s="44">
        <f>IF(B216="","",+SUMIFS('300s Plant Balances Input'!S:S,'300s Plant Balances Input'!D:D,'300s - 5 Digit FERC Accounts'!B216))</f>
        <v>1237897.5900000001</v>
      </c>
      <c r="F216" s="44">
        <f>IF(B216="","",+SUMIFS('300s Plant Balances Input'!M:M,'300s Plant Balances Input'!D:D,'300s - 5 Digit FERC Accounts'!B216))</f>
        <v>302010.23999999999</v>
      </c>
    </row>
    <row r="217" spans="1:6">
      <c r="A217" s="33" t="str">
        <f t="shared" si="3"/>
        <v>347</v>
      </c>
      <c r="B217" s="33">
        <v>34700</v>
      </c>
      <c r="C217" t="s">
        <v>1707</v>
      </c>
      <c r="D217" s="44">
        <f>IF(B217="","",+SUMIFS('300s Plant Balances Input'!K:K,'300s Plant Balances Input'!D:D,'300s - 5 Digit FERC Accounts'!B217))</f>
        <v>12376233.220000001</v>
      </c>
      <c r="E217" s="44">
        <f>IF(B217="","",+SUMIFS('300s Plant Balances Input'!S:S,'300s Plant Balances Input'!D:D,'300s - 5 Digit FERC Accounts'!B217))</f>
        <v>2191178.02</v>
      </c>
      <c r="F217" s="44">
        <f>IF(B217="","",+SUMIFS('300s Plant Balances Input'!M:M,'300s Plant Balances Input'!D:D,'300s - 5 Digit FERC Accounts'!B217))</f>
        <v>420791.88</v>
      </c>
    </row>
    <row r="218" spans="1:6">
      <c r="A218" s="33" t="str">
        <f t="shared" si="3"/>
        <v>343</v>
      </c>
      <c r="B218" s="33">
        <v>34300</v>
      </c>
      <c r="C218" t="s">
        <v>8958</v>
      </c>
      <c r="D218" s="44">
        <f>IF(B218="","",+SUMIFS('300s Plant Balances Input'!K:K,'300s Plant Balances Input'!D:D,'300s - 5 Digit FERC Accounts'!B218))</f>
        <v>0</v>
      </c>
      <c r="E218" s="44">
        <f>IF(B218="","",+SUMIFS('300s Plant Balances Input'!S:S,'300s Plant Balances Input'!D:D,'300s - 5 Digit FERC Accounts'!B218))</f>
        <v>0</v>
      </c>
      <c r="F218" s="44">
        <f>IF(B218="","",+SUMIFS('300s Plant Balances Input'!M:M,'300s Plant Balances Input'!D:D,'300s - 5 Digit FERC Accounts'!B218))</f>
        <v>0</v>
      </c>
    </row>
    <row r="219" spans="1:6">
      <c r="A219" s="33" t="str">
        <f t="shared" si="3"/>
        <v>343</v>
      </c>
      <c r="B219" s="33">
        <v>34388</v>
      </c>
      <c r="C219" t="s">
        <v>2530</v>
      </c>
      <c r="D219" s="44">
        <f>IF(B219="","",+SUMIFS('300s Plant Balances Input'!K:K,'300s Plant Balances Input'!D:D,'300s - 5 Digit FERC Accounts'!B219))</f>
        <v>0</v>
      </c>
      <c r="E219" s="44">
        <f>IF(B219="","",+SUMIFS('300s Plant Balances Input'!S:S,'300s Plant Balances Input'!D:D,'300s - 5 Digit FERC Accounts'!B219))</f>
        <v>0</v>
      </c>
      <c r="F219" s="44">
        <f>IF(B219="","",+SUMIFS('300s Plant Balances Input'!M:M,'300s Plant Balances Input'!D:D,'300s - 5 Digit FERC Accounts'!B219))</f>
        <v>0</v>
      </c>
    </row>
    <row r="220" spans="1:6">
      <c r="A220" s="33" t="str">
        <f t="shared" si="3"/>
        <v>348</v>
      </c>
      <c r="B220" s="33">
        <v>34820</v>
      </c>
      <c r="C220" t="s">
        <v>8960</v>
      </c>
      <c r="D220" s="44">
        <f>IF(B220="","",+SUMIFS('300s Plant Balances Input'!K:K,'300s Plant Balances Input'!D:D,'300s - 5 Digit FERC Accounts'!B220))</f>
        <v>20609769.649999999</v>
      </c>
      <c r="E220" s="44">
        <f>IF(B220="","",+SUMIFS('300s Plant Balances Input'!S:S,'300s Plant Balances Input'!D:D,'300s - 5 Digit FERC Accounts'!B220))</f>
        <v>662588.54</v>
      </c>
      <c r="F220" s="44">
        <f>IF(B220="","",+SUMIFS('300s Plant Balances Input'!M:M,'300s Plant Balances Input'!D:D,'300s - 5 Digit FERC Accounts'!B220))</f>
        <v>1964359.53</v>
      </c>
    </row>
    <row r="221" spans="1:6">
      <c r="A221" s="33" t="str">
        <f t="shared" si="3"/>
        <v>348</v>
      </c>
      <c r="B221" s="33">
        <v>34800</v>
      </c>
      <c r="C221" t="s">
        <v>2529</v>
      </c>
      <c r="D221" s="44">
        <f>IF(B221="","",+SUMIFS('300s Plant Balances Input'!K:K,'300s Plant Balances Input'!D:D,'300s - 5 Digit FERC Accounts'!B221))</f>
        <v>0</v>
      </c>
      <c r="E221" s="44">
        <f>IF(B221="","",+SUMIFS('300s Plant Balances Input'!S:S,'300s Plant Balances Input'!D:D,'300s - 5 Digit FERC Accounts'!B221))</f>
        <v>0</v>
      </c>
      <c r="F221" s="44">
        <f>IF(B221="","",+SUMIFS('300s Plant Balances Input'!M:M,'300s Plant Balances Input'!D:D,'300s - 5 Digit FERC Accounts'!B221))</f>
        <v>0</v>
      </c>
    </row>
    <row r="222" spans="1:6">
      <c r="A222" s="33" t="str">
        <f t="shared" si="3"/>
        <v>348</v>
      </c>
      <c r="B222" s="33">
        <v>34899</v>
      </c>
      <c r="C222" t="s">
        <v>1708</v>
      </c>
      <c r="D222" s="44">
        <f>IF(B222="","",+SUMIFS('300s Plant Balances Input'!K:K,'300s Plant Balances Input'!D:D,'300s - 5 Digit FERC Accounts'!B222))</f>
        <v>108541769.38</v>
      </c>
      <c r="E222" s="44">
        <f>IF(B222="","",+SUMIFS('300s Plant Balances Input'!S:S,'300s Plant Balances Input'!D:D,'300s - 5 Digit FERC Accounts'!B222))</f>
        <v>8752577.0700000003</v>
      </c>
      <c r="F222" s="44">
        <f>IF(B222="","",+SUMIFS('300s Plant Balances Input'!M:M,'300s Plant Balances Input'!D:D,'300s - 5 Digit FERC Accounts'!B222))</f>
        <v>10860853.32</v>
      </c>
    </row>
    <row r="223" spans="1:6">
      <c r="A223" s="33" t="str">
        <f t="shared" si="3"/>
        <v>350</v>
      </c>
      <c r="B223" s="33">
        <v>35000</v>
      </c>
      <c r="C223" t="s">
        <v>1709</v>
      </c>
      <c r="D223" s="44">
        <f>IF(B223="","",+SUMIFS('300s Plant Balances Input'!K:K,'300s Plant Balances Input'!D:D,'300s - 5 Digit FERC Accounts'!B223))</f>
        <v>17799998.559999999</v>
      </c>
      <c r="E223" s="44">
        <f>IF(B223="","",+SUMIFS('300s Plant Balances Input'!S:S,'300s Plant Balances Input'!D:D,'300s - 5 Digit FERC Accounts'!B223))</f>
        <v>0</v>
      </c>
      <c r="F223" s="44">
        <f>IF(B223="","",+SUMIFS('300s Plant Balances Input'!M:M,'300s Plant Balances Input'!D:D,'300s - 5 Digit FERC Accounts'!B223))</f>
        <v>0</v>
      </c>
    </row>
    <row r="224" spans="1:6">
      <c r="A224" s="33" t="str">
        <f t="shared" si="3"/>
        <v>350</v>
      </c>
      <c r="B224" s="33">
        <v>35001</v>
      </c>
      <c r="C224" t="s">
        <v>1710</v>
      </c>
      <c r="D224" s="44">
        <f>IF(B224="","",+SUMIFS('300s Plant Balances Input'!K:K,'300s Plant Balances Input'!D:D,'300s - 5 Digit FERC Accounts'!B224))</f>
        <v>12162254.09</v>
      </c>
      <c r="E224" s="44">
        <f>IF(B224="","",+SUMIFS('300s Plant Balances Input'!S:S,'300s Plant Balances Input'!D:D,'300s - 5 Digit FERC Accounts'!B224))</f>
        <v>5182555.41</v>
      </c>
      <c r="F224" s="44">
        <f>IF(B224="","",+SUMIFS('300s Plant Balances Input'!M:M,'300s Plant Balances Input'!D:D,'300s - 5 Digit FERC Accounts'!B224))</f>
        <v>187298.76</v>
      </c>
    </row>
    <row r="225" spans="1:6">
      <c r="A225" s="33" t="str">
        <f t="shared" si="3"/>
        <v>351</v>
      </c>
      <c r="B225" s="33">
        <v>35100</v>
      </c>
      <c r="C225" t="s">
        <v>8236</v>
      </c>
      <c r="D225" s="44">
        <f>IF(B225="","",+SUMIFS('300s Plant Balances Input'!K:K,'300s Plant Balances Input'!D:D,'300s - 5 Digit FERC Accounts'!B225))</f>
        <v>0</v>
      </c>
      <c r="E225" s="44">
        <f>IF(B225="","",+SUMIFS('300s Plant Balances Input'!S:S,'300s Plant Balances Input'!D:D,'300s - 5 Digit FERC Accounts'!B225))</f>
        <v>0</v>
      </c>
      <c r="F225" s="44">
        <f>IF(B225="","",+SUMIFS('300s Plant Balances Input'!M:M,'300s Plant Balances Input'!D:D,'300s - 5 Digit FERC Accounts'!B225))</f>
        <v>0</v>
      </c>
    </row>
    <row r="226" spans="1:6">
      <c r="A226" s="33" t="str">
        <f t="shared" si="3"/>
        <v>352</v>
      </c>
      <c r="B226" s="33">
        <v>35200</v>
      </c>
      <c r="C226" t="s">
        <v>1711</v>
      </c>
      <c r="D226" s="44">
        <f>IF(B226="","",+SUMIFS('300s Plant Balances Input'!K:K,'300s Plant Balances Input'!D:D,'300s - 5 Digit FERC Accounts'!B226))</f>
        <v>76277379.719999999</v>
      </c>
      <c r="E226" s="44">
        <f>IF(B226="","",+SUMIFS('300s Plant Balances Input'!S:S,'300s Plant Balances Input'!D:D,'300s - 5 Digit FERC Accounts'!B226))</f>
        <v>16973679.649999999</v>
      </c>
      <c r="F226" s="44">
        <f>IF(B226="","",+SUMIFS('300s Plant Balances Input'!M:M,'300s Plant Balances Input'!D:D,'300s - 5 Digit FERC Accounts'!B226))</f>
        <v>1655219.16</v>
      </c>
    </row>
    <row r="227" spans="1:6">
      <c r="A227" s="33" t="str">
        <f t="shared" si="3"/>
        <v>353</v>
      </c>
      <c r="B227" s="33">
        <v>35300</v>
      </c>
      <c r="C227" t="s">
        <v>1712</v>
      </c>
      <c r="D227" s="44">
        <f>IF(B227="","",+SUMIFS('300s Plant Balances Input'!K:K,'300s Plant Balances Input'!D:D,'300s - 5 Digit FERC Accounts'!B227))</f>
        <v>458449851.30000001</v>
      </c>
      <c r="E227" s="44">
        <f>IF(B227="","",+SUMIFS('300s Plant Balances Input'!S:S,'300s Plant Balances Input'!D:D,'300s - 5 Digit FERC Accounts'!B227))</f>
        <v>99557050.689999998</v>
      </c>
      <c r="F227" s="44">
        <f>IF(B227="","",+SUMIFS('300s Plant Balances Input'!M:M,'300s Plant Balances Input'!D:D,'300s - 5 Digit FERC Accounts'!B227))</f>
        <v>10775994.01</v>
      </c>
    </row>
    <row r="228" spans="1:6">
      <c r="A228" s="33" t="str">
        <f t="shared" si="3"/>
        <v>354</v>
      </c>
      <c r="B228" s="33">
        <v>35400</v>
      </c>
      <c r="C228" t="s">
        <v>1713</v>
      </c>
      <c r="D228" s="44">
        <f>IF(B228="","",+SUMIFS('300s Plant Balances Input'!K:K,'300s Plant Balances Input'!D:D,'300s - 5 Digit FERC Accounts'!B228))</f>
        <v>5092060.55</v>
      </c>
      <c r="E228" s="44">
        <f>IF(B228="","",+SUMIFS('300s Plant Balances Input'!S:S,'300s Plant Balances Input'!D:D,'300s - 5 Digit FERC Accounts'!B228))</f>
        <v>5314114.1100000003</v>
      </c>
      <c r="F228" s="44">
        <f>IF(B228="","",+SUMIFS('300s Plant Balances Input'!M:M,'300s Plant Balances Input'!D:D,'300s - 5 Digit FERC Accounts'!B228))</f>
        <v>65687.64</v>
      </c>
    </row>
    <row r="229" spans="1:6">
      <c r="A229" s="33" t="str">
        <f t="shared" si="3"/>
        <v>355</v>
      </c>
      <c r="B229" s="33">
        <v>35500</v>
      </c>
      <c r="C229" t="s">
        <v>1714</v>
      </c>
      <c r="D229" s="44">
        <f>IF(B229="","",+SUMIFS('300s Plant Balances Input'!K:K,'300s Plant Balances Input'!D:D,'300s - 5 Digit FERC Accounts'!B229))</f>
        <v>534134812.68000001</v>
      </c>
      <c r="E229" s="44">
        <f>IF(B229="","",+SUMIFS('300s Plant Balances Input'!S:S,'300s Plant Balances Input'!D:D,'300s - 5 Digit FERC Accounts'!B229))</f>
        <v>143297337.16999999</v>
      </c>
      <c r="F229" s="44">
        <f>IF(B229="","",+SUMIFS('300s Plant Balances Input'!M:M,'300s Plant Balances Input'!D:D,'300s - 5 Digit FERC Accounts'!B229))</f>
        <v>15079041.050000001</v>
      </c>
    </row>
    <row r="230" spans="1:6">
      <c r="A230" s="33" t="str">
        <f t="shared" si="3"/>
        <v>356</v>
      </c>
      <c r="B230" s="33">
        <v>35600</v>
      </c>
      <c r="C230" t="s">
        <v>1715</v>
      </c>
      <c r="D230" s="44">
        <f>IF(B230="","",+SUMIFS('300s Plant Balances Input'!K:K,'300s Plant Balances Input'!D:D,'300s - 5 Digit FERC Accounts'!B230))</f>
        <v>191363148.16</v>
      </c>
      <c r="E230" s="44">
        <f>IF(B230="","",+SUMIFS('300s Plant Balances Input'!S:S,'300s Plant Balances Input'!D:D,'300s - 5 Digit FERC Accounts'!B230))</f>
        <v>32778268.300000001</v>
      </c>
      <c r="F230" s="44">
        <f>IF(B230="","",+SUMIFS('300s Plant Balances Input'!M:M,'300s Plant Balances Input'!D:D,'300s - 5 Digit FERC Accounts'!B230))</f>
        <v>5692058.21</v>
      </c>
    </row>
    <row r="231" spans="1:6">
      <c r="A231" s="33" t="str">
        <f t="shared" si="3"/>
        <v>356</v>
      </c>
      <c r="B231" s="33">
        <v>35601</v>
      </c>
      <c r="C231" t="s">
        <v>1716</v>
      </c>
      <c r="D231" s="44">
        <f>IF(B231="","",+SUMIFS('300s Plant Balances Input'!K:K,'300s Plant Balances Input'!D:D,'300s - 5 Digit FERC Accounts'!B231))</f>
        <v>2110610.13</v>
      </c>
      <c r="E231" s="44">
        <f>IF(B231="","",+SUMIFS('300s Plant Balances Input'!S:S,'300s Plant Balances Input'!D:D,'300s - 5 Digit FERC Accounts'!B231))</f>
        <v>1807897.21</v>
      </c>
      <c r="F231" s="44">
        <f>IF(B231="","",+SUMIFS('300s Plant Balances Input'!M:M,'300s Plant Balances Input'!D:D,'300s - 5 Digit FERC Accounts'!B231))</f>
        <v>21528.240000000002</v>
      </c>
    </row>
    <row r="232" spans="1:6">
      <c r="A232" s="33" t="str">
        <f t="shared" si="3"/>
        <v>357</v>
      </c>
      <c r="B232" s="33">
        <v>35700</v>
      </c>
      <c r="C232" t="s">
        <v>1717</v>
      </c>
      <c r="D232" s="44">
        <f>IF(B232="","",+SUMIFS('300s Plant Balances Input'!K:K,'300s Plant Balances Input'!D:D,'300s - 5 Digit FERC Accounts'!B232))</f>
        <v>4322860.53</v>
      </c>
      <c r="E232" s="44">
        <f>IF(B232="","",+SUMIFS('300s Plant Balances Input'!S:S,'300s Plant Balances Input'!D:D,'300s - 5 Digit FERC Accounts'!B232))</f>
        <v>1885951.5</v>
      </c>
      <c r="F232" s="44">
        <f>IF(B232="","",+SUMIFS('300s Plant Balances Input'!M:M,'300s Plant Balances Input'!D:D,'300s - 5 Digit FERC Accounts'!B232))</f>
        <v>78676.08</v>
      </c>
    </row>
    <row r="233" spans="1:6">
      <c r="A233" s="33" t="str">
        <f t="shared" si="3"/>
        <v>358</v>
      </c>
      <c r="B233" s="33">
        <v>35800</v>
      </c>
      <c r="C233" t="s">
        <v>1718</v>
      </c>
      <c r="D233" s="44">
        <f>IF(B233="","",+SUMIFS('300s Plant Balances Input'!K:K,'300s Plant Balances Input'!D:D,'300s - 5 Digit FERC Accounts'!B233))</f>
        <v>12363044.74</v>
      </c>
      <c r="E233" s="44">
        <f>IF(B233="","",+SUMIFS('300s Plant Balances Input'!S:S,'300s Plant Balances Input'!D:D,'300s - 5 Digit FERC Accounts'!B233))</f>
        <v>4137231.86</v>
      </c>
      <c r="F233" s="44">
        <f>IF(B233="","",+SUMIFS('300s Plant Balances Input'!M:M,'300s Plant Balances Input'!D:D,'300s - 5 Digit FERC Accounts'!B233))</f>
        <v>346165.2</v>
      </c>
    </row>
    <row r="234" spans="1:6">
      <c r="A234" s="33" t="str">
        <f t="shared" si="3"/>
        <v>359</v>
      </c>
      <c r="B234" s="33">
        <v>35900</v>
      </c>
      <c r="C234" t="s">
        <v>1719</v>
      </c>
      <c r="D234" s="44">
        <f>IF(B234="","",+SUMIFS('300s Plant Balances Input'!K:K,'300s Plant Balances Input'!D:D,'300s - 5 Digit FERC Accounts'!B234))</f>
        <v>20219292.530000001</v>
      </c>
      <c r="E234" s="44">
        <f>IF(B234="","",+SUMIFS('300s Plant Balances Input'!S:S,'300s Plant Balances Input'!D:D,'300s - 5 Digit FERC Accounts'!B234))</f>
        <v>3738078.57</v>
      </c>
      <c r="F234" s="44">
        <f>IF(B234="","",+SUMIFS('300s Plant Balances Input'!M:M,'300s Plant Balances Input'!D:D,'300s - 5 Digit FERC Accounts'!B234))</f>
        <v>356448.25</v>
      </c>
    </row>
    <row r="235" spans="1:6">
      <c r="A235" s="33" t="str">
        <f t="shared" si="3"/>
        <v>359</v>
      </c>
      <c r="B235" s="33">
        <v>35910</v>
      </c>
      <c r="C235" t="s">
        <v>8237</v>
      </c>
      <c r="D235" s="44">
        <f>IF(B235="","",+SUMIFS('300s Plant Balances Input'!K:K,'300s Plant Balances Input'!D:D,'300s - 5 Digit FERC Accounts'!B235))</f>
        <v>0</v>
      </c>
      <c r="E235" s="44">
        <f>IF(B235="","",+SUMIFS('300s Plant Balances Input'!S:S,'300s Plant Balances Input'!D:D,'300s - 5 Digit FERC Accounts'!B235))</f>
        <v>0</v>
      </c>
      <c r="F235" s="44">
        <f>IF(B235="","",+SUMIFS('300s Plant Balances Input'!M:M,'300s Plant Balances Input'!D:D,'300s - 5 Digit FERC Accounts'!B235))</f>
        <v>0</v>
      </c>
    </row>
    <row r="236" spans="1:6">
      <c r="A236" s="33" t="str">
        <f t="shared" si="3"/>
        <v>360</v>
      </c>
      <c r="B236" s="33">
        <v>36000</v>
      </c>
      <c r="C236" t="s">
        <v>1720</v>
      </c>
      <c r="D236" s="44">
        <f>IF(B236="","",+SUMIFS('300s Plant Balances Input'!K:K,'300s Plant Balances Input'!D:D,'300s - 5 Digit FERC Accounts'!B236))</f>
        <v>10119782.539999999</v>
      </c>
      <c r="E236" s="44">
        <f>IF(B236="","",+SUMIFS('300s Plant Balances Input'!S:S,'300s Plant Balances Input'!D:D,'300s - 5 Digit FERC Accounts'!B236))</f>
        <v>0</v>
      </c>
      <c r="F236" s="44">
        <f>IF(B236="","",+SUMIFS('300s Plant Balances Input'!M:M,'300s Plant Balances Input'!D:D,'300s - 5 Digit FERC Accounts'!B236))</f>
        <v>0</v>
      </c>
    </row>
    <row r="237" spans="1:6">
      <c r="A237" s="33" t="str">
        <f t="shared" si="3"/>
        <v>361</v>
      </c>
      <c r="B237" s="33">
        <v>36100</v>
      </c>
      <c r="C237" t="s">
        <v>1721</v>
      </c>
      <c r="D237" s="44">
        <f>IF(B237="","",+SUMIFS('300s Plant Balances Input'!K:K,'300s Plant Balances Input'!D:D,'300s - 5 Digit FERC Accounts'!B237))</f>
        <v>34138496.829999998</v>
      </c>
      <c r="E237" s="44">
        <f>IF(B237="","",+SUMIFS('300s Plant Balances Input'!S:S,'300s Plant Balances Input'!D:D,'300s - 5 Digit FERC Accounts'!B237))</f>
        <v>10296881.960000001</v>
      </c>
      <c r="F237" s="44">
        <f>IF(B237="","",+SUMIFS('300s Plant Balances Input'!M:M,'300s Plant Balances Input'!D:D,'300s - 5 Digit FERC Accounts'!B237))</f>
        <v>880773.24</v>
      </c>
    </row>
    <row r="238" spans="1:6">
      <c r="A238" s="33" t="str">
        <f t="shared" si="3"/>
        <v>362</v>
      </c>
      <c r="B238" s="33">
        <v>36200</v>
      </c>
      <c r="C238" t="s">
        <v>1722</v>
      </c>
      <c r="D238" s="44">
        <f>IF(B238="","",+SUMIFS('300s Plant Balances Input'!K:K,'300s Plant Balances Input'!D:D,'300s - 5 Digit FERC Accounts'!B238))</f>
        <v>331220247.22000003</v>
      </c>
      <c r="E238" s="44">
        <f>IF(B238="","",+SUMIFS('300s Plant Balances Input'!S:S,'300s Plant Balances Input'!D:D,'300s - 5 Digit FERC Accounts'!B238))</f>
        <v>82677371.489999995</v>
      </c>
      <c r="F238" s="44">
        <f>IF(B238="","",+SUMIFS('300s Plant Balances Input'!M:M,'300s Plant Balances Input'!D:D,'300s - 5 Digit FERC Accounts'!B238))</f>
        <v>9114261.2100000009</v>
      </c>
    </row>
    <row r="239" spans="1:6">
      <c r="A239" s="33" t="str">
        <f t="shared" si="3"/>
        <v>363</v>
      </c>
      <c r="B239" s="33">
        <v>36300</v>
      </c>
      <c r="C239" t="s">
        <v>8238</v>
      </c>
      <c r="D239" s="44">
        <f>IF(B239="","",+SUMIFS('300s Plant Balances Input'!K:K,'300s Plant Balances Input'!D:D,'300s - 5 Digit FERC Accounts'!B239))</f>
        <v>0</v>
      </c>
      <c r="E239" s="44">
        <f>IF(B239="","",+SUMIFS('300s Plant Balances Input'!S:S,'300s Plant Balances Input'!D:D,'300s - 5 Digit FERC Accounts'!B239))</f>
        <v>0</v>
      </c>
      <c r="F239" s="44">
        <f>IF(B239="","",+SUMIFS('300s Plant Balances Input'!M:M,'300s Plant Balances Input'!D:D,'300s - 5 Digit FERC Accounts'!B239))</f>
        <v>0</v>
      </c>
    </row>
    <row r="240" spans="1:6">
      <c r="A240" s="33" t="str">
        <f t="shared" si="3"/>
        <v>364</v>
      </c>
      <c r="B240" s="33">
        <v>36400</v>
      </c>
      <c r="C240" t="s">
        <v>1723</v>
      </c>
      <c r="D240" s="44">
        <f>IF(B240="","",+SUMIFS('300s Plant Balances Input'!K:K,'300s Plant Balances Input'!D:D,'300s - 5 Digit FERC Accounts'!B240))</f>
        <v>499219433.48000002</v>
      </c>
      <c r="E240" s="44">
        <f>IF(B240="","",+SUMIFS('300s Plant Balances Input'!S:S,'300s Plant Balances Input'!D:D,'300s - 5 Digit FERC Accounts'!B240))</f>
        <v>192985641.19</v>
      </c>
      <c r="F240" s="44">
        <f>IF(B240="","",+SUMIFS('300s Plant Balances Input'!M:M,'300s Plant Balances Input'!D:D,'300s - 5 Digit FERC Accounts'!B240))</f>
        <v>26341501.280000001</v>
      </c>
    </row>
    <row r="241" spans="1:6">
      <c r="A241" s="33" t="str">
        <f t="shared" si="3"/>
        <v>365</v>
      </c>
      <c r="B241" s="33">
        <v>36500</v>
      </c>
      <c r="C241" t="s">
        <v>1724</v>
      </c>
      <c r="D241" s="44">
        <f>IF(B241="","",+SUMIFS('300s Plant Balances Input'!K:K,'300s Plant Balances Input'!D:D,'300s - 5 Digit FERC Accounts'!B241))</f>
        <v>303327783.04000002</v>
      </c>
      <c r="E241" s="44">
        <f>IF(B241="","",+SUMIFS('300s Plant Balances Input'!S:S,'300s Plant Balances Input'!D:D,'300s - 5 Digit FERC Accounts'!B241))</f>
        <v>151439200.53999999</v>
      </c>
      <c r="F241" s="44">
        <f>IF(B241="","",+SUMIFS('300s Plant Balances Input'!M:M,'300s Plant Balances Input'!D:D,'300s - 5 Digit FERC Accounts'!B241))</f>
        <v>7051057.04</v>
      </c>
    </row>
    <row r="242" spans="1:6">
      <c r="A242" s="33" t="str">
        <f t="shared" si="3"/>
        <v>366</v>
      </c>
      <c r="B242" s="33">
        <v>36600</v>
      </c>
      <c r="C242" t="s">
        <v>1725</v>
      </c>
      <c r="D242" s="44">
        <f>IF(B242="","",+SUMIFS('300s Plant Balances Input'!K:K,'300s Plant Balances Input'!D:D,'300s - 5 Digit FERC Accounts'!B242))</f>
        <v>464182170.16000003</v>
      </c>
      <c r="E242" s="44">
        <f>IF(B242="","",+SUMIFS('300s Plant Balances Input'!S:S,'300s Plant Balances Input'!D:D,'300s - 5 Digit FERC Accounts'!B242))</f>
        <v>101456610.04000001</v>
      </c>
      <c r="F242" s="44">
        <f>IF(B242="","",+SUMIFS('300s Plant Balances Input'!M:M,'300s Plant Balances Input'!D:D,'300s - 5 Digit FERC Accounts'!B242))</f>
        <v>8151244.7199999997</v>
      </c>
    </row>
    <row r="243" spans="1:6">
      <c r="A243" s="33" t="str">
        <f t="shared" si="3"/>
        <v>367</v>
      </c>
      <c r="B243" s="33">
        <v>36700</v>
      </c>
      <c r="C243" t="s">
        <v>1726</v>
      </c>
      <c r="D243" s="44">
        <f>IF(B243="","",+SUMIFS('300s Plant Balances Input'!K:K,'300s Plant Balances Input'!D:D,'300s - 5 Digit FERC Accounts'!B243))</f>
        <v>784983492.21000004</v>
      </c>
      <c r="E243" s="44">
        <f>IF(B243="","",+SUMIFS('300s Plant Balances Input'!S:S,'300s Plant Balances Input'!D:D,'300s - 5 Digit FERC Accounts'!B243))</f>
        <v>63380247.600000001</v>
      </c>
      <c r="F243" s="44">
        <f>IF(B243="","",+SUMIFS('300s Plant Balances Input'!M:M,'300s Plant Balances Input'!D:D,'300s - 5 Digit FERC Accounts'!B243))</f>
        <v>27882617.57</v>
      </c>
    </row>
    <row r="244" spans="1:6">
      <c r="A244" s="33" t="str">
        <f t="shared" si="3"/>
        <v>368</v>
      </c>
      <c r="B244" s="33">
        <v>36800</v>
      </c>
      <c r="C244" t="s">
        <v>8239</v>
      </c>
      <c r="D244" s="44">
        <f>IF(B244="","",+SUMIFS('300s Plant Balances Input'!K:K,'300s Plant Balances Input'!D:D,'300s - 5 Digit FERC Accounts'!B244))</f>
        <v>1040688198.04</v>
      </c>
      <c r="E244" s="44">
        <f>IF(B244="","",+SUMIFS('300s Plant Balances Input'!S:S,'300s Plant Balances Input'!D:D,'300s - 5 Digit FERC Accounts'!B244))</f>
        <v>379252067.89999998</v>
      </c>
      <c r="F244" s="44">
        <f>IF(B244="","",+SUMIFS('300s Plant Balances Input'!M:M,'300s Plant Balances Input'!D:D,'300s - 5 Digit FERC Accounts'!B244))</f>
        <v>40688717.689999998</v>
      </c>
    </row>
    <row r="245" spans="1:6">
      <c r="A245" s="33" t="str">
        <f t="shared" si="3"/>
        <v>369</v>
      </c>
      <c r="B245" s="33">
        <v>36900</v>
      </c>
      <c r="C245" t="s">
        <v>1727</v>
      </c>
      <c r="D245" s="44">
        <f>IF(B245="","",+SUMIFS('300s Plant Balances Input'!K:K,'300s Plant Balances Input'!D:D,'300s - 5 Digit FERC Accounts'!B245))</f>
        <v>85268628.049999997</v>
      </c>
      <c r="E245" s="44">
        <f>IF(B245="","",+SUMIFS('300s Plant Balances Input'!S:S,'300s Plant Balances Input'!D:D,'300s - 5 Digit FERC Accounts'!B245))</f>
        <v>67453988.900000006</v>
      </c>
      <c r="F245" s="44">
        <f>IF(B245="","",+SUMIFS('300s Plant Balances Input'!M:M,'300s Plant Balances Input'!D:D,'300s - 5 Digit FERC Accounts'!B245))</f>
        <v>1993578.74</v>
      </c>
    </row>
    <row r="246" spans="1:6">
      <c r="A246" s="33" t="str">
        <f t="shared" si="3"/>
        <v>369</v>
      </c>
      <c r="B246" s="33">
        <v>36902</v>
      </c>
      <c r="C246" t="s">
        <v>1728</v>
      </c>
      <c r="D246" s="44">
        <f>IF(B246="","",+SUMIFS('300s Plant Balances Input'!K:K,'300s Plant Balances Input'!D:D,'300s - 5 Digit FERC Accounts'!B246))</f>
        <v>154070262.12</v>
      </c>
      <c r="E246" s="44">
        <f>IF(B246="","",+SUMIFS('300s Plant Balances Input'!S:S,'300s Plant Balances Input'!D:D,'300s - 5 Digit FERC Accounts'!B246))</f>
        <v>76639637.709999993</v>
      </c>
      <c r="F246" s="44">
        <f>IF(B246="","",+SUMIFS('300s Plant Balances Input'!M:M,'300s Plant Balances Input'!D:D,'300s - 5 Digit FERC Accounts'!B246))</f>
        <v>4063303.26</v>
      </c>
    </row>
    <row r="247" spans="1:6">
      <c r="A247" s="33" t="str">
        <f t="shared" si="3"/>
        <v>370</v>
      </c>
      <c r="B247" s="33">
        <v>37000</v>
      </c>
      <c r="C247" t="s">
        <v>1729</v>
      </c>
      <c r="D247" s="44">
        <f>IF(B247="","",+SUMIFS('300s Plant Balances Input'!K:K,'300s Plant Balances Input'!D:D,'300s - 5 Digit FERC Accounts'!B247))</f>
        <v>18799459.210000001</v>
      </c>
      <c r="E247" s="44">
        <f>IF(B247="","",+SUMIFS('300s Plant Balances Input'!S:S,'300s Plant Balances Input'!D:D,'300s - 5 Digit FERC Accounts'!B247))</f>
        <v>5896555.9699999997</v>
      </c>
      <c r="F247" s="44">
        <f>IF(B247="","",+SUMIFS('300s Plant Balances Input'!M:M,'300s Plant Balances Input'!D:D,'300s - 5 Digit FERC Accounts'!B247))</f>
        <v>1372360.56</v>
      </c>
    </row>
    <row r="248" spans="1:6">
      <c r="A248" s="33" t="str">
        <f t="shared" si="3"/>
        <v>370</v>
      </c>
      <c r="B248" s="33">
        <v>37001</v>
      </c>
      <c r="C248" t="s">
        <v>1730</v>
      </c>
      <c r="D248" s="44">
        <f>IF(B248="","",+SUMIFS('300s Plant Balances Input'!K:K,'300s Plant Balances Input'!D:D,'300s - 5 Digit FERC Accounts'!B248))</f>
        <v>124480363.42</v>
      </c>
      <c r="E248" s="44">
        <f>IF(B248="","",+SUMIFS('300s Plant Balances Input'!S:S,'300s Plant Balances Input'!D:D,'300s - 5 Digit FERC Accounts'!B248))</f>
        <v>18779219.93</v>
      </c>
      <c r="F248" s="44">
        <f>IF(B248="","",+SUMIFS('300s Plant Balances Input'!M:M,'300s Plant Balances Input'!D:D,'300s - 5 Digit FERC Accounts'!B248))</f>
        <v>13384252.84</v>
      </c>
    </row>
    <row r="249" spans="1:6">
      <c r="A249" s="33" t="s">
        <v>1770</v>
      </c>
      <c r="B249" s="33">
        <v>37010</v>
      </c>
      <c r="C249" t="s">
        <v>8961</v>
      </c>
      <c r="D249" s="44">
        <f>IF(B249="","",+SUMIFS('300s Plant Balances Input'!K:K,'300s Plant Balances Input'!D:D,'300s - 5 Digit FERC Accounts'!B249))</f>
        <v>6574569.5800000001</v>
      </c>
      <c r="E249" s="44">
        <f>IF(B249="","",+SUMIFS('300s Plant Balances Input'!S:S,'300s Plant Balances Input'!D:D,'300s - 5 Digit FERC Accounts'!B249))</f>
        <v>705136.44</v>
      </c>
      <c r="F249" s="44">
        <f>IF(B249="","",+SUMIFS('300s Plant Balances Input'!M:M,'300s Plant Balances Input'!D:D,'300s - 5 Digit FERC Accounts'!B249))</f>
        <v>647396.23</v>
      </c>
    </row>
    <row r="250" spans="1:6">
      <c r="A250" s="33" t="str">
        <f t="shared" si="3"/>
        <v>371</v>
      </c>
      <c r="B250" s="33">
        <v>37101</v>
      </c>
      <c r="C250" t="s">
        <v>1731</v>
      </c>
      <c r="D250" s="44">
        <f>IF(B250="","",+SUMIFS('300s Plant Balances Input'!K:K,'300s Plant Balances Input'!D:D,'300s - 5 Digit FERC Accounts'!B250))</f>
        <v>0</v>
      </c>
      <c r="E250" s="44">
        <f>IF(B250="","",+SUMIFS('300s Plant Balances Input'!S:S,'300s Plant Balances Input'!D:D,'300s - 5 Digit FERC Accounts'!B250))</f>
        <v>0</v>
      </c>
      <c r="F250" s="44">
        <f>IF(B250="","",+SUMIFS('300s Plant Balances Input'!M:M,'300s Plant Balances Input'!D:D,'300s - 5 Digit FERC Accounts'!B250))</f>
        <v>0</v>
      </c>
    </row>
    <row r="251" spans="1:6">
      <c r="A251" s="33" t="str">
        <f t="shared" si="3"/>
        <v>371</v>
      </c>
      <c r="B251" s="33">
        <v>37102</v>
      </c>
      <c r="C251" t="s">
        <v>1732</v>
      </c>
      <c r="D251" s="44">
        <f>IF(B251="","",+SUMIFS('300s Plant Balances Input'!K:K,'300s Plant Balances Input'!D:D,'300s - 5 Digit FERC Accounts'!B251))</f>
        <v>0</v>
      </c>
      <c r="E251" s="44">
        <f>IF(B251="","",+SUMIFS('300s Plant Balances Input'!S:S,'300s Plant Balances Input'!D:D,'300s - 5 Digit FERC Accounts'!B251))</f>
        <v>0</v>
      </c>
      <c r="F251" s="44">
        <f>IF(B251="","",+SUMIFS('300s Plant Balances Input'!M:M,'300s Plant Balances Input'!D:D,'300s - 5 Digit FERC Accounts'!B251))</f>
        <v>0</v>
      </c>
    </row>
    <row r="252" spans="1:6">
      <c r="A252" s="33" t="str">
        <f t="shared" si="3"/>
        <v>371</v>
      </c>
      <c r="B252" s="33">
        <v>37103</v>
      </c>
      <c r="C252" t="s">
        <v>1733</v>
      </c>
      <c r="D252" s="44">
        <f>IF(B252="","",+SUMIFS('300s Plant Balances Input'!K:K,'300s Plant Balances Input'!D:D,'300s - 5 Digit FERC Accounts'!B252))</f>
        <v>0</v>
      </c>
      <c r="E252" s="44">
        <f>IF(B252="","",+SUMIFS('300s Plant Balances Input'!S:S,'300s Plant Balances Input'!D:D,'300s - 5 Digit FERC Accounts'!B252))</f>
        <v>0</v>
      </c>
      <c r="F252" s="44">
        <f>IF(B252="","",+SUMIFS('300s Plant Balances Input'!M:M,'300s Plant Balances Input'!D:D,'300s - 5 Digit FERC Accounts'!B252))</f>
        <v>0</v>
      </c>
    </row>
    <row r="253" spans="1:6">
      <c r="A253" s="33" t="str">
        <f t="shared" si="3"/>
        <v>371</v>
      </c>
      <c r="B253" s="33">
        <v>37104</v>
      </c>
      <c r="C253" t="s">
        <v>1734</v>
      </c>
      <c r="D253" s="44">
        <f>IF(B253="","",+SUMIFS('300s Plant Balances Input'!K:K,'300s Plant Balances Input'!D:D,'300s - 5 Digit FERC Accounts'!B253))</f>
        <v>0</v>
      </c>
      <c r="E253" s="44">
        <f>IF(B253="","",+SUMIFS('300s Plant Balances Input'!S:S,'300s Plant Balances Input'!D:D,'300s - 5 Digit FERC Accounts'!B253))</f>
        <v>0</v>
      </c>
      <c r="F253" s="44">
        <f>IF(B253="","",+SUMIFS('300s Plant Balances Input'!M:M,'300s Plant Balances Input'!D:D,'300s - 5 Digit FERC Accounts'!B253))</f>
        <v>0</v>
      </c>
    </row>
    <row r="254" spans="1:6">
      <c r="A254" s="33" t="str">
        <f t="shared" si="3"/>
        <v>373</v>
      </c>
      <c r="B254" s="33">
        <v>37300</v>
      </c>
      <c r="C254" t="s">
        <v>1735</v>
      </c>
      <c r="D254" s="44">
        <f>IF(B254="","",+SUMIFS('300s Plant Balances Input'!K:K,'300s Plant Balances Input'!D:D,'300s - 5 Digit FERC Accounts'!B254))</f>
        <v>394175875.25999999</v>
      </c>
      <c r="E254" s="44">
        <f>IF(B254="","",+SUMIFS('300s Plant Balances Input'!S:S,'300s Plant Balances Input'!D:D,'300s - 5 Digit FERC Accounts'!B254))</f>
        <v>130582391.13</v>
      </c>
      <c r="F254" s="44">
        <f>IF(B254="","",+SUMIFS('300s Plant Balances Input'!M:M,'300s Plant Balances Input'!D:D,'300s - 5 Digit FERC Accounts'!B254))</f>
        <v>14373022.65</v>
      </c>
    </row>
    <row r="255" spans="1:6">
      <c r="A255" s="33" t="str">
        <f t="shared" si="3"/>
        <v>373</v>
      </c>
      <c r="B255" s="33">
        <v>37302</v>
      </c>
      <c r="C255" t="s">
        <v>1736</v>
      </c>
      <c r="D255" s="44">
        <f>IF(B255="","",+SUMIFS('300s Plant Balances Input'!K:K,'300s Plant Balances Input'!D:D,'300s - 5 Digit FERC Accounts'!B255))</f>
        <v>22121804.289999999</v>
      </c>
      <c r="E255" s="44">
        <f>IF(B255="","",+SUMIFS('300s Plant Balances Input'!S:S,'300s Plant Balances Input'!D:D,'300s - 5 Digit FERC Accounts'!B255))</f>
        <v>1635191.37</v>
      </c>
      <c r="F255" s="44">
        <f>IF(B255="","",+SUMIFS('300s Plant Balances Input'!M:M,'300s Plant Balances Input'!D:D,'300s - 5 Digit FERC Accounts'!B255))</f>
        <v>902569.56</v>
      </c>
    </row>
    <row r="256" spans="1:6">
      <c r="A256" s="33" t="str">
        <f t="shared" si="3"/>
        <v>374</v>
      </c>
      <c r="B256" s="33">
        <v>37400</v>
      </c>
      <c r="C256" t="s">
        <v>1737</v>
      </c>
      <c r="D256" s="44">
        <f>IF(B256="","",+SUMIFS('300s Plant Balances Input'!K:K,'300s Plant Balances Input'!D:D,'300s - 5 Digit FERC Accounts'!B256))</f>
        <v>7160182.2599999998</v>
      </c>
      <c r="E256" s="44">
        <f>IF(B256="","",+SUMIFS('300s Plant Balances Input'!S:S,'300s Plant Balances Input'!D:D,'300s - 5 Digit FERC Accounts'!B256))</f>
        <v>1917433.55</v>
      </c>
      <c r="F256" s="44">
        <f>IF(B256="","",+SUMIFS('300s Plant Balances Input'!M:M,'300s Plant Balances Input'!D:D,'300s - 5 Digit FERC Accounts'!B256))</f>
        <v>100242.6</v>
      </c>
    </row>
    <row r="257" spans="1:6">
      <c r="A257" s="33" t="str">
        <f t="shared" si="3"/>
        <v>389</v>
      </c>
      <c r="B257" s="33">
        <v>38900</v>
      </c>
      <c r="C257" t="s">
        <v>1738</v>
      </c>
      <c r="D257" s="44">
        <f>IF(B257="","",+SUMIFS('300s Plant Balances Input'!K:K,'300s Plant Balances Input'!D:D,'300s - 5 Digit FERC Accounts'!B257))</f>
        <v>16600915.82</v>
      </c>
      <c r="E257" s="44">
        <f>IF(B257="","",+SUMIFS('300s Plant Balances Input'!S:S,'300s Plant Balances Input'!D:D,'300s - 5 Digit FERC Accounts'!B257))</f>
        <v>0</v>
      </c>
      <c r="F257" s="44">
        <f>IF(B257="","",+SUMIFS('300s Plant Balances Input'!M:M,'300s Plant Balances Input'!D:D,'300s - 5 Digit FERC Accounts'!B257))</f>
        <v>0</v>
      </c>
    </row>
    <row r="258" spans="1:6">
      <c r="A258" s="33" t="str">
        <f t="shared" si="3"/>
        <v>390</v>
      </c>
      <c r="B258" s="33">
        <v>39000</v>
      </c>
      <c r="C258" t="s">
        <v>1739</v>
      </c>
      <c r="D258" s="44">
        <f>IF(B258="","",+SUMIFS('300s Plant Balances Input'!K:K,'300s Plant Balances Input'!D:D,'300s - 5 Digit FERC Accounts'!B258))</f>
        <v>440479478.23000002</v>
      </c>
      <c r="E258" s="44">
        <f>IF(B258="","",+SUMIFS('300s Plant Balances Input'!S:S,'300s Plant Balances Input'!D:D,'300s - 5 Digit FERC Accounts'!B258))</f>
        <v>45485804.700000003</v>
      </c>
      <c r="F258" s="44">
        <f>IF(B258="","",+SUMIFS('300s Plant Balances Input'!M:M,'300s Plant Balances Input'!D:D,'300s - 5 Digit FERC Accounts'!B258))</f>
        <v>7193325.5899999999</v>
      </c>
    </row>
    <row r="259" spans="1:6">
      <c r="A259" s="33" t="str">
        <f t="shared" si="3"/>
        <v>391</v>
      </c>
      <c r="B259" s="33">
        <v>39101</v>
      </c>
      <c r="C259" t="s">
        <v>1740</v>
      </c>
      <c r="D259" s="44">
        <f>IF(B259="","",+SUMIFS('300s Plant Balances Input'!K:K,'300s Plant Balances Input'!D:D,'300s - 5 Digit FERC Accounts'!B259))</f>
        <v>6522111.1699999999</v>
      </c>
      <c r="E259" s="44">
        <f>IF(B259="","",+SUMIFS('300s Plant Balances Input'!S:S,'300s Plant Balances Input'!D:D,'300s - 5 Digit FERC Accounts'!B259))</f>
        <v>3840867.1</v>
      </c>
      <c r="F259" s="44">
        <f>IF(B259="","",+SUMIFS('300s Plant Balances Input'!M:M,'300s Plant Balances Input'!D:D,'300s - 5 Digit FERC Accounts'!B259))</f>
        <v>933533.31</v>
      </c>
    </row>
    <row r="260" spans="1:6">
      <c r="A260" s="33" t="str">
        <f t="shared" si="3"/>
        <v>391</v>
      </c>
      <c r="B260" s="33">
        <v>39102</v>
      </c>
      <c r="C260" t="s">
        <v>1741</v>
      </c>
      <c r="D260" s="44">
        <f>IF(B260="","",+SUMIFS('300s Plant Balances Input'!K:K,'300s Plant Balances Input'!D:D,'300s - 5 Digit FERC Accounts'!B260))</f>
        <v>13313638.630000001</v>
      </c>
      <c r="E260" s="44">
        <f>IF(B260="","",+SUMIFS('300s Plant Balances Input'!S:S,'300s Plant Balances Input'!D:D,'300s - 5 Digit FERC Accounts'!B260))</f>
        <v>9594376.6199999992</v>
      </c>
      <c r="F260" s="44">
        <f>IF(B260="","",+SUMIFS('300s Plant Balances Input'!M:M,'300s Plant Balances Input'!D:D,'300s - 5 Digit FERC Accounts'!B260))</f>
        <v>3293010.02</v>
      </c>
    </row>
    <row r="261" spans="1:6">
      <c r="A261" s="33" t="str">
        <f t="shared" si="3"/>
        <v>391</v>
      </c>
      <c r="B261" s="33">
        <v>39103</v>
      </c>
      <c r="C261" t="s">
        <v>1742</v>
      </c>
      <c r="D261" s="44">
        <f>IF(B261="","",+SUMIFS('300s Plant Balances Input'!K:K,'300s Plant Balances Input'!D:D,'300s - 5 Digit FERC Accounts'!B261))</f>
        <v>0</v>
      </c>
      <c r="E261" s="44">
        <f>IF(B261="","",+SUMIFS('300s Plant Balances Input'!S:S,'300s Plant Balances Input'!D:D,'300s - 5 Digit FERC Accounts'!B261))</f>
        <v>0</v>
      </c>
      <c r="F261" s="44">
        <f>IF(B261="","",+SUMIFS('300s Plant Balances Input'!M:M,'300s Plant Balances Input'!D:D,'300s - 5 Digit FERC Accounts'!B261))</f>
        <v>0</v>
      </c>
    </row>
    <row r="262" spans="1:6">
      <c r="A262" s="33" t="str">
        <f t="shared" si="3"/>
        <v>391</v>
      </c>
      <c r="B262" s="33">
        <v>39104</v>
      </c>
      <c r="C262" t="s">
        <v>1743</v>
      </c>
      <c r="D262" s="44">
        <f>IF(B262="","",+SUMIFS('300s Plant Balances Input'!K:K,'300s Plant Balances Input'!D:D,'300s - 5 Digit FERC Accounts'!B262))</f>
        <v>53762035.640000001</v>
      </c>
      <c r="E262" s="44">
        <f>IF(B262="","",+SUMIFS('300s Plant Balances Input'!S:S,'300s Plant Balances Input'!D:D,'300s - 5 Digit FERC Accounts'!B262))</f>
        <v>25663039.079999998</v>
      </c>
      <c r="F262" s="44">
        <f>IF(B262="","",+SUMIFS('300s Plant Balances Input'!M:M,'300s Plant Balances Input'!D:D,'300s - 5 Digit FERC Accounts'!B262))</f>
        <v>10572333.720000001</v>
      </c>
    </row>
    <row r="263" spans="1:6">
      <c r="A263" s="33" t="str">
        <f t="shared" si="3"/>
        <v>392</v>
      </c>
      <c r="B263" s="33">
        <v>39201</v>
      </c>
      <c r="C263" t="s">
        <v>8240</v>
      </c>
      <c r="D263" s="44">
        <f>IF(B263="","",+SUMIFS('300s Plant Balances Input'!K:K,'300s Plant Balances Input'!D:D,'300s - 5 Digit FERC Accounts'!B263))</f>
        <v>0</v>
      </c>
      <c r="E263" s="44">
        <f>IF(B263="","",+SUMIFS('300s Plant Balances Input'!S:S,'300s Plant Balances Input'!D:D,'300s - 5 Digit FERC Accounts'!B263))</f>
        <v>0</v>
      </c>
      <c r="F263" s="44">
        <f>IF(B263="","",+SUMIFS('300s Plant Balances Input'!M:M,'300s Plant Balances Input'!D:D,'300s - 5 Digit FERC Accounts'!B263))</f>
        <v>0</v>
      </c>
    </row>
    <row r="264" spans="1:6">
      <c r="A264" s="33" t="str">
        <f t="shared" si="3"/>
        <v>392</v>
      </c>
      <c r="B264" s="33">
        <v>39202</v>
      </c>
      <c r="C264" t="s">
        <v>1744</v>
      </c>
      <c r="D264" s="44">
        <f>IF(B264="","",+SUMIFS('300s Plant Balances Input'!K:K,'300s Plant Balances Input'!D:D,'300s - 5 Digit FERC Accounts'!B264))</f>
        <v>31088615.02</v>
      </c>
      <c r="E264" s="44">
        <f>IF(B264="","",+SUMIFS('300s Plant Balances Input'!S:S,'300s Plant Balances Input'!D:D,'300s - 5 Digit FERC Accounts'!B264))</f>
        <v>8690962.6500000004</v>
      </c>
      <c r="F264" s="44">
        <f>IF(B264="","",+SUMIFS('300s Plant Balances Input'!M:M,'300s Plant Balances Input'!D:D,'300s - 5 Digit FERC Accounts'!B264))</f>
        <v>2166524.2200000002</v>
      </c>
    </row>
    <row r="265" spans="1:6">
      <c r="A265" s="33" t="str">
        <f t="shared" si="3"/>
        <v>392</v>
      </c>
      <c r="B265" s="33">
        <v>39203</v>
      </c>
      <c r="C265" t="s">
        <v>1745</v>
      </c>
      <c r="D265" s="44">
        <f>IF(B265="","",+SUMIFS('300s Plant Balances Input'!K:K,'300s Plant Balances Input'!D:D,'300s - 5 Digit FERC Accounts'!B265))</f>
        <v>80730762.209999993</v>
      </c>
      <c r="E265" s="44">
        <f>IF(B265="","",+SUMIFS('300s Plant Balances Input'!S:S,'300s Plant Balances Input'!D:D,'300s - 5 Digit FERC Accounts'!B265))</f>
        <v>30234072.18</v>
      </c>
      <c r="F265" s="44">
        <f>IF(B265="","",+SUMIFS('300s Plant Balances Input'!M:M,'300s Plant Balances Input'!D:D,'300s - 5 Digit FERC Accounts'!B265))</f>
        <v>3366472.8</v>
      </c>
    </row>
    <row r="266" spans="1:6">
      <c r="A266" s="33" t="str">
        <f t="shared" si="3"/>
        <v>392</v>
      </c>
      <c r="B266" s="33">
        <v>39204</v>
      </c>
      <c r="C266" t="s">
        <v>1746</v>
      </c>
      <c r="D266" s="44">
        <f>IF(B266="","",+SUMIFS('300s Plant Balances Input'!K:K,'300s Plant Balances Input'!D:D,'300s - 5 Digit FERC Accounts'!B266))</f>
        <v>0</v>
      </c>
      <c r="E266" s="44">
        <f>IF(B266="","",+SUMIFS('300s Plant Balances Input'!S:S,'300s Plant Balances Input'!D:D,'300s - 5 Digit FERC Accounts'!B266))</f>
        <v>0</v>
      </c>
      <c r="F266" s="44">
        <f>IF(B266="","",+SUMIFS('300s Plant Balances Input'!M:M,'300s Plant Balances Input'!D:D,'300s - 5 Digit FERC Accounts'!B266))</f>
        <v>0</v>
      </c>
    </row>
    <row r="267" spans="1:6">
      <c r="A267" s="33" t="str">
        <f t="shared" si="3"/>
        <v>392</v>
      </c>
      <c r="B267" s="33">
        <v>39212</v>
      </c>
      <c r="C267" t="s">
        <v>1747</v>
      </c>
      <c r="D267" s="44">
        <f>IF(B267="","",+SUMIFS('300s Plant Balances Input'!K:K,'300s Plant Balances Input'!D:D,'300s - 5 Digit FERC Accounts'!B267))</f>
        <v>6411738.3200000003</v>
      </c>
      <c r="E267" s="44">
        <f>IF(B267="","",+SUMIFS('300s Plant Balances Input'!S:S,'300s Plant Balances Input'!D:D,'300s - 5 Digit FERC Accounts'!B267))</f>
        <v>2375194.23</v>
      </c>
      <c r="F267" s="44">
        <f>IF(B267="","",+SUMIFS('300s Plant Balances Input'!M:M,'300s Plant Balances Input'!D:D,'300s - 5 Digit FERC Accounts'!B267))</f>
        <v>363545.52</v>
      </c>
    </row>
    <row r="268" spans="1:6">
      <c r="A268" s="33" t="str">
        <f t="shared" si="3"/>
        <v>392</v>
      </c>
      <c r="B268" s="33">
        <v>39213</v>
      </c>
      <c r="C268" t="s">
        <v>1748</v>
      </c>
      <c r="D268" s="44">
        <f>IF(B268="","",+SUMIFS('300s Plant Balances Input'!K:K,'300s Plant Balances Input'!D:D,'300s - 5 Digit FERC Accounts'!B268))</f>
        <v>1071147.3899999999</v>
      </c>
      <c r="E268" s="44">
        <f>IF(B268="","",+SUMIFS('300s Plant Balances Input'!S:S,'300s Plant Balances Input'!D:D,'300s - 5 Digit FERC Accounts'!B268))</f>
        <v>305499.01</v>
      </c>
      <c r="F268" s="44">
        <f>IF(B268="","",+SUMIFS('300s Plant Balances Input'!M:M,'300s Plant Balances Input'!D:D,'300s - 5 Digit FERC Accounts'!B268))</f>
        <v>64590.239999999998</v>
      </c>
    </row>
    <row r="269" spans="1:6">
      <c r="A269" s="33" t="str">
        <f t="shared" si="3"/>
        <v>392</v>
      </c>
      <c r="B269" s="33">
        <v>39214</v>
      </c>
      <c r="C269" t="s">
        <v>1749</v>
      </c>
      <c r="D269" s="44">
        <f>IF(B269="","",+SUMIFS('300s Plant Balances Input'!K:K,'300s Plant Balances Input'!D:D,'300s - 5 Digit FERC Accounts'!B269))</f>
        <v>0</v>
      </c>
      <c r="E269" s="44">
        <f>IF(B269="","",+SUMIFS('300s Plant Balances Input'!S:S,'300s Plant Balances Input'!D:D,'300s - 5 Digit FERC Accounts'!B269))</f>
        <v>0</v>
      </c>
      <c r="F269" s="44">
        <f>IF(B269="","",+SUMIFS('300s Plant Balances Input'!M:M,'300s Plant Balances Input'!D:D,'300s - 5 Digit FERC Accounts'!B269))</f>
        <v>0</v>
      </c>
    </row>
    <row r="270" spans="1:6">
      <c r="A270" s="33" t="str">
        <f t="shared" ref="A270:A333" si="4">+LEFT(B270,3)</f>
        <v>393</v>
      </c>
      <c r="B270" s="33">
        <v>39300</v>
      </c>
      <c r="C270" t="s">
        <v>1750</v>
      </c>
      <c r="D270" s="44">
        <f>IF(B270="","",+SUMIFS('300s Plant Balances Input'!K:K,'300s Plant Balances Input'!D:D,'300s - 5 Digit FERC Accounts'!B270))</f>
        <v>0</v>
      </c>
      <c r="E270" s="44">
        <f>IF(B270="","",+SUMIFS('300s Plant Balances Input'!S:S,'300s Plant Balances Input'!D:D,'300s - 5 Digit FERC Accounts'!B270))</f>
        <v>0</v>
      </c>
      <c r="F270" s="44">
        <f>IF(B270="","",+SUMIFS('300s Plant Balances Input'!M:M,'300s Plant Balances Input'!D:D,'300s - 5 Digit FERC Accounts'!B270))</f>
        <v>0</v>
      </c>
    </row>
    <row r="271" spans="1:6">
      <c r="A271" s="33" t="str">
        <f t="shared" si="4"/>
        <v>394</v>
      </c>
      <c r="B271" s="33">
        <v>39400</v>
      </c>
      <c r="C271" t="s">
        <v>1751</v>
      </c>
      <c r="D271" s="44">
        <f>IF(B271="","",+SUMIFS('300s Plant Balances Input'!K:K,'300s Plant Balances Input'!D:D,'300s - 5 Digit FERC Accounts'!B271))</f>
        <v>15905802.65</v>
      </c>
      <c r="E271" s="44">
        <f>IF(B271="","",+SUMIFS('300s Plant Balances Input'!S:S,'300s Plant Balances Input'!D:D,'300s - 5 Digit FERC Accounts'!B271))</f>
        <v>6796314.5999999996</v>
      </c>
      <c r="F271" s="44">
        <f>IF(B271="","",+SUMIFS('300s Plant Balances Input'!M:M,'300s Plant Balances Input'!D:D,'300s - 5 Digit FERC Accounts'!B271))</f>
        <v>2265850.92</v>
      </c>
    </row>
    <row r="272" spans="1:6">
      <c r="A272" s="33" t="str">
        <f t="shared" si="4"/>
        <v>394</v>
      </c>
      <c r="B272" s="33">
        <v>39401</v>
      </c>
      <c r="C272" t="s">
        <v>8241</v>
      </c>
      <c r="D272" s="44">
        <f>IF(B272="","",+SUMIFS('300s Plant Balances Input'!K:K,'300s Plant Balances Input'!D:D,'300s - 5 Digit FERC Accounts'!B272))</f>
        <v>4188533.43</v>
      </c>
      <c r="E272" s="44">
        <f>IF(B272="","",+SUMIFS('300s Plant Balances Input'!S:S,'300s Plant Balances Input'!D:D,'300s - 5 Digit FERC Accounts'!B272))</f>
        <v>3412087.01</v>
      </c>
      <c r="F272" s="44">
        <f>IF(B272="","",+SUMIFS('300s Plant Balances Input'!M:M,'300s Plant Balances Input'!D:D,'300s - 5 Digit FERC Accounts'!B272))</f>
        <v>837706.68</v>
      </c>
    </row>
    <row r="273" spans="1:6">
      <c r="A273" s="33" t="str">
        <f t="shared" si="4"/>
        <v>394</v>
      </c>
      <c r="B273" s="33">
        <v>39403</v>
      </c>
      <c r="C273" t="s">
        <v>8242</v>
      </c>
      <c r="D273" s="44">
        <f>IF(B273="","",+SUMIFS('300s Plant Balances Input'!K:K,'300s Plant Balances Input'!D:D,'300s - 5 Digit FERC Accounts'!B273))</f>
        <v>0</v>
      </c>
      <c r="E273" s="44">
        <f>IF(B273="","",+SUMIFS('300s Plant Balances Input'!S:S,'300s Plant Balances Input'!D:D,'300s - 5 Digit FERC Accounts'!B273))</f>
        <v>0</v>
      </c>
      <c r="F273" s="44">
        <f>IF(B273="","",+SUMIFS('300s Plant Balances Input'!M:M,'300s Plant Balances Input'!D:D,'300s - 5 Digit FERC Accounts'!B273))</f>
        <v>0</v>
      </c>
    </row>
    <row r="274" spans="1:6">
      <c r="A274" s="33" t="str">
        <f t="shared" si="4"/>
        <v>395</v>
      </c>
      <c r="B274" s="33">
        <v>39500</v>
      </c>
      <c r="C274" t="s">
        <v>1752</v>
      </c>
      <c r="D274" s="44">
        <f>IF(B274="","",+SUMIFS('300s Plant Balances Input'!K:K,'300s Plant Balances Input'!D:D,'300s - 5 Digit FERC Accounts'!B274))</f>
        <v>17773394.870000001</v>
      </c>
      <c r="E274" s="44">
        <f>IF(B274="","",+SUMIFS('300s Plant Balances Input'!S:S,'300s Plant Balances Input'!D:D,'300s - 5 Digit FERC Accounts'!B274))</f>
        <v>2821810.42</v>
      </c>
      <c r="F274" s="44">
        <f>IF(B274="","",+SUMIFS('300s Plant Balances Input'!M:M,'300s Plant Balances Input'!D:D,'300s - 5 Digit FERC Accounts'!B274))</f>
        <v>2503629.46</v>
      </c>
    </row>
    <row r="275" spans="1:6">
      <c r="A275" s="33" t="str">
        <f t="shared" si="4"/>
        <v>396</v>
      </c>
      <c r="B275" s="33">
        <v>39600</v>
      </c>
      <c r="C275" t="s">
        <v>1753</v>
      </c>
      <c r="D275" s="44">
        <f>IF(B275="","",+SUMIFS('300s Plant Balances Input'!K:K,'300s Plant Balances Input'!D:D,'300s - 5 Digit FERC Accounts'!B275))</f>
        <v>0</v>
      </c>
      <c r="E275" s="44">
        <f>IF(B275="","",+SUMIFS('300s Plant Balances Input'!S:S,'300s Plant Balances Input'!D:D,'300s - 5 Digit FERC Accounts'!B275))</f>
        <v>0</v>
      </c>
      <c r="F275" s="44">
        <f>IF(B275="","",+SUMIFS('300s Plant Balances Input'!M:M,'300s Plant Balances Input'!D:D,'300s - 5 Digit FERC Accounts'!B275))</f>
        <v>0</v>
      </c>
    </row>
    <row r="276" spans="1:6">
      <c r="A276" s="33" t="str">
        <f t="shared" si="4"/>
        <v>397</v>
      </c>
      <c r="B276" s="33">
        <v>39700</v>
      </c>
      <c r="C276" t="s">
        <v>1754</v>
      </c>
      <c r="D276" s="44">
        <f>IF(B276="","",+SUMIFS('300s Plant Balances Input'!K:K,'300s Plant Balances Input'!D:D,'300s - 5 Digit FERC Accounts'!B276))</f>
        <v>45249965.670000002</v>
      </c>
      <c r="E276" s="44">
        <f>IF(B276="","",+SUMIFS('300s Plant Balances Input'!S:S,'300s Plant Balances Input'!D:D,'300s - 5 Digit FERC Accounts'!B276))</f>
        <v>24586568.800000001</v>
      </c>
      <c r="F276" s="44">
        <f>IF(B276="","",+SUMIFS('300s Plant Balances Input'!M:M,'300s Plant Balances Input'!D:D,'300s - 5 Digit FERC Accounts'!B276))</f>
        <v>6539590.46</v>
      </c>
    </row>
    <row r="277" spans="1:6">
      <c r="A277" s="33" t="str">
        <f t="shared" si="4"/>
        <v>397</v>
      </c>
      <c r="B277" s="33">
        <v>39725</v>
      </c>
      <c r="C277" t="s">
        <v>1755</v>
      </c>
      <c r="D277" s="44">
        <f>IF(B277="","",+SUMIFS('300s Plant Balances Input'!K:K,'300s Plant Balances Input'!D:D,'300s - 5 Digit FERC Accounts'!B277))</f>
        <v>64751054.149999999</v>
      </c>
      <c r="E277" s="44">
        <f>IF(B277="","",+SUMIFS('300s Plant Balances Input'!S:S,'300s Plant Balances Input'!D:D,'300s - 5 Digit FERC Accounts'!B277))</f>
        <v>25897297.41</v>
      </c>
      <c r="F277" s="44">
        <f>IF(B277="","",+SUMIFS('300s Plant Balances Input'!M:M,'300s Plant Balances Input'!D:D,'300s - 5 Digit FERC Accounts'!B277))</f>
        <v>1810228.83</v>
      </c>
    </row>
    <row r="278" spans="1:6">
      <c r="A278" s="33" t="str">
        <f t="shared" si="4"/>
        <v>398</v>
      </c>
      <c r="B278" s="33">
        <v>39800</v>
      </c>
      <c r="C278" t="s">
        <v>1756</v>
      </c>
      <c r="D278" s="44">
        <f>IF(B278="","",+SUMIFS('300s Plant Balances Input'!K:K,'300s Plant Balances Input'!D:D,'300s - 5 Digit FERC Accounts'!B278))</f>
        <v>4972845.12</v>
      </c>
      <c r="E278" s="44">
        <f>IF(B278="","",+SUMIFS('300s Plant Balances Input'!S:S,'300s Plant Balances Input'!D:D,'300s - 5 Digit FERC Accounts'!B278))</f>
        <v>2741421.98</v>
      </c>
      <c r="F278" s="44">
        <f>IF(B278="","",+SUMIFS('300s Plant Balances Input'!M:M,'300s Plant Balances Input'!D:D,'300s - 5 Digit FERC Accounts'!B278))</f>
        <v>705000.38</v>
      </c>
    </row>
    <row r="279" spans="1:6">
      <c r="A279" s="33" t="str">
        <f t="shared" si="4"/>
        <v>399</v>
      </c>
      <c r="B279" s="33">
        <v>39910</v>
      </c>
      <c r="C279" t="s">
        <v>1757</v>
      </c>
      <c r="D279" s="44">
        <f>IF(B279="","",+SUMIFS('300s Plant Balances Input'!K:K,'300s Plant Balances Input'!D:D,'300s - 5 Digit FERC Accounts'!B279))</f>
        <v>269187.51</v>
      </c>
      <c r="E279" s="44">
        <f>IF(B279="","",+SUMIFS('300s Plant Balances Input'!S:S,'300s Plant Balances Input'!D:D,'300s - 5 Digit FERC Accounts'!B279))</f>
        <v>146622.67000000001</v>
      </c>
      <c r="F279" s="44">
        <f>IF(B279="","",+SUMIFS('300s Plant Balances Input'!M:M,'300s Plant Balances Input'!D:D,'300s - 5 Digit FERC Accounts'!B279))</f>
        <v>11575.08</v>
      </c>
    </row>
    <row r="280" spans="1:6">
      <c r="A280" s="33" t="str">
        <f t="shared" si="4"/>
        <v>343</v>
      </c>
      <c r="B280" s="33">
        <v>34398</v>
      </c>
      <c r="C280" t="s">
        <v>8508</v>
      </c>
      <c r="D280" s="44">
        <f>IF(B280="","",+SUMIFS('300s Plant Balances Input'!K:K,'300s Plant Balances Input'!D:D,'300s - 5 Digit FERC Accounts'!B280))</f>
        <v>940672.19</v>
      </c>
      <c r="E280" s="44">
        <f>IF(B280="","",+SUMIFS('300s Plant Balances Input'!S:S,'300s Plant Balances Input'!D:D,'300s - 5 Digit FERC Accounts'!B280))</f>
        <v>72845.37</v>
      </c>
      <c r="F280" s="44">
        <f>IF(B280="","",+SUMIFS('300s Plant Balances Input'!M:M,'300s Plant Balances Input'!D:D,'300s - 5 Digit FERC Accounts'!B280))</f>
        <v>32076.959999999999</v>
      </c>
    </row>
    <row r="281" spans="1:6">
      <c r="A281" s="33" t="str">
        <f t="shared" si="4"/>
        <v>345</v>
      </c>
      <c r="B281" s="33">
        <v>34598</v>
      </c>
      <c r="C281" t="s">
        <v>8509</v>
      </c>
      <c r="D281" s="44">
        <f>IF(B281="","",+SUMIFS('300s Plant Balances Input'!K:K,'300s Plant Balances Input'!D:D,'300s - 5 Digit FERC Accounts'!B281))</f>
        <v>0</v>
      </c>
      <c r="E281" s="44">
        <f>IF(B281="","",+SUMIFS('300s Plant Balances Input'!S:S,'300s Plant Balances Input'!D:D,'300s - 5 Digit FERC Accounts'!B281))</f>
        <v>0</v>
      </c>
      <c r="F281" s="44">
        <f>IF(B281="","",+SUMIFS('300s Plant Balances Input'!M:M,'300s Plant Balances Input'!D:D,'300s - 5 Digit FERC Accounts'!B281))</f>
        <v>0</v>
      </c>
    </row>
    <row r="282" spans="1:6">
      <c r="A282" s="33" t="str">
        <f t="shared" si="4"/>
        <v>348</v>
      </c>
      <c r="B282" s="33">
        <v>34898</v>
      </c>
      <c r="C282" t="s">
        <v>8510</v>
      </c>
      <c r="D282" s="44">
        <f>IF(B282="","",+SUMIFS('300s Plant Balances Input'!K:K,'300s Plant Balances Input'!D:D,'300s - 5 Digit FERC Accounts'!B282))</f>
        <v>9237.0300000000007</v>
      </c>
      <c r="E282" s="44">
        <f>IF(B282="","",+SUMIFS('300s Plant Balances Input'!S:S,'300s Plant Balances Input'!D:D,'300s - 5 Digit FERC Accounts'!B282))</f>
        <v>2284.41</v>
      </c>
      <c r="F282" s="44">
        <f>IF(B282="","",+SUMIFS('300s Plant Balances Input'!M:M,'300s Plant Balances Input'!D:D,'300s - 5 Digit FERC Accounts'!B282))</f>
        <v>991.08</v>
      </c>
    </row>
    <row r="283" spans="1:6">
      <c r="A283" s="33" t="str">
        <f t="shared" si="4"/>
        <v/>
      </c>
      <c r="D283" s="44" t="str">
        <f>IF(B283="","",+SUMIFS('300s Plant Balances Input'!K:K,'300s Plant Balances Input'!D:D,'300s - 5 Digit FERC Accounts'!B283))</f>
        <v/>
      </c>
      <c r="E283" s="44" t="str">
        <f>IF(B283="","",+SUMIFS('300s Plant Balances Input'!S:S,'300s Plant Balances Input'!D:D,'300s - 5 Digit FERC Accounts'!B283))</f>
        <v/>
      </c>
      <c r="F283" s="44" t="str">
        <f>IF(B283="","",+SUMIFS('300s Plant Balances Input'!M:M,'300s Plant Balances Input'!D:D,'300s - 5 Digit FERC Accounts'!B283))</f>
        <v/>
      </c>
    </row>
    <row r="284" spans="1:6">
      <c r="A284" s="33" t="str">
        <f t="shared" si="4"/>
        <v/>
      </c>
      <c r="D284" s="44" t="str">
        <f>IF(B284="","",+SUMIFS('300s Plant Balances Input'!K:K,'300s Plant Balances Input'!D:D,'300s - 5 Digit FERC Accounts'!B284))</f>
        <v/>
      </c>
      <c r="E284" s="44" t="str">
        <f>IF(B284="","",+SUMIFS('300s Plant Balances Input'!S:S,'300s Plant Balances Input'!D:D,'300s - 5 Digit FERC Accounts'!B284))</f>
        <v/>
      </c>
      <c r="F284" s="44" t="str">
        <f>IF(B284="","",+SUMIFS('300s Plant Balances Input'!M:M,'300s Plant Balances Input'!D:D,'300s - 5 Digit FERC Accounts'!B284))</f>
        <v/>
      </c>
    </row>
    <row r="285" spans="1:6">
      <c r="A285" s="33" t="str">
        <f t="shared" si="4"/>
        <v/>
      </c>
      <c r="D285" s="44" t="str">
        <f>IF(B285="","",+SUMIFS('300s Plant Balances Input'!K:K,'300s Plant Balances Input'!D:D,'300s - 5 Digit FERC Accounts'!B285))</f>
        <v/>
      </c>
      <c r="E285" s="44" t="str">
        <f>IF(B285="","",+SUMIFS('300s Plant Balances Input'!S:S,'300s Plant Balances Input'!D:D,'300s - 5 Digit FERC Accounts'!B285))</f>
        <v/>
      </c>
      <c r="F285" s="44" t="str">
        <f>IF(B285="","",+SUMIFS('300s Plant Balances Input'!M:M,'300s Plant Balances Input'!D:D,'300s - 5 Digit FERC Accounts'!B285))</f>
        <v/>
      </c>
    </row>
    <row r="286" spans="1:6">
      <c r="A286" s="33" t="str">
        <f t="shared" si="4"/>
        <v/>
      </c>
      <c r="D286" s="44" t="str">
        <f>IF(B286="","",+SUMIFS('300s Plant Balances Input'!K:K,'300s Plant Balances Input'!D:D,'300s - 5 Digit FERC Accounts'!B286))</f>
        <v/>
      </c>
      <c r="E286" s="44" t="str">
        <f>IF(B286="","",+SUMIFS('300s Plant Balances Input'!S:S,'300s Plant Balances Input'!D:D,'300s - 5 Digit FERC Accounts'!B286))</f>
        <v/>
      </c>
      <c r="F286" s="44" t="str">
        <f>IF(B286="","",+SUMIFS('300s Plant Balances Input'!M:M,'300s Plant Balances Input'!D:D,'300s - 5 Digit FERC Accounts'!B286))</f>
        <v/>
      </c>
    </row>
    <row r="287" spans="1:6">
      <c r="A287" s="33" t="str">
        <f t="shared" si="4"/>
        <v/>
      </c>
      <c r="D287" s="44" t="str">
        <f>IF(B287="","",+SUMIFS('300s Plant Balances Input'!K:K,'300s Plant Balances Input'!D:D,'300s - 5 Digit FERC Accounts'!B287))</f>
        <v/>
      </c>
      <c r="E287" s="44" t="str">
        <f>IF(B287="","",+SUMIFS('300s Plant Balances Input'!S:S,'300s Plant Balances Input'!D:D,'300s - 5 Digit FERC Accounts'!B287))</f>
        <v/>
      </c>
      <c r="F287" s="44" t="str">
        <f>IF(B287="","",+SUMIFS('300s Plant Balances Input'!M:M,'300s Plant Balances Input'!D:D,'300s - 5 Digit FERC Accounts'!B287))</f>
        <v/>
      </c>
    </row>
    <row r="288" spans="1:6">
      <c r="A288" s="33" t="str">
        <f t="shared" si="4"/>
        <v/>
      </c>
      <c r="D288" s="44" t="str">
        <f>IF(B288="","",+SUMIFS('300s Plant Balances Input'!K:K,'300s Plant Balances Input'!D:D,'300s - 5 Digit FERC Accounts'!B288))</f>
        <v/>
      </c>
      <c r="E288" s="44" t="str">
        <f>IF(B288="","",+SUMIFS('300s Plant Balances Input'!S:S,'300s Plant Balances Input'!D:D,'300s - 5 Digit FERC Accounts'!B288))</f>
        <v/>
      </c>
      <c r="F288" s="44" t="str">
        <f>IF(B288="","",+SUMIFS('300s Plant Balances Input'!M:M,'300s Plant Balances Input'!D:D,'300s - 5 Digit FERC Accounts'!B288))</f>
        <v/>
      </c>
    </row>
    <row r="289" spans="1:6">
      <c r="A289" s="33" t="str">
        <f t="shared" si="4"/>
        <v/>
      </c>
      <c r="D289" s="44" t="str">
        <f>IF(B289="","",+SUMIFS('300s Plant Balances Input'!K:K,'300s Plant Balances Input'!D:D,'300s - 5 Digit FERC Accounts'!B289))</f>
        <v/>
      </c>
      <c r="E289" s="44" t="str">
        <f>IF(B289="","",+SUMIFS('300s Plant Balances Input'!S:S,'300s Plant Balances Input'!D:D,'300s - 5 Digit FERC Accounts'!B289))</f>
        <v/>
      </c>
      <c r="F289" s="44" t="str">
        <f>IF(B289="","",+SUMIFS('300s Plant Balances Input'!M:M,'300s Plant Balances Input'!D:D,'300s - 5 Digit FERC Accounts'!B289))</f>
        <v/>
      </c>
    </row>
    <row r="290" spans="1:6">
      <c r="A290" s="33" t="str">
        <f t="shared" si="4"/>
        <v/>
      </c>
      <c r="D290" s="44" t="str">
        <f>IF(B290="","",+SUMIFS('300s Plant Balances Input'!K:K,'300s Plant Balances Input'!D:D,'300s - 5 Digit FERC Accounts'!B290))</f>
        <v/>
      </c>
      <c r="E290" s="44" t="str">
        <f>IF(B290="","",+SUMIFS('300s Plant Balances Input'!S:S,'300s Plant Balances Input'!D:D,'300s - 5 Digit FERC Accounts'!B290))</f>
        <v/>
      </c>
      <c r="F290" s="44" t="str">
        <f>IF(B290="","",+SUMIFS('300s Plant Balances Input'!M:M,'300s Plant Balances Input'!D:D,'300s - 5 Digit FERC Accounts'!B290))</f>
        <v/>
      </c>
    </row>
    <row r="291" spans="1:6">
      <c r="A291" s="33" t="str">
        <f t="shared" si="4"/>
        <v/>
      </c>
      <c r="D291" s="44" t="str">
        <f>IF(B291="","",+SUMIFS('300s Plant Balances Input'!K:K,'300s Plant Balances Input'!D:D,'300s - 5 Digit FERC Accounts'!B291))</f>
        <v/>
      </c>
      <c r="E291" s="44" t="str">
        <f>IF(B291="","",+SUMIFS('300s Plant Balances Input'!S:S,'300s Plant Balances Input'!D:D,'300s - 5 Digit FERC Accounts'!B291))</f>
        <v/>
      </c>
      <c r="F291" s="44" t="str">
        <f>IF(B291="","",+SUMIFS('300s Plant Balances Input'!M:M,'300s Plant Balances Input'!D:D,'300s - 5 Digit FERC Accounts'!B291))</f>
        <v/>
      </c>
    </row>
    <row r="292" spans="1:6">
      <c r="A292" s="33" t="str">
        <f t="shared" si="4"/>
        <v/>
      </c>
      <c r="D292" s="44" t="str">
        <f>IF(B292="","",+SUMIFS('300s Plant Balances Input'!K:K,'300s Plant Balances Input'!D:D,'300s - 5 Digit FERC Accounts'!B292))</f>
        <v/>
      </c>
      <c r="E292" s="44" t="str">
        <f>IF(B292="","",+SUMIFS('300s Plant Balances Input'!S:S,'300s Plant Balances Input'!D:D,'300s - 5 Digit FERC Accounts'!B292))</f>
        <v/>
      </c>
      <c r="F292" s="44" t="str">
        <f>IF(B292="","",+SUMIFS('300s Plant Balances Input'!M:M,'300s Plant Balances Input'!D:D,'300s - 5 Digit FERC Accounts'!B292))</f>
        <v/>
      </c>
    </row>
    <row r="293" spans="1:6">
      <c r="A293" s="33" t="str">
        <f t="shared" si="4"/>
        <v/>
      </c>
      <c r="D293" s="44" t="str">
        <f>IF(B293="","",+SUMIFS('300s Plant Balances Input'!K:K,'300s Plant Balances Input'!D:D,'300s - 5 Digit FERC Accounts'!B293))</f>
        <v/>
      </c>
      <c r="E293" s="44" t="str">
        <f>IF(B293="","",+SUMIFS('300s Plant Balances Input'!S:S,'300s Plant Balances Input'!D:D,'300s - 5 Digit FERC Accounts'!B293))</f>
        <v/>
      </c>
      <c r="F293" s="44" t="str">
        <f>IF(B293="","",+SUMIFS('300s Plant Balances Input'!M:M,'300s Plant Balances Input'!D:D,'300s - 5 Digit FERC Accounts'!B293))</f>
        <v/>
      </c>
    </row>
    <row r="294" spans="1:6">
      <c r="A294" s="33" t="str">
        <f t="shared" si="4"/>
        <v/>
      </c>
      <c r="D294" s="44" t="str">
        <f>IF(B294="","",+SUMIFS('300s Plant Balances Input'!K:K,'300s Plant Balances Input'!D:D,'300s - 5 Digit FERC Accounts'!B294))</f>
        <v/>
      </c>
      <c r="E294" s="44" t="str">
        <f>IF(B294="","",+SUMIFS('300s Plant Balances Input'!S:S,'300s Plant Balances Input'!D:D,'300s - 5 Digit FERC Accounts'!B294))</f>
        <v/>
      </c>
      <c r="F294" s="44" t="str">
        <f>IF(B294="","",+SUMIFS('300s Plant Balances Input'!M:M,'300s Plant Balances Input'!D:D,'300s - 5 Digit FERC Accounts'!B294))</f>
        <v/>
      </c>
    </row>
    <row r="295" spans="1:6">
      <c r="A295" s="33" t="str">
        <f t="shared" si="4"/>
        <v/>
      </c>
      <c r="D295" s="44" t="str">
        <f>IF(B295="","",+SUMIFS('300s Plant Balances Input'!K:K,'300s Plant Balances Input'!D:D,'300s - 5 Digit FERC Accounts'!B295))</f>
        <v/>
      </c>
      <c r="E295" s="44" t="str">
        <f>IF(B295="","",+SUMIFS('300s Plant Balances Input'!S:S,'300s Plant Balances Input'!D:D,'300s - 5 Digit FERC Accounts'!B295))</f>
        <v/>
      </c>
      <c r="F295" s="44" t="str">
        <f>IF(B295="","",+SUMIFS('300s Plant Balances Input'!M:M,'300s Plant Balances Input'!D:D,'300s - 5 Digit FERC Accounts'!B295))</f>
        <v/>
      </c>
    </row>
    <row r="296" spans="1:6">
      <c r="A296" s="33" t="str">
        <f t="shared" si="4"/>
        <v/>
      </c>
      <c r="D296" s="44" t="str">
        <f>IF(B296="","",+SUMIFS('300s Plant Balances Input'!K:K,'300s Plant Balances Input'!D:D,'300s - 5 Digit FERC Accounts'!B296))</f>
        <v/>
      </c>
      <c r="E296" s="44" t="str">
        <f>IF(B296="","",+SUMIFS('300s Plant Balances Input'!S:S,'300s Plant Balances Input'!D:D,'300s - 5 Digit FERC Accounts'!B296))</f>
        <v/>
      </c>
      <c r="F296" s="44" t="str">
        <f>IF(B296="","",+SUMIFS('300s Plant Balances Input'!M:M,'300s Plant Balances Input'!D:D,'300s - 5 Digit FERC Accounts'!B296))</f>
        <v/>
      </c>
    </row>
    <row r="297" spans="1:6">
      <c r="A297" s="33" t="str">
        <f t="shared" si="4"/>
        <v/>
      </c>
      <c r="D297" s="44" t="str">
        <f>IF(B297="","",+SUMIFS('300s Plant Balances Input'!K:K,'300s Plant Balances Input'!D:D,'300s - 5 Digit FERC Accounts'!B297))</f>
        <v/>
      </c>
      <c r="E297" s="44" t="str">
        <f>IF(B297="","",+SUMIFS('300s Plant Balances Input'!S:S,'300s Plant Balances Input'!D:D,'300s - 5 Digit FERC Accounts'!B297))</f>
        <v/>
      </c>
      <c r="F297" s="44" t="str">
        <f>IF(B297="","",+SUMIFS('300s Plant Balances Input'!M:M,'300s Plant Balances Input'!D:D,'300s - 5 Digit FERC Accounts'!B297))</f>
        <v/>
      </c>
    </row>
    <row r="298" spans="1:6">
      <c r="A298" s="33" t="str">
        <f t="shared" si="4"/>
        <v/>
      </c>
      <c r="D298" s="44" t="str">
        <f>IF(B298="","",+SUMIFS('300s Plant Balances Input'!K:K,'300s Plant Balances Input'!D:D,'300s - 5 Digit FERC Accounts'!B298))</f>
        <v/>
      </c>
      <c r="E298" s="44" t="str">
        <f>IF(B298="","",+SUMIFS('300s Plant Balances Input'!S:S,'300s Plant Balances Input'!D:D,'300s - 5 Digit FERC Accounts'!B298))</f>
        <v/>
      </c>
      <c r="F298" s="44" t="str">
        <f>IF(B298="","",+SUMIFS('300s Plant Balances Input'!M:M,'300s Plant Balances Input'!D:D,'300s - 5 Digit FERC Accounts'!B298))</f>
        <v/>
      </c>
    </row>
    <row r="299" spans="1:6">
      <c r="A299" s="33" t="str">
        <f t="shared" si="4"/>
        <v/>
      </c>
      <c r="D299" s="44" t="str">
        <f>IF(B299="","",+SUMIFS('300s Plant Balances Input'!K:K,'300s Plant Balances Input'!D:D,'300s - 5 Digit FERC Accounts'!B299))</f>
        <v/>
      </c>
      <c r="E299" s="44" t="str">
        <f>IF(B299="","",+SUMIFS('300s Plant Balances Input'!S:S,'300s Plant Balances Input'!D:D,'300s - 5 Digit FERC Accounts'!B299))</f>
        <v/>
      </c>
      <c r="F299" s="44" t="str">
        <f>IF(B299="","",+SUMIFS('300s Plant Balances Input'!M:M,'300s Plant Balances Input'!D:D,'300s - 5 Digit FERC Accounts'!B299))</f>
        <v/>
      </c>
    </row>
    <row r="300" spans="1:6">
      <c r="A300" s="33" t="str">
        <f t="shared" si="4"/>
        <v/>
      </c>
      <c r="D300" s="44" t="str">
        <f>IF(B300="","",+SUMIFS('300s Plant Balances Input'!K:K,'300s Plant Balances Input'!D:D,'300s - 5 Digit FERC Accounts'!B300))</f>
        <v/>
      </c>
      <c r="E300" s="44" t="str">
        <f>IF(B300="","",+SUMIFS('300s Plant Balances Input'!S:S,'300s Plant Balances Input'!D:D,'300s - 5 Digit FERC Accounts'!B300))</f>
        <v/>
      </c>
      <c r="F300" s="44" t="str">
        <f>IF(B300="","",+SUMIFS('300s Plant Balances Input'!M:M,'300s Plant Balances Input'!D:D,'300s - 5 Digit FERC Accounts'!B300))</f>
        <v/>
      </c>
    </row>
    <row r="301" spans="1:6">
      <c r="A301" s="33" t="str">
        <f t="shared" si="4"/>
        <v/>
      </c>
      <c r="D301" s="44" t="str">
        <f>IF(B301="","",+SUMIFS('300s Plant Balances Input'!K:K,'300s Plant Balances Input'!D:D,'300s - 5 Digit FERC Accounts'!B301))</f>
        <v/>
      </c>
      <c r="E301" s="44" t="str">
        <f>IF(B301="","",+SUMIFS('300s Plant Balances Input'!S:S,'300s Plant Balances Input'!D:D,'300s - 5 Digit FERC Accounts'!B301))</f>
        <v/>
      </c>
      <c r="F301" s="44" t="str">
        <f>IF(B301="","",+SUMIFS('300s Plant Balances Input'!M:M,'300s Plant Balances Input'!D:D,'300s - 5 Digit FERC Accounts'!B301))</f>
        <v/>
      </c>
    </row>
    <row r="302" spans="1:6">
      <c r="A302" s="33" t="str">
        <f t="shared" si="4"/>
        <v/>
      </c>
      <c r="D302" s="44" t="str">
        <f>IF(B302="","",+SUMIFS('300s Plant Balances Input'!K:K,'300s Plant Balances Input'!D:D,'300s - 5 Digit FERC Accounts'!B302))</f>
        <v/>
      </c>
      <c r="E302" s="44" t="str">
        <f>IF(B302="","",+SUMIFS('300s Plant Balances Input'!S:S,'300s Plant Balances Input'!D:D,'300s - 5 Digit FERC Accounts'!B302))</f>
        <v/>
      </c>
      <c r="F302" s="44" t="str">
        <f>IF(B302="","",+SUMIFS('300s Plant Balances Input'!M:M,'300s Plant Balances Input'!D:D,'300s - 5 Digit FERC Accounts'!B302))</f>
        <v/>
      </c>
    </row>
    <row r="303" spans="1:6">
      <c r="A303" s="33" t="str">
        <f t="shared" si="4"/>
        <v/>
      </c>
      <c r="D303" s="44" t="str">
        <f>IF(B303="","",+SUMIFS('300s Plant Balances Input'!K:K,'300s Plant Balances Input'!D:D,'300s - 5 Digit FERC Accounts'!B303))</f>
        <v/>
      </c>
      <c r="E303" s="44" t="str">
        <f>IF(B303="","",+SUMIFS('300s Plant Balances Input'!S:S,'300s Plant Balances Input'!D:D,'300s - 5 Digit FERC Accounts'!B303))</f>
        <v/>
      </c>
      <c r="F303" s="44" t="str">
        <f>IF(B303="","",+SUMIFS('300s Plant Balances Input'!M:M,'300s Plant Balances Input'!D:D,'300s - 5 Digit FERC Accounts'!B303))</f>
        <v/>
      </c>
    </row>
    <row r="304" spans="1:6">
      <c r="A304" s="33" t="str">
        <f t="shared" si="4"/>
        <v/>
      </c>
      <c r="D304" s="44" t="str">
        <f>IF(B304="","",+SUMIFS('300s Plant Balances Input'!K:K,'300s Plant Balances Input'!D:D,'300s - 5 Digit FERC Accounts'!B304))</f>
        <v/>
      </c>
      <c r="E304" s="44" t="str">
        <f>IF(B304="","",+SUMIFS('300s Plant Balances Input'!S:S,'300s Plant Balances Input'!D:D,'300s - 5 Digit FERC Accounts'!B304))</f>
        <v/>
      </c>
      <c r="F304" s="44" t="str">
        <f>IF(B304="","",+SUMIFS('300s Plant Balances Input'!M:M,'300s Plant Balances Input'!D:D,'300s - 5 Digit FERC Accounts'!B304))</f>
        <v/>
      </c>
    </row>
    <row r="305" spans="1:6">
      <c r="A305" s="33" t="str">
        <f t="shared" si="4"/>
        <v/>
      </c>
      <c r="D305" s="44" t="str">
        <f>IF(B305="","",+SUMIFS('300s Plant Balances Input'!K:K,'300s Plant Balances Input'!D:D,'300s - 5 Digit FERC Accounts'!B305))</f>
        <v/>
      </c>
      <c r="E305" s="44" t="str">
        <f>IF(B305="","",+SUMIFS('300s Plant Balances Input'!S:S,'300s Plant Balances Input'!D:D,'300s - 5 Digit FERC Accounts'!B305))</f>
        <v/>
      </c>
      <c r="F305" s="44" t="str">
        <f>IF(B305="","",+SUMIFS('300s Plant Balances Input'!M:M,'300s Plant Balances Input'!D:D,'300s - 5 Digit FERC Accounts'!B305))</f>
        <v/>
      </c>
    </row>
    <row r="306" spans="1:6">
      <c r="A306" s="33" t="str">
        <f t="shared" si="4"/>
        <v/>
      </c>
      <c r="D306" s="44" t="str">
        <f>IF(B306="","",+SUMIFS('300s Plant Balances Input'!K:K,'300s Plant Balances Input'!D:D,'300s - 5 Digit FERC Accounts'!B306))</f>
        <v/>
      </c>
      <c r="E306" s="44" t="str">
        <f>IF(B306="","",+SUMIFS('300s Plant Balances Input'!S:S,'300s Plant Balances Input'!D:D,'300s - 5 Digit FERC Accounts'!B306))</f>
        <v/>
      </c>
      <c r="F306" s="44" t="str">
        <f>IF(B306="","",+SUMIFS('300s Plant Balances Input'!M:M,'300s Plant Balances Input'!D:D,'300s - 5 Digit FERC Accounts'!B306))</f>
        <v/>
      </c>
    </row>
    <row r="307" spans="1:6">
      <c r="A307" s="33" t="str">
        <f t="shared" si="4"/>
        <v/>
      </c>
      <c r="D307" s="44" t="str">
        <f>IF(B307="","",+SUMIFS('300s Plant Balances Input'!K:K,'300s Plant Balances Input'!D:D,'300s - 5 Digit FERC Accounts'!B307))</f>
        <v/>
      </c>
      <c r="E307" s="44" t="str">
        <f>IF(B307="","",+SUMIFS('300s Plant Balances Input'!S:S,'300s Plant Balances Input'!D:D,'300s - 5 Digit FERC Accounts'!B307))</f>
        <v/>
      </c>
      <c r="F307" s="44" t="str">
        <f>IF(B307="","",+SUMIFS('300s Plant Balances Input'!M:M,'300s Plant Balances Input'!D:D,'300s - 5 Digit FERC Accounts'!B307))</f>
        <v/>
      </c>
    </row>
    <row r="308" spans="1:6">
      <c r="A308" s="33" t="str">
        <f t="shared" si="4"/>
        <v/>
      </c>
      <c r="D308" s="44" t="str">
        <f>IF(B308="","",+SUMIFS('300s Plant Balances Input'!K:K,'300s Plant Balances Input'!D:D,'300s - 5 Digit FERC Accounts'!B308))</f>
        <v/>
      </c>
      <c r="E308" s="44" t="str">
        <f>IF(B308="","",+SUMIFS('300s Plant Balances Input'!S:S,'300s Plant Balances Input'!D:D,'300s - 5 Digit FERC Accounts'!B308))</f>
        <v/>
      </c>
      <c r="F308" s="44" t="str">
        <f>IF(B308="","",+SUMIFS('300s Plant Balances Input'!M:M,'300s Plant Balances Input'!D:D,'300s - 5 Digit FERC Accounts'!B308))</f>
        <v/>
      </c>
    </row>
    <row r="309" spans="1:6">
      <c r="A309" s="33" t="str">
        <f t="shared" si="4"/>
        <v/>
      </c>
      <c r="D309" s="44" t="str">
        <f>IF(B309="","",+SUMIFS('300s Plant Balances Input'!K:K,'300s Plant Balances Input'!D:D,'300s - 5 Digit FERC Accounts'!B309))</f>
        <v/>
      </c>
      <c r="E309" s="44" t="str">
        <f>IF(B309="","",+SUMIFS('300s Plant Balances Input'!S:S,'300s Plant Balances Input'!D:D,'300s - 5 Digit FERC Accounts'!B309))</f>
        <v/>
      </c>
      <c r="F309" s="44" t="str">
        <f>IF(B309="","",+SUMIFS('300s Plant Balances Input'!M:M,'300s Plant Balances Input'!D:D,'300s - 5 Digit FERC Accounts'!B309))</f>
        <v/>
      </c>
    </row>
    <row r="310" spans="1:6">
      <c r="A310" s="33" t="str">
        <f t="shared" si="4"/>
        <v/>
      </c>
      <c r="D310" s="44" t="str">
        <f>IF(B310="","",+SUMIFS('300s Plant Balances Input'!K:K,'300s Plant Balances Input'!D:D,'300s - 5 Digit FERC Accounts'!B310))</f>
        <v/>
      </c>
      <c r="E310" s="44" t="str">
        <f>IF(B310="","",+SUMIFS('300s Plant Balances Input'!S:S,'300s Plant Balances Input'!D:D,'300s - 5 Digit FERC Accounts'!B310))</f>
        <v/>
      </c>
      <c r="F310" s="44" t="str">
        <f>IF(B310="","",+SUMIFS('300s Plant Balances Input'!M:M,'300s Plant Balances Input'!D:D,'300s - 5 Digit FERC Accounts'!B310))</f>
        <v/>
      </c>
    </row>
    <row r="311" spans="1:6">
      <c r="A311" s="33" t="str">
        <f t="shared" si="4"/>
        <v/>
      </c>
      <c r="D311" s="44" t="str">
        <f>IF(B311="","",+SUMIFS('300s Plant Balances Input'!K:K,'300s Plant Balances Input'!D:D,'300s - 5 Digit FERC Accounts'!B311))</f>
        <v/>
      </c>
      <c r="E311" s="44" t="str">
        <f>IF(B311="","",+SUMIFS('300s Plant Balances Input'!S:S,'300s Plant Balances Input'!D:D,'300s - 5 Digit FERC Accounts'!B311))</f>
        <v/>
      </c>
      <c r="F311" s="44" t="str">
        <f>IF(B311="","",+SUMIFS('300s Plant Balances Input'!M:M,'300s Plant Balances Input'!D:D,'300s - 5 Digit FERC Accounts'!B311))</f>
        <v/>
      </c>
    </row>
    <row r="312" spans="1:6">
      <c r="A312" s="33" t="str">
        <f t="shared" si="4"/>
        <v/>
      </c>
      <c r="D312" s="44" t="str">
        <f>IF(B312="","",+SUMIFS('300s Plant Balances Input'!K:K,'300s Plant Balances Input'!D:D,'300s - 5 Digit FERC Accounts'!B312))</f>
        <v/>
      </c>
      <c r="E312" s="44" t="str">
        <f>IF(B312="","",+SUMIFS('300s Plant Balances Input'!S:S,'300s Plant Balances Input'!D:D,'300s - 5 Digit FERC Accounts'!B312))</f>
        <v/>
      </c>
      <c r="F312" s="44" t="str">
        <f>IF(B312="","",+SUMIFS('300s Plant Balances Input'!M:M,'300s Plant Balances Input'!D:D,'300s - 5 Digit FERC Accounts'!B312))</f>
        <v/>
      </c>
    </row>
    <row r="313" spans="1:6">
      <c r="A313" s="33" t="str">
        <f t="shared" si="4"/>
        <v/>
      </c>
      <c r="D313" s="44" t="str">
        <f>IF(B313="","",+SUMIFS('300s Plant Balances Input'!K:K,'300s Plant Balances Input'!D:D,'300s - 5 Digit FERC Accounts'!B313))</f>
        <v/>
      </c>
      <c r="E313" s="44" t="str">
        <f>IF(B313="","",+SUMIFS('300s Plant Balances Input'!S:S,'300s Plant Balances Input'!D:D,'300s - 5 Digit FERC Accounts'!B313))</f>
        <v/>
      </c>
      <c r="F313" s="44" t="str">
        <f>IF(B313="","",+SUMIFS('300s Plant Balances Input'!M:M,'300s Plant Balances Input'!D:D,'300s - 5 Digit FERC Accounts'!B313))</f>
        <v/>
      </c>
    </row>
    <row r="314" spans="1:6">
      <c r="A314" s="33" t="str">
        <f t="shared" si="4"/>
        <v/>
      </c>
      <c r="D314" s="44" t="str">
        <f>IF(B314="","",+SUMIFS('300s Plant Balances Input'!K:K,'300s Plant Balances Input'!D:D,'300s - 5 Digit FERC Accounts'!B314))</f>
        <v/>
      </c>
      <c r="E314" s="44" t="str">
        <f>IF(B314="","",+SUMIFS('300s Plant Balances Input'!S:S,'300s Plant Balances Input'!D:D,'300s - 5 Digit FERC Accounts'!B314))</f>
        <v/>
      </c>
      <c r="F314" s="44" t="str">
        <f>IF(B314="","",+SUMIFS('300s Plant Balances Input'!M:M,'300s Plant Balances Input'!D:D,'300s - 5 Digit FERC Accounts'!B314))</f>
        <v/>
      </c>
    </row>
    <row r="315" spans="1:6">
      <c r="A315" s="33" t="str">
        <f t="shared" si="4"/>
        <v/>
      </c>
      <c r="D315" s="44" t="str">
        <f>IF(B315="","",+SUMIFS('300s Plant Balances Input'!K:K,'300s Plant Balances Input'!D:D,'300s - 5 Digit FERC Accounts'!B315))</f>
        <v/>
      </c>
      <c r="E315" s="44" t="str">
        <f>IF(B315="","",+SUMIFS('300s Plant Balances Input'!S:S,'300s Plant Balances Input'!D:D,'300s - 5 Digit FERC Accounts'!B315))</f>
        <v/>
      </c>
      <c r="F315" s="44" t="str">
        <f>IF(B315="","",+SUMIFS('300s Plant Balances Input'!M:M,'300s Plant Balances Input'!D:D,'300s - 5 Digit FERC Accounts'!B315))</f>
        <v/>
      </c>
    </row>
    <row r="316" spans="1:6">
      <c r="A316" s="33" t="str">
        <f t="shared" si="4"/>
        <v/>
      </c>
      <c r="D316" s="44" t="str">
        <f>IF(B316="","",+SUMIFS('300s Plant Balances Input'!K:K,'300s Plant Balances Input'!D:D,'300s - 5 Digit FERC Accounts'!B316))</f>
        <v/>
      </c>
      <c r="E316" s="44" t="str">
        <f>IF(B316="","",+SUMIFS('300s Plant Balances Input'!S:S,'300s Plant Balances Input'!D:D,'300s - 5 Digit FERC Accounts'!B316))</f>
        <v/>
      </c>
      <c r="F316" s="44" t="str">
        <f>IF(B316="","",+SUMIFS('300s Plant Balances Input'!M:M,'300s Plant Balances Input'!D:D,'300s - 5 Digit FERC Accounts'!B316))</f>
        <v/>
      </c>
    </row>
    <row r="317" spans="1:6">
      <c r="A317" s="33" t="str">
        <f t="shared" si="4"/>
        <v/>
      </c>
      <c r="D317" s="44" t="str">
        <f>IF(B317="","",+SUMIFS('300s Plant Balances Input'!K:K,'300s Plant Balances Input'!D:D,'300s - 5 Digit FERC Accounts'!B317))</f>
        <v/>
      </c>
      <c r="E317" s="44" t="str">
        <f>IF(B317="","",+SUMIFS('300s Plant Balances Input'!S:S,'300s Plant Balances Input'!D:D,'300s - 5 Digit FERC Accounts'!B317))</f>
        <v/>
      </c>
      <c r="F317" s="44" t="str">
        <f>IF(B317="","",+SUMIFS('300s Plant Balances Input'!M:M,'300s Plant Balances Input'!D:D,'300s - 5 Digit FERC Accounts'!B317))</f>
        <v/>
      </c>
    </row>
    <row r="318" spans="1:6">
      <c r="A318" s="33" t="str">
        <f t="shared" si="4"/>
        <v/>
      </c>
      <c r="D318" s="44" t="str">
        <f>IF(B318="","",+SUMIFS('300s Plant Balances Input'!K:K,'300s Plant Balances Input'!D:D,'300s - 5 Digit FERC Accounts'!B318))</f>
        <v/>
      </c>
      <c r="E318" s="44" t="str">
        <f>IF(B318="","",+SUMIFS('300s Plant Balances Input'!S:S,'300s Plant Balances Input'!D:D,'300s - 5 Digit FERC Accounts'!B318))</f>
        <v/>
      </c>
      <c r="F318" s="44" t="str">
        <f>IF(B318="","",+SUMIFS('300s Plant Balances Input'!M:M,'300s Plant Balances Input'!D:D,'300s - 5 Digit FERC Accounts'!B318))</f>
        <v/>
      </c>
    </row>
    <row r="319" spans="1:6">
      <c r="A319" s="33" t="str">
        <f t="shared" si="4"/>
        <v/>
      </c>
      <c r="D319" s="44" t="str">
        <f>IF(B319="","",+SUMIFS('300s Plant Balances Input'!K:K,'300s Plant Balances Input'!D:D,'300s - 5 Digit FERC Accounts'!B319))</f>
        <v/>
      </c>
      <c r="E319" s="44" t="str">
        <f>IF(B319="","",+SUMIFS('300s Plant Balances Input'!S:S,'300s Plant Balances Input'!D:D,'300s - 5 Digit FERC Accounts'!B319))</f>
        <v/>
      </c>
      <c r="F319" s="44" t="str">
        <f>IF(B319="","",+SUMIFS('300s Plant Balances Input'!M:M,'300s Plant Balances Input'!D:D,'300s - 5 Digit FERC Accounts'!B319))</f>
        <v/>
      </c>
    </row>
    <row r="320" spans="1:6">
      <c r="A320" s="33" t="str">
        <f t="shared" si="4"/>
        <v/>
      </c>
      <c r="D320" s="44" t="str">
        <f>IF(B320="","",+SUMIFS('300s Plant Balances Input'!K:K,'300s Plant Balances Input'!D:D,'300s - 5 Digit FERC Accounts'!B320))</f>
        <v/>
      </c>
      <c r="E320" s="44" t="str">
        <f>IF(B320="","",+SUMIFS('300s Plant Balances Input'!S:S,'300s Plant Balances Input'!D:D,'300s - 5 Digit FERC Accounts'!B320))</f>
        <v/>
      </c>
      <c r="F320" s="44" t="str">
        <f>IF(B320="","",+SUMIFS('300s Plant Balances Input'!M:M,'300s Plant Balances Input'!D:D,'300s - 5 Digit FERC Accounts'!B320))</f>
        <v/>
      </c>
    </row>
    <row r="321" spans="1:6">
      <c r="A321" s="33" t="str">
        <f t="shared" si="4"/>
        <v/>
      </c>
      <c r="D321" s="44" t="str">
        <f>IF(B321="","",+SUMIFS('300s Plant Balances Input'!K:K,'300s Plant Balances Input'!D:D,'300s - 5 Digit FERC Accounts'!B321))</f>
        <v/>
      </c>
      <c r="E321" s="44" t="str">
        <f>IF(B321="","",+SUMIFS('300s Plant Balances Input'!S:S,'300s Plant Balances Input'!D:D,'300s - 5 Digit FERC Accounts'!B321))</f>
        <v/>
      </c>
      <c r="F321" s="44" t="str">
        <f>IF(B321="","",+SUMIFS('300s Plant Balances Input'!M:M,'300s Plant Balances Input'!D:D,'300s - 5 Digit FERC Accounts'!B321))</f>
        <v/>
      </c>
    </row>
    <row r="322" spans="1:6">
      <c r="A322" s="33" t="str">
        <f t="shared" si="4"/>
        <v/>
      </c>
      <c r="D322" s="44" t="str">
        <f>IF(B322="","",+SUMIFS('300s Plant Balances Input'!K:K,'300s Plant Balances Input'!D:D,'300s - 5 Digit FERC Accounts'!B322))</f>
        <v/>
      </c>
      <c r="E322" s="44" t="str">
        <f>IF(B322="","",+SUMIFS('300s Plant Balances Input'!S:S,'300s Plant Balances Input'!D:D,'300s - 5 Digit FERC Accounts'!B322))</f>
        <v/>
      </c>
      <c r="F322" s="44" t="str">
        <f>IF(B322="","",+SUMIFS('300s Plant Balances Input'!M:M,'300s Plant Balances Input'!D:D,'300s - 5 Digit FERC Accounts'!B322))</f>
        <v/>
      </c>
    </row>
    <row r="323" spans="1:6">
      <c r="A323" s="33" t="str">
        <f t="shared" si="4"/>
        <v/>
      </c>
      <c r="D323" s="44" t="str">
        <f>IF(B323="","",+SUMIFS('300s Plant Balances Input'!K:K,'300s Plant Balances Input'!D:D,'300s - 5 Digit FERC Accounts'!B323))</f>
        <v/>
      </c>
      <c r="E323" s="44" t="str">
        <f>IF(B323="","",+SUMIFS('300s Plant Balances Input'!S:S,'300s Plant Balances Input'!D:D,'300s - 5 Digit FERC Accounts'!B323))</f>
        <v/>
      </c>
      <c r="F323" s="44" t="str">
        <f>IF(B323="","",+SUMIFS('300s Plant Balances Input'!M:M,'300s Plant Balances Input'!D:D,'300s - 5 Digit FERC Accounts'!B323))</f>
        <v/>
      </c>
    </row>
    <row r="324" spans="1:6">
      <c r="A324" s="33" t="str">
        <f t="shared" si="4"/>
        <v/>
      </c>
      <c r="D324" s="44" t="str">
        <f>IF(B324="","",+SUMIFS('300s Plant Balances Input'!K:K,'300s Plant Balances Input'!D:D,'300s - 5 Digit FERC Accounts'!B324))</f>
        <v/>
      </c>
      <c r="E324" s="44" t="str">
        <f>IF(B324="","",+SUMIFS('300s Plant Balances Input'!S:S,'300s Plant Balances Input'!D:D,'300s - 5 Digit FERC Accounts'!B324))</f>
        <v/>
      </c>
      <c r="F324" s="44" t="str">
        <f>IF(B324="","",+SUMIFS('300s Plant Balances Input'!M:M,'300s Plant Balances Input'!D:D,'300s - 5 Digit FERC Accounts'!B324))</f>
        <v/>
      </c>
    </row>
    <row r="325" spans="1:6">
      <c r="A325" s="33" t="str">
        <f t="shared" si="4"/>
        <v/>
      </c>
      <c r="D325" s="44" t="str">
        <f>IF(B325="","",+SUMIFS('300s Plant Balances Input'!K:K,'300s Plant Balances Input'!D:D,'300s - 5 Digit FERC Accounts'!B325))</f>
        <v/>
      </c>
      <c r="E325" s="44" t="str">
        <f>IF(B325="","",+SUMIFS('300s Plant Balances Input'!S:S,'300s Plant Balances Input'!D:D,'300s - 5 Digit FERC Accounts'!B325))</f>
        <v/>
      </c>
      <c r="F325" s="44" t="str">
        <f>IF(B325="","",+SUMIFS('300s Plant Balances Input'!M:M,'300s Plant Balances Input'!D:D,'300s - 5 Digit FERC Accounts'!B325))</f>
        <v/>
      </c>
    </row>
    <row r="326" spans="1:6">
      <c r="A326" s="33" t="str">
        <f t="shared" si="4"/>
        <v/>
      </c>
      <c r="D326" s="44" t="str">
        <f>IF(B326="","",+SUMIFS('300s Plant Balances Input'!K:K,'300s Plant Balances Input'!D:D,'300s - 5 Digit FERC Accounts'!B326))</f>
        <v/>
      </c>
      <c r="E326" s="44" t="str">
        <f>IF(B326="","",+SUMIFS('300s Plant Balances Input'!S:S,'300s Plant Balances Input'!D:D,'300s - 5 Digit FERC Accounts'!B326))</f>
        <v/>
      </c>
      <c r="F326" s="44" t="str">
        <f>IF(B326="","",+SUMIFS('300s Plant Balances Input'!M:M,'300s Plant Balances Input'!D:D,'300s - 5 Digit FERC Accounts'!B326))</f>
        <v/>
      </c>
    </row>
    <row r="327" spans="1:6">
      <c r="A327" s="33" t="str">
        <f t="shared" si="4"/>
        <v/>
      </c>
      <c r="D327" s="44" t="str">
        <f>IF(B327="","",+SUMIFS('300s Plant Balances Input'!K:K,'300s Plant Balances Input'!D:D,'300s - 5 Digit FERC Accounts'!B327))</f>
        <v/>
      </c>
      <c r="E327" s="44" t="str">
        <f>IF(B327="","",+SUMIFS('300s Plant Balances Input'!S:S,'300s Plant Balances Input'!D:D,'300s - 5 Digit FERC Accounts'!B327))</f>
        <v/>
      </c>
      <c r="F327" s="44" t="str">
        <f>IF(B327="","",+SUMIFS('300s Plant Balances Input'!M:M,'300s Plant Balances Input'!D:D,'300s - 5 Digit FERC Accounts'!B327))</f>
        <v/>
      </c>
    </row>
    <row r="328" spans="1:6">
      <c r="A328" s="33" t="str">
        <f t="shared" si="4"/>
        <v/>
      </c>
      <c r="D328" s="44" t="str">
        <f>IF(B328="","",+SUMIFS('300s Plant Balances Input'!K:K,'300s Plant Balances Input'!D:D,'300s - 5 Digit FERC Accounts'!B328))</f>
        <v/>
      </c>
      <c r="E328" s="44" t="str">
        <f>IF(B328="","",+SUMIFS('300s Plant Balances Input'!S:S,'300s Plant Balances Input'!D:D,'300s - 5 Digit FERC Accounts'!B328))</f>
        <v/>
      </c>
      <c r="F328" s="44" t="str">
        <f>IF(B328="","",+SUMIFS('300s Plant Balances Input'!M:M,'300s Plant Balances Input'!D:D,'300s - 5 Digit FERC Accounts'!B328))</f>
        <v/>
      </c>
    </row>
    <row r="329" spans="1:6">
      <c r="A329" s="33" t="str">
        <f t="shared" si="4"/>
        <v/>
      </c>
      <c r="D329" s="44" t="str">
        <f>IF(B329="","",+SUMIFS('300s Plant Balances Input'!K:K,'300s Plant Balances Input'!D:D,'300s - 5 Digit FERC Accounts'!B329))</f>
        <v/>
      </c>
      <c r="E329" s="44" t="str">
        <f>IF(B329="","",+SUMIFS('300s Plant Balances Input'!S:S,'300s Plant Balances Input'!D:D,'300s - 5 Digit FERC Accounts'!B329))</f>
        <v/>
      </c>
      <c r="F329" s="44" t="str">
        <f>IF(B329="","",+SUMIFS('300s Plant Balances Input'!M:M,'300s Plant Balances Input'!D:D,'300s - 5 Digit FERC Accounts'!B329))</f>
        <v/>
      </c>
    </row>
    <row r="330" spans="1:6">
      <c r="A330" s="33" t="str">
        <f t="shared" si="4"/>
        <v/>
      </c>
      <c r="D330" s="44" t="str">
        <f>IF(B330="","",+SUMIFS('300s Plant Balances Input'!K:K,'300s Plant Balances Input'!D:D,'300s - 5 Digit FERC Accounts'!B330))</f>
        <v/>
      </c>
      <c r="E330" s="44" t="str">
        <f>IF(B330="","",+SUMIFS('300s Plant Balances Input'!S:S,'300s Plant Balances Input'!D:D,'300s - 5 Digit FERC Accounts'!B330))</f>
        <v/>
      </c>
      <c r="F330" s="44" t="str">
        <f>IF(B330="","",+SUMIFS('300s Plant Balances Input'!M:M,'300s Plant Balances Input'!D:D,'300s - 5 Digit FERC Accounts'!B330))</f>
        <v/>
      </c>
    </row>
    <row r="331" spans="1:6">
      <c r="A331" s="33" t="str">
        <f t="shared" si="4"/>
        <v/>
      </c>
      <c r="D331" s="44" t="str">
        <f>IF(B331="","",+SUMIFS('300s Plant Balances Input'!K:K,'300s Plant Balances Input'!D:D,'300s - 5 Digit FERC Accounts'!B331))</f>
        <v/>
      </c>
      <c r="E331" s="44" t="str">
        <f>IF(B331="","",+SUMIFS('300s Plant Balances Input'!S:S,'300s Plant Balances Input'!D:D,'300s - 5 Digit FERC Accounts'!B331))</f>
        <v/>
      </c>
      <c r="F331" s="44" t="str">
        <f>IF(B331="","",+SUMIFS('300s Plant Balances Input'!M:M,'300s Plant Balances Input'!D:D,'300s - 5 Digit FERC Accounts'!B331))</f>
        <v/>
      </c>
    </row>
    <row r="332" spans="1:6">
      <c r="A332" s="33" t="str">
        <f t="shared" si="4"/>
        <v/>
      </c>
      <c r="D332" s="44" t="str">
        <f>IF(B332="","",+SUMIFS('300s Plant Balances Input'!K:K,'300s Plant Balances Input'!D:D,'300s - 5 Digit FERC Accounts'!B332))</f>
        <v/>
      </c>
      <c r="E332" s="44" t="str">
        <f>IF(B332="","",+SUMIFS('300s Plant Balances Input'!S:S,'300s Plant Balances Input'!D:D,'300s - 5 Digit FERC Accounts'!B332))</f>
        <v/>
      </c>
      <c r="F332" s="44" t="str">
        <f>IF(B332="","",+SUMIFS('300s Plant Balances Input'!M:M,'300s Plant Balances Input'!D:D,'300s - 5 Digit FERC Accounts'!B332))</f>
        <v/>
      </c>
    </row>
    <row r="333" spans="1:6">
      <c r="A333" s="33" t="str">
        <f t="shared" si="4"/>
        <v/>
      </c>
      <c r="D333" s="44" t="str">
        <f>IF(B333="","",+SUMIFS('300s Plant Balances Input'!K:K,'300s Plant Balances Input'!D:D,'300s - 5 Digit FERC Accounts'!B333))</f>
        <v/>
      </c>
      <c r="E333" s="44" t="str">
        <f>IF(B333="","",+SUMIFS('300s Plant Balances Input'!S:S,'300s Plant Balances Input'!D:D,'300s - 5 Digit FERC Accounts'!B333))</f>
        <v/>
      </c>
      <c r="F333" s="44" t="str">
        <f>IF(B333="","",+SUMIFS('300s Plant Balances Input'!M:M,'300s Plant Balances Input'!D:D,'300s - 5 Digit FERC Accounts'!B333))</f>
        <v/>
      </c>
    </row>
    <row r="334" spans="1:6">
      <c r="A334" s="33" t="str">
        <f t="shared" ref="A334:A397" si="5">+LEFT(B334,3)</f>
        <v/>
      </c>
      <c r="D334" s="44" t="str">
        <f>IF(B334="","",+SUMIFS('300s Plant Balances Input'!K:K,'300s Plant Balances Input'!D:D,'300s - 5 Digit FERC Accounts'!B334))</f>
        <v/>
      </c>
      <c r="E334" s="44" t="str">
        <f>IF(B334="","",+SUMIFS('300s Plant Balances Input'!S:S,'300s Plant Balances Input'!D:D,'300s - 5 Digit FERC Accounts'!B334))</f>
        <v/>
      </c>
      <c r="F334" s="44" t="str">
        <f>IF(B334="","",+SUMIFS('300s Plant Balances Input'!M:M,'300s Plant Balances Input'!D:D,'300s - 5 Digit FERC Accounts'!B334))</f>
        <v/>
      </c>
    </row>
    <row r="335" spans="1:6">
      <c r="A335" s="33" t="str">
        <f t="shared" si="5"/>
        <v/>
      </c>
      <c r="D335" s="44" t="str">
        <f>IF(B335="","",+SUMIFS('300s Plant Balances Input'!K:K,'300s Plant Balances Input'!D:D,'300s - 5 Digit FERC Accounts'!B335))</f>
        <v/>
      </c>
      <c r="E335" s="44" t="str">
        <f>IF(B335="","",+SUMIFS('300s Plant Balances Input'!S:S,'300s Plant Balances Input'!D:D,'300s - 5 Digit FERC Accounts'!B335))</f>
        <v/>
      </c>
      <c r="F335" s="44" t="str">
        <f>IF(B335="","",+SUMIFS('300s Plant Balances Input'!M:M,'300s Plant Balances Input'!D:D,'300s - 5 Digit FERC Accounts'!B335))</f>
        <v/>
      </c>
    </row>
    <row r="336" spans="1:6">
      <c r="A336" s="33" t="str">
        <f t="shared" si="5"/>
        <v/>
      </c>
      <c r="D336" s="44" t="str">
        <f>IF(B336="","",+SUMIFS('300s Plant Balances Input'!K:K,'300s Plant Balances Input'!D:D,'300s - 5 Digit FERC Accounts'!B336))</f>
        <v/>
      </c>
      <c r="E336" s="44" t="str">
        <f>IF(B336="","",+SUMIFS('300s Plant Balances Input'!S:S,'300s Plant Balances Input'!D:D,'300s - 5 Digit FERC Accounts'!B336))</f>
        <v/>
      </c>
      <c r="F336" s="44" t="str">
        <f>IF(B336="","",+SUMIFS('300s Plant Balances Input'!M:M,'300s Plant Balances Input'!D:D,'300s - 5 Digit FERC Accounts'!B336))</f>
        <v/>
      </c>
    </row>
    <row r="337" spans="1:6">
      <c r="A337" s="33" t="str">
        <f t="shared" si="5"/>
        <v/>
      </c>
      <c r="D337" s="44" t="str">
        <f>IF(B337="","",+SUMIFS('300s Plant Balances Input'!K:K,'300s Plant Balances Input'!D:D,'300s - 5 Digit FERC Accounts'!B337))</f>
        <v/>
      </c>
      <c r="E337" s="44" t="str">
        <f>IF(B337="","",+SUMIFS('300s Plant Balances Input'!S:S,'300s Plant Balances Input'!D:D,'300s - 5 Digit FERC Accounts'!B337))</f>
        <v/>
      </c>
      <c r="F337" s="44" t="str">
        <f>IF(B337="","",+SUMIFS('300s Plant Balances Input'!M:M,'300s Plant Balances Input'!D:D,'300s - 5 Digit FERC Accounts'!B337))</f>
        <v/>
      </c>
    </row>
    <row r="338" spans="1:6">
      <c r="A338" s="33" t="str">
        <f t="shared" si="5"/>
        <v/>
      </c>
      <c r="D338" s="44" t="str">
        <f>IF(B338="","",+SUMIFS('300s Plant Balances Input'!K:K,'300s Plant Balances Input'!D:D,'300s - 5 Digit FERC Accounts'!B338))</f>
        <v/>
      </c>
      <c r="E338" s="44" t="str">
        <f>IF(B338="","",+SUMIFS('300s Plant Balances Input'!S:S,'300s Plant Balances Input'!D:D,'300s - 5 Digit FERC Accounts'!B338))</f>
        <v/>
      </c>
      <c r="F338" s="44" t="str">
        <f>IF(B338="","",+SUMIFS('300s Plant Balances Input'!M:M,'300s Plant Balances Input'!D:D,'300s - 5 Digit FERC Accounts'!B338))</f>
        <v/>
      </c>
    </row>
    <row r="339" spans="1:6">
      <c r="A339" s="33" t="str">
        <f t="shared" si="5"/>
        <v/>
      </c>
      <c r="D339" s="44" t="str">
        <f>IF(B339="","",+SUMIFS('300s Plant Balances Input'!K:K,'300s Plant Balances Input'!D:D,'300s - 5 Digit FERC Accounts'!B339))</f>
        <v/>
      </c>
      <c r="E339" s="44" t="str">
        <f>IF(B339="","",+SUMIFS('300s Plant Balances Input'!S:S,'300s Plant Balances Input'!D:D,'300s - 5 Digit FERC Accounts'!B339))</f>
        <v/>
      </c>
      <c r="F339" s="44" t="str">
        <f>IF(B339="","",+SUMIFS('300s Plant Balances Input'!M:M,'300s Plant Balances Input'!D:D,'300s - 5 Digit FERC Accounts'!B339))</f>
        <v/>
      </c>
    </row>
    <row r="340" spans="1:6">
      <c r="A340" s="33" t="str">
        <f t="shared" si="5"/>
        <v/>
      </c>
      <c r="D340" s="44" t="str">
        <f>IF(B340="","",+SUMIFS('300s Plant Balances Input'!K:K,'300s Plant Balances Input'!D:D,'300s - 5 Digit FERC Accounts'!B340))</f>
        <v/>
      </c>
      <c r="E340" s="44" t="str">
        <f>IF(B340="","",+SUMIFS('300s Plant Balances Input'!S:S,'300s Plant Balances Input'!D:D,'300s - 5 Digit FERC Accounts'!B340))</f>
        <v/>
      </c>
      <c r="F340" s="44" t="str">
        <f>IF(B340="","",+SUMIFS('300s Plant Balances Input'!M:M,'300s Plant Balances Input'!D:D,'300s - 5 Digit FERC Accounts'!B340))</f>
        <v/>
      </c>
    </row>
    <row r="341" spans="1:6">
      <c r="A341" s="33" t="str">
        <f t="shared" si="5"/>
        <v/>
      </c>
      <c r="D341" s="44" t="str">
        <f>IF(B341="","",+SUMIFS('300s Plant Balances Input'!K:K,'300s Plant Balances Input'!D:D,'300s - 5 Digit FERC Accounts'!B341))</f>
        <v/>
      </c>
      <c r="E341" s="44" t="str">
        <f>IF(B341="","",+SUMIFS('300s Plant Balances Input'!S:S,'300s Plant Balances Input'!D:D,'300s - 5 Digit FERC Accounts'!B341))</f>
        <v/>
      </c>
      <c r="F341" s="44" t="str">
        <f>IF(B341="","",+SUMIFS('300s Plant Balances Input'!M:M,'300s Plant Balances Input'!D:D,'300s - 5 Digit FERC Accounts'!B341))</f>
        <v/>
      </c>
    </row>
    <row r="342" spans="1:6">
      <c r="A342" s="33" t="str">
        <f t="shared" si="5"/>
        <v/>
      </c>
      <c r="D342" s="44" t="str">
        <f>IF(B342="","",+SUMIFS('300s Plant Balances Input'!K:K,'300s Plant Balances Input'!D:D,'300s - 5 Digit FERC Accounts'!B342))</f>
        <v/>
      </c>
      <c r="E342" s="44" t="str">
        <f>IF(B342="","",+SUMIFS('300s Plant Balances Input'!S:S,'300s Plant Balances Input'!D:D,'300s - 5 Digit FERC Accounts'!B342))</f>
        <v/>
      </c>
      <c r="F342" s="44" t="str">
        <f>IF(B342="","",+SUMIFS('300s Plant Balances Input'!M:M,'300s Plant Balances Input'!D:D,'300s - 5 Digit FERC Accounts'!B342))</f>
        <v/>
      </c>
    </row>
    <row r="343" spans="1:6">
      <c r="A343" s="33" t="str">
        <f t="shared" si="5"/>
        <v/>
      </c>
      <c r="D343" s="44" t="str">
        <f>IF(B343="","",+SUMIFS('300s Plant Balances Input'!K:K,'300s Plant Balances Input'!D:D,'300s - 5 Digit FERC Accounts'!B343))</f>
        <v/>
      </c>
      <c r="E343" s="44" t="str">
        <f>IF(B343="","",+SUMIFS('300s Plant Balances Input'!S:S,'300s Plant Balances Input'!D:D,'300s - 5 Digit FERC Accounts'!B343))</f>
        <v/>
      </c>
      <c r="F343" s="44" t="str">
        <f>IF(B343="","",+SUMIFS('300s Plant Balances Input'!M:M,'300s Plant Balances Input'!D:D,'300s - 5 Digit FERC Accounts'!B343))</f>
        <v/>
      </c>
    </row>
    <row r="344" spans="1:6">
      <c r="A344" s="33" t="str">
        <f t="shared" si="5"/>
        <v/>
      </c>
      <c r="D344" s="44" t="str">
        <f>IF(B344="","",+SUMIFS('300s Plant Balances Input'!K:K,'300s Plant Balances Input'!D:D,'300s - 5 Digit FERC Accounts'!B344))</f>
        <v/>
      </c>
      <c r="E344" s="44" t="str">
        <f>IF(B344="","",+SUMIFS('300s Plant Balances Input'!S:S,'300s Plant Balances Input'!D:D,'300s - 5 Digit FERC Accounts'!B344))</f>
        <v/>
      </c>
      <c r="F344" s="44" t="str">
        <f>IF(B344="","",+SUMIFS('300s Plant Balances Input'!M:M,'300s Plant Balances Input'!D:D,'300s - 5 Digit FERC Accounts'!B344))</f>
        <v/>
      </c>
    </row>
    <row r="345" spans="1:6">
      <c r="A345" s="33" t="str">
        <f t="shared" si="5"/>
        <v/>
      </c>
      <c r="D345" s="44" t="str">
        <f>IF(B345="","",+SUMIFS('300s Plant Balances Input'!K:K,'300s Plant Balances Input'!D:D,'300s - 5 Digit FERC Accounts'!B345))</f>
        <v/>
      </c>
      <c r="E345" s="44" t="str">
        <f>IF(B345="","",+SUMIFS('300s Plant Balances Input'!S:S,'300s Plant Balances Input'!D:D,'300s - 5 Digit FERC Accounts'!B345))</f>
        <v/>
      </c>
      <c r="F345" s="44" t="str">
        <f>IF(B345="","",+SUMIFS('300s Plant Balances Input'!M:M,'300s Plant Balances Input'!D:D,'300s - 5 Digit FERC Accounts'!B345))</f>
        <v/>
      </c>
    </row>
    <row r="346" spans="1:6">
      <c r="A346" s="33" t="str">
        <f t="shared" si="5"/>
        <v/>
      </c>
      <c r="D346" s="44" t="str">
        <f>IF(B346="","",+SUMIFS('300s Plant Balances Input'!K:K,'300s Plant Balances Input'!D:D,'300s - 5 Digit FERC Accounts'!B346))</f>
        <v/>
      </c>
      <c r="E346" s="44" t="str">
        <f>IF(B346="","",+SUMIFS('300s Plant Balances Input'!S:S,'300s Plant Balances Input'!D:D,'300s - 5 Digit FERC Accounts'!B346))</f>
        <v/>
      </c>
      <c r="F346" s="44" t="str">
        <f>IF(B346="","",+SUMIFS('300s Plant Balances Input'!M:M,'300s Plant Balances Input'!D:D,'300s - 5 Digit FERC Accounts'!B346))</f>
        <v/>
      </c>
    </row>
    <row r="347" spans="1:6">
      <c r="A347" s="33" t="str">
        <f t="shared" si="5"/>
        <v/>
      </c>
      <c r="D347" s="44" t="str">
        <f>IF(B347="","",+SUMIFS('300s Plant Balances Input'!K:K,'300s Plant Balances Input'!D:D,'300s - 5 Digit FERC Accounts'!B347))</f>
        <v/>
      </c>
      <c r="E347" s="44" t="str">
        <f>IF(B347="","",+SUMIFS('300s Plant Balances Input'!S:S,'300s Plant Balances Input'!D:D,'300s - 5 Digit FERC Accounts'!B347))</f>
        <v/>
      </c>
      <c r="F347" s="44" t="str">
        <f>IF(B347="","",+SUMIFS('300s Plant Balances Input'!M:M,'300s Plant Balances Input'!D:D,'300s - 5 Digit FERC Accounts'!B347))</f>
        <v/>
      </c>
    </row>
    <row r="348" spans="1:6">
      <c r="A348" s="33" t="str">
        <f t="shared" si="5"/>
        <v/>
      </c>
      <c r="D348" s="44" t="str">
        <f>IF(B348="","",+SUMIFS('300s Plant Balances Input'!K:K,'300s Plant Balances Input'!D:D,'300s - 5 Digit FERC Accounts'!B348))</f>
        <v/>
      </c>
      <c r="E348" s="44" t="str">
        <f>IF(B348="","",+SUMIFS('300s Plant Balances Input'!S:S,'300s Plant Balances Input'!D:D,'300s - 5 Digit FERC Accounts'!B348))</f>
        <v/>
      </c>
      <c r="F348" s="44" t="str">
        <f>IF(B348="","",+SUMIFS('300s Plant Balances Input'!M:M,'300s Plant Balances Input'!D:D,'300s - 5 Digit FERC Accounts'!B348))</f>
        <v/>
      </c>
    </row>
    <row r="349" spans="1:6">
      <c r="A349" s="33" t="str">
        <f t="shared" si="5"/>
        <v/>
      </c>
      <c r="D349" s="44" t="str">
        <f>IF(B349="","",+SUMIFS('300s Plant Balances Input'!K:K,'300s Plant Balances Input'!D:D,'300s - 5 Digit FERC Accounts'!B349))</f>
        <v/>
      </c>
      <c r="E349" s="44" t="str">
        <f>IF(B349="","",+SUMIFS('300s Plant Balances Input'!S:S,'300s Plant Balances Input'!D:D,'300s - 5 Digit FERC Accounts'!B349))</f>
        <v/>
      </c>
      <c r="F349" s="44" t="str">
        <f>IF(B349="","",+SUMIFS('300s Plant Balances Input'!M:M,'300s Plant Balances Input'!D:D,'300s - 5 Digit FERC Accounts'!B349))</f>
        <v/>
      </c>
    </row>
    <row r="350" spans="1:6">
      <c r="A350" s="33" t="str">
        <f t="shared" si="5"/>
        <v/>
      </c>
      <c r="D350" s="44" t="str">
        <f>IF(B350="","",+SUMIFS('300s Plant Balances Input'!K:K,'300s Plant Balances Input'!D:D,'300s - 5 Digit FERC Accounts'!B350))</f>
        <v/>
      </c>
      <c r="E350" s="44" t="str">
        <f>IF(B350="","",+SUMIFS('300s Plant Balances Input'!S:S,'300s Plant Balances Input'!D:D,'300s - 5 Digit FERC Accounts'!B350))</f>
        <v/>
      </c>
      <c r="F350" s="44" t="str">
        <f>IF(B350="","",+SUMIFS('300s Plant Balances Input'!M:M,'300s Plant Balances Input'!D:D,'300s - 5 Digit FERC Accounts'!B350))</f>
        <v/>
      </c>
    </row>
    <row r="351" spans="1:6">
      <c r="A351" s="33" t="str">
        <f t="shared" si="5"/>
        <v/>
      </c>
      <c r="D351" s="44" t="str">
        <f>IF(B351="","",+SUMIFS('300s Plant Balances Input'!K:K,'300s Plant Balances Input'!D:D,'300s - 5 Digit FERC Accounts'!B351))</f>
        <v/>
      </c>
      <c r="E351" s="44" t="str">
        <f>IF(B351="","",+SUMIFS('300s Plant Balances Input'!S:S,'300s Plant Balances Input'!D:D,'300s - 5 Digit FERC Accounts'!B351))</f>
        <v/>
      </c>
      <c r="F351" s="44" t="str">
        <f>IF(B351="","",+SUMIFS('300s Plant Balances Input'!M:M,'300s Plant Balances Input'!D:D,'300s - 5 Digit FERC Accounts'!B351))</f>
        <v/>
      </c>
    </row>
    <row r="352" spans="1:6">
      <c r="A352" s="33" t="str">
        <f t="shared" si="5"/>
        <v/>
      </c>
      <c r="D352" s="44" t="str">
        <f>IF(B352="","",+SUMIFS('300s Plant Balances Input'!K:K,'300s Plant Balances Input'!D:D,'300s - 5 Digit FERC Accounts'!B352))</f>
        <v/>
      </c>
      <c r="E352" s="44" t="str">
        <f>IF(B352="","",+SUMIFS('300s Plant Balances Input'!S:S,'300s Plant Balances Input'!D:D,'300s - 5 Digit FERC Accounts'!B352))</f>
        <v/>
      </c>
      <c r="F352" s="44" t="str">
        <f>IF(B352="","",+SUMIFS('300s Plant Balances Input'!M:M,'300s Plant Balances Input'!D:D,'300s - 5 Digit FERC Accounts'!B352))</f>
        <v/>
      </c>
    </row>
    <row r="353" spans="1:6">
      <c r="A353" s="33" t="str">
        <f t="shared" si="5"/>
        <v/>
      </c>
      <c r="D353" s="44" t="str">
        <f>IF(B353="","",+SUMIFS('300s Plant Balances Input'!K:K,'300s Plant Balances Input'!D:D,'300s - 5 Digit FERC Accounts'!B353))</f>
        <v/>
      </c>
      <c r="E353" s="44" t="str">
        <f>IF(B353="","",+SUMIFS('300s Plant Balances Input'!S:S,'300s Plant Balances Input'!D:D,'300s - 5 Digit FERC Accounts'!B353))</f>
        <v/>
      </c>
      <c r="F353" s="44" t="str">
        <f>IF(B353="","",+SUMIFS('300s Plant Balances Input'!M:M,'300s Plant Balances Input'!D:D,'300s - 5 Digit FERC Accounts'!B353))</f>
        <v/>
      </c>
    </row>
    <row r="354" spans="1:6">
      <c r="A354" s="33" t="str">
        <f t="shared" si="5"/>
        <v/>
      </c>
      <c r="D354" s="44" t="str">
        <f>IF(B354="","",+SUMIFS('300s Plant Balances Input'!K:K,'300s Plant Balances Input'!D:D,'300s - 5 Digit FERC Accounts'!B354))</f>
        <v/>
      </c>
      <c r="E354" s="44" t="str">
        <f>IF(B354="","",+SUMIFS('300s Plant Balances Input'!S:S,'300s Plant Balances Input'!D:D,'300s - 5 Digit FERC Accounts'!B354))</f>
        <v/>
      </c>
      <c r="F354" s="44" t="str">
        <f>IF(B354="","",+SUMIFS('300s Plant Balances Input'!M:M,'300s Plant Balances Input'!D:D,'300s - 5 Digit FERC Accounts'!B354))</f>
        <v/>
      </c>
    </row>
    <row r="355" spans="1:6">
      <c r="A355" s="33" t="str">
        <f t="shared" si="5"/>
        <v/>
      </c>
      <c r="D355" s="44" t="str">
        <f>IF(B355="","",+SUMIFS('300s Plant Balances Input'!K:K,'300s Plant Balances Input'!D:D,'300s - 5 Digit FERC Accounts'!B355))</f>
        <v/>
      </c>
      <c r="E355" s="44" t="str">
        <f>IF(B355="","",+SUMIFS('300s Plant Balances Input'!S:S,'300s Plant Balances Input'!D:D,'300s - 5 Digit FERC Accounts'!B355))</f>
        <v/>
      </c>
      <c r="F355" s="44" t="str">
        <f>IF(B355="","",+SUMIFS('300s Plant Balances Input'!M:M,'300s Plant Balances Input'!D:D,'300s - 5 Digit FERC Accounts'!B355))</f>
        <v/>
      </c>
    </row>
    <row r="356" spans="1:6">
      <c r="A356" s="33" t="str">
        <f t="shared" si="5"/>
        <v/>
      </c>
      <c r="D356" s="44" t="str">
        <f>IF(B356="","",+SUMIFS('300s Plant Balances Input'!K:K,'300s Plant Balances Input'!D:D,'300s - 5 Digit FERC Accounts'!B356))</f>
        <v/>
      </c>
      <c r="E356" s="44" t="str">
        <f>IF(B356="","",+SUMIFS('300s Plant Balances Input'!S:S,'300s Plant Balances Input'!D:D,'300s - 5 Digit FERC Accounts'!B356))</f>
        <v/>
      </c>
      <c r="F356" s="44" t="str">
        <f>IF(B356="","",+SUMIFS('300s Plant Balances Input'!M:M,'300s Plant Balances Input'!D:D,'300s - 5 Digit FERC Accounts'!B356))</f>
        <v/>
      </c>
    </row>
    <row r="357" spans="1:6">
      <c r="A357" s="33" t="str">
        <f t="shared" si="5"/>
        <v/>
      </c>
      <c r="D357" s="44" t="str">
        <f>IF(B357="","",+SUMIFS('300s Plant Balances Input'!K:K,'300s Plant Balances Input'!D:D,'300s - 5 Digit FERC Accounts'!B357))</f>
        <v/>
      </c>
      <c r="E357" s="44" t="str">
        <f>IF(B357="","",+SUMIFS('300s Plant Balances Input'!S:S,'300s Plant Balances Input'!D:D,'300s - 5 Digit FERC Accounts'!B357))</f>
        <v/>
      </c>
      <c r="F357" s="44" t="str">
        <f>IF(B357="","",+SUMIFS('300s Plant Balances Input'!M:M,'300s Plant Balances Input'!D:D,'300s - 5 Digit FERC Accounts'!B357))</f>
        <v/>
      </c>
    </row>
    <row r="358" spans="1:6">
      <c r="A358" s="33" t="str">
        <f t="shared" si="5"/>
        <v/>
      </c>
      <c r="D358" s="44" t="str">
        <f>IF(B358="","",+SUMIFS('300s Plant Balances Input'!K:K,'300s Plant Balances Input'!D:D,'300s - 5 Digit FERC Accounts'!B358))</f>
        <v/>
      </c>
      <c r="E358" s="44" t="str">
        <f>IF(B358="","",+SUMIFS('300s Plant Balances Input'!S:S,'300s Plant Balances Input'!D:D,'300s - 5 Digit FERC Accounts'!B358))</f>
        <v/>
      </c>
      <c r="F358" s="44" t="str">
        <f>IF(B358="","",+SUMIFS('300s Plant Balances Input'!M:M,'300s Plant Balances Input'!D:D,'300s - 5 Digit FERC Accounts'!B358))</f>
        <v/>
      </c>
    </row>
    <row r="359" spans="1:6">
      <c r="A359" s="33" t="str">
        <f t="shared" si="5"/>
        <v/>
      </c>
      <c r="D359" s="44" t="str">
        <f>IF(B359="","",+SUMIFS('300s Plant Balances Input'!K:K,'300s Plant Balances Input'!D:D,'300s - 5 Digit FERC Accounts'!B359))</f>
        <v/>
      </c>
      <c r="E359" s="44" t="str">
        <f>IF(B359="","",+SUMIFS('300s Plant Balances Input'!S:S,'300s Plant Balances Input'!D:D,'300s - 5 Digit FERC Accounts'!B359))</f>
        <v/>
      </c>
      <c r="F359" s="44" t="str">
        <f>IF(B359="","",+SUMIFS('300s Plant Balances Input'!M:M,'300s Plant Balances Input'!D:D,'300s - 5 Digit FERC Accounts'!B359))</f>
        <v/>
      </c>
    </row>
    <row r="360" spans="1:6">
      <c r="A360" s="33" t="str">
        <f t="shared" si="5"/>
        <v/>
      </c>
      <c r="D360" s="44" t="str">
        <f>IF(B360="","",+SUMIFS('300s Plant Balances Input'!K:K,'300s Plant Balances Input'!D:D,'300s - 5 Digit FERC Accounts'!B360))</f>
        <v/>
      </c>
      <c r="E360" s="44" t="str">
        <f>IF(B360="","",+SUMIFS('300s Plant Balances Input'!S:S,'300s Plant Balances Input'!D:D,'300s - 5 Digit FERC Accounts'!B360))</f>
        <v/>
      </c>
      <c r="F360" s="44" t="str">
        <f>IF(B360="","",+SUMIFS('300s Plant Balances Input'!M:M,'300s Plant Balances Input'!D:D,'300s - 5 Digit FERC Accounts'!B360))</f>
        <v/>
      </c>
    </row>
    <row r="361" spans="1:6">
      <c r="A361" s="33" t="str">
        <f t="shared" si="5"/>
        <v/>
      </c>
      <c r="D361" s="44" t="str">
        <f>IF(B361="","",+SUMIFS('300s Plant Balances Input'!K:K,'300s Plant Balances Input'!D:D,'300s - 5 Digit FERC Accounts'!B361))</f>
        <v/>
      </c>
      <c r="E361" s="44" t="str">
        <f>IF(B361="","",+SUMIFS('300s Plant Balances Input'!S:S,'300s Plant Balances Input'!D:D,'300s - 5 Digit FERC Accounts'!B361))</f>
        <v/>
      </c>
      <c r="F361" s="44" t="str">
        <f>IF(B361="","",+SUMIFS('300s Plant Balances Input'!M:M,'300s Plant Balances Input'!D:D,'300s - 5 Digit FERC Accounts'!B361))</f>
        <v/>
      </c>
    </row>
    <row r="362" spans="1:6">
      <c r="A362" s="33" t="str">
        <f t="shared" si="5"/>
        <v/>
      </c>
      <c r="D362" s="44" t="str">
        <f>IF(B362="","",+SUMIFS('300s Plant Balances Input'!K:K,'300s Plant Balances Input'!D:D,'300s - 5 Digit FERC Accounts'!B362))</f>
        <v/>
      </c>
      <c r="E362" s="44" t="str">
        <f>IF(B362="","",+SUMIFS('300s Plant Balances Input'!S:S,'300s Plant Balances Input'!D:D,'300s - 5 Digit FERC Accounts'!B362))</f>
        <v/>
      </c>
      <c r="F362" s="44" t="str">
        <f>IF(B362="","",+SUMIFS('300s Plant Balances Input'!M:M,'300s Plant Balances Input'!D:D,'300s - 5 Digit FERC Accounts'!B362))</f>
        <v/>
      </c>
    </row>
    <row r="363" spans="1:6">
      <c r="A363" s="33" t="str">
        <f t="shared" si="5"/>
        <v/>
      </c>
      <c r="D363" s="44" t="str">
        <f>IF(B363="","",+SUMIFS('300s Plant Balances Input'!K:K,'300s Plant Balances Input'!D:D,'300s - 5 Digit FERC Accounts'!B363))</f>
        <v/>
      </c>
      <c r="E363" s="44" t="str">
        <f>IF(B363="","",+SUMIFS('300s Plant Balances Input'!S:S,'300s Plant Balances Input'!D:D,'300s - 5 Digit FERC Accounts'!B363))</f>
        <v/>
      </c>
      <c r="F363" s="44" t="str">
        <f>IF(B363="","",+SUMIFS('300s Plant Balances Input'!M:M,'300s Plant Balances Input'!D:D,'300s - 5 Digit FERC Accounts'!B363))</f>
        <v/>
      </c>
    </row>
    <row r="364" spans="1:6">
      <c r="A364" s="33" t="str">
        <f t="shared" si="5"/>
        <v/>
      </c>
      <c r="D364" s="44" t="str">
        <f>IF(B364="","",+SUMIFS('300s Plant Balances Input'!K:K,'300s Plant Balances Input'!D:D,'300s - 5 Digit FERC Accounts'!B364))</f>
        <v/>
      </c>
      <c r="E364" s="44" t="str">
        <f>IF(B364="","",+SUMIFS('300s Plant Balances Input'!S:S,'300s Plant Balances Input'!D:D,'300s - 5 Digit FERC Accounts'!B364))</f>
        <v/>
      </c>
      <c r="F364" s="44" t="str">
        <f>IF(B364="","",+SUMIFS('300s Plant Balances Input'!M:M,'300s Plant Balances Input'!D:D,'300s - 5 Digit FERC Accounts'!B364))</f>
        <v/>
      </c>
    </row>
    <row r="365" spans="1:6">
      <c r="A365" s="33" t="str">
        <f t="shared" si="5"/>
        <v/>
      </c>
      <c r="D365" s="44" t="str">
        <f>IF(B365="","",+SUMIFS('300s Plant Balances Input'!K:K,'300s Plant Balances Input'!D:D,'300s - 5 Digit FERC Accounts'!B365))</f>
        <v/>
      </c>
      <c r="E365" s="44" t="str">
        <f>IF(B365="","",+SUMIFS('300s Plant Balances Input'!S:S,'300s Plant Balances Input'!D:D,'300s - 5 Digit FERC Accounts'!B365))</f>
        <v/>
      </c>
      <c r="F365" s="44" t="str">
        <f>IF(B365="","",+SUMIFS('300s Plant Balances Input'!M:M,'300s Plant Balances Input'!D:D,'300s - 5 Digit FERC Accounts'!B365))</f>
        <v/>
      </c>
    </row>
    <row r="366" spans="1:6">
      <c r="A366" s="33" t="str">
        <f t="shared" si="5"/>
        <v/>
      </c>
      <c r="D366" s="44" t="str">
        <f>IF(B366="","",+SUMIFS('300s Plant Balances Input'!K:K,'300s Plant Balances Input'!D:D,'300s - 5 Digit FERC Accounts'!B366))</f>
        <v/>
      </c>
      <c r="E366" s="44" t="str">
        <f>IF(B366="","",+SUMIFS('300s Plant Balances Input'!S:S,'300s Plant Balances Input'!D:D,'300s - 5 Digit FERC Accounts'!B366))</f>
        <v/>
      </c>
      <c r="F366" s="44" t="str">
        <f>IF(B366="","",+SUMIFS('300s Plant Balances Input'!M:M,'300s Plant Balances Input'!D:D,'300s - 5 Digit FERC Accounts'!B366))</f>
        <v/>
      </c>
    </row>
    <row r="367" spans="1:6">
      <c r="A367" s="33" t="str">
        <f t="shared" si="5"/>
        <v/>
      </c>
      <c r="D367" s="44" t="str">
        <f>IF(B367="","",+SUMIFS('300s Plant Balances Input'!K:K,'300s Plant Balances Input'!D:D,'300s - 5 Digit FERC Accounts'!B367))</f>
        <v/>
      </c>
      <c r="E367" s="44" t="str">
        <f>IF(B367="","",+SUMIFS('300s Plant Balances Input'!S:S,'300s Plant Balances Input'!D:D,'300s - 5 Digit FERC Accounts'!B367))</f>
        <v/>
      </c>
      <c r="F367" s="44" t="str">
        <f>IF(B367="","",+SUMIFS('300s Plant Balances Input'!M:M,'300s Plant Balances Input'!D:D,'300s - 5 Digit FERC Accounts'!B367))</f>
        <v/>
      </c>
    </row>
    <row r="368" spans="1:6">
      <c r="A368" s="33" t="str">
        <f t="shared" si="5"/>
        <v/>
      </c>
      <c r="D368" s="44" t="str">
        <f>IF(B368="","",+SUMIFS('300s Plant Balances Input'!K:K,'300s Plant Balances Input'!D:D,'300s - 5 Digit FERC Accounts'!B368))</f>
        <v/>
      </c>
      <c r="E368" s="44" t="str">
        <f>IF(B368="","",+SUMIFS('300s Plant Balances Input'!S:S,'300s Plant Balances Input'!D:D,'300s - 5 Digit FERC Accounts'!B368))</f>
        <v/>
      </c>
      <c r="F368" s="44" t="str">
        <f>IF(B368="","",+SUMIFS('300s Plant Balances Input'!M:M,'300s Plant Balances Input'!D:D,'300s - 5 Digit FERC Accounts'!B368))</f>
        <v/>
      </c>
    </row>
    <row r="369" spans="1:6">
      <c r="A369" s="33" t="str">
        <f t="shared" si="5"/>
        <v/>
      </c>
      <c r="D369" s="44" t="str">
        <f>IF(B369="","",+SUMIFS('300s Plant Balances Input'!K:K,'300s Plant Balances Input'!D:D,'300s - 5 Digit FERC Accounts'!B369))</f>
        <v/>
      </c>
      <c r="E369" s="44" t="str">
        <f>IF(B369="","",+SUMIFS('300s Plant Balances Input'!S:S,'300s Plant Balances Input'!D:D,'300s - 5 Digit FERC Accounts'!B369))</f>
        <v/>
      </c>
      <c r="F369" s="44" t="str">
        <f>IF(B369="","",+SUMIFS('300s Plant Balances Input'!M:M,'300s Plant Balances Input'!D:D,'300s - 5 Digit FERC Accounts'!B369))</f>
        <v/>
      </c>
    </row>
    <row r="370" spans="1:6">
      <c r="A370" s="33" t="str">
        <f t="shared" si="5"/>
        <v/>
      </c>
      <c r="D370" s="44" t="str">
        <f>IF(B370="","",+SUMIFS('300s Plant Balances Input'!K:K,'300s Plant Balances Input'!D:D,'300s - 5 Digit FERC Accounts'!B370))</f>
        <v/>
      </c>
      <c r="E370" s="44" t="str">
        <f>IF(B370="","",+SUMIFS('300s Plant Balances Input'!S:S,'300s Plant Balances Input'!D:D,'300s - 5 Digit FERC Accounts'!B370))</f>
        <v/>
      </c>
      <c r="F370" s="44" t="str">
        <f>IF(B370="","",+SUMIFS('300s Plant Balances Input'!M:M,'300s Plant Balances Input'!D:D,'300s - 5 Digit FERC Accounts'!B370))</f>
        <v/>
      </c>
    </row>
    <row r="371" spans="1:6">
      <c r="A371" s="33" t="str">
        <f t="shared" si="5"/>
        <v/>
      </c>
      <c r="D371" s="44" t="str">
        <f>IF(B371="","",+SUMIFS('300s Plant Balances Input'!K:K,'300s Plant Balances Input'!D:D,'300s - 5 Digit FERC Accounts'!B371))</f>
        <v/>
      </c>
      <c r="E371" s="44" t="str">
        <f>IF(B371="","",+SUMIFS('300s Plant Balances Input'!S:S,'300s Plant Balances Input'!D:D,'300s - 5 Digit FERC Accounts'!B371))</f>
        <v/>
      </c>
      <c r="F371" s="44" t="str">
        <f>IF(B371="","",+SUMIFS('300s Plant Balances Input'!M:M,'300s Plant Balances Input'!D:D,'300s - 5 Digit FERC Accounts'!B371))</f>
        <v/>
      </c>
    </row>
    <row r="372" spans="1:6">
      <c r="A372" s="33" t="str">
        <f t="shared" si="5"/>
        <v/>
      </c>
      <c r="D372" s="44" t="str">
        <f>IF(B372="","",+SUMIFS('300s Plant Balances Input'!K:K,'300s Plant Balances Input'!D:D,'300s - 5 Digit FERC Accounts'!B372))</f>
        <v/>
      </c>
      <c r="E372" s="44" t="str">
        <f>IF(B372="","",+SUMIFS('300s Plant Balances Input'!S:S,'300s Plant Balances Input'!D:D,'300s - 5 Digit FERC Accounts'!B372))</f>
        <v/>
      </c>
      <c r="F372" s="44" t="str">
        <f>IF(B372="","",+SUMIFS('300s Plant Balances Input'!M:M,'300s Plant Balances Input'!D:D,'300s - 5 Digit FERC Accounts'!B372))</f>
        <v/>
      </c>
    </row>
    <row r="373" spans="1:6">
      <c r="A373" s="33" t="str">
        <f t="shared" si="5"/>
        <v/>
      </c>
      <c r="D373" s="44" t="str">
        <f>IF(B373="","",+SUMIFS('300s Plant Balances Input'!K:K,'300s Plant Balances Input'!D:D,'300s - 5 Digit FERC Accounts'!B373))</f>
        <v/>
      </c>
      <c r="E373" s="44" t="str">
        <f>IF(B373="","",+SUMIFS('300s Plant Balances Input'!S:S,'300s Plant Balances Input'!D:D,'300s - 5 Digit FERC Accounts'!B373))</f>
        <v/>
      </c>
      <c r="F373" s="44" t="str">
        <f>IF(B373="","",+SUMIFS('300s Plant Balances Input'!M:M,'300s Plant Balances Input'!D:D,'300s - 5 Digit FERC Accounts'!B373))</f>
        <v/>
      </c>
    </row>
    <row r="374" spans="1:6">
      <c r="A374" s="33" t="str">
        <f t="shared" si="5"/>
        <v/>
      </c>
      <c r="D374" s="44" t="str">
        <f>IF(B374="","",+SUMIFS('300s Plant Balances Input'!K:K,'300s Plant Balances Input'!D:D,'300s - 5 Digit FERC Accounts'!B374))</f>
        <v/>
      </c>
      <c r="E374" s="44" t="str">
        <f>IF(B374="","",+SUMIFS('300s Plant Balances Input'!S:S,'300s Plant Balances Input'!D:D,'300s - 5 Digit FERC Accounts'!B374))</f>
        <v/>
      </c>
      <c r="F374" s="44" t="str">
        <f>IF(B374="","",+SUMIFS('300s Plant Balances Input'!M:M,'300s Plant Balances Input'!D:D,'300s - 5 Digit FERC Accounts'!B374))</f>
        <v/>
      </c>
    </row>
    <row r="375" spans="1:6">
      <c r="A375" s="33" t="str">
        <f t="shared" si="5"/>
        <v/>
      </c>
      <c r="D375" s="44" t="str">
        <f>IF(B375="","",+SUMIFS('300s Plant Balances Input'!K:K,'300s Plant Balances Input'!D:D,'300s - 5 Digit FERC Accounts'!B375))</f>
        <v/>
      </c>
      <c r="E375" s="44" t="str">
        <f>IF(B375="","",+SUMIFS('300s Plant Balances Input'!S:S,'300s Plant Balances Input'!D:D,'300s - 5 Digit FERC Accounts'!B375))</f>
        <v/>
      </c>
      <c r="F375" s="44" t="str">
        <f>IF(B375="","",+SUMIFS('300s Plant Balances Input'!M:M,'300s Plant Balances Input'!D:D,'300s - 5 Digit FERC Accounts'!B375))</f>
        <v/>
      </c>
    </row>
    <row r="376" spans="1:6">
      <c r="A376" s="33" t="str">
        <f t="shared" si="5"/>
        <v/>
      </c>
      <c r="D376" s="44" t="str">
        <f>IF(B376="","",+SUMIFS('300s Plant Balances Input'!K:K,'300s Plant Balances Input'!D:D,'300s - 5 Digit FERC Accounts'!B376))</f>
        <v/>
      </c>
      <c r="E376" s="44" t="str">
        <f>IF(B376="","",+SUMIFS('300s Plant Balances Input'!S:S,'300s Plant Balances Input'!D:D,'300s - 5 Digit FERC Accounts'!B376))</f>
        <v/>
      </c>
      <c r="F376" s="44" t="str">
        <f>IF(B376="","",+SUMIFS('300s Plant Balances Input'!M:M,'300s Plant Balances Input'!D:D,'300s - 5 Digit FERC Accounts'!B376))</f>
        <v/>
      </c>
    </row>
    <row r="377" spans="1:6">
      <c r="A377" s="33" t="str">
        <f t="shared" si="5"/>
        <v/>
      </c>
      <c r="D377" s="44" t="str">
        <f>IF(B377="","",+SUMIFS('300s Plant Balances Input'!K:K,'300s Plant Balances Input'!D:D,'300s - 5 Digit FERC Accounts'!B377))</f>
        <v/>
      </c>
      <c r="E377" s="44" t="str">
        <f>IF(B377="","",+SUMIFS('300s Plant Balances Input'!S:S,'300s Plant Balances Input'!D:D,'300s - 5 Digit FERC Accounts'!B377))</f>
        <v/>
      </c>
      <c r="F377" s="44" t="str">
        <f>IF(B377="","",+SUMIFS('300s Plant Balances Input'!M:M,'300s Plant Balances Input'!D:D,'300s - 5 Digit FERC Accounts'!B377))</f>
        <v/>
      </c>
    </row>
    <row r="378" spans="1:6">
      <c r="A378" s="33" t="str">
        <f t="shared" si="5"/>
        <v/>
      </c>
      <c r="D378" s="44" t="str">
        <f>IF(B378="","",+SUMIFS('300s Plant Balances Input'!K:K,'300s Plant Balances Input'!D:D,'300s - 5 Digit FERC Accounts'!B378))</f>
        <v/>
      </c>
      <c r="E378" s="44" t="str">
        <f>IF(B378="","",+SUMIFS('300s Plant Balances Input'!S:S,'300s Plant Balances Input'!D:D,'300s - 5 Digit FERC Accounts'!B378))</f>
        <v/>
      </c>
      <c r="F378" s="44" t="str">
        <f>IF(B378="","",+SUMIFS('300s Plant Balances Input'!M:M,'300s Plant Balances Input'!D:D,'300s - 5 Digit FERC Accounts'!B378))</f>
        <v/>
      </c>
    </row>
    <row r="379" spans="1:6">
      <c r="A379" s="33" t="str">
        <f t="shared" si="5"/>
        <v/>
      </c>
      <c r="D379" s="44" t="str">
        <f>IF(B379="","",+SUMIFS('300s Plant Balances Input'!K:K,'300s Plant Balances Input'!D:D,'300s - 5 Digit FERC Accounts'!B379))</f>
        <v/>
      </c>
      <c r="E379" s="44" t="str">
        <f>IF(B379="","",+SUMIFS('300s Plant Balances Input'!S:S,'300s Plant Balances Input'!D:D,'300s - 5 Digit FERC Accounts'!B379))</f>
        <v/>
      </c>
      <c r="F379" s="44" t="str">
        <f>IF(B379="","",+SUMIFS('300s Plant Balances Input'!M:M,'300s Plant Balances Input'!D:D,'300s - 5 Digit FERC Accounts'!B379))</f>
        <v/>
      </c>
    </row>
    <row r="380" spans="1:6">
      <c r="A380" s="33" t="str">
        <f t="shared" si="5"/>
        <v/>
      </c>
      <c r="D380" s="44" t="str">
        <f>IF(B380="","",+SUMIFS('300s Plant Balances Input'!K:K,'300s Plant Balances Input'!D:D,'300s - 5 Digit FERC Accounts'!B380))</f>
        <v/>
      </c>
      <c r="E380" s="44" t="str">
        <f>IF(B380="","",+SUMIFS('300s Plant Balances Input'!S:S,'300s Plant Balances Input'!D:D,'300s - 5 Digit FERC Accounts'!B380))</f>
        <v/>
      </c>
      <c r="F380" s="44" t="str">
        <f>IF(B380="","",+SUMIFS('300s Plant Balances Input'!M:M,'300s Plant Balances Input'!D:D,'300s - 5 Digit FERC Accounts'!B380))</f>
        <v/>
      </c>
    </row>
    <row r="381" spans="1:6">
      <c r="A381" s="33" t="str">
        <f t="shared" si="5"/>
        <v/>
      </c>
      <c r="D381" s="44" t="str">
        <f>IF(B381="","",+SUMIFS('300s Plant Balances Input'!K:K,'300s Plant Balances Input'!D:D,'300s - 5 Digit FERC Accounts'!B381))</f>
        <v/>
      </c>
      <c r="E381" s="44" t="str">
        <f>IF(B381="","",+SUMIFS('300s Plant Balances Input'!S:S,'300s Plant Balances Input'!D:D,'300s - 5 Digit FERC Accounts'!B381))</f>
        <v/>
      </c>
      <c r="F381" s="44" t="str">
        <f>IF(B381="","",+SUMIFS('300s Plant Balances Input'!M:M,'300s Plant Balances Input'!D:D,'300s - 5 Digit FERC Accounts'!B381))</f>
        <v/>
      </c>
    </row>
    <row r="382" spans="1:6">
      <c r="A382" s="33" t="str">
        <f t="shared" si="5"/>
        <v/>
      </c>
      <c r="D382" s="44" t="str">
        <f>IF(B382="","",+SUMIFS('300s Plant Balances Input'!K:K,'300s Plant Balances Input'!D:D,'300s - 5 Digit FERC Accounts'!B382))</f>
        <v/>
      </c>
      <c r="E382" s="44" t="str">
        <f>IF(B382="","",+SUMIFS('300s Plant Balances Input'!S:S,'300s Plant Balances Input'!D:D,'300s - 5 Digit FERC Accounts'!B382))</f>
        <v/>
      </c>
      <c r="F382" s="44" t="str">
        <f>IF(B382="","",+SUMIFS('300s Plant Balances Input'!M:M,'300s Plant Balances Input'!D:D,'300s - 5 Digit FERC Accounts'!B382))</f>
        <v/>
      </c>
    </row>
    <row r="383" spans="1:6">
      <c r="A383" s="33" t="str">
        <f t="shared" si="5"/>
        <v/>
      </c>
      <c r="D383" s="44" t="str">
        <f>IF(B383="","",+SUMIFS('300s Plant Balances Input'!K:K,'300s Plant Balances Input'!D:D,'300s - 5 Digit FERC Accounts'!B383))</f>
        <v/>
      </c>
      <c r="E383" s="44" t="str">
        <f>IF(B383="","",+SUMIFS('300s Plant Balances Input'!S:S,'300s Plant Balances Input'!D:D,'300s - 5 Digit FERC Accounts'!B383))</f>
        <v/>
      </c>
      <c r="F383" s="44" t="str">
        <f>IF(B383="","",+SUMIFS('300s Plant Balances Input'!M:M,'300s Plant Balances Input'!D:D,'300s - 5 Digit FERC Accounts'!B383))</f>
        <v/>
      </c>
    </row>
    <row r="384" spans="1:6">
      <c r="A384" s="33" t="str">
        <f t="shared" si="5"/>
        <v/>
      </c>
      <c r="D384" s="44" t="str">
        <f>IF(B384="","",+SUMIFS('300s Plant Balances Input'!K:K,'300s Plant Balances Input'!D:D,'300s - 5 Digit FERC Accounts'!B384))</f>
        <v/>
      </c>
      <c r="E384" s="44" t="str">
        <f>IF(B384="","",+SUMIFS('300s Plant Balances Input'!S:S,'300s Plant Balances Input'!D:D,'300s - 5 Digit FERC Accounts'!B384))</f>
        <v/>
      </c>
      <c r="F384" s="44" t="str">
        <f>IF(B384="","",+SUMIFS('300s Plant Balances Input'!M:M,'300s Plant Balances Input'!D:D,'300s - 5 Digit FERC Accounts'!B384))</f>
        <v/>
      </c>
    </row>
    <row r="385" spans="1:6">
      <c r="A385" s="33" t="str">
        <f t="shared" si="5"/>
        <v/>
      </c>
      <c r="D385" s="44" t="str">
        <f>IF(B385="","",+SUMIFS('300s Plant Balances Input'!K:K,'300s Plant Balances Input'!D:D,'300s - 5 Digit FERC Accounts'!B385))</f>
        <v/>
      </c>
      <c r="E385" s="44" t="str">
        <f>IF(B385="","",+SUMIFS('300s Plant Balances Input'!S:S,'300s Plant Balances Input'!D:D,'300s - 5 Digit FERC Accounts'!B385))</f>
        <v/>
      </c>
      <c r="F385" s="44" t="str">
        <f>IF(B385="","",+SUMIFS('300s Plant Balances Input'!M:M,'300s Plant Balances Input'!D:D,'300s - 5 Digit FERC Accounts'!B385))</f>
        <v/>
      </c>
    </row>
    <row r="386" spans="1:6">
      <c r="A386" s="33" t="str">
        <f t="shared" si="5"/>
        <v/>
      </c>
      <c r="D386" s="44" t="str">
        <f>IF(B386="","",+SUMIFS('300s Plant Balances Input'!K:K,'300s Plant Balances Input'!D:D,'300s - 5 Digit FERC Accounts'!B386))</f>
        <v/>
      </c>
      <c r="E386" s="44" t="str">
        <f>IF(B386="","",+SUMIFS('300s Plant Balances Input'!S:S,'300s Plant Balances Input'!D:D,'300s - 5 Digit FERC Accounts'!B386))</f>
        <v/>
      </c>
      <c r="F386" s="44" t="str">
        <f>IF(B386="","",+SUMIFS('300s Plant Balances Input'!M:M,'300s Plant Balances Input'!D:D,'300s - 5 Digit FERC Accounts'!B386))</f>
        <v/>
      </c>
    </row>
    <row r="387" spans="1:6">
      <c r="A387" s="33" t="str">
        <f t="shared" si="5"/>
        <v/>
      </c>
      <c r="D387" s="44" t="str">
        <f>IF(B387="","",+SUMIFS('300s Plant Balances Input'!K:K,'300s Plant Balances Input'!D:D,'300s - 5 Digit FERC Accounts'!B387))</f>
        <v/>
      </c>
      <c r="E387" s="44" t="str">
        <f>IF(B387="","",+SUMIFS('300s Plant Balances Input'!S:S,'300s Plant Balances Input'!D:D,'300s - 5 Digit FERC Accounts'!B387))</f>
        <v/>
      </c>
      <c r="F387" s="44" t="str">
        <f>IF(B387="","",+SUMIFS('300s Plant Balances Input'!M:M,'300s Plant Balances Input'!D:D,'300s - 5 Digit FERC Accounts'!B387))</f>
        <v/>
      </c>
    </row>
    <row r="388" spans="1:6">
      <c r="A388" s="33" t="str">
        <f t="shared" si="5"/>
        <v/>
      </c>
      <c r="D388" s="44" t="str">
        <f>IF(B388="","",+SUMIFS('300s Plant Balances Input'!K:K,'300s Plant Balances Input'!D:D,'300s - 5 Digit FERC Accounts'!B388))</f>
        <v/>
      </c>
      <c r="E388" s="44" t="str">
        <f>IF(B388="","",+SUMIFS('300s Plant Balances Input'!S:S,'300s Plant Balances Input'!D:D,'300s - 5 Digit FERC Accounts'!B388))</f>
        <v/>
      </c>
      <c r="F388" s="44" t="str">
        <f>IF(B388="","",+SUMIFS('300s Plant Balances Input'!M:M,'300s Plant Balances Input'!D:D,'300s - 5 Digit FERC Accounts'!B388))</f>
        <v/>
      </c>
    </row>
    <row r="389" spans="1:6">
      <c r="A389" s="33" t="str">
        <f t="shared" si="5"/>
        <v/>
      </c>
      <c r="D389" s="44" t="str">
        <f>IF(B389="","",+SUMIFS('300s Plant Balances Input'!K:K,'300s Plant Balances Input'!D:D,'300s - 5 Digit FERC Accounts'!B389))</f>
        <v/>
      </c>
      <c r="E389" s="44" t="str">
        <f>IF(B389="","",+SUMIFS('300s Plant Balances Input'!S:S,'300s Plant Balances Input'!D:D,'300s - 5 Digit FERC Accounts'!B389))</f>
        <v/>
      </c>
      <c r="F389" s="44" t="str">
        <f>IF(B389="","",+SUMIFS('300s Plant Balances Input'!M:M,'300s Plant Balances Input'!D:D,'300s - 5 Digit FERC Accounts'!B389))</f>
        <v/>
      </c>
    </row>
    <row r="390" spans="1:6">
      <c r="A390" s="33" t="str">
        <f t="shared" si="5"/>
        <v/>
      </c>
      <c r="D390" s="44" t="str">
        <f>IF(B390="","",+SUMIFS('300s Plant Balances Input'!K:K,'300s Plant Balances Input'!D:D,'300s - 5 Digit FERC Accounts'!B390))</f>
        <v/>
      </c>
      <c r="E390" s="44" t="str">
        <f>IF(B390="","",+SUMIFS('300s Plant Balances Input'!S:S,'300s Plant Balances Input'!D:D,'300s - 5 Digit FERC Accounts'!B390))</f>
        <v/>
      </c>
      <c r="F390" s="44" t="str">
        <f>IF(B390="","",+SUMIFS('300s Plant Balances Input'!M:M,'300s Plant Balances Input'!D:D,'300s - 5 Digit FERC Accounts'!B390))</f>
        <v/>
      </c>
    </row>
    <row r="391" spans="1:6">
      <c r="A391" s="33" t="str">
        <f t="shared" si="5"/>
        <v/>
      </c>
      <c r="D391" s="44" t="str">
        <f>IF(B391="","",+SUMIFS('300s Plant Balances Input'!K:K,'300s Plant Balances Input'!D:D,'300s - 5 Digit FERC Accounts'!B391))</f>
        <v/>
      </c>
      <c r="E391" s="44" t="str">
        <f>IF(B391="","",+SUMIFS('300s Plant Balances Input'!S:S,'300s Plant Balances Input'!D:D,'300s - 5 Digit FERC Accounts'!B391))</f>
        <v/>
      </c>
      <c r="F391" s="44" t="str">
        <f>IF(B391="","",+SUMIFS('300s Plant Balances Input'!M:M,'300s Plant Balances Input'!D:D,'300s - 5 Digit FERC Accounts'!B391))</f>
        <v/>
      </c>
    </row>
    <row r="392" spans="1:6">
      <c r="A392" s="33" t="str">
        <f t="shared" si="5"/>
        <v/>
      </c>
      <c r="D392" s="44" t="str">
        <f>IF(B392="","",+SUMIFS('300s Plant Balances Input'!K:K,'300s Plant Balances Input'!D:D,'300s - 5 Digit FERC Accounts'!B392))</f>
        <v/>
      </c>
      <c r="E392" s="44" t="str">
        <f>IF(B392="","",+SUMIFS('300s Plant Balances Input'!S:S,'300s Plant Balances Input'!D:D,'300s - 5 Digit FERC Accounts'!B392))</f>
        <v/>
      </c>
      <c r="F392" s="44" t="str">
        <f>IF(B392="","",+SUMIFS('300s Plant Balances Input'!M:M,'300s Plant Balances Input'!D:D,'300s - 5 Digit FERC Accounts'!B392))</f>
        <v/>
      </c>
    </row>
    <row r="393" spans="1:6">
      <c r="A393" s="33" t="str">
        <f t="shared" si="5"/>
        <v/>
      </c>
      <c r="D393" s="44" t="str">
        <f>IF(B393="","",+SUMIFS('300s Plant Balances Input'!K:K,'300s Plant Balances Input'!D:D,'300s - 5 Digit FERC Accounts'!B393))</f>
        <v/>
      </c>
      <c r="E393" s="44" t="str">
        <f>IF(B393="","",+SUMIFS('300s Plant Balances Input'!S:S,'300s Plant Balances Input'!D:D,'300s - 5 Digit FERC Accounts'!B393))</f>
        <v/>
      </c>
      <c r="F393" s="44" t="str">
        <f>IF(B393="","",+SUMIFS('300s Plant Balances Input'!M:M,'300s Plant Balances Input'!D:D,'300s - 5 Digit FERC Accounts'!B393))</f>
        <v/>
      </c>
    </row>
    <row r="394" spans="1:6">
      <c r="A394" s="33" t="str">
        <f t="shared" si="5"/>
        <v/>
      </c>
      <c r="D394" s="44" t="str">
        <f>IF(B394="","",+SUMIFS('300s Plant Balances Input'!K:K,'300s Plant Balances Input'!D:D,'300s - 5 Digit FERC Accounts'!B394))</f>
        <v/>
      </c>
      <c r="E394" s="44" t="str">
        <f>IF(B394="","",+SUMIFS('300s Plant Balances Input'!S:S,'300s Plant Balances Input'!D:D,'300s - 5 Digit FERC Accounts'!B394))</f>
        <v/>
      </c>
      <c r="F394" s="44" t="str">
        <f>IF(B394="","",+SUMIFS('300s Plant Balances Input'!M:M,'300s Plant Balances Input'!D:D,'300s - 5 Digit FERC Accounts'!B394))</f>
        <v/>
      </c>
    </row>
    <row r="395" spans="1:6">
      <c r="A395" s="33" t="str">
        <f t="shared" si="5"/>
        <v/>
      </c>
      <c r="D395" s="44" t="str">
        <f>IF(B395="","",+SUMIFS('300s Plant Balances Input'!K:K,'300s Plant Balances Input'!D:D,'300s - 5 Digit FERC Accounts'!B395))</f>
        <v/>
      </c>
      <c r="E395" s="44" t="str">
        <f>IF(B395="","",+SUMIFS('300s Plant Balances Input'!S:S,'300s Plant Balances Input'!D:D,'300s - 5 Digit FERC Accounts'!B395))</f>
        <v/>
      </c>
      <c r="F395" s="44" t="str">
        <f>IF(B395="","",+SUMIFS('300s Plant Balances Input'!M:M,'300s Plant Balances Input'!D:D,'300s - 5 Digit FERC Accounts'!B395))</f>
        <v/>
      </c>
    </row>
    <row r="396" spans="1:6">
      <c r="A396" s="33" t="str">
        <f t="shared" si="5"/>
        <v/>
      </c>
      <c r="D396" s="44" t="str">
        <f>IF(B396="","",+SUMIFS('300s Plant Balances Input'!K:K,'300s Plant Balances Input'!D:D,'300s - 5 Digit FERC Accounts'!B396))</f>
        <v/>
      </c>
      <c r="E396" s="44" t="str">
        <f>IF(B396="","",+SUMIFS('300s Plant Balances Input'!S:S,'300s Plant Balances Input'!D:D,'300s - 5 Digit FERC Accounts'!B396))</f>
        <v/>
      </c>
      <c r="F396" s="44" t="str">
        <f>IF(B396="","",+SUMIFS('300s Plant Balances Input'!M:M,'300s Plant Balances Input'!D:D,'300s - 5 Digit FERC Accounts'!B396))</f>
        <v/>
      </c>
    </row>
    <row r="397" spans="1:6">
      <c r="A397" s="33" t="str">
        <f t="shared" si="5"/>
        <v/>
      </c>
      <c r="D397" s="44" t="str">
        <f>IF(B397="","",+SUMIFS('300s Plant Balances Input'!K:K,'300s Plant Balances Input'!D:D,'300s - 5 Digit FERC Accounts'!B397))</f>
        <v/>
      </c>
      <c r="E397" s="44" t="str">
        <f>IF(B397="","",+SUMIFS('300s Plant Balances Input'!S:S,'300s Plant Balances Input'!D:D,'300s - 5 Digit FERC Accounts'!B397))</f>
        <v/>
      </c>
      <c r="F397" s="44" t="str">
        <f>IF(B397="","",+SUMIFS('300s Plant Balances Input'!M:M,'300s Plant Balances Input'!D:D,'300s - 5 Digit FERC Accounts'!B397))</f>
        <v/>
      </c>
    </row>
    <row r="398" spans="1:6">
      <c r="A398" s="33" t="str">
        <f t="shared" ref="A398:A461" si="6">+LEFT(B398,3)</f>
        <v/>
      </c>
      <c r="D398" s="44" t="str">
        <f>IF(B398="","",+SUMIFS('300s Plant Balances Input'!K:K,'300s Plant Balances Input'!D:D,'300s - 5 Digit FERC Accounts'!B398))</f>
        <v/>
      </c>
      <c r="E398" s="44" t="str">
        <f>IF(B398="","",+SUMIFS('300s Plant Balances Input'!S:S,'300s Plant Balances Input'!D:D,'300s - 5 Digit FERC Accounts'!B398))</f>
        <v/>
      </c>
      <c r="F398" s="44" t="str">
        <f>IF(B398="","",+SUMIFS('300s Plant Balances Input'!M:M,'300s Plant Balances Input'!D:D,'300s - 5 Digit FERC Accounts'!B398))</f>
        <v/>
      </c>
    </row>
    <row r="399" spans="1:6">
      <c r="A399" s="33" t="str">
        <f t="shared" si="6"/>
        <v/>
      </c>
      <c r="D399" s="44" t="str">
        <f>IF(B399="","",+SUMIFS('300s Plant Balances Input'!K:K,'300s Plant Balances Input'!D:D,'300s - 5 Digit FERC Accounts'!B399))</f>
        <v/>
      </c>
      <c r="E399" s="44" t="str">
        <f>IF(B399="","",+SUMIFS('300s Plant Balances Input'!S:S,'300s Plant Balances Input'!D:D,'300s - 5 Digit FERC Accounts'!B399))</f>
        <v/>
      </c>
      <c r="F399" s="44" t="str">
        <f>IF(B399="","",+SUMIFS('300s Plant Balances Input'!M:M,'300s Plant Balances Input'!D:D,'300s - 5 Digit FERC Accounts'!B399))</f>
        <v/>
      </c>
    </row>
    <row r="400" spans="1:6">
      <c r="A400" s="33" t="str">
        <f t="shared" si="6"/>
        <v/>
      </c>
      <c r="D400" s="44" t="str">
        <f>IF(B400="","",+SUMIFS('300s Plant Balances Input'!K:K,'300s Plant Balances Input'!D:D,'300s - 5 Digit FERC Accounts'!B400))</f>
        <v/>
      </c>
      <c r="E400" s="44" t="str">
        <f>IF(B400="","",+SUMIFS('300s Plant Balances Input'!S:S,'300s Plant Balances Input'!D:D,'300s - 5 Digit FERC Accounts'!B400))</f>
        <v/>
      </c>
      <c r="F400" s="44" t="str">
        <f>IF(B400="","",+SUMIFS('300s Plant Balances Input'!M:M,'300s Plant Balances Input'!D:D,'300s - 5 Digit FERC Accounts'!B400))</f>
        <v/>
      </c>
    </row>
    <row r="401" spans="1:6">
      <c r="A401" s="33" t="str">
        <f t="shared" si="6"/>
        <v/>
      </c>
      <c r="D401" s="44" t="str">
        <f>IF(B401="","",+SUMIFS('300s Plant Balances Input'!K:K,'300s Plant Balances Input'!D:D,'300s - 5 Digit FERC Accounts'!B401))</f>
        <v/>
      </c>
      <c r="E401" s="44" t="str">
        <f>IF(B401="","",+SUMIFS('300s Plant Balances Input'!S:S,'300s Plant Balances Input'!D:D,'300s - 5 Digit FERC Accounts'!B401))</f>
        <v/>
      </c>
      <c r="F401" s="44" t="str">
        <f>IF(B401="","",+SUMIFS('300s Plant Balances Input'!M:M,'300s Plant Balances Input'!D:D,'300s - 5 Digit FERC Accounts'!B401))</f>
        <v/>
      </c>
    </row>
    <row r="402" spans="1:6">
      <c r="A402" s="33" t="str">
        <f t="shared" si="6"/>
        <v/>
      </c>
      <c r="D402" s="44" t="str">
        <f>IF(B402="","",+SUMIFS('300s Plant Balances Input'!K:K,'300s Plant Balances Input'!D:D,'300s - 5 Digit FERC Accounts'!B402))</f>
        <v/>
      </c>
      <c r="E402" s="44" t="str">
        <f>IF(B402="","",+SUMIFS('300s Plant Balances Input'!S:S,'300s Plant Balances Input'!D:D,'300s - 5 Digit FERC Accounts'!B402))</f>
        <v/>
      </c>
      <c r="F402" s="44" t="str">
        <f>IF(B402="","",+SUMIFS('300s Plant Balances Input'!M:M,'300s Plant Balances Input'!D:D,'300s - 5 Digit FERC Accounts'!B402))</f>
        <v/>
      </c>
    </row>
    <row r="403" spans="1:6">
      <c r="A403" s="33" t="str">
        <f t="shared" si="6"/>
        <v/>
      </c>
      <c r="D403" s="44" t="str">
        <f>IF(B403="","",+SUMIFS('300s Plant Balances Input'!K:K,'300s Plant Balances Input'!D:D,'300s - 5 Digit FERC Accounts'!B403))</f>
        <v/>
      </c>
      <c r="E403" s="44" t="str">
        <f>IF(B403="","",+SUMIFS('300s Plant Balances Input'!S:S,'300s Plant Balances Input'!D:D,'300s - 5 Digit FERC Accounts'!B403))</f>
        <v/>
      </c>
      <c r="F403" s="44" t="str">
        <f>IF(B403="","",+SUMIFS('300s Plant Balances Input'!M:M,'300s Plant Balances Input'!D:D,'300s - 5 Digit FERC Accounts'!B403))</f>
        <v/>
      </c>
    </row>
    <row r="404" spans="1:6">
      <c r="A404" s="33" t="str">
        <f t="shared" si="6"/>
        <v/>
      </c>
      <c r="D404" s="44" t="str">
        <f>IF(B404="","",+SUMIFS('300s Plant Balances Input'!K:K,'300s Plant Balances Input'!D:D,'300s - 5 Digit FERC Accounts'!B404))</f>
        <v/>
      </c>
      <c r="E404" s="44" t="str">
        <f>IF(B404="","",+SUMIFS('300s Plant Balances Input'!S:S,'300s Plant Balances Input'!D:D,'300s - 5 Digit FERC Accounts'!B404))</f>
        <v/>
      </c>
      <c r="F404" s="44" t="str">
        <f>IF(B404="","",+SUMIFS('300s Plant Balances Input'!M:M,'300s Plant Balances Input'!D:D,'300s - 5 Digit FERC Accounts'!B404))</f>
        <v/>
      </c>
    </row>
    <row r="405" spans="1:6">
      <c r="A405" s="33" t="str">
        <f t="shared" si="6"/>
        <v/>
      </c>
      <c r="D405" s="44" t="str">
        <f>IF(B405="","",+SUMIFS('300s Plant Balances Input'!K:K,'300s Plant Balances Input'!D:D,'300s - 5 Digit FERC Accounts'!B405))</f>
        <v/>
      </c>
      <c r="E405" s="44" t="str">
        <f>IF(B405="","",+SUMIFS('300s Plant Balances Input'!S:S,'300s Plant Balances Input'!D:D,'300s - 5 Digit FERC Accounts'!B405))</f>
        <v/>
      </c>
      <c r="F405" s="44" t="str">
        <f>IF(B405="","",+SUMIFS('300s Plant Balances Input'!M:M,'300s Plant Balances Input'!D:D,'300s - 5 Digit FERC Accounts'!B405))</f>
        <v/>
      </c>
    </row>
    <row r="406" spans="1:6">
      <c r="A406" s="33" t="str">
        <f t="shared" si="6"/>
        <v/>
      </c>
      <c r="D406" s="44" t="str">
        <f>IF(B406="","",+SUMIFS('300s Plant Balances Input'!K:K,'300s Plant Balances Input'!D:D,'300s - 5 Digit FERC Accounts'!B406))</f>
        <v/>
      </c>
      <c r="E406" s="44" t="str">
        <f>IF(B406="","",+SUMIFS('300s Plant Balances Input'!S:S,'300s Plant Balances Input'!D:D,'300s - 5 Digit FERC Accounts'!B406))</f>
        <v/>
      </c>
      <c r="F406" s="44" t="str">
        <f>IF(B406="","",+SUMIFS('300s Plant Balances Input'!M:M,'300s Plant Balances Input'!D:D,'300s - 5 Digit FERC Accounts'!B406))</f>
        <v/>
      </c>
    </row>
    <row r="407" spans="1:6">
      <c r="A407" s="33" t="str">
        <f t="shared" si="6"/>
        <v/>
      </c>
      <c r="D407" s="44" t="str">
        <f>IF(B407="","",+SUMIFS('300s Plant Balances Input'!K:K,'300s Plant Balances Input'!D:D,'300s - 5 Digit FERC Accounts'!B407))</f>
        <v/>
      </c>
      <c r="E407" s="44" t="str">
        <f>IF(B407="","",+SUMIFS('300s Plant Balances Input'!S:S,'300s Plant Balances Input'!D:D,'300s - 5 Digit FERC Accounts'!B407))</f>
        <v/>
      </c>
      <c r="F407" s="44" t="str">
        <f>IF(B407="","",+SUMIFS('300s Plant Balances Input'!M:M,'300s Plant Balances Input'!D:D,'300s - 5 Digit FERC Accounts'!B407))</f>
        <v/>
      </c>
    </row>
    <row r="408" spans="1:6">
      <c r="A408" s="33" t="str">
        <f t="shared" si="6"/>
        <v/>
      </c>
      <c r="D408" s="44" t="str">
        <f>IF(B408="","",+SUMIFS('300s Plant Balances Input'!K:K,'300s Plant Balances Input'!D:D,'300s - 5 Digit FERC Accounts'!B408))</f>
        <v/>
      </c>
      <c r="E408" s="44" t="str">
        <f>IF(B408="","",+SUMIFS('300s Plant Balances Input'!S:S,'300s Plant Balances Input'!D:D,'300s - 5 Digit FERC Accounts'!B408))</f>
        <v/>
      </c>
      <c r="F408" s="44" t="str">
        <f>IF(B408="","",+SUMIFS('300s Plant Balances Input'!M:M,'300s Plant Balances Input'!D:D,'300s - 5 Digit FERC Accounts'!B408))</f>
        <v/>
      </c>
    </row>
    <row r="409" spans="1:6">
      <c r="A409" s="33" t="str">
        <f t="shared" si="6"/>
        <v/>
      </c>
      <c r="D409" s="44" t="str">
        <f>IF(B409="","",+SUMIFS('300s Plant Balances Input'!K:K,'300s Plant Balances Input'!D:D,'300s - 5 Digit FERC Accounts'!B409))</f>
        <v/>
      </c>
      <c r="E409" s="44" t="str">
        <f>IF(B409="","",+SUMIFS('300s Plant Balances Input'!S:S,'300s Plant Balances Input'!D:D,'300s - 5 Digit FERC Accounts'!B409))</f>
        <v/>
      </c>
      <c r="F409" s="44" t="str">
        <f>IF(B409="","",+SUMIFS('300s Plant Balances Input'!M:M,'300s Plant Balances Input'!D:D,'300s - 5 Digit FERC Accounts'!B409))</f>
        <v/>
      </c>
    </row>
    <row r="410" spans="1:6">
      <c r="A410" s="33" t="str">
        <f t="shared" si="6"/>
        <v/>
      </c>
      <c r="D410" s="44" t="str">
        <f>IF(B410="","",+SUMIFS('300s Plant Balances Input'!K:K,'300s Plant Balances Input'!D:D,'300s - 5 Digit FERC Accounts'!B410))</f>
        <v/>
      </c>
      <c r="E410" s="44" t="str">
        <f>IF(B410="","",+SUMIFS('300s Plant Balances Input'!S:S,'300s Plant Balances Input'!D:D,'300s - 5 Digit FERC Accounts'!B410))</f>
        <v/>
      </c>
      <c r="F410" s="44" t="str">
        <f>IF(B410="","",+SUMIFS('300s Plant Balances Input'!M:M,'300s Plant Balances Input'!D:D,'300s - 5 Digit FERC Accounts'!B410))</f>
        <v/>
      </c>
    </row>
    <row r="411" spans="1:6">
      <c r="A411" s="33" t="str">
        <f t="shared" si="6"/>
        <v/>
      </c>
      <c r="D411" s="44" t="str">
        <f>IF(B411="","",+SUMIFS('300s Plant Balances Input'!K:K,'300s Plant Balances Input'!D:D,'300s - 5 Digit FERC Accounts'!B411))</f>
        <v/>
      </c>
      <c r="E411" s="44" t="str">
        <f>IF(B411="","",+SUMIFS('300s Plant Balances Input'!S:S,'300s Plant Balances Input'!D:D,'300s - 5 Digit FERC Accounts'!B411))</f>
        <v/>
      </c>
      <c r="F411" s="44" t="str">
        <f>IF(B411="","",+SUMIFS('300s Plant Balances Input'!M:M,'300s Plant Balances Input'!D:D,'300s - 5 Digit FERC Accounts'!B411))</f>
        <v/>
      </c>
    </row>
    <row r="412" spans="1:6">
      <c r="A412" s="33" t="str">
        <f t="shared" si="6"/>
        <v/>
      </c>
      <c r="D412" s="44" t="str">
        <f>IF(B412="","",+SUMIFS('300s Plant Balances Input'!K:K,'300s Plant Balances Input'!D:D,'300s - 5 Digit FERC Accounts'!B412))</f>
        <v/>
      </c>
      <c r="E412" s="44" t="str">
        <f>IF(B412="","",+SUMIFS('300s Plant Balances Input'!S:S,'300s Plant Balances Input'!D:D,'300s - 5 Digit FERC Accounts'!B412))</f>
        <v/>
      </c>
      <c r="F412" s="44" t="str">
        <f>IF(B412="","",+SUMIFS('300s Plant Balances Input'!M:M,'300s Plant Balances Input'!D:D,'300s - 5 Digit FERC Accounts'!B412))</f>
        <v/>
      </c>
    </row>
    <row r="413" spans="1:6">
      <c r="A413" s="33" t="str">
        <f t="shared" si="6"/>
        <v/>
      </c>
      <c r="D413" s="44" t="str">
        <f>IF(B413="","",+SUMIFS('300s Plant Balances Input'!K:K,'300s Plant Balances Input'!D:D,'300s - 5 Digit FERC Accounts'!B413))</f>
        <v/>
      </c>
      <c r="E413" s="44" t="str">
        <f>IF(B413="","",+SUMIFS('300s Plant Balances Input'!S:S,'300s Plant Balances Input'!D:D,'300s - 5 Digit FERC Accounts'!B413))</f>
        <v/>
      </c>
      <c r="F413" s="44" t="str">
        <f>IF(B413="","",+SUMIFS('300s Plant Balances Input'!M:M,'300s Plant Balances Input'!D:D,'300s - 5 Digit FERC Accounts'!B413))</f>
        <v/>
      </c>
    </row>
    <row r="414" spans="1:6">
      <c r="A414" s="33" t="str">
        <f t="shared" si="6"/>
        <v/>
      </c>
      <c r="D414" s="44" t="str">
        <f>IF(B414="","",+SUMIFS('300s Plant Balances Input'!K:K,'300s Plant Balances Input'!D:D,'300s - 5 Digit FERC Accounts'!B414))</f>
        <v/>
      </c>
      <c r="E414" s="44" t="str">
        <f>IF(B414="","",+SUMIFS('300s Plant Balances Input'!S:S,'300s Plant Balances Input'!D:D,'300s - 5 Digit FERC Accounts'!B414))</f>
        <v/>
      </c>
      <c r="F414" s="44" t="str">
        <f>IF(B414="","",+SUMIFS('300s Plant Balances Input'!M:M,'300s Plant Balances Input'!D:D,'300s - 5 Digit FERC Accounts'!B414))</f>
        <v/>
      </c>
    </row>
    <row r="415" spans="1:6">
      <c r="A415" s="33" t="str">
        <f t="shared" si="6"/>
        <v/>
      </c>
      <c r="D415" s="44" t="str">
        <f>IF(B415="","",+SUMIFS('300s Plant Balances Input'!K:K,'300s Plant Balances Input'!D:D,'300s - 5 Digit FERC Accounts'!B415))</f>
        <v/>
      </c>
      <c r="E415" s="44" t="str">
        <f>IF(B415="","",+SUMIFS('300s Plant Balances Input'!S:S,'300s Plant Balances Input'!D:D,'300s - 5 Digit FERC Accounts'!B415))</f>
        <v/>
      </c>
      <c r="F415" s="44" t="str">
        <f>IF(B415="","",+SUMIFS('300s Plant Balances Input'!M:M,'300s Plant Balances Input'!D:D,'300s - 5 Digit FERC Accounts'!B415))</f>
        <v/>
      </c>
    </row>
    <row r="416" spans="1:6">
      <c r="A416" s="33" t="str">
        <f t="shared" si="6"/>
        <v/>
      </c>
      <c r="D416" s="44" t="str">
        <f>IF(B416="","",+SUMIFS('300s Plant Balances Input'!K:K,'300s Plant Balances Input'!D:D,'300s - 5 Digit FERC Accounts'!B416))</f>
        <v/>
      </c>
      <c r="E416" s="44" t="str">
        <f>IF(B416="","",+SUMIFS('300s Plant Balances Input'!S:S,'300s Plant Balances Input'!D:D,'300s - 5 Digit FERC Accounts'!B416))</f>
        <v/>
      </c>
      <c r="F416" s="44" t="str">
        <f>IF(B416="","",+SUMIFS('300s Plant Balances Input'!M:M,'300s Plant Balances Input'!D:D,'300s - 5 Digit FERC Accounts'!B416))</f>
        <v/>
      </c>
    </row>
    <row r="417" spans="1:6">
      <c r="A417" s="33" t="str">
        <f t="shared" si="6"/>
        <v/>
      </c>
      <c r="D417" s="44" t="str">
        <f>IF(B417="","",+SUMIFS('300s Plant Balances Input'!K:K,'300s Plant Balances Input'!D:D,'300s - 5 Digit FERC Accounts'!B417))</f>
        <v/>
      </c>
      <c r="E417" s="44" t="str">
        <f>IF(B417="","",+SUMIFS('300s Plant Balances Input'!S:S,'300s Plant Balances Input'!D:D,'300s - 5 Digit FERC Accounts'!B417))</f>
        <v/>
      </c>
      <c r="F417" s="44" t="str">
        <f>IF(B417="","",+SUMIFS('300s Plant Balances Input'!M:M,'300s Plant Balances Input'!D:D,'300s - 5 Digit FERC Accounts'!B417))</f>
        <v/>
      </c>
    </row>
    <row r="418" spans="1:6">
      <c r="A418" s="33" t="str">
        <f t="shared" si="6"/>
        <v/>
      </c>
      <c r="D418" s="44" t="str">
        <f>IF(B418="","",+SUMIFS('300s Plant Balances Input'!K:K,'300s Plant Balances Input'!D:D,'300s - 5 Digit FERC Accounts'!B418))</f>
        <v/>
      </c>
      <c r="E418" s="44" t="str">
        <f>IF(B418="","",+SUMIFS('300s Plant Balances Input'!S:S,'300s Plant Balances Input'!D:D,'300s - 5 Digit FERC Accounts'!B418))</f>
        <v/>
      </c>
      <c r="F418" s="44" t="str">
        <f>IF(B418="","",+SUMIFS('300s Plant Balances Input'!M:M,'300s Plant Balances Input'!D:D,'300s - 5 Digit FERC Accounts'!B418))</f>
        <v/>
      </c>
    </row>
    <row r="419" spans="1:6">
      <c r="A419" s="33" t="str">
        <f t="shared" si="6"/>
        <v/>
      </c>
      <c r="D419" s="44" t="str">
        <f>IF(B419="","",+SUMIFS('300s Plant Balances Input'!K:K,'300s Plant Balances Input'!D:D,'300s - 5 Digit FERC Accounts'!B419))</f>
        <v/>
      </c>
      <c r="E419" s="44" t="str">
        <f>IF(B419="","",+SUMIFS('300s Plant Balances Input'!S:S,'300s Plant Balances Input'!D:D,'300s - 5 Digit FERC Accounts'!B419))</f>
        <v/>
      </c>
      <c r="F419" s="44" t="str">
        <f>IF(B419="","",+SUMIFS('300s Plant Balances Input'!M:M,'300s Plant Balances Input'!D:D,'300s - 5 Digit FERC Accounts'!B419))</f>
        <v/>
      </c>
    </row>
    <row r="420" spans="1:6">
      <c r="A420" s="33" t="str">
        <f t="shared" si="6"/>
        <v/>
      </c>
      <c r="D420" s="44" t="str">
        <f>IF(B420="","",+SUMIFS('300s Plant Balances Input'!K:K,'300s Plant Balances Input'!D:D,'300s - 5 Digit FERC Accounts'!B420))</f>
        <v/>
      </c>
      <c r="E420" s="44" t="str">
        <f>IF(B420="","",+SUMIFS('300s Plant Balances Input'!S:S,'300s Plant Balances Input'!D:D,'300s - 5 Digit FERC Accounts'!B420))</f>
        <v/>
      </c>
      <c r="F420" s="44" t="str">
        <f>IF(B420="","",+SUMIFS('300s Plant Balances Input'!M:M,'300s Plant Balances Input'!D:D,'300s - 5 Digit FERC Accounts'!B420))</f>
        <v/>
      </c>
    </row>
    <row r="421" spans="1:6">
      <c r="A421" s="33" t="str">
        <f t="shared" si="6"/>
        <v/>
      </c>
      <c r="D421" s="44" t="str">
        <f>IF(B421="","",+SUMIFS('300s Plant Balances Input'!K:K,'300s Plant Balances Input'!D:D,'300s - 5 Digit FERC Accounts'!B421))</f>
        <v/>
      </c>
      <c r="E421" s="44" t="str">
        <f>IF(B421="","",+SUMIFS('300s Plant Balances Input'!S:S,'300s Plant Balances Input'!D:D,'300s - 5 Digit FERC Accounts'!B421))</f>
        <v/>
      </c>
      <c r="F421" s="44" t="str">
        <f>IF(B421="","",+SUMIFS('300s Plant Balances Input'!M:M,'300s Plant Balances Input'!D:D,'300s - 5 Digit FERC Accounts'!B421))</f>
        <v/>
      </c>
    </row>
    <row r="422" spans="1:6">
      <c r="A422" s="33" t="str">
        <f t="shared" si="6"/>
        <v/>
      </c>
      <c r="D422" s="44" t="str">
        <f>IF(B422="","",+SUMIFS('300s Plant Balances Input'!K:K,'300s Plant Balances Input'!D:D,'300s - 5 Digit FERC Accounts'!B422))</f>
        <v/>
      </c>
      <c r="E422" s="44" t="str">
        <f>IF(B422="","",+SUMIFS('300s Plant Balances Input'!S:S,'300s Plant Balances Input'!D:D,'300s - 5 Digit FERC Accounts'!B422))</f>
        <v/>
      </c>
      <c r="F422" s="44" t="str">
        <f>IF(B422="","",+SUMIFS('300s Plant Balances Input'!M:M,'300s Plant Balances Input'!D:D,'300s - 5 Digit FERC Accounts'!B422))</f>
        <v/>
      </c>
    </row>
    <row r="423" spans="1:6">
      <c r="A423" s="33" t="str">
        <f t="shared" si="6"/>
        <v/>
      </c>
      <c r="D423" s="44" t="str">
        <f>IF(B423="","",+SUMIFS('300s Plant Balances Input'!K:K,'300s Plant Balances Input'!D:D,'300s - 5 Digit FERC Accounts'!B423))</f>
        <v/>
      </c>
      <c r="E423" s="44" t="str">
        <f>IF(B423="","",+SUMIFS('300s Plant Balances Input'!S:S,'300s Plant Balances Input'!D:D,'300s - 5 Digit FERC Accounts'!B423))</f>
        <v/>
      </c>
      <c r="F423" s="44" t="str">
        <f>IF(B423="","",+SUMIFS('300s Plant Balances Input'!M:M,'300s Plant Balances Input'!D:D,'300s - 5 Digit FERC Accounts'!B423))</f>
        <v/>
      </c>
    </row>
    <row r="424" spans="1:6">
      <c r="A424" s="33" t="str">
        <f t="shared" si="6"/>
        <v/>
      </c>
      <c r="D424" s="44" t="str">
        <f>IF(B424="","",+SUMIFS('300s Plant Balances Input'!K:K,'300s Plant Balances Input'!D:D,'300s - 5 Digit FERC Accounts'!B424))</f>
        <v/>
      </c>
      <c r="E424" s="44" t="str">
        <f>IF(B424="","",+SUMIFS('300s Plant Balances Input'!S:S,'300s Plant Balances Input'!D:D,'300s - 5 Digit FERC Accounts'!B424))</f>
        <v/>
      </c>
      <c r="F424" s="44" t="str">
        <f>IF(B424="","",+SUMIFS('300s Plant Balances Input'!M:M,'300s Plant Balances Input'!D:D,'300s - 5 Digit FERC Accounts'!B424))</f>
        <v/>
      </c>
    </row>
    <row r="425" spans="1:6">
      <c r="A425" s="33" t="str">
        <f t="shared" si="6"/>
        <v/>
      </c>
      <c r="D425" s="44" t="str">
        <f>IF(B425="","",+SUMIFS('300s Plant Balances Input'!K:K,'300s Plant Balances Input'!D:D,'300s - 5 Digit FERC Accounts'!B425))</f>
        <v/>
      </c>
      <c r="E425" s="44" t="str">
        <f>IF(B425="","",+SUMIFS('300s Plant Balances Input'!S:S,'300s Plant Balances Input'!D:D,'300s - 5 Digit FERC Accounts'!B425))</f>
        <v/>
      </c>
      <c r="F425" s="44" t="str">
        <f>IF(B425="","",+SUMIFS('300s Plant Balances Input'!M:M,'300s Plant Balances Input'!D:D,'300s - 5 Digit FERC Accounts'!B425))</f>
        <v/>
      </c>
    </row>
    <row r="426" spans="1:6">
      <c r="A426" s="33" t="str">
        <f t="shared" si="6"/>
        <v/>
      </c>
      <c r="D426" s="44" t="str">
        <f>IF(B426="","",+SUMIFS('300s Plant Balances Input'!K:K,'300s Plant Balances Input'!D:D,'300s - 5 Digit FERC Accounts'!B426))</f>
        <v/>
      </c>
      <c r="E426" s="44" t="str">
        <f>IF(B426="","",+SUMIFS('300s Plant Balances Input'!S:S,'300s Plant Balances Input'!D:D,'300s - 5 Digit FERC Accounts'!B426))</f>
        <v/>
      </c>
      <c r="F426" s="44" t="str">
        <f>IF(B426="","",+SUMIFS('300s Plant Balances Input'!M:M,'300s Plant Balances Input'!D:D,'300s - 5 Digit FERC Accounts'!B426))</f>
        <v/>
      </c>
    </row>
    <row r="427" spans="1:6">
      <c r="A427" s="33" t="str">
        <f t="shared" si="6"/>
        <v/>
      </c>
      <c r="D427" s="44" t="str">
        <f>IF(B427="","",+SUMIFS('300s Plant Balances Input'!K:K,'300s Plant Balances Input'!D:D,'300s - 5 Digit FERC Accounts'!B427))</f>
        <v/>
      </c>
      <c r="E427" s="44" t="str">
        <f>IF(B427="","",+SUMIFS('300s Plant Balances Input'!S:S,'300s Plant Balances Input'!D:D,'300s - 5 Digit FERC Accounts'!B427))</f>
        <v/>
      </c>
      <c r="F427" s="44" t="str">
        <f>IF(B427="","",+SUMIFS('300s Plant Balances Input'!M:M,'300s Plant Balances Input'!D:D,'300s - 5 Digit FERC Accounts'!B427))</f>
        <v/>
      </c>
    </row>
    <row r="428" spans="1:6">
      <c r="A428" s="33" t="str">
        <f t="shared" si="6"/>
        <v/>
      </c>
      <c r="D428" s="44" t="str">
        <f>IF(B428="","",+SUMIFS('300s Plant Balances Input'!K:K,'300s Plant Balances Input'!D:D,'300s - 5 Digit FERC Accounts'!B428))</f>
        <v/>
      </c>
      <c r="E428" s="44" t="str">
        <f>IF(B428="","",+SUMIFS('300s Plant Balances Input'!S:S,'300s Plant Balances Input'!D:D,'300s - 5 Digit FERC Accounts'!B428))</f>
        <v/>
      </c>
      <c r="F428" s="44" t="str">
        <f>IF(B428="","",+SUMIFS('300s Plant Balances Input'!M:M,'300s Plant Balances Input'!D:D,'300s - 5 Digit FERC Accounts'!B428))</f>
        <v/>
      </c>
    </row>
    <row r="429" spans="1:6">
      <c r="A429" s="33" t="str">
        <f t="shared" si="6"/>
        <v/>
      </c>
      <c r="D429" s="44" t="str">
        <f>IF(B429="","",+SUMIFS('300s Plant Balances Input'!K:K,'300s Plant Balances Input'!D:D,'300s - 5 Digit FERC Accounts'!B429))</f>
        <v/>
      </c>
      <c r="E429" s="44" t="str">
        <f>IF(B429="","",+SUMIFS('300s Plant Balances Input'!S:S,'300s Plant Balances Input'!D:D,'300s - 5 Digit FERC Accounts'!B429))</f>
        <v/>
      </c>
      <c r="F429" s="44" t="str">
        <f>IF(B429="","",+SUMIFS('300s Plant Balances Input'!M:M,'300s Plant Balances Input'!D:D,'300s - 5 Digit FERC Accounts'!B429))</f>
        <v/>
      </c>
    </row>
    <row r="430" spans="1:6">
      <c r="A430" s="33" t="str">
        <f t="shared" si="6"/>
        <v/>
      </c>
      <c r="D430" s="44" t="str">
        <f>IF(B430="","",+SUMIFS('300s Plant Balances Input'!K:K,'300s Plant Balances Input'!D:D,'300s - 5 Digit FERC Accounts'!B430))</f>
        <v/>
      </c>
      <c r="E430" s="44" t="str">
        <f>IF(B430="","",+SUMIFS('300s Plant Balances Input'!S:S,'300s Plant Balances Input'!D:D,'300s - 5 Digit FERC Accounts'!B430))</f>
        <v/>
      </c>
      <c r="F430" s="44" t="str">
        <f>IF(B430="","",+SUMIFS('300s Plant Balances Input'!M:M,'300s Plant Balances Input'!D:D,'300s - 5 Digit FERC Accounts'!B430))</f>
        <v/>
      </c>
    </row>
    <row r="431" spans="1:6">
      <c r="A431" s="33" t="str">
        <f t="shared" si="6"/>
        <v/>
      </c>
      <c r="D431" s="44" t="str">
        <f>IF(B431="","",+SUMIFS('300s Plant Balances Input'!K:K,'300s Plant Balances Input'!D:D,'300s - 5 Digit FERC Accounts'!B431))</f>
        <v/>
      </c>
      <c r="E431" s="44" t="str">
        <f>IF(B431="","",+SUMIFS('300s Plant Balances Input'!S:S,'300s Plant Balances Input'!D:D,'300s - 5 Digit FERC Accounts'!B431))</f>
        <v/>
      </c>
      <c r="F431" s="44" t="str">
        <f>IF(B431="","",+SUMIFS('300s Plant Balances Input'!M:M,'300s Plant Balances Input'!D:D,'300s - 5 Digit FERC Accounts'!B431))</f>
        <v/>
      </c>
    </row>
    <row r="432" spans="1:6">
      <c r="A432" s="33" t="str">
        <f t="shared" si="6"/>
        <v/>
      </c>
      <c r="D432" s="44" t="str">
        <f>IF(B432="","",+SUMIFS('300s Plant Balances Input'!K:K,'300s Plant Balances Input'!D:D,'300s - 5 Digit FERC Accounts'!B432))</f>
        <v/>
      </c>
      <c r="E432" s="44" t="str">
        <f>IF(B432="","",+SUMIFS('300s Plant Balances Input'!S:S,'300s Plant Balances Input'!D:D,'300s - 5 Digit FERC Accounts'!B432))</f>
        <v/>
      </c>
      <c r="F432" s="44" t="str">
        <f>IF(B432="","",+SUMIFS('300s Plant Balances Input'!M:M,'300s Plant Balances Input'!D:D,'300s - 5 Digit FERC Accounts'!B432))</f>
        <v/>
      </c>
    </row>
    <row r="433" spans="1:6">
      <c r="A433" s="33" t="str">
        <f t="shared" si="6"/>
        <v/>
      </c>
      <c r="D433" s="44" t="str">
        <f>IF(B433="","",+SUMIFS('300s Plant Balances Input'!K:K,'300s Plant Balances Input'!D:D,'300s - 5 Digit FERC Accounts'!B433))</f>
        <v/>
      </c>
      <c r="E433" s="44" t="str">
        <f>IF(B433="","",+SUMIFS('300s Plant Balances Input'!S:S,'300s Plant Balances Input'!D:D,'300s - 5 Digit FERC Accounts'!B433))</f>
        <v/>
      </c>
      <c r="F433" s="44" t="str">
        <f>IF(B433="","",+SUMIFS('300s Plant Balances Input'!M:M,'300s Plant Balances Input'!D:D,'300s - 5 Digit FERC Accounts'!B433))</f>
        <v/>
      </c>
    </row>
    <row r="434" spans="1:6">
      <c r="A434" s="33" t="str">
        <f t="shared" si="6"/>
        <v/>
      </c>
      <c r="D434" s="44" t="str">
        <f>IF(B434="","",+SUMIFS('300s Plant Balances Input'!K:K,'300s Plant Balances Input'!D:D,'300s - 5 Digit FERC Accounts'!B434))</f>
        <v/>
      </c>
      <c r="E434" s="44" t="str">
        <f>IF(B434="","",+SUMIFS('300s Plant Balances Input'!S:S,'300s Plant Balances Input'!D:D,'300s - 5 Digit FERC Accounts'!B434))</f>
        <v/>
      </c>
      <c r="F434" s="44" t="str">
        <f>IF(B434="","",+SUMIFS('300s Plant Balances Input'!M:M,'300s Plant Balances Input'!D:D,'300s - 5 Digit FERC Accounts'!B434))</f>
        <v/>
      </c>
    </row>
    <row r="435" spans="1:6">
      <c r="A435" s="33" t="str">
        <f t="shared" si="6"/>
        <v/>
      </c>
      <c r="D435" s="44" t="str">
        <f>IF(B435="","",+SUMIFS('300s Plant Balances Input'!K:K,'300s Plant Balances Input'!D:D,'300s - 5 Digit FERC Accounts'!B435))</f>
        <v/>
      </c>
      <c r="E435" s="44" t="str">
        <f>IF(B435="","",+SUMIFS('300s Plant Balances Input'!S:S,'300s Plant Balances Input'!D:D,'300s - 5 Digit FERC Accounts'!B435))</f>
        <v/>
      </c>
      <c r="F435" s="44" t="str">
        <f>IF(B435="","",+SUMIFS('300s Plant Balances Input'!M:M,'300s Plant Balances Input'!D:D,'300s - 5 Digit FERC Accounts'!B435))</f>
        <v/>
      </c>
    </row>
    <row r="436" spans="1:6">
      <c r="A436" s="33" t="str">
        <f t="shared" si="6"/>
        <v/>
      </c>
      <c r="D436" s="44" t="str">
        <f>IF(B436="","",+SUMIFS('300s Plant Balances Input'!K:K,'300s Plant Balances Input'!D:D,'300s - 5 Digit FERC Accounts'!B436))</f>
        <v/>
      </c>
      <c r="E436" s="44" t="str">
        <f>IF(B436="","",+SUMIFS('300s Plant Balances Input'!S:S,'300s Plant Balances Input'!D:D,'300s - 5 Digit FERC Accounts'!B436))</f>
        <v/>
      </c>
      <c r="F436" s="44" t="str">
        <f>IF(B436="","",+SUMIFS('300s Plant Balances Input'!M:M,'300s Plant Balances Input'!D:D,'300s - 5 Digit FERC Accounts'!B436))</f>
        <v/>
      </c>
    </row>
    <row r="437" spans="1:6">
      <c r="A437" s="33" t="str">
        <f t="shared" si="6"/>
        <v/>
      </c>
      <c r="D437" s="44" t="str">
        <f>IF(B437="","",+SUMIFS('300s Plant Balances Input'!K:K,'300s Plant Balances Input'!D:D,'300s - 5 Digit FERC Accounts'!B437))</f>
        <v/>
      </c>
      <c r="E437" s="44" t="str">
        <f>IF(B437="","",+SUMIFS('300s Plant Balances Input'!S:S,'300s Plant Balances Input'!D:D,'300s - 5 Digit FERC Accounts'!B437))</f>
        <v/>
      </c>
      <c r="F437" s="44" t="str">
        <f>IF(B437="","",+SUMIFS('300s Plant Balances Input'!M:M,'300s Plant Balances Input'!D:D,'300s - 5 Digit FERC Accounts'!B437))</f>
        <v/>
      </c>
    </row>
    <row r="438" spans="1:6">
      <c r="A438" s="33" t="str">
        <f t="shared" si="6"/>
        <v/>
      </c>
      <c r="D438" s="44" t="str">
        <f>IF(B438="","",+SUMIFS('300s Plant Balances Input'!K:K,'300s Plant Balances Input'!D:D,'300s - 5 Digit FERC Accounts'!B438))</f>
        <v/>
      </c>
      <c r="E438" s="44" t="str">
        <f>IF(B438="","",+SUMIFS('300s Plant Balances Input'!S:S,'300s Plant Balances Input'!D:D,'300s - 5 Digit FERC Accounts'!B438))</f>
        <v/>
      </c>
      <c r="F438" s="44" t="str">
        <f>IF(B438="","",+SUMIFS('300s Plant Balances Input'!M:M,'300s Plant Balances Input'!D:D,'300s - 5 Digit FERC Accounts'!B438))</f>
        <v/>
      </c>
    </row>
    <row r="439" spans="1:6">
      <c r="A439" s="33" t="str">
        <f t="shared" si="6"/>
        <v/>
      </c>
      <c r="D439" s="44" t="str">
        <f>IF(B439="","",+SUMIFS('300s Plant Balances Input'!K:K,'300s Plant Balances Input'!D:D,'300s - 5 Digit FERC Accounts'!B439))</f>
        <v/>
      </c>
      <c r="E439" s="44" t="str">
        <f>IF(B439="","",+SUMIFS('300s Plant Balances Input'!S:S,'300s Plant Balances Input'!D:D,'300s - 5 Digit FERC Accounts'!B439))</f>
        <v/>
      </c>
      <c r="F439" s="44" t="str">
        <f>IF(B439="","",+SUMIFS('300s Plant Balances Input'!M:M,'300s Plant Balances Input'!D:D,'300s - 5 Digit FERC Accounts'!B439))</f>
        <v/>
      </c>
    </row>
    <row r="440" spans="1:6">
      <c r="A440" s="33" t="str">
        <f t="shared" si="6"/>
        <v/>
      </c>
      <c r="D440" s="44" t="str">
        <f>IF(B440="","",+SUMIFS('300s Plant Balances Input'!K:K,'300s Plant Balances Input'!D:D,'300s - 5 Digit FERC Accounts'!B440))</f>
        <v/>
      </c>
      <c r="E440" s="44" t="str">
        <f>IF(B440="","",+SUMIFS('300s Plant Balances Input'!S:S,'300s Plant Balances Input'!D:D,'300s - 5 Digit FERC Accounts'!B440))</f>
        <v/>
      </c>
      <c r="F440" s="44" t="str">
        <f>IF(B440="","",+SUMIFS('300s Plant Balances Input'!M:M,'300s Plant Balances Input'!D:D,'300s - 5 Digit FERC Accounts'!B440))</f>
        <v/>
      </c>
    </row>
    <row r="441" spans="1:6">
      <c r="A441" s="33" t="str">
        <f t="shared" si="6"/>
        <v/>
      </c>
      <c r="D441" s="44" t="str">
        <f>IF(B441="","",+SUMIFS('300s Plant Balances Input'!K:K,'300s Plant Balances Input'!D:D,'300s - 5 Digit FERC Accounts'!B441))</f>
        <v/>
      </c>
      <c r="E441" s="44" t="str">
        <f>IF(B441="","",+SUMIFS('300s Plant Balances Input'!S:S,'300s Plant Balances Input'!D:D,'300s - 5 Digit FERC Accounts'!B441))</f>
        <v/>
      </c>
      <c r="F441" s="44" t="str">
        <f>IF(B441="","",+SUMIFS('300s Plant Balances Input'!M:M,'300s Plant Balances Input'!D:D,'300s - 5 Digit FERC Accounts'!B441))</f>
        <v/>
      </c>
    </row>
    <row r="442" spans="1:6">
      <c r="A442" s="33" t="str">
        <f t="shared" si="6"/>
        <v/>
      </c>
      <c r="D442" s="44" t="str">
        <f>IF(B442="","",+SUMIFS('300s Plant Balances Input'!K:K,'300s Plant Balances Input'!D:D,'300s - 5 Digit FERC Accounts'!B442))</f>
        <v/>
      </c>
      <c r="E442" s="44" t="str">
        <f>IF(B442="","",+SUMIFS('300s Plant Balances Input'!S:S,'300s Plant Balances Input'!D:D,'300s - 5 Digit FERC Accounts'!B442))</f>
        <v/>
      </c>
      <c r="F442" s="44" t="str">
        <f>IF(B442="","",+SUMIFS('300s Plant Balances Input'!M:M,'300s Plant Balances Input'!D:D,'300s - 5 Digit FERC Accounts'!B442))</f>
        <v/>
      </c>
    </row>
    <row r="443" spans="1:6">
      <c r="A443" s="33" t="str">
        <f t="shared" si="6"/>
        <v/>
      </c>
      <c r="D443" s="44" t="str">
        <f>IF(B443="","",+SUMIFS('300s Plant Balances Input'!K:K,'300s Plant Balances Input'!D:D,'300s - 5 Digit FERC Accounts'!B443))</f>
        <v/>
      </c>
      <c r="E443" s="44" t="str">
        <f>IF(B443="","",+SUMIFS('300s Plant Balances Input'!S:S,'300s Plant Balances Input'!D:D,'300s - 5 Digit FERC Accounts'!B443))</f>
        <v/>
      </c>
      <c r="F443" s="44" t="str">
        <f>IF(B443="","",+SUMIFS('300s Plant Balances Input'!M:M,'300s Plant Balances Input'!D:D,'300s - 5 Digit FERC Accounts'!B443))</f>
        <v/>
      </c>
    </row>
    <row r="444" spans="1:6">
      <c r="A444" s="33" t="str">
        <f t="shared" si="6"/>
        <v/>
      </c>
      <c r="D444" s="44" t="str">
        <f>IF(B444="","",+SUMIFS('300s Plant Balances Input'!K:K,'300s Plant Balances Input'!D:D,'300s - 5 Digit FERC Accounts'!B444))</f>
        <v/>
      </c>
      <c r="E444" s="44" t="str">
        <f>IF(B444="","",+SUMIFS('300s Plant Balances Input'!S:S,'300s Plant Balances Input'!D:D,'300s - 5 Digit FERC Accounts'!B444))</f>
        <v/>
      </c>
      <c r="F444" s="44" t="str">
        <f>IF(B444="","",+SUMIFS('300s Plant Balances Input'!M:M,'300s Plant Balances Input'!D:D,'300s - 5 Digit FERC Accounts'!B444))</f>
        <v/>
      </c>
    </row>
    <row r="445" spans="1:6">
      <c r="A445" s="33" t="str">
        <f t="shared" si="6"/>
        <v/>
      </c>
      <c r="D445" s="44" t="str">
        <f>IF(B445="","",+SUMIFS('300s Plant Balances Input'!K:K,'300s Plant Balances Input'!D:D,'300s - 5 Digit FERC Accounts'!B445))</f>
        <v/>
      </c>
      <c r="E445" s="44" t="str">
        <f>IF(B445="","",+SUMIFS('300s Plant Balances Input'!S:S,'300s Plant Balances Input'!D:D,'300s - 5 Digit FERC Accounts'!B445))</f>
        <v/>
      </c>
      <c r="F445" s="44" t="str">
        <f>IF(B445="","",+SUMIFS('300s Plant Balances Input'!M:M,'300s Plant Balances Input'!D:D,'300s - 5 Digit FERC Accounts'!B445))</f>
        <v/>
      </c>
    </row>
    <row r="446" spans="1:6">
      <c r="A446" s="33" t="str">
        <f t="shared" si="6"/>
        <v/>
      </c>
      <c r="D446" s="44" t="str">
        <f>IF(B446="","",+SUMIFS('300s Plant Balances Input'!K:K,'300s Plant Balances Input'!D:D,'300s - 5 Digit FERC Accounts'!B446))</f>
        <v/>
      </c>
      <c r="E446" s="44" t="str">
        <f>IF(B446="","",+SUMIFS('300s Plant Balances Input'!S:S,'300s Plant Balances Input'!D:D,'300s - 5 Digit FERC Accounts'!B446))</f>
        <v/>
      </c>
      <c r="F446" s="44" t="str">
        <f>IF(B446="","",+SUMIFS('300s Plant Balances Input'!M:M,'300s Plant Balances Input'!D:D,'300s - 5 Digit FERC Accounts'!B446))</f>
        <v/>
      </c>
    </row>
    <row r="447" spans="1:6">
      <c r="A447" s="33" t="str">
        <f t="shared" si="6"/>
        <v/>
      </c>
      <c r="D447" s="44" t="str">
        <f>IF(B447="","",+SUMIFS('300s Plant Balances Input'!K:K,'300s Plant Balances Input'!D:D,'300s - 5 Digit FERC Accounts'!B447))</f>
        <v/>
      </c>
      <c r="E447" s="44" t="str">
        <f>IF(B447="","",+SUMIFS('300s Plant Balances Input'!S:S,'300s Plant Balances Input'!D:D,'300s - 5 Digit FERC Accounts'!B447))</f>
        <v/>
      </c>
      <c r="F447" s="44" t="str">
        <f>IF(B447="","",+SUMIFS('300s Plant Balances Input'!M:M,'300s Plant Balances Input'!D:D,'300s - 5 Digit FERC Accounts'!B447))</f>
        <v/>
      </c>
    </row>
    <row r="448" spans="1:6">
      <c r="A448" s="33" t="str">
        <f t="shared" si="6"/>
        <v/>
      </c>
      <c r="D448" s="44" t="str">
        <f>IF(B448="","",+SUMIFS('300s Plant Balances Input'!K:K,'300s Plant Balances Input'!D:D,'300s - 5 Digit FERC Accounts'!B448))</f>
        <v/>
      </c>
      <c r="E448" s="44" t="str">
        <f>IF(B448="","",+SUMIFS('300s Plant Balances Input'!S:S,'300s Plant Balances Input'!D:D,'300s - 5 Digit FERC Accounts'!B448))</f>
        <v/>
      </c>
      <c r="F448" s="44" t="str">
        <f>IF(B448="","",+SUMIFS('300s Plant Balances Input'!M:M,'300s Plant Balances Input'!D:D,'300s - 5 Digit FERC Accounts'!B448))</f>
        <v/>
      </c>
    </row>
    <row r="449" spans="1:6">
      <c r="A449" s="33" t="str">
        <f t="shared" si="6"/>
        <v/>
      </c>
      <c r="D449" s="44" t="str">
        <f>IF(B449="","",+SUMIFS('300s Plant Balances Input'!K:K,'300s Plant Balances Input'!D:D,'300s - 5 Digit FERC Accounts'!B449))</f>
        <v/>
      </c>
      <c r="E449" s="44" t="str">
        <f>IF(B449="","",+SUMIFS('300s Plant Balances Input'!S:S,'300s Plant Balances Input'!D:D,'300s - 5 Digit FERC Accounts'!B449))</f>
        <v/>
      </c>
      <c r="F449" s="44" t="str">
        <f>IF(B449="","",+SUMIFS('300s Plant Balances Input'!M:M,'300s Plant Balances Input'!D:D,'300s - 5 Digit FERC Accounts'!B449))</f>
        <v/>
      </c>
    </row>
    <row r="450" spans="1:6">
      <c r="A450" s="33" t="str">
        <f t="shared" si="6"/>
        <v/>
      </c>
      <c r="D450" s="44" t="str">
        <f>IF(B450="","",+SUMIFS('300s Plant Balances Input'!K:K,'300s Plant Balances Input'!D:D,'300s - 5 Digit FERC Accounts'!B450))</f>
        <v/>
      </c>
      <c r="E450" s="44" t="str">
        <f>IF(B450="","",+SUMIFS('300s Plant Balances Input'!S:S,'300s Plant Balances Input'!D:D,'300s - 5 Digit FERC Accounts'!B450))</f>
        <v/>
      </c>
      <c r="F450" s="44" t="str">
        <f>IF(B450="","",+SUMIFS('300s Plant Balances Input'!M:M,'300s Plant Balances Input'!D:D,'300s - 5 Digit FERC Accounts'!B450))</f>
        <v/>
      </c>
    </row>
    <row r="451" spans="1:6">
      <c r="A451" s="33" t="str">
        <f t="shared" si="6"/>
        <v/>
      </c>
      <c r="D451" s="44" t="str">
        <f>IF(B451="","",+SUMIFS('300s Plant Balances Input'!K:K,'300s Plant Balances Input'!D:D,'300s - 5 Digit FERC Accounts'!B451))</f>
        <v/>
      </c>
      <c r="E451" s="44" t="str">
        <f>IF(B451="","",+SUMIFS('300s Plant Balances Input'!S:S,'300s Plant Balances Input'!D:D,'300s - 5 Digit FERC Accounts'!B451))</f>
        <v/>
      </c>
      <c r="F451" s="44" t="str">
        <f>IF(B451="","",+SUMIFS('300s Plant Balances Input'!M:M,'300s Plant Balances Input'!D:D,'300s - 5 Digit FERC Accounts'!B451))</f>
        <v/>
      </c>
    </row>
    <row r="452" spans="1:6">
      <c r="A452" s="33" t="str">
        <f t="shared" si="6"/>
        <v/>
      </c>
      <c r="D452" s="44" t="str">
        <f>IF(B452="","",+SUMIFS('300s Plant Balances Input'!K:K,'300s Plant Balances Input'!D:D,'300s - 5 Digit FERC Accounts'!B452))</f>
        <v/>
      </c>
      <c r="E452" s="44" t="str">
        <f>IF(B452="","",+SUMIFS('300s Plant Balances Input'!S:S,'300s Plant Balances Input'!D:D,'300s - 5 Digit FERC Accounts'!B452))</f>
        <v/>
      </c>
      <c r="F452" s="44" t="str">
        <f>IF(B452="","",+SUMIFS('300s Plant Balances Input'!M:M,'300s Plant Balances Input'!D:D,'300s - 5 Digit FERC Accounts'!B452))</f>
        <v/>
      </c>
    </row>
    <row r="453" spans="1:6">
      <c r="A453" s="33" t="str">
        <f t="shared" si="6"/>
        <v/>
      </c>
      <c r="D453" s="44" t="str">
        <f>IF(B453="","",+SUMIFS('300s Plant Balances Input'!K:K,'300s Plant Balances Input'!D:D,'300s - 5 Digit FERC Accounts'!B453))</f>
        <v/>
      </c>
      <c r="E453" s="44" t="str">
        <f>IF(B453="","",+SUMIFS('300s Plant Balances Input'!S:S,'300s Plant Balances Input'!D:D,'300s - 5 Digit FERC Accounts'!B453))</f>
        <v/>
      </c>
      <c r="F453" s="44" t="str">
        <f>IF(B453="","",+SUMIFS('300s Plant Balances Input'!M:M,'300s Plant Balances Input'!D:D,'300s - 5 Digit FERC Accounts'!B453))</f>
        <v/>
      </c>
    </row>
    <row r="454" spans="1:6">
      <c r="A454" s="33" t="str">
        <f t="shared" si="6"/>
        <v/>
      </c>
      <c r="D454" s="44" t="str">
        <f>IF(B454="","",+SUMIFS('300s Plant Balances Input'!K:K,'300s Plant Balances Input'!D:D,'300s - 5 Digit FERC Accounts'!B454))</f>
        <v/>
      </c>
      <c r="E454" s="44" t="str">
        <f>IF(B454="","",+SUMIFS('300s Plant Balances Input'!S:S,'300s Plant Balances Input'!D:D,'300s - 5 Digit FERC Accounts'!B454))</f>
        <v/>
      </c>
      <c r="F454" s="44" t="str">
        <f>IF(B454="","",+SUMIFS('300s Plant Balances Input'!M:M,'300s Plant Balances Input'!D:D,'300s - 5 Digit FERC Accounts'!B454))</f>
        <v/>
      </c>
    </row>
    <row r="455" spans="1:6">
      <c r="A455" s="33" t="str">
        <f t="shared" si="6"/>
        <v/>
      </c>
      <c r="D455" s="44" t="str">
        <f>IF(B455="","",+SUMIFS('300s Plant Balances Input'!K:K,'300s Plant Balances Input'!D:D,'300s - 5 Digit FERC Accounts'!B455))</f>
        <v/>
      </c>
      <c r="E455" s="44" t="str">
        <f>IF(B455="","",+SUMIFS('300s Plant Balances Input'!S:S,'300s Plant Balances Input'!D:D,'300s - 5 Digit FERC Accounts'!B455))</f>
        <v/>
      </c>
      <c r="F455" s="44" t="str">
        <f>IF(B455="","",+SUMIFS('300s Plant Balances Input'!M:M,'300s Plant Balances Input'!D:D,'300s - 5 Digit FERC Accounts'!B455))</f>
        <v/>
      </c>
    </row>
    <row r="456" spans="1:6">
      <c r="A456" s="33" t="str">
        <f t="shared" si="6"/>
        <v/>
      </c>
      <c r="D456" s="44" t="str">
        <f>IF(B456="","",+SUMIFS('300s Plant Balances Input'!K:K,'300s Plant Balances Input'!D:D,'300s - 5 Digit FERC Accounts'!B456))</f>
        <v/>
      </c>
      <c r="E456" s="44" t="str">
        <f>IF(B456="","",+SUMIFS('300s Plant Balances Input'!S:S,'300s Plant Balances Input'!D:D,'300s - 5 Digit FERC Accounts'!B456))</f>
        <v/>
      </c>
      <c r="F456" s="44" t="str">
        <f>IF(B456="","",+SUMIFS('300s Plant Balances Input'!M:M,'300s Plant Balances Input'!D:D,'300s - 5 Digit FERC Accounts'!B456))</f>
        <v/>
      </c>
    </row>
    <row r="457" spans="1:6">
      <c r="A457" s="33" t="str">
        <f t="shared" si="6"/>
        <v/>
      </c>
      <c r="D457" s="44" t="str">
        <f>IF(B457="","",+SUMIFS('300s Plant Balances Input'!K:K,'300s Plant Balances Input'!D:D,'300s - 5 Digit FERC Accounts'!B457))</f>
        <v/>
      </c>
      <c r="E457" s="44" t="str">
        <f>IF(B457="","",+SUMIFS('300s Plant Balances Input'!S:S,'300s Plant Balances Input'!D:D,'300s - 5 Digit FERC Accounts'!B457))</f>
        <v/>
      </c>
      <c r="F457" s="44" t="str">
        <f>IF(B457="","",+SUMIFS('300s Plant Balances Input'!M:M,'300s Plant Balances Input'!D:D,'300s - 5 Digit FERC Accounts'!B457))</f>
        <v/>
      </c>
    </row>
    <row r="458" spans="1:6">
      <c r="A458" s="33" t="str">
        <f t="shared" si="6"/>
        <v/>
      </c>
      <c r="D458" s="44" t="str">
        <f>IF(B458="","",+SUMIFS('300s Plant Balances Input'!K:K,'300s Plant Balances Input'!D:D,'300s - 5 Digit FERC Accounts'!B458))</f>
        <v/>
      </c>
      <c r="E458" s="44" t="str">
        <f>IF(B458="","",+SUMIFS('300s Plant Balances Input'!S:S,'300s Plant Balances Input'!D:D,'300s - 5 Digit FERC Accounts'!B458))</f>
        <v/>
      </c>
      <c r="F458" s="44" t="str">
        <f>IF(B458="","",+SUMIFS('300s Plant Balances Input'!M:M,'300s Plant Balances Input'!D:D,'300s - 5 Digit FERC Accounts'!B458))</f>
        <v/>
      </c>
    </row>
    <row r="459" spans="1:6">
      <c r="A459" s="33" t="str">
        <f t="shared" si="6"/>
        <v/>
      </c>
      <c r="D459" s="44" t="str">
        <f>IF(B459="","",+SUMIFS('300s Plant Balances Input'!K:K,'300s Plant Balances Input'!D:D,'300s - 5 Digit FERC Accounts'!B459))</f>
        <v/>
      </c>
      <c r="E459" s="44" t="str">
        <f>IF(B459="","",+SUMIFS('300s Plant Balances Input'!S:S,'300s Plant Balances Input'!D:D,'300s - 5 Digit FERC Accounts'!B459))</f>
        <v/>
      </c>
      <c r="F459" s="44" t="str">
        <f>IF(B459="","",+SUMIFS('300s Plant Balances Input'!M:M,'300s Plant Balances Input'!D:D,'300s - 5 Digit FERC Accounts'!B459))</f>
        <v/>
      </c>
    </row>
    <row r="460" spans="1:6">
      <c r="A460" s="33" t="str">
        <f t="shared" si="6"/>
        <v/>
      </c>
      <c r="D460" s="44" t="str">
        <f>IF(B460="","",+SUMIFS('300s Plant Balances Input'!K:K,'300s Plant Balances Input'!D:D,'300s - 5 Digit FERC Accounts'!B460))</f>
        <v/>
      </c>
      <c r="E460" s="44" t="str">
        <f>IF(B460="","",+SUMIFS('300s Plant Balances Input'!S:S,'300s Plant Balances Input'!D:D,'300s - 5 Digit FERC Accounts'!B460))</f>
        <v/>
      </c>
      <c r="F460" s="44" t="str">
        <f>IF(B460="","",+SUMIFS('300s Plant Balances Input'!M:M,'300s Plant Balances Input'!D:D,'300s - 5 Digit FERC Accounts'!B460))</f>
        <v/>
      </c>
    </row>
    <row r="461" spans="1:6">
      <c r="A461" s="33" t="str">
        <f t="shared" si="6"/>
        <v/>
      </c>
      <c r="D461" s="44" t="str">
        <f>IF(B461="","",+SUMIFS('300s Plant Balances Input'!K:K,'300s Plant Balances Input'!D:D,'300s - 5 Digit FERC Accounts'!B461))</f>
        <v/>
      </c>
      <c r="E461" s="44" t="str">
        <f>IF(B461="","",+SUMIFS('300s Plant Balances Input'!S:S,'300s Plant Balances Input'!D:D,'300s - 5 Digit FERC Accounts'!B461))</f>
        <v/>
      </c>
      <c r="F461" s="44" t="str">
        <f>IF(B461="","",+SUMIFS('300s Plant Balances Input'!M:M,'300s Plant Balances Input'!D:D,'300s - 5 Digit FERC Accounts'!B461))</f>
        <v/>
      </c>
    </row>
    <row r="462" spans="1:6">
      <c r="A462" s="33" t="str">
        <f t="shared" ref="A462:A509" si="7">+LEFT(B462,3)</f>
        <v/>
      </c>
      <c r="D462" s="44" t="str">
        <f>IF(B462="","",+SUMIFS('300s Plant Balances Input'!K:K,'300s Plant Balances Input'!D:D,'300s - 5 Digit FERC Accounts'!B462))</f>
        <v/>
      </c>
      <c r="E462" s="44" t="str">
        <f>IF(B462="","",+SUMIFS('300s Plant Balances Input'!S:S,'300s Plant Balances Input'!D:D,'300s - 5 Digit FERC Accounts'!B462))</f>
        <v/>
      </c>
      <c r="F462" s="44" t="str">
        <f>IF(B462="","",+SUMIFS('300s Plant Balances Input'!M:M,'300s Plant Balances Input'!D:D,'300s - 5 Digit FERC Accounts'!B462))</f>
        <v/>
      </c>
    </row>
    <row r="463" spans="1:6">
      <c r="A463" s="33" t="str">
        <f t="shared" si="7"/>
        <v/>
      </c>
      <c r="D463" s="44" t="str">
        <f>IF(B463="","",+SUMIFS('300s Plant Balances Input'!K:K,'300s Plant Balances Input'!D:D,'300s - 5 Digit FERC Accounts'!B463))</f>
        <v/>
      </c>
      <c r="E463" s="44" t="str">
        <f>IF(B463="","",+SUMIFS('300s Plant Balances Input'!S:S,'300s Plant Balances Input'!D:D,'300s - 5 Digit FERC Accounts'!B463))</f>
        <v/>
      </c>
      <c r="F463" s="44" t="str">
        <f>IF(B463="","",+SUMIFS('300s Plant Balances Input'!M:M,'300s Plant Balances Input'!D:D,'300s - 5 Digit FERC Accounts'!B463))</f>
        <v/>
      </c>
    </row>
    <row r="464" spans="1:6">
      <c r="A464" s="33" t="str">
        <f t="shared" si="7"/>
        <v/>
      </c>
      <c r="D464" s="44" t="str">
        <f>IF(B464="","",+SUMIFS('300s Plant Balances Input'!K:K,'300s Plant Balances Input'!D:D,'300s - 5 Digit FERC Accounts'!B464))</f>
        <v/>
      </c>
      <c r="E464" s="44" t="str">
        <f>IF(B464="","",+SUMIFS('300s Plant Balances Input'!S:S,'300s Plant Balances Input'!D:D,'300s - 5 Digit FERC Accounts'!B464))</f>
        <v/>
      </c>
      <c r="F464" s="44" t="str">
        <f>IF(B464="","",+SUMIFS('300s Plant Balances Input'!M:M,'300s Plant Balances Input'!D:D,'300s - 5 Digit FERC Accounts'!B464))</f>
        <v/>
      </c>
    </row>
    <row r="465" spans="1:6">
      <c r="A465" s="33" t="str">
        <f t="shared" si="7"/>
        <v/>
      </c>
      <c r="D465" s="44" t="str">
        <f>IF(B465="","",+SUMIFS('300s Plant Balances Input'!K:K,'300s Plant Balances Input'!D:D,'300s - 5 Digit FERC Accounts'!B465))</f>
        <v/>
      </c>
      <c r="E465" s="44" t="str">
        <f>IF(B465="","",+SUMIFS('300s Plant Balances Input'!S:S,'300s Plant Balances Input'!D:D,'300s - 5 Digit FERC Accounts'!B465))</f>
        <v/>
      </c>
      <c r="F465" s="44" t="str">
        <f>IF(B465="","",+SUMIFS('300s Plant Balances Input'!M:M,'300s Plant Balances Input'!D:D,'300s - 5 Digit FERC Accounts'!B465))</f>
        <v/>
      </c>
    </row>
    <row r="466" spans="1:6">
      <c r="A466" s="33" t="str">
        <f t="shared" si="7"/>
        <v/>
      </c>
      <c r="D466" s="44" t="str">
        <f>IF(B466="","",+SUMIFS('300s Plant Balances Input'!K:K,'300s Plant Balances Input'!D:D,'300s - 5 Digit FERC Accounts'!B466))</f>
        <v/>
      </c>
      <c r="E466" s="44" t="str">
        <f>IF(B466="","",+SUMIFS('300s Plant Balances Input'!S:S,'300s Plant Balances Input'!D:D,'300s - 5 Digit FERC Accounts'!B466))</f>
        <v/>
      </c>
      <c r="F466" s="44" t="str">
        <f>IF(B466="","",+SUMIFS('300s Plant Balances Input'!M:M,'300s Plant Balances Input'!D:D,'300s - 5 Digit FERC Accounts'!B466))</f>
        <v/>
      </c>
    </row>
    <row r="467" spans="1:6">
      <c r="A467" s="33" t="str">
        <f t="shared" si="7"/>
        <v/>
      </c>
      <c r="D467" s="44" t="str">
        <f>IF(B467="","",+SUMIFS('300s Plant Balances Input'!K:K,'300s Plant Balances Input'!D:D,'300s - 5 Digit FERC Accounts'!B467))</f>
        <v/>
      </c>
      <c r="E467" s="44" t="str">
        <f>IF(B467="","",+SUMIFS('300s Plant Balances Input'!S:S,'300s Plant Balances Input'!D:D,'300s - 5 Digit FERC Accounts'!B467))</f>
        <v/>
      </c>
      <c r="F467" s="44" t="str">
        <f>IF(B467="","",+SUMIFS('300s Plant Balances Input'!M:M,'300s Plant Balances Input'!D:D,'300s - 5 Digit FERC Accounts'!B467))</f>
        <v/>
      </c>
    </row>
    <row r="468" spans="1:6">
      <c r="A468" s="33" t="str">
        <f t="shared" si="7"/>
        <v/>
      </c>
      <c r="D468" s="44" t="str">
        <f>IF(B468="","",+SUMIFS('300s Plant Balances Input'!K:K,'300s Plant Balances Input'!D:D,'300s - 5 Digit FERC Accounts'!B468))</f>
        <v/>
      </c>
      <c r="E468" s="44" t="str">
        <f>IF(B468="","",+SUMIFS('300s Plant Balances Input'!S:S,'300s Plant Balances Input'!D:D,'300s - 5 Digit FERC Accounts'!B468))</f>
        <v/>
      </c>
      <c r="F468" s="44" t="str">
        <f>IF(B468="","",+SUMIFS('300s Plant Balances Input'!M:M,'300s Plant Balances Input'!D:D,'300s - 5 Digit FERC Accounts'!B468))</f>
        <v/>
      </c>
    </row>
    <row r="469" spans="1:6">
      <c r="A469" s="33" t="str">
        <f t="shared" si="7"/>
        <v/>
      </c>
      <c r="D469" s="44" t="str">
        <f>IF(B469="","",+SUMIFS('300s Plant Balances Input'!K:K,'300s Plant Balances Input'!D:D,'300s - 5 Digit FERC Accounts'!B469))</f>
        <v/>
      </c>
      <c r="E469" s="44" t="str">
        <f>IF(B469="","",+SUMIFS('300s Plant Balances Input'!S:S,'300s Plant Balances Input'!D:D,'300s - 5 Digit FERC Accounts'!B469))</f>
        <v/>
      </c>
      <c r="F469" s="44" t="str">
        <f>IF(B469="","",+SUMIFS('300s Plant Balances Input'!M:M,'300s Plant Balances Input'!D:D,'300s - 5 Digit FERC Accounts'!B469))</f>
        <v/>
      </c>
    </row>
    <row r="470" spans="1:6">
      <c r="A470" s="33" t="str">
        <f t="shared" si="7"/>
        <v/>
      </c>
      <c r="D470" s="44" t="str">
        <f>IF(B470="","",+SUMIFS('300s Plant Balances Input'!K:K,'300s Plant Balances Input'!D:D,'300s - 5 Digit FERC Accounts'!B470))</f>
        <v/>
      </c>
      <c r="E470" s="44" t="str">
        <f>IF(B470="","",+SUMIFS('300s Plant Balances Input'!S:S,'300s Plant Balances Input'!D:D,'300s - 5 Digit FERC Accounts'!B470))</f>
        <v/>
      </c>
      <c r="F470" s="44" t="str">
        <f>IF(B470="","",+SUMIFS('300s Plant Balances Input'!M:M,'300s Plant Balances Input'!D:D,'300s - 5 Digit FERC Accounts'!B470))</f>
        <v/>
      </c>
    </row>
    <row r="471" spans="1:6">
      <c r="A471" s="33" t="str">
        <f t="shared" si="7"/>
        <v/>
      </c>
      <c r="D471" s="44" t="str">
        <f>IF(B471="","",+SUMIFS('300s Plant Balances Input'!K:K,'300s Plant Balances Input'!D:D,'300s - 5 Digit FERC Accounts'!B471))</f>
        <v/>
      </c>
      <c r="E471" s="44" t="str">
        <f>IF(B471="","",+SUMIFS('300s Plant Balances Input'!S:S,'300s Plant Balances Input'!D:D,'300s - 5 Digit FERC Accounts'!B471))</f>
        <v/>
      </c>
      <c r="F471" s="44" t="str">
        <f>IF(B471="","",+SUMIFS('300s Plant Balances Input'!M:M,'300s Plant Balances Input'!D:D,'300s - 5 Digit FERC Accounts'!B471))</f>
        <v/>
      </c>
    </row>
    <row r="472" spans="1:6">
      <c r="A472" s="33" t="str">
        <f t="shared" si="7"/>
        <v/>
      </c>
      <c r="D472" s="44" t="str">
        <f>IF(B472="","",+SUMIFS('300s Plant Balances Input'!K:K,'300s Plant Balances Input'!D:D,'300s - 5 Digit FERC Accounts'!B472))</f>
        <v/>
      </c>
      <c r="E472" s="44" t="str">
        <f>IF(B472="","",+SUMIFS('300s Plant Balances Input'!S:S,'300s Plant Balances Input'!D:D,'300s - 5 Digit FERC Accounts'!B472))</f>
        <v/>
      </c>
      <c r="F472" s="44" t="str">
        <f>IF(B472="","",+SUMIFS('300s Plant Balances Input'!M:M,'300s Plant Balances Input'!D:D,'300s - 5 Digit FERC Accounts'!B472))</f>
        <v/>
      </c>
    </row>
    <row r="473" spans="1:6">
      <c r="A473" s="33" t="str">
        <f t="shared" si="7"/>
        <v/>
      </c>
      <c r="D473" s="44" t="str">
        <f>IF(B473="","",+SUMIFS('300s Plant Balances Input'!K:K,'300s Plant Balances Input'!D:D,'300s - 5 Digit FERC Accounts'!B473))</f>
        <v/>
      </c>
      <c r="E473" s="44" t="str">
        <f>IF(B473="","",+SUMIFS('300s Plant Balances Input'!S:S,'300s Plant Balances Input'!D:D,'300s - 5 Digit FERC Accounts'!B473))</f>
        <v/>
      </c>
      <c r="F473" s="44" t="str">
        <f>IF(B473="","",+SUMIFS('300s Plant Balances Input'!M:M,'300s Plant Balances Input'!D:D,'300s - 5 Digit FERC Accounts'!B473))</f>
        <v/>
      </c>
    </row>
    <row r="474" spans="1:6">
      <c r="A474" s="33" t="str">
        <f t="shared" si="7"/>
        <v/>
      </c>
      <c r="D474" s="44" t="str">
        <f>IF(B474="","",+SUMIFS('300s Plant Balances Input'!K:K,'300s Plant Balances Input'!D:D,'300s - 5 Digit FERC Accounts'!B474))</f>
        <v/>
      </c>
      <c r="E474" s="44" t="str">
        <f>IF(B474="","",+SUMIFS('300s Plant Balances Input'!S:S,'300s Plant Balances Input'!D:D,'300s - 5 Digit FERC Accounts'!B474))</f>
        <v/>
      </c>
      <c r="F474" s="44" t="str">
        <f>IF(B474="","",+SUMIFS('300s Plant Balances Input'!M:M,'300s Plant Balances Input'!D:D,'300s - 5 Digit FERC Accounts'!B474))</f>
        <v/>
      </c>
    </row>
    <row r="475" spans="1:6">
      <c r="A475" s="33" t="str">
        <f t="shared" si="7"/>
        <v/>
      </c>
      <c r="D475" s="44" t="str">
        <f>IF(B475="","",+SUMIFS('300s Plant Balances Input'!K:K,'300s Plant Balances Input'!D:D,'300s - 5 Digit FERC Accounts'!B475))</f>
        <v/>
      </c>
      <c r="E475" s="44" t="str">
        <f>IF(B475="","",+SUMIFS('300s Plant Balances Input'!S:S,'300s Plant Balances Input'!D:D,'300s - 5 Digit FERC Accounts'!B475))</f>
        <v/>
      </c>
      <c r="F475" s="44" t="str">
        <f>IF(B475="","",+SUMIFS('300s Plant Balances Input'!M:M,'300s Plant Balances Input'!D:D,'300s - 5 Digit FERC Accounts'!B475))</f>
        <v/>
      </c>
    </row>
    <row r="476" spans="1:6">
      <c r="A476" s="33" t="str">
        <f t="shared" si="7"/>
        <v/>
      </c>
      <c r="D476" s="44" t="str">
        <f>IF(B476="","",+SUMIFS('300s Plant Balances Input'!K:K,'300s Plant Balances Input'!D:D,'300s - 5 Digit FERC Accounts'!B476))</f>
        <v/>
      </c>
      <c r="E476" s="44" t="str">
        <f>IF(B476="","",+SUMIFS('300s Plant Balances Input'!S:S,'300s Plant Balances Input'!D:D,'300s - 5 Digit FERC Accounts'!B476))</f>
        <v/>
      </c>
      <c r="F476" s="44" t="str">
        <f>IF(B476="","",+SUMIFS('300s Plant Balances Input'!M:M,'300s Plant Balances Input'!D:D,'300s - 5 Digit FERC Accounts'!B476))</f>
        <v/>
      </c>
    </row>
    <row r="477" spans="1:6">
      <c r="A477" s="33" t="str">
        <f t="shared" si="7"/>
        <v/>
      </c>
      <c r="D477" s="44" t="str">
        <f>IF(B477="","",+SUMIFS('300s Plant Balances Input'!K:K,'300s Plant Balances Input'!D:D,'300s - 5 Digit FERC Accounts'!B477))</f>
        <v/>
      </c>
      <c r="E477" s="44" t="str">
        <f>IF(B477="","",+SUMIFS('300s Plant Balances Input'!S:S,'300s Plant Balances Input'!D:D,'300s - 5 Digit FERC Accounts'!B477))</f>
        <v/>
      </c>
      <c r="F477" s="44" t="str">
        <f>IF(B477="","",+SUMIFS('300s Plant Balances Input'!M:M,'300s Plant Balances Input'!D:D,'300s - 5 Digit FERC Accounts'!B477))</f>
        <v/>
      </c>
    </row>
    <row r="478" spans="1:6">
      <c r="A478" s="33" t="str">
        <f t="shared" si="7"/>
        <v/>
      </c>
      <c r="D478" s="44" t="str">
        <f>IF(B478="","",+SUMIFS('300s Plant Balances Input'!K:K,'300s Plant Balances Input'!D:D,'300s - 5 Digit FERC Accounts'!B478))</f>
        <v/>
      </c>
      <c r="E478" s="44" t="str">
        <f>IF(B478="","",+SUMIFS('300s Plant Balances Input'!S:S,'300s Plant Balances Input'!D:D,'300s - 5 Digit FERC Accounts'!B478))</f>
        <v/>
      </c>
      <c r="F478" s="44" t="str">
        <f>IF(B478="","",+SUMIFS('300s Plant Balances Input'!M:M,'300s Plant Balances Input'!D:D,'300s - 5 Digit FERC Accounts'!B478))</f>
        <v/>
      </c>
    </row>
    <row r="479" spans="1:6">
      <c r="A479" s="33" t="str">
        <f t="shared" si="7"/>
        <v/>
      </c>
      <c r="D479" s="44" t="str">
        <f>IF(B479="","",+SUMIFS('300s Plant Balances Input'!K:K,'300s Plant Balances Input'!D:D,'300s - 5 Digit FERC Accounts'!B479))</f>
        <v/>
      </c>
      <c r="E479" s="44" t="str">
        <f>IF(B479="","",+SUMIFS('300s Plant Balances Input'!S:S,'300s Plant Balances Input'!D:D,'300s - 5 Digit FERC Accounts'!B479))</f>
        <v/>
      </c>
      <c r="F479" s="44" t="str">
        <f>IF(B479="","",+SUMIFS('300s Plant Balances Input'!M:M,'300s Plant Balances Input'!D:D,'300s - 5 Digit FERC Accounts'!B479))</f>
        <v/>
      </c>
    </row>
    <row r="480" spans="1:6">
      <c r="A480" s="33" t="str">
        <f t="shared" si="7"/>
        <v/>
      </c>
      <c r="D480" s="44" t="str">
        <f>IF(B480="","",+SUMIFS('300s Plant Balances Input'!K:K,'300s Plant Balances Input'!D:D,'300s - 5 Digit FERC Accounts'!B480))</f>
        <v/>
      </c>
      <c r="E480" s="44" t="str">
        <f>IF(B480="","",+SUMIFS('300s Plant Balances Input'!S:S,'300s Plant Balances Input'!D:D,'300s - 5 Digit FERC Accounts'!B480))</f>
        <v/>
      </c>
      <c r="F480" s="44" t="str">
        <f>IF(B480="","",+SUMIFS('300s Plant Balances Input'!M:M,'300s Plant Balances Input'!D:D,'300s - 5 Digit FERC Accounts'!B480))</f>
        <v/>
      </c>
    </row>
    <row r="481" spans="1:6">
      <c r="A481" s="33" t="str">
        <f t="shared" si="7"/>
        <v/>
      </c>
      <c r="D481" s="44" t="str">
        <f>IF(B481="","",+SUMIFS('300s Plant Balances Input'!K:K,'300s Plant Balances Input'!D:D,'300s - 5 Digit FERC Accounts'!B481))</f>
        <v/>
      </c>
      <c r="E481" s="44" t="str">
        <f>IF(B481="","",+SUMIFS('300s Plant Balances Input'!S:S,'300s Plant Balances Input'!D:D,'300s - 5 Digit FERC Accounts'!B481))</f>
        <v/>
      </c>
      <c r="F481" s="44" t="str">
        <f>IF(B481="","",+SUMIFS('300s Plant Balances Input'!M:M,'300s Plant Balances Input'!D:D,'300s - 5 Digit FERC Accounts'!B481))</f>
        <v/>
      </c>
    </row>
    <row r="482" spans="1:6">
      <c r="A482" s="33" t="str">
        <f t="shared" si="7"/>
        <v/>
      </c>
      <c r="D482" s="44" t="str">
        <f>IF(B482="","",+SUMIFS('300s Plant Balances Input'!K:K,'300s Plant Balances Input'!D:D,'300s - 5 Digit FERC Accounts'!B482))</f>
        <v/>
      </c>
      <c r="E482" s="44" t="str">
        <f>IF(B482="","",+SUMIFS('300s Plant Balances Input'!S:S,'300s Plant Balances Input'!D:D,'300s - 5 Digit FERC Accounts'!B482))</f>
        <v/>
      </c>
      <c r="F482" s="44" t="str">
        <f>IF(B482="","",+SUMIFS('300s Plant Balances Input'!M:M,'300s Plant Balances Input'!D:D,'300s - 5 Digit FERC Accounts'!B482))</f>
        <v/>
      </c>
    </row>
    <row r="483" spans="1:6">
      <c r="A483" s="33" t="str">
        <f t="shared" si="7"/>
        <v/>
      </c>
      <c r="D483" s="44" t="str">
        <f>IF(B483="","",+SUMIFS('300s Plant Balances Input'!K:K,'300s Plant Balances Input'!D:D,'300s - 5 Digit FERC Accounts'!B483))</f>
        <v/>
      </c>
      <c r="E483" s="44" t="str">
        <f>IF(B483="","",+SUMIFS('300s Plant Balances Input'!S:S,'300s Plant Balances Input'!D:D,'300s - 5 Digit FERC Accounts'!B483))</f>
        <v/>
      </c>
      <c r="F483" s="44" t="str">
        <f>IF(B483="","",+SUMIFS('300s Plant Balances Input'!M:M,'300s Plant Balances Input'!D:D,'300s - 5 Digit FERC Accounts'!B483))</f>
        <v/>
      </c>
    </row>
    <row r="484" spans="1:6">
      <c r="A484" s="33" t="str">
        <f t="shared" si="7"/>
        <v/>
      </c>
      <c r="D484" s="44" t="str">
        <f>IF(B484="","",+SUMIFS('300s Plant Balances Input'!K:K,'300s Plant Balances Input'!D:D,'300s - 5 Digit FERC Accounts'!B484))</f>
        <v/>
      </c>
      <c r="E484" s="44" t="str">
        <f>IF(B484="","",+SUMIFS('300s Plant Balances Input'!S:S,'300s Plant Balances Input'!D:D,'300s - 5 Digit FERC Accounts'!B484))</f>
        <v/>
      </c>
      <c r="F484" s="44" t="str">
        <f>IF(B484="","",+SUMIFS('300s Plant Balances Input'!M:M,'300s Plant Balances Input'!D:D,'300s - 5 Digit FERC Accounts'!B484))</f>
        <v/>
      </c>
    </row>
    <row r="485" spans="1:6">
      <c r="A485" s="33" t="str">
        <f t="shared" si="7"/>
        <v/>
      </c>
      <c r="D485" s="44" t="str">
        <f>IF(B485="","",+SUMIFS('300s Plant Balances Input'!K:K,'300s Plant Balances Input'!D:D,'300s - 5 Digit FERC Accounts'!B485))</f>
        <v/>
      </c>
      <c r="E485" s="44" t="str">
        <f>IF(B485="","",+SUMIFS('300s Plant Balances Input'!S:S,'300s Plant Balances Input'!D:D,'300s - 5 Digit FERC Accounts'!B485))</f>
        <v/>
      </c>
      <c r="F485" s="44" t="str">
        <f>IF(B485="","",+SUMIFS('300s Plant Balances Input'!M:M,'300s Plant Balances Input'!D:D,'300s - 5 Digit FERC Accounts'!B485))</f>
        <v/>
      </c>
    </row>
    <row r="486" spans="1:6">
      <c r="A486" s="33" t="str">
        <f t="shared" si="7"/>
        <v/>
      </c>
      <c r="D486" s="44" t="str">
        <f>IF(B486="","",+SUMIFS('300s Plant Balances Input'!K:K,'300s Plant Balances Input'!D:D,'300s - 5 Digit FERC Accounts'!B486))</f>
        <v/>
      </c>
      <c r="E486" s="44" t="str">
        <f>IF(B486="","",+SUMIFS('300s Plant Balances Input'!S:S,'300s Plant Balances Input'!D:D,'300s - 5 Digit FERC Accounts'!B486))</f>
        <v/>
      </c>
      <c r="F486" s="44" t="str">
        <f>IF(B486="","",+SUMIFS('300s Plant Balances Input'!M:M,'300s Plant Balances Input'!D:D,'300s - 5 Digit FERC Accounts'!B486))</f>
        <v/>
      </c>
    </row>
    <row r="487" spans="1:6">
      <c r="A487" s="33" t="str">
        <f t="shared" si="7"/>
        <v/>
      </c>
      <c r="D487" s="44" t="str">
        <f>IF(B487="","",+SUMIFS('300s Plant Balances Input'!K:K,'300s Plant Balances Input'!D:D,'300s - 5 Digit FERC Accounts'!B487))</f>
        <v/>
      </c>
      <c r="E487" s="44" t="str">
        <f>IF(B487="","",+SUMIFS('300s Plant Balances Input'!S:S,'300s Plant Balances Input'!D:D,'300s - 5 Digit FERC Accounts'!B487))</f>
        <v/>
      </c>
      <c r="F487" s="44" t="str">
        <f>IF(B487="","",+SUMIFS('300s Plant Balances Input'!M:M,'300s Plant Balances Input'!D:D,'300s - 5 Digit FERC Accounts'!B487))</f>
        <v/>
      </c>
    </row>
    <row r="488" spans="1:6">
      <c r="A488" s="33" t="str">
        <f t="shared" si="7"/>
        <v/>
      </c>
      <c r="D488" s="44" t="str">
        <f>IF(B488="","",+SUMIFS('300s Plant Balances Input'!K:K,'300s Plant Balances Input'!D:D,'300s - 5 Digit FERC Accounts'!B488))</f>
        <v/>
      </c>
      <c r="E488" s="44" t="str">
        <f>IF(B488="","",+SUMIFS('300s Plant Balances Input'!S:S,'300s Plant Balances Input'!D:D,'300s - 5 Digit FERC Accounts'!B488))</f>
        <v/>
      </c>
      <c r="F488" s="44" t="str">
        <f>IF(B488="","",+SUMIFS('300s Plant Balances Input'!M:M,'300s Plant Balances Input'!D:D,'300s - 5 Digit FERC Accounts'!B488))</f>
        <v/>
      </c>
    </row>
    <row r="489" spans="1:6">
      <c r="A489" s="33" t="str">
        <f t="shared" si="7"/>
        <v/>
      </c>
      <c r="D489" s="44" t="str">
        <f>IF(B489="","",+SUMIFS('300s Plant Balances Input'!K:K,'300s Plant Balances Input'!D:D,'300s - 5 Digit FERC Accounts'!B489))</f>
        <v/>
      </c>
      <c r="E489" s="44" t="str">
        <f>IF(B489="","",+SUMIFS('300s Plant Balances Input'!S:S,'300s Plant Balances Input'!D:D,'300s - 5 Digit FERC Accounts'!B489))</f>
        <v/>
      </c>
      <c r="F489" s="44" t="str">
        <f>IF(B489="","",+SUMIFS('300s Plant Balances Input'!M:M,'300s Plant Balances Input'!D:D,'300s - 5 Digit FERC Accounts'!B489))</f>
        <v/>
      </c>
    </row>
    <row r="490" spans="1:6">
      <c r="A490" s="33" t="str">
        <f t="shared" si="7"/>
        <v/>
      </c>
      <c r="D490" s="44" t="str">
        <f>IF(B490="","",+SUMIFS('300s Plant Balances Input'!K:K,'300s Plant Balances Input'!D:D,'300s - 5 Digit FERC Accounts'!B490))</f>
        <v/>
      </c>
      <c r="E490" s="44" t="str">
        <f>IF(B490="","",+SUMIFS('300s Plant Balances Input'!S:S,'300s Plant Balances Input'!D:D,'300s - 5 Digit FERC Accounts'!B490))</f>
        <v/>
      </c>
      <c r="F490" s="44" t="str">
        <f>IF(B490="","",+SUMIFS('300s Plant Balances Input'!M:M,'300s Plant Balances Input'!D:D,'300s - 5 Digit FERC Accounts'!B490))</f>
        <v/>
      </c>
    </row>
    <row r="491" spans="1:6">
      <c r="A491" s="33" t="str">
        <f t="shared" si="7"/>
        <v/>
      </c>
      <c r="D491" s="44" t="str">
        <f>IF(B491="","",+SUMIFS('300s Plant Balances Input'!K:K,'300s Plant Balances Input'!D:D,'300s - 5 Digit FERC Accounts'!B491))</f>
        <v/>
      </c>
      <c r="E491" s="44" t="str">
        <f>IF(B491="","",+SUMIFS('300s Plant Balances Input'!S:S,'300s Plant Balances Input'!D:D,'300s - 5 Digit FERC Accounts'!B491))</f>
        <v/>
      </c>
      <c r="F491" s="44" t="str">
        <f>IF(B491="","",+SUMIFS('300s Plant Balances Input'!M:M,'300s Plant Balances Input'!D:D,'300s - 5 Digit FERC Accounts'!B491))</f>
        <v/>
      </c>
    </row>
    <row r="492" spans="1:6">
      <c r="A492" s="33" t="str">
        <f t="shared" si="7"/>
        <v/>
      </c>
      <c r="D492" s="44" t="str">
        <f>IF(B492="","",+SUMIFS('300s Plant Balances Input'!K:K,'300s Plant Balances Input'!D:D,'300s - 5 Digit FERC Accounts'!B492))</f>
        <v/>
      </c>
      <c r="E492" s="44" t="str">
        <f>IF(B492="","",+SUMIFS('300s Plant Balances Input'!S:S,'300s Plant Balances Input'!D:D,'300s - 5 Digit FERC Accounts'!B492))</f>
        <v/>
      </c>
      <c r="F492" s="44" t="str">
        <f>IF(B492="","",+SUMIFS('300s Plant Balances Input'!M:M,'300s Plant Balances Input'!D:D,'300s - 5 Digit FERC Accounts'!B492))</f>
        <v/>
      </c>
    </row>
    <row r="493" spans="1:6">
      <c r="A493" s="33" t="str">
        <f t="shared" si="7"/>
        <v/>
      </c>
      <c r="D493" s="44" t="str">
        <f>IF(B493="","",+SUMIFS('300s Plant Balances Input'!K:K,'300s Plant Balances Input'!D:D,'300s - 5 Digit FERC Accounts'!B493))</f>
        <v/>
      </c>
      <c r="E493" s="44" t="str">
        <f>IF(B493="","",+SUMIFS('300s Plant Balances Input'!S:S,'300s Plant Balances Input'!D:D,'300s - 5 Digit FERC Accounts'!B493))</f>
        <v/>
      </c>
      <c r="F493" s="44" t="str">
        <f>IF(B493="","",+SUMIFS('300s Plant Balances Input'!M:M,'300s Plant Balances Input'!D:D,'300s - 5 Digit FERC Accounts'!B493))</f>
        <v/>
      </c>
    </row>
    <row r="494" spans="1:6">
      <c r="A494" s="33" t="str">
        <f t="shared" si="7"/>
        <v/>
      </c>
      <c r="D494" s="44" t="str">
        <f>IF(B494="","",+SUMIFS('300s Plant Balances Input'!K:K,'300s Plant Balances Input'!D:D,'300s - 5 Digit FERC Accounts'!B494))</f>
        <v/>
      </c>
      <c r="E494" s="44" t="str">
        <f>IF(B494="","",+SUMIFS('300s Plant Balances Input'!S:S,'300s Plant Balances Input'!D:D,'300s - 5 Digit FERC Accounts'!B494))</f>
        <v/>
      </c>
      <c r="F494" s="44" t="str">
        <f>IF(B494="","",+SUMIFS('300s Plant Balances Input'!M:M,'300s Plant Balances Input'!D:D,'300s - 5 Digit FERC Accounts'!B494))</f>
        <v/>
      </c>
    </row>
    <row r="495" spans="1:6">
      <c r="A495" s="33" t="str">
        <f t="shared" si="7"/>
        <v/>
      </c>
      <c r="D495" s="44" t="str">
        <f>IF(B495="","",+SUMIFS('300s Plant Balances Input'!K:K,'300s Plant Balances Input'!D:D,'300s - 5 Digit FERC Accounts'!B495))</f>
        <v/>
      </c>
      <c r="E495" s="44" t="str">
        <f>IF(B495="","",+SUMIFS('300s Plant Balances Input'!S:S,'300s Plant Balances Input'!D:D,'300s - 5 Digit FERC Accounts'!B495))</f>
        <v/>
      </c>
      <c r="F495" s="44" t="str">
        <f>IF(B495="","",+SUMIFS('300s Plant Balances Input'!M:M,'300s Plant Balances Input'!D:D,'300s - 5 Digit FERC Accounts'!B495))</f>
        <v/>
      </c>
    </row>
    <row r="496" spans="1:6">
      <c r="A496" s="33" t="str">
        <f t="shared" si="7"/>
        <v/>
      </c>
      <c r="D496" s="44" t="str">
        <f>IF(B496="","",+SUMIFS('300s Plant Balances Input'!K:K,'300s Plant Balances Input'!D:D,'300s - 5 Digit FERC Accounts'!B496))</f>
        <v/>
      </c>
      <c r="E496" s="44" t="str">
        <f>IF(B496="","",+SUMIFS('300s Plant Balances Input'!S:S,'300s Plant Balances Input'!D:D,'300s - 5 Digit FERC Accounts'!B496))</f>
        <v/>
      </c>
      <c r="F496" s="44" t="str">
        <f>IF(B496="","",+SUMIFS('300s Plant Balances Input'!M:M,'300s Plant Balances Input'!D:D,'300s - 5 Digit FERC Accounts'!B496))</f>
        <v/>
      </c>
    </row>
    <row r="497" spans="1:6">
      <c r="A497" s="33" t="str">
        <f t="shared" si="7"/>
        <v/>
      </c>
      <c r="D497" s="44" t="str">
        <f>IF(B497="","",+SUMIFS('300s Plant Balances Input'!K:K,'300s Plant Balances Input'!D:D,'300s - 5 Digit FERC Accounts'!B497))</f>
        <v/>
      </c>
      <c r="E497" s="44" t="str">
        <f>IF(B497="","",+SUMIFS('300s Plant Balances Input'!S:S,'300s Plant Balances Input'!D:D,'300s - 5 Digit FERC Accounts'!B497))</f>
        <v/>
      </c>
      <c r="F497" s="44" t="str">
        <f>IF(B497="","",+SUMIFS('300s Plant Balances Input'!M:M,'300s Plant Balances Input'!D:D,'300s - 5 Digit FERC Accounts'!B497))</f>
        <v/>
      </c>
    </row>
    <row r="498" spans="1:6">
      <c r="A498" s="33" t="str">
        <f t="shared" si="7"/>
        <v/>
      </c>
      <c r="D498" s="44" t="str">
        <f>IF(B498="","",+SUMIFS('300s Plant Balances Input'!K:K,'300s Plant Balances Input'!D:D,'300s - 5 Digit FERC Accounts'!B498))</f>
        <v/>
      </c>
      <c r="E498" s="44" t="str">
        <f>IF(B498="","",+SUMIFS('300s Plant Balances Input'!S:S,'300s Plant Balances Input'!D:D,'300s - 5 Digit FERC Accounts'!B498))</f>
        <v/>
      </c>
      <c r="F498" s="44" t="str">
        <f>IF(B498="","",+SUMIFS('300s Plant Balances Input'!M:M,'300s Plant Balances Input'!D:D,'300s - 5 Digit FERC Accounts'!B498))</f>
        <v/>
      </c>
    </row>
    <row r="499" spans="1:6">
      <c r="A499" s="33" t="str">
        <f t="shared" si="7"/>
        <v/>
      </c>
      <c r="D499" s="44" t="str">
        <f>IF(B499="","",+SUMIFS('300s Plant Balances Input'!K:K,'300s Plant Balances Input'!D:D,'300s - 5 Digit FERC Accounts'!B499))</f>
        <v/>
      </c>
      <c r="E499" s="44" t="str">
        <f>IF(B499="","",+SUMIFS('300s Plant Balances Input'!S:S,'300s Plant Balances Input'!D:D,'300s - 5 Digit FERC Accounts'!B499))</f>
        <v/>
      </c>
      <c r="F499" s="44" t="str">
        <f>IF(B499="","",+SUMIFS('300s Plant Balances Input'!M:M,'300s Plant Balances Input'!D:D,'300s - 5 Digit FERC Accounts'!B499))</f>
        <v/>
      </c>
    </row>
    <row r="500" spans="1:6">
      <c r="A500" s="33" t="str">
        <f t="shared" si="7"/>
        <v/>
      </c>
      <c r="D500" s="44" t="str">
        <f>IF(B500="","",+SUMIFS('300s Plant Balances Input'!K:K,'300s Plant Balances Input'!D:D,'300s - 5 Digit FERC Accounts'!B500))</f>
        <v/>
      </c>
      <c r="E500" s="44" t="str">
        <f>IF(B500="","",+SUMIFS('300s Plant Balances Input'!S:S,'300s Plant Balances Input'!D:D,'300s - 5 Digit FERC Accounts'!B500))</f>
        <v/>
      </c>
      <c r="F500" s="44" t="str">
        <f>IF(B500="","",+SUMIFS('300s Plant Balances Input'!M:M,'300s Plant Balances Input'!D:D,'300s - 5 Digit FERC Accounts'!B500))</f>
        <v/>
      </c>
    </row>
    <row r="501" spans="1:6">
      <c r="A501" s="33" t="str">
        <f t="shared" si="7"/>
        <v/>
      </c>
      <c r="D501" s="44" t="str">
        <f>IF(B501="","",+SUMIFS('300s Plant Balances Input'!K:K,'300s Plant Balances Input'!D:D,'300s - 5 Digit FERC Accounts'!B501))</f>
        <v/>
      </c>
      <c r="E501" s="44" t="str">
        <f>IF(B501="","",+SUMIFS('300s Plant Balances Input'!S:S,'300s Plant Balances Input'!D:D,'300s - 5 Digit FERC Accounts'!B501))</f>
        <v/>
      </c>
      <c r="F501" s="44" t="str">
        <f>IF(B501="","",+SUMIFS('300s Plant Balances Input'!M:M,'300s Plant Balances Input'!D:D,'300s - 5 Digit FERC Accounts'!B501))</f>
        <v/>
      </c>
    </row>
    <row r="502" spans="1:6">
      <c r="A502" s="33" t="str">
        <f t="shared" si="7"/>
        <v/>
      </c>
      <c r="D502" s="44" t="str">
        <f>IF(B502="","",+SUMIFS('300s Plant Balances Input'!K:K,'300s Plant Balances Input'!D:D,'300s - 5 Digit FERC Accounts'!B502))</f>
        <v/>
      </c>
      <c r="E502" s="44" t="str">
        <f>IF(B502="","",+SUMIFS('300s Plant Balances Input'!S:S,'300s Plant Balances Input'!D:D,'300s - 5 Digit FERC Accounts'!B502))</f>
        <v/>
      </c>
      <c r="F502" s="44" t="str">
        <f>IF(B502="","",+SUMIFS('300s Plant Balances Input'!M:M,'300s Plant Balances Input'!D:D,'300s - 5 Digit FERC Accounts'!B502))</f>
        <v/>
      </c>
    </row>
    <row r="503" spans="1:6">
      <c r="A503" s="33" t="str">
        <f t="shared" si="7"/>
        <v/>
      </c>
      <c r="D503" s="44" t="str">
        <f>IF(B503="","",+SUMIFS('300s Plant Balances Input'!K:K,'300s Plant Balances Input'!D:D,'300s - 5 Digit FERC Accounts'!B503))</f>
        <v/>
      </c>
      <c r="E503" s="44" t="str">
        <f>IF(B503="","",+SUMIFS('300s Plant Balances Input'!S:S,'300s Plant Balances Input'!D:D,'300s - 5 Digit FERC Accounts'!B503))</f>
        <v/>
      </c>
      <c r="F503" s="44" t="str">
        <f>IF(B503="","",+SUMIFS('300s Plant Balances Input'!M:M,'300s Plant Balances Input'!D:D,'300s - 5 Digit FERC Accounts'!B503))</f>
        <v/>
      </c>
    </row>
    <row r="504" spans="1:6">
      <c r="A504" s="33" t="str">
        <f t="shared" si="7"/>
        <v/>
      </c>
      <c r="D504" s="44" t="str">
        <f>IF(B504="","",+SUMIFS('300s Plant Balances Input'!K:K,'300s Plant Balances Input'!D:D,'300s - 5 Digit FERC Accounts'!B504))</f>
        <v/>
      </c>
      <c r="E504" s="44" t="str">
        <f>IF(B504="","",+SUMIFS('300s Plant Balances Input'!S:S,'300s Plant Balances Input'!D:D,'300s - 5 Digit FERC Accounts'!B504))</f>
        <v/>
      </c>
      <c r="F504" s="44" t="str">
        <f>IF(B504="","",+SUMIFS('300s Plant Balances Input'!M:M,'300s Plant Balances Input'!D:D,'300s - 5 Digit FERC Accounts'!B504))</f>
        <v/>
      </c>
    </row>
    <row r="505" spans="1:6">
      <c r="A505" s="33" t="str">
        <f t="shared" si="7"/>
        <v/>
      </c>
      <c r="D505" s="44" t="str">
        <f>IF(B505="","",+SUMIFS('300s Plant Balances Input'!K:K,'300s Plant Balances Input'!D:D,'300s - 5 Digit FERC Accounts'!B505))</f>
        <v/>
      </c>
      <c r="E505" s="44" t="str">
        <f>IF(B505="","",+SUMIFS('300s Plant Balances Input'!S:S,'300s Plant Balances Input'!D:D,'300s - 5 Digit FERC Accounts'!B505))</f>
        <v/>
      </c>
      <c r="F505" s="44" t="str">
        <f>IF(B505="","",+SUMIFS('300s Plant Balances Input'!M:M,'300s Plant Balances Input'!D:D,'300s - 5 Digit FERC Accounts'!B505))</f>
        <v/>
      </c>
    </row>
    <row r="506" spans="1:6">
      <c r="A506" s="33" t="str">
        <f t="shared" si="7"/>
        <v/>
      </c>
      <c r="D506" s="44" t="str">
        <f>IF(B506="","",+SUMIFS('300s Plant Balances Input'!K:K,'300s Plant Balances Input'!D:D,'300s - 5 Digit FERC Accounts'!B506))</f>
        <v/>
      </c>
      <c r="E506" s="44" t="str">
        <f>IF(B506="","",+SUMIFS('300s Plant Balances Input'!S:S,'300s Plant Balances Input'!D:D,'300s - 5 Digit FERC Accounts'!B506))</f>
        <v/>
      </c>
      <c r="F506" s="44" t="str">
        <f>IF(B506="","",+SUMIFS('300s Plant Balances Input'!M:M,'300s Plant Balances Input'!D:D,'300s - 5 Digit FERC Accounts'!B506))</f>
        <v/>
      </c>
    </row>
    <row r="507" spans="1:6">
      <c r="A507" s="33" t="str">
        <f t="shared" si="7"/>
        <v/>
      </c>
      <c r="D507" s="44" t="str">
        <f>IF(B507="","",+SUMIFS('300s Plant Balances Input'!K:K,'300s Plant Balances Input'!D:D,'300s - 5 Digit FERC Accounts'!B507))</f>
        <v/>
      </c>
      <c r="E507" s="44" t="str">
        <f>IF(B507="","",+SUMIFS('300s Plant Balances Input'!S:S,'300s Plant Balances Input'!D:D,'300s - 5 Digit FERC Accounts'!B507))</f>
        <v/>
      </c>
      <c r="F507" s="44" t="str">
        <f>IF(B507="","",+SUMIFS('300s Plant Balances Input'!M:M,'300s Plant Balances Input'!D:D,'300s - 5 Digit FERC Accounts'!B507))</f>
        <v/>
      </c>
    </row>
    <row r="508" spans="1:6">
      <c r="A508" s="33" t="str">
        <f t="shared" si="7"/>
        <v/>
      </c>
      <c r="D508" s="44" t="str">
        <f>IF(B508="","",+SUMIFS('300s Plant Balances Input'!K:K,'300s Plant Balances Input'!D:D,'300s - 5 Digit FERC Accounts'!B508))</f>
        <v/>
      </c>
      <c r="E508" s="44" t="str">
        <f>IF(B508="","",+SUMIFS('300s Plant Balances Input'!S:S,'300s Plant Balances Input'!D:D,'300s - 5 Digit FERC Accounts'!B508))</f>
        <v/>
      </c>
      <c r="F508" s="44" t="str">
        <f>IF(B508="","",+SUMIFS('300s Plant Balances Input'!M:M,'300s Plant Balances Input'!D:D,'300s - 5 Digit FERC Accounts'!B508))</f>
        <v/>
      </c>
    </row>
    <row r="509" spans="1:6">
      <c r="A509" s="33" t="str">
        <f t="shared" si="7"/>
        <v/>
      </c>
      <c r="D509" s="44" t="str">
        <f>IF(B509="","",+SUMIFS('300s Plant Balances Input'!K:K,'300s Plant Balances Input'!D:D,'300s - 5 Digit FERC Accounts'!B509))</f>
        <v/>
      </c>
      <c r="E509" s="44" t="str">
        <f>IF(B509="","",+SUMIFS('300s Plant Balances Input'!S:S,'300s Plant Balances Input'!D:D,'300s - 5 Digit FERC Accounts'!B509))</f>
        <v/>
      </c>
      <c r="F509" s="44" t="str">
        <f>IF(B509="","",+SUMIFS('300s Plant Balances Input'!M:M,'300s Plant Balances Input'!D:D,'300s - 5 Digit FERC Accounts'!B509))</f>
        <v/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B1:J62"/>
  <sheetViews>
    <sheetView tabSelected="1" showOutlineSymbols="0" workbookViewId="0"/>
  </sheetViews>
  <sheetFormatPr defaultRowHeight="14.4"/>
  <cols>
    <col min="2" max="2" width="16.44140625" bestFit="1" customWidth="1"/>
    <col min="3" max="3" width="16" style="33" bestFit="1" customWidth="1"/>
    <col min="4" max="4" width="61.44140625" bestFit="1" customWidth="1"/>
    <col min="5" max="5" width="14.5546875" bestFit="1" customWidth="1"/>
    <col min="7" max="7" width="18.33203125" bestFit="1" customWidth="1"/>
    <col min="8" max="8" width="13.5546875" bestFit="1" customWidth="1"/>
    <col min="9" max="9" width="12" bestFit="1" customWidth="1"/>
    <col min="10" max="10" width="11.88671875" bestFit="1" customWidth="1"/>
  </cols>
  <sheetData>
    <row r="1" spans="2:10">
      <c r="B1" s="33"/>
    </row>
    <row r="2" spans="2:10" ht="15" thickBot="1"/>
    <row r="3" spans="2:10" ht="15" thickBot="1">
      <c r="B3" s="51" t="s">
        <v>121</v>
      </c>
      <c r="C3" s="51" t="s">
        <v>1434</v>
      </c>
      <c r="D3" s="51" t="s">
        <v>608</v>
      </c>
      <c r="E3" s="51" t="s">
        <v>122</v>
      </c>
      <c r="G3" s="2382" t="s">
        <v>610</v>
      </c>
      <c r="H3" s="2395" t="s">
        <v>611</v>
      </c>
      <c r="I3" s="2395" t="s">
        <v>8412</v>
      </c>
      <c r="J3" s="2395" t="s">
        <v>3199</v>
      </c>
    </row>
    <row r="4" spans="2:10">
      <c r="B4" t="s">
        <v>1441</v>
      </c>
      <c r="C4" s="33">
        <v>500</v>
      </c>
      <c r="D4" t="s">
        <v>1442</v>
      </c>
      <c r="E4" s="44">
        <f>+SUMIFS('Labor Input'!E:E,'Labor Input'!G:G,'500s FERC Accounts'!C4)</f>
        <v>5637348.7871984001</v>
      </c>
      <c r="G4" s="30" t="s">
        <v>1528</v>
      </c>
      <c r="H4" s="2385">
        <f>+SUMIFS(E:E,B:B,"=Prod")</f>
        <v>126579024.03253971</v>
      </c>
      <c r="I4" s="2385">
        <f>+'Prod O&amp;M'!D30+('Prod O&amp;M'!G72*1000)+'Prod O&amp;M'!D4</f>
        <v>126579024.03253968</v>
      </c>
      <c r="J4" s="2385">
        <f>+H4-I4</f>
        <v>0</v>
      </c>
    </row>
    <row r="5" spans="2:10">
      <c r="B5" t="s">
        <v>1443</v>
      </c>
      <c r="C5" s="33">
        <v>501</v>
      </c>
      <c r="D5" t="s">
        <v>1444</v>
      </c>
      <c r="E5" s="44">
        <f>+SUMIFS('Labor Input'!E:E,'Labor Input'!G:G,'500s FERC Accounts'!C5)</f>
        <v>15535743.674664298</v>
      </c>
      <c r="G5" s="30" t="s">
        <v>1529</v>
      </c>
      <c r="H5" s="2385">
        <f>+SUMIFS(E:E,B:B,"=Transm")</f>
        <v>16333151.2597812</v>
      </c>
      <c r="I5" s="2385">
        <f>+'Transmission O&amp;M'!G47*1000+SUM('Transmission O&amp;M'!E4:E6)</f>
        <v>16333151.2597812</v>
      </c>
      <c r="J5" s="2385">
        <f>+H5-I5</f>
        <v>0</v>
      </c>
    </row>
    <row r="6" spans="2:10">
      <c r="B6" t="s">
        <v>1441</v>
      </c>
      <c r="C6" s="33">
        <v>502</v>
      </c>
      <c r="D6" t="s">
        <v>1445</v>
      </c>
      <c r="E6" s="44">
        <f>+SUMIFS('Labor Input'!E:E,'Labor Input'!G:G,'500s FERC Accounts'!C6)</f>
        <v>7520787.6422127001</v>
      </c>
      <c r="G6" s="30" t="s">
        <v>1530</v>
      </c>
      <c r="H6" s="2385">
        <f>+SUMIFS(E:E,B:B,"=Dist")</f>
        <v>84280705.939113706</v>
      </c>
      <c r="I6" s="2385">
        <f>+'Distribution O&amp;M'!F44*1000+SUM('Distribution O&amp;M'!C4:C6)</f>
        <v>84280705.939113691</v>
      </c>
      <c r="J6" s="2385">
        <f>+H6-I6</f>
        <v>0</v>
      </c>
    </row>
    <row r="7" spans="2:10">
      <c r="B7" t="s">
        <v>1441</v>
      </c>
      <c r="C7" s="33">
        <v>503</v>
      </c>
      <c r="D7" t="s">
        <v>1446</v>
      </c>
      <c r="E7" s="44">
        <f>+SUMIFS('Labor Input'!E:E,'Labor Input'!G:G,'500s FERC Accounts'!C7)</f>
        <v>0</v>
      </c>
      <c r="G7" s="30" t="s">
        <v>1443</v>
      </c>
      <c r="H7" s="2385">
        <f>+SUMIFS(E:E,B:B,"=Fuel")</f>
        <v>702887891.50775266</v>
      </c>
      <c r="I7" s="2385">
        <f>+'Fuel Interchange'!J15-_xlfn.XLOOKUP("A_4073021",'Income Statement Accounts'!D:D,'Income Statement Accounts'!R:R)*1000-_xlfn.XLOOKUP("A_4073031",'Income Statement Accounts'!D:D,'Income Statement Accounts'!R:R)*1000-_xlfn.XLOOKUP("A_4074020",'Income Statement Accounts'!D:D,'Income Statement Accounts'!R:R)*1000-_xlfn.XLOOKUP("A_4074030",'Income Statement Accounts'!D:D,'Income Statement Accounts'!R:R)*1000</f>
        <v>702887891.50775266</v>
      </c>
      <c r="J7" s="2385">
        <f>+H7-I7</f>
        <v>0</v>
      </c>
    </row>
    <row r="8" spans="2:10" ht="15" thickBot="1">
      <c r="B8" t="s">
        <v>1441</v>
      </c>
      <c r="C8" s="33">
        <v>505</v>
      </c>
      <c r="D8" t="s">
        <v>1447</v>
      </c>
      <c r="E8" s="44">
        <f>+SUMIFS('Labor Input'!E:E,'Labor Input'!G:G,'500s FERC Accounts'!C8)</f>
        <v>2242779.1811436</v>
      </c>
      <c r="G8" s="2386" t="s">
        <v>1438</v>
      </c>
      <c r="H8" s="2388">
        <f>+SUM(E:E)-SUM(H4:H7)</f>
        <v>0</v>
      </c>
      <c r="I8" s="2388"/>
      <c r="J8" s="2388"/>
    </row>
    <row r="9" spans="2:10">
      <c r="B9" t="s">
        <v>1441</v>
      </c>
      <c r="C9" s="33">
        <v>506</v>
      </c>
      <c r="D9" t="s">
        <v>1448</v>
      </c>
      <c r="E9" s="44">
        <f>+SUMIFS('Labor Input'!E:E,'Labor Input'!G:G,'500s FERC Accounts'!C9)</f>
        <v>4975843.0325933993</v>
      </c>
    </row>
    <row r="10" spans="2:10">
      <c r="B10" t="s">
        <v>1441</v>
      </c>
      <c r="C10" s="33">
        <v>507</v>
      </c>
      <c r="D10" t="s">
        <v>1449</v>
      </c>
      <c r="E10" s="44">
        <f>+SUMIFS('Labor Input'!E:E,'Labor Input'!G:G,'500s FERC Accounts'!C10)</f>
        <v>24000</v>
      </c>
    </row>
    <row r="11" spans="2:10">
      <c r="B11" t="s">
        <v>1443</v>
      </c>
      <c r="C11" s="33">
        <v>509</v>
      </c>
      <c r="D11" t="s">
        <v>1450</v>
      </c>
      <c r="E11" s="44">
        <f>+SUMIFS('Labor Input'!E:E,'Labor Input'!G:G,'500s FERC Accounts'!C11)</f>
        <v>10030</v>
      </c>
    </row>
    <row r="12" spans="2:10">
      <c r="B12" t="s">
        <v>1443</v>
      </c>
      <c r="C12" s="33">
        <v>510</v>
      </c>
      <c r="D12" t="s">
        <v>1451</v>
      </c>
      <c r="E12" s="44">
        <f>+SUMIFS('Labor Input'!E:E,'Labor Input'!G:G,'500s FERC Accounts'!C12)</f>
        <v>0</v>
      </c>
    </row>
    <row r="13" spans="2:10">
      <c r="B13" t="s">
        <v>1441</v>
      </c>
      <c r="C13" s="33">
        <v>511</v>
      </c>
      <c r="D13" t="s">
        <v>1452</v>
      </c>
      <c r="E13" s="44">
        <f>+SUMIFS('Labor Input'!E:E,'Labor Input'!G:G,'500s FERC Accounts'!C13)</f>
        <v>3809898.5669689002</v>
      </c>
    </row>
    <row r="14" spans="2:10">
      <c r="B14" t="s">
        <v>1441</v>
      </c>
      <c r="C14" s="33">
        <v>512</v>
      </c>
      <c r="D14" t="s">
        <v>1453</v>
      </c>
      <c r="E14" s="44">
        <f>+SUMIFS('Labor Input'!E:E,'Labor Input'!G:G,'500s FERC Accounts'!C14)</f>
        <v>20311127.636226799</v>
      </c>
    </row>
    <row r="15" spans="2:10">
      <c r="B15" t="s">
        <v>1441</v>
      </c>
      <c r="C15" s="33">
        <v>513</v>
      </c>
      <c r="D15" t="s">
        <v>1454</v>
      </c>
      <c r="E15" s="44">
        <f>+SUMIFS('Labor Input'!E:E,'Labor Input'!G:G,'500s FERC Accounts'!C15)</f>
        <v>2015892.7262215</v>
      </c>
    </row>
    <row r="16" spans="2:10">
      <c r="B16" t="s">
        <v>1441</v>
      </c>
      <c r="C16" s="33">
        <v>514</v>
      </c>
      <c r="D16" t="s">
        <v>1455</v>
      </c>
      <c r="E16" s="44">
        <f>+SUMIFS('Labor Input'!E:E,'Labor Input'!G:G,'500s FERC Accounts'!C16)</f>
        <v>2015892.7262215</v>
      </c>
    </row>
    <row r="17" spans="2:5">
      <c r="B17" t="s">
        <v>1441</v>
      </c>
      <c r="C17" s="33">
        <v>546</v>
      </c>
      <c r="D17" t="s">
        <v>1456</v>
      </c>
      <c r="E17" s="44">
        <f>+SUMIFS('Labor Input'!E:E,'Labor Input'!G:G,'500s FERC Accounts'!C17)</f>
        <v>0</v>
      </c>
    </row>
    <row r="18" spans="2:5">
      <c r="B18" t="s">
        <v>1443</v>
      </c>
      <c r="C18" s="33">
        <v>547</v>
      </c>
      <c r="D18" t="s">
        <v>1444</v>
      </c>
      <c r="E18" s="44">
        <f>+SUMIFS('Labor Input'!E:E,'Labor Input'!G:G,'500s FERC Accounts'!C18)</f>
        <v>670558862.80952358</v>
      </c>
    </row>
    <row r="19" spans="2:5">
      <c r="B19" t="s">
        <v>1441</v>
      </c>
      <c r="C19" s="33">
        <v>548</v>
      </c>
      <c r="D19" t="s">
        <v>1457</v>
      </c>
      <c r="E19" s="44">
        <f>+SUMIFS('Labor Input'!E:E,'Labor Input'!G:G,'500s FERC Accounts'!C19)</f>
        <v>29268142.706842296</v>
      </c>
    </row>
    <row r="20" spans="2:5">
      <c r="B20" t="s">
        <v>1441</v>
      </c>
      <c r="C20" s="33">
        <v>549</v>
      </c>
      <c r="D20" t="s">
        <v>1458</v>
      </c>
      <c r="E20" s="44">
        <f>+SUMIFS('Labor Input'!E:E,'Labor Input'!G:G,'500s FERC Accounts'!C20)</f>
        <v>9326684.2781143002</v>
      </c>
    </row>
    <row r="21" spans="2:5">
      <c r="B21" t="s">
        <v>1441</v>
      </c>
      <c r="C21" s="33">
        <v>550</v>
      </c>
      <c r="D21" t="s">
        <v>1459</v>
      </c>
      <c r="E21" s="44">
        <f>+SUMIFS('Labor Input'!E:E,'Labor Input'!G:G,'500s FERC Accounts'!C21)</f>
        <v>0</v>
      </c>
    </row>
    <row r="22" spans="2:5">
      <c r="B22" t="s">
        <v>1441</v>
      </c>
      <c r="C22" s="33">
        <v>551</v>
      </c>
      <c r="D22" t="s">
        <v>1460</v>
      </c>
      <c r="E22" s="44">
        <f>+SUMIFS('Labor Input'!E:E,'Labor Input'!G:G,'500s FERC Accounts'!C22)</f>
        <v>0</v>
      </c>
    </row>
    <row r="23" spans="2:5">
      <c r="B23" t="s">
        <v>1441</v>
      </c>
      <c r="C23" s="33">
        <v>552</v>
      </c>
      <c r="D23" t="s">
        <v>1452</v>
      </c>
      <c r="E23" s="44">
        <f>+SUMIFS('Labor Input'!E:E,'Labor Input'!G:G,'500s FERC Accounts'!C23)</f>
        <v>1878519.7654971001</v>
      </c>
    </row>
    <row r="24" spans="2:5">
      <c r="B24" t="s">
        <v>1441</v>
      </c>
      <c r="C24" s="33">
        <v>553</v>
      </c>
      <c r="D24" t="s">
        <v>1461</v>
      </c>
      <c r="E24" s="44">
        <f>+SUMIFS('Labor Input'!E:E,'Labor Input'!G:G,'500s FERC Accounts'!C24)</f>
        <v>37241383.476004899</v>
      </c>
    </row>
    <row r="25" spans="2:5">
      <c r="B25" t="s">
        <v>1441</v>
      </c>
      <c r="C25" s="33">
        <v>554</v>
      </c>
      <c r="D25" t="s">
        <v>1462</v>
      </c>
      <c r="E25" s="44">
        <f>+SUMIFS('Labor Input'!E:E,'Labor Input'!G:G,'500s FERC Accounts'!C25)</f>
        <v>1266433.6845978</v>
      </c>
    </row>
    <row r="26" spans="2:5">
      <c r="B26" t="s">
        <v>1443</v>
      </c>
      <c r="C26" s="33">
        <v>555</v>
      </c>
      <c r="D26" t="s">
        <v>1463</v>
      </c>
      <c r="E26" s="44">
        <f>+SUMIFS('Labor Input'!E:E,'Labor Input'!G:G,'500s FERC Accounts'!C26)</f>
        <v>16783255.023564801</v>
      </c>
    </row>
    <row r="27" spans="2:5">
      <c r="B27" t="s">
        <v>1441</v>
      </c>
      <c r="C27" s="33">
        <v>556</v>
      </c>
      <c r="D27" t="s">
        <v>1464</v>
      </c>
      <c r="E27" s="44">
        <f>+SUMIFS('Labor Input'!E:E,'Labor Input'!G:G,'500s FERC Accounts'!C27)</f>
        <v>-955710.17730349989</v>
      </c>
    </row>
    <row r="28" spans="2:5">
      <c r="B28" t="s">
        <v>1441</v>
      </c>
      <c r="C28" s="33">
        <v>557</v>
      </c>
      <c r="D28" t="s">
        <v>1465</v>
      </c>
      <c r="E28" s="44">
        <f>+SUMIFS('Labor Input'!E:E,'Labor Input'!G:G,'500s FERC Accounts'!C28)</f>
        <v>0</v>
      </c>
    </row>
    <row r="29" spans="2:5">
      <c r="B29" t="s">
        <v>1466</v>
      </c>
      <c r="C29" s="33">
        <v>560</v>
      </c>
      <c r="D29" t="s">
        <v>1467</v>
      </c>
      <c r="E29" s="44">
        <f>+SUMIFS('Labor Input'!E:E,'Labor Input'!G:G,'500s FERC Accounts'!C29)</f>
        <v>916336.12174650002</v>
      </c>
    </row>
    <row r="30" spans="2:5">
      <c r="B30" t="s">
        <v>1466</v>
      </c>
      <c r="C30" s="33">
        <v>561</v>
      </c>
      <c r="D30" t="s">
        <v>1468</v>
      </c>
      <c r="E30" s="44">
        <f>+SUMIFS('Labor Input'!E:E,'Labor Input'!G:G,'500s FERC Accounts'!C30)</f>
        <v>2640612.7008060999</v>
      </c>
    </row>
    <row r="31" spans="2:5">
      <c r="B31" t="s">
        <v>1466</v>
      </c>
      <c r="C31" s="33">
        <v>562</v>
      </c>
      <c r="D31" t="s">
        <v>1469</v>
      </c>
      <c r="E31" s="44">
        <f>+SUMIFS('Labor Input'!E:E,'Labor Input'!G:G,'500s FERC Accounts'!C31)</f>
        <v>1643675.7839934002</v>
      </c>
    </row>
    <row r="32" spans="2:5">
      <c r="B32" t="s">
        <v>1466</v>
      </c>
      <c r="C32" s="33">
        <v>563</v>
      </c>
      <c r="D32" t="s">
        <v>1470</v>
      </c>
      <c r="E32" s="44">
        <f>+SUMIFS('Labor Input'!E:E,'Labor Input'!G:G,'500s FERC Accounts'!C32)</f>
        <v>463601.15131130011</v>
      </c>
    </row>
    <row r="33" spans="2:5">
      <c r="B33" t="s">
        <v>1466</v>
      </c>
      <c r="C33" s="33">
        <v>564</v>
      </c>
      <c r="D33" t="s">
        <v>1471</v>
      </c>
      <c r="E33" s="44">
        <f>+SUMIFS('Labor Input'!E:E,'Labor Input'!G:G,'500s FERC Accounts'!C33)</f>
        <v>0</v>
      </c>
    </row>
    <row r="34" spans="2:5">
      <c r="B34" t="s">
        <v>1466</v>
      </c>
      <c r="C34" s="33">
        <v>565</v>
      </c>
      <c r="D34" t="s">
        <v>1472</v>
      </c>
      <c r="E34" s="44">
        <f>+SUMIFS('Labor Input'!E:E,'Labor Input'!G:G,'500s FERC Accounts'!C34)</f>
        <v>0</v>
      </c>
    </row>
    <row r="35" spans="2:5">
      <c r="B35" t="s">
        <v>1466</v>
      </c>
      <c r="C35" s="33">
        <v>566</v>
      </c>
      <c r="D35" t="s">
        <v>1473</v>
      </c>
      <c r="E35" s="44">
        <f>+SUMIFS('Labor Input'!E:E,'Labor Input'!G:G,'500s FERC Accounts'!C35)</f>
        <v>1801131.6979296</v>
      </c>
    </row>
    <row r="36" spans="2:5">
      <c r="B36" t="s">
        <v>1466</v>
      </c>
      <c r="C36" s="33">
        <v>567</v>
      </c>
      <c r="D36" t="s">
        <v>1449</v>
      </c>
      <c r="E36" s="44">
        <f>+SUMIFS('Labor Input'!E:E,'Labor Input'!G:G,'500s FERC Accounts'!C36)</f>
        <v>0</v>
      </c>
    </row>
    <row r="37" spans="2:5">
      <c r="B37" t="s">
        <v>1466</v>
      </c>
      <c r="C37" s="33">
        <v>568</v>
      </c>
      <c r="D37" t="s">
        <v>1474</v>
      </c>
      <c r="E37" s="44">
        <f>+SUMIFS('Labor Input'!E:E,'Labor Input'!G:G,'500s FERC Accounts'!C37)</f>
        <v>0</v>
      </c>
    </row>
    <row r="38" spans="2:5">
      <c r="B38" t="s">
        <v>1466</v>
      </c>
      <c r="C38" s="33">
        <v>569</v>
      </c>
      <c r="D38" t="s">
        <v>1452</v>
      </c>
      <c r="E38" s="44">
        <f>+SUMIFS('Labor Input'!E:E,'Labor Input'!G:G,'500s FERC Accounts'!C38)</f>
        <v>1881232.2586637</v>
      </c>
    </row>
    <row r="39" spans="2:5">
      <c r="B39" t="s">
        <v>1466</v>
      </c>
      <c r="C39" s="33">
        <v>570</v>
      </c>
      <c r="D39" t="s">
        <v>1475</v>
      </c>
      <c r="E39" s="44">
        <f>+SUMIFS('Labor Input'!E:E,'Labor Input'!G:G,'500s FERC Accounts'!C39)</f>
        <v>1229350.2257025</v>
      </c>
    </row>
    <row r="40" spans="2:5">
      <c r="B40" t="s">
        <v>1466</v>
      </c>
      <c r="C40" s="33">
        <v>571</v>
      </c>
      <c r="D40" t="s">
        <v>1476</v>
      </c>
      <c r="E40" s="44">
        <f>+SUMIFS('Labor Input'!E:E,'Labor Input'!G:G,'500s FERC Accounts'!C40)</f>
        <v>5757211.3196281008</v>
      </c>
    </row>
    <row r="41" spans="2:5">
      <c r="B41" t="s">
        <v>1466</v>
      </c>
      <c r="C41" s="33">
        <v>572</v>
      </c>
      <c r="D41" t="s">
        <v>1477</v>
      </c>
      <c r="E41" s="44">
        <f>+SUMIFS('Labor Input'!E:E,'Labor Input'!G:G,'500s FERC Accounts'!C41)</f>
        <v>0</v>
      </c>
    </row>
    <row r="42" spans="2:5">
      <c r="B42" t="s">
        <v>1466</v>
      </c>
      <c r="C42" s="33">
        <v>573</v>
      </c>
      <c r="D42" t="s">
        <v>1478</v>
      </c>
      <c r="E42" s="44">
        <f>+SUMIFS('Labor Input'!E:E,'Labor Input'!G:G,'500s FERC Accounts'!C42)</f>
        <v>0</v>
      </c>
    </row>
    <row r="43" spans="2:5">
      <c r="B43" t="s">
        <v>1466</v>
      </c>
      <c r="C43" s="33">
        <v>574</v>
      </c>
      <c r="D43" t="s">
        <v>1479</v>
      </c>
      <c r="E43" s="44">
        <f>+SUMIFS('Labor Input'!E:E,'Labor Input'!G:G,'500s FERC Accounts'!C43)</f>
        <v>0</v>
      </c>
    </row>
    <row r="44" spans="2:5">
      <c r="B44" t="s">
        <v>1480</v>
      </c>
      <c r="C44" s="33">
        <v>580</v>
      </c>
      <c r="D44" t="s">
        <v>1442</v>
      </c>
      <c r="E44" s="44">
        <f>+SUMIFS('Labor Input'!E:E,'Labor Input'!G:G,'500s FERC Accounts'!C44)</f>
        <v>1568791.8660012002</v>
      </c>
    </row>
    <row r="45" spans="2:5">
      <c r="B45" t="s">
        <v>1480</v>
      </c>
      <c r="C45" s="33">
        <v>581</v>
      </c>
      <c r="D45" t="s">
        <v>1468</v>
      </c>
      <c r="E45" s="44">
        <f>+SUMIFS('Labor Input'!E:E,'Labor Input'!G:G,'500s FERC Accounts'!C45)</f>
        <v>1182089.8829178999</v>
      </c>
    </row>
    <row r="46" spans="2:5">
      <c r="B46" t="s">
        <v>1480</v>
      </c>
      <c r="C46" s="33">
        <v>582</v>
      </c>
      <c r="D46" t="s">
        <v>1469</v>
      </c>
      <c r="E46" s="44">
        <f>+SUMIFS('Labor Input'!E:E,'Labor Input'!G:G,'500s FERC Accounts'!C46)</f>
        <v>1036662.4857628</v>
      </c>
    </row>
    <row r="47" spans="2:5">
      <c r="B47" t="s">
        <v>1480</v>
      </c>
      <c r="C47" s="33">
        <v>583</v>
      </c>
      <c r="D47" t="s">
        <v>1470</v>
      </c>
      <c r="E47" s="44">
        <f>+SUMIFS('Labor Input'!E:E,'Labor Input'!G:G,'500s FERC Accounts'!C47)</f>
        <v>8122934.6566825006</v>
      </c>
    </row>
    <row r="48" spans="2:5">
      <c r="B48" t="s">
        <v>1480</v>
      </c>
      <c r="C48" s="33">
        <v>584</v>
      </c>
      <c r="D48" t="s">
        <v>1481</v>
      </c>
      <c r="E48" s="44">
        <f>+SUMIFS('Labor Input'!E:E,'Labor Input'!G:G,'500s FERC Accounts'!C48)</f>
        <v>901532.33442349976</v>
      </c>
    </row>
    <row r="49" spans="2:5">
      <c r="B49" t="s">
        <v>1480</v>
      </c>
      <c r="C49" s="33">
        <v>585</v>
      </c>
      <c r="D49" t="s">
        <v>1482</v>
      </c>
      <c r="E49" s="44">
        <f>+SUMIFS('Labor Input'!E:E,'Labor Input'!G:G,'500s FERC Accounts'!C49)</f>
        <v>1857532.8726781001</v>
      </c>
    </row>
    <row r="50" spans="2:5">
      <c r="B50" t="s">
        <v>1480</v>
      </c>
      <c r="C50" s="33">
        <v>586</v>
      </c>
      <c r="D50" t="s">
        <v>1483</v>
      </c>
      <c r="E50" s="44">
        <f>+SUMIFS('Labor Input'!E:E,'Labor Input'!G:G,'500s FERC Accounts'!C50)</f>
        <v>5603882.1853551995</v>
      </c>
    </row>
    <row r="51" spans="2:5">
      <c r="B51" t="s">
        <v>1480</v>
      </c>
      <c r="C51" s="33">
        <v>587</v>
      </c>
      <c r="D51" t="s">
        <v>1484</v>
      </c>
      <c r="E51" s="44">
        <f>+SUMIFS('Labor Input'!E:E,'Labor Input'!G:G,'500s FERC Accounts'!C51)</f>
        <v>0</v>
      </c>
    </row>
    <row r="52" spans="2:5">
      <c r="B52" t="s">
        <v>1480</v>
      </c>
      <c r="C52" s="33">
        <v>588</v>
      </c>
      <c r="D52" t="s">
        <v>1485</v>
      </c>
      <c r="E52" s="44">
        <f>+SUMIFS('Labor Input'!E:E,'Labor Input'!G:G,'500s FERC Accounts'!C52)</f>
        <v>12532888.789570903</v>
      </c>
    </row>
    <row r="53" spans="2:5">
      <c r="B53" t="s">
        <v>1480</v>
      </c>
      <c r="C53" s="33">
        <v>589</v>
      </c>
      <c r="D53" t="s">
        <v>1449</v>
      </c>
      <c r="E53" s="44">
        <f>+SUMIFS('Labor Input'!E:E,'Labor Input'!G:G,'500s FERC Accounts'!C53)</f>
        <v>377004</v>
      </c>
    </row>
    <row r="54" spans="2:5">
      <c r="B54" t="s">
        <v>1480</v>
      </c>
      <c r="C54" s="33">
        <v>590</v>
      </c>
      <c r="D54" t="s">
        <v>1486</v>
      </c>
      <c r="E54" s="44">
        <f>+SUMIFS('Labor Input'!E:E,'Labor Input'!G:G,'500s FERC Accounts'!C54)</f>
        <v>0</v>
      </c>
    </row>
    <row r="55" spans="2:5">
      <c r="B55" t="s">
        <v>1480</v>
      </c>
      <c r="C55" s="33">
        <v>591</v>
      </c>
      <c r="D55" t="s">
        <v>1452</v>
      </c>
      <c r="E55" s="44">
        <f>+SUMIFS('Labor Input'!E:E,'Labor Input'!G:G,'500s FERC Accounts'!C55)</f>
        <v>-174219.81426290001</v>
      </c>
    </row>
    <row r="56" spans="2:5">
      <c r="B56" t="s">
        <v>1480</v>
      </c>
      <c r="C56" s="33">
        <v>592</v>
      </c>
      <c r="D56" t="s">
        <v>1475</v>
      </c>
      <c r="E56" s="44">
        <f>+SUMIFS('Labor Input'!E:E,'Labor Input'!G:G,'500s FERC Accounts'!C56)</f>
        <v>2508849.1595826996</v>
      </c>
    </row>
    <row r="57" spans="2:5">
      <c r="B57" t="s">
        <v>1480</v>
      </c>
      <c r="C57" s="33">
        <v>593</v>
      </c>
      <c r="D57" t="s">
        <v>1476</v>
      </c>
      <c r="E57" s="44">
        <f>+SUMIFS('Labor Input'!E:E,'Labor Input'!G:G,'500s FERC Accounts'!C57)</f>
        <v>42244664.903738298</v>
      </c>
    </row>
    <row r="58" spans="2:5">
      <c r="B58" t="s">
        <v>1480</v>
      </c>
      <c r="C58" s="33">
        <v>594</v>
      </c>
      <c r="D58" t="s">
        <v>1477</v>
      </c>
      <c r="E58" s="44">
        <f>+SUMIFS('Labor Input'!E:E,'Labor Input'!G:G,'500s FERC Accounts'!C58)</f>
        <v>4815745.1523291003</v>
      </c>
    </row>
    <row r="59" spans="2:5">
      <c r="B59" t="s">
        <v>1480</v>
      </c>
      <c r="C59" s="33">
        <v>595</v>
      </c>
      <c r="D59" t="s">
        <v>1487</v>
      </c>
      <c r="E59" s="44">
        <f>+SUMIFS('Labor Input'!E:E,'Labor Input'!G:G,'500s FERC Accounts'!C59)</f>
        <v>218445.24187130001</v>
      </c>
    </row>
    <row r="60" spans="2:5">
      <c r="B60" t="s">
        <v>1480</v>
      </c>
      <c r="C60" s="33">
        <v>596</v>
      </c>
      <c r="D60" t="s">
        <v>1488</v>
      </c>
      <c r="E60" s="44">
        <f>+SUMIFS('Labor Input'!E:E,'Labor Input'!G:G,'500s FERC Accounts'!C60)</f>
        <v>620651.97059160005</v>
      </c>
    </row>
    <row r="61" spans="2:5">
      <c r="B61" t="s">
        <v>1480</v>
      </c>
      <c r="C61" s="33">
        <v>597</v>
      </c>
      <c r="D61" t="s">
        <v>1489</v>
      </c>
      <c r="E61" s="44">
        <f>+SUMIFS('Labor Input'!E:E,'Labor Input'!G:G,'500s FERC Accounts'!C61)</f>
        <v>863250.25187149982</v>
      </c>
    </row>
    <row r="62" spans="2:5">
      <c r="B62" t="s">
        <v>1480</v>
      </c>
      <c r="C62" s="33">
        <v>598</v>
      </c>
      <c r="D62" t="s">
        <v>1490</v>
      </c>
      <c r="E62" s="44">
        <f>+SUMIFS('Labor Input'!E:E,'Labor Input'!G:G,'500s FERC Accounts'!C62)</f>
        <v>0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B1:H27"/>
  <sheetViews>
    <sheetView tabSelected="1" showOutlineSymbols="0" workbookViewId="0"/>
  </sheetViews>
  <sheetFormatPr defaultRowHeight="14.4"/>
  <cols>
    <col min="2" max="2" width="16.44140625" bestFit="1" customWidth="1"/>
    <col min="3" max="3" width="16" bestFit="1" customWidth="1"/>
    <col min="4" max="4" width="50.109375" bestFit="1" customWidth="1"/>
    <col min="5" max="5" width="11.5546875" bestFit="1" customWidth="1"/>
    <col min="7" max="7" width="22.44140625" bestFit="1" customWidth="1"/>
    <col min="8" max="8" width="13.5546875" bestFit="1" customWidth="1"/>
  </cols>
  <sheetData>
    <row r="1" spans="2:8">
      <c r="B1" s="33"/>
    </row>
    <row r="2" spans="2:8" ht="15" thickBot="1"/>
    <row r="3" spans="2:8" ht="15" thickBot="1">
      <c r="B3" s="51" t="s">
        <v>121</v>
      </c>
      <c r="C3" s="51" t="s">
        <v>1434</v>
      </c>
      <c r="D3" s="51" t="s">
        <v>608</v>
      </c>
      <c r="E3" s="51" t="s">
        <v>122</v>
      </c>
      <c r="G3" s="2382" t="s">
        <v>610</v>
      </c>
      <c r="H3" s="2395" t="s">
        <v>611</v>
      </c>
    </row>
    <row r="4" spans="2:8">
      <c r="C4" s="33">
        <v>901</v>
      </c>
      <c r="D4" t="s">
        <v>1505</v>
      </c>
      <c r="E4" s="44">
        <f>+SUMIFS('Labor Input'!E:E,'Labor Input'!G:G,'900s FERC Accounts'!C4)</f>
        <v>0</v>
      </c>
      <c r="G4" s="30" t="s">
        <v>122</v>
      </c>
      <c r="H4" s="55">
        <f>+VLOOKUP('900s FERC Accounts'!G4,'Labor Input'!A:E,5,FALSE)</f>
        <v>1203361865.3056536</v>
      </c>
    </row>
    <row r="5" spans="2:8">
      <c r="B5" t="s">
        <v>118</v>
      </c>
      <c r="C5" s="33">
        <v>902</v>
      </c>
      <c r="D5" t="s">
        <v>1506</v>
      </c>
      <c r="E5" s="44">
        <f>+SUMIFS('Labor Input'!E:E,'Labor Input'!G:G,'900s FERC Accounts'!C5)</f>
        <v>4394426.2944155997</v>
      </c>
      <c r="G5" s="30" t="s">
        <v>1504</v>
      </c>
      <c r="H5" s="55">
        <f>+SUM('500s FERC Accounts'!E:E)</f>
        <v>930080772.73918736</v>
      </c>
    </row>
    <row r="6" spans="2:8">
      <c r="B6" t="s">
        <v>118</v>
      </c>
      <c r="C6" s="33">
        <v>903</v>
      </c>
      <c r="D6" t="s">
        <v>1507</v>
      </c>
      <c r="E6" s="44">
        <f>+SUMIFS('Labor Input'!E:E,'Labor Input'!G:G,'900s FERC Accounts'!C6)</f>
        <v>29376605.874838099</v>
      </c>
      <c r="G6" s="30" t="s">
        <v>1527</v>
      </c>
      <c r="H6" s="55">
        <f>+SUM(E:E)</f>
        <v>273281092.56646621</v>
      </c>
    </row>
    <row r="7" spans="2:8" ht="15" thickBot="1">
      <c r="B7" t="s">
        <v>118</v>
      </c>
      <c r="C7" s="33">
        <v>904</v>
      </c>
      <c r="D7" t="s">
        <v>1508</v>
      </c>
      <c r="E7" s="44">
        <f>+SUMIFS('Labor Input'!E:E,'Labor Input'!G:G,'900s FERC Accounts'!C7)</f>
        <v>5796780.4260914996</v>
      </c>
      <c r="G7" s="2386" t="s">
        <v>1438</v>
      </c>
      <c r="H7" s="2388">
        <f>+H4-H5-H6</f>
        <v>0</v>
      </c>
    </row>
    <row r="8" spans="2:8">
      <c r="B8" t="s">
        <v>118</v>
      </c>
      <c r="C8" s="33">
        <v>908</v>
      </c>
      <c r="D8" t="s">
        <v>1509</v>
      </c>
      <c r="E8" s="44">
        <f>+SUMIFS('Labor Input'!E:E,'Labor Input'!G:G,'900s FERC Accounts'!C8)</f>
        <v>62700664.669294409</v>
      </c>
    </row>
    <row r="9" spans="2:8">
      <c r="B9" t="s">
        <v>118</v>
      </c>
      <c r="C9" s="33">
        <v>909</v>
      </c>
      <c r="D9" t="s">
        <v>1510</v>
      </c>
      <c r="E9" s="44">
        <f>+SUMIFS('Labor Input'!E:E,'Labor Input'!G:G,'900s FERC Accounts'!C9)</f>
        <v>5484158.9778819988</v>
      </c>
    </row>
    <row r="10" spans="2:8">
      <c r="B10" t="s">
        <v>118</v>
      </c>
      <c r="C10" s="33">
        <v>911</v>
      </c>
      <c r="D10" t="s">
        <v>1511</v>
      </c>
      <c r="E10" s="44">
        <f>+SUMIFS('Labor Input'!E:E,'Labor Input'!G:G,'900s FERC Accounts'!C10)</f>
        <v>0</v>
      </c>
    </row>
    <row r="11" spans="2:8">
      <c r="B11" t="s">
        <v>118</v>
      </c>
      <c r="C11" s="33">
        <v>912</v>
      </c>
      <c r="D11" t="s">
        <v>1512</v>
      </c>
      <c r="E11" s="44">
        <f>+SUMIFS('Labor Input'!E:E,'Labor Input'!G:G,'900s FERC Accounts'!C11)</f>
        <v>335002</v>
      </c>
    </row>
    <row r="12" spans="2:8">
      <c r="B12" t="s">
        <v>118</v>
      </c>
      <c r="C12" s="33">
        <v>913</v>
      </c>
      <c r="D12" t="s">
        <v>1513</v>
      </c>
      <c r="E12" s="44">
        <f>+SUMIFS('Labor Input'!E:E,'Labor Input'!G:G,'900s FERC Accounts'!C12)</f>
        <v>0</v>
      </c>
    </row>
    <row r="13" spans="2:8">
      <c r="B13" t="s">
        <v>118</v>
      </c>
      <c r="C13" s="33">
        <v>916</v>
      </c>
      <c r="D13" t="s">
        <v>1514</v>
      </c>
      <c r="E13" s="44">
        <f>+SUMIFS('Labor Input'!E:E,'Labor Input'!G:G,'900s FERC Accounts'!C13)</f>
        <v>0</v>
      </c>
    </row>
    <row r="14" spans="2:8">
      <c r="B14" t="s">
        <v>1515</v>
      </c>
      <c r="C14" s="33">
        <v>920</v>
      </c>
      <c r="D14" t="s">
        <v>1516</v>
      </c>
      <c r="E14" s="44">
        <f>+SUMIFS('Labor Input'!E:E,'Labor Input'!G:G,'900s FERC Accounts'!C14)</f>
        <v>73042403.672304392</v>
      </c>
    </row>
    <row r="15" spans="2:8">
      <c r="B15" t="s">
        <v>1515</v>
      </c>
      <c r="C15" s="33">
        <v>921</v>
      </c>
      <c r="D15" t="s">
        <v>1517</v>
      </c>
      <c r="E15" s="44">
        <f>+SUMIFS('Labor Input'!E:E,'Labor Input'!G:G,'900s FERC Accounts'!C15)</f>
        <v>5202840.3527058</v>
      </c>
    </row>
    <row r="16" spans="2:8">
      <c r="B16" t="s">
        <v>1515</v>
      </c>
      <c r="C16" s="33">
        <v>922</v>
      </c>
      <c r="D16" t="s">
        <v>1518</v>
      </c>
      <c r="E16" s="44">
        <f>+SUMIFS('Labor Input'!E:E,'Labor Input'!G:G,'900s FERC Accounts'!C16)</f>
        <v>-58310661.032536194</v>
      </c>
    </row>
    <row r="17" spans="2:5">
      <c r="B17" t="s">
        <v>1515</v>
      </c>
      <c r="C17" s="33">
        <v>923</v>
      </c>
      <c r="D17" t="s">
        <v>1519</v>
      </c>
      <c r="E17" s="44">
        <f>+SUMIFS('Labor Input'!E:E,'Labor Input'!G:G,'900s FERC Accounts'!C17)</f>
        <v>35273257.629188798</v>
      </c>
    </row>
    <row r="18" spans="2:5">
      <c r="B18" t="s">
        <v>1515</v>
      </c>
      <c r="C18" s="33">
        <v>924</v>
      </c>
      <c r="D18" t="s">
        <v>1520</v>
      </c>
      <c r="E18" s="44">
        <f>+SUMIFS('Labor Input'!E:E,'Labor Input'!G:G,'900s FERC Accounts'!C18)</f>
        <v>19611570.9332962</v>
      </c>
    </row>
    <row r="19" spans="2:5">
      <c r="B19" t="s">
        <v>1515</v>
      </c>
      <c r="C19" s="33">
        <v>925</v>
      </c>
      <c r="D19" t="s">
        <v>1521</v>
      </c>
      <c r="E19" s="44">
        <f>+SUMIFS('Labor Input'!E:E,'Labor Input'!G:G,'900s FERC Accounts'!C19)</f>
        <v>23695104.766964599</v>
      </c>
    </row>
    <row r="20" spans="2:5">
      <c r="B20" t="s">
        <v>1515</v>
      </c>
      <c r="C20" s="33">
        <v>926</v>
      </c>
      <c r="D20" t="s">
        <v>1522</v>
      </c>
      <c r="E20" s="44">
        <f>+SUMIFS('Labor Input'!E:E,'Labor Input'!G:G,'900s FERC Accounts'!C20)</f>
        <v>42359125.328111202</v>
      </c>
    </row>
    <row r="21" spans="2:5">
      <c r="B21" t="s">
        <v>1515</v>
      </c>
      <c r="C21" s="33">
        <v>928</v>
      </c>
      <c r="D21" t="s">
        <v>1523</v>
      </c>
      <c r="E21" s="44">
        <f>+SUMIFS('Labor Input'!E:E,'Labor Input'!G:G,'900s FERC Accounts'!C21)</f>
        <v>2105652.6666672002</v>
      </c>
    </row>
    <row r="22" spans="2:5">
      <c r="B22" t="s">
        <v>1515</v>
      </c>
      <c r="C22" s="33">
        <v>929</v>
      </c>
      <c r="D22" t="s">
        <v>1524</v>
      </c>
      <c r="E22" s="44">
        <f>+SUMIFS('Labor Input'!E:E,'Labor Input'!G:G,'900s FERC Accounts'!C22)</f>
        <v>0</v>
      </c>
    </row>
    <row r="23" spans="2:5">
      <c r="B23" t="s">
        <v>1515</v>
      </c>
      <c r="C23" s="33">
        <v>930</v>
      </c>
      <c r="D23" t="s">
        <v>1525</v>
      </c>
      <c r="E23" s="44">
        <f>+SUMIFS('Labor Input'!E:E,'Labor Input'!G:G,'900s FERC Accounts'!C23)</f>
        <v>18419463.989593402</v>
      </c>
    </row>
    <row r="24" spans="2:5">
      <c r="B24" t="s">
        <v>1515</v>
      </c>
      <c r="C24" s="33">
        <v>931</v>
      </c>
      <c r="D24" t="s">
        <v>1449</v>
      </c>
      <c r="E24" s="44">
        <f>+SUMIFS('Labor Input'!E:E,'Labor Input'!G:G,'900s FERC Accounts'!C24)</f>
        <v>1860414.3854999996</v>
      </c>
    </row>
    <row r="25" spans="2:5">
      <c r="B25" t="s">
        <v>1515</v>
      </c>
      <c r="C25" s="33">
        <v>932</v>
      </c>
      <c r="D25" t="s">
        <v>1526</v>
      </c>
      <c r="E25" s="44">
        <f>+SUMIFS('Labor Input'!E:E,'Labor Input'!G:G,'900s FERC Accounts'!C25)</f>
        <v>0</v>
      </c>
    </row>
    <row r="26" spans="2:5">
      <c r="B26" t="s">
        <v>1515</v>
      </c>
      <c r="C26" s="33">
        <v>935</v>
      </c>
      <c r="D26" t="s">
        <v>1526</v>
      </c>
      <c r="E26" s="44">
        <f>+SUMIFS('Labor Input'!E:E,'Labor Input'!G:G,'900s FERC Accounts'!C26)</f>
        <v>1934281.6321492</v>
      </c>
    </row>
    <row r="27" spans="2:5">
      <c r="B27" t="s">
        <v>1515</v>
      </c>
      <c r="C27" s="33">
        <v>999</v>
      </c>
      <c r="D27" t="s">
        <v>1479</v>
      </c>
      <c r="E27" s="44">
        <f>+SUMIFS('Labor Input'!E:E,'Labor Input'!G:G,'900s FERC Accounts'!C27)</f>
        <v>0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M105"/>
  <sheetViews>
    <sheetView tabSelected="1" showOutlineSymbols="0" workbookViewId="0"/>
  </sheetViews>
  <sheetFormatPr defaultRowHeight="14.4"/>
  <cols>
    <col min="2" max="2" width="17" bestFit="1" customWidth="1"/>
    <col min="3" max="3" width="8.44140625" bestFit="1" customWidth="1"/>
    <col min="4" max="4" width="8" bestFit="1" customWidth="1"/>
    <col min="5" max="5" width="47.109375" bestFit="1" customWidth="1"/>
    <col min="6" max="6" width="29.109375" bestFit="1" customWidth="1"/>
    <col min="7" max="7" width="47.109375" bestFit="1" customWidth="1"/>
    <col min="8" max="8" width="21.109375" bestFit="1" customWidth="1"/>
    <col min="9" max="9" width="18.33203125" bestFit="1" customWidth="1"/>
    <col min="12" max="12" width="11.33203125" bestFit="1" customWidth="1"/>
  </cols>
  <sheetData>
    <row r="1" spans="1:13" ht="15" thickBot="1">
      <c r="A1" t="s">
        <v>9429</v>
      </c>
    </row>
    <row r="2" spans="1:13">
      <c r="B2" s="2396" t="s">
        <v>2044</v>
      </c>
      <c r="C2" s="38"/>
      <c r="D2" s="284"/>
      <c r="E2" s="285" t="s">
        <v>2045</v>
      </c>
      <c r="F2" s="284"/>
      <c r="G2" s="38"/>
      <c r="H2" s="34"/>
    </row>
    <row r="3" spans="1:13">
      <c r="B3" s="30" t="s">
        <v>877</v>
      </c>
      <c r="D3" s="286">
        <v>4560900</v>
      </c>
      <c r="E3" s="1644">
        <f>SUMIF($C$13:$C$78,D3,$F$13:$F$78)</f>
        <v>-70.100000000003888</v>
      </c>
      <c r="F3" s="96" t="s">
        <v>2046</v>
      </c>
      <c r="H3" s="287" t="s">
        <v>2047</v>
      </c>
    </row>
    <row r="4" spans="1:13">
      <c r="B4" s="30"/>
      <c r="G4" s="96"/>
      <c r="H4" s="287" t="s">
        <v>2048</v>
      </c>
    </row>
    <row r="5" spans="1:13" ht="15" thickBot="1">
      <c r="B5" s="2397"/>
      <c r="C5" s="32"/>
      <c r="D5" s="32"/>
      <c r="E5" s="32"/>
      <c r="F5" s="32"/>
      <c r="G5" s="32"/>
      <c r="H5" s="2398"/>
    </row>
    <row r="7" spans="1:13">
      <c r="B7" s="62"/>
    </row>
    <row r="8" spans="1:13">
      <c r="B8" s="2399"/>
    </row>
    <row r="9" spans="1:13">
      <c r="B9" s="288"/>
      <c r="C9" s="289"/>
    </row>
    <row r="10" spans="1:13" ht="16.2" thickBot="1">
      <c r="B10" s="2400"/>
    </row>
    <row r="11" spans="1:13">
      <c r="B11" s="77"/>
      <c r="C11" s="77"/>
      <c r="D11" s="2401"/>
      <c r="E11" s="2401"/>
      <c r="F11" s="2401"/>
      <c r="G11" s="60"/>
      <c r="I11" s="2402" t="s">
        <v>610</v>
      </c>
      <c r="J11" s="38"/>
      <c r="K11" s="34"/>
      <c r="L11" s="38" t="s">
        <v>8662</v>
      </c>
      <c r="M11" s="34"/>
    </row>
    <row r="12" spans="1:13" ht="15" thickBot="1">
      <c r="B12" s="2403" t="s">
        <v>2049</v>
      </c>
      <c r="C12" s="2404" t="s">
        <v>2050</v>
      </c>
      <c r="D12" s="2404" t="s">
        <v>2051</v>
      </c>
      <c r="E12" s="2087" t="s">
        <v>2052</v>
      </c>
      <c r="F12" s="2405" t="s">
        <v>2053</v>
      </c>
      <c r="I12" s="2406" t="s">
        <v>2110</v>
      </c>
      <c r="K12" s="2407" t="s">
        <v>2045</v>
      </c>
      <c r="M12" s="2062"/>
    </row>
    <row r="13" spans="1:13">
      <c r="B13" s="2408" t="s">
        <v>1532</v>
      </c>
      <c r="C13" s="33">
        <v>4073022</v>
      </c>
      <c r="D13" s="33">
        <v>407</v>
      </c>
      <c r="E13" t="s">
        <v>2054</v>
      </c>
      <c r="F13" s="2409">
        <f>SUMIFS('Income Statement Accounts'!R:R,'Income Statement Accounts'!B:B,'Other Operating Revenue'!C13)</f>
        <v>0</v>
      </c>
      <c r="G13" s="96" t="s">
        <v>2055</v>
      </c>
      <c r="I13" s="30">
        <v>407</v>
      </c>
      <c r="K13" s="2385">
        <f t="shared" ref="K13:K18" si="0">+SUMIFS(F:F,D:D,I13)</f>
        <v>27381.052027197609</v>
      </c>
      <c r="M13" s="2062"/>
    </row>
    <row r="14" spans="1:13">
      <c r="B14" s="33" t="s">
        <v>1532</v>
      </c>
      <c r="C14" s="290">
        <v>4070211</v>
      </c>
      <c r="D14" s="33">
        <v>407</v>
      </c>
      <c r="E14" s="96" t="s">
        <v>2056</v>
      </c>
      <c r="F14" s="2409">
        <f>SUMIFS('Income Statement Accounts'!R:R,'Income Statement Accounts'!B:B,'Other Operating Revenue'!C14)</f>
        <v>21858.343350000006</v>
      </c>
      <c r="I14" s="30">
        <v>451</v>
      </c>
      <c r="K14" s="2385">
        <f t="shared" si="0"/>
        <v>21444.964123999598</v>
      </c>
      <c r="L14" s="2410">
        <v>-21444.964</v>
      </c>
      <c r="M14" s="2070">
        <f>+K14+L14</f>
        <v>1.2399959814501926E-4</v>
      </c>
    </row>
    <row r="15" spans="1:13">
      <c r="B15" s="33" t="s">
        <v>2057</v>
      </c>
      <c r="C15" s="33">
        <v>451</v>
      </c>
      <c r="D15" s="33" t="s">
        <v>2058</v>
      </c>
      <c r="E15" t="s">
        <v>2059</v>
      </c>
      <c r="F15" s="2409">
        <f>SUMIFS('Income Statement Accounts'!R:R,'Income Statement Accounts'!B:B,'Other Operating Revenue'!C15)</f>
        <v>21444.964123999598</v>
      </c>
      <c r="I15" s="30">
        <v>454</v>
      </c>
      <c r="K15" s="2385">
        <f t="shared" si="0"/>
        <v>15069.4579798868</v>
      </c>
      <c r="L15" s="2410">
        <v>-15155.458000000001</v>
      </c>
      <c r="M15" s="2070">
        <f>+K15+L15</f>
        <v>-86.000020113200662</v>
      </c>
    </row>
    <row r="16" spans="1:13">
      <c r="B16" s="33" t="s">
        <v>1760</v>
      </c>
      <c r="C16" s="33">
        <v>4540010</v>
      </c>
      <c r="D16" s="33" t="s">
        <v>2060</v>
      </c>
      <c r="E16" t="s">
        <v>828</v>
      </c>
      <c r="F16" s="2409">
        <f>SUMIFS('Income Statement Accounts'!R:R,'Income Statement Accounts'!B:B,'Other Operating Revenue'!C16)</f>
        <v>728.27300000000014</v>
      </c>
      <c r="I16" s="30">
        <v>455</v>
      </c>
      <c r="K16" s="2385">
        <f t="shared" si="0"/>
        <v>0</v>
      </c>
      <c r="L16" s="2410">
        <v>0</v>
      </c>
      <c r="M16" s="2070">
        <f>+K16+L16</f>
        <v>0</v>
      </c>
    </row>
    <row r="17" spans="2:13">
      <c r="B17" s="33" t="s">
        <v>1760</v>
      </c>
      <c r="C17" s="33">
        <v>4540020</v>
      </c>
      <c r="D17" s="33" t="s">
        <v>2060</v>
      </c>
      <c r="E17" t="s">
        <v>830</v>
      </c>
      <c r="F17" s="2409">
        <f>SUMIFS('Income Statement Accounts'!R:R,'Income Statement Accounts'!B:B,'Other Operating Revenue'!C17)</f>
        <v>27.457999999999995</v>
      </c>
      <c r="I17" s="30">
        <v>456</v>
      </c>
      <c r="K17" s="2385">
        <f t="shared" si="0"/>
        <v>11464.774498524395</v>
      </c>
      <c r="L17" s="2410">
        <v>-3535.7440000000001</v>
      </c>
      <c r="M17" s="2070">
        <f>+K17+L17+L18</f>
        <v>85.999498524394767</v>
      </c>
    </row>
    <row r="18" spans="2:13">
      <c r="B18" s="33" t="s">
        <v>1762</v>
      </c>
      <c r="C18" s="33">
        <v>4540030</v>
      </c>
      <c r="D18" s="33" t="s">
        <v>2060</v>
      </c>
      <c r="E18" t="s">
        <v>832</v>
      </c>
      <c r="F18" s="2409">
        <f>SUMIFS('Income Statement Accounts'!R:R,'Income Statement Accounts'!B:B,'Other Operating Revenue'!C18)</f>
        <v>118.96596000000004</v>
      </c>
      <c r="I18" s="30">
        <v>456.1</v>
      </c>
      <c r="K18" s="2062">
        <f t="shared" si="0"/>
        <v>0</v>
      </c>
      <c r="L18" s="2410">
        <v>-7843.0309999999999</v>
      </c>
      <c r="M18" s="2062"/>
    </row>
    <row r="19" spans="2:13">
      <c r="B19" s="33" t="s">
        <v>1441</v>
      </c>
      <c r="C19" s="33">
        <v>4540040</v>
      </c>
      <c r="D19" s="33" t="s">
        <v>2060</v>
      </c>
      <c r="E19" t="s">
        <v>834</v>
      </c>
      <c r="F19" s="2409">
        <f>SUMIFS('Income Statement Accounts'!R:R,'Income Statement Accounts'!B:B,'Other Operating Revenue'!C19)</f>
        <v>312.20800000000003</v>
      </c>
      <c r="I19" s="98" t="s">
        <v>2111</v>
      </c>
      <c r="K19" s="2070">
        <f>SUM(K13:K18)</f>
        <v>75360.24862960841</v>
      </c>
      <c r="M19" s="2062"/>
    </row>
    <row r="20" spans="2:13">
      <c r="B20" s="33" t="s">
        <v>1441</v>
      </c>
      <c r="C20" s="33">
        <v>4540050</v>
      </c>
      <c r="D20" s="33" t="s">
        <v>2060</v>
      </c>
      <c r="E20" s="291" t="s">
        <v>2061</v>
      </c>
      <c r="F20" s="2409">
        <f>SUMIFS('Income Statement Accounts'!R:R,'Income Statement Accounts'!B:B,'Other Operating Revenue'!C20)</f>
        <v>0</v>
      </c>
      <c r="I20" s="98" t="s">
        <v>2112</v>
      </c>
      <c r="K20" s="2070">
        <f>-E3</f>
        <v>70.100000000003888</v>
      </c>
      <c r="M20" s="2062"/>
    </row>
    <row r="21" spans="2:13" ht="15" thickBot="1">
      <c r="B21" s="33" t="s">
        <v>1762</v>
      </c>
      <c r="C21" s="33">
        <v>4540080</v>
      </c>
      <c r="D21" s="33" t="s">
        <v>2060</v>
      </c>
      <c r="E21" t="s">
        <v>835</v>
      </c>
      <c r="F21" s="2409">
        <f>SUMIFS('Income Statement Accounts'!R:R,'Income Statement Accounts'!B:B,'Other Operating Revenue'!C21)</f>
        <v>0</v>
      </c>
      <c r="I21" s="2411" t="s">
        <v>2113</v>
      </c>
      <c r="J21" s="946"/>
      <c r="K21" s="2072">
        <f>K19+K20</f>
        <v>75430.348629608416</v>
      </c>
      <c r="L21" s="946"/>
      <c r="M21" s="2412"/>
    </row>
    <row r="22" spans="2:13">
      <c r="B22" s="33" t="s">
        <v>1762</v>
      </c>
      <c r="C22" s="33">
        <v>4540081</v>
      </c>
      <c r="D22" s="33" t="s">
        <v>2060</v>
      </c>
      <c r="E22" t="s">
        <v>837</v>
      </c>
      <c r="F22" s="2409">
        <f>SUMIFS('Income Statement Accounts'!R:R,'Income Statement Accounts'!B:B,'Other Operating Revenue'!C22)</f>
        <v>4826.3324455000002</v>
      </c>
      <c r="K22" s="162"/>
    </row>
    <row r="23" spans="2:13">
      <c r="B23" s="33" t="s">
        <v>1762</v>
      </c>
      <c r="C23" s="33">
        <v>4540700</v>
      </c>
      <c r="D23" s="33" t="s">
        <v>2060</v>
      </c>
      <c r="E23" t="s">
        <v>839</v>
      </c>
      <c r="F23" s="2409">
        <f>SUMIFS('Income Statement Accounts'!R:R,'Income Statement Accounts'!B:B,'Other Operating Revenue'!C23)</f>
        <v>692.86967000039976</v>
      </c>
      <c r="I23" s="2413">
        <v>456</v>
      </c>
      <c r="J23" s="294"/>
      <c r="K23" s="2414">
        <f>K17</f>
        <v>11464.774498524395</v>
      </c>
    </row>
    <row r="24" spans="2:13">
      <c r="B24" s="33" t="s">
        <v>1762</v>
      </c>
      <c r="C24" s="33">
        <v>4540701</v>
      </c>
      <c r="D24" s="33" t="s">
        <v>2060</v>
      </c>
      <c r="E24" t="s">
        <v>841</v>
      </c>
      <c r="F24" s="2409">
        <f>SUMIFS('Income Statement Accounts'!R:R,'Income Statement Accounts'!B:B,'Other Operating Revenue'!C24)</f>
        <v>5641.3509043868007</v>
      </c>
      <c r="I24" s="2415" t="s">
        <v>2114</v>
      </c>
      <c r="K24" s="2416">
        <f>-E3</f>
        <v>70.100000000003888</v>
      </c>
    </row>
    <row r="25" spans="2:13">
      <c r="B25" s="33" t="s">
        <v>1762</v>
      </c>
      <c r="C25" s="33">
        <v>4540800</v>
      </c>
      <c r="D25" s="33" t="s">
        <v>2060</v>
      </c>
      <c r="E25" t="s">
        <v>843</v>
      </c>
      <c r="F25" s="2409">
        <f>SUMIFS('Income Statement Accounts'!R:R,'Income Statement Accounts'!B:B,'Other Operating Revenue'!C25)</f>
        <v>2721.9999999995998</v>
      </c>
      <c r="I25" s="2415" t="s">
        <v>2115</v>
      </c>
      <c r="K25" s="295">
        <f>K23+K24</f>
        <v>11534.874498524399</v>
      </c>
    </row>
    <row r="26" spans="2:13">
      <c r="B26" s="33" t="s">
        <v>2062</v>
      </c>
      <c r="C26" s="33">
        <v>4550000</v>
      </c>
      <c r="D26" s="33" t="s">
        <v>2063</v>
      </c>
      <c r="E26" s="258" t="s">
        <v>845</v>
      </c>
      <c r="F26" s="2409">
        <f>SUMIFS('Income Statement Accounts'!R:R,'Income Statement Accounts'!B:B,'Other Operating Revenue'!C26)</f>
        <v>0</v>
      </c>
      <c r="I26" s="2415"/>
      <c r="K26" s="296"/>
    </row>
    <row r="27" spans="2:13">
      <c r="B27" s="33" t="s">
        <v>2062</v>
      </c>
      <c r="C27" s="33">
        <v>4550001</v>
      </c>
      <c r="D27" s="33" t="s">
        <v>2063</v>
      </c>
      <c r="E27" t="s">
        <v>847</v>
      </c>
      <c r="F27" s="2409">
        <f>SUMIFS('Income Statement Accounts'!R:R,'Income Statement Accounts'!B:B,'Other Operating Revenue'!C27)</f>
        <v>0</v>
      </c>
      <c r="I27" s="2417"/>
      <c r="J27" s="297"/>
      <c r="K27" s="298"/>
    </row>
    <row r="28" spans="2:13">
      <c r="B28" s="33" t="s">
        <v>2064</v>
      </c>
      <c r="C28" s="33">
        <v>4560020</v>
      </c>
      <c r="D28" s="33" t="s">
        <v>2065</v>
      </c>
      <c r="E28" s="293" t="s">
        <v>2066</v>
      </c>
      <c r="F28" s="2409">
        <f>SUMIFS('Income Statement Accounts'!R:R,'Income Statement Accounts'!B:B,'Other Operating Revenue'!C28)</f>
        <v>2600</v>
      </c>
    </row>
    <row r="29" spans="2:13">
      <c r="B29" s="33" t="s">
        <v>2067</v>
      </c>
      <c r="C29" s="33">
        <v>4560025</v>
      </c>
      <c r="D29" s="33" t="s">
        <v>2065</v>
      </c>
      <c r="E29" s="258" t="s">
        <v>2068</v>
      </c>
      <c r="F29" s="2409">
        <f>SUMIFS('Income Statement Accounts'!R:R,'Income Statement Accounts'!B:B,'Other Operating Revenue'!C29)</f>
        <v>0</v>
      </c>
    </row>
    <row r="30" spans="2:13">
      <c r="B30" s="33" t="s">
        <v>2069</v>
      </c>
      <c r="C30" s="33">
        <v>4560030</v>
      </c>
      <c r="D30" s="33" t="s">
        <v>2065</v>
      </c>
      <c r="E30" s="258" t="s">
        <v>2070</v>
      </c>
      <c r="F30" s="2409">
        <f>SUMIFS('Income Statement Accounts'!R:R,'Income Statement Accounts'!B:B,'Other Operating Revenue'!C30)</f>
        <v>107</v>
      </c>
    </row>
    <row r="31" spans="2:13">
      <c r="B31" s="33" t="s">
        <v>1532</v>
      </c>
      <c r="C31" s="33">
        <v>4560040</v>
      </c>
      <c r="D31" s="33" t="s">
        <v>2065</v>
      </c>
      <c r="E31" s="258" t="s">
        <v>2071</v>
      </c>
      <c r="F31" s="2409">
        <f>SUMIFS('Income Statement Accounts'!R:R,'Income Statement Accounts'!B:B,'Other Operating Revenue'!C31)</f>
        <v>0</v>
      </c>
    </row>
    <row r="32" spans="2:13">
      <c r="B32" s="33" t="s">
        <v>1532</v>
      </c>
      <c r="C32" s="33">
        <v>4560045</v>
      </c>
      <c r="D32" s="33" t="s">
        <v>2065</v>
      </c>
      <c r="E32" s="258" t="s">
        <v>2072</v>
      </c>
      <c r="F32" s="2409">
        <f>SUMIFS('Income Statement Accounts'!R:R,'Income Statement Accounts'!B:B,'Other Operating Revenue'!C32)</f>
        <v>0</v>
      </c>
    </row>
    <row r="33" spans="2:7">
      <c r="B33" s="33" t="s">
        <v>2064</v>
      </c>
      <c r="C33" s="33">
        <v>4560050</v>
      </c>
      <c r="D33" s="33" t="s">
        <v>2065</v>
      </c>
      <c r="E33" s="258" t="s">
        <v>2073</v>
      </c>
      <c r="F33" s="2409">
        <f>SUMIFS('Income Statement Accounts'!R:R,'Income Statement Accounts'!B:B,'Other Operating Revenue'!C33)</f>
        <v>0</v>
      </c>
    </row>
    <row r="34" spans="2:7">
      <c r="B34" s="33" t="s">
        <v>1532</v>
      </c>
      <c r="C34" s="33">
        <v>4560060</v>
      </c>
      <c r="D34" s="33" t="s">
        <v>2065</v>
      </c>
      <c r="E34" s="258" t="s">
        <v>2074</v>
      </c>
      <c r="F34" s="2409">
        <f>SUMIFS('Income Statement Accounts'!R:R,'Income Statement Accounts'!B:B,'Other Operating Revenue'!C34)</f>
        <v>0</v>
      </c>
    </row>
    <row r="35" spans="2:7">
      <c r="B35" s="33" t="s">
        <v>2064</v>
      </c>
      <c r="C35" s="33">
        <v>4560080</v>
      </c>
      <c r="D35" s="33" t="s">
        <v>2065</v>
      </c>
      <c r="E35" s="293" t="s">
        <v>2075</v>
      </c>
      <c r="F35" s="2409">
        <f>SUMIFS('Income Statement Accounts'!R:R,'Income Statement Accounts'!B:B,'Other Operating Revenue'!C35)</f>
        <v>121.19999999999997</v>
      </c>
    </row>
    <row r="36" spans="2:7">
      <c r="B36" s="33" t="s">
        <v>1762</v>
      </c>
      <c r="C36" s="33">
        <v>4560081</v>
      </c>
      <c r="D36" s="33" t="s">
        <v>2065</v>
      </c>
      <c r="E36" s="293" t="s">
        <v>2076</v>
      </c>
      <c r="F36" s="2409">
        <f>SUMIFS('Income Statement Accounts'!R:R,'Income Statement Accounts'!B:B,'Other Operating Revenue'!C36)</f>
        <v>0</v>
      </c>
      <c r="G36" s="96" t="s">
        <v>2077</v>
      </c>
    </row>
    <row r="37" spans="2:7">
      <c r="B37" s="33" t="s">
        <v>1532</v>
      </c>
      <c r="C37" s="33">
        <v>4560110</v>
      </c>
      <c r="D37" s="33" t="s">
        <v>2065</v>
      </c>
      <c r="E37" s="258" t="s">
        <v>2078</v>
      </c>
      <c r="F37" s="2409">
        <f>SUMIFS('Income Statement Accounts'!R:R,'Income Statement Accounts'!B:B,'Other Operating Revenue'!C37)</f>
        <v>0</v>
      </c>
    </row>
    <row r="38" spans="2:7">
      <c r="B38" s="33" t="s">
        <v>1532</v>
      </c>
      <c r="C38" s="290">
        <v>4560120</v>
      </c>
      <c r="D38" s="290" t="s">
        <v>2065</v>
      </c>
      <c r="E38" s="293" t="s">
        <v>2079</v>
      </c>
      <c r="F38" s="2409">
        <f>SUMIFS('Income Statement Accounts'!R:R,'Income Statement Accounts'!B:B,'Other Operating Revenue'!C38)</f>
        <v>183.77052610679999</v>
      </c>
    </row>
    <row r="39" spans="2:7">
      <c r="B39" s="33" t="s">
        <v>1532</v>
      </c>
      <c r="C39" s="290">
        <v>4560140</v>
      </c>
      <c r="D39" s="290" t="s">
        <v>2065</v>
      </c>
      <c r="E39" s="293" t="s">
        <v>2080</v>
      </c>
      <c r="F39" s="2409">
        <f>SUMIFS('Income Statement Accounts'!R:R,'Income Statement Accounts'!B:B,'Other Operating Revenue'!C39)</f>
        <v>0</v>
      </c>
    </row>
    <row r="40" spans="2:7">
      <c r="B40" s="290" t="s">
        <v>1532</v>
      </c>
      <c r="C40" s="292">
        <v>4560150</v>
      </c>
      <c r="D40" s="292" t="s">
        <v>2065</v>
      </c>
      <c r="E40" s="293" t="s">
        <v>2081</v>
      </c>
      <c r="F40" s="2409">
        <f>SUMIFS('Income Statement Accounts'!R:R,'Income Statement Accounts'!B:B,'Other Operating Revenue'!C40)</f>
        <v>0</v>
      </c>
    </row>
    <row r="41" spans="2:7">
      <c r="B41" s="33" t="s">
        <v>1532</v>
      </c>
      <c r="C41" s="292">
        <v>4560160</v>
      </c>
      <c r="D41" s="292" t="s">
        <v>2065</v>
      </c>
      <c r="E41" s="293" t="s">
        <v>2082</v>
      </c>
      <c r="F41" s="2409">
        <f>SUMIFS('Income Statement Accounts'!R:R,'Income Statement Accounts'!B:B,'Other Operating Revenue'!C41)</f>
        <v>0</v>
      </c>
    </row>
    <row r="42" spans="2:7">
      <c r="B42" s="33" t="s">
        <v>1532</v>
      </c>
      <c r="C42" s="33">
        <v>4560180</v>
      </c>
      <c r="D42" s="33">
        <v>456</v>
      </c>
      <c r="E42" t="s">
        <v>2054</v>
      </c>
      <c r="F42" s="2409">
        <f>SUMIFS('Income Statement Accounts'!R:R,'Income Statement Accounts'!B:B,'Other Operating Revenue'!C42)</f>
        <v>0</v>
      </c>
      <c r="G42" s="96" t="s">
        <v>2083</v>
      </c>
    </row>
    <row r="43" spans="2:7">
      <c r="B43" s="33" t="s">
        <v>2064</v>
      </c>
      <c r="C43" s="290">
        <v>4560200</v>
      </c>
      <c r="D43" s="290" t="s">
        <v>2065</v>
      </c>
      <c r="E43" s="293" t="s">
        <v>2084</v>
      </c>
      <c r="F43" s="2409">
        <f>SUMIFS('Income Statement Accounts'!R:R,'Income Statement Accounts'!B:B,'Other Operating Revenue'!C43)</f>
        <v>7719.689461538399</v>
      </c>
    </row>
    <row r="44" spans="2:7">
      <c r="B44" s="290" t="s">
        <v>2064</v>
      </c>
      <c r="C44" s="292">
        <v>4560210</v>
      </c>
      <c r="D44" s="292" t="s">
        <v>2065</v>
      </c>
      <c r="E44" s="293" t="s">
        <v>2084</v>
      </c>
      <c r="F44" s="2409">
        <f>SUMIFS('Income Statement Accounts'!R:R,'Income Statement Accounts'!B:B,'Other Operating Revenue'!C44)</f>
        <v>209.34112087919996</v>
      </c>
    </row>
    <row r="45" spans="2:7">
      <c r="B45" s="290" t="s">
        <v>2064</v>
      </c>
      <c r="C45" s="292">
        <v>4560220</v>
      </c>
      <c r="D45" s="292" t="s">
        <v>2065</v>
      </c>
      <c r="E45" s="293" t="s">
        <v>2084</v>
      </c>
      <c r="F45" s="2409">
        <f>SUMIFS('Income Statement Accounts'!R:R,'Income Statement Accounts'!B:B,'Other Operating Revenue'!C45)</f>
        <v>0</v>
      </c>
    </row>
    <row r="46" spans="2:7">
      <c r="B46" s="290" t="s">
        <v>2067</v>
      </c>
      <c r="C46" s="292">
        <v>4560230</v>
      </c>
      <c r="D46" s="292" t="s">
        <v>2065</v>
      </c>
      <c r="E46" s="293" t="s">
        <v>2085</v>
      </c>
      <c r="F46" s="2409">
        <f>SUMIFS('Income Statement Accounts'!R:R,'Income Statement Accounts'!B:B,'Other Operating Revenue'!C46)</f>
        <v>0</v>
      </c>
    </row>
    <row r="47" spans="2:7">
      <c r="B47" s="290" t="s">
        <v>2064</v>
      </c>
      <c r="C47" s="292">
        <v>4560300</v>
      </c>
      <c r="D47" s="292" t="s">
        <v>2065</v>
      </c>
      <c r="E47" s="293" t="s">
        <v>2086</v>
      </c>
      <c r="F47" s="2409">
        <f>SUMIFS('Income Statement Accounts'!R:R,'Income Statement Accounts'!B:B,'Other Operating Revenue'!C47)</f>
        <v>0</v>
      </c>
    </row>
    <row r="48" spans="2:7">
      <c r="B48" s="290" t="s">
        <v>2064</v>
      </c>
      <c r="C48" s="292">
        <v>4560310</v>
      </c>
      <c r="D48" s="292" t="s">
        <v>2065</v>
      </c>
      <c r="E48" s="293" t="s">
        <v>2087</v>
      </c>
      <c r="F48" s="2409">
        <f>SUMIFS('Income Statement Accounts'!R:R,'Income Statement Accounts'!B:B,'Other Operating Revenue'!C48)</f>
        <v>0</v>
      </c>
    </row>
    <row r="49" spans="2:7">
      <c r="B49" s="33" t="s">
        <v>2067</v>
      </c>
      <c r="C49" s="290">
        <v>4560650</v>
      </c>
      <c r="D49" s="290" t="s">
        <v>2065</v>
      </c>
      <c r="E49" s="293" t="s">
        <v>2088</v>
      </c>
      <c r="F49" s="2409">
        <f>SUMIFS('Income Statement Accounts'!R:R,'Income Statement Accounts'!B:B,'Other Operating Revenue'!C49)</f>
        <v>0</v>
      </c>
    </row>
    <row r="50" spans="2:7">
      <c r="B50" s="33" t="s">
        <v>2067</v>
      </c>
      <c r="C50" s="290">
        <v>4560660</v>
      </c>
      <c r="D50" s="290" t="s">
        <v>2065</v>
      </c>
      <c r="E50" s="293" t="s">
        <v>872</v>
      </c>
      <c r="F50" s="2409">
        <f>SUMIFS('Income Statement Accounts'!R:R,'Income Statement Accounts'!B:B,'Other Operating Revenue'!C50)</f>
        <v>486.87339000000003</v>
      </c>
    </row>
    <row r="51" spans="2:7">
      <c r="B51" s="33" t="s">
        <v>2067</v>
      </c>
      <c r="C51" s="290">
        <v>4560661</v>
      </c>
      <c r="D51" s="290" t="s">
        <v>2065</v>
      </c>
      <c r="E51" s="293" t="s">
        <v>873</v>
      </c>
      <c r="F51" s="2409">
        <f>SUMIFS('Income Statement Accounts'!R:R,'Income Statement Accounts'!B:B,'Other Operating Revenue'!C51)</f>
        <v>0</v>
      </c>
    </row>
    <row r="52" spans="2:7">
      <c r="B52" s="33" t="s">
        <v>2067</v>
      </c>
      <c r="C52" s="290">
        <v>4560690</v>
      </c>
      <c r="D52" s="290" t="s">
        <v>2065</v>
      </c>
      <c r="E52" s="293" t="s">
        <v>2089</v>
      </c>
      <c r="F52" s="2409">
        <f>SUMIFS('Income Statement Accounts'!R:R,'Income Statement Accounts'!B:B,'Other Operating Revenue'!C52)</f>
        <v>0</v>
      </c>
    </row>
    <row r="53" spans="2:7">
      <c r="B53" s="33" t="s">
        <v>2067</v>
      </c>
      <c r="C53" s="290">
        <v>4560800</v>
      </c>
      <c r="D53" s="290" t="s">
        <v>2065</v>
      </c>
      <c r="E53" s="293" t="s">
        <v>2090</v>
      </c>
      <c r="F53" s="2409">
        <f>SUMIFS('Income Statement Accounts'!R:R,'Income Statement Accounts'!B:B,'Other Operating Revenue'!C53)</f>
        <v>7</v>
      </c>
    </row>
    <row r="54" spans="2:7">
      <c r="B54" s="290" t="s">
        <v>2091</v>
      </c>
      <c r="C54" s="292">
        <v>4560900</v>
      </c>
      <c r="D54" s="292" t="s">
        <v>2065</v>
      </c>
      <c r="E54" s="293" t="s">
        <v>2092</v>
      </c>
      <c r="F54" s="2409">
        <f>SUMIFS('Income Statement Accounts'!R:R,'Income Statement Accounts'!B:B,'Other Operating Revenue'!C54)</f>
        <v>-70.100000000003888</v>
      </c>
    </row>
    <row r="55" spans="2:7">
      <c r="B55" s="33" t="s">
        <v>1762</v>
      </c>
      <c r="C55" s="290" t="e">
        <v>#N/A</v>
      </c>
      <c r="D55" s="290" t="e">
        <v>#N/A</v>
      </c>
      <c r="E55" s="96" t="s">
        <v>2093</v>
      </c>
      <c r="F55" s="2409">
        <f>SUMIFS('Income Statement Accounts'!R:R,'Income Statement Accounts'!B:B,'Other Operating Revenue'!C55)</f>
        <v>0</v>
      </c>
    </row>
    <row r="56" spans="2:7">
      <c r="B56" s="33" t="s">
        <v>1441</v>
      </c>
      <c r="C56" s="290" t="e">
        <v>#N/A</v>
      </c>
      <c r="D56" s="290" t="e">
        <v>#N/A</v>
      </c>
      <c r="E56" s="96" t="s">
        <v>2094</v>
      </c>
      <c r="F56" s="2409">
        <f>SUMIFS('Income Statement Accounts'!R:R,'Income Statement Accounts'!B:B,'Other Operating Revenue'!C56)</f>
        <v>0</v>
      </c>
    </row>
    <row r="57" spans="2:7">
      <c r="B57" s="33" t="s">
        <v>2067</v>
      </c>
      <c r="C57" s="290" t="e">
        <v>#N/A</v>
      </c>
      <c r="D57" s="290" t="e">
        <v>#N/A</v>
      </c>
      <c r="E57" s="293" t="s">
        <v>2095</v>
      </c>
      <c r="F57" s="2409">
        <f>SUMIFS('Income Statement Accounts'!R:R,'Income Statement Accounts'!B:B,'Other Operating Revenue'!C57)</f>
        <v>0</v>
      </c>
    </row>
    <row r="58" spans="2:7">
      <c r="B58" s="33" t="s">
        <v>1532</v>
      </c>
      <c r="C58" s="290" t="e">
        <v>#N/A</v>
      </c>
      <c r="D58" s="290" t="e">
        <v>#N/A</v>
      </c>
      <c r="E58" s="293" t="s">
        <v>2096</v>
      </c>
      <c r="F58" s="2409">
        <f>SUMIFS('Income Statement Accounts'!R:R,'Income Statement Accounts'!B:B,'Other Operating Revenue'!C58)</f>
        <v>0</v>
      </c>
    </row>
    <row r="59" spans="2:7">
      <c r="B59" s="33" t="s">
        <v>1532</v>
      </c>
      <c r="C59" s="290" t="e">
        <v>#N/A</v>
      </c>
      <c r="D59" s="290" t="e">
        <v>#N/A</v>
      </c>
      <c r="E59" s="293" t="s">
        <v>2097</v>
      </c>
      <c r="F59" s="2409">
        <f>SUMIFS('Income Statement Accounts'!R:R,'Income Statement Accounts'!B:B,'Other Operating Revenue'!C59)</f>
        <v>0</v>
      </c>
    </row>
    <row r="60" spans="2:7">
      <c r="B60" s="33" t="s">
        <v>1532</v>
      </c>
      <c r="C60" s="290" t="e">
        <v>#N/A</v>
      </c>
      <c r="D60" s="290" t="e">
        <v>#N/A</v>
      </c>
      <c r="E60" s="293" t="s">
        <v>2098</v>
      </c>
      <c r="F60" s="2409">
        <f>SUMIFS('Income Statement Accounts'!R:R,'Income Statement Accounts'!B:B,'Other Operating Revenue'!C60)</f>
        <v>0</v>
      </c>
    </row>
    <row r="61" spans="2:7">
      <c r="B61" s="33" t="s">
        <v>1532</v>
      </c>
      <c r="C61" s="290" t="e">
        <v>#N/A</v>
      </c>
      <c r="D61" s="290" t="e">
        <v>#N/A</v>
      </c>
      <c r="E61" s="96" t="s">
        <v>2078</v>
      </c>
      <c r="F61" s="2409">
        <f>SUMIFS('Income Statement Accounts'!R:R,'Income Statement Accounts'!B:B,'Other Operating Revenue'!C61)</f>
        <v>0</v>
      </c>
    </row>
    <row r="62" spans="2:7">
      <c r="B62" s="33" t="s">
        <v>2067</v>
      </c>
      <c r="C62" s="290" t="e">
        <v>#N/A</v>
      </c>
      <c r="D62" s="290" t="e">
        <v>#N/A</v>
      </c>
      <c r="E62" s="293" t="s">
        <v>2099</v>
      </c>
      <c r="F62" s="2409">
        <f>SUMIFS('Income Statement Accounts'!R:R,'Income Statement Accounts'!B:B,'Other Operating Revenue'!C62)</f>
        <v>0</v>
      </c>
    </row>
    <row r="63" spans="2:7">
      <c r="B63" s="33" t="s">
        <v>1532</v>
      </c>
      <c r="C63" s="290" t="e">
        <v>#N/A</v>
      </c>
      <c r="D63" s="290" t="e">
        <v>#N/A</v>
      </c>
      <c r="E63" s="293" t="s">
        <v>2100</v>
      </c>
      <c r="F63" s="2409">
        <f>SUMIFS('Income Statement Accounts'!R:R,'Income Statement Accounts'!B:B,'Other Operating Revenue'!C63)</f>
        <v>0</v>
      </c>
    </row>
    <row r="64" spans="2:7">
      <c r="B64" s="33" t="s">
        <v>1532</v>
      </c>
      <c r="C64" s="290" t="e">
        <v>#N/A</v>
      </c>
      <c r="D64" s="290" t="e">
        <v>#N/A</v>
      </c>
      <c r="E64" s="293" t="s">
        <v>2101</v>
      </c>
      <c r="F64" s="2409">
        <f>SUMIFS('Income Statement Accounts'!R:R,'Income Statement Accounts'!B:B,'Other Operating Revenue'!C64)</f>
        <v>0</v>
      </c>
      <c r="G64" s="258"/>
    </row>
    <row r="65" spans="2:7">
      <c r="B65" s="33" t="s">
        <v>2064</v>
      </c>
      <c r="C65" s="290" t="e">
        <v>#N/A</v>
      </c>
      <c r="D65" s="290" t="e">
        <v>#N/A</v>
      </c>
      <c r="E65" s="293" t="s">
        <v>2087</v>
      </c>
      <c r="F65" s="2409">
        <f>SUMIFS('Income Statement Accounts'!R:R,'Income Statement Accounts'!B:B,'Other Operating Revenue'!C65)</f>
        <v>0</v>
      </c>
      <c r="G65" s="258"/>
    </row>
    <row r="66" spans="2:7">
      <c r="B66" s="33" t="s">
        <v>2064</v>
      </c>
      <c r="C66" s="290">
        <v>4560401</v>
      </c>
      <c r="D66" s="290" t="s">
        <v>2065</v>
      </c>
      <c r="E66" s="293" t="s">
        <v>2102</v>
      </c>
      <c r="F66" s="2409">
        <f>SUMIFS('Income Statement Accounts'!R:R,'Income Statement Accounts'!B:B,'Other Operating Revenue'!C66)</f>
        <v>0</v>
      </c>
      <c r="G66" s="258"/>
    </row>
    <row r="67" spans="2:7">
      <c r="B67" s="33" t="s">
        <v>2064</v>
      </c>
      <c r="C67" s="290">
        <v>4560411</v>
      </c>
      <c r="D67" s="290" t="s">
        <v>2065</v>
      </c>
      <c r="E67" s="293" t="s">
        <v>2103</v>
      </c>
      <c r="F67" s="2409">
        <f>SUMIFS('Income Statement Accounts'!R:R,'Income Statement Accounts'!B:B,'Other Operating Revenue'!C67)</f>
        <v>0</v>
      </c>
      <c r="G67" s="258"/>
    </row>
    <row r="68" spans="2:7">
      <c r="B68" s="33" t="s">
        <v>1532</v>
      </c>
      <c r="C68" s="290" t="e">
        <v>#N/A</v>
      </c>
      <c r="D68" s="290" t="e">
        <v>#N/A</v>
      </c>
      <c r="E68" s="293" t="s">
        <v>2097</v>
      </c>
      <c r="F68" s="2409">
        <f>SUMIFS('Income Statement Accounts'!R:R,'Income Statement Accounts'!B:B,'Other Operating Revenue'!C68)</f>
        <v>0</v>
      </c>
      <c r="G68" s="258"/>
    </row>
    <row r="69" spans="2:7">
      <c r="B69" s="33" t="s">
        <v>1532</v>
      </c>
      <c r="C69" s="292" t="e">
        <v>#N/A</v>
      </c>
      <c r="D69" s="292" t="e">
        <v>#N/A</v>
      </c>
      <c r="E69" s="293" t="s">
        <v>2097</v>
      </c>
      <c r="F69" s="2409">
        <f>SUMIFS('Income Statement Accounts'!R:R,'Income Statement Accounts'!B:B,'Other Operating Revenue'!C69)</f>
        <v>0</v>
      </c>
      <c r="G69" s="258"/>
    </row>
    <row r="70" spans="2:7">
      <c r="B70" s="33" t="s">
        <v>1532</v>
      </c>
      <c r="C70" s="290" t="e">
        <v>#N/A</v>
      </c>
      <c r="D70" s="290" t="e">
        <v>#N/A</v>
      </c>
      <c r="E70" s="293" t="s">
        <v>2097</v>
      </c>
      <c r="F70" s="2409">
        <f>SUMIFS('Income Statement Accounts'!R:R,'Income Statement Accounts'!B:B,'Other Operating Revenue'!C70)</f>
        <v>0</v>
      </c>
      <c r="G70" s="258"/>
    </row>
    <row r="71" spans="2:7">
      <c r="B71" s="290" t="s">
        <v>1532</v>
      </c>
      <c r="C71" s="292" t="e">
        <v>#N/A</v>
      </c>
      <c r="D71" s="292" t="e">
        <v>#N/A</v>
      </c>
      <c r="E71" s="293" t="s">
        <v>2097</v>
      </c>
      <c r="F71" s="2409">
        <f>SUMIFS('Income Statement Accounts'!R:R,'Income Statement Accounts'!B:B,'Other Operating Revenue'!C71)</f>
        <v>0</v>
      </c>
      <c r="G71" s="258"/>
    </row>
    <row r="72" spans="2:7">
      <c r="B72" s="290" t="s">
        <v>2064</v>
      </c>
      <c r="C72" s="292" t="e">
        <v>#N/A</v>
      </c>
      <c r="D72" s="292" t="e">
        <v>#N/A</v>
      </c>
      <c r="E72" s="293" t="s">
        <v>2104</v>
      </c>
      <c r="F72" s="2409">
        <f>SUMIFS('Income Statement Accounts'!R:R,'Income Statement Accounts'!B:B,'Other Operating Revenue'!C72)</f>
        <v>0</v>
      </c>
      <c r="G72" s="258"/>
    </row>
    <row r="73" spans="2:7">
      <c r="B73" s="290" t="s">
        <v>2064</v>
      </c>
      <c r="C73" s="292" t="e">
        <v>#N/A</v>
      </c>
      <c r="D73" s="292" t="e">
        <v>#N/A</v>
      </c>
      <c r="E73" s="293" t="s">
        <v>2105</v>
      </c>
      <c r="F73" s="2409">
        <f>SUMIFS('Income Statement Accounts'!R:R,'Income Statement Accounts'!B:B,'Other Operating Revenue'!C73)</f>
        <v>0</v>
      </c>
      <c r="G73" s="258"/>
    </row>
    <row r="74" spans="2:7">
      <c r="B74" s="33" t="s">
        <v>2064</v>
      </c>
      <c r="C74" s="292" t="e">
        <v>#N/A</v>
      </c>
      <c r="D74" s="292" t="e">
        <v>#N/A</v>
      </c>
      <c r="E74" s="293" t="s">
        <v>2106</v>
      </c>
      <c r="F74" s="2409">
        <f>SUMIFS('Income Statement Accounts'!R:R,'Income Statement Accounts'!B:B,'Other Operating Revenue'!C74)</f>
        <v>0</v>
      </c>
    </row>
    <row r="75" spans="2:7">
      <c r="B75" s="33" t="s">
        <v>2064</v>
      </c>
      <c r="C75" s="292">
        <v>4560501</v>
      </c>
      <c r="D75" s="292" t="s">
        <v>2065</v>
      </c>
      <c r="E75" s="293" t="s">
        <v>2107</v>
      </c>
      <c r="F75" s="2409">
        <f>SUMIFS('Income Statement Accounts'!R:R,'Income Statement Accounts'!B:B,'Other Operating Revenue'!C75)</f>
        <v>0</v>
      </c>
    </row>
    <row r="76" spans="2:7">
      <c r="B76" s="33" t="s">
        <v>2064</v>
      </c>
      <c r="C76" s="292">
        <v>4560511</v>
      </c>
      <c r="D76" s="292" t="s">
        <v>2065</v>
      </c>
      <c r="E76" s="293" t="s">
        <v>2108</v>
      </c>
      <c r="F76" s="2409">
        <f>SUMIFS('Income Statement Accounts'!R:R,'Income Statement Accounts'!B:B,'Other Operating Revenue'!C76)</f>
        <v>0</v>
      </c>
    </row>
    <row r="77" spans="2:7">
      <c r="B77" s="33" t="s">
        <v>2069</v>
      </c>
      <c r="C77" s="292">
        <v>4073212</v>
      </c>
      <c r="D77" s="292">
        <v>407</v>
      </c>
      <c r="E77" s="293"/>
      <c r="F77" s="2409">
        <f>-SUMIFS('Income Statement Accounts'!R:R,'Income Statement Accounts'!B:B,'Other Operating Revenue'!C77)</f>
        <v>5522.7086771976019</v>
      </c>
    </row>
    <row r="78" spans="2:7">
      <c r="B78" s="33"/>
      <c r="C78" s="292">
        <v>4560190</v>
      </c>
      <c r="D78" s="292" t="s">
        <v>2065</v>
      </c>
      <c r="E78" s="293" t="s">
        <v>8669</v>
      </c>
      <c r="F78" s="2409">
        <f>SUMIFS('Income Statement Accounts'!R:R,'Income Statement Accounts'!B:B,'Other Operating Revenue'!C78)</f>
        <v>100.00000000000003</v>
      </c>
    </row>
    <row r="79" spans="2:7" ht="15" thickBot="1">
      <c r="D79" s="292" t="str">
        <f t="shared" ref="D79:D86" si="1">+LEFT(C79,3)</f>
        <v/>
      </c>
      <c r="E79" s="2418" t="s">
        <v>2109</v>
      </c>
      <c r="F79" s="2419">
        <f>SUM(F13:F78)</f>
        <v>75360.248629608381</v>
      </c>
    </row>
    <row r="80" spans="2:7" ht="15" thickTop="1">
      <c r="D80" s="292" t="str">
        <f t="shared" si="1"/>
        <v/>
      </c>
    </row>
    <row r="81" spans="4:10">
      <c r="D81" s="292" t="str">
        <f t="shared" si="1"/>
        <v/>
      </c>
    </row>
    <row r="82" spans="4:10">
      <c r="D82" s="292" t="str">
        <f t="shared" si="1"/>
        <v/>
      </c>
    </row>
    <row r="83" spans="4:10">
      <c r="D83" s="292" t="str">
        <f t="shared" si="1"/>
        <v/>
      </c>
    </row>
    <row r="84" spans="4:10">
      <c r="D84" s="292" t="str">
        <f t="shared" si="1"/>
        <v/>
      </c>
    </row>
    <row r="85" spans="4:10">
      <c r="D85" s="292" t="str">
        <f t="shared" si="1"/>
        <v/>
      </c>
    </row>
    <row r="86" spans="4:10">
      <c r="D86" s="292" t="str">
        <f t="shared" si="1"/>
        <v/>
      </c>
    </row>
    <row r="88" spans="4:10">
      <c r="H88" t="s">
        <v>848</v>
      </c>
      <c r="I88">
        <v>4560020</v>
      </c>
      <c r="J88" t="e">
        <f t="shared" ref="J88:J105" si="2">+MATCH(I88,$C$29:$C$54)</f>
        <v>#N/A</v>
      </c>
    </row>
    <row r="89" spans="4:10">
      <c r="H89" t="s">
        <v>850</v>
      </c>
      <c r="I89">
        <v>4560030</v>
      </c>
      <c r="J89">
        <f t="shared" si="2"/>
        <v>2</v>
      </c>
    </row>
    <row r="90" spans="4:10">
      <c r="H90" t="s">
        <v>8500</v>
      </c>
      <c r="I90">
        <v>4560050</v>
      </c>
      <c r="J90">
        <f t="shared" si="2"/>
        <v>5</v>
      </c>
    </row>
    <row r="91" spans="4:10">
      <c r="H91" t="s">
        <v>852</v>
      </c>
      <c r="I91">
        <v>4560080</v>
      </c>
      <c r="J91">
        <f t="shared" si="2"/>
        <v>7</v>
      </c>
    </row>
    <row r="92" spans="4:10">
      <c r="H92" t="s">
        <v>854</v>
      </c>
      <c r="I92">
        <v>4560110</v>
      </c>
      <c r="J92">
        <f t="shared" si="2"/>
        <v>9</v>
      </c>
    </row>
    <row r="93" spans="4:10">
      <c r="H93" t="s">
        <v>856</v>
      </c>
      <c r="I93">
        <v>4560120</v>
      </c>
      <c r="J93">
        <f t="shared" si="2"/>
        <v>10</v>
      </c>
    </row>
    <row r="94" spans="4:10">
      <c r="H94" t="s">
        <v>858</v>
      </c>
      <c r="I94">
        <v>4560180</v>
      </c>
      <c r="J94">
        <f t="shared" si="2"/>
        <v>14</v>
      </c>
    </row>
    <row r="95" spans="4:10">
      <c r="H95" t="s">
        <v>7334</v>
      </c>
      <c r="I95">
        <v>4560190</v>
      </c>
      <c r="J95">
        <f t="shared" si="2"/>
        <v>14</v>
      </c>
    </row>
    <row r="96" spans="4:10">
      <c r="H96" t="s">
        <v>859</v>
      </c>
      <c r="I96">
        <v>4560200</v>
      </c>
      <c r="J96">
        <f t="shared" si="2"/>
        <v>15</v>
      </c>
    </row>
    <row r="97" spans="8:10">
      <c r="H97" t="s">
        <v>861</v>
      </c>
      <c r="I97">
        <v>4560210</v>
      </c>
      <c r="J97">
        <f t="shared" si="2"/>
        <v>16</v>
      </c>
    </row>
    <row r="98" spans="8:10">
      <c r="H98" t="s">
        <v>8501</v>
      </c>
      <c r="I98">
        <v>4560230</v>
      </c>
      <c r="J98">
        <f t="shared" si="2"/>
        <v>18</v>
      </c>
    </row>
    <row r="99" spans="8:10">
      <c r="H99" t="s">
        <v>863</v>
      </c>
      <c r="I99">
        <v>4560401</v>
      </c>
      <c r="J99">
        <f t="shared" si="2"/>
        <v>20</v>
      </c>
    </row>
    <row r="100" spans="8:10">
      <c r="H100" t="s">
        <v>865</v>
      </c>
      <c r="I100">
        <v>4560411</v>
      </c>
      <c r="J100">
        <f t="shared" si="2"/>
        <v>20</v>
      </c>
    </row>
    <row r="101" spans="8:10">
      <c r="H101" t="s">
        <v>867</v>
      </c>
      <c r="I101">
        <v>4560501</v>
      </c>
      <c r="J101">
        <f t="shared" si="2"/>
        <v>20</v>
      </c>
    </row>
    <row r="102" spans="8:10">
      <c r="H102" t="s">
        <v>869</v>
      </c>
      <c r="I102">
        <v>4560511</v>
      </c>
      <c r="J102">
        <f t="shared" si="2"/>
        <v>20</v>
      </c>
    </row>
    <row r="103" spans="8:10">
      <c r="H103" t="s">
        <v>871</v>
      </c>
      <c r="I103">
        <v>4560660</v>
      </c>
      <c r="J103">
        <f t="shared" si="2"/>
        <v>22</v>
      </c>
    </row>
    <row r="104" spans="8:10">
      <c r="H104" t="s">
        <v>874</v>
      </c>
      <c r="I104">
        <v>4560800</v>
      </c>
      <c r="J104">
        <f t="shared" si="2"/>
        <v>25</v>
      </c>
    </row>
    <row r="105" spans="8:10">
      <c r="H105" t="s">
        <v>876</v>
      </c>
      <c r="I105">
        <v>4560900</v>
      </c>
      <c r="J105">
        <f t="shared" si="2"/>
        <v>26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B2:J33"/>
  <sheetViews>
    <sheetView tabSelected="1" showOutlineSymbols="0" workbookViewId="0"/>
  </sheetViews>
  <sheetFormatPr defaultRowHeight="14.4"/>
  <cols>
    <col min="2" max="2" width="11.33203125" style="33" bestFit="1" customWidth="1"/>
    <col min="3" max="3" width="23" bestFit="1" customWidth="1"/>
    <col min="4" max="4" width="23.6640625" bestFit="1" customWidth="1"/>
    <col min="5" max="5" width="13.44140625" bestFit="1" customWidth="1"/>
    <col min="7" max="7" width="27.5546875" bestFit="1" customWidth="1"/>
    <col min="8" max="8" width="17.44140625" bestFit="1" customWidth="1"/>
    <col min="9" max="9" width="24.33203125" bestFit="1" customWidth="1"/>
    <col min="10" max="10" width="23.88671875" bestFit="1" customWidth="1"/>
  </cols>
  <sheetData>
    <row r="2" spans="2:10" ht="15" thickBot="1"/>
    <row r="3" spans="2:10" ht="18.600000000000001" thickBot="1">
      <c r="B3" s="3104" t="s">
        <v>1829</v>
      </c>
      <c r="C3" s="3105"/>
      <c r="D3" s="3105"/>
      <c r="E3" s="3106"/>
      <c r="G3" s="2420" t="s">
        <v>610</v>
      </c>
      <c r="H3" s="72"/>
      <c r="I3" s="72"/>
      <c r="J3" s="2421"/>
    </row>
    <row r="4" spans="2:10" ht="15" thickBot="1">
      <c r="B4" s="2422" t="s">
        <v>1543</v>
      </c>
      <c r="C4" s="2423" t="s">
        <v>35</v>
      </c>
      <c r="D4" s="2424" t="s">
        <v>1838</v>
      </c>
      <c r="E4" s="2425" t="s">
        <v>1839</v>
      </c>
      <c r="G4" s="2426" t="s">
        <v>1543</v>
      </c>
      <c r="H4" s="2427" t="s">
        <v>35</v>
      </c>
      <c r="I4" s="2428" t="s">
        <v>611</v>
      </c>
      <c r="J4" s="2429"/>
    </row>
    <row r="5" spans="2:10">
      <c r="B5" s="2101">
        <v>31040</v>
      </c>
      <c r="C5" s="36" t="s">
        <v>1830</v>
      </c>
      <c r="D5" s="68">
        <f>+SUMIFS('300s Plant Balances Input'!J:J,'300s Plant Balances Input'!D:D,'Generation Land'!B5)</f>
        <v>6923628.5099999998</v>
      </c>
      <c r="E5" s="69">
        <f>+SUMIFS('300s Plant Balances Input'!K:K,'300s Plant Balances Input'!D:D,'Generation Land'!B5)</f>
        <v>6923628.5099999998</v>
      </c>
      <c r="G5" s="59" t="s">
        <v>1855</v>
      </c>
      <c r="H5" t="s">
        <v>1851</v>
      </c>
      <c r="I5" s="64">
        <f>+SUM(E5:E11)</f>
        <v>202058930.99000001</v>
      </c>
      <c r="J5" s="2062"/>
    </row>
    <row r="6" spans="2:10">
      <c r="B6" s="2101">
        <v>34030</v>
      </c>
      <c r="C6" s="36" t="s">
        <v>1831</v>
      </c>
      <c r="D6" s="68">
        <f>+SUMIFS('300s Plant Balances Input'!J:J,'300s Plant Balances Input'!D:D,'Generation Land'!B6)</f>
        <v>1592891.05</v>
      </c>
      <c r="E6" s="69">
        <f>+SUMIFS('300s Plant Balances Input'!K:K,'300s Plant Balances Input'!D:D,'Generation Land'!B6)</f>
        <v>1592891.05</v>
      </c>
      <c r="G6" s="59">
        <v>35000</v>
      </c>
      <c r="H6" t="s">
        <v>1852</v>
      </c>
      <c r="I6" s="64">
        <f>+SUMIFS('300s Plant Balances Input'!K:K,'300s Plant Balances Input'!D:D,'Generation Land'!G6)</f>
        <v>17799998.559999999</v>
      </c>
      <c r="J6" s="2062"/>
    </row>
    <row r="7" spans="2:10">
      <c r="B7" s="2101">
        <v>34081</v>
      </c>
      <c r="C7" s="36" t="s">
        <v>1832</v>
      </c>
      <c r="D7" s="68">
        <f>+SUMIFS('300s Plant Balances Input'!J:J,'300s Plant Balances Input'!D:D,'Generation Land'!B7)</f>
        <v>18197341.469999999</v>
      </c>
      <c r="E7" s="69">
        <f>+SUMIFS('300s Plant Balances Input'!K:K,'300s Plant Balances Input'!D:D,'Generation Land'!B7)</f>
        <v>18197341.469999999</v>
      </c>
      <c r="G7" s="59">
        <v>36000</v>
      </c>
      <c r="H7" t="s">
        <v>1853</v>
      </c>
      <c r="I7" s="64">
        <f>+SUMIFS('300s Plant Balances Input'!K:K,'300s Plant Balances Input'!D:D,'Generation Land'!G7)</f>
        <v>10119782.539999999</v>
      </c>
      <c r="J7" s="2062"/>
    </row>
    <row r="8" spans="2:10" ht="15" thickBot="1">
      <c r="B8" s="2101">
        <v>34099</v>
      </c>
      <c r="C8" s="36" t="s">
        <v>1833</v>
      </c>
      <c r="D8" s="68">
        <f>+SUMIFS('300s Plant Balances Input'!J:J,'300s Plant Balances Input'!D:D,'Generation Land'!B8)</f>
        <v>189525494.19999999</v>
      </c>
      <c r="E8" s="69">
        <f>+SUMIFS('300s Plant Balances Input'!K:K,'300s Plant Balances Input'!D:D,'Generation Land'!B8)</f>
        <v>175345069.96000001</v>
      </c>
      <c r="G8" s="2430">
        <v>38900</v>
      </c>
      <c r="H8" s="32" t="s">
        <v>1854</v>
      </c>
      <c r="I8" s="2431">
        <f>+SUMIFS('300s Plant Balances Input'!K:K,'300s Plant Balances Input'!D:D,'Generation Land'!G8)</f>
        <v>16600915.82</v>
      </c>
      <c r="J8" s="2429"/>
    </row>
    <row r="9" spans="2:10">
      <c r="B9" s="2101">
        <v>34028</v>
      </c>
      <c r="C9" s="36" t="s">
        <v>1834</v>
      </c>
      <c r="D9" s="68">
        <f>+SUMIFS('300s Plant Balances Input'!J:J,'300s Plant Balances Input'!D:D,'Generation Land'!B9)</f>
        <v>0</v>
      </c>
      <c r="E9" s="69">
        <f>+SUMIFS('300s Plant Balances Input'!K:K,'300s Plant Balances Input'!D:D,'Generation Land'!B9)</f>
        <v>0</v>
      </c>
      <c r="G9" s="30"/>
      <c r="J9" s="2062"/>
    </row>
    <row r="10" spans="2:10" ht="15" thickBot="1">
      <c r="B10" s="2101" t="s">
        <v>1835</v>
      </c>
      <c r="C10" s="36" t="s">
        <v>1836</v>
      </c>
      <c r="D10" s="68">
        <f>+SUMIFS('300s Plant Balances Input'!J:J,'300s Plant Balances Input'!D:D,'Generation Land'!B10)</f>
        <v>0</v>
      </c>
      <c r="E10" s="69">
        <f>+SUMIFS('300s Plant Balances Input'!K:K,'300s Plant Balances Input'!D:D,'Generation Land'!B10)</f>
        <v>0</v>
      </c>
      <c r="G10" s="30"/>
      <c r="J10" s="2062"/>
    </row>
    <row r="11" spans="2:10" ht="15" thickBot="1">
      <c r="B11" s="2104">
        <v>31001</v>
      </c>
      <c r="C11" s="37" t="s">
        <v>1837</v>
      </c>
      <c r="D11" s="70">
        <f>+SUMIFS('300s Plant Balances Input'!J:J,'300s Plant Balances Input'!D:D,'Generation Land'!B11)</f>
        <v>0</v>
      </c>
      <c r="E11" s="71">
        <f>+SUMIFS('300s Plant Balances Input'!K:K,'300s Plant Balances Input'!D:D,'Generation Land'!B11)</f>
        <v>0</v>
      </c>
      <c r="G11" s="73" t="s">
        <v>35</v>
      </c>
      <c r="H11" s="74" t="s">
        <v>1850</v>
      </c>
      <c r="I11" s="74" t="s">
        <v>1848</v>
      </c>
      <c r="J11" s="2432" t="s">
        <v>1849</v>
      </c>
    </row>
    <row r="12" spans="2:10">
      <c r="G12" s="30" t="s">
        <v>1842</v>
      </c>
      <c r="H12" t="s">
        <v>1441</v>
      </c>
      <c r="I12" s="64">
        <f>+SUMIFS('300s Plant Balances Input'!K:K,'300s Plant Balances Input'!C:C,'Generation Land'!H12)</f>
        <v>7395207242.4499969</v>
      </c>
      <c r="J12" s="2433">
        <f>+I12-I5</f>
        <v>7193148311.4599972</v>
      </c>
    </row>
    <row r="13" spans="2:10" ht="15" thickBot="1">
      <c r="G13" s="30" t="s">
        <v>1843</v>
      </c>
      <c r="H13" t="s">
        <v>1760</v>
      </c>
      <c r="I13" s="64">
        <f>+SUMIFS('300s Plant Balances Input'!K:K,'300s Plant Balances Input'!C:C,'Generation Land'!H13)</f>
        <v>1334295312.9900002</v>
      </c>
      <c r="J13" s="2433">
        <f>+I13-I6</f>
        <v>1316495314.4300003</v>
      </c>
    </row>
    <row r="14" spans="2:10" ht="18.600000000000001" thickBot="1">
      <c r="B14" s="3104" t="s">
        <v>1840</v>
      </c>
      <c r="C14" s="3105"/>
      <c r="D14" s="3105"/>
      <c r="E14" s="3106"/>
      <c r="G14" s="30" t="s">
        <v>1844</v>
      </c>
      <c r="H14" t="s">
        <v>1762</v>
      </c>
      <c r="I14" s="64">
        <f>+SUMIFS('300s Plant Balances Input'!K:K,'300s Plant Balances Input'!C:C,'Generation Land'!H14)</f>
        <v>4273370565.4500008</v>
      </c>
      <c r="J14" s="2433">
        <f>+I14-I7</f>
        <v>4263250782.9100008</v>
      </c>
    </row>
    <row r="15" spans="2:10">
      <c r="B15" s="2422" t="s">
        <v>1543</v>
      </c>
      <c r="C15" s="2423" t="s">
        <v>35</v>
      </c>
      <c r="D15" s="2424" t="s">
        <v>1838</v>
      </c>
      <c r="E15" s="2425" t="s">
        <v>1839</v>
      </c>
      <c r="G15" s="30" t="s">
        <v>1845</v>
      </c>
      <c r="H15" t="s">
        <v>1772</v>
      </c>
      <c r="I15" s="64">
        <f>+SUMIFS('300s Plant Balances Input'!K:K,'300s Plant Balances Input'!C:C,'Generation Land'!H15)</f>
        <v>803091225.82999992</v>
      </c>
      <c r="J15" s="2433">
        <f>+I15-I8</f>
        <v>786490310.00999987</v>
      </c>
    </row>
    <row r="16" spans="2:10">
      <c r="B16" s="2101">
        <v>31040</v>
      </c>
      <c r="C16" s="36" t="s">
        <v>1830</v>
      </c>
      <c r="D16" s="68">
        <f>+SUMIFS('300s Plant Balances Input'!R:R,'300s Plant Balances Input'!D:D,'Generation Land'!B16)</f>
        <v>0</v>
      </c>
      <c r="E16" s="69">
        <f>+SUMIFS('300s Plant Balances Input'!S:S,'300s Plant Balances Input'!D:D,'Generation Land'!B16)</f>
        <v>0</v>
      </c>
      <c r="G16" s="30" t="s">
        <v>1846</v>
      </c>
      <c r="H16" t="s">
        <v>1758</v>
      </c>
      <c r="I16" s="64">
        <f>+SUMIFS('300s Plant Balances Input'!K:K,'300s Plant Balances Input'!C:C,'Generation Land'!H16)</f>
        <v>601250207.54999995</v>
      </c>
      <c r="J16" s="2433">
        <f>+I16</f>
        <v>601250207.54999995</v>
      </c>
    </row>
    <row r="17" spans="2:10">
      <c r="B17" s="2101">
        <v>34030</v>
      </c>
      <c r="C17" s="36" t="s">
        <v>1831</v>
      </c>
      <c r="D17" s="68">
        <f>+SUMIFS('300s Plant Balances Input'!R:R,'300s Plant Balances Input'!D:D,'Generation Land'!B17)</f>
        <v>0</v>
      </c>
      <c r="E17" s="69">
        <f>+SUMIFS('300s Plant Balances Input'!S:S,'300s Plant Balances Input'!D:D,'Generation Land'!B17)</f>
        <v>0</v>
      </c>
      <c r="G17" s="30" t="s">
        <v>1847</v>
      </c>
      <c r="H17" t="s">
        <v>1759</v>
      </c>
      <c r="I17" s="64">
        <f>+SUMIFS('300s Plant Balances Input'!K:K,'300s Plant Balances Input'!C:C,'Generation Land'!H17)</f>
        <v>25139333.960000001</v>
      </c>
      <c r="J17" s="2433">
        <f>+I17</f>
        <v>25139333.960000001</v>
      </c>
    </row>
    <row r="18" spans="2:10">
      <c r="B18" s="2101">
        <v>34081</v>
      </c>
      <c r="C18" s="36" t="s">
        <v>1832</v>
      </c>
      <c r="D18" s="68">
        <f>+SUMIFS('300s Plant Balances Input'!R:R,'300s Plant Balances Input'!D:D,'Generation Land'!B18)</f>
        <v>0</v>
      </c>
      <c r="E18" s="69">
        <f>+SUMIFS('300s Plant Balances Input'!S:S,'300s Plant Balances Input'!D:D,'Generation Land'!B18)</f>
        <v>0</v>
      </c>
      <c r="G18" s="30"/>
      <c r="J18" s="2062"/>
    </row>
    <row r="19" spans="2:10">
      <c r="B19" s="2101">
        <v>34099</v>
      </c>
      <c r="C19" s="36" t="s">
        <v>1833</v>
      </c>
      <c r="D19" s="68">
        <f>+SUMIFS('300s Plant Balances Input'!R:R,'300s Plant Balances Input'!D:D,'Generation Land'!B19)</f>
        <v>0</v>
      </c>
      <c r="E19" s="69">
        <f>+SUMIFS('300s Plant Balances Input'!S:S,'300s Plant Balances Input'!D:D,'Generation Land'!B19)</f>
        <v>0</v>
      </c>
      <c r="G19" s="30" t="s">
        <v>122</v>
      </c>
      <c r="I19" s="64">
        <f>+SUM(I12:I17)</f>
        <v>14432353888.229996</v>
      </c>
      <c r="J19" s="2433">
        <f>+SUM(J12:J17)</f>
        <v>14185774260.319998</v>
      </c>
    </row>
    <row r="20" spans="2:10">
      <c r="B20" s="2101">
        <v>34028</v>
      </c>
      <c r="C20" s="36" t="s">
        <v>1834</v>
      </c>
      <c r="D20" s="68">
        <f>+SUMIFS('300s Plant Balances Input'!R:R,'300s Plant Balances Input'!D:D,'Generation Land'!B20)</f>
        <v>0</v>
      </c>
      <c r="E20" s="69">
        <f>+SUMIFS('300s Plant Balances Input'!S:S,'300s Plant Balances Input'!D:D,'Generation Land'!B20)</f>
        <v>0</v>
      </c>
      <c r="G20" s="30"/>
      <c r="J20" s="2062"/>
    </row>
    <row r="21" spans="2:10" ht="15" thickBot="1">
      <c r="B21" s="2101" t="s">
        <v>1835</v>
      </c>
      <c r="C21" s="36" t="s">
        <v>1836</v>
      </c>
      <c r="D21" s="68">
        <f>+SUMIFS('300s Plant Balances Input'!R:R,'300s Plant Balances Input'!D:D,'Generation Land'!B21)</f>
        <v>0</v>
      </c>
      <c r="E21" s="69">
        <f>+SUMIFS('300s Plant Balances Input'!S:S,'300s Plant Balances Input'!D:D,'Generation Land'!B21)</f>
        <v>0</v>
      </c>
      <c r="G21" s="2386" t="s">
        <v>1438</v>
      </c>
      <c r="H21" s="32"/>
      <c r="I21" s="2431">
        <f>+SUM('300s Plant Balances Input'!K:K)-'Generation Land'!I19</f>
        <v>0</v>
      </c>
      <c r="J21" s="2434">
        <f>+I19-J19-SUM(I5:I8)</f>
        <v>-2.0563602447509766E-6</v>
      </c>
    </row>
    <row r="22" spans="2:10" ht="15" thickBot="1">
      <c r="B22" s="2104">
        <v>31001</v>
      </c>
      <c r="C22" s="37" t="s">
        <v>1837</v>
      </c>
      <c r="D22" s="70">
        <f>+SUMIFS('300s Plant Balances Input'!R:R,'300s Plant Balances Input'!D:D,'Generation Land'!B22)</f>
        <v>0</v>
      </c>
      <c r="E22" s="71">
        <f>+SUMIFS('300s Plant Balances Input'!S:S,'300s Plant Balances Input'!D:D,'Generation Land'!B22)</f>
        <v>0</v>
      </c>
    </row>
    <row r="23" spans="2:10" ht="15" thickBot="1"/>
    <row r="24" spans="2:10" ht="15" thickBot="1">
      <c r="G24" s="2060" t="s">
        <v>1856</v>
      </c>
      <c r="H24" s="38" t="s">
        <v>1857</v>
      </c>
      <c r="I24" s="2435">
        <f>+E5</f>
        <v>6923628.5099999998</v>
      </c>
    </row>
    <row r="25" spans="2:10" ht="18.600000000000001" thickBot="1">
      <c r="B25" s="3104" t="s">
        <v>1841</v>
      </c>
      <c r="C25" s="3105"/>
      <c r="D25" s="3105"/>
      <c r="E25" s="3106"/>
      <c r="G25" s="30" t="s">
        <v>1858</v>
      </c>
      <c r="H25" t="s">
        <v>1857</v>
      </c>
      <c r="I25" s="2433">
        <f>+SUM(E6:E11)</f>
        <v>195135302.48000002</v>
      </c>
    </row>
    <row r="26" spans="2:10">
      <c r="B26" s="2422" t="s">
        <v>1543</v>
      </c>
      <c r="C26" s="2423" t="s">
        <v>35</v>
      </c>
      <c r="D26" s="2424" t="s">
        <v>1838</v>
      </c>
      <c r="E26" s="2425" t="s">
        <v>1839</v>
      </c>
      <c r="G26" s="30"/>
      <c r="I26" s="2433">
        <f>+SUM(I24:I25)</f>
        <v>202058930.99000001</v>
      </c>
    </row>
    <row r="27" spans="2:10">
      <c r="B27" s="2101">
        <v>31040</v>
      </c>
      <c r="C27" s="36" t="s">
        <v>1830</v>
      </c>
      <c r="D27" s="68">
        <f>+D5-D16</f>
        <v>6923628.5099999998</v>
      </c>
      <c r="E27" s="69">
        <f>+E5-E16</f>
        <v>6923628.5099999998</v>
      </c>
      <c r="G27" s="30"/>
      <c r="I27" s="2062"/>
    </row>
    <row r="28" spans="2:10" ht="15" thickBot="1">
      <c r="B28" s="2101">
        <v>34030</v>
      </c>
      <c r="C28" s="36" t="s">
        <v>1831</v>
      </c>
      <c r="D28" s="68">
        <f t="shared" ref="D28:E33" si="0">+D6-D17</f>
        <v>1592891.05</v>
      </c>
      <c r="E28" s="69">
        <f t="shared" si="0"/>
        <v>1592891.05</v>
      </c>
      <c r="G28" s="2386" t="s">
        <v>1438</v>
      </c>
      <c r="H28" s="32"/>
      <c r="I28" s="2434">
        <f>+I26-SUM(E5:E11)</f>
        <v>0</v>
      </c>
    </row>
    <row r="29" spans="2:10">
      <c r="B29" s="2101">
        <v>34081</v>
      </c>
      <c r="C29" s="36" t="s">
        <v>1832</v>
      </c>
      <c r="D29" s="68">
        <f t="shared" si="0"/>
        <v>18197341.469999999</v>
      </c>
      <c r="E29" s="69">
        <f t="shared" si="0"/>
        <v>18197341.469999999</v>
      </c>
    </row>
    <row r="30" spans="2:10">
      <c r="B30" s="2101">
        <v>34099</v>
      </c>
      <c r="C30" s="36" t="s">
        <v>1833</v>
      </c>
      <c r="D30" s="68">
        <f t="shared" si="0"/>
        <v>189525494.19999999</v>
      </c>
      <c r="E30" s="69">
        <f t="shared" si="0"/>
        <v>175345069.96000001</v>
      </c>
    </row>
    <row r="31" spans="2:10">
      <c r="B31" s="2101">
        <v>34028</v>
      </c>
      <c r="C31" s="36" t="s">
        <v>1834</v>
      </c>
      <c r="D31" s="68">
        <f t="shared" si="0"/>
        <v>0</v>
      </c>
      <c r="E31" s="69">
        <f t="shared" si="0"/>
        <v>0</v>
      </c>
    </row>
    <row r="32" spans="2:10">
      <c r="B32" s="2101" t="s">
        <v>1835</v>
      </c>
      <c r="C32" s="36" t="s">
        <v>1836</v>
      </c>
      <c r="D32" s="68">
        <f t="shared" si="0"/>
        <v>0</v>
      </c>
      <c r="E32" s="69">
        <f t="shared" si="0"/>
        <v>0</v>
      </c>
    </row>
    <row r="33" spans="2:5" ht="15" thickBot="1">
      <c r="B33" s="2104">
        <v>31001</v>
      </c>
      <c r="C33" s="37" t="s">
        <v>1837</v>
      </c>
      <c r="D33" s="70">
        <f t="shared" si="0"/>
        <v>0</v>
      </c>
      <c r="E33" s="71">
        <f t="shared" si="0"/>
        <v>0</v>
      </c>
    </row>
  </sheetData>
  <mergeCells count="3">
    <mergeCell ref="B3:E3"/>
    <mergeCell ref="B14:E14"/>
    <mergeCell ref="B25:E2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B1:K20"/>
  <sheetViews>
    <sheetView tabSelected="1" showOutlineSymbols="0" workbookViewId="0"/>
  </sheetViews>
  <sheetFormatPr defaultRowHeight="14.4"/>
  <cols>
    <col min="2" max="2" width="37" bestFit="1" customWidth="1"/>
    <col min="3" max="3" width="14.6640625" bestFit="1" customWidth="1"/>
    <col min="4" max="4" width="11.5546875" bestFit="1" customWidth="1"/>
    <col min="5" max="5" width="10.5546875" bestFit="1" customWidth="1"/>
    <col min="7" max="7" width="30.109375" bestFit="1" customWidth="1"/>
    <col min="8" max="8" width="11.88671875" bestFit="1" customWidth="1"/>
    <col min="9" max="9" width="12.109375" bestFit="1" customWidth="1"/>
    <col min="11" max="11" width="12.6640625" bestFit="1" customWidth="1"/>
  </cols>
  <sheetData>
    <row r="1" spans="2:11" ht="15" thickBot="1"/>
    <row r="2" spans="2:11" ht="15" thickBot="1">
      <c r="B2" s="3107" t="s">
        <v>1861</v>
      </c>
      <c r="C2" s="3108"/>
      <c r="D2" s="3108"/>
      <c r="E2" s="3109"/>
      <c r="G2" s="2420" t="s">
        <v>610</v>
      </c>
      <c r="H2" s="72"/>
      <c r="I2" s="2421"/>
      <c r="K2" s="1962" t="s">
        <v>116</v>
      </c>
    </row>
    <row r="3" spans="2:11" ht="15" thickBot="1">
      <c r="B3" s="3110" t="s">
        <v>1862</v>
      </c>
      <c r="C3" s="3111"/>
      <c r="D3" s="3111"/>
      <c r="E3" s="3112"/>
      <c r="G3" s="2426" t="s">
        <v>35</v>
      </c>
      <c r="H3" s="2428" t="s">
        <v>611</v>
      </c>
      <c r="I3" s="2439" t="s">
        <v>610</v>
      </c>
    </row>
    <row r="4" spans="2:11" ht="15" thickBot="1">
      <c r="B4" s="30"/>
      <c r="E4" s="2062"/>
      <c r="G4" s="59" t="s">
        <v>1888</v>
      </c>
      <c r="H4" s="2440">
        <v>262359646</v>
      </c>
      <c r="I4" s="2433">
        <f>+C20-H4</f>
        <v>1.0000079870223999E-2</v>
      </c>
    </row>
    <row r="5" spans="2:11">
      <c r="B5" s="2060"/>
      <c r="C5" s="2436" t="s">
        <v>605</v>
      </c>
      <c r="D5" s="2436" t="s">
        <v>1863</v>
      </c>
      <c r="E5" s="2437" t="s">
        <v>1864</v>
      </c>
      <c r="G5" s="59" t="s">
        <v>1889</v>
      </c>
      <c r="H5" s="2440">
        <v>-114523153</v>
      </c>
      <c r="I5" s="2433">
        <f>+D20+H5</f>
        <v>0.22692307829856873</v>
      </c>
    </row>
    <row r="6" spans="2:11" ht="15" thickBot="1">
      <c r="B6" s="31" t="s">
        <v>1865</v>
      </c>
      <c r="C6" s="51" t="s">
        <v>1874</v>
      </c>
      <c r="D6" s="51" t="s">
        <v>1866</v>
      </c>
      <c r="E6" s="2438" t="s">
        <v>1867</v>
      </c>
      <c r="G6" s="2430" t="s">
        <v>1890</v>
      </c>
      <c r="H6" s="2441">
        <v>11493010.83</v>
      </c>
      <c r="I6" s="2434">
        <f>+E20-H6</f>
        <v>0</v>
      </c>
    </row>
    <row r="7" spans="2:11">
      <c r="B7" s="2442" t="s">
        <v>120</v>
      </c>
      <c r="C7" s="38"/>
      <c r="D7" s="38"/>
      <c r="E7" s="34"/>
    </row>
    <row r="8" spans="2:11">
      <c r="B8" s="30" t="s">
        <v>1868</v>
      </c>
      <c r="C8" s="64">
        <f>+SUMIFS('ECRC Plant in Service'!$P$7:$P$19,'ECRC Plant in Service'!$A$7:$A$19,1)+(SUMIFS('ECRC Plant in Service'!$P$7:$P$19,'ECRC Plant in Service'!$A$7:$A$19,"split 1&amp;2")*'ECRC Plant in Service'!$R$2)</f>
        <v>0</v>
      </c>
      <c r="D8" s="64">
        <f>+SUMIFS('ECRC Accumulated Depreciation'!$P$7:$P$19,'ECRC Accumulated Depreciation'!$A$7:$A$19,1)+(SUMIFS('ECRC Accumulated Depreciation'!$P$7:$P$19,'ECRC Accumulated Depreciation'!$A$7:$A$19,"=split 1&amp;2")*'ECRC Accumulated Depreciation'!$R$2)</f>
        <v>0</v>
      </c>
      <c r="E8" s="2433">
        <f>+SUMIFS('ECRC Depreciation Expense'!$P$9:$P$20,'ECRC Depreciation Expense'!$A$9:$A$20,1)+(SUMIFS('ECRC Depreciation Expense'!$P$9:$P$20,'ECRC Depreciation Expense'!$A$9:$A$20,"=split 1&amp;2")*'ECRC Depreciation Expense'!$R$2)</f>
        <v>0</v>
      </c>
    </row>
    <row r="9" spans="2:11">
      <c r="B9" s="30" t="s">
        <v>1869</v>
      </c>
      <c r="C9" s="64">
        <f>+SUMIFS('ECRC Plant in Service'!$P$7:$P$19,'ECRC Plant in Service'!$A$7:$A$19,2)+(SUMIFS('ECRC Plant in Service'!$P$7:$P$19,'ECRC Plant in Service'!$A$7:$A$19,"split 1&amp;2")*'ECRC Plant in Service'!$R$3)</f>
        <v>0</v>
      </c>
      <c r="D9" s="64">
        <f>+SUMIFS('ECRC Accumulated Depreciation'!$P$7:$P$19,'ECRC Accumulated Depreciation'!$A$7:$A$19,2)+(SUMIFS('ECRC Accumulated Depreciation'!$P$7:$P$19,'ECRC Accumulated Depreciation'!$A$7:$A$19,"=split 1&amp;2")*'ECRC Accumulated Depreciation'!$R$3)</f>
        <v>0</v>
      </c>
      <c r="E9" s="2433">
        <f>+SUMIFS('ECRC Depreciation Expense'!$P$9:$P$20,'ECRC Depreciation Expense'!$A$9:$A$20,2)+(SUMIFS('ECRC Depreciation Expense'!$P$9:$P$20,'ECRC Depreciation Expense'!$A$9:$A$20,"=split 1&amp;2")*'ECRC Depreciation Expense'!$R$3)</f>
        <v>0</v>
      </c>
    </row>
    <row r="10" spans="2:11">
      <c r="B10" s="30" t="s">
        <v>1870</v>
      </c>
      <c r="C10" s="64">
        <f>+SUMIFS('ECRC Plant in Service'!$P$7:$P$19,'ECRC Plant in Service'!$A$7:$A$19,3)+(SUMIFS('ECRC Plant in Service'!$P$7:$P$19,'ECRC Plant in Service'!$A$7:$A$19,"=split 3&amp;4")*'ECRC Plant in Service'!$R$5)</f>
        <v>66322147.110000007</v>
      </c>
      <c r="D10" s="64">
        <f>+SUMIFS('ECRC Accumulated Depreciation'!$P$7:$P$19,'ECRC Accumulated Depreciation'!$A$7:$A$19,3)+(SUMIFS('ECRC Accumulated Depreciation'!$P$7:$P$19,'ECRC Accumulated Depreciation'!$A$7:$A$19,"=split 3&amp;4")*'ECRC Accumulated Depreciation'!$R$5)</f>
        <v>37545588.844230771</v>
      </c>
      <c r="E10" s="2433">
        <f>+SUMIFS('ECRC Depreciation Expense'!$P$9:$P$20,'ECRC Depreciation Expense'!$A$9:$A$20,3)+(SUMIFS('ECRC Depreciation Expense'!$P$9:$P$20,'ECRC Depreciation Expense'!$A$9:$A$20,"=split 3&amp;4")*'ECRC Depreciation Expense'!$R$5)</f>
        <v>3207791.415</v>
      </c>
    </row>
    <row r="11" spans="2:11">
      <c r="B11" s="30" t="s">
        <v>1871</v>
      </c>
      <c r="C11" s="64">
        <f>+SUMIFS('ECRC Plant in Service'!$P$7:$P$19,'ECRC Plant in Service'!$A$7:$A$19,4)+(SUMIFS('ECRC Plant in Service'!$P$7:$P$19,'ECRC Plant in Service'!$A$7:$A$19,"=split 3&amp;4")*'ECRC Plant in Service'!$R$6)</f>
        <v>127540432.28000006</v>
      </c>
      <c r="D11" s="64">
        <f>+SUMIFS('ECRC Accumulated Depreciation'!$P$7:$P$19,'ECRC Accumulated Depreciation'!$A$7:$A$19,4)+(SUMIFS('ECRC Accumulated Depreciation'!$P$7:$P$19,'ECRC Accumulated Depreciation'!$A$7:$A$19,"=split 3&amp;4")*'ECRC Accumulated Depreciation'!$R$6)+1</f>
        <v>71543362.844230771</v>
      </c>
      <c r="E11" s="2433">
        <f>+SUMIFS('ECRC Depreciation Expense'!$P$9:$P$20,'ECRC Depreciation Expense'!$A$9:$A$20,4)+(SUMIFS('ECRC Depreciation Expense'!$P$9:$P$20,'ECRC Depreciation Expense'!$A$9:$A$20,"=split 3&amp;4")*'ECRC Depreciation Expense'!$R$6)</f>
        <v>5828243.415</v>
      </c>
    </row>
    <row r="12" spans="2:11" ht="15" thickBot="1">
      <c r="B12" s="30" t="s">
        <v>1872</v>
      </c>
      <c r="C12" s="64">
        <f>+SUMIFS('ECRC Plant in Service'!$P$7:$P$19,'ECRC Plant in Service'!$A$7:$A$19,"=POLK")</f>
        <v>1561473</v>
      </c>
      <c r="D12" s="64">
        <f>+SUMIFS('ECRC Accumulated Depreciation'!$P$7:$P$19,'ECRC Accumulated Depreciation'!$A$7:$A$19,"=POLK")</f>
        <v>1169946</v>
      </c>
      <c r="E12" s="2433">
        <f>+SUMIFS('ECRC Depreciation Expense'!$P$9:$P$20,'ECRC Depreciation Expense'!$A$9:$A$20,"=POLK")</f>
        <v>58248</v>
      </c>
    </row>
    <row r="13" spans="2:11" ht="15" thickBot="1">
      <c r="B13" s="80"/>
      <c r="C13" s="2443"/>
      <c r="D13" s="2443"/>
      <c r="E13" s="2444"/>
    </row>
    <row r="14" spans="2:11">
      <c r="B14" s="2442" t="s">
        <v>119</v>
      </c>
      <c r="C14" s="2445"/>
      <c r="D14" s="2445"/>
      <c r="E14" s="2435"/>
    </row>
    <row r="15" spans="2:11">
      <c r="B15" s="30" t="s">
        <v>1868</v>
      </c>
      <c r="C15" s="64">
        <f>+SUMIFS('ECRC Plant in Service'!$P$21:$P$26,'ECRC Plant in Service'!$A$21:$A$26,"=D_BB1")</f>
        <v>0</v>
      </c>
      <c r="D15" s="64">
        <f>+SUMIFS('ECRC Accumulated Depreciation'!$P$22:$P$26,'ECRC Accumulated Depreciation'!$A$22:$A$26,"=D_BB1")</f>
        <v>0</v>
      </c>
      <c r="E15" s="2433">
        <f>+SUMIFS('ECRC Depreciation Expense'!$P$23:$P$27,'ECRC Depreciation Expense'!$A$23:$A$27,"=D_BB1")</f>
        <v>0</v>
      </c>
    </row>
    <row r="16" spans="2:11">
      <c r="B16" s="30" t="s">
        <v>1869</v>
      </c>
      <c r="C16" s="64">
        <f>+SUMIFS('ECRC Plant in Service'!$P$21:$P$26,'ECRC Plant in Service'!$A$21:$A$26,"=D_BB2")</f>
        <v>0</v>
      </c>
      <c r="D16" s="64">
        <f>+SUMIFS('ECRC Accumulated Depreciation'!$P$22:$P$26,'ECRC Accumulated Depreciation'!$A$22:$A$26,"=D_BB2")</f>
        <v>0</v>
      </c>
      <c r="E16" s="2433">
        <f>+SUMIFS('ECRC Depreciation Expense'!$P$23:$P$27,'ECRC Depreciation Expense'!$A$23:$A$27,"=D_BB2")</f>
        <v>0</v>
      </c>
    </row>
    <row r="17" spans="2:5">
      <c r="B17" s="30" t="s">
        <v>1871</v>
      </c>
      <c r="C17" s="64">
        <f>+SUMIFS('ECRC Plant in Service'!$P$21:$P$26,'ECRC Plant in Service'!$A$21:$A$26,"=D_BB4")</f>
        <v>49824664.670000017</v>
      </c>
      <c r="D17" s="64">
        <f>+SUMIFS('ECRC Accumulated Depreciation'!$P$22:$P$26,'ECRC Accumulated Depreciation'!$A$22:$A$26,"=D_BB4")</f>
        <v>3094611.5384615385</v>
      </c>
      <c r="E17" s="2433">
        <f>+SUMIFS('ECRC Depreciation Expense'!$P$23:$P$27,'ECRC Depreciation Expense'!$A$23:$A$27,"=D_BB4")</f>
        <v>1462764</v>
      </c>
    </row>
    <row r="18" spans="2:5" ht="15" thickBot="1">
      <c r="B18" s="30" t="s">
        <v>3456</v>
      </c>
      <c r="C18" s="64">
        <f>IFERROR(+SUMIFS('ECRC Plant in Service'!$P$21:$P$26,'ECRC Plant in Service'!$A$21:$A$26,"=D_Bayside"),0)</f>
        <v>17110928.949999996</v>
      </c>
      <c r="D18" s="64">
        <f>IFERROR(+SUMIFS('ECRC Accumulated Depreciation'!$P$22:$P$26,'ECRC Accumulated Depreciation'!$A$22:$A$26,"=D_BAYSIDE"),0)</f>
        <v>1169644</v>
      </c>
      <c r="E18" s="2433">
        <f>+SUMIFS('ECRC Depreciation Expense'!$P$23:$P$27,'ECRC Depreciation Expense'!$A$23:$A$27,"=D_BAYSIDE")</f>
        <v>935964</v>
      </c>
    </row>
    <row r="19" spans="2:5" ht="15" thickBot="1">
      <c r="B19" s="2060"/>
      <c r="C19" s="2445"/>
      <c r="D19" s="2445"/>
      <c r="E19" s="2435"/>
    </row>
    <row r="20" spans="2:5" ht="15" thickBot="1">
      <c r="B20" s="80" t="s">
        <v>122</v>
      </c>
      <c r="C20" s="2443">
        <f>+SUM(C8:C18)</f>
        <v>262359646.01000008</v>
      </c>
      <c r="D20" s="2443">
        <f>+SUM(D8:D18)</f>
        <v>114523153.22692308</v>
      </c>
      <c r="E20" s="2444">
        <f>+SUM(E8:E18)</f>
        <v>11493010.83</v>
      </c>
    </row>
  </sheetData>
  <mergeCells count="2">
    <mergeCell ref="B2:E2"/>
    <mergeCell ref="B3:E3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8" tint="0.59999389629810485"/>
  </sheetPr>
  <dimension ref="A1:N79"/>
  <sheetViews>
    <sheetView tabSelected="1" showOutlineSymbols="0" workbookViewId="0"/>
  </sheetViews>
  <sheetFormatPr defaultColWidth="9.33203125" defaultRowHeight="14.4"/>
  <cols>
    <col min="3" max="3" width="12.88671875" bestFit="1" customWidth="1"/>
    <col min="4" max="4" width="52.109375" bestFit="1" customWidth="1"/>
    <col min="5" max="5" width="17.44140625" bestFit="1" customWidth="1"/>
    <col min="6" max="6" width="17.44140625" customWidth="1"/>
    <col min="7" max="7" width="21.44140625" bestFit="1" customWidth="1"/>
    <col min="8" max="8" width="12.33203125" bestFit="1" customWidth="1"/>
    <col min="9" max="9" width="12.33203125" customWidth="1"/>
    <col min="10" max="10" width="14.109375" bestFit="1" customWidth="1"/>
    <col min="11" max="11" width="18.6640625" bestFit="1" customWidth="1"/>
    <col min="12" max="12" width="16" bestFit="1" customWidth="1"/>
    <col min="13" max="13" width="19.44140625" bestFit="1" customWidth="1"/>
  </cols>
  <sheetData>
    <row r="1" spans="1:13">
      <c r="A1" s="328"/>
    </row>
    <row r="3" spans="1:13" ht="15" customHeight="1">
      <c r="C3" s="1305" t="s">
        <v>5009</v>
      </c>
      <c r="D3" s="1306"/>
      <c r="E3" s="1306"/>
      <c r="F3" s="1306"/>
      <c r="G3" s="1306"/>
      <c r="H3" s="1306"/>
      <c r="I3" s="1306"/>
      <c r="J3" s="1306"/>
      <c r="K3" s="1306"/>
      <c r="L3" s="1306"/>
      <c r="M3" s="1307"/>
    </row>
    <row r="4" spans="1:13" ht="15" customHeight="1">
      <c r="C4" s="1308"/>
      <c r="D4" s="1309"/>
      <c r="E4" s="1309"/>
      <c r="F4" s="1309"/>
      <c r="G4" s="1309"/>
      <c r="H4" s="1309"/>
      <c r="I4" s="1309"/>
      <c r="J4" s="1309"/>
      <c r="K4" s="1309"/>
      <c r="L4" s="1309"/>
      <c r="M4" s="1310"/>
    </row>
    <row r="5" spans="1:13" ht="18">
      <c r="C5" s="1311" t="s">
        <v>3110</v>
      </c>
      <c r="D5" s="1312"/>
      <c r="E5" s="1312"/>
      <c r="F5" s="1312"/>
      <c r="G5" s="1312"/>
      <c r="H5" s="1312"/>
      <c r="I5" s="1312"/>
      <c r="J5" s="1312"/>
      <c r="K5" s="1312"/>
      <c r="L5" s="1312"/>
      <c r="M5" s="1313"/>
    </row>
    <row r="6" spans="1:13">
      <c r="B6" s="53" t="s">
        <v>19</v>
      </c>
      <c r="C6" s="1269" t="s">
        <v>5010</v>
      </c>
      <c r="D6" s="1270" t="s">
        <v>35</v>
      </c>
      <c r="E6" s="1271" t="s">
        <v>607</v>
      </c>
      <c r="F6" s="1270" t="s">
        <v>8327</v>
      </c>
      <c r="G6" s="1269" t="s">
        <v>5011</v>
      </c>
      <c r="H6" s="1270" t="s">
        <v>5012</v>
      </c>
      <c r="I6" s="1671" t="s">
        <v>2347</v>
      </c>
      <c r="J6" s="1269" t="s">
        <v>5013</v>
      </c>
      <c r="K6" s="1270" t="s">
        <v>8683</v>
      </c>
      <c r="L6" s="1671" t="s">
        <v>8684</v>
      </c>
      <c r="M6" s="1270" t="s">
        <v>5015</v>
      </c>
    </row>
    <row r="7" spans="1:13">
      <c r="B7" s="112" t="str">
        <f t="shared" ref="B7:B40" si="0">+MID(C7,2,3)</f>
        <v>121</v>
      </c>
      <c r="C7" s="365" t="s">
        <v>8328</v>
      </c>
      <c r="D7" s="1272" t="s">
        <v>155</v>
      </c>
      <c r="E7" s="1273">
        <v>24533891.339230776</v>
      </c>
      <c r="F7" s="1613"/>
      <c r="G7" s="1614"/>
      <c r="H7" s="1274">
        <v>-24533891.339230776</v>
      </c>
      <c r="I7" s="1275"/>
      <c r="J7" s="1615"/>
      <c r="K7" s="1274"/>
      <c r="L7" s="1275"/>
      <c r="M7" s="1274">
        <v>0</v>
      </c>
    </row>
    <row r="8" spans="1:13">
      <c r="B8" s="112" t="str">
        <f t="shared" si="0"/>
        <v>122</v>
      </c>
      <c r="C8" s="1276" t="s">
        <v>8329</v>
      </c>
      <c r="D8" s="1272" t="s">
        <v>157</v>
      </c>
      <c r="E8" s="1273">
        <v>-8155856.6861538449</v>
      </c>
      <c r="F8" s="1613"/>
      <c r="G8" s="1615"/>
      <c r="H8" s="1274">
        <v>8155856.6861538449</v>
      </c>
      <c r="I8" s="1275"/>
      <c r="J8" s="1615"/>
      <c r="K8" s="1274"/>
      <c r="L8" s="1275"/>
      <c r="M8" s="1274">
        <v>0</v>
      </c>
    </row>
    <row r="9" spans="1:13">
      <c r="B9" s="33" t="str">
        <f t="shared" si="0"/>
        <v>123</v>
      </c>
      <c r="C9" s="365" t="s">
        <v>8330</v>
      </c>
      <c r="D9" s="1272" t="s">
        <v>5016</v>
      </c>
      <c r="E9" s="1273">
        <v>0</v>
      </c>
      <c r="F9" s="1613"/>
      <c r="G9" s="1615"/>
      <c r="H9" s="1274"/>
      <c r="I9" s="1275"/>
      <c r="J9" s="1615"/>
      <c r="K9" s="1274"/>
      <c r="L9" s="1275"/>
      <c r="M9" s="1274">
        <v>0</v>
      </c>
    </row>
    <row r="10" spans="1:13">
      <c r="B10" s="33" t="str">
        <f t="shared" si="0"/>
        <v>123</v>
      </c>
      <c r="C10" s="365" t="s">
        <v>8331</v>
      </c>
      <c r="D10" s="1272" t="s">
        <v>5017</v>
      </c>
      <c r="E10" s="1273">
        <v>0</v>
      </c>
      <c r="F10" s="1613"/>
      <c r="G10" s="1615"/>
      <c r="H10" s="1274"/>
      <c r="I10" s="1275"/>
      <c r="J10" s="1615"/>
      <c r="K10" s="1274"/>
      <c r="L10" s="1275"/>
      <c r="M10" s="1274">
        <v>0</v>
      </c>
    </row>
    <row r="11" spans="1:13">
      <c r="B11" s="33" t="str">
        <f t="shared" si="0"/>
        <v>124</v>
      </c>
      <c r="C11" s="365" t="s">
        <v>8332</v>
      </c>
      <c r="D11" s="1272" t="s">
        <v>5018</v>
      </c>
      <c r="E11" s="1273">
        <v>0</v>
      </c>
      <c r="F11" s="1616"/>
      <c r="G11" s="1617"/>
      <c r="H11" s="1278"/>
      <c r="I11" s="347"/>
      <c r="J11" s="1617"/>
      <c r="K11" s="1278"/>
      <c r="L11" s="347"/>
      <c r="M11" s="1274">
        <v>0</v>
      </c>
    </row>
    <row r="12" spans="1:13">
      <c r="B12" s="33" t="str">
        <f t="shared" si="0"/>
        <v>131</v>
      </c>
      <c r="C12" s="1276" t="s">
        <v>8333</v>
      </c>
      <c r="D12" s="1272" t="s">
        <v>1383</v>
      </c>
      <c r="E12" s="1273">
        <v>1000000</v>
      </c>
      <c r="F12" s="1616"/>
      <c r="G12" s="1617">
        <v>-1000000</v>
      </c>
      <c r="H12" s="1278"/>
      <c r="I12" s="347"/>
      <c r="J12" s="1617"/>
      <c r="K12" s="1278"/>
      <c r="L12" s="347"/>
      <c r="M12" s="1274">
        <v>0</v>
      </c>
    </row>
    <row r="13" spans="1:13">
      <c r="B13" s="33" t="str">
        <f t="shared" si="0"/>
        <v>134</v>
      </c>
      <c r="C13" s="1276" t="s">
        <v>8334</v>
      </c>
      <c r="D13" s="1272" t="s">
        <v>168</v>
      </c>
      <c r="E13" s="1273">
        <v>0</v>
      </c>
      <c r="F13" s="1616"/>
      <c r="G13" s="1617"/>
      <c r="H13" s="1278"/>
      <c r="I13" s="347"/>
      <c r="J13" s="1617"/>
      <c r="K13" s="1278"/>
      <c r="L13" s="347"/>
      <c r="M13" s="1274">
        <v>0</v>
      </c>
    </row>
    <row r="14" spans="1:13">
      <c r="B14" s="33" t="str">
        <f t="shared" si="0"/>
        <v>135</v>
      </c>
      <c r="C14" s="1276" t="s">
        <v>8335</v>
      </c>
      <c r="D14" s="1272" t="s">
        <v>5019</v>
      </c>
      <c r="E14" s="1273">
        <v>52665.390000000007</v>
      </c>
      <c r="F14" s="1616"/>
      <c r="G14" s="1617"/>
      <c r="H14" s="1278"/>
      <c r="I14" s="347"/>
      <c r="J14" s="1617"/>
      <c r="K14" s="1278"/>
      <c r="L14" s="347"/>
      <c r="M14" s="1274">
        <v>52665.390000000007</v>
      </c>
    </row>
    <row r="15" spans="1:13">
      <c r="B15" s="33" t="str">
        <f t="shared" si="0"/>
        <v>136</v>
      </c>
      <c r="C15" s="1276" t="s">
        <v>8336</v>
      </c>
      <c r="D15" s="1272" t="s">
        <v>171</v>
      </c>
      <c r="E15" s="1273">
        <v>0</v>
      </c>
      <c r="F15" s="1616"/>
      <c r="G15" s="1617">
        <v>0</v>
      </c>
      <c r="H15" s="1278">
        <v>0</v>
      </c>
      <c r="I15" s="347"/>
      <c r="J15" s="1617"/>
      <c r="K15" s="1278"/>
      <c r="L15" s="347"/>
      <c r="M15" s="1274">
        <v>0</v>
      </c>
    </row>
    <row r="16" spans="1:13">
      <c r="B16" s="33" t="str">
        <f t="shared" si="0"/>
        <v>141</v>
      </c>
      <c r="C16" s="1276" t="s">
        <v>8337</v>
      </c>
      <c r="D16" s="1272" t="s">
        <v>1386</v>
      </c>
      <c r="E16" s="1277">
        <v>0</v>
      </c>
      <c r="F16" s="1616"/>
      <c r="G16" s="1617"/>
      <c r="H16" s="1278"/>
      <c r="I16" s="347"/>
      <c r="J16" s="1617"/>
      <c r="K16" s="1278"/>
      <c r="L16" s="347"/>
      <c r="M16" s="1274">
        <v>0</v>
      </c>
    </row>
    <row r="17" spans="2:13">
      <c r="B17" s="33" t="str">
        <f t="shared" si="0"/>
        <v>142</v>
      </c>
      <c r="C17" s="1276" t="s">
        <v>8338</v>
      </c>
      <c r="D17" s="1272" t="s">
        <v>5020</v>
      </c>
      <c r="E17" s="1277">
        <v>181510058.24442819</v>
      </c>
      <c r="F17" s="1616"/>
      <c r="G17" s="1617"/>
      <c r="H17" s="1278"/>
      <c r="I17" s="347"/>
      <c r="J17" s="1617"/>
      <c r="K17" s="1278"/>
      <c r="L17" s="347"/>
      <c r="M17" s="1274">
        <v>181510058.24442819</v>
      </c>
    </row>
    <row r="18" spans="2:13">
      <c r="B18" s="33" t="str">
        <f t="shared" si="0"/>
        <v>143</v>
      </c>
      <c r="C18" s="1276" t="s">
        <v>8339</v>
      </c>
      <c r="D18" s="1272" t="s">
        <v>5021</v>
      </c>
      <c r="E18" s="1277">
        <v>7359140.4307692312</v>
      </c>
      <c r="F18" s="1616"/>
      <c r="G18" s="1617">
        <v>0</v>
      </c>
      <c r="H18" s="1278"/>
      <c r="I18" s="347"/>
      <c r="J18" s="1617"/>
      <c r="K18" s="1278"/>
      <c r="L18" s="347"/>
      <c r="M18" s="1274">
        <v>7359140.4307692312</v>
      </c>
    </row>
    <row r="19" spans="2:13">
      <c r="B19" s="33" t="str">
        <f t="shared" si="0"/>
        <v>144</v>
      </c>
      <c r="C19" s="1276" t="s">
        <v>8340</v>
      </c>
      <c r="D19" s="1272" t="s">
        <v>5022</v>
      </c>
      <c r="E19" s="1277">
        <v>-1650981.2270100154</v>
      </c>
      <c r="F19" s="1616"/>
      <c r="G19" s="1617"/>
      <c r="H19" s="1278"/>
      <c r="I19" s="347"/>
      <c r="J19" s="1617"/>
      <c r="K19" s="1278"/>
      <c r="L19" s="347"/>
      <c r="M19" s="1274">
        <v>-1650981.2270100154</v>
      </c>
    </row>
    <row r="20" spans="2:13">
      <c r="B20" s="33" t="str">
        <f t="shared" si="0"/>
        <v>145</v>
      </c>
      <c r="C20" s="1276" t="s">
        <v>8341</v>
      </c>
      <c r="D20" s="1272" t="s">
        <v>5023</v>
      </c>
      <c r="E20" s="1277">
        <v>0</v>
      </c>
      <c r="F20" s="1616"/>
      <c r="G20" s="1617"/>
      <c r="H20" s="1278"/>
      <c r="I20" s="347"/>
      <c r="J20" s="1617"/>
      <c r="K20" s="1278"/>
      <c r="L20" s="347">
        <v>0</v>
      </c>
      <c r="M20" s="1274">
        <v>0</v>
      </c>
    </row>
    <row r="21" spans="2:13">
      <c r="B21" s="33" t="str">
        <f t="shared" si="0"/>
        <v>146</v>
      </c>
      <c r="C21" s="1276" t="s">
        <v>8342</v>
      </c>
      <c r="D21" s="1272" t="s">
        <v>5024</v>
      </c>
      <c r="E21" s="1277">
        <v>13678606.178257801</v>
      </c>
      <c r="F21" s="1616"/>
      <c r="G21" s="1617"/>
      <c r="H21" s="1290">
        <v>0</v>
      </c>
      <c r="I21" s="1279"/>
      <c r="J21" s="1617"/>
      <c r="K21" s="1278"/>
      <c r="L21" s="347">
        <v>0</v>
      </c>
      <c r="M21" s="1274">
        <v>13678606.178257801</v>
      </c>
    </row>
    <row r="22" spans="2:13">
      <c r="B22" s="33" t="str">
        <f t="shared" si="0"/>
        <v>151</v>
      </c>
      <c r="C22" s="1276" t="s">
        <v>8343</v>
      </c>
      <c r="D22" s="1272" t="s">
        <v>1391</v>
      </c>
      <c r="E22" s="1277">
        <v>36823692.307692304</v>
      </c>
      <c r="F22" s="1616"/>
      <c r="G22" s="1617"/>
      <c r="H22" s="1278"/>
      <c r="I22" s="347"/>
      <c r="J22" s="1617"/>
      <c r="K22" s="1278"/>
      <c r="L22" s="347"/>
      <c r="M22" s="1274">
        <v>36823692.307692304</v>
      </c>
    </row>
    <row r="23" spans="2:13">
      <c r="B23" s="33" t="str">
        <f t="shared" si="0"/>
        <v>152</v>
      </c>
      <c r="C23" s="1276" t="s">
        <v>8344</v>
      </c>
      <c r="D23" s="1272" t="s">
        <v>5025</v>
      </c>
      <c r="E23" s="1277">
        <v>0</v>
      </c>
      <c r="F23" s="1616"/>
      <c r="G23" s="1617"/>
      <c r="H23" s="1278"/>
      <c r="I23" s="347"/>
      <c r="J23" s="1617"/>
      <c r="K23" s="1278"/>
      <c r="L23" s="347"/>
      <c r="M23" s="1274">
        <v>0</v>
      </c>
    </row>
    <row r="24" spans="2:13">
      <c r="B24" s="33" t="str">
        <f t="shared" si="0"/>
        <v>153</v>
      </c>
      <c r="C24" s="1276" t="s">
        <v>8345</v>
      </c>
      <c r="D24" s="1272" t="s">
        <v>5026</v>
      </c>
      <c r="E24" s="1277">
        <v>0</v>
      </c>
      <c r="F24" s="1616"/>
      <c r="G24" s="1617"/>
      <c r="H24" s="1278"/>
      <c r="I24" s="347"/>
      <c r="J24" s="1617"/>
      <c r="K24" s="1278"/>
      <c r="L24" s="347"/>
      <c r="M24" s="1274">
        <v>0</v>
      </c>
    </row>
    <row r="25" spans="2:13">
      <c r="B25" s="33" t="str">
        <f t="shared" si="0"/>
        <v>154</v>
      </c>
      <c r="C25" s="1276" t="s">
        <v>8346</v>
      </c>
      <c r="D25" s="1272" t="s">
        <v>5027</v>
      </c>
      <c r="E25" s="1277">
        <v>162822150</v>
      </c>
      <c r="F25" s="1616"/>
      <c r="G25" s="1617"/>
      <c r="H25" s="1278"/>
      <c r="I25" s="347"/>
      <c r="J25" s="1617"/>
      <c r="K25" s="1278"/>
      <c r="L25" s="347"/>
      <c r="M25" s="1274">
        <v>162822150</v>
      </c>
    </row>
    <row r="26" spans="2:13">
      <c r="B26" s="33" t="str">
        <f t="shared" si="0"/>
        <v>158</v>
      </c>
      <c r="C26" s="1276" t="s">
        <v>8347</v>
      </c>
      <c r="D26" s="1272" t="s">
        <v>5028</v>
      </c>
      <c r="E26" s="1277">
        <v>0</v>
      </c>
      <c r="F26" s="1616"/>
      <c r="G26" s="1617"/>
      <c r="H26" s="1278"/>
      <c r="I26" s="347"/>
      <c r="J26" s="1617"/>
      <c r="K26" s="1278"/>
      <c r="L26" s="347"/>
      <c r="M26" s="1274">
        <v>0</v>
      </c>
    </row>
    <row r="27" spans="2:13">
      <c r="B27" s="33" t="str">
        <f t="shared" si="0"/>
        <v>158</v>
      </c>
      <c r="C27" s="1276" t="s">
        <v>8348</v>
      </c>
      <c r="D27" s="1272" t="s">
        <v>5029</v>
      </c>
      <c r="E27" s="1277">
        <v>0</v>
      </c>
      <c r="F27" s="1616"/>
      <c r="G27" s="1617"/>
      <c r="H27" s="1278"/>
      <c r="I27" s="347"/>
      <c r="J27" s="1617"/>
      <c r="K27" s="1278"/>
      <c r="L27" s="347"/>
      <c r="M27" s="1274">
        <v>0</v>
      </c>
    </row>
    <row r="28" spans="2:13">
      <c r="B28" s="33" t="str">
        <f t="shared" si="0"/>
        <v>163</v>
      </c>
      <c r="C28" s="1276" t="s">
        <v>8349</v>
      </c>
      <c r="D28" s="1272" t="s">
        <v>223</v>
      </c>
      <c r="E28" s="1277">
        <v>0</v>
      </c>
      <c r="F28" s="1616"/>
      <c r="G28" s="1617"/>
      <c r="H28" s="1278"/>
      <c r="I28" s="347"/>
      <c r="J28" s="1617"/>
      <c r="K28" s="1278"/>
      <c r="L28" s="347"/>
      <c r="M28" s="1274">
        <v>0</v>
      </c>
    </row>
    <row r="29" spans="2:13">
      <c r="B29" s="33" t="str">
        <f t="shared" si="0"/>
        <v>165</v>
      </c>
      <c r="C29" s="1276" t="s">
        <v>8350</v>
      </c>
      <c r="D29" s="1272" t="s">
        <v>1397</v>
      </c>
      <c r="E29" s="1277">
        <v>30636298.079484697</v>
      </c>
      <c r="F29" s="1616"/>
      <c r="G29" s="1617"/>
      <c r="H29" s="1278"/>
      <c r="I29" s="347"/>
      <c r="J29" s="1617"/>
      <c r="K29" s="1278"/>
      <c r="L29" s="347">
        <v>0</v>
      </c>
      <c r="M29" s="1274">
        <v>30636298.079484697</v>
      </c>
    </row>
    <row r="30" spans="2:13">
      <c r="B30" s="33" t="str">
        <f t="shared" si="0"/>
        <v>171</v>
      </c>
      <c r="C30" s="1276" t="s">
        <v>8351</v>
      </c>
      <c r="D30" s="1272" t="s">
        <v>5030</v>
      </c>
      <c r="E30" s="1277">
        <v>0</v>
      </c>
      <c r="F30" s="1616"/>
      <c r="G30" s="1617"/>
      <c r="H30" s="1278"/>
      <c r="I30" s="347"/>
      <c r="J30" s="1617"/>
      <c r="K30" s="1278"/>
      <c r="L30" s="347"/>
      <c r="M30" s="1274">
        <v>0</v>
      </c>
    </row>
    <row r="31" spans="2:13">
      <c r="B31" s="33" t="str">
        <f t="shared" si="0"/>
        <v>173</v>
      </c>
      <c r="C31" s="1276" t="s">
        <v>8352</v>
      </c>
      <c r="D31" s="1272" t="s">
        <v>5031</v>
      </c>
      <c r="E31" s="1277">
        <v>79503511.409999996</v>
      </c>
      <c r="F31" s="1616"/>
      <c r="G31" s="1617"/>
      <c r="H31" s="1278"/>
      <c r="I31" s="347"/>
      <c r="J31" s="1617"/>
      <c r="K31" s="1278"/>
      <c r="L31" s="347"/>
      <c r="M31" s="1274">
        <v>79503511.409999996</v>
      </c>
    </row>
    <row r="32" spans="2:13">
      <c r="B32" s="33" t="str">
        <f t="shared" si="0"/>
        <v>176</v>
      </c>
      <c r="C32" s="1276" t="s">
        <v>8353</v>
      </c>
      <c r="D32" s="1272" t="s">
        <v>5032</v>
      </c>
      <c r="E32" s="1277">
        <v>528000</v>
      </c>
      <c r="F32" s="1616"/>
      <c r="G32" s="1617"/>
      <c r="H32" s="1278"/>
      <c r="I32" s="347"/>
      <c r="J32" s="1617"/>
      <c r="K32" s="1278"/>
      <c r="L32" s="347"/>
      <c r="M32" s="1274">
        <v>528000</v>
      </c>
    </row>
    <row r="33" spans="2:13">
      <c r="B33" s="33" t="str">
        <f t="shared" si="0"/>
        <v>182</v>
      </c>
      <c r="C33" s="1276" t="s">
        <v>8354</v>
      </c>
      <c r="D33" s="1272" t="s">
        <v>5033</v>
      </c>
      <c r="E33" s="1277">
        <v>0</v>
      </c>
      <c r="F33" s="1616"/>
      <c r="G33" s="1617"/>
      <c r="H33" s="1278"/>
      <c r="I33" s="347"/>
      <c r="J33" s="1617"/>
      <c r="K33" s="1278"/>
      <c r="L33" s="347"/>
      <c r="M33" s="1274">
        <v>0</v>
      </c>
    </row>
    <row r="34" spans="2:13">
      <c r="B34" s="33" t="str">
        <f t="shared" si="0"/>
        <v>182</v>
      </c>
      <c r="C34" s="1276" t="s">
        <v>8355</v>
      </c>
      <c r="D34" s="1272" t="s">
        <v>5034</v>
      </c>
      <c r="E34" s="1277">
        <v>520846683.32923055</v>
      </c>
      <c r="F34" s="1278">
        <v>-520846683.32923043</v>
      </c>
      <c r="G34" s="357"/>
      <c r="H34" s="1278"/>
      <c r="I34" s="347"/>
      <c r="J34" s="1617"/>
      <c r="K34" s="1278"/>
      <c r="L34" s="347"/>
      <c r="M34" s="1274">
        <v>0</v>
      </c>
    </row>
    <row r="35" spans="2:13">
      <c r="B35" s="33" t="str">
        <f t="shared" si="0"/>
        <v>182</v>
      </c>
      <c r="C35" s="1276" t="s">
        <v>8356</v>
      </c>
      <c r="D35" s="1272" t="s">
        <v>5035</v>
      </c>
      <c r="E35" s="1277">
        <v>394011993.77566779</v>
      </c>
      <c r="F35" s="1278">
        <v>-12095598.479770316</v>
      </c>
      <c r="G35" s="357"/>
      <c r="H35" s="1278"/>
      <c r="I35" s="347"/>
      <c r="J35" s="1617"/>
      <c r="K35" s="1278">
        <v>-1778891.2051282381</v>
      </c>
      <c r="M35" s="1274">
        <v>380137504.09076923</v>
      </c>
    </row>
    <row r="36" spans="2:13">
      <c r="B36" s="33" t="str">
        <f t="shared" si="0"/>
        <v>823</v>
      </c>
      <c r="C36" s="1276" t="s">
        <v>8357</v>
      </c>
      <c r="D36" s="1272" t="s">
        <v>271</v>
      </c>
      <c r="E36" s="1277">
        <v>-126766182.86384614</v>
      </c>
      <c r="F36" s="1616"/>
      <c r="G36" s="1617"/>
      <c r="H36" s="1278"/>
      <c r="I36" s="347"/>
      <c r="J36" s="1617"/>
      <c r="K36" s="1278"/>
      <c r="L36" s="347"/>
      <c r="M36" s="1274">
        <v>-126766182.86384614</v>
      </c>
    </row>
    <row r="37" spans="2:13">
      <c r="B37" s="33" t="str">
        <f t="shared" si="0"/>
        <v>183</v>
      </c>
      <c r="C37" s="1276" t="s">
        <v>8358</v>
      </c>
      <c r="D37" s="1272" t="s">
        <v>275</v>
      </c>
      <c r="E37" s="1277">
        <v>6566744.6269230749</v>
      </c>
      <c r="F37" s="1616"/>
      <c r="G37" s="1617"/>
      <c r="H37" s="1278"/>
      <c r="I37" s="347"/>
      <c r="J37" s="1617"/>
      <c r="K37" s="1278"/>
      <c r="L37" s="347"/>
      <c r="M37" s="1274">
        <v>6566744.6269230749</v>
      </c>
    </row>
    <row r="38" spans="2:13">
      <c r="B38" s="33" t="str">
        <f t="shared" si="0"/>
        <v>184</v>
      </c>
      <c r="C38" s="1276" t="s">
        <v>8359</v>
      </c>
      <c r="D38" s="1272" t="s">
        <v>1404</v>
      </c>
      <c r="E38" s="1277">
        <v>0</v>
      </c>
      <c r="F38" s="1616"/>
      <c r="G38" s="1615"/>
      <c r="H38" s="1274"/>
      <c r="I38" s="1275"/>
      <c r="J38" s="1615"/>
      <c r="K38" s="1274"/>
      <c r="L38" s="1275"/>
      <c r="M38" s="1274">
        <v>0</v>
      </c>
    </row>
    <row r="39" spans="2:13">
      <c r="B39" s="33" t="str">
        <f t="shared" si="0"/>
        <v>186</v>
      </c>
      <c r="C39" s="1276" t="s">
        <v>8360</v>
      </c>
      <c r="D39" s="1272" t="s">
        <v>5036</v>
      </c>
      <c r="E39" s="1273">
        <v>4110483.308461539</v>
      </c>
      <c r="F39" s="1613"/>
      <c r="G39" s="1615"/>
      <c r="H39" s="1274"/>
      <c r="I39" s="1275"/>
      <c r="J39" s="1615"/>
      <c r="K39" s="1274"/>
      <c r="L39" s="347">
        <v>0</v>
      </c>
      <c r="M39" s="1274">
        <v>4110483.308461539</v>
      </c>
    </row>
    <row r="40" spans="2:13">
      <c r="B40" s="33" t="str">
        <f t="shared" si="0"/>
        <v>188</v>
      </c>
      <c r="C40" s="1276" t="s">
        <v>8361</v>
      </c>
      <c r="D40" s="1272" t="s">
        <v>5037</v>
      </c>
      <c r="E40" s="1273">
        <v>0</v>
      </c>
      <c r="F40" s="1618"/>
      <c r="G40" s="1619"/>
      <c r="H40" s="1274"/>
      <c r="I40" s="1275"/>
      <c r="J40" s="1615"/>
      <c r="K40" s="1620"/>
      <c r="L40" s="1275"/>
      <c r="M40" s="1274">
        <v>0</v>
      </c>
    </row>
    <row r="41" spans="2:13" ht="15" thickBot="1">
      <c r="C41" s="3068" t="s">
        <v>1435</v>
      </c>
      <c r="D41" s="3067"/>
      <c r="E41" s="1621">
        <f t="shared" ref="E41:M41" si="1">SUM(E7:E40)</f>
        <v>1327410897.643136</v>
      </c>
      <c r="F41" s="1621">
        <f t="shared" si="1"/>
        <v>-532942281.80900073</v>
      </c>
      <c r="G41" s="1280">
        <f t="shared" si="1"/>
        <v>-1000000</v>
      </c>
      <c r="H41" s="1621">
        <f t="shared" si="1"/>
        <v>-16378034.653076932</v>
      </c>
      <c r="I41" s="1621">
        <f t="shared" si="1"/>
        <v>0</v>
      </c>
      <c r="J41" s="1280">
        <f t="shared" si="1"/>
        <v>0</v>
      </c>
      <c r="K41" s="1280">
        <f t="shared" si="1"/>
        <v>-1778891.2051282381</v>
      </c>
      <c r="L41" s="1280">
        <f t="shared" si="1"/>
        <v>0</v>
      </c>
      <c r="M41" s="1622">
        <f t="shared" si="1"/>
        <v>775311689.97592998</v>
      </c>
    </row>
    <row r="42" spans="2:13" ht="15" thickTop="1">
      <c r="C42" s="345"/>
      <c r="D42" s="1281"/>
      <c r="E42" s="1282"/>
      <c r="F42" s="1282"/>
    </row>
    <row r="43" spans="2:13">
      <c r="C43" s="345"/>
      <c r="D43" s="1281"/>
      <c r="E43" s="1282"/>
      <c r="F43" s="1282"/>
    </row>
    <row r="44" spans="2:13" ht="15" customHeight="1">
      <c r="C44" s="1305" t="s">
        <v>5038</v>
      </c>
      <c r="D44" s="1306"/>
      <c r="E44" s="1306"/>
      <c r="F44" s="1306"/>
      <c r="G44" s="1306"/>
      <c r="H44" s="1306"/>
      <c r="I44" s="1306"/>
      <c r="J44" s="1306"/>
      <c r="K44" s="1306"/>
      <c r="L44" s="1306"/>
      <c r="M44" s="1307"/>
    </row>
    <row r="45" spans="2:13" ht="15" customHeight="1">
      <c r="C45" s="1308"/>
      <c r="D45" s="1309"/>
      <c r="E45" s="1309"/>
      <c r="F45" s="1309"/>
      <c r="G45" s="1309"/>
      <c r="H45" s="1309"/>
      <c r="I45" s="1309"/>
      <c r="J45" s="1309"/>
      <c r="K45" s="1309"/>
      <c r="L45" s="1309"/>
      <c r="M45" s="1310"/>
    </row>
    <row r="46" spans="2:13" ht="18">
      <c r="C46" s="1311" t="s">
        <v>3110</v>
      </c>
      <c r="D46" s="1312"/>
      <c r="E46" s="1312"/>
      <c r="F46" s="1312"/>
      <c r="G46" s="1312"/>
      <c r="H46" s="1312"/>
      <c r="I46" s="1312"/>
      <c r="J46" s="1312"/>
      <c r="K46" s="1312"/>
      <c r="L46" s="1312"/>
      <c r="M46" s="1313"/>
    </row>
    <row r="47" spans="2:13">
      <c r="C47" s="1269" t="s">
        <v>5010</v>
      </c>
      <c r="D47" s="1270" t="s">
        <v>35</v>
      </c>
      <c r="E47" s="1671" t="s">
        <v>607</v>
      </c>
      <c r="F47" s="1269" t="s">
        <v>8327</v>
      </c>
      <c r="G47" s="1270" t="s">
        <v>5011</v>
      </c>
      <c r="H47" s="1270" t="s">
        <v>5012</v>
      </c>
      <c r="I47" s="1270" t="s">
        <v>2347</v>
      </c>
      <c r="J47" s="1270" t="s">
        <v>5013</v>
      </c>
      <c r="K47" s="1270" t="s">
        <v>8683</v>
      </c>
      <c r="L47" s="1270" t="s">
        <v>5014</v>
      </c>
      <c r="M47" s="1672" t="s">
        <v>5015</v>
      </c>
    </row>
    <row r="48" spans="2:13">
      <c r="B48" s="33" t="str">
        <f t="shared" ref="B48:B69" si="2">+MID(C48,2,3)</f>
        <v>228</v>
      </c>
      <c r="C48" s="1276" t="s">
        <v>8512</v>
      </c>
      <c r="D48" s="1283" t="s">
        <v>336</v>
      </c>
      <c r="E48" s="1284">
        <v>17835455.566666696</v>
      </c>
      <c r="F48" s="1611"/>
      <c r="G48" s="1285"/>
      <c r="H48" s="1286"/>
      <c r="I48" s="963"/>
      <c r="J48" s="963"/>
      <c r="K48" s="963"/>
      <c r="L48" s="963"/>
      <c r="M48" s="295">
        <v>17835455.566666696</v>
      </c>
    </row>
    <row r="49" spans="2:13">
      <c r="B49" s="33" t="str">
        <f t="shared" si="2"/>
        <v>228</v>
      </c>
      <c r="C49" s="1276" t="s">
        <v>8513</v>
      </c>
      <c r="D49" s="1287" t="s">
        <v>5039</v>
      </c>
      <c r="E49" s="1288">
        <v>7962060.0085416995</v>
      </c>
      <c r="F49" s="1288"/>
      <c r="G49" s="357"/>
      <c r="H49" s="36"/>
      <c r="I49" s="296"/>
      <c r="J49" s="296"/>
      <c r="K49" s="296"/>
      <c r="L49" s="296"/>
      <c r="M49" s="295">
        <v>7962060.0085416995</v>
      </c>
    </row>
    <row r="50" spans="2:13">
      <c r="B50" s="33" t="str">
        <f t="shared" si="2"/>
        <v>228</v>
      </c>
      <c r="C50" s="1276" t="s">
        <v>8514</v>
      </c>
      <c r="D50" s="1287" t="s">
        <v>5040</v>
      </c>
      <c r="E50" s="1288">
        <v>75854965.614615396</v>
      </c>
      <c r="F50" s="1288"/>
      <c r="G50" s="357"/>
      <c r="H50" s="36"/>
      <c r="I50" s="296"/>
      <c r="J50" s="296"/>
      <c r="K50" s="296"/>
      <c r="L50" s="296"/>
      <c r="M50" s="295">
        <v>75854965.614615396</v>
      </c>
    </row>
    <row r="51" spans="2:13">
      <c r="B51" s="33" t="str">
        <f t="shared" si="2"/>
        <v>228</v>
      </c>
      <c r="C51" s="1276" t="s">
        <v>8515</v>
      </c>
      <c r="D51" s="1287" t="s">
        <v>5041</v>
      </c>
      <c r="E51" s="1289">
        <v>783000</v>
      </c>
      <c r="F51" s="1289"/>
      <c r="G51" s="357"/>
      <c r="H51" s="36"/>
      <c r="I51" s="296"/>
      <c r="J51" s="296"/>
      <c r="K51" s="296"/>
      <c r="L51" s="296"/>
      <c r="M51" s="295">
        <v>783000</v>
      </c>
    </row>
    <row r="52" spans="2:13">
      <c r="B52" s="33" t="str">
        <f t="shared" si="2"/>
        <v>229</v>
      </c>
      <c r="C52" s="1276" t="s">
        <v>8516</v>
      </c>
      <c r="D52" s="1287" t="s">
        <v>366</v>
      </c>
      <c r="E52" s="1289">
        <v>0</v>
      </c>
      <c r="F52" s="1289"/>
      <c r="G52" s="357"/>
      <c r="H52" s="36"/>
      <c r="I52" s="296"/>
      <c r="J52" s="296"/>
      <c r="K52" s="296"/>
      <c r="L52" s="296"/>
      <c r="M52" s="295">
        <v>0</v>
      </c>
    </row>
    <row r="53" spans="2:13">
      <c r="B53" s="33" t="str">
        <f t="shared" si="2"/>
        <v>230</v>
      </c>
      <c r="C53" s="1276" t="s">
        <v>8517</v>
      </c>
      <c r="D53" s="1287" t="s">
        <v>1847</v>
      </c>
      <c r="E53" s="1289">
        <v>34647242.676153846</v>
      </c>
      <c r="F53" s="1289"/>
      <c r="G53" s="357"/>
      <c r="H53" s="36"/>
      <c r="I53" s="296"/>
      <c r="J53" s="296"/>
      <c r="K53" s="296"/>
      <c r="L53" s="296"/>
      <c r="M53" s="295">
        <v>34647242.676153846</v>
      </c>
    </row>
    <row r="54" spans="2:13">
      <c r="B54" s="33" t="str">
        <f t="shared" si="2"/>
        <v>232</v>
      </c>
      <c r="C54" s="1276" t="s">
        <v>8518</v>
      </c>
      <c r="D54" s="1287" t="s">
        <v>1417</v>
      </c>
      <c r="E54" s="1289">
        <v>262287351.23794481</v>
      </c>
      <c r="F54" s="1289"/>
      <c r="G54" s="357"/>
      <c r="H54" s="36"/>
      <c r="I54" s="296"/>
      <c r="J54" s="296"/>
      <c r="K54" s="296"/>
      <c r="L54" s="296"/>
      <c r="M54" s="295">
        <v>262287351.23794481</v>
      </c>
    </row>
    <row r="55" spans="2:13">
      <c r="B55" s="33" t="str">
        <f t="shared" si="2"/>
        <v>233</v>
      </c>
      <c r="C55" s="1276" t="s">
        <v>8519</v>
      </c>
      <c r="D55" s="1287" t="s">
        <v>5042</v>
      </c>
      <c r="E55" s="1289">
        <v>0</v>
      </c>
      <c r="F55" s="1289"/>
      <c r="G55" s="357"/>
      <c r="H55" s="36"/>
      <c r="I55" s="296"/>
      <c r="J55" s="296"/>
      <c r="K55" s="296"/>
      <c r="L55" s="296"/>
      <c r="M55" s="295">
        <v>0</v>
      </c>
    </row>
    <row r="56" spans="2:13">
      <c r="B56" s="33" t="str">
        <f t="shared" si="2"/>
        <v>234</v>
      </c>
      <c r="C56" s="1276" t="s">
        <v>8520</v>
      </c>
      <c r="D56" s="1287" t="s">
        <v>5043</v>
      </c>
      <c r="E56" s="1289">
        <v>11430237.184311908</v>
      </c>
      <c r="F56" s="1289"/>
      <c r="G56" s="357"/>
      <c r="H56" s="36"/>
      <c r="I56" s="296"/>
      <c r="J56" s="296"/>
      <c r="K56" s="296"/>
      <c r="L56" s="296"/>
      <c r="M56" s="295">
        <v>11430237.184311908</v>
      </c>
    </row>
    <row r="57" spans="2:13">
      <c r="B57" s="33" t="str">
        <f t="shared" si="2"/>
        <v>236</v>
      </c>
      <c r="C57" s="1276" t="s">
        <v>8521</v>
      </c>
      <c r="D57" s="1287" t="s">
        <v>5044</v>
      </c>
      <c r="E57" s="1289">
        <v>44320676.262094036</v>
      </c>
      <c r="F57" s="1289"/>
      <c r="G57" s="357"/>
      <c r="H57" s="1290">
        <v>894781.09538461443</v>
      </c>
      <c r="I57" s="1612"/>
      <c r="J57" s="1291"/>
      <c r="K57" s="1291"/>
      <c r="L57" s="1291"/>
      <c r="M57" s="295">
        <v>45215457.357478648</v>
      </c>
    </row>
    <row r="58" spans="2:13">
      <c r="B58" s="33" t="str">
        <f t="shared" si="2"/>
        <v>237</v>
      </c>
      <c r="C58" s="1276" t="s">
        <v>8522</v>
      </c>
      <c r="D58" s="1287" t="s">
        <v>1421</v>
      </c>
      <c r="E58" s="1288">
        <v>46827295.57038451</v>
      </c>
      <c r="F58" s="1288"/>
      <c r="G58" s="357"/>
      <c r="H58" s="36"/>
      <c r="I58" s="296"/>
      <c r="J58" s="296"/>
      <c r="K58" s="296"/>
      <c r="L58" s="296">
        <v>0</v>
      </c>
      <c r="M58" s="295">
        <v>46827295.57038451</v>
      </c>
    </row>
    <row r="59" spans="2:13">
      <c r="B59" s="33" t="str">
        <f t="shared" si="2"/>
        <v>238</v>
      </c>
      <c r="C59" s="1276" t="s">
        <v>8523</v>
      </c>
      <c r="D59" s="1287" t="s">
        <v>474</v>
      </c>
      <c r="E59" s="1288">
        <v>0</v>
      </c>
      <c r="F59" s="1288"/>
      <c r="G59" s="357"/>
      <c r="H59" s="36"/>
      <c r="I59" s="296"/>
      <c r="J59" s="1292">
        <v>0</v>
      </c>
      <c r="K59" s="1292"/>
      <c r="L59" s="296"/>
      <c r="M59" s="295">
        <v>0</v>
      </c>
    </row>
    <row r="60" spans="2:13">
      <c r="B60" s="33" t="str">
        <f t="shared" si="2"/>
        <v>241</v>
      </c>
      <c r="C60" s="1276" t="s">
        <v>8524</v>
      </c>
      <c r="D60" s="1287" t="s">
        <v>1423</v>
      </c>
      <c r="E60" s="1288">
        <v>14207134.949230762</v>
      </c>
      <c r="F60" s="1288"/>
      <c r="G60" s="357"/>
      <c r="H60" s="36"/>
      <c r="I60" s="296"/>
      <c r="J60" s="296"/>
      <c r="K60" s="296"/>
      <c r="L60" s="296"/>
      <c r="M60" s="295">
        <v>14207134.949230762</v>
      </c>
    </row>
    <row r="61" spans="2:13">
      <c r="B61" s="33" t="str">
        <f t="shared" si="2"/>
        <v>242</v>
      </c>
      <c r="C61" s="1276" t="s">
        <v>8525</v>
      </c>
      <c r="D61" s="1287" t="s">
        <v>5045</v>
      </c>
      <c r="E61" s="1288">
        <v>41537637.464034952</v>
      </c>
      <c r="F61" s="1288"/>
      <c r="G61" s="357"/>
      <c r="H61" s="36"/>
      <c r="I61" s="296"/>
      <c r="K61" s="296"/>
      <c r="L61" s="296"/>
      <c r="M61" s="295">
        <v>41537637.464034952</v>
      </c>
    </row>
    <row r="62" spans="2:13">
      <c r="B62" s="33" t="str">
        <f t="shared" si="2"/>
        <v>243</v>
      </c>
      <c r="C62" s="1276" t="s">
        <v>8526</v>
      </c>
      <c r="D62" s="1287" t="s">
        <v>5046</v>
      </c>
      <c r="E62" s="1288">
        <v>944404.00110644614</v>
      </c>
      <c r="F62" s="1288"/>
      <c r="G62" s="1293"/>
      <c r="H62" s="36"/>
      <c r="I62" s="296">
        <v>-944404.00110644614</v>
      </c>
      <c r="J62" s="296"/>
      <c r="K62" s="296"/>
      <c r="L62" s="296"/>
      <c r="M62" s="295">
        <v>0</v>
      </c>
    </row>
    <row r="63" spans="2:13">
      <c r="B63" s="33" t="str">
        <f t="shared" si="2"/>
        <v>227</v>
      </c>
      <c r="C63" s="1276" t="s">
        <v>8527</v>
      </c>
      <c r="D63" s="1287" t="s">
        <v>5047</v>
      </c>
      <c r="E63" s="1288">
        <v>32180446.293427486</v>
      </c>
      <c r="F63" s="1288"/>
      <c r="G63" s="1293"/>
      <c r="H63" s="36"/>
      <c r="I63" s="296">
        <v>-32180446.293427486</v>
      </c>
      <c r="J63" s="296"/>
      <c r="K63" s="296"/>
      <c r="L63" s="296"/>
      <c r="M63" s="295">
        <v>0</v>
      </c>
    </row>
    <row r="64" spans="2:13">
      <c r="B64" s="33" t="str">
        <f t="shared" si="2"/>
        <v>245</v>
      </c>
      <c r="C64" s="1276" t="s">
        <v>8528</v>
      </c>
      <c r="D64" s="1287" t="s">
        <v>5048</v>
      </c>
      <c r="E64" s="1288">
        <v>0</v>
      </c>
      <c r="F64" s="1288"/>
      <c r="G64" s="357"/>
      <c r="H64" s="36"/>
      <c r="I64" s="296"/>
      <c r="J64" s="296"/>
      <c r="K64" s="296"/>
      <c r="L64" s="296"/>
      <c r="M64" s="295">
        <v>0</v>
      </c>
    </row>
    <row r="65" spans="2:14">
      <c r="B65" s="33" t="str">
        <f t="shared" si="2"/>
        <v>253</v>
      </c>
      <c r="C65" s="1276" t="s">
        <v>8529</v>
      </c>
      <c r="D65" s="1287" t="s">
        <v>1427</v>
      </c>
      <c r="E65" s="1288">
        <v>36211952.579107612</v>
      </c>
      <c r="F65" s="1288"/>
      <c r="G65" s="357"/>
      <c r="H65" s="1278">
        <v>0</v>
      </c>
      <c r="I65" s="1291"/>
      <c r="J65" s="1291"/>
      <c r="K65" s="1291"/>
      <c r="L65" s="1291"/>
      <c r="M65" s="295">
        <v>36211952.579107612</v>
      </c>
    </row>
    <row r="66" spans="2:14">
      <c r="B66" s="33" t="str">
        <f t="shared" si="2"/>
        <v>254</v>
      </c>
      <c r="C66" s="1276" t="s">
        <v>8530</v>
      </c>
      <c r="D66" s="1287" t="s">
        <v>5049</v>
      </c>
      <c r="E66" s="1288">
        <v>523655042.00802428</v>
      </c>
      <c r="F66" s="1288">
        <v>-195268.30769230769</v>
      </c>
      <c r="G66" s="1294"/>
      <c r="H66" s="36"/>
      <c r="I66" s="296"/>
      <c r="J66" s="296"/>
      <c r="K66" s="296"/>
      <c r="L66" s="296"/>
      <c r="M66" s="295">
        <v>523459773.70033199</v>
      </c>
    </row>
    <row r="67" spans="2:14">
      <c r="B67" s="33" t="str">
        <f t="shared" si="2"/>
        <v>540</v>
      </c>
      <c r="C67" s="1276" t="s">
        <v>8531</v>
      </c>
      <c r="D67" s="1287" t="s">
        <v>533</v>
      </c>
      <c r="E67" s="1289">
        <v>-430098685.3315385</v>
      </c>
      <c r="F67" s="1289"/>
      <c r="G67" s="357"/>
      <c r="H67" s="36"/>
      <c r="I67" s="296"/>
      <c r="J67" s="296"/>
      <c r="K67" s="296"/>
      <c r="L67" s="296"/>
      <c r="M67" s="295">
        <v>-430098685.3315385</v>
      </c>
    </row>
    <row r="68" spans="2:14">
      <c r="B68" s="33" t="str">
        <f t="shared" si="2"/>
        <v>256</v>
      </c>
      <c r="C68" s="1276" t="s">
        <v>8532</v>
      </c>
      <c r="D68" s="1287" t="s">
        <v>5050</v>
      </c>
      <c r="E68" s="1288">
        <v>-7876.119999999999</v>
      </c>
      <c r="F68" s="1288"/>
      <c r="G68" s="357"/>
      <c r="H68" s="36"/>
      <c r="I68" s="296"/>
      <c r="J68" s="296"/>
      <c r="K68" s="296"/>
      <c r="L68" s="296"/>
      <c r="M68" s="295">
        <v>-7876.119999999999</v>
      </c>
    </row>
    <row r="69" spans="2:14">
      <c r="B69" s="33" t="str">
        <f t="shared" si="2"/>
        <v>257</v>
      </c>
      <c r="C69" s="1276" t="s">
        <v>8533</v>
      </c>
      <c r="D69" s="1287" t="s">
        <v>5051</v>
      </c>
      <c r="E69" s="1288">
        <v>0</v>
      </c>
      <c r="F69" s="1288"/>
      <c r="G69" s="357"/>
      <c r="H69" s="36"/>
      <c r="I69" s="296"/>
      <c r="J69" s="296"/>
      <c r="K69" s="296"/>
      <c r="L69" s="296"/>
      <c r="M69" s="295">
        <v>0</v>
      </c>
    </row>
    <row r="70" spans="2:14" ht="15" thickBot="1">
      <c r="C70" s="3067" t="s">
        <v>1436</v>
      </c>
      <c r="D70" s="3067"/>
      <c r="E70" s="1280">
        <f t="shared" ref="E70:M70" si="3">SUM(E48:E69)</f>
        <v>720578339.9641062</v>
      </c>
      <c r="F70" s="1280">
        <f t="shared" si="3"/>
        <v>-195268.30769230769</v>
      </c>
      <c r="G70" s="1280">
        <f t="shared" si="3"/>
        <v>0</v>
      </c>
      <c r="H70" s="1280">
        <f t="shared" si="3"/>
        <v>894781.09538461443</v>
      </c>
      <c r="I70" s="1280">
        <f t="shared" si="3"/>
        <v>-33124850.294533931</v>
      </c>
      <c r="J70" s="1280">
        <f t="shared" si="3"/>
        <v>0</v>
      </c>
      <c r="K70" s="1280">
        <f t="shared" si="3"/>
        <v>0</v>
      </c>
      <c r="L70" s="1280">
        <f t="shared" si="3"/>
        <v>0</v>
      </c>
      <c r="M70" s="1280">
        <f t="shared" si="3"/>
        <v>688153002.45726454</v>
      </c>
    </row>
    <row r="71" spans="2:14" ht="15" thickTop="1">
      <c r="C71" s="345"/>
      <c r="D71" s="162"/>
      <c r="E71" s="162"/>
      <c r="F71" s="162"/>
    </row>
    <row r="72" spans="2:14">
      <c r="C72" s="345"/>
      <c r="D72" s="162"/>
      <c r="E72" s="162"/>
      <c r="F72" s="162"/>
    </row>
    <row r="73" spans="2:14">
      <c r="C73" s="345"/>
      <c r="D73" s="162"/>
      <c r="E73" s="162"/>
      <c r="F73" s="162"/>
    </row>
    <row r="74" spans="2:14" ht="15" thickBot="1">
      <c r="C74" s="1314" t="s">
        <v>5052</v>
      </c>
      <c r="D74" s="1314"/>
      <c r="E74" s="1295">
        <f>+E41-E70</f>
        <v>606832557.67902982</v>
      </c>
      <c r="F74" s="1295">
        <f t="shared" ref="F74:M74" si="4">+F41-F70</f>
        <v>-532747013.50130844</v>
      </c>
      <c r="G74" s="1295">
        <f t="shared" si="4"/>
        <v>-1000000</v>
      </c>
      <c r="H74" s="1295">
        <f t="shared" si="4"/>
        <v>-17272815.748461545</v>
      </c>
      <c r="I74" s="1295">
        <f t="shared" si="4"/>
        <v>33124850.294533931</v>
      </c>
      <c r="J74" s="1295">
        <f t="shared" si="4"/>
        <v>0</v>
      </c>
      <c r="K74" s="1295">
        <f t="shared" si="4"/>
        <v>-1778891.2051282381</v>
      </c>
      <c r="L74" s="1295">
        <f t="shared" si="4"/>
        <v>0</v>
      </c>
      <c r="M74" s="1295">
        <f t="shared" si="4"/>
        <v>87158687.518665433</v>
      </c>
    </row>
    <row r="75" spans="2:14" ht="15" thickTop="1">
      <c r="E75">
        <v>0</v>
      </c>
    </row>
    <row r="76" spans="2:14">
      <c r="E76" s="516"/>
      <c r="M76" s="46">
        <f>+'Surv Report Sched 2 pg 1'!R39</f>
        <v>86969813</v>
      </c>
    </row>
    <row r="77" spans="2:14">
      <c r="M77" s="1586">
        <f>+M74-M76</f>
        <v>188874.51866543293</v>
      </c>
    </row>
    <row r="78" spans="2:14">
      <c r="M78" s="1586">
        <f>+'Surv Report Sched 2 pg 1'!R27</f>
        <v>-188876</v>
      </c>
      <c r="N78" t="s">
        <v>5061</v>
      </c>
    </row>
    <row r="79" spans="2:14">
      <c r="G79" t="s">
        <v>5011</v>
      </c>
      <c r="H79" t="s">
        <v>5012</v>
      </c>
      <c r="J79" t="s">
        <v>5013</v>
      </c>
      <c r="L79" t="s">
        <v>5014</v>
      </c>
      <c r="M79" t="s">
        <v>5015</v>
      </c>
    </row>
  </sheetData>
  <mergeCells count="2">
    <mergeCell ref="C70:D70"/>
    <mergeCell ref="C41:D41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B2:P43"/>
  <sheetViews>
    <sheetView tabSelected="1" showOutlineSymbols="0" workbookViewId="0"/>
  </sheetViews>
  <sheetFormatPr defaultRowHeight="14.4"/>
  <cols>
    <col min="2" max="2" width="37.5546875" customWidth="1"/>
    <col min="3" max="3" width="11.33203125" bestFit="1" customWidth="1"/>
    <col min="4" max="4" width="12" bestFit="1" customWidth="1"/>
    <col min="5" max="5" width="11.33203125" bestFit="1" customWidth="1"/>
    <col min="7" max="7" width="32.88671875" customWidth="1"/>
    <col min="8" max="8" width="12.33203125" bestFit="1" customWidth="1"/>
    <col min="9" max="9" width="12" bestFit="1" customWidth="1"/>
    <col min="10" max="10" width="12.33203125" bestFit="1" customWidth="1"/>
    <col min="12" max="12" width="30.109375" bestFit="1" customWidth="1"/>
    <col min="13" max="13" width="11.88671875" bestFit="1" customWidth="1"/>
    <col min="14" max="14" width="12.109375" bestFit="1" customWidth="1"/>
    <col min="16" max="16" width="12.6640625" bestFit="1" customWidth="1"/>
  </cols>
  <sheetData>
    <row r="2" spans="2:16">
      <c r="B2" s="62" t="s">
        <v>1891</v>
      </c>
    </row>
    <row r="4" spans="2:16" ht="15" thickBot="1"/>
    <row r="5" spans="2:16" ht="16.2" thickBot="1">
      <c r="B5" s="3116" t="s">
        <v>1892</v>
      </c>
      <c r="C5" s="3117"/>
      <c r="D5" s="3117"/>
      <c r="E5" s="3118"/>
      <c r="G5" s="3116" t="s">
        <v>1893</v>
      </c>
      <c r="H5" s="3117"/>
      <c r="I5" s="3117"/>
      <c r="J5" s="3118"/>
      <c r="L5" s="2420" t="s">
        <v>610</v>
      </c>
      <c r="M5" s="72"/>
      <c r="N5" s="2421"/>
      <c r="P5" s="1962" t="s">
        <v>116</v>
      </c>
    </row>
    <row r="6" spans="2:16" ht="16.2" thickBot="1">
      <c r="B6" s="3113" t="s">
        <v>1894</v>
      </c>
      <c r="C6" s="3114"/>
      <c r="D6" s="3114"/>
      <c r="E6" s="3115"/>
      <c r="G6" s="3113" t="s">
        <v>1895</v>
      </c>
      <c r="H6" s="3114"/>
      <c r="I6" s="3114"/>
      <c r="J6" s="3115"/>
      <c r="L6" s="2426" t="s">
        <v>35</v>
      </c>
      <c r="M6" s="2428" t="s">
        <v>611</v>
      </c>
      <c r="N6" s="2439" t="s">
        <v>610</v>
      </c>
    </row>
    <row r="7" spans="2:16">
      <c r="B7" s="39"/>
      <c r="C7" s="60" t="s">
        <v>1863</v>
      </c>
      <c r="D7" s="60" t="s">
        <v>1863</v>
      </c>
      <c r="E7" s="40" t="s">
        <v>1864</v>
      </c>
      <c r="G7" s="39"/>
      <c r="H7" s="60" t="s">
        <v>1863</v>
      </c>
      <c r="I7" s="60" t="s">
        <v>1863</v>
      </c>
      <c r="J7" s="40" t="s">
        <v>1864</v>
      </c>
      <c r="L7" s="59" t="s">
        <v>1909</v>
      </c>
      <c r="M7" s="2440">
        <v>673695497</v>
      </c>
      <c r="N7" s="2433">
        <f>+M7-C23-H23-C43</f>
        <v>3</v>
      </c>
    </row>
    <row r="8" spans="2:16">
      <c r="B8" s="2446" t="s">
        <v>1896</v>
      </c>
      <c r="C8" s="77" t="s">
        <v>1897</v>
      </c>
      <c r="D8" s="77" t="s">
        <v>1866</v>
      </c>
      <c r="E8" s="2447" t="s">
        <v>1867</v>
      </c>
      <c r="G8" s="2446" t="s">
        <v>1896</v>
      </c>
      <c r="H8" s="77" t="s">
        <v>1897</v>
      </c>
      <c r="I8" s="77" t="s">
        <v>1866</v>
      </c>
      <c r="J8" s="2447" t="s">
        <v>1867</v>
      </c>
      <c r="L8" s="59" t="s">
        <v>1910</v>
      </c>
      <c r="M8" s="2440">
        <v>-21116910</v>
      </c>
      <c r="N8" s="2433">
        <f>+M8+D23+I23+D43</f>
        <v>3</v>
      </c>
      <c r="P8">
        <v>352</v>
      </c>
    </row>
    <row r="9" spans="2:16" ht="15" thickBot="1">
      <c r="B9" s="2448"/>
      <c r="C9" s="60"/>
      <c r="D9" s="60"/>
      <c r="E9" s="43"/>
      <c r="L9" s="2430" t="s">
        <v>1911</v>
      </c>
      <c r="M9" s="2441">
        <v>18558288</v>
      </c>
      <c r="N9" s="2434">
        <f>+M9-E23-J23-E43</f>
        <v>-2.786264440161176</v>
      </c>
      <c r="P9">
        <v>353</v>
      </c>
    </row>
    <row r="10" spans="2:16">
      <c r="B10" s="39"/>
      <c r="C10" s="2086"/>
      <c r="D10" s="2086"/>
      <c r="E10" s="2449"/>
      <c r="G10" s="39">
        <v>361</v>
      </c>
      <c r="H10" s="2086">
        <f>+SUMIFS('SPP Plant in Service'!E:E,'SPP Plant in Service'!A:A,'SPP ADJ T&amp;D'!G10)</f>
        <v>202811</v>
      </c>
      <c r="I10" s="2086">
        <f>+SUMIFS('SPP Accum Depreciation'!E:E,'SPP Accum Depreciation'!A:A,'SPP ADJ T&amp;D'!G10)</f>
        <v>10096</v>
      </c>
      <c r="J10" s="2449">
        <f>+SUMIFS('SPP Net Depreciation'!D:D,'SPP Net Depreciation'!A:A,'SPP ADJ T&amp;D'!G10)</f>
        <v>5232.4800000000005</v>
      </c>
      <c r="P10">
        <v>354</v>
      </c>
    </row>
    <row r="11" spans="2:16">
      <c r="B11" s="39">
        <v>352</v>
      </c>
      <c r="C11" s="2086">
        <f>+SUMIFS('SPP Plant in Service'!E:E,'SPP Plant in Service'!A:A,'SPP ADJ T&amp;D'!B11)</f>
        <v>0</v>
      </c>
      <c r="D11" s="2086">
        <f>+SUMIFS('SPP Accum Depreciation'!E:E,'SPP Accum Depreciation'!A:A,'SPP ADJ T&amp;D'!B11)</f>
        <v>0</v>
      </c>
      <c r="E11" s="2449">
        <f>+SUMIFS('SPP Net Depreciation'!D:D,'SPP Net Depreciation'!A:A,'SPP ADJ T&amp;D'!B11)*'SPP Net Depreciation'!D3</f>
        <v>0</v>
      </c>
      <c r="G11" s="39">
        <v>362</v>
      </c>
      <c r="H11" s="2086">
        <f>+SUMIFS('SPP Plant in Service'!E:E,'SPP Plant in Service'!A:A,'SPP ADJ T&amp;D'!G11)</f>
        <v>6837228</v>
      </c>
      <c r="I11" s="2086">
        <f>+SUMIFS('SPP Accum Depreciation'!E:E,'SPP Accum Depreciation'!A:A,'SPP ADJ T&amp;D'!G11)</f>
        <v>418291</v>
      </c>
      <c r="J11" s="2449">
        <f>+SUMIFS('SPP Net Depreciation'!D:D,'SPP Net Depreciation'!A:A,'SPP ADJ T&amp;D'!G11)</f>
        <v>183081.24</v>
      </c>
      <c r="P11">
        <v>355</v>
      </c>
    </row>
    <row r="12" spans="2:16">
      <c r="B12" s="39">
        <v>353</v>
      </c>
      <c r="C12" s="2086">
        <f>+SUMIFS('SPP Plant in Service'!E:E,'SPP Plant in Service'!A:A,'SPP ADJ T&amp;D'!B12)</f>
        <v>218384</v>
      </c>
      <c r="D12" s="2086">
        <f>+SUMIFS('SPP Accum Depreciation'!E:E,'SPP Accum Depreciation'!A:A,'SPP ADJ T&amp;D'!B12)</f>
        <v>9758</v>
      </c>
      <c r="E12" s="2449">
        <f>+SUMIFS('SPP Net Depreciation'!D:D,'SPP Net Depreciation'!A:A,'SPP ADJ T&amp;D'!B12)*'SPP Net Depreciation'!D3</f>
        <v>-1401.0670330271996</v>
      </c>
      <c r="G12" s="39">
        <v>364</v>
      </c>
      <c r="H12" s="2086">
        <f>+SUMIFS('SPP Plant in Service'!E:E,'SPP Plant in Service'!A:A,'SPP ADJ T&amp;D'!G12)</f>
        <v>75758085</v>
      </c>
      <c r="I12" s="2086">
        <f>+SUMIFS('SPP Accum Depreciation'!E:E,'SPP Accum Depreciation'!A:A,'SPP ADJ T&amp;D'!G12)</f>
        <v>-188338</v>
      </c>
      <c r="J12" s="2449">
        <f>+SUMIFS('SPP Net Depreciation'!D:D,'SPP Net Depreciation'!A:A,'SPP ADJ T&amp;D'!G12)</f>
        <v>-653032.61000000034</v>
      </c>
      <c r="P12">
        <v>356</v>
      </c>
    </row>
    <row r="13" spans="2:16">
      <c r="B13" s="39">
        <v>354</v>
      </c>
      <c r="C13" s="2086">
        <f>+SUMIFS('SPP Plant in Service'!E:E,'SPP Plant in Service'!A:A,'SPP ADJ T&amp;D'!B13)</f>
        <v>0</v>
      </c>
      <c r="D13" s="2086">
        <f>+SUMIFS('SPP Accum Depreciation'!E:E,'SPP Accum Depreciation'!A:A,'SPP ADJ T&amp;D'!B13)</f>
        <v>0</v>
      </c>
      <c r="E13" s="2449">
        <f>+SUMIFS('SPP Net Depreciation'!D:D,'SPP Net Depreciation'!A:A,'SPP ADJ T&amp;D'!B13)</f>
        <v>0</v>
      </c>
      <c r="G13" s="39">
        <v>365</v>
      </c>
      <c r="H13" s="2086">
        <f>+SUMIFS('SPP Plant in Service'!E:E,'SPP Plant in Service'!A:A,'SPP ADJ T&amp;D'!G13)</f>
        <v>8740359</v>
      </c>
      <c r="I13" s="2086">
        <f>+SUMIFS('SPP Accum Depreciation'!E:E,'SPP Accum Depreciation'!A:A,'SPP ADJ T&amp;D'!G13)</f>
        <v>218061</v>
      </c>
      <c r="J13" s="2449">
        <f>+SUMIFS('SPP Net Depreciation'!D:D,'SPP Net Depreciation'!A:A,'SPP ADJ T&amp;D'!G13)</f>
        <v>111834.11999999997</v>
      </c>
      <c r="P13">
        <v>35601</v>
      </c>
    </row>
    <row r="14" spans="2:16">
      <c r="B14" s="39">
        <v>355</v>
      </c>
      <c r="C14" s="2086">
        <f>+SUMIFS('SPP Plant in Service'!E:E,'SPP Plant in Service'!A:A,'SPP ADJ T&amp;D'!B14)</f>
        <v>80487664</v>
      </c>
      <c r="D14" s="2086">
        <f>+SUMIFS('SPP Accum Depreciation'!E:E,'SPP Accum Depreciation'!A:A,'SPP ADJ T&amp;D'!B14)</f>
        <v>2443659</v>
      </c>
      <c r="E14" s="2449">
        <f>+SUMIFS('SPP Net Depreciation'!D:D,'SPP Net Depreciation'!A:A,'SPP ADJ T&amp;D'!B14)*'SPP Net Depreciation'!D3</f>
        <v>1914332.1621386656</v>
      </c>
      <c r="G14" s="39">
        <v>366</v>
      </c>
      <c r="H14" s="2086">
        <f>+SUMIFS('SPP Plant in Service'!E:E,'SPP Plant in Service'!A:A,'SPP ADJ T&amp;D'!G14)</f>
        <v>38262114</v>
      </c>
      <c r="I14" s="2086">
        <f>+SUMIFS('SPP Accum Depreciation'!E:E,'SPP Accum Depreciation'!A:A,'SPP ADJ T&amp;D'!G14)</f>
        <v>1485133</v>
      </c>
      <c r="J14" s="2449">
        <f>+SUMIFS('SPP Net Depreciation'!D:D,'SPP Net Depreciation'!A:A,'SPP ADJ T&amp;D'!G14)</f>
        <v>668520.59999999986</v>
      </c>
      <c r="P14">
        <v>357</v>
      </c>
    </row>
    <row r="15" spans="2:16">
      <c r="B15" s="39">
        <v>356</v>
      </c>
      <c r="C15" s="2086">
        <f>+SUMIFS('SPP Plant in Service'!E:E,'SPP Plant in Service'!A:A,'SPP ADJ T&amp;D'!B15)</f>
        <v>2437021</v>
      </c>
      <c r="D15" s="2086">
        <f>+SUMIFS('SPP Accum Depreciation'!E:E,'SPP Accum Depreciation'!A:A,'SPP ADJ T&amp;D'!B15)</f>
        <v>78322</v>
      </c>
      <c r="E15" s="2449">
        <f>+SUMIFS('SPP Net Depreciation'!D:D,'SPP Net Depreciation'!A:A,'SPP ADJ T&amp;D'!B15)*'SPP Net Depreciation'!D3</f>
        <v>19218.171158802001</v>
      </c>
      <c r="G15" s="39">
        <v>367</v>
      </c>
      <c r="H15" s="2086">
        <f>+SUMIFS('SPP Plant in Service'!E:E,'SPP Plant in Service'!A:A,'SPP ADJ T&amp;D'!G15)</f>
        <v>399838987</v>
      </c>
      <c r="I15" s="2086">
        <f>+SUMIFS('SPP Accum Depreciation'!E:E,'SPP Accum Depreciation'!A:A,'SPP ADJ T&amp;D'!G15)</f>
        <v>11423112</v>
      </c>
      <c r="J15" s="2449">
        <f>+SUMIFS('SPP Net Depreciation'!D:D,'SPP Net Depreciation'!A:A,'SPP ADJ T&amp;D'!G15)</f>
        <v>14019159.209999999</v>
      </c>
      <c r="P15">
        <v>358</v>
      </c>
    </row>
    <row r="16" spans="2:16">
      <c r="B16" s="39">
        <v>35601</v>
      </c>
      <c r="C16" s="2086">
        <f>+SUMIFS('SPP Plant in Service'!E:E,'SPP Plant in Service'!A:A,'SPP ADJ T&amp;D'!B16)</f>
        <v>0</v>
      </c>
      <c r="D16" s="2086">
        <f>+SUMIFS('SPP Accum Depreciation'!E:E,'SPP Accum Depreciation'!A:A,'SPP ADJ T&amp;D'!B16)</f>
        <v>0</v>
      </c>
      <c r="E16" s="2449">
        <f>+SUMIFS('SPP Net Depreciation'!D:D,'SPP Net Depreciation'!A:A,'SPP ADJ T&amp;D'!B16)</f>
        <v>0</v>
      </c>
      <c r="G16" s="39">
        <v>368</v>
      </c>
      <c r="H16" s="2086">
        <f>+SUMIFS('SPP Plant in Service'!E:E,'SPP Plant in Service'!A:A,'SPP ADJ T&amp;D'!G16)</f>
        <v>42608647</v>
      </c>
      <c r="I16" s="2086">
        <f>+SUMIFS('SPP Accum Depreciation'!E:E,'SPP Accum Depreciation'!A:A,'SPP ADJ T&amp;D'!G16)</f>
        <v>3446244</v>
      </c>
      <c r="J16" s="2449">
        <f>+SUMIFS('SPP Net Depreciation'!D:D,'SPP Net Depreciation'!A:A,'SPP ADJ T&amp;D'!G16)</f>
        <v>1493824.9200000004</v>
      </c>
      <c r="P16">
        <v>359</v>
      </c>
    </row>
    <row r="17" spans="2:16">
      <c r="B17" s="39">
        <v>357</v>
      </c>
      <c r="C17" s="2086">
        <f>+SUMIFS('SPP Plant in Service'!E:E,'SPP Plant in Service'!A:A,'SPP ADJ T&amp;D'!B17)</f>
        <v>0</v>
      </c>
      <c r="D17" s="2086">
        <f>+SUMIFS('SPP Accum Depreciation'!E:E,'SPP Accum Depreciation'!A:A,'SPP ADJ T&amp;D'!B17)</f>
        <v>0</v>
      </c>
      <c r="E17" s="2449">
        <f>+SUMIFS('SPP Net Depreciation'!D:D,'SPP Net Depreciation'!A:A,'SPP ADJ T&amp;D'!B17)</f>
        <v>0</v>
      </c>
      <c r="G17" s="39">
        <v>369</v>
      </c>
      <c r="H17" s="2086">
        <f>+SUMIFS('SPP Plant in Service'!E:E,'SPP Plant in Service'!A:A,'SPP ADJ T&amp;D'!G17)</f>
        <v>10925823</v>
      </c>
      <c r="I17" s="2086">
        <f>+SUMIFS('SPP Accum Depreciation'!E:E,'SPP Accum Depreciation'!A:A,'SPP ADJ T&amp;D'!G17)</f>
        <v>519553</v>
      </c>
      <c r="J17" s="2449">
        <f>+SUMIFS('SPP Net Depreciation'!D:D,'SPP Net Depreciation'!A:A,'SPP ADJ T&amp;D'!G17)</f>
        <v>274223.15999999992</v>
      </c>
      <c r="P17">
        <v>361</v>
      </c>
    </row>
    <row r="18" spans="2:16">
      <c r="B18" s="39">
        <v>358</v>
      </c>
      <c r="C18" s="2086">
        <f>+SUMIFS('SPP Plant in Service'!E:E,'SPP Plant in Service'!A:A,'SPP ADJ T&amp;D'!B18)</f>
        <v>0</v>
      </c>
      <c r="D18" s="2086">
        <f>+SUMIFS('SPP Accum Depreciation'!E:E,'SPP Accum Depreciation'!A:A,'SPP ADJ T&amp;D'!B18)</f>
        <v>0</v>
      </c>
      <c r="E18" s="2449">
        <f>+SUMIFS('SPP Net Depreciation'!D:D,'SPP Net Depreciation'!A:A,'SPP ADJ T&amp;D'!B18)</f>
        <v>0</v>
      </c>
      <c r="G18" s="39">
        <v>36902</v>
      </c>
      <c r="H18" s="2086">
        <f>+SUMIFS('SPP Plant in Service'!E:E,'SPP Plant in Service'!A:A,'SPP ADJ T&amp;D'!G18)</f>
        <v>0</v>
      </c>
      <c r="I18" s="2086">
        <f>+SUMIFS('SPP Accum Depreciation'!E:E,'SPP Accum Depreciation'!A:A,'SPP ADJ T&amp;D'!G18)</f>
        <v>0</v>
      </c>
      <c r="J18" s="2449">
        <f>+SUMIFS('SPP Net Depreciation'!D:D,'SPP Net Depreciation'!A:A,'SPP ADJ T&amp;D'!G18)</f>
        <v>0</v>
      </c>
      <c r="P18">
        <v>362</v>
      </c>
    </row>
    <row r="19" spans="2:16">
      <c r="B19" s="39">
        <v>359</v>
      </c>
      <c r="C19" s="2086">
        <f>+SUMIFS('SPP Plant in Service'!E:E,'SPP Plant in Service'!A:A,'SPP ADJ T&amp;D'!B19)</f>
        <v>0</v>
      </c>
      <c r="D19" s="2086">
        <f>+SUMIFS('SPP Accum Depreciation'!E:E,'SPP Accum Depreciation'!A:A,'SPP ADJ T&amp;D'!B19)</f>
        <v>0</v>
      </c>
      <c r="E19" s="2449">
        <f>+SUMIFS('SPP Net Depreciation'!D:D,'SPP Net Depreciation'!A:A,'SPP ADJ T&amp;D'!B19)</f>
        <v>0</v>
      </c>
      <c r="G19" s="39">
        <v>370</v>
      </c>
      <c r="H19" s="2086">
        <f>+SUMIFS('SPP Plant in Service'!E:E,'SPP Plant in Service'!A:A,'SPP ADJ T&amp;D'!G19)</f>
        <v>2476</v>
      </c>
      <c r="I19" s="2086">
        <f>+SUMIFS('SPP Accum Depreciation'!E:E,'SPP Accum Depreciation'!A:A,'SPP ADJ T&amp;D'!G19)</f>
        <v>316</v>
      </c>
      <c r="J19" s="2449">
        <f>+SUMIFS('SPP Net Depreciation'!D:D,'SPP Net Depreciation'!A:A,'SPP ADJ T&amp;D'!G19)</f>
        <v>180.72</v>
      </c>
      <c r="P19">
        <v>364</v>
      </c>
    </row>
    <row r="20" spans="2:16">
      <c r="B20" s="39"/>
      <c r="C20" s="2086"/>
      <c r="D20" s="2086"/>
      <c r="E20" s="2449"/>
      <c r="G20" s="39">
        <v>371</v>
      </c>
      <c r="H20" s="2086">
        <f>+SUMIFS('SPP Plant in Service'!E:E,'SPP Plant in Service'!A:A,'SPP ADJ T&amp;D'!G20)</f>
        <v>0</v>
      </c>
      <c r="I20" s="2086">
        <f>+SUMIFS('SPP Accum Depreciation'!E:E,'SPP Accum Depreciation'!A:A,'SPP ADJ T&amp;D'!G20)</f>
        <v>0</v>
      </c>
      <c r="J20" s="2449">
        <f>+SUMIFS('SPP Net Depreciation'!D:D,'SPP Net Depreciation'!A:A,'SPP ADJ T&amp;D'!G20)</f>
        <v>0</v>
      </c>
      <c r="P20">
        <v>365</v>
      </c>
    </row>
    <row r="21" spans="2:16">
      <c r="B21" s="39"/>
      <c r="C21" s="2086"/>
      <c r="D21" s="2086"/>
      <c r="E21" s="2449"/>
      <c r="G21" s="39">
        <v>373</v>
      </c>
      <c r="H21" s="2086">
        <f>+SUMIFS('SPP Plant in Service'!E:E,'SPP Plant in Service'!A:A,'SPP ADJ T&amp;D'!G21)</f>
        <v>1319058</v>
      </c>
      <c r="I21" s="2086">
        <f>+SUMIFS('SPP Accum Depreciation'!E:E,'SPP Accum Depreciation'!A:A,'SPP ADJ T&amp;D'!G21)</f>
        <v>83232</v>
      </c>
      <c r="J21" s="2449">
        <f>+SUMIFS('SPP Net Depreciation'!D:D,'SPP Net Depreciation'!A:A,'SPP ADJ T&amp;D'!G21)</f>
        <v>43928.760000000017</v>
      </c>
      <c r="P21">
        <v>366</v>
      </c>
    </row>
    <row r="22" spans="2:16" ht="15" thickBot="1">
      <c r="B22" s="82"/>
      <c r="C22" s="2450"/>
      <c r="D22" s="2450"/>
      <c r="E22" s="2451"/>
      <c r="P22">
        <v>367</v>
      </c>
    </row>
    <row r="23" spans="2:16" ht="15" thickBot="1">
      <c r="B23" s="2452" t="s">
        <v>1898</v>
      </c>
      <c r="C23" s="2450">
        <f>+SUM(C10:C20)</f>
        <v>83143069</v>
      </c>
      <c r="D23" s="2450">
        <f>+SUM(D10:D20)</f>
        <v>2531739</v>
      </c>
      <c r="E23" s="2450">
        <f>+SUM(E10:E20)</f>
        <v>1932149.2662644403</v>
      </c>
      <c r="G23" s="2452" t="s">
        <v>1899</v>
      </c>
      <c r="H23" s="2450">
        <f>+SUM(H9:H22)</f>
        <v>584495588</v>
      </c>
      <c r="I23" s="2450">
        <f>+SUM(I9:I22)</f>
        <v>17415700</v>
      </c>
      <c r="J23" s="2450">
        <f>+SUM(J9:J22)</f>
        <v>16146952.6</v>
      </c>
      <c r="P23">
        <v>368</v>
      </c>
    </row>
    <row r="24" spans="2:16" ht="15" thickBot="1">
      <c r="P24">
        <v>369</v>
      </c>
    </row>
    <row r="25" spans="2:16" ht="15.6">
      <c r="B25" s="3116" t="s">
        <v>8451</v>
      </c>
      <c r="C25" s="3117"/>
      <c r="D25" s="3117"/>
      <c r="E25" s="3118"/>
      <c r="P25">
        <v>36902</v>
      </c>
    </row>
    <row r="26" spans="2:16" ht="16.2" thickBot="1">
      <c r="B26" s="3113" t="s">
        <v>1895</v>
      </c>
      <c r="C26" s="3114"/>
      <c r="D26" s="3114"/>
      <c r="E26" s="3115"/>
      <c r="P26">
        <v>370</v>
      </c>
    </row>
    <row r="27" spans="2:16" ht="15" thickBot="1">
      <c r="B27" s="39"/>
      <c r="C27" s="60" t="s">
        <v>1863</v>
      </c>
      <c r="D27" s="60" t="s">
        <v>1863</v>
      </c>
      <c r="E27" s="40" t="s">
        <v>1864</v>
      </c>
      <c r="P27">
        <v>371</v>
      </c>
    </row>
    <row r="28" spans="2:16">
      <c r="B28" s="2453" t="s">
        <v>1896</v>
      </c>
      <c r="C28" s="2454" t="s">
        <v>1897</v>
      </c>
      <c r="D28" s="2454" t="s">
        <v>1866</v>
      </c>
      <c r="E28" s="2455" t="s">
        <v>1867</v>
      </c>
      <c r="P28">
        <v>373</v>
      </c>
    </row>
    <row r="29" spans="2:16">
      <c r="B29" s="39">
        <v>303</v>
      </c>
      <c r="C29" s="2086">
        <f>+SUMIFS('SPP Plant in Service'!E:E,'SPP Plant in Service'!A:A,'SPP ADJ T&amp;D'!B29)</f>
        <v>4937464</v>
      </c>
      <c r="D29" s="2086">
        <f>+SUMIFS('SPP Accum Depreciation'!E:E,'SPP Accum Depreciation'!A:A,'SPP ADJ T&amp;D'!B29)</f>
        <v>763514</v>
      </c>
      <c r="E29" s="2449">
        <f>+SUMIFS('SPP Net Depreciation'!D:D,'SPP Net Depreciation'!A:A,'SPP ADJ T&amp;D'!B29)</f>
        <v>330810.12000000005</v>
      </c>
      <c r="P29">
        <v>303</v>
      </c>
    </row>
    <row r="30" spans="2:16">
      <c r="B30" s="39">
        <v>392</v>
      </c>
      <c r="C30" s="2086">
        <f>+SUMIFS('SPP Plant in Service'!E:E,'SPP Plant in Service'!A:A,'SPP ADJ T&amp;D'!B30)</f>
        <v>39131</v>
      </c>
      <c r="D30" s="2086">
        <f>+SUMIFS('SPP Accum Depreciation'!E:E,'SPP Accum Depreciation'!A:A,'SPP ADJ T&amp;D'!B30)</f>
        <v>10430</v>
      </c>
      <c r="E30" s="2449">
        <f>+SUMIFS('SPP Net Depreciation'!D:D,'SPP Net Depreciation'!A:A,'SPP ADJ T&amp;D'!B30)</f>
        <v>2727.48</v>
      </c>
      <c r="P30">
        <v>392</v>
      </c>
    </row>
    <row r="31" spans="2:16">
      <c r="B31" s="39">
        <v>397</v>
      </c>
      <c r="C31" s="2086">
        <f>+SUMIFS('SPP Plant in Service'!E:E,'SPP Plant in Service'!A:A,'SPP ADJ T&amp;D'!B31)</f>
        <v>787294</v>
      </c>
      <c r="D31" s="2086">
        <f>+SUMIFS('SPP Accum Depreciation'!E:E,'SPP Accum Depreciation'!A:A,'SPP ADJ T&amp;D'!B31)</f>
        <v>288469</v>
      </c>
      <c r="E31" s="2449">
        <f>+SUMIFS('SPP Net Depreciation'!D:D,'SPP Net Depreciation'!A:A,'SPP ADJ T&amp;D'!B31)</f>
        <v>102082.08000000002</v>
      </c>
      <c r="P31">
        <v>397</v>
      </c>
    </row>
    <row r="32" spans="2:16">
      <c r="B32" s="2456">
        <v>398</v>
      </c>
      <c r="C32" s="2086">
        <f>+SUMIFS('SPP Plant in Service'!E:E,'SPP Plant in Service'!A:A,'SPP ADJ T&amp;D'!B32)</f>
        <v>6009</v>
      </c>
      <c r="D32" s="2086">
        <f>+SUMIFS('SPP Accum Depreciation'!E:E,'SPP Accum Depreciation'!A:A,'SPP ADJ T&amp;D'!B32)</f>
        <v>2114</v>
      </c>
      <c r="E32" s="2449">
        <f>+SUMIFS('SPP Net Depreciation'!D:D,'SPP Net Depreciation'!A:A,'SPP ADJ T&amp;D'!B32)</f>
        <v>859.20000000000016</v>
      </c>
    </row>
    <row r="33" spans="2:5">
      <c r="B33" s="39">
        <v>390</v>
      </c>
      <c r="C33" s="2086">
        <f>+SUMIFS('SPP Plant in Service'!E:E,'SPP Plant in Service'!A:A,'SPP ADJ T&amp;D'!B33)</f>
        <v>26890</v>
      </c>
      <c r="D33" s="2086">
        <f>+SUMIFS('SPP Accum Depreciation'!E:E,'SPP Accum Depreciation'!A:A,'SPP ADJ T&amp;D'!B33)</f>
        <v>967</v>
      </c>
      <c r="E33" s="2449">
        <f>+SUMIFS('SPP Net Depreciation'!D:D,'SPP Net Depreciation'!A:A,'SPP ADJ T&amp;D'!B33)</f>
        <v>457.08000000000015</v>
      </c>
    </row>
    <row r="34" spans="2:5">
      <c r="B34" s="39">
        <v>391</v>
      </c>
      <c r="C34" s="2086">
        <f>+SUMIFS('SPP Plant in Service'!E:E,'SPP Plant in Service'!A:A,'SPP ADJ T&amp;D'!B34)</f>
        <v>138494</v>
      </c>
      <c r="D34" s="2086">
        <f>+SUMIFS('SPP Accum Depreciation'!E:E,'SPP Accum Depreciation'!A:A,'SPP ADJ T&amp;D'!B34)</f>
        <v>61204</v>
      </c>
      <c r="E34" s="2449">
        <f>+SUMIFS('SPP Net Depreciation'!D:D,'SPP Net Depreciation'!A:A,'SPP ADJ T&amp;D'!B34)</f>
        <v>24870.600000000006</v>
      </c>
    </row>
    <row r="35" spans="2:5">
      <c r="B35" s="39">
        <v>394</v>
      </c>
      <c r="C35" s="2086">
        <f>+SUMIFS('SPP Plant in Service'!E:E,'SPP Plant in Service'!A:A,'SPP ADJ T&amp;D'!B35)</f>
        <v>121555</v>
      </c>
      <c r="D35" s="2086">
        <f>+SUMIFS('SPP Accum Depreciation'!E:E,'SPP Accum Depreciation'!A:A,'SPP ADJ T&amp;D'!B35)</f>
        <v>42776</v>
      </c>
      <c r="E35" s="2449">
        <f>+SUMIFS('SPP Net Depreciation'!D:D,'SPP Net Depreciation'!A:A,'SPP ADJ T&amp;D'!B35)</f>
        <v>17382.360000000004</v>
      </c>
    </row>
    <row r="36" spans="2:5">
      <c r="B36" s="39"/>
      <c r="C36" s="2086"/>
      <c r="D36" s="2086"/>
      <c r="E36" s="2449"/>
    </row>
    <row r="38" spans="2:5">
      <c r="B38" s="39"/>
      <c r="C38" s="2086"/>
      <c r="D38" s="2086"/>
      <c r="E38" s="2449"/>
    </row>
    <row r="39" spans="2:5">
      <c r="B39" s="39"/>
      <c r="C39" s="2086"/>
      <c r="D39" s="2086"/>
      <c r="E39" s="2449"/>
    </row>
    <row r="40" spans="2:5">
      <c r="B40" s="39"/>
      <c r="C40" s="2086"/>
      <c r="D40" s="2086"/>
      <c r="E40" s="2449"/>
    </row>
    <row r="41" spans="2:5">
      <c r="B41" s="39"/>
      <c r="C41" s="2086"/>
      <c r="D41" s="2086"/>
      <c r="E41" s="2449"/>
    </row>
    <row r="42" spans="2:5">
      <c r="B42" s="39"/>
      <c r="C42" s="2086"/>
      <c r="D42" s="2086"/>
      <c r="E42" s="2449"/>
    </row>
    <row r="43" spans="2:5" ht="15" thickBot="1">
      <c r="B43" s="2457" t="s">
        <v>8450</v>
      </c>
      <c r="C43" s="2458">
        <f>+SUM(C29:C42)</f>
        <v>6056837</v>
      </c>
      <c r="D43" s="2458">
        <f>+SUM(D29:D42)</f>
        <v>1169474</v>
      </c>
      <c r="E43" s="2459">
        <f>+SUM(E29:E42)</f>
        <v>479188.92000000004</v>
      </c>
    </row>
  </sheetData>
  <mergeCells count="6">
    <mergeCell ref="B26:E26"/>
    <mergeCell ref="G5:J5"/>
    <mergeCell ref="G6:J6"/>
    <mergeCell ref="B5:E5"/>
    <mergeCell ref="B6:E6"/>
    <mergeCell ref="B25:E25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B1:Y35"/>
  <sheetViews>
    <sheetView tabSelected="1" showOutlineSymbols="0" workbookViewId="0"/>
  </sheetViews>
  <sheetFormatPr defaultRowHeight="14.4"/>
  <cols>
    <col min="2" max="2" width="10.33203125" bestFit="1" customWidth="1"/>
    <col min="3" max="3" width="15.6640625" bestFit="1" customWidth="1"/>
    <col min="4" max="11" width="9.109375" bestFit="1" customWidth="1"/>
    <col min="12" max="12" width="10.88671875" bestFit="1" customWidth="1"/>
    <col min="13" max="13" width="9.109375" bestFit="1" customWidth="1"/>
    <col min="14" max="14" width="10.44140625" bestFit="1" customWidth="1"/>
    <col min="15" max="15" width="10.109375" bestFit="1" customWidth="1"/>
    <col min="16" max="21" width="20.44140625" customWidth="1"/>
    <col min="23" max="23" width="33.33203125" bestFit="1" customWidth="1"/>
    <col min="24" max="25" width="13.33203125" bestFit="1" customWidth="1"/>
  </cols>
  <sheetData>
    <row r="1" spans="2:25" ht="15" thickBot="1"/>
    <row r="2" spans="2:25" ht="15" thickBot="1">
      <c r="B2" s="113" t="s">
        <v>1947</v>
      </c>
      <c r="C2" s="114" t="s">
        <v>1948</v>
      </c>
      <c r="D2" s="115" t="s">
        <v>1357</v>
      </c>
      <c r="E2" s="115" t="s">
        <v>1358</v>
      </c>
      <c r="F2" s="115" t="s">
        <v>1359</v>
      </c>
      <c r="G2" s="115" t="s">
        <v>1360</v>
      </c>
      <c r="H2" s="115" t="s">
        <v>1361</v>
      </c>
      <c r="I2" s="115" t="s">
        <v>1362</v>
      </c>
      <c r="J2" s="115" t="s">
        <v>1363</v>
      </c>
      <c r="K2" s="115" t="s">
        <v>1364</v>
      </c>
      <c r="L2" s="115" t="s">
        <v>1365</v>
      </c>
      <c r="M2" s="115" t="s">
        <v>1366</v>
      </c>
      <c r="N2" s="115" t="s">
        <v>1367</v>
      </c>
      <c r="O2" s="115" t="s">
        <v>1368</v>
      </c>
      <c r="P2" s="115" t="s">
        <v>9270</v>
      </c>
      <c r="Q2" s="115" t="s">
        <v>9268</v>
      </c>
      <c r="R2" s="116" t="s">
        <v>9269</v>
      </c>
      <c r="S2" s="115" t="s">
        <v>1956</v>
      </c>
      <c r="T2" s="115" t="s">
        <v>1957</v>
      </c>
      <c r="U2" s="116" t="s">
        <v>1958</v>
      </c>
      <c r="W2" s="2060"/>
      <c r="X2" s="38"/>
      <c r="Y2" s="34"/>
    </row>
    <row r="3" spans="2:25">
      <c r="B3" s="117"/>
      <c r="C3" s="2460"/>
      <c r="D3" s="2461"/>
      <c r="E3" s="2461"/>
      <c r="F3" s="2461"/>
      <c r="G3" s="2461"/>
      <c r="H3" s="2461"/>
      <c r="I3" s="2461"/>
      <c r="J3" s="2461"/>
      <c r="K3" s="2461"/>
      <c r="L3" s="2461"/>
      <c r="M3" s="2461"/>
      <c r="N3" s="2461"/>
      <c r="O3" s="2461"/>
      <c r="P3" s="36"/>
      <c r="Q3" s="36"/>
      <c r="R3" s="2462"/>
      <c r="S3" s="36"/>
      <c r="T3" s="36"/>
      <c r="U3" s="2462"/>
      <c r="W3" s="30" t="s">
        <v>9133</v>
      </c>
      <c r="X3" s="2060" t="str">
        <f>+_xlfn.XLOOKUP(MAX(D28:F28,M28:O28),D28:O28,D2:O2)</f>
        <v>January</v>
      </c>
      <c r="Y3" s="2463"/>
    </row>
    <row r="4" spans="2:25" ht="15" thickBot="1">
      <c r="B4" s="117" t="s">
        <v>1949</v>
      </c>
      <c r="C4" s="2460" t="s">
        <v>1951</v>
      </c>
      <c r="D4" s="68">
        <f>+'Load Research January CPk'!$G$13*1000</f>
        <v>3038488.9492972931</v>
      </c>
      <c r="E4" s="68">
        <f>+'Load Research February CPk'!$G$13*1000</f>
        <v>2181617.9394494593</v>
      </c>
      <c r="F4" s="68">
        <f>+'Load Research March CPk'!$G$13*1000</f>
        <v>1845957.1066275029</v>
      </c>
      <c r="G4" s="68">
        <f>+'Load Research April CPk'!$G$13*1000</f>
        <v>1975960.778034687</v>
      </c>
      <c r="H4" s="68">
        <f>+'Load Research May CPk'!$G$13*1000</f>
        <v>2269806.5260119443</v>
      </c>
      <c r="I4" s="68">
        <f>+'Load Research June CPk'!$G$13*1000</f>
        <v>2511690.2677892707</v>
      </c>
      <c r="J4" s="68">
        <f>+'Load Research July CPk'!$G$13*1000</f>
        <v>2444600.0555312624</v>
      </c>
      <c r="K4" s="68">
        <f>+'Load Research August CPk'!$G$13*1000</f>
        <v>2509422.9942138419</v>
      </c>
      <c r="L4" s="68">
        <f>+'Load Research September CPk'!$G$13*1000</f>
        <v>2440052.9483819706</v>
      </c>
      <c r="M4" s="68">
        <f>+'Load Research October CPk'!$G$13*1000</f>
        <v>2136044.229201355</v>
      </c>
      <c r="N4" s="68">
        <f>+'Load Research November CPk'!$G$13*1000</f>
        <v>1934520.3389436789</v>
      </c>
      <c r="O4" s="68">
        <f>+'Load Research December CPk'!$G$13*1000</f>
        <v>2374979.0801978321</v>
      </c>
      <c r="P4" s="68">
        <f>+SUM(D4:O4)</f>
        <v>27663141.2136801</v>
      </c>
      <c r="Q4" s="68">
        <f>+AVERAGE(D4:O4)</f>
        <v>2305261.7678066748</v>
      </c>
      <c r="R4" s="69">
        <f>+MAX(D4:O4)</f>
        <v>3038488.9492972931</v>
      </c>
      <c r="S4" s="68">
        <f>+SUM(D4,I4:K4)</f>
        <v>10504202.266831668</v>
      </c>
      <c r="T4" s="68">
        <f>+AVERAGE(D4,I4:K4)</f>
        <v>2626050.566707917</v>
      </c>
      <c r="U4" s="69">
        <f>+MAX(D4,I4:K4)</f>
        <v>3038488.9492972931</v>
      </c>
      <c r="W4" s="1770" t="s">
        <v>9134</v>
      </c>
      <c r="X4" s="1770" t="str">
        <f>+_xlfn.XLOOKUP(MAX(G28:L28),D28:O28,D2:O2)</f>
        <v>August</v>
      </c>
      <c r="Y4" s="2464"/>
    </row>
    <row r="5" spans="2:25" ht="15" thickBot="1">
      <c r="B5" s="117"/>
      <c r="C5" s="2460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36"/>
      <c r="Q5" s="36"/>
      <c r="R5" s="2462"/>
      <c r="S5" s="36"/>
      <c r="T5" s="36"/>
      <c r="U5" s="2462"/>
    </row>
    <row r="6" spans="2:25">
      <c r="B6" s="117"/>
      <c r="C6" s="2460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36"/>
      <c r="Q6" s="36"/>
      <c r="R6" s="2462"/>
      <c r="S6" s="36"/>
      <c r="T6" s="36"/>
      <c r="U6" s="2462"/>
      <c r="X6" s="2060" t="s">
        <v>8675</v>
      </c>
      <c r="Y6" s="34" t="s">
        <v>8675</v>
      </c>
    </row>
    <row r="7" spans="2:25">
      <c r="B7" s="117" t="s">
        <v>1950</v>
      </c>
      <c r="C7" s="2460" t="s">
        <v>1951</v>
      </c>
      <c r="D7" s="68">
        <f>+('Load Research January CPk'!$G$16+'Load Research January CPk'!$G$18)*1000</f>
        <v>196048.28230275007</v>
      </c>
      <c r="E7" s="68">
        <f>+('Load Research February CPk'!$G$16+'Load Research February CPk'!$G$18)*1000</f>
        <v>155735.16244351762</v>
      </c>
      <c r="F7" s="68">
        <f>+('Load Research March CPk'!$G$16+'Load Research March CPk'!$G$18)*1000</f>
        <v>183808.53017245824</v>
      </c>
      <c r="G7" s="68">
        <f>+('Load Research April CPk'!$G$16+'Load Research April CPk'!$G$18)*1000</f>
        <v>193016.10337106933</v>
      </c>
      <c r="H7" s="68">
        <f>+('Load Research May CPk'!$G$16+'Load Research May CPk'!$G$18)*1000</f>
        <v>200221.93237936613</v>
      </c>
      <c r="I7" s="68">
        <f>+('Load Research June CPk'!$G$16+'Load Research June CPk'!$G$18)*1000</f>
        <v>207907.14662453698</v>
      </c>
      <c r="J7" s="68">
        <f>+('Load Research July CPk'!$G$16+'Load Research July CPk'!$G$18)*1000</f>
        <v>215842.80423018959</v>
      </c>
      <c r="K7" s="68">
        <f>+('Load Research August CPk'!$G$16+'Load Research August CPk'!$G$18)*1000</f>
        <v>215301.31950978894</v>
      </c>
      <c r="L7" s="68">
        <f>+('Load Research September CPk'!$G$16+'Load Research September CPk'!$G$18)*1000</f>
        <v>201636.91581729311</v>
      </c>
      <c r="M7" s="68">
        <f>+('Load Research October CPk'!$G$16+'Load Research October CPk'!$G$18)*1000</f>
        <v>190576.74872921465</v>
      </c>
      <c r="N7" s="68">
        <f>+('Load Research November CPk'!$G$16+'Load Research November CPk'!$G$18)*1000</f>
        <v>154448.774744005</v>
      </c>
      <c r="O7" s="68">
        <f>+('Load Research December CPk'!$G$16+'Load Research December CPk'!$G$18)*1000</f>
        <v>167045.38835970941</v>
      </c>
      <c r="P7" s="68">
        <f>+SUM(D7:O7)</f>
        <v>2281589.108683899</v>
      </c>
      <c r="Q7" s="68">
        <f>+AVERAGE(D7:O7)</f>
        <v>190132.42572365826</v>
      </c>
      <c r="R7" s="69">
        <f>+MAX(D7:O7)</f>
        <v>215842.80423018959</v>
      </c>
      <c r="S7" s="68">
        <f>+SUM(D7,I7:K7)</f>
        <v>835099.55266726553</v>
      </c>
      <c r="T7" s="68">
        <f>+AVERAGE(D7,I7:K7)</f>
        <v>208774.88816681638</v>
      </c>
      <c r="U7" s="69">
        <f>+MAX(D7,I7:K7)</f>
        <v>215842.80423018959</v>
      </c>
      <c r="X7" s="30" t="s">
        <v>8676</v>
      </c>
      <c r="Y7" s="2062" t="s">
        <v>8677</v>
      </c>
    </row>
    <row r="8" spans="2:25" ht="15" thickBot="1">
      <c r="B8" s="117" t="s">
        <v>1950</v>
      </c>
      <c r="C8" s="2460" t="s">
        <v>1952</v>
      </c>
      <c r="D8" s="68">
        <f>+('Load Research January CPk'!$G$17+'Load Research January CPk'!$G$19)*1000</f>
        <v>29.352080550334733</v>
      </c>
      <c r="E8" s="68">
        <f>+('Load Research February CPk'!$G$17+'Load Research February CPk'!$G$19)*1000</f>
        <v>23.264020253963018</v>
      </c>
      <c r="F8" s="68">
        <f>+('Load Research March CPk'!$G$17+'Load Research March CPk'!$G$19)*1000</f>
        <v>27.431881244941181</v>
      </c>
      <c r="G8" s="68">
        <f>+('Load Research April CPk'!$G$17+'Load Research April CPk'!$G$19)*1000</f>
        <v>28.820919902512635</v>
      </c>
      <c r="H8" s="68">
        <f>+('Load Research May CPk'!$G$17+'Load Research May CPk'!$G$19)*1000</f>
        <v>29.925680446719447</v>
      </c>
      <c r="I8" s="68">
        <f>+('Load Research June CPk'!$G$17+'Load Research June CPk'!$G$19)*1000</f>
        <v>31.096438654830532</v>
      </c>
      <c r="J8" s="68">
        <f>+('Load Research July CPk'!$G$17+'Load Research July CPk'!$G$19)*1000</f>
        <v>32.284804130386043</v>
      </c>
      <c r="K8" s="68">
        <f>+('Load Research August CPk'!$G$17+'Load Research August CPk'!$G$19)*1000</f>
        <v>32.206675818071027</v>
      </c>
      <c r="L8" s="68">
        <f>+('Load Research September CPk'!$G$17+'Load Research September CPk'!$G$19)*1000</f>
        <v>30.150497047833728</v>
      </c>
      <c r="M8" s="68">
        <f>+('Load Research October CPk'!$G$17+'Load Research October CPk'!$G$19)*1000</f>
        <v>28.469523354562746</v>
      </c>
      <c r="N8" s="68">
        <f>+('Load Research November CPk'!$G$17+'Load Research November CPk'!$G$19)*1000</f>
        <v>23.039956183208989</v>
      </c>
      <c r="O8" s="68">
        <f>+('Load Research December CPk'!$G$17+'Load Research December CPk'!$G$19)*1000</f>
        <v>24.973169084463155</v>
      </c>
      <c r="P8" s="68">
        <f>+SUM(D8:O8)</f>
        <v>341.0156466718272</v>
      </c>
      <c r="Q8" s="68">
        <f>+AVERAGE(D8:O8)</f>
        <v>28.417970555985601</v>
      </c>
      <c r="R8" s="69">
        <f>+MAX(D8:O8)</f>
        <v>32.284804130386043</v>
      </c>
      <c r="S8" s="68">
        <f>+SUM(D8,I8:K8)</f>
        <v>124.93999915362235</v>
      </c>
      <c r="T8" s="68">
        <f>+AVERAGE(D8,I8:K8)</f>
        <v>31.234999788405588</v>
      </c>
      <c r="U8" s="69">
        <f>+MAX(D8,I8:K8)</f>
        <v>32.284804130386043</v>
      </c>
      <c r="X8" s="30" t="s">
        <v>6115</v>
      </c>
      <c r="Y8" s="2062" t="s">
        <v>6115</v>
      </c>
    </row>
    <row r="9" spans="2:25" ht="15" thickBot="1">
      <c r="B9" s="117" t="s">
        <v>1950</v>
      </c>
      <c r="C9" s="2460" t="s">
        <v>1953</v>
      </c>
      <c r="D9" s="68">
        <f>+'Load Research January CPk'!$G$20*1000</f>
        <v>0</v>
      </c>
      <c r="E9" s="68">
        <f>+'Load Research February CPk'!$G$20*1000</f>
        <v>0</v>
      </c>
      <c r="F9" s="68">
        <f>+'Load Research March CPk'!$G$20*1000</f>
        <v>0</v>
      </c>
      <c r="G9" s="68">
        <f>+'Load Research April CPk'!$G$20*1000</f>
        <v>0</v>
      </c>
      <c r="H9" s="68">
        <f>+'Load Research May CPk'!$G$20*1000</f>
        <v>0</v>
      </c>
      <c r="I9" s="68">
        <f>+'Load Research June CPk'!$G$20*1000</f>
        <v>0</v>
      </c>
      <c r="J9" s="68">
        <f>+'Load Research July CPk'!$G$20*1000</f>
        <v>0</v>
      </c>
      <c r="K9" s="68">
        <f>+'Load Research August CPk'!$G$20*1000</f>
        <v>0</v>
      </c>
      <c r="L9" s="68">
        <f>+'Load Research September CPk'!$G$20*1000</f>
        <v>0</v>
      </c>
      <c r="M9" s="68">
        <f>+'Load Research October CPk'!$G$20*1000</f>
        <v>0</v>
      </c>
      <c r="N9" s="68">
        <f>+'Load Research November CPk'!$G$20*1000</f>
        <v>0</v>
      </c>
      <c r="O9" s="68">
        <f>+'Load Research December CPk'!$G$20*1000</f>
        <v>0</v>
      </c>
      <c r="P9" s="68">
        <f>+SUM(D9:O9)</f>
        <v>0</v>
      </c>
      <c r="Q9" s="68">
        <f>+AVERAGE(D9:O9)</f>
        <v>0</v>
      </c>
      <c r="R9" s="69">
        <f>+MAX(D9:O9)</f>
        <v>0</v>
      </c>
      <c r="S9" s="68">
        <f>+SUM(D9,I9:K9)</f>
        <v>0</v>
      </c>
      <c r="T9" s="68">
        <f>+AVERAGE(D9,I9:K9)</f>
        <v>0</v>
      </c>
      <c r="U9" s="69">
        <f>+MAX(D9,I9:K9)</f>
        <v>0</v>
      </c>
      <c r="W9" s="2060" t="s">
        <v>2123</v>
      </c>
      <c r="X9" s="2465">
        <f>+_xlfn.XLOOKUP($X$3,$D$2:$O$2,$D$4:$O$4)</f>
        <v>3038488.9492972931</v>
      </c>
      <c r="Y9" s="2466">
        <f>+_xlfn.XLOOKUP($X$4,$D$2:$O$2,$D$4:$O$4)</f>
        <v>2509422.9942138419</v>
      </c>
    </row>
    <row r="10" spans="2:25" ht="15.6" thickTop="1" thickBot="1">
      <c r="B10" s="122" t="s">
        <v>1955</v>
      </c>
      <c r="C10" s="2467"/>
      <c r="D10" s="2468">
        <f>+SUM(D7:D9)</f>
        <v>196077.63438330041</v>
      </c>
      <c r="E10" s="2468">
        <f t="shared" ref="E10:O10" si="0">+SUM(E7:E9)</f>
        <v>155758.42646377158</v>
      </c>
      <c r="F10" s="2468">
        <f t="shared" si="0"/>
        <v>183835.96205370317</v>
      </c>
      <c r="G10" s="2468">
        <f t="shared" si="0"/>
        <v>193044.92429097183</v>
      </c>
      <c r="H10" s="2468">
        <f t="shared" si="0"/>
        <v>200251.85805981286</v>
      </c>
      <c r="I10" s="2468">
        <f t="shared" si="0"/>
        <v>207938.24306319183</v>
      </c>
      <c r="J10" s="2468">
        <f t="shared" si="0"/>
        <v>215875.08903431997</v>
      </c>
      <c r="K10" s="2468">
        <f t="shared" si="0"/>
        <v>215333.52618560701</v>
      </c>
      <c r="L10" s="2468">
        <f t="shared" si="0"/>
        <v>201667.06631434095</v>
      </c>
      <c r="M10" s="2468">
        <f t="shared" si="0"/>
        <v>190605.2182525692</v>
      </c>
      <c r="N10" s="2468">
        <f t="shared" si="0"/>
        <v>154471.8147001882</v>
      </c>
      <c r="O10" s="2468">
        <f t="shared" si="0"/>
        <v>167070.36152879387</v>
      </c>
      <c r="P10" s="2468">
        <f>+SUM(D10:O10)</f>
        <v>2281930.1243305714</v>
      </c>
      <c r="Q10" s="2468">
        <f>+AVERAGE(D10:O10)</f>
        <v>190160.84369421427</v>
      </c>
      <c r="R10" s="2469">
        <f>+MAX(D10:O10)</f>
        <v>215875.08903431997</v>
      </c>
      <c r="S10" s="2468">
        <f>+SUM(D10,I10:K10)</f>
        <v>835224.49266641913</v>
      </c>
      <c r="T10" s="2468">
        <f>+AVERAGE(D10,I10:K10)</f>
        <v>208806.12316660478</v>
      </c>
      <c r="U10" s="2469">
        <f>+MAX(D10,I10:K10)</f>
        <v>215875.08903431997</v>
      </c>
      <c r="W10" s="30"/>
      <c r="X10" s="2470"/>
      <c r="Y10" s="2471"/>
    </row>
    <row r="11" spans="2:25">
      <c r="B11" s="117"/>
      <c r="C11" s="2460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36"/>
      <c r="Q11" s="36"/>
      <c r="R11" s="2462"/>
      <c r="S11" s="36"/>
      <c r="T11" s="36"/>
      <c r="U11" s="2462"/>
      <c r="W11" s="30" t="s">
        <v>2124</v>
      </c>
      <c r="X11" s="2470">
        <f>+_xlfn.XLOOKUP($X$3,$D$2:$O$2,$D$10:$O$10)</f>
        <v>196077.63438330041</v>
      </c>
      <c r="Y11" s="2471">
        <f>+_xlfn.XLOOKUP($X$4,$D$2:$O$2,$D$10:$O$10)</f>
        <v>215333.52618560701</v>
      </c>
    </row>
    <row r="12" spans="2:25">
      <c r="B12" s="117"/>
      <c r="C12" s="2460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36"/>
      <c r="Q12" s="36"/>
      <c r="R12" s="2462"/>
      <c r="S12" s="36"/>
      <c r="T12" s="36"/>
      <c r="U12" s="2462"/>
      <c r="W12" s="30"/>
      <c r="X12" s="2470"/>
      <c r="Y12" s="2471"/>
    </row>
    <row r="13" spans="2:25">
      <c r="B13" s="117" t="s">
        <v>1934</v>
      </c>
      <c r="C13" s="2460" t="s">
        <v>1951</v>
      </c>
      <c r="D13" s="68">
        <f>+('Load Research January CPk'!$G$24+'Load Research January CPk'!$G$26)*1000</f>
        <v>1051093.4460673931</v>
      </c>
      <c r="E13" s="68">
        <f>+('Load Research February CPk'!$G$24+'Load Research February CPk'!$G$26)*1000</f>
        <v>981354.50310016563</v>
      </c>
      <c r="F13" s="68">
        <f>+('Load Research March CPk'!$G$24+'Load Research March CPk'!$G$26)*1000</f>
        <v>1233436.6192411629</v>
      </c>
      <c r="G13" s="68">
        <f>+('Load Research April CPk'!$G$24+'Load Research April CPk'!$G$26)*1000</f>
        <v>1227276.1465784006</v>
      </c>
      <c r="H13" s="68">
        <f>+('Load Research May CPk'!$G$24+'Load Research May CPk'!$G$26)*1000</f>
        <v>1269709.5929939616</v>
      </c>
      <c r="I13" s="68">
        <f>+('Load Research June CPk'!$G$24+'Load Research June CPk'!$G$26)*1000</f>
        <v>1313426.3387613255</v>
      </c>
      <c r="J13" s="68">
        <f>+('Load Research July CPk'!$G$24+'Load Research July CPk'!$G$26)*1000</f>
        <v>1377141.0261245191</v>
      </c>
      <c r="K13" s="68">
        <f>+('Load Research August CPk'!$G$24+'Load Research August CPk'!$G$26)*1000</f>
        <v>1363452.6801709302</v>
      </c>
      <c r="L13" s="68">
        <f>+('Load Research September CPk'!$G$24+'Load Research September CPk'!$G$26)*1000</f>
        <v>1286230.7168918843</v>
      </c>
      <c r="M13" s="68">
        <f>+('Load Research October CPk'!$G$24+'Load Research October CPk'!$G$26)*1000</f>
        <v>1226425.3077216982</v>
      </c>
      <c r="N13" s="68">
        <f>+('Load Research November CPk'!$G$24+'Load Research November CPk'!$G$26)*1000</f>
        <v>1020126.1913346194</v>
      </c>
      <c r="O13" s="68">
        <f>+('Load Research December CPk'!$G$24+'Load Research December CPk'!$G$26)*1000</f>
        <v>1100993.2417580273</v>
      </c>
      <c r="P13" s="68">
        <f>+SUM(D13:O13)</f>
        <v>14450665.81074409</v>
      </c>
      <c r="Q13" s="68">
        <f>+AVERAGE(D13:O13)</f>
        <v>1204222.1508953408</v>
      </c>
      <c r="R13" s="69">
        <f>+MAX(D13:O13)</f>
        <v>1377141.0261245191</v>
      </c>
      <c r="S13" s="68">
        <f>+SUM(D13,I13:K13)</f>
        <v>5105113.491124168</v>
      </c>
      <c r="T13" s="68">
        <f>+AVERAGE(D13,I13:K13)</f>
        <v>1276278.372781042</v>
      </c>
      <c r="U13" s="69">
        <f>+MAX(D13,I13:K13)</f>
        <v>1377141.0261245191</v>
      </c>
      <c r="W13" s="30" t="s">
        <v>8680</v>
      </c>
      <c r="X13" s="2470">
        <f>+_xlfn.XLOOKUP($X$3,$D$2:$O$2,$D$16:$O$16)</f>
        <v>1060480.0172879593</v>
      </c>
      <c r="Y13" s="2471">
        <f>+_xlfn.XLOOKUP($X$4,$D$2:$O$2,$D$16:$O$16)</f>
        <v>1376417.7545135021</v>
      </c>
    </row>
    <row r="14" spans="2:25">
      <c r="B14" s="117" t="s">
        <v>1934</v>
      </c>
      <c r="C14" s="2460" t="s">
        <v>1952</v>
      </c>
      <c r="D14" s="68">
        <f>+('Load Research January CPk'!$G$25+'Load Research January CPk'!$G$27+'Load Research January CPk'!$G$29)*1000</f>
        <v>9289.493243887975</v>
      </c>
      <c r="E14" s="68">
        <f>+('Load Research February CPk'!$G$25+'Load Research February CPk'!$G$27+'Load Research February CPk'!$G$29)*1000</f>
        <v>8822.1914311224282</v>
      </c>
      <c r="F14" s="68">
        <f>+('Load Research March CPk'!$G$25+'Load Research March CPk'!$G$27+'Load Research March CPk'!$G$29)*1000</f>
        <v>11399.502102254895</v>
      </c>
      <c r="G14" s="68">
        <f>+('Load Research April CPk'!$G$25+'Load Research April CPk'!$G$27+'Load Research April CPk'!$G$29)*1000</f>
        <v>11815.712279341586</v>
      </c>
      <c r="H14" s="68">
        <f>+('Load Research May CPk'!$G$25+'Load Research May CPk'!$G$27+'Load Research May CPk'!$G$29)*1000</f>
        <v>12301.430546218411</v>
      </c>
      <c r="I14" s="68">
        <f>+('Load Research June CPk'!$G$25+'Load Research June CPk'!$G$27+'Load Research June CPk'!$G$29)*1000</f>
        <v>12612.846976014456</v>
      </c>
      <c r="J14" s="68">
        <f>+('Load Research July CPk'!$G$25+'Load Research July CPk'!$G$27+'Load Research July CPk'!$G$29)*1000</f>
        <v>13381.760100446858</v>
      </c>
      <c r="K14" s="68">
        <f>+('Load Research August CPk'!$G$25+'Load Research August CPk'!$G$27+'Load Research August CPk'!$G$29)*1000</f>
        <v>12830.967685812197</v>
      </c>
      <c r="L14" s="68">
        <f>+('Load Research September CPk'!$G$25+'Load Research September CPk'!$G$27+'Load Research September CPk'!$G$29)*1000</f>
        <v>12431.09404575293</v>
      </c>
      <c r="M14" s="68">
        <f>+('Load Research October CPk'!$G$25+'Load Research October CPk'!$G$27+'Load Research October CPk'!$G$29)*1000</f>
        <v>12228.938558920428</v>
      </c>
      <c r="N14" s="68">
        <f>+('Load Research November CPk'!$G$25+'Load Research November CPk'!$G$27+'Load Research November CPk'!$G$29)*1000</f>
        <v>8897.5576806196204</v>
      </c>
      <c r="O14" s="68">
        <f>+('Load Research December CPk'!$G$25+'Load Research December CPk'!$G$27+'Load Research December CPk'!$G$29)*1000</f>
        <v>9141.8420935502854</v>
      </c>
      <c r="P14" s="68">
        <f>+SUM(D14:O14)</f>
        <v>135153.33674394208</v>
      </c>
      <c r="Q14" s="68">
        <f>+AVERAGE(D14:O14)</f>
        <v>11262.778061995174</v>
      </c>
      <c r="R14" s="69">
        <f>+MAX(D14:O14)</f>
        <v>13381.760100446858</v>
      </c>
      <c r="S14" s="68">
        <f>+SUM(D14,I14:K14)</f>
        <v>48115.068006161484</v>
      </c>
      <c r="T14" s="68">
        <f>+AVERAGE(D14,I14:K14)</f>
        <v>12028.767001540371</v>
      </c>
      <c r="U14" s="69">
        <f>+MAX(D14,I14:K14)</f>
        <v>13381.760100446858</v>
      </c>
      <c r="W14" s="30"/>
      <c r="X14" s="2470"/>
      <c r="Y14" s="2471"/>
    </row>
    <row r="15" spans="2:25" ht="15" thickBot="1">
      <c r="B15" s="120" t="s">
        <v>1934</v>
      </c>
      <c r="C15" s="121" t="s">
        <v>1953</v>
      </c>
      <c r="D15" s="70">
        <f>+('Load Research January CPk'!$G$28+'Load Research January CPk'!$G$30)*1000</f>
        <v>97.077976678253066</v>
      </c>
      <c r="E15" s="70">
        <f>+('Load Research February CPk'!$G$28+'Load Research February CPk'!$G$30)*1000</f>
        <v>92.383613425500513</v>
      </c>
      <c r="F15" s="70">
        <f>+('Load Research March CPk'!$G$28+'Load Research March CPk'!$G$30)*1000</f>
        <v>119.34011064747396</v>
      </c>
      <c r="G15" s="70">
        <f>+('Load Research April CPk'!$G$28+'Load Research April CPk'!$G$30)*1000</f>
        <v>123.67108598876341</v>
      </c>
      <c r="H15" s="70">
        <f>+('Load Research May CPk'!$G$28+'Load Research May CPk'!$G$30)*1000</f>
        <v>128.6633592109475</v>
      </c>
      <c r="I15" s="70">
        <f>+('Load Research June CPk'!$G$28+'Load Research June CPk'!$G$30)*1000</f>
        <v>131.8406306867102</v>
      </c>
      <c r="J15" s="70">
        <f>+('Load Research July CPk'!$G$28+'Load Research July CPk'!$G$30)*1000</f>
        <v>139.88179712548597</v>
      </c>
      <c r="K15" s="70">
        <f>+('Load Research August CPk'!$G$28+'Load Research August CPk'!$G$30)*1000</f>
        <v>134.10665675984305</v>
      </c>
      <c r="L15" s="70">
        <f>+('Load Research September CPk'!$G$28+'Load Research September CPk'!$G$30)*1000</f>
        <v>129.96651031767081</v>
      </c>
      <c r="M15" s="70">
        <f>+('Load Research October CPk'!$G$28+'Load Research October CPk'!$G$30)*1000</f>
        <v>127.95429573015727</v>
      </c>
      <c r="N15" s="70">
        <f>+('Load Research November CPk'!$G$28+'Load Research November CPk'!$G$30)*1000</f>
        <v>93.178429721334908</v>
      </c>
      <c r="O15" s="70">
        <f>+('Load Research December CPk'!$G$28+'Load Research December CPk'!$G$30)*1000</f>
        <v>95.659413463786819</v>
      </c>
      <c r="P15" s="70">
        <f>+SUM(D15:O15)</f>
        <v>1413.7238797559278</v>
      </c>
      <c r="Q15" s="70">
        <f>+AVERAGE(D15:O15)</f>
        <v>117.81032331299399</v>
      </c>
      <c r="R15" s="71">
        <f>+MAX(D15:O15)</f>
        <v>139.88179712548597</v>
      </c>
      <c r="S15" s="70">
        <f>+SUM(D15,I15:K15)</f>
        <v>502.90706125029226</v>
      </c>
      <c r="T15" s="70">
        <f>+AVERAGE(D15,I15:K15)</f>
        <v>125.72676531257306</v>
      </c>
      <c r="U15" s="71">
        <f>+MAX(D15,I15:K15)</f>
        <v>139.88179712548597</v>
      </c>
      <c r="W15" s="30" t="s">
        <v>2125</v>
      </c>
      <c r="X15" s="2470">
        <f>+_xlfn.XLOOKUP($X$3,$D$2:$O$2,$D$20:$O$20)</f>
        <v>121072.80747292028</v>
      </c>
      <c r="Y15" s="2471">
        <f>+_xlfn.XLOOKUP($X$4,$D$2:$O$2,$D$20:$O$20)</f>
        <v>164721.68157449216</v>
      </c>
    </row>
    <row r="16" spans="2:25" ht="15.6" thickTop="1" thickBot="1">
      <c r="B16" s="122" t="s">
        <v>1959</v>
      </c>
      <c r="C16" s="2467"/>
      <c r="D16" s="2468">
        <f t="shared" ref="D16:O16" si="1">+SUM(D13:D15)</f>
        <v>1060480.0172879593</v>
      </c>
      <c r="E16" s="2468">
        <f t="shared" si="1"/>
        <v>990269.07814471365</v>
      </c>
      <c r="F16" s="2468">
        <f t="shared" si="1"/>
        <v>1244955.4614540653</v>
      </c>
      <c r="G16" s="2468">
        <f t="shared" si="1"/>
        <v>1239215.5299437311</v>
      </c>
      <c r="H16" s="2468">
        <f t="shared" si="1"/>
        <v>1282139.686899391</v>
      </c>
      <c r="I16" s="2468">
        <f t="shared" si="1"/>
        <v>1326171.0263680266</v>
      </c>
      <c r="J16" s="2468">
        <f t="shared" si="1"/>
        <v>1390662.6680220915</v>
      </c>
      <c r="K16" s="2468">
        <f t="shared" si="1"/>
        <v>1376417.7545135021</v>
      </c>
      <c r="L16" s="2468">
        <f t="shared" si="1"/>
        <v>1298791.777447955</v>
      </c>
      <c r="M16" s="2468">
        <f t="shared" si="1"/>
        <v>1238782.2005763489</v>
      </c>
      <c r="N16" s="2468">
        <f t="shared" si="1"/>
        <v>1029116.9274449605</v>
      </c>
      <c r="O16" s="2468">
        <f t="shared" si="1"/>
        <v>1110230.7432650416</v>
      </c>
      <c r="P16" s="2468">
        <f>+SUM(D16:O16)</f>
        <v>14587232.871367788</v>
      </c>
      <c r="Q16" s="2468">
        <f>+AVERAGE(D16:O16)</f>
        <v>1215602.739280649</v>
      </c>
      <c r="R16" s="2469">
        <f>+MAX(D16:O16)</f>
        <v>1390662.6680220915</v>
      </c>
      <c r="S16" s="2468">
        <f>+SUM(D16,I16:K16)</f>
        <v>5153731.4661915796</v>
      </c>
      <c r="T16" s="2468">
        <f>+AVERAGE(D16,I16:K16)</f>
        <v>1288432.8665478949</v>
      </c>
      <c r="U16" s="2469">
        <f>+MAX(D16,I16:K16)</f>
        <v>1390662.6680220915</v>
      </c>
      <c r="W16" s="30"/>
      <c r="X16" s="2470"/>
      <c r="Y16" s="2471"/>
    </row>
    <row r="17" spans="2:25">
      <c r="B17" s="117"/>
      <c r="C17" s="2460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36"/>
      <c r="Q17" s="36"/>
      <c r="R17" s="2462"/>
      <c r="S17" s="36"/>
      <c r="T17" s="36"/>
      <c r="U17" s="2462"/>
      <c r="W17" s="30" t="s">
        <v>2126</v>
      </c>
      <c r="X17" s="2470">
        <f>+_xlfn.XLOOKUP($X$3,$D$2:$O$2,$D$21:$O$21)</f>
        <v>86794.442402027256</v>
      </c>
      <c r="Y17" s="2471">
        <f>+_xlfn.XLOOKUP($X$4,$D$2:$O$2,$D$21:$O$21)</f>
        <v>118103.93959966603</v>
      </c>
    </row>
    <row r="18" spans="2:25">
      <c r="B18" s="117"/>
      <c r="C18" s="2460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36"/>
      <c r="Q18" s="36"/>
      <c r="R18" s="2462"/>
      <c r="S18" s="36"/>
      <c r="T18" s="36"/>
      <c r="U18" s="2462"/>
      <c r="W18" s="30"/>
      <c r="X18" s="2470"/>
      <c r="Y18" s="2471"/>
    </row>
    <row r="19" spans="2:25" ht="15" thickBot="1">
      <c r="B19" s="117" t="s">
        <v>1937</v>
      </c>
      <c r="C19" s="2460" t="s">
        <v>1951</v>
      </c>
      <c r="D19" s="68">
        <f>+('Load Research January CPk'!$G$34)*1000</f>
        <v>0.10395535585859328</v>
      </c>
      <c r="E19" s="68">
        <f>+('Load Research February CPk'!$G$34)*1000</f>
        <v>0.10351640201887208</v>
      </c>
      <c r="F19" s="68">
        <f>+('Load Research March CPk'!$G$34)*1000</f>
        <v>0.10355600689829604</v>
      </c>
      <c r="G19" s="68">
        <f>+('Load Research April CPk'!$G$34)*1000</f>
        <v>0.10360580870573265</v>
      </c>
      <c r="H19" s="68">
        <f>+('Load Research May CPk'!$G$34)*1000</f>
        <v>0.10376027209671602</v>
      </c>
      <c r="I19" s="68">
        <f>+('Load Research June CPk'!$G$34)*1000</f>
        <v>0.10389023428240884</v>
      </c>
      <c r="J19" s="68">
        <f>+('Load Research July CPk'!$G$34)*1000</f>
        <v>0.10388611164576378</v>
      </c>
      <c r="K19" s="68">
        <f>+('Load Research August CPk'!$G$34)*1000</f>
        <v>0.10391288846770336</v>
      </c>
      <c r="L19" s="68">
        <f>+('Load Research September CPk'!$G$34)*1000</f>
        <v>0.10384705280290177</v>
      </c>
      <c r="M19" s="68">
        <f>+('Load Research October CPk'!$G$34)*1000</f>
        <v>0.10367706104765248</v>
      </c>
      <c r="N19" s="68">
        <f>+('Load Research November CPk'!$G$34)*1000</f>
        <v>0.10348299111512867</v>
      </c>
      <c r="O19" s="68">
        <f>+('Load Research December CPk'!$G$34)*1000</f>
        <v>0.10367579764240666</v>
      </c>
      <c r="P19" s="68">
        <f>+SUM(D19:O19)*0</f>
        <v>0</v>
      </c>
      <c r="Q19" s="68">
        <f>+AVERAGE(D19:O19)</f>
        <v>0.10373049854851464</v>
      </c>
      <c r="R19" s="69">
        <f>+MAX(D19:O19)</f>
        <v>0.10395535585859328</v>
      </c>
      <c r="S19" s="68">
        <f>+SUM(D19,I19:K19)</f>
        <v>0.41564459025446926</v>
      </c>
      <c r="T19" s="68">
        <f>+AVERAGE(D19,I19:K19)</f>
        <v>0.10391114756361731</v>
      </c>
      <c r="U19" s="69">
        <f>+MAX(D19,I19:K19)</f>
        <v>0.10395535585859328</v>
      </c>
      <c r="W19" s="1770" t="s">
        <v>9135</v>
      </c>
      <c r="X19" s="2472">
        <f>+_xlfn.XLOOKUP($X$3,$D$2:$O$2,$D$25:$O$25)</f>
        <v>10086.045201141105</v>
      </c>
      <c r="Y19" s="2473">
        <f>+_xlfn.XLOOKUP($X$4,$D$2:$O$2,$D$25:$O$25)</f>
        <v>0</v>
      </c>
    </row>
    <row r="20" spans="2:25">
      <c r="B20" s="117" t="s">
        <v>1937</v>
      </c>
      <c r="C20" s="2460" t="s">
        <v>1952</v>
      </c>
      <c r="D20" s="68">
        <f>+('Load Research January CPk'!$G$35+'Load Research January CPk'!$G$37)*1000</f>
        <v>121072.80747292028</v>
      </c>
      <c r="E20" s="68">
        <f>+('Load Research February CPk'!$G$35+'Load Research February CPk'!$G$37)*1000</f>
        <v>105215.42949932038</v>
      </c>
      <c r="F20" s="68">
        <f>+('Load Research March CPk'!$G$35+'Load Research March CPk'!$G$37)*1000</f>
        <v>166591.92967979764</v>
      </c>
      <c r="G20" s="68">
        <f>+('Load Research April CPk'!$G$35+'Load Research April CPk'!$G$37)*1000</f>
        <v>159348.63669263726</v>
      </c>
      <c r="H20" s="68">
        <f>+('Load Research May CPk'!$G$35+'Load Research May CPk'!$G$37)*1000</f>
        <v>164071.95985611909</v>
      </c>
      <c r="I20" s="68">
        <f>+('Load Research June CPk'!$G$35+'Load Research June CPk'!$G$37)*1000</f>
        <v>166096.83001127874</v>
      </c>
      <c r="J20" s="68">
        <f>+('Load Research July CPk'!$G$35+'Load Research July CPk'!$G$37)*1000</f>
        <v>160073.95958907256</v>
      </c>
      <c r="K20" s="68">
        <f>+('Load Research August CPk'!$G$35+'Load Research August CPk'!$G$37)*1000</f>
        <v>164721.68157449216</v>
      </c>
      <c r="L20" s="68">
        <f>+('Load Research September CPk'!$G$35+'Load Research September CPk'!$G$37)*1000</f>
        <v>168578.64831329609</v>
      </c>
      <c r="M20" s="68">
        <f>+('Load Research October CPk'!$G$35+'Load Research October CPk'!$G$37)*1000</f>
        <v>162160.70167721543</v>
      </c>
      <c r="N20" s="68">
        <f>+('Load Research November CPk'!$G$35+'Load Research November CPk'!$G$37)*1000</f>
        <v>161701.65283232939</v>
      </c>
      <c r="O20" s="68">
        <f>+('Load Research December CPk'!$G$35+'Load Research December CPk'!$G$37)*1000</f>
        <v>121388.37324370258</v>
      </c>
      <c r="P20" s="68">
        <f>+SUM(D20:O20)</f>
        <v>1821022.6104421816</v>
      </c>
      <c r="Q20" s="68">
        <f>+AVERAGE(D20:O20)</f>
        <v>151751.88420351513</v>
      </c>
      <c r="R20" s="69">
        <f>+MAX(D20:O20)</f>
        <v>168578.64831329609</v>
      </c>
      <c r="S20" s="68">
        <f>+SUM(D20,I20:K20)</f>
        <v>611965.27864776377</v>
      </c>
      <c r="T20" s="68">
        <f>+AVERAGE(D20,I20:K20)</f>
        <v>152991.31966194094</v>
      </c>
      <c r="U20" s="69">
        <f>+MAX(D20,I20:K20)</f>
        <v>166096.83001127874</v>
      </c>
    </row>
    <row r="21" spans="2:25" ht="15" thickBot="1">
      <c r="B21" s="120" t="s">
        <v>1937</v>
      </c>
      <c r="C21" s="121" t="s">
        <v>1953</v>
      </c>
      <c r="D21" s="70">
        <f>+('Load Research January CPk'!$G$36+'Load Research January CPk'!$G$38)*1000</f>
        <v>86794.442402027256</v>
      </c>
      <c r="E21" s="70">
        <f>+('Load Research February CPk'!$G$36+'Load Research February CPk'!$G$38)*1000</f>
        <v>75596.551573333418</v>
      </c>
      <c r="F21" s="70">
        <f>+('Load Research March CPk'!$G$36+'Load Research March CPk'!$G$38)*1000</f>
        <v>119659.43662892455</v>
      </c>
      <c r="G21" s="70">
        <f>+('Load Research April CPk'!$G$36+'Load Research April CPk'!$G$38)*1000</f>
        <v>114430.0274331597</v>
      </c>
      <c r="H21" s="70">
        <f>+('Load Research May CPk'!$G$36+'Load Research May CPk'!$G$38)*1000</f>
        <v>117729.86541245948</v>
      </c>
      <c r="I21" s="70">
        <f>+('Load Research June CPk'!$G$36+'Load Research June CPk'!$G$38)*1000</f>
        <v>119103.52887799604</v>
      </c>
      <c r="J21" s="70">
        <f>+('Load Research July CPk'!$G$36+'Load Research July CPk'!$G$38)*1000</f>
        <v>114788.12393714246</v>
      </c>
      <c r="K21" s="70">
        <f>+('Load Research August CPk'!$G$36+'Load Research August CPk'!$G$38)*1000</f>
        <v>118103.93959966603</v>
      </c>
      <c r="L21" s="70">
        <f>+('Load Research September CPk'!$G$36+'Load Research September CPk'!$G$38)*1000</f>
        <v>120909.45569538297</v>
      </c>
      <c r="M21" s="70">
        <f>+('Load Research October CPk'!$G$36+'Load Research October CPk'!$G$38)*1000</f>
        <v>116407.54661544987</v>
      </c>
      <c r="N21" s="70">
        <f>+('Load Research November CPk'!$G$36+'Load Research November CPk'!$G$38)*1000</f>
        <v>116189.16259585074</v>
      </c>
      <c r="O21" s="70">
        <f>+('Load Research December CPk'!$G$36+'Load Research December CPk'!$G$38)*1000</f>
        <v>87145.162060061237</v>
      </c>
      <c r="P21" s="70">
        <f>+SUM(D21:O21)</f>
        <v>1306857.2428314537</v>
      </c>
      <c r="Q21" s="70">
        <f>+AVERAGE(D21:O21)</f>
        <v>108904.77023595448</v>
      </c>
      <c r="R21" s="71">
        <f>+MAX(D21:O21)</f>
        <v>120909.45569538297</v>
      </c>
      <c r="S21" s="70">
        <f>+SUM(D21,I21:K21)</f>
        <v>438790.03481683182</v>
      </c>
      <c r="T21" s="70">
        <f>+AVERAGE(D21,I21:K21)</f>
        <v>109697.50870420795</v>
      </c>
      <c r="U21" s="71">
        <f>+MAX(D21,I21:K21)</f>
        <v>119103.52887799604</v>
      </c>
    </row>
    <row r="22" spans="2:25" ht="15.6" thickTop="1" thickBot="1">
      <c r="B22" s="122" t="s">
        <v>1960</v>
      </c>
      <c r="C22" s="2467"/>
      <c r="D22" s="2468">
        <f t="shared" ref="D22:O22" si="2">+SUM(D19:D21)</f>
        <v>207867.35383030341</v>
      </c>
      <c r="E22" s="2468">
        <f t="shared" si="2"/>
        <v>180812.0845890558</v>
      </c>
      <c r="F22" s="2468">
        <f t="shared" si="2"/>
        <v>286251.46986472909</v>
      </c>
      <c r="G22" s="2468">
        <f t="shared" si="2"/>
        <v>273778.76773160568</v>
      </c>
      <c r="H22" s="2468">
        <f t="shared" si="2"/>
        <v>281801.92902885063</v>
      </c>
      <c r="I22" s="2468">
        <f t="shared" si="2"/>
        <v>285200.46277950908</v>
      </c>
      <c r="J22" s="2468">
        <f t="shared" si="2"/>
        <v>274862.18741232669</v>
      </c>
      <c r="K22" s="2468">
        <f t="shared" si="2"/>
        <v>282825.72508704668</v>
      </c>
      <c r="L22" s="2468">
        <f t="shared" si="2"/>
        <v>289488.20785573189</v>
      </c>
      <c r="M22" s="2468">
        <f t="shared" si="2"/>
        <v>278568.35196972633</v>
      </c>
      <c r="N22" s="2468">
        <f t="shared" si="2"/>
        <v>277890.91891117126</v>
      </c>
      <c r="O22" s="2468">
        <f t="shared" si="2"/>
        <v>208533.63897956145</v>
      </c>
      <c r="P22" s="2468">
        <f>+SUM(D22:O22)</f>
        <v>3127881.0980396182</v>
      </c>
      <c r="Q22" s="2468">
        <f>+AVERAGE(D22:O22)</f>
        <v>260656.75816996818</v>
      </c>
      <c r="R22" s="2469">
        <f>+MAX(D22:O22)</f>
        <v>289488.20785573189</v>
      </c>
      <c r="S22" s="2468">
        <f>+SUM(D22,I22:K22)</f>
        <v>1050755.7291091857</v>
      </c>
      <c r="T22" s="2468">
        <f>+AVERAGE(D22,I22:K22)</f>
        <v>262688.93227729644</v>
      </c>
      <c r="U22" s="2469">
        <f>+MAX(D22,I22:K22)</f>
        <v>285200.46277950908</v>
      </c>
    </row>
    <row r="23" spans="2:25">
      <c r="B23" s="117"/>
      <c r="C23" s="2460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36"/>
      <c r="Q23" s="36"/>
      <c r="R23" s="2462"/>
      <c r="S23" s="36"/>
      <c r="T23" s="36"/>
      <c r="U23" s="2462"/>
    </row>
    <row r="24" spans="2:25">
      <c r="B24" s="117"/>
      <c r="C24" s="2460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36"/>
      <c r="Q24" s="36"/>
      <c r="R24" s="2462"/>
      <c r="S24" s="36"/>
      <c r="T24" s="36"/>
      <c r="U24" s="2462"/>
    </row>
    <row r="25" spans="2:25">
      <c r="B25" s="117" t="s">
        <v>1954</v>
      </c>
      <c r="C25" s="2460" t="s">
        <v>1951</v>
      </c>
      <c r="D25" s="68">
        <f>+'Load Research January CPk'!$G$42*1000</f>
        <v>10086.045201141105</v>
      </c>
      <c r="E25" s="68">
        <f>+'Load Research February CPk'!$G$42*1000</f>
        <v>11542.471352973875</v>
      </c>
      <c r="F25" s="68">
        <f>+'Load Research March CPk'!$G$42*1000</f>
        <v>0</v>
      </c>
      <c r="G25" s="68">
        <f>+'Load Research April CPk'!$G$42*1000</f>
        <v>0</v>
      </c>
      <c r="H25" s="68">
        <f>+'Load Research May CPk'!$G$42*1000</f>
        <v>0</v>
      </c>
      <c r="I25" s="68">
        <f>+'Load Research June CPk'!$G$42*1000</f>
        <v>0</v>
      </c>
      <c r="J25" s="68">
        <f>+'Load Research July CPk'!$G$42*1000</f>
        <v>0</v>
      </c>
      <c r="K25" s="68">
        <f>+'Load Research August CPk'!$G$42*1000</f>
        <v>0</v>
      </c>
      <c r="L25" s="68">
        <f>+'Load Research September CPk'!$G$42*1000</f>
        <v>0</v>
      </c>
      <c r="M25" s="68">
        <f>+'Load Research October CPk'!$G$42*1000</f>
        <v>0</v>
      </c>
      <c r="N25" s="68">
        <f>+'Load Research November CPk'!$G$42*1000</f>
        <v>0</v>
      </c>
      <c r="O25" s="68">
        <f>+'Load Research December CPk'!$G$42*1000</f>
        <v>12186.176027926038</v>
      </c>
      <c r="P25" s="68">
        <f>+SUM(D25:O25)</f>
        <v>33814.692582041018</v>
      </c>
      <c r="Q25" s="68">
        <f>+AVERAGE(D25:O25)</f>
        <v>2817.891048503418</v>
      </c>
      <c r="R25" s="69">
        <f>+MAX(D25:O25)</f>
        <v>12186.176027926038</v>
      </c>
      <c r="S25" s="68">
        <f>+SUM(D25,I25:K25)</f>
        <v>10086.045201141105</v>
      </c>
      <c r="T25" s="68">
        <f>+AVERAGE(D25,I25:K25)</f>
        <v>2521.5113002852763</v>
      </c>
      <c r="U25" s="69">
        <f>+MAX(D25,I25:K25)</f>
        <v>10086.045201141105</v>
      </c>
    </row>
    <row r="26" spans="2:25">
      <c r="B26" s="117"/>
      <c r="C26" s="2460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36"/>
      <c r="Q26" s="36"/>
      <c r="R26" s="2462"/>
      <c r="S26" s="36"/>
      <c r="T26" s="36"/>
      <c r="U26" s="2462"/>
    </row>
    <row r="27" spans="2:25" ht="15" thickBot="1">
      <c r="B27" s="117"/>
      <c r="C27" s="2460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36"/>
      <c r="Q27" s="36"/>
      <c r="R27" s="2462"/>
      <c r="S27" s="36"/>
      <c r="T27" s="36"/>
      <c r="U27" s="2462"/>
    </row>
    <row r="28" spans="2:25" ht="15.6" thickTop="1" thickBot="1">
      <c r="B28" s="122" t="s">
        <v>122</v>
      </c>
      <c r="C28" s="2467"/>
      <c r="D28" s="2468">
        <f t="shared" ref="D28:O28" si="3">+SUM(D4,D10,D16,D22,D25)</f>
        <v>4512999.9999999972</v>
      </c>
      <c r="E28" s="2468">
        <f t="shared" si="3"/>
        <v>3519999.9999999744</v>
      </c>
      <c r="F28" s="2468">
        <f t="shared" si="3"/>
        <v>3561000</v>
      </c>
      <c r="G28" s="2468">
        <f t="shared" si="3"/>
        <v>3682000.0000009956</v>
      </c>
      <c r="H28" s="2468">
        <f t="shared" si="3"/>
        <v>4033999.9999999986</v>
      </c>
      <c r="I28" s="2468">
        <f t="shared" si="3"/>
        <v>4330999.9999999981</v>
      </c>
      <c r="J28" s="2468">
        <f t="shared" si="3"/>
        <v>4326000</v>
      </c>
      <c r="K28" s="2468">
        <f t="shared" si="3"/>
        <v>4383999.9999999981</v>
      </c>
      <c r="L28" s="2468">
        <f t="shared" si="3"/>
        <v>4229999.9999999991</v>
      </c>
      <c r="M28" s="2468">
        <f t="shared" si="3"/>
        <v>3844000</v>
      </c>
      <c r="N28" s="2468">
        <f t="shared" si="3"/>
        <v>3395999.9999999986</v>
      </c>
      <c r="O28" s="2468">
        <f t="shared" si="3"/>
        <v>3872999.9999991553</v>
      </c>
      <c r="P28" s="2468">
        <f>+SUM(D28:O28)</f>
        <v>47694000.000000127</v>
      </c>
      <c r="Q28" s="2468">
        <f>+AVERAGE(D28:O28)</f>
        <v>3974500.0000000107</v>
      </c>
      <c r="R28" s="2469">
        <f>+MAX(D28:O28)</f>
        <v>4512999.9999999972</v>
      </c>
      <c r="S28" s="2468">
        <f>+S4+S10+S16+S22+S25</f>
        <v>17553999.999999996</v>
      </c>
      <c r="T28" s="2468">
        <f>+T4+T10+T16+T22+T25</f>
        <v>4388499.9999999991</v>
      </c>
      <c r="U28" s="2469">
        <f>+U4+U10+U16+U22+U25</f>
        <v>4940313.2143343547</v>
      </c>
    </row>
    <row r="33" spans="3:15">
      <c r="C33" s="50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</row>
    <row r="34" spans="3:15">
      <c r="C34" s="50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</row>
    <row r="35" spans="3:15">
      <c r="C35" s="50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</row>
  </sheetData>
  <phoneticPr fontId="13" type="noConversion"/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O10"/>
  <sheetViews>
    <sheetView tabSelected="1" showOutlineSymbols="0" workbookViewId="0"/>
  </sheetViews>
  <sheetFormatPr defaultRowHeight="14.4"/>
  <cols>
    <col min="2" max="2" width="18.88671875" customWidth="1"/>
    <col min="3" max="3" width="7.6640625" bestFit="1" customWidth="1"/>
    <col min="4" max="4" width="8.88671875" bestFit="1" customWidth="1"/>
    <col min="5" max="10" width="7.33203125" bestFit="1" customWidth="1"/>
    <col min="11" max="11" width="10.88671875" bestFit="1" customWidth="1"/>
    <col min="12" max="12" width="8.109375" bestFit="1" customWidth="1"/>
    <col min="13" max="13" width="10.44140625" bestFit="1" customWidth="1"/>
    <col min="14" max="14" width="10.109375" bestFit="1" customWidth="1"/>
    <col min="15" max="15" width="14.44140625" bestFit="1" customWidth="1"/>
  </cols>
  <sheetData>
    <row r="1" spans="1:15" ht="15" thickBot="1">
      <c r="A1" s="96"/>
    </row>
    <row r="2" spans="1:15" ht="15" thickBot="1">
      <c r="B2" s="113" t="s">
        <v>1947</v>
      </c>
      <c r="C2" s="115" t="s">
        <v>1357</v>
      </c>
      <c r="D2" s="115" t="s">
        <v>1358</v>
      </c>
      <c r="E2" s="115" t="s">
        <v>1359</v>
      </c>
      <c r="F2" s="115" t="s">
        <v>1360</v>
      </c>
      <c r="G2" s="115" t="s">
        <v>1361</v>
      </c>
      <c r="H2" s="115" t="s">
        <v>1362</v>
      </c>
      <c r="I2" s="115" t="s">
        <v>1363</v>
      </c>
      <c r="J2" s="115" t="s">
        <v>1364</v>
      </c>
      <c r="K2" s="115" t="s">
        <v>1365</v>
      </c>
      <c r="L2" s="115" t="s">
        <v>1366</v>
      </c>
      <c r="M2" s="115" t="s">
        <v>1367</v>
      </c>
      <c r="N2" s="115" t="s">
        <v>1368</v>
      </c>
      <c r="O2" s="124" t="s">
        <v>1976</v>
      </c>
    </row>
    <row r="3" spans="1:15">
      <c r="B3" s="117" t="s">
        <v>1949</v>
      </c>
      <c r="C3" s="125">
        <f>+'Load Research January CPk'!$G$149-'Load Research January CPk'!$G$81</f>
        <v>-42.200913287824733</v>
      </c>
      <c r="D3" s="125">
        <f>+'Load Research February CPk'!$G$149-'Load Research February CPk'!$G$81</f>
        <v>-30.483506086698071</v>
      </c>
      <c r="E3" s="125">
        <f>+'Load Research March CPk'!$G$149-'Load Research March CPk'!$G$81</f>
        <v>-24.308436077650413</v>
      </c>
      <c r="F3" s="125">
        <f>+'Load Research April CPk'!$G$149-'Load Research April CPk'!$G$81</f>
        <v>-27.187455842022473</v>
      </c>
      <c r="G3" s="125">
        <f>+'Load Research May CPk'!$G$149-'Load Research May CPk'!$G$81</f>
        <v>-31.575828066116173</v>
      </c>
      <c r="H3" s="125">
        <f>+'Load Research June CPk'!$G$149-'Load Research June CPk'!$G$81</f>
        <v>-34.742903301465958</v>
      </c>
      <c r="I3" s="125">
        <f>+'Load Research July CPk'!$G$149-'Load Research July CPk'!$G$81</f>
        <v>-34.727145965940053</v>
      </c>
      <c r="J3" s="125">
        <f>+'Load Research August CPk'!$G$149-'Load Research August CPk'!$G$81</f>
        <v>-34.767000998358981</v>
      </c>
      <c r="K3" s="125">
        <f>+'Load Research September CPk'!$G$149-'Load Research September CPk'!$G$81</f>
        <v>-33.932544137600871</v>
      </c>
      <c r="L3" s="125">
        <f>+'Load Research October CPk'!$G$149-'Load Research October CPk'!$G$81</f>
        <v>-30.522465689340152</v>
      </c>
      <c r="M3" s="125">
        <f>+'Load Research November CPk'!$G$149-'Load Research November CPk'!$G$81</f>
        <v>-23.953997919586755</v>
      </c>
      <c r="N3" s="125">
        <f>+'Load Research December CPk'!$G$149-'Load Research December CPk'!$G$81</f>
        <v>-30.743374809419947</v>
      </c>
      <c r="O3" s="126">
        <f t="shared" ref="O3:O8" si="0">+SUM(C3,D3,I3,J3)/12</f>
        <v>-11.848213861568487</v>
      </c>
    </row>
    <row r="4" spans="1:15">
      <c r="B4" s="117" t="s">
        <v>1950</v>
      </c>
      <c r="C4" s="125">
        <f>+'Load Research January CPk'!$G$157-'Load Research January CPk'!$G$89</f>
        <v>-0.58144113607099257</v>
      </c>
      <c r="D4" s="125">
        <f>+'Load Research February CPk'!$G$157-'Load Research February CPk'!$G$89</f>
        <v>-0.53796166928302114</v>
      </c>
      <c r="E4" s="125">
        <f>+'Load Research March CPk'!$G$157-'Load Research March CPk'!$G$89</f>
        <v>-0.5329255927979375</v>
      </c>
      <c r="F4" s="125">
        <f>+'Load Research April CPk'!$G$157-'Load Research April CPk'!$G$89</f>
        <v>-0.54137723342634558</v>
      </c>
      <c r="G4" s="125">
        <f>+'Load Research May CPk'!$G$157-'Load Research May CPk'!$G$89</f>
        <v>-0.55821062930064613</v>
      </c>
      <c r="H4" s="125">
        <f>+'Load Research June CPk'!$G$157-'Load Research June CPk'!$G$89</f>
        <v>-0.57153903147067808</v>
      </c>
      <c r="I4" s="125">
        <f>+'Load Research July CPk'!$G$157-'Load Research July CPk'!$G$89</f>
        <v>-0.57401057169104774</v>
      </c>
      <c r="J4" s="125">
        <f>+'Load Research August CPk'!$G$157-'Load Research August CPk'!$G$89</f>
        <v>-0.57542191527213049</v>
      </c>
      <c r="K4" s="125">
        <f>+'Load Research September CPk'!$G$157-'Load Research September CPk'!$G$89</f>
        <v>-0.56594299083471356</v>
      </c>
      <c r="L4" s="125">
        <f>+'Load Research October CPk'!$G$157-'Load Research October CPk'!$G$89</f>
        <v>-0.54852292172051875</v>
      </c>
      <c r="M4" s="125">
        <f>+'Load Research November CPk'!$G$157-'Load Research November CPk'!$G$89</f>
        <v>-0.52394091517660968</v>
      </c>
      <c r="N4" s="125">
        <f>+'Load Research December CPk'!$G$157-'Load Research December CPk'!$G$89</f>
        <v>-0.55095487131185905</v>
      </c>
      <c r="O4" s="126">
        <f t="shared" si="0"/>
        <v>-0.18906960769309933</v>
      </c>
    </row>
    <row r="5" spans="1:15">
      <c r="B5" s="117" t="s">
        <v>1934</v>
      </c>
      <c r="C5" s="125">
        <f>+'Load Research January CPk'!$G$167-'Load Research January CPk'!$G$99</f>
        <v>-98.004127056147809</v>
      </c>
      <c r="D5" s="125">
        <f>+'Load Research February CPk'!$G$167-'Load Research February CPk'!$G$99</f>
        <v>-97.616881845410717</v>
      </c>
      <c r="E5" s="125">
        <f>+'Load Research March CPk'!$G$167-'Load Research March CPk'!$G$99</f>
        <v>-98.249874849014304</v>
      </c>
      <c r="F5" s="125">
        <f>+'Load Research April CPk'!$G$167-'Load Research April CPk'!$G$99</f>
        <v>-98.292292560476426</v>
      </c>
      <c r="G5" s="125">
        <f>+'Load Research May CPk'!$G$167-'Load Research May CPk'!$G$99</f>
        <v>-98.443485082789721</v>
      </c>
      <c r="H5" s="125">
        <f>+'Load Research June CPk'!$G$167-'Load Research June CPk'!$G$99</f>
        <v>-98.574353700318852</v>
      </c>
      <c r="I5" s="125">
        <f>+'Load Research July CPk'!$G$167-'Load Research July CPk'!$G$99</f>
        <v>-98.586452259816497</v>
      </c>
      <c r="J5" s="125">
        <f>+'Load Research August CPk'!$G$167-'Load Research August CPk'!$G$99</f>
        <v>-98.607417311766994</v>
      </c>
      <c r="K5" s="125">
        <f>+'Load Research September CPk'!$G$167-'Load Research September CPk'!$G$99</f>
        <v>-98.529257267078719</v>
      </c>
      <c r="L5" s="125">
        <f>+'Load Research October CPk'!$G$167-'Load Research October CPk'!$G$99</f>
        <v>-98.360448676615761</v>
      </c>
      <c r="M5" s="125">
        <f>+'Load Research November CPk'!$G$167-'Load Research November CPk'!$G$99</f>
        <v>-98.163358495281614</v>
      </c>
      <c r="N5" s="125">
        <f>+'Load Research December CPk'!$G$167-'Load Research December CPk'!$G$99</f>
        <v>-97.77524811626472</v>
      </c>
      <c r="O5" s="126">
        <f t="shared" si="0"/>
        <v>-32.73457320609517</v>
      </c>
    </row>
    <row r="6" spans="1:15">
      <c r="B6" s="117" t="s">
        <v>1971</v>
      </c>
      <c r="C6" s="125">
        <f>+('Load Research January CPk'!$G$171+'Load Research January CPk'!$G$173)-('Load Research January CPk'!$G$103+'Load Research January CPk'!$G$105)</f>
        <v>-7.1806953443797283E-2</v>
      </c>
      <c r="D6" s="125">
        <f>+('Load Research February CPk'!$G$171+'Load Research February CPk'!$G$173)-('Load Research February CPk'!$G$103+'Load Research February CPk'!$G$105)</f>
        <v>-5.6928902457926256E-2</v>
      </c>
      <c r="E6" s="125">
        <f>+('Load Research March CPk'!$G$171+'Load Research March CPk'!$G$173)-('Load Research March CPk'!$G$103+'Load Research March CPk'!$G$105)</f>
        <v>-8.562157570682416E-2</v>
      </c>
      <c r="F6" s="125">
        <f>+('Load Research April CPk'!$G$171+'Load Research April CPk'!$G$173)-('Load Research April CPk'!$G$103+'Load Research April CPk'!$G$105)</f>
        <v>-8.4053328113640191E-2</v>
      </c>
      <c r="G6" s="125">
        <f>+('Load Research May CPk'!$G$171+'Load Research May CPk'!$G$173)-('Load Research May CPk'!$G$103+'Load Research May CPk'!$G$105)</f>
        <v>-8.9880869996164847E-2</v>
      </c>
      <c r="H6" s="125">
        <f>+('Load Research June CPk'!$G$171+'Load Research June CPk'!$G$173)-('Load Research June CPk'!$G$103+'Load Research June CPk'!$G$105)</f>
        <v>-9.3374255674689266E-2</v>
      </c>
      <c r="I6" s="125">
        <f>+('Load Research July CPk'!$G$171+'Load Research July CPk'!$G$173)-('Load Research July CPk'!$G$103+'Load Research July CPk'!$G$105)</f>
        <v>-9.0029967237569508E-2</v>
      </c>
      <c r="J6" s="125">
        <f>+('Load Research August CPk'!$G$171+'Load Research August CPk'!$G$173)-('Load Research August CPk'!$G$103+'Load Research August CPk'!$G$105)</f>
        <v>-9.2660226528892053E-2</v>
      </c>
      <c r="K6" s="125">
        <f>+('Load Research September CPk'!$G$171+'Load Research September CPk'!$G$173)-('Load Research September CPk'!$G$103+'Load Research September CPk'!$G$105)</f>
        <v>-9.4118941426160063E-2</v>
      </c>
      <c r="L6" s="125">
        <f>+('Load Research October CPk'!$G$171+'Load Research October CPk'!$G$173)-('Load Research October CPk'!$G$103+'Load Research October CPk'!$G$105)</f>
        <v>-8.795910789831396E-2</v>
      </c>
      <c r="M6" s="125">
        <f>+('Load Research November CPk'!$G$171+'Load Research November CPk'!$G$173)-('Load Research November CPk'!$G$103+'Load Research November CPk'!$G$105)</f>
        <v>-8.2633301720193231E-2</v>
      </c>
      <c r="N6" s="125">
        <f>+('Load Research December CPk'!$G$171+'Load Research December CPk'!$G$173)-('Load Research December CPk'!$G$103+'Load Research December CPk'!$G$105)</f>
        <v>-6.5952110367575756E-2</v>
      </c>
      <c r="O6" s="126">
        <f t="shared" si="0"/>
        <v>-2.5952170805682091E-2</v>
      </c>
    </row>
    <row r="7" spans="1:15">
      <c r="B7" s="117" t="s">
        <v>1972</v>
      </c>
      <c r="C7" s="125">
        <f>+('Load Research January CPk'!$G$172+'Load Research January CPk'!$G$174)-('Load Research January CPk'!$G$104+'Load Research January CPk'!$G$106)</f>
        <v>-2.3815956246366454E-2</v>
      </c>
      <c r="D7" s="125">
        <f>+('Load Research February CPk'!$G$172+'Load Research February CPk'!$G$174)-('Load Research February CPk'!$G$104+'Load Research February CPk'!$G$106)</f>
        <v>-2.0152545879668082E-2</v>
      </c>
      <c r="E7" s="125">
        <f>+('Load Research March CPk'!$G$172+'Load Research March CPk'!$G$174)-('Load Research March CPk'!$G$104+'Load Research March CPk'!$G$106)</f>
        <v>-3.0426251775764968E-2</v>
      </c>
      <c r="F7" s="125">
        <f>+('Load Research April CPk'!$G$172+'Load Research April CPk'!$G$174)-('Load Research April CPk'!$G$104+'Load Research April CPk'!$G$106)</f>
        <v>-2.9517155914987825E-2</v>
      </c>
      <c r="G7" s="125">
        <f>+('Load Research May CPk'!$G$172+'Load Research May CPk'!$G$174)-('Load Research May CPk'!$G$104+'Load Research May CPk'!$G$106)</f>
        <v>-3.0742413640211907E-2</v>
      </c>
      <c r="H7" s="125">
        <f>+('Load Research June CPk'!$G$172+'Load Research June CPk'!$G$174)-('Load Research June CPk'!$G$104+'Load Research June CPk'!$G$106)</f>
        <v>-3.1366381939008647E-2</v>
      </c>
      <c r="I7" s="125">
        <f>+('Load Research July CPk'!$G$172+'Load Research July CPk'!$G$174)-('Load Research July CPk'!$G$104+'Load Research July CPk'!$G$106)</f>
        <v>-3.02365080365945E-2</v>
      </c>
      <c r="J7" s="125">
        <f>+('Load Research August CPk'!$G$172+'Load Research August CPk'!$G$174)-('Load Research August CPk'!$G$104+'Load Research August CPk'!$G$106)</f>
        <v>-3.1032349984087659E-2</v>
      </c>
      <c r="K7" s="125">
        <f>+('Load Research September CPk'!$G$172+'Load Research September CPk'!$G$174)-('Load Research September CPk'!$G$104+'Load Research September CPk'!$G$106)</f>
        <v>-3.1807963237639569E-2</v>
      </c>
      <c r="L7" s="125">
        <f>+('Load Research October CPk'!$G$172+'Load Research October CPk'!$G$174)-('Load Research October CPk'!$G$104+'Load Research October CPk'!$G$106)</f>
        <v>-3.0495132330500496E-2</v>
      </c>
      <c r="M7" s="125">
        <f>+('Load Research November CPk'!$G$172+'Load Research November CPk'!$G$174)-('Load Research November CPk'!$G$104+'Load Research November CPk'!$G$106)</f>
        <v>-2.9843663834157041E-2</v>
      </c>
      <c r="N7" s="125">
        <f>+('Load Research December CPk'!$G$172+'Load Research December CPk'!$G$174)-('Load Research December CPk'!$G$104+'Load Research December CPk'!$G$106)</f>
        <v>-2.2716652155139627E-2</v>
      </c>
      <c r="O7" s="126">
        <f t="shared" si="0"/>
        <v>-8.7697800122263914E-3</v>
      </c>
    </row>
    <row r="8" spans="1:15">
      <c r="B8" s="117" t="s">
        <v>1974</v>
      </c>
      <c r="C8" s="125">
        <f>IF(B8&lt;&gt;"LS",0,+'Load Research January CPk'!$G$178-'Load Research January CPk'!$G$110)</f>
        <v>0</v>
      </c>
      <c r="D8" s="125">
        <f>IF(C8&lt;&gt;"LS",0,+'Load Research February CPk'!$G$178-'Load Research February CPk'!$G$110)</f>
        <v>0</v>
      </c>
      <c r="E8" s="125">
        <f>IF(D8&lt;&gt;"LS",0,+'Load Research March CPk'!$G$178-'Load Research March CPk'!$G$110)</f>
        <v>0</v>
      </c>
      <c r="F8" s="125">
        <f>IF(E8&lt;&gt;"LS",0,+'Load Research April CPk'!$G$178-'Load Research April CPk'!$G$110)</f>
        <v>0</v>
      </c>
      <c r="G8" s="125">
        <f>IF(F8&lt;&gt;"LS",0,+'Load Research May CPk'!$G$178-'Load Research May CPk'!$G$110)</f>
        <v>0</v>
      </c>
      <c r="H8" s="125">
        <f>IF(G8&lt;&gt;"LS",0,+'Load Research June CPk'!$G$178-'Load Research June CPk'!$G$110)</f>
        <v>0</v>
      </c>
      <c r="I8" s="125">
        <f>IF(H8&lt;&gt;"LS",0,+'Load Research July CPk'!$G$178-'Load Research July CPk'!$G$110)</f>
        <v>0</v>
      </c>
      <c r="J8" s="125">
        <f>IF(I8&lt;&gt;"LS",0,+'Load Research August CPk'!$G$178-'Load Research August CPk'!$G$110)</f>
        <v>0</v>
      </c>
      <c r="K8" s="125">
        <f>IF(J8&lt;&gt;"LS",0,+'Load Research September CPk'!$G$178-'Load Research September CPk'!$G$110)</f>
        <v>0</v>
      </c>
      <c r="L8" s="125">
        <f>IF(K8&lt;&gt;"LS",0,+'Load Research October CPk'!$G$178-'Load Research October CPk'!$G$110)</f>
        <v>0</v>
      </c>
      <c r="M8" s="125">
        <f>IF(L8&lt;&gt;"LS",0,+'Load Research November CPk'!$G$178-'Load Research November CPk'!$G$110)</f>
        <v>0</v>
      </c>
      <c r="N8" s="125">
        <f>IF(M8&lt;&gt;"LS",0,+'Load Research December CPk'!$G$178-'Load Research December CPk'!$G$110)</f>
        <v>0</v>
      </c>
      <c r="O8" s="126">
        <f t="shared" si="0"/>
        <v>0</v>
      </c>
    </row>
    <row r="9" spans="1:15" ht="15" thickBot="1">
      <c r="B9" s="117"/>
      <c r="C9" s="36"/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126"/>
    </row>
    <row r="10" spans="1:15" ht="15.6" thickTop="1" thickBot="1">
      <c r="B10" s="122" t="s">
        <v>1975</v>
      </c>
      <c r="C10" s="127">
        <f>+SUM(C3:C8)</f>
        <v>-140.88210438973368</v>
      </c>
      <c r="D10" s="127">
        <f t="shared" ref="D10:N10" si="1">+SUM(D3:D8)</f>
        <v>-128.71543104972943</v>
      </c>
      <c r="E10" s="127">
        <f t="shared" si="1"/>
        <v>-123.20728434694524</v>
      </c>
      <c r="F10" s="127">
        <f t="shared" si="1"/>
        <v>-126.13469611995387</v>
      </c>
      <c r="G10" s="127">
        <f t="shared" si="1"/>
        <v>-130.69814706184292</v>
      </c>
      <c r="H10" s="127">
        <f t="shared" si="1"/>
        <v>-134.0135366708692</v>
      </c>
      <c r="I10" s="127">
        <f t="shared" si="1"/>
        <v>-134.00787527272178</v>
      </c>
      <c r="J10" s="127">
        <f t="shared" si="1"/>
        <v>-134.07353280191109</v>
      </c>
      <c r="K10" s="127">
        <f t="shared" si="1"/>
        <v>-133.1536713001781</v>
      </c>
      <c r="L10" s="127">
        <f t="shared" si="1"/>
        <v>-129.54989152790523</v>
      </c>
      <c r="M10" s="127">
        <f t="shared" si="1"/>
        <v>-122.75377429559933</v>
      </c>
      <c r="N10" s="127">
        <f t="shared" si="1"/>
        <v>-129.15824655951926</v>
      </c>
      <c r="O10" s="1823">
        <f>+SUM(C10,D10,I10,J10)/12</f>
        <v>-44.806578626174662</v>
      </c>
    </row>
  </sheetData>
  <phoneticPr fontId="13" type="noConversion"/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B2:L33"/>
  <sheetViews>
    <sheetView tabSelected="1" showOutlineSymbols="0" topLeftCell="A5" workbookViewId="0"/>
  </sheetViews>
  <sheetFormatPr defaultRowHeight="14.4"/>
  <cols>
    <col min="3" max="3" width="48.33203125" bestFit="1" customWidth="1"/>
    <col min="4" max="4" width="12.44140625" bestFit="1" customWidth="1"/>
    <col min="5" max="5" width="22.5546875" bestFit="1" customWidth="1"/>
    <col min="6" max="6" width="23.109375" bestFit="1" customWidth="1"/>
    <col min="7" max="9" width="14.5546875" bestFit="1" customWidth="1"/>
    <col min="10" max="11" width="22.6640625" bestFit="1" customWidth="1"/>
    <col min="12" max="12" width="10.6640625" customWidth="1"/>
    <col min="13" max="13" width="11.33203125" customWidth="1"/>
  </cols>
  <sheetData>
    <row r="2" spans="2:12">
      <c r="B2" s="123" t="s">
        <v>1961</v>
      </c>
    </row>
    <row r="3" spans="2:12">
      <c r="B3" s="123" t="s">
        <v>9263</v>
      </c>
    </row>
    <row r="5" spans="2:12" ht="15" thickBot="1"/>
    <row r="6" spans="2:12" ht="28.8" thickBot="1">
      <c r="B6" s="3119" t="s">
        <v>1962</v>
      </c>
      <c r="C6" s="3120"/>
      <c r="D6" s="146" t="s">
        <v>1968</v>
      </c>
      <c r="E6" s="146" t="s">
        <v>1969</v>
      </c>
      <c r="F6" s="146" t="s">
        <v>1970</v>
      </c>
      <c r="G6" s="146" t="s">
        <v>1949</v>
      </c>
      <c r="H6" s="146" t="s">
        <v>1950</v>
      </c>
      <c r="I6" s="146" t="s">
        <v>1934</v>
      </c>
      <c r="J6" s="146" t="s">
        <v>1971</v>
      </c>
      <c r="K6" s="146" t="s">
        <v>1972</v>
      </c>
      <c r="L6" s="147" t="s">
        <v>1973</v>
      </c>
    </row>
    <row r="7" spans="2:12">
      <c r="B7" s="118">
        <v>101</v>
      </c>
      <c r="C7" s="36" t="s">
        <v>9271</v>
      </c>
      <c r="D7" s="68">
        <f t="shared" ref="D7:D16" si="0">+E7+F7</f>
        <v>3929693.4213738362</v>
      </c>
      <c r="E7" s="142">
        <v>0</v>
      </c>
      <c r="F7" s="68">
        <f>+'Coincident Peak Formula'!Q28+('Load Management Adjustment'!O10*1000)</f>
        <v>3929693.4213738362</v>
      </c>
      <c r="G7" s="68">
        <f>+'Coincident Peak Formula'!Q4+('Load Management Adjustment'!O3*1000)</f>
        <v>2293413.5539451065</v>
      </c>
      <c r="H7" s="68">
        <f>+'Coincident Peak Formula'!Q10+('Load Management Adjustment'!O4*1000)</f>
        <v>189971.77408652118</v>
      </c>
      <c r="I7" s="68">
        <f>+'Coincident Peak Formula'!Q16+('Load Management Adjustment'!O5*1000)</f>
        <v>1182868.1660745537</v>
      </c>
      <c r="J7" s="68">
        <f>+'Coincident Peak Formula'!Q20+('Load Management Adjustment'!O6*1000)</f>
        <v>151725.93203270945</v>
      </c>
      <c r="K7" s="68">
        <f>+'Coincident Peak Formula'!Q21+('Load Management Adjustment'!O7*1000)</f>
        <v>108896.00045594225</v>
      </c>
      <c r="L7" s="69">
        <f>+'Coincident Peak Formula'!Q25+('Load Management Adjustment'!O8*1000)</f>
        <v>2817.891048503418</v>
      </c>
    </row>
    <row r="8" spans="2:12">
      <c r="B8" s="118">
        <v>105</v>
      </c>
      <c r="C8" s="36" t="s">
        <v>1963</v>
      </c>
      <c r="D8" s="68">
        <f t="shared" si="0"/>
        <v>4697937.6521934383</v>
      </c>
      <c r="E8" s="142">
        <v>0</v>
      </c>
      <c r="F8" s="68">
        <f t="shared" ref="F8:F15" si="1">+SUM(G8:L8)</f>
        <v>4697937.6521934383</v>
      </c>
      <c r="G8" s="68">
        <f>+'Load Research RS NCPk'!E13*1000</f>
        <v>2924071.6184645439</v>
      </c>
      <c r="H8" s="68">
        <f>+'Load Research GS NCPk'!E21*1000</f>
        <v>207967.30725046038</v>
      </c>
      <c r="I8" s="68">
        <f>+SUM('Load Research GSD NCPk'!E24:E27,'Load Research GSD NCPk'!E29)*1000</f>
        <v>1392470.9714005697</v>
      </c>
      <c r="J8" s="68">
        <f>+('Load Research GSLD NCPk'!E35+'Load Research GSLD NCPk'!E37)*1000</f>
        <v>146459.94904468433</v>
      </c>
      <c r="K8" s="68">
        <f>+('Load Research GSLD NCPk'!E36+'Load Research GSLD NCPk'!E38)*1000</f>
        <v>0.1</v>
      </c>
      <c r="L8" s="69">
        <f>+'Load Research LS NCPk'!E42*1000</f>
        <v>26967.70603318101</v>
      </c>
    </row>
    <row r="9" spans="2:12">
      <c r="B9" s="118">
        <v>106</v>
      </c>
      <c r="C9" s="36" t="s">
        <v>1964</v>
      </c>
      <c r="D9" s="68">
        <f t="shared" si="0"/>
        <v>7187229.5482128784</v>
      </c>
      <c r="E9" s="142">
        <v>0</v>
      </c>
      <c r="F9" s="68">
        <f t="shared" si="1"/>
        <v>7187229.5482128784</v>
      </c>
      <c r="G9" s="68">
        <f>+'Load Research Billing kWh'!D13/(8760*'Load Research Projected LF'!C4)*1000</f>
        <v>5244041.7349253921</v>
      </c>
      <c r="H9" s="68">
        <f>+'Load Research Billing kWh'!D21/(8760*'Load Research Projected LF'!C5)*1000</f>
        <v>422249.43414087628</v>
      </c>
      <c r="I9" s="68">
        <f>+'Load Research Billing kWh'!D31/(8760*'Load Research Projected LF'!C6)*1000</f>
        <v>1494939.0922549148</v>
      </c>
      <c r="J9" s="68">
        <f>+('Load Research Billing kWh'!D35+'Load Research Billing kWh'!D37)/(8760*'Load Research Projected LF'!C7)*1000</f>
        <v>0</v>
      </c>
      <c r="K9" s="68">
        <f>+('Load Research Billing kWh'!D36+'Load Research Billing kWh'!D38)/(8760*'Load Research Projected LF'!C8)*1000</f>
        <v>0</v>
      </c>
      <c r="L9" s="69">
        <f>+'Load Research Billing kWh'!D42/(8760*'Load Research Projected LF'!C9)*1000</f>
        <v>25999.286891694905</v>
      </c>
    </row>
    <row r="10" spans="2:12">
      <c r="B10" s="118">
        <v>117</v>
      </c>
      <c r="C10" s="36" t="s">
        <v>9325</v>
      </c>
      <c r="D10" s="68">
        <f>+E10+F11</f>
        <v>4249833.2296028445</v>
      </c>
      <c r="E10" s="68">
        <f>+'Wholesale Firm'!P10*1000</f>
        <v>275333.33333333337</v>
      </c>
      <c r="F10" s="68">
        <f>+SUM(G10:L10)</f>
        <v>3974499.896269511</v>
      </c>
      <c r="G10" s="68">
        <f>+'Coincident Peak Formula'!Q4</f>
        <v>2305261.7678066748</v>
      </c>
      <c r="H10" s="68">
        <f>+'Coincident Peak Formula'!Q10</f>
        <v>190160.84369421427</v>
      </c>
      <c r="I10" s="68">
        <f>+'Coincident Peak Formula'!Q16</f>
        <v>1215602.739280649</v>
      </c>
      <c r="J10" s="68">
        <f>+'Coincident Peak Formula'!Q20</f>
        <v>151751.88420351513</v>
      </c>
      <c r="K10" s="68">
        <f>+'Coincident Peak Formula'!Q21</f>
        <v>108904.77023595448</v>
      </c>
      <c r="L10" s="69">
        <f>+'Coincident Peak Formula'!Q25</f>
        <v>2817.891048503418</v>
      </c>
    </row>
    <row r="11" spans="2:12">
      <c r="B11" s="118">
        <v>118</v>
      </c>
      <c r="C11" s="36" t="s">
        <v>9325</v>
      </c>
      <c r="D11" s="68">
        <f>+E11+F13</f>
        <v>275334.33333333337</v>
      </c>
      <c r="E11" s="68">
        <f>+'Wholesale Firm'!P10*1000</f>
        <v>275333.33333333337</v>
      </c>
      <c r="F11" s="68">
        <f>+SUM(G11:L11)</f>
        <v>3974499.896269511</v>
      </c>
      <c r="G11" s="68">
        <f>+'Coincident Peak Formula'!Q4</f>
        <v>2305261.7678066748</v>
      </c>
      <c r="H11" s="68">
        <f>+'Coincident Peak Formula'!Q10</f>
        <v>190160.84369421427</v>
      </c>
      <c r="I11" s="68">
        <f>+'Coincident Peak Formula'!Q16</f>
        <v>1215602.739280649</v>
      </c>
      <c r="J11" s="68">
        <f>+'Coincident Peak Formula'!Q20</f>
        <v>151751.88420351513</v>
      </c>
      <c r="K11" s="68">
        <f>+'Coincident Peak Formula'!Q21</f>
        <v>108904.77023595448</v>
      </c>
      <c r="L11" s="69">
        <f>+'Coincident Peak Formula'!Q25</f>
        <v>2817.891048503418</v>
      </c>
    </row>
    <row r="12" spans="2:12">
      <c r="B12" s="118">
        <v>122</v>
      </c>
      <c r="C12" s="36" t="s">
        <v>9468</v>
      </c>
      <c r="D12" s="148">
        <f>+E12+F12</f>
        <v>1</v>
      </c>
      <c r="E12" s="148">
        <v>0</v>
      </c>
      <c r="F12" s="148">
        <f>+SUM(G12:L12)</f>
        <v>1</v>
      </c>
      <c r="G12" s="148">
        <f>+G33</f>
        <v>0.57421466666954735</v>
      </c>
      <c r="H12" s="148">
        <f t="shared" ref="H12:L12" si="2">+H33</f>
        <v>4.7752062449164689E-2</v>
      </c>
      <c r="I12" s="148">
        <f t="shared" si="2"/>
        <v>0.30904706559808581</v>
      </c>
      <c r="J12" s="148">
        <f t="shared" si="2"/>
        <v>3.9498306589408221E-2</v>
      </c>
      <c r="K12" s="148">
        <f t="shared" si="2"/>
        <v>2.842705517455647E-2</v>
      </c>
      <c r="L12" s="149">
        <f t="shared" si="2"/>
        <v>1.0608435192375021E-3</v>
      </c>
    </row>
    <row r="13" spans="2:12">
      <c r="B13" s="118">
        <v>123</v>
      </c>
      <c r="C13" s="36" t="s">
        <v>9456</v>
      </c>
      <c r="D13" s="148">
        <f>+E13+F13</f>
        <v>1</v>
      </c>
      <c r="E13" s="148">
        <v>0</v>
      </c>
      <c r="F13" s="148">
        <f>+SUM(G13:L13)</f>
        <v>1</v>
      </c>
      <c r="G13" s="148">
        <f t="shared" ref="G13:L13" si="3">+G11/$F$11</f>
        <v>0.58001304012371646</v>
      </c>
      <c r="H13" s="148">
        <f t="shared" si="3"/>
        <v>4.7845225476719815E-2</v>
      </c>
      <c r="I13" s="148">
        <f t="shared" si="3"/>
        <v>0.3058504896230142</v>
      </c>
      <c r="J13" s="148">
        <f t="shared" si="3"/>
        <v>3.8181378327862163E-2</v>
      </c>
      <c r="K13" s="148">
        <f t="shared" si="3"/>
        <v>2.7400873840297026E-2</v>
      </c>
      <c r="L13" s="149">
        <f t="shared" si="3"/>
        <v>7.0899260839038069E-4</v>
      </c>
    </row>
    <row r="14" spans="2:12">
      <c r="B14" s="118">
        <v>201</v>
      </c>
      <c r="C14" s="36" t="s">
        <v>1965</v>
      </c>
      <c r="D14" s="68">
        <f t="shared" si="0"/>
        <v>21513101.492999993</v>
      </c>
      <c r="E14" s="142">
        <v>0</v>
      </c>
      <c r="F14" s="68">
        <f t="shared" si="1"/>
        <v>21513101.492999993</v>
      </c>
      <c r="G14" s="68">
        <f>+'Load Research Billing kWh'!G13</f>
        <v>10856246.44346484</v>
      </c>
      <c r="H14" s="68">
        <f>+'Load Research Billing kWh'!G21</f>
        <v>1003244.2579626911</v>
      </c>
      <c r="I14" s="68">
        <f>+'Load Research Billing kWh'!G31</f>
        <v>7473780.0489070648</v>
      </c>
      <c r="J14" s="68">
        <f>+'Load Research Billing kWh'!G35+'Load Research Billing kWh'!G37</f>
        <v>1189705.6146552546</v>
      </c>
      <c r="K14" s="68">
        <f>+'Load Research Billing kWh'!G36+'Load Research Billing kWh'!G38</f>
        <v>876470.24144709064</v>
      </c>
      <c r="L14" s="69">
        <f>+'Load Research Billing kWh'!G42</f>
        <v>113654.88656305107</v>
      </c>
    </row>
    <row r="15" spans="2:12">
      <c r="B15" s="118">
        <v>203</v>
      </c>
      <c r="C15" s="36" t="s">
        <v>1966</v>
      </c>
      <c r="D15" s="68">
        <f t="shared" si="0"/>
        <v>20466082.88775</v>
      </c>
      <c r="E15" s="142">
        <v>0</v>
      </c>
      <c r="F15" s="68">
        <f t="shared" si="1"/>
        <v>20466082.88775</v>
      </c>
      <c r="G15" s="68">
        <f>+'Load Research Billing kWh'!C13</f>
        <v>10290068.453940002</v>
      </c>
      <c r="H15" s="68">
        <f>+'Load Research Billing kWh'!C21</f>
        <v>950935.90074000007</v>
      </c>
      <c r="I15" s="68">
        <f>+'Load Research Billing kWh'!C31</f>
        <v>7092236.6712300004</v>
      </c>
      <c r="J15" s="68">
        <f>+'Load Research Billing kWh'!C35+'Load Research Billing kWh'!C37</f>
        <v>1160046.4763981265</v>
      </c>
      <c r="K15" s="68">
        <f>+'Load Research Billing kWh'!C36+'Load Research Billing kWh'!C38</f>
        <v>865067.86019187397</v>
      </c>
      <c r="L15" s="69">
        <f>+'Load Research Billing kWh'!C42</f>
        <v>107727.52524999999</v>
      </c>
    </row>
    <row r="16" spans="2:12" ht="15" thickBot="1">
      <c r="B16" s="119">
        <v>204</v>
      </c>
      <c r="C16" s="37" t="s">
        <v>1967</v>
      </c>
      <c r="D16" s="70">
        <f t="shared" si="0"/>
        <v>21513101.492999993</v>
      </c>
      <c r="E16" s="70">
        <f>+E14</f>
        <v>0</v>
      </c>
      <c r="F16" s="70">
        <f>+F14</f>
        <v>21513101.492999993</v>
      </c>
      <c r="G16" s="70">
        <f t="shared" ref="G16:L16" si="4">+G14</f>
        <v>10856246.44346484</v>
      </c>
      <c r="H16" s="70">
        <f t="shared" si="4"/>
        <v>1003244.2579626911</v>
      </c>
      <c r="I16" s="70">
        <f t="shared" si="4"/>
        <v>7473780.0489070648</v>
      </c>
      <c r="J16" s="70">
        <f t="shared" si="4"/>
        <v>1189705.6146552546</v>
      </c>
      <c r="K16" s="70">
        <f t="shared" si="4"/>
        <v>876470.24144709064</v>
      </c>
      <c r="L16" s="71">
        <f t="shared" si="4"/>
        <v>113654.88656305107</v>
      </c>
    </row>
    <row r="18" spans="2:12" ht="15" thickBot="1"/>
    <row r="19" spans="2:12" ht="43.8" thickBot="1">
      <c r="B19" s="81"/>
      <c r="C19" s="150"/>
      <c r="D19" s="115" t="s">
        <v>115</v>
      </c>
      <c r="E19" s="153" t="s">
        <v>1995</v>
      </c>
      <c r="F19" s="153" t="s">
        <v>1996</v>
      </c>
      <c r="G19" s="153" t="s">
        <v>1997</v>
      </c>
      <c r="H19" s="153" t="s">
        <v>1998</v>
      </c>
      <c r="I19" s="153" t="s">
        <v>1999</v>
      </c>
      <c r="J19" s="154" t="s">
        <v>2000</v>
      </c>
      <c r="K19" s="49"/>
    </row>
    <row r="20" spans="2:12">
      <c r="B20" s="118">
        <v>401</v>
      </c>
      <c r="C20" s="36" t="s">
        <v>1987</v>
      </c>
      <c r="D20" s="68">
        <f t="shared" ref="D20:D25" si="5">+SUM(E20:J20)</f>
        <v>35356244.437981486</v>
      </c>
      <c r="E20" s="68">
        <f>+'Load Research Billing kWh'!C13</f>
        <v>10290068.453940002</v>
      </c>
      <c r="F20" s="68">
        <f>+'Load Research Billing kWh'!C21</f>
        <v>950935.90074000007</v>
      </c>
      <c r="G20" s="68">
        <f>+SUMIFS('Load Research Service Level'!P:P,'Load Research Service Level'!O:O,"GSD")</f>
        <v>18168858.210000001</v>
      </c>
      <c r="H20" s="68">
        <f>+SUMIFS('Load Research Service Level'!P:P,'Load Research Service Level'!O:O,"GSLDPR")</f>
        <v>2634852.5689424397</v>
      </c>
      <c r="I20" s="68">
        <f>+SUMIFS('Load Research Service Level'!P:P,'Load Research Service Level'!O:O,"GSLDSU")</f>
        <v>3203801.7791090398</v>
      </c>
      <c r="J20" s="69">
        <f>+J23</f>
        <v>107727.52524999999</v>
      </c>
    </row>
    <row r="21" spans="2:12">
      <c r="B21" s="118">
        <v>402</v>
      </c>
      <c r="C21" s="36" t="s">
        <v>1988</v>
      </c>
      <c r="D21" s="68">
        <f t="shared" si="5"/>
        <v>32150017.252903681</v>
      </c>
      <c r="E21" s="68">
        <f t="shared" ref="E21:F25" si="6">+E20</f>
        <v>10290068.453940002</v>
      </c>
      <c r="F21" s="68">
        <f t="shared" si="6"/>
        <v>950935.90074000007</v>
      </c>
      <c r="G21" s="68">
        <f>+SUMIFS('Load Research Service Level'!Q:Q,'Load Research Service Level'!O:O,"GSD")</f>
        <v>18166432.804031242</v>
      </c>
      <c r="H21" s="68">
        <f>+SUMIFS('Load Research Service Level'!Q:Q,'Load Research Service Level'!O:O,"GSLDPR")</f>
        <v>2634852.5689424397</v>
      </c>
      <c r="I21" s="68">
        <f>+SUMIFS('Load Research Service Level'!Q:Q,'Load Research Service Level'!O:O,"GSLDSU")</f>
        <v>0</v>
      </c>
      <c r="J21" s="69">
        <f>+J24</f>
        <v>107727.52524999999</v>
      </c>
    </row>
    <row r="22" spans="2:12">
      <c r="B22" s="118">
        <v>403</v>
      </c>
      <c r="C22" s="36" t="s">
        <v>1989</v>
      </c>
      <c r="D22" s="68">
        <f t="shared" si="5"/>
        <v>29287373.041316651</v>
      </c>
      <c r="E22" s="68">
        <f t="shared" si="6"/>
        <v>10290068.453940002</v>
      </c>
      <c r="F22" s="68">
        <f t="shared" si="6"/>
        <v>950935.90074000007</v>
      </c>
      <c r="G22" s="68">
        <f>+SUMIFS('Load Research Service Level'!R:R,'Load Research Service Level'!O:O,"GSD")</f>
        <v>17938641.16138665</v>
      </c>
      <c r="H22" s="68">
        <f>+SUMIFS('Load Research Service Level'!R:R,'Load Research Service Level'!O:O,"GSLDPR")</f>
        <v>0</v>
      </c>
      <c r="I22" s="68">
        <f>+SUMIFS('Load Research Service Level'!R:R,'Load Research Service Level'!O:O,"GSLDSU")</f>
        <v>0</v>
      </c>
      <c r="J22" s="69">
        <f>+J25</f>
        <v>107727.52524999999</v>
      </c>
    </row>
    <row r="23" spans="2:12">
      <c r="B23" s="118">
        <v>404</v>
      </c>
      <c r="C23" s="36" t="s">
        <v>1990</v>
      </c>
      <c r="D23" s="68">
        <f t="shared" si="5"/>
        <v>20434223.836788256</v>
      </c>
      <c r="E23" s="68">
        <f t="shared" si="6"/>
        <v>10290068.453940002</v>
      </c>
      <c r="F23" s="68">
        <f t="shared" si="6"/>
        <v>950935.90074000007</v>
      </c>
      <c r="G23" s="68">
        <f>+'Load Research Billing kWh'!T32</f>
        <v>7089279.4422360742</v>
      </c>
      <c r="H23" s="68">
        <f>+'Load Research Billing kWh'!T39</f>
        <v>1148446.0116341452</v>
      </c>
      <c r="I23" s="68">
        <f>+'Load Research Billing kWh'!T40</f>
        <v>847766.50298803649</v>
      </c>
      <c r="J23" s="69">
        <f>+'Load Research Billing kWh'!T42</f>
        <v>107727.52524999999</v>
      </c>
    </row>
    <row r="24" spans="2:12">
      <c r="B24" s="118">
        <v>408</v>
      </c>
      <c r="C24" s="36" t="s">
        <v>1991</v>
      </c>
      <c r="D24" s="68">
        <f t="shared" si="5"/>
        <v>19585405.539539233</v>
      </c>
      <c r="E24" s="68">
        <f t="shared" si="6"/>
        <v>10290068.453940002</v>
      </c>
      <c r="F24" s="68">
        <f t="shared" si="6"/>
        <v>950935.90074000007</v>
      </c>
      <c r="G24" s="68">
        <f>+'Load Research Billing kWh'!U32</f>
        <v>7088227.647975089</v>
      </c>
      <c r="H24" s="68">
        <f>+'Load Research Billing kWh'!U39</f>
        <v>1148446.0116341452</v>
      </c>
      <c r="I24" s="68">
        <f>+'Load Research Billing kWh'!U40</f>
        <v>0</v>
      </c>
      <c r="J24" s="69">
        <f>+'Load Research Billing kWh'!U42</f>
        <v>107727.52524999999</v>
      </c>
    </row>
    <row r="25" spans="2:12" ht="15" thickBot="1">
      <c r="B25" s="119">
        <v>410</v>
      </c>
      <c r="C25" s="37" t="s">
        <v>1992</v>
      </c>
      <c r="D25" s="70">
        <f t="shared" si="5"/>
        <v>18353841.420239165</v>
      </c>
      <c r="E25" s="70">
        <f t="shared" si="6"/>
        <v>10290068.453940002</v>
      </c>
      <c r="F25" s="70">
        <f t="shared" si="6"/>
        <v>950935.90074000007</v>
      </c>
      <c r="G25" s="70">
        <f>+'Load Research Billing kWh'!V32</f>
        <v>7005109.5403091656</v>
      </c>
      <c r="H25" s="70">
        <f>+'Load Research Billing kWh'!V39</f>
        <v>0</v>
      </c>
      <c r="I25" s="70">
        <f>+'Load Research Billing kWh'!V40</f>
        <v>0</v>
      </c>
      <c r="J25" s="71">
        <f>+'Load Research Billing kWh'!V42</f>
        <v>107727.52524999999</v>
      </c>
    </row>
    <row r="26" spans="2:12" ht="15" thickBot="1"/>
    <row r="27" spans="2:12" ht="15" thickBot="1">
      <c r="B27" s="80" t="s">
        <v>9462</v>
      </c>
      <c r="C27" s="72"/>
      <c r="D27" s="72"/>
      <c r="E27" s="72"/>
      <c r="F27" s="146" t="s">
        <v>1970</v>
      </c>
      <c r="G27" s="146" t="s">
        <v>1949</v>
      </c>
      <c r="H27" s="146" t="s">
        <v>1950</v>
      </c>
      <c r="I27" s="146" t="s">
        <v>1934</v>
      </c>
      <c r="J27" s="146" t="s">
        <v>1971</v>
      </c>
      <c r="K27" s="146" t="s">
        <v>1972</v>
      </c>
      <c r="L27" s="147" t="s">
        <v>1973</v>
      </c>
    </row>
    <row r="28" spans="2:12">
      <c r="B28" s="961" t="s">
        <v>9463</v>
      </c>
      <c r="C28" s="38"/>
      <c r="D28" s="38"/>
      <c r="E28" s="1074"/>
      <c r="F28" s="68">
        <f>+F11</f>
        <v>3974499.896269511</v>
      </c>
      <c r="G28" s="68">
        <f>+G11</f>
        <v>2305261.7678066748</v>
      </c>
      <c r="H28" s="68">
        <f t="shared" ref="H28:L28" si="7">+H11</f>
        <v>190160.84369421427</v>
      </c>
      <c r="I28" s="68">
        <f t="shared" si="7"/>
        <v>1215602.739280649</v>
      </c>
      <c r="J28" s="68">
        <f t="shared" si="7"/>
        <v>151751.88420351513</v>
      </c>
      <c r="K28" s="68">
        <f t="shared" si="7"/>
        <v>108904.77023595448</v>
      </c>
      <c r="L28" s="69">
        <f t="shared" si="7"/>
        <v>2817.891048503418</v>
      </c>
    </row>
    <row r="29" spans="2:12">
      <c r="B29" s="357" t="s">
        <v>9464</v>
      </c>
      <c r="E29" s="296"/>
      <c r="F29" s="1956">
        <f>+SUM(G29:L29)</f>
        <v>1</v>
      </c>
      <c r="G29" s="1956">
        <f>+G28/$F$28</f>
        <v>0.58001304012371646</v>
      </c>
      <c r="H29" s="1956">
        <f t="shared" ref="H29:L29" si="8">+H28/$F$28</f>
        <v>4.7845225476719815E-2</v>
      </c>
      <c r="I29" s="1956">
        <f t="shared" si="8"/>
        <v>0.3058504896230142</v>
      </c>
      <c r="J29" s="1956">
        <f t="shared" si="8"/>
        <v>3.8181378327862163E-2</v>
      </c>
      <c r="K29" s="1956">
        <f t="shared" si="8"/>
        <v>2.7400873840297026E-2</v>
      </c>
      <c r="L29" s="1563">
        <f t="shared" si="8"/>
        <v>7.0899260839038069E-4</v>
      </c>
    </row>
    <row r="30" spans="2:12">
      <c r="B30" s="357" t="s">
        <v>9465</v>
      </c>
      <c r="E30" s="296"/>
      <c r="F30" s="68">
        <f t="shared" ref="F30:L30" si="9">+F14</f>
        <v>21513101.492999993</v>
      </c>
      <c r="G30" s="68">
        <f t="shared" si="9"/>
        <v>10856246.44346484</v>
      </c>
      <c r="H30" s="68">
        <f t="shared" si="9"/>
        <v>1003244.2579626911</v>
      </c>
      <c r="I30" s="68">
        <f t="shared" si="9"/>
        <v>7473780.0489070648</v>
      </c>
      <c r="J30" s="68">
        <f t="shared" si="9"/>
        <v>1189705.6146552546</v>
      </c>
      <c r="K30" s="68">
        <f t="shared" si="9"/>
        <v>876470.24144709064</v>
      </c>
      <c r="L30" s="69">
        <f t="shared" si="9"/>
        <v>113654.88656305107</v>
      </c>
    </row>
    <row r="31" spans="2:12">
      <c r="B31" s="357" t="s">
        <v>9466</v>
      </c>
      <c r="E31" s="296"/>
      <c r="F31" s="68">
        <f>+F30/8.76</f>
        <v>2455833.5037671225</v>
      </c>
      <c r="G31" s="68">
        <f t="shared" ref="G31:L31" si="10">+G30/8.76</f>
        <v>1239297.5392083151</v>
      </c>
      <c r="H31" s="68">
        <f t="shared" si="10"/>
        <v>114525.60022405151</v>
      </c>
      <c r="I31" s="68">
        <f t="shared" si="10"/>
        <v>853171.23845971061</v>
      </c>
      <c r="J31" s="68">
        <f t="shared" si="10"/>
        <v>135811.14322548569</v>
      </c>
      <c r="K31" s="68">
        <f t="shared" si="10"/>
        <v>100053.6805304898</v>
      </c>
      <c r="L31" s="69">
        <f t="shared" si="10"/>
        <v>12974.302119069756</v>
      </c>
    </row>
    <row r="32" spans="2:12" ht="15" thickBot="1">
      <c r="B32" s="1957" t="s">
        <v>9467</v>
      </c>
      <c r="C32" s="1958"/>
      <c r="D32" s="1958"/>
      <c r="E32" s="855"/>
      <c r="F32" s="1956">
        <f>+SUM(G32:L32)</f>
        <v>0.99999999999999978</v>
      </c>
      <c r="G32" s="1956">
        <f>+G31/$F$31</f>
        <v>0.50463418521951764</v>
      </c>
      <c r="H32" s="1956">
        <f t="shared" ref="H32:L32" si="11">+H31/$F$31</f>
        <v>4.6634106118503195E-2</v>
      </c>
      <c r="I32" s="1956">
        <f t="shared" si="11"/>
        <v>0.34740597729894546</v>
      </c>
      <c r="J32" s="1956">
        <f t="shared" si="11"/>
        <v>5.5301445727960946E-2</v>
      </c>
      <c r="K32" s="1956">
        <f t="shared" si="11"/>
        <v>4.0741231185669788E-2</v>
      </c>
      <c r="L32" s="1563">
        <f t="shared" si="11"/>
        <v>5.2830544494029599E-3</v>
      </c>
    </row>
    <row r="33" spans="2:12" ht="15" thickBot="1">
      <c r="B33" s="73" t="s">
        <v>9294</v>
      </c>
      <c r="C33" s="74"/>
      <c r="D33" s="74"/>
      <c r="E33" s="74"/>
      <c r="F33" s="1959">
        <f>+(F29*12/13)+(F32*1/13)</f>
        <v>1</v>
      </c>
      <c r="G33" s="1959">
        <f t="shared" ref="G33:L33" si="12">+(G29*12/13)+(G32*1/13)</f>
        <v>0.57421466666954735</v>
      </c>
      <c r="H33" s="1959">
        <f t="shared" si="12"/>
        <v>4.7752062449164689E-2</v>
      </c>
      <c r="I33" s="1959">
        <f t="shared" si="12"/>
        <v>0.30904706559808581</v>
      </c>
      <c r="J33" s="1959">
        <f t="shared" si="12"/>
        <v>3.9498306589408221E-2</v>
      </c>
      <c r="K33" s="1959">
        <f t="shared" si="12"/>
        <v>2.842705517455647E-2</v>
      </c>
      <c r="L33" s="1960">
        <f t="shared" si="12"/>
        <v>1.0608435192375021E-3</v>
      </c>
    </row>
  </sheetData>
  <mergeCells count="1">
    <mergeCell ref="B6:C6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J201"/>
  <sheetViews>
    <sheetView tabSelected="1" showOutlineSymbols="0"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13" t="s">
        <v>35</v>
      </c>
      <c r="D2" s="116" t="s">
        <v>2284</v>
      </c>
      <c r="E2" s="1962" t="s">
        <v>116</v>
      </c>
    </row>
    <row r="3" spans="3:7">
      <c r="C3" s="118" t="s">
        <v>2137</v>
      </c>
      <c r="D3" s="348">
        <f>+SUMIFS('Income Statement Accounts'!R:R,'Income Statement Accounts'!D:D,"=A_4470011")+SUMIFS('Income Statement Accounts'!R:R,'Income Statement Accounts'!D:D,"=A_4470021")</f>
        <v>0</v>
      </c>
    </row>
    <row r="4" spans="3:7">
      <c r="C4" s="118" t="s">
        <v>2139</v>
      </c>
      <c r="D4" s="348">
        <f>+SUMIFS('Transmission Pole Attachments'!G:G,'Transmission Pole Attachments'!A:A,"=Total")/1000</f>
        <v>148.62792999999999</v>
      </c>
    </row>
    <row r="5" spans="3:7">
      <c r="C5" s="118" t="s">
        <v>2140</v>
      </c>
      <c r="D5" s="348">
        <f>+'Forecasting Lighting Facilities'!L7/1000+21</f>
        <v>3570.4600599999999</v>
      </c>
    </row>
    <row r="6" spans="3:7">
      <c r="C6" s="118" t="s">
        <v>2141</v>
      </c>
      <c r="D6" s="348">
        <f>+('Non-Firm Transmission'!P17+'Non-Firm Transmission'!P18)/1000</f>
        <v>0</v>
      </c>
    </row>
    <row r="7" spans="3:7">
      <c r="C7" s="118" t="s">
        <v>2142</v>
      </c>
      <c r="D7" s="2474">
        <v>0</v>
      </c>
    </row>
    <row r="8" spans="3:7" ht="15" thickBot="1">
      <c r="C8" s="119" t="s">
        <v>2138</v>
      </c>
      <c r="D8" s="350">
        <f>+E49-D49</f>
        <v>0</v>
      </c>
    </row>
    <row r="9" spans="3:7">
      <c r="D9" s="351"/>
    </row>
    <row r="10" spans="3:7">
      <c r="C10" t="s">
        <v>35</v>
      </c>
      <c r="D10" t="s">
        <v>8398</v>
      </c>
      <c r="E10" t="s">
        <v>8399</v>
      </c>
    </row>
    <row r="11" spans="3:7">
      <c r="C11" t="s">
        <v>8400</v>
      </c>
      <c r="D11" s="2394">
        <f>+-'Surv Report Sched 2 pg 2'!D20/1000</f>
        <v>682643.02822232596</v>
      </c>
      <c r="E11" s="2394">
        <f>+SUMIFS('Income Statement Accounts'!R:R,'Income Statement Accounts'!D:D,"A_44*",'Income Statement Accounts'!E:E,"*FUEL*")</f>
        <v>701568.37700000009</v>
      </c>
      <c r="G11" s="516">
        <f>+E11+E12</f>
        <v>705340.25900000008</v>
      </c>
    </row>
    <row r="12" spans="3:7">
      <c r="C12" t="s">
        <v>8401</v>
      </c>
      <c r="D12" s="2394"/>
      <c r="E12" s="2394">
        <f>+SUMIFS('Income Statement Accounts'!R:R,'Income Statement Accounts'!D:D,"A_44*",'Income Statement Accounts'!E:E,"*capacity*")</f>
        <v>3771.8820000000001</v>
      </c>
      <c r="G12" s="516">
        <f>+G11*2-(1.00072*G11)</f>
        <v>704832.41401352</v>
      </c>
    </row>
    <row r="13" spans="3:7">
      <c r="C13" t="s">
        <v>8402</v>
      </c>
      <c r="D13" s="2394"/>
      <c r="E13" s="2394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516">
        <f>+G12-D16</f>
        <v>704832.41401352</v>
      </c>
    </row>
    <row r="14" spans="3:7">
      <c r="C14" t="s">
        <v>8403</v>
      </c>
      <c r="D14" s="2394"/>
      <c r="E14" s="2394">
        <f>+(SUMIFS('Income Statement Accounts'!R:R,'Income Statement Accounts'!D:D,"A_4073030")+SUMIFS('Income Statement Accounts'!R:R,'Income Statement Accounts'!D:D,"A_4074031"))</f>
        <v>-3119.9699657646001</v>
      </c>
      <c r="G14" s="516"/>
    </row>
    <row r="15" spans="3:7">
      <c r="C15" t="s">
        <v>8404</v>
      </c>
      <c r="D15" s="2394"/>
      <c r="E15" s="2394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8405</v>
      </c>
      <c r="D16" s="2394">
        <f>+-(+'Surv Report Sched 2 pg 2'!D22)/1000</f>
        <v>0</v>
      </c>
      <c r="E16" s="2394"/>
    </row>
    <row r="17" spans="1:8">
      <c r="C17" t="s">
        <v>8406</v>
      </c>
      <c r="D17" s="2394">
        <f>+SUM(D11:D16)</f>
        <v>682643.02822232596</v>
      </c>
      <c r="E17" s="2394">
        <f>+SUM(E11:E16)</f>
        <v>682643.02822232596</v>
      </c>
      <c r="F17" s="2394">
        <f>+D17-E17</f>
        <v>0</v>
      </c>
    </row>
    <row r="18" spans="1:8">
      <c r="C18" t="s">
        <v>8407</v>
      </c>
      <c r="D18" s="2394">
        <f>+-('Surv Report Sched 2 pg 2'!D25+'Surv Report Sched 2 pg 2'!D26)/1000</f>
        <v>25824.041150995799</v>
      </c>
      <c r="E18" s="2394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2394">
        <f>+D18-E18</f>
        <v>-1.84900420208578E-3</v>
      </c>
    </row>
    <row r="19" spans="1:8">
      <c r="C19" t="s">
        <v>8408</v>
      </c>
      <c r="D19" s="2394">
        <f>+-('Surv Report Sched 2 pg 2'!D23+'Surv Report Sched 2 pg 2'!D24)/1000</f>
        <v>65347.441155396089</v>
      </c>
      <c r="E19" s="2394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2394">
        <f>+D19-E19</f>
        <v>-1.7615830438444391E-4</v>
      </c>
    </row>
    <row r="22" spans="1:8" ht="15" thickBot="1"/>
    <row r="23" spans="1:8" ht="15" thickBot="1">
      <c r="C23" s="3119" t="s">
        <v>2132</v>
      </c>
      <c r="D23" s="3120"/>
      <c r="E23" s="3121"/>
    </row>
    <row r="24" spans="1:8" ht="15" thickBot="1">
      <c r="C24" s="113" t="s">
        <v>1543</v>
      </c>
      <c r="D24" s="114" t="s">
        <v>35</v>
      </c>
      <c r="E24" s="116" t="s">
        <v>2133</v>
      </c>
      <c r="F24" s="1660" t="s">
        <v>9132</v>
      </c>
      <c r="G24" s="1635" t="s">
        <v>1438</v>
      </c>
    </row>
    <row r="25" spans="1:8">
      <c r="A25" t="str">
        <f>+RIGHT(C25,7)</f>
        <v>4400010</v>
      </c>
      <c r="B25" s="1200"/>
      <c r="C25" s="118" t="s">
        <v>636</v>
      </c>
      <c r="D25" s="36" t="s">
        <v>637</v>
      </c>
      <c r="E25" s="339">
        <f>+SUMIFS('Income Statement Accounts'!R:R,'Income Statement Accounts'!D:D,'Functionalized Revenues'!C25)</f>
        <v>925862.92200000002</v>
      </c>
      <c r="F25" s="1661">
        <f>+SUMIFS('Income Statement Accounts'!R:R,'Income Statement Accounts'!D:D,"A_4400092")</f>
        <v>0</v>
      </c>
      <c r="G25" s="1657">
        <f>+SUMIFS('Income Statement Accounts'!R:R,'Income Statement Accounts'!E:E,"*BASE REVENUE*")+SUMIFS('Income Statement Accounts'!R:R,'Income Statement Accounts'!E:E,"*storm surcharge*")</f>
        <v>1480725.496</v>
      </c>
      <c r="H25" t="s">
        <v>8391</v>
      </c>
    </row>
    <row r="26" spans="1:8">
      <c r="A26" t="str">
        <f t="shared" ref="A26:A33" si="0">+RIGHT(C26,7)</f>
        <v>4420110</v>
      </c>
      <c r="B26" s="1200"/>
      <c r="C26" s="118" t="s">
        <v>672</v>
      </c>
      <c r="D26" s="36" t="s">
        <v>673</v>
      </c>
      <c r="E26" s="339">
        <f>+SUMIFS('Income Statement Accounts'!R:R,'Income Statement Accounts'!D:D,'Functionalized Revenues'!C26)</f>
        <v>362208.46600000001</v>
      </c>
      <c r="F26" s="1662">
        <f>+SUMIFS('Income Statement Accounts'!R:R,'Income Statement Accounts'!D:D,"A_4420192")</f>
        <v>0</v>
      </c>
      <c r="G26" s="1657">
        <f>+G25-SUM(E25:E33)</f>
        <v>0</v>
      </c>
    </row>
    <row r="27" spans="1:8">
      <c r="A27" t="str">
        <f t="shared" si="0"/>
        <v>4420010</v>
      </c>
      <c r="B27" s="1200"/>
      <c r="C27" s="118" t="s">
        <v>654</v>
      </c>
      <c r="D27" s="36" t="s">
        <v>655</v>
      </c>
      <c r="E27" s="339">
        <f>+SUMIFS('Income Statement Accounts'!R:R,'Income Statement Accounts'!D:D,'Functionalized Revenues'!C27)</f>
        <v>0</v>
      </c>
      <c r="F27" s="1662"/>
      <c r="G27" s="1638">
        <f>+G25-E49</f>
        <v>-3.5300001036375761E-3</v>
      </c>
    </row>
    <row r="28" spans="1:8">
      <c r="A28" t="str">
        <f t="shared" si="0"/>
        <v>4420210</v>
      </c>
      <c r="B28" s="1200"/>
      <c r="C28" s="118" t="s">
        <v>691</v>
      </c>
      <c r="D28" s="36" t="s">
        <v>692</v>
      </c>
      <c r="E28" s="339">
        <f>+SUMIFS('Income Statement Accounts'!R:R,'Income Statement Accounts'!D:D,'Functionalized Revenues'!C28)</f>
        <v>0</v>
      </c>
      <c r="F28" s="1662"/>
      <c r="G28" s="1638"/>
    </row>
    <row r="29" spans="1:8">
      <c r="A29" t="str">
        <f t="shared" si="0"/>
        <v>4420310</v>
      </c>
      <c r="B29" s="1200"/>
      <c r="C29" s="118" t="s">
        <v>705</v>
      </c>
      <c r="D29" s="36" t="s">
        <v>706</v>
      </c>
      <c r="E29" s="339">
        <f>+SUMIFS('Income Statement Accounts'!R:R,'Income Statement Accounts'!D:D,'Functionalized Revenues'!C29)</f>
        <v>20889.756000000001</v>
      </c>
      <c r="F29" s="1662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200"/>
      <c r="C30" s="118" t="s">
        <v>723</v>
      </c>
      <c r="D30" s="36" t="s">
        <v>724</v>
      </c>
      <c r="E30" s="339">
        <f>+SUMIFS('Income Statement Accounts'!R:R,'Income Statement Accounts'!D:D,'Functionalized Revenues'!C30)</f>
        <v>0</v>
      </c>
      <c r="F30" s="1662"/>
    </row>
    <row r="31" spans="1:8">
      <c r="A31" t="str">
        <f t="shared" si="0"/>
        <v>4420510</v>
      </c>
      <c r="B31" s="1200"/>
      <c r="C31" s="118" t="s">
        <v>741</v>
      </c>
      <c r="D31" s="36" t="s">
        <v>742</v>
      </c>
      <c r="E31" s="339">
        <f>+SUMIFS('Income Statement Accounts'!R:R,'Income Statement Accounts'!D:D,'Functionalized Revenues'!C31)</f>
        <v>48167.392</v>
      </c>
      <c r="F31" s="1662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200"/>
      <c r="C32" s="118" t="s">
        <v>761</v>
      </c>
      <c r="D32" s="36" t="s">
        <v>762</v>
      </c>
      <c r="E32" s="339">
        <f>+SUMIFS('Income Statement Accounts'!R:R,'Income Statement Accounts'!D:D,'Functionalized Revenues'!C32)</f>
        <v>0</v>
      </c>
      <c r="F32" s="1662">
        <v>0</v>
      </c>
    </row>
    <row r="33" spans="1:10" ht="15" thickBot="1">
      <c r="A33" t="str">
        <f t="shared" si="0"/>
        <v>4450010</v>
      </c>
      <c r="B33" s="1200"/>
      <c r="C33" s="119" t="s">
        <v>777</v>
      </c>
      <c r="D33" s="37" t="s">
        <v>778</v>
      </c>
      <c r="E33" s="343">
        <f>+SUMIFS('Income Statement Accounts'!R:R,'Income Statement Accounts'!D:D,'Functionalized Revenues'!C33)</f>
        <v>123596.96</v>
      </c>
      <c r="F33" s="1663">
        <f>+SUMIFS('Income Statement Accounts'!R:R,'Income Statement Accounts'!D:D,"A_4450092")</f>
        <v>0</v>
      </c>
    </row>
    <row r="35" spans="1:10" ht="15" thickBot="1"/>
    <row r="36" spans="1:10" ht="15" thickBot="1">
      <c r="C36" s="113" t="s">
        <v>2133</v>
      </c>
      <c r="D36" s="115" t="s">
        <v>2284</v>
      </c>
      <c r="E36" s="115" t="s">
        <v>2284</v>
      </c>
      <c r="F36" s="115" t="s">
        <v>2284</v>
      </c>
      <c r="G36" s="116" t="s">
        <v>2284</v>
      </c>
      <c r="J36" s="2389"/>
    </row>
    <row r="37" spans="1:10" ht="15" thickBot="1">
      <c r="C37" s="120" t="s">
        <v>2135</v>
      </c>
      <c r="D37" s="143" t="s">
        <v>2134</v>
      </c>
      <c r="E37" s="121" t="s">
        <v>2136</v>
      </c>
      <c r="F37" s="2475" t="s">
        <v>9471</v>
      </c>
      <c r="G37" s="464" t="s">
        <v>2285</v>
      </c>
    </row>
    <row r="38" spans="1:10">
      <c r="C38" s="337" t="s">
        <v>2123</v>
      </c>
      <c r="D38" s="338">
        <f>+SUMIFS('Forecasting Base Revenues by RC'!D:D,'Forecasting Base Revenues by RC'!B:B,"=RS")/1000+F25</f>
        <v>920603.76834000007</v>
      </c>
      <c r="E38" s="338">
        <f>+D38</f>
        <v>920603.76834000007</v>
      </c>
      <c r="F38" s="2476">
        <v>110491.97552438338</v>
      </c>
      <c r="G38" s="339">
        <f>+E38+F38</f>
        <v>1031095.7438643834</v>
      </c>
      <c r="I38" s="1200"/>
      <c r="J38" s="1200"/>
    </row>
    <row r="39" spans="1:10">
      <c r="C39" s="337" t="s">
        <v>2124</v>
      </c>
      <c r="D39" s="338">
        <f>+SUMIFS('Forecasting Base Revenues by RC'!D:D,'Forecasting Base Revenues by RC'!B:B,"=GS")/1000+F26+F29+F31+F33</f>
        <v>95214.926359999998</v>
      </c>
      <c r="E39" s="338">
        <f t="shared" ref="E39:E44" si="1">+D39</f>
        <v>95214.926359999998</v>
      </c>
      <c r="F39" s="2476">
        <v>1</v>
      </c>
      <c r="G39" s="339">
        <f t="shared" ref="G39:G47" si="2">+E39+F39</f>
        <v>95215.926359999998</v>
      </c>
      <c r="I39" s="1200"/>
      <c r="J39" s="1200"/>
    </row>
    <row r="40" spans="1:10">
      <c r="C40" s="337" t="s">
        <v>8392</v>
      </c>
      <c r="D40" s="338">
        <f>+SUMIFS('Forecasting Base Revenues by RC'!D:D,'Forecasting Base Revenues by RC'!B:B,"=GSD")/1000+0.005</f>
        <v>310482.26285000006</v>
      </c>
      <c r="E40" s="338">
        <f t="shared" si="1"/>
        <v>310482.26285000006</v>
      </c>
      <c r="F40" s="2476">
        <f>163176.803127472-250-1000</f>
        <v>161926.803127472</v>
      </c>
      <c r="G40" s="339">
        <f t="shared" si="2"/>
        <v>472409.06597747206</v>
      </c>
      <c r="I40" s="2477"/>
      <c r="J40" s="1200"/>
    </row>
    <row r="41" spans="1:10">
      <c r="C41" s="337" t="s">
        <v>2125</v>
      </c>
      <c r="D41" s="338">
        <f>+SUMIFS('Forecasting Base Revenues by RC'!D:D,'Forecasting Base Revenues by RC'!B:B,"=GSLDPR")/1000</f>
        <v>44352.932979999998</v>
      </c>
      <c r="E41" s="338">
        <f t="shared" si="1"/>
        <v>44352.932979999998</v>
      </c>
      <c r="F41" s="2476">
        <f>11896.7058960569-1</f>
        <v>11895.705896056899</v>
      </c>
      <c r="G41" s="339">
        <f t="shared" si="2"/>
        <v>56248.638876056895</v>
      </c>
      <c r="I41" s="2477"/>
      <c r="J41" s="1200"/>
    </row>
    <row r="42" spans="1:10">
      <c r="C42" s="337" t="s">
        <v>2126</v>
      </c>
      <c r="D42" s="338">
        <f>+SUMIFS('Forecasting Base Revenues by RC'!D:D,'Forecasting Base Revenues by RC'!B:B,"=GSLDSU")/1000</f>
        <v>23795.302800000001</v>
      </c>
      <c r="E42" s="338">
        <f t="shared" si="1"/>
        <v>23795.302800000001</v>
      </c>
      <c r="F42" s="2476">
        <f>8806.2801713657+500</f>
        <v>9306.2801713657009</v>
      </c>
      <c r="G42" s="339">
        <f t="shared" si="2"/>
        <v>33101.5829713657</v>
      </c>
      <c r="I42" s="2477"/>
      <c r="J42" s="1200"/>
    </row>
    <row r="43" spans="1:10">
      <c r="C43" s="337" t="s">
        <v>2127</v>
      </c>
      <c r="D43" s="344">
        <f>+D5</f>
        <v>3570.4600599999999</v>
      </c>
      <c r="E43" s="344">
        <f t="shared" si="1"/>
        <v>3570.4600599999999</v>
      </c>
      <c r="F43" s="2476">
        <v>3</v>
      </c>
      <c r="G43" s="339">
        <f t="shared" si="2"/>
        <v>3573.4600599999999</v>
      </c>
      <c r="I43" s="2477"/>
      <c r="J43" s="1200"/>
    </row>
    <row r="44" spans="1:10">
      <c r="C44" s="337" t="s">
        <v>2128</v>
      </c>
      <c r="D44" s="338">
        <f>+SUMIFS('Forecasting Base Revenues by RC'!D:D,'Forecasting Base Revenues by RC'!B:B,"=LS")/1000-D43+F32</f>
        <v>82705.846140000009</v>
      </c>
      <c r="E44" s="338">
        <f t="shared" si="1"/>
        <v>82705.846140000009</v>
      </c>
      <c r="F44" s="2476">
        <v>2</v>
      </c>
      <c r="G44" s="339">
        <f t="shared" si="2"/>
        <v>82707.846140000009</v>
      </c>
      <c r="I44" s="2477"/>
      <c r="J44" s="1200"/>
    </row>
    <row r="45" spans="1:10">
      <c r="C45" s="118" t="s">
        <v>2129</v>
      </c>
      <c r="D45" s="338">
        <f>+SUM(D38:D44)</f>
        <v>1480725.4995300001</v>
      </c>
      <c r="E45" s="338">
        <f>+SUM(E38:E44)</f>
        <v>1480725.4995300001</v>
      </c>
      <c r="F45" s="338">
        <f>+SUM(F38:F44)</f>
        <v>293626.76471927797</v>
      </c>
      <c r="G45" s="339">
        <f t="shared" si="2"/>
        <v>1774352.2642492782</v>
      </c>
      <c r="I45" s="2477"/>
      <c r="J45" s="1200"/>
    </row>
    <row r="46" spans="1:10">
      <c r="C46" s="118"/>
      <c r="D46" s="36"/>
      <c r="E46" s="338"/>
      <c r="F46" s="338"/>
      <c r="G46" s="339"/>
      <c r="I46" s="2477"/>
    </row>
    <row r="47" spans="1:10">
      <c r="C47" s="118" t="s">
        <v>2130</v>
      </c>
      <c r="D47" s="344">
        <f>+D7</f>
        <v>0</v>
      </c>
      <c r="E47" s="338">
        <f>+D47</f>
        <v>0</v>
      </c>
      <c r="F47" s="338">
        <f>+E47</f>
        <v>0</v>
      </c>
      <c r="G47" s="339">
        <f t="shared" si="2"/>
        <v>0</v>
      </c>
      <c r="I47" s="2477"/>
    </row>
    <row r="48" spans="1:10">
      <c r="C48" s="118"/>
      <c r="D48" s="36"/>
      <c r="E48" s="338"/>
      <c r="F48" s="338"/>
      <c r="G48" s="339"/>
      <c r="I48" s="2477"/>
    </row>
    <row r="49" spans="3:9" ht="15" thickBot="1">
      <c r="C49" s="341" t="s">
        <v>2131</v>
      </c>
      <c r="D49" s="342">
        <f>+D45+D47</f>
        <v>1480725.4995300001</v>
      </c>
      <c r="E49" s="342">
        <f>+E45+E47</f>
        <v>1480725.4995300001</v>
      </c>
      <c r="F49" s="342">
        <f>+F45+F47</f>
        <v>293626.76471927797</v>
      </c>
      <c r="G49" s="343">
        <f>+G45+G47</f>
        <v>1774352.2642492782</v>
      </c>
      <c r="I49" s="2477"/>
    </row>
    <row r="50" spans="3:9">
      <c r="C50" s="96"/>
      <c r="D50" s="463"/>
      <c r="E50" s="463"/>
      <c r="F50" s="463"/>
      <c r="G50" s="463"/>
    </row>
    <row r="52" spans="3:9">
      <c r="C52" s="352" t="s">
        <v>2173</v>
      </c>
      <c r="D52" s="294"/>
      <c r="E52" s="294"/>
      <c r="F52" s="294"/>
      <c r="G52" s="294"/>
      <c r="H52" s="460"/>
    </row>
    <row r="53" spans="3:9">
      <c r="C53" s="353" t="s">
        <v>2174</v>
      </c>
      <c r="H53" s="296"/>
    </row>
    <row r="54" spans="3:9">
      <c r="C54" s="461" t="s">
        <v>9263</v>
      </c>
      <c r="D54" s="297"/>
      <c r="E54" s="297"/>
      <c r="F54" s="297"/>
      <c r="G54" s="297"/>
      <c r="H54" s="298"/>
    </row>
    <row r="55" spans="3:9">
      <c r="C55" s="354" t="s">
        <v>2175</v>
      </c>
      <c r="D55" s="355" t="s">
        <v>2176</v>
      </c>
      <c r="E55" s="355" t="s">
        <v>2177</v>
      </c>
      <c r="F55" s="355"/>
      <c r="G55" s="355" t="s">
        <v>2178</v>
      </c>
      <c r="H55" s="356" t="s">
        <v>2179</v>
      </c>
    </row>
    <row r="56" spans="3:9">
      <c r="C56" s="357"/>
      <c r="D56" s="2478" t="s">
        <v>2180</v>
      </c>
      <c r="E56" s="2479"/>
      <c r="F56" s="2479"/>
      <c r="G56" s="2479"/>
      <c r="H56" s="1961" t="s">
        <v>2181</v>
      </c>
    </row>
    <row r="57" spans="3:9">
      <c r="C57" s="357"/>
      <c r="E57" s="361"/>
      <c r="F57" s="361"/>
      <c r="H57" s="362"/>
    </row>
    <row r="58" spans="3:9">
      <c r="C58" s="363" t="s">
        <v>2182</v>
      </c>
      <c r="D58" s="77" t="s">
        <v>2049</v>
      </c>
      <c r="E58" s="77" t="s">
        <v>2183</v>
      </c>
      <c r="F58" s="77" t="s">
        <v>2184</v>
      </c>
      <c r="G58" s="77" t="s">
        <v>2052</v>
      </c>
      <c r="H58" s="364" t="s">
        <v>2185</v>
      </c>
    </row>
    <row r="59" spans="3:9" ht="15" thickBot="1">
      <c r="C59" s="365">
        <v>1</v>
      </c>
      <c r="D59" s="2418" t="s">
        <v>2186</v>
      </c>
      <c r="E59" s="2480" t="s">
        <v>2187</v>
      </c>
      <c r="F59" s="2480">
        <v>451</v>
      </c>
      <c r="G59" s="2481" t="s">
        <v>2059</v>
      </c>
      <c r="H59" s="2482">
        <v>21444.731936121014</v>
      </c>
    </row>
    <row r="60" spans="3:9" ht="15" thickTop="1">
      <c r="C60" s="365">
        <f>+C59+1</f>
        <v>2</v>
      </c>
      <c r="D60" s="370" t="s">
        <v>2188</v>
      </c>
      <c r="E60" s="371"/>
      <c r="F60" s="372"/>
      <c r="G60" s="297"/>
      <c r="H60" s="2483"/>
    </row>
    <row r="61" spans="3:9">
      <c r="C61" s="365">
        <f t="shared" ref="C61:C124" si="3">+C60+1</f>
        <v>3</v>
      </c>
      <c r="D61" s="33"/>
      <c r="E61" s="33" t="s">
        <v>2189</v>
      </c>
      <c r="F61" s="374">
        <v>4540010</v>
      </c>
      <c r="G61" t="s">
        <v>2190</v>
      </c>
      <c r="H61" s="2484">
        <f>+SUMIFS('Other Operating Revenue'!F:F,'Other Operating Revenue'!C:C,'Functionalized Revenues'!F61)</f>
        <v>728.27300000000014</v>
      </c>
    </row>
    <row r="62" spans="3:9">
      <c r="C62" s="365">
        <f t="shared" si="3"/>
        <v>4</v>
      </c>
      <c r="D62" s="33"/>
      <c r="E62" s="33" t="s">
        <v>2191</v>
      </c>
      <c r="F62" s="376">
        <v>4540030</v>
      </c>
      <c r="G62" t="s">
        <v>2192</v>
      </c>
      <c r="H62" s="2484">
        <f>+SUMIFS('Other Operating Revenue'!F:F,'Other Operating Revenue'!C:C,'Functionalized Revenues'!F62)</f>
        <v>118.96596000000004</v>
      </c>
    </row>
    <row r="63" spans="3:9">
      <c r="C63" s="365">
        <f t="shared" si="3"/>
        <v>5</v>
      </c>
      <c r="D63" s="33"/>
      <c r="E63" s="33" t="s">
        <v>2189</v>
      </c>
      <c r="F63" s="376">
        <v>4540020</v>
      </c>
      <c r="G63" t="s">
        <v>2193</v>
      </c>
      <c r="H63" s="2484">
        <f>+SUMIFS('Other Operating Revenue'!F:F,'Other Operating Revenue'!C:C,'Functionalized Revenues'!F63)</f>
        <v>27.457999999999995</v>
      </c>
    </row>
    <row r="64" spans="3:9">
      <c r="C64" s="365">
        <f t="shared" si="3"/>
        <v>6</v>
      </c>
      <c r="D64" s="33"/>
      <c r="E64" s="33" t="s">
        <v>2194</v>
      </c>
      <c r="F64" s="376">
        <v>4540080</v>
      </c>
      <c r="G64" t="s">
        <v>2195</v>
      </c>
      <c r="H64" s="2484">
        <f>+SUMIFS('Other Operating Revenue'!F:F,'Other Operating Revenue'!C:C,'Functionalized Revenues'!F64)</f>
        <v>0</v>
      </c>
    </row>
    <row r="65" spans="3:8">
      <c r="C65" s="365">
        <f t="shared" si="3"/>
        <v>7</v>
      </c>
      <c r="D65" s="33"/>
      <c r="E65" s="33" t="s">
        <v>2194</v>
      </c>
      <c r="F65" s="376">
        <v>4540800</v>
      </c>
      <c r="G65" t="s">
        <v>2196</v>
      </c>
      <c r="H65" s="2484">
        <f>+SUMIFS('Other Operating Revenue'!F:F,'Other Operating Revenue'!C:C,'Functionalized Revenues'!F65)</f>
        <v>2721.9999999995998</v>
      </c>
    </row>
    <row r="66" spans="3:8">
      <c r="C66" s="365">
        <f t="shared" si="3"/>
        <v>8</v>
      </c>
      <c r="D66" s="33"/>
      <c r="E66" s="33" t="s">
        <v>2194</v>
      </c>
      <c r="F66" s="376">
        <v>4540081</v>
      </c>
      <c r="G66" t="s">
        <v>2197</v>
      </c>
      <c r="H66" s="2484">
        <f>+SUMIFS('Other Operating Revenue'!F:F,'Other Operating Revenue'!C:C,'Functionalized Revenues'!F66)</f>
        <v>4826.3324455000002</v>
      </c>
    </row>
    <row r="67" spans="3:8">
      <c r="C67" s="365">
        <f t="shared" si="3"/>
        <v>9</v>
      </c>
      <c r="D67" s="33"/>
      <c r="E67" s="33" t="s">
        <v>2198</v>
      </c>
      <c r="F67" s="376">
        <v>4540040</v>
      </c>
      <c r="G67" t="s">
        <v>2199</v>
      </c>
      <c r="H67" s="2484">
        <f>+SUMIFS('Other Operating Revenue'!F:F,'Other Operating Revenue'!C:C,'Functionalized Revenues'!F67)</f>
        <v>312.20800000000003</v>
      </c>
    </row>
    <row r="68" spans="3:8">
      <c r="C68" s="365">
        <f t="shared" si="3"/>
        <v>10</v>
      </c>
      <c r="D68" s="33"/>
      <c r="E68" s="33" t="s">
        <v>2198</v>
      </c>
      <c r="F68" s="378">
        <v>4540050</v>
      </c>
      <c r="G68" s="96" t="s">
        <v>2200</v>
      </c>
      <c r="H68" s="2484">
        <f>+SUMIFS('Other Operating Revenue'!F:F,'Other Operating Revenue'!C:C,'Functionalized Revenues'!F68)</f>
        <v>0</v>
      </c>
    </row>
    <row r="69" spans="3:8">
      <c r="C69" s="365">
        <f t="shared" si="3"/>
        <v>11</v>
      </c>
      <c r="D69" s="33"/>
      <c r="E69" s="33" t="s">
        <v>2194</v>
      </c>
      <c r="F69" s="378" t="s">
        <v>2201</v>
      </c>
      <c r="G69" t="s">
        <v>2202</v>
      </c>
      <c r="H69" s="2484">
        <f>+SUMIFS('Other Operating Revenue'!F:F,'Other Operating Revenue'!C:C,'Functionalized Revenues'!F69)</f>
        <v>0</v>
      </c>
    </row>
    <row r="70" spans="3:8">
      <c r="C70" s="365">
        <f t="shared" si="3"/>
        <v>12</v>
      </c>
      <c r="D70" s="33"/>
      <c r="E70" s="33" t="s">
        <v>2194</v>
      </c>
      <c r="F70" s="376">
        <v>4540700</v>
      </c>
      <c r="G70" t="s">
        <v>2203</v>
      </c>
      <c r="H70" s="2484">
        <f>+SUMIFS('Other Operating Revenue'!F:F,'Other Operating Revenue'!C:C,'Functionalized Revenues'!F70)</f>
        <v>692.86967000039976</v>
      </c>
    </row>
    <row r="71" spans="3:8">
      <c r="C71" s="365">
        <f t="shared" si="3"/>
        <v>13</v>
      </c>
      <c r="D71" s="33"/>
      <c r="E71" s="33" t="s">
        <v>2194</v>
      </c>
      <c r="F71" s="376">
        <v>4540701</v>
      </c>
      <c r="G71" s="96" t="s">
        <v>2204</v>
      </c>
      <c r="H71" s="2484">
        <f>+SUMIFS('Other Operating Revenue'!F:F,'Other Operating Revenue'!C:C,'Functionalized Revenues'!F71)+'Separation F'!C9</f>
        <v>6395.8509043868007</v>
      </c>
    </row>
    <row r="72" spans="3:8">
      <c r="C72" s="365">
        <f t="shared" si="3"/>
        <v>14</v>
      </c>
      <c r="D72" s="33"/>
      <c r="E72" s="33" t="s">
        <v>2194</v>
      </c>
      <c r="F72" s="376">
        <v>4550000</v>
      </c>
      <c r="G72" t="s">
        <v>2205</v>
      </c>
      <c r="H72" s="2484">
        <f>+SUMIFS('Other Operating Revenue'!F:F,'Other Operating Revenue'!C:C,'Functionalized Revenues'!F72)</f>
        <v>0</v>
      </c>
    </row>
    <row r="73" spans="3:8">
      <c r="C73" s="365">
        <f t="shared" si="3"/>
        <v>15</v>
      </c>
      <c r="D73" s="33"/>
      <c r="E73" s="33" t="s">
        <v>2194</v>
      </c>
      <c r="F73" s="376">
        <v>4550001</v>
      </c>
      <c r="G73" s="96" t="s">
        <v>2206</v>
      </c>
      <c r="H73" s="2484">
        <f>+SUMIFS('Other Operating Revenue'!F:F,'Other Operating Revenue'!C:C,'Functionalized Revenues'!F73)</f>
        <v>0</v>
      </c>
    </row>
    <row r="74" spans="3:8" ht="15" thickBot="1">
      <c r="C74" s="365">
        <f t="shared" si="3"/>
        <v>16</v>
      </c>
      <c r="D74" s="2418" t="s">
        <v>2207</v>
      </c>
      <c r="E74" s="2480" t="s">
        <v>2187</v>
      </c>
      <c r="F74" s="2480" t="s">
        <v>2208</v>
      </c>
      <c r="G74" s="2481"/>
      <c r="H74" s="2482">
        <f>+SUM(H61:H73)</f>
        <v>15823.957979886804</v>
      </c>
    </row>
    <row r="75" spans="3:8" ht="15" thickTop="1">
      <c r="C75" s="365">
        <f t="shared" si="3"/>
        <v>17</v>
      </c>
      <c r="D75" s="33"/>
      <c r="E75" s="379"/>
      <c r="F75" s="376"/>
      <c r="G75" s="258"/>
      <c r="H75" s="2484"/>
    </row>
    <row r="76" spans="3:8">
      <c r="C76" s="365">
        <f t="shared" si="3"/>
        <v>18</v>
      </c>
      <c r="D76" s="33"/>
      <c r="E76" s="379"/>
      <c r="F76" s="378"/>
      <c r="G76" s="258"/>
      <c r="H76" s="2484"/>
    </row>
    <row r="77" spans="3:8">
      <c r="C77" s="365">
        <f t="shared" si="3"/>
        <v>19</v>
      </c>
      <c r="D77" s="33"/>
      <c r="E77" s="379" t="s">
        <v>2067</v>
      </c>
      <c r="F77" s="376">
        <v>4560800</v>
      </c>
      <c r="G77" s="258" t="s">
        <v>2090</v>
      </c>
      <c r="H77" s="2484">
        <f>+SUMIFS('Other Operating Revenue'!F:F,'Other Operating Revenue'!C:C,'Functionalized Revenues'!F77)</f>
        <v>7</v>
      </c>
    </row>
    <row r="78" spans="3:8">
      <c r="C78" s="365">
        <f t="shared" si="3"/>
        <v>20</v>
      </c>
      <c r="D78" s="33"/>
      <c r="E78" s="379" t="s">
        <v>1532</v>
      </c>
      <c r="F78" s="376">
        <v>4560020</v>
      </c>
      <c r="G78" s="258" t="s">
        <v>2209</v>
      </c>
      <c r="H78" s="2484">
        <f>+SUMIFS('Other Operating Revenue'!F:F,'Other Operating Revenue'!C:C,'Functionalized Revenues'!F78)</f>
        <v>2600</v>
      </c>
    </row>
    <row r="79" spans="3:8">
      <c r="C79" s="365">
        <f t="shared" si="3"/>
        <v>21</v>
      </c>
      <c r="D79" s="33"/>
      <c r="E79" s="379" t="s">
        <v>2069</v>
      </c>
      <c r="F79" s="376">
        <v>4560030</v>
      </c>
      <c r="G79" s="258" t="s">
        <v>2070</v>
      </c>
      <c r="H79" s="2484">
        <f>+SUMIFS('Other Operating Revenue'!F:F,'Other Operating Revenue'!C:C,'Functionalized Revenues'!F79)</f>
        <v>107</v>
      </c>
    </row>
    <row r="80" spans="3:8">
      <c r="C80" s="365">
        <f t="shared" si="3"/>
        <v>22</v>
      </c>
      <c r="D80" s="33"/>
      <c r="E80" s="379" t="s">
        <v>1532</v>
      </c>
      <c r="F80" s="376">
        <v>4560040</v>
      </c>
      <c r="G80" s="258" t="s">
        <v>2071</v>
      </c>
      <c r="H80" s="2484">
        <f>+SUMIFS('Other Operating Revenue'!F:F,'Other Operating Revenue'!C:C,'Functionalized Revenues'!F80)</f>
        <v>0</v>
      </c>
    </row>
    <row r="81" spans="3:8">
      <c r="C81" s="365">
        <f t="shared" si="3"/>
        <v>23</v>
      </c>
      <c r="D81" s="33"/>
      <c r="E81" s="379" t="s">
        <v>1532</v>
      </c>
      <c r="F81" s="376">
        <v>4560045</v>
      </c>
      <c r="G81" s="258" t="s">
        <v>2072</v>
      </c>
      <c r="H81" s="2484">
        <f>+SUMIFS('Other Operating Revenue'!F:F,'Other Operating Revenue'!C:C,'Functionalized Revenues'!F81)</f>
        <v>0</v>
      </c>
    </row>
    <row r="82" spans="3:8">
      <c r="C82" s="365">
        <f t="shared" si="3"/>
        <v>24</v>
      </c>
      <c r="D82" s="33"/>
      <c r="E82" s="379" t="s">
        <v>1532</v>
      </c>
      <c r="F82" s="376">
        <v>4560050</v>
      </c>
      <c r="G82" s="258" t="s">
        <v>2073</v>
      </c>
      <c r="H82" s="2484">
        <f>+SUMIFS('Other Operating Revenue'!F:F,'Other Operating Revenue'!C:C,'Functionalized Revenues'!F82)</f>
        <v>0</v>
      </c>
    </row>
    <row r="83" spans="3:8">
      <c r="C83" s="365">
        <f t="shared" si="3"/>
        <v>25</v>
      </c>
      <c r="D83" s="33"/>
      <c r="E83" s="379" t="s">
        <v>1532</v>
      </c>
      <c r="F83" s="376">
        <v>4560060</v>
      </c>
      <c r="G83" s="258" t="s">
        <v>2074</v>
      </c>
      <c r="H83" s="2484">
        <f>+SUMIFS('Other Operating Revenue'!F:F,'Other Operating Revenue'!C:C,'Functionalized Revenues'!F83)</f>
        <v>0</v>
      </c>
    </row>
    <row r="84" spans="3:8">
      <c r="C84" s="365">
        <f t="shared" si="3"/>
        <v>26</v>
      </c>
      <c r="D84" s="33"/>
      <c r="E84" s="379" t="s">
        <v>1944</v>
      </c>
      <c r="F84" s="376">
        <v>4560100</v>
      </c>
      <c r="G84" s="258" t="s">
        <v>1944</v>
      </c>
      <c r="H84" s="2484">
        <f>+SUMIFS('Other Operating Revenue'!F:F,'Other Operating Revenue'!C:C,'Functionalized Revenues'!F84)</f>
        <v>0</v>
      </c>
    </row>
    <row r="85" spans="3:8">
      <c r="C85" s="365">
        <f t="shared" si="3"/>
        <v>27</v>
      </c>
      <c r="D85" s="33"/>
      <c r="E85" s="379" t="s">
        <v>2210</v>
      </c>
      <c r="F85" s="376">
        <v>4560080</v>
      </c>
      <c r="G85" s="258" t="s">
        <v>2211</v>
      </c>
      <c r="H85" s="2484">
        <f>+SUMIFS('Other Operating Revenue'!F:F,'Other Operating Revenue'!C:C,'Functionalized Revenues'!F85)</f>
        <v>121.19999999999997</v>
      </c>
    </row>
    <row r="86" spans="3:8">
      <c r="C86" s="365">
        <f t="shared" si="3"/>
        <v>28</v>
      </c>
      <c r="D86" s="33"/>
      <c r="E86" s="379" t="s">
        <v>1532</v>
      </c>
      <c r="F86" s="376">
        <v>4560110</v>
      </c>
      <c r="G86" s="258" t="s">
        <v>2212</v>
      </c>
      <c r="H86" s="2484">
        <f>+SUMIFS('Other Operating Revenue'!F:F,'Other Operating Revenue'!C:C,'Functionalized Revenues'!F86)</f>
        <v>0</v>
      </c>
    </row>
    <row r="87" spans="3:8">
      <c r="C87" s="365">
        <f t="shared" si="3"/>
        <v>29</v>
      </c>
      <c r="D87" s="33"/>
      <c r="E87" s="380" t="s">
        <v>2067</v>
      </c>
      <c r="F87" s="376">
        <v>4560690</v>
      </c>
      <c r="G87" s="258" t="s">
        <v>2089</v>
      </c>
      <c r="H87" s="2484">
        <f>+SUMIFS('Other Operating Revenue'!F:F,'Other Operating Revenue'!C:C,'Functionalized Revenues'!F87)</f>
        <v>0</v>
      </c>
    </row>
    <row r="88" spans="3:8">
      <c r="C88" s="365">
        <f t="shared" si="3"/>
        <v>30</v>
      </c>
      <c r="D88" s="33"/>
      <c r="E88" s="379" t="s">
        <v>2067</v>
      </c>
      <c r="F88" s="376">
        <v>4560660</v>
      </c>
      <c r="G88" s="293" t="s">
        <v>2213</v>
      </c>
      <c r="H88" s="2484">
        <f>+SUMIFS('Other Operating Revenue'!F:F,'Other Operating Revenue'!C:C,'Functionalized Revenues'!F88)</f>
        <v>486.87339000000003</v>
      </c>
    </row>
    <row r="89" spans="3:8">
      <c r="C89" s="365">
        <f t="shared" si="3"/>
        <v>31</v>
      </c>
      <c r="D89" s="33"/>
      <c r="E89" s="379" t="s">
        <v>2067</v>
      </c>
      <c r="F89" s="376">
        <v>4560661</v>
      </c>
      <c r="G89" s="293" t="s">
        <v>2214</v>
      </c>
      <c r="H89" s="2484">
        <f>+SUMIFS('Other Operating Revenue'!F:F,'Other Operating Revenue'!C:C,'Functionalized Revenues'!F89)</f>
        <v>0</v>
      </c>
    </row>
    <row r="90" spans="3:8">
      <c r="C90" s="365">
        <f t="shared" si="3"/>
        <v>32</v>
      </c>
      <c r="D90" s="33"/>
      <c r="E90" s="379" t="s">
        <v>2067</v>
      </c>
      <c r="F90" s="376">
        <v>4560650</v>
      </c>
      <c r="G90" s="258" t="s">
        <v>2088</v>
      </c>
      <c r="H90" s="2484">
        <f>+SUMIFS('Other Operating Revenue'!F:F,'Other Operating Revenue'!C:C,'Functionalized Revenues'!F90)</f>
        <v>0</v>
      </c>
    </row>
    <row r="91" spans="3:8">
      <c r="C91" s="365">
        <f t="shared" si="3"/>
        <v>33</v>
      </c>
      <c r="D91" s="33"/>
      <c r="E91" s="379" t="s">
        <v>1532</v>
      </c>
      <c r="F91" s="376">
        <v>4560120</v>
      </c>
      <c r="G91" s="258" t="s">
        <v>2079</v>
      </c>
      <c r="H91" s="2484">
        <f>+SUMIFS('Other Operating Revenue'!F:F,'Other Operating Revenue'!C:C,'Functionalized Revenues'!F91)</f>
        <v>183.77052610679999</v>
      </c>
    </row>
    <row r="92" spans="3:8">
      <c r="C92" s="365">
        <f t="shared" si="3"/>
        <v>34</v>
      </c>
      <c r="D92" s="33"/>
      <c r="E92" s="33" t="s">
        <v>1532</v>
      </c>
      <c r="F92" s="376">
        <v>4560140</v>
      </c>
      <c r="G92" t="s">
        <v>2215</v>
      </c>
      <c r="H92" s="2484">
        <f>+SUMIFS('Other Operating Revenue'!F:F,'Other Operating Revenue'!C:C,'Functionalized Revenues'!F92)</f>
        <v>0</v>
      </c>
    </row>
    <row r="93" spans="3:8">
      <c r="C93" s="365">
        <f t="shared" si="3"/>
        <v>35</v>
      </c>
      <c r="D93" s="33"/>
      <c r="E93" s="33" t="s">
        <v>1532</v>
      </c>
      <c r="F93" s="376">
        <v>4560180</v>
      </c>
      <c r="G93" t="s">
        <v>2054</v>
      </c>
      <c r="H93" s="2484">
        <f>+SUMIFS('Other Operating Revenue'!F:F,'Other Operating Revenue'!C:C,'Functionalized Revenues'!F93)</f>
        <v>0</v>
      </c>
    </row>
    <row r="94" spans="3:8">
      <c r="C94" s="365">
        <f t="shared" si="3"/>
        <v>36</v>
      </c>
      <c r="D94" s="33"/>
      <c r="E94" s="379" t="s">
        <v>2064</v>
      </c>
      <c r="F94" s="376">
        <v>4560200</v>
      </c>
      <c r="G94" s="258" t="s">
        <v>2084</v>
      </c>
      <c r="H94" s="2484">
        <f>+SUMIFS('Other Operating Revenue'!F:F,'Other Operating Revenue'!C:C,'Functionalized Revenues'!F94)</f>
        <v>7719.689461538399</v>
      </c>
    </row>
    <row r="95" spans="3:8">
      <c r="C95" s="365">
        <f t="shared" si="3"/>
        <v>37</v>
      </c>
      <c r="D95" s="33"/>
      <c r="E95" s="379" t="s">
        <v>2064</v>
      </c>
      <c r="F95" s="376">
        <v>4560210</v>
      </c>
      <c r="G95" s="258" t="s">
        <v>2084</v>
      </c>
      <c r="H95" s="2484">
        <f>+SUMIFS('Other Operating Revenue'!F:F,'Other Operating Revenue'!C:C,'Functionalized Revenues'!F95)</f>
        <v>209.34112087919996</v>
      </c>
    </row>
    <row r="96" spans="3:8">
      <c r="C96" s="365">
        <f t="shared" si="3"/>
        <v>38</v>
      </c>
      <c r="D96" s="33"/>
      <c r="E96" s="379" t="s">
        <v>2064</v>
      </c>
      <c r="F96" s="376">
        <v>4560220</v>
      </c>
      <c r="G96" s="258" t="s">
        <v>2084</v>
      </c>
      <c r="H96" s="2484">
        <f>+SUMIFS('Other Operating Revenue'!F:F,'Other Operating Revenue'!C:C,'Functionalized Revenues'!F96)</f>
        <v>0</v>
      </c>
    </row>
    <row r="97" spans="3:8">
      <c r="C97" s="365">
        <f t="shared" si="3"/>
        <v>39</v>
      </c>
      <c r="D97" s="33"/>
      <c r="E97" s="379" t="s">
        <v>2067</v>
      </c>
      <c r="F97" s="376">
        <v>4560230</v>
      </c>
      <c r="G97" s="258" t="s">
        <v>2216</v>
      </c>
      <c r="H97" s="2484">
        <f>+SUMIFS('Other Operating Revenue'!F:F,'Other Operating Revenue'!C:C,'Functionalized Revenues'!F97)</f>
        <v>0</v>
      </c>
    </row>
    <row r="98" spans="3:8">
      <c r="C98" s="365">
        <f t="shared" si="3"/>
        <v>40</v>
      </c>
      <c r="D98" s="290"/>
      <c r="E98" s="379" t="s">
        <v>2217</v>
      </c>
      <c r="F98" s="376">
        <v>4560300</v>
      </c>
      <c r="G98" s="258" t="s">
        <v>2218</v>
      </c>
      <c r="H98" s="2484">
        <f>+SUMIFS('Other Operating Revenue'!F:F,'Other Operating Revenue'!C:C,'Functionalized Revenues'!F98)</f>
        <v>0</v>
      </c>
    </row>
    <row r="99" spans="3:8">
      <c r="C99" s="365">
        <f t="shared" si="3"/>
        <v>41</v>
      </c>
      <c r="D99" s="290"/>
      <c r="E99" s="379" t="s">
        <v>2217</v>
      </c>
      <c r="F99" s="376">
        <v>4560310</v>
      </c>
      <c r="G99" s="258" t="s">
        <v>2219</v>
      </c>
      <c r="H99" s="2484">
        <f>+SUMIFS('Other Operating Revenue'!F:F,'Other Operating Revenue'!C:C,'Functionalized Revenues'!F99)</f>
        <v>0</v>
      </c>
    </row>
    <row r="100" spans="3:8">
      <c r="C100" s="365">
        <f t="shared" si="3"/>
        <v>42</v>
      </c>
      <c r="D100" s="290"/>
      <c r="E100" s="379" t="s">
        <v>1532</v>
      </c>
      <c r="F100" s="378">
        <v>4560190</v>
      </c>
      <c r="G100" s="293" t="s">
        <v>8669</v>
      </c>
      <c r="H100" s="2484">
        <f>+SUMIFS('Other Operating Revenue'!F:F,'Other Operating Revenue'!C:C,'Functionalized Revenues'!F100)</f>
        <v>100.00000000000003</v>
      </c>
    </row>
    <row r="101" spans="3:8">
      <c r="C101" s="365">
        <f t="shared" si="3"/>
        <v>43</v>
      </c>
      <c r="D101" s="290"/>
      <c r="E101" s="379" t="s">
        <v>1532</v>
      </c>
      <c r="F101" s="378" t="s">
        <v>2220</v>
      </c>
      <c r="G101" s="258" t="s">
        <v>2221</v>
      </c>
      <c r="H101" s="2484">
        <f>+SUMIFS('Other Operating Revenue'!F:F,'Other Operating Revenue'!C:C,'Functionalized Revenues'!F101)</f>
        <v>0</v>
      </c>
    </row>
    <row r="102" spans="3:8">
      <c r="C102" s="365">
        <f t="shared" si="3"/>
        <v>44</v>
      </c>
      <c r="D102" s="290"/>
      <c r="E102" s="379" t="s">
        <v>1532</v>
      </c>
      <c r="F102" s="376">
        <v>4560150</v>
      </c>
      <c r="G102" s="258" t="s">
        <v>2222</v>
      </c>
      <c r="H102" s="2484">
        <f>+SUMIFS('Other Operating Revenue'!F:F,'Other Operating Revenue'!C:C,'Functionalized Revenues'!F102)</f>
        <v>0</v>
      </c>
    </row>
    <row r="103" spans="3:8">
      <c r="C103" s="365">
        <f t="shared" si="3"/>
        <v>45</v>
      </c>
      <c r="D103" s="290"/>
      <c r="E103" s="379"/>
      <c r="F103" s="378"/>
      <c r="G103" s="258"/>
      <c r="H103" s="2484"/>
    </row>
    <row r="104" spans="3:8">
      <c r="C104" s="365">
        <f t="shared" si="3"/>
        <v>46</v>
      </c>
      <c r="D104" s="290"/>
      <c r="E104" s="379"/>
      <c r="F104" s="378"/>
      <c r="G104" s="258"/>
      <c r="H104" s="2484"/>
    </row>
    <row r="105" spans="3:8">
      <c r="C105" s="365">
        <f t="shared" si="3"/>
        <v>47</v>
      </c>
      <c r="D105" s="290"/>
      <c r="E105" s="379"/>
      <c r="F105" s="378"/>
      <c r="G105" s="258"/>
      <c r="H105" s="2484"/>
    </row>
    <row r="106" spans="3:8">
      <c r="C106" s="365">
        <f t="shared" si="3"/>
        <v>48</v>
      </c>
      <c r="D106" s="290"/>
      <c r="E106" s="379"/>
      <c r="F106" s="378"/>
      <c r="G106" s="258"/>
      <c r="H106" s="2484"/>
    </row>
    <row r="107" spans="3:8">
      <c r="C107" s="365">
        <f t="shared" si="3"/>
        <v>49</v>
      </c>
      <c r="D107" s="290"/>
      <c r="E107" s="379" t="s">
        <v>1532</v>
      </c>
      <c r="F107" s="376">
        <v>4560160</v>
      </c>
      <c r="G107" s="258" t="s">
        <v>2224</v>
      </c>
      <c r="H107" s="2484">
        <f>+SUMIFS('Other Operating Revenue'!F:F,'Other Operating Revenue'!C:C,'Functionalized Revenues'!F107)</f>
        <v>0</v>
      </c>
    </row>
    <row r="108" spans="3:8" ht="15" thickBot="1">
      <c r="C108" s="365">
        <f t="shared" si="3"/>
        <v>50</v>
      </c>
      <c r="D108" s="2481" t="s">
        <v>2225</v>
      </c>
      <c r="E108" s="2481"/>
      <c r="F108" s="407">
        <v>456</v>
      </c>
      <c r="G108" s="2481"/>
      <c r="H108" s="428">
        <f>+SUM(H75:H107)</f>
        <v>11534.874498524399</v>
      </c>
    </row>
    <row r="109" spans="3:8" ht="15" thickTop="1">
      <c r="C109" s="365">
        <f t="shared" si="3"/>
        <v>51</v>
      </c>
      <c r="H109" s="384"/>
    </row>
    <row r="110" spans="3:8">
      <c r="C110" s="365">
        <f t="shared" si="3"/>
        <v>52</v>
      </c>
      <c r="D110" s="385" t="s">
        <v>2226</v>
      </c>
      <c r="H110" s="362"/>
    </row>
    <row r="111" spans="3:8">
      <c r="C111" s="365">
        <f t="shared" si="3"/>
        <v>53</v>
      </c>
      <c r="E111" s="33" t="s">
        <v>2091</v>
      </c>
      <c r="F111" s="379">
        <v>4560900</v>
      </c>
      <c r="G111" s="258" t="s">
        <v>2092</v>
      </c>
      <c r="H111" s="2484">
        <v>-62.881113731333144</v>
      </c>
    </row>
    <row r="112" spans="3:8">
      <c r="C112" s="365">
        <f t="shared" si="3"/>
        <v>54</v>
      </c>
      <c r="E112" s="33"/>
      <c r="F112" s="386"/>
      <c r="G112" s="386"/>
      <c r="H112" s="377"/>
    </row>
    <row r="113" spans="3:8">
      <c r="C113" s="365">
        <f t="shared" si="3"/>
        <v>55</v>
      </c>
      <c r="D113" s="2485" t="s">
        <v>2227</v>
      </c>
      <c r="E113" s="2479"/>
      <c r="F113" s="2486"/>
      <c r="G113" s="2487"/>
      <c r="H113" s="422">
        <f>+SUM(H111)</f>
        <v>-62.881113731333144</v>
      </c>
    </row>
    <row r="114" spans="3:8">
      <c r="C114" s="365">
        <f t="shared" si="3"/>
        <v>56</v>
      </c>
      <c r="D114" s="392" t="s">
        <v>2228</v>
      </c>
      <c r="F114" s="386"/>
      <c r="G114" s="393"/>
      <c r="H114" s="394"/>
    </row>
    <row r="115" spans="3:8">
      <c r="C115" s="365">
        <f t="shared" si="3"/>
        <v>57</v>
      </c>
      <c r="D115" s="386" t="s">
        <v>2229</v>
      </c>
      <c r="E115" s="395" t="s">
        <v>2230</v>
      </c>
      <c r="F115" s="386"/>
      <c r="G115" s="293" t="s">
        <v>2231</v>
      </c>
      <c r="H115" s="396">
        <f>+D3</f>
        <v>0</v>
      </c>
    </row>
    <row r="116" spans="3:8">
      <c r="C116" s="365">
        <f t="shared" si="3"/>
        <v>58</v>
      </c>
      <c r="D116" s="386"/>
      <c r="E116" s="395"/>
      <c r="F116" s="386"/>
      <c r="G116" s="293"/>
      <c r="H116" s="2488"/>
    </row>
    <row r="117" spans="3:8">
      <c r="C117" s="365">
        <f t="shared" si="3"/>
        <v>59</v>
      </c>
      <c r="D117" s="386" t="s">
        <v>2232</v>
      </c>
      <c r="E117" s="395" t="s">
        <v>2233</v>
      </c>
      <c r="F117" s="386"/>
      <c r="G117" s="293" t="s">
        <v>2234</v>
      </c>
      <c r="H117" s="2488">
        <f>+F18</f>
        <v>-1.84900420208578E-3</v>
      </c>
    </row>
    <row r="118" spans="3:8">
      <c r="C118" s="365">
        <f t="shared" si="3"/>
        <v>60</v>
      </c>
      <c r="D118" s="386" t="s">
        <v>2232</v>
      </c>
      <c r="E118" s="395" t="s">
        <v>1532</v>
      </c>
      <c r="F118" s="386"/>
      <c r="G118" s="293" t="s">
        <v>2235</v>
      </c>
      <c r="H118" s="2488">
        <f>+F19</f>
        <v>-1.7615830438444391E-4</v>
      </c>
    </row>
    <row r="119" spans="3:8">
      <c r="C119" s="365">
        <f t="shared" si="3"/>
        <v>61</v>
      </c>
      <c r="D119" s="386" t="s">
        <v>2232</v>
      </c>
      <c r="E119" s="395" t="s">
        <v>1532</v>
      </c>
      <c r="F119" s="397">
        <v>4560180</v>
      </c>
      <c r="G119" s="293" t="s">
        <v>2054</v>
      </c>
      <c r="H119" s="2484">
        <f>-SUMIFS('Other Operating Revenue'!F:F,'Other Operating Revenue'!C:C,'Functionalized Revenues'!F119)</f>
        <v>0</v>
      </c>
    </row>
    <row r="120" spans="3:8">
      <c r="C120" s="365">
        <f t="shared" si="3"/>
        <v>62</v>
      </c>
      <c r="D120" s="386"/>
      <c r="E120" s="395"/>
      <c r="F120" s="386"/>
      <c r="G120" s="386"/>
      <c r="H120" s="396"/>
    </row>
    <row r="121" spans="3:8">
      <c r="C121" s="365">
        <f t="shared" si="3"/>
        <v>63</v>
      </c>
      <c r="D121" s="386" t="s">
        <v>2232</v>
      </c>
      <c r="E121" s="395" t="s">
        <v>2067</v>
      </c>
      <c r="F121" s="386"/>
      <c r="G121" s="293" t="s">
        <v>2237</v>
      </c>
      <c r="H121" s="2488">
        <f>+F17</f>
        <v>0</v>
      </c>
    </row>
    <row r="122" spans="3:8">
      <c r="C122" s="365">
        <f t="shared" si="3"/>
        <v>64</v>
      </c>
      <c r="D122" s="395"/>
      <c r="E122" s="386"/>
      <c r="F122" s="386"/>
      <c r="G122" s="393" t="s">
        <v>2238</v>
      </c>
      <c r="H122" s="398">
        <f>+SUM(H115:H121)</f>
        <v>-2.0251625064702239E-3</v>
      </c>
    </row>
    <row r="123" spans="3:8" ht="15" thickBot="1">
      <c r="C123" s="365">
        <f t="shared" si="3"/>
        <v>65</v>
      </c>
      <c r="D123" s="2481" t="s">
        <v>2239</v>
      </c>
      <c r="E123" s="2481"/>
      <c r="F123" s="2489">
        <v>454455456</v>
      </c>
      <c r="G123" s="2481"/>
      <c r="H123" s="428">
        <f>+H122+H113+H108+H74+H59</f>
        <v>48740.681275638373</v>
      </c>
    </row>
    <row r="124" spans="3:8" ht="16.2" thickTop="1">
      <c r="C124" s="365">
        <f t="shared" si="3"/>
        <v>66</v>
      </c>
      <c r="D124" s="395"/>
      <c r="E124" s="386"/>
      <c r="F124" s="386"/>
      <c r="G124" s="386"/>
      <c r="H124" s="400"/>
    </row>
    <row r="125" spans="3:8">
      <c r="C125" s="365">
        <f t="shared" ref="C125:C188" si="4">+C124+1</f>
        <v>67</v>
      </c>
      <c r="D125" s="2478" t="s">
        <v>2240</v>
      </c>
      <c r="E125" s="2479"/>
      <c r="F125" s="2479"/>
      <c r="G125" s="2479"/>
      <c r="H125" s="450"/>
    </row>
    <row r="126" spans="3:8">
      <c r="C126" s="365">
        <f t="shared" si="4"/>
        <v>68</v>
      </c>
      <c r="D126" s="402" t="s">
        <v>2241</v>
      </c>
      <c r="E126" s="403" t="s">
        <v>2057</v>
      </c>
      <c r="F126" s="404">
        <v>451</v>
      </c>
      <c r="G126" s="294"/>
      <c r="H126" s="2490">
        <f>+H59</f>
        <v>21444.731936121014</v>
      </c>
    </row>
    <row r="127" spans="3:8">
      <c r="C127" s="365">
        <f t="shared" si="4"/>
        <v>69</v>
      </c>
      <c r="D127" s="96" t="s">
        <v>2242</v>
      </c>
      <c r="E127" s="406"/>
      <c r="F127" s="406"/>
      <c r="G127" s="297"/>
      <c r="H127" s="1728">
        <v>0</v>
      </c>
    </row>
    <row r="128" spans="3:8" ht="15" thickBot="1">
      <c r="C128" s="365">
        <f t="shared" si="4"/>
        <v>70</v>
      </c>
      <c r="D128" s="407" t="s">
        <v>2243</v>
      </c>
      <c r="E128" s="408"/>
      <c r="F128" s="408"/>
      <c r="G128" s="409"/>
      <c r="H128" s="2482">
        <f>+SUM(H126:H127)</f>
        <v>21444.731936121014</v>
      </c>
    </row>
    <row r="129" spans="3:8" ht="15" thickTop="1">
      <c r="C129" s="365">
        <f t="shared" si="4"/>
        <v>71</v>
      </c>
      <c r="H129" s="411"/>
    </row>
    <row r="130" spans="3:8">
      <c r="C130" s="365">
        <f t="shared" si="4"/>
        <v>72</v>
      </c>
      <c r="D130" s="1005" t="s">
        <v>2244</v>
      </c>
      <c r="E130" s="2479"/>
      <c r="F130" s="2479"/>
      <c r="G130" s="2479"/>
      <c r="H130" s="450"/>
    </row>
    <row r="131" spans="3:8">
      <c r="C131" s="365">
        <f t="shared" si="4"/>
        <v>73</v>
      </c>
      <c r="D131" s="413" t="s">
        <v>2188</v>
      </c>
      <c r="E131" s="414" t="s">
        <v>2187</v>
      </c>
      <c r="F131" s="414"/>
      <c r="G131" s="414"/>
      <c r="H131" s="2491">
        <f>+SUM(H132:H136)</f>
        <v>15823.957979886798</v>
      </c>
    </row>
    <row r="132" spans="3:8">
      <c r="C132" s="365">
        <f t="shared" si="4"/>
        <v>74</v>
      </c>
      <c r="D132" s="96" t="s">
        <v>2245</v>
      </c>
      <c r="E132" s="416" t="s">
        <v>2198</v>
      </c>
      <c r="F132" s="417"/>
      <c r="H132" s="377">
        <f>+SUMIFS(H61:H127,E61:E127,E132)</f>
        <v>312.20800000000003</v>
      </c>
    </row>
    <row r="133" spans="3:8">
      <c r="C133" s="365">
        <f t="shared" si="4"/>
        <v>75</v>
      </c>
      <c r="D133" s="418" t="s">
        <v>2246</v>
      </c>
      <c r="E133" s="416" t="s">
        <v>2189</v>
      </c>
      <c r="F133" s="417"/>
      <c r="H133" s="377">
        <f>+SUMIFS(H61:H127,E61:E127,E133)</f>
        <v>755.73100000000011</v>
      </c>
    </row>
    <row r="134" spans="3:8">
      <c r="C134" s="365">
        <f t="shared" si="4"/>
        <v>76</v>
      </c>
      <c r="D134" s="418" t="s">
        <v>2247</v>
      </c>
      <c r="E134" s="416" t="s">
        <v>2248</v>
      </c>
      <c r="F134" s="417"/>
      <c r="H134" s="377">
        <f>+D4</f>
        <v>148.62792999999999</v>
      </c>
    </row>
    <row r="135" spans="3:8">
      <c r="C135" s="365">
        <f t="shared" si="4"/>
        <v>77</v>
      </c>
      <c r="D135" s="418" t="s">
        <v>2249</v>
      </c>
      <c r="E135" s="416" t="s">
        <v>2194</v>
      </c>
      <c r="F135" s="417"/>
      <c r="H135" s="377">
        <f>+SUMIFS(H61:H127,E61:E127,E135)-H134</f>
        <v>14488.425089886799</v>
      </c>
    </row>
    <row r="136" spans="3:8">
      <c r="C136" s="365">
        <f t="shared" si="4"/>
        <v>78</v>
      </c>
      <c r="D136" s="418" t="s">
        <v>2250</v>
      </c>
      <c r="E136" s="416" t="s">
        <v>2191</v>
      </c>
      <c r="F136" s="417"/>
      <c r="H136" s="377">
        <f>+SUMIFS(H61:H127,E61:E127,E136)</f>
        <v>118.96596000000004</v>
      </c>
    </row>
    <row r="137" spans="3:8">
      <c r="C137" s="365">
        <f t="shared" si="4"/>
        <v>79</v>
      </c>
      <c r="D137" s="413" t="s">
        <v>2207</v>
      </c>
      <c r="E137" s="413"/>
      <c r="F137" s="413"/>
      <c r="G137" s="413"/>
      <c r="H137" s="419">
        <f>+SUM(H132:H136)</f>
        <v>15823.957979886798</v>
      </c>
    </row>
    <row r="138" spans="3:8">
      <c r="C138" s="365">
        <f t="shared" si="4"/>
        <v>80</v>
      </c>
    </row>
    <row r="139" spans="3:8">
      <c r="C139" s="365">
        <f t="shared" si="4"/>
        <v>81</v>
      </c>
      <c r="D139" s="1005" t="s">
        <v>2251</v>
      </c>
      <c r="E139" s="2479"/>
      <c r="F139" s="2479"/>
      <c r="G139" s="2479"/>
      <c r="H139" s="450"/>
    </row>
    <row r="140" spans="3:8">
      <c r="C140" s="365">
        <f t="shared" si="4"/>
        <v>82</v>
      </c>
      <c r="D140" s="413" t="s">
        <v>2252</v>
      </c>
      <c r="E140" s="420" t="s">
        <v>1532</v>
      </c>
      <c r="F140" s="421"/>
      <c r="G140" s="414" t="s">
        <v>2253</v>
      </c>
      <c r="H140" s="422">
        <f>+SUMIFS(H59:H122,E59:E122,E140)</f>
        <v>2883.7703499484956</v>
      </c>
    </row>
    <row r="141" spans="3:8">
      <c r="C141" s="365">
        <f t="shared" si="4"/>
        <v>83</v>
      </c>
      <c r="D141" s="418" t="s">
        <v>2254</v>
      </c>
      <c r="E141" s="1572">
        <f>+REPORTS!F1006</f>
        <v>7199153.5139943594</v>
      </c>
      <c r="F141" s="1572"/>
      <c r="G141" s="2492">
        <f t="shared" ref="G141:G148" si="5">+E141/$E$149</f>
        <v>0.533582471487832</v>
      </c>
      <c r="H141" s="377">
        <f>+G141*$H$140</f>
        <v>1538.7293105288484</v>
      </c>
    </row>
    <row r="142" spans="3:8">
      <c r="C142" s="365">
        <f t="shared" si="4"/>
        <v>84</v>
      </c>
      <c r="D142" s="418" t="s">
        <v>2255</v>
      </c>
      <c r="E142" s="1572">
        <f>+REPORTS!F1007</f>
        <v>680548.35013101739</v>
      </c>
      <c r="F142" s="1572"/>
      <c r="G142" s="2492">
        <f t="shared" si="5"/>
        <v>5.0440467747213988E-2</v>
      </c>
      <c r="H142" s="377">
        <f t="shared" ref="H142:H148" si="6">+G142*$H$140</f>
        <v>145.45872532694909</v>
      </c>
    </row>
    <row r="143" spans="3:8">
      <c r="C143" s="365">
        <f t="shared" si="4"/>
        <v>85</v>
      </c>
      <c r="D143" s="418" t="s">
        <v>2246</v>
      </c>
      <c r="E143" s="1572">
        <f>+REPORTS!F1008</f>
        <v>559079.92351655953</v>
      </c>
      <c r="F143" s="1572"/>
      <c r="G143" s="2492">
        <f t="shared" si="5"/>
        <v>4.1437544951542157E-2</v>
      </c>
      <c r="H143" s="377">
        <f t="shared" si="6"/>
        <v>119.49636350591524</v>
      </c>
    </row>
    <row r="144" spans="3:8">
      <c r="C144" s="365">
        <f t="shared" si="4"/>
        <v>86</v>
      </c>
      <c r="D144" s="418" t="s">
        <v>2247</v>
      </c>
      <c r="E144" s="1572">
        <f>+REPORTS!F1009</f>
        <v>583616.65599674068</v>
      </c>
      <c r="F144" s="1572"/>
      <c r="G144" s="2492">
        <f t="shared" si="5"/>
        <v>4.3256143531716994E-2</v>
      </c>
      <c r="H144" s="377">
        <f t="shared" si="6"/>
        <v>124.74078416988186</v>
      </c>
    </row>
    <row r="145" spans="3:8">
      <c r="C145" s="365">
        <f t="shared" si="4"/>
        <v>87</v>
      </c>
      <c r="D145" s="418" t="s">
        <v>2249</v>
      </c>
      <c r="E145" s="1572">
        <f>+REPORTS!F1010</f>
        <v>2138740.1301561045</v>
      </c>
      <c r="F145" s="1572"/>
      <c r="G145" s="2492">
        <f t="shared" si="5"/>
        <v>0.15851783717357135</v>
      </c>
      <c r="H145" s="377">
        <f t="shared" si="6"/>
        <v>457.1290387791085</v>
      </c>
    </row>
    <row r="146" spans="3:8">
      <c r="C146" s="365">
        <f t="shared" si="4"/>
        <v>88</v>
      </c>
      <c r="D146" s="418" t="s">
        <v>2250</v>
      </c>
      <c r="E146" s="1572">
        <f>+REPORTS!F1011</f>
        <v>1074798.1721466575</v>
      </c>
      <c r="F146" s="1572"/>
      <c r="G146" s="2492">
        <f t="shared" si="5"/>
        <v>7.9661235717478435E-2</v>
      </c>
      <c r="H146" s="377">
        <f t="shared" si="6"/>
        <v>229.72470960232238</v>
      </c>
    </row>
    <row r="147" spans="3:8">
      <c r="C147" s="365">
        <f t="shared" si="4"/>
        <v>89</v>
      </c>
      <c r="D147" s="418" t="s">
        <v>2256</v>
      </c>
      <c r="E147" s="1572">
        <f>+REPORTS!F1012</f>
        <v>1011029.5953512132</v>
      </c>
      <c r="F147" s="1572"/>
      <c r="G147" s="2492">
        <f t="shared" si="5"/>
        <v>7.493487521639558E-2</v>
      </c>
      <c r="H147" s="377">
        <f t="shared" si="6"/>
        <v>216.09497132613194</v>
      </c>
    </row>
    <row r="148" spans="3:8">
      <c r="C148" s="365">
        <f t="shared" si="4"/>
        <v>90</v>
      </c>
      <c r="D148" s="418" t="s">
        <v>2257</v>
      </c>
      <c r="E148" s="1572">
        <f>+REPORTS!F1013</f>
        <v>245143.87349825987</v>
      </c>
      <c r="F148" s="1572"/>
      <c r="G148" s="2492">
        <f t="shared" si="5"/>
        <v>1.8169424174249445E-2</v>
      </c>
      <c r="H148" s="377">
        <f t="shared" si="6"/>
        <v>52.39644670933798</v>
      </c>
    </row>
    <row r="149" spans="3:8" ht="15" thickBot="1">
      <c r="C149" s="365">
        <f t="shared" si="4"/>
        <v>91</v>
      </c>
      <c r="D149" s="425" t="s">
        <v>2258</v>
      </c>
      <c r="E149" s="426">
        <f>+SUM(E141:E148)</f>
        <v>13492110.214790912</v>
      </c>
      <c r="F149" s="426"/>
      <c r="G149" s="427">
        <f>+SUM(G141:G148)</f>
        <v>1</v>
      </c>
      <c r="H149" s="428">
        <f>+SUM(H141:H148)</f>
        <v>2883.7703499484956</v>
      </c>
    </row>
    <row r="150" spans="3:8" ht="15" thickTop="1">
      <c r="C150" s="365">
        <f t="shared" si="4"/>
        <v>92</v>
      </c>
    </row>
    <row r="151" spans="3:8">
      <c r="C151" s="365">
        <f t="shared" si="4"/>
        <v>93</v>
      </c>
      <c r="D151" s="2478" t="s">
        <v>2259</v>
      </c>
      <c r="E151" s="2479"/>
      <c r="F151" s="2479"/>
      <c r="G151" s="2479"/>
      <c r="H151" s="450"/>
    </row>
    <row r="152" spans="3:8">
      <c r="C152" s="365">
        <f t="shared" si="4"/>
        <v>94</v>
      </c>
      <c r="D152" s="96" t="s">
        <v>2260</v>
      </c>
      <c r="E152" s="429" t="s">
        <v>2223</v>
      </c>
      <c r="F152" s="430"/>
      <c r="H152" s="838">
        <f>+SUMIFS(H59:H122,E59:E122,E152)</f>
        <v>0</v>
      </c>
    </row>
    <row r="153" spans="3:8">
      <c r="C153" s="365">
        <f t="shared" si="4"/>
        <v>95</v>
      </c>
      <c r="D153" s="62" t="s">
        <v>2261</v>
      </c>
      <c r="E153" s="404" t="s">
        <v>2064</v>
      </c>
      <c r="F153" s="430"/>
      <c r="H153" s="2493">
        <f>+SUMIFS(H59:H122,E59:E122,E153)</f>
        <v>7929.0305824175994</v>
      </c>
    </row>
    <row r="154" spans="3:8">
      <c r="C154" s="365">
        <f t="shared" si="4"/>
        <v>96</v>
      </c>
      <c r="D154" s="418" t="s">
        <v>2262</v>
      </c>
      <c r="E154" s="433"/>
      <c r="F154" s="434"/>
      <c r="G154" s="42">
        <f>+D6</f>
        <v>0</v>
      </c>
      <c r="H154" s="296"/>
    </row>
    <row r="155" spans="3:8">
      <c r="C155" s="365">
        <f t="shared" si="4"/>
        <v>97</v>
      </c>
      <c r="D155" s="436" t="s">
        <v>2263</v>
      </c>
      <c r="E155" s="437">
        <v>1</v>
      </c>
      <c r="F155" s="438"/>
      <c r="G155" s="439">
        <f>+H153-G154</f>
        <v>7929.0305824175994</v>
      </c>
      <c r="H155" s="298"/>
    </row>
    <row r="156" spans="3:8">
      <c r="C156" s="365">
        <f t="shared" si="4"/>
        <v>98</v>
      </c>
      <c r="D156" s="440" t="s">
        <v>2264</v>
      </c>
      <c r="E156" s="441">
        <v>1</v>
      </c>
      <c r="F156" s="441"/>
      <c r="G156" s="442">
        <f>+SUM(G154:G155)</f>
        <v>7929.0305824175994</v>
      </c>
      <c r="H156" s="443"/>
    </row>
    <row r="157" spans="3:8">
      <c r="C157" s="365">
        <f t="shared" si="4"/>
        <v>99</v>
      </c>
    </row>
    <row r="158" spans="3:8">
      <c r="C158" s="365">
        <f t="shared" si="4"/>
        <v>100</v>
      </c>
      <c r="D158" s="2478" t="s">
        <v>2416</v>
      </c>
      <c r="E158" s="2479"/>
      <c r="F158" s="2479"/>
      <c r="G158" s="2479"/>
      <c r="H158" s="450"/>
    </row>
    <row r="159" spans="3:8">
      <c r="C159" s="365">
        <f t="shared" si="4"/>
        <v>101</v>
      </c>
      <c r="D159" s="418" t="s">
        <v>2246</v>
      </c>
      <c r="E159" s="404" t="s">
        <v>2210</v>
      </c>
      <c r="F159" s="430"/>
      <c r="H159" s="2493">
        <f>+SUMIFS(H59:H122,E59:E122,E159)</f>
        <v>121.19999999999997</v>
      </c>
    </row>
    <row r="160" spans="3:8">
      <c r="C160" s="365">
        <f t="shared" si="4"/>
        <v>102</v>
      </c>
      <c r="D160" s="418"/>
      <c r="E160" s="438"/>
      <c r="F160" s="438"/>
      <c r="G160" s="444"/>
      <c r="H160" s="296"/>
    </row>
    <row r="161" spans="3:8">
      <c r="C161" s="365">
        <f t="shared" si="4"/>
        <v>103</v>
      </c>
      <c r="D161" s="2478" t="s">
        <v>2417</v>
      </c>
      <c r="E161" s="2479"/>
      <c r="F161" s="2479"/>
      <c r="G161" s="2479"/>
      <c r="H161" s="450"/>
    </row>
    <row r="162" spans="3:8">
      <c r="C162" s="365">
        <f t="shared" si="4"/>
        <v>104</v>
      </c>
      <c r="D162" s="418" t="s">
        <v>2254</v>
      </c>
      <c r="E162" s="445"/>
      <c r="F162" s="445"/>
      <c r="G162" s="434"/>
      <c r="H162" s="838">
        <f>+SUMIFS(H140:H160,D140:D160,D162)</f>
        <v>1538.7293105288484</v>
      </c>
    </row>
    <row r="163" spans="3:8">
      <c r="C163" s="365">
        <f t="shared" si="4"/>
        <v>105</v>
      </c>
      <c r="D163" s="418" t="s">
        <v>2255</v>
      </c>
      <c r="E163" s="445"/>
      <c r="F163" s="445"/>
      <c r="G163" s="434"/>
      <c r="H163" s="377">
        <f>+SUMIFS(H140:H160,D140:D160,D163)</f>
        <v>145.45872532694909</v>
      </c>
    </row>
    <row r="164" spans="3:8">
      <c r="C164" s="365">
        <f t="shared" si="4"/>
        <v>106</v>
      </c>
      <c r="D164" s="418" t="s">
        <v>2246</v>
      </c>
      <c r="E164" s="445"/>
      <c r="F164" s="445"/>
      <c r="G164" s="434"/>
      <c r="H164" s="377">
        <f>+SUMIFS(H140:H160,D140:D160,D164)+G154</f>
        <v>240.6963635059152</v>
      </c>
    </row>
    <row r="165" spans="3:8">
      <c r="C165" s="365">
        <f t="shared" si="4"/>
        <v>107</v>
      </c>
      <c r="D165" s="418" t="s">
        <v>2265</v>
      </c>
      <c r="G165" t="s">
        <v>2266</v>
      </c>
      <c r="H165" s="377">
        <f>+G155</f>
        <v>7929.0305824175994</v>
      </c>
    </row>
    <row r="166" spans="3:8">
      <c r="C166" s="365">
        <f t="shared" si="4"/>
        <v>108</v>
      </c>
      <c r="D166" s="418" t="s">
        <v>2247</v>
      </c>
      <c r="E166" s="445"/>
      <c r="F166" s="445"/>
      <c r="G166" s="434"/>
      <c r="H166" s="377">
        <f>+SUMIFS(H140:H160,D140:D160,D166)</f>
        <v>124.74078416988186</v>
      </c>
    </row>
    <row r="167" spans="3:8">
      <c r="C167" s="365">
        <f t="shared" si="4"/>
        <v>109</v>
      </c>
      <c r="D167" s="418" t="s">
        <v>2249</v>
      </c>
      <c r="E167" s="445"/>
      <c r="F167" s="445"/>
      <c r="G167" s="434"/>
      <c r="H167" s="377">
        <f>+SUMIFS(H140:H160,D140:D160,D167)</f>
        <v>457.1290387791085</v>
      </c>
    </row>
    <row r="168" spans="3:8">
      <c r="C168" s="365">
        <f t="shared" si="4"/>
        <v>110</v>
      </c>
      <c r="D168" s="418" t="s">
        <v>2250</v>
      </c>
      <c r="E168" s="445"/>
      <c r="F168" s="445"/>
      <c r="G168" s="434"/>
      <c r="H168" s="377">
        <f>+SUMIFS(H140:H160,D140:D160,D168)</f>
        <v>229.72470960232238</v>
      </c>
    </row>
    <row r="169" spans="3:8">
      <c r="C169" s="365">
        <f t="shared" si="4"/>
        <v>111</v>
      </c>
      <c r="D169" s="418" t="s">
        <v>2256</v>
      </c>
      <c r="E169" s="445"/>
      <c r="F169" s="445"/>
      <c r="G169" s="434"/>
      <c r="H169" s="377">
        <f>+SUMIFS(H140:H160,D140:D160,D169)</f>
        <v>216.09497132613194</v>
      </c>
    </row>
    <row r="170" spans="3:8">
      <c r="C170" s="365">
        <f t="shared" si="4"/>
        <v>112</v>
      </c>
      <c r="D170" s="418" t="s">
        <v>2257</v>
      </c>
      <c r="E170" s="445"/>
      <c r="F170" s="445"/>
      <c r="G170" s="434"/>
      <c r="H170" s="377">
        <f>+SUMIFS(H140:H160,D140:D160,D170)</f>
        <v>52.39644670933798</v>
      </c>
    </row>
    <row r="171" spans="3:8" ht="15" thickBot="1">
      <c r="C171" s="365">
        <f t="shared" si="4"/>
        <v>113</v>
      </c>
      <c r="D171" s="425" t="s">
        <v>115</v>
      </c>
      <c r="E171" s="446"/>
      <c r="F171" s="446"/>
      <c r="G171" s="446"/>
      <c r="H171" s="447">
        <f>+SUM(H162:H170)</f>
        <v>10934.000932366094</v>
      </c>
    </row>
    <row r="172" spans="3:8" ht="15" thickTop="1">
      <c r="C172" s="365">
        <f t="shared" si="4"/>
        <v>114</v>
      </c>
      <c r="H172" s="298"/>
    </row>
    <row r="173" spans="3:8">
      <c r="C173" s="365">
        <f t="shared" si="4"/>
        <v>115</v>
      </c>
      <c r="D173" s="2478" t="s">
        <v>2418</v>
      </c>
      <c r="E173" s="2479"/>
      <c r="F173" s="2479"/>
      <c r="G173" s="2479"/>
      <c r="H173" s="450"/>
    </row>
    <row r="174" spans="3:8">
      <c r="C174" s="365">
        <f t="shared" si="4"/>
        <v>116</v>
      </c>
      <c r="D174" s="96" t="s">
        <v>2267</v>
      </c>
      <c r="E174" s="404" t="s">
        <v>2067</v>
      </c>
      <c r="F174" s="430"/>
      <c r="H174" s="838">
        <f>+SUMIFS(H59:H122,E59:E122,E174)</f>
        <v>493.87339000000003</v>
      </c>
    </row>
    <row r="175" spans="3:8">
      <c r="C175" s="365">
        <f t="shared" si="4"/>
        <v>117</v>
      </c>
      <c r="D175" s="96" t="s">
        <v>2268</v>
      </c>
      <c r="E175" s="404" t="s">
        <v>2233</v>
      </c>
      <c r="F175" s="430"/>
      <c r="H175" s="377">
        <f>+SUMIFS(H59:H122,E59:E122,E175)</f>
        <v>-1.84900420208578E-3</v>
      </c>
    </row>
    <row r="176" spans="3:8">
      <c r="C176" s="365">
        <f t="shared" si="4"/>
        <v>118</v>
      </c>
      <c r="D176" s="96" t="s">
        <v>2269</v>
      </c>
      <c r="E176" s="404" t="s">
        <v>2069</v>
      </c>
      <c r="F176" s="430"/>
      <c r="H176" s="377">
        <f>+SUMIFS(H59:H122,E59:E122,E176)</f>
        <v>107</v>
      </c>
    </row>
    <row r="177" spans="3:9">
      <c r="C177" s="365">
        <f t="shared" si="4"/>
        <v>119</v>
      </c>
      <c r="D177" s="96" t="s">
        <v>2270</v>
      </c>
      <c r="E177" s="404" t="s">
        <v>2230</v>
      </c>
      <c r="F177" s="430"/>
      <c r="H177" s="377">
        <f>+SUMIFS(H59:H122,E59:E122,E177)</f>
        <v>0</v>
      </c>
    </row>
    <row r="178" spans="3:9" ht="15" thickBot="1">
      <c r="C178" s="365">
        <f t="shared" si="4"/>
        <v>120</v>
      </c>
      <c r="D178" s="425" t="s">
        <v>2271</v>
      </c>
      <c r="E178" s="448"/>
      <c r="F178" s="448"/>
      <c r="G178" s="408"/>
      <c r="H178" s="428">
        <f>+SUM(H174:H177)</f>
        <v>600.87154099579789</v>
      </c>
    </row>
    <row r="179" spans="3:9" ht="15" thickTop="1">
      <c r="C179" s="365">
        <f t="shared" si="4"/>
        <v>121</v>
      </c>
      <c r="H179" s="298"/>
    </row>
    <row r="180" spans="3:9">
      <c r="C180" s="365">
        <f t="shared" si="4"/>
        <v>122</v>
      </c>
      <c r="D180" s="2478" t="s">
        <v>2421</v>
      </c>
      <c r="E180" s="2479"/>
      <c r="F180" s="2479"/>
      <c r="G180" s="2479"/>
      <c r="H180" s="419">
        <f>+H178+H171</f>
        <v>11534.872473361893</v>
      </c>
    </row>
    <row r="181" spans="3:9">
      <c r="C181" s="365">
        <f t="shared" si="4"/>
        <v>123</v>
      </c>
      <c r="H181" s="450"/>
    </row>
    <row r="182" spans="3:9">
      <c r="C182" s="365">
        <f t="shared" si="4"/>
        <v>124</v>
      </c>
      <c r="D182" s="2478" t="s">
        <v>2419</v>
      </c>
      <c r="E182" s="2479"/>
      <c r="F182" s="2479"/>
      <c r="G182" s="2479"/>
      <c r="H182" s="419"/>
    </row>
    <row r="183" spans="3:9">
      <c r="C183" s="365">
        <f t="shared" si="4"/>
        <v>125</v>
      </c>
      <c r="D183" s="96" t="s">
        <v>2186</v>
      </c>
      <c r="E183" s="290" t="s">
        <v>2272</v>
      </c>
      <c r="H183" s="451">
        <f>+H128</f>
        <v>21444.731936121014</v>
      </c>
    </row>
    <row r="184" spans="3:9">
      <c r="C184" s="365">
        <f t="shared" si="4"/>
        <v>126</v>
      </c>
      <c r="D184" s="96" t="s">
        <v>2188</v>
      </c>
      <c r="E184" s="33"/>
      <c r="H184" s="377">
        <f>+H137</f>
        <v>15823.957979886798</v>
      </c>
    </row>
    <row r="185" spans="3:9">
      <c r="C185" s="365">
        <f t="shared" si="4"/>
        <v>127</v>
      </c>
      <c r="D185" s="96" t="s">
        <v>2273</v>
      </c>
      <c r="E185" s="33" t="s">
        <v>2272</v>
      </c>
      <c r="H185" s="377">
        <f>+H108+H122</f>
        <v>11534.872473361893</v>
      </c>
      <c r="I185" s="162"/>
    </row>
    <row r="186" spans="3:9">
      <c r="C186" s="365">
        <f t="shared" si="4"/>
        <v>128</v>
      </c>
      <c r="D186" s="96" t="s">
        <v>2274</v>
      </c>
      <c r="E186" s="33" t="s">
        <v>2272</v>
      </c>
      <c r="H186" s="377">
        <f>+H113</f>
        <v>-62.881113731333144</v>
      </c>
    </row>
    <row r="187" spans="3:9">
      <c r="C187" s="365">
        <f t="shared" si="4"/>
        <v>129</v>
      </c>
      <c r="D187" s="413" t="s">
        <v>2225</v>
      </c>
      <c r="E187" s="413"/>
      <c r="F187" s="413"/>
      <c r="G187" s="413"/>
      <c r="H187" s="419">
        <f>+SUM(H183:H186)</f>
        <v>48740.681275638373</v>
      </c>
    </row>
    <row r="188" spans="3:9">
      <c r="C188" s="365">
        <f t="shared" si="4"/>
        <v>130</v>
      </c>
      <c r="H188" s="450"/>
    </row>
    <row r="189" spans="3:9">
      <c r="C189" s="365">
        <f t="shared" ref="C189:C200" si="7">+C188+1</f>
        <v>131</v>
      </c>
      <c r="D189" s="2478" t="s">
        <v>2420</v>
      </c>
      <c r="E189" s="2479"/>
      <c r="F189" s="2479"/>
      <c r="G189" s="2479"/>
      <c r="H189" s="450"/>
    </row>
    <row r="190" spans="3:9">
      <c r="C190" s="365">
        <f t="shared" si="7"/>
        <v>132</v>
      </c>
      <c r="D190" s="96" t="s">
        <v>2275</v>
      </c>
      <c r="E190" s="445"/>
      <c r="F190" s="445"/>
      <c r="G190" s="434"/>
      <c r="H190" s="451">
        <f>+G49</f>
        <v>1774352.2642492782</v>
      </c>
    </row>
    <row r="191" spans="3:9">
      <c r="C191" s="365">
        <f t="shared" si="7"/>
        <v>133</v>
      </c>
      <c r="D191" s="96" t="s">
        <v>2276</v>
      </c>
      <c r="E191" s="445"/>
      <c r="F191" s="445"/>
      <c r="G191" s="452" t="s">
        <v>2266</v>
      </c>
      <c r="H191" s="451">
        <f>+D7</f>
        <v>0</v>
      </c>
    </row>
    <row r="192" spans="3:9">
      <c r="C192" s="365">
        <f t="shared" si="7"/>
        <v>134</v>
      </c>
      <c r="D192" s="96" t="s">
        <v>2277</v>
      </c>
      <c r="E192" s="445"/>
      <c r="F192" s="445"/>
      <c r="G192" s="452" t="s">
        <v>2266</v>
      </c>
      <c r="H192" s="453">
        <f>+H165</f>
        <v>7929.0305824175994</v>
      </c>
    </row>
    <row r="193" spans="3:9">
      <c r="C193" s="365">
        <f t="shared" si="7"/>
        <v>135</v>
      </c>
      <c r="D193" s="896" t="s">
        <v>2278</v>
      </c>
      <c r="E193" s="413"/>
      <c r="F193" s="413"/>
      <c r="G193" s="2494"/>
      <c r="H193" s="419">
        <f>+SUM(H190:H192)</f>
        <v>1782281.2948316957</v>
      </c>
    </row>
    <row r="194" spans="3:9">
      <c r="C194" s="365">
        <f t="shared" si="7"/>
        <v>136</v>
      </c>
      <c r="E194" s="445"/>
      <c r="F194" s="445"/>
      <c r="G194" s="434"/>
      <c r="H194" s="451"/>
    </row>
    <row r="195" spans="3:9">
      <c r="C195" s="365">
        <f t="shared" si="7"/>
        <v>137</v>
      </c>
      <c r="D195" s="96" t="s">
        <v>2225</v>
      </c>
      <c r="E195" s="445"/>
      <c r="F195" s="445"/>
      <c r="G195" s="434"/>
      <c r="H195" s="451">
        <f>+H187</f>
        <v>48740.681275638373</v>
      </c>
    </row>
    <row r="196" spans="3:9">
      <c r="C196" s="365">
        <f t="shared" si="7"/>
        <v>138</v>
      </c>
      <c r="D196" s="96" t="s">
        <v>2279</v>
      </c>
      <c r="H196" s="458">
        <f>-H192</f>
        <v>-7929.0305824175994</v>
      </c>
    </row>
    <row r="197" spans="3:9">
      <c r="C197" s="365">
        <f t="shared" si="7"/>
        <v>139</v>
      </c>
      <c r="D197" s="413" t="s">
        <v>2280</v>
      </c>
      <c r="E197" s="413"/>
      <c r="F197" s="413"/>
      <c r="G197" s="413"/>
      <c r="H197" s="419">
        <f>+SUM(H195:H196)</f>
        <v>40811.65069322077</v>
      </c>
    </row>
    <row r="198" spans="3:9">
      <c r="C198" s="365">
        <f t="shared" si="7"/>
        <v>140</v>
      </c>
      <c r="H198" s="450"/>
    </row>
    <row r="199" spans="3:9">
      <c r="C199" s="365">
        <f t="shared" si="7"/>
        <v>141</v>
      </c>
      <c r="D199" s="402"/>
      <c r="E199" s="294"/>
      <c r="F199" s="294"/>
      <c r="G199" s="294"/>
      <c r="H199" s="459"/>
    </row>
    <row r="200" spans="3:9" ht="15" thickBot="1">
      <c r="C200" s="365">
        <f t="shared" si="7"/>
        <v>142</v>
      </c>
      <c r="D200" s="2481" t="s">
        <v>2281</v>
      </c>
      <c r="E200" s="2481"/>
      <c r="F200" s="2481"/>
      <c r="G200" s="2481"/>
      <c r="H200" s="428">
        <f>+H193+H197</f>
        <v>1823092.9455249165</v>
      </c>
      <c r="I200" s="844">
        <f>+H200-1389415.8</f>
        <v>433677.14552491647</v>
      </c>
    </row>
    <row r="201" spans="3:9" ht="15" thickTop="1">
      <c r="C201" s="462"/>
      <c r="D201" s="297"/>
      <c r="E201" s="297"/>
      <c r="F201" s="297"/>
      <c r="G201" s="297"/>
      <c r="H201" s="298"/>
    </row>
  </sheetData>
  <mergeCells count="1">
    <mergeCell ref="C23:E23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/>
  <dimension ref="A1:I201"/>
  <sheetViews>
    <sheetView tabSelected="1" showOutlineSymbols="0" topLeftCell="A19" workbookViewId="0"/>
  </sheetViews>
  <sheetFormatPr defaultRowHeight="14.4"/>
  <cols>
    <col min="2" max="2" width="10" bestFit="1" customWidth="1"/>
    <col min="3" max="3" width="47.5546875" bestFit="1" customWidth="1"/>
    <col min="4" max="4" width="38.6640625" bestFit="1" customWidth="1"/>
    <col min="5" max="6" width="22.33203125" bestFit="1" customWidth="1"/>
    <col min="7" max="7" width="48.88671875" bestFit="1" customWidth="1"/>
    <col min="8" max="8" width="12.88671875" bestFit="1" customWidth="1"/>
    <col min="9" max="9" width="28.44140625" customWidth="1"/>
    <col min="10" max="10" width="57.5546875" customWidth="1"/>
    <col min="11" max="11" width="19.109375" bestFit="1" customWidth="1"/>
    <col min="12" max="12" width="11.109375" bestFit="1" customWidth="1"/>
    <col min="13" max="13" width="48.88671875" bestFit="1" customWidth="1"/>
    <col min="14" max="14" width="11.5546875" bestFit="1" customWidth="1"/>
  </cols>
  <sheetData>
    <row r="1" spans="3:7" ht="15" thickBot="1"/>
    <row r="2" spans="3:7" ht="15" thickBot="1">
      <c r="C2" s="113" t="s">
        <v>35</v>
      </c>
      <c r="D2" s="116" t="s">
        <v>2284</v>
      </c>
      <c r="E2" s="29" t="s">
        <v>116</v>
      </c>
    </row>
    <row r="3" spans="3:7">
      <c r="C3" s="118" t="s">
        <v>2137</v>
      </c>
      <c r="D3" s="348">
        <f>+SUMIFS('Income Statement Accounts'!R:R,'Income Statement Accounts'!D:D,"=A_4470011")+SUMIFS('Income Statement Accounts'!R:R,'Income Statement Accounts'!D:D,"=A_4470021")</f>
        <v>0</v>
      </c>
    </row>
    <row r="4" spans="3:7">
      <c r="C4" s="118" t="s">
        <v>2139</v>
      </c>
      <c r="D4" s="348">
        <f>+SUMIFS('Transmission Pole Attachments'!G:G,'Transmission Pole Attachments'!A:A,"=Total")/1000</f>
        <v>148.62792999999999</v>
      </c>
    </row>
    <row r="5" spans="3:7">
      <c r="C5" s="118" t="s">
        <v>2140</v>
      </c>
      <c r="D5" s="348">
        <f>+(SUMIFS('Forecasting Base Revenues by RC'!D:D,'Forecasting Base Revenues by RC'!C:C,"=LS")-'Forecasting Lighting Facilities'!M7)/1000</f>
        <v>8901.6767400000099</v>
      </c>
    </row>
    <row r="6" spans="3:7">
      <c r="C6" s="118" t="s">
        <v>2141</v>
      </c>
      <c r="D6" s="348">
        <f>+('Non-Firm Transmission'!P17+'Non-Firm Transmission'!P18)/1000</f>
        <v>0</v>
      </c>
    </row>
    <row r="7" spans="3:7">
      <c r="C7" s="118" t="s">
        <v>2142</v>
      </c>
      <c r="D7" s="349">
        <v>0</v>
      </c>
    </row>
    <row r="8" spans="3:7" ht="15" thickBot="1">
      <c r="C8" s="119" t="s">
        <v>2138</v>
      </c>
      <c r="D8" s="350">
        <f>+E49-D49</f>
        <v>0</v>
      </c>
    </row>
    <row r="9" spans="3:7">
      <c r="D9" s="351"/>
    </row>
    <row r="10" spans="3:7">
      <c r="C10" t="s">
        <v>35</v>
      </c>
      <c r="D10" t="s">
        <v>8398</v>
      </c>
      <c r="E10" t="s">
        <v>8399</v>
      </c>
    </row>
    <row r="11" spans="3:7">
      <c r="C11" t="s">
        <v>8400</v>
      </c>
      <c r="D11" s="1586">
        <f>+-'Surv Report Sched 2 pg 2'!D20/1000</f>
        <v>682643.02822232596</v>
      </c>
      <c r="E11" s="1586">
        <f>+SUMIFS('Income Statement Accounts'!R:R,'Income Statement Accounts'!D:D,"A_44*",'Income Statement Accounts'!E:E,"*FUEL*")</f>
        <v>701568.37700000009</v>
      </c>
      <c r="G11" s="516">
        <f>+E11+E12</f>
        <v>705340.25900000008</v>
      </c>
    </row>
    <row r="12" spans="3:7">
      <c r="C12" t="s">
        <v>8401</v>
      </c>
      <c r="D12" s="1586"/>
      <c r="E12" s="1586">
        <f>+SUMIFS('Income Statement Accounts'!R:R,'Income Statement Accounts'!D:D,"A_44*",'Income Statement Accounts'!E:E,"*capacity*")</f>
        <v>3771.8820000000001</v>
      </c>
      <c r="G12" s="516">
        <f>+G11*2-(1.00072*G11)</f>
        <v>704832.41401352</v>
      </c>
    </row>
    <row r="13" spans="3:7">
      <c r="C13" t="s">
        <v>8402</v>
      </c>
      <c r="D13" s="1586"/>
      <c r="E13" s="1586">
        <f>+(SUMIFS('Income Statement Accounts'!R:R,'Income Statement Accounts'!D:D,"A_4073020")+SUMIFS('Income Statement Accounts'!R:R,'Income Statement Accounts'!D:D,"A_4074021")+SUMIFS('Income Statement Accounts'!R:R,'Income Statement Accounts'!D:D,"A_4073022"))</f>
        <v>-21603.035811908798</v>
      </c>
      <c r="G13" s="516">
        <f>+G12-D16</f>
        <v>704832.41401352</v>
      </c>
    </row>
    <row r="14" spans="3:7">
      <c r="C14" t="s">
        <v>8403</v>
      </c>
      <c r="D14" s="1586"/>
      <c r="E14" s="1586">
        <f>+(SUMIFS('Income Statement Accounts'!R:R,'Income Statement Accounts'!D:D,"A_4073030")+SUMIFS('Income Statement Accounts'!R:R,'Income Statement Accounts'!D:D,"A_4074031"))</f>
        <v>-3119.9699657646001</v>
      </c>
      <c r="G14" s="516"/>
    </row>
    <row r="15" spans="3:7">
      <c r="C15" t="s">
        <v>8404</v>
      </c>
      <c r="D15" s="1586"/>
      <c r="E15" s="1586">
        <f>+(SUMIFS('Income Statement Accounts'!R:R,'Income Statement Accounts'!D:D,"A_4470010")+SUMIFS('Income Statement Accounts'!R:R,'Income Statement Accounts'!D:D,"A_4470012")+SUMIFS('Income Statement Accounts'!R:R,'Income Statement Accounts'!D:D,"A_4560401")+SUMIFS('Income Statement Accounts'!R:R,'Income Statement Accounts'!D:D,"A_4560411")+SUMIFS('Income Statement Accounts'!R:R,'Income Statement Accounts'!D:D,"A_4560501")+SUMIFS('Income Statement Accounts'!R:R,'Income Statement Accounts'!D:D,"A_4560511"))</f>
        <v>2025.7749999992</v>
      </c>
    </row>
    <row r="16" spans="3:7">
      <c r="C16" t="s">
        <v>8405</v>
      </c>
      <c r="D16" s="1586">
        <f>+-(+'Surv Report Sched 2 pg 2'!D22)/1000</f>
        <v>0</v>
      </c>
      <c r="E16" s="1586"/>
    </row>
    <row r="17" spans="1:8">
      <c r="C17" t="s">
        <v>8406</v>
      </c>
      <c r="D17" s="1586">
        <f>+SUM(D11:D16)</f>
        <v>682643.02822232596</v>
      </c>
      <c r="E17" s="1586">
        <f>+SUM(E11:E16)</f>
        <v>682643.02822232596</v>
      </c>
      <c r="F17" s="1586">
        <f>+D17-E17</f>
        <v>0</v>
      </c>
    </row>
    <row r="18" spans="1:8">
      <c r="C18" t="s">
        <v>8407</v>
      </c>
      <c r="D18" s="1586">
        <f>+-('Surv Report Sched 2 pg 2'!D25+'Surv Report Sched 2 pg 2'!D26)/1000</f>
        <v>25824.041150995799</v>
      </c>
      <c r="E18" s="1586">
        <f>+SUMIFS('Income Statement Accounts'!R:R,'Income Statement Accounts'!D:D,"A_44*",'Income Statement Accounts'!E:E,"*environ*")+(SUMIFS('Income Statement Accounts'!R:R,'Income Statement Accounts'!D:D,"A_4073050")+(SUMIFS('Income Statement Accounts'!R:R,'Income Statement Accounts'!D:D,"A_4118030")+SUMIFS('Income Statement Accounts'!R:R,'Income Statement Accounts'!D:D,"A_4074051")))</f>
        <v>25824.043000000001</v>
      </c>
      <c r="F18" s="1586">
        <f>+D18-E18</f>
        <v>-1.84900420208578E-3</v>
      </c>
    </row>
    <row r="19" spans="1:8">
      <c r="C19" t="s">
        <v>8408</v>
      </c>
      <c r="D19" s="1586">
        <f>+-('Surv Report Sched 2 pg 2'!D23+'Surv Report Sched 2 pg 2'!D24)/1000</f>
        <v>65347.441155396089</v>
      </c>
      <c r="E19" s="1586">
        <f>+SUMIFS('Income Statement Accounts'!R:R,'Income Statement Accounts'!D:D,"A_44*",'Income Statement Accounts'!E:E,"*conservation*")+(SUMIFS('Income Statement Accounts'!R:R,'Income Statement Accounts'!D:D,"A_4073040")+SUMIFS('Income Statement Accounts'!R:R,'Income Statement Accounts'!D:D,"A_4074041"))</f>
        <v>65347.441331554393</v>
      </c>
      <c r="F19" s="1586">
        <f>+D19-E19</f>
        <v>-1.7615830438444391E-4</v>
      </c>
    </row>
    <row r="22" spans="1:8" ht="15" thickBot="1"/>
    <row r="23" spans="1:8" ht="15" thickBot="1">
      <c r="C23" s="3119" t="s">
        <v>2132</v>
      </c>
      <c r="D23" s="3120"/>
      <c r="E23" s="3121"/>
    </row>
    <row r="24" spans="1:8" ht="15" thickBot="1">
      <c r="C24" s="113" t="s">
        <v>1543</v>
      </c>
      <c r="D24" s="114" t="s">
        <v>35</v>
      </c>
      <c r="E24" s="116" t="s">
        <v>2133</v>
      </c>
      <c r="F24" s="1660" t="s">
        <v>9132</v>
      </c>
      <c r="G24" s="1635" t="s">
        <v>1438</v>
      </c>
    </row>
    <row r="25" spans="1:8">
      <c r="A25" t="str">
        <f>+RIGHT(C25,7)</f>
        <v>4400010</v>
      </c>
      <c r="B25" s="1200"/>
      <c r="C25" s="118" t="s">
        <v>636</v>
      </c>
      <c r="D25" s="36" t="s">
        <v>637</v>
      </c>
      <c r="E25" s="339">
        <f>+SUMIFS('Income Statement Accounts'!R:R,'Income Statement Accounts'!D:D,'0 MDS Functionalized Revenues'!C25)</f>
        <v>925862.92200000002</v>
      </c>
      <c r="F25" s="1661">
        <f>+SUMIFS('Income Statement Accounts'!R:R,'Income Statement Accounts'!D:D,"A_4400092")</f>
        <v>0</v>
      </c>
      <c r="G25" s="346">
        <f>+SUMIFS('Income Statement Accounts'!R:R,'Income Statement Accounts'!E:E,"*BASE REVENUE*")+SUMIFS('Income Statement Accounts'!R:R,'Income Statement Accounts'!E:E,"*storm surcharge*")</f>
        <v>1480725.496</v>
      </c>
      <c r="H25" t="s">
        <v>8391</v>
      </c>
    </row>
    <row r="26" spans="1:8">
      <c r="A26" t="str">
        <f t="shared" ref="A26:A33" si="0">+RIGHT(C26,7)</f>
        <v>4420110</v>
      </c>
      <c r="B26" s="1200"/>
      <c r="C26" s="118" t="s">
        <v>672</v>
      </c>
      <c r="D26" s="36" t="s">
        <v>673</v>
      </c>
      <c r="E26" s="339">
        <f>+SUMIFS('Income Statement Accounts'!R:R,'Income Statement Accounts'!D:D,'0 MDS Functionalized Revenues'!C26)</f>
        <v>362208.46600000001</v>
      </c>
      <c r="F26" s="1662">
        <f>+SUMIFS('Income Statement Accounts'!R:R,'Income Statement Accounts'!D:D,"A_4420192")</f>
        <v>0</v>
      </c>
      <c r="G26" s="346">
        <f>+G25-SUM(E25:E33)</f>
        <v>0</v>
      </c>
    </row>
    <row r="27" spans="1:8">
      <c r="A27" t="str">
        <f t="shared" si="0"/>
        <v>4420010</v>
      </c>
      <c r="B27" s="1200"/>
      <c r="C27" s="118" t="s">
        <v>654</v>
      </c>
      <c r="D27" s="36" t="s">
        <v>655</v>
      </c>
      <c r="E27" s="339">
        <f>+SUMIFS('Income Statement Accounts'!R:R,'Income Statement Accounts'!D:D,'0 MDS Functionalized Revenues'!C27)</f>
        <v>0</v>
      </c>
      <c r="F27" s="1662"/>
      <c r="G27" s="1638">
        <f>+G25-E49</f>
        <v>1.4700000174343586E-3</v>
      </c>
    </row>
    <row r="28" spans="1:8">
      <c r="A28" t="str">
        <f t="shared" si="0"/>
        <v>4420210</v>
      </c>
      <c r="B28" s="1200"/>
      <c r="C28" s="118" t="s">
        <v>691</v>
      </c>
      <c r="D28" s="36" t="s">
        <v>692</v>
      </c>
      <c r="E28" s="339">
        <f>+SUMIFS('Income Statement Accounts'!R:R,'Income Statement Accounts'!D:D,'0 MDS Functionalized Revenues'!C28)</f>
        <v>0</v>
      </c>
      <c r="F28" s="1662"/>
      <c r="G28" s="1638"/>
    </row>
    <row r="29" spans="1:8">
      <c r="A29" t="str">
        <f t="shared" si="0"/>
        <v>4420310</v>
      </c>
      <c r="B29" s="1200"/>
      <c r="C29" s="118" t="s">
        <v>705</v>
      </c>
      <c r="D29" s="36" t="s">
        <v>706</v>
      </c>
      <c r="E29" s="339">
        <f>+SUMIFS('Income Statement Accounts'!R:R,'Income Statement Accounts'!D:D,'0 MDS Functionalized Revenues'!C29)</f>
        <v>20889.756000000001</v>
      </c>
      <c r="F29" s="1662">
        <f>+SUMIFS('Income Statement Accounts'!R:R,'Income Statement Accounts'!D:D,"A_4420392")</f>
        <v>0</v>
      </c>
    </row>
    <row r="30" spans="1:8">
      <c r="A30" t="str">
        <f t="shared" si="0"/>
        <v>4420410</v>
      </c>
      <c r="B30" s="1200"/>
      <c r="C30" s="118" t="s">
        <v>723</v>
      </c>
      <c r="D30" s="36" t="s">
        <v>724</v>
      </c>
      <c r="E30" s="339">
        <f>+SUMIFS('Income Statement Accounts'!R:R,'Income Statement Accounts'!D:D,'0 MDS Functionalized Revenues'!C30)</f>
        <v>0</v>
      </c>
      <c r="F30" s="1662"/>
    </row>
    <row r="31" spans="1:8">
      <c r="A31" t="str">
        <f t="shared" si="0"/>
        <v>4420510</v>
      </c>
      <c r="B31" s="1200"/>
      <c r="C31" s="118" t="s">
        <v>741</v>
      </c>
      <c r="D31" s="36" t="s">
        <v>742</v>
      </c>
      <c r="E31" s="339">
        <f>+SUMIFS('Income Statement Accounts'!R:R,'Income Statement Accounts'!D:D,'0 MDS Functionalized Revenues'!C31)</f>
        <v>48167.392</v>
      </c>
      <c r="F31" s="1662">
        <f>+SUMIFS('Income Statement Accounts'!R:R,'Income Statement Accounts'!D:D,"A_4420592")</f>
        <v>0</v>
      </c>
    </row>
    <row r="32" spans="1:8">
      <c r="A32" t="str">
        <f t="shared" si="0"/>
        <v>4440010</v>
      </c>
      <c r="B32" s="1200"/>
      <c r="C32" s="118" t="s">
        <v>761</v>
      </c>
      <c r="D32" s="36" t="s">
        <v>762</v>
      </c>
      <c r="E32" s="339">
        <f>+SUMIFS('Income Statement Accounts'!R:R,'Income Statement Accounts'!D:D,'0 MDS Functionalized Revenues'!C32)</f>
        <v>0</v>
      </c>
      <c r="F32" s="1662">
        <v>0</v>
      </c>
    </row>
    <row r="33" spans="1:7" ht="15" thickBot="1">
      <c r="A33" t="str">
        <f t="shared" si="0"/>
        <v>4450010</v>
      </c>
      <c r="B33" s="1200"/>
      <c r="C33" s="119" t="s">
        <v>777</v>
      </c>
      <c r="D33" s="37" t="s">
        <v>778</v>
      </c>
      <c r="E33" s="343">
        <f>+SUMIFS('Income Statement Accounts'!R:R,'Income Statement Accounts'!D:D,'0 MDS Functionalized Revenues'!C33)</f>
        <v>123596.96</v>
      </c>
      <c r="F33" s="1663">
        <f>+SUMIFS('Income Statement Accounts'!R:R,'Income Statement Accounts'!D:D,"A_4450092")</f>
        <v>0</v>
      </c>
    </row>
    <row r="35" spans="1:7" ht="15" thickBot="1"/>
    <row r="36" spans="1:7" ht="15" thickBot="1">
      <c r="C36" s="113" t="s">
        <v>2133</v>
      </c>
      <c r="D36" s="115" t="s">
        <v>2284</v>
      </c>
      <c r="E36" s="115" t="s">
        <v>2284</v>
      </c>
      <c r="F36" s="115" t="s">
        <v>2283</v>
      </c>
      <c r="G36" s="116" t="s">
        <v>2284</v>
      </c>
    </row>
    <row r="37" spans="1:7" ht="15" thickBot="1">
      <c r="C37" s="120" t="s">
        <v>2135</v>
      </c>
      <c r="D37" s="143" t="s">
        <v>2134</v>
      </c>
      <c r="E37" s="121" t="s">
        <v>2136</v>
      </c>
      <c r="F37" s="143" t="s">
        <v>2282</v>
      </c>
      <c r="G37" s="464" t="s">
        <v>2285</v>
      </c>
    </row>
    <row r="38" spans="1:7">
      <c r="C38" s="337" t="s">
        <v>2123</v>
      </c>
      <c r="D38" s="338">
        <f>+SUMIFS('Forecasting Base Revenues by RC'!D:D,'Forecasting Base Revenues by RC'!B:B,"=RS")/1000+F25</f>
        <v>920603.76834000007</v>
      </c>
      <c r="E38" s="338">
        <f>+D38</f>
        <v>920603.76834000007</v>
      </c>
      <c r="F38" s="340"/>
      <c r="G38" s="339">
        <f>+E38+F38</f>
        <v>920603.76834000007</v>
      </c>
    </row>
    <row r="39" spans="1:7">
      <c r="C39" s="337" t="s">
        <v>2124</v>
      </c>
      <c r="D39" s="338">
        <f>+SUMIFS('Forecasting Base Revenues by RC'!D:D,'Forecasting Base Revenues by RC'!B:B,"=GS")/1000+F26+F29+F31+F33</f>
        <v>95214.926359999998</v>
      </c>
      <c r="E39" s="338">
        <f t="shared" ref="E39:E44" si="1">+D39</f>
        <v>95214.926359999998</v>
      </c>
      <c r="F39" s="340"/>
      <c r="G39" s="339">
        <f t="shared" ref="G39:G47" si="2">+E39+F39</f>
        <v>95214.926359999998</v>
      </c>
    </row>
    <row r="40" spans="1:7">
      <c r="C40" s="337" t="s">
        <v>8392</v>
      </c>
      <c r="D40" s="338">
        <f>+SUMIFS('Forecasting Base Revenues by RC'!D:D,'Forecasting Base Revenues by RC'!B:B,"=GSD")/1000</f>
        <v>310482.25785000005</v>
      </c>
      <c r="E40" s="338">
        <f t="shared" si="1"/>
        <v>310482.25785000005</v>
      </c>
      <c r="F40" s="340"/>
      <c r="G40" s="339">
        <f t="shared" si="2"/>
        <v>310482.25785000005</v>
      </c>
    </row>
    <row r="41" spans="1:7">
      <c r="C41" s="337" t="s">
        <v>2125</v>
      </c>
      <c r="D41" s="338">
        <f>+SUMIFS('Forecasting Base Revenues by RC'!D:D,'Forecasting Base Revenues by RC'!B:B,"=GSLDPR")/1000</f>
        <v>44352.932979999998</v>
      </c>
      <c r="E41" s="338">
        <f t="shared" si="1"/>
        <v>44352.932979999998</v>
      </c>
      <c r="F41" s="340"/>
      <c r="G41" s="339">
        <f t="shared" si="2"/>
        <v>44352.932979999998</v>
      </c>
    </row>
    <row r="42" spans="1:7">
      <c r="C42" s="337" t="s">
        <v>2126</v>
      </c>
      <c r="D42" s="338">
        <f>+SUMIFS('Forecasting Base Revenues by RC'!D:D,'Forecasting Base Revenues by RC'!B:B,"=GSLDSU")/1000</f>
        <v>23795.302800000001</v>
      </c>
      <c r="E42" s="338">
        <f t="shared" si="1"/>
        <v>23795.302800000001</v>
      </c>
      <c r="F42" s="340"/>
      <c r="G42" s="339">
        <f t="shared" si="2"/>
        <v>23795.302800000001</v>
      </c>
    </row>
    <row r="43" spans="1:7">
      <c r="C43" s="337" t="s">
        <v>2127</v>
      </c>
      <c r="D43" s="344">
        <f>+D5</f>
        <v>8901.6767400000099</v>
      </c>
      <c r="E43" s="344">
        <f t="shared" si="1"/>
        <v>8901.6767400000099</v>
      </c>
      <c r="F43" s="340"/>
      <c r="G43" s="339">
        <f t="shared" si="2"/>
        <v>8901.6767400000099</v>
      </c>
    </row>
    <row r="44" spans="1:7">
      <c r="C44" s="337" t="s">
        <v>2128</v>
      </c>
      <c r="D44" s="338">
        <f>+SUMIFS('Forecasting Base Revenues by RC'!D:D,'Forecasting Base Revenues by RC'!B:B,"=LS")/1000-D43+F32</f>
        <v>77374.629459999996</v>
      </c>
      <c r="E44" s="338">
        <f t="shared" si="1"/>
        <v>77374.629459999996</v>
      </c>
      <c r="F44" s="340"/>
      <c r="G44" s="339">
        <f t="shared" si="2"/>
        <v>77374.629459999996</v>
      </c>
    </row>
    <row r="45" spans="1:7">
      <c r="C45" s="118" t="s">
        <v>2129</v>
      </c>
      <c r="D45" s="338">
        <f>+SUM(D38:D44)</f>
        <v>1480725.49453</v>
      </c>
      <c r="E45" s="338">
        <f>+SUM(E38:E44)</f>
        <v>1480725.49453</v>
      </c>
      <c r="F45" s="340"/>
      <c r="G45" s="339">
        <f t="shared" si="2"/>
        <v>1480725.49453</v>
      </c>
    </row>
    <row r="46" spans="1:7">
      <c r="C46" s="118"/>
      <c r="D46" s="36"/>
      <c r="E46" s="338"/>
      <c r="F46" s="340"/>
      <c r="G46" s="339"/>
    </row>
    <row r="47" spans="1:7">
      <c r="C47" s="118" t="s">
        <v>2130</v>
      </c>
      <c r="D47" s="344">
        <f>+D7</f>
        <v>0</v>
      </c>
      <c r="E47" s="338">
        <f>+D47</f>
        <v>0</v>
      </c>
      <c r="F47" s="340"/>
      <c r="G47" s="339">
        <f t="shared" si="2"/>
        <v>0</v>
      </c>
    </row>
    <row r="48" spans="1:7">
      <c r="C48" s="118"/>
      <c r="D48" s="36"/>
      <c r="E48" s="338"/>
      <c r="F48" s="340"/>
      <c r="G48" s="339"/>
    </row>
    <row r="49" spans="3:8" ht="15" thickBot="1">
      <c r="C49" s="341" t="s">
        <v>2131</v>
      </c>
      <c r="D49" s="342">
        <f>+D45+D47</f>
        <v>1480725.49453</v>
      </c>
      <c r="E49" s="342">
        <f>+E45+E47</f>
        <v>1480725.49453</v>
      </c>
      <c r="F49" s="465"/>
      <c r="G49" s="343">
        <f>+G45+G47</f>
        <v>1480725.49453</v>
      </c>
    </row>
    <row r="50" spans="3:8">
      <c r="C50" s="96"/>
      <c r="D50" s="463"/>
      <c r="E50" s="463"/>
      <c r="F50" s="463"/>
      <c r="G50" s="463"/>
    </row>
    <row r="52" spans="3:8">
      <c r="C52" s="352" t="s">
        <v>2173</v>
      </c>
      <c r="D52" s="294"/>
      <c r="E52" s="294"/>
      <c r="F52" s="294"/>
      <c r="G52" s="294"/>
      <c r="H52" s="460"/>
    </row>
    <row r="53" spans="3:8">
      <c r="C53" s="353" t="s">
        <v>2174</v>
      </c>
      <c r="H53" s="296"/>
    </row>
    <row r="54" spans="3:8">
      <c r="C54" s="461" t="s">
        <v>9263</v>
      </c>
      <c r="D54" s="297"/>
      <c r="E54" s="297"/>
      <c r="F54" s="297"/>
      <c r="G54" s="297"/>
      <c r="H54" s="298"/>
    </row>
    <row r="55" spans="3:8">
      <c r="C55" s="354" t="s">
        <v>2175</v>
      </c>
      <c r="D55" s="355" t="s">
        <v>2176</v>
      </c>
      <c r="E55" s="355" t="s">
        <v>2177</v>
      </c>
      <c r="F55" s="355"/>
      <c r="G55" s="355" t="s">
        <v>2178</v>
      </c>
      <c r="H55" s="356" t="s">
        <v>2179</v>
      </c>
    </row>
    <row r="56" spans="3:8">
      <c r="C56" s="357"/>
      <c r="D56" s="358" t="s">
        <v>2180</v>
      </c>
      <c r="E56" s="359"/>
      <c r="F56" s="359"/>
      <c r="G56" s="359"/>
      <c r="H56" s="360" t="s">
        <v>2181</v>
      </c>
    </row>
    <row r="57" spans="3:8">
      <c r="C57" s="357"/>
      <c r="E57" s="361"/>
      <c r="F57" s="361"/>
      <c r="H57" s="362"/>
    </row>
    <row r="58" spans="3:8">
      <c r="C58" s="363" t="s">
        <v>2182</v>
      </c>
      <c r="D58" s="77" t="s">
        <v>2049</v>
      </c>
      <c r="E58" s="77" t="s">
        <v>2183</v>
      </c>
      <c r="F58" s="77" t="s">
        <v>2184</v>
      </c>
      <c r="G58" s="77" t="s">
        <v>2052</v>
      </c>
      <c r="H58" s="364" t="s">
        <v>2185</v>
      </c>
    </row>
    <row r="59" spans="3:8" ht="15" thickBot="1">
      <c r="C59" s="365">
        <v>1</v>
      </c>
      <c r="D59" s="366" t="s">
        <v>2186</v>
      </c>
      <c r="E59" s="367" t="s">
        <v>2187</v>
      </c>
      <c r="F59" s="367">
        <v>451</v>
      </c>
      <c r="G59" s="368" t="s">
        <v>2059</v>
      </c>
      <c r="H59" s="369">
        <f>+SUMIFS('Other Operating Revenue'!F:F,'Other Operating Revenue'!C:C,'0 MDS Functionalized Revenues'!F59)</f>
        <v>21444.964123999598</v>
      </c>
    </row>
    <row r="60" spans="3:8" ht="15" thickTop="1">
      <c r="C60" s="365">
        <f>+C59+1</f>
        <v>2</v>
      </c>
      <c r="D60" s="370" t="s">
        <v>2188</v>
      </c>
      <c r="E60" s="371"/>
      <c r="F60" s="372"/>
      <c r="G60" s="297"/>
      <c r="H60" s="373"/>
    </row>
    <row r="61" spans="3:8">
      <c r="C61" s="365">
        <f t="shared" ref="C61:C124" si="3">+C60+1</f>
        <v>3</v>
      </c>
      <c r="D61" s="33"/>
      <c r="E61" s="33" t="s">
        <v>2189</v>
      </c>
      <c r="F61" s="374">
        <v>4540010</v>
      </c>
      <c r="G61" t="s">
        <v>2190</v>
      </c>
      <c r="H61" s="375">
        <f>+SUMIFS('Other Operating Revenue'!F:F,'Other Operating Revenue'!C:C,'0 MDS Functionalized Revenues'!F61)</f>
        <v>728.27300000000014</v>
      </c>
    </row>
    <row r="62" spans="3:8">
      <c r="C62" s="365">
        <f t="shared" si="3"/>
        <v>4</v>
      </c>
      <c r="D62" s="33"/>
      <c r="E62" s="33" t="s">
        <v>2191</v>
      </c>
      <c r="F62" s="376">
        <v>4540030</v>
      </c>
      <c r="G62" t="s">
        <v>2192</v>
      </c>
      <c r="H62" s="375">
        <f>+SUMIFS('Other Operating Revenue'!F:F,'Other Operating Revenue'!C:C,'0 MDS Functionalized Revenues'!F62)</f>
        <v>118.96596000000004</v>
      </c>
    </row>
    <row r="63" spans="3:8">
      <c r="C63" s="365">
        <f t="shared" si="3"/>
        <v>5</v>
      </c>
      <c r="D63" s="33"/>
      <c r="E63" s="33" t="s">
        <v>2189</v>
      </c>
      <c r="F63" s="376">
        <v>4540020</v>
      </c>
      <c r="G63" t="s">
        <v>2193</v>
      </c>
      <c r="H63" s="375">
        <f>+SUMIFS('Other Operating Revenue'!F:F,'Other Operating Revenue'!C:C,'0 MDS Functionalized Revenues'!F63)</f>
        <v>27.457999999999995</v>
      </c>
    </row>
    <row r="64" spans="3:8">
      <c r="C64" s="365">
        <f t="shared" si="3"/>
        <v>6</v>
      </c>
      <c r="D64" s="33"/>
      <c r="E64" s="33" t="s">
        <v>2194</v>
      </c>
      <c r="F64" s="376">
        <v>4540080</v>
      </c>
      <c r="G64" t="s">
        <v>2195</v>
      </c>
      <c r="H64" s="375">
        <f>+SUMIFS('Other Operating Revenue'!F:F,'Other Operating Revenue'!C:C,'0 MDS Functionalized Revenues'!F64)</f>
        <v>0</v>
      </c>
    </row>
    <row r="65" spans="3:8">
      <c r="C65" s="365">
        <f t="shared" si="3"/>
        <v>7</v>
      </c>
      <c r="D65" s="33"/>
      <c r="E65" s="33" t="s">
        <v>2194</v>
      </c>
      <c r="F65" s="376">
        <v>4540800</v>
      </c>
      <c r="G65" t="s">
        <v>2196</v>
      </c>
      <c r="H65" s="375">
        <f>+SUMIFS('Other Operating Revenue'!F:F,'Other Operating Revenue'!C:C,'0 MDS Functionalized Revenues'!F65)</f>
        <v>2721.9999999995998</v>
      </c>
    </row>
    <row r="66" spans="3:8">
      <c r="C66" s="365">
        <f t="shared" si="3"/>
        <v>8</v>
      </c>
      <c r="D66" s="33"/>
      <c r="E66" s="33" t="s">
        <v>2194</v>
      </c>
      <c r="F66" s="376">
        <v>4540081</v>
      </c>
      <c r="G66" t="s">
        <v>2197</v>
      </c>
      <c r="H66" s="375">
        <f>+SUMIFS('Other Operating Revenue'!F:F,'Other Operating Revenue'!C:C,'0 MDS Functionalized Revenues'!F66)</f>
        <v>4826.3324455000002</v>
      </c>
    </row>
    <row r="67" spans="3:8">
      <c r="C67" s="365">
        <f t="shared" si="3"/>
        <v>9</v>
      </c>
      <c r="D67" s="33"/>
      <c r="E67" s="33" t="s">
        <v>2198</v>
      </c>
      <c r="F67" s="376">
        <v>4540040</v>
      </c>
      <c r="G67" t="s">
        <v>2199</v>
      </c>
      <c r="H67" s="375">
        <f>+SUMIFS('Other Operating Revenue'!F:F,'Other Operating Revenue'!C:C,'0 MDS Functionalized Revenues'!F67)</f>
        <v>312.20800000000003</v>
      </c>
    </row>
    <row r="68" spans="3:8">
      <c r="C68" s="365">
        <f t="shared" si="3"/>
        <v>10</v>
      </c>
      <c r="D68" s="33"/>
      <c r="E68" s="33" t="s">
        <v>2198</v>
      </c>
      <c r="F68" s="378">
        <v>4540050</v>
      </c>
      <c r="G68" s="96" t="s">
        <v>2200</v>
      </c>
      <c r="H68" s="375">
        <f>+SUMIFS('Other Operating Revenue'!F:F,'Other Operating Revenue'!C:C,'0 MDS Functionalized Revenues'!F68)</f>
        <v>0</v>
      </c>
    </row>
    <row r="69" spans="3:8">
      <c r="C69" s="365">
        <f t="shared" si="3"/>
        <v>11</v>
      </c>
      <c r="D69" s="33"/>
      <c r="E69" s="33" t="s">
        <v>2194</v>
      </c>
      <c r="F69" s="378" t="s">
        <v>2201</v>
      </c>
      <c r="G69" t="s">
        <v>2202</v>
      </c>
      <c r="H69" s="375">
        <f>+SUMIFS('Other Operating Revenue'!F:F,'Other Operating Revenue'!C:C,'0 MDS Functionalized Revenues'!F69)</f>
        <v>0</v>
      </c>
    </row>
    <row r="70" spans="3:8">
      <c r="C70" s="365">
        <f t="shared" si="3"/>
        <v>12</v>
      </c>
      <c r="D70" s="33"/>
      <c r="E70" s="33" t="s">
        <v>2194</v>
      </c>
      <c r="F70" s="376">
        <v>4540700</v>
      </c>
      <c r="G70" t="s">
        <v>2203</v>
      </c>
      <c r="H70" s="375">
        <f>+SUMIFS('Other Operating Revenue'!F:F,'Other Operating Revenue'!C:C,'0 MDS Functionalized Revenues'!F70)</f>
        <v>692.86967000039976</v>
      </c>
    </row>
    <row r="71" spans="3:8">
      <c r="C71" s="365">
        <f t="shared" si="3"/>
        <v>13</v>
      </c>
      <c r="D71" s="33"/>
      <c r="E71" s="33" t="s">
        <v>2194</v>
      </c>
      <c r="F71" s="376">
        <v>4540701</v>
      </c>
      <c r="G71" s="96" t="s">
        <v>2204</v>
      </c>
      <c r="H71" s="375">
        <f>+SUMIFS('Other Operating Revenue'!F:F,'Other Operating Revenue'!C:C,'0 MDS Functionalized Revenues'!F71)</f>
        <v>5641.3509043868007</v>
      </c>
    </row>
    <row r="72" spans="3:8">
      <c r="C72" s="365">
        <f t="shared" si="3"/>
        <v>14</v>
      </c>
      <c r="D72" s="33"/>
      <c r="E72" s="33" t="s">
        <v>2194</v>
      </c>
      <c r="F72" s="376">
        <v>4550000</v>
      </c>
      <c r="G72" t="s">
        <v>2205</v>
      </c>
      <c r="H72" s="375">
        <f>+SUMIFS('Other Operating Revenue'!F:F,'Other Operating Revenue'!C:C,'0 MDS Functionalized Revenues'!F72)</f>
        <v>0</v>
      </c>
    </row>
    <row r="73" spans="3:8">
      <c r="C73" s="365">
        <f t="shared" si="3"/>
        <v>15</v>
      </c>
      <c r="D73" s="33"/>
      <c r="E73" s="33" t="s">
        <v>2194</v>
      </c>
      <c r="F73" s="376">
        <v>4550001</v>
      </c>
      <c r="G73" s="96" t="s">
        <v>2206</v>
      </c>
      <c r="H73" s="375">
        <f>+SUMIFS('Other Operating Revenue'!F:F,'Other Operating Revenue'!C:C,'0 MDS Functionalized Revenues'!F73)</f>
        <v>0</v>
      </c>
    </row>
    <row r="74" spans="3:8" ht="15" thickBot="1">
      <c r="C74" s="365">
        <f t="shared" si="3"/>
        <v>16</v>
      </c>
      <c r="D74" s="366" t="s">
        <v>2207</v>
      </c>
      <c r="E74" s="367" t="s">
        <v>2187</v>
      </c>
      <c r="F74" s="367" t="s">
        <v>2208</v>
      </c>
      <c r="G74" s="368"/>
      <c r="H74" s="369">
        <f>+SUM(H61:H73)</f>
        <v>15069.457979886804</v>
      </c>
    </row>
    <row r="75" spans="3:8" ht="15" thickTop="1">
      <c r="C75" s="365">
        <f t="shared" si="3"/>
        <v>17</v>
      </c>
      <c r="D75" s="33"/>
      <c r="E75" s="379"/>
      <c r="F75" s="376"/>
      <c r="G75" s="258"/>
      <c r="H75" s="375"/>
    </row>
    <row r="76" spans="3:8">
      <c r="C76" s="365">
        <f t="shared" si="3"/>
        <v>18</v>
      </c>
      <c r="D76" s="33"/>
      <c r="E76" s="379"/>
      <c r="F76" s="378"/>
      <c r="G76" s="258"/>
      <c r="H76" s="375"/>
    </row>
    <row r="77" spans="3:8">
      <c r="C77" s="365">
        <f t="shared" si="3"/>
        <v>19</v>
      </c>
      <c r="D77" s="33"/>
      <c r="E77" s="379" t="s">
        <v>2067</v>
      </c>
      <c r="F77" s="376">
        <v>4560800</v>
      </c>
      <c r="G77" s="258" t="s">
        <v>2090</v>
      </c>
      <c r="H77" s="375">
        <f>+SUMIFS('Other Operating Revenue'!F:F,'Other Operating Revenue'!C:C,'0 MDS Functionalized Revenues'!F77)</f>
        <v>7</v>
      </c>
    </row>
    <row r="78" spans="3:8">
      <c r="C78" s="365">
        <f t="shared" si="3"/>
        <v>20</v>
      </c>
      <c r="D78" s="33"/>
      <c r="E78" s="379" t="s">
        <v>1532</v>
      </c>
      <c r="F78" s="376">
        <v>4560020</v>
      </c>
      <c r="G78" s="258" t="s">
        <v>2209</v>
      </c>
      <c r="H78" s="375">
        <f>+SUMIFS('Other Operating Revenue'!F:F,'Other Operating Revenue'!C:C,'0 MDS Functionalized Revenues'!F78)</f>
        <v>2600</v>
      </c>
    </row>
    <row r="79" spans="3:8">
      <c r="C79" s="365">
        <f t="shared" si="3"/>
        <v>21</v>
      </c>
      <c r="D79" s="33"/>
      <c r="E79" s="379" t="s">
        <v>2069</v>
      </c>
      <c r="F79" s="376">
        <v>4560030</v>
      </c>
      <c r="G79" s="258" t="s">
        <v>2070</v>
      </c>
      <c r="H79" s="375">
        <f>+SUMIFS('Other Operating Revenue'!F:F,'Other Operating Revenue'!C:C,'0 MDS Functionalized Revenues'!F79)</f>
        <v>107</v>
      </c>
    </row>
    <row r="80" spans="3:8">
      <c r="C80" s="365">
        <f t="shared" si="3"/>
        <v>22</v>
      </c>
      <c r="D80" s="33"/>
      <c r="E80" s="379" t="s">
        <v>1532</v>
      </c>
      <c r="F80" s="376">
        <v>4560040</v>
      </c>
      <c r="G80" s="258" t="s">
        <v>2071</v>
      </c>
      <c r="H80" s="375">
        <f>+SUMIFS('Other Operating Revenue'!F:F,'Other Operating Revenue'!C:C,'0 MDS Functionalized Revenues'!F80)</f>
        <v>0</v>
      </c>
    </row>
    <row r="81" spans="3:8">
      <c r="C81" s="365">
        <f t="shared" si="3"/>
        <v>23</v>
      </c>
      <c r="D81" s="33"/>
      <c r="E81" s="379" t="s">
        <v>1532</v>
      </c>
      <c r="F81" s="376">
        <v>4560045</v>
      </c>
      <c r="G81" s="258" t="s">
        <v>2072</v>
      </c>
      <c r="H81" s="375">
        <f>+SUMIFS('Other Operating Revenue'!F:F,'Other Operating Revenue'!C:C,'0 MDS Functionalized Revenues'!F81)</f>
        <v>0</v>
      </c>
    </row>
    <row r="82" spans="3:8">
      <c r="C82" s="365">
        <f t="shared" si="3"/>
        <v>24</v>
      </c>
      <c r="D82" s="33"/>
      <c r="E82" s="379" t="s">
        <v>1532</v>
      </c>
      <c r="F82" s="376">
        <v>4560050</v>
      </c>
      <c r="G82" s="258" t="s">
        <v>2073</v>
      </c>
      <c r="H82" s="375">
        <f>+SUMIFS('Other Operating Revenue'!F:F,'Other Operating Revenue'!C:C,'0 MDS Functionalized Revenues'!F82)</f>
        <v>0</v>
      </c>
    </row>
    <row r="83" spans="3:8">
      <c r="C83" s="365">
        <f t="shared" si="3"/>
        <v>25</v>
      </c>
      <c r="D83" s="33"/>
      <c r="E83" s="379" t="s">
        <v>1532</v>
      </c>
      <c r="F83" s="376">
        <v>4560060</v>
      </c>
      <c r="G83" s="258" t="s">
        <v>2074</v>
      </c>
      <c r="H83" s="375">
        <f>+SUMIFS('Other Operating Revenue'!F:F,'Other Operating Revenue'!C:C,'0 MDS Functionalized Revenues'!F83)</f>
        <v>0</v>
      </c>
    </row>
    <row r="84" spans="3:8">
      <c r="C84" s="365">
        <f t="shared" si="3"/>
        <v>26</v>
      </c>
      <c r="D84" s="33"/>
      <c r="E84" s="379" t="s">
        <v>1944</v>
      </c>
      <c r="F84" s="376">
        <v>4560100</v>
      </c>
      <c r="G84" s="258" t="s">
        <v>1944</v>
      </c>
      <c r="H84" s="375">
        <f>+SUMIFS('Other Operating Revenue'!F:F,'Other Operating Revenue'!C:C,'0 MDS Functionalized Revenues'!F84)</f>
        <v>0</v>
      </c>
    </row>
    <row r="85" spans="3:8">
      <c r="C85" s="365">
        <f t="shared" si="3"/>
        <v>27</v>
      </c>
      <c r="D85" s="33"/>
      <c r="E85" s="379" t="s">
        <v>2210</v>
      </c>
      <c r="F85" s="376">
        <v>4560080</v>
      </c>
      <c r="G85" s="258" t="s">
        <v>2211</v>
      </c>
      <c r="H85" s="375">
        <f>+SUMIFS('Other Operating Revenue'!F:F,'Other Operating Revenue'!C:C,'0 MDS Functionalized Revenues'!F85)</f>
        <v>121.19999999999997</v>
      </c>
    </row>
    <row r="86" spans="3:8">
      <c r="C86" s="365">
        <f t="shared" si="3"/>
        <v>28</v>
      </c>
      <c r="D86" s="33"/>
      <c r="E86" s="379" t="s">
        <v>1532</v>
      </c>
      <c r="F86" s="376">
        <v>4560110</v>
      </c>
      <c r="G86" s="258" t="s">
        <v>2212</v>
      </c>
      <c r="H86" s="375">
        <f>+SUMIFS('Other Operating Revenue'!F:F,'Other Operating Revenue'!C:C,'0 MDS Functionalized Revenues'!F86)</f>
        <v>0</v>
      </c>
    </row>
    <row r="87" spans="3:8">
      <c r="C87" s="365">
        <f t="shared" si="3"/>
        <v>29</v>
      </c>
      <c r="D87" s="33"/>
      <c r="E87" s="380" t="s">
        <v>2067</v>
      </c>
      <c r="F87" s="376">
        <v>4560690</v>
      </c>
      <c r="G87" s="258" t="s">
        <v>2089</v>
      </c>
      <c r="H87" s="375">
        <f>+SUMIFS('Other Operating Revenue'!F:F,'Other Operating Revenue'!C:C,'0 MDS Functionalized Revenues'!F87)</f>
        <v>0</v>
      </c>
    </row>
    <row r="88" spans="3:8">
      <c r="C88" s="365">
        <f t="shared" si="3"/>
        <v>30</v>
      </c>
      <c r="D88" s="33"/>
      <c r="E88" s="379" t="s">
        <v>2067</v>
      </c>
      <c r="F88" s="376">
        <v>4560660</v>
      </c>
      <c r="G88" s="293" t="s">
        <v>2213</v>
      </c>
      <c r="H88" s="375">
        <f>+SUMIFS('Other Operating Revenue'!F:F,'Other Operating Revenue'!C:C,'0 MDS Functionalized Revenues'!F88)</f>
        <v>486.87339000000003</v>
      </c>
    </row>
    <row r="89" spans="3:8">
      <c r="C89" s="365">
        <f t="shared" si="3"/>
        <v>31</v>
      </c>
      <c r="D89" s="33"/>
      <c r="E89" s="379" t="s">
        <v>2067</v>
      </c>
      <c r="F89" s="376">
        <v>4560661</v>
      </c>
      <c r="G89" s="293" t="s">
        <v>2214</v>
      </c>
      <c r="H89" s="375">
        <f>+SUMIFS('Other Operating Revenue'!F:F,'Other Operating Revenue'!C:C,'0 MDS Functionalized Revenues'!F89)</f>
        <v>0</v>
      </c>
    </row>
    <row r="90" spans="3:8">
      <c r="C90" s="365">
        <f t="shared" si="3"/>
        <v>32</v>
      </c>
      <c r="D90" s="33"/>
      <c r="E90" s="379" t="s">
        <v>2067</v>
      </c>
      <c r="F90" s="376">
        <v>4560650</v>
      </c>
      <c r="G90" s="258" t="s">
        <v>2088</v>
      </c>
      <c r="H90" s="375">
        <f>+SUMIFS('Other Operating Revenue'!F:F,'Other Operating Revenue'!C:C,'0 MDS Functionalized Revenues'!F90)</f>
        <v>0</v>
      </c>
    </row>
    <row r="91" spans="3:8">
      <c r="C91" s="365">
        <f t="shared" si="3"/>
        <v>33</v>
      </c>
      <c r="D91" s="33"/>
      <c r="E91" s="379" t="s">
        <v>1532</v>
      </c>
      <c r="F91" s="376">
        <v>4560120</v>
      </c>
      <c r="G91" s="258" t="s">
        <v>2079</v>
      </c>
      <c r="H91" s="375">
        <f>+SUMIFS('Other Operating Revenue'!F:F,'Other Operating Revenue'!C:C,'0 MDS Functionalized Revenues'!F91)</f>
        <v>183.77052610679999</v>
      </c>
    </row>
    <row r="92" spans="3:8">
      <c r="C92" s="365">
        <f t="shared" si="3"/>
        <v>34</v>
      </c>
      <c r="D92" s="33"/>
      <c r="E92" s="33" t="s">
        <v>1532</v>
      </c>
      <c r="F92" s="376">
        <v>4560140</v>
      </c>
      <c r="G92" t="s">
        <v>2215</v>
      </c>
      <c r="H92" s="375">
        <f>+SUMIFS('Other Operating Revenue'!F:F,'Other Operating Revenue'!C:C,'0 MDS Functionalized Revenues'!F92)</f>
        <v>0</v>
      </c>
    </row>
    <row r="93" spans="3:8">
      <c r="C93" s="365">
        <f t="shared" si="3"/>
        <v>35</v>
      </c>
      <c r="D93" s="33"/>
      <c r="E93" s="33" t="s">
        <v>1532</v>
      </c>
      <c r="F93" s="376">
        <v>4560180</v>
      </c>
      <c r="G93" t="s">
        <v>2054</v>
      </c>
      <c r="H93" s="375">
        <f>+SUMIFS('Other Operating Revenue'!F:F,'Other Operating Revenue'!C:C,'0 MDS Functionalized Revenues'!F93)</f>
        <v>0</v>
      </c>
    </row>
    <row r="94" spans="3:8">
      <c r="C94" s="365">
        <f t="shared" si="3"/>
        <v>36</v>
      </c>
      <c r="D94" s="33"/>
      <c r="E94" s="379" t="s">
        <v>2064</v>
      </c>
      <c r="F94" s="376">
        <v>4560200</v>
      </c>
      <c r="G94" s="258" t="s">
        <v>2084</v>
      </c>
      <c r="H94" s="375">
        <f>+SUMIFS('Other Operating Revenue'!F:F,'Other Operating Revenue'!C:C,'0 MDS Functionalized Revenues'!F94)</f>
        <v>7719.689461538399</v>
      </c>
    </row>
    <row r="95" spans="3:8">
      <c r="C95" s="365">
        <f t="shared" si="3"/>
        <v>37</v>
      </c>
      <c r="D95" s="33"/>
      <c r="E95" s="379" t="s">
        <v>2064</v>
      </c>
      <c r="F95" s="376">
        <v>4560210</v>
      </c>
      <c r="G95" s="258" t="s">
        <v>2084</v>
      </c>
      <c r="H95" s="375">
        <f>+SUMIFS('Other Operating Revenue'!F:F,'Other Operating Revenue'!C:C,'0 MDS Functionalized Revenues'!F95)</f>
        <v>209.34112087919996</v>
      </c>
    </row>
    <row r="96" spans="3:8">
      <c r="C96" s="365">
        <f t="shared" si="3"/>
        <v>38</v>
      </c>
      <c r="D96" s="33"/>
      <c r="E96" s="379" t="s">
        <v>2064</v>
      </c>
      <c r="F96" s="376">
        <v>4560220</v>
      </c>
      <c r="G96" s="258" t="s">
        <v>2084</v>
      </c>
      <c r="H96" s="375">
        <f>+SUMIFS('Other Operating Revenue'!F:F,'Other Operating Revenue'!C:C,'0 MDS Functionalized Revenues'!F96)</f>
        <v>0</v>
      </c>
    </row>
    <row r="97" spans="3:8">
      <c r="C97" s="365">
        <f t="shared" si="3"/>
        <v>39</v>
      </c>
      <c r="D97" s="33"/>
      <c r="E97" s="379" t="s">
        <v>2067</v>
      </c>
      <c r="F97" s="376">
        <v>4560230</v>
      </c>
      <c r="G97" s="258" t="s">
        <v>2216</v>
      </c>
      <c r="H97" s="375">
        <f>+SUMIFS('Other Operating Revenue'!F:F,'Other Operating Revenue'!C:C,'0 MDS Functionalized Revenues'!F97)</f>
        <v>0</v>
      </c>
    </row>
    <row r="98" spans="3:8">
      <c r="C98" s="365">
        <f t="shared" si="3"/>
        <v>40</v>
      </c>
      <c r="D98" s="290"/>
      <c r="E98" s="379" t="s">
        <v>2217</v>
      </c>
      <c r="F98" s="376">
        <v>4560300</v>
      </c>
      <c r="G98" s="258" t="s">
        <v>2218</v>
      </c>
      <c r="H98" s="375">
        <f>+SUMIFS('Other Operating Revenue'!F:F,'Other Operating Revenue'!C:C,'0 MDS Functionalized Revenues'!F98)</f>
        <v>0</v>
      </c>
    </row>
    <row r="99" spans="3:8">
      <c r="C99" s="365">
        <f t="shared" si="3"/>
        <v>41</v>
      </c>
      <c r="D99" s="290"/>
      <c r="E99" s="379" t="s">
        <v>2217</v>
      </c>
      <c r="F99" s="376">
        <v>4560310</v>
      </c>
      <c r="G99" s="258" t="s">
        <v>2219</v>
      </c>
      <c r="H99" s="375">
        <f>+SUMIFS('Other Operating Revenue'!F:F,'Other Operating Revenue'!C:C,'0 MDS Functionalized Revenues'!F99)</f>
        <v>0</v>
      </c>
    </row>
    <row r="100" spans="3:8">
      <c r="C100" s="365">
        <f t="shared" si="3"/>
        <v>42</v>
      </c>
      <c r="D100" s="290"/>
      <c r="E100" s="379" t="s">
        <v>1532</v>
      </c>
      <c r="F100" s="378">
        <v>4560190</v>
      </c>
      <c r="G100" s="293" t="s">
        <v>8669</v>
      </c>
      <c r="H100" s="375">
        <f>+SUMIFS('Other Operating Revenue'!F:F,'Other Operating Revenue'!C:C,'0 MDS Functionalized Revenues'!F100)</f>
        <v>100.00000000000003</v>
      </c>
    </row>
    <row r="101" spans="3:8">
      <c r="C101" s="365">
        <f t="shared" si="3"/>
        <v>43</v>
      </c>
      <c r="D101" s="290"/>
      <c r="E101" s="379" t="s">
        <v>1532</v>
      </c>
      <c r="F101" s="378" t="s">
        <v>2220</v>
      </c>
      <c r="G101" s="258" t="s">
        <v>2221</v>
      </c>
      <c r="H101" s="375">
        <f>+SUMIFS('Other Operating Revenue'!F:F,'Other Operating Revenue'!C:C,'0 MDS Functionalized Revenues'!F101)</f>
        <v>0</v>
      </c>
    </row>
    <row r="102" spans="3:8">
      <c r="C102" s="365">
        <f t="shared" si="3"/>
        <v>44</v>
      </c>
      <c r="D102" s="290"/>
      <c r="E102" s="379" t="s">
        <v>1532</v>
      </c>
      <c r="F102" s="376">
        <v>4560150</v>
      </c>
      <c r="G102" s="258" t="s">
        <v>2222</v>
      </c>
      <c r="H102" s="375">
        <f>+SUMIFS('Other Operating Revenue'!F:F,'Other Operating Revenue'!C:C,'0 MDS Functionalized Revenues'!F102)</f>
        <v>0</v>
      </c>
    </row>
    <row r="103" spans="3:8">
      <c r="C103" s="365">
        <f t="shared" si="3"/>
        <v>45</v>
      </c>
      <c r="D103" s="290"/>
      <c r="E103" s="379"/>
      <c r="F103" s="378"/>
      <c r="G103" s="258"/>
      <c r="H103" s="375"/>
    </row>
    <row r="104" spans="3:8">
      <c r="C104" s="365">
        <f t="shared" si="3"/>
        <v>46</v>
      </c>
      <c r="D104" s="290"/>
      <c r="E104" s="379"/>
      <c r="F104" s="378"/>
      <c r="G104" s="258"/>
      <c r="H104" s="375"/>
    </row>
    <row r="105" spans="3:8">
      <c r="C105" s="365">
        <f t="shared" si="3"/>
        <v>47</v>
      </c>
      <c r="D105" s="290"/>
      <c r="E105" s="379"/>
      <c r="F105" s="378"/>
      <c r="G105" s="258"/>
      <c r="H105" s="375"/>
    </row>
    <row r="106" spans="3:8">
      <c r="C106" s="365">
        <f t="shared" si="3"/>
        <v>48</v>
      </c>
      <c r="D106" s="290"/>
      <c r="E106" s="379"/>
      <c r="F106" s="378"/>
      <c r="G106" s="258"/>
      <c r="H106" s="375"/>
    </row>
    <row r="107" spans="3:8">
      <c r="C107" s="365">
        <f t="shared" si="3"/>
        <v>49</v>
      </c>
      <c r="D107" s="290"/>
      <c r="E107" s="379" t="s">
        <v>1532</v>
      </c>
      <c r="F107" s="376">
        <v>4560160</v>
      </c>
      <c r="G107" s="258" t="s">
        <v>2224</v>
      </c>
      <c r="H107" s="375">
        <f>+SUMIFS('Other Operating Revenue'!F:F,'Other Operating Revenue'!C:C,'0 MDS Functionalized Revenues'!F107)</f>
        <v>0</v>
      </c>
    </row>
    <row r="108" spans="3:8" ht="15" thickBot="1">
      <c r="C108" s="365">
        <f t="shared" si="3"/>
        <v>50</v>
      </c>
      <c r="D108" s="381" t="s">
        <v>2225</v>
      </c>
      <c r="E108" s="381"/>
      <c r="F108" s="382">
        <v>456</v>
      </c>
      <c r="G108" s="381"/>
      <c r="H108" s="383">
        <f>+SUM(H75:H107)</f>
        <v>11534.874498524399</v>
      </c>
    </row>
    <row r="109" spans="3:8" ht="15" thickTop="1">
      <c r="C109" s="365">
        <f t="shared" si="3"/>
        <v>51</v>
      </c>
      <c r="H109" s="384"/>
    </row>
    <row r="110" spans="3:8">
      <c r="C110" s="365">
        <f t="shared" si="3"/>
        <v>52</v>
      </c>
      <c r="D110" s="385" t="s">
        <v>2226</v>
      </c>
      <c r="H110" s="362"/>
    </row>
    <row r="111" spans="3:8">
      <c r="C111" s="365">
        <f t="shared" si="3"/>
        <v>53</v>
      </c>
      <c r="E111" s="33" t="s">
        <v>2091</v>
      </c>
      <c r="F111" s="379">
        <v>4560900</v>
      </c>
      <c r="G111" s="258" t="s">
        <v>2092</v>
      </c>
      <c r="H111" s="375">
        <f>+SUMIFS('Other Operating Revenue'!F:F,'Other Operating Revenue'!C:C,'0 MDS Functionalized Revenues'!F111)</f>
        <v>-70.100000000003888</v>
      </c>
    </row>
    <row r="112" spans="3:8">
      <c r="C112" s="365">
        <f t="shared" si="3"/>
        <v>54</v>
      </c>
      <c r="E112" s="33"/>
      <c r="F112" s="386"/>
      <c r="G112" s="386"/>
      <c r="H112" s="377"/>
    </row>
    <row r="113" spans="3:8">
      <c r="C113" s="365">
        <f t="shared" si="3"/>
        <v>55</v>
      </c>
      <c r="D113" s="387" t="s">
        <v>2227</v>
      </c>
      <c r="E113" s="388"/>
      <c r="F113" s="389"/>
      <c r="G113" s="390"/>
      <c r="H113" s="391">
        <f>+SUM(H111)</f>
        <v>-70.100000000003888</v>
      </c>
    </row>
    <row r="114" spans="3:8">
      <c r="C114" s="365">
        <f t="shared" si="3"/>
        <v>56</v>
      </c>
      <c r="D114" s="392" t="s">
        <v>2228</v>
      </c>
      <c r="F114" s="386"/>
      <c r="G114" s="393"/>
      <c r="H114" s="394"/>
    </row>
    <row r="115" spans="3:8">
      <c r="C115" s="365">
        <f t="shared" si="3"/>
        <v>57</v>
      </c>
      <c r="D115" s="386" t="s">
        <v>2229</v>
      </c>
      <c r="E115" s="395" t="s">
        <v>2230</v>
      </c>
      <c r="F115" s="386"/>
      <c r="G115" s="293" t="s">
        <v>2231</v>
      </c>
      <c r="H115" s="396">
        <f>+D3</f>
        <v>0</v>
      </c>
    </row>
    <row r="116" spans="3:8">
      <c r="C116" s="365">
        <f t="shared" si="3"/>
        <v>58</v>
      </c>
      <c r="D116" s="386"/>
      <c r="E116" s="395"/>
      <c r="F116" s="386"/>
      <c r="G116" s="293"/>
      <c r="H116" s="466"/>
    </row>
    <row r="117" spans="3:8">
      <c r="C117" s="365">
        <f t="shared" si="3"/>
        <v>59</v>
      </c>
      <c r="D117" s="386" t="s">
        <v>2232</v>
      </c>
      <c r="E117" s="395" t="s">
        <v>2233</v>
      </c>
      <c r="F117" s="386"/>
      <c r="G117" s="293" t="s">
        <v>2234</v>
      </c>
      <c r="H117" s="466">
        <f>+F18</f>
        <v>-1.84900420208578E-3</v>
      </c>
    </row>
    <row r="118" spans="3:8">
      <c r="C118" s="365">
        <f t="shared" si="3"/>
        <v>60</v>
      </c>
      <c r="D118" s="386" t="s">
        <v>2232</v>
      </c>
      <c r="E118" s="395" t="s">
        <v>1532</v>
      </c>
      <c r="F118" s="386"/>
      <c r="G118" s="293" t="s">
        <v>2235</v>
      </c>
      <c r="H118" s="466">
        <f>+F19</f>
        <v>-1.7615830438444391E-4</v>
      </c>
    </row>
    <row r="119" spans="3:8">
      <c r="C119" s="365">
        <f t="shared" si="3"/>
        <v>61</v>
      </c>
      <c r="D119" s="386" t="s">
        <v>2232</v>
      </c>
      <c r="E119" s="395" t="s">
        <v>1532</v>
      </c>
      <c r="F119" s="397">
        <v>4560180</v>
      </c>
      <c r="G119" s="293" t="s">
        <v>2054</v>
      </c>
      <c r="H119" s="375">
        <f>-SUMIFS('Other Operating Revenue'!F:F,'Other Operating Revenue'!C:C,'0 MDS Functionalized Revenues'!F119)</f>
        <v>0</v>
      </c>
    </row>
    <row r="120" spans="3:8">
      <c r="C120" s="365">
        <f t="shared" si="3"/>
        <v>62</v>
      </c>
      <c r="D120" s="386"/>
      <c r="E120" s="395"/>
      <c r="F120" s="386"/>
      <c r="G120" s="386"/>
      <c r="H120" s="396"/>
    </row>
    <row r="121" spans="3:8">
      <c r="C121" s="365">
        <f t="shared" si="3"/>
        <v>63</v>
      </c>
      <c r="D121" s="386" t="s">
        <v>2232</v>
      </c>
      <c r="E121" s="395" t="s">
        <v>2067</v>
      </c>
      <c r="F121" s="386"/>
      <c r="G121" s="293" t="s">
        <v>2237</v>
      </c>
      <c r="H121" s="466">
        <f>+F17</f>
        <v>0</v>
      </c>
    </row>
    <row r="122" spans="3:8">
      <c r="C122" s="365">
        <f t="shared" si="3"/>
        <v>64</v>
      </c>
      <c r="D122" s="395"/>
      <c r="E122" s="386"/>
      <c r="F122" s="386"/>
      <c r="G122" s="393" t="s">
        <v>2238</v>
      </c>
      <c r="H122" s="398">
        <f>+SUM(H115:H121)</f>
        <v>-2.0251625064702239E-3</v>
      </c>
    </row>
    <row r="123" spans="3:8" ht="15" thickBot="1">
      <c r="C123" s="365">
        <f t="shared" si="3"/>
        <v>65</v>
      </c>
      <c r="D123" s="381" t="s">
        <v>2239</v>
      </c>
      <c r="E123" s="381"/>
      <c r="F123" s="399">
        <v>454455456</v>
      </c>
      <c r="G123" s="381"/>
      <c r="H123" s="383">
        <f>+H122+H113+H108+H74+H59</f>
        <v>47979.194577248287</v>
      </c>
    </row>
    <row r="124" spans="3:8" ht="16.2" thickTop="1">
      <c r="C124" s="365">
        <f t="shared" si="3"/>
        <v>66</v>
      </c>
      <c r="D124" s="395"/>
      <c r="E124" s="386"/>
      <c r="F124" s="386"/>
      <c r="G124" s="386"/>
      <c r="H124" s="400"/>
    </row>
    <row r="125" spans="3:8">
      <c r="C125" s="365">
        <f t="shared" ref="C125:C188" si="4">+C124+1</f>
        <v>67</v>
      </c>
      <c r="D125" s="358" t="s">
        <v>2240</v>
      </c>
      <c r="E125" s="359"/>
      <c r="F125" s="359"/>
      <c r="G125" s="359"/>
      <c r="H125" s="401"/>
    </row>
    <row r="126" spans="3:8">
      <c r="C126" s="365">
        <f t="shared" si="4"/>
        <v>68</v>
      </c>
      <c r="D126" s="402" t="s">
        <v>2241</v>
      </c>
      <c r="E126" s="403" t="s">
        <v>2057</v>
      </c>
      <c r="F126" s="404">
        <v>451</v>
      </c>
      <c r="G126" s="294"/>
      <c r="H126" s="405">
        <f>+H59</f>
        <v>21444.964123999598</v>
      </c>
    </row>
    <row r="127" spans="3:8">
      <c r="C127" s="365">
        <f t="shared" si="4"/>
        <v>69</v>
      </c>
      <c r="D127" s="96" t="s">
        <v>2242</v>
      </c>
      <c r="E127" s="406"/>
      <c r="F127" s="406"/>
      <c r="G127" s="297"/>
      <c r="H127" s="500">
        <v>0</v>
      </c>
    </row>
    <row r="128" spans="3:8" ht="15" thickBot="1">
      <c r="C128" s="365">
        <f t="shared" si="4"/>
        <v>70</v>
      </c>
      <c r="D128" s="407" t="s">
        <v>2243</v>
      </c>
      <c r="E128" s="408"/>
      <c r="F128" s="408"/>
      <c r="G128" s="409"/>
      <c r="H128" s="410">
        <f>+SUM(H126:H127)</f>
        <v>21444.964123999598</v>
      </c>
    </row>
    <row r="129" spans="3:8" ht="15" thickTop="1">
      <c r="C129" s="365">
        <f t="shared" si="4"/>
        <v>71</v>
      </c>
      <c r="H129" s="411"/>
    </row>
    <row r="130" spans="3:8">
      <c r="C130" s="365">
        <f t="shared" si="4"/>
        <v>72</v>
      </c>
      <c r="D130" s="412" t="s">
        <v>2244</v>
      </c>
      <c r="E130" s="359"/>
      <c r="F130" s="359"/>
      <c r="G130" s="359"/>
      <c r="H130" s="401"/>
    </row>
    <row r="131" spans="3:8">
      <c r="C131" s="365">
        <f t="shared" si="4"/>
        <v>73</v>
      </c>
      <c r="D131" s="413" t="s">
        <v>2188</v>
      </c>
      <c r="E131" s="414" t="s">
        <v>2187</v>
      </c>
      <c r="F131" s="414"/>
      <c r="G131" s="414"/>
      <c r="H131" s="415">
        <f>+SUM(H132:H136)</f>
        <v>15069.457979886798</v>
      </c>
    </row>
    <row r="132" spans="3:8">
      <c r="C132" s="365">
        <f t="shared" si="4"/>
        <v>74</v>
      </c>
      <c r="D132" s="96" t="s">
        <v>2245</v>
      </c>
      <c r="E132" s="416" t="s">
        <v>2198</v>
      </c>
      <c r="F132" s="417"/>
      <c r="H132" s="377">
        <f>+SUMIFS(H61:H127,E61:E127,E132)</f>
        <v>312.20800000000003</v>
      </c>
    </row>
    <row r="133" spans="3:8">
      <c r="C133" s="365">
        <f t="shared" si="4"/>
        <v>75</v>
      </c>
      <c r="D133" s="418" t="s">
        <v>2246</v>
      </c>
      <c r="E133" s="416" t="s">
        <v>2189</v>
      </c>
      <c r="F133" s="417"/>
      <c r="H133" s="377">
        <f>+SUMIFS(H61:H127,E61:E127,E133)</f>
        <v>755.73100000000011</v>
      </c>
    </row>
    <row r="134" spans="3:8">
      <c r="C134" s="365">
        <f t="shared" si="4"/>
        <v>76</v>
      </c>
      <c r="D134" s="418" t="s">
        <v>2247</v>
      </c>
      <c r="E134" s="416" t="s">
        <v>2248</v>
      </c>
      <c r="F134" s="417"/>
      <c r="H134" s="377">
        <f>+D4</f>
        <v>148.62792999999999</v>
      </c>
    </row>
    <row r="135" spans="3:8">
      <c r="C135" s="365">
        <f t="shared" si="4"/>
        <v>77</v>
      </c>
      <c r="D135" s="418" t="s">
        <v>2249</v>
      </c>
      <c r="E135" s="416" t="s">
        <v>2194</v>
      </c>
      <c r="F135" s="417"/>
      <c r="H135" s="377">
        <f>+SUMIFS(H61:H127,E61:E127,E135)-H134</f>
        <v>13733.925089886799</v>
      </c>
    </row>
    <row r="136" spans="3:8">
      <c r="C136" s="365">
        <f t="shared" si="4"/>
        <v>78</v>
      </c>
      <c r="D136" s="418" t="s">
        <v>2250</v>
      </c>
      <c r="E136" s="416" t="s">
        <v>2191</v>
      </c>
      <c r="F136" s="417"/>
      <c r="H136" s="377">
        <f>+SUMIFS(H61:H127,E61:E127,E136)</f>
        <v>118.96596000000004</v>
      </c>
    </row>
    <row r="137" spans="3:8">
      <c r="C137" s="365">
        <f t="shared" si="4"/>
        <v>79</v>
      </c>
      <c r="D137" s="413" t="s">
        <v>2207</v>
      </c>
      <c r="E137" s="413"/>
      <c r="F137" s="413"/>
      <c r="G137" s="413"/>
      <c r="H137" s="419">
        <f>+SUM(H132:H136)</f>
        <v>15069.457979886798</v>
      </c>
    </row>
    <row r="138" spans="3:8">
      <c r="C138" s="365">
        <f t="shared" si="4"/>
        <v>80</v>
      </c>
    </row>
    <row r="139" spans="3:8">
      <c r="C139" s="365">
        <f t="shared" si="4"/>
        <v>81</v>
      </c>
      <c r="D139" s="412" t="s">
        <v>2251</v>
      </c>
      <c r="E139" s="359"/>
      <c r="F139" s="359"/>
      <c r="G139" s="359"/>
      <c r="H139" s="401"/>
    </row>
    <row r="140" spans="3:8">
      <c r="C140" s="365">
        <f t="shared" si="4"/>
        <v>82</v>
      </c>
      <c r="D140" s="413" t="s">
        <v>2252</v>
      </c>
      <c r="E140" s="420" t="s">
        <v>1532</v>
      </c>
      <c r="F140" s="421"/>
      <c r="G140" s="414" t="s">
        <v>2253</v>
      </c>
      <c r="H140" s="422">
        <f>+SUMIFS(H59:H122,E59:E122,E140)</f>
        <v>2883.7703499484956</v>
      </c>
    </row>
    <row r="141" spans="3:8">
      <c r="C141" s="365">
        <f t="shared" si="4"/>
        <v>83</v>
      </c>
      <c r="D141" s="418" t="s">
        <v>2254</v>
      </c>
      <c r="E141" s="1572">
        <f>+'0 MDS REPORTS'!F1006</f>
        <v>7199153.5139943594</v>
      </c>
      <c r="F141" s="423"/>
      <c r="G141" s="424">
        <f t="shared" ref="G141:G148" si="5">+E141/$E$149</f>
        <v>0.53358247148783211</v>
      </c>
      <c r="H141" s="377">
        <f>+G141*$H$140</f>
        <v>1538.7293105288488</v>
      </c>
    </row>
    <row r="142" spans="3:8">
      <c r="C142" s="365">
        <f t="shared" si="4"/>
        <v>84</v>
      </c>
      <c r="D142" s="418" t="s">
        <v>2255</v>
      </c>
      <c r="E142" s="1572">
        <f>+'0 MDS REPORTS'!F1007</f>
        <v>680548.35013101739</v>
      </c>
      <c r="F142" s="423"/>
      <c r="G142" s="424">
        <f t="shared" si="5"/>
        <v>5.0440467747213995E-2</v>
      </c>
      <c r="H142" s="377">
        <f t="shared" ref="H142:H148" si="6">+G142*$H$140</f>
        <v>145.45872532694909</v>
      </c>
    </row>
    <row r="143" spans="3:8">
      <c r="C143" s="365">
        <f t="shared" si="4"/>
        <v>85</v>
      </c>
      <c r="D143" s="418" t="s">
        <v>2246</v>
      </c>
      <c r="E143" s="1572">
        <f>+'0 MDS REPORTS'!F1008</f>
        <v>559079.92351655953</v>
      </c>
      <c r="F143" s="423"/>
      <c r="G143" s="424">
        <f t="shared" si="5"/>
        <v>4.1437544951542164E-2</v>
      </c>
      <c r="H143" s="377">
        <f t="shared" si="6"/>
        <v>119.49636350591526</v>
      </c>
    </row>
    <row r="144" spans="3:8">
      <c r="C144" s="365">
        <f t="shared" si="4"/>
        <v>86</v>
      </c>
      <c r="D144" s="418" t="s">
        <v>2247</v>
      </c>
      <c r="E144" s="1572">
        <f>+'0 MDS REPORTS'!F1009</f>
        <v>583616.65599674068</v>
      </c>
      <c r="F144" s="423"/>
      <c r="G144" s="424">
        <f t="shared" si="5"/>
        <v>4.3256143531717001E-2</v>
      </c>
      <c r="H144" s="377">
        <f t="shared" si="6"/>
        <v>124.74078416988189</v>
      </c>
    </row>
    <row r="145" spans="3:8">
      <c r="C145" s="365">
        <f t="shared" si="4"/>
        <v>87</v>
      </c>
      <c r="D145" s="418" t="s">
        <v>2249</v>
      </c>
      <c r="E145" s="1572">
        <f>+'0 MDS REPORTS'!F1010</f>
        <v>2138740.1302942359</v>
      </c>
      <c r="F145" s="423"/>
      <c r="G145" s="424">
        <f t="shared" si="5"/>
        <v>0.1585178371838093</v>
      </c>
      <c r="H145" s="377">
        <f t="shared" si="6"/>
        <v>457.1290388086324</v>
      </c>
    </row>
    <row r="146" spans="3:8">
      <c r="C146" s="365">
        <f t="shared" si="4"/>
        <v>88</v>
      </c>
      <c r="D146" s="418" t="s">
        <v>2250</v>
      </c>
      <c r="E146" s="1572">
        <f>+'0 MDS REPORTS'!F1011</f>
        <v>1074798.1722257815</v>
      </c>
      <c r="F146" s="423"/>
      <c r="G146" s="424">
        <f t="shared" si="5"/>
        <v>7.966123572334291E-2</v>
      </c>
      <c r="H146" s="377">
        <f t="shared" si="6"/>
        <v>229.72470961923418</v>
      </c>
    </row>
    <row r="147" spans="3:8">
      <c r="C147" s="365">
        <f t="shared" si="4"/>
        <v>89</v>
      </c>
      <c r="D147" s="418" t="s">
        <v>2256</v>
      </c>
      <c r="E147" s="1572">
        <f>+'0 MDS REPORTS'!F1012</f>
        <v>1011029.595133958</v>
      </c>
      <c r="F147" s="423"/>
      <c r="G147" s="424">
        <f t="shared" si="5"/>
        <v>7.4934875200293211E-2</v>
      </c>
      <c r="H147" s="377">
        <f t="shared" si="6"/>
        <v>216.09497127969638</v>
      </c>
    </row>
    <row r="148" spans="3:8">
      <c r="C148" s="365">
        <f t="shared" si="4"/>
        <v>90</v>
      </c>
      <c r="D148" s="418" t="s">
        <v>2257</v>
      </c>
      <c r="E148" s="1572">
        <f>+'0 MDS REPORTS'!F1013</f>
        <v>245143.87349825987</v>
      </c>
      <c r="F148" s="423"/>
      <c r="G148" s="424">
        <f t="shared" si="5"/>
        <v>1.8169424174249448E-2</v>
      </c>
      <c r="H148" s="377">
        <f t="shared" si="6"/>
        <v>52.396446709337987</v>
      </c>
    </row>
    <row r="149" spans="3:8" ht="15" thickBot="1">
      <c r="C149" s="365">
        <f t="shared" si="4"/>
        <v>91</v>
      </c>
      <c r="D149" s="425" t="s">
        <v>2258</v>
      </c>
      <c r="E149" s="426">
        <f>+SUM(E141:E148)</f>
        <v>13492110.21479091</v>
      </c>
      <c r="F149" s="426"/>
      <c r="G149" s="427">
        <f>+SUM(G141:G148)</f>
        <v>1.0000000000000002</v>
      </c>
      <c r="H149" s="428">
        <f>+SUM(H141:H148)</f>
        <v>2883.7703499484956</v>
      </c>
    </row>
    <row r="150" spans="3:8" ht="15" thickTop="1">
      <c r="C150" s="365">
        <f t="shared" si="4"/>
        <v>92</v>
      </c>
    </row>
    <row r="151" spans="3:8">
      <c r="C151" s="365">
        <f t="shared" si="4"/>
        <v>93</v>
      </c>
      <c r="D151" s="358" t="s">
        <v>2259</v>
      </c>
      <c r="E151" s="359"/>
      <c r="F151" s="359"/>
      <c r="G151" s="359"/>
      <c r="H151" s="401"/>
    </row>
    <row r="152" spans="3:8">
      <c r="C152" s="365">
        <f t="shared" si="4"/>
        <v>94</v>
      </c>
      <c r="D152" s="96" t="s">
        <v>2260</v>
      </c>
      <c r="E152" s="429" t="s">
        <v>2223</v>
      </c>
      <c r="F152" s="430"/>
      <c r="H152" s="431">
        <f>+SUMIFS(H59:H122,E59:E122,E152)</f>
        <v>0</v>
      </c>
    </row>
    <row r="153" spans="3:8">
      <c r="C153" s="365">
        <f t="shared" si="4"/>
        <v>95</v>
      </c>
      <c r="D153" s="62" t="s">
        <v>2261</v>
      </c>
      <c r="E153" s="404" t="s">
        <v>2064</v>
      </c>
      <c r="F153" s="430"/>
      <c r="H153" s="432">
        <f>+SUMIFS(H59:H122,E59:E122,E153)</f>
        <v>7929.0305824175994</v>
      </c>
    </row>
    <row r="154" spans="3:8">
      <c r="C154" s="365">
        <f t="shared" si="4"/>
        <v>96</v>
      </c>
      <c r="D154" s="418" t="s">
        <v>2262</v>
      </c>
      <c r="E154" s="433"/>
      <c r="F154" s="434"/>
      <c r="G154" s="435">
        <f>+D6</f>
        <v>0</v>
      </c>
      <c r="H154" s="296"/>
    </row>
    <row r="155" spans="3:8">
      <c r="C155" s="365">
        <f t="shared" si="4"/>
        <v>97</v>
      </c>
      <c r="D155" s="436" t="s">
        <v>2263</v>
      </c>
      <c r="E155" s="437">
        <v>1</v>
      </c>
      <c r="F155" s="438"/>
      <c r="G155" s="439">
        <f>+H153-G154</f>
        <v>7929.0305824175994</v>
      </c>
      <c r="H155" s="298"/>
    </row>
    <row r="156" spans="3:8">
      <c r="C156" s="365">
        <f t="shared" si="4"/>
        <v>98</v>
      </c>
      <c r="D156" s="440" t="s">
        <v>2264</v>
      </c>
      <c r="E156" s="441">
        <v>1</v>
      </c>
      <c r="F156" s="441"/>
      <c r="G156" s="442">
        <f>+SUM(G154:G155)</f>
        <v>7929.0305824175994</v>
      </c>
      <c r="H156" s="443"/>
    </row>
    <row r="157" spans="3:8">
      <c r="C157" s="365">
        <f t="shared" si="4"/>
        <v>99</v>
      </c>
    </row>
    <row r="158" spans="3:8">
      <c r="C158" s="365">
        <f t="shared" si="4"/>
        <v>100</v>
      </c>
      <c r="D158" s="358" t="s">
        <v>2416</v>
      </c>
      <c r="E158" s="359"/>
      <c r="F158" s="359"/>
      <c r="G158" s="359"/>
      <c r="H158" s="401"/>
    </row>
    <row r="159" spans="3:8">
      <c r="C159" s="365">
        <f t="shared" si="4"/>
        <v>101</v>
      </c>
      <c r="D159" s="418" t="s">
        <v>2246</v>
      </c>
      <c r="E159" s="404" t="s">
        <v>2210</v>
      </c>
      <c r="F159" s="430"/>
      <c r="H159" s="432">
        <f>+SUMIFS(H59:H122,E59:E122,E159)</f>
        <v>121.19999999999997</v>
      </c>
    </row>
    <row r="160" spans="3:8">
      <c r="C160" s="365">
        <f t="shared" si="4"/>
        <v>102</v>
      </c>
      <c r="D160" s="418"/>
      <c r="E160" s="438"/>
      <c r="F160" s="438"/>
      <c r="G160" s="444"/>
      <c r="H160" s="296"/>
    </row>
    <row r="161" spans="3:8">
      <c r="C161" s="365">
        <f t="shared" si="4"/>
        <v>103</v>
      </c>
      <c r="D161" s="358" t="s">
        <v>2417</v>
      </c>
      <c r="E161" s="359"/>
      <c r="F161" s="359"/>
      <c r="G161" s="359"/>
      <c r="H161" s="401"/>
    </row>
    <row r="162" spans="3:8">
      <c r="C162" s="365">
        <f t="shared" si="4"/>
        <v>104</v>
      </c>
      <c r="D162" s="418" t="s">
        <v>2254</v>
      </c>
      <c r="E162" s="445"/>
      <c r="F162" s="445"/>
      <c r="G162" s="434"/>
      <c r="H162" s="431">
        <f>+SUMIFS(H140:H160,D140:D160,D162)</f>
        <v>1538.7293105288488</v>
      </c>
    </row>
    <row r="163" spans="3:8">
      <c r="C163" s="365">
        <f t="shared" si="4"/>
        <v>105</v>
      </c>
      <c r="D163" s="418" t="s">
        <v>2255</v>
      </c>
      <c r="E163" s="445"/>
      <c r="F163" s="445"/>
      <c r="G163" s="434"/>
      <c r="H163" s="377">
        <f>+SUMIFS(H140:H160,D140:D160,D163)</f>
        <v>145.45872532694909</v>
      </c>
    </row>
    <row r="164" spans="3:8">
      <c r="C164" s="365">
        <f t="shared" si="4"/>
        <v>106</v>
      </c>
      <c r="D164" s="418" t="s">
        <v>2246</v>
      </c>
      <c r="E164" s="445"/>
      <c r="F164" s="445"/>
      <c r="G164" s="434"/>
      <c r="H164" s="377">
        <f>+SUMIFS(H140:H160,D140:D160,D164)+G154</f>
        <v>240.69636350591523</v>
      </c>
    </row>
    <row r="165" spans="3:8">
      <c r="C165" s="365">
        <f t="shared" si="4"/>
        <v>107</v>
      </c>
      <c r="D165" s="418" t="s">
        <v>2265</v>
      </c>
      <c r="G165" t="s">
        <v>2266</v>
      </c>
      <c r="H165" s="377">
        <f>+G155</f>
        <v>7929.0305824175994</v>
      </c>
    </row>
    <row r="166" spans="3:8">
      <c r="C166" s="365">
        <f t="shared" si="4"/>
        <v>108</v>
      </c>
      <c r="D166" s="418" t="s">
        <v>2247</v>
      </c>
      <c r="E166" s="445"/>
      <c r="F166" s="445"/>
      <c r="G166" s="434"/>
      <c r="H166" s="377">
        <f>+SUMIFS(H140:H160,D140:D160,D166)</f>
        <v>124.74078416988189</v>
      </c>
    </row>
    <row r="167" spans="3:8">
      <c r="C167" s="365">
        <f t="shared" si="4"/>
        <v>109</v>
      </c>
      <c r="D167" s="418" t="s">
        <v>2249</v>
      </c>
      <c r="E167" s="445"/>
      <c r="F167" s="445"/>
      <c r="G167" s="434"/>
      <c r="H167" s="377">
        <f>+SUMIFS(H140:H160,D140:D160,D167)</f>
        <v>457.1290388086324</v>
      </c>
    </row>
    <row r="168" spans="3:8">
      <c r="C168" s="365">
        <f t="shared" si="4"/>
        <v>110</v>
      </c>
      <c r="D168" s="418" t="s">
        <v>2250</v>
      </c>
      <c r="E168" s="445"/>
      <c r="F168" s="445"/>
      <c r="G168" s="434"/>
      <c r="H168" s="377">
        <f>+SUMIFS(H140:H160,D140:D160,D168)</f>
        <v>229.72470961923418</v>
      </c>
    </row>
    <row r="169" spans="3:8">
      <c r="C169" s="365">
        <f t="shared" si="4"/>
        <v>111</v>
      </c>
      <c r="D169" s="418" t="s">
        <v>2256</v>
      </c>
      <c r="E169" s="445"/>
      <c r="F169" s="445"/>
      <c r="G169" s="434"/>
      <c r="H169" s="377">
        <f>+SUMIFS(H140:H160,D140:D160,D169)</f>
        <v>216.09497127969638</v>
      </c>
    </row>
    <row r="170" spans="3:8">
      <c r="C170" s="365">
        <f t="shared" si="4"/>
        <v>112</v>
      </c>
      <c r="D170" s="418" t="s">
        <v>2257</v>
      </c>
      <c r="E170" s="445"/>
      <c r="F170" s="445"/>
      <c r="G170" s="434"/>
      <c r="H170" s="377">
        <f>+SUMIFS(H140:H160,D140:D160,D170)</f>
        <v>52.396446709337987</v>
      </c>
    </row>
    <row r="171" spans="3:8" ht="15" thickBot="1">
      <c r="C171" s="365">
        <f t="shared" si="4"/>
        <v>113</v>
      </c>
      <c r="D171" s="425" t="s">
        <v>115</v>
      </c>
      <c r="E171" s="446"/>
      <c r="F171" s="446"/>
      <c r="G171" s="446"/>
      <c r="H171" s="447">
        <f>+SUM(H162:H170)</f>
        <v>10934.000932366096</v>
      </c>
    </row>
    <row r="172" spans="3:8" ht="15" thickTop="1">
      <c r="C172" s="365">
        <f t="shared" si="4"/>
        <v>114</v>
      </c>
      <c r="H172" s="298"/>
    </row>
    <row r="173" spans="3:8">
      <c r="C173" s="365">
        <f t="shared" si="4"/>
        <v>115</v>
      </c>
      <c r="D173" s="358" t="s">
        <v>2418</v>
      </c>
      <c r="E173" s="359"/>
      <c r="F173" s="359"/>
      <c r="G173" s="359"/>
      <c r="H173" s="401"/>
    </row>
    <row r="174" spans="3:8">
      <c r="C174" s="365">
        <f t="shared" si="4"/>
        <v>116</v>
      </c>
      <c r="D174" s="96" t="s">
        <v>2267</v>
      </c>
      <c r="E174" s="404" t="s">
        <v>2067</v>
      </c>
      <c r="F174" s="430"/>
      <c r="H174" s="431">
        <f>+SUMIFS(H59:H122,E59:E122,E174)</f>
        <v>493.87339000000003</v>
      </c>
    </row>
    <row r="175" spans="3:8">
      <c r="C175" s="365">
        <f t="shared" si="4"/>
        <v>117</v>
      </c>
      <c r="D175" s="96" t="s">
        <v>2268</v>
      </c>
      <c r="E175" s="404" t="s">
        <v>2233</v>
      </c>
      <c r="F175" s="430"/>
      <c r="H175" s="377">
        <f>+SUMIFS(H59:H122,E59:E122,E175)</f>
        <v>-1.84900420208578E-3</v>
      </c>
    </row>
    <row r="176" spans="3:8">
      <c r="C176" s="365">
        <f t="shared" si="4"/>
        <v>118</v>
      </c>
      <c r="D176" s="96" t="s">
        <v>2269</v>
      </c>
      <c r="E176" s="404" t="s">
        <v>2069</v>
      </c>
      <c r="F176" s="430"/>
      <c r="H176" s="377">
        <f>+SUMIFS(H59:H122,E59:E122,E176)</f>
        <v>107</v>
      </c>
    </row>
    <row r="177" spans="3:9">
      <c r="C177" s="365">
        <f t="shared" si="4"/>
        <v>119</v>
      </c>
      <c r="D177" s="96" t="s">
        <v>2270</v>
      </c>
      <c r="E177" s="404" t="s">
        <v>2230</v>
      </c>
      <c r="F177" s="430"/>
      <c r="H177" s="377">
        <f>+SUMIFS(H59:H122,E59:E122,E177)</f>
        <v>0</v>
      </c>
    </row>
    <row r="178" spans="3:9" ht="15" thickBot="1">
      <c r="C178" s="365">
        <f t="shared" si="4"/>
        <v>120</v>
      </c>
      <c r="D178" s="425" t="s">
        <v>2271</v>
      </c>
      <c r="E178" s="448"/>
      <c r="F178" s="448"/>
      <c r="G178" s="408"/>
      <c r="H178" s="428">
        <f>+SUM(H174:H177)</f>
        <v>600.87154099579789</v>
      </c>
    </row>
    <row r="179" spans="3:9" ht="15" thickTop="1">
      <c r="C179" s="365">
        <f t="shared" si="4"/>
        <v>121</v>
      </c>
      <c r="H179" s="298"/>
    </row>
    <row r="180" spans="3:9">
      <c r="C180" s="365">
        <f t="shared" si="4"/>
        <v>122</v>
      </c>
      <c r="D180" s="358" t="s">
        <v>2421</v>
      </c>
      <c r="E180" s="359"/>
      <c r="F180" s="359"/>
      <c r="G180" s="359"/>
      <c r="H180" s="449">
        <f>+H178+H171</f>
        <v>11534.872473361895</v>
      </c>
    </row>
    <row r="181" spans="3:9">
      <c r="C181" s="365">
        <f t="shared" si="4"/>
        <v>123</v>
      </c>
      <c r="H181" s="450"/>
    </row>
    <row r="182" spans="3:9">
      <c r="C182" s="365">
        <f t="shared" si="4"/>
        <v>124</v>
      </c>
      <c r="D182" s="358" t="s">
        <v>2419</v>
      </c>
      <c r="E182" s="359"/>
      <c r="F182" s="359"/>
      <c r="G182" s="359"/>
      <c r="H182" s="449"/>
    </row>
    <row r="183" spans="3:9">
      <c r="C183" s="365">
        <f t="shared" si="4"/>
        <v>125</v>
      </c>
      <c r="D183" s="96" t="s">
        <v>2186</v>
      </c>
      <c r="E183" s="290" t="s">
        <v>2272</v>
      </c>
      <c r="H183" s="451">
        <f>+H128</f>
        <v>21444.964123999598</v>
      </c>
    </row>
    <row r="184" spans="3:9">
      <c r="C184" s="365">
        <f t="shared" si="4"/>
        <v>126</v>
      </c>
      <c r="D184" s="96" t="s">
        <v>2188</v>
      </c>
      <c r="E184" s="33"/>
      <c r="H184" s="377">
        <f>+H137</f>
        <v>15069.457979886798</v>
      </c>
    </row>
    <row r="185" spans="3:9">
      <c r="C185" s="365">
        <f t="shared" si="4"/>
        <v>127</v>
      </c>
      <c r="D185" s="96" t="s">
        <v>2273</v>
      </c>
      <c r="E185" s="33" t="s">
        <v>2272</v>
      </c>
      <c r="H185" s="377">
        <f>+H108+H122</f>
        <v>11534.872473361893</v>
      </c>
      <c r="I185" s="162"/>
    </row>
    <row r="186" spans="3:9">
      <c r="C186" s="365">
        <f t="shared" si="4"/>
        <v>128</v>
      </c>
      <c r="D186" s="96" t="s">
        <v>2274</v>
      </c>
      <c r="E186" s="33" t="s">
        <v>2272</v>
      </c>
      <c r="H186" s="377">
        <f>+H113</f>
        <v>-70.100000000003888</v>
      </c>
    </row>
    <row r="187" spans="3:9">
      <c r="C187" s="365">
        <f t="shared" si="4"/>
        <v>129</v>
      </c>
      <c r="D187" s="413" t="s">
        <v>2225</v>
      </c>
      <c r="E187" s="413"/>
      <c r="F187" s="413"/>
      <c r="G187" s="413"/>
      <c r="H187" s="419">
        <f>+SUM(H183:H186)</f>
        <v>47979.194577248287</v>
      </c>
    </row>
    <row r="188" spans="3:9">
      <c r="C188" s="365">
        <f t="shared" si="4"/>
        <v>130</v>
      </c>
      <c r="H188" s="450"/>
    </row>
    <row r="189" spans="3:9">
      <c r="C189" s="365">
        <f t="shared" ref="C189:C200" si="7">+C188+1</f>
        <v>131</v>
      </c>
      <c r="D189" s="358" t="s">
        <v>2420</v>
      </c>
      <c r="E189" s="359"/>
      <c r="F189" s="359"/>
      <c r="G189" s="359"/>
      <c r="H189" s="401"/>
    </row>
    <row r="190" spans="3:9">
      <c r="C190" s="365">
        <f t="shared" si="7"/>
        <v>132</v>
      </c>
      <c r="D190" s="96" t="s">
        <v>2275</v>
      </c>
      <c r="E190" s="445"/>
      <c r="F190" s="445"/>
      <c r="G190" s="434"/>
      <c r="H190" s="451">
        <f>+G49</f>
        <v>1480725.49453</v>
      </c>
    </row>
    <row r="191" spans="3:9">
      <c r="C191" s="365">
        <f t="shared" si="7"/>
        <v>133</v>
      </c>
      <c r="D191" s="96" t="s">
        <v>2276</v>
      </c>
      <c r="E191" s="445"/>
      <c r="F191" s="445"/>
      <c r="G191" s="452" t="s">
        <v>2266</v>
      </c>
      <c r="H191" s="451">
        <f>+D7</f>
        <v>0</v>
      </c>
    </row>
    <row r="192" spans="3:9">
      <c r="C192" s="365">
        <f t="shared" si="7"/>
        <v>134</v>
      </c>
      <c r="D192" s="96" t="s">
        <v>2277</v>
      </c>
      <c r="E192" s="445"/>
      <c r="F192" s="445"/>
      <c r="G192" s="452" t="s">
        <v>2266</v>
      </c>
      <c r="H192" s="453">
        <f>+H165</f>
        <v>7929.0305824175994</v>
      </c>
    </row>
    <row r="193" spans="3:9">
      <c r="C193" s="365">
        <f t="shared" si="7"/>
        <v>135</v>
      </c>
      <c r="D193" s="454" t="s">
        <v>2278</v>
      </c>
      <c r="E193" s="455"/>
      <c r="F193" s="455"/>
      <c r="G193" s="456"/>
      <c r="H193" s="457">
        <f>+SUM(H190:H192)</f>
        <v>1488654.5251124175</v>
      </c>
    </row>
    <row r="194" spans="3:9">
      <c r="C194" s="365">
        <f t="shared" si="7"/>
        <v>136</v>
      </c>
      <c r="E194" s="445"/>
      <c r="F194" s="445"/>
      <c r="G194" s="434"/>
      <c r="H194" s="451"/>
    </row>
    <row r="195" spans="3:9">
      <c r="C195" s="365">
        <f t="shared" si="7"/>
        <v>137</v>
      </c>
      <c r="D195" s="96" t="s">
        <v>2225</v>
      </c>
      <c r="E195" s="445"/>
      <c r="F195" s="445"/>
      <c r="G195" s="434"/>
      <c r="H195" s="451">
        <f>+H187</f>
        <v>47979.194577248287</v>
      </c>
    </row>
    <row r="196" spans="3:9">
      <c r="C196" s="365">
        <f t="shared" si="7"/>
        <v>138</v>
      </c>
      <c r="D196" s="96" t="s">
        <v>2279</v>
      </c>
      <c r="H196" s="458">
        <f>-H192</f>
        <v>-7929.0305824175994</v>
      </c>
    </row>
    <row r="197" spans="3:9">
      <c r="C197" s="365">
        <f t="shared" si="7"/>
        <v>139</v>
      </c>
      <c r="D197" s="455" t="s">
        <v>2280</v>
      </c>
      <c r="E197" s="455"/>
      <c r="F197" s="455"/>
      <c r="G197" s="455"/>
      <c r="H197" s="457">
        <f>+SUM(H195:H196)</f>
        <v>40050.163994830684</v>
      </c>
    </row>
    <row r="198" spans="3:9">
      <c r="C198" s="365">
        <f t="shared" si="7"/>
        <v>140</v>
      </c>
      <c r="H198" s="450"/>
    </row>
    <row r="199" spans="3:9">
      <c r="C199" s="365">
        <f t="shared" si="7"/>
        <v>141</v>
      </c>
      <c r="D199" s="402"/>
      <c r="E199" s="294"/>
      <c r="F199" s="294"/>
      <c r="G199" s="294"/>
      <c r="H199" s="459"/>
    </row>
    <row r="200" spans="3:9" ht="15" thickBot="1">
      <c r="C200" s="365">
        <f t="shared" si="7"/>
        <v>142</v>
      </c>
      <c r="D200" s="381" t="s">
        <v>2281</v>
      </c>
      <c r="E200" s="381"/>
      <c r="F200" s="381"/>
      <c r="G200" s="381"/>
      <c r="H200" s="383">
        <f>+H193+H197</f>
        <v>1528704.6891072481</v>
      </c>
      <c r="I200" s="844">
        <f>+H200-1389415.8</f>
        <v>139288.88910724805</v>
      </c>
    </row>
    <row r="201" spans="3:9" ht="15" thickTop="1">
      <c r="C201" s="462"/>
      <c r="D201" s="297"/>
      <c r="E201" s="297"/>
      <c r="F201" s="297"/>
      <c r="G201" s="297"/>
      <c r="H201" s="298"/>
    </row>
  </sheetData>
  <mergeCells count="1">
    <mergeCell ref="C23:E23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"/>
  <sheetViews>
    <sheetView tabSelected="1" showOutlineSymbols="0" workbookViewId="0"/>
  </sheetViews>
  <sheetFormatPr defaultRowHeight="14.4"/>
  <cols>
    <col min="2" max="2" width="11.5546875" bestFit="1" customWidth="1"/>
  </cols>
  <sheetData>
    <row r="2" spans="1:2">
      <c r="A2" t="s">
        <v>1772</v>
      </c>
      <c r="B2" s="1586">
        <f>+Generation!N130</f>
        <v>296784.56037999998</v>
      </c>
    </row>
    <row r="3" spans="1:2">
      <c r="A3" t="s">
        <v>1760</v>
      </c>
      <c r="B3" s="1586">
        <f>+Transmission!M134</f>
        <v>34258.116600000001</v>
      </c>
    </row>
    <row r="4" spans="1:2">
      <c r="A4" t="s">
        <v>1480</v>
      </c>
      <c r="B4" s="1586">
        <f>+Distribution!U152</f>
        <v>156846.65659</v>
      </c>
    </row>
    <row r="5" spans="1:2">
      <c r="A5" t="s">
        <v>8670</v>
      </c>
      <c r="B5" s="1586">
        <f>+'Communications Equipment'!L25</f>
        <v>8349.8192899999995</v>
      </c>
    </row>
    <row r="6" spans="1:2">
      <c r="A6" t="s">
        <v>9340</v>
      </c>
      <c r="B6" s="1586">
        <f>+'Transportation Equipment'!K18</f>
        <v>5961.1327799999999</v>
      </c>
    </row>
    <row r="7" spans="1:2">
      <c r="A7" s="297" t="s">
        <v>2619</v>
      </c>
      <c r="B7" s="1639">
        <f>+'General Plant'!K33</f>
        <v>68785.413870000004</v>
      </c>
    </row>
    <row r="8" spans="1:2">
      <c r="B8" s="1586">
        <f>+SUM(B2:B7)</f>
        <v>570985.69951000006</v>
      </c>
    </row>
    <row r="9" spans="1:2">
      <c r="B9" s="516">
        <f>+'Accounting Schedule B-9'!H560</f>
        <v>571222.40827000001</v>
      </c>
    </row>
    <row r="10" spans="1:2">
      <c r="B10" s="516">
        <f>+B8-B9</f>
        <v>-236.70875999995042</v>
      </c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Q187"/>
  <sheetViews>
    <sheetView tabSelected="1" showOutlineSymbols="0" topLeftCell="A24" workbookViewId="0"/>
  </sheetViews>
  <sheetFormatPr defaultRowHeight="14.4"/>
  <cols>
    <col min="1" max="1" width="21.88671875" customWidth="1"/>
    <col min="2" max="2" width="23.6640625" bestFit="1" customWidth="1"/>
    <col min="3" max="3" width="28.44140625" customWidth="1"/>
    <col min="4" max="4" width="23.88671875" customWidth="1"/>
    <col min="5" max="5" width="24" style="508" customWidth="1"/>
    <col min="6" max="6" width="22.44140625" style="508" customWidth="1"/>
    <col min="7" max="7" width="18.109375" customWidth="1"/>
    <col min="8" max="9" width="13.5546875" bestFit="1" customWidth="1"/>
    <col min="10" max="10" width="11.88671875" bestFit="1" customWidth="1"/>
    <col min="11" max="11" width="13.5546875" bestFit="1" customWidth="1"/>
    <col min="12" max="12" width="10.5546875" bestFit="1" customWidth="1"/>
    <col min="13" max="13" width="26" bestFit="1" customWidth="1"/>
    <col min="14" max="14" width="16.88671875" bestFit="1" customWidth="1"/>
    <col min="16" max="16" width="11.5546875" bestFit="1" customWidth="1"/>
    <col min="17" max="17" width="15" bestFit="1" customWidth="1"/>
  </cols>
  <sheetData>
    <row r="1" spans="1:14" ht="17.399999999999999">
      <c r="A1" s="613" t="s">
        <v>9263</v>
      </c>
      <c r="B1" s="29"/>
      <c r="C1" s="29"/>
    </row>
    <row r="2" spans="1:14" ht="18" thickBot="1">
      <c r="A2" s="507"/>
    </row>
    <row r="3" spans="1:14" ht="15" thickBot="1">
      <c r="A3" s="517" t="s">
        <v>35</v>
      </c>
      <c r="B3" s="116" t="s">
        <v>2963</v>
      </c>
      <c r="C3" s="96"/>
      <c r="D3" s="508"/>
      <c r="F3"/>
      <c r="M3" t="s">
        <v>8413</v>
      </c>
    </row>
    <row r="4" spans="1:14">
      <c r="A4" s="118" t="s">
        <v>2668</v>
      </c>
      <c r="B4" s="69">
        <f>+'Polk Assets'!M161</f>
        <v>20409171.156500001</v>
      </c>
      <c r="C4" s="84" t="s">
        <v>116</v>
      </c>
      <c r="D4" s="62"/>
      <c r="M4" t="s">
        <v>8414</v>
      </c>
      <c r="N4" s="1586">
        <f>+'Accounting Schedule B-7'!R532</f>
        <v>7193148.3114600005</v>
      </c>
    </row>
    <row r="5" spans="1:14">
      <c r="A5" s="118" t="s">
        <v>2669</v>
      </c>
      <c r="B5" s="69">
        <f>+'Polk Assets'!N161</f>
        <v>291946091.69750005</v>
      </c>
      <c r="C5" s="96"/>
      <c r="D5" s="62"/>
      <c r="M5" s="297" t="s">
        <v>8415</v>
      </c>
      <c r="N5" s="1639">
        <f>+F66</f>
        <v>7132847.5964399995</v>
      </c>
    </row>
    <row r="6" spans="1:14">
      <c r="A6" s="118" t="s">
        <v>2961</v>
      </c>
      <c r="B6" s="69">
        <f>+SUM(B4:B5)</f>
        <v>312355262.85400003</v>
      </c>
      <c r="C6" s="62"/>
      <c r="D6" s="62"/>
      <c r="E6" s="509"/>
      <c r="F6" s="509"/>
      <c r="G6" s="510"/>
      <c r="N6" s="516">
        <f>+N4-N5</f>
        <v>60300.715020000935</v>
      </c>
    </row>
    <row r="7" spans="1:14" ht="15" thickBot="1">
      <c r="A7" s="119" t="s">
        <v>2962</v>
      </c>
      <c r="B7" s="71">
        <f>-SUMIFS('Surv Report Sched 2 pg 2'!J:J,'Surv Report Sched 2 pg 2'!B:B,"=Recoverable CETM")</f>
        <v>21858343.349999994</v>
      </c>
      <c r="C7" s="511"/>
      <c r="D7" s="62"/>
      <c r="M7" t="s">
        <v>8416</v>
      </c>
      <c r="N7" s="1586">
        <f>-'ECRC Adj Gen'!H4/1000</f>
        <v>-262359.64600000001</v>
      </c>
    </row>
    <row r="8" spans="1:14">
      <c r="B8" s="288"/>
      <c r="C8" s="289"/>
      <c r="M8" s="297" t="s">
        <v>8417</v>
      </c>
      <c r="N8" s="1639">
        <f>+SUM('Generation Land'!E5:E8)/1000</f>
        <v>202058.93099000002</v>
      </c>
    </row>
    <row r="9" spans="1:14">
      <c r="C9" s="289"/>
      <c r="D9" s="62"/>
      <c r="N9" s="1640">
        <f>+SUM(N6:N8)</f>
        <v>1.0000949259847403E-5</v>
      </c>
    </row>
    <row r="10" spans="1:14">
      <c r="C10" s="289"/>
      <c r="D10" s="62"/>
    </row>
    <row r="11" spans="1:14">
      <c r="A11" s="352" t="s">
        <v>2173</v>
      </c>
      <c r="B11" s="294"/>
      <c r="C11" s="294"/>
      <c r="D11" s="294"/>
      <c r="E11" s="294"/>
      <c r="F11" s="294"/>
      <c r="G11" s="294"/>
      <c r="H11" s="294"/>
      <c r="I11" s="518"/>
      <c r="J11" s="294"/>
      <c r="K11" s="460"/>
      <c r="M11" t="s">
        <v>8418</v>
      </c>
      <c r="N11" s="1586">
        <f>+'Accounting Schedule B-7'!R169+'Accounting Schedule B-7'!R133</f>
        <v>2341841.5785599998</v>
      </c>
    </row>
    <row r="12" spans="1:14">
      <c r="A12" s="353" t="s">
        <v>2608</v>
      </c>
      <c r="E12"/>
      <c r="F12"/>
      <c r="I12" s="62"/>
      <c r="K12" s="296"/>
      <c r="M12" s="297" t="s">
        <v>8419</v>
      </c>
      <c r="N12" s="1639">
        <f>+D30+D37+D38+D39+D40+D21</f>
        <v>2105077.9630100001</v>
      </c>
    </row>
    <row r="13" spans="1:14">
      <c r="A13" s="615" t="s">
        <v>9263</v>
      </c>
      <c r="B13" s="29"/>
      <c r="D13" s="516"/>
      <c r="E13"/>
      <c r="F13"/>
      <c r="I13" s="62"/>
      <c r="K13" s="296"/>
      <c r="N13" s="516">
        <f>+N11-N12</f>
        <v>236763.61554999975</v>
      </c>
    </row>
    <row r="14" spans="1:14">
      <c r="A14" s="519"/>
      <c r="B14" s="297"/>
      <c r="C14" s="297"/>
      <c r="D14" s="297"/>
      <c r="E14" s="297"/>
      <c r="F14" s="297"/>
      <c r="G14" s="297"/>
      <c r="H14" s="297"/>
      <c r="I14" s="514"/>
      <c r="J14" s="297"/>
      <c r="K14" s="298"/>
      <c r="M14" t="s">
        <v>8416</v>
      </c>
      <c r="N14" s="1586">
        <f>-SUM('ECRC Adj Gen'!C10:C11,'ECRC Adj Gen'!C15:C17)/1000</f>
        <v>-243687.24406000008</v>
      </c>
    </row>
    <row r="15" spans="1:14" ht="15" thickBot="1">
      <c r="A15" s="357"/>
      <c r="E15"/>
      <c r="F15"/>
      <c r="I15" s="62"/>
      <c r="K15" s="296"/>
      <c r="M15" s="297" t="s">
        <v>8417</v>
      </c>
      <c r="N15" s="1639">
        <f>+'Generation Land'!E5/1000</f>
        <v>6923.6285099999996</v>
      </c>
    </row>
    <row r="16" spans="1:14" ht="15" thickBot="1">
      <c r="A16" s="357"/>
      <c r="B16" s="62"/>
      <c r="C16" s="60" t="s">
        <v>2316</v>
      </c>
      <c r="D16" s="60" t="s">
        <v>2609</v>
      </c>
      <c r="E16" s="60" t="s">
        <v>2610</v>
      </c>
      <c r="F16" s="60"/>
      <c r="G16" s="602">
        <f>+'Load Research'!E7/'Load Research'!D7</f>
        <v>0</v>
      </c>
      <c r="H16" s="60"/>
      <c r="I16" s="3122" t="s">
        <v>2611</v>
      </c>
      <c r="J16" s="3123"/>
      <c r="K16" s="3124"/>
      <c r="N16" s="1640">
        <f>+SUM(N13:N15)</f>
        <v>-3.3014657674357295E-10</v>
      </c>
    </row>
    <row r="17" spans="1:17">
      <c r="A17" s="357"/>
      <c r="B17" s="62"/>
      <c r="C17" s="60" t="s">
        <v>2612</v>
      </c>
      <c r="D17" s="60" t="s">
        <v>1823</v>
      </c>
      <c r="E17" s="60" t="s">
        <v>2613</v>
      </c>
      <c r="F17" s="521" t="s">
        <v>115</v>
      </c>
      <c r="G17" s="280" t="s">
        <v>1969</v>
      </c>
      <c r="H17" s="520" t="s">
        <v>2614</v>
      </c>
      <c r="I17" s="3125" t="s">
        <v>2615</v>
      </c>
      <c r="J17" s="3126"/>
      <c r="K17" s="3127"/>
    </row>
    <row r="18" spans="1:17">
      <c r="A18" s="522" t="s">
        <v>2616</v>
      </c>
      <c r="B18" s="77" t="s">
        <v>35</v>
      </c>
      <c r="C18" s="77" t="s">
        <v>2617</v>
      </c>
      <c r="D18" s="77" t="s">
        <v>2618</v>
      </c>
      <c r="E18" s="77" t="s">
        <v>2619</v>
      </c>
      <c r="F18" s="523" t="s">
        <v>2620</v>
      </c>
      <c r="G18" s="523" t="s">
        <v>2621</v>
      </c>
      <c r="H18" s="522" t="s">
        <v>2622</v>
      </c>
      <c r="I18" s="522" t="s">
        <v>2623</v>
      </c>
      <c r="J18" s="77" t="s">
        <v>2624</v>
      </c>
      <c r="K18" s="364" t="s">
        <v>122</v>
      </c>
      <c r="M18" t="s">
        <v>8420</v>
      </c>
      <c r="N18" s="1586">
        <f>+'Accounting Schedule B-7'!R340</f>
        <v>1360515.8439499997</v>
      </c>
    </row>
    <row r="19" spans="1:17">
      <c r="A19" s="354" t="s">
        <v>2175</v>
      </c>
      <c r="B19" s="524" t="s">
        <v>2176</v>
      </c>
      <c r="C19" s="524" t="s">
        <v>2177</v>
      </c>
      <c r="D19" s="524" t="s">
        <v>2178</v>
      </c>
      <c r="E19" s="524" t="s">
        <v>2179</v>
      </c>
      <c r="F19" s="525" t="s">
        <v>2625</v>
      </c>
      <c r="G19" s="356" t="s">
        <v>2626</v>
      </c>
      <c r="H19" s="356" t="s">
        <v>2627</v>
      </c>
      <c r="I19" s="524" t="s">
        <v>2628</v>
      </c>
      <c r="J19" s="524" t="s">
        <v>2629</v>
      </c>
      <c r="K19" s="356" t="s">
        <v>2630</v>
      </c>
      <c r="M19" s="297" t="s">
        <v>8421</v>
      </c>
      <c r="N19" s="1639">
        <f>+SUM(D46:D52)</f>
        <v>1344997.8060499998</v>
      </c>
    </row>
    <row r="20" spans="1:17">
      <c r="A20" s="604">
        <v>1</v>
      </c>
      <c r="B20" t="s">
        <v>2631</v>
      </c>
      <c r="E20"/>
      <c r="F20" s="36"/>
      <c r="G20" s="36"/>
      <c r="H20" s="357"/>
      <c r="I20" s="357"/>
      <c r="K20" s="296"/>
      <c r="N20" s="516">
        <f>+N18-N19</f>
        <v>15518.037899999879</v>
      </c>
    </row>
    <row r="21" spans="1:17">
      <c r="A21" s="365">
        <v>2</v>
      </c>
      <c r="B21" s="328" t="s">
        <v>2632</v>
      </c>
      <c r="C21" s="328"/>
      <c r="D21" s="555">
        <f>+(SUMIFS('Generation Land'!E27:E33,'Generation Land'!B27:B33,"=31040"))/1000+(SUMIFS('Accounting Schedule B-7'!R:R,'Accounting Schedule B-7'!D:D,"TOTAL BIG BEND COMMON"))+(SUMIFS('Accounting Schedule B-7'!R:R,'Accounting Schedule B-7'!D:D,"Big Bend Fuel Clause"))</f>
        <v>598644.62948</v>
      </c>
      <c r="E21" s="556">
        <f>-D21</f>
        <v>-598644.62948</v>
      </c>
      <c r="F21" s="557">
        <f>+SUM(D21:E21)</f>
        <v>0</v>
      </c>
      <c r="G21" s="603">
        <v>0</v>
      </c>
      <c r="H21" s="557">
        <f>+F21-G21</f>
        <v>0</v>
      </c>
      <c r="I21" s="578"/>
      <c r="J21" s="556"/>
      <c r="K21" s="579"/>
      <c r="M21" t="s">
        <v>8416</v>
      </c>
      <c r="N21" s="1586">
        <f>+-'ECRC Adj Gen'!C18/1000</f>
        <v>-17110.928949999994</v>
      </c>
      <c r="P21" s="1586"/>
      <c r="Q21" s="46"/>
    </row>
    <row r="22" spans="1:17">
      <c r="A22" s="365">
        <v>3</v>
      </c>
      <c r="B22" s="328"/>
      <c r="C22" s="328"/>
      <c r="D22" s="558"/>
      <c r="E22" s="580"/>
      <c r="F22" s="557"/>
      <c r="G22" s="557"/>
      <c r="H22" s="578"/>
      <c r="I22" s="581"/>
      <c r="J22" s="555"/>
      <c r="K22" s="582"/>
      <c r="M22" t="s">
        <v>8417</v>
      </c>
      <c r="N22" s="1586">
        <f>+'Generation Land'!E6/1000</f>
        <v>1592.89105</v>
      </c>
    </row>
    <row r="23" spans="1:17">
      <c r="A23" s="365">
        <v>4</v>
      </c>
      <c r="B23" s="328" t="s">
        <v>2633</v>
      </c>
      <c r="C23" s="504">
        <f>+SUMIFS('Net Dependable Capacity'!E:E,'Net Dependable Capacity'!B:B,TRIM(Generation!B23))</f>
        <v>0</v>
      </c>
      <c r="D23" s="603">
        <v>0</v>
      </c>
      <c r="E23" s="556">
        <f>-D23</f>
        <v>0</v>
      </c>
      <c r="F23" s="557">
        <f t="shared" ref="F23:F28" si="0">+SUM(D23:E23)</f>
        <v>0</v>
      </c>
      <c r="G23" s="583">
        <f t="shared" ref="G23:G28" si="1">+F23*$G$16</f>
        <v>0</v>
      </c>
      <c r="H23" s="557">
        <f t="shared" ref="H23:H28" si="2">+F23-G23</f>
        <v>0</v>
      </c>
      <c r="I23" s="581">
        <f>+H23</f>
        <v>0</v>
      </c>
      <c r="J23" s="603">
        <v>0</v>
      </c>
      <c r="K23" s="582">
        <f t="shared" ref="K23:K28" si="3">+SUM(I23:J23)</f>
        <v>0</v>
      </c>
      <c r="N23" s="1640">
        <f>+SUM(N20:N22)</f>
        <v>-1.1482370609883219E-10</v>
      </c>
    </row>
    <row r="24" spans="1:17">
      <c r="A24" s="365">
        <v>5</v>
      </c>
      <c r="B24" s="328" t="s">
        <v>2634</v>
      </c>
      <c r="C24" s="612">
        <v>0</v>
      </c>
      <c r="D24" s="603">
        <v>0</v>
      </c>
      <c r="E24" s="556">
        <f>-D24</f>
        <v>0</v>
      </c>
      <c r="F24" s="557">
        <f t="shared" si="0"/>
        <v>0</v>
      </c>
      <c r="G24" s="583">
        <f t="shared" si="1"/>
        <v>0</v>
      </c>
      <c r="H24" s="557">
        <f t="shared" si="2"/>
        <v>0</v>
      </c>
      <c r="I24" s="581">
        <f>+H24</f>
        <v>0</v>
      </c>
      <c r="J24" s="603">
        <v>0</v>
      </c>
      <c r="K24" s="582">
        <f t="shared" si="3"/>
        <v>0</v>
      </c>
    </row>
    <row r="25" spans="1:17">
      <c r="A25" s="365">
        <v>6</v>
      </c>
      <c r="B25" s="328" t="s">
        <v>2635</v>
      </c>
      <c r="C25" s="504">
        <f>+SUMIFS('Net Dependable Capacity'!E:E,'Net Dependable Capacity'!B:B,TRIM(Generation!B25))</f>
        <v>0</v>
      </c>
      <c r="D25" s="603">
        <v>0</v>
      </c>
      <c r="E25" s="555">
        <f>+($C$25/$C$30)*($D$21+$D$23+$D$24+$D$28)</f>
        <v>0</v>
      </c>
      <c r="F25" s="557">
        <f t="shared" si="0"/>
        <v>0</v>
      </c>
      <c r="G25" s="583">
        <f t="shared" si="1"/>
        <v>0</v>
      </c>
      <c r="H25" s="557">
        <f t="shared" si="2"/>
        <v>0</v>
      </c>
      <c r="I25" s="581">
        <f>+H25</f>
        <v>0</v>
      </c>
      <c r="J25" s="603">
        <v>0</v>
      </c>
      <c r="K25" s="582">
        <f t="shared" si="3"/>
        <v>0</v>
      </c>
      <c r="M25" t="s">
        <v>8423</v>
      </c>
      <c r="N25" s="1586">
        <f>+'Accounting Schedule B-7'!R261</f>
        <v>1504349.3215399999</v>
      </c>
      <c r="P25" s="64"/>
      <c r="Q25" s="46"/>
    </row>
    <row r="26" spans="1:17">
      <c r="A26" s="365">
        <v>7</v>
      </c>
      <c r="B26" s="328" t="s">
        <v>2636</v>
      </c>
      <c r="C26" s="504">
        <f>+SUMIFS('Net Dependable Capacity'!E:E,'Net Dependable Capacity'!B:B,TRIM(Generation!B26))</f>
        <v>432</v>
      </c>
      <c r="D26" s="560">
        <f>+SUMIFS('Accounting Schedule B-7'!R:R,'Accounting Schedule B-7'!D:D,"TOTAL BIG BEND UNIT 4*")-SUM('ECRC Adj Gen'!C10:C11,'ECRC Adj Gen'!C17)/1000</f>
        <v>382562.02310999995</v>
      </c>
      <c r="E26" s="555">
        <f>+($C$26/$C$30)*($D$21+$D$23+$D$24+$D$28)</f>
        <v>599380.76884999999</v>
      </c>
      <c r="F26" s="557">
        <f t="shared" si="0"/>
        <v>981942.79195999994</v>
      </c>
      <c r="G26" s="583">
        <f t="shared" si="1"/>
        <v>0</v>
      </c>
      <c r="H26" s="557">
        <f t="shared" si="2"/>
        <v>981942.79195999994</v>
      </c>
      <c r="I26" s="581">
        <f>+H26</f>
        <v>981942.79195999994</v>
      </c>
      <c r="J26" s="603">
        <v>0</v>
      </c>
      <c r="K26" s="582">
        <f t="shared" si="3"/>
        <v>981942.79195999994</v>
      </c>
      <c r="M26" s="297" t="s">
        <v>8422</v>
      </c>
      <c r="N26" s="1639">
        <f>+SUM(D54:D60)</f>
        <v>1520985.19001</v>
      </c>
      <c r="Q26" s="46"/>
    </row>
    <row r="27" spans="1:17">
      <c r="A27" s="365">
        <v>8</v>
      </c>
      <c r="B27" s="328" t="s">
        <v>2637</v>
      </c>
      <c r="C27" s="504"/>
      <c r="D27" s="560">
        <f>(+SUMIFS('Accounting Schedule B-7'!R:R,'Accounting Schedule B-7'!D:D,"=TOTAL BIG BEND UNIT 3 &amp; 4 FGD"))+(+SUMIFS('Accounting Schedule B-7'!R:R,'Accounting Schedule B-7'!D:D,"=TOTAL BIG BEND UNIT 1 &amp; 2 FGD"))</f>
        <v>257984.47235</v>
      </c>
      <c r="E27" s="580"/>
      <c r="F27" s="557">
        <f t="shared" si="0"/>
        <v>257984.47235</v>
      </c>
      <c r="G27" s="583">
        <f t="shared" si="1"/>
        <v>0</v>
      </c>
      <c r="H27" s="557">
        <f t="shared" si="2"/>
        <v>257984.47235</v>
      </c>
      <c r="I27" s="603">
        <v>0</v>
      </c>
      <c r="J27" s="584">
        <f>+H27</f>
        <v>257984.47235</v>
      </c>
      <c r="K27" s="582">
        <f t="shared" si="3"/>
        <v>257984.47235</v>
      </c>
      <c r="N27" s="516">
        <f>+N25-N26</f>
        <v>-16635.868470000103</v>
      </c>
    </row>
    <row r="28" spans="1:17">
      <c r="A28" s="365">
        <v>9</v>
      </c>
      <c r="B28" s="328" t="s">
        <v>2638</v>
      </c>
      <c r="C28" s="505"/>
      <c r="D28" s="561">
        <f>(+SUMIFS('Accounting Schedule B-7'!R:R,'Accounting Schedule B-7'!D:D,"=BIG BEND TOOLS - AMORT"))</f>
        <v>736.13936999999999</v>
      </c>
      <c r="E28" s="568">
        <f>-D28</f>
        <v>-736.13936999999999</v>
      </c>
      <c r="F28" s="562">
        <f t="shared" si="0"/>
        <v>0</v>
      </c>
      <c r="G28" s="585">
        <f t="shared" si="1"/>
        <v>0</v>
      </c>
      <c r="H28" s="562">
        <f t="shared" si="2"/>
        <v>0</v>
      </c>
      <c r="I28" s="586">
        <f>+H28</f>
        <v>0</v>
      </c>
      <c r="J28" s="605">
        <v>0</v>
      </c>
      <c r="K28" s="587">
        <f t="shared" si="3"/>
        <v>0</v>
      </c>
      <c r="M28" t="s">
        <v>8416</v>
      </c>
      <c r="N28" s="1586">
        <f>-'ECRC Adj Gen'!C12/1000</f>
        <v>-1561.473</v>
      </c>
    </row>
    <row r="29" spans="1:17">
      <c r="A29" s="365">
        <v>10</v>
      </c>
      <c r="B29" s="328"/>
      <c r="C29" s="504"/>
      <c r="D29" s="548"/>
      <c r="E29" s="580"/>
      <c r="F29" s="557"/>
      <c r="G29" s="557"/>
      <c r="H29" s="578"/>
      <c r="I29" s="588"/>
      <c r="J29" s="580"/>
      <c r="K29" s="582"/>
      <c r="M29" s="297" t="s">
        <v>8417</v>
      </c>
      <c r="N29" s="1639">
        <f>+'Generation Land'!E7/1000</f>
        <v>18197.341469999999</v>
      </c>
    </row>
    <row r="30" spans="1:17">
      <c r="A30" s="365">
        <v>11</v>
      </c>
      <c r="B30" s="328" t="s">
        <v>2639</v>
      </c>
      <c r="C30" s="505">
        <f>+SUM(C23:C28)</f>
        <v>432</v>
      </c>
      <c r="D30" s="561">
        <f>+SUM(D23:D28)</f>
        <v>641282.63482999988</v>
      </c>
      <c r="E30" s="589">
        <f>+SUM(E23:E28)</f>
        <v>598644.62948</v>
      </c>
      <c r="F30" s="585">
        <f>+SUM(D30:E30)</f>
        <v>1239927.26431</v>
      </c>
      <c r="G30" s="585">
        <f>+SUM(G23:G28)</f>
        <v>0</v>
      </c>
      <c r="H30" s="590">
        <f>+SUM(H23:H28)</f>
        <v>1239927.26431</v>
      </c>
      <c r="I30" s="590">
        <f>+SUM(I23:I28)</f>
        <v>981942.79195999994</v>
      </c>
      <c r="J30" s="568">
        <f>+SUM(J23:J28)</f>
        <v>257984.47235</v>
      </c>
      <c r="K30" s="587">
        <f>+SUM(I30:J30)</f>
        <v>1239927.26431</v>
      </c>
      <c r="N30" s="1640">
        <f>+SUM(N27:N29)</f>
        <v>-1.0186340659856796E-10</v>
      </c>
    </row>
    <row r="31" spans="1:17">
      <c r="A31" s="365">
        <v>12</v>
      </c>
      <c r="B31" s="328"/>
      <c r="C31" s="504"/>
      <c r="D31" s="559"/>
      <c r="E31" s="591"/>
      <c r="F31" s="582"/>
      <c r="G31" s="583"/>
      <c r="H31" s="588"/>
      <c r="I31" s="588"/>
      <c r="J31" s="580"/>
      <c r="K31" s="582"/>
    </row>
    <row r="32" spans="1:17">
      <c r="A32" s="365">
        <v>13</v>
      </c>
      <c r="B32" s="328" t="s">
        <v>2640</v>
      </c>
      <c r="C32" s="504"/>
      <c r="D32" s="603">
        <v>0</v>
      </c>
      <c r="E32" s="591">
        <f>-D32</f>
        <v>0</v>
      </c>
      <c r="F32" s="583">
        <f>+SUM(D32:E32)</f>
        <v>0</v>
      </c>
      <c r="G32" s="583">
        <f>+F32*$G$16</f>
        <v>0</v>
      </c>
      <c r="H32" s="557">
        <f>+F32-G32</f>
        <v>0</v>
      </c>
      <c r="I32" s="581">
        <f>+H32</f>
        <v>0</v>
      </c>
      <c r="J32" s="603">
        <v>0</v>
      </c>
      <c r="K32" s="582">
        <f>+SUM(I32:J32)</f>
        <v>0</v>
      </c>
      <c r="M32" t="s">
        <v>8424</v>
      </c>
      <c r="N32" s="1586">
        <f>+'Accounting Schedule B-7'!R361+'Accounting Schedule B-7'!R368</f>
        <v>1893633.3766200002</v>
      </c>
    </row>
    <row r="33" spans="1:15">
      <c r="A33" s="365">
        <v>14</v>
      </c>
      <c r="B33" s="328"/>
      <c r="C33" s="538"/>
      <c r="D33" s="548"/>
      <c r="E33" s="582"/>
      <c r="F33" s="579"/>
      <c r="G33" s="557"/>
      <c r="H33" s="557"/>
      <c r="I33" s="588"/>
      <c r="J33" s="580"/>
      <c r="K33" s="582"/>
      <c r="M33" s="297" t="s">
        <v>8425</v>
      </c>
      <c r="N33" s="1639">
        <f>+D42</f>
        <v>2068978.4465800002</v>
      </c>
    </row>
    <row r="34" spans="1:15">
      <c r="A34" s="365">
        <v>15</v>
      </c>
      <c r="B34" s="328" t="s">
        <v>2641</v>
      </c>
      <c r="C34" s="539">
        <f>+C30</f>
        <v>432</v>
      </c>
      <c r="D34" s="568">
        <f>+D30</f>
        <v>641282.63482999988</v>
      </c>
      <c r="E34" s="587">
        <f>+E30</f>
        <v>598644.62948</v>
      </c>
      <c r="F34" s="585">
        <f>+SUM(D34:E34)</f>
        <v>1239927.26431</v>
      </c>
      <c r="G34" s="585">
        <f>+G28</f>
        <v>0</v>
      </c>
      <c r="H34" s="585">
        <f>+H30</f>
        <v>1239927.26431</v>
      </c>
      <c r="I34" s="568">
        <f>+I30</f>
        <v>981942.79195999994</v>
      </c>
      <c r="J34" s="568">
        <f>+J30</f>
        <v>257984.47235</v>
      </c>
      <c r="K34" s="587">
        <f>+SUM(I34:J34)</f>
        <v>1239927.26431</v>
      </c>
      <c r="N34" s="516">
        <f>+N32-N33</f>
        <v>-175345.06995999999</v>
      </c>
    </row>
    <row r="35" spans="1:15">
      <c r="A35" s="365">
        <v>16</v>
      </c>
      <c r="B35" s="328"/>
      <c r="C35" s="538"/>
      <c r="D35" s="548"/>
      <c r="E35" s="580"/>
      <c r="F35" s="557"/>
      <c r="G35" s="557"/>
      <c r="H35" s="592"/>
      <c r="I35" s="580"/>
      <c r="J35" s="580"/>
      <c r="K35" s="582"/>
      <c r="M35" t="s">
        <v>8416</v>
      </c>
      <c r="N35" s="1586">
        <v>0</v>
      </c>
    </row>
    <row r="36" spans="1:15">
      <c r="A36" s="365">
        <v>17</v>
      </c>
      <c r="B36" s="328" t="s">
        <v>2642</v>
      </c>
      <c r="C36" s="538"/>
      <c r="D36" s="563"/>
      <c r="E36" s="580"/>
      <c r="F36" s="557"/>
      <c r="G36" s="557"/>
      <c r="H36" s="557"/>
      <c r="I36" s="580"/>
      <c r="J36" s="580"/>
      <c r="K36" s="582"/>
      <c r="M36" s="297" t="s">
        <v>8417</v>
      </c>
      <c r="N36" s="1639">
        <f>+SUM('Generation Land'!E8)/1000</f>
        <v>175345.06996000002</v>
      </c>
    </row>
    <row r="37" spans="1:15">
      <c r="A37" s="365">
        <v>18</v>
      </c>
      <c r="B37" s="328" t="s">
        <v>2643</v>
      </c>
      <c r="C37" s="504">
        <f>+SUMIFS('Net Dependable Capacity'!E:E,'Net Dependable Capacity'!B:B,TRIM(Generation!B37))</f>
        <v>61</v>
      </c>
      <c r="D37" s="555">
        <f>(+SUMIFS('Accounting Schedule B-7'!R:R,'Accounting Schedule B-7'!D:D,"=TOTAL BIG BEND COMBUSTION TURBINE 4"))</f>
        <v>45608.270859999997</v>
      </c>
      <c r="E37" s="603">
        <v>0</v>
      </c>
      <c r="F37" s="583">
        <f t="shared" ref="F37:F62" si="4">+SUM(D37:E37)</f>
        <v>45608.270859999997</v>
      </c>
      <c r="G37" s="583">
        <f>+F37*$G$16</f>
        <v>0</v>
      </c>
      <c r="H37" s="557">
        <f t="shared" ref="H37:H44" si="5">+F37-G37</f>
        <v>45608.270859999997</v>
      </c>
      <c r="I37" s="581">
        <f t="shared" ref="I37:I44" si="6">+H37</f>
        <v>45608.270859999997</v>
      </c>
      <c r="J37" s="603">
        <v>0</v>
      </c>
      <c r="K37" s="582">
        <f>+SUM(I37:J37)</f>
        <v>45608.270859999997</v>
      </c>
      <c r="N37" s="1640">
        <f>+SUM(N34:N36)</f>
        <v>0</v>
      </c>
    </row>
    <row r="38" spans="1:15">
      <c r="A38" s="365">
        <v>19</v>
      </c>
      <c r="B38" s="328" t="s">
        <v>2665</v>
      </c>
      <c r="C38" s="504">
        <f>+SUMIFS('Net Dependable Capacity'!E:E,'Net Dependable Capacity'!B:B,TRIM(Generation!B38))</f>
        <v>350</v>
      </c>
      <c r="D38" s="555">
        <f>(+SUMIFS('Accounting Schedule B-7'!R:R,'Accounting Schedule B-7'!D:D,"=TOTAL BIG BEND COMBUSTION TURBINE 5"))</f>
        <v>177360.79612000001</v>
      </c>
      <c r="E38" s="603">
        <v>0</v>
      </c>
      <c r="F38" s="583">
        <f t="shared" si="4"/>
        <v>177360.79612000001</v>
      </c>
      <c r="G38" s="583">
        <f t="shared" ref="G38:G44" si="7">+F38*$G$16</f>
        <v>0</v>
      </c>
      <c r="H38" s="557">
        <f t="shared" si="5"/>
        <v>177360.79612000001</v>
      </c>
      <c r="I38" s="581">
        <f t="shared" si="6"/>
        <v>177360.79612000001</v>
      </c>
      <c r="J38" s="603">
        <v>0</v>
      </c>
      <c r="K38" s="582">
        <f t="shared" ref="K38:K60" si="8">+SUM(I38:J38)</f>
        <v>177360.79612000001</v>
      </c>
    </row>
    <row r="39" spans="1:15">
      <c r="A39" s="365">
        <v>20</v>
      </c>
      <c r="B39" s="328" t="s">
        <v>2666</v>
      </c>
      <c r="C39" s="504">
        <f>+SUMIFS('Net Dependable Capacity'!E:E,'Net Dependable Capacity'!B:B,TRIM(Generation!B39))</f>
        <v>350</v>
      </c>
      <c r="D39" s="555">
        <f>(+SUMIFS('Accounting Schedule B-7'!R:R,'Accounting Schedule B-7'!D:D,"=TOTAL BIG BEND COMBUSTION TURBINE 6"))</f>
        <v>176043.73687999998</v>
      </c>
      <c r="E39" s="603">
        <v>0</v>
      </c>
      <c r="F39" s="583">
        <f t="shared" si="4"/>
        <v>176043.73687999998</v>
      </c>
      <c r="G39" s="583">
        <f t="shared" si="7"/>
        <v>0</v>
      </c>
      <c r="H39" s="557">
        <f t="shared" si="5"/>
        <v>176043.73687999998</v>
      </c>
      <c r="I39" s="581">
        <f t="shared" si="6"/>
        <v>176043.73687999998</v>
      </c>
      <c r="J39" s="603">
        <v>0</v>
      </c>
      <c r="K39" s="582">
        <f t="shared" si="8"/>
        <v>176043.73687999998</v>
      </c>
      <c r="M39" t="s">
        <v>8427</v>
      </c>
      <c r="N39" s="1640">
        <f>+SUM(N32,N25,N18,N11)-N4</f>
        <v>-92808.190790000372</v>
      </c>
      <c r="O39" t="s">
        <v>9338</v>
      </c>
    </row>
    <row r="40" spans="1:15">
      <c r="A40" s="365">
        <v>21</v>
      </c>
      <c r="B40" s="328" t="s">
        <v>2667</v>
      </c>
      <c r="C40" s="1636">
        <f>+SUMIFS('Net Dependable Capacity'!E:E,'Net Dependable Capacity'!B:B,TRIM(Generation!B40))</f>
        <v>419</v>
      </c>
      <c r="D40" s="555">
        <f>(+SUMIFS('Accounting Schedule B-7'!R:R,'Accounting Schedule B-7'!D:D,"=TOTAL BIG BEND NEW STEAM TURBINE 1"))</f>
        <v>466137.89483999996</v>
      </c>
      <c r="E40" s="603">
        <v>0</v>
      </c>
      <c r="F40" s="583">
        <f t="shared" si="4"/>
        <v>466137.89483999996</v>
      </c>
      <c r="G40" s="583">
        <f t="shared" si="7"/>
        <v>0</v>
      </c>
      <c r="H40" s="557">
        <f t="shared" si="5"/>
        <v>466137.89483999996</v>
      </c>
      <c r="I40" s="581">
        <f t="shared" si="6"/>
        <v>466137.89483999996</v>
      </c>
      <c r="J40" s="603">
        <v>0</v>
      </c>
      <c r="K40" s="582">
        <f t="shared" si="8"/>
        <v>466137.89483999996</v>
      </c>
      <c r="M40" s="297" t="s">
        <v>8426</v>
      </c>
      <c r="N40" s="1641">
        <f>+SUM(N33,N26,N19,N12)-N5</f>
        <v>-92808.19078999944</v>
      </c>
    </row>
    <row r="41" spans="1:15">
      <c r="A41" s="365">
        <v>22</v>
      </c>
      <c r="B41" s="328" t="s">
        <v>2644</v>
      </c>
      <c r="C41" s="504">
        <f>+SUMIFS('Net Dependable Capacity'!E:E,'Net Dependable Capacity'!B:B,TRIM(Generation!B41))</f>
        <v>0</v>
      </c>
      <c r="D41" s="603">
        <v>0</v>
      </c>
      <c r="E41" s="603">
        <v>0</v>
      </c>
      <c r="F41" s="583">
        <f t="shared" si="4"/>
        <v>0</v>
      </c>
      <c r="G41" s="583">
        <f t="shared" si="7"/>
        <v>0</v>
      </c>
      <c r="H41" s="557">
        <f t="shared" si="5"/>
        <v>0</v>
      </c>
      <c r="I41" s="581">
        <f t="shared" si="6"/>
        <v>0</v>
      </c>
      <c r="J41" s="603">
        <v>0</v>
      </c>
      <c r="K41" s="582">
        <f t="shared" si="8"/>
        <v>0</v>
      </c>
      <c r="N41" s="1640">
        <f>+N39-N40</f>
        <v>-9.3132257461547852E-10</v>
      </c>
    </row>
    <row r="42" spans="1:15">
      <c r="A42" s="365">
        <v>23</v>
      </c>
      <c r="B42" s="96" t="s">
        <v>2645</v>
      </c>
      <c r="C42" s="504">
        <f>+SUMIFS('Net Dependable Capacity'!E:E,'Net Dependable Capacity'!B:B,TRIM(Generation!B42))</f>
        <v>1248.6000000000001</v>
      </c>
      <c r="D42" s="555">
        <f>(+SUMIFS('Accounting Schedule B-7'!R:R,'Accounting Schedule B-7'!D:D,"=TOTAL SOLAR SITES"))+(+SUMIFS('Accounting Schedule B-7'!R:R,'Accounting Schedule B-7'!D:D,"=TOTAL DC MICRO GRID"))+(SUMIFS('Generation Land'!E5:E11,'Generation Land'!C5:C11,"Solar"))/1000</f>
        <v>2068978.4465800002</v>
      </c>
      <c r="E42" s="603">
        <v>0</v>
      </c>
      <c r="F42" s="583">
        <f t="shared" si="4"/>
        <v>2068978.4465800002</v>
      </c>
      <c r="G42" s="583">
        <f t="shared" si="7"/>
        <v>0</v>
      </c>
      <c r="H42" s="557">
        <f t="shared" si="5"/>
        <v>2068978.4465800002</v>
      </c>
      <c r="I42" s="581">
        <f t="shared" si="6"/>
        <v>2068978.4465800002</v>
      </c>
      <c r="J42" s="603">
        <v>0</v>
      </c>
      <c r="K42" s="582">
        <f t="shared" si="8"/>
        <v>2068978.4465800002</v>
      </c>
      <c r="M42" t="s">
        <v>8416</v>
      </c>
      <c r="N42" s="1640">
        <f>+SUM(N35,N28,N21,N14)-N7</f>
        <v>-1.0000076144933701E-5</v>
      </c>
    </row>
    <row r="43" spans="1:15">
      <c r="A43" s="365">
        <v>24</v>
      </c>
      <c r="B43" s="96" t="s">
        <v>9261</v>
      </c>
      <c r="C43" s="504">
        <f>+SUMIFS('Net Dependable Capacity'!E:E,'Net Dependable Capacity'!B:B,TRIM(Generation!B43))</f>
        <v>0</v>
      </c>
      <c r="D43" s="555">
        <f>(+SUMIFS('Accounting Schedule B-7'!R:R,'Accounting Schedule B-7'!D:D,"TOTAL MACDILL AFB"))</f>
        <v>92808.190789999993</v>
      </c>
      <c r="E43" s="603">
        <v>0</v>
      </c>
      <c r="F43" s="583">
        <f t="shared" si="4"/>
        <v>92808.190789999993</v>
      </c>
      <c r="G43" s="583">
        <f t="shared" si="7"/>
        <v>0</v>
      </c>
      <c r="H43" s="557">
        <f t="shared" si="5"/>
        <v>92808.190789999993</v>
      </c>
      <c r="I43" s="581">
        <f t="shared" si="6"/>
        <v>92808.190789999993</v>
      </c>
      <c r="J43" s="603">
        <v>0</v>
      </c>
      <c r="K43" s="582">
        <f t="shared" si="8"/>
        <v>92808.190789999993</v>
      </c>
      <c r="M43" s="297" t="s">
        <v>8417</v>
      </c>
      <c r="N43" s="1641">
        <f>+SUM(N36,N29,N22,N15)-N8</f>
        <v>0</v>
      </c>
    </row>
    <row r="44" spans="1:15">
      <c r="A44" s="365">
        <v>25</v>
      </c>
      <c r="B44" s="328" t="s">
        <v>2646</v>
      </c>
      <c r="C44" s="504">
        <f>+SUMIFS('Net Dependable Capacity'!E:E,'Net Dependable Capacity'!B:B,TRIM(Generation!B44))</f>
        <v>0</v>
      </c>
      <c r="D44" s="603">
        <v>0</v>
      </c>
      <c r="E44" s="603">
        <v>0</v>
      </c>
      <c r="F44" s="583">
        <f t="shared" si="4"/>
        <v>0</v>
      </c>
      <c r="G44" s="583">
        <f t="shared" si="7"/>
        <v>0</v>
      </c>
      <c r="H44" s="557">
        <f t="shared" si="5"/>
        <v>0</v>
      </c>
      <c r="I44" s="581">
        <f t="shared" si="6"/>
        <v>0</v>
      </c>
      <c r="J44" s="603">
        <v>0</v>
      </c>
      <c r="K44" s="582">
        <f t="shared" si="8"/>
        <v>0</v>
      </c>
      <c r="N44" s="1640">
        <f>+SUM(N41:N43)</f>
        <v>-1.0001007467508316E-5</v>
      </c>
    </row>
    <row r="45" spans="1:15">
      <c r="A45" s="365">
        <v>26</v>
      </c>
      <c r="B45" s="328"/>
      <c r="C45" s="504"/>
      <c r="D45" s="555"/>
      <c r="E45" s="555"/>
      <c r="F45" s="557"/>
      <c r="G45" s="583"/>
      <c r="H45" s="557"/>
      <c r="I45" s="581"/>
      <c r="J45" s="555"/>
      <c r="K45" s="582"/>
    </row>
    <row r="46" spans="1:15">
      <c r="A46" s="365">
        <v>27</v>
      </c>
      <c r="B46" s="328" t="s">
        <v>2647</v>
      </c>
      <c r="C46" s="504">
        <f>+SUMIFS('Net Dependable Capacity'!D:D,'Net Dependable Capacity'!B:B,TRIM(Generation!B46))</f>
        <v>768</v>
      </c>
      <c r="D46" s="555">
        <f>(+SUMIFS('Accounting Schedule B-7'!R:R,'Accounting Schedule B-7'!D:D,"=TOTAL BAYSIDE UNIT 1"))</f>
        <v>425075.27542999992</v>
      </c>
      <c r="E46" s="603">
        <v>0</v>
      </c>
      <c r="F46" s="583">
        <f t="shared" si="4"/>
        <v>425075.27542999992</v>
      </c>
      <c r="G46" s="583">
        <f t="shared" ref="G46:G52" si="9">+F46*$G$16</f>
        <v>0</v>
      </c>
      <c r="H46" s="557">
        <f t="shared" ref="H46:H52" si="10">+F46-G46</f>
        <v>425075.27542999992</v>
      </c>
      <c r="I46" s="581">
        <f t="shared" ref="I46:I52" si="11">+H46</f>
        <v>425075.27542999992</v>
      </c>
      <c r="J46" s="603">
        <v>0</v>
      </c>
      <c r="K46" s="582">
        <f t="shared" si="8"/>
        <v>425075.27542999992</v>
      </c>
    </row>
    <row r="47" spans="1:15">
      <c r="A47" s="365">
        <v>28</v>
      </c>
      <c r="B47" s="328" t="s">
        <v>2648</v>
      </c>
      <c r="C47" s="504">
        <f>+SUMIFS('Net Dependable Capacity'!D:D,'Net Dependable Capacity'!B:B,TRIM(Generation!B47))</f>
        <v>954</v>
      </c>
      <c r="D47" s="555">
        <f>(+SUMIFS('Accounting Schedule B-7'!R:R,'Accounting Schedule B-7'!D:D,"=TOTAL BAYSIDE UNIT 2"))</f>
        <v>544546.91953000007</v>
      </c>
      <c r="E47" s="603">
        <v>0</v>
      </c>
      <c r="F47" s="583">
        <f t="shared" si="4"/>
        <v>544546.91953000007</v>
      </c>
      <c r="G47" s="583">
        <f t="shared" si="9"/>
        <v>0</v>
      </c>
      <c r="H47" s="557">
        <f t="shared" si="10"/>
        <v>544546.91953000007</v>
      </c>
      <c r="I47" s="581">
        <f t="shared" si="11"/>
        <v>544546.91953000007</v>
      </c>
      <c r="J47" s="603">
        <v>0</v>
      </c>
      <c r="K47" s="582">
        <f t="shared" si="8"/>
        <v>544546.91953000007</v>
      </c>
    </row>
    <row r="48" spans="1:15">
      <c r="A48" s="365">
        <v>29</v>
      </c>
      <c r="B48" s="328" t="s">
        <v>2649</v>
      </c>
      <c r="C48" s="504">
        <f>+SUMIFS('Net Dependable Capacity'!D:D,'Net Dependable Capacity'!B:B,TRIM(Generation!B48))</f>
        <v>56</v>
      </c>
      <c r="D48" s="555">
        <f>(+SUMIFS('Accounting Schedule B-7'!R:R,'Accounting Schedule B-7'!D:D,"=TOTAL BAYSIDE COMBUSTION TURBINE 3"))</f>
        <v>36332.613850000002</v>
      </c>
      <c r="E48" s="603">
        <v>0</v>
      </c>
      <c r="F48" s="583">
        <f t="shared" si="4"/>
        <v>36332.613850000002</v>
      </c>
      <c r="G48" s="583">
        <f t="shared" si="9"/>
        <v>0</v>
      </c>
      <c r="H48" s="557">
        <f t="shared" si="10"/>
        <v>36332.613850000002</v>
      </c>
      <c r="I48" s="581">
        <f t="shared" si="11"/>
        <v>36332.613850000002</v>
      </c>
      <c r="J48" s="603">
        <v>0</v>
      </c>
      <c r="K48" s="582">
        <f t="shared" si="8"/>
        <v>36332.613850000002</v>
      </c>
    </row>
    <row r="49" spans="1:11">
      <c r="A49" s="365">
        <v>30</v>
      </c>
      <c r="B49" s="328" t="s">
        <v>2650</v>
      </c>
      <c r="C49" s="504">
        <f>+SUMIFS('Net Dependable Capacity'!D:D,'Net Dependable Capacity'!B:B,TRIM(Generation!B49))</f>
        <v>56</v>
      </c>
      <c r="D49" s="555">
        <f>(+SUMIFS('Accounting Schedule B-7'!R:R,'Accounting Schedule B-7'!D:D,"=TOTAL BAYSIDE COMBUSTION TURBINE 4"))</f>
        <v>23868.87212</v>
      </c>
      <c r="E49" s="603">
        <v>0</v>
      </c>
      <c r="F49" s="583">
        <f t="shared" si="4"/>
        <v>23868.87212</v>
      </c>
      <c r="G49" s="583">
        <f t="shared" si="9"/>
        <v>0</v>
      </c>
      <c r="H49" s="557">
        <f t="shared" si="10"/>
        <v>23868.87212</v>
      </c>
      <c r="I49" s="581">
        <f t="shared" si="11"/>
        <v>23868.87212</v>
      </c>
      <c r="J49" s="603">
        <v>0</v>
      </c>
      <c r="K49" s="582">
        <f t="shared" si="8"/>
        <v>23868.87212</v>
      </c>
    </row>
    <row r="50" spans="1:11">
      <c r="A50" s="365">
        <v>31</v>
      </c>
      <c r="B50" s="328" t="s">
        <v>2651</v>
      </c>
      <c r="C50" s="504">
        <f>+SUMIFS('Net Dependable Capacity'!D:D,'Net Dependable Capacity'!B:B,TRIM(Generation!B50))</f>
        <v>56</v>
      </c>
      <c r="D50" s="555">
        <f>(+SUMIFS('Accounting Schedule B-7'!R:R,'Accounting Schedule B-7'!D:D,"=TOTAL BAYSIDE COMBUSTION TURBINE 5"))</f>
        <v>32228.150020000001</v>
      </c>
      <c r="E50" s="603">
        <v>0</v>
      </c>
      <c r="F50" s="583">
        <f t="shared" si="4"/>
        <v>32228.150020000001</v>
      </c>
      <c r="G50" s="583">
        <f t="shared" si="9"/>
        <v>0</v>
      </c>
      <c r="H50" s="557">
        <f t="shared" si="10"/>
        <v>32228.150020000001</v>
      </c>
      <c r="I50" s="581">
        <f t="shared" si="11"/>
        <v>32228.150020000001</v>
      </c>
      <c r="J50" s="603">
        <v>0</v>
      </c>
      <c r="K50" s="582">
        <f t="shared" si="8"/>
        <v>32228.150020000001</v>
      </c>
    </row>
    <row r="51" spans="1:11">
      <c r="A51" s="365">
        <v>32</v>
      </c>
      <c r="B51" s="328" t="s">
        <v>2652</v>
      </c>
      <c r="C51" s="504">
        <f>+SUMIFS('Net Dependable Capacity'!D:D,'Net Dependable Capacity'!B:B,TRIM(Generation!B51))</f>
        <v>56</v>
      </c>
      <c r="D51" s="555">
        <f>(+SUMIFS('Accounting Schedule B-7'!R:R,'Accounting Schedule B-7'!D:D,"=TOTAL BAYSIDE COMBUSTION TURBINE 6"))</f>
        <v>36126.318299999999</v>
      </c>
      <c r="E51" s="603">
        <v>0</v>
      </c>
      <c r="F51" s="583">
        <f t="shared" si="4"/>
        <v>36126.318299999999</v>
      </c>
      <c r="G51" s="583">
        <f t="shared" si="9"/>
        <v>0</v>
      </c>
      <c r="H51" s="557">
        <f t="shared" si="10"/>
        <v>36126.318299999999</v>
      </c>
      <c r="I51" s="581">
        <f t="shared" si="11"/>
        <v>36126.318299999999</v>
      </c>
      <c r="J51" s="603">
        <v>0</v>
      </c>
      <c r="K51" s="582">
        <f t="shared" si="8"/>
        <v>36126.318299999999</v>
      </c>
    </row>
    <row r="52" spans="1:11">
      <c r="A52" s="365">
        <v>33</v>
      </c>
      <c r="B52" s="328" t="s">
        <v>2653</v>
      </c>
      <c r="C52" s="504"/>
      <c r="D52" s="555">
        <f>(+SUMIFS('Accounting Schedule B-7'!R:R,'Accounting Schedule B-7'!D:D,"=TOTAL BAYSIDE COMMON"))+(+SUMIFS('Accounting Schedule B-7'!R:R,'Accounting Schedule B-7'!D:D,"=Bayside Tools - Amort"))+(SUMIFS('Generation Land'!E5:E11,'Generation Land'!C5:C11,"Bayside Power Station"))/1000-'ECRC Adj Gen'!C18/1000</f>
        <v>246819.65679999997</v>
      </c>
      <c r="E52" s="603">
        <v>0</v>
      </c>
      <c r="F52" s="583">
        <f t="shared" si="4"/>
        <v>246819.65679999997</v>
      </c>
      <c r="G52" s="583">
        <f t="shared" si="9"/>
        <v>0</v>
      </c>
      <c r="H52" s="557">
        <f t="shared" si="10"/>
        <v>246819.65679999997</v>
      </c>
      <c r="I52" s="581">
        <f t="shared" si="11"/>
        <v>246819.65679999997</v>
      </c>
      <c r="J52" s="603">
        <v>0</v>
      </c>
      <c r="K52" s="582">
        <f t="shared" si="8"/>
        <v>246819.65679999997</v>
      </c>
    </row>
    <row r="53" spans="1:11">
      <c r="A53" s="365">
        <v>34</v>
      </c>
      <c r="B53" s="328"/>
      <c r="C53" s="504"/>
      <c r="D53" s="565"/>
      <c r="E53" s="555"/>
      <c r="F53" s="557"/>
      <c r="G53" s="583"/>
      <c r="H53" s="557"/>
      <c r="I53" s="555"/>
      <c r="J53" s="555"/>
      <c r="K53" s="582"/>
    </row>
    <row r="54" spans="1:11">
      <c r="A54" s="365">
        <v>35</v>
      </c>
      <c r="B54" s="328" t="s">
        <v>2654</v>
      </c>
      <c r="C54" s="504">
        <f>+SUMIFS('Net Dependable Capacity'!E:E,'Net Dependable Capacity'!B:B,TRIM(Generation!B54))</f>
        <v>220</v>
      </c>
      <c r="D54" s="555">
        <f>(+SUMIFS('Accounting Schedule B-7'!R:R,'Accounting Schedule B-7'!D:D,"=TOTAL POLK UNIT 1"))+(SUMIFS('Generation Land'!E5:E11,'Generation Land'!C5:C11,"Polk Power Station"))/1000-(SUMIFS('ECRC Adj Gen'!C8:C20,'ECRC Adj Gen'!B8:B20,"=Polk"))/1000</f>
        <v>600190.69108999998</v>
      </c>
      <c r="E54" s="603">
        <v>0</v>
      </c>
      <c r="F54" s="583">
        <f t="shared" si="4"/>
        <v>600190.69108999998</v>
      </c>
      <c r="G54" s="583">
        <f t="shared" ref="G54:G60" si="12">+F54*$G$16</f>
        <v>0</v>
      </c>
      <c r="H54" s="557">
        <f t="shared" ref="H54:H60" si="13">+F54-G54</f>
        <v>600190.69108999998</v>
      </c>
      <c r="I54" s="581">
        <f>+H54-J54</f>
        <v>308244.59939249995</v>
      </c>
      <c r="J54" s="584">
        <f>+B5/1000</f>
        <v>291946.09169750003</v>
      </c>
      <c r="K54" s="582">
        <f t="shared" si="8"/>
        <v>600190.69108999998</v>
      </c>
    </row>
    <row r="55" spans="1:11">
      <c r="A55" s="365">
        <v>36</v>
      </c>
      <c r="B55" s="328" t="s">
        <v>2655</v>
      </c>
      <c r="C55" s="504">
        <f>+SUMIFS('Net Dependable Capacity'!D:D,'Net Dependable Capacity'!B:B,TRIM(Generation!B55))</f>
        <v>150</v>
      </c>
      <c r="D55" s="555">
        <f>(+SUMIFS('Accounting Schedule B-7'!R:R,'Accounting Schedule B-7'!D:D,"=TOTAL POLK UNIT 2"))</f>
        <v>63955.7978</v>
      </c>
      <c r="E55" s="603">
        <v>0</v>
      </c>
      <c r="F55" s="583">
        <f t="shared" si="4"/>
        <v>63955.7978</v>
      </c>
      <c r="G55" s="583">
        <f t="shared" si="12"/>
        <v>0</v>
      </c>
      <c r="H55" s="557">
        <f t="shared" si="13"/>
        <v>63955.7978</v>
      </c>
      <c r="I55" s="581">
        <f t="shared" ref="I55:I62" si="14">+H55</f>
        <v>63955.7978</v>
      </c>
      <c r="J55" s="603">
        <v>0</v>
      </c>
      <c r="K55" s="582">
        <f t="shared" si="8"/>
        <v>63955.7978</v>
      </c>
    </row>
    <row r="56" spans="1:11">
      <c r="A56" s="365">
        <v>37</v>
      </c>
      <c r="B56" s="328" t="s">
        <v>2656</v>
      </c>
      <c r="C56" s="504">
        <f>+SUMIFS('Net Dependable Capacity'!D:D,'Net Dependable Capacity'!B:B,TRIM(Generation!B56))</f>
        <v>150</v>
      </c>
      <c r="D56" s="555">
        <f>(+SUMIFS('Accounting Schedule B-7'!R:R,'Accounting Schedule B-7'!D:D,"=TOTAL POLK UNIT 3"))</f>
        <v>61086.875240000008</v>
      </c>
      <c r="E56" s="603">
        <v>0</v>
      </c>
      <c r="F56" s="583">
        <f t="shared" si="4"/>
        <v>61086.875240000008</v>
      </c>
      <c r="G56" s="583">
        <f t="shared" si="12"/>
        <v>0</v>
      </c>
      <c r="H56" s="557">
        <f t="shared" si="13"/>
        <v>61086.875240000008</v>
      </c>
      <c r="I56" s="581">
        <f t="shared" si="14"/>
        <v>61086.875240000008</v>
      </c>
      <c r="J56" s="603">
        <v>0</v>
      </c>
      <c r="K56" s="582">
        <f t="shared" si="8"/>
        <v>61086.875240000008</v>
      </c>
    </row>
    <row r="57" spans="1:11">
      <c r="A57" s="365">
        <v>38</v>
      </c>
      <c r="B57" s="328" t="s">
        <v>2657</v>
      </c>
      <c r="C57" s="504">
        <f>+SUMIFS('Net Dependable Capacity'!D:D,'Net Dependable Capacity'!B:B,TRIM(Generation!B57))</f>
        <v>150</v>
      </c>
      <c r="D57" s="555">
        <f>(+SUMIFS('Accounting Schedule B-7'!R:R,'Accounting Schedule B-7'!D:D,"=TOTAL POLK UNIT 4"))</f>
        <v>43234.38723</v>
      </c>
      <c r="E57" s="603">
        <v>0</v>
      </c>
      <c r="F57" s="583">
        <f t="shared" si="4"/>
        <v>43234.38723</v>
      </c>
      <c r="G57" s="583">
        <f t="shared" si="12"/>
        <v>0</v>
      </c>
      <c r="H57" s="557">
        <f t="shared" si="13"/>
        <v>43234.38723</v>
      </c>
      <c r="I57" s="581">
        <f t="shared" si="14"/>
        <v>43234.38723</v>
      </c>
      <c r="J57" s="603">
        <v>0</v>
      </c>
      <c r="K57" s="582">
        <f t="shared" si="8"/>
        <v>43234.38723</v>
      </c>
    </row>
    <row r="58" spans="1:11">
      <c r="A58" s="365">
        <v>39</v>
      </c>
      <c r="B58" s="328" t="s">
        <v>2658</v>
      </c>
      <c r="C58" s="504">
        <f>+SUMIFS('Net Dependable Capacity'!D:D,'Net Dependable Capacity'!B:B,TRIM(Generation!B58))</f>
        <v>150</v>
      </c>
      <c r="D58" s="555">
        <f>(+SUMIFS('Accounting Schedule B-7'!R:R,'Accounting Schedule B-7'!D:D,"=TOTAL POLK UNIT 5"))</f>
        <v>40558.102540000007</v>
      </c>
      <c r="E58" s="603">
        <v>0</v>
      </c>
      <c r="F58" s="583">
        <f t="shared" si="4"/>
        <v>40558.102540000007</v>
      </c>
      <c r="G58" s="583">
        <f t="shared" si="12"/>
        <v>0</v>
      </c>
      <c r="H58" s="557">
        <f t="shared" si="13"/>
        <v>40558.102540000007</v>
      </c>
      <c r="I58" s="581">
        <f t="shared" si="14"/>
        <v>40558.102540000007</v>
      </c>
      <c r="J58" s="603">
        <v>0</v>
      </c>
      <c r="K58" s="582">
        <f t="shared" si="8"/>
        <v>40558.102540000007</v>
      </c>
    </row>
    <row r="59" spans="1:11">
      <c r="A59" s="365">
        <v>40</v>
      </c>
      <c r="B59" s="328" t="s">
        <v>2659</v>
      </c>
      <c r="C59" s="504">
        <f>+SUMIFS('Net Dependable Capacity'!D:D,'Net Dependable Capacity'!B:B,TRIM(Generation!B59))</f>
        <v>461</v>
      </c>
      <c r="D59" s="555">
        <f>(+SUMIFS('Accounting Schedule B-7'!R:R,'Accounting Schedule B-7'!D:D,"=TOTAL POLK CCST (2-5)"))</f>
        <v>473833.28886000003</v>
      </c>
      <c r="E59" s="603">
        <v>0</v>
      </c>
      <c r="F59" s="583">
        <f t="shared" si="4"/>
        <v>473833.28886000003</v>
      </c>
      <c r="G59" s="583">
        <f t="shared" si="12"/>
        <v>0</v>
      </c>
      <c r="H59" s="557">
        <f t="shared" si="13"/>
        <v>473833.28886000003</v>
      </c>
      <c r="I59" s="581">
        <f t="shared" si="14"/>
        <v>473833.28886000003</v>
      </c>
      <c r="J59" s="603">
        <v>0</v>
      </c>
      <c r="K59" s="582">
        <f t="shared" si="8"/>
        <v>473833.28886000003</v>
      </c>
    </row>
    <row r="60" spans="1:11">
      <c r="A60" s="365">
        <v>41</v>
      </c>
      <c r="B60" s="328" t="s">
        <v>2660</v>
      </c>
      <c r="C60" s="504"/>
      <c r="D60" s="555">
        <f>(+SUMIFS('Accounting Schedule B-7'!R:R,'Accounting Schedule B-7'!D:D,"=TOTAL POLK POWER COMMON"))+(+SUMIFS('Accounting Schedule B-7'!R:R,'Accounting Schedule B-7'!D:D,"=POLK TOOLS - AMORT"))</f>
        <v>238126.04725</v>
      </c>
      <c r="E60" s="603">
        <v>0</v>
      </c>
      <c r="F60" s="583">
        <f t="shared" si="4"/>
        <v>238126.04725</v>
      </c>
      <c r="G60" s="583">
        <f t="shared" si="12"/>
        <v>0</v>
      </c>
      <c r="H60" s="557">
        <f t="shared" si="13"/>
        <v>238126.04725</v>
      </c>
      <c r="I60" s="581">
        <f>+H60-J60</f>
        <v>217716.8760935</v>
      </c>
      <c r="J60" s="584">
        <f>+B4/1000</f>
        <v>20409.171156500001</v>
      </c>
      <c r="K60" s="582">
        <f t="shared" si="8"/>
        <v>238126.04725</v>
      </c>
    </row>
    <row r="61" spans="1:11">
      <c r="A61" s="365">
        <v>42</v>
      </c>
      <c r="B61" s="328"/>
      <c r="C61" s="504"/>
      <c r="D61" s="555"/>
      <c r="E61" s="555"/>
      <c r="F61" s="557"/>
      <c r="G61" s="583"/>
      <c r="H61" s="557"/>
      <c r="I61" s="601"/>
      <c r="J61" s="560"/>
      <c r="K61" s="582"/>
    </row>
    <row r="62" spans="1:11">
      <c r="A62" s="365">
        <v>43</v>
      </c>
      <c r="B62" s="328" t="s">
        <v>2661</v>
      </c>
      <c r="C62" s="538"/>
      <c r="D62" s="603">
        <v>0</v>
      </c>
      <c r="E62" s="603">
        <v>0</v>
      </c>
      <c r="F62" s="583">
        <f t="shared" si="4"/>
        <v>0</v>
      </c>
      <c r="G62" s="583">
        <f>+F62*$G$16</f>
        <v>0</v>
      </c>
      <c r="H62" s="557">
        <f>+F62-G62</f>
        <v>0</v>
      </c>
      <c r="I62" s="581">
        <f t="shared" si="14"/>
        <v>0</v>
      </c>
      <c r="J62" s="603">
        <v>0</v>
      </c>
      <c r="K62" s="582">
        <f>+SUM(I62:J62)</f>
        <v>0</v>
      </c>
    </row>
    <row r="63" spans="1:11">
      <c r="A63" s="365">
        <v>44</v>
      </c>
      <c r="B63" s="328"/>
      <c r="C63" s="505"/>
      <c r="D63" s="561"/>
      <c r="E63" s="555"/>
      <c r="F63" s="562"/>
      <c r="G63" s="583"/>
      <c r="H63" s="562"/>
      <c r="I63" s="560"/>
      <c r="J63" s="560"/>
      <c r="K63" s="587"/>
    </row>
    <row r="64" spans="1:11">
      <c r="A64" s="365">
        <v>45</v>
      </c>
      <c r="B64" s="328" t="s">
        <v>2662</v>
      </c>
      <c r="C64" s="541">
        <f>+SUM(C37:C60)</f>
        <v>5655.6</v>
      </c>
      <c r="D64" s="566">
        <f>+SUM(D37:D60)</f>
        <v>5892920.33213</v>
      </c>
      <c r="E64" s="593">
        <f>+SUM(E37:E62)</f>
        <v>0</v>
      </c>
      <c r="F64" s="594">
        <f>+SUM(D64:E64)</f>
        <v>5892920.33213</v>
      </c>
      <c r="G64" s="594">
        <f>+SUM(G37:G62)</f>
        <v>0</v>
      </c>
      <c r="H64" s="594">
        <f>+SUM(F64:G64)</f>
        <v>5892920.33213</v>
      </c>
      <c r="I64" s="595">
        <f>+SUM(I37:I62)</f>
        <v>5580565.0692760004</v>
      </c>
      <c r="J64" s="593">
        <f>+SUM(J37:J62)</f>
        <v>312355.26285400003</v>
      </c>
      <c r="K64" s="596">
        <f>+SUM(I64:J64)</f>
        <v>5892920.33213</v>
      </c>
    </row>
    <row r="65" spans="1:14">
      <c r="A65" s="365">
        <v>46</v>
      </c>
      <c r="B65" s="328"/>
      <c r="C65" s="485"/>
      <c r="D65" s="563"/>
      <c r="E65" s="580"/>
      <c r="F65" s="557"/>
      <c r="G65" s="557"/>
      <c r="H65" s="578"/>
      <c r="I65" s="588"/>
      <c r="J65" s="580"/>
      <c r="K65" s="582"/>
    </row>
    <row r="66" spans="1:14" ht="15" thickBot="1">
      <c r="A66" s="365">
        <v>47</v>
      </c>
      <c r="B66" s="328" t="s">
        <v>2663</v>
      </c>
      <c r="C66" s="542">
        <f>+C34+C64</f>
        <v>6087.6</v>
      </c>
      <c r="D66" s="567">
        <f>+D34+D64</f>
        <v>6534202.9669599999</v>
      </c>
      <c r="E66" s="597">
        <f>+E34+E64</f>
        <v>598644.62948</v>
      </c>
      <c r="F66" s="598">
        <f>+SUM(D66:E66)</f>
        <v>7132847.5964399995</v>
      </c>
      <c r="G66" s="598">
        <f>+G34+G64</f>
        <v>0</v>
      </c>
      <c r="H66" s="598">
        <f>+SUM(F66:G66)</f>
        <v>7132847.5964399995</v>
      </c>
      <c r="I66" s="599">
        <f>+I34+I64</f>
        <v>6562507.8612360004</v>
      </c>
      <c r="J66" s="597">
        <f>+J34+J64</f>
        <v>570339.73520400003</v>
      </c>
      <c r="K66" s="600">
        <f>+SUM(I66:J66)</f>
        <v>7132847.5964400005</v>
      </c>
    </row>
    <row r="67" spans="1:14" ht="15" thickTop="1">
      <c r="A67" s="365"/>
      <c r="B67" s="328"/>
      <c r="C67" s="328"/>
      <c r="D67" s="467"/>
      <c r="E67" s="328"/>
      <c r="F67" s="328"/>
      <c r="G67" s="328"/>
      <c r="H67" s="328"/>
      <c r="I67" s="328"/>
      <c r="J67" s="328"/>
      <c r="K67" s="536"/>
    </row>
    <row r="68" spans="1:14">
      <c r="A68" s="365"/>
      <c r="B68" s="544"/>
      <c r="C68" s="544"/>
      <c r="D68" s="544"/>
      <c r="E68" s="544"/>
      <c r="F68" s="544"/>
      <c r="G68" s="544"/>
      <c r="H68" s="544"/>
      <c r="I68" s="544"/>
      <c r="J68" s="544"/>
      <c r="K68" s="536"/>
    </row>
    <row r="69" spans="1:14">
      <c r="A69" s="462"/>
      <c r="B69" s="545" t="s">
        <v>2664</v>
      </c>
      <c r="C69" s="546"/>
      <c r="D69" s="546"/>
      <c r="E69" s="546"/>
      <c r="F69" s="546"/>
      <c r="G69" s="546"/>
      <c r="H69" s="546"/>
      <c r="I69" s="546"/>
      <c r="J69" s="546"/>
      <c r="K69" s="547"/>
    </row>
    <row r="70" spans="1:14">
      <c r="A70" s="33"/>
      <c r="B70" s="328"/>
      <c r="C70" s="328"/>
      <c r="D70" s="328"/>
      <c r="E70" s="328"/>
      <c r="F70" s="548"/>
      <c r="G70" s="328"/>
      <c r="H70" s="328"/>
      <c r="I70" s="328"/>
      <c r="J70" s="328"/>
      <c r="K70" s="328"/>
    </row>
    <row r="71" spans="1:14">
      <c r="A71" s="33"/>
      <c r="B71" s="531"/>
      <c r="C71" s="328"/>
      <c r="D71" s="328"/>
      <c r="E71" s="328"/>
      <c r="F71" s="290"/>
      <c r="G71" s="328"/>
      <c r="H71" s="328"/>
      <c r="I71" s="328"/>
      <c r="J71" s="328"/>
      <c r="K71" s="328"/>
      <c r="M71" t="s">
        <v>8413</v>
      </c>
    </row>
    <row r="72" spans="1:14">
      <c r="A72" s="352" t="s">
        <v>2173</v>
      </c>
      <c r="B72" s="549"/>
      <c r="C72" s="549"/>
      <c r="D72" s="549"/>
      <c r="E72" s="549"/>
      <c r="F72" s="549"/>
      <c r="G72" s="549"/>
      <c r="H72" s="549"/>
      <c r="I72" s="518"/>
      <c r="J72" s="549"/>
      <c r="K72" s="550"/>
      <c r="M72" t="s">
        <v>8429</v>
      </c>
      <c r="N72" s="1586">
        <f>+'Accounting Schedule B-9'!T532+'Accounting Schedule B-9'!T558</f>
        <v>2174041.8834100002</v>
      </c>
    </row>
    <row r="73" spans="1:14">
      <c r="A73" s="353" t="s">
        <v>2964</v>
      </c>
      <c r="B73" s="328"/>
      <c r="C73" s="328"/>
      <c r="D73" s="328"/>
      <c r="E73" s="328"/>
      <c r="F73" s="328"/>
      <c r="G73" s="328"/>
      <c r="H73" s="328"/>
      <c r="I73" s="62"/>
      <c r="J73" s="328"/>
      <c r="K73" s="536"/>
      <c r="M73" s="297" t="s">
        <v>8415</v>
      </c>
      <c r="N73" s="1639">
        <f>+F127</f>
        <v>2059518.730183077</v>
      </c>
    </row>
    <row r="74" spans="1:14">
      <c r="A74" s="615" t="s">
        <v>9263</v>
      </c>
      <c r="B74" s="29"/>
      <c r="C74" s="328"/>
      <c r="D74" s="328"/>
      <c r="E74" s="328"/>
      <c r="F74" s="328"/>
      <c r="G74" s="328"/>
      <c r="H74" s="328"/>
      <c r="I74" s="62"/>
      <c r="J74" s="328"/>
      <c r="K74" s="536"/>
      <c r="N74" s="516">
        <f>+N72-N73</f>
        <v>114523.1532269232</v>
      </c>
    </row>
    <row r="75" spans="1:14">
      <c r="A75" s="519"/>
      <c r="B75" s="546"/>
      <c r="C75" s="546"/>
      <c r="D75" s="546"/>
      <c r="E75" s="546"/>
      <c r="F75" s="546"/>
      <c r="G75" s="546"/>
      <c r="H75" s="546"/>
      <c r="I75" s="514"/>
      <c r="J75" s="546"/>
      <c r="K75" s="547"/>
      <c r="M75" t="s">
        <v>8416</v>
      </c>
      <c r="N75" s="1586">
        <f>'ECRC Adj Gen'!H5/1000</f>
        <v>-114523.15300000001</v>
      </c>
    </row>
    <row r="76" spans="1:14">
      <c r="A76" s="357"/>
      <c r="B76" s="328"/>
      <c r="C76" s="328"/>
      <c r="D76" s="328"/>
      <c r="E76" s="328"/>
      <c r="F76" s="328"/>
      <c r="G76" s="328"/>
      <c r="H76" s="328"/>
      <c r="I76" s="62"/>
      <c r="J76" s="328"/>
      <c r="K76" s="536"/>
      <c r="M76" s="297" t="s">
        <v>8417</v>
      </c>
      <c r="N76" s="1639">
        <f>+SUM('Generation Land'!E73:E76)/1000</f>
        <v>0</v>
      </c>
    </row>
    <row r="77" spans="1:14">
      <c r="A77" s="357"/>
      <c r="B77" s="62"/>
      <c r="C77" s="60" t="s">
        <v>2316</v>
      </c>
      <c r="D77" s="60" t="s">
        <v>2609</v>
      </c>
      <c r="E77" s="60" t="s">
        <v>2610</v>
      </c>
      <c r="F77" s="60"/>
      <c r="G77" s="60"/>
      <c r="H77" s="60"/>
      <c r="I77" s="3122"/>
      <c r="J77" s="3123"/>
      <c r="K77" s="3124"/>
      <c r="N77" s="1640">
        <f>+SUM(N74:N76)</f>
        <v>2.2692319180350751E-4</v>
      </c>
    </row>
    <row r="78" spans="1:14">
      <c r="A78" s="357"/>
      <c r="B78" s="62"/>
      <c r="C78" s="60" t="s">
        <v>2612</v>
      </c>
      <c r="D78" s="60" t="s">
        <v>1823</v>
      </c>
      <c r="E78" s="60" t="s">
        <v>2613</v>
      </c>
      <c r="F78" s="521" t="s">
        <v>115</v>
      </c>
      <c r="G78" s="521" t="s">
        <v>1969</v>
      </c>
      <c r="H78" s="520" t="s">
        <v>2614</v>
      </c>
      <c r="I78" s="3125" t="s">
        <v>2615</v>
      </c>
      <c r="J78" s="3126"/>
      <c r="K78" s="3127"/>
    </row>
    <row r="79" spans="1:14">
      <c r="A79" s="522" t="s">
        <v>2616</v>
      </c>
      <c r="B79" s="77" t="s">
        <v>35</v>
      </c>
      <c r="C79" s="77" t="s">
        <v>2617</v>
      </c>
      <c r="D79" s="77" t="s">
        <v>1840</v>
      </c>
      <c r="E79" s="77" t="s">
        <v>2619</v>
      </c>
      <c r="F79" s="523" t="s">
        <v>2620</v>
      </c>
      <c r="G79" s="280" t="s">
        <v>2621</v>
      </c>
      <c r="H79" s="522" t="s">
        <v>2622</v>
      </c>
      <c r="I79" s="522" t="s">
        <v>2623</v>
      </c>
      <c r="J79" s="77" t="s">
        <v>2624</v>
      </c>
      <c r="K79" s="364" t="s">
        <v>122</v>
      </c>
      <c r="M79" t="s">
        <v>8430</v>
      </c>
      <c r="N79" s="1586">
        <f>+'Accounting Schedule B-9'!T169+'Accounting Schedule B-9'!T133</f>
        <v>669820.3478300001</v>
      </c>
    </row>
    <row r="80" spans="1:14">
      <c r="A80" s="354" t="s">
        <v>2175</v>
      </c>
      <c r="B80" s="551" t="s">
        <v>2176</v>
      </c>
      <c r="C80" s="551" t="s">
        <v>2177</v>
      </c>
      <c r="D80" s="551" t="s">
        <v>2178</v>
      </c>
      <c r="E80" s="551" t="s">
        <v>2179</v>
      </c>
      <c r="F80" s="525" t="s">
        <v>2625</v>
      </c>
      <c r="G80" s="552" t="s">
        <v>2626</v>
      </c>
      <c r="H80" s="552" t="s">
        <v>2627</v>
      </c>
      <c r="I80" s="551" t="s">
        <v>2628</v>
      </c>
      <c r="J80" s="551" t="s">
        <v>2629</v>
      </c>
      <c r="K80" s="552" t="s">
        <v>2630</v>
      </c>
      <c r="M80" s="297" t="s">
        <v>8419</v>
      </c>
      <c r="N80" s="1639">
        <f>+SUM(D82,D91,D98:D101)</f>
        <v>557636.78460307699</v>
      </c>
    </row>
    <row r="81" spans="1:14">
      <c r="A81" s="526">
        <v>1</v>
      </c>
      <c r="B81" s="328" t="s">
        <v>2631</v>
      </c>
      <c r="C81" s="328"/>
      <c r="D81" s="328"/>
      <c r="E81" s="328"/>
      <c r="F81" s="534"/>
      <c r="G81" s="534"/>
      <c r="H81" s="535"/>
      <c r="I81" s="535"/>
      <c r="J81" s="328"/>
      <c r="K81" s="536"/>
      <c r="N81" s="516">
        <f>+N79-N80</f>
        <v>112183.56322692311</v>
      </c>
    </row>
    <row r="82" spans="1:14">
      <c r="A82" s="365">
        <v>2</v>
      </c>
      <c r="B82" s="328" t="s">
        <v>2632</v>
      </c>
      <c r="C82" s="328"/>
      <c r="D82" s="555">
        <f>+(SUMIFS('Accounting Schedule B-9'!T:T,'Accounting Schedule B-9'!D:D,"TOTAL BIG BEND COMMON"))+(SUMIFS('Accounting Schedule B-9'!T:T,'Accounting Schedule B-9'!D:D,"BIG BEND FUEL CLAUSE"))</f>
        <v>172757.65942000001</v>
      </c>
      <c r="E82" s="556">
        <f>-D82</f>
        <v>-172757.65942000001</v>
      </c>
      <c r="F82" s="557">
        <f>+SUM(D82:E82)</f>
        <v>0</v>
      </c>
      <c r="G82" s="603">
        <v>0</v>
      </c>
      <c r="H82" s="557">
        <f>+F82-G82</f>
        <v>0</v>
      </c>
      <c r="I82" s="581">
        <f>+H82</f>
        <v>0</v>
      </c>
      <c r="J82" s="603">
        <v>0</v>
      </c>
      <c r="K82" s="579">
        <f>+SUM(I82:J82)</f>
        <v>0</v>
      </c>
      <c r="M82" t="s">
        <v>8416</v>
      </c>
      <c r="N82" s="1586">
        <f>-SUM('ECRC Adj Gen'!D10:D11,'ECRC Adj Gen'!D15:D17)/1000</f>
        <v>-112183.56322692308</v>
      </c>
    </row>
    <row r="83" spans="1:14">
      <c r="A83" s="365">
        <v>3</v>
      </c>
      <c r="B83" s="328"/>
      <c r="C83" s="328"/>
      <c r="D83" s="555"/>
      <c r="E83" s="580"/>
      <c r="F83" s="557"/>
      <c r="G83" s="557"/>
      <c r="H83" s="557"/>
      <c r="I83" s="581"/>
      <c r="J83" s="555"/>
      <c r="K83" s="579"/>
      <c r="M83" s="297" t="s">
        <v>8417</v>
      </c>
      <c r="N83" s="1639">
        <f>+'Generation Land'!E73/1000</f>
        <v>0</v>
      </c>
    </row>
    <row r="84" spans="1:14">
      <c r="A84" s="365">
        <v>4</v>
      </c>
      <c r="B84" s="328" t="s">
        <v>2633</v>
      </c>
      <c r="C84" s="527">
        <f>+C23</f>
        <v>0</v>
      </c>
      <c r="D84" s="603">
        <v>0</v>
      </c>
      <c r="E84" s="556">
        <f>-D84</f>
        <v>0</v>
      </c>
      <c r="F84" s="557">
        <f t="shared" ref="F84:F89" si="15">+SUM(D84:E84)</f>
        <v>0</v>
      </c>
      <c r="G84" s="583">
        <f t="shared" ref="G84:G89" si="16">+F84*$G$16</f>
        <v>0</v>
      </c>
      <c r="H84" s="557">
        <f t="shared" ref="H84:H89" si="17">+F84-G84</f>
        <v>0</v>
      </c>
      <c r="I84" s="581">
        <f>+H84</f>
        <v>0</v>
      </c>
      <c r="J84" s="603">
        <v>0</v>
      </c>
      <c r="K84" s="579">
        <f>+SUM(I84:J84)</f>
        <v>0</v>
      </c>
      <c r="N84" s="1640">
        <f>+SUM(N81:N83)</f>
        <v>2.9103830456733704E-11</v>
      </c>
    </row>
    <row r="85" spans="1:14">
      <c r="A85" s="365">
        <v>5</v>
      </c>
      <c r="B85" s="328" t="s">
        <v>2634</v>
      </c>
      <c r="C85" s="527">
        <f>+C24</f>
        <v>0</v>
      </c>
      <c r="D85" s="603">
        <v>0</v>
      </c>
      <c r="E85" s="556">
        <f>-D85</f>
        <v>0</v>
      </c>
      <c r="F85" s="557">
        <f t="shared" si="15"/>
        <v>0</v>
      </c>
      <c r="G85" s="583">
        <f t="shared" si="16"/>
        <v>0</v>
      </c>
      <c r="H85" s="557">
        <f t="shared" si="17"/>
        <v>0</v>
      </c>
      <c r="I85" s="581">
        <f>+H85</f>
        <v>0</v>
      </c>
      <c r="J85" s="603">
        <v>0</v>
      </c>
      <c r="K85" s="579">
        <f>+SUM(I85:J85)</f>
        <v>0</v>
      </c>
    </row>
    <row r="86" spans="1:14">
      <c r="A86" s="365">
        <v>6</v>
      </c>
      <c r="B86" s="328" t="s">
        <v>2635</v>
      </c>
      <c r="C86" s="527">
        <f>+C25</f>
        <v>0</v>
      </c>
      <c r="D86" s="603">
        <v>0</v>
      </c>
      <c r="E86" s="555">
        <f>+($C$86/$C$91)*($D$82+$D$84+$D$85+$D$89)</f>
        <v>0</v>
      </c>
      <c r="F86" s="557">
        <f t="shared" si="15"/>
        <v>0</v>
      </c>
      <c r="G86" s="583">
        <f t="shared" si="16"/>
        <v>0</v>
      </c>
      <c r="H86" s="557">
        <f t="shared" si="17"/>
        <v>0</v>
      </c>
      <c r="I86" s="581">
        <f>+H86</f>
        <v>0</v>
      </c>
      <c r="J86" s="603">
        <v>0</v>
      </c>
      <c r="K86" s="579">
        <f>+SUM(I86:J86)</f>
        <v>0</v>
      </c>
      <c r="M86" t="s">
        <v>8431</v>
      </c>
      <c r="N86" s="1586">
        <f>+'Accounting Schedule B-9'!T340</f>
        <v>543274.03402999998</v>
      </c>
    </row>
    <row r="87" spans="1:14">
      <c r="A87" s="365">
        <v>7</v>
      </c>
      <c r="B87" s="328" t="s">
        <v>2636</v>
      </c>
      <c r="C87" s="527">
        <f>+C26</f>
        <v>432</v>
      </c>
      <c r="D87" s="560">
        <f>+SUMIFS('Accounting Schedule B-9'!T:T,'Accounting Schedule B-9'!D:D,"TOTAL BIG BEND UNIT 4*")-('ECRC Adj Gen'!D10+'ECRC Adj Gen'!D11+'ECRC Adj Gen'!D17)/1000</f>
        <v>171709.00099307692</v>
      </c>
      <c r="E87" s="555">
        <f>+($C$87/$C$91)*($D$82+$D$84+$D$85+$D$89)</f>
        <v>173093.99924</v>
      </c>
      <c r="F87" s="557">
        <f t="shared" si="15"/>
        <v>344803.00023307692</v>
      </c>
      <c r="G87" s="583">
        <f t="shared" si="16"/>
        <v>0</v>
      </c>
      <c r="H87" s="557">
        <f t="shared" si="17"/>
        <v>344803.00023307692</v>
      </c>
      <c r="I87" s="581">
        <f>+H87</f>
        <v>344803.00023307692</v>
      </c>
      <c r="J87" s="603">
        <v>0</v>
      </c>
      <c r="K87" s="579">
        <f>+SUM(I87:J87)</f>
        <v>344803.00023307692</v>
      </c>
      <c r="M87" s="297" t="s">
        <v>8421</v>
      </c>
      <c r="N87" s="1639">
        <f>+SUM(D107:D113)</f>
        <v>542104.39002999989</v>
      </c>
    </row>
    <row r="88" spans="1:14">
      <c r="A88" s="365">
        <v>8</v>
      </c>
      <c r="B88" s="328" t="s">
        <v>2637</v>
      </c>
      <c r="C88" s="42"/>
      <c r="D88" s="560">
        <f>+(SUMIFS('Accounting Schedule B-9'!T:T,'Accounting Schedule B-9'!D:D,"=TOTAL BIG BEND UNIT 3 &amp; 4 FGD"))+(SUMIFS('Accounting Schedule B-9'!T:T,'Accounting Schedule B-9'!D:D,"=TOTAL BIG BEND UNIT 1 &amp; 2 FGD"))</f>
        <v>125219.77679999999</v>
      </c>
      <c r="E88" s="580"/>
      <c r="F88" s="557">
        <f t="shared" si="15"/>
        <v>125219.77679999999</v>
      </c>
      <c r="G88" s="583">
        <f t="shared" si="16"/>
        <v>0</v>
      </c>
      <c r="H88" s="557">
        <f t="shared" si="17"/>
        <v>125219.77679999999</v>
      </c>
      <c r="I88" s="603">
        <v>0</v>
      </c>
      <c r="J88" s="584">
        <f>+H88</f>
        <v>125219.77679999999</v>
      </c>
      <c r="K88" s="579">
        <f>+SUM(I88:J88)</f>
        <v>125219.77679999999</v>
      </c>
      <c r="N88" s="516">
        <f>+N86-N87</f>
        <v>1169.6440000000875</v>
      </c>
    </row>
    <row r="89" spans="1:14">
      <c r="A89" s="365">
        <v>9</v>
      </c>
      <c r="B89" s="328" t="s">
        <v>2670</v>
      </c>
      <c r="C89" s="553"/>
      <c r="D89" s="561">
        <f>+(SUMIFS('Accounting Schedule B-9'!T:T,'Accounting Schedule B-9'!D:D,"=BIG BEND TOOLS - AMORT"))</f>
        <v>336.33982000000003</v>
      </c>
      <c r="E89" s="568">
        <f>-D89</f>
        <v>-336.33982000000003</v>
      </c>
      <c r="F89" s="562">
        <f t="shared" si="15"/>
        <v>0</v>
      </c>
      <c r="G89" s="585">
        <f t="shared" si="16"/>
        <v>0</v>
      </c>
      <c r="H89" s="562">
        <f t="shared" si="17"/>
        <v>0</v>
      </c>
      <c r="I89" s="586"/>
      <c r="J89" s="561"/>
      <c r="K89" s="608"/>
      <c r="M89" t="s">
        <v>8416</v>
      </c>
      <c r="N89" s="1586">
        <f>+-'ECRC Adj Gen'!D18/1000</f>
        <v>-1169.644</v>
      </c>
    </row>
    <row r="90" spans="1:14">
      <c r="A90" s="365">
        <v>10</v>
      </c>
      <c r="B90" s="328"/>
      <c r="C90" s="42"/>
      <c r="D90" s="556"/>
      <c r="E90" s="580"/>
      <c r="F90" s="557"/>
      <c r="G90" s="557"/>
      <c r="H90" s="578"/>
      <c r="I90" s="578"/>
      <c r="J90" s="556"/>
      <c r="K90" s="579"/>
      <c r="M90" t="s">
        <v>8417</v>
      </c>
      <c r="N90" s="1586">
        <f>+'Generation Land'!E74/1000</f>
        <v>0</v>
      </c>
    </row>
    <row r="91" spans="1:14">
      <c r="A91" s="365">
        <v>11</v>
      </c>
      <c r="B91" s="328" t="s">
        <v>2639</v>
      </c>
      <c r="C91" s="439">
        <f>+SUM(C84:C89)</f>
        <v>432</v>
      </c>
      <c r="D91" s="568">
        <f>+SUM(D84:D89)</f>
        <v>297265.11761307693</v>
      </c>
      <c r="E91" s="589">
        <f>+SUM(E84:E89)</f>
        <v>172757.65942000001</v>
      </c>
      <c r="F91" s="585">
        <f>+SUM(D91:E91)</f>
        <v>470022.77703307697</v>
      </c>
      <c r="G91" s="585">
        <f>+SUM(G84:G89)</f>
        <v>0</v>
      </c>
      <c r="H91" s="585">
        <f>+SUM(H84:H89)</f>
        <v>470022.77703307691</v>
      </c>
      <c r="I91" s="590">
        <f>+SUM(I84:I89)</f>
        <v>344803.00023307692</v>
      </c>
      <c r="J91" s="568">
        <f>+SUM(J84:J89)</f>
        <v>125219.77679999999</v>
      </c>
      <c r="K91" s="587">
        <f>+SUM(K84:K89)</f>
        <v>470022.77703307691</v>
      </c>
      <c r="N91" s="1640">
        <f>+SUM(N88:N90)</f>
        <v>8.7538865045644343E-11</v>
      </c>
    </row>
    <row r="92" spans="1:14">
      <c r="A92" s="365">
        <v>12</v>
      </c>
      <c r="B92" s="328"/>
      <c r="C92" s="96"/>
      <c r="D92" s="556"/>
      <c r="E92" s="591"/>
      <c r="F92" s="557"/>
      <c r="G92" s="557"/>
      <c r="H92" s="557"/>
      <c r="I92" s="556"/>
      <c r="J92" s="556"/>
      <c r="K92" s="579"/>
    </row>
    <row r="93" spans="1:14">
      <c r="A93" s="365">
        <v>13</v>
      </c>
      <c r="B93" s="328" t="s">
        <v>2640</v>
      </c>
      <c r="C93" s="528"/>
      <c r="D93" s="555">
        <f>+(SUMIFS('Accounting Schedule B-9'!T:T,'Accounting Schedule B-9'!D:D,"=FOSSIL DISMANTLING - STEAM"))</f>
        <v>74601.274470000004</v>
      </c>
      <c r="E93" s="603">
        <v>0</v>
      </c>
      <c r="F93" s="557">
        <f>+SUM(D93:E93)</f>
        <v>74601.274470000004</v>
      </c>
      <c r="G93" s="583">
        <f>+F93*$G$16</f>
        <v>0</v>
      </c>
      <c r="H93" s="557">
        <f>+F93-G93</f>
        <v>74601.274470000004</v>
      </c>
      <c r="I93" s="581">
        <f>+H93</f>
        <v>74601.274470000004</v>
      </c>
      <c r="J93" s="603">
        <v>0</v>
      </c>
      <c r="K93" s="579">
        <f>+SUM(I93:J93)</f>
        <v>74601.274470000004</v>
      </c>
      <c r="M93" t="s">
        <v>8432</v>
      </c>
      <c r="N93" s="1586">
        <f>+'Accounting Schedule B-9'!T261</f>
        <v>616836.0878000001</v>
      </c>
    </row>
    <row r="94" spans="1:14">
      <c r="A94" s="365">
        <v>14</v>
      </c>
      <c r="B94" s="328"/>
      <c r="C94" s="545"/>
      <c r="D94" s="561"/>
      <c r="E94" s="582"/>
      <c r="F94" s="562"/>
      <c r="G94" s="562"/>
      <c r="H94" s="609"/>
      <c r="I94" s="609"/>
      <c r="J94" s="610"/>
      <c r="K94" s="608"/>
      <c r="M94" s="297" t="s">
        <v>8422</v>
      </c>
      <c r="N94" s="1639">
        <f>+SUM(D115:D121)</f>
        <v>615666.1418000001</v>
      </c>
    </row>
    <row r="95" spans="1:14">
      <c r="A95" s="365">
        <v>15</v>
      </c>
      <c r="B95" s="328" t="s">
        <v>2641</v>
      </c>
      <c r="C95" s="537">
        <f>+C91</f>
        <v>432</v>
      </c>
      <c r="D95" s="568">
        <f>+D91+D93</f>
        <v>371866.39208307693</v>
      </c>
      <c r="E95" s="596">
        <f>+E91+E93</f>
        <v>172757.65942000001</v>
      </c>
      <c r="F95" s="594">
        <f>+SUM(D95:E95)</f>
        <v>544624.05150307692</v>
      </c>
      <c r="G95" s="595">
        <f>+G91+G93</f>
        <v>0</v>
      </c>
      <c r="H95" s="595">
        <f>+H91+H93</f>
        <v>544624.05150307692</v>
      </c>
      <c r="I95" s="595">
        <f>+I91+I93</f>
        <v>419404.27470307692</v>
      </c>
      <c r="J95" s="595">
        <f>+J91+J93</f>
        <v>125219.77679999999</v>
      </c>
      <c r="K95" s="611">
        <f>+K91+K93</f>
        <v>544624.05150307692</v>
      </c>
      <c r="N95" s="516">
        <f>+N93-N94</f>
        <v>1169.9459999999963</v>
      </c>
    </row>
    <row r="96" spans="1:14">
      <c r="A96" s="365">
        <v>16</v>
      </c>
      <c r="B96" s="328"/>
      <c r="C96" s="96"/>
      <c r="D96" s="556"/>
      <c r="E96" s="580"/>
      <c r="F96" s="557"/>
      <c r="G96" s="557"/>
      <c r="H96" s="578"/>
      <c r="I96" s="578"/>
      <c r="J96" s="556"/>
      <c r="K96" s="579"/>
      <c r="M96" t="s">
        <v>8416</v>
      </c>
      <c r="N96" s="1586">
        <f>-'ECRC Adj Gen'!D12/1000</f>
        <v>-1169.9459999999999</v>
      </c>
    </row>
    <row r="97" spans="1:14">
      <c r="A97" s="365">
        <v>17</v>
      </c>
      <c r="B97" s="328" t="s">
        <v>2642</v>
      </c>
      <c r="C97" s="96"/>
      <c r="D97" s="556"/>
      <c r="E97" s="580"/>
      <c r="F97" s="557"/>
      <c r="G97" s="557"/>
      <c r="H97" s="578"/>
      <c r="I97" s="578"/>
      <c r="J97" s="556"/>
      <c r="K97" s="579"/>
      <c r="M97" s="297" t="s">
        <v>8417</v>
      </c>
      <c r="N97" s="1639">
        <f>+'Generation Land'!E75/1000</f>
        <v>0</v>
      </c>
    </row>
    <row r="98" spans="1:14">
      <c r="A98" s="365">
        <v>18</v>
      </c>
      <c r="B98" s="328" t="s">
        <v>2643</v>
      </c>
      <c r="C98" s="42">
        <f t="shared" ref="C98:C105" si="18">+C37</f>
        <v>61</v>
      </c>
      <c r="D98" s="555">
        <f>+(SUMIFS('Accounting Schedule B-9'!T:T,'Accounting Schedule B-9'!D:D,"=TOTAL BIG BEND COMBUSTION TURBINE 4"))</f>
        <v>21321.611960000002</v>
      </c>
      <c r="E98" s="603">
        <v>0</v>
      </c>
      <c r="F98" s="557">
        <f>+SUM(D98:E98)</f>
        <v>21321.611960000002</v>
      </c>
      <c r="G98" s="583">
        <f t="shared" ref="G98:G105" si="19">+F98*$G$16</f>
        <v>0</v>
      </c>
      <c r="H98" s="557">
        <f>+F98-G98</f>
        <v>21321.611960000002</v>
      </c>
      <c r="I98" s="581">
        <f t="shared" ref="I98:I105" si="20">+H98</f>
        <v>21321.611960000002</v>
      </c>
      <c r="J98" s="603">
        <v>0</v>
      </c>
      <c r="K98" s="579">
        <f t="shared" ref="K98:K105" si="21">+SUM(I98:J98)</f>
        <v>21321.611960000002</v>
      </c>
      <c r="N98" s="1640">
        <f>+SUM(N95:N97)</f>
        <v>-3.637978807091713E-12</v>
      </c>
    </row>
    <row r="99" spans="1:14">
      <c r="A99" s="365">
        <v>19</v>
      </c>
      <c r="B99" s="328" t="s">
        <v>2665</v>
      </c>
      <c r="C99" s="42">
        <f t="shared" si="18"/>
        <v>350</v>
      </c>
      <c r="D99" s="555">
        <f>+(SUMIFS('Accounting Schedule B-9'!T:T,'Accounting Schedule B-9'!D:D,"=TOTAL BIG BEND COMBUSTION TURBINE 5"))</f>
        <v>17464.467349999999</v>
      </c>
      <c r="E99" s="603">
        <v>0</v>
      </c>
      <c r="F99" s="557">
        <f t="shared" ref="F99:F105" si="22">+SUM(D99:E99)</f>
        <v>17464.467349999999</v>
      </c>
      <c r="G99" s="583">
        <f t="shared" si="19"/>
        <v>0</v>
      </c>
      <c r="H99" s="557">
        <f t="shared" ref="H99:H113" si="23">+F99-G99</f>
        <v>17464.467349999999</v>
      </c>
      <c r="I99" s="581">
        <f t="shared" si="20"/>
        <v>17464.467349999999</v>
      </c>
      <c r="J99" s="603">
        <v>0</v>
      </c>
      <c r="K99" s="579">
        <f t="shared" si="21"/>
        <v>17464.467349999999</v>
      </c>
    </row>
    <row r="100" spans="1:14">
      <c r="A100" s="365">
        <v>20</v>
      </c>
      <c r="B100" s="328" t="s">
        <v>2666</v>
      </c>
      <c r="C100" s="42">
        <f t="shared" si="18"/>
        <v>350</v>
      </c>
      <c r="D100" s="555">
        <f>+(SUMIFS('Accounting Schedule B-9'!T:T,'Accounting Schedule B-9'!D:D,"=TOTAL BIG BEND COMBUSTION TURBINE 6"))</f>
        <v>17372.481530000001</v>
      </c>
      <c r="E100" s="603">
        <v>0</v>
      </c>
      <c r="F100" s="557">
        <f t="shared" si="22"/>
        <v>17372.481530000001</v>
      </c>
      <c r="G100" s="583">
        <f t="shared" si="19"/>
        <v>0</v>
      </c>
      <c r="H100" s="557">
        <f t="shared" si="23"/>
        <v>17372.481530000001</v>
      </c>
      <c r="I100" s="581">
        <f t="shared" si="20"/>
        <v>17372.481530000001</v>
      </c>
      <c r="J100" s="603">
        <v>0</v>
      </c>
      <c r="K100" s="579">
        <f t="shared" si="21"/>
        <v>17372.481530000001</v>
      </c>
      <c r="M100" t="s">
        <v>8433</v>
      </c>
      <c r="N100" s="1586">
        <f>+'Accounting Schedule B-9'!T361+'Accounting Schedule B-9'!T368</f>
        <v>222985.51598999996</v>
      </c>
    </row>
    <row r="101" spans="1:14">
      <c r="A101" s="365">
        <v>21</v>
      </c>
      <c r="B101" s="328" t="s">
        <v>2667</v>
      </c>
      <c r="C101" s="42">
        <f t="shared" si="18"/>
        <v>419</v>
      </c>
      <c r="D101" s="555">
        <f>+(SUMIFS('Accounting Schedule B-9'!T:T,'Accounting Schedule B-9'!D:D,"=TOTAL BIG BEND NEW STEAM TURBINE 1"))</f>
        <v>31455.44673</v>
      </c>
      <c r="E101" s="603">
        <v>0</v>
      </c>
      <c r="F101" s="557">
        <f t="shared" si="22"/>
        <v>31455.44673</v>
      </c>
      <c r="G101" s="583">
        <f t="shared" si="19"/>
        <v>0</v>
      </c>
      <c r="H101" s="557">
        <f t="shared" si="23"/>
        <v>31455.44673</v>
      </c>
      <c r="I101" s="581">
        <f t="shared" si="20"/>
        <v>31455.44673</v>
      </c>
      <c r="J101" s="603">
        <v>0</v>
      </c>
      <c r="K101" s="579">
        <f t="shared" si="21"/>
        <v>31455.44673</v>
      </c>
      <c r="M101" s="297" t="s">
        <v>8425</v>
      </c>
      <c r="N101" s="1639">
        <f>+D103</f>
        <v>222985.51598999996</v>
      </c>
    </row>
    <row r="102" spans="1:14">
      <c r="A102" s="365">
        <v>22</v>
      </c>
      <c r="B102" s="328" t="s">
        <v>2644</v>
      </c>
      <c r="C102" s="42">
        <f t="shared" si="18"/>
        <v>0</v>
      </c>
      <c r="D102" s="603">
        <v>0</v>
      </c>
      <c r="E102" s="603">
        <v>0</v>
      </c>
      <c r="F102" s="557">
        <f t="shared" si="22"/>
        <v>0</v>
      </c>
      <c r="G102" s="583">
        <f t="shared" si="19"/>
        <v>0</v>
      </c>
      <c r="H102" s="557">
        <f t="shared" si="23"/>
        <v>0</v>
      </c>
      <c r="I102" s="581">
        <f t="shared" si="20"/>
        <v>0</v>
      </c>
      <c r="J102" s="603">
        <v>0</v>
      </c>
      <c r="K102" s="579">
        <f t="shared" si="21"/>
        <v>0</v>
      </c>
      <c r="N102" s="516">
        <f>+N100-N101</f>
        <v>0</v>
      </c>
    </row>
    <row r="103" spans="1:14">
      <c r="A103" s="365">
        <v>23</v>
      </c>
      <c r="B103" s="328" t="s">
        <v>2645</v>
      </c>
      <c r="C103" s="42">
        <f t="shared" si="18"/>
        <v>1248.6000000000001</v>
      </c>
      <c r="D103" s="555">
        <f>+(SUMIFS('Accounting Schedule B-9'!T:T,'Accounting Schedule B-9'!D:D,"=TOTAL SOLAR sites"))+(SUMIFS('Accounting Schedule B-9'!T:T,'Accounting Schedule B-9'!D:D,"TOTAL DC MICRO*"))</f>
        <v>222985.51598999996</v>
      </c>
      <c r="E103" s="603">
        <v>0</v>
      </c>
      <c r="F103" s="557">
        <f t="shared" si="22"/>
        <v>222985.51598999996</v>
      </c>
      <c r="G103" s="583">
        <f t="shared" si="19"/>
        <v>0</v>
      </c>
      <c r="H103" s="557">
        <f t="shared" si="23"/>
        <v>222985.51598999996</v>
      </c>
      <c r="I103" s="581">
        <f t="shared" si="20"/>
        <v>222985.51598999996</v>
      </c>
      <c r="J103" s="603">
        <v>0</v>
      </c>
      <c r="K103" s="579">
        <f t="shared" si="21"/>
        <v>222985.51598999996</v>
      </c>
      <c r="M103" t="s">
        <v>8416</v>
      </c>
      <c r="N103" s="1586">
        <v>0</v>
      </c>
    </row>
    <row r="104" spans="1:14">
      <c r="A104" s="365">
        <v>24</v>
      </c>
      <c r="B104" s="96" t="s">
        <v>9261</v>
      </c>
      <c r="C104" s="42">
        <f t="shared" si="18"/>
        <v>0</v>
      </c>
      <c r="D104" s="555">
        <f>+(SUMIFS('Accounting Schedule B-9'!T:T,'Accounting Schedule B-9'!D:D,"=TOTAL MACDILL AFB"))</f>
        <v>1172.0774300000003</v>
      </c>
      <c r="E104" s="603">
        <v>0</v>
      </c>
      <c r="F104" s="557">
        <f t="shared" si="22"/>
        <v>1172.0774300000003</v>
      </c>
      <c r="G104" s="583">
        <f t="shared" si="19"/>
        <v>0</v>
      </c>
      <c r="H104" s="557">
        <f t="shared" si="23"/>
        <v>1172.0774300000003</v>
      </c>
      <c r="I104" s="581">
        <f t="shared" si="20"/>
        <v>1172.0774300000003</v>
      </c>
      <c r="J104" s="603">
        <v>0</v>
      </c>
      <c r="K104" s="579">
        <f t="shared" si="21"/>
        <v>1172.0774300000003</v>
      </c>
      <c r="M104" s="297" t="s">
        <v>8417</v>
      </c>
      <c r="N104" s="1639">
        <f>+SUM('Generation Land'!E76)/1000</f>
        <v>0</v>
      </c>
    </row>
    <row r="105" spans="1:14">
      <c r="A105" s="365">
        <v>25</v>
      </c>
      <c r="B105" s="328" t="s">
        <v>2671</v>
      </c>
      <c r="C105" s="42">
        <f t="shared" si="18"/>
        <v>0</v>
      </c>
      <c r="D105" s="603">
        <v>0</v>
      </c>
      <c r="E105" s="603">
        <v>0</v>
      </c>
      <c r="F105" s="557">
        <f t="shared" si="22"/>
        <v>0</v>
      </c>
      <c r="G105" s="583">
        <f t="shared" si="19"/>
        <v>0</v>
      </c>
      <c r="H105" s="557">
        <f t="shared" si="23"/>
        <v>0</v>
      </c>
      <c r="I105" s="581">
        <f t="shared" si="20"/>
        <v>0</v>
      </c>
      <c r="J105" s="603">
        <v>0</v>
      </c>
      <c r="K105" s="579">
        <f t="shared" si="21"/>
        <v>0</v>
      </c>
      <c r="N105" s="1640">
        <f>+SUM(N102:N104)</f>
        <v>0</v>
      </c>
    </row>
    <row r="106" spans="1:14">
      <c r="A106" s="365">
        <v>26</v>
      </c>
      <c r="B106" s="328"/>
      <c r="C106" s="42"/>
      <c r="D106" s="555"/>
      <c r="E106" s="555"/>
      <c r="F106" s="557"/>
      <c r="G106" s="583"/>
      <c r="H106" s="557"/>
      <c r="I106" s="581"/>
      <c r="J106" s="555"/>
      <c r="K106" s="579"/>
    </row>
    <row r="107" spans="1:14">
      <c r="A107" s="365">
        <v>27</v>
      </c>
      <c r="B107" s="328" t="s">
        <v>2647</v>
      </c>
      <c r="C107" s="42">
        <f t="shared" ref="C107:C112" si="24">+C46</f>
        <v>768</v>
      </c>
      <c r="D107" s="555">
        <f>+(SUMIFS('Accounting Schedule B-9'!T:T,'Accounting Schedule B-9'!D:D,"=TOTAL BAYSIDE UNIT 1"))</f>
        <v>183515.49309</v>
      </c>
      <c r="E107" s="603">
        <v>0</v>
      </c>
      <c r="F107" s="557">
        <f t="shared" ref="F107:F113" si="25">+SUM(D107:E107)</f>
        <v>183515.49309</v>
      </c>
      <c r="G107" s="583">
        <f t="shared" ref="G107:G113" si="26">+F107*$G$16</f>
        <v>0</v>
      </c>
      <c r="H107" s="557">
        <f t="shared" si="23"/>
        <v>183515.49309</v>
      </c>
      <c r="I107" s="581">
        <f t="shared" ref="I107:I113" si="27">+H107</f>
        <v>183515.49309</v>
      </c>
      <c r="J107" s="603">
        <v>0</v>
      </c>
      <c r="K107" s="579">
        <f t="shared" ref="K107:K113" si="28">+SUM(I107:J107)</f>
        <v>183515.49309</v>
      </c>
      <c r="M107" t="s">
        <v>8434</v>
      </c>
      <c r="N107" s="1586">
        <f>+'Accounting Schedule B-9'!T509</f>
        <v>119953.82033</v>
      </c>
    </row>
    <row r="108" spans="1:14">
      <c r="A108" s="365">
        <v>28</v>
      </c>
      <c r="B108" s="328" t="s">
        <v>2648</v>
      </c>
      <c r="C108" s="42">
        <f t="shared" si="24"/>
        <v>954</v>
      </c>
      <c r="D108" s="555">
        <f>+(SUMIFS('Accounting Schedule B-9'!T:T,'Accounting Schedule B-9'!D:D,"=TOTAL BAYSIDE UNIT 2"))</f>
        <v>221958.94042999999</v>
      </c>
      <c r="E108" s="603">
        <v>0</v>
      </c>
      <c r="F108" s="557">
        <f t="shared" si="25"/>
        <v>221958.94042999999</v>
      </c>
      <c r="G108" s="583">
        <f t="shared" si="26"/>
        <v>0</v>
      </c>
      <c r="H108" s="557">
        <f t="shared" si="23"/>
        <v>221958.94042999999</v>
      </c>
      <c r="I108" s="581">
        <f t="shared" si="27"/>
        <v>221958.94042999999</v>
      </c>
      <c r="J108" s="603">
        <v>0</v>
      </c>
      <c r="K108" s="579">
        <f t="shared" si="28"/>
        <v>221958.94042999999</v>
      </c>
      <c r="M108" s="297" t="s">
        <v>8428</v>
      </c>
      <c r="N108" s="1639">
        <f>+D123+D93</f>
        <v>119953.82033</v>
      </c>
    </row>
    <row r="109" spans="1:14">
      <c r="A109" s="365">
        <v>29</v>
      </c>
      <c r="B109" s="328" t="s">
        <v>2649</v>
      </c>
      <c r="C109" s="42">
        <f t="shared" si="24"/>
        <v>56</v>
      </c>
      <c r="D109" s="555">
        <f>+(SUMIFS('Accounting Schedule B-9'!T:T,'Accounting Schedule B-9'!D:D,"=TOTAL BAYSIDE COMBUSTION TURBINE 3"))</f>
        <v>17139.972510000003</v>
      </c>
      <c r="E109" s="603">
        <v>0</v>
      </c>
      <c r="F109" s="557">
        <f t="shared" si="25"/>
        <v>17139.972510000003</v>
      </c>
      <c r="G109" s="583">
        <f t="shared" si="26"/>
        <v>0</v>
      </c>
      <c r="H109" s="557">
        <f t="shared" si="23"/>
        <v>17139.972510000003</v>
      </c>
      <c r="I109" s="581">
        <f t="shared" si="27"/>
        <v>17139.972510000003</v>
      </c>
      <c r="J109" s="603">
        <v>0</v>
      </c>
      <c r="K109" s="579">
        <f t="shared" si="28"/>
        <v>17139.972510000003</v>
      </c>
      <c r="N109" s="516">
        <f>+N107-N108</f>
        <v>0</v>
      </c>
    </row>
    <row r="110" spans="1:14">
      <c r="A110" s="365">
        <v>30</v>
      </c>
      <c r="B110" s="328" t="s">
        <v>2650</v>
      </c>
      <c r="C110" s="42">
        <f t="shared" si="24"/>
        <v>56</v>
      </c>
      <c r="D110" s="555">
        <f>+(SUMIFS('Accounting Schedule B-9'!T:T,'Accounting Schedule B-9'!D:D,"=TOTAL BAYSIDE COMBUSTION TURBINE 4"))</f>
        <v>13163.980820000001</v>
      </c>
      <c r="E110" s="603">
        <v>0</v>
      </c>
      <c r="F110" s="557">
        <f t="shared" si="25"/>
        <v>13163.980820000001</v>
      </c>
      <c r="G110" s="583">
        <f t="shared" si="26"/>
        <v>0</v>
      </c>
      <c r="H110" s="557">
        <f t="shared" si="23"/>
        <v>13163.980820000001</v>
      </c>
      <c r="I110" s="581">
        <f t="shared" si="27"/>
        <v>13163.980820000001</v>
      </c>
      <c r="J110" s="603">
        <v>0</v>
      </c>
      <c r="K110" s="579">
        <f t="shared" si="28"/>
        <v>13163.980820000001</v>
      </c>
      <c r="M110" t="s">
        <v>8416</v>
      </c>
      <c r="N110" s="1586">
        <v>0</v>
      </c>
    </row>
    <row r="111" spans="1:14">
      <c r="A111" s="365">
        <v>31</v>
      </c>
      <c r="B111" s="328" t="s">
        <v>2651</v>
      </c>
      <c r="C111" s="42">
        <f t="shared" si="24"/>
        <v>56</v>
      </c>
      <c r="D111" s="555">
        <f>+(SUMIFS('Accounting Schedule B-9'!T:T,'Accounting Schedule B-9'!D:D,"=TOTAL BAYSIDE COMBUSTION TURBINE 5"))</f>
        <v>18271.794999999998</v>
      </c>
      <c r="E111" s="603">
        <v>0</v>
      </c>
      <c r="F111" s="557">
        <f t="shared" si="25"/>
        <v>18271.794999999998</v>
      </c>
      <c r="G111" s="583">
        <f t="shared" si="26"/>
        <v>0</v>
      </c>
      <c r="H111" s="557">
        <f t="shared" si="23"/>
        <v>18271.794999999998</v>
      </c>
      <c r="I111" s="581">
        <f t="shared" si="27"/>
        <v>18271.794999999998</v>
      </c>
      <c r="J111" s="603">
        <v>0</v>
      </c>
      <c r="K111" s="579">
        <f t="shared" si="28"/>
        <v>18271.794999999998</v>
      </c>
      <c r="M111" s="297" t="s">
        <v>8417</v>
      </c>
      <c r="N111" s="1639">
        <f>+SUM(N97,N90,N83,N76)-N69</f>
        <v>0</v>
      </c>
    </row>
    <row r="112" spans="1:14">
      <c r="A112" s="365">
        <v>32</v>
      </c>
      <c r="B112" s="328" t="s">
        <v>2652</v>
      </c>
      <c r="C112" s="42">
        <f t="shared" si="24"/>
        <v>56</v>
      </c>
      <c r="D112" s="555">
        <f>+(SUMIFS('Accounting Schedule B-9'!T:T,'Accounting Schedule B-9'!D:D,"=TOTAL BAYSIDE COMBUSTION TURBINE 6"))</f>
        <v>20410.774009999997</v>
      </c>
      <c r="E112" s="603">
        <v>0</v>
      </c>
      <c r="F112" s="557">
        <f t="shared" si="25"/>
        <v>20410.774009999997</v>
      </c>
      <c r="G112" s="583">
        <f t="shared" si="26"/>
        <v>0</v>
      </c>
      <c r="H112" s="557">
        <f t="shared" si="23"/>
        <v>20410.774009999997</v>
      </c>
      <c r="I112" s="581">
        <f t="shared" si="27"/>
        <v>20410.774009999997</v>
      </c>
      <c r="J112" s="603">
        <v>0</v>
      </c>
      <c r="K112" s="579">
        <f t="shared" si="28"/>
        <v>20410.774009999997</v>
      </c>
      <c r="N112" s="1640">
        <f>+SUM(N109:N111)</f>
        <v>0</v>
      </c>
    </row>
    <row r="113" spans="1:15">
      <c r="A113" s="365">
        <v>33</v>
      </c>
      <c r="B113" s="328" t="s">
        <v>2653</v>
      </c>
      <c r="C113" s="42"/>
      <c r="D113" s="555">
        <f>+(SUMIFS('Accounting Schedule B-9'!T:T,'Accounting Schedule B-9'!D:D,"=TOTAL BAYSIDE COMMON"))+(SUMIFS('Accounting Schedule B-9'!T:T,'Accounting Schedule B-9'!D:D,"=BAYSIDE TOOLS - AMORT"))-'ECRC Adj Gen'!D18/1000</f>
        <v>67643.434169999993</v>
      </c>
      <c r="E113" s="603">
        <v>0</v>
      </c>
      <c r="F113" s="557">
        <f t="shared" si="25"/>
        <v>67643.434169999993</v>
      </c>
      <c r="G113" s="583">
        <f t="shared" si="26"/>
        <v>0</v>
      </c>
      <c r="H113" s="557">
        <f t="shared" si="23"/>
        <v>67643.434169999993</v>
      </c>
      <c r="I113" s="581">
        <f t="shared" si="27"/>
        <v>67643.434169999993</v>
      </c>
      <c r="J113" s="603">
        <v>0</v>
      </c>
      <c r="K113" s="579">
        <f t="shared" si="28"/>
        <v>67643.434169999993</v>
      </c>
    </row>
    <row r="114" spans="1:15">
      <c r="A114" s="365">
        <v>34</v>
      </c>
      <c r="B114" s="328"/>
      <c r="C114" s="554"/>
      <c r="D114" s="555"/>
      <c r="E114" s="555"/>
      <c r="F114" s="557"/>
      <c r="G114" s="583"/>
      <c r="H114" s="557"/>
      <c r="I114" s="581"/>
      <c r="J114" s="555"/>
      <c r="K114" s="579"/>
      <c r="M114" t="s">
        <v>8435</v>
      </c>
      <c r="N114" s="1640">
        <f>+SUM(N100,N93,N86,N79,N107)-N72</f>
        <v>-1172.077430000063</v>
      </c>
      <c r="O114" t="s">
        <v>9339</v>
      </c>
    </row>
    <row r="115" spans="1:15">
      <c r="A115" s="365">
        <v>35</v>
      </c>
      <c r="B115" s="328" t="s">
        <v>2654</v>
      </c>
      <c r="C115" s="42">
        <f t="shared" ref="C115:C120" si="29">+C54</f>
        <v>220</v>
      </c>
      <c r="D115" s="555">
        <f>+(SUMIFS('Accounting Schedule B-9'!T:T,'Accounting Schedule B-9'!D:D,"=TOTAL POLK UNIT 1"))-(SUMIFS('ECRC Adj Gen'!D8:D20,'ECRC Adj Gen'!B8:B20,"=Polk"))/1000</f>
        <v>331894.37570999999</v>
      </c>
      <c r="E115" s="603">
        <v>0</v>
      </c>
      <c r="F115" s="557">
        <f t="shared" ref="F115:F121" si="30">+SUM(D115:E115)</f>
        <v>331894.37570999999</v>
      </c>
      <c r="G115" s="583">
        <f t="shared" ref="G115:G121" si="31">+F115*$G$16</f>
        <v>0</v>
      </c>
      <c r="H115" s="557">
        <f>+F115-G115</f>
        <v>331894.37570999999</v>
      </c>
      <c r="I115" s="555">
        <f>+(I54/H54)*H115</f>
        <v>170453.57483895397</v>
      </c>
      <c r="J115" s="555">
        <f>+(J54/H54)*H115</f>
        <v>161440.80087104603</v>
      </c>
      <c r="K115" s="579">
        <f t="shared" ref="K115:K121" si="32">+SUM(I115:J115)</f>
        <v>331894.37570999999</v>
      </c>
      <c r="M115" s="297" t="s">
        <v>8426</v>
      </c>
      <c r="N115" s="1641">
        <f>+SUM(N101,N94,N87,N80,N108)-N73</f>
        <v>-1172.077430000063</v>
      </c>
    </row>
    <row r="116" spans="1:15">
      <c r="A116" s="365">
        <v>36</v>
      </c>
      <c r="B116" s="328" t="s">
        <v>2655</v>
      </c>
      <c r="C116" s="42">
        <f t="shared" si="29"/>
        <v>150</v>
      </c>
      <c r="D116" s="555">
        <f>+(SUMIFS('Accounting Schedule B-9'!T:T,'Accounting Schedule B-9'!D:D,"=TOTAL POLK UNIT 2"))</f>
        <v>24259.092119999998</v>
      </c>
      <c r="E116" s="603">
        <v>0</v>
      </c>
      <c r="F116" s="557">
        <f t="shared" si="30"/>
        <v>24259.092119999998</v>
      </c>
      <c r="G116" s="583">
        <f t="shared" si="31"/>
        <v>0</v>
      </c>
      <c r="H116" s="557">
        <f t="shared" ref="H116:H121" si="33">+F116-G116</f>
        <v>24259.092119999998</v>
      </c>
      <c r="I116" s="581">
        <f>+H116</f>
        <v>24259.092119999998</v>
      </c>
      <c r="J116" s="603">
        <v>0</v>
      </c>
      <c r="K116" s="579">
        <f t="shared" si="32"/>
        <v>24259.092119999998</v>
      </c>
      <c r="N116" s="1640">
        <f>+N114-N115</f>
        <v>0</v>
      </c>
    </row>
    <row r="117" spans="1:15">
      <c r="A117" s="365">
        <v>37</v>
      </c>
      <c r="B117" s="328" t="s">
        <v>2656</v>
      </c>
      <c r="C117" s="42">
        <f t="shared" si="29"/>
        <v>150</v>
      </c>
      <c r="D117" s="555">
        <f>+(SUMIFS('Accounting Schedule B-9'!T:T,'Accounting Schedule B-9'!D:D,"=TOTAL POLK UNIT 3"))</f>
        <v>36760.570120000004</v>
      </c>
      <c r="E117" s="603">
        <v>0</v>
      </c>
      <c r="F117" s="557">
        <f t="shared" si="30"/>
        <v>36760.570120000004</v>
      </c>
      <c r="G117" s="583">
        <f t="shared" si="31"/>
        <v>0</v>
      </c>
      <c r="H117" s="557">
        <f t="shared" si="33"/>
        <v>36760.570120000004</v>
      </c>
      <c r="I117" s="581">
        <f>+H117</f>
        <v>36760.570120000004</v>
      </c>
      <c r="J117" s="603">
        <v>0</v>
      </c>
      <c r="K117" s="579">
        <f t="shared" si="32"/>
        <v>36760.570120000004</v>
      </c>
      <c r="M117" t="s">
        <v>8416</v>
      </c>
      <c r="N117" s="1640">
        <f>+SUM(N103,N96,N89,N82,N110)-N75</f>
        <v>-2.2692307538818568E-4</v>
      </c>
    </row>
    <row r="118" spans="1:15">
      <c r="A118" s="365">
        <v>38</v>
      </c>
      <c r="B118" s="328" t="s">
        <v>2657</v>
      </c>
      <c r="C118" s="42">
        <f t="shared" si="29"/>
        <v>150</v>
      </c>
      <c r="D118" s="555">
        <f>+(SUMIFS('Accounting Schedule B-9'!T:T,'Accounting Schedule B-9'!D:D,"=TOTAL POLK UNIT 4"))</f>
        <v>15165.394060000002</v>
      </c>
      <c r="E118" s="603">
        <v>0</v>
      </c>
      <c r="F118" s="557">
        <f t="shared" si="30"/>
        <v>15165.394060000002</v>
      </c>
      <c r="G118" s="583">
        <f t="shared" si="31"/>
        <v>0</v>
      </c>
      <c r="H118" s="557">
        <f t="shared" si="33"/>
        <v>15165.394060000002</v>
      </c>
      <c r="I118" s="581">
        <f>+H118</f>
        <v>15165.394060000002</v>
      </c>
      <c r="J118" s="603">
        <v>0</v>
      </c>
      <c r="K118" s="579">
        <f t="shared" si="32"/>
        <v>15165.394060000002</v>
      </c>
      <c r="M118" s="297" t="s">
        <v>8417</v>
      </c>
      <c r="N118" s="1641">
        <f>+SUM(N104,N97,N90,N83,N111)-N76</f>
        <v>0</v>
      </c>
    </row>
    <row r="119" spans="1:15">
      <c r="A119" s="365">
        <v>39</v>
      </c>
      <c r="B119" s="328" t="s">
        <v>2658</v>
      </c>
      <c r="C119" s="42">
        <f t="shared" si="29"/>
        <v>150</v>
      </c>
      <c r="D119" s="555">
        <f>+(SUMIFS('Accounting Schedule B-9'!T:T,'Accounting Schedule B-9'!D:D,"=TOTAL POLK UNIT 5"))</f>
        <v>14075.736369999999</v>
      </c>
      <c r="E119" s="603">
        <v>0</v>
      </c>
      <c r="F119" s="557">
        <f t="shared" si="30"/>
        <v>14075.736369999999</v>
      </c>
      <c r="G119" s="583">
        <f t="shared" si="31"/>
        <v>0</v>
      </c>
      <c r="H119" s="557">
        <f t="shared" si="33"/>
        <v>14075.736369999999</v>
      </c>
      <c r="I119" s="581">
        <f>+H119</f>
        <v>14075.736369999999</v>
      </c>
      <c r="J119" s="603">
        <v>0</v>
      </c>
      <c r="K119" s="579">
        <f t="shared" si="32"/>
        <v>14075.736369999999</v>
      </c>
      <c r="N119" s="1640">
        <f>+SUM(N116:N118)</f>
        <v>-2.2692307538818568E-4</v>
      </c>
    </row>
    <row r="120" spans="1:15">
      <c r="A120" s="365">
        <v>40</v>
      </c>
      <c r="B120" s="328" t="s">
        <v>2659</v>
      </c>
      <c r="C120" s="42">
        <f t="shared" si="29"/>
        <v>461</v>
      </c>
      <c r="D120" s="555">
        <f>+(SUMIFS('Accounting Schedule B-9'!T:T,'Accounting Schedule B-9'!D:D,"=TOTAL POLK CCST (2-5)"))</f>
        <v>110814.76547000001</v>
      </c>
      <c r="E120" s="603">
        <v>0</v>
      </c>
      <c r="F120" s="557">
        <f t="shared" si="30"/>
        <v>110814.76547000001</v>
      </c>
      <c r="G120" s="583">
        <f t="shared" si="31"/>
        <v>0</v>
      </c>
      <c r="H120" s="557">
        <f t="shared" si="33"/>
        <v>110814.76547000001</v>
      </c>
      <c r="I120" s="581">
        <f>+H120</f>
        <v>110814.76547000001</v>
      </c>
      <c r="J120" s="603">
        <v>0</v>
      </c>
      <c r="K120" s="579">
        <f t="shared" si="32"/>
        <v>110814.76547000001</v>
      </c>
    </row>
    <row r="121" spans="1:15">
      <c r="A121" s="365">
        <v>41</v>
      </c>
      <c r="B121" s="328" t="s">
        <v>2660</v>
      </c>
      <c r="C121" s="42"/>
      <c r="D121" s="555">
        <f>+(SUMIFS('Accounting Schedule B-9'!T:T,'Accounting Schedule B-9'!D:D,"=TOTAL POLK POWER COMMON"))+(SUMIFS('Accounting Schedule B-9'!T:T,'Accounting Schedule B-9'!D:D,"=POLK TOOLS - AMORT"))</f>
        <v>82696.207950000011</v>
      </c>
      <c r="E121" s="603">
        <v>0</v>
      </c>
      <c r="F121" s="557">
        <f t="shared" si="30"/>
        <v>82696.207950000011</v>
      </c>
      <c r="G121" s="583">
        <f t="shared" si="31"/>
        <v>0</v>
      </c>
      <c r="H121" s="557">
        <f t="shared" si="33"/>
        <v>82696.207950000011</v>
      </c>
      <c r="I121" s="555">
        <f>+(I60/H60)*H121</f>
        <v>75608.528624129598</v>
      </c>
      <c r="J121" s="555">
        <f>+(J60/H60)*H121</f>
        <v>7087.6793258704129</v>
      </c>
      <c r="K121" s="579">
        <f t="shared" si="32"/>
        <v>82696.207950000011</v>
      </c>
    </row>
    <row r="122" spans="1:15">
      <c r="A122" s="365">
        <v>42</v>
      </c>
      <c r="B122" s="328"/>
      <c r="C122" s="42"/>
      <c r="D122" s="555"/>
      <c r="E122" s="555"/>
      <c r="F122" s="557"/>
      <c r="G122" s="583"/>
      <c r="H122" s="557"/>
      <c r="I122" s="581"/>
      <c r="J122" s="555"/>
      <c r="K122" s="579"/>
    </row>
    <row r="123" spans="1:15">
      <c r="A123" s="365">
        <v>43</v>
      </c>
      <c r="B123" s="328" t="s">
        <v>2661</v>
      </c>
      <c r="C123" s="96"/>
      <c r="D123" s="555">
        <f>+(SUMIFS('Accounting Schedule B-9'!T:T,'Accounting Schedule B-9'!D:D,"=FOSSIL DISMANTLING - OTHER"))</f>
        <v>45352.545859999998</v>
      </c>
      <c r="E123" s="603">
        <v>0</v>
      </c>
      <c r="F123" s="557">
        <f>+SUM(D123:E123)</f>
        <v>45352.545859999998</v>
      </c>
      <c r="G123" s="583">
        <f>+F123*$G$16</f>
        <v>0</v>
      </c>
      <c r="H123" s="557">
        <f>+F123-G123</f>
        <v>45352.545859999998</v>
      </c>
      <c r="I123" s="581">
        <f>+H123</f>
        <v>45352.545859999998</v>
      </c>
      <c r="J123" s="603">
        <v>0</v>
      </c>
      <c r="K123" s="579">
        <f>+SUM(I123:J123)</f>
        <v>45352.545859999998</v>
      </c>
    </row>
    <row r="124" spans="1:15">
      <c r="A124" s="365">
        <v>44</v>
      </c>
      <c r="B124" s="328"/>
      <c r="C124" s="439"/>
      <c r="D124" s="561"/>
      <c r="E124" s="555"/>
      <c r="F124" s="562"/>
      <c r="G124" s="583"/>
      <c r="H124" s="562"/>
      <c r="I124" s="395"/>
      <c r="J124" s="395"/>
      <c r="K124" s="608"/>
    </row>
    <row r="125" spans="1:15">
      <c r="A125" s="365">
        <v>45</v>
      </c>
      <c r="B125" s="328" t="s">
        <v>2965</v>
      </c>
      <c r="C125" s="468">
        <f>+SUM(C98:C121)</f>
        <v>5655.6</v>
      </c>
      <c r="D125" s="566">
        <f t="shared" ref="D125:K125" si="34">+SUM(D98:D123)</f>
        <v>1514894.6786800001</v>
      </c>
      <c r="E125" s="593">
        <f t="shared" si="34"/>
        <v>0</v>
      </c>
      <c r="F125" s="594">
        <f t="shared" si="34"/>
        <v>1514894.6786800001</v>
      </c>
      <c r="G125" s="594">
        <f t="shared" si="34"/>
        <v>0</v>
      </c>
      <c r="H125" s="594">
        <f t="shared" si="34"/>
        <v>1514894.6786800001</v>
      </c>
      <c r="I125" s="594">
        <f t="shared" si="34"/>
        <v>1346366.1984830839</v>
      </c>
      <c r="J125" s="594">
        <f t="shared" si="34"/>
        <v>168528.48019691644</v>
      </c>
      <c r="K125" s="594">
        <f t="shared" si="34"/>
        <v>1514894.6786800001</v>
      </c>
    </row>
    <row r="126" spans="1:15">
      <c r="A126" s="365">
        <v>46</v>
      </c>
      <c r="B126" s="328"/>
      <c r="C126" s="328"/>
      <c r="D126" s="556"/>
      <c r="E126" s="580"/>
      <c r="F126" s="557"/>
      <c r="G126" s="557"/>
      <c r="H126" s="557"/>
      <c r="I126" s="557"/>
      <c r="J126" s="557"/>
      <c r="K126" s="557"/>
    </row>
    <row r="127" spans="1:15" ht="15" thickBot="1">
      <c r="A127" s="365">
        <v>47</v>
      </c>
      <c r="B127" s="328" t="s">
        <v>2663</v>
      </c>
      <c r="C127" s="543">
        <f t="shared" ref="C127:H127" si="35">+C95+C125</f>
        <v>6087.6</v>
      </c>
      <c r="D127" s="567">
        <f t="shared" si="35"/>
        <v>1886761.0707630771</v>
      </c>
      <c r="E127" s="597">
        <f t="shared" si="35"/>
        <v>172757.65942000001</v>
      </c>
      <c r="F127" s="598">
        <f t="shared" si="35"/>
        <v>2059518.730183077</v>
      </c>
      <c r="G127" s="598">
        <f t="shared" si="35"/>
        <v>0</v>
      </c>
      <c r="H127" s="598">
        <f t="shared" si="35"/>
        <v>2059518.730183077</v>
      </c>
      <c r="I127" s="598">
        <f>+I95+I125</f>
        <v>1765770.4731861609</v>
      </c>
      <c r="J127" s="598">
        <f>+J95+J125</f>
        <v>293748.25699691643</v>
      </c>
      <c r="K127" s="598">
        <f>+K95+K125</f>
        <v>2059518.730183077</v>
      </c>
    </row>
    <row r="128" spans="1:15" ht="15" thickTop="1">
      <c r="A128" s="529"/>
      <c r="B128" s="546"/>
      <c r="C128" s="546"/>
      <c r="D128" s="610"/>
      <c r="E128" s="610"/>
      <c r="F128" s="610"/>
      <c r="G128" s="610"/>
      <c r="H128" s="610"/>
      <c r="I128" s="610"/>
      <c r="J128" s="610"/>
      <c r="K128" s="608"/>
    </row>
    <row r="129" spans="1:14">
      <c r="B129" s="328"/>
      <c r="C129" s="328"/>
      <c r="D129" s="328"/>
      <c r="E129" s="328"/>
      <c r="F129" s="328"/>
      <c r="G129" s="328"/>
      <c r="H129" s="328"/>
      <c r="I129" s="328"/>
      <c r="J129" s="328"/>
      <c r="K129" s="328"/>
    </row>
    <row r="130" spans="1:14">
      <c r="B130" s="328"/>
      <c r="C130" s="328"/>
      <c r="D130" s="328"/>
      <c r="E130" s="328"/>
      <c r="F130" s="328"/>
      <c r="G130" s="328"/>
      <c r="H130" s="328"/>
      <c r="I130" s="328"/>
      <c r="J130" s="328"/>
      <c r="K130" s="328"/>
      <c r="M130" t="s">
        <v>8429</v>
      </c>
      <c r="N130" s="1586">
        <f>+'Accounting Schedule B-9'!H532+'Accounting Schedule B-9'!H558</f>
        <v>296784.56037999998</v>
      </c>
    </row>
    <row r="131" spans="1:14">
      <c r="A131" s="352" t="s">
        <v>2173</v>
      </c>
      <c r="B131" s="549"/>
      <c r="C131" s="402"/>
      <c r="D131" s="549"/>
      <c r="E131" s="549"/>
      <c r="F131" s="549"/>
      <c r="G131" s="549"/>
      <c r="H131" s="549"/>
      <c r="I131" s="518"/>
      <c r="J131" s="549"/>
      <c r="K131" s="550"/>
      <c r="M131" s="297" t="s">
        <v>8415</v>
      </c>
      <c r="N131" s="1639">
        <f>+F186</f>
        <v>285291.55455</v>
      </c>
    </row>
    <row r="132" spans="1:14">
      <c r="A132" s="353" t="s">
        <v>2966</v>
      </c>
      <c r="B132" s="328"/>
      <c r="C132" s="328"/>
      <c r="D132" s="328"/>
      <c r="E132" s="328"/>
      <c r="F132" s="328"/>
      <c r="G132" s="328"/>
      <c r="H132" s="328"/>
      <c r="I132" s="62"/>
      <c r="J132" s="328"/>
      <c r="K132" s="536"/>
      <c r="N132" s="516">
        <f>+N130-N131</f>
        <v>11493.00582999998</v>
      </c>
    </row>
    <row r="133" spans="1:14">
      <c r="A133" s="615" t="s">
        <v>9263</v>
      </c>
      <c r="B133" s="29"/>
      <c r="C133" s="328"/>
      <c r="D133" s="328"/>
      <c r="E133" s="328"/>
      <c r="F133" s="328"/>
      <c r="G133" s="328"/>
      <c r="H133" s="328"/>
      <c r="I133" s="62"/>
      <c r="J133" s="328"/>
      <c r="K133" s="536"/>
      <c r="M133" t="s">
        <v>8416</v>
      </c>
      <c r="N133" s="1586">
        <f>-'ECRC Adj Gen'!H6/1000</f>
        <v>-11493.010829999999</v>
      </c>
    </row>
    <row r="134" spans="1:14">
      <c r="A134" s="519"/>
      <c r="B134" s="546"/>
      <c r="C134" s="546"/>
      <c r="D134" s="546"/>
      <c r="E134" s="546"/>
      <c r="F134" s="546"/>
      <c r="G134" s="546"/>
      <c r="H134" s="546"/>
      <c r="I134" s="514"/>
      <c r="J134" s="546"/>
      <c r="K134" s="547"/>
      <c r="M134" s="297" t="s">
        <v>8417</v>
      </c>
      <c r="N134" s="1639">
        <f>+SUM('Generation Land'!E131:E134)/1000</f>
        <v>0</v>
      </c>
    </row>
    <row r="135" spans="1:14">
      <c r="A135" s="357"/>
      <c r="B135" s="328"/>
      <c r="C135" s="328"/>
      <c r="D135" s="328"/>
      <c r="E135" s="328"/>
      <c r="F135" s="328"/>
      <c r="G135" s="328"/>
      <c r="H135" s="328"/>
      <c r="I135" s="62"/>
      <c r="J135" s="328"/>
      <c r="K135" s="536"/>
      <c r="N135" s="1640">
        <f>+SUM(N132:N134)</f>
        <v>-5.0000000192085281E-3</v>
      </c>
    </row>
    <row r="136" spans="1:14">
      <c r="A136" s="357"/>
      <c r="B136" s="62"/>
      <c r="C136" s="60" t="s">
        <v>2316</v>
      </c>
      <c r="D136" s="60" t="s">
        <v>2609</v>
      </c>
      <c r="E136" s="60" t="s">
        <v>2610</v>
      </c>
      <c r="F136" s="60"/>
      <c r="G136" s="60"/>
      <c r="H136" s="60"/>
      <c r="I136" s="3122"/>
      <c r="J136" s="3123"/>
      <c r="K136" s="3124"/>
    </row>
    <row r="137" spans="1:14">
      <c r="A137" s="357"/>
      <c r="B137" s="62"/>
      <c r="C137" s="60" t="s">
        <v>2612</v>
      </c>
      <c r="D137" s="60" t="s">
        <v>1823</v>
      </c>
      <c r="E137" s="60" t="s">
        <v>2613</v>
      </c>
      <c r="F137" s="521" t="s">
        <v>115</v>
      </c>
      <c r="G137" s="521" t="s">
        <v>1969</v>
      </c>
      <c r="H137" s="520" t="s">
        <v>2614</v>
      </c>
      <c r="I137" s="3125" t="s">
        <v>2615</v>
      </c>
      <c r="J137" s="3126"/>
      <c r="K137" s="3127"/>
      <c r="M137" t="s">
        <v>8430</v>
      </c>
      <c r="N137" s="1586">
        <f>+'Accounting Schedule B-9'!H169+'Accounting Schedule B-9'!H133</f>
        <v>89958.378379999995</v>
      </c>
    </row>
    <row r="138" spans="1:14">
      <c r="A138" s="522" t="s">
        <v>2616</v>
      </c>
      <c r="B138" s="77" t="s">
        <v>35</v>
      </c>
      <c r="C138" s="77" t="s">
        <v>2617</v>
      </c>
      <c r="D138" s="77" t="s">
        <v>2618</v>
      </c>
      <c r="E138" s="77" t="s">
        <v>2619</v>
      </c>
      <c r="F138" s="523" t="s">
        <v>2620</v>
      </c>
      <c r="G138" s="523" t="s">
        <v>2621</v>
      </c>
      <c r="H138" s="522" t="s">
        <v>2622</v>
      </c>
      <c r="I138" s="522" t="s">
        <v>2623</v>
      </c>
      <c r="J138" s="77" t="s">
        <v>2624</v>
      </c>
      <c r="K138" s="364" t="s">
        <v>122</v>
      </c>
      <c r="M138" s="297" t="s">
        <v>8419</v>
      </c>
      <c r="N138" s="1639">
        <f>+SUM(D141,D150,D157:D160)</f>
        <v>79459.579550000009</v>
      </c>
    </row>
    <row r="139" spans="1:14">
      <c r="A139" s="354" t="s">
        <v>2175</v>
      </c>
      <c r="B139" s="551" t="s">
        <v>2176</v>
      </c>
      <c r="C139" s="551" t="s">
        <v>2177</v>
      </c>
      <c r="D139" s="551" t="s">
        <v>2178</v>
      </c>
      <c r="E139" s="551" t="s">
        <v>2179</v>
      </c>
      <c r="F139" s="525" t="s">
        <v>2625</v>
      </c>
      <c r="G139" s="552" t="s">
        <v>2626</v>
      </c>
      <c r="H139" s="552" t="s">
        <v>2627</v>
      </c>
      <c r="I139" s="551" t="s">
        <v>2628</v>
      </c>
      <c r="J139" s="551" t="s">
        <v>2629</v>
      </c>
      <c r="K139" s="552" t="s">
        <v>2630</v>
      </c>
      <c r="N139" s="516">
        <f>+N137-N138</f>
        <v>10498.798829999985</v>
      </c>
    </row>
    <row r="140" spans="1:14">
      <c r="A140" s="526">
        <v>1</v>
      </c>
      <c r="B140" s="328" t="s">
        <v>2631</v>
      </c>
      <c r="C140" s="328"/>
      <c r="D140" s="328"/>
      <c r="E140" s="328"/>
      <c r="F140" s="534"/>
      <c r="G140" s="534"/>
      <c r="H140" s="540"/>
      <c r="I140" s="328"/>
      <c r="J140" s="328"/>
      <c r="K140" s="536"/>
      <c r="M140" t="s">
        <v>8416</v>
      </c>
      <c r="N140" s="1586">
        <f>-SUM('ECRC Adj Gen'!E9:E11,'ECRC Adj Gen'!E15:E17)/1000</f>
        <v>-10498.79883</v>
      </c>
    </row>
    <row r="141" spans="1:14">
      <c r="A141" s="365">
        <v>2</v>
      </c>
      <c r="B141" s="328" t="s">
        <v>2632</v>
      </c>
      <c r="C141" s="328"/>
      <c r="D141" s="565">
        <f>(+SUMIFS('Accounting Schedule B-9'!H:H,'Accounting Schedule B-9'!D:D,"=TOTAL BIG BEND COMMON"))</f>
        <v>17345.846309999997</v>
      </c>
      <c r="E141" s="556">
        <f>-D141</f>
        <v>-17345.846309999997</v>
      </c>
      <c r="F141" s="564">
        <f>+SUM(D141:E141)</f>
        <v>0</v>
      </c>
      <c r="G141" s="603">
        <v>0</v>
      </c>
      <c r="H141" s="557">
        <f>+F141-G141</f>
        <v>0</v>
      </c>
      <c r="I141" s="581">
        <f>+H141</f>
        <v>0</v>
      </c>
      <c r="J141" s="603">
        <v>0</v>
      </c>
      <c r="K141" s="579">
        <f>+SUM(I141:J141)</f>
        <v>0</v>
      </c>
      <c r="M141" s="297" t="s">
        <v>8417</v>
      </c>
      <c r="N141" s="1639">
        <f>+'Generation Land'!E131/1000</f>
        <v>0</v>
      </c>
    </row>
    <row r="142" spans="1:14">
      <c r="A142" s="365">
        <v>3</v>
      </c>
      <c r="B142" s="328"/>
      <c r="C142" s="328"/>
      <c r="D142" s="565"/>
      <c r="E142" s="580"/>
      <c r="F142" s="564"/>
      <c r="G142" s="564"/>
      <c r="H142" s="557"/>
      <c r="I142" s="581"/>
      <c r="J142" s="555"/>
      <c r="K142" s="579"/>
      <c r="N142" s="1640">
        <f>+SUM(N139:N141)</f>
        <v>-1.4551915228366852E-11</v>
      </c>
    </row>
    <row r="143" spans="1:14">
      <c r="A143" s="365">
        <v>4</v>
      </c>
      <c r="B143" s="328" t="s">
        <v>2633</v>
      </c>
      <c r="C143" s="527">
        <f>+C84</f>
        <v>0</v>
      </c>
      <c r="D143" s="603">
        <v>0</v>
      </c>
      <c r="E143" s="556">
        <f>-D143</f>
        <v>0</v>
      </c>
      <c r="F143" s="564">
        <f t="shared" ref="F143:F148" si="36">+SUM(D143:E143)</f>
        <v>0</v>
      </c>
      <c r="G143" s="583">
        <f t="shared" ref="G143:G148" si="37">+F143*$G$16</f>
        <v>0</v>
      </c>
      <c r="H143" s="557">
        <f t="shared" ref="H143:H148" si="38">+F143-G143</f>
        <v>0</v>
      </c>
      <c r="I143" s="581">
        <f>+H143</f>
        <v>0</v>
      </c>
      <c r="J143" s="603">
        <v>0</v>
      </c>
      <c r="K143" s="579">
        <f>+SUM(I143:J143)</f>
        <v>0</v>
      </c>
    </row>
    <row r="144" spans="1:14">
      <c r="A144" s="365">
        <v>5</v>
      </c>
      <c r="B144" s="328" t="s">
        <v>2634</v>
      </c>
      <c r="C144" s="527">
        <f>+C85</f>
        <v>0</v>
      </c>
      <c r="D144" s="603">
        <v>0</v>
      </c>
      <c r="E144" s="556">
        <f>-D144</f>
        <v>0</v>
      </c>
      <c r="F144" s="564">
        <f t="shared" si="36"/>
        <v>0</v>
      </c>
      <c r="G144" s="583">
        <f t="shared" si="37"/>
        <v>0</v>
      </c>
      <c r="H144" s="557">
        <f t="shared" si="38"/>
        <v>0</v>
      </c>
      <c r="I144" s="581">
        <f>+H144</f>
        <v>0</v>
      </c>
      <c r="J144" s="603">
        <v>0</v>
      </c>
      <c r="K144" s="579">
        <f>+SUM(I144:J144)</f>
        <v>0</v>
      </c>
      <c r="M144" t="s">
        <v>8431</v>
      </c>
      <c r="N144" s="1586">
        <f>+'Accounting Schedule B-9'!H340</f>
        <v>62677.014869999999</v>
      </c>
    </row>
    <row r="145" spans="1:14">
      <c r="A145" s="365">
        <v>6</v>
      </c>
      <c r="B145" s="328" t="s">
        <v>2635</v>
      </c>
      <c r="C145" s="527">
        <f>+C86</f>
        <v>0</v>
      </c>
      <c r="D145" s="603">
        <v>0</v>
      </c>
      <c r="E145" s="555">
        <f>+($C$145/$C$150)*($D$141+$D$143+$D$144+$D$148)</f>
        <v>0</v>
      </c>
      <c r="F145" s="564">
        <f t="shared" si="36"/>
        <v>0</v>
      </c>
      <c r="G145" s="583">
        <f t="shared" si="37"/>
        <v>0</v>
      </c>
      <c r="H145" s="557">
        <f t="shared" si="38"/>
        <v>0</v>
      </c>
      <c r="I145" s="581">
        <f>+H145</f>
        <v>0</v>
      </c>
      <c r="J145" s="603">
        <v>0</v>
      </c>
      <c r="K145" s="579">
        <f>+SUM(I145:J145)</f>
        <v>0</v>
      </c>
      <c r="M145" s="297" t="s">
        <v>8421</v>
      </c>
      <c r="N145" s="1639">
        <f>+SUM(D166:D172)</f>
        <v>61741.050870000006</v>
      </c>
    </row>
    <row r="146" spans="1:14">
      <c r="A146" s="365">
        <v>7</v>
      </c>
      <c r="B146" s="328" t="s">
        <v>2636</v>
      </c>
      <c r="C146" s="527">
        <f>+C87</f>
        <v>432</v>
      </c>
      <c r="D146" s="560">
        <f>+SUMIFS('Accounting Schedule B-9'!H:H,'Accounting Schedule B-9'!D:D,"TOTAL BIG BEND UNIT 4*")-('ECRC Adj Gen'!E10+'ECRC Adj Gen'!E11+'ECRC Adj Gen'!E17)/1000</f>
        <v>18938.446680000005</v>
      </c>
      <c r="E146" s="555">
        <f>+($C$146/$C$150)*($D$141+$D$143+$D$144+$D$148)</f>
        <v>17451.212419999996</v>
      </c>
      <c r="F146" s="564">
        <f t="shared" si="36"/>
        <v>36389.659100000004</v>
      </c>
      <c r="G146" s="583">
        <f t="shared" si="37"/>
        <v>0</v>
      </c>
      <c r="H146" s="557">
        <f t="shared" si="38"/>
        <v>36389.659100000004</v>
      </c>
      <c r="I146" s="581">
        <f>+H146</f>
        <v>36389.659100000004</v>
      </c>
      <c r="J146" s="603">
        <v>0</v>
      </c>
      <c r="K146" s="579">
        <f>+SUM(I146:J146)</f>
        <v>36389.659100000004</v>
      </c>
      <c r="N146" s="516">
        <f>+N144-N145</f>
        <v>935.96399999999267</v>
      </c>
    </row>
    <row r="147" spans="1:14">
      <c r="A147" s="365">
        <v>8</v>
      </c>
      <c r="B147" s="328" t="s">
        <v>2637</v>
      </c>
      <c r="C147" s="42"/>
      <c r="D147" s="560">
        <f>+(SUMIFS('Accounting Schedule B-9'!H:H,'Accounting Schedule B-9'!D:D,"=TOTAL BIG BEND UNIT 3 &amp; 4 FGD"))+(SUMIFS('Accounting Schedule B-9'!H:H,'Accounting Schedule B-9'!D:D,"=TOTAL BIG BEND UNIT 1 &amp; 2 FGD"))</f>
        <v>12517.474829999997</v>
      </c>
      <c r="E147" s="603">
        <v>0</v>
      </c>
      <c r="F147" s="564">
        <f t="shared" si="36"/>
        <v>12517.474829999997</v>
      </c>
      <c r="G147" s="583">
        <f t="shared" si="37"/>
        <v>0</v>
      </c>
      <c r="H147" s="557">
        <f t="shared" si="38"/>
        <v>12517.474829999997</v>
      </c>
      <c r="I147" s="603">
        <v>0</v>
      </c>
      <c r="J147" s="584">
        <f>+H147</f>
        <v>12517.474829999997</v>
      </c>
      <c r="K147" s="579">
        <f>+SUM(I147:J147)</f>
        <v>12517.474829999997</v>
      </c>
      <c r="M147" t="s">
        <v>8416</v>
      </c>
      <c r="N147" s="1586">
        <f>-'ECRC Adj Gen'!E18/1000</f>
        <v>-935.96400000000006</v>
      </c>
    </row>
    <row r="148" spans="1:14">
      <c r="A148" s="365">
        <v>9</v>
      </c>
      <c r="B148" s="328" t="s">
        <v>2670</v>
      </c>
      <c r="C148" s="553"/>
      <c r="D148" s="561">
        <f>+(SUMIFS('Accounting Schedule B-9'!H:H,'Accounting Schedule B-9'!D:D,"=BIG BEND TOOLS - AMORT"))</f>
        <v>105.36611000000001</v>
      </c>
      <c r="E148" s="568">
        <f>-D148</f>
        <v>-105.36611000000001</v>
      </c>
      <c r="F148" s="572">
        <f t="shared" si="36"/>
        <v>0</v>
      </c>
      <c r="G148" s="585">
        <f t="shared" si="37"/>
        <v>0</v>
      </c>
      <c r="H148" s="562">
        <f t="shared" si="38"/>
        <v>0</v>
      </c>
      <c r="I148" s="586"/>
      <c r="J148" s="561"/>
      <c r="K148" s="608"/>
      <c r="M148" t="s">
        <v>8417</v>
      </c>
      <c r="N148" s="1586">
        <f>+'Generation Land'!E132/1000</f>
        <v>0</v>
      </c>
    </row>
    <row r="149" spans="1:14">
      <c r="A149" s="365">
        <v>10</v>
      </c>
      <c r="B149" s="328"/>
      <c r="C149" s="42"/>
      <c r="D149" s="569"/>
      <c r="E149" s="570"/>
      <c r="F149" s="564"/>
      <c r="G149" s="557"/>
      <c r="H149" s="592"/>
      <c r="I149" s="578"/>
      <c r="J149" s="556"/>
      <c r="K149" s="579"/>
      <c r="N149" s="1640">
        <f>+SUM(N146:N148)</f>
        <v>-7.3896444519050419E-12</v>
      </c>
    </row>
    <row r="150" spans="1:14">
      <c r="A150" s="365">
        <v>11</v>
      </c>
      <c r="B150" s="328" t="s">
        <v>2639</v>
      </c>
      <c r="C150" s="439">
        <f>+SUM(C143:C148)</f>
        <v>432</v>
      </c>
      <c r="D150" s="571">
        <f>+SUM(D143:D148)</f>
        <v>31561.287619999999</v>
      </c>
      <c r="E150" s="571">
        <f>+SUM(E143:E148)</f>
        <v>17345.846309999997</v>
      </c>
      <c r="F150" s="573">
        <f>+SUM(D150:E150)</f>
        <v>48907.133929999996</v>
      </c>
      <c r="G150" s="585">
        <f>+SUM(G143:G148)</f>
        <v>0</v>
      </c>
      <c r="H150" s="585">
        <f>+SUM(H143:H148)</f>
        <v>48907.133930000004</v>
      </c>
      <c r="I150" s="590">
        <f>+SUM(I143:I148)</f>
        <v>36389.659100000004</v>
      </c>
      <c r="J150" s="568">
        <f>+SUM(J143:J148)</f>
        <v>12517.474829999997</v>
      </c>
      <c r="K150" s="587">
        <f>+SUM(K143:K148)</f>
        <v>48907.133930000004</v>
      </c>
    </row>
    <row r="151" spans="1:14">
      <c r="A151" s="365">
        <v>12</v>
      </c>
      <c r="B151" s="328"/>
      <c r="C151" s="96"/>
      <c r="D151" s="569"/>
      <c r="E151" s="570"/>
      <c r="F151" s="564"/>
      <c r="G151" s="557"/>
      <c r="H151" s="557"/>
      <c r="I151" s="556"/>
      <c r="J151" s="556"/>
      <c r="K151" s="579"/>
      <c r="M151" t="s">
        <v>8432</v>
      </c>
      <c r="N151" s="1586">
        <f>+'Accounting Schedule B-9'!H261</f>
        <v>52560.155310000002</v>
      </c>
    </row>
    <row r="152" spans="1:14">
      <c r="A152" s="365">
        <v>13</v>
      </c>
      <c r="B152" s="328" t="s">
        <v>2640</v>
      </c>
      <c r="C152" s="528"/>
      <c r="D152" s="555">
        <f>+(SUMIFS('Accounting Schedule B-9'!H:H,'Accounting Schedule B-9'!D:D,"=FOSSIL DISMANTLING - STEAM"))</f>
        <v>2301.2224799999985</v>
      </c>
      <c r="E152" s="603">
        <v>0</v>
      </c>
      <c r="F152" s="564">
        <f>+SUM(D152:E152)</f>
        <v>2301.2224799999985</v>
      </c>
      <c r="G152" s="583">
        <f>+F152*$G$16</f>
        <v>0</v>
      </c>
      <c r="H152" s="557">
        <f>+F152-G152</f>
        <v>2301.2224799999985</v>
      </c>
      <c r="I152" s="581">
        <f>+H152</f>
        <v>2301.2224799999985</v>
      </c>
      <c r="J152" s="603">
        <v>0</v>
      </c>
      <c r="K152" s="579">
        <f>+SUM(I152:J152)</f>
        <v>2301.2224799999985</v>
      </c>
      <c r="M152" s="297" t="s">
        <v>8422</v>
      </c>
      <c r="N152" s="1639">
        <f>+SUM(D174:D180)</f>
        <v>52501.91231</v>
      </c>
    </row>
    <row r="153" spans="1:14">
      <c r="A153" s="365">
        <v>14</v>
      </c>
      <c r="B153" s="328"/>
      <c r="C153" s="545"/>
      <c r="D153" s="574"/>
      <c r="E153" s="571"/>
      <c r="F153" s="572"/>
      <c r="G153" s="562"/>
      <c r="H153" s="562"/>
      <c r="I153" s="609"/>
      <c r="J153" s="610"/>
      <c r="K153" s="608"/>
      <c r="N153" s="516">
        <f>+N151-N152</f>
        <v>58.243000000002212</v>
      </c>
    </row>
    <row r="154" spans="1:14">
      <c r="A154" s="365">
        <v>15</v>
      </c>
      <c r="B154" s="328" t="s">
        <v>2641</v>
      </c>
      <c r="C154" s="537">
        <f>+C150</f>
        <v>432</v>
      </c>
      <c r="D154" s="571">
        <f>+D152+D150</f>
        <v>33862.5101</v>
      </c>
      <c r="E154" s="571">
        <f>+E152+E150</f>
        <v>17345.846309999997</v>
      </c>
      <c r="F154" s="575">
        <f t="shared" ref="F154:K154" si="39">+F150+F152</f>
        <v>51208.356409999993</v>
      </c>
      <c r="G154" s="595">
        <f t="shared" si="39"/>
        <v>0</v>
      </c>
      <c r="H154" s="611">
        <f t="shared" si="39"/>
        <v>51208.35641</v>
      </c>
      <c r="I154" s="595">
        <f t="shared" si="39"/>
        <v>38690.881580000001</v>
      </c>
      <c r="J154" s="595">
        <f t="shared" si="39"/>
        <v>12517.474829999997</v>
      </c>
      <c r="K154" s="611">
        <f t="shared" si="39"/>
        <v>51208.35641</v>
      </c>
      <c r="M154" t="s">
        <v>8416</v>
      </c>
      <c r="N154" s="1586">
        <f>-'ECRC Adj Gen'!E12/1000</f>
        <v>-58.247999999999998</v>
      </c>
    </row>
    <row r="155" spans="1:14">
      <c r="A155" s="365">
        <v>16</v>
      </c>
      <c r="B155" s="328"/>
      <c r="C155" s="96"/>
      <c r="D155" s="569"/>
      <c r="E155" s="570"/>
      <c r="F155" s="564"/>
      <c r="G155" s="557"/>
      <c r="H155" s="557"/>
      <c r="I155" s="578"/>
      <c r="J155" s="556"/>
      <c r="K155" s="579"/>
      <c r="M155" s="297" t="s">
        <v>8417</v>
      </c>
      <c r="N155" s="1639">
        <f>+'Generation Land'!E133/1000</f>
        <v>0</v>
      </c>
    </row>
    <row r="156" spans="1:14">
      <c r="A156" s="365">
        <v>17</v>
      </c>
      <c r="B156" s="328" t="s">
        <v>2642</v>
      </c>
      <c r="C156" s="96"/>
      <c r="D156" s="569"/>
      <c r="E156" s="570"/>
      <c r="F156" s="564"/>
      <c r="G156" s="557"/>
      <c r="H156" s="557"/>
      <c r="I156" s="578"/>
      <c r="J156" s="556"/>
      <c r="K156" s="579"/>
      <c r="N156" s="1640">
        <f>+SUM(N153:N155)</f>
        <v>-4.9999999977856646E-3</v>
      </c>
    </row>
    <row r="157" spans="1:14">
      <c r="A157" s="365">
        <v>18</v>
      </c>
      <c r="B157" s="328" t="s">
        <v>2643</v>
      </c>
      <c r="C157" s="42">
        <f>+C98</f>
        <v>61</v>
      </c>
      <c r="D157" s="555">
        <f>+(SUMIFS('Accounting Schedule B-9'!H:H,'Accounting Schedule B-9'!D:D,"=TOTAL BIG BEND COMBUSTION TURBINE 4"))</f>
        <v>1280.07276</v>
      </c>
      <c r="E157" s="603">
        <v>0</v>
      </c>
      <c r="F157" s="564">
        <f t="shared" ref="F157:F164" si="40">+SUM(D157:E157)</f>
        <v>1280.07276</v>
      </c>
      <c r="G157" s="583">
        <f t="shared" ref="G157:G164" si="41">+F157*$G$16</f>
        <v>0</v>
      </c>
      <c r="H157" s="557">
        <f>+F157-G157</f>
        <v>1280.07276</v>
      </c>
      <c r="I157" s="581">
        <f t="shared" ref="I157:I164" si="42">+H157</f>
        <v>1280.07276</v>
      </c>
      <c r="J157" s="603">
        <v>0</v>
      </c>
      <c r="K157" s="579">
        <f t="shared" ref="K157:K164" si="43">+SUM(I157:J157)</f>
        <v>1280.07276</v>
      </c>
    </row>
    <row r="158" spans="1:14">
      <c r="A158" s="365">
        <v>19</v>
      </c>
      <c r="B158" s="328" t="s">
        <v>2665</v>
      </c>
      <c r="C158" s="42">
        <f t="shared" ref="C158:C171" si="44">+C99</f>
        <v>350</v>
      </c>
      <c r="D158" s="555">
        <f>+(SUMIFS('Accounting Schedule B-9'!H:H,'Accounting Schedule B-9'!D:D,"=TOTAL BIG BEND COMBUSTION TURBINE 5"))</f>
        <v>6207.0648000000001</v>
      </c>
      <c r="E158" s="603">
        <v>0</v>
      </c>
      <c r="F158" s="564">
        <f t="shared" si="40"/>
        <v>6207.0648000000001</v>
      </c>
      <c r="G158" s="583">
        <f t="shared" si="41"/>
        <v>0</v>
      </c>
      <c r="H158" s="557">
        <f t="shared" ref="H158:H172" si="45">+F158-G158</f>
        <v>6207.0648000000001</v>
      </c>
      <c r="I158" s="581">
        <f t="shared" si="42"/>
        <v>6207.0648000000001</v>
      </c>
      <c r="J158" s="603">
        <v>0</v>
      </c>
      <c r="K158" s="579">
        <f t="shared" si="43"/>
        <v>6207.0648000000001</v>
      </c>
      <c r="M158" t="s">
        <v>8433</v>
      </c>
      <c r="N158" s="1586">
        <f>+'Accounting Schedule B-9'!H361+'Accounting Schedule B-9'!H368</f>
        <v>70700.31160999999</v>
      </c>
    </row>
    <row r="159" spans="1:14">
      <c r="A159" s="365">
        <v>20</v>
      </c>
      <c r="B159" s="328" t="s">
        <v>2666</v>
      </c>
      <c r="C159" s="42">
        <f t="shared" si="44"/>
        <v>350</v>
      </c>
      <c r="D159" s="555">
        <f>+(SUMIFS('Accounting Schedule B-9'!H:H,'Accounting Schedule B-9'!D:D,"=TOTAL BIG BEND COMBUSTION TURBINE 6"))</f>
        <v>6161.80404</v>
      </c>
      <c r="E159" s="603">
        <v>0</v>
      </c>
      <c r="F159" s="564">
        <f t="shared" si="40"/>
        <v>6161.80404</v>
      </c>
      <c r="G159" s="583">
        <f t="shared" si="41"/>
        <v>0</v>
      </c>
      <c r="H159" s="557">
        <f t="shared" si="45"/>
        <v>6161.80404</v>
      </c>
      <c r="I159" s="581">
        <f t="shared" si="42"/>
        <v>6161.80404</v>
      </c>
      <c r="J159" s="603">
        <v>0</v>
      </c>
      <c r="K159" s="579">
        <f t="shared" si="43"/>
        <v>6161.80404</v>
      </c>
      <c r="M159" s="297" t="s">
        <v>8425</v>
      </c>
      <c r="N159" s="1639">
        <f>+D162</f>
        <v>70700.31160999999</v>
      </c>
    </row>
    <row r="160" spans="1:14">
      <c r="A160" s="365">
        <v>21</v>
      </c>
      <c r="B160" s="328" t="s">
        <v>2667</v>
      </c>
      <c r="C160" s="42">
        <f t="shared" si="44"/>
        <v>419</v>
      </c>
      <c r="D160" s="555">
        <f>+(SUMIFS('Accounting Schedule B-9'!H:H,'Accounting Schedule B-9'!D:D,"=TOTAL BIG BEND NEW STEAM TURBINE 1"))</f>
        <v>16903.504020000004</v>
      </c>
      <c r="E160" s="603">
        <v>0</v>
      </c>
      <c r="F160" s="564">
        <f t="shared" si="40"/>
        <v>16903.504020000004</v>
      </c>
      <c r="G160" s="583">
        <f t="shared" si="41"/>
        <v>0</v>
      </c>
      <c r="H160" s="557">
        <f t="shared" si="45"/>
        <v>16903.504020000004</v>
      </c>
      <c r="I160" s="581">
        <f t="shared" si="42"/>
        <v>16903.504020000004</v>
      </c>
      <c r="J160" s="603">
        <v>0</v>
      </c>
      <c r="K160" s="579">
        <f t="shared" si="43"/>
        <v>16903.504020000004</v>
      </c>
      <c r="N160" s="516">
        <f>+N158-N159</f>
        <v>0</v>
      </c>
    </row>
    <row r="161" spans="1:14">
      <c r="A161" s="365">
        <v>22</v>
      </c>
      <c r="B161" s="328" t="s">
        <v>2644</v>
      </c>
      <c r="C161" s="42">
        <f t="shared" si="44"/>
        <v>0</v>
      </c>
      <c r="D161" s="603">
        <v>0</v>
      </c>
      <c r="E161" s="603">
        <v>0</v>
      </c>
      <c r="F161" s="564">
        <f t="shared" si="40"/>
        <v>0</v>
      </c>
      <c r="G161" s="583">
        <f t="shared" si="41"/>
        <v>0</v>
      </c>
      <c r="H161" s="557">
        <f t="shared" si="45"/>
        <v>0</v>
      </c>
      <c r="I161" s="581">
        <f t="shared" si="42"/>
        <v>0</v>
      </c>
      <c r="J161" s="603">
        <v>0</v>
      </c>
      <c r="K161" s="579">
        <f t="shared" si="43"/>
        <v>0</v>
      </c>
      <c r="M161" t="s">
        <v>8416</v>
      </c>
      <c r="N161" s="1586">
        <v>0</v>
      </c>
    </row>
    <row r="162" spans="1:14">
      <c r="A162" s="365">
        <v>23</v>
      </c>
      <c r="B162" s="328" t="s">
        <v>2645</v>
      </c>
      <c r="C162" s="42">
        <f t="shared" si="44"/>
        <v>1248.6000000000001</v>
      </c>
      <c r="D162" s="555">
        <f>+(SUMIFS('Accounting Schedule B-9'!H:H,'Accounting Schedule B-9'!D:D,"=TOTAL SOLAR sites"))+(SUMIFS('Accounting Schedule B-9'!H:H,'Accounting Schedule B-9'!D:D,"=TOTAL dc micro grid*"))</f>
        <v>70700.31160999999</v>
      </c>
      <c r="E162" s="603">
        <v>0</v>
      </c>
      <c r="F162" s="564">
        <f t="shared" si="40"/>
        <v>70700.31160999999</v>
      </c>
      <c r="G162" s="583">
        <f t="shared" si="41"/>
        <v>0</v>
      </c>
      <c r="H162" s="557">
        <f t="shared" si="45"/>
        <v>70700.31160999999</v>
      </c>
      <c r="I162" s="581">
        <f t="shared" si="42"/>
        <v>70700.31160999999</v>
      </c>
      <c r="J162" s="603">
        <v>0</v>
      </c>
      <c r="K162" s="579">
        <f t="shared" si="43"/>
        <v>70700.31160999999</v>
      </c>
      <c r="M162" s="297" t="s">
        <v>8417</v>
      </c>
      <c r="N162" s="1639">
        <f>+SUM('Generation Land'!E134)/1000</f>
        <v>0</v>
      </c>
    </row>
    <row r="163" spans="1:14">
      <c r="A163" s="365">
        <v>24</v>
      </c>
      <c r="B163" s="1820" t="s">
        <v>9262</v>
      </c>
      <c r="C163" s="42">
        <f t="shared" si="44"/>
        <v>0</v>
      </c>
      <c r="D163" s="555">
        <f>+(SUMIFS('Accounting Schedule B-9'!H:H,'Accounting Schedule B-9'!D:D,"=TOTAL MACDILL AFB"))</f>
        <v>3446.3081699999998</v>
      </c>
      <c r="E163" s="603">
        <v>0</v>
      </c>
      <c r="F163" s="564">
        <f t="shared" si="40"/>
        <v>3446.3081699999998</v>
      </c>
      <c r="G163" s="583">
        <f t="shared" si="41"/>
        <v>0</v>
      </c>
      <c r="H163" s="557">
        <f t="shared" si="45"/>
        <v>3446.3081699999998</v>
      </c>
      <c r="I163" s="581">
        <f t="shared" si="42"/>
        <v>3446.3081699999998</v>
      </c>
      <c r="J163" s="603">
        <v>0</v>
      </c>
      <c r="K163" s="579">
        <f t="shared" si="43"/>
        <v>3446.3081699999998</v>
      </c>
      <c r="N163" s="1640">
        <f>+SUM(N160:N162)</f>
        <v>0</v>
      </c>
    </row>
    <row r="164" spans="1:14">
      <c r="A164" s="365">
        <v>25</v>
      </c>
      <c r="B164" s="328" t="s">
        <v>2671</v>
      </c>
      <c r="C164" s="42">
        <f t="shared" si="44"/>
        <v>0</v>
      </c>
      <c r="D164" s="603">
        <v>0</v>
      </c>
      <c r="E164" s="603">
        <v>0</v>
      </c>
      <c r="F164" s="564">
        <f t="shared" si="40"/>
        <v>0</v>
      </c>
      <c r="G164" s="583">
        <f t="shared" si="41"/>
        <v>0</v>
      </c>
      <c r="H164" s="557">
        <f t="shared" si="45"/>
        <v>0</v>
      </c>
      <c r="I164" s="581">
        <f t="shared" si="42"/>
        <v>0</v>
      </c>
      <c r="J164" s="603">
        <v>0</v>
      </c>
      <c r="K164" s="579">
        <f t="shared" si="43"/>
        <v>0</v>
      </c>
    </row>
    <row r="165" spans="1:14">
      <c r="A165" s="365">
        <v>26</v>
      </c>
      <c r="B165" s="328"/>
      <c r="C165" s="42"/>
      <c r="D165" s="565"/>
      <c r="E165" s="565"/>
      <c r="F165" s="564"/>
      <c r="G165" s="583"/>
      <c r="H165" s="557"/>
      <c r="I165" s="581"/>
      <c r="J165" s="555"/>
      <c r="K165" s="579"/>
      <c r="M165" t="s">
        <v>8434</v>
      </c>
      <c r="N165" s="1586">
        <f>+'Accounting Schedule B-9'!H509</f>
        <v>17442.392039999999</v>
      </c>
    </row>
    <row r="166" spans="1:14">
      <c r="A166" s="365">
        <v>27</v>
      </c>
      <c r="B166" s="328" t="s">
        <v>2647</v>
      </c>
      <c r="C166" s="42">
        <f t="shared" si="44"/>
        <v>768</v>
      </c>
      <c r="D166" s="555">
        <f>+(SUMIFS('Accounting Schedule B-9'!H:H,'Accounting Schedule B-9'!D:D,"=TOTAL BAYSIDE UNIT 1"))</f>
        <v>20667.24869</v>
      </c>
      <c r="E166" s="603">
        <v>0</v>
      </c>
      <c r="F166" s="564">
        <f t="shared" ref="F166:F172" si="46">+SUM(D166:E166)</f>
        <v>20667.24869</v>
      </c>
      <c r="G166" s="583">
        <f t="shared" ref="G166:G172" si="47">+F166*$G$16</f>
        <v>0</v>
      </c>
      <c r="H166" s="557">
        <f t="shared" si="45"/>
        <v>20667.24869</v>
      </c>
      <c r="I166" s="581">
        <f t="shared" ref="I166:I172" si="48">+H166</f>
        <v>20667.24869</v>
      </c>
      <c r="J166" s="603">
        <v>0</v>
      </c>
      <c r="K166" s="579">
        <f t="shared" ref="K166:K172" si="49">+SUM(I166:J166)</f>
        <v>20667.24869</v>
      </c>
      <c r="M166" s="297" t="s">
        <v>8428</v>
      </c>
      <c r="N166" s="1639">
        <f>+D182+D152</f>
        <v>17442.392039999999</v>
      </c>
    </row>
    <row r="167" spans="1:14">
      <c r="A167" s="365">
        <v>28</v>
      </c>
      <c r="B167" s="328" t="s">
        <v>2648</v>
      </c>
      <c r="C167" s="42">
        <f t="shared" si="44"/>
        <v>954</v>
      </c>
      <c r="D167" s="555">
        <f>+(SUMIFS('Accounting Schedule B-9'!H:H,'Accounting Schedule B-9'!D:D,"=TOTAL BAYSIDE UNIT 2"))</f>
        <v>28518.263780000001</v>
      </c>
      <c r="E167" s="603">
        <v>0</v>
      </c>
      <c r="F167" s="564">
        <f t="shared" si="46"/>
        <v>28518.263780000001</v>
      </c>
      <c r="G167" s="583">
        <f t="shared" si="47"/>
        <v>0</v>
      </c>
      <c r="H167" s="557">
        <f t="shared" si="45"/>
        <v>28518.263780000001</v>
      </c>
      <c r="I167" s="581">
        <f t="shared" si="48"/>
        <v>28518.263780000001</v>
      </c>
      <c r="J167" s="603">
        <v>0</v>
      </c>
      <c r="K167" s="579">
        <f t="shared" si="49"/>
        <v>28518.263780000001</v>
      </c>
      <c r="N167" s="516">
        <f>+N165-N166</f>
        <v>0</v>
      </c>
    </row>
    <row r="168" spans="1:14">
      <c r="A168" s="365">
        <v>29</v>
      </c>
      <c r="B168" s="328" t="s">
        <v>2649</v>
      </c>
      <c r="C168" s="42">
        <f t="shared" si="44"/>
        <v>56</v>
      </c>
      <c r="D168" s="555">
        <f>+(SUMIFS('Accounting Schedule B-9'!H:H,'Accounting Schedule B-9'!D:D,"=TOTAL BAYSIDE COMBUSTION TURBINE 3"))</f>
        <v>900.13800000000015</v>
      </c>
      <c r="E168" s="603">
        <v>0</v>
      </c>
      <c r="F168" s="564">
        <f t="shared" si="46"/>
        <v>900.13800000000015</v>
      </c>
      <c r="G168" s="583">
        <f t="shared" si="47"/>
        <v>0</v>
      </c>
      <c r="H168" s="557">
        <f t="shared" si="45"/>
        <v>900.13800000000015</v>
      </c>
      <c r="I168" s="581">
        <f t="shared" si="48"/>
        <v>900.13800000000015</v>
      </c>
      <c r="J168" s="603">
        <v>0</v>
      </c>
      <c r="K168" s="579">
        <f t="shared" si="49"/>
        <v>900.13800000000015</v>
      </c>
      <c r="M168" t="s">
        <v>8416</v>
      </c>
      <c r="N168" s="1586">
        <v>0</v>
      </c>
    </row>
    <row r="169" spans="1:14">
      <c r="A169" s="365">
        <v>30</v>
      </c>
      <c r="B169" s="328" t="s">
        <v>2650</v>
      </c>
      <c r="C169" s="42">
        <f t="shared" si="44"/>
        <v>56</v>
      </c>
      <c r="D169" s="555">
        <f>+(SUMIFS('Accounting Schedule B-9'!H:H,'Accounting Schedule B-9'!D:D,"=TOTAL BAYSIDE COMBUSTION TURBINE 4"))</f>
        <v>540.65172000000007</v>
      </c>
      <c r="E169" s="603">
        <v>0</v>
      </c>
      <c r="F169" s="564">
        <f t="shared" si="46"/>
        <v>540.65172000000007</v>
      </c>
      <c r="G169" s="583">
        <f t="shared" si="47"/>
        <v>0</v>
      </c>
      <c r="H169" s="557">
        <f t="shared" si="45"/>
        <v>540.65172000000007</v>
      </c>
      <c r="I169" s="581">
        <f t="shared" si="48"/>
        <v>540.65172000000007</v>
      </c>
      <c r="J169" s="603">
        <v>0</v>
      </c>
      <c r="K169" s="579">
        <f t="shared" si="49"/>
        <v>540.65172000000007</v>
      </c>
      <c r="M169" s="297" t="s">
        <v>8417</v>
      </c>
      <c r="N169" s="1639">
        <f>+SUM(N155,N148,N141,N134)-N127</f>
        <v>0</v>
      </c>
    </row>
    <row r="170" spans="1:14">
      <c r="A170" s="365">
        <v>31</v>
      </c>
      <c r="B170" s="328" t="s">
        <v>2651</v>
      </c>
      <c r="C170" s="42">
        <f t="shared" si="44"/>
        <v>56</v>
      </c>
      <c r="D170" s="555">
        <f>+(SUMIFS('Accounting Schedule B-9'!H:H,'Accounting Schedule B-9'!D:D,"=TOTAL BAYSIDE COMBUSTION TURBINE 5"))</f>
        <v>678.78539999999998</v>
      </c>
      <c r="E170" s="603">
        <v>0</v>
      </c>
      <c r="F170" s="564">
        <f t="shared" si="46"/>
        <v>678.78539999999998</v>
      </c>
      <c r="G170" s="583">
        <f t="shared" si="47"/>
        <v>0</v>
      </c>
      <c r="H170" s="557">
        <f t="shared" si="45"/>
        <v>678.78539999999998</v>
      </c>
      <c r="I170" s="581">
        <f t="shared" si="48"/>
        <v>678.78539999999998</v>
      </c>
      <c r="J170" s="603">
        <v>0</v>
      </c>
      <c r="K170" s="579">
        <f t="shared" si="49"/>
        <v>678.78539999999998</v>
      </c>
      <c r="N170" s="1640">
        <f>+SUM(N167:N169)</f>
        <v>0</v>
      </c>
    </row>
    <row r="171" spans="1:14">
      <c r="A171" s="365">
        <v>32</v>
      </c>
      <c r="B171" s="328" t="s">
        <v>2652</v>
      </c>
      <c r="C171" s="42">
        <f t="shared" si="44"/>
        <v>56</v>
      </c>
      <c r="D171" s="555">
        <f>+(SUMIFS('Accounting Schedule B-9'!H:H,'Accounting Schedule B-9'!D:D,"=TOTAL BAYSIDE COMBUSTION TURBINE 6"))</f>
        <v>802.57944000000009</v>
      </c>
      <c r="E171" s="603">
        <v>0</v>
      </c>
      <c r="F171" s="564">
        <f t="shared" si="46"/>
        <v>802.57944000000009</v>
      </c>
      <c r="G171" s="583">
        <f t="shared" si="47"/>
        <v>0</v>
      </c>
      <c r="H171" s="557">
        <f t="shared" si="45"/>
        <v>802.57944000000009</v>
      </c>
      <c r="I171" s="581">
        <f t="shared" si="48"/>
        <v>802.57944000000009</v>
      </c>
      <c r="J171" s="603">
        <v>0</v>
      </c>
      <c r="K171" s="579">
        <f t="shared" si="49"/>
        <v>802.57944000000009</v>
      </c>
    </row>
    <row r="172" spans="1:14">
      <c r="A172" s="365">
        <v>33</v>
      </c>
      <c r="B172" s="328" t="s">
        <v>2653</v>
      </c>
      <c r="C172" s="554"/>
      <c r="D172" s="555">
        <f>+(SUMIFS('Accounting Schedule B-9'!H:H,'Accounting Schedule B-9'!D:D,"=TOTAL BAYSIDE COMMON"))+(SUMIFS('Accounting Schedule B-9'!H:H,'Accounting Schedule B-9'!D:D,"=BAYSIDE TOOLS - AMORT"))-'ECRC Adj Gen'!E18/1000</f>
        <v>9633.3838399999986</v>
      </c>
      <c r="E172" s="603">
        <v>0</v>
      </c>
      <c r="F172" s="564">
        <f t="shared" si="46"/>
        <v>9633.3838399999986</v>
      </c>
      <c r="G172" s="583">
        <f t="shared" si="47"/>
        <v>0</v>
      </c>
      <c r="H172" s="557">
        <f t="shared" si="45"/>
        <v>9633.3838399999986</v>
      </c>
      <c r="I172" s="581">
        <f t="shared" si="48"/>
        <v>9633.3838399999986</v>
      </c>
      <c r="J172" s="603">
        <v>0</v>
      </c>
      <c r="K172" s="579">
        <f t="shared" si="49"/>
        <v>9633.3838399999986</v>
      </c>
      <c r="M172" t="s">
        <v>8435</v>
      </c>
      <c r="N172" s="1640">
        <f>+SUM(N158,N151,N144,N137,N165)-N130</f>
        <v>-3446.3081699999748</v>
      </c>
    </row>
    <row r="173" spans="1:14">
      <c r="A173" s="365">
        <v>34</v>
      </c>
      <c r="B173" s="328"/>
      <c r="C173" s="554"/>
      <c r="D173" s="555"/>
      <c r="E173" s="565"/>
      <c r="F173" s="564"/>
      <c r="G173" s="583"/>
      <c r="H173" s="557"/>
      <c r="I173" s="581"/>
      <c r="J173" s="555"/>
      <c r="K173" s="579"/>
      <c r="M173" s="297" t="s">
        <v>8426</v>
      </c>
      <c r="N173" s="1641">
        <f>+SUM(N159,N152,N145,N138,N166)-N131</f>
        <v>-3446.3081699999748</v>
      </c>
    </row>
    <row r="174" spans="1:14">
      <c r="A174" s="365">
        <v>35</v>
      </c>
      <c r="B174" s="328" t="s">
        <v>2654</v>
      </c>
      <c r="C174" s="42">
        <f t="shared" ref="C174:C179" si="50">+C115</f>
        <v>220</v>
      </c>
      <c r="D174" s="555">
        <f>+(SUMIFS('Accounting Schedule B-9'!H:H,'Accounting Schedule B-9'!D:D,"=TOTAL POLK UNIT 1"))-(SUMIFS('ECRC Adj Gen'!E8:E20,'ECRC Adj Gen'!B8:B20,"=Polk"))/1000+0.005</f>
        <v>22643.944180000002</v>
      </c>
      <c r="E174" s="603">
        <v>0</v>
      </c>
      <c r="F174" s="564">
        <f t="shared" ref="F174:F180" si="51">+SUM(D174:E174)</f>
        <v>22643.944180000002</v>
      </c>
      <c r="G174" s="583">
        <f t="shared" ref="G174:G180" si="52">+F174*$G$16</f>
        <v>0</v>
      </c>
      <c r="H174" s="557">
        <f>+F174-G174</f>
        <v>22643.944180000002</v>
      </c>
      <c r="I174" s="555">
        <f>+(I54/H54)*H174</f>
        <v>11629.426457371668</v>
      </c>
      <c r="J174" s="555">
        <f>+(J54/H54)*H174</f>
        <v>11014.517722628334</v>
      </c>
      <c r="K174" s="579">
        <f t="shared" ref="K174:K180" si="53">+SUM(I174:J174)</f>
        <v>22643.944180000002</v>
      </c>
      <c r="N174" s="1640">
        <f>+N172-N173</f>
        <v>0</v>
      </c>
    </row>
    <row r="175" spans="1:14">
      <c r="A175" s="365">
        <v>36</v>
      </c>
      <c r="B175" s="328" t="s">
        <v>2655</v>
      </c>
      <c r="C175" s="42">
        <f t="shared" si="50"/>
        <v>150</v>
      </c>
      <c r="D175" s="555">
        <f>+(SUMIFS('Accounting Schedule B-9'!H:H,'Accounting Schedule B-9'!D:D,"=TOTAL POLK UNIT 2"))</f>
        <v>2025.0659000000001</v>
      </c>
      <c r="E175" s="603">
        <v>0</v>
      </c>
      <c r="F175" s="564">
        <f t="shared" si="51"/>
        <v>2025.0659000000001</v>
      </c>
      <c r="G175" s="583">
        <f t="shared" si="52"/>
        <v>0</v>
      </c>
      <c r="H175" s="557">
        <f t="shared" ref="H175:H180" si="54">+F175-G175</f>
        <v>2025.0659000000001</v>
      </c>
      <c r="I175" s="581">
        <f>+H175</f>
        <v>2025.0659000000001</v>
      </c>
      <c r="J175" s="603">
        <v>0</v>
      </c>
      <c r="K175" s="579">
        <f t="shared" si="53"/>
        <v>2025.0659000000001</v>
      </c>
      <c r="M175" t="s">
        <v>8416</v>
      </c>
      <c r="N175" s="1640">
        <f>+SUM(N161,N154,N147,N140,N168)-N133</f>
        <v>0</v>
      </c>
    </row>
    <row r="176" spans="1:14">
      <c r="A176" s="365">
        <v>37</v>
      </c>
      <c r="B176" s="328" t="s">
        <v>2656</v>
      </c>
      <c r="C176" s="42">
        <f t="shared" si="50"/>
        <v>150</v>
      </c>
      <c r="D176" s="555">
        <f>+(SUMIFS('Accounting Schedule B-9'!H:H,'Accounting Schedule B-9'!D:D,"=TOTAL POLK UNIT 3"))</f>
        <v>1327.6510800000001</v>
      </c>
      <c r="E176" s="603">
        <v>0</v>
      </c>
      <c r="F176" s="564">
        <f t="shared" si="51"/>
        <v>1327.6510800000001</v>
      </c>
      <c r="G176" s="583">
        <f t="shared" si="52"/>
        <v>0</v>
      </c>
      <c r="H176" s="557">
        <f t="shared" si="54"/>
        <v>1327.6510800000001</v>
      </c>
      <c r="I176" s="581">
        <f>+H176</f>
        <v>1327.6510800000001</v>
      </c>
      <c r="J176" s="603">
        <v>0</v>
      </c>
      <c r="K176" s="579">
        <f t="shared" si="53"/>
        <v>1327.6510800000001</v>
      </c>
      <c r="M176" s="297" t="s">
        <v>8417</v>
      </c>
      <c r="N176" s="1641">
        <f>+SUM(N162,N155,N148,N141,N169)-N134</f>
        <v>0</v>
      </c>
    </row>
    <row r="177" spans="1:14">
      <c r="A177" s="365">
        <v>38</v>
      </c>
      <c r="B177" s="328" t="s">
        <v>2657</v>
      </c>
      <c r="C177" s="42">
        <f t="shared" si="50"/>
        <v>150</v>
      </c>
      <c r="D177" s="555">
        <f>+(SUMIFS('Accounting Schedule B-9'!H:H,'Accounting Schedule B-9'!D:D,"=TOTAL POLK UNIT 4"))</f>
        <v>1534.38528</v>
      </c>
      <c r="E177" s="603">
        <v>0</v>
      </c>
      <c r="F177" s="564">
        <f t="shared" si="51"/>
        <v>1534.38528</v>
      </c>
      <c r="G177" s="583">
        <f t="shared" si="52"/>
        <v>0</v>
      </c>
      <c r="H177" s="557">
        <f t="shared" si="54"/>
        <v>1534.38528</v>
      </c>
      <c r="I177" s="581">
        <f>+H177</f>
        <v>1534.38528</v>
      </c>
      <c r="J177" s="603">
        <v>0</v>
      </c>
      <c r="K177" s="579">
        <f t="shared" si="53"/>
        <v>1534.38528</v>
      </c>
      <c r="N177" s="1640">
        <f>+SUM(N174:N176)</f>
        <v>0</v>
      </c>
    </row>
    <row r="178" spans="1:14">
      <c r="A178" s="365">
        <v>39</v>
      </c>
      <c r="B178" s="328" t="s">
        <v>2658</v>
      </c>
      <c r="C178" s="42">
        <f t="shared" si="50"/>
        <v>150</v>
      </c>
      <c r="D178" s="555">
        <f>+(SUMIFS('Accounting Schedule B-9'!H:H,'Accounting Schedule B-9'!D:D,"=TOTAL POLK UNIT 5"))</f>
        <v>1424.5930499999999</v>
      </c>
      <c r="E178" s="603">
        <v>0</v>
      </c>
      <c r="F178" s="564">
        <f t="shared" si="51"/>
        <v>1424.5930499999999</v>
      </c>
      <c r="G178" s="583">
        <f t="shared" si="52"/>
        <v>0</v>
      </c>
      <c r="H178" s="557">
        <f t="shared" si="54"/>
        <v>1424.5930499999999</v>
      </c>
      <c r="I178" s="581">
        <f>+H178</f>
        <v>1424.5930499999999</v>
      </c>
      <c r="J178" s="603">
        <v>0</v>
      </c>
      <c r="K178" s="579">
        <f t="shared" si="53"/>
        <v>1424.5930499999999</v>
      </c>
    </row>
    <row r="179" spans="1:14">
      <c r="A179" s="365">
        <v>40</v>
      </c>
      <c r="B179" s="328" t="s">
        <v>2659</v>
      </c>
      <c r="C179" s="42">
        <f t="shared" si="50"/>
        <v>461</v>
      </c>
      <c r="D179" s="555">
        <f>+(SUMIFS('Accounting Schedule B-9'!H:H,'Accounting Schedule B-9'!D:D,"=TOTAL POLK CCST (2-5)"))</f>
        <v>16081.5362</v>
      </c>
      <c r="E179" s="603">
        <v>0</v>
      </c>
      <c r="F179" s="564">
        <f t="shared" si="51"/>
        <v>16081.5362</v>
      </c>
      <c r="G179" s="583">
        <f t="shared" si="52"/>
        <v>0</v>
      </c>
      <c r="H179" s="557">
        <f t="shared" si="54"/>
        <v>16081.5362</v>
      </c>
      <c r="I179" s="581">
        <f>+H179</f>
        <v>16081.5362</v>
      </c>
      <c r="J179" s="603">
        <v>0</v>
      </c>
      <c r="K179" s="579">
        <f t="shared" si="53"/>
        <v>16081.5362</v>
      </c>
    </row>
    <row r="180" spans="1:14">
      <c r="A180" s="365">
        <v>41</v>
      </c>
      <c r="B180" s="328" t="s">
        <v>2660</v>
      </c>
      <c r="C180" s="42"/>
      <c r="D180" s="555">
        <f>+(SUMIFS('Accounting Schedule B-9'!H:H,'Accounting Schedule B-9'!D:D,"=TOTAL POLK POWER COMMON"))+(SUMIFS('Accounting Schedule B-9'!H:H,'Accounting Schedule B-9'!D:D,"=POLK TOOLS - AMORT"))</f>
        <v>7464.7366199999988</v>
      </c>
      <c r="E180" s="603">
        <v>0</v>
      </c>
      <c r="F180" s="564">
        <f t="shared" si="51"/>
        <v>7464.7366199999988</v>
      </c>
      <c r="G180" s="583">
        <f t="shared" si="52"/>
        <v>0</v>
      </c>
      <c r="H180" s="557">
        <f t="shared" si="54"/>
        <v>7464.7366199999988</v>
      </c>
      <c r="I180" s="555">
        <f>+(I60/H60)*H180</f>
        <v>6824.953240251426</v>
      </c>
      <c r="J180" s="555">
        <f>+(J60/H60)*H180</f>
        <v>639.78337974857254</v>
      </c>
      <c r="K180" s="579">
        <f t="shared" si="53"/>
        <v>7464.7366199999988</v>
      </c>
    </row>
    <row r="181" spans="1:14">
      <c r="A181" s="365">
        <v>42</v>
      </c>
      <c r="B181" s="328"/>
      <c r="C181" s="42"/>
      <c r="D181" s="555"/>
      <c r="E181" s="565"/>
      <c r="F181" s="564"/>
      <c r="G181" s="583"/>
      <c r="H181" s="557"/>
      <c r="I181" s="581"/>
      <c r="J181" s="555"/>
      <c r="K181" s="579"/>
    </row>
    <row r="182" spans="1:14">
      <c r="A182" s="365">
        <v>43</v>
      </c>
      <c r="B182" s="328" t="s">
        <v>2661</v>
      </c>
      <c r="C182" s="96"/>
      <c r="D182" s="555">
        <f>+(SUMIFS('Accounting Schedule B-9'!H:H,'Accounting Schedule B-9'!D:D,"=FOSSIL DISMANTLING - OTHER"))</f>
        <v>15141.16956</v>
      </c>
      <c r="E182" s="603">
        <v>0</v>
      </c>
      <c r="F182" s="564">
        <f>+SUM(D182:E182)</f>
        <v>15141.16956</v>
      </c>
      <c r="G182" s="583">
        <f>+F182*$G$16</f>
        <v>0</v>
      </c>
      <c r="H182" s="557">
        <f>+F182-G182</f>
        <v>15141.16956</v>
      </c>
      <c r="I182" s="581">
        <f>+H182</f>
        <v>15141.16956</v>
      </c>
      <c r="J182" s="603">
        <v>0</v>
      </c>
      <c r="K182" s="579">
        <f>+SUM(I182:J182)</f>
        <v>15141.16956</v>
      </c>
    </row>
    <row r="183" spans="1:14">
      <c r="A183" s="365">
        <v>44</v>
      </c>
      <c r="B183" s="328"/>
      <c r="C183" s="439"/>
      <c r="D183" s="574"/>
      <c r="E183" s="565"/>
      <c r="F183" s="572"/>
      <c r="G183" s="583"/>
      <c r="H183" s="562"/>
      <c r="I183" s="395"/>
      <c r="J183" s="395"/>
      <c r="K183" s="608"/>
    </row>
    <row r="184" spans="1:14">
      <c r="A184" s="365">
        <v>45</v>
      </c>
      <c r="B184" s="328" t="s">
        <v>2965</v>
      </c>
      <c r="C184" s="468">
        <f>+SUM(C157:C180)</f>
        <v>5655.6</v>
      </c>
      <c r="D184" s="606">
        <f t="shared" ref="D184:K184" si="55">+SUM(D157:D182)</f>
        <v>234083.19813999999</v>
      </c>
      <c r="E184" s="606">
        <f t="shared" si="55"/>
        <v>0</v>
      </c>
      <c r="F184" s="575">
        <f t="shared" si="55"/>
        <v>234083.19813999999</v>
      </c>
      <c r="G184" s="594">
        <f t="shared" si="55"/>
        <v>0</v>
      </c>
      <c r="H184" s="594">
        <f t="shared" si="55"/>
        <v>234083.19813999999</v>
      </c>
      <c r="I184" s="594">
        <f t="shared" si="55"/>
        <v>222428.8970376231</v>
      </c>
      <c r="J184" s="594">
        <f t="shared" si="55"/>
        <v>11654.301102376907</v>
      </c>
      <c r="K184" s="594">
        <f t="shared" si="55"/>
        <v>234083.19813999999</v>
      </c>
    </row>
    <row r="185" spans="1:14">
      <c r="A185" s="365">
        <v>46</v>
      </c>
      <c r="B185" s="328"/>
      <c r="C185" s="328"/>
      <c r="D185" s="569"/>
      <c r="E185" s="570"/>
      <c r="F185" s="564"/>
      <c r="G185" s="557"/>
      <c r="H185" s="557"/>
      <c r="I185" s="557"/>
      <c r="J185" s="557"/>
      <c r="K185" s="557"/>
    </row>
    <row r="186" spans="1:14" ht="15" thickBot="1">
      <c r="A186" s="365">
        <v>47</v>
      </c>
      <c r="B186" s="328" t="s">
        <v>2663</v>
      </c>
      <c r="C186" s="543">
        <f>+C154+C184</f>
        <v>6087.6</v>
      </c>
      <c r="D186" s="607">
        <f>+D184+D154</f>
        <v>267945.70824000001</v>
      </c>
      <c r="E186" s="576">
        <f>+E184+E154</f>
        <v>17345.846309999997</v>
      </c>
      <c r="F186" s="577">
        <f t="shared" ref="F186:K186" si="56">+F154+F184</f>
        <v>285291.55455</v>
      </c>
      <c r="G186" s="598">
        <f t="shared" si="56"/>
        <v>0</v>
      </c>
      <c r="H186" s="598">
        <f t="shared" si="56"/>
        <v>285291.55455</v>
      </c>
      <c r="I186" s="598">
        <f t="shared" si="56"/>
        <v>261119.77861762309</v>
      </c>
      <c r="J186" s="598">
        <f t="shared" si="56"/>
        <v>24171.775932376906</v>
      </c>
      <c r="K186" s="598">
        <f t="shared" si="56"/>
        <v>285291.55455</v>
      </c>
    </row>
    <row r="187" spans="1:14" ht="15" thickTop="1">
      <c r="A187" s="529"/>
      <c r="B187" s="297"/>
      <c r="C187" s="297"/>
      <c r="D187" s="297"/>
      <c r="E187" s="297"/>
      <c r="F187" s="297"/>
      <c r="G187" s="297"/>
      <c r="H187" s="530"/>
      <c r="I187" s="297"/>
      <c r="J187" s="297"/>
      <c r="K187" s="298"/>
    </row>
  </sheetData>
  <mergeCells count="6">
    <mergeCell ref="I77:K77"/>
    <mergeCell ref="I78:K78"/>
    <mergeCell ref="I136:K136"/>
    <mergeCell ref="I137:K137"/>
    <mergeCell ref="I16:K16"/>
    <mergeCell ref="I17:K17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C1:J54"/>
  <sheetViews>
    <sheetView tabSelected="1" showOutlineSymbols="0" workbookViewId="0"/>
  </sheetViews>
  <sheetFormatPr defaultRowHeight="14.4"/>
  <cols>
    <col min="3" max="3" width="13.88671875" customWidth="1"/>
    <col min="5" max="5" width="27.33203125" bestFit="1" customWidth="1"/>
    <col min="6" max="6" width="12.33203125" bestFit="1" customWidth="1"/>
    <col min="7" max="7" width="14" bestFit="1" customWidth="1"/>
    <col min="8" max="9" width="12.33203125" bestFit="1" customWidth="1"/>
  </cols>
  <sheetData>
    <row r="1" spans="3:10">
      <c r="C1" s="1962" t="s">
        <v>116</v>
      </c>
    </row>
    <row r="3" spans="3:10">
      <c r="C3" s="352" t="s">
        <v>2173</v>
      </c>
      <c r="D3" s="294"/>
      <c r="E3" s="294"/>
      <c r="F3" s="294"/>
      <c r="G3" s="294"/>
      <c r="H3" s="294"/>
      <c r="I3" s="294"/>
      <c r="J3" s="460"/>
    </row>
    <row r="4" spans="3:10">
      <c r="C4" s="353" t="s">
        <v>3170</v>
      </c>
      <c r="J4" s="296"/>
    </row>
    <row r="5" spans="3:10">
      <c r="C5" s="2495" t="s">
        <v>9263</v>
      </c>
      <c r="D5" s="673"/>
      <c r="E5" s="673"/>
      <c r="F5" s="297"/>
      <c r="G5" s="297"/>
      <c r="H5" s="297"/>
      <c r="I5" s="297"/>
      <c r="J5" s="298"/>
    </row>
    <row r="6" spans="3:10">
      <c r="C6" s="354" t="s">
        <v>2175</v>
      </c>
      <c r="D6" s="355" t="s">
        <v>2176</v>
      </c>
      <c r="E6" s="355" t="s">
        <v>2177</v>
      </c>
      <c r="F6" s="355" t="s">
        <v>2178</v>
      </c>
      <c r="G6" s="355" t="s">
        <v>2179</v>
      </c>
      <c r="H6" s="355" t="s">
        <v>2625</v>
      </c>
      <c r="I6" s="355" t="s">
        <v>2626</v>
      </c>
      <c r="J6" s="356" t="s">
        <v>2627</v>
      </c>
    </row>
    <row r="7" spans="3:10">
      <c r="C7" s="2496">
        <v>1</v>
      </c>
      <c r="D7" s="2497" t="s">
        <v>3171</v>
      </c>
      <c r="E7" s="413"/>
      <c r="F7" s="413"/>
      <c r="G7" s="413"/>
      <c r="H7" s="2498"/>
      <c r="I7" s="413"/>
      <c r="J7" s="2499"/>
    </row>
    <row r="8" spans="3:10">
      <c r="C8" s="365">
        <v>2</v>
      </c>
      <c r="D8" s="353"/>
      <c r="E8" s="62"/>
      <c r="G8" s="385"/>
      <c r="H8" s="62"/>
      <c r="I8" s="62"/>
      <c r="J8" s="2500" t="s">
        <v>3172</v>
      </c>
    </row>
    <row r="9" spans="3:10">
      <c r="C9" s="365">
        <v>3</v>
      </c>
      <c r="D9" s="353"/>
      <c r="E9" s="62"/>
      <c r="F9" s="514"/>
      <c r="G9" s="77" t="s">
        <v>1920</v>
      </c>
      <c r="H9" s="514"/>
      <c r="I9" s="514"/>
      <c r="J9" s="2500" t="s">
        <v>3173</v>
      </c>
    </row>
    <row r="10" spans="3:10">
      <c r="C10" s="365">
        <v>4</v>
      </c>
      <c r="D10" s="522" t="s">
        <v>3174</v>
      </c>
      <c r="E10" s="514" t="s">
        <v>1918</v>
      </c>
      <c r="F10" s="77" t="s">
        <v>3175</v>
      </c>
      <c r="G10" s="77" t="s">
        <v>3176</v>
      </c>
      <c r="H10" s="77" t="s">
        <v>3177</v>
      </c>
      <c r="I10" s="77" t="s">
        <v>3178</v>
      </c>
      <c r="J10" s="2501" t="s">
        <v>3179</v>
      </c>
    </row>
    <row r="11" spans="3:10">
      <c r="C11" s="365">
        <v>5</v>
      </c>
      <c r="D11" s="363">
        <v>35000</v>
      </c>
      <c r="E11" s="62" t="s">
        <v>3180</v>
      </c>
      <c r="F11" s="79">
        <f>+SUMIFS('Transmission Investment'!$C$9:$C$19,'Transmission Investment'!$A$9:$A$19,'Transmission Voltage Detail'!D11)</f>
        <v>318887</v>
      </c>
      <c r="G11" s="79">
        <f>+SUMIFS('Transmission Investment'!$D$9:$D$19,'Transmission Investment'!$A$9:$A$19,'Transmission Voltage Detail'!D11)</f>
        <v>117468</v>
      </c>
      <c r="H11" s="79">
        <f>+SUMIFS('Transmission Investment'!$E$9:$E$19,'Transmission Investment'!$A$9:$A$19,'Transmission Voltage Detail'!D11)</f>
        <v>9767256</v>
      </c>
      <c r="I11" s="654">
        <f>+SUM(F11:H11)</f>
        <v>10203611</v>
      </c>
      <c r="J11" s="2502">
        <f>IF(I11=0,0,ROUND(H11/I11,2))</f>
        <v>0.96</v>
      </c>
    </row>
    <row r="12" spans="3:10">
      <c r="C12" s="365">
        <v>6</v>
      </c>
      <c r="D12" s="363">
        <v>35001</v>
      </c>
      <c r="E12" s="62" t="s">
        <v>3181</v>
      </c>
      <c r="F12" s="79">
        <f>+SUMIFS('Transmission Investment'!$C$9:$C$19,'Transmission Investment'!$A$9:$A$19,'Transmission Voltage Detail'!D12)</f>
        <v>3968516</v>
      </c>
      <c r="G12" s="79">
        <f>+SUMIFS('Transmission Investment'!$D$9:$D$19,'Transmission Investment'!$A$9:$A$19,'Transmission Voltage Detail'!D12)</f>
        <v>879872</v>
      </c>
      <c r="H12" s="79">
        <f>+SUMIFS('Transmission Investment'!$E$9:$E$19,'Transmission Investment'!$A$9:$A$19,'Transmission Voltage Detail'!D12)</f>
        <v>6535742</v>
      </c>
      <c r="I12" s="654">
        <f t="shared" ref="I12:I19" si="0">+SUM(F12:H12)</f>
        <v>11384130</v>
      </c>
      <c r="J12" s="2502">
        <f t="shared" ref="J12:J19" si="1">IF(I12=0,0,ROUND(H12/I12,2))</f>
        <v>0.56999999999999995</v>
      </c>
    </row>
    <row r="13" spans="3:10">
      <c r="C13" s="365">
        <v>7</v>
      </c>
      <c r="D13" s="363">
        <v>35400</v>
      </c>
      <c r="E13" s="62" t="s">
        <v>3182</v>
      </c>
      <c r="F13" s="79">
        <f>+SUMIFS('Transmission Investment'!$C$9:$C$19,'Transmission Investment'!$A$9:$A$19,'Transmission Voltage Detail'!D13)</f>
        <v>96057</v>
      </c>
      <c r="G13" s="79">
        <f>+SUMIFS('Transmission Investment'!$D$9:$D$19,'Transmission Investment'!$A$9:$A$19,'Transmission Voltage Detail'!D13)</f>
        <v>1324467</v>
      </c>
      <c r="H13" s="79">
        <f>+SUMIFS('Transmission Investment'!$E$9:$E$19,'Transmission Investment'!$A$9:$A$19,'Transmission Voltage Detail'!D13)</f>
        <v>3671536</v>
      </c>
      <c r="I13" s="654">
        <f t="shared" si="0"/>
        <v>5092060</v>
      </c>
      <c r="J13" s="2502">
        <f t="shared" si="1"/>
        <v>0.72</v>
      </c>
    </row>
    <row r="14" spans="3:10">
      <c r="C14" s="365">
        <v>8</v>
      </c>
      <c r="D14" s="363">
        <v>35500</v>
      </c>
      <c r="E14" s="62" t="s">
        <v>3183</v>
      </c>
      <c r="F14" s="79">
        <f>+SUMIFS('Transmission Investment'!$C$9:$C$19,'Transmission Investment'!$A$9:$A$19,'Transmission Voltage Detail'!D14)</f>
        <v>286627529</v>
      </c>
      <c r="G14" s="79">
        <f>+SUMIFS('Transmission Investment'!$D$9:$D$19,'Transmission Investment'!$A$9:$A$19,'Transmission Voltage Detail'!D14)</f>
        <v>14895206</v>
      </c>
      <c r="H14" s="79">
        <f>+SUMIFS('Transmission Investment'!$E$9:$E$19,'Transmission Investment'!$A$9:$A$19,'Transmission Voltage Detail'!D14)</f>
        <v>293408925</v>
      </c>
      <c r="I14" s="654">
        <f t="shared" si="0"/>
        <v>594931660</v>
      </c>
      <c r="J14" s="2502">
        <f t="shared" si="1"/>
        <v>0.49</v>
      </c>
    </row>
    <row r="15" spans="3:10">
      <c r="C15" s="365">
        <v>9</v>
      </c>
      <c r="D15" s="363">
        <v>35600</v>
      </c>
      <c r="E15" s="62" t="s">
        <v>3184</v>
      </c>
      <c r="F15" s="79">
        <f>+SUMIFS('Transmission Investment'!$C$9:$C$19,'Transmission Investment'!$A$9:$A$19,'Transmission Voltage Detail'!D15)</f>
        <v>104334442</v>
      </c>
      <c r="G15" s="79">
        <f>+SUMIFS('Transmission Investment'!$D$9:$D$19,'Transmission Investment'!$A$9:$A$19,'Transmission Voltage Detail'!D15)</f>
        <v>6373259</v>
      </c>
      <c r="H15" s="79">
        <f>+SUMIFS('Transmission Investment'!$E$9:$E$19,'Transmission Investment'!$A$9:$A$19,'Transmission Voltage Detail'!D15)</f>
        <v>92412299</v>
      </c>
      <c r="I15" s="654">
        <f t="shared" si="0"/>
        <v>203120000</v>
      </c>
      <c r="J15" s="2502">
        <f t="shared" si="1"/>
        <v>0.45</v>
      </c>
    </row>
    <row r="16" spans="3:10">
      <c r="C16" s="365">
        <v>10</v>
      </c>
      <c r="D16" s="363">
        <v>35601</v>
      </c>
      <c r="E16" s="62" t="s">
        <v>3185</v>
      </c>
      <c r="F16" s="79">
        <f>+SUMIFS('Transmission Investment'!$C$9:$C$19,'Transmission Investment'!$A$9:$A$19,'Transmission Voltage Detail'!D16)</f>
        <v>408388</v>
      </c>
      <c r="G16" s="79">
        <f>+SUMIFS('Transmission Investment'!$D$9:$D$19,'Transmission Investment'!$A$9:$A$19,'Transmission Voltage Detail'!D16)</f>
        <v>102636</v>
      </c>
      <c r="H16" s="79">
        <f>+SUMIFS('Transmission Investment'!$E$9:$E$19,'Transmission Investment'!$A$9:$A$19,'Transmission Voltage Detail'!D16)</f>
        <v>1599587</v>
      </c>
      <c r="I16" s="654">
        <f t="shared" si="0"/>
        <v>2110611</v>
      </c>
      <c r="J16" s="2502">
        <f t="shared" si="1"/>
        <v>0.76</v>
      </c>
    </row>
    <row r="17" spans="3:10">
      <c r="C17" s="365">
        <v>11</v>
      </c>
      <c r="D17" s="363">
        <v>35700</v>
      </c>
      <c r="E17" s="62" t="s">
        <v>3186</v>
      </c>
      <c r="F17" s="79">
        <f>+SUMIFS('Transmission Investment'!$C$9:$C$19,'Transmission Investment'!$A$9:$A$19,'Transmission Voltage Detail'!D17)</f>
        <v>4322860</v>
      </c>
      <c r="G17" s="79">
        <f>+SUMIFS('Transmission Investment'!$D$9:$D$19,'Transmission Investment'!$A$9:$A$19,'Transmission Voltage Detail'!D17)</f>
        <v>0</v>
      </c>
      <c r="H17" s="79">
        <f>+SUMIFS('Transmission Investment'!$E$9:$E$19,'Transmission Investment'!$A$9:$A$19,'Transmission Voltage Detail'!D17)</f>
        <v>0</v>
      </c>
      <c r="I17" s="654">
        <f t="shared" si="0"/>
        <v>4322860</v>
      </c>
      <c r="J17" s="2502">
        <f t="shared" si="1"/>
        <v>0</v>
      </c>
    </row>
    <row r="18" spans="3:10">
      <c r="C18" s="365">
        <v>12</v>
      </c>
      <c r="D18" s="363">
        <v>35800</v>
      </c>
      <c r="E18" s="62" t="s">
        <v>3187</v>
      </c>
      <c r="F18" s="79">
        <f>+SUMIFS('Transmission Investment'!$C$9:$C$19,'Transmission Investment'!$A$9:$A$19,'Transmission Voltage Detail'!D18)</f>
        <v>12240751</v>
      </c>
      <c r="G18" s="79">
        <f>+SUMIFS('Transmission Investment'!$D$9:$D$19,'Transmission Investment'!$A$9:$A$19,'Transmission Voltage Detail'!D18)</f>
        <v>122294</v>
      </c>
      <c r="H18" s="79">
        <f>+SUMIFS('Transmission Investment'!$E$9:$E$19,'Transmission Investment'!$A$9:$A$19,'Transmission Voltage Detail'!D18)</f>
        <v>0</v>
      </c>
      <c r="I18" s="654">
        <f t="shared" si="0"/>
        <v>12363045</v>
      </c>
      <c r="J18" s="2502">
        <f t="shared" si="1"/>
        <v>0</v>
      </c>
    </row>
    <row r="19" spans="3:10">
      <c r="C19" s="365">
        <v>13</v>
      </c>
      <c r="D19" s="363">
        <v>35900</v>
      </c>
      <c r="E19" s="62" t="s">
        <v>2541</v>
      </c>
      <c r="F19" s="79">
        <f>+SUMIFS('Transmission Investment'!$C$9:$C$19,'Transmission Investment'!$A$9:$A$19,'Transmission Voltage Detail'!D19)</f>
        <v>3882500</v>
      </c>
      <c r="G19" s="79">
        <f>+SUMIFS('Transmission Investment'!$D$9:$D$19,'Transmission Investment'!$A$9:$A$19,'Transmission Voltage Detail'!D19)</f>
        <v>154841</v>
      </c>
      <c r="H19" s="79">
        <f>+SUMIFS('Transmission Investment'!$E$9:$E$19,'Transmission Investment'!$A$9:$A$19,'Transmission Voltage Detail'!D19)</f>
        <v>17064926</v>
      </c>
      <c r="I19" s="654">
        <f t="shared" si="0"/>
        <v>21102267</v>
      </c>
      <c r="J19" s="2502">
        <f t="shared" si="1"/>
        <v>0.81</v>
      </c>
    </row>
    <row r="20" spans="3:10" ht="15" thickBot="1">
      <c r="C20" s="365">
        <v>14</v>
      </c>
      <c r="D20" s="353"/>
      <c r="E20" s="62" t="s">
        <v>3188</v>
      </c>
      <c r="F20" s="655">
        <f>+SUM(F11:F19)</f>
        <v>416199930</v>
      </c>
      <c r="G20" s="655">
        <f>+SUM(G11:G19)</f>
        <v>23970043</v>
      </c>
      <c r="H20" s="655">
        <f>+SUM(H11:H19)</f>
        <v>424460271</v>
      </c>
      <c r="I20" s="655">
        <f>+SUM(I11:I19)</f>
        <v>864630244</v>
      </c>
      <c r="J20" s="858"/>
    </row>
    <row r="21" spans="3:10" ht="15" thickTop="1">
      <c r="C21" s="365">
        <v>15</v>
      </c>
      <c r="D21" s="357"/>
      <c r="E21" s="62"/>
      <c r="F21" s="297"/>
      <c r="G21" s="297"/>
      <c r="H21" s="297"/>
      <c r="I21" s="297"/>
      <c r="J21" s="2503"/>
    </row>
    <row r="22" spans="3:10">
      <c r="C22" s="365">
        <v>16</v>
      </c>
      <c r="D22" s="357"/>
      <c r="E22" s="62"/>
      <c r="I22" s="2504"/>
      <c r="J22" s="858"/>
    </row>
    <row r="23" spans="3:10">
      <c r="C23" s="365">
        <v>17</v>
      </c>
      <c r="D23" s="616"/>
      <c r="J23" s="858"/>
    </row>
    <row r="24" spans="3:10">
      <c r="C24" s="365">
        <v>18</v>
      </c>
      <c r="D24" s="2497" t="s">
        <v>3189</v>
      </c>
      <c r="E24" s="413"/>
      <c r="F24" s="413"/>
      <c r="G24" s="413"/>
      <c r="H24" s="413"/>
      <c r="I24" s="2505"/>
      <c r="J24" s="2506"/>
    </row>
    <row r="25" spans="3:10">
      <c r="C25" s="365">
        <v>19</v>
      </c>
      <c r="D25" s="353"/>
      <c r="E25" s="62"/>
      <c r="F25" s="62"/>
      <c r="G25" s="62"/>
      <c r="H25" s="62"/>
      <c r="I25" s="647"/>
      <c r="J25" s="648"/>
    </row>
    <row r="26" spans="3:10">
      <c r="C26" s="365">
        <v>20</v>
      </c>
      <c r="D26" s="353"/>
      <c r="E26" s="62"/>
      <c r="F26" s="385"/>
      <c r="G26" s="385"/>
      <c r="H26" s="62"/>
      <c r="I26" s="62"/>
      <c r="J26" s="2500" t="s">
        <v>3172</v>
      </c>
    </row>
    <row r="27" spans="3:10">
      <c r="C27" s="365">
        <v>21</v>
      </c>
      <c r="D27" s="353"/>
      <c r="E27" s="62"/>
      <c r="F27" s="514"/>
      <c r="G27" s="77" t="s">
        <v>1920</v>
      </c>
      <c r="H27" s="514"/>
      <c r="I27" s="514"/>
      <c r="J27" s="2500" t="s">
        <v>3173</v>
      </c>
    </row>
    <row r="28" spans="3:10">
      <c r="C28" s="365">
        <v>22</v>
      </c>
      <c r="D28" s="522" t="s">
        <v>3174</v>
      </c>
      <c r="E28" s="514" t="s">
        <v>1918</v>
      </c>
      <c r="F28" s="77" t="s">
        <v>3175</v>
      </c>
      <c r="G28" s="77" t="s">
        <v>3176</v>
      </c>
      <c r="H28" s="77" t="s">
        <v>3177</v>
      </c>
      <c r="I28" s="77" t="s">
        <v>3178</v>
      </c>
      <c r="J28" s="2501" t="s">
        <v>3179</v>
      </c>
    </row>
    <row r="29" spans="3:10">
      <c r="C29" s="365">
        <v>23</v>
      </c>
      <c r="D29" s="363">
        <v>35000</v>
      </c>
      <c r="E29" s="62" t="s">
        <v>3180</v>
      </c>
      <c r="F29" s="79">
        <f>+SUMIFS('Transmission Investment'!$C$26:$C$36,'Transmission Investment'!$A$26:$A$36,'Transmission Voltage Detail'!D29)*0</f>
        <v>0</v>
      </c>
      <c r="G29" s="79">
        <f>+SUMIFS('Transmission Investment'!$D$26:$D$36,'Transmission Investment'!$A$26:$A$36,'Transmission Voltage Detail'!D29)*0</f>
        <v>0</v>
      </c>
      <c r="H29" s="79">
        <f>+SUMIFS('Transmission Investment'!$E$26:$E$36,'Transmission Investment'!$A$26:$A$36,'Transmission Voltage Detail'!D29)*0</f>
        <v>0</v>
      </c>
      <c r="I29" s="654">
        <f>+SUM(F29:H29)</f>
        <v>0</v>
      </c>
      <c r="J29" s="2502">
        <f>IF(I29=0,0,ROUND(H29/I29,2))</f>
        <v>0</v>
      </c>
    </row>
    <row r="30" spans="3:10">
      <c r="C30" s="365">
        <v>24</v>
      </c>
      <c r="D30" s="363">
        <v>35001</v>
      </c>
      <c r="E30" s="62" t="s">
        <v>3181</v>
      </c>
      <c r="F30" s="79">
        <f>+SUMIFS('Transmission Investment'!$C$26:$C$36,'Transmission Investment'!$A$26:$A$36,'Transmission Voltage Detail'!D30)</f>
        <v>1404637</v>
      </c>
      <c r="G30" s="79">
        <f>+SUMIFS('Transmission Investment'!$D$26:$D$36,'Transmission Investment'!$A$26:$A$36,'Transmission Voltage Detail'!D30)</f>
        <v>547785</v>
      </c>
      <c r="H30" s="79">
        <f>+SUMIFS('Transmission Investment'!$E$26:$E$36,'Transmission Investment'!$A$26:$A$36,'Transmission Voltage Detail'!D30)</f>
        <v>3111044</v>
      </c>
      <c r="I30" s="654">
        <f t="shared" ref="I30:I37" si="2">+SUM(F30:H30)</f>
        <v>5063466</v>
      </c>
      <c r="J30" s="2502">
        <f t="shared" ref="J30:J37" si="3">IF(I30=0,0,ROUND(H30/I30,2))</f>
        <v>0.61</v>
      </c>
    </row>
    <row r="31" spans="3:10">
      <c r="C31" s="365">
        <v>25</v>
      </c>
      <c r="D31" s="363">
        <v>35400</v>
      </c>
      <c r="E31" s="62" t="s">
        <v>3182</v>
      </c>
      <c r="F31" s="79">
        <f>+SUMIFS('Transmission Investment'!$C$26:$C$36,'Transmission Investment'!$A$26:$A$36,'Transmission Voltage Detail'!D31)</f>
        <v>23838</v>
      </c>
      <c r="G31" s="79">
        <f>+SUMIFS('Transmission Investment'!$D$26:$D$36,'Transmission Investment'!$A$26:$A$36,'Transmission Voltage Detail'!D31)</f>
        <v>1427322</v>
      </c>
      <c r="H31" s="79">
        <f>+SUMIFS('Transmission Investment'!$E$26:$E$36,'Transmission Investment'!$A$26:$A$36,'Transmission Voltage Detail'!D31)</f>
        <v>3895798</v>
      </c>
      <c r="I31" s="654">
        <f t="shared" si="2"/>
        <v>5346958</v>
      </c>
      <c r="J31" s="2502">
        <f t="shared" si="3"/>
        <v>0.73</v>
      </c>
    </row>
    <row r="32" spans="3:10">
      <c r="C32" s="365">
        <v>26</v>
      </c>
      <c r="D32" s="363">
        <v>35500</v>
      </c>
      <c r="E32" s="62" t="s">
        <v>3183</v>
      </c>
      <c r="F32" s="79">
        <f>+SUMIFS('Transmission Investment'!$C$26:$C$36,'Transmission Investment'!$A$26:$A$36,'Transmission Voltage Detail'!D32)</f>
        <v>71277695</v>
      </c>
      <c r="G32" s="79">
        <f>+SUMIFS('Transmission Investment'!$D$26:$D$36,'Transmission Investment'!$A$26:$A$36,'Transmission Voltage Detail'!D32)</f>
        <v>5778124</v>
      </c>
      <c r="H32" s="79">
        <f>+SUMIFS('Transmission Investment'!$E$26:$E$36,'Transmission Investment'!$A$26:$A$36,'Transmission Voltage Detail'!D32)</f>
        <v>68590637</v>
      </c>
      <c r="I32" s="654">
        <f t="shared" si="2"/>
        <v>145646456</v>
      </c>
      <c r="J32" s="2502">
        <f t="shared" si="3"/>
        <v>0.47</v>
      </c>
    </row>
    <row r="33" spans="3:10">
      <c r="C33" s="365">
        <v>27</v>
      </c>
      <c r="D33" s="363">
        <v>35600</v>
      </c>
      <c r="E33" s="62" t="s">
        <v>3184</v>
      </c>
      <c r="F33" s="79">
        <f>+SUMIFS('Transmission Investment'!$C$26:$C$36,'Transmission Investment'!$A$26:$A$36,'Transmission Voltage Detail'!D33)</f>
        <v>15680522</v>
      </c>
      <c r="G33" s="79">
        <f>+SUMIFS('Transmission Investment'!$D$26:$D$36,'Transmission Investment'!$A$26:$A$36,'Transmission Voltage Detail'!D33)</f>
        <v>1520567</v>
      </c>
      <c r="H33" s="79">
        <f>+SUMIFS('Transmission Investment'!$E$26:$E$36,'Transmission Investment'!$A$26:$A$36,'Transmission Voltage Detail'!D33)</f>
        <v>14466612</v>
      </c>
      <c r="I33" s="654">
        <f t="shared" si="2"/>
        <v>31667701</v>
      </c>
      <c r="J33" s="2502">
        <f t="shared" si="3"/>
        <v>0.46</v>
      </c>
    </row>
    <row r="34" spans="3:10">
      <c r="C34" s="365">
        <v>28</v>
      </c>
      <c r="D34" s="363">
        <v>35601</v>
      </c>
      <c r="E34" s="62" t="s">
        <v>3185</v>
      </c>
      <c r="F34" s="79">
        <f>+SUMIFS('Transmission Investment'!$C$26:$C$36,'Transmission Investment'!$A$26:$A$36,'Transmission Voltage Detail'!D34)</f>
        <v>349795</v>
      </c>
      <c r="G34" s="79">
        <f>+SUMIFS('Transmission Investment'!$D$26:$D$36,'Transmission Investment'!$A$26:$A$36,'Transmission Voltage Detail'!D34)</f>
        <v>97397</v>
      </c>
      <c r="H34" s="79">
        <f>+SUMIFS('Transmission Investment'!$E$26:$E$36,'Transmission Investment'!$A$26:$A$36,'Transmission Voltage Detail'!D34)</f>
        <v>1371469</v>
      </c>
      <c r="I34" s="654">
        <f t="shared" si="2"/>
        <v>1818661</v>
      </c>
      <c r="J34" s="2502">
        <f t="shared" si="3"/>
        <v>0.75</v>
      </c>
    </row>
    <row r="35" spans="3:10">
      <c r="C35" s="365">
        <v>29</v>
      </c>
      <c r="D35" s="363">
        <v>35700</v>
      </c>
      <c r="E35" s="62" t="s">
        <v>3186</v>
      </c>
      <c r="F35" s="79">
        <f>+SUMIFS('Transmission Investment'!$C$26:$C$36,'Transmission Investment'!$A$26:$A$36,'Transmission Voltage Detail'!D35)</f>
        <v>1925290</v>
      </c>
      <c r="G35" s="79">
        <f>+SUMIFS('Transmission Investment'!$D$26:$D$36,'Transmission Investment'!$A$26:$A$36,'Transmission Voltage Detail'!D35)</f>
        <v>0</v>
      </c>
      <c r="H35" s="79">
        <f>+SUMIFS('Transmission Investment'!$E$26:$E$36,'Transmission Investment'!$A$26:$A$36,'Transmission Voltage Detail'!D35)</f>
        <v>0</v>
      </c>
      <c r="I35" s="654">
        <f t="shared" si="2"/>
        <v>1925290</v>
      </c>
      <c r="J35" s="2502">
        <f t="shared" si="3"/>
        <v>0</v>
      </c>
    </row>
    <row r="36" spans="3:10">
      <c r="C36" s="365">
        <v>30</v>
      </c>
      <c r="D36" s="363">
        <v>35800</v>
      </c>
      <c r="E36" s="62" t="s">
        <v>3187</v>
      </c>
      <c r="F36" s="79">
        <f>+SUMIFS('Transmission Investment'!$C$26:$C$36,'Transmission Investment'!$A$26:$A$36,'Transmission Voltage Detail'!D36)</f>
        <v>4195285</v>
      </c>
      <c r="G36" s="79">
        <f>+SUMIFS('Transmission Investment'!$D$26:$D$36,'Transmission Investment'!$A$26:$A$36,'Transmission Voltage Detail'!D36)</f>
        <v>115029</v>
      </c>
      <c r="H36" s="79">
        <f>+SUMIFS('Transmission Investment'!$E$26:$E$36,'Transmission Investment'!$A$26:$A$36,'Transmission Voltage Detail'!D36)</f>
        <v>0</v>
      </c>
      <c r="I36" s="654">
        <f t="shared" si="2"/>
        <v>4310314</v>
      </c>
      <c r="J36" s="2502">
        <f t="shared" si="3"/>
        <v>0</v>
      </c>
    </row>
    <row r="37" spans="3:10">
      <c r="C37" s="365">
        <v>31</v>
      </c>
      <c r="D37" s="363">
        <v>35900</v>
      </c>
      <c r="E37" s="62" t="s">
        <v>2541</v>
      </c>
      <c r="F37" s="79">
        <f>+SUMIFS('Transmission Investment'!$C$26:$C$36,'Transmission Investment'!$A$26:$A$36,'Transmission Voltage Detail'!D37)</f>
        <v>486760</v>
      </c>
      <c r="G37" s="79">
        <f>+SUMIFS('Transmission Investment'!$D$26:$D$36,'Transmission Investment'!$A$26:$A$36,'Transmission Voltage Detail'!D37)</f>
        <v>126310</v>
      </c>
      <c r="H37" s="79">
        <f>+SUMIFS('Transmission Investment'!$E$26:$E$36,'Transmission Investment'!$A$26:$A$36,'Transmission Voltage Detail'!D37)</f>
        <v>3280206</v>
      </c>
      <c r="I37" s="654">
        <f t="shared" si="2"/>
        <v>3893276</v>
      </c>
      <c r="J37" s="2502">
        <f t="shared" si="3"/>
        <v>0.84</v>
      </c>
    </row>
    <row r="38" spans="3:10" ht="15" thickBot="1">
      <c r="C38" s="365">
        <v>32</v>
      </c>
      <c r="D38" s="363"/>
      <c r="E38" s="62" t="s">
        <v>3188</v>
      </c>
      <c r="F38" s="655">
        <f>+SUM(F29:F37)</f>
        <v>95343822</v>
      </c>
      <c r="G38" s="655">
        <f>+SUM(G29:G37)</f>
        <v>9612534</v>
      </c>
      <c r="H38" s="655">
        <f>+SUM(H29:H37)</f>
        <v>94715766</v>
      </c>
      <c r="I38" s="655">
        <f>+SUM(I29:I37)</f>
        <v>199672122</v>
      </c>
      <c r="J38" s="858"/>
    </row>
    <row r="39" spans="3:10" ht="15" thickTop="1">
      <c r="C39" s="365">
        <v>33</v>
      </c>
      <c r="D39" s="616"/>
      <c r="E39" s="297"/>
      <c r="F39" s="297"/>
      <c r="G39" s="297"/>
      <c r="H39" s="297"/>
      <c r="I39" s="297"/>
      <c r="J39" s="2507"/>
    </row>
    <row r="40" spans="3:10">
      <c r="C40" s="365">
        <v>34</v>
      </c>
      <c r="D40" s="2497" t="s">
        <v>3190</v>
      </c>
      <c r="E40" s="2479"/>
      <c r="F40" s="2508"/>
      <c r="G40" s="2508"/>
      <c r="H40" s="2508"/>
      <c r="I40" s="2479"/>
      <c r="J40" s="2499"/>
    </row>
    <row r="41" spans="3:10">
      <c r="C41" s="365">
        <v>35</v>
      </c>
      <c r="D41" s="2509"/>
      <c r="E41" s="2510"/>
      <c r="F41" s="2510"/>
      <c r="G41" s="2510"/>
      <c r="H41" s="2510"/>
      <c r="I41" s="294"/>
      <c r="J41" s="904"/>
    </row>
    <row r="42" spans="3:10">
      <c r="C42" s="365">
        <v>36</v>
      </c>
      <c r="D42" s="522" t="s">
        <v>3174</v>
      </c>
      <c r="E42" s="77" t="s">
        <v>1918</v>
      </c>
      <c r="F42" s="649" t="s">
        <v>3116</v>
      </c>
      <c r="G42" s="649" t="s">
        <v>3191</v>
      </c>
      <c r="H42" s="649" t="s">
        <v>122</v>
      </c>
      <c r="J42" s="296"/>
    </row>
    <row r="43" spans="3:10">
      <c r="C43" s="365">
        <v>37</v>
      </c>
      <c r="D43" s="363">
        <v>350</v>
      </c>
      <c r="E43" s="385" t="s">
        <v>3128</v>
      </c>
      <c r="F43" s="761">
        <f>+J11</f>
        <v>0.96</v>
      </c>
      <c r="G43" s="2511">
        <f>+H43-F43</f>
        <v>4.0000000000000036E-2</v>
      </c>
      <c r="H43" s="761">
        <v>1</v>
      </c>
      <c r="J43" s="296"/>
    </row>
    <row r="44" spans="3:10">
      <c r="C44" s="365">
        <v>38</v>
      </c>
      <c r="D44" s="363">
        <v>350.01</v>
      </c>
      <c r="E44" s="385" t="s">
        <v>3192</v>
      </c>
      <c r="F44" s="761">
        <f>+J12</f>
        <v>0.56999999999999995</v>
      </c>
      <c r="G44" s="2511">
        <f t="shared" ref="G44:G53" si="4">+H44-F44</f>
        <v>0.43000000000000005</v>
      </c>
      <c r="H44" s="761">
        <v>1</v>
      </c>
      <c r="J44" s="296"/>
    </row>
    <row r="45" spans="3:10">
      <c r="C45" s="365">
        <v>39</v>
      </c>
      <c r="D45" s="363">
        <v>354</v>
      </c>
      <c r="E45" s="62" t="s">
        <v>3139</v>
      </c>
      <c r="F45" s="761">
        <f>+J13</f>
        <v>0.72</v>
      </c>
      <c r="G45" s="2511">
        <f t="shared" si="4"/>
        <v>0.28000000000000003</v>
      </c>
      <c r="H45" s="761">
        <v>1</v>
      </c>
      <c r="J45" s="296"/>
    </row>
    <row r="46" spans="3:10">
      <c r="C46" s="365">
        <v>40</v>
      </c>
      <c r="D46" s="363">
        <v>355</v>
      </c>
      <c r="E46" s="62" t="s">
        <v>3140</v>
      </c>
      <c r="F46" s="761">
        <f>+J14</f>
        <v>0.49</v>
      </c>
      <c r="G46" s="2511">
        <f t="shared" si="4"/>
        <v>0.51</v>
      </c>
      <c r="H46" s="761">
        <v>1</v>
      </c>
      <c r="J46" s="296"/>
    </row>
    <row r="47" spans="3:10">
      <c r="C47" s="365">
        <v>41</v>
      </c>
      <c r="D47" s="2512">
        <v>355.9</v>
      </c>
      <c r="E47" s="62" t="s">
        <v>3193</v>
      </c>
      <c r="F47" s="761">
        <f>+F46</f>
        <v>0.49</v>
      </c>
      <c r="G47" s="2511">
        <f t="shared" si="4"/>
        <v>0.51</v>
      </c>
      <c r="H47" s="761">
        <v>1</v>
      </c>
      <c r="J47" s="296"/>
    </row>
    <row r="48" spans="3:10">
      <c r="C48" s="365">
        <v>42</v>
      </c>
      <c r="D48" s="363">
        <v>356</v>
      </c>
      <c r="E48" s="62" t="s">
        <v>3141</v>
      </c>
      <c r="F48" s="761">
        <f>+J15</f>
        <v>0.45</v>
      </c>
      <c r="G48" s="2511">
        <f t="shared" si="4"/>
        <v>0.55000000000000004</v>
      </c>
      <c r="H48" s="761">
        <v>1</v>
      </c>
      <c r="J48" s="296"/>
    </row>
    <row r="49" spans="3:10">
      <c r="C49" s="365">
        <v>43</v>
      </c>
      <c r="D49" s="2512">
        <v>356.9</v>
      </c>
      <c r="E49" s="62" t="s">
        <v>3194</v>
      </c>
      <c r="F49" s="761">
        <f>+F48</f>
        <v>0.45</v>
      </c>
      <c r="G49" s="2511">
        <f t="shared" si="4"/>
        <v>0.55000000000000004</v>
      </c>
      <c r="H49" s="761">
        <v>1</v>
      </c>
      <c r="J49" s="296"/>
    </row>
    <row r="50" spans="3:10">
      <c r="C50" s="365">
        <v>44</v>
      </c>
      <c r="D50" s="363">
        <v>356.01</v>
      </c>
      <c r="E50" s="62" t="s">
        <v>3195</v>
      </c>
      <c r="F50" s="761">
        <f>+J16</f>
        <v>0.76</v>
      </c>
      <c r="G50" s="2511">
        <f t="shared" si="4"/>
        <v>0.24</v>
      </c>
      <c r="H50" s="761">
        <v>1</v>
      </c>
      <c r="J50" s="296"/>
    </row>
    <row r="51" spans="3:10">
      <c r="C51" s="365">
        <v>45</v>
      </c>
      <c r="D51" s="363">
        <v>357</v>
      </c>
      <c r="E51" s="62" t="s">
        <v>3143</v>
      </c>
      <c r="F51" s="761">
        <f>+J17</f>
        <v>0</v>
      </c>
      <c r="G51" s="2511">
        <f t="shared" si="4"/>
        <v>1</v>
      </c>
      <c r="H51" s="761">
        <v>1</v>
      </c>
      <c r="J51" s="296"/>
    </row>
    <row r="52" spans="3:10">
      <c r="C52" s="365">
        <v>46</v>
      </c>
      <c r="D52" s="363">
        <v>358</v>
      </c>
      <c r="E52" s="62" t="s">
        <v>3144</v>
      </c>
      <c r="F52" s="761">
        <f>+J18</f>
        <v>0</v>
      </c>
      <c r="G52" s="2511">
        <f t="shared" si="4"/>
        <v>1</v>
      </c>
      <c r="H52" s="761">
        <v>1</v>
      </c>
      <c r="J52" s="296"/>
    </row>
    <row r="53" spans="3:10">
      <c r="C53" s="365">
        <v>47</v>
      </c>
      <c r="D53" s="363">
        <v>359</v>
      </c>
      <c r="E53" s="62" t="s">
        <v>3145</v>
      </c>
      <c r="F53" s="761">
        <f>+J19</f>
        <v>0.81</v>
      </c>
      <c r="G53" s="2511">
        <f t="shared" si="4"/>
        <v>0.18999999999999995</v>
      </c>
      <c r="H53" s="761">
        <v>1</v>
      </c>
      <c r="J53" s="296"/>
    </row>
    <row r="54" spans="3:10">
      <c r="C54" s="616"/>
      <c r="D54" s="616"/>
      <c r="E54" s="297"/>
      <c r="F54" s="2513"/>
      <c r="G54" s="2513"/>
      <c r="H54" s="2513"/>
      <c r="I54" s="530"/>
      <c r="J54" s="250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B1:N193"/>
  <sheetViews>
    <sheetView tabSelected="1" showOutlineSymbols="0" workbookViewId="0"/>
  </sheetViews>
  <sheetFormatPr defaultRowHeight="14.4"/>
  <cols>
    <col min="2" max="2" width="45.5546875" bestFit="1" customWidth="1"/>
    <col min="3" max="3" width="41.6640625" bestFit="1" customWidth="1"/>
    <col min="4" max="4" width="9.88671875" bestFit="1" customWidth="1"/>
    <col min="5" max="5" width="57.6640625" bestFit="1" customWidth="1"/>
    <col min="6" max="6" width="19.109375" bestFit="1" customWidth="1"/>
    <col min="7" max="7" width="45.5546875" bestFit="1" customWidth="1"/>
    <col min="8" max="8" width="12.88671875" bestFit="1" customWidth="1"/>
    <col min="9" max="9" width="14.44140625" bestFit="1" customWidth="1"/>
    <col min="10" max="11" width="17.5546875" bestFit="1" customWidth="1"/>
    <col min="12" max="12" width="14.44140625" bestFit="1" customWidth="1"/>
  </cols>
  <sheetData>
    <row r="1" spans="2:12">
      <c r="B1" s="29" t="s">
        <v>116</v>
      </c>
    </row>
    <row r="2" spans="2:12" ht="15" thickBot="1"/>
    <row r="3" spans="2:12" ht="15" thickBot="1">
      <c r="B3" s="73" t="s">
        <v>1823</v>
      </c>
      <c r="C3" s="56" t="s">
        <v>3459</v>
      </c>
      <c r="E3" s="717" t="s">
        <v>3462</v>
      </c>
    </row>
    <row r="4" spans="2:12">
      <c r="B4" s="30" t="s">
        <v>3455</v>
      </c>
      <c r="C4" s="672">
        <f>+SUMIFS('Transmission GSU Investments'!V3:V28,'Transmission GSU Investments'!E3:E28,"Big Bend")</f>
        <v>8486413.1123076919</v>
      </c>
      <c r="E4" s="715" t="s">
        <v>3430</v>
      </c>
    </row>
    <row r="5" spans="2:12">
      <c r="B5" s="30" t="s">
        <v>3456</v>
      </c>
      <c r="C5" s="672">
        <f>+SUMIFS('Transmission GSU Investments'!V3:V28,'Transmission GSU Investments'!E3:E28,"Bayside")</f>
        <v>24036410.135384616</v>
      </c>
      <c r="E5" s="715" t="s">
        <v>3431</v>
      </c>
    </row>
    <row r="6" spans="2:12" ht="15" thickBot="1">
      <c r="B6" s="30" t="s">
        <v>3457</v>
      </c>
      <c r="C6" s="672">
        <f>+SUMIFS('Transmission GSU Investments'!V3:V28,'Transmission GSU Investments'!E3:E28,"Sebring")</f>
        <v>0</v>
      </c>
      <c r="E6" s="716" t="s">
        <v>3432</v>
      </c>
    </row>
    <row r="7" spans="2:12">
      <c r="B7" s="30" t="s">
        <v>1872</v>
      </c>
      <c r="C7" s="672">
        <f>+SUMIFS('Transmission GSU Investments'!V3:V28,'Transmission GSU Investments'!E3:E28,"Polk")</f>
        <v>12515291.320000004</v>
      </c>
    </row>
    <row r="8" spans="2:12">
      <c r="B8" s="30" t="s">
        <v>1833</v>
      </c>
      <c r="C8" s="672">
        <f>+'Transmission GSU Investments'!V86-SUM('Tranmission Substation Detail'!C4:C7)</f>
        <v>94579468.313200593</v>
      </c>
    </row>
    <row r="9" spans="2:12" ht="15" thickBot="1">
      <c r="B9" s="1770" t="s">
        <v>3458</v>
      </c>
      <c r="C9" s="1553">
        <f>+SUM(C4:C8)</f>
        <v>139617582.8808929</v>
      </c>
    </row>
    <row r="12" spans="2:12">
      <c r="B12" s="1882" t="s">
        <v>2173</v>
      </c>
      <c r="C12" s="1883"/>
      <c r="D12" s="1883"/>
      <c r="E12" s="1883"/>
      <c r="F12" s="1883"/>
      <c r="G12" s="1883"/>
      <c r="H12" s="1884"/>
      <c r="I12" s="1883"/>
      <c r="J12" s="1884"/>
      <c r="K12" s="1883"/>
      <c r="L12" s="963"/>
    </row>
    <row r="13" spans="2:12">
      <c r="B13" s="353" t="s">
        <v>3204</v>
      </c>
      <c r="F13" s="657"/>
      <c r="H13" s="658"/>
      <c r="J13" s="658"/>
      <c r="L13" s="296"/>
    </row>
    <row r="14" spans="2:12">
      <c r="B14" s="656" t="s">
        <v>9263</v>
      </c>
      <c r="C14" s="673"/>
      <c r="D14" s="673"/>
      <c r="E14" s="659"/>
      <c r="F14" s="660"/>
      <c r="G14" s="297"/>
      <c r="H14" s="530"/>
      <c r="I14" s="297"/>
      <c r="J14" s="530"/>
      <c r="K14" s="297"/>
      <c r="L14" s="298"/>
    </row>
    <row r="15" spans="2:12">
      <c r="B15" s="1885"/>
      <c r="H15" s="162"/>
      <c r="J15" s="162"/>
      <c r="L15" s="963"/>
    </row>
    <row r="16" spans="2:12">
      <c r="B16" s="693"/>
      <c r="C16" s="290"/>
      <c r="D16" s="548"/>
      <c r="E16" s="548"/>
      <c r="F16" s="548"/>
      <c r="G16" s="548" t="s">
        <v>3205</v>
      </c>
      <c r="H16" s="563"/>
      <c r="I16" s="548" t="s">
        <v>3206</v>
      </c>
      <c r="J16" s="563"/>
      <c r="K16" s="548" t="s">
        <v>3207</v>
      </c>
      <c r="L16" s="679" t="s">
        <v>3208</v>
      </c>
    </row>
    <row r="17" spans="2:14">
      <c r="B17" s="693" t="s">
        <v>2182</v>
      </c>
      <c r="C17" s="290" t="s">
        <v>3209</v>
      </c>
      <c r="D17" s="290" t="s">
        <v>3210</v>
      </c>
      <c r="E17" s="290" t="s">
        <v>3121</v>
      </c>
      <c r="F17" s="548" t="s">
        <v>3211</v>
      </c>
      <c r="G17" s="548" t="s">
        <v>3212</v>
      </c>
      <c r="H17" s="563" t="s">
        <v>3213</v>
      </c>
      <c r="I17" s="548" t="s">
        <v>3212</v>
      </c>
      <c r="J17" s="563" t="s">
        <v>3214</v>
      </c>
      <c r="K17" s="548" t="s">
        <v>3212</v>
      </c>
      <c r="L17" s="679" t="s">
        <v>3215</v>
      </c>
    </row>
    <row r="18" spans="2:14">
      <c r="B18" s="683" t="s">
        <v>3216</v>
      </c>
      <c r="C18" s="290" t="s">
        <v>3216</v>
      </c>
      <c r="D18" s="290" t="s">
        <v>3217</v>
      </c>
      <c r="E18" s="290" t="s">
        <v>1918</v>
      </c>
      <c r="F18" s="290" t="s">
        <v>3218</v>
      </c>
      <c r="G18" s="290" t="s">
        <v>3219</v>
      </c>
      <c r="H18" s="626" t="s">
        <v>3220</v>
      </c>
      <c r="I18" s="290" t="s">
        <v>3219</v>
      </c>
      <c r="J18" s="630" t="s">
        <v>3221</v>
      </c>
      <c r="K18" s="290" t="s">
        <v>3219</v>
      </c>
      <c r="L18" s="684" t="s">
        <v>3222</v>
      </c>
    </row>
    <row r="19" spans="2:14">
      <c r="B19" s="640" t="s">
        <v>2175</v>
      </c>
      <c r="C19" s="632" t="s">
        <v>2176</v>
      </c>
      <c r="D19" s="632" t="s">
        <v>2177</v>
      </c>
      <c r="E19" s="632" t="s">
        <v>2178</v>
      </c>
      <c r="F19" s="632" t="s">
        <v>2179</v>
      </c>
      <c r="G19" s="632" t="s">
        <v>2625</v>
      </c>
      <c r="H19" s="632" t="s">
        <v>2626</v>
      </c>
      <c r="I19" s="632" t="s">
        <v>2627</v>
      </c>
      <c r="J19" s="661" t="s">
        <v>2628</v>
      </c>
      <c r="K19" s="661" t="s">
        <v>2629</v>
      </c>
      <c r="L19" s="662" t="s">
        <v>2630</v>
      </c>
    </row>
    <row r="20" spans="2:14">
      <c r="B20" s="604">
        <v>1</v>
      </c>
      <c r="C20" s="60"/>
      <c r="D20" s="328"/>
      <c r="E20" s="328"/>
      <c r="F20" s="694"/>
      <c r="G20" s="686"/>
      <c r="H20" s="42"/>
      <c r="I20" s="663"/>
      <c r="J20" s="42"/>
      <c r="K20" s="685"/>
      <c r="L20" s="671"/>
    </row>
    <row r="21" spans="2:14">
      <c r="B21" s="693">
        <f>+B20+1</f>
        <v>2</v>
      </c>
      <c r="C21" s="60">
        <f>+_xlfn.XLOOKUP(E21,'Transmission Substation Invests'!C:C,'Transmission Substation Invests'!B:B,"CHECK")</f>
        <v>1</v>
      </c>
      <c r="D21" s="548" t="s">
        <v>3223</v>
      </c>
      <c r="E21" s="328" t="s">
        <v>3224</v>
      </c>
      <c r="F21" s="718">
        <f>+SUMIFS('Transmission Substation Invests'!F:F,'Transmission Substation Invests'!C:C,'Tranmission Substation Detail'!E21)</f>
        <v>3779724.5658470248</v>
      </c>
      <c r="G21" s="718">
        <f t="shared" ref="G21:G52" si="0">+F21*F$157*G$169</f>
        <v>2970524.0211432055</v>
      </c>
      <c r="H21" s="718">
        <f>+SUMIFS('Transmission Substation Invests'!D:D,'Transmission Substation Invests'!C:C,'Tranmission Substation Detail'!E21)</f>
        <v>65176.495523137732</v>
      </c>
      <c r="I21" s="718">
        <f t="shared" ref="I21:I52" si="1">+H21*H$157*I$169</f>
        <v>61937.396150877255</v>
      </c>
      <c r="J21" s="718">
        <f>+SUMIFS('Transmission Substation Invests'!E:E,'Transmission Substation Invests'!C:C,'Tranmission Substation Detail'!E21)</f>
        <v>329725.31368724612</v>
      </c>
      <c r="K21" s="718">
        <f t="shared" ref="K21:K52" si="2">+J21*J$157*K$169</f>
        <v>330359.17000821</v>
      </c>
      <c r="L21" s="719">
        <f>+G21+I21+K21</f>
        <v>3362820.5873022927</v>
      </c>
      <c r="N21" s="46"/>
    </row>
    <row r="22" spans="2:14">
      <c r="B22" s="693">
        <f t="shared" ref="B22:B85" si="3">+B21+1</f>
        <v>3</v>
      </c>
      <c r="C22" s="60">
        <f>+_xlfn.XLOOKUP(E22,'Transmission Substation Invests'!C:C,'Transmission Substation Invests'!B:B,"CHECK")</f>
        <v>7</v>
      </c>
      <c r="D22" s="548" t="s">
        <v>3225</v>
      </c>
      <c r="E22" s="328" t="s">
        <v>3226</v>
      </c>
      <c r="F22" s="718">
        <f>+SUMIFS('Transmission Substation Invests'!F:F,'Transmission Substation Invests'!C:C,'Tranmission Substation Detail'!E22)</f>
        <v>5661259.1765895002</v>
      </c>
      <c r="G22" s="718">
        <f t="shared" si="0"/>
        <v>4449241.2293560589</v>
      </c>
      <c r="H22" s="718">
        <f>+SUMIFS('Transmission Substation Invests'!D:D,'Transmission Substation Invests'!C:C,'Tranmission Substation Detail'!E22)</f>
        <v>44699.6981201116</v>
      </c>
      <c r="I22" s="718">
        <f t="shared" si="1"/>
        <v>42478.241397730955</v>
      </c>
      <c r="J22" s="718">
        <f>+SUMIFS('Transmission Substation Invests'!E:E,'Transmission Substation Invests'!C:C,'Tranmission Substation Detail'!E22)</f>
        <v>1016778.3788539428</v>
      </c>
      <c r="K22" s="718">
        <f t="shared" si="2"/>
        <v>1018733.0101051766</v>
      </c>
      <c r="L22" s="719">
        <f t="shared" ref="L22:L86" si="4">+G22+I22+K22</f>
        <v>5510452.4808589667</v>
      </c>
      <c r="N22" s="46"/>
    </row>
    <row r="23" spans="2:14">
      <c r="B23" s="693">
        <f t="shared" si="3"/>
        <v>4</v>
      </c>
      <c r="C23" s="60">
        <f>+_xlfn.XLOOKUP(E23,'Transmission Substation Invests'!C:C,'Transmission Substation Invests'!B:B,"CHECK")</f>
        <v>7</v>
      </c>
      <c r="D23" s="548" t="s">
        <v>3227</v>
      </c>
      <c r="E23" s="328" t="s">
        <v>3228</v>
      </c>
      <c r="F23" s="718">
        <f>+SUMIFS('Transmission Substation Invests'!F:F,'Transmission Substation Invests'!C:C,'Tranmission Substation Detail'!E23)</f>
        <v>4459371.9747475749</v>
      </c>
      <c r="G23" s="718">
        <f t="shared" si="0"/>
        <v>3504665.8399120527</v>
      </c>
      <c r="H23" s="718">
        <f>+SUMIFS('Transmission Substation Invests'!D:D,'Transmission Substation Invests'!C:C,'Tranmission Substation Detail'!E23)</f>
        <v>62536.200363214964</v>
      </c>
      <c r="I23" s="718">
        <f t="shared" si="1"/>
        <v>59428.316674253263</v>
      </c>
      <c r="J23" s="718">
        <f>+SUMIFS('Transmission Substation Invests'!E:E,'Transmission Substation Invests'!C:C,'Tranmission Substation Detail'!E23)</f>
        <v>181849.43818007177</v>
      </c>
      <c r="K23" s="718">
        <f t="shared" si="2"/>
        <v>182199.02133632134</v>
      </c>
      <c r="L23" s="719">
        <f t="shared" si="4"/>
        <v>3746293.1779226274</v>
      </c>
      <c r="N23" s="46"/>
    </row>
    <row r="24" spans="2:14">
      <c r="B24" s="693">
        <f t="shared" si="3"/>
        <v>5</v>
      </c>
      <c r="C24" s="60">
        <f>+_xlfn.XLOOKUP(E24,'Transmission Substation Invests'!C:C,'Transmission Substation Invests'!B:B,"CHECK")</f>
        <v>1</v>
      </c>
      <c r="D24" s="548" t="s">
        <v>3229</v>
      </c>
      <c r="E24" s="328" t="s">
        <v>3230</v>
      </c>
      <c r="F24" s="718">
        <f>+SUMIFS('Transmission Substation Invests'!F:F,'Transmission Substation Invests'!C:C,'Tranmission Substation Detail'!E24)</f>
        <v>0</v>
      </c>
      <c r="G24" s="718">
        <f t="shared" si="0"/>
        <v>0</v>
      </c>
      <c r="H24" s="718">
        <f>+SUMIFS('Transmission Substation Invests'!D:D,'Transmission Substation Invests'!C:C,'Tranmission Substation Detail'!E24)</f>
        <v>0</v>
      </c>
      <c r="I24" s="718">
        <f t="shared" si="1"/>
        <v>0</v>
      </c>
      <c r="J24" s="718">
        <f>+SUMIFS('Transmission Substation Invests'!E:E,'Transmission Substation Invests'!C:C,'Tranmission Substation Detail'!E24)</f>
        <v>0</v>
      </c>
      <c r="K24" s="718">
        <f t="shared" si="2"/>
        <v>0</v>
      </c>
      <c r="L24" s="719">
        <f t="shared" si="4"/>
        <v>0</v>
      </c>
      <c r="N24" s="46"/>
    </row>
    <row r="25" spans="2:14">
      <c r="B25" s="693">
        <f t="shared" si="3"/>
        <v>6</v>
      </c>
      <c r="C25" s="60">
        <f>+_xlfn.XLOOKUP(E25,'Transmission Substation Invests'!C:C,'Transmission Substation Invests'!B:B,"CHECK")</f>
        <v>1</v>
      </c>
      <c r="D25" s="548" t="s">
        <v>3231</v>
      </c>
      <c r="E25" s="328" t="s">
        <v>3232</v>
      </c>
      <c r="F25" s="718">
        <f>+SUMIFS('Transmission Substation Invests'!F:F,'Transmission Substation Invests'!C:C,'Tranmission Substation Detail'!E25)</f>
        <v>3476601.778711318</v>
      </c>
      <c r="G25" s="718">
        <f t="shared" si="0"/>
        <v>2732296.7363620163</v>
      </c>
      <c r="H25" s="718">
        <f>+SUMIFS('Transmission Substation Invests'!D:D,'Transmission Substation Invests'!C:C,'Tranmission Substation Detail'!E25)</f>
        <v>3857.0914252940324</v>
      </c>
      <c r="I25" s="718">
        <f t="shared" si="1"/>
        <v>3665.4041872162202</v>
      </c>
      <c r="J25" s="718">
        <f>+SUMIFS('Transmission Substation Invests'!E:E,'Transmission Substation Invests'!C:C,'Tranmission Substation Detail'!E25)</f>
        <v>128761.48262554299</v>
      </c>
      <c r="K25" s="718">
        <f t="shared" si="2"/>
        <v>129009.01072323795</v>
      </c>
      <c r="L25" s="719">
        <f t="shared" si="4"/>
        <v>2864971.1512724706</v>
      </c>
      <c r="N25" s="46"/>
    </row>
    <row r="26" spans="2:14">
      <c r="B26" s="693">
        <f t="shared" si="3"/>
        <v>7</v>
      </c>
      <c r="C26" s="60">
        <f>+_xlfn.XLOOKUP(E26,'Transmission Substation Invests'!C:C,'Transmission Substation Invests'!B:B,"CHECK")</f>
        <v>1</v>
      </c>
      <c r="D26" s="548" t="s">
        <v>3233</v>
      </c>
      <c r="E26" s="328" t="s">
        <v>3234</v>
      </c>
      <c r="F26" s="718">
        <f>+SUMIFS('Transmission Substation Invests'!F:F,'Transmission Substation Invests'!C:C,'Tranmission Substation Detail'!E26)</f>
        <v>3300815.9570670505</v>
      </c>
      <c r="G26" s="718">
        <f t="shared" si="0"/>
        <v>2594144.8692950374</v>
      </c>
      <c r="H26" s="718">
        <f>+SUMIFS('Transmission Substation Invests'!D:D,'Transmission Substation Invests'!C:C,'Tranmission Substation Detail'!E26)</f>
        <v>8518.5920971514988</v>
      </c>
      <c r="I26" s="718">
        <f t="shared" si="1"/>
        <v>8095.2406098867214</v>
      </c>
      <c r="J26" s="718">
        <f>+SUMIFS('Transmission Substation Invests'!E:E,'Transmission Substation Invests'!C:C,'Tranmission Substation Detail'!E26)</f>
        <v>426712.6310735335</v>
      </c>
      <c r="K26" s="718">
        <f t="shared" si="2"/>
        <v>427532.93357144127</v>
      </c>
      <c r="L26" s="719">
        <f t="shared" si="4"/>
        <v>3029773.043476365</v>
      </c>
      <c r="N26" s="46"/>
    </row>
    <row r="27" spans="2:14">
      <c r="B27" s="693">
        <f t="shared" si="3"/>
        <v>8</v>
      </c>
      <c r="C27" s="60">
        <f>+_xlfn.XLOOKUP(E27,'Transmission Substation Invests'!C:C,'Transmission Substation Invests'!B:B,"CHECK")</f>
        <v>7</v>
      </c>
      <c r="D27" s="548" t="s">
        <v>3235</v>
      </c>
      <c r="E27" s="328" t="s">
        <v>3236</v>
      </c>
      <c r="F27" s="718">
        <f>+SUMIFS('Transmission Substation Invests'!F:F,'Transmission Substation Invests'!C:C,'Tranmission Substation Detail'!E27)</f>
        <v>24934414.951024558</v>
      </c>
      <c r="G27" s="718">
        <f t="shared" si="0"/>
        <v>19596210.590168294</v>
      </c>
      <c r="H27" s="718">
        <f>+SUMIFS('Transmission Substation Invests'!D:D,'Transmission Substation Invests'!C:C,'Tranmission Substation Detail'!E27)</f>
        <v>258374.21351706958</v>
      </c>
      <c r="I27" s="718">
        <f t="shared" si="1"/>
        <v>245533.69875643268</v>
      </c>
      <c r="J27" s="718">
        <f>+SUMIFS('Transmission Substation Invests'!E:E,'Transmission Substation Invests'!C:C,'Tranmission Substation Detail'!E27)</f>
        <v>4255982.6970715495</v>
      </c>
      <c r="K27" s="718">
        <f t="shared" si="2"/>
        <v>4264164.299825321</v>
      </c>
      <c r="L27" s="719">
        <f t="shared" si="4"/>
        <v>24105908.588750049</v>
      </c>
      <c r="N27" s="46"/>
    </row>
    <row r="28" spans="2:14">
      <c r="B28" s="693">
        <f t="shared" si="3"/>
        <v>9</v>
      </c>
      <c r="C28" s="60">
        <f>+_xlfn.XLOOKUP(E28,'Transmission Substation Invests'!C:C,'Transmission Substation Invests'!B:B,"CHECK")</f>
        <v>1</v>
      </c>
      <c r="D28" s="548" t="s">
        <v>3237</v>
      </c>
      <c r="E28" s="328" t="s">
        <v>3238</v>
      </c>
      <c r="F28" s="718">
        <f>+SUMIFS('Transmission Substation Invests'!F:F,'Transmission Substation Invests'!C:C,'Tranmission Substation Detail'!E28)</f>
        <v>356415.40884031029</v>
      </c>
      <c r="G28" s="718">
        <f t="shared" si="0"/>
        <v>280110.49879991915</v>
      </c>
      <c r="H28" s="718">
        <f>+SUMIFS('Transmission Substation Invests'!D:D,'Transmission Substation Invests'!C:C,'Tranmission Substation Detail'!E28)</f>
        <v>0</v>
      </c>
      <c r="I28" s="718">
        <f t="shared" si="1"/>
        <v>0</v>
      </c>
      <c r="J28" s="718">
        <f>+SUMIFS('Transmission Substation Invests'!E:E,'Transmission Substation Invests'!C:C,'Tranmission Substation Detail'!E28)</f>
        <v>14156.584499963816</v>
      </c>
      <c r="K28" s="718">
        <f t="shared" si="2"/>
        <v>14183.798790757008</v>
      </c>
      <c r="L28" s="719">
        <f t="shared" si="4"/>
        <v>294294.29759067617</v>
      </c>
      <c r="N28" s="46"/>
    </row>
    <row r="29" spans="2:14">
      <c r="B29" s="693">
        <f t="shared" si="3"/>
        <v>10</v>
      </c>
      <c r="C29" s="60">
        <f>+_xlfn.XLOOKUP(E29,'Transmission Substation Invests'!C:C,'Transmission Substation Invests'!B:B,"CHECK")</f>
        <v>1</v>
      </c>
      <c r="D29" s="548" t="s">
        <v>3239</v>
      </c>
      <c r="E29" s="328" t="s">
        <v>3240</v>
      </c>
      <c r="F29" s="718">
        <f>+SUMIFS('Transmission Substation Invests'!F:F,'Transmission Substation Invests'!C:C,'Tranmission Substation Detail'!E29)</f>
        <v>813559.1471832043</v>
      </c>
      <c r="G29" s="718">
        <f t="shared" si="0"/>
        <v>639384.41736346844</v>
      </c>
      <c r="H29" s="718">
        <f>+SUMIFS('Transmission Substation Invests'!D:D,'Transmission Substation Invests'!C:C,'Tranmission Substation Detail'!E29)</f>
        <v>2617.8938897653002</v>
      </c>
      <c r="I29" s="718">
        <f t="shared" si="1"/>
        <v>2487.7914903201959</v>
      </c>
      <c r="J29" s="718">
        <f>+SUMIFS('Transmission Substation Invests'!E:E,'Transmission Substation Invests'!C:C,'Tranmission Substation Detail'!E29)</f>
        <v>111300.71077735344</v>
      </c>
      <c r="K29" s="718">
        <f t="shared" si="2"/>
        <v>111514.67269087795</v>
      </c>
      <c r="L29" s="719">
        <f t="shared" si="4"/>
        <v>753386.8815446666</v>
      </c>
      <c r="N29" s="46"/>
    </row>
    <row r="30" spans="2:14">
      <c r="B30" s="693">
        <f t="shared" si="3"/>
        <v>11</v>
      </c>
      <c r="C30" s="60">
        <f>+_xlfn.XLOOKUP(E30,'Transmission Substation Invests'!C:C,'Transmission Substation Invests'!B:B,"CHECK")</f>
        <v>1</v>
      </c>
      <c r="D30" s="548" t="s">
        <v>3241</v>
      </c>
      <c r="E30" s="328" t="s">
        <v>3242</v>
      </c>
      <c r="F30" s="718">
        <f>+SUMIFS('Transmission Substation Invests'!F:F,'Transmission Substation Invests'!C:C,'Tranmission Substation Detail'!E30)</f>
        <v>101246.61343486313</v>
      </c>
      <c r="G30" s="718">
        <f t="shared" si="0"/>
        <v>79570.744383132827</v>
      </c>
      <c r="H30" s="718">
        <f>+SUMIFS('Transmission Substation Invests'!D:D,'Transmission Substation Invests'!C:C,'Tranmission Substation Detail'!E30)</f>
        <v>0</v>
      </c>
      <c r="I30" s="718">
        <f t="shared" si="1"/>
        <v>0</v>
      </c>
      <c r="J30" s="718">
        <f>+SUMIFS('Transmission Substation Invests'!E:E,'Transmission Substation Invests'!C:C,'Tranmission Substation Detail'!E30)</f>
        <v>7211.1725115977661</v>
      </c>
      <c r="K30" s="718">
        <f t="shared" si="2"/>
        <v>7225.0351029375761</v>
      </c>
      <c r="L30" s="719">
        <f t="shared" si="4"/>
        <v>86795.779486070402</v>
      </c>
      <c r="N30" s="46"/>
    </row>
    <row r="31" spans="2:14">
      <c r="B31" s="693">
        <f t="shared" si="3"/>
        <v>12</v>
      </c>
      <c r="C31" s="60">
        <f>+_xlfn.XLOOKUP(E31,'Transmission Substation Invests'!C:C,'Transmission Substation Invests'!B:B,"CHECK")</f>
        <v>1</v>
      </c>
      <c r="D31" s="548" t="s">
        <v>3243</v>
      </c>
      <c r="E31" s="328" t="s">
        <v>3244</v>
      </c>
      <c r="F31" s="718">
        <f>+SUMIFS('Transmission Substation Invests'!F:F,'Transmission Substation Invests'!C:C,'Tranmission Substation Detail'!E31)</f>
        <v>125723.05580054897</v>
      </c>
      <c r="G31" s="718">
        <f t="shared" si="0"/>
        <v>98807.029655444305</v>
      </c>
      <c r="H31" s="718">
        <f>+SUMIFS('Transmission Substation Invests'!D:D,'Transmission Substation Invests'!C:C,'Tranmission Substation Detail'!E31)</f>
        <v>0</v>
      </c>
      <c r="I31" s="718">
        <f t="shared" si="1"/>
        <v>0</v>
      </c>
      <c r="J31" s="718">
        <f>+SUMIFS('Transmission Substation Invests'!E:E,'Transmission Substation Invests'!C:C,'Tranmission Substation Detail'!E31)</f>
        <v>1408.2253012623144</v>
      </c>
      <c r="K31" s="718">
        <f t="shared" si="2"/>
        <v>1410.932441028335</v>
      </c>
      <c r="L31" s="719">
        <f t="shared" si="4"/>
        <v>100217.96209647263</v>
      </c>
      <c r="N31" s="46"/>
    </row>
    <row r="32" spans="2:14">
      <c r="B32" s="693">
        <f t="shared" si="3"/>
        <v>13</v>
      </c>
      <c r="C32" s="60">
        <f>+_xlfn.XLOOKUP(E32,'Transmission Substation Invests'!C:C,'Transmission Substation Invests'!B:B,"CHECK")</f>
        <v>7</v>
      </c>
      <c r="D32" s="548" t="s">
        <v>3245</v>
      </c>
      <c r="E32" s="328" t="s">
        <v>3246</v>
      </c>
      <c r="F32" s="718">
        <f>+SUMIFS('Transmission Substation Invests'!F:F,'Transmission Substation Invests'!C:C,'Tranmission Substation Detail'!E32)</f>
        <v>9246412.4192861188</v>
      </c>
      <c r="G32" s="718">
        <f t="shared" si="0"/>
        <v>7266849.6665261835</v>
      </c>
      <c r="H32" s="718">
        <f>+SUMIFS('Transmission Substation Invests'!D:D,'Transmission Substation Invests'!C:C,'Tranmission Substation Detail'!E32)</f>
        <v>162022.27761161205</v>
      </c>
      <c r="I32" s="718">
        <f t="shared" si="1"/>
        <v>153970.19912086721</v>
      </c>
      <c r="J32" s="718">
        <f>+SUMIFS('Transmission Substation Invests'!E:E,'Transmission Substation Invests'!C:C,'Tranmission Substation Detail'!E32)</f>
        <v>1686369.6539328974</v>
      </c>
      <c r="K32" s="718">
        <f t="shared" si="2"/>
        <v>1689611.4919727906</v>
      </c>
      <c r="L32" s="719">
        <f t="shared" si="4"/>
        <v>9110431.3576198407</v>
      </c>
      <c r="N32" s="46"/>
    </row>
    <row r="33" spans="2:14">
      <c r="B33" s="693">
        <f t="shared" si="3"/>
        <v>14</v>
      </c>
      <c r="C33" s="60">
        <f>+_xlfn.XLOOKUP(E33,'Transmission Substation Invests'!C:C,'Transmission Substation Invests'!B:B,"CHECK")</f>
        <v>7</v>
      </c>
      <c r="D33" s="548" t="s">
        <v>3247</v>
      </c>
      <c r="E33" s="328" t="s">
        <v>3248</v>
      </c>
      <c r="F33" s="718">
        <f>+SUMIFS('Transmission Substation Invests'!F:F,'Transmission Substation Invests'!C:C,'Tranmission Substation Detail'!E33)</f>
        <v>5385968.9493848886</v>
      </c>
      <c r="G33" s="718">
        <f t="shared" si="0"/>
        <v>4232887.8368135495</v>
      </c>
      <c r="H33" s="718">
        <f>+SUMIFS('Transmission Substation Invests'!D:D,'Transmission Substation Invests'!C:C,'Tranmission Substation Detail'!E33)</f>
        <v>491245.59919942048</v>
      </c>
      <c r="I33" s="718">
        <f t="shared" si="1"/>
        <v>466831.99274174147</v>
      </c>
      <c r="J33" s="718">
        <f>+SUMIFS('Transmission Substation Invests'!E:E,'Transmission Substation Invests'!C:C,'Tranmission Substation Detail'!E33)</f>
        <v>434374.88370693836</v>
      </c>
      <c r="K33" s="718">
        <f t="shared" si="2"/>
        <v>435209.91594218474</v>
      </c>
      <c r="L33" s="719">
        <f t="shared" si="4"/>
        <v>5134929.7454974754</v>
      </c>
      <c r="N33" s="46"/>
    </row>
    <row r="34" spans="2:14">
      <c r="B34" s="693">
        <f t="shared" si="3"/>
        <v>15</v>
      </c>
      <c r="C34" s="60">
        <f>+_xlfn.XLOOKUP(E34,'Transmission Substation Invests'!C:C,'Transmission Substation Invests'!B:B,"CHECK")</f>
        <v>7</v>
      </c>
      <c r="D34" s="548" t="s">
        <v>3249</v>
      </c>
      <c r="E34" s="328" t="s">
        <v>3250</v>
      </c>
      <c r="F34" s="718">
        <f>+SUMIFS('Transmission Substation Invests'!F:F,'Transmission Substation Invests'!C:C,'Tranmission Substation Detail'!E34)</f>
        <v>10549905.67312498</v>
      </c>
      <c r="G34" s="718">
        <f t="shared" si="0"/>
        <v>8291278.2867790293</v>
      </c>
      <c r="H34" s="718">
        <f>+SUMIFS('Transmission Substation Invests'!D:D,'Transmission Substation Invests'!C:C,'Tranmission Substation Detail'!E34)</f>
        <v>111976.82184028777</v>
      </c>
      <c r="I34" s="718">
        <f t="shared" si="1"/>
        <v>106411.87008245908</v>
      </c>
      <c r="J34" s="718">
        <f>+SUMIFS('Transmission Substation Invests'!E:E,'Transmission Substation Invests'!C:C,'Tranmission Substation Detail'!E34)</f>
        <v>1092714.6117295309</v>
      </c>
      <c r="K34" s="718">
        <f t="shared" si="2"/>
        <v>1094815.221039471</v>
      </c>
      <c r="L34" s="719">
        <f t="shared" si="4"/>
        <v>9492505.3779009581</v>
      </c>
      <c r="N34" s="46"/>
    </row>
    <row r="35" spans="2:14">
      <c r="B35" s="693">
        <f t="shared" si="3"/>
        <v>16</v>
      </c>
      <c r="C35" s="60">
        <f>+_xlfn.XLOOKUP(E35,'Transmission Substation Invests'!C:C,'Transmission Substation Invests'!B:B,"CHECK")</f>
        <v>7</v>
      </c>
      <c r="D35" s="548" t="s">
        <v>3251</v>
      </c>
      <c r="E35" s="328" t="s">
        <v>3252</v>
      </c>
      <c r="F35" s="718">
        <f>+SUMIFS('Transmission Substation Invests'!F:F,'Transmission Substation Invests'!C:C,'Tranmission Substation Detail'!E35)</f>
        <v>5249026.9301936608</v>
      </c>
      <c r="G35" s="718">
        <f t="shared" si="0"/>
        <v>4125263.7095988095</v>
      </c>
      <c r="H35" s="718">
        <f>+SUMIFS('Transmission Substation Invests'!D:D,'Transmission Substation Invests'!C:C,'Tranmission Substation Detail'!E35)</f>
        <v>3131.0866242817187</v>
      </c>
      <c r="I35" s="718">
        <f t="shared" si="1"/>
        <v>2975.4799038252054</v>
      </c>
      <c r="J35" s="718">
        <f>+SUMIFS('Transmission Substation Invests'!E:E,'Transmission Substation Invests'!C:C,'Tranmission Substation Detail'!E35)</f>
        <v>424352.35179057904</v>
      </c>
      <c r="K35" s="718">
        <f t="shared" si="2"/>
        <v>425168.11694215448</v>
      </c>
      <c r="L35" s="719">
        <f t="shared" si="4"/>
        <v>4553407.3064447893</v>
      </c>
      <c r="N35" s="46"/>
    </row>
    <row r="36" spans="2:14">
      <c r="B36" s="693">
        <f t="shared" si="3"/>
        <v>17</v>
      </c>
      <c r="C36" s="60">
        <f>+_xlfn.XLOOKUP(E36,'Transmission Substation Invests'!C:C,'Transmission Substation Invests'!B:B,"CHECK")</f>
        <v>7</v>
      </c>
      <c r="D36" s="548" t="s">
        <v>3253</v>
      </c>
      <c r="E36" s="328" t="s">
        <v>3254</v>
      </c>
      <c r="F36" s="718">
        <f>+SUMIFS('Transmission Substation Invests'!F:F,'Transmission Substation Invests'!C:C,'Tranmission Substation Detail'!E36)</f>
        <v>7408552.1394342752</v>
      </c>
      <c r="G36" s="718">
        <f t="shared" si="0"/>
        <v>5822456.559648715</v>
      </c>
      <c r="H36" s="718">
        <f>+SUMIFS('Transmission Substation Invests'!D:D,'Transmission Substation Invests'!C:C,'Tranmission Substation Detail'!E36)</f>
        <v>17348.765497402252</v>
      </c>
      <c r="I36" s="718">
        <f t="shared" si="1"/>
        <v>16486.577756544342</v>
      </c>
      <c r="J36" s="718">
        <f>+SUMIFS('Transmission Substation Invests'!E:E,'Transmission Substation Invests'!C:C,'Tranmission Substation Detail'!E36)</f>
        <v>138030.5172729695</v>
      </c>
      <c r="K36" s="718">
        <f t="shared" si="2"/>
        <v>138295.8639486038</v>
      </c>
      <c r="L36" s="719">
        <f t="shared" si="4"/>
        <v>5977239.0013538636</v>
      </c>
      <c r="N36" s="46"/>
    </row>
    <row r="37" spans="2:14">
      <c r="B37" s="693">
        <f t="shared" si="3"/>
        <v>18</v>
      </c>
      <c r="C37" s="60">
        <f>+_xlfn.XLOOKUP(E37,'Transmission Substation Invests'!C:C,'Transmission Substation Invests'!B:B,"CHECK")</f>
        <v>7</v>
      </c>
      <c r="D37" s="548" t="s">
        <v>3255</v>
      </c>
      <c r="E37" s="328" t="s">
        <v>3256</v>
      </c>
      <c r="F37" s="718">
        <f>+SUMIFS('Transmission Substation Invests'!F:F,'Transmission Substation Invests'!C:C,'Tranmission Substation Detail'!E37)</f>
        <v>6265840.9474319452</v>
      </c>
      <c r="G37" s="718">
        <f t="shared" si="0"/>
        <v>4924388.1988629019</v>
      </c>
      <c r="H37" s="718">
        <f>+SUMIFS('Transmission Substation Invests'!D:D,'Transmission Substation Invests'!C:C,'Tranmission Substation Detail'!E37)</f>
        <v>73359.068567927286</v>
      </c>
      <c r="I37" s="718">
        <f t="shared" si="1"/>
        <v>69713.31696620713</v>
      </c>
      <c r="J37" s="718">
        <f>+SUMIFS('Transmission Substation Invests'!E:E,'Transmission Substation Invests'!C:C,'Tranmission Substation Detail'!E37)</f>
        <v>485496.61868537345</v>
      </c>
      <c r="K37" s="718">
        <f t="shared" si="2"/>
        <v>486429.92616219097</v>
      </c>
      <c r="L37" s="719">
        <f t="shared" si="4"/>
        <v>5480531.4419912994</v>
      </c>
      <c r="N37" s="46"/>
    </row>
    <row r="38" spans="2:14">
      <c r="B38" s="693">
        <f t="shared" si="3"/>
        <v>19</v>
      </c>
      <c r="C38" s="60">
        <f>+_xlfn.XLOOKUP(E38,'Transmission Substation Invests'!C:C,'Transmission Substation Invests'!B:B,"CHECK")</f>
        <v>7</v>
      </c>
      <c r="D38" s="548" t="s">
        <v>3257</v>
      </c>
      <c r="E38" s="328" t="s">
        <v>3258</v>
      </c>
      <c r="F38" s="718">
        <f>+SUMIFS('Transmission Substation Invests'!F:F,'Transmission Substation Invests'!C:C,'Tranmission Substation Detail'!E38)</f>
        <v>8748368.0345939081</v>
      </c>
      <c r="G38" s="718">
        <f t="shared" si="0"/>
        <v>6875431.5135496957</v>
      </c>
      <c r="H38" s="718">
        <f>+SUMIFS('Transmission Substation Invests'!D:D,'Transmission Substation Invests'!C:C,'Tranmission Substation Detail'!E38)</f>
        <v>7450.4588064615718</v>
      </c>
      <c r="I38" s="718">
        <f t="shared" si="1"/>
        <v>7080.1907174923663</v>
      </c>
      <c r="J38" s="718">
        <f>+SUMIFS('Transmission Substation Invests'!E:E,'Transmission Substation Invests'!C:C,'Tranmission Substation Detail'!E38)</f>
        <v>566610.59968599328</v>
      </c>
      <c r="K38" s="718">
        <f t="shared" si="2"/>
        <v>567699.8388048216</v>
      </c>
      <c r="L38" s="719">
        <f t="shared" si="4"/>
        <v>7450211.5430720095</v>
      </c>
      <c r="N38" s="46"/>
    </row>
    <row r="39" spans="2:14">
      <c r="B39" s="693">
        <f t="shared" si="3"/>
        <v>20</v>
      </c>
      <c r="C39" s="60">
        <f>+_xlfn.XLOOKUP(E39,'Transmission Substation Invests'!C:C,'Transmission Substation Invests'!B:B,"CHECK")</f>
        <v>7</v>
      </c>
      <c r="D39" s="548" t="s">
        <v>3259</v>
      </c>
      <c r="E39" s="328" t="s">
        <v>3260</v>
      </c>
      <c r="F39" s="718">
        <f>+SUMIFS('Transmission Substation Invests'!F:F,'Transmission Substation Invests'!C:C,'Tranmission Substation Detail'!E39)</f>
        <v>8141676.4713984514</v>
      </c>
      <c r="G39" s="718">
        <f t="shared" si="0"/>
        <v>6398626.4367508888</v>
      </c>
      <c r="H39" s="718">
        <f>+SUMIFS('Transmission Substation Invests'!D:D,'Transmission Substation Invests'!C:C,'Tranmission Substation Detail'!E39)</f>
        <v>24465.241730607107</v>
      </c>
      <c r="I39" s="718">
        <f t="shared" si="1"/>
        <v>23249.383950962019</v>
      </c>
      <c r="J39" s="718">
        <f>+SUMIFS('Transmission Substation Invests'!E:E,'Transmission Substation Invests'!C:C,'Tranmission Substation Detail'!E39)</f>
        <v>794519.08578891365</v>
      </c>
      <c r="K39" s="718">
        <f t="shared" si="2"/>
        <v>796046.45091299817</v>
      </c>
      <c r="L39" s="719">
        <f t="shared" si="4"/>
        <v>7217922.2716148486</v>
      </c>
      <c r="N39" s="46"/>
    </row>
    <row r="40" spans="2:14">
      <c r="B40" s="693">
        <f t="shared" si="3"/>
        <v>21</v>
      </c>
      <c r="C40" s="60">
        <f>+_xlfn.XLOOKUP(E40,'Transmission Substation Invests'!C:C,'Transmission Substation Invests'!B:B,"CHECK")</f>
        <v>7</v>
      </c>
      <c r="D40" s="548" t="s">
        <v>8320</v>
      </c>
      <c r="E40" t="s">
        <v>8273</v>
      </c>
      <c r="F40" s="718">
        <f>+SUMIFS('Transmission Substation Invests'!F:F,'Transmission Substation Invests'!C:C,'Tranmission Substation Detail'!E40)</f>
        <v>0</v>
      </c>
      <c r="G40" s="718">
        <f t="shared" si="0"/>
        <v>0</v>
      </c>
      <c r="H40" s="718">
        <f>+SUMIFS('Transmission Substation Invests'!D:D,'Transmission Substation Invests'!C:C,'Tranmission Substation Detail'!E40)</f>
        <v>327344.66961323941</v>
      </c>
      <c r="I40" s="718">
        <f t="shared" si="1"/>
        <v>311076.50567857915</v>
      </c>
      <c r="J40" s="718">
        <f>+SUMIFS('Transmission Substation Invests'!E:E,'Transmission Substation Invests'!C:C,'Tranmission Substation Detail'!E40)</f>
        <v>0</v>
      </c>
      <c r="K40" s="718">
        <f t="shared" si="2"/>
        <v>0</v>
      </c>
      <c r="L40" s="719">
        <f>+G40+I40+K40</f>
        <v>311076.50567857915</v>
      </c>
      <c r="N40" s="46"/>
    </row>
    <row r="41" spans="2:14">
      <c r="B41" s="693">
        <f t="shared" si="3"/>
        <v>22</v>
      </c>
      <c r="C41" s="60">
        <f>+_xlfn.XLOOKUP(E41,'Transmission Substation Invests'!C:C,'Transmission Substation Invests'!B:B,"CHECK")</f>
        <v>7</v>
      </c>
      <c r="D41" s="548" t="s">
        <v>3261</v>
      </c>
      <c r="E41" s="328" t="s">
        <v>3262</v>
      </c>
      <c r="F41" s="718">
        <f>+SUMIFS('Transmission Substation Invests'!F:F,'Transmission Substation Invests'!C:C,'Tranmission Substation Detail'!E41)</f>
        <v>7593096.857710111</v>
      </c>
      <c r="G41" s="718">
        <f t="shared" si="0"/>
        <v>5967492.132760806</v>
      </c>
      <c r="H41" s="718">
        <f>+SUMIFS('Transmission Substation Invests'!D:D,'Transmission Substation Invests'!C:C,'Tranmission Substation Detail'!E41)</f>
        <v>12301.352035104859</v>
      </c>
      <c r="I41" s="718">
        <f t="shared" si="1"/>
        <v>11690.007388004002</v>
      </c>
      <c r="J41" s="718">
        <f>+SUMIFS('Transmission Substation Invests'!E:E,'Transmission Substation Invests'!C:C,'Tranmission Substation Detail'!E41)</f>
        <v>353560.26513478643</v>
      </c>
      <c r="K41" s="718">
        <f t="shared" si="2"/>
        <v>354239.94121543429</v>
      </c>
      <c r="L41" s="719">
        <f t="shared" si="4"/>
        <v>6333422.0813642442</v>
      </c>
      <c r="N41" s="46"/>
    </row>
    <row r="42" spans="2:14">
      <c r="B42" s="693">
        <f t="shared" si="3"/>
        <v>23</v>
      </c>
      <c r="C42" s="60">
        <f>+_xlfn.XLOOKUP(E42,'Transmission Substation Invests'!C:C,'Transmission Substation Invests'!B:B,"CHECK")</f>
        <v>1</v>
      </c>
      <c r="D42" s="548" t="s">
        <v>3263</v>
      </c>
      <c r="E42" s="328" t="s">
        <v>3264</v>
      </c>
      <c r="F42" s="718">
        <f>+SUMIFS('Transmission Substation Invests'!F:F,'Transmission Substation Invests'!C:C,'Tranmission Substation Detail'!E42)</f>
        <v>1969430.0671634909</v>
      </c>
      <c r="G42" s="718">
        <f t="shared" si="0"/>
        <v>1547795.1423584234</v>
      </c>
      <c r="H42" s="718">
        <f>+SUMIFS('Transmission Substation Invests'!D:D,'Transmission Substation Invests'!C:C,'Tranmission Substation Detail'!E42)</f>
        <v>3438.5949691705246</v>
      </c>
      <c r="I42" s="718">
        <f t="shared" si="1"/>
        <v>3267.705897631778</v>
      </c>
      <c r="J42" s="718">
        <f>+SUMIFS('Transmission Substation Invests'!E:E,'Transmission Substation Invests'!C:C,'Tranmission Substation Detail'!E42)</f>
        <v>174658.63045952623</v>
      </c>
      <c r="K42" s="718">
        <f t="shared" si="2"/>
        <v>174994.39017323955</v>
      </c>
      <c r="L42" s="719">
        <f t="shared" si="4"/>
        <v>1726057.2384292949</v>
      </c>
      <c r="N42" s="46"/>
    </row>
    <row r="43" spans="2:14">
      <c r="B43" s="693">
        <f t="shared" si="3"/>
        <v>24</v>
      </c>
      <c r="C43" s="60">
        <f>+_xlfn.XLOOKUP(E43,'Transmission Substation Invests'!C:C,'Transmission Substation Invests'!B:B,"CHECK")</f>
        <v>7</v>
      </c>
      <c r="D43" s="548" t="s">
        <v>3265</v>
      </c>
      <c r="E43" s="328" t="s">
        <v>3266</v>
      </c>
      <c r="F43" s="718">
        <f>+SUMIFS('Transmission Substation Invests'!F:F,'Transmission Substation Invests'!C:C,'Tranmission Substation Detail'!E43)</f>
        <v>23431390.529174518</v>
      </c>
      <c r="G43" s="718">
        <f t="shared" si="0"/>
        <v>18414968.393365555</v>
      </c>
      <c r="H43" s="718">
        <f>+SUMIFS('Transmission Substation Invests'!D:D,'Transmission Substation Invests'!C:C,'Tranmission Substation Detail'!E43)</f>
        <v>19442.266017572401</v>
      </c>
      <c r="I43" s="718">
        <f t="shared" si="1"/>
        <v>18476.036840207631</v>
      </c>
      <c r="J43" s="718">
        <f>+SUMIFS('Transmission Substation Invests'!E:E,'Transmission Substation Invests'!C:C,'Tranmission Substation Detail'!E43)</f>
        <v>5998807.6247594636</v>
      </c>
      <c r="K43" s="718">
        <f t="shared" si="2"/>
        <v>6010339.5938663501</v>
      </c>
      <c r="L43" s="719">
        <f t="shared" si="4"/>
        <v>24443784.024072111</v>
      </c>
      <c r="N43" s="46"/>
    </row>
    <row r="44" spans="2:14">
      <c r="B44" s="693">
        <f t="shared" si="3"/>
        <v>25</v>
      </c>
      <c r="C44" s="60">
        <f>+_xlfn.XLOOKUP(E44,'Transmission Substation Invests'!C:C,'Transmission Substation Invests'!B:B,"CHECK")</f>
        <v>7</v>
      </c>
      <c r="D44" s="548" t="s">
        <v>3267</v>
      </c>
      <c r="E44" s="328" t="s">
        <v>3268</v>
      </c>
      <c r="F44" s="718">
        <f>+SUMIFS('Transmission Substation Invests'!F:F,'Transmission Substation Invests'!C:C,'Tranmission Substation Detail'!E44)</f>
        <v>11360914.130228892</v>
      </c>
      <c r="G44" s="718">
        <f t="shared" si="0"/>
        <v>8928658.0908382647</v>
      </c>
      <c r="H44" s="718">
        <f>+SUMIFS('Transmission Substation Invests'!D:D,'Transmission Substation Invests'!C:C,'Tranmission Substation Detail'!E44)</f>
        <v>22492.911717197778</v>
      </c>
      <c r="I44" s="718">
        <f t="shared" si="1"/>
        <v>21375.073520487411</v>
      </c>
      <c r="J44" s="718">
        <f>+SUMIFS('Transmission Substation Invests'!E:E,'Transmission Substation Invests'!C:C,'Tranmission Substation Detail'!E44)</f>
        <v>961590.8133419283</v>
      </c>
      <c r="K44" s="718">
        <f t="shared" si="2"/>
        <v>963439.35329296067</v>
      </c>
      <c r="L44" s="719">
        <f t="shared" si="4"/>
        <v>9913472.5176517125</v>
      </c>
      <c r="N44" s="46"/>
    </row>
    <row r="45" spans="2:14">
      <c r="B45" s="693">
        <f t="shared" si="3"/>
        <v>26</v>
      </c>
      <c r="C45" s="60">
        <f>+_xlfn.XLOOKUP(E45,'Transmission Substation Invests'!C:C,'Transmission Substation Invests'!B:B,"CHECK")</f>
        <v>7</v>
      </c>
      <c r="D45" s="548" t="s">
        <v>3269</v>
      </c>
      <c r="E45" s="328" t="s">
        <v>3270</v>
      </c>
      <c r="F45" s="718">
        <f>+SUMIFS('Transmission Substation Invests'!F:F,'Transmission Substation Invests'!C:C,'Tranmission Substation Detail'!E45)</f>
        <v>9154599.7953062057</v>
      </c>
      <c r="G45" s="718">
        <f t="shared" si="0"/>
        <v>7194693.1905117985</v>
      </c>
      <c r="H45" s="718">
        <f>+SUMIFS('Transmission Substation Invests'!D:D,'Transmission Substation Invests'!C:C,'Tranmission Substation Detail'!E45)</f>
        <v>62936.36850739146</v>
      </c>
      <c r="I45" s="718">
        <f t="shared" si="1"/>
        <v>59808.597520498246</v>
      </c>
      <c r="J45" s="718">
        <f>+SUMIFS('Transmission Substation Invests'!E:E,'Transmission Substation Invests'!C:C,'Tranmission Substation Detail'!E45)</f>
        <v>286632.39758115617</v>
      </c>
      <c r="K45" s="718">
        <f t="shared" si="2"/>
        <v>287183.41307635157</v>
      </c>
      <c r="L45" s="719">
        <f t="shared" si="4"/>
        <v>7541685.2011086484</v>
      </c>
      <c r="N45" s="46"/>
    </row>
    <row r="46" spans="2:14">
      <c r="B46" s="693">
        <f t="shared" si="3"/>
        <v>27</v>
      </c>
      <c r="C46" s="60">
        <f>+_xlfn.XLOOKUP(E46,'Transmission Substation Invests'!C:C,'Transmission Substation Invests'!B:B,"CHECK")</f>
        <v>7</v>
      </c>
      <c r="D46" s="548" t="s">
        <v>3271</v>
      </c>
      <c r="E46" s="328" t="s">
        <v>3272</v>
      </c>
      <c r="F46" s="718">
        <f>+SUMIFS('Transmission Substation Invests'!F:F,'Transmission Substation Invests'!C:C,'Tranmission Substation Detail'!E46)</f>
        <v>14008137.392067626</v>
      </c>
      <c r="G46" s="718">
        <f t="shared" si="0"/>
        <v>11009137.806126412</v>
      </c>
      <c r="H46" s="718">
        <f>+SUMIFS('Transmission Substation Invests'!D:D,'Transmission Substation Invests'!C:C,'Tranmission Substation Detail'!E46)</f>
        <v>17338.583101876131</v>
      </c>
      <c r="I46" s="718">
        <f t="shared" si="1"/>
        <v>16476.901399133527</v>
      </c>
      <c r="J46" s="718">
        <f>+SUMIFS('Transmission Substation Invests'!E:E,'Transmission Substation Invests'!C:C,'Tranmission Substation Detail'!E46)</f>
        <v>3067825.4373570438</v>
      </c>
      <c r="K46" s="718">
        <f t="shared" si="2"/>
        <v>3073722.9540606807</v>
      </c>
      <c r="L46" s="719">
        <f t="shared" si="4"/>
        <v>14099337.661586227</v>
      </c>
      <c r="N46" s="46"/>
    </row>
    <row r="47" spans="2:14">
      <c r="B47" s="693">
        <f t="shared" si="3"/>
        <v>28</v>
      </c>
      <c r="C47" s="60">
        <f>+_xlfn.XLOOKUP(E47,'Transmission Substation Invests'!C:C,'Transmission Substation Invests'!B:B,"CHECK")</f>
        <v>1</v>
      </c>
      <c r="D47" s="548" t="s">
        <v>3273</v>
      </c>
      <c r="E47" s="328" t="s">
        <v>3274</v>
      </c>
      <c r="F47" s="718">
        <f>+SUMIFS('Transmission Substation Invests'!F:F,'Transmission Substation Invests'!C:C,'Tranmission Substation Detail'!E47)</f>
        <v>113278.13198852583</v>
      </c>
      <c r="G47" s="718">
        <f t="shared" si="0"/>
        <v>89026.437318386685</v>
      </c>
      <c r="H47" s="718">
        <f>+SUMIFS('Transmission Substation Invests'!D:D,'Transmission Substation Invests'!C:C,'Tranmission Substation Detail'!E47)</f>
        <v>0</v>
      </c>
      <c r="I47" s="718">
        <f t="shared" si="1"/>
        <v>0</v>
      </c>
      <c r="J47" s="718">
        <f>+SUMIFS('Transmission Substation Invests'!E:E,'Transmission Substation Invests'!C:C,'Tranmission Substation Detail'!E47)</f>
        <v>2583.2737449764941</v>
      </c>
      <c r="K47" s="718">
        <f t="shared" si="2"/>
        <v>2588.2397707077985</v>
      </c>
      <c r="L47" s="719">
        <f t="shared" si="4"/>
        <v>91614.67708909449</v>
      </c>
      <c r="N47" s="46"/>
    </row>
    <row r="48" spans="2:14">
      <c r="B48" s="693">
        <f t="shared" si="3"/>
        <v>29</v>
      </c>
      <c r="C48" s="60">
        <f>+_xlfn.XLOOKUP(E48,'Transmission Substation Invests'!C:C,'Transmission Substation Invests'!B:B,"CHECK")</f>
        <v>1</v>
      </c>
      <c r="D48" s="548" t="s">
        <v>3275</v>
      </c>
      <c r="E48" s="328" t="s">
        <v>3276</v>
      </c>
      <c r="F48" s="718">
        <f>+SUMIFS('Transmission Substation Invests'!F:F,'Transmission Substation Invests'!C:C,'Tranmission Substation Detail'!E48)</f>
        <v>118570.94118300269</v>
      </c>
      <c r="G48" s="718">
        <f t="shared" si="0"/>
        <v>93186.109955273074</v>
      </c>
      <c r="H48" s="718">
        <f>+SUMIFS('Transmission Substation Invests'!D:D,'Transmission Substation Invests'!C:C,'Tranmission Substation Detail'!E48)</f>
        <v>0</v>
      </c>
      <c r="I48" s="718">
        <f t="shared" si="1"/>
        <v>0</v>
      </c>
      <c r="J48" s="718">
        <f>+SUMIFS('Transmission Substation Invests'!E:E,'Transmission Substation Invests'!C:C,'Tranmission Substation Detail'!E48)</f>
        <v>22100.889489442179</v>
      </c>
      <c r="K48" s="718">
        <f t="shared" si="2"/>
        <v>22143.375728503263</v>
      </c>
      <c r="L48" s="719">
        <f t="shared" si="4"/>
        <v>115329.48568377634</v>
      </c>
      <c r="N48" s="46"/>
    </row>
    <row r="49" spans="2:14">
      <c r="B49" s="693">
        <f t="shared" si="3"/>
        <v>30</v>
      </c>
      <c r="C49" s="60">
        <f>+_xlfn.XLOOKUP(E49,'Transmission Substation Invests'!C:C,'Transmission Substation Invests'!B:B,"CHECK")</f>
        <v>7</v>
      </c>
      <c r="D49" s="548" t="s">
        <v>3277</v>
      </c>
      <c r="E49" s="328" t="s">
        <v>3278</v>
      </c>
      <c r="F49" s="718">
        <f>+SUMIFS('Transmission Substation Invests'!F:F,'Transmission Substation Invests'!C:C,'Tranmission Substation Detail'!E49)</f>
        <v>8930499.525130054</v>
      </c>
      <c r="G49" s="718">
        <f t="shared" si="0"/>
        <v>7018570.5064098788</v>
      </c>
      <c r="H49" s="718">
        <f>+SUMIFS('Transmission Substation Invests'!D:D,'Transmission Substation Invests'!C:C,'Tranmission Substation Detail'!E49)</f>
        <v>445968.5592529779</v>
      </c>
      <c r="I49" s="718">
        <f t="shared" si="1"/>
        <v>423805.10187881737</v>
      </c>
      <c r="J49" s="718">
        <f>+SUMIFS('Transmission Substation Invests'!E:E,'Transmission Substation Invests'!C:C,'Tranmission Substation Detail'!E49)</f>
        <v>778076.55349333596</v>
      </c>
      <c r="K49" s="718">
        <f t="shared" si="2"/>
        <v>779572.30987342796</v>
      </c>
      <c r="L49" s="719">
        <f t="shared" si="4"/>
        <v>8221947.9181621242</v>
      </c>
      <c r="N49" s="46"/>
    </row>
    <row r="50" spans="2:14">
      <c r="B50" s="693">
        <f t="shared" si="3"/>
        <v>31</v>
      </c>
      <c r="C50" s="60">
        <f>+_xlfn.XLOOKUP(E50,'Transmission Substation Invests'!C:C,'Transmission Substation Invests'!B:B,"CHECK")</f>
        <v>1</v>
      </c>
      <c r="D50" s="548" t="s">
        <v>3279</v>
      </c>
      <c r="E50" t="s">
        <v>8274</v>
      </c>
      <c r="F50" s="718">
        <f>+SUMIFS('Transmission Substation Invests'!F:F,'Transmission Substation Invests'!C:C,'Tranmission Substation Detail'!E50)</f>
        <v>60031.331063789592</v>
      </c>
      <c r="G50" s="718">
        <f t="shared" si="0"/>
        <v>47179.234317097733</v>
      </c>
      <c r="H50" s="718">
        <f>+SUMIFS('Transmission Substation Invests'!D:D,'Transmission Substation Invests'!C:C,'Tranmission Substation Detail'!E50)</f>
        <v>0</v>
      </c>
      <c r="I50" s="718">
        <f t="shared" si="1"/>
        <v>0</v>
      </c>
      <c r="J50" s="718">
        <f>+SUMIFS('Transmission Substation Invests'!E:E,'Transmission Substation Invests'!C:C,'Tranmission Substation Detail'!E50)</f>
        <v>0</v>
      </c>
      <c r="K50" s="718">
        <f t="shared" si="2"/>
        <v>0</v>
      </c>
      <c r="L50" s="719">
        <f>+G50+I50+K50</f>
        <v>47179.234317097733</v>
      </c>
      <c r="N50" s="46"/>
    </row>
    <row r="51" spans="2:14">
      <c r="B51" s="693">
        <f t="shared" si="3"/>
        <v>32</v>
      </c>
      <c r="C51" s="60">
        <f>+_xlfn.XLOOKUP(E51,'Transmission Substation Invests'!C:C,'Transmission Substation Invests'!B:B,"CHECK")</f>
        <v>1</v>
      </c>
      <c r="D51" s="548" t="s">
        <v>3280</v>
      </c>
      <c r="E51" s="328" t="s">
        <v>3281</v>
      </c>
      <c r="F51" s="718">
        <f>+SUMIFS('Transmission Substation Invests'!F:F,'Transmission Substation Invests'!C:C,'Tranmission Substation Detail'!E51)</f>
        <v>544697.06627423177</v>
      </c>
      <c r="G51" s="718">
        <f t="shared" si="0"/>
        <v>428082.97044555709</v>
      </c>
      <c r="H51" s="718">
        <f>+SUMIFS('Transmission Substation Invests'!D:D,'Transmission Substation Invests'!C:C,'Tranmission Substation Detail'!E51)</f>
        <v>0</v>
      </c>
      <c r="I51" s="718">
        <f t="shared" si="1"/>
        <v>0</v>
      </c>
      <c r="J51" s="718">
        <f>+SUMIFS('Transmission Substation Invests'!E:E,'Transmission Substation Invests'!C:C,'Tranmission Substation Detail'!E51)</f>
        <v>130777.59693971464</v>
      </c>
      <c r="K51" s="718">
        <f t="shared" si="2"/>
        <v>131029.00076896182</v>
      </c>
      <c r="L51" s="719">
        <f t="shared" si="4"/>
        <v>559111.97121451888</v>
      </c>
      <c r="N51" s="46"/>
    </row>
    <row r="52" spans="2:14">
      <c r="B52" s="693">
        <f t="shared" si="3"/>
        <v>33</v>
      </c>
      <c r="C52" s="60">
        <f>+_xlfn.XLOOKUP(E52,'Transmission Substation Invests'!C:C,'Transmission Substation Invests'!B:B,"CHECK")</f>
        <v>7</v>
      </c>
      <c r="D52" s="548" t="s">
        <v>3282</v>
      </c>
      <c r="E52" s="328" t="s">
        <v>3283</v>
      </c>
      <c r="F52" s="718">
        <f>+SUMIFS('Transmission Substation Invests'!F:F,'Transmission Substation Invests'!C:C,'Tranmission Substation Detail'!E52)</f>
        <v>21294701.378380332</v>
      </c>
      <c r="G52" s="718">
        <f t="shared" si="0"/>
        <v>16735722.634163562</v>
      </c>
      <c r="H52" s="718">
        <f>+SUMIFS('Transmission Substation Invests'!D:D,'Transmission Substation Invests'!C:C,'Tranmission Substation Detail'!E52)</f>
        <v>37208.50973154555</v>
      </c>
      <c r="I52" s="718">
        <f t="shared" si="1"/>
        <v>35359.345250595332</v>
      </c>
      <c r="J52" s="718">
        <f>+SUMIFS('Transmission Substation Invests'!E:E,'Transmission Substation Invests'!C:C,'Tranmission Substation Detail'!E52)</f>
        <v>389629.36480695923</v>
      </c>
      <c r="K52" s="718">
        <f t="shared" si="2"/>
        <v>390378.37929102848</v>
      </c>
      <c r="L52" s="719">
        <f t="shared" si="4"/>
        <v>17161460.358705185</v>
      </c>
      <c r="N52" s="46"/>
    </row>
    <row r="53" spans="2:14">
      <c r="B53" s="693">
        <f t="shared" si="3"/>
        <v>34</v>
      </c>
      <c r="C53" s="60">
        <f>+_xlfn.XLOOKUP(E53,'Transmission Substation Invests'!C:C,'Transmission Substation Invests'!B:B,"CHECK")</f>
        <v>7</v>
      </c>
      <c r="D53" s="548" t="s">
        <v>3284</v>
      </c>
      <c r="E53" s="328" t="s">
        <v>3285</v>
      </c>
      <c r="F53" s="718">
        <f>+SUMIFS('Transmission Substation Invests'!F:F,'Transmission Substation Invests'!C:C,'Tranmission Substation Detail'!E53)</f>
        <v>5215807.8830292495</v>
      </c>
      <c r="G53" s="718">
        <f t="shared" ref="G53:G84" si="5">+F53*F$157*G$169</f>
        <v>4099156.5221986985</v>
      </c>
      <c r="H53" s="718">
        <f>+SUMIFS('Transmission Substation Invests'!D:D,'Transmission Substation Invests'!C:C,'Tranmission Substation Detail'!E53)</f>
        <v>1320971.3357594446</v>
      </c>
      <c r="I53" s="718">
        <f t="shared" ref="I53:I84" si="6">+H53*H$157*I$169</f>
        <v>1255322.5556265279</v>
      </c>
      <c r="J53" s="718">
        <f>+SUMIFS('Transmission Substation Invests'!E:E,'Transmission Substation Invests'!C:C,'Tranmission Substation Detail'!E53)</f>
        <v>2048365.0155215212</v>
      </c>
      <c r="K53" s="718">
        <f t="shared" ref="K53:K84" si="7">+J53*J$157*K$169</f>
        <v>2052302.7450764957</v>
      </c>
      <c r="L53" s="719">
        <f t="shared" si="4"/>
        <v>7406781.822901722</v>
      </c>
      <c r="N53" s="46"/>
    </row>
    <row r="54" spans="2:14">
      <c r="B54" s="693">
        <f t="shared" si="3"/>
        <v>35</v>
      </c>
      <c r="C54" s="60">
        <f>+_xlfn.XLOOKUP(E54,'Transmission Substation Invests'!C:C,'Transmission Substation Invests'!B:B,"CHECK")</f>
        <v>1</v>
      </c>
      <c r="D54" s="548" t="s">
        <v>3286</v>
      </c>
      <c r="E54" s="328" t="s">
        <v>3287</v>
      </c>
      <c r="F54" s="718">
        <f>+SUMIFS('Transmission Substation Invests'!F:F,'Transmission Substation Invests'!C:C,'Tranmission Substation Detail'!E54)</f>
        <v>1699566.0385347481</v>
      </c>
      <c r="G54" s="718">
        <f t="shared" si="5"/>
        <v>1335706.2545257953</v>
      </c>
      <c r="H54" s="718">
        <f>+SUMIFS('Transmission Substation Invests'!D:D,'Transmission Substation Invests'!C:C,'Tranmission Substation Detail'!E54)</f>
        <v>11985.697773795157</v>
      </c>
      <c r="I54" s="718">
        <f t="shared" si="6"/>
        <v>11390.040308268777</v>
      </c>
      <c r="J54" s="718">
        <f>+SUMIFS('Transmission Substation Invests'!E:E,'Transmission Substation Invests'!C:C,'Tranmission Substation Detail'!E54)</f>
        <v>582138.75286332541</v>
      </c>
      <c r="K54" s="718">
        <f t="shared" si="7"/>
        <v>583257.84294486651</v>
      </c>
      <c r="L54" s="719">
        <f t="shared" si="4"/>
        <v>1930354.1377789306</v>
      </c>
      <c r="N54" s="46"/>
    </row>
    <row r="55" spans="2:14">
      <c r="B55" s="693">
        <f t="shared" si="3"/>
        <v>36</v>
      </c>
      <c r="C55" s="60">
        <f>+_xlfn.XLOOKUP(E55,'Transmission Substation Invests'!C:C,'Transmission Substation Invests'!B:B,"CHECK")</f>
        <v>7</v>
      </c>
      <c r="D55" s="548" t="s">
        <v>3288</v>
      </c>
      <c r="E55" s="328" t="s">
        <v>3289</v>
      </c>
      <c r="F55" s="718">
        <f>+SUMIFS('Transmission Substation Invests'!F:F,'Transmission Substation Invests'!C:C,'Tranmission Substation Detail'!E55)</f>
        <v>7868842.2379947398</v>
      </c>
      <c r="G55" s="718">
        <f t="shared" si="5"/>
        <v>6184203.2347432328</v>
      </c>
      <c r="H55" s="718">
        <f>+SUMIFS('Transmission Substation Invests'!D:D,'Transmission Substation Invests'!C:C,'Tranmission Substation Detail'!E55)</f>
        <v>45497.997929359357</v>
      </c>
      <c r="I55" s="718">
        <f t="shared" si="6"/>
        <v>43236.867818738741</v>
      </c>
      <c r="J55" s="718">
        <f>+SUMIFS('Transmission Substation Invests'!E:E,'Transmission Substation Invests'!C:C,'Tranmission Substation Detail'!E55)</f>
        <v>561027.59221902199</v>
      </c>
      <c r="K55" s="718">
        <f t="shared" si="7"/>
        <v>562106.09869335499</v>
      </c>
      <c r="L55" s="719">
        <f t="shared" si="4"/>
        <v>6789546.2012553262</v>
      </c>
      <c r="N55" s="46"/>
    </row>
    <row r="56" spans="2:14">
      <c r="B56" s="693">
        <f t="shared" si="3"/>
        <v>37</v>
      </c>
      <c r="C56" s="60">
        <f>+_xlfn.XLOOKUP(E56,'Transmission Substation Invests'!C:C,'Transmission Substation Invests'!B:B,"CHECK")</f>
        <v>1</v>
      </c>
      <c r="D56" s="548" t="s">
        <v>3290</v>
      </c>
      <c r="E56" s="328" t="s">
        <v>3291</v>
      </c>
      <c r="F56" s="718">
        <f>+SUMIFS('Transmission Substation Invests'!F:F,'Transmission Substation Invests'!C:C,'Tranmission Substation Detail'!E56)</f>
        <v>73750.072556130268</v>
      </c>
      <c r="G56" s="718">
        <f t="shared" si="5"/>
        <v>57960.932939023529</v>
      </c>
      <c r="H56" s="718">
        <f>+SUMIFS('Transmission Substation Invests'!D:D,'Transmission Substation Invests'!C:C,'Tranmission Substation Detail'!E56)</f>
        <v>0</v>
      </c>
      <c r="I56" s="718">
        <f t="shared" si="6"/>
        <v>0</v>
      </c>
      <c r="J56" s="718">
        <f>+SUMIFS('Transmission Substation Invests'!E:E,'Transmission Substation Invests'!C:C,'Tranmission Substation Detail'!E56)</f>
        <v>0</v>
      </c>
      <c r="K56" s="718">
        <f t="shared" si="7"/>
        <v>0</v>
      </c>
      <c r="L56" s="719">
        <f t="shared" si="4"/>
        <v>57960.932939023529</v>
      </c>
      <c r="N56" s="46"/>
    </row>
    <row r="57" spans="2:14">
      <c r="B57" s="693">
        <f t="shared" si="3"/>
        <v>38</v>
      </c>
      <c r="C57" s="60">
        <f>+_xlfn.XLOOKUP(E57,'Transmission Substation Invests'!C:C,'Transmission Substation Invests'!B:B,"CHECK")</f>
        <v>1</v>
      </c>
      <c r="D57" s="548" t="s">
        <v>3292</v>
      </c>
      <c r="E57" s="328" t="s">
        <v>3293</v>
      </c>
      <c r="F57" s="718">
        <f>+SUMIFS('Transmission Substation Invests'!F:F,'Transmission Substation Invests'!C:C,'Tranmission Substation Detail'!E57)</f>
        <v>40348.76051180077</v>
      </c>
      <c r="G57" s="718">
        <f t="shared" si="5"/>
        <v>31710.501713978469</v>
      </c>
      <c r="H57" s="718">
        <f>+SUMIFS('Transmission Substation Invests'!D:D,'Transmission Substation Invests'!C:C,'Tranmission Substation Detail'!E57)</f>
        <v>0</v>
      </c>
      <c r="I57" s="718">
        <f t="shared" si="6"/>
        <v>0</v>
      </c>
      <c r="J57" s="718">
        <f>+SUMIFS('Transmission Substation Invests'!E:E,'Transmission Substation Invests'!C:C,'Tranmission Substation Detail'!E57)</f>
        <v>9399.3693101608278</v>
      </c>
      <c r="K57" s="718">
        <f t="shared" si="7"/>
        <v>9417.438440442922</v>
      </c>
      <c r="L57" s="719">
        <f t="shared" si="4"/>
        <v>41127.940154421391</v>
      </c>
      <c r="N57" s="46"/>
    </row>
    <row r="58" spans="2:14">
      <c r="B58" s="693">
        <f t="shared" si="3"/>
        <v>39</v>
      </c>
      <c r="C58" s="60">
        <f>+_xlfn.XLOOKUP(E58,'Transmission Substation Invests'!C:C,'Transmission Substation Invests'!B:B,"CHECK")</f>
        <v>7</v>
      </c>
      <c r="D58" s="548" t="s">
        <v>3294</v>
      </c>
      <c r="E58" s="328" t="s">
        <v>3295</v>
      </c>
      <c r="F58" s="718">
        <f>+SUMIFS('Transmission Substation Invests'!F:F,'Transmission Substation Invests'!C:C,'Tranmission Substation Detail'!E58)</f>
        <v>6829863.1821751995</v>
      </c>
      <c r="G58" s="718">
        <f t="shared" si="5"/>
        <v>5367659.0159755358</v>
      </c>
      <c r="H58" s="718">
        <f>+SUMIFS('Transmission Substation Invests'!D:D,'Transmission Substation Invests'!C:C,'Tranmission Substation Detail'!E58)</f>
        <v>202684.65590561731</v>
      </c>
      <c r="I58" s="718">
        <f t="shared" si="6"/>
        <v>192611.76480521055</v>
      </c>
      <c r="J58" s="718">
        <f>+SUMIFS('Transmission Substation Invests'!E:E,'Transmission Substation Invests'!C:C,'Tranmission Substation Detail'!E58)</f>
        <v>4873173.3282939885</v>
      </c>
      <c r="K58" s="718">
        <f t="shared" si="7"/>
        <v>4882541.4040499842</v>
      </c>
      <c r="L58" s="719">
        <f t="shared" si="4"/>
        <v>10442812.184830731</v>
      </c>
      <c r="N58" s="46"/>
    </row>
    <row r="59" spans="2:14">
      <c r="B59" s="693">
        <f t="shared" si="3"/>
        <v>40</v>
      </c>
      <c r="C59" s="60">
        <f>+_xlfn.XLOOKUP(E59,'Transmission Substation Invests'!C:C,'Transmission Substation Invests'!B:B,"CHECK")</f>
        <v>1</v>
      </c>
      <c r="D59" s="548" t="s">
        <v>3296</v>
      </c>
      <c r="E59" s="328" t="s">
        <v>3297</v>
      </c>
      <c r="F59" s="718">
        <f>+SUMIFS('Transmission Substation Invests'!F:F,'Transmission Substation Invests'!C:C,'Tranmission Substation Detail'!E59)</f>
        <v>82570.063560854906</v>
      </c>
      <c r="G59" s="718">
        <f t="shared" si="5"/>
        <v>64892.653674058143</v>
      </c>
      <c r="H59" s="718">
        <f>+SUMIFS('Transmission Substation Invests'!D:D,'Transmission Substation Invests'!C:C,'Tranmission Substation Detail'!E59)</f>
        <v>0</v>
      </c>
      <c r="I59" s="718">
        <f t="shared" si="6"/>
        <v>0</v>
      </c>
      <c r="J59" s="718">
        <f>+SUMIFS('Transmission Substation Invests'!E:E,'Transmission Substation Invests'!C:C,'Tranmission Substation Detail'!E59)</f>
        <v>7255.9750519126919</v>
      </c>
      <c r="K59" s="718">
        <f t="shared" si="7"/>
        <v>7269.9237706203294</v>
      </c>
      <c r="L59" s="719">
        <f t="shared" si="4"/>
        <v>72162.577444678478</v>
      </c>
      <c r="N59" s="46"/>
    </row>
    <row r="60" spans="2:14">
      <c r="B60" s="693">
        <f t="shared" si="3"/>
        <v>41</v>
      </c>
      <c r="C60" s="60">
        <f>+_xlfn.XLOOKUP(E60,'Transmission Substation Invests'!C:C,'Transmission Substation Invests'!B:B,"CHECK")</f>
        <v>1</v>
      </c>
      <c r="D60" s="548" t="s">
        <v>3298</v>
      </c>
      <c r="E60" s="328" t="s">
        <v>3299</v>
      </c>
      <c r="F60" s="718">
        <f>+SUMIFS('Transmission Substation Invests'!F:F,'Transmission Substation Invests'!C:C,'Tranmission Substation Detail'!E60)</f>
        <v>150157.75034457771</v>
      </c>
      <c r="G60" s="718">
        <f t="shared" si="5"/>
        <v>118010.50488964259</v>
      </c>
      <c r="H60" s="718">
        <f>+SUMIFS('Transmission Substation Invests'!D:D,'Transmission Substation Invests'!C:C,'Tranmission Substation Detail'!E60)</f>
        <v>0</v>
      </c>
      <c r="I60" s="718">
        <f t="shared" si="6"/>
        <v>0</v>
      </c>
      <c r="J60" s="718">
        <f>+SUMIFS('Transmission Substation Invests'!E:E,'Transmission Substation Invests'!C:C,'Tranmission Substation Detail'!E60)</f>
        <v>0</v>
      </c>
      <c r="K60" s="718">
        <f t="shared" si="7"/>
        <v>0</v>
      </c>
      <c r="L60" s="719">
        <f t="shared" si="4"/>
        <v>118010.50488964259</v>
      </c>
      <c r="N60" s="46"/>
    </row>
    <row r="61" spans="2:14">
      <c r="B61" s="693">
        <f t="shared" si="3"/>
        <v>42</v>
      </c>
      <c r="C61" s="60">
        <f>+_xlfn.XLOOKUP(E61,'Transmission Substation Invests'!C:C,'Transmission Substation Invests'!B:B,"CHECK")</f>
        <v>1</v>
      </c>
      <c r="D61" s="548" t="s">
        <v>3300</v>
      </c>
      <c r="E61" s="328" t="s">
        <v>3301</v>
      </c>
      <c r="F61" s="718">
        <f>+SUMIFS('Transmission Substation Invests'!F:F,'Transmission Substation Invests'!C:C,'Tranmission Substation Detail'!E61)</f>
        <v>1080840.9203065231</v>
      </c>
      <c r="G61" s="718">
        <f t="shared" si="5"/>
        <v>849443.88430207095</v>
      </c>
      <c r="H61" s="718">
        <f>+SUMIFS('Transmission Substation Invests'!D:D,'Transmission Substation Invests'!C:C,'Tranmission Substation Detail'!E61)</f>
        <v>12321.716826157099</v>
      </c>
      <c r="I61" s="718">
        <f t="shared" si="6"/>
        <v>11709.360102825629</v>
      </c>
      <c r="J61" s="718">
        <f>+SUMIFS('Transmission Substation Invests'!E:E,'Transmission Substation Invests'!C:C,'Tranmission Substation Detail'!E61)</f>
        <v>129010.95131593292</v>
      </c>
      <c r="K61" s="718">
        <f t="shared" si="7"/>
        <v>129258.95898647147</v>
      </c>
      <c r="L61" s="719">
        <f t="shared" si="4"/>
        <v>990412.20339136804</v>
      </c>
      <c r="N61" s="46"/>
    </row>
    <row r="62" spans="2:14">
      <c r="B62" s="693">
        <f t="shared" si="3"/>
        <v>43</v>
      </c>
      <c r="C62" s="60">
        <f>+_xlfn.XLOOKUP(E62,'Transmission Substation Invests'!C:C,'Transmission Substation Invests'!B:B,"CHECK")</f>
        <v>7</v>
      </c>
      <c r="D62" s="548" t="s">
        <v>3302</v>
      </c>
      <c r="E62" s="328" t="s">
        <v>3303</v>
      </c>
      <c r="F62" s="718">
        <f>+SUMIFS('Transmission Substation Invests'!F:F,'Transmission Substation Invests'!C:C,'Tranmission Substation Detail'!E62)</f>
        <v>3230270.2843829901</v>
      </c>
      <c r="G62" s="718">
        <f t="shared" si="5"/>
        <v>2538702.3068424091</v>
      </c>
      <c r="H62" s="718">
        <f>+SUMIFS('Transmission Substation Invests'!D:D,'Transmission Substation Invests'!C:C,'Tranmission Substation Detail'!E62)</f>
        <v>119465.97374974859</v>
      </c>
      <c r="I62" s="718">
        <f t="shared" si="6"/>
        <v>113528.83095811254</v>
      </c>
      <c r="J62" s="718">
        <f>+SUMIFS('Transmission Substation Invests'!E:E,'Transmission Substation Invests'!C:C,'Tranmission Substation Detail'!E62)</f>
        <v>318318.99421888718</v>
      </c>
      <c r="K62" s="718">
        <f t="shared" si="7"/>
        <v>318930.92329497833</v>
      </c>
      <c r="L62" s="719">
        <f t="shared" si="4"/>
        <v>2971162.0610954999</v>
      </c>
      <c r="N62" s="46"/>
    </row>
    <row r="63" spans="2:14">
      <c r="B63" s="693">
        <f t="shared" si="3"/>
        <v>44</v>
      </c>
      <c r="C63" s="60">
        <f>+_xlfn.XLOOKUP(E63,'Transmission Substation Invests'!C:C,'Transmission Substation Invests'!B:B,"CHECK")</f>
        <v>1</v>
      </c>
      <c r="D63" s="548" t="s">
        <v>3304</v>
      </c>
      <c r="E63" s="328" t="s">
        <v>3305</v>
      </c>
      <c r="F63" s="718">
        <f>+SUMIFS('Transmission Substation Invests'!F:F,'Transmission Substation Invests'!C:C,'Tranmission Substation Detail'!E63)</f>
        <v>1053968.5602735414</v>
      </c>
      <c r="G63" s="718">
        <f t="shared" si="5"/>
        <v>828324.62293999549</v>
      </c>
      <c r="H63" s="718">
        <f>+SUMIFS('Transmission Substation Invests'!D:D,'Transmission Substation Invests'!C:C,'Tranmission Substation Detail'!E63)</f>
        <v>142377.38192306989</v>
      </c>
      <c r="I63" s="718">
        <f t="shared" si="6"/>
        <v>135301.60276818438</v>
      </c>
      <c r="J63" s="718">
        <f>+SUMIFS('Transmission Substation Invests'!E:E,'Transmission Substation Invests'!C:C,'Tranmission Substation Detail'!E63)</f>
        <v>99434.14703121387</v>
      </c>
      <c r="K63" s="718">
        <f t="shared" si="7"/>
        <v>99625.296936905273</v>
      </c>
      <c r="L63" s="719">
        <f t="shared" si="4"/>
        <v>1063251.5226450851</v>
      </c>
      <c r="N63" s="46"/>
    </row>
    <row r="64" spans="2:14">
      <c r="B64" s="693">
        <f t="shared" si="3"/>
        <v>45</v>
      </c>
      <c r="C64" s="60">
        <f>+_xlfn.XLOOKUP(E64,'Transmission Substation Invests'!C:C,'Transmission Substation Invests'!B:B,"CHECK")</f>
        <v>1</v>
      </c>
      <c r="D64" s="548" t="s">
        <v>3306</v>
      </c>
      <c r="E64" s="328" t="s">
        <v>3307</v>
      </c>
      <c r="F64" s="718">
        <f>+SUMIFS('Transmission Substation Invests'!F:F,'Transmission Substation Invests'!C:C,'Tranmission Substation Detail'!E64)</f>
        <v>4091050.290818573</v>
      </c>
      <c r="G64" s="718">
        <f t="shared" si="5"/>
        <v>3215198.0782912192</v>
      </c>
      <c r="H64" s="718">
        <f>+SUMIFS('Transmission Substation Invests'!D:D,'Transmission Substation Invests'!C:C,'Tranmission Substation Detail'!E64)</f>
        <v>0</v>
      </c>
      <c r="I64" s="718">
        <f t="shared" si="6"/>
        <v>0</v>
      </c>
      <c r="J64" s="718">
        <f>+SUMIFS('Transmission Substation Invests'!E:E,'Transmission Substation Invests'!C:C,'Tranmission Substation Detail'!E64)</f>
        <v>908046.68646782939</v>
      </c>
      <c r="K64" s="718">
        <f t="shared" si="7"/>
        <v>909792.29442710744</v>
      </c>
      <c r="L64" s="719">
        <f t="shared" si="4"/>
        <v>4124990.3727183267</v>
      </c>
      <c r="N64" s="46"/>
    </row>
    <row r="65" spans="2:14">
      <c r="B65" s="693">
        <f t="shared" si="3"/>
        <v>46</v>
      </c>
      <c r="C65" s="60">
        <f>+_xlfn.XLOOKUP(E65,'Transmission Substation Invests'!C:C,'Transmission Substation Invests'!B:B,"CHECK")</f>
        <v>1</v>
      </c>
      <c r="D65" s="548" t="s">
        <v>3308</v>
      </c>
      <c r="E65" s="328" t="s">
        <v>3309</v>
      </c>
      <c r="F65" s="718">
        <f>+SUMIFS('Transmission Substation Invests'!F:F,'Transmission Substation Invests'!C:C,'Tranmission Substation Detail'!E65)</f>
        <v>83401.965275338865</v>
      </c>
      <c r="G65" s="718">
        <f t="shared" si="5"/>
        <v>65546.453701825783</v>
      </c>
      <c r="H65" s="718">
        <f>+SUMIFS('Transmission Substation Invests'!D:D,'Transmission Substation Invests'!C:C,'Tranmission Substation Detail'!E65)</f>
        <v>0</v>
      </c>
      <c r="I65" s="718">
        <f t="shared" si="6"/>
        <v>0</v>
      </c>
      <c r="J65" s="718">
        <f>+SUMIFS('Transmission Substation Invests'!E:E,'Transmission Substation Invests'!C:C,'Tranmission Substation Detail'!E65)</f>
        <v>-19286.475366022773</v>
      </c>
      <c r="K65" s="718">
        <f t="shared" si="7"/>
        <v>-19323.551240432167</v>
      </c>
      <c r="L65" s="719">
        <f t="shared" si="4"/>
        <v>46222.90246139362</v>
      </c>
      <c r="N65" s="46"/>
    </row>
    <row r="66" spans="2:14">
      <c r="B66" s="693">
        <f t="shared" si="3"/>
        <v>47</v>
      </c>
      <c r="C66" s="60">
        <f>+_xlfn.XLOOKUP(E66,'Transmission Substation Invests'!C:C,'Transmission Substation Invests'!B:B,"CHECK")</f>
        <v>7</v>
      </c>
      <c r="D66" s="548" t="s">
        <v>3310</v>
      </c>
      <c r="E66" s="328" t="s">
        <v>3311</v>
      </c>
      <c r="F66" s="718">
        <f>+SUMIFS('Transmission Substation Invests'!F:F,'Transmission Substation Invests'!C:C,'Tranmission Substation Detail'!E66)</f>
        <v>14056173.861201648</v>
      </c>
      <c r="G66" s="718">
        <f t="shared" si="5"/>
        <v>11046890.156322209</v>
      </c>
      <c r="H66" s="718">
        <f>+SUMIFS('Transmission Substation Invests'!D:D,'Transmission Substation Invests'!C:C,'Tranmission Substation Detail'!E66)</f>
        <v>46528.456356602641</v>
      </c>
      <c r="I66" s="718">
        <f t="shared" si="6"/>
        <v>44216.115188713091</v>
      </c>
      <c r="J66" s="718">
        <f>+SUMIFS('Transmission Substation Invests'!E:E,'Transmission Substation Invests'!C:C,'Tranmission Substation Detail'!E66)</f>
        <v>2180030.5173511133</v>
      </c>
      <c r="K66" s="718">
        <f t="shared" si="7"/>
        <v>2184221.3576231701</v>
      </c>
      <c r="L66" s="719">
        <f t="shared" si="4"/>
        <v>13275327.629134092</v>
      </c>
      <c r="N66" s="46"/>
    </row>
    <row r="67" spans="2:14">
      <c r="B67" s="693">
        <f t="shared" si="3"/>
        <v>48</v>
      </c>
      <c r="C67" s="60">
        <f>+_xlfn.XLOOKUP(E67,'Transmission Substation Invests'!C:C,'Transmission Substation Invests'!B:B,"CHECK")</f>
        <v>1</v>
      </c>
      <c r="D67" s="548" t="s">
        <v>3312</v>
      </c>
      <c r="E67" s="328" t="s">
        <v>3313</v>
      </c>
      <c r="F67" s="718">
        <f>+SUMIFS('Transmission Substation Invests'!F:F,'Transmission Substation Invests'!C:C,'Tranmission Substation Detail'!E67)</f>
        <v>53219.308456815706</v>
      </c>
      <c r="G67" s="718">
        <f t="shared" si="5"/>
        <v>41825.596390824176</v>
      </c>
      <c r="H67" s="718">
        <f>+SUMIFS('Transmission Substation Invests'!D:D,'Transmission Substation Invests'!C:C,'Tranmission Substation Detail'!E67)</f>
        <v>0</v>
      </c>
      <c r="I67" s="718">
        <f t="shared" si="6"/>
        <v>0</v>
      </c>
      <c r="J67" s="718">
        <f>+SUMIFS('Transmission Substation Invests'!E:E,'Transmission Substation Invests'!C:C,'Tranmission Substation Detail'!E67)</f>
        <v>0</v>
      </c>
      <c r="K67" s="718">
        <f t="shared" si="7"/>
        <v>0</v>
      </c>
      <c r="L67" s="719">
        <f t="shared" si="4"/>
        <v>41825.596390824176</v>
      </c>
      <c r="N67" s="46"/>
    </row>
    <row r="68" spans="2:14">
      <c r="B68" s="693">
        <f t="shared" si="3"/>
        <v>49</v>
      </c>
      <c r="C68" s="60">
        <f>+_xlfn.XLOOKUP(E68,'Transmission Substation Invests'!C:C,'Transmission Substation Invests'!B:B,"CHECK")</f>
        <v>7</v>
      </c>
      <c r="D68" s="548" t="s">
        <v>3314</v>
      </c>
      <c r="E68" s="328" t="s">
        <v>3315</v>
      </c>
      <c r="F68" s="718">
        <f>+SUMIFS('Transmission Substation Invests'!F:F,'Transmission Substation Invests'!C:C,'Tranmission Substation Detail'!E68)</f>
        <v>2088751.4508967686</v>
      </c>
      <c r="G68" s="718">
        <f t="shared" si="5"/>
        <v>1641571.0327549018</v>
      </c>
      <c r="H68" s="718">
        <f>+SUMIFS('Transmission Substation Invests'!D:D,'Transmission Substation Invests'!C:C,'Tranmission Substation Detail'!E68)</f>
        <v>0</v>
      </c>
      <c r="I68" s="718">
        <f t="shared" si="6"/>
        <v>0</v>
      </c>
      <c r="J68" s="718">
        <f>+SUMIFS('Transmission Substation Invests'!E:E,'Transmission Substation Invests'!C:C,'Tranmission Substation Detail'!E68)</f>
        <v>1278933.3158298605</v>
      </c>
      <c r="K68" s="718">
        <f t="shared" si="7"/>
        <v>1281391.9076718534</v>
      </c>
      <c r="L68" s="719">
        <f t="shared" si="4"/>
        <v>2922962.9404267552</v>
      </c>
      <c r="N68" s="46"/>
    </row>
    <row r="69" spans="2:14">
      <c r="B69" s="693">
        <f t="shared" si="3"/>
        <v>50</v>
      </c>
      <c r="C69" s="60">
        <f>+_xlfn.XLOOKUP(E69,'Transmission Substation Invests'!C:C,'Transmission Substation Invests'!B:B,"CHECK")</f>
        <v>1</v>
      </c>
      <c r="D69" s="548" t="s">
        <v>3316</v>
      </c>
      <c r="E69" s="328" t="s">
        <v>3317</v>
      </c>
      <c r="F69" s="718">
        <f>+SUMIFS('Transmission Substation Invests'!F:F,'Transmission Substation Invests'!C:C,'Tranmission Substation Detail'!E69)</f>
        <v>68371.731239233995</v>
      </c>
      <c r="G69" s="718">
        <f t="shared" si="5"/>
        <v>53734.039736246712</v>
      </c>
      <c r="H69" s="718">
        <f>+SUMIFS('Transmission Substation Invests'!D:D,'Transmission Substation Invests'!C:C,'Tranmission Substation Detail'!E69)</f>
        <v>0</v>
      </c>
      <c r="I69" s="718">
        <f t="shared" si="6"/>
        <v>0</v>
      </c>
      <c r="J69" s="718">
        <f>+SUMIFS('Transmission Substation Invests'!E:E,'Transmission Substation Invests'!C:C,'Tranmission Substation Detail'!E69)</f>
        <v>11022.443157024261</v>
      </c>
      <c r="K69" s="718">
        <f t="shared" si="7"/>
        <v>11043.63244694991</v>
      </c>
      <c r="L69" s="719">
        <f t="shared" si="4"/>
        <v>64777.672183196621</v>
      </c>
      <c r="N69" s="46"/>
    </row>
    <row r="70" spans="2:14">
      <c r="B70" s="693">
        <f t="shared" si="3"/>
        <v>51</v>
      </c>
      <c r="C70" s="60">
        <f>+_xlfn.XLOOKUP(E70,'Transmission Substation Invests'!C:C,'Transmission Substation Invests'!B:B,"CHECK")</f>
        <v>7</v>
      </c>
      <c r="D70" s="548" t="s">
        <v>3318</v>
      </c>
      <c r="E70" s="328" t="s">
        <v>3319</v>
      </c>
      <c r="F70" s="718">
        <f>+SUMIFS('Transmission Substation Invests'!F:F,'Transmission Substation Invests'!C:C,'Tranmission Substation Detail'!E70)</f>
        <v>6121007.5717079751</v>
      </c>
      <c r="G70" s="718">
        <f t="shared" si="5"/>
        <v>4810562.1741999378</v>
      </c>
      <c r="H70" s="718">
        <f>+SUMIFS('Transmission Substation Invests'!D:D,'Transmission Substation Invests'!C:C,'Tranmission Substation Detail'!E70)</f>
        <v>462996.57929130743</v>
      </c>
      <c r="I70" s="718">
        <f t="shared" si="6"/>
        <v>439986.8743769211</v>
      </c>
      <c r="J70" s="718">
        <f>+SUMIFS('Transmission Substation Invests'!E:E,'Transmission Substation Invests'!C:C,'Tranmission Substation Detail'!E70)</f>
        <v>614728.52798422321</v>
      </c>
      <c r="K70" s="718">
        <f t="shared" si="7"/>
        <v>615910.26789609785</v>
      </c>
      <c r="L70" s="719">
        <f t="shared" si="4"/>
        <v>5866459.3164729569</v>
      </c>
      <c r="N70" s="46"/>
    </row>
    <row r="71" spans="2:14">
      <c r="B71" s="693">
        <f t="shared" si="3"/>
        <v>52</v>
      </c>
      <c r="C71" s="60">
        <f>+_xlfn.XLOOKUP(E71,'Transmission Substation Invests'!C:C,'Transmission Substation Invests'!B:B,"CHECK")</f>
        <v>7</v>
      </c>
      <c r="D71" s="548" t="s">
        <v>3320</v>
      </c>
      <c r="E71" s="328" t="s">
        <v>3321</v>
      </c>
      <c r="F71" s="718">
        <f>+SUMIFS('Transmission Substation Invests'!F:F,'Transmission Substation Invests'!C:C,'Tranmission Substation Detail'!E71)</f>
        <v>3196156.2046518321</v>
      </c>
      <c r="G71" s="718">
        <f t="shared" si="5"/>
        <v>2511891.7042349437</v>
      </c>
      <c r="H71" s="718">
        <f>+SUMIFS('Transmission Substation Invests'!D:D,'Transmission Substation Invests'!C:C,'Tranmission Substation Detail'!E71)</f>
        <v>245611.5989646315</v>
      </c>
      <c r="I71" s="718">
        <f t="shared" si="6"/>
        <v>233405.35237771881</v>
      </c>
      <c r="J71" s="718">
        <f>+SUMIFS('Transmission Substation Invests'!E:E,'Transmission Substation Invests'!C:C,'Tranmission Substation Detail'!E71)</f>
        <v>592950.42043295898</v>
      </c>
      <c r="K71" s="718">
        <f t="shared" si="7"/>
        <v>594090.29461430898</v>
      </c>
      <c r="L71" s="719">
        <f t="shared" si="4"/>
        <v>3339387.3512269715</v>
      </c>
      <c r="N71" s="46"/>
    </row>
    <row r="72" spans="2:14">
      <c r="B72" s="693">
        <f t="shared" si="3"/>
        <v>53</v>
      </c>
      <c r="C72" s="60">
        <f>+_xlfn.XLOOKUP(E72,'Transmission Substation Invests'!C:C,'Transmission Substation Invests'!B:B,"CHECK")</f>
        <v>7</v>
      </c>
      <c r="D72" s="548" t="s">
        <v>3322</v>
      </c>
      <c r="E72" s="328" t="s">
        <v>3323</v>
      </c>
      <c r="F72" s="718">
        <f>+SUMIFS('Transmission Substation Invests'!F:F,'Transmission Substation Invests'!C:C,'Tranmission Substation Detail'!E72)</f>
        <v>3820631.3216336565</v>
      </c>
      <c r="G72" s="718">
        <f t="shared" si="5"/>
        <v>3002673.057025135</v>
      </c>
      <c r="H72" s="718">
        <f>+SUMIFS('Transmission Substation Invests'!D:D,'Transmission Substation Invests'!C:C,'Tranmission Substation Detail'!E72)</f>
        <v>0</v>
      </c>
      <c r="I72" s="718">
        <f t="shared" si="6"/>
        <v>0</v>
      </c>
      <c r="J72" s="718">
        <f>+SUMIFS('Transmission Substation Invests'!E:E,'Transmission Substation Invests'!C:C,'Tranmission Substation Detail'!E72)</f>
        <v>1422155.8365815983</v>
      </c>
      <c r="K72" s="718">
        <f t="shared" si="7"/>
        <v>1424889.7560866924</v>
      </c>
      <c r="L72" s="719">
        <f t="shared" si="4"/>
        <v>4427562.8131118277</v>
      </c>
      <c r="N72" s="46"/>
    </row>
    <row r="73" spans="2:14">
      <c r="B73" s="693">
        <f t="shared" si="3"/>
        <v>54</v>
      </c>
      <c r="C73" s="60">
        <f>+_xlfn.XLOOKUP(E73,'Transmission Substation Invests'!C:C,'Transmission Substation Invests'!B:B,"CHECK")</f>
        <v>1</v>
      </c>
      <c r="D73" s="548" t="s">
        <v>3324</v>
      </c>
      <c r="E73" s="328" t="s">
        <v>3325</v>
      </c>
      <c r="F73" s="718">
        <f>+SUMIFS('Transmission Substation Invests'!F:F,'Transmission Substation Invests'!C:C,'Tranmission Substation Detail'!E73)</f>
        <v>242711.6527187927</v>
      </c>
      <c r="G73" s="718">
        <f t="shared" si="5"/>
        <v>190749.55914174439</v>
      </c>
      <c r="H73" s="718">
        <f>+SUMIFS('Transmission Substation Invests'!D:D,'Transmission Substation Invests'!C:C,'Tranmission Substation Detail'!E73)</f>
        <v>0</v>
      </c>
      <c r="I73" s="718">
        <f t="shared" si="6"/>
        <v>0</v>
      </c>
      <c r="J73" s="718">
        <f>+SUMIFS('Transmission Substation Invests'!E:E,'Transmission Substation Invests'!C:C,'Tranmission Substation Detail'!E73)</f>
        <v>0</v>
      </c>
      <c r="K73" s="718">
        <f t="shared" si="7"/>
        <v>0</v>
      </c>
      <c r="L73" s="719">
        <f t="shared" si="4"/>
        <v>190749.55914174439</v>
      </c>
      <c r="N73" s="46"/>
    </row>
    <row r="74" spans="2:14">
      <c r="B74" s="693">
        <f t="shared" si="3"/>
        <v>55</v>
      </c>
      <c r="C74" s="60">
        <f>+_xlfn.XLOOKUP(E74,'Transmission Substation Invests'!C:C,'Transmission Substation Invests'!B:B,"CHECK")</f>
        <v>1</v>
      </c>
      <c r="D74" s="548" t="s">
        <v>3326</v>
      </c>
      <c r="E74" s="328" t="s">
        <v>3327</v>
      </c>
      <c r="F74" s="718">
        <f>+SUMIFS('Transmission Substation Invests'!F:F,'Transmission Substation Invests'!C:C,'Tranmission Substation Detail'!E74)</f>
        <v>6398488.0321902558</v>
      </c>
      <c r="G74" s="718">
        <f t="shared" si="5"/>
        <v>5028636.8933761427</v>
      </c>
      <c r="H74" s="718">
        <f>+SUMIFS('Transmission Substation Invests'!D:D,'Transmission Substation Invests'!C:C,'Tranmission Substation Detail'!E74)</f>
        <v>1059045.5026828644</v>
      </c>
      <c r="I74" s="718">
        <f t="shared" si="6"/>
        <v>1006413.7434052032</v>
      </c>
      <c r="J74" s="718">
        <f>+SUMIFS('Transmission Substation Invests'!E:E,'Transmission Substation Invests'!C:C,'Tranmission Substation Detail'!E74)</f>
        <v>1489633.553493639</v>
      </c>
      <c r="K74" s="718">
        <f t="shared" si="7"/>
        <v>1492497.1906018818</v>
      </c>
      <c r="L74" s="719">
        <f t="shared" si="4"/>
        <v>7527547.8273832276</v>
      </c>
      <c r="N74" s="46"/>
    </row>
    <row r="75" spans="2:14">
      <c r="B75" s="693">
        <f t="shared" si="3"/>
        <v>56</v>
      </c>
      <c r="C75" s="60">
        <f>+_xlfn.XLOOKUP(E75,'Transmission Substation Invests'!C:C,'Transmission Substation Invests'!B:B,"CHECK")</f>
        <v>1</v>
      </c>
      <c r="D75" s="548" t="s">
        <v>3328</v>
      </c>
      <c r="E75" s="328" t="s">
        <v>3329</v>
      </c>
      <c r="F75" s="718">
        <f>+SUMIFS('Transmission Substation Invests'!F:F,'Transmission Substation Invests'!C:C,'Tranmission Substation Detail'!E75)</f>
        <v>196180.14164353223</v>
      </c>
      <c r="G75" s="718">
        <f t="shared" si="5"/>
        <v>154179.97080768627</v>
      </c>
      <c r="H75" s="718">
        <f>+SUMIFS('Transmission Substation Invests'!D:D,'Transmission Substation Invests'!C:C,'Tranmission Substation Detail'!E75)</f>
        <v>0</v>
      </c>
      <c r="I75" s="718">
        <f t="shared" si="6"/>
        <v>0</v>
      </c>
      <c r="J75" s="718">
        <f>+SUMIFS('Transmission Substation Invests'!E:E,'Transmission Substation Invests'!C:C,'Tranmission Substation Detail'!E75)</f>
        <v>0</v>
      </c>
      <c r="K75" s="718">
        <f t="shared" si="7"/>
        <v>0</v>
      </c>
      <c r="L75" s="719">
        <f t="shared" si="4"/>
        <v>154179.97080768627</v>
      </c>
      <c r="N75" s="46"/>
    </row>
    <row r="76" spans="2:14">
      <c r="B76" s="693">
        <f t="shared" si="3"/>
        <v>57</v>
      </c>
      <c r="C76" s="60">
        <f>+_xlfn.XLOOKUP(E76,'Transmission Substation Invests'!C:C,'Transmission Substation Invests'!B:B,"CHECK")</f>
        <v>7</v>
      </c>
      <c r="D76" s="548" t="s">
        <v>3330</v>
      </c>
      <c r="E76" s="328" t="s">
        <v>3331</v>
      </c>
      <c r="F76" s="718">
        <f>+SUMIFS('Transmission Substation Invests'!F:F,'Transmission Substation Invests'!C:C,'Tranmission Substation Detail'!E76)</f>
        <v>9939001.652900368</v>
      </c>
      <c r="G76" s="718">
        <f t="shared" si="5"/>
        <v>7811162.5971101196</v>
      </c>
      <c r="H76" s="718">
        <f>+SUMIFS('Transmission Substation Invests'!D:D,'Transmission Substation Invests'!C:C,'Tranmission Substation Detail'!E76)</f>
        <v>0</v>
      </c>
      <c r="I76" s="718">
        <f t="shared" si="6"/>
        <v>0</v>
      </c>
      <c r="J76" s="718">
        <f>+SUMIFS('Transmission Substation Invests'!E:E,'Transmission Substation Invests'!C:C,'Tranmission Substation Detail'!E76)</f>
        <v>2969127.4775223685</v>
      </c>
      <c r="K76" s="718">
        <f t="shared" si="7"/>
        <v>2974835.2595495628</v>
      </c>
      <c r="L76" s="719">
        <f t="shared" si="4"/>
        <v>10785997.856659682</v>
      </c>
      <c r="N76" s="46"/>
    </row>
    <row r="77" spans="2:14">
      <c r="B77" s="693">
        <f t="shared" si="3"/>
        <v>58</v>
      </c>
      <c r="C77" s="60">
        <f>+_xlfn.XLOOKUP(E77,'Transmission Substation Invests'!C:C,'Transmission Substation Invests'!B:B,"CHECK")</f>
        <v>1</v>
      </c>
      <c r="D77" s="548" t="s">
        <v>3332</v>
      </c>
      <c r="E77" s="328" t="s">
        <v>3333</v>
      </c>
      <c r="F77" s="718">
        <f>+SUMIFS('Transmission Substation Invests'!F:F,'Transmission Substation Invests'!C:C,'Tranmission Substation Detail'!E77)</f>
        <v>78285.311523463854</v>
      </c>
      <c r="G77" s="718">
        <f t="shared" si="5"/>
        <v>61525.223420880393</v>
      </c>
      <c r="H77" s="718">
        <f>+SUMIFS('Transmission Substation Invests'!D:D,'Transmission Substation Invests'!C:C,'Tranmission Substation Detail'!E77)</f>
        <v>0</v>
      </c>
      <c r="I77" s="718">
        <f t="shared" si="6"/>
        <v>0</v>
      </c>
      <c r="J77" s="718">
        <f>+SUMIFS('Transmission Substation Invests'!E:E,'Transmission Substation Invests'!C:C,'Tranmission Substation Detail'!E77)</f>
        <v>28479.142047003377</v>
      </c>
      <c r="K77" s="718">
        <f t="shared" si="7"/>
        <v>28533.889691338754</v>
      </c>
      <c r="L77" s="719">
        <f t="shared" si="4"/>
        <v>90059.113112219144</v>
      </c>
      <c r="N77" s="46"/>
    </row>
    <row r="78" spans="2:14">
      <c r="B78" s="693">
        <f t="shared" si="3"/>
        <v>59</v>
      </c>
      <c r="C78" s="60">
        <f>+_xlfn.XLOOKUP(E78,'Transmission Substation Invests'!C:C,'Transmission Substation Invests'!B:B,"CHECK")</f>
        <v>1</v>
      </c>
      <c r="D78" s="548" t="s">
        <v>3334</v>
      </c>
      <c r="E78" s="328" t="s">
        <v>3335</v>
      </c>
      <c r="F78" s="718">
        <f>+SUMIFS('Transmission Substation Invests'!F:F,'Transmission Substation Invests'!C:C,'Tranmission Substation Detail'!E78)</f>
        <v>1714820.2852724276</v>
      </c>
      <c r="G78" s="718">
        <f t="shared" si="5"/>
        <v>1347694.7223544209</v>
      </c>
      <c r="H78" s="718">
        <f>+SUMIFS('Transmission Substation Invests'!D:D,'Transmission Substation Invests'!C:C,'Tranmission Substation Detail'!E78)</f>
        <v>659120.71775944601</v>
      </c>
      <c r="I78" s="718">
        <f t="shared" si="6"/>
        <v>626364.16210234445</v>
      </c>
      <c r="J78" s="718">
        <f>+SUMIFS('Transmission Substation Invests'!E:E,'Transmission Substation Invests'!C:C,'Tranmission Substation Detail'!E78)</f>
        <v>1078121.2024614967</v>
      </c>
      <c r="K78" s="718">
        <f t="shared" si="7"/>
        <v>1080193.7577388072</v>
      </c>
      <c r="L78" s="719">
        <f t="shared" si="4"/>
        <v>3054252.6421955726</v>
      </c>
      <c r="N78" s="46"/>
    </row>
    <row r="79" spans="2:14">
      <c r="B79" s="693">
        <f t="shared" si="3"/>
        <v>60</v>
      </c>
      <c r="C79" s="60">
        <f>+_xlfn.XLOOKUP(E79,'Transmission Substation Invests'!C:C,'Transmission Substation Invests'!B:B,"CHECK")</f>
        <v>1</v>
      </c>
      <c r="D79" s="548" t="s">
        <v>3336</v>
      </c>
      <c r="E79" s="328" t="s">
        <v>3337</v>
      </c>
      <c r="F79" s="718">
        <f>+SUMIFS('Transmission Substation Invests'!F:F,'Transmission Substation Invests'!C:C,'Tranmission Substation Detail'!E79)</f>
        <v>1597952.8588609446</v>
      </c>
      <c r="G79" s="718">
        <f t="shared" si="5"/>
        <v>1255847.4220031321</v>
      </c>
      <c r="H79" s="718">
        <f>+SUMIFS('Transmission Substation Invests'!D:D,'Transmission Substation Invests'!C:C,'Tranmission Substation Detail'!E79)</f>
        <v>458510.21582249919</v>
      </c>
      <c r="I79" s="718">
        <f t="shared" si="6"/>
        <v>435723.47130171658</v>
      </c>
      <c r="J79" s="718">
        <f>+SUMIFS('Transmission Substation Invests'!E:E,'Transmission Substation Invests'!C:C,'Tranmission Substation Detail'!E79)</f>
        <v>860468.42513248383</v>
      </c>
      <c r="K79" s="718">
        <f t="shared" si="7"/>
        <v>862122.56974200986</v>
      </c>
      <c r="L79" s="719">
        <f t="shared" si="4"/>
        <v>2553693.4630468586</v>
      </c>
      <c r="N79" s="46"/>
    </row>
    <row r="80" spans="2:14">
      <c r="B80" s="693">
        <f t="shared" si="3"/>
        <v>61</v>
      </c>
      <c r="C80" s="60">
        <f>+_xlfn.XLOOKUP(E80,'Transmission Substation Invests'!C:C,'Transmission Substation Invests'!B:B,"CHECK")</f>
        <v>7</v>
      </c>
      <c r="D80" s="548" t="s">
        <v>3338</v>
      </c>
      <c r="E80" s="328" t="s">
        <v>3339</v>
      </c>
      <c r="F80" s="718">
        <f>+SUMIFS('Transmission Substation Invests'!F:F,'Transmission Substation Invests'!C:C,'Tranmission Substation Detail'!E80)</f>
        <v>281482.14192404499</v>
      </c>
      <c r="G80" s="718">
        <f t="shared" si="5"/>
        <v>221219.68136607806</v>
      </c>
      <c r="H80" s="718">
        <f>+SUMIFS('Transmission Substation Invests'!D:D,'Transmission Substation Invests'!C:C,'Tranmission Substation Detail'!E80)</f>
        <v>0</v>
      </c>
      <c r="I80" s="718">
        <f t="shared" si="6"/>
        <v>0</v>
      </c>
      <c r="J80" s="718">
        <f>+SUMIFS('Transmission Substation Invests'!E:E,'Transmission Substation Invests'!C:C,'Tranmission Substation Detail'!E80)</f>
        <v>0</v>
      </c>
      <c r="K80" s="718">
        <f t="shared" si="7"/>
        <v>0</v>
      </c>
      <c r="L80" s="719">
        <f t="shared" si="4"/>
        <v>221219.68136607806</v>
      </c>
      <c r="N80" s="46"/>
    </row>
    <row r="81" spans="2:14">
      <c r="B81" s="693">
        <f t="shared" si="3"/>
        <v>62</v>
      </c>
      <c r="C81" s="60">
        <f>+_xlfn.XLOOKUP(E81,'Transmission Substation Invests'!C:C,'Transmission Substation Invests'!B:B,"CHECK")</f>
        <v>7</v>
      </c>
      <c r="D81" s="548" t="s">
        <v>3340</v>
      </c>
      <c r="E81" s="328" t="s">
        <v>3341</v>
      </c>
      <c r="F81" s="718">
        <f>+SUMIFS('Transmission Substation Invests'!F:F,'Transmission Substation Invests'!C:C,'Tranmission Substation Detail'!E81)</f>
        <v>6360616.6485099597</v>
      </c>
      <c r="G81" s="718">
        <f t="shared" si="5"/>
        <v>4998873.3873384902</v>
      </c>
      <c r="H81" s="718">
        <f>+SUMIFS('Transmission Substation Invests'!D:D,'Transmission Substation Invests'!C:C,'Tranmission Substation Detail'!E81)</f>
        <v>0</v>
      </c>
      <c r="I81" s="718">
        <f t="shared" si="6"/>
        <v>0</v>
      </c>
      <c r="J81" s="718">
        <f>+SUMIFS('Transmission Substation Invests'!E:E,'Transmission Substation Invests'!C:C,'Tranmission Substation Detail'!E81)</f>
        <v>5412887.1301977374</v>
      </c>
      <c r="K81" s="718">
        <f t="shared" si="7"/>
        <v>5423292.7392902626</v>
      </c>
      <c r="L81" s="719">
        <f t="shared" si="4"/>
        <v>10422166.126628753</v>
      </c>
      <c r="N81" s="46"/>
    </row>
    <row r="82" spans="2:14">
      <c r="B82" s="693">
        <f t="shared" si="3"/>
        <v>63</v>
      </c>
      <c r="C82" s="60">
        <f>+_xlfn.XLOOKUP(E82,'Transmission Substation Invests'!C:C,'Transmission Substation Invests'!B:B,"CHECK")</f>
        <v>1</v>
      </c>
      <c r="D82" s="548" t="s">
        <v>3342</v>
      </c>
      <c r="E82" s="328" t="s">
        <v>3343</v>
      </c>
      <c r="F82" s="718">
        <f>+SUMIFS('Transmission Substation Invests'!F:F,'Transmission Substation Invests'!C:C,'Tranmission Substation Detail'!E82)</f>
        <v>1166435.1553386354</v>
      </c>
      <c r="G82" s="718">
        <f t="shared" si="5"/>
        <v>916713.265127255</v>
      </c>
      <c r="H82" s="718">
        <f>+SUMIFS('Transmission Substation Invests'!D:D,'Transmission Substation Invests'!C:C,'Tranmission Substation Detail'!E82)</f>
        <v>661865.89159328782</v>
      </c>
      <c r="I82" s="718">
        <f t="shared" si="6"/>
        <v>628972.90806029981</v>
      </c>
      <c r="J82" s="718">
        <f>+SUMIFS('Transmission Substation Invests'!E:E,'Transmission Substation Invests'!C:C,'Tranmission Substation Detail'!E82)</f>
        <v>373648.0950287148</v>
      </c>
      <c r="K82" s="718">
        <f t="shared" si="7"/>
        <v>374366.38748919207</v>
      </c>
      <c r="L82" s="719">
        <f t="shared" si="4"/>
        <v>1920052.560676747</v>
      </c>
      <c r="N82" s="46"/>
    </row>
    <row r="83" spans="2:14">
      <c r="B83" s="693">
        <f t="shared" si="3"/>
        <v>64</v>
      </c>
      <c r="C83" s="60">
        <f>+_xlfn.XLOOKUP(E83,'Transmission Substation Invests'!C:C,'Transmission Substation Invests'!B:B,"CHECK")</f>
        <v>7</v>
      </c>
      <c r="D83" s="548" t="s">
        <v>3344</v>
      </c>
      <c r="E83" s="328" t="s">
        <v>3345</v>
      </c>
      <c r="F83" s="718">
        <f>+SUMIFS('Transmission Substation Invests'!F:F,'Transmission Substation Invests'!C:C,'Tranmission Substation Detail'!E83)</f>
        <v>2319132.2226334307</v>
      </c>
      <c r="G83" s="718">
        <f t="shared" si="5"/>
        <v>1822629.626980776</v>
      </c>
      <c r="H83" s="718">
        <f>+SUMIFS('Transmission Substation Invests'!D:D,'Transmission Substation Invests'!C:C,'Tranmission Substation Detail'!E83)</f>
        <v>0</v>
      </c>
      <c r="I83" s="718">
        <f t="shared" si="6"/>
        <v>0</v>
      </c>
      <c r="J83" s="718">
        <f>+SUMIFS('Transmission Substation Invests'!E:E,'Transmission Substation Invests'!C:C,'Tranmission Substation Detail'!E83)</f>
        <v>499650.14846667944</v>
      </c>
      <c r="K83" s="718">
        <f t="shared" si="7"/>
        <v>500610.66436196957</v>
      </c>
      <c r="L83" s="719">
        <f t="shared" si="4"/>
        <v>2323240.2913427455</v>
      </c>
      <c r="N83" s="46"/>
    </row>
    <row r="84" spans="2:14">
      <c r="B84" s="693">
        <f t="shared" si="3"/>
        <v>65</v>
      </c>
      <c r="C84" s="60">
        <f>+_xlfn.XLOOKUP(E84,'Transmission Substation Invests'!C:C,'Transmission Substation Invests'!B:B,"CHECK")</f>
        <v>1</v>
      </c>
      <c r="D84" s="548" t="s">
        <v>4019</v>
      </c>
      <c r="E84" t="s">
        <v>4020</v>
      </c>
      <c r="F84" s="718">
        <f>+SUMIFS('Transmission Substation Invests'!F:F,'Transmission Substation Invests'!C:C,'Tranmission Substation Detail'!E84)</f>
        <v>0</v>
      </c>
      <c r="G84" s="718">
        <f t="shared" si="5"/>
        <v>0</v>
      </c>
      <c r="H84" s="718">
        <f>+SUMIFS('Transmission Substation Invests'!D:D,'Transmission Substation Invests'!C:C,'Tranmission Substation Detail'!E84)</f>
        <v>0</v>
      </c>
      <c r="I84" s="718">
        <f t="shared" si="6"/>
        <v>0</v>
      </c>
      <c r="J84" s="718">
        <f>+SUMIFS('Transmission Substation Invests'!E:E,'Transmission Substation Invests'!C:C,'Tranmission Substation Detail'!E84)</f>
        <v>0</v>
      </c>
      <c r="K84" s="718">
        <f t="shared" si="7"/>
        <v>0</v>
      </c>
      <c r="L84" s="719">
        <f>+G84+I84+K84</f>
        <v>0</v>
      </c>
      <c r="N84" s="46"/>
    </row>
    <row r="85" spans="2:14">
      <c r="B85" s="693">
        <f t="shared" si="3"/>
        <v>66</v>
      </c>
      <c r="C85" s="60">
        <f>+_xlfn.XLOOKUP(E85,'Transmission Substation Invests'!C:C,'Transmission Substation Invests'!B:B,"CHECK")</f>
        <v>7</v>
      </c>
      <c r="D85" s="548" t="s">
        <v>3346</v>
      </c>
      <c r="E85" s="328" t="s">
        <v>3347</v>
      </c>
      <c r="F85" s="718">
        <f>+SUMIFS('Transmission Substation Invests'!F:F,'Transmission Substation Invests'!C:C,'Tranmission Substation Detail'!E85)</f>
        <v>8942547.335516559</v>
      </c>
      <c r="G85" s="718">
        <f t="shared" ref="G85:G107" si="8">+F85*F$157*G$169</f>
        <v>7028039.0032624453</v>
      </c>
      <c r="H85" s="718">
        <f>+SUMIFS('Transmission Substation Invests'!D:D,'Transmission Substation Invests'!C:C,'Tranmission Substation Detail'!E85)</f>
        <v>0</v>
      </c>
      <c r="I85" s="718">
        <f t="shared" ref="I85:I107" si="9">+H85*H$157*I$169</f>
        <v>0</v>
      </c>
      <c r="J85" s="718">
        <f>+SUMIFS('Transmission Substation Invests'!E:E,'Transmission Substation Invests'!C:C,'Tranmission Substation Detail'!E85)</f>
        <v>1083466.9601127093</v>
      </c>
      <c r="K85" s="718">
        <f t="shared" ref="K85:K107" si="10">+J85*J$157*K$169</f>
        <v>1085549.7919509537</v>
      </c>
      <c r="L85" s="719">
        <f t="shared" si="4"/>
        <v>8113588.7952133995</v>
      </c>
      <c r="N85" s="46"/>
    </row>
    <row r="86" spans="2:14">
      <c r="B86" s="693">
        <f t="shared" ref="B86:B153" si="11">+B85+1</f>
        <v>67</v>
      </c>
      <c r="C86" s="60">
        <f>+_xlfn.XLOOKUP(E86,'Transmission Substation Invests'!C:C,'Transmission Substation Invests'!B:B,"CHECK")</f>
        <v>1</v>
      </c>
      <c r="D86" s="548" t="s">
        <v>3348</v>
      </c>
      <c r="E86" s="328" t="s">
        <v>3349</v>
      </c>
      <c r="F86" s="718">
        <f>+SUMIFS('Transmission Substation Invests'!F:F,'Transmission Substation Invests'!C:C,'Tranmission Substation Detail'!E86)</f>
        <v>42882.140518699285</v>
      </c>
      <c r="G86" s="718">
        <f t="shared" si="8"/>
        <v>33701.510856066452</v>
      </c>
      <c r="H86" s="718">
        <f>+SUMIFS('Transmission Substation Invests'!D:D,'Transmission Substation Invests'!C:C,'Tranmission Substation Detail'!E86)</f>
        <v>0</v>
      </c>
      <c r="I86" s="718">
        <f t="shared" si="9"/>
        <v>0</v>
      </c>
      <c r="J86" s="718">
        <f>+SUMIFS('Transmission Substation Invests'!E:E,'Transmission Substation Invests'!C:C,'Tranmission Substation Detail'!E86)</f>
        <v>0</v>
      </c>
      <c r="K86" s="718">
        <f t="shared" si="10"/>
        <v>0</v>
      </c>
      <c r="L86" s="719">
        <f t="shared" si="4"/>
        <v>33701.510856066452</v>
      </c>
      <c r="N86" s="46"/>
    </row>
    <row r="87" spans="2:14">
      <c r="B87" s="693">
        <f t="shared" si="11"/>
        <v>68</v>
      </c>
      <c r="C87" s="60">
        <f>+_xlfn.XLOOKUP(E87,'Transmission Substation Invests'!C:C,'Transmission Substation Invests'!B:B,"CHECK")</f>
        <v>1</v>
      </c>
      <c r="D87" s="548" t="s">
        <v>3350</v>
      </c>
      <c r="E87" s="328" t="s">
        <v>3351</v>
      </c>
      <c r="F87" s="718">
        <f>+SUMIFS('Transmission Substation Invests'!F:F,'Transmission Substation Invests'!C:C,'Tranmission Substation Detail'!E87)</f>
        <v>22356.467617147777</v>
      </c>
      <c r="G87" s="718">
        <f t="shared" si="8"/>
        <v>17570.175532027239</v>
      </c>
      <c r="H87" s="718">
        <f>+SUMIFS('Transmission Substation Invests'!D:D,'Transmission Substation Invests'!C:C,'Tranmission Substation Detail'!E87)</f>
        <v>0</v>
      </c>
      <c r="I87" s="718">
        <f t="shared" si="9"/>
        <v>0</v>
      </c>
      <c r="J87" s="718">
        <f>+SUMIFS('Transmission Substation Invests'!E:E,'Transmission Substation Invests'!C:C,'Tranmission Substation Detail'!E87)</f>
        <v>23927.611246828001</v>
      </c>
      <c r="K87" s="718">
        <f t="shared" si="10"/>
        <v>23973.609133568214</v>
      </c>
      <c r="L87" s="719">
        <f t="shared" ref="L87:L143" si="12">+G87+I87+K87</f>
        <v>41543.784665595449</v>
      </c>
      <c r="N87" s="46"/>
    </row>
    <row r="88" spans="2:14">
      <c r="B88" s="693">
        <f t="shared" si="11"/>
        <v>69</v>
      </c>
      <c r="C88" s="60">
        <f>+_xlfn.XLOOKUP(E88,'Transmission Substation Invests'!C:C,'Transmission Substation Invests'!B:B,"CHECK")</f>
        <v>1</v>
      </c>
      <c r="D88" s="548" t="s">
        <v>3352</v>
      </c>
      <c r="E88" s="328" t="s">
        <v>3353</v>
      </c>
      <c r="F88" s="718">
        <f>+SUMIFS('Transmission Substation Invests'!F:F,'Transmission Substation Invests'!C:C,'Tranmission Substation Detail'!E88)</f>
        <v>1655075.0795229219</v>
      </c>
      <c r="G88" s="718">
        <f t="shared" si="8"/>
        <v>1300740.3568351232</v>
      </c>
      <c r="H88" s="718">
        <f>+SUMIFS('Transmission Substation Invests'!D:D,'Transmission Substation Invests'!C:C,'Tranmission Substation Detail'!E88)</f>
        <v>0</v>
      </c>
      <c r="I88" s="718">
        <f t="shared" si="9"/>
        <v>0</v>
      </c>
      <c r="J88" s="718">
        <f>+SUMIFS('Transmission Substation Invests'!E:E,'Transmission Substation Invests'!C:C,'Tranmission Substation Detail'!E88)</f>
        <v>253284.03399356248</v>
      </c>
      <c r="K88" s="718">
        <f t="shared" si="10"/>
        <v>253770.94136549183</v>
      </c>
      <c r="L88" s="719">
        <f t="shared" si="12"/>
        <v>1554511.298200615</v>
      </c>
      <c r="N88" s="46"/>
    </row>
    <row r="89" spans="2:14">
      <c r="B89" s="693">
        <f t="shared" si="11"/>
        <v>70</v>
      </c>
      <c r="C89" s="60">
        <f>+_xlfn.XLOOKUP(E89,'Transmission Substation Invests'!C:C,'Transmission Substation Invests'!B:B,"CHECK")</f>
        <v>7</v>
      </c>
      <c r="D89" s="548" t="s">
        <v>3354</v>
      </c>
      <c r="E89" s="328" t="s">
        <v>3355</v>
      </c>
      <c r="F89" s="718">
        <f>+SUMIFS('Transmission Substation Invests'!F:F,'Transmission Substation Invests'!C:C,'Tranmission Substation Detail'!E89)</f>
        <v>2042683.2388179465</v>
      </c>
      <c r="G89" s="718">
        <f t="shared" si="8"/>
        <v>1605365.5558194169</v>
      </c>
      <c r="H89" s="718">
        <f>+SUMIFS('Transmission Substation Invests'!D:D,'Transmission Substation Invests'!C:C,'Tranmission Substation Detail'!E89)</f>
        <v>0</v>
      </c>
      <c r="I89" s="718">
        <f t="shared" si="9"/>
        <v>0</v>
      </c>
      <c r="J89" s="718">
        <f>+SUMIFS('Transmission Substation Invests'!E:E,'Transmission Substation Invests'!C:C,'Tranmission Substation Detail'!E89)</f>
        <v>1761801.8582299426</v>
      </c>
      <c r="K89" s="718">
        <f t="shared" si="10"/>
        <v>1765188.7053956538</v>
      </c>
      <c r="L89" s="719">
        <f t="shared" si="12"/>
        <v>3370554.2612150707</v>
      </c>
      <c r="N89" s="46"/>
    </row>
    <row r="90" spans="2:14">
      <c r="B90" s="693">
        <f t="shared" si="11"/>
        <v>71</v>
      </c>
      <c r="C90" s="60">
        <f>+_xlfn.XLOOKUP(E90,'Transmission Substation Invests'!C:C,'Transmission Substation Invests'!B:B,"CHECK")</f>
        <v>7</v>
      </c>
      <c r="D90" s="548" t="s">
        <v>3356</v>
      </c>
      <c r="E90" s="328" t="s">
        <v>3357</v>
      </c>
      <c r="F90" s="718">
        <f>+SUMIFS('Transmission Substation Invests'!F:F,'Transmission Substation Invests'!C:C,'Tranmission Substation Detail'!E90)</f>
        <v>2595058.8495584247</v>
      </c>
      <c r="G90" s="718">
        <f t="shared" si="8"/>
        <v>2039483.1725433038</v>
      </c>
      <c r="H90" s="718">
        <f>+SUMIFS('Transmission Substation Invests'!D:D,'Transmission Substation Invests'!C:C,'Tranmission Substation Detail'!E90)</f>
        <v>0</v>
      </c>
      <c r="I90" s="718">
        <f t="shared" si="9"/>
        <v>0</v>
      </c>
      <c r="J90" s="718">
        <f>+SUMIFS('Transmission Substation Invests'!E:E,'Transmission Substation Invests'!C:C,'Tranmission Substation Detail'!E90)</f>
        <v>1187615.5562725165</v>
      </c>
      <c r="K90" s="718">
        <f t="shared" si="10"/>
        <v>1189898.6009644759</v>
      </c>
      <c r="L90" s="719">
        <f t="shared" si="12"/>
        <v>3229381.7735077795</v>
      </c>
      <c r="N90" s="46"/>
    </row>
    <row r="91" spans="2:14">
      <c r="B91" s="693"/>
      <c r="C91" s="60">
        <v>7</v>
      </c>
      <c r="D91" s="548" t="s">
        <v>9405</v>
      </c>
      <c r="E91" s="328" t="s">
        <v>9302</v>
      </c>
      <c r="F91" s="718">
        <f>+SUMIFS('Transmission Substation Invests'!F:F,'Transmission Substation Invests'!C:C,'Tranmission Substation Detail'!E91)</f>
        <v>7803746.1833962584</v>
      </c>
      <c r="G91" s="718">
        <f t="shared" si="8"/>
        <v>6133043.5826316234</v>
      </c>
      <c r="H91" s="718">
        <f>+SUMIFS('Transmission Substation Invests'!D:D,'Transmission Substation Invests'!C:C,'Tranmission Substation Detail'!E91)</f>
        <v>0</v>
      </c>
      <c r="I91" s="718">
        <f t="shared" si="9"/>
        <v>0</v>
      </c>
      <c r="J91" s="718">
        <f>+SUMIFS('Transmission Substation Invests'!E:E,'Transmission Substation Invests'!C:C,'Tranmission Substation Detail'!E91)</f>
        <v>0</v>
      </c>
      <c r="K91" s="718">
        <f t="shared" si="10"/>
        <v>0</v>
      </c>
      <c r="L91" s="719">
        <f t="shared" si="12"/>
        <v>6133043.5826316234</v>
      </c>
      <c r="N91" s="46"/>
    </row>
    <row r="92" spans="2:14">
      <c r="B92" s="693">
        <f>+B90+1</f>
        <v>72</v>
      </c>
      <c r="C92" s="60">
        <f>+_xlfn.XLOOKUP(E92,'Transmission Substation Invests'!C:C,'Transmission Substation Invests'!B:B,"CHECK")</f>
        <v>7</v>
      </c>
      <c r="D92" s="548" t="s">
        <v>3360</v>
      </c>
      <c r="E92" s="328" t="s">
        <v>3085</v>
      </c>
      <c r="F92" s="718">
        <f>+SUMIFS('Transmission Substation Invests'!F:F,'Transmission Substation Invests'!C:C,'Tranmission Substation Detail'!E92)</f>
        <v>4404941.9794627037</v>
      </c>
      <c r="G92" s="718">
        <f t="shared" si="8"/>
        <v>3461888.7524159462</v>
      </c>
      <c r="H92" s="718">
        <f>+SUMIFS('Transmission Substation Invests'!D:D,'Transmission Substation Invests'!C:C,'Tranmission Substation Detail'!E92)</f>
        <v>0</v>
      </c>
      <c r="I92" s="718">
        <f t="shared" si="9"/>
        <v>0</v>
      </c>
      <c r="J92" s="718">
        <f>+SUMIFS('Transmission Substation Invests'!E:E,'Transmission Substation Invests'!C:C,'Tranmission Substation Detail'!E92)</f>
        <v>1603715.0764891757</v>
      </c>
      <c r="K92" s="718">
        <f t="shared" si="10"/>
        <v>1606798.0212800687</v>
      </c>
      <c r="L92" s="719">
        <f t="shared" si="12"/>
        <v>5068686.7736960147</v>
      </c>
      <c r="N92" s="46"/>
    </row>
    <row r="93" spans="2:14">
      <c r="B93" s="693">
        <f t="shared" si="11"/>
        <v>73</v>
      </c>
      <c r="C93" s="60">
        <f>+_xlfn.XLOOKUP(E93,'Transmission Substation Invests'!C:C,'Transmission Substation Invests'!B:B,"CHECK")</f>
        <v>1</v>
      </c>
      <c r="D93" s="548" t="s">
        <v>3361</v>
      </c>
      <c r="E93" s="328" t="s">
        <v>3086</v>
      </c>
      <c r="F93" s="718">
        <f>+SUMIFS('Transmission Substation Invests'!F:F,'Transmission Substation Invests'!C:C,'Tranmission Substation Detail'!E93)</f>
        <v>4091613.3772911672</v>
      </c>
      <c r="G93" s="718">
        <f t="shared" si="8"/>
        <v>3215640.6136833308</v>
      </c>
      <c r="H93" s="718">
        <f>+SUMIFS('Transmission Substation Invests'!D:D,'Transmission Substation Invests'!C:C,'Tranmission Substation Detail'!E93)</f>
        <v>0</v>
      </c>
      <c r="I93" s="718">
        <f t="shared" si="9"/>
        <v>0</v>
      </c>
      <c r="J93" s="718">
        <f>+SUMIFS('Transmission Substation Invests'!E:E,'Transmission Substation Invests'!C:C,'Tranmission Substation Detail'!E93)</f>
        <v>1050629.7527805269</v>
      </c>
      <c r="K93" s="718">
        <f t="shared" si="10"/>
        <v>1052649.4591304746</v>
      </c>
      <c r="L93" s="719">
        <f t="shared" si="12"/>
        <v>4268290.0728138052</v>
      </c>
      <c r="N93" s="46"/>
    </row>
    <row r="94" spans="2:14">
      <c r="B94" s="693">
        <f t="shared" si="11"/>
        <v>74</v>
      </c>
      <c r="C94" s="60">
        <f>+_xlfn.XLOOKUP(E94,'Transmission Substation Invests'!C:C,'Transmission Substation Invests'!B:B,"CHECK")</f>
        <v>7</v>
      </c>
      <c r="D94" s="548" t="s">
        <v>3362</v>
      </c>
      <c r="E94" s="328" t="s">
        <v>3087</v>
      </c>
      <c r="F94" s="718">
        <f>+SUMIFS('Transmission Substation Invests'!F:F,'Transmission Substation Invests'!C:C,'Tranmission Substation Detail'!E94)</f>
        <v>5256658.6356404871</v>
      </c>
      <c r="G94" s="718">
        <f t="shared" si="8"/>
        <v>4131261.5446148664</v>
      </c>
      <c r="H94" s="718">
        <f>+SUMIFS('Transmission Substation Invests'!D:D,'Transmission Substation Invests'!C:C,'Tranmission Substation Detail'!E94)</f>
        <v>0</v>
      </c>
      <c r="I94" s="718">
        <f t="shared" si="9"/>
        <v>0</v>
      </c>
      <c r="J94" s="718">
        <f>+SUMIFS('Transmission Substation Invests'!E:E,'Transmission Substation Invests'!C:C,'Tranmission Substation Detail'!E94)</f>
        <v>653268.89505058515</v>
      </c>
      <c r="K94" s="718">
        <f t="shared" si="10"/>
        <v>654524.72407319292</v>
      </c>
      <c r="L94" s="719">
        <f t="shared" si="12"/>
        <v>4785786.2686880594</v>
      </c>
      <c r="N94" s="46"/>
    </row>
    <row r="95" spans="2:14">
      <c r="B95" s="693">
        <f t="shared" si="11"/>
        <v>75</v>
      </c>
      <c r="C95" s="60">
        <f>+_xlfn.XLOOKUP(E95,'Transmission Substation Invests'!C:C,'Transmission Substation Invests'!B:B,"CHECK")</f>
        <v>1</v>
      </c>
      <c r="D95" s="548" t="s">
        <v>3363</v>
      </c>
      <c r="E95" s="328" t="s">
        <v>3088</v>
      </c>
      <c r="F95" s="718">
        <f>+SUMIFS('Transmission Substation Invests'!F:F,'Transmission Substation Invests'!C:C,'Tranmission Substation Detail'!E95)</f>
        <v>3685020.1415376933</v>
      </c>
      <c r="G95" s="718">
        <f t="shared" si="8"/>
        <v>2896094.8498058585</v>
      </c>
      <c r="H95" s="718">
        <f>+SUMIFS('Transmission Substation Invests'!D:D,'Transmission Substation Invests'!C:C,'Tranmission Substation Detail'!E95)</f>
        <v>0</v>
      </c>
      <c r="I95" s="718">
        <f t="shared" si="9"/>
        <v>0</v>
      </c>
      <c r="J95" s="718">
        <f>+SUMIFS('Transmission Substation Invests'!E:E,'Transmission Substation Invests'!C:C,'Tranmission Substation Detail'!E95)</f>
        <v>871536.68906937563</v>
      </c>
      <c r="K95" s="718">
        <f t="shared" si="10"/>
        <v>873212.11105363537</v>
      </c>
      <c r="L95" s="719">
        <f t="shared" si="12"/>
        <v>3769306.9608594938</v>
      </c>
      <c r="N95" s="46"/>
    </row>
    <row r="96" spans="2:14">
      <c r="B96" s="693">
        <f t="shared" si="11"/>
        <v>76</v>
      </c>
      <c r="C96" s="60">
        <f>+_xlfn.XLOOKUP(E96,'Transmission Substation Invests'!C:C,'Transmission Substation Invests'!B:B,"CHECK")</f>
        <v>1</v>
      </c>
      <c r="D96" s="548" t="s">
        <v>3364</v>
      </c>
      <c r="E96" s="328" t="s">
        <v>3089</v>
      </c>
      <c r="F96" s="718">
        <f>+SUMIFS('Transmission Substation Invests'!F:F,'Transmission Substation Invests'!C:C,'Tranmission Substation Detail'!E96)</f>
        <v>3323317.0147006689</v>
      </c>
      <c r="G96" s="718">
        <f t="shared" si="8"/>
        <v>2611828.6795932124</v>
      </c>
      <c r="H96" s="718">
        <f>+SUMIFS('Transmission Substation Invests'!D:D,'Transmission Substation Invests'!C:C,'Tranmission Substation Detail'!E96)</f>
        <v>0</v>
      </c>
      <c r="I96" s="718">
        <f t="shared" si="9"/>
        <v>0</v>
      </c>
      <c r="J96" s="718">
        <f>+SUMIFS('Transmission Substation Invests'!E:E,'Transmission Substation Invests'!C:C,'Tranmission Substation Detail'!E96)</f>
        <v>985386.05344691675</v>
      </c>
      <c r="K96" s="718">
        <f t="shared" si="10"/>
        <v>987280.33681746619</v>
      </c>
      <c r="L96" s="719">
        <f t="shared" si="12"/>
        <v>3599109.0164106786</v>
      </c>
      <c r="N96" s="46"/>
    </row>
    <row r="97" spans="2:14">
      <c r="B97" s="693">
        <f t="shared" si="11"/>
        <v>77</v>
      </c>
      <c r="C97" s="60">
        <f>+_xlfn.XLOOKUP(E97,'Transmission Substation Invests'!C:C,'Transmission Substation Invests'!B:B,"CHECK")</f>
        <v>1</v>
      </c>
      <c r="D97" s="548" t="s">
        <v>3365</v>
      </c>
      <c r="E97" s="328" t="s">
        <v>3090</v>
      </c>
      <c r="F97" s="718">
        <f>+SUMIFS('Transmission Substation Invests'!F:F,'Transmission Substation Invests'!C:C,'Tranmission Substation Detail'!E97)</f>
        <v>4761061.0805932032</v>
      </c>
      <c r="G97" s="718">
        <f t="shared" si="8"/>
        <v>3741766.3799697445</v>
      </c>
      <c r="H97" s="718">
        <f>+SUMIFS('Transmission Substation Invests'!D:D,'Transmission Substation Invests'!C:C,'Tranmission Substation Detail'!E97)</f>
        <v>0</v>
      </c>
      <c r="I97" s="718">
        <f t="shared" si="9"/>
        <v>0</v>
      </c>
      <c r="J97" s="718">
        <f>+SUMIFS('Transmission Substation Invests'!E:E,'Transmission Substation Invests'!C:C,'Tranmission Substation Detail'!E97)</f>
        <v>1275087.4250396453</v>
      </c>
      <c r="K97" s="718">
        <f t="shared" si="10"/>
        <v>1277538.6236300862</v>
      </c>
      <c r="L97" s="719">
        <f t="shared" si="12"/>
        <v>5019305.0035998309</v>
      </c>
      <c r="N97" s="46"/>
    </row>
    <row r="98" spans="2:14">
      <c r="B98" s="693"/>
      <c r="C98" s="60">
        <v>1</v>
      </c>
      <c r="D98" s="548" t="s">
        <v>9449</v>
      </c>
      <c r="E98" s="328" t="s">
        <v>9401</v>
      </c>
      <c r="F98" s="718">
        <f>+SUMIFS('Transmission Substation Invests'!F:F,'Transmission Substation Invests'!C:C,'Tranmission Substation Detail'!E98)</f>
        <v>78472.667601144451</v>
      </c>
      <c r="G98" s="718">
        <f t="shared" si="8"/>
        <v>61672.468469973719</v>
      </c>
      <c r="H98" s="718">
        <f>+SUMIFS('Transmission Substation Invests'!D:D,'Transmission Substation Invests'!C:C,'Tranmission Substation Detail'!E98)</f>
        <v>0</v>
      </c>
      <c r="I98" s="718">
        <f t="shared" si="9"/>
        <v>0</v>
      </c>
      <c r="J98" s="718">
        <f>+SUMIFS('Transmission Substation Invests'!E:E,'Transmission Substation Invests'!C:C,'Tranmission Substation Detail'!E98)</f>
        <v>0</v>
      </c>
      <c r="K98" s="718">
        <f t="shared" si="10"/>
        <v>0</v>
      </c>
      <c r="L98" s="719">
        <f t="shared" ref="L98" si="13">+G98+I98+K98</f>
        <v>61672.468469973719</v>
      </c>
      <c r="N98" s="46"/>
    </row>
    <row r="99" spans="2:14">
      <c r="B99" s="693">
        <f>+B97+1</f>
        <v>78</v>
      </c>
      <c r="C99" s="60">
        <f>+_xlfn.XLOOKUP(E99,'Transmission Substation Invests'!C:C,'Transmission Substation Invests'!B:B,"CHECK")</f>
        <v>1</v>
      </c>
      <c r="D99" s="548" t="s">
        <v>3366</v>
      </c>
      <c r="E99" s="328" t="s">
        <v>3091</v>
      </c>
      <c r="F99" s="718">
        <f>+SUMIFS('Transmission Substation Invests'!F:F,'Transmission Substation Invests'!C:C,'Tranmission Substation Detail'!E99)</f>
        <v>3428178.3785473048</v>
      </c>
      <c r="G99" s="718">
        <f t="shared" si="8"/>
        <v>2694240.2931300486</v>
      </c>
      <c r="H99" s="718">
        <f>+SUMIFS('Transmission Substation Invests'!D:D,'Transmission Substation Invests'!C:C,'Tranmission Substation Detail'!E99)</f>
        <v>0</v>
      </c>
      <c r="I99" s="718">
        <f t="shared" si="9"/>
        <v>0</v>
      </c>
      <c r="J99" s="718">
        <f>+SUMIFS('Transmission Substation Invests'!E:E,'Transmission Substation Invests'!C:C,'Tranmission Substation Detail'!E99)</f>
        <v>993383.30689313088</v>
      </c>
      <c r="K99" s="718">
        <f t="shared" si="10"/>
        <v>995292.96399883751</v>
      </c>
      <c r="L99" s="719">
        <f t="shared" si="12"/>
        <v>3689533.2571288859</v>
      </c>
      <c r="N99" s="46"/>
    </row>
    <row r="100" spans="2:14">
      <c r="B100" s="693">
        <f t="shared" si="11"/>
        <v>79</v>
      </c>
      <c r="C100" s="60">
        <f>+_xlfn.XLOOKUP(E100,'Transmission Substation Invests'!C:C,'Transmission Substation Invests'!B:B,"CHECK")</f>
        <v>1</v>
      </c>
      <c r="D100" s="548" t="s">
        <v>3367</v>
      </c>
      <c r="E100" s="328" t="s">
        <v>3092</v>
      </c>
      <c r="F100" s="718">
        <f>+SUMIFS('Transmission Substation Invests'!F:F,'Transmission Substation Invests'!C:C,'Tranmission Substation Detail'!E100)</f>
        <v>3022991.3316159877</v>
      </c>
      <c r="G100" s="718">
        <f t="shared" si="8"/>
        <v>2375799.6673656073</v>
      </c>
      <c r="H100" s="718">
        <f>+SUMIFS('Transmission Substation Invests'!D:D,'Transmission Substation Invests'!C:C,'Tranmission Substation Detail'!E100)</f>
        <v>0</v>
      </c>
      <c r="I100" s="718">
        <f t="shared" si="9"/>
        <v>0</v>
      </c>
      <c r="J100" s="718">
        <f>+SUMIFS('Transmission Substation Invests'!E:E,'Transmission Substation Invests'!C:C,'Tranmission Substation Detail'!E100)</f>
        <v>917937.8654819018</v>
      </c>
      <c r="K100" s="718">
        <f t="shared" si="10"/>
        <v>919702.48801506788</v>
      </c>
      <c r="L100" s="719">
        <f t="shared" si="12"/>
        <v>3295502.1553806751</v>
      </c>
      <c r="N100" s="46"/>
    </row>
    <row r="101" spans="2:14">
      <c r="B101" s="693">
        <f t="shared" si="11"/>
        <v>80</v>
      </c>
      <c r="C101" s="60">
        <f>+_xlfn.XLOOKUP(E101,'Transmission Substation Invests'!C:C,'Transmission Substation Invests'!B:B,"CHECK")</f>
        <v>1</v>
      </c>
      <c r="D101" s="548" t="s">
        <v>3368</v>
      </c>
      <c r="E101" s="328" t="s">
        <v>3095</v>
      </c>
      <c r="F101" s="718">
        <f>+SUMIFS('Transmission Substation Invests'!F:F,'Transmission Substation Invests'!C:C,'Tranmission Substation Detail'!E101)</f>
        <v>4208279.1922712335</v>
      </c>
      <c r="G101" s="718">
        <f t="shared" si="8"/>
        <v>3307329.4655578784</v>
      </c>
      <c r="H101" s="718">
        <f>+SUMIFS('Transmission Substation Invests'!D:D,'Transmission Substation Invests'!C:C,'Tranmission Substation Detail'!E101)</f>
        <v>0</v>
      </c>
      <c r="I101" s="718">
        <f t="shared" si="9"/>
        <v>0</v>
      </c>
      <c r="J101" s="718">
        <f>+SUMIFS('Transmission Substation Invests'!E:E,'Transmission Substation Invests'!C:C,'Tranmission Substation Detail'!E101)</f>
        <v>1261086.6311912311</v>
      </c>
      <c r="K101" s="718">
        <f t="shared" si="10"/>
        <v>1263510.9149792262</v>
      </c>
      <c r="L101" s="719">
        <f t="shared" si="12"/>
        <v>4570840.3805371048</v>
      </c>
      <c r="N101" s="46"/>
    </row>
    <row r="102" spans="2:14">
      <c r="B102" s="693">
        <f t="shared" si="11"/>
        <v>81</v>
      </c>
      <c r="C102" s="60">
        <f>+_xlfn.XLOOKUP(E102,'Transmission Substation Invests'!C:C,'Transmission Substation Invests'!B:B,"CHECK")</f>
        <v>7</v>
      </c>
      <c r="D102" s="548" t="s">
        <v>3369</v>
      </c>
      <c r="E102" s="328" t="s">
        <v>3370</v>
      </c>
      <c r="F102" s="718">
        <f>+SUMIFS('Transmission Substation Invests'!F:F,'Transmission Substation Invests'!C:C,'Tranmission Substation Detail'!E102)</f>
        <v>6000914.3623938179</v>
      </c>
      <c r="G102" s="718">
        <f t="shared" si="8"/>
        <v>4716179.698220782</v>
      </c>
      <c r="H102" s="718">
        <f>+SUMIFS('Transmission Substation Invests'!D:D,'Transmission Substation Invests'!C:C,'Tranmission Substation Detail'!E102)</f>
        <v>0</v>
      </c>
      <c r="I102" s="718">
        <f t="shared" si="9"/>
        <v>0</v>
      </c>
      <c r="J102" s="718">
        <f>+SUMIFS('Transmission Substation Invests'!E:E,'Transmission Substation Invests'!C:C,'Tranmission Substation Detail'!E102)</f>
        <v>1215940.9441470755</v>
      </c>
      <c r="K102" s="718">
        <f t="shared" si="10"/>
        <v>1218278.4409099035</v>
      </c>
      <c r="L102" s="719">
        <f t="shared" si="12"/>
        <v>5934458.1391306855</v>
      </c>
      <c r="N102" s="46"/>
    </row>
    <row r="103" spans="2:14">
      <c r="B103" s="693">
        <f t="shared" si="11"/>
        <v>82</v>
      </c>
      <c r="C103" s="60">
        <f>+_xlfn.XLOOKUP(E103,'Transmission Substation Invests'!C:C,'Transmission Substation Invests'!B:B,"CHECK")</f>
        <v>7</v>
      </c>
      <c r="D103" s="548" t="s">
        <v>3371</v>
      </c>
      <c r="E103" s="328" t="s">
        <v>3372</v>
      </c>
      <c r="F103" s="718">
        <f>+SUMIFS('Transmission Substation Invests'!F:F,'Transmission Substation Invests'!C:C,'Tranmission Substation Detail'!E103)</f>
        <v>3986891.5122632398</v>
      </c>
      <c r="G103" s="718">
        <f t="shared" si="8"/>
        <v>3133338.6336884839</v>
      </c>
      <c r="H103" s="718">
        <f>+SUMIFS('Transmission Substation Invests'!D:D,'Transmission Substation Invests'!C:C,'Tranmission Substation Detail'!E103)</f>
        <v>0</v>
      </c>
      <c r="I103" s="718">
        <f t="shared" si="9"/>
        <v>0</v>
      </c>
      <c r="J103" s="718">
        <f>+SUMIFS('Transmission Substation Invests'!E:E,'Transmission Substation Invests'!C:C,'Tranmission Substation Detail'!E103)</f>
        <v>1026404.8155843362</v>
      </c>
      <c r="K103" s="718">
        <f t="shared" si="10"/>
        <v>1028377.9524750117</v>
      </c>
      <c r="L103" s="719">
        <f t="shared" si="12"/>
        <v>4161716.5861634957</v>
      </c>
      <c r="N103" s="46"/>
    </row>
    <row r="104" spans="2:14">
      <c r="B104" s="693">
        <f t="shared" si="11"/>
        <v>83</v>
      </c>
      <c r="C104" s="60">
        <f>+_xlfn.XLOOKUP(E104,'Transmission Substation Invests'!C:C,'Transmission Substation Invests'!B:B,"CHECK")</f>
        <v>1</v>
      </c>
      <c r="D104" s="548" t="s">
        <v>8318</v>
      </c>
      <c r="E104" t="s">
        <v>8275</v>
      </c>
      <c r="F104" s="718">
        <f>+SUMIFS('Transmission Substation Invests'!F:F,'Transmission Substation Invests'!C:C,'Tranmission Substation Detail'!E104)</f>
        <v>3424714.3275893186</v>
      </c>
      <c r="G104" s="718">
        <f t="shared" si="8"/>
        <v>2691517.8602114855</v>
      </c>
      <c r="H104" s="718">
        <f>+SUMIFS('Transmission Substation Invests'!D:D,'Transmission Substation Invests'!C:C,'Tranmission Substation Detail'!E104)</f>
        <v>0</v>
      </c>
      <c r="I104" s="718">
        <f t="shared" si="9"/>
        <v>0</v>
      </c>
      <c r="J104" s="718">
        <f>+SUMIFS('Transmission Substation Invests'!E:E,'Transmission Substation Invests'!C:C,'Tranmission Substation Detail'!E104)</f>
        <v>0</v>
      </c>
      <c r="K104" s="718">
        <f t="shared" si="10"/>
        <v>0</v>
      </c>
      <c r="L104" s="719">
        <f>+G104+I104+K104</f>
        <v>2691517.8602114855</v>
      </c>
      <c r="N104" s="46"/>
    </row>
    <row r="105" spans="2:14">
      <c r="B105" s="693">
        <f t="shared" si="11"/>
        <v>84</v>
      </c>
      <c r="C105" s="60">
        <f>+_xlfn.XLOOKUP(E105,'Transmission Substation Invests'!C:C,'Transmission Substation Invests'!B:B,"CHECK")</f>
        <v>1</v>
      </c>
      <c r="D105" s="548" t="s">
        <v>3373</v>
      </c>
      <c r="E105" s="328" t="s">
        <v>3096</v>
      </c>
      <c r="F105" s="718">
        <f>+SUMIFS('Transmission Substation Invests'!F:F,'Transmission Substation Invests'!C:C,'Tranmission Substation Detail'!E105)</f>
        <v>4643075.6271529524</v>
      </c>
      <c r="G105" s="718">
        <f t="shared" si="8"/>
        <v>3649040.4107928881</v>
      </c>
      <c r="H105" s="718">
        <f>+SUMIFS('Transmission Substation Invests'!D:D,'Transmission Substation Invests'!C:C,'Tranmission Substation Detail'!E105)</f>
        <v>0</v>
      </c>
      <c r="I105" s="718">
        <f t="shared" si="9"/>
        <v>0</v>
      </c>
      <c r="J105" s="718">
        <f>+SUMIFS('Transmission Substation Invests'!E:E,'Transmission Substation Invests'!C:C,'Tranmission Substation Detail'!E105)</f>
        <v>1455615.1882804267</v>
      </c>
      <c r="K105" s="718">
        <f t="shared" si="10"/>
        <v>1458413.4292697664</v>
      </c>
      <c r="L105" s="719">
        <f t="shared" si="12"/>
        <v>5107453.8400626546</v>
      </c>
      <c r="N105" s="46"/>
    </row>
    <row r="106" spans="2:14">
      <c r="B106" s="693">
        <f t="shared" si="11"/>
        <v>85</v>
      </c>
      <c r="C106" s="60">
        <f>+_xlfn.XLOOKUP(E106,'Transmission Substation Invests'!C:C,'Transmission Substation Invests'!B:B,"CHECK")</f>
        <v>7</v>
      </c>
      <c r="D106" s="548" t="s">
        <v>3374</v>
      </c>
      <c r="E106" s="328" t="s">
        <v>3097</v>
      </c>
      <c r="F106" s="718">
        <f>+SUMIFS('Transmission Substation Invests'!F:F,'Transmission Substation Invests'!C:C,'Tranmission Substation Detail'!E106)</f>
        <v>4733425.0408957629</v>
      </c>
      <c r="G106" s="718">
        <f t="shared" si="8"/>
        <v>3720046.9349836474</v>
      </c>
      <c r="H106" s="718">
        <f>+SUMIFS('Transmission Substation Invests'!D:D,'Transmission Substation Invests'!C:C,'Tranmission Substation Detail'!E106)</f>
        <v>0</v>
      </c>
      <c r="I106" s="718">
        <f t="shared" si="9"/>
        <v>0</v>
      </c>
      <c r="J106" s="718">
        <f>+SUMIFS('Transmission Substation Invests'!E:E,'Transmission Substation Invests'!C:C,'Tranmission Substation Detail'!E106)</f>
        <v>1279112.5259911204</v>
      </c>
      <c r="K106" s="718">
        <f t="shared" si="10"/>
        <v>1281571.4623425845</v>
      </c>
      <c r="L106" s="719">
        <f t="shared" si="12"/>
        <v>5001618.3973262319</v>
      </c>
      <c r="N106" s="46"/>
    </row>
    <row r="107" spans="2:14">
      <c r="B107" s="693">
        <f t="shared" si="11"/>
        <v>86</v>
      </c>
      <c r="C107" s="60">
        <f>+_xlfn.XLOOKUP(E107,'Transmission Substation Invests'!C:C,'Transmission Substation Invests'!B:B,"CHECK")</f>
        <v>1</v>
      </c>
      <c r="D107" s="548" t="s">
        <v>3375</v>
      </c>
      <c r="E107" s="328" t="s">
        <v>3098</v>
      </c>
      <c r="F107" s="718">
        <f>+SUMIFS('Transmission Substation Invests'!F:F,'Transmission Substation Invests'!C:C,'Tranmission Substation Detail'!E107)</f>
        <v>4368958.4119129498</v>
      </c>
      <c r="G107" s="718">
        <f t="shared" si="8"/>
        <v>3433608.9002968753</v>
      </c>
      <c r="H107" s="718">
        <f>+SUMIFS('Transmission Substation Invests'!D:D,'Transmission Substation Invests'!C:C,'Tranmission Substation Detail'!E107)</f>
        <v>0</v>
      </c>
      <c r="I107" s="718">
        <f t="shared" si="9"/>
        <v>0</v>
      </c>
      <c r="J107" s="718">
        <f>+SUMIFS('Transmission Substation Invests'!E:E,'Transmission Substation Invests'!C:C,'Tranmission Substation Detail'!E107)</f>
        <v>1460623.9086397248</v>
      </c>
      <c r="K107" s="718">
        <f t="shared" si="10"/>
        <v>1463431.7782772996</v>
      </c>
      <c r="L107" s="719">
        <f t="shared" si="12"/>
        <v>4897040.6785741746</v>
      </c>
      <c r="N107" s="46"/>
    </row>
    <row r="108" spans="2:14">
      <c r="B108" s="693"/>
      <c r="C108" s="60">
        <v>1</v>
      </c>
      <c r="D108" s="548" t="s">
        <v>9450</v>
      </c>
      <c r="E108" s="328" t="s">
        <v>9402</v>
      </c>
      <c r="F108" s="718">
        <f>+SUMIFS('Transmission Substation Invests'!F:F,'Transmission Substation Invests'!C:C,'Tranmission Substation Detail'!E108)</f>
        <v>114628.31763528926</v>
      </c>
      <c r="G108" s="718">
        <f t="shared" ref="G108:G111" si="14">+F108*F$157*G$169</f>
        <v>90087.561965657049</v>
      </c>
      <c r="H108" s="718">
        <f>+SUMIFS('Transmission Substation Invests'!D:D,'Transmission Substation Invests'!C:C,'Tranmission Substation Detail'!E108)</f>
        <v>0</v>
      </c>
      <c r="I108" s="718">
        <f t="shared" ref="I108:I111" si="15">+H108*H$157*I$169</f>
        <v>0</v>
      </c>
      <c r="J108" s="718">
        <f>+SUMIFS('Transmission Substation Invests'!E:E,'Transmission Substation Invests'!C:C,'Tranmission Substation Detail'!E108)</f>
        <v>0</v>
      </c>
      <c r="K108" s="718">
        <f t="shared" ref="K108:K111" si="16">+J108*J$157*K$169</f>
        <v>0</v>
      </c>
      <c r="L108" s="719">
        <f t="shared" ref="L108:L111" si="17">+G108+I108+K108</f>
        <v>90087.561965657049</v>
      </c>
      <c r="N108" s="46"/>
    </row>
    <row r="109" spans="2:14">
      <c r="B109" s="693"/>
      <c r="C109" s="60">
        <v>1</v>
      </c>
      <c r="D109" s="548" t="s">
        <v>9451</v>
      </c>
      <c r="E109" s="328" t="s">
        <v>9403</v>
      </c>
      <c r="F109" s="718">
        <f>+SUMIFS('Transmission Substation Invests'!F:F,'Transmission Substation Invests'!C:C,'Tranmission Substation Detail'!E109)</f>
        <v>1372916.8265359427</v>
      </c>
      <c r="G109" s="718">
        <f t="shared" si="14"/>
        <v>1078989.3129005781</v>
      </c>
      <c r="H109" s="718">
        <f>+SUMIFS('Transmission Substation Invests'!D:D,'Transmission Substation Invests'!C:C,'Tranmission Substation Detail'!E109)</f>
        <v>0</v>
      </c>
      <c r="I109" s="718">
        <f t="shared" si="15"/>
        <v>0</v>
      </c>
      <c r="J109" s="718">
        <f>+SUMIFS('Transmission Substation Invests'!E:E,'Transmission Substation Invests'!C:C,'Tranmission Substation Detail'!E109)</f>
        <v>0</v>
      </c>
      <c r="K109" s="718">
        <f t="shared" si="16"/>
        <v>0</v>
      </c>
      <c r="L109" s="719">
        <f t="shared" si="17"/>
        <v>1078989.3129005781</v>
      </c>
      <c r="N109" s="46"/>
    </row>
    <row r="110" spans="2:14">
      <c r="B110" s="693">
        <f>+B107+1</f>
        <v>87</v>
      </c>
      <c r="C110" s="60">
        <f>+_xlfn.XLOOKUP(E110,'Transmission Substation Invests'!C:C,'Transmission Substation Invests'!B:B,"CHECK")</f>
        <v>1</v>
      </c>
      <c r="D110" s="548" t="s">
        <v>8319</v>
      </c>
      <c r="E110" t="s">
        <v>8276</v>
      </c>
      <c r="F110" s="718">
        <f>+SUMIFS('Transmission Substation Invests'!F:F,'Transmission Substation Invests'!C:C,'Tranmission Substation Detail'!E110)</f>
        <v>123383.14130864672</v>
      </c>
      <c r="G110" s="718">
        <f t="shared" si="14"/>
        <v>96968.067031441809</v>
      </c>
      <c r="H110" s="718">
        <f>+SUMIFS('Transmission Substation Invests'!D:D,'Transmission Substation Invests'!C:C,'Tranmission Substation Detail'!E110)</f>
        <v>0</v>
      </c>
      <c r="I110" s="718">
        <f t="shared" si="15"/>
        <v>0</v>
      </c>
      <c r="J110" s="718">
        <f>+SUMIFS('Transmission Substation Invests'!E:E,'Transmission Substation Invests'!C:C,'Tranmission Substation Detail'!E110)</f>
        <v>0</v>
      </c>
      <c r="K110" s="718">
        <f t="shared" si="16"/>
        <v>0</v>
      </c>
      <c r="L110" s="719">
        <f t="shared" si="17"/>
        <v>96968.067031441809</v>
      </c>
      <c r="N110" s="46"/>
    </row>
    <row r="111" spans="2:14">
      <c r="B111" s="693"/>
      <c r="C111" s="60">
        <v>1</v>
      </c>
      <c r="D111" s="548" t="s">
        <v>9452</v>
      </c>
      <c r="E111" s="328" t="s">
        <v>9404</v>
      </c>
      <c r="F111" s="718">
        <f>+SUMIFS('Transmission Substation Invests'!F:F,'Transmission Substation Invests'!C:C,'Tranmission Substation Detail'!E111)</f>
        <v>40263.228389381373</v>
      </c>
      <c r="G111" s="718">
        <f t="shared" si="14"/>
        <v>31643.281148088041</v>
      </c>
      <c r="H111" s="718">
        <f>+SUMIFS('Transmission Substation Invests'!D:D,'Transmission Substation Invests'!C:C,'Tranmission Substation Detail'!E111)</f>
        <v>0</v>
      </c>
      <c r="I111" s="718">
        <f t="shared" si="15"/>
        <v>0</v>
      </c>
      <c r="J111" s="718">
        <f>+SUMIFS('Transmission Substation Invests'!E:E,'Transmission Substation Invests'!C:C,'Tranmission Substation Detail'!E111)</f>
        <v>0</v>
      </c>
      <c r="K111" s="718">
        <f t="shared" si="16"/>
        <v>0</v>
      </c>
      <c r="L111" s="719">
        <f t="shared" si="17"/>
        <v>31643.281148088041</v>
      </c>
      <c r="N111" s="46"/>
    </row>
    <row r="112" spans="2:14">
      <c r="B112" s="693">
        <f>+B110+1</f>
        <v>88</v>
      </c>
      <c r="C112" s="60">
        <f>+_xlfn.XLOOKUP(E112,'Transmission Substation Invests'!C:C,'Transmission Substation Invests'!B:B,"CHECK")</f>
        <v>7</v>
      </c>
      <c r="D112" s="548" t="s">
        <v>3376</v>
      </c>
      <c r="E112" s="328" t="s">
        <v>3377</v>
      </c>
      <c r="F112" s="718">
        <f>+SUMIFS('Transmission Substation Invests'!F:F,'Transmission Substation Invests'!C:C,'Tranmission Substation Detail'!E112)</f>
        <v>251412.50969586175</v>
      </c>
      <c r="G112" s="718">
        <f t="shared" ref="G112:G143" si="18">+F112*F$157*G$169</f>
        <v>197587.65123143164</v>
      </c>
      <c r="H112" s="718">
        <f>+SUMIFS('Transmission Substation Invests'!D:D,'Transmission Substation Invests'!C:C,'Tranmission Substation Detail'!E112)</f>
        <v>0</v>
      </c>
      <c r="I112" s="718">
        <f t="shared" ref="I112:I143" si="19">+H112*H$157*I$169</f>
        <v>0</v>
      </c>
      <c r="J112" s="718">
        <f>+SUMIFS('Transmission Substation Invests'!E:E,'Transmission Substation Invests'!C:C,'Tranmission Substation Detail'!E112)</f>
        <v>0</v>
      </c>
      <c r="K112" s="718">
        <f t="shared" ref="K112:K143" si="20">+J112*J$157*K$169</f>
        <v>0</v>
      </c>
      <c r="L112" s="719">
        <f t="shared" si="12"/>
        <v>197587.65123143164</v>
      </c>
      <c r="N112" s="46"/>
    </row>
    <row r="113" spans="2:14">
      <c r="B113" s="693">
        <f t="shared" si="11"/>
        <v>89</v>
      </c>
      <c r="C113" s="60">
        <f>+_xlfn.XLOOKUP(E113,'Transmission Substation Invests'!C:C,'Transmission Substation Invests'!B:B,"CHECK")</f>
        <v>1</v>
      </c>
      <c r="D113" s="548" t="s">
        <v>3378</v>
      </c>
      <c r="E113" s="328" t="s">
        <v>3379</v>
      </c>
      <c r="F113" s="718">
        <f>+SUMIFS('Transmission Substation Invests'!F:F,'Transmission Substation Invests'!C:C,'Tranmission Substation Detail'!E113)</f>
        <v>-4482.2905105977643</v>
      </c>
      <c r="G113" s="718">
        <f t="shared" si="18"/>
        <v>-3522.6777505913597</v>
      </c>
      <c r="H113" s="718">
        <f>+SUMIFS('Transmission Substation Invests'!D:D,'Transmission Substation Invests'!C:C,'Tranmission Substation Detail'!E113)</f>
        <v>0</v>
      </c>
      <c r="I113" s="718">
        <f t="shared" si="19"/>
        <v>0</v>
      </c>
      <c r="J113" s="718">
        <f>+SUMIFS('Transmission Substation Invests'!E:E,'Transmission Substation Invests'!C:C,'Tranmission Substation Detail'!E113)</f>
        <v>0</v>
      </c>
      <c r="K113" s="718">
        <f t="shared" si="20"/>
        <v>0</v>
      </c>
      <c r="L113" s="719">
        <f t="shared" si="12"/>
        <v>-3522.6777505913597</v>
      </c>
      <c r="N113" s="46"/>
    </row>
    <row r="114" spans="2:14">
      <c r="B114" s="693">
        <f t="shared" si="11"/>
        <v>90</v>
      </c>
      <c r="C114" s="60">
        <f>+_xlfn.XLOOKUP(E114,'Transmission Substation Invests'!C:C,'Transmission Substation Invests'!B:B,"CHECK")</f>
        <v>7</v>
      </c>
      <c r="D114" s="548" t="s">
        <v>3380</v>
      </c>
      <c r="E114" s="328" t="s">
        <v>3381</v>
      </c>
      <c r="F114" s="718">
        <f>+SUMIFS('Transmission Substation Invests'!F:F,'Transmission Substation Invests'!C:C,'Tranmission Substation Detail'!E114)</f>
        <v>19583.801315385463</v>
      </c>
      <c r="G114" s="718">
        <f t="shared" si="18"/>
        <v>15391.108854412456</v>
      </c>
      <c r="H114" s="718">
        <f>+SUMIFS('Transmission Substation Invests'!D:D,'Transmission Substation Invests'!C:C,'Tranmission Substation Detail'!E114)</f>
        <v>0</v>
      </c>
      <c r="I114" s="718">
        <f t="shared" si="19"/>
        <v>0</v>
      </c>
      <c r="J114" s="718">
        <f>+SUMIFS('Transmission Substation Invests'!E:E,'Transmission Substation Invests'!C:C,'Tranmission Substation Detail'!E114)</f>
        <v>16233.793187292174</v>
      </c>
      <c r="K114" s="718">
        <f t="shared" si="20"/>
        <v>16265.00065604826</v>
      </c>
      <c r="L114" s="719">
        <f t="shared" si="12"/>
        <v>31656.109510460716</v>
      </c>
      <c r="N114" s="46"/>
    </row>
    <row r="115" spans="2:14">
      <c r="B115" s="693">
        <f t="shared" si="11"/>
        <v>91</v>
      </c>
      <c r="C115" s="60">
        <f>+_xlfn.XLOOKUP(E115,'Transmission Substation Invests'!C:C,'Transmission Substation Invests'!B:B,"CHECK")</f>
        <v>7</v>
      </c>
      <c r="D115" s="548" t="s">
        <v>3382</v>
      </c>
      <c r="E115" s="328" t="s">
        <v>3383</v>
      </c>
      <c r="F115" s="718">
        <f>+SUMIFS('Transmission Substation Invests'!F:F,'Transmission Substation Invests'!C:C,'Tranmission Substation Detail'!E115)</f>
        <v>9288360.8341350742</v>
      </c>
      <c r="G115" s="718">
        <f t="shared" si="18"/>
        <v>7299817.3528712802</v>
      </c>
      <c r="H115" s="718">
        <f>+SUMIFS('Transmission Substation Invests'!D:D,'Transmission Substation Invests'!C:C,'Tranmission Substation Detail'!E115)</f>
        <v>0</v>
      </c>
      <c r="I115" s="718">
        <f t="shared" si="19"/>
        <v>0</v>
      </c>
      <c r="J115" s="718">
        <f>+SUMIFS('Transmission Substation Invests'!E:E,'Transmission Substation Invests'!C:C,'Tranmission Substation Detail'!E115)</f>
        <v>1085846.5859471634</v>
      </c>
      <c r="K115" s="718">
        <f t="shared" si="20"/>
        <v>1087933.9923231036</v>
      </c>
      <c r="L115" s="719">
        <f t="shared" si="12"/>
        <v>8387751.3451943835</v>
      </c>
      <c r="N115" s="46"/>
    </row>
    <row r="116" spans="2:14">
      <c r="B116" s="693">
        <f t="shared" si="11"/>
        <v>92</v>
      </c>
      <c r="C116" s="60">
        <f>+_xlfn.XLOOKUP(E116,'Transmission Substation Invests'!C:C,'Transmission Substation Invests'!B:B,"CHECK")</f>
        <v>7</v>
      </c>
      <c r="D116" s="548" t="s">
        <v>3384</v>
      </c>
      <c r="E116" s="328" t="s">
        <v>3385</v>
      </c>
      <c r="F116" s="718">
        <f>+SUMIFS('Transmission Substation Invests'!F:F,'Transmission Substation Invests'!C:C,'Tranmission Substation Detail'!E116)</f>
        <v>4581333.653640775</v>
      </c>
      <c r="G116" s="718">
        <f t="shared" si="18"/>
        <v>3600516.7651579818</v>
      </c>
      <c r="H116" s="718">
        <f>+SUMIFS('Transmission Substation Invests'!D:D,'Transmission Substation Invests'!C:C,'Tranmission Substation Detail'!E116)</f>
        <v>0</v>
      </c>
      <c r="I116" s="718">
        <f t="shared" si="19"/>
        <v>0</v>
      </c>
      <c r="J116" s="718">
        <f>+SUMIFS('Transmission Substation Invests'!E:E,'Transmission Substation Invests'!C:C,'Tranmission Substation Detail'!E116)</f>
        <v>0</v>
      </c>
      <c r="K116" s="718">
        <f t="shared" si="20"/>
        <v>0</v>
      </c>
      <c r="L116" s="719">
        <f t="shared" si="12"/>
        <v>3600516.7651579818</v>
      </c>
      <c r="N116" s="46"/>
    </row>
    <row r="117" spans="2:14">
      <c r="B117" s="693">
        <f t="shared" si="11"/>
        <v>93</v>
      </c>
      <c r="C117" s="60">
        <f>+_xlfn.XLOOKUP(E117,'Transmission Substation Invests'!C:C,'Transmission Substation Invests'!B:B,"CHECK")</f>
        <v>7</v>
      </c>
      <c r="D117" s="548" t="s">
        <v>3386</v>
      </c>
      <c r="E117" s="328" t="s">
        <v>3387</v>
      </c>
      <c r="F117" s="718">
        <f>+SUMIFS('Transmission Substation Invests'!F:F,'Transmission Substation Invests'!C:C,'Tranmission Substation Detail'!E117)</f>
        <v>7263120.0388533697</v>
      </c>
      <c r="G117" s="718">
        <f t="shared" si="18"/>
        <v>5708159.9910245184</v>
      </c>
      <c r="H117" s="718">
        <f>+SUMIFS('Transmission Substation Invests'!D:D,'Transmission Substation Invests'!C:C,'Tranmission Substation Detail'!E117)</f>
        <v>0</v>
      </c>
      <c r="I117" s="718">
        <f t="shared" si="19"/>
        <v>0</v>
      </c>
      <c r="J117" s="718">
        <f>+SUMIFS('Transmission Substation Invests'!E:E,'Transmission Substation Invests'!C:C,'Tranmission Substation Detail'!E117)</f>
        <v>1445737.2463805382</v>
      </c>
      <c r="K117" s="718">
        <f t="shared" si="20"/>
        <v>1448516.4982427121</v>
      </c>
      <c r="L117" s="719">
        <f t="shared" si="12"/>
        <v>7156676.48926723</v>
      </c>
      <c r="N117" s="46"/>
    </row>
    <row r="118" spans="2:14">
      <c r="B118" s="693">
        <f t="shared" si="11"/>
        <v>94</v>
      </c>
      <c r="C118" s="60">
        <f>+_xlfn.XLOOKUP(E118,'Transmission Substation Invests'!C:C,'Transmission Substation Invests'!B:B,"CHECK")</f>
        <v>7</v>
      </c>
      <c r="D118" s="548" t="s">
        <v>3388</v>
      </c>
      <c r="E118" s="328" t="s">
        <v>3389</v>
      </c>
      <c r="F118" s="718">
        <f>+SUMIFS('Transmission Substation Invests'!F:F,'Transmission Substation Invests'!C:C,'Tranmission Substation Detail'!E118)</f>
        <v>893227.22801911517</v>
      </c>
      <c r="G118" s="718">
        <f t="shared" si="18"/>
        <v>701996.37326624419</v>
      </c>
      <c r="H118" s="718">
        <f>+SUMIFS('Transmission Substation Invests'!D:D,'Transmission Substation Invests'!C:C,'Tranmission Substation Detail'!E118)</f>
        <v>0</v>
      </c>
      <c r="I118" s="718">
        <f t="shared" si="19"/>
        <v>0</v>
      </c>
      <c r="J118" s="718">
        <f>+SUMIFS('Transmission Substation Invests'!E:E,'Transmission Substation Invests'!C:C,'Tranmission Substation Detail'!E118)</f>
        <v>0</v>
      </c>
      <c r="K118" s="718">
        <f t="shared" si="20"/>
        <v>0</v>
      </c>
      <c r="L118" s="719">
        <f t="shared" si="12"/>
        <v>701996.37326624419</v>
      </c>
      <c r="N118" s="46"/>
    </row>
    <row r="119" spans="2:14">
      <c r="B119" s="693">
        <f t="shared" si="11"/>
        <v>95</v>
      </c>
      <c r="C119" s="60">
        <f>+_xlfn.XLOOKUP(E119,'Transmission Substation Invests'!C:C,'Transmission Substation Invests'!B:B,"CHECK")</f>
        <v>7</v>
      </c>
      <c r="D119" s="548" t="s">
        <v>3390</v>
      </c>
      <c r="E119" s="328" t="s">
        <v>3391</v>
      </c>
      <c r="F119" s="718">
        <f>+SUMIFS('Transmission Substation Invests'!F:F,'Transmission Substation Invests'!C:C,'Tranmission Substation Detail'!E119)</f>
        <v>871732.19106347708</v>
      </c>
      <c r="G119" s="718">
        <f t="shared" si="18"/>
        <v>685103.20486211334</v>
      </c>
      <c r="H119" s="718">
        <f>+SUMIFS('Transmission Substation Invests'!D:D,'Transmission Substation Invests'!C:C,'Tranmission Substation Detail'!E119)</f>
        <v>0</v>
      </c>
      <c r="I119" s="718">
        <f t="shared" si="19"/>
        <v>0</v>
      </c>
      <c r="J119" s="718">
        <f>+SUMIFS('Transmission Substation Invests'!E:E,'Transmission Substation Invests'!C:C,'Tranmission Substation Detail'!E119)</f>
        <v>0</v>
      </c>
      <c r="K119" s="718">
        <f t="shared" si="20"/>
        <v>0</v>
      </c>
      <c r="L119" s="719">
        <f t="shared" si="12"/>
        <v>685103.20486211334</v>
      </c>
      <c r="N119" s="46"/>
    </row>
    <row r="120" spans="2:14">
      <c r="B120" s="693">
        <f t="shared" si="11"/>
        <v>96</v>
      </c>
      <c r="C120" s="60">
        <f>+_xlfn.XLOOKUP(E120,'Transmission Substation Invests'!C:C,'Transmission Substation Invests'!B:B,"CHECK")</f>
        <v>7</v>
      </c>
      <c r="D120" s="548" t="s">
        <v>3392</v>
      </c>
      <c r="E120" s="328" t="s">
        <v>3393</v>
      </c>
      <c r="F120" s="718">
        <f>+SUMIFS('Transmission Substation Invests'!F:F,'Transmission Substation Invests'!C:C,'Tranmission Substation Detail'!E120)</f>
        <v>897383.68187287706</v>
      </c>
      <c r="G120" s="718">
        <f t="shared" si="18"/>
        <v>705262.9726705862</v>
      </c>
      <c r="H120" s="718">
        <f>+SUMIFS('Transmission Substation Invests'!D:D,'Transmission Substation Invests'!C:C,'Tranmission Substation Detail'!E120)</f>
        <v>0</v>
      </c>
      <c r="I120" s="718">
        <f t="shared" si="19"/>
        <v>0</v>
      </c>
      <c r="J120" s="718">
        <f>+SUMIFS('Transmission Substation Invests'!E:E,'Transmission Substation Invests'!C:C,'Tranmission Substation Detail'!E120)</f>
        <v>0</v>
      </c>
      <c r="K120" s="718">
        <f t="shared" si="20"/>
        <v>0</v>
      </c>
      <c r="L120" s="719">
        <f t="shared" si="12"/>
        <v>705262.9726705862</v>
      </c>
      <c r="N120" s="46"/>
    </row>
    <row r="121" spans="2:14">
      <c r="B121" s="693">
        <f t="shared" si="11"/>
        <v>97</v>
      </c>
      <c r="C121" s="60">
        <f>+_xlfn.XLOOKUP(E121,'Transmission Substation Invests'!C:C,'Transmission Substation Invests'!B:B,"CHECK")</f>
        <v>7</v>
      </c>
      <c r="D121" s="548" t="s">
        <v>3394</v>
      </c>
      <c r="E121" s="328" t="s">
        <v>3395</v>
      </c>
      <c r="F121" s="718">
        <f>+SUMIFS('Transmission Substation Invests'!F:F,'Transmission Substation Invests'!C:C,'Tranmission Substation Detail'!E121)</f>
        <v>897383.68187287706</v>
      </c>
      <c r="G121" s="718">
        <f t="shared" si="18"/>
        <v>705262.9726705862</v>
      </c>
      <c r="H121" s="718">
        <f>+SUMIFS('Transmission Substation Invests'!D:D,'Transmission Substation Invests'!C:C,'Tranmission Substation Detail'!E121)</f>
        <v>0</v>
      </c>
      <c r="I121" s="718">
        <f t="shared" si="19"/>
        <v>0</v>
      </c>
      <c r="J121" s="718">
        <f>+SUMIFS('Transmission Substation Invests'!E:E,'Transmission Substation Invests'!C:C,'Tranmission Substation Detail'!E121)</f>
        <v>0</v>
      </c>
      <c r="K121" s="718">
        <f t="shared" si="20"/>
        <v>0</v>
      </c>
      <c r="L121" s="719">
        <f t="shared" si="12"/>
        <v>705262.9726705862</v>
      </c>
      <c r="N121" s="46"/>
    </row>
    <row r="122" spans="2:14">
      <c r="B122" s="693">
        <f t="shared" si="11"/>
        <v>98</v>
      </c>
      <c r="C122" s="60">
        <f>+_xlfn.XLOOKUP(E122,'Transmission Substation Invests'!C:C,'Transmission Substation Invests'!B:B,"CHECK")</f>
        <v>7</v>
      </c>
      <c r="D122" s="548" t="s">
        <v>3396</v>
      </c>
      <c r="E122" s="328" t="s">
        <v>2448</v>
      </c>
      <c r="F122" s="718">
        <f>+SUMIFS('Transmission Substation Invests'!F:F,'Transmission Substation Invests'!C:C,'Tranmission Substation Detail'!E122)</f>
        <v>4079498.3630941906</v>
      </c>
      <c r="G122" s="718">
        <f t="shared" si="18"/>
        <v>3206119.3006718508</v>
      </c>
      <c r="H122" s="718">
        <f>+SUMIFS('Transmission Substation Invests'!D:D,'Transmission Substation Invests'!C:C,'Tranmission Substation Detail'!E122)</f>
        <v>0</v>
      </c>
      <c r="I122" s="718">
        <f t="shared" si="19"/>
        <v>0</v>
      </c>
      <c r="J122" s="718">
        <f>+SUMIFS('Transmission Substation Invests'!E:E,'Transmission Substation Invests'!C:C,'Tranmission Substation Detail'!E122)</f>
        <v>0</v>
      </c>
      <c r="K122" s="718">
        <f t="shared" si="20"/>
        <v>0</v>
      </c>
      <c r="L122" s="719">
        <f t="shared" si="12"/>
        <v>3206119.3006718508</v>
      </c>
      <c r="N122" s="46"/>
    </row>
    <row r="123" spans="2:14">
      <c r="B123" s="693">
        <f t="shared" si="11"/>
        <v>99</v>
      </c>
      <c r="C123" s="60">
        <f>+_xlfn.XLOOKUP(E123,'Transmission Substation Invests'!C:C,'Transmission Substation Invests'!B:B,"CHECK")</f>
        <v>7</v>
      </c>
      <c r="D123" s="548" t="s">
        <v>3397</v>
      </c>
      <c r="E123" s="328" t="s">
        <v>3398</v>
      </c>
      <c r="F123" s="718">
        <f>+SUMIFS('Transmission Substation Invests'!F:F,'Transmission Substation Invests'!C:C,'Tranmission Substation Detail'!E123)</f>
        <v>1580225.3082499709</v>
      </c>
      <c r="G123" s="718">
        <f t="shared" si="18"/>
        <v>1241915.1594775086</v>
      </c>
      <c r="H123" s="718">
        <f>+SUMIFS('Transmission Substation Invests'!D:D,'Transmission Substation Invests'!C:C,'Tranmission Substation Detail'!E123)</f>
        <v>0</v>
      </c>
      <c r="I123" s="718">
        <f t="shared" si="19"/>
        <v>0</v>
      </c>
      <c r="J123" s="718">
        <f>+SUMIFS('Transmission Substation Invests'!E:E,'Transmission Substation Invests'!C:C,'Tranmission Substation Detail'!E123)</f>
        <v>0</v>
      </c>
      <c r="K123" s="718">
        <f t="shared" si="20"/>
        <v>0</v>
      </c>
      <c r="L123" s="719">
        <f t="shared" si="12"/>
        <v>1241915.1594775086</v>
      </c>
      <c r="N123" s="46"/>
    </row>
    <row r="124" spans="2:14">
      <c r="B124" s="693">
        <f t="shared" si="11"/>
        <v>100</v>
      </c>
      <c r="C124" s="60">
        <f>+_xlfn.XLOOKUP(E124,'Transmission Substation Invests'!C:C,'Transmission Substation Invests'!B:B,"CHECK")</f>
        <v>7</v>
      </c>
      <c r="D124" s="548" t="s">
        <v>8315</v>
      </c>
      <c r="E124" s="328" t="s">
        <v>8277</v>
      </c>
      <c r="F124" s="718">
        <f>+SUMIFS('Transmission Substation Invests'!F:F,'Transmission Substation Invests'!C:C,'Tranmission Substation Detail'!E124)</f>
        <v>1327576.6557372382</v>
      </c>
      <c r="G124" s="718">
        <f t="shared" si="18"/>
        <v>1043356.0110199938</v>
      </c>
      <c r="H124" s="718">
        <f>+SUMIFS('Transmission Substation Invests'!D:D,'Transmission Substation Invests'!C:C,'Tranmission Substation Detail'!E124)</f>
        <v>0</v>
      </c>
      <c r="I124" s="718">
        <f t="shared" si="19"/>
        <v>0</v>
      </c>
      <c r="J124" s="718">
        <f>+SUMIFS('Transmission Substation Invests'!E:E,'Transmission Substation Invests'!C:C,'Tranmission Substation Detail'!E124)</f>
        <v>0</v>
      </c>
      <c r="K124" s="718">
        <f t="shared" si="20"/>
        <v>0</v>
      </c>
      <c r="L124" s="719">
        <f>+G124+I124+K124</f>
        <v>1043356.0110199938</v>
      </c>
      <c r="N124" s="46"/>
    </row>
    <row r="125" spans="2:14">
      <c r="B125" s="693">
        <f t="shared" si="11"/>
        <v>101</v>
      </c>
      <c r="C125" s="60">
        <f>+_xlfn.XLOOKUP(E125,'Transmission Substation Invests'!C:C,'Transmission Substation Invests'!B:B,"CHECK")</f>
        <v>7</v>
      </c>
      <c r="D125" s="548" t="s">
        <v>8316</v>
      </c>
      <c r="E125" s="328" t="s">
        <v>8278</v>
      </c>
      <c r="F125" s="718">
        <f>+SUMIFS('Transmission Substation Invests'!F:F,'Transmission Substation Invests'!C:C,'Tranmission Substation Detail'!E125)</f>
        <v>1327576.6557372382</v>
      </c>
      <c r="G125" s="718">
        <f t="shared" si="18"/>
        <v>1043356.0110199938</v>
      </c>
      <c r="H125" s="718">
        <f>+SUMIFS('Transmission Substation Invests'!D:D,'Transmission Substation Invests'!C:C,'Tranmission Substation Detail'!E125)</f>
        <v>0</v>
      </c>
      <c r="I125" s="718">
        <f t="shared" si="19"/>
        <v>0</v>
      </c>
      <c r="J125" s="718">
        <f>+SUMIFS('Transmission Substation Invests'!E:E,'Transmission Substation Invests'!C:C,'Tranmission Substation Detail'!E125)</f>
        <v>0</v>
      </c>
      <c r="K125" s="718">
        <f t="shared" si="20"/>
        <v>0</v>
      </c>
      <c r="L125" s="719">
        <f>+G125+I125+K125</f>
        <v>1043356.0110199938</v>
      </c>
      <c r="N125" s="46"/>
    </row>
    <row r="126" spans="2:14">
      <c r="B126" s="693">
        <f t="shared" si="11"/>
        <v>102</v>
      </c>
      <c r="C126" s="60">
        <f>+_xlfn.XLOOKUP(E126,'Transmission Substation Invests'!C:C,'Transmission Substation Invests'!B:B,"CHECK")</f>
        <v>7</v>
      </c>
      <c r="D126" s="548" t="s">
        <v>8317</v>
      </c>
      <c r="E126" s="328" t="s">
        <v>8279</v>
      </c>
      <c r="F126" s="718">
        <f>+SUMIFS('Transmission Substation Invests'!F:F,'Transmission Substation Invests'!C:C,'Tranmission Substation Detail'!E126)</f>
        <v>206205.72827854939</v>
      </c>
      <c r="G126" s="718">
        <f t="shared" si="18"/>
        <v>162059.18142384311</v>
      </c>
      <c r="H126" s="718">
        <f>+SUMIFS('Transmission Substation Invests'!D:D,'Transmission Substation Invests'!C:C,'Tranmission Substation Detail'!E126)</f>
        <v>0</v>
      </c>
      <c r="I126" s="718">
        <f t="shared" si="19"/>
        <v>0</v>
      </c>
      <c r="J126" s="718">
        <f>+SUMIFS('Transmission Substation Invests'!E:E,'Transmission Substation Invests'!C:C,'Tranmission Substation Detail'!E126)</f>
        <v>0</v>
      </c>
      <c r="K126" s="718">
        <f t="shared" si="20"/>
        <v>0</v>
      </c>
      <c r="L126" s="719">
        <f>+G126+I126+K126</f>
        <v>162059.18142384311</v>
      </c>
      <c r="N126" s="46"/>
    </row>
    <row r="127" spans="2:14">
      <c r="B127" s="693">
        <f t="shared" si="11"/>
        <v>103</v>
      </c>
      <c r="C127" s="60">
        <f>+_xlfn.XLOOKUP(E127,'Transmission Substation Invests'!C:C,'Transmission Substation Invests'!B:B,"CHECK")</f>
        <v>7</v>
      </c>
      <c r="D127" s="548" t="s">
        <v>3399</v>
      </c>
      <c r="E127" s="328" t="s">
        <v>3400</v>
      </c>
      <c r="F127" s="718">
        <f>+SUMIFS('Transmission Substation Invests'!F:F,'Transmission Substation Invests'!C:C,'Tranmission Substation Detail'!E127)</f>
        <v>3270533.5127723711</v>
      </c>
      <c r="G127" s="718">
        <f t="shared" si="18"/>
        <v>2570345.5879904968</v>
      </c>
      <c r="H127" s="718">
        <f>+SUMIFS('Transmission Substation Invests'!D:D,'Transmission Substation Invests'!C:C,'Tranmission Substation Detail'!E127)</f>
        <v>0</v>
      </c>
      <c r="I127" s="718">
        <f t="shared" si="19"/>
        <v>0</v>
      </c>
      <c r="J127" s="718">
        <f>+SUMIFS('Transmission Substation Invests'!E:E,'Transmission Substation Invests'!C:C,'Tranmission Substation Detail'!E127)</f>
        <v>0</v>
      </c>
      <c r="K127" s="718">
        <f t="shared" si="20"/>
        <v>0</v>
      </c>
      <c r="L127" s="719">
        <f t="shared" si="12"/>
        <v>2570345.5879904968</v>
      </c>
      <c r="N127" s="46"/>
    </row>
    <row r="128" spans="2:14">
      <c r="B128" s="693">
        <f t="shared" si="11"/>
        <v>104</v>
      </c>
      <c r="C128" s="60">
        <f>+_xlfn.XLOOKUP(E128,'Transmission Substation Invests'!C:C,'Transmission Substation Invests'!B:B,"CHECK")</f>
        <v>1</v>
      </c>
      <c r="D128" s="548" t="s">
        <v>3401</v>
      </c>
      <c r="E128" s="328" t="s">
        <v>3402</v>
      </c>
      <c r="F128" s="718">
        <f>+SUMIFS('Transmission Substation Invests'!F:F,'Transmission Substation Invests'!C:C,'Tranmission Substation Detail'!E128)</f>
        <v>160596.74223795533</v>
      </c>
      <c r="G128" s="718">
        <f t="shared" si="18"/>
        <v>126214.6149076032</v>
      </c>
      <c r="H128" s="718">
        <f>+SUMIFS('Transmission Substation Invests'!D:D,'Transmission Substation Invests'!C:C,'Tranmission Substation Detail'!E128)</f>
        <v>0</v>
      </c>
      <c r="I128" s="718">
        <f t="shared" si="19"/>
        <v>0</v>
      </c>
      <c r="J128" s="718">
        <f>+SUMIFS('Transmission Substation Invests'!E:E,'Transmission Substation Invests'!C:C,'Tranmission Substation Detail'!E128)</f>
        <v>0</v>
      </c>
      <c r="K128" s="718">
        <f t="shared" si="20"/>
        <v>0</v>
      </c>
      <c r="L128" s="719">
        <f t="shared" si="12"/>
        <v>126214.6149076032</v>
      </c>
      <c r="N128" s="46"/>
    </row>
    <row r="129" spans="2:14">
      <c r="B129" s="693">
        <f t="shared" si="11"/>
        <v>105</v>
      </c>
      <c r="C129" s="60">
        <f>+_xlfn.XLOOKUP(E129,'Transmission Substation Invests'!C:C,'Transmission Substation Invests'!B:B,"CHECK")</f>
        <v>1</v>
      </c>
      <c r="D129" s="548" t="s">
        <v>3403</v>
      </c>
      <c r="E129" s="328" t="s">
        <v>3404</v>
      </c>
      <c r="F129" s="718">
        <f>+SUMIFS('Transmission Substation Invests'!F:F,'Transmission Substation Invests'!C:C,'Tranmission Substation Detail'!E129)</f>
        <v>0</v>
      </c>
      <c r="G129" s="718">
        <f t="shared" si="18"/>
        <v>0</v>
      </c>
      <c r="H129" s="718">
        <f>+SUMIFS('Transmission Substation Invests'!D:D,'Transmission Substation Invests'!C:C,'Tranmission Substation Detail'!E129)</f>
        <v>709.71296817052291</v>
      </c>
      <c r="I129" s="718">
        <f t="shared" si="19"/>
        <v>674.44211153371327</v>
      </c>
      <c r="J129" s="718">
        <f>+SUMIFS('Transmission Substation Invests'!E:E,'Transmission Substation Invests'!C:C,'Tranmission Substation Detail'!E129)</f>
        <v>0</v>
      </c>
      <c r="K129" s="718">
        <f t="shared" si="20"/>
        <v>0</v>
      </c>
      <c r="L129" s="719">
        <f t="shared" si="12"/>
        <v>674.44211153371327</v>
      </c>
      <c r="N129" s="46"/>
    </row>
    <row r="130" spans="2:14">
      <c r="B130" s="693">
        <f t="shared" si="11"/>
        <v>106</v>
      </c>
      <c r="C130" s="60">
        <f>+_xlfn.XLOOKUP(E130,'Transmission Substation Invests'!C:C,'Transmission Substation Invests'!B:B,"CHECK")</f>
        <v>1</v>
      </c>
      <c r="D130" s="548" t="s">
        <v>3405</v>
      </c>
      <c r="E130" s="328" t="s">
        <v>3406</v>
      </c>
      <c r="F130" s="718">
        <f>+SUMIFS('Transmission Substation Invests'!F:F,'Transmission Substation Invests'!C:C,'Tranmission Substation Detail'!E130)</f>
        <v>0</v>
      </c>
      <c r="G130" s="718">
        <f t="shared" si="18"/>
        <v>0</v>
      </c>
      <c r="H130" s="718">
        <f>+SUMIFS('Transmission Substation Invests'!D:D,'Transmission Substation Invests'!C:C,'Tranmission Substation Detail'!E130)</f>
        <v>792317.65187616658</v>
      </c>
      <c r="I130" s="718">
        <f t="shared" si="19"/>
        <v>752941.56102893909</v>
      </c>
      <c r="J130" s="718">
        <f>+SUMIFS('Transmission Substation Invests'!E:E,'Transmission Substation Invests'!C:C,'Tranmission Substation Detail'!E130)</f>
        <v>0</v>
      </c>
      <c r="K130" s="718">
        <f t="shared" si="20"/>
        <v>0</v>
      </c>
      <c r="L130" s="719">
        <f t="shared" si="12"/>
        <v>752941.56102893909</v>
      </c>
      <c r="N130" s="46"/>
    </row>
    <row r="131" spans="2:14">
      <c r="B131" s="693">
        <f t="shared" si="11"/>
        <v>107</v>
      </c>
      <c r="C131" s="60">
        <f>+_xlfn.XLOOKUP(E131,'Transmission Substation Invests'!C:C,'Transmission Substation Invests'!B:B,"CHECK")</f>
        <v>1</v>
      </c>
      <c r="D131" s="548" t="s">
        <v>3407</v>
      </c>
      <c r="E131" s="328" t="s">
        <v>3408</v>
      </c>
      <c r="F131" s="718">
        <f>+SUMIFS('Transmission Substation Invests'!F:F,'Transmission Substation Invests'!C:C,'Tranmission Substation Detail'!E131)</f>
        <v>2783156.2056333236</v>
      </c>
      <c r="G131" s="718">
        <f t="shared" si="18"/>
        <v>2187310.7998743448</v>
      </c>
      <c r="H131" s="718">
        <f>+SUMIFS('Transmission Substation Invests'!D:D,'Transmission Substation Invests'!C:C,'Tranmission Substation Detail'!E131)</f>
        <v>0</v>
      </c>
      <c r="I131" s="718">
        <f t="shared" si="19"/>
        <v>0</v>
      </c>
      <c r="J131" s="718">
        <f>+SUMIFS('Transmission Substation Invests'!E:E,'Transmission Substation Invests'!C:C,'Tranmission Substation Detail'!E131)</f>
        <v>119160.501883965</v>
      </c>
      <c r="K131" s="718">
        <f t="shared" si="20"/>
        <v>119389.57327822264</v>
      </c>
      <c r="L131" s="719">
        <f t="shared" si="12"/>
        <v>2306700.3731525675</v>
      </c>
      <c r="N131" s="46"/>
    </row>
    <row r="132" spans="2:14">
      <c r="B132" s="693">
        <f t="shared" si="11"/>
        <v>108</v>
      </c>
      <c r="C132" s="60">
        <f>+_xlfn.XLOOKUP(E132,'Transmission Substation Invests'!C:C,'Transmission Substation Invests'!B:B,"CHECK")</f>
        <v>7</v>
      </c>
      <c r="D132" s="548" t="s">
        <v>3409</v>
      </c>
      <c r="E132" s="328" t="s">
        <v>3410</v>
      </c>
      <c r="F132" s="718">
        <f>+SUMIFS('Transmission Substation Invests'!F:F,'Transmission Substation Invests'!C:C,'Tranmission Substation Detail'!E132)</f>
        <v>2172512.8547341796</v>
      </c>
      <c r="G132" s="718">
        <f t="shared" si="18"/>
        <v>1707399.9728824338</v>
      </c>
      <c r="H132" s="718">
        <f>+SUMIFS('Transmission Substation Invests'!D:D,'Transmission Substation Invests'!C:C,'Tranmission Substation Detail'!E132)</f>
        <v>0</v>
      </c>
      <c r="I132" s="718">
        <f t="shared" si="19"/>
        <v>0</v>
      </c>
      <c r="J132" s="718">
        <f>+SUMIFS('Transmission Substation Invests'!E:E,'Transmission Substation Invests'!C:C,'Tranmission Substation Detail'!E132)</f>
        <v>339725.44433344802</v>
      </c>
      <c r="K132" s="718">
        <f t="shared" si="20"/>
        <v>340378.52467439894</v>
      </c>
      <c r="L132" s="719">
        <f t="shared" si="12"/>
        <v>2047778.4975568326</v>
      </c>
      <c r="N132" s="46"/>
    </row>
    <row r="133" spans="2:14">
      <c r="B133" s="693">
        <f t="shared" si="11"/>
        <v>109</v>
      </c>
      <c r="C133" s="60">
        <f>+_xlfn.XLOOKUP(E133,'Transmission Substation Invests'!C:C,'Transmission Substation Invests'!B:B,"CHECK")</f>
        <v>7</v>
      </c>
      <c r="D133" s="548" t="s">
        <v>3411</v>
      </c>
      <c r="E133" s="328" t="s">
        <v>3412</v>
      </c>
      <c r="F133" s="718">
        <f>+SUMIFS('Transmission Substation Invests'!F:F,'Transmission Substation Invests'!C:C,'Tranmission Substation Detail'!E133)</f>
        <v>1367366.402734655</v>
      </c>
      <c r="G133" s="718">
        <f t="shared" si="18"/>
        <v>1074627.1783211883</v>
      </c>
      <c r="H133" s="718">
        <f>+SUMIFS('Transmission Substation Invests'!D:D,'Transmission Substation Invests'!C:C,'Tranmission Substation Detail'!E133)</f>
        <v>0</v>
      </c>
      <c r="I133" s="718">
        <f t="shared" si="19"/>
        <v>0</v>
      </c>
      <c r="J133" s="718">
        <f>+SUMIFS('Transmission Substation Invests'!E:E,'Transmission Substation Invests'!C:C,'Tranmission Substation Detail'!E133)</f>
        <v>0</v>
      </c>
      <c r="K133" s="718">
        <f t="shared" si="20"/>
        <v>0</v>
      </c>
      <c r="L133" s="719">
        <f t="shared" si="12"/>
        <v>1074627.1783211883</v>
      </c>
      <c r="N133" s="46"/>
    </row>
    <row r="134" spans="2:14">
      <c r="B134" s="693">
        <f t="shared" si="11"/>
        <v>110</v>
      </c>
      <c r="C134" s="60">
        <f>+_xlfn.XLOOKUP(E134,'Transmission Substation Invests'!C:C,'Transmission Substation Invests'!B:B,"CHECK")</f>
        <v>7</v>
      </c>
      <c r="D134" s="548" t="s">
        <v>3413</v>
      </c>
      <c r="E134" s="328" t="s">
        <v>3414</v>
      </c>
      <c r="F134" s="718">
        <f>+SUMIFS('Transmission Substation Invests'!F:F,'Transmission Substation Invests'!C:C,'Tranmission Substation Detail'!E134)</f>
        <v>5783886.7841501087</v>
      </c>
      <c r="G134" s="718">
        <f t="shared" si="18"/>
        <v>4545615.5147221349</v>
      </c>
      <c r="H134" s="718">
        <f>+SUMIFS('Transmission Substation Invests'!D:D,'Transmission Substation Invests'!C:C,'Tranmission Substation Detail'!E134)</f>
        <v>0</v>
      </c>
      <c r="I134" s="718">
        <f t="shared" si="19"/>
        <v>0</v>
      </c>
      <c r="J134" s="718">
        <f>+SUMIFS('Transmission Substation Invests'!E:E,'Transmission Substation Invests'!C:C,'Tranmission Substation Detail'!E134)</f>
        <v>0</v>
      </c>
      <c r="K134" s="718">
        <f t="shared" si="20"/>
        <v>0</v>
      </c>
      <c r="L134" s="719">
        <f t="shared" si="12"/>
        <v>4545615.5147221349</v>
      </c>
      <c r="N134" s="46"/>
    </row>
    <row r="135" spans="2:14">
      <c r="B135" s="693">
        <f t="shared" si="11"/>
        <v>111</v>
      </c>
      <c r="C135" s="60">
        <f>+_xlfn.XLOOKUP(E135,'Transmission Substation Invests'!C:C,'Transmission Substation Invests'!B:B,"CHECK")</f>
        <v>7</v>
      </c>
      <c r="D135" s="548" t="s">
        <v>3415</v>
      </c>
      <c r="E135" s="328" t="s">
        <v>3416</v>
      </c>
      <c r="F135" s="718">
        <f>+SUMIFS('Transmission Substation Invests'!F:F,'Transmission Substation Invests'!C:C,'Tranmission Substation Detail'!E135)</f>
        <v>1441015.6695750768</v>
      </c>
      <c r="G135" s="718">
        <f t="shared" si="18"/>
        <v>1132508.887021841</v>
      </c>
      <c r="H135" s="718">
        <f>+SUMIFS('Transmission Substation Invests'!D:D,'Transmission Substation Invests'!C:C,'Tranmission Substation Detail'!E135)</f>
        <v>0</v>
      </c>
      <c r="I135" s="718">
        <f t="shared" si="19"/>
        <v>0</v>
      </c>
      <c r="J135" s="718">
        <f>+SUMIFS('Transmission Substation Invests'!E:E,'Transmission Substation Invests'!C:C,'Tranmission Substation Detail'!E135)</f>
        <v>0</v>
      </c>
      <c r="K135" s="718">
        <f t="shared" si="20"/>
        <v>0</v>
      </c>
      <c r="L135" s="719">
        <f t="shared" si="12"/>
        <v>1132508.887021841</v>
      </c>
      <c r="N135" s="46"/>
    </row>
    <row r="136" spans="2:14">
      <c r="B136" s="693">
        <f t="shared" si="11"/>
        <v>112</v>
      </c>
      <c r="C136" s="60">
        <f>+_xlfn.XLOOKUP(E136,'Transmission Substation Invests'!C:C,'Transmission Substation Invests'!B:B,"CHECK")</f>
        <v>7</v>
      </c>
      <c r="D136" s="548" t="s">
        <v>3082</v>
      </c>
      <c r="E136" s="328" t="s">
        <v>3417</v>
      </c>
      <c r="F136" s="718">
        <f>+SUMIFS('Transmission Substation Invests'!F:F,'Transmission Substation Invests'!C:C,'Tranmission Substation Detail'!E136)</f>
        <v>797058.57523312781</v>
      </c>
      <c r="G136" s="718">
        <f t="shared" si="18"/>
        <v>626416.44986043964</v>
      </c>
      <c r="H136" s="718">
        <f>+SUMIFS('Transmission Substation Invests'!D:D,'Transmission Substation Invests'!C:C,'Tranmission Substation Detail'!E136)</f>
        <v>0</v>
      </c>
      <c r="I136" s="718">
        <f t="shared" si="19"/>
        <v>0</v>
      </c>
      <c r="J136" s="718">
        <f>+SUMIFS('Transmission Substation Invests'!E:E,'Transmission Substation Invests'!C:C,'Tranmission Substation Detail'!E136)</f>
        <v>173180.1466291337</v>
      </c>
      <c r="K136" s="718">
        <f t="shared" si="20"/>
        <v>173513.0641397087</v>
      </c>
      <c r="L136" s="719">
        <f t="shared" si="12"/>
        <v>799929.51400014828</v>
      </c>
      <c r="N136" s="46"/>
    </row>
    <row r="137" spans="2:14">
      <c r="B137" s="693">
        <f t="shared" si="11"/>
        <v>113</v>
      </c>
      <c r="C137" s="60">
        <f>+_xlfn.XLOOKUP(E137,'Transmission Substation Invests'!C:C,'Transmission Substation Invests'!B:B,"CHECK")</f>
        <v>7</v>
      </c>
      <c r="D137" s="548" t="s">
        <v>3418</v>
      </c>
      <c r="E137" s="328" t="s">
        <v>3419</v>
      </c>
      <c r="F137" s="718">
        <f>+SUMIFS('Transmission Substation Invests'!F:F,'Transmission Substation Invests'!C:C,'Tranmission Substation Detail'!E137)</f>
        <v>1201047.1542110206</v>
      </c>
      <c r="G137" s="718">
        <f t="shared" si="18"/>
        <v>943915.18745758256</v>
      </c>
      <c r="H137" s="718">
        <f>+SUMIFS('Transmission Substation Invests'!D:D,'Transmission Substation Invests'!C:C,'Tranmission Substation Detail'!E137)</f>
        <v>0</v>
      </c>
      <c r="I137" s="718">
        <f t="shared" si="19"/>
        <v>0</v>
      </c>
      <c r="J137" s="718">
        <f>+SUMIFS('Transmission Substation Invests'!E:E,'Transmission Substation Invests'!C:C,'Tranmission Substation Detail'!E137)</f>
        <v>0</v>
      </c>
      <c r="K137" s="718">
        <f t="shared" si="20"/>
        <v>0</v>
      </c>
      <c r="L137" s="719">
        <f t="shared" si="12"/>
        <v>943915.18745758256</v>
      </c>
      <c r="N137" s="46"/>
    </row>
    <row r="138" spans="2:14">
      <c r="B138" s="693">
        <f t="shared" si="11"/>
        <v>114</v>
      </c>
      <c r="C138" s="60">
        <f>+_xlfn.XLOOKUP(E138,'Transmission Substation Invests'!C:C,'Transmission Substation Invests'!B:B,"CHECK")</f>
        <v>1</v>
      </c>
      <c r="D138" s="290" t="s">
        <v>3420</v>
      </c>
      <c r="E138" s="328" t="s">
        <v>3421</v>
      </c>
      <c r="F138" s="718">
        <f>+SUMIFS('Transmission Substation Invests'!F:F,'Transmission Substation Invests'!C:C,'Tranmission Substation Detail'!E138)</f>
        <v>5303154.5083314069</v>
      </c>
      <c r="G138" s="718">
        <f t="shared" si="18"/>
        <v>4167803.1243798039</v>
      </c>
      <c r="H138" s="718">
        <f>+SUMIFS('Transmission Substation Invests'!D:D,'Transmission Substation Invests'!C:C,'Tranmission Substation Detail'!E138)</f>
        <v>0</v>
      </c>
      <c r="I138" s="718">
        <f t="shared" si="19"/>
        <v>0</v>
      </c>
      <c r="J138" s="718">
        <f>+SUMIFS('Transmission Substation Invests'!E:E,'Transmission Substation Invests'!C:C,'Tranmission Substation Detail'!E138)</f>
        <v>0</v>
      </c>
      <c r="K138" s="718">
        <f t="shared" si="20"/>
        <v>0</v>
      </c>
      <c r="L138" s="719">
        <f t="shared" si="12"/>
        <v>4167803.1243798039</v>
      </c>
      <c r="N138" s="46"/>
    </row>
    <row r="139" spans="2:14">
      <c r="B139" s="693">
        <f t="shared" si="11"/>
        <v>115</v>
      </c>
      <c r="C139" s="60">
        <v>5</v>
      </c>
      <c r="D139" s="548" t="s">
        <v>3422</v>
      </c>
      <c r="E139" s="328" t="s">
        <v>3423</v>
      </c>
      <c r="F139" s="1632">
        <f>+C4</f>
        <v>8486413.1123076919</v>
      </c>
      <c r="G139" s="1632">
        <f t="shared" si="18"/>
        <v>6669558.4729215279</v>
      </c>
      <c r="H139" s="1632">
        <v>0</v>
      </c>
      <c r="I139" s="1632">
        <f t="shared" si="19"/>
        <v>0</v>
      </c>
      <c r="J139" s="1632">
        <v>0</v>
      </c>
      <c r="K139" s="1632">
        <f t="shared" si="20"/>
        <v>0</v>
      </c>
      <c r="L139" s="1633">
        <f t="shared" si="12"/>
        <v>6669558.4729215279</v>
      </c>
    </row>
    <row r="140" spans="2:14">
      <c r="B140" s="693">
        <f t="shared" si="11"/>
        <v>116</v>
      </c>
      <c r="C140" s="60">
        <v>5</v>
      </c>
      <c r="D140" s="548" t="s">
        <v>3422</v>
      </c>
      <c r="E140" s="328" t="s">
        <v>3424</v>
      </c>
      <c r="F140" s="1632">
        <f>+C5</f>
        <v>24036410.135384616</v>
      </c>
      <c r="G140" s="1632">
        <f t="shared" si="18"/>
        <v>18890459.462145839</v>
      </c>
      <c r="H140" s="1632">
        <v>0</v>
      </c>
      <c r="I140" s="1632">
        <f t="shared" si="19"/>
        <v>0</v>
      </c>
      <c r="J140" s="1632">
        <v>0</v>
      </c>
      <c r="K140" s="1632">
        <f t="shared" si="20"/>
        <v>0</v>
      </c>
      <c r="L140" s="1633">
        <f t="shared" si="12"/>
        <v>18890459.462145839</v>
      </c>
    </row>
    <row r="141" spans="2:14">
      <c r="B141" s="693">
        <f t="shared" si="11"/>
        <v>117</v>
      </c>
      <c r="C141" s="60">
        <v>5</v>
      </c>
      <c r="D141" s="548" t="s">
        <v>3422</v>
      </c>
      <c r="E141" s="328" t="s">
        <v>3425</v>
      </c>
      <c r="F141" s="1632">
        <f>+C6</f>
        <v>0</v>
      </c>
      <c r="G141" s="1632">
        <f t="shared" si="18"/>
        <v>0</v>
      </c>
      <c r="H141" s="1632">
        <v>0</v>
      </c>
      <c r="I141" s="1632">
        <f t="shared" si="19"/>
        <v>0</v>
      </c>
      <c r="J141" s="1632">
        <v>0</v>
      </c>
      <c r="K141" s="1632">
        <f t="shared" si="20"/>
        <v>0</v>
      </c>
      <c r="L141" s="1633">
        <f t="shared" si="12"/>
        <v>0</v>
      </c>
    </row>
    <row r="142" spans="2:14">
      <c r="B142" s="693">
        <f t="shared" si="11"/>
        <v>118</v>
      </c>
      <c r="C142" s="60">
        <v>5</v>
      </c>
      <c r="D142" s="548" t="s">
        <v>3422</v>
      </c>
      <c r="E142" s="328" t="s">
        <v>3426</v>
      </c>
      <c r="F142" s="1632">
        <f>+C7</f>
        <v>12515291.320000004</v>
      </c>
      <c r="G142" s="1632">
        <f t="shared" si="18"/>
        <v>9835894.8780527916</v>
      </c>
      <c r="H142" s="1632">
        <v>0</v>
      </c>
      <c r="I142" s="1632">
        <f t="shared" si="19"/>
        <v>0</v>
      </c>
      <c r="J142" s="1632">
        <v>0</v>
      </c>
      <c r="K142" s="1632">
        <f t="shared" si="20"/>
        <v>0</v>
      </c>
      <c r="L142" s="1633">
        <f t="shared" si="12"/>
        <v>9835894.8780527916</v>
      </c>
    </row>
    <row r="143" spans="2:14">
      <c r="B143" s="693">
        <f t="shared" si="11"/>
        <v>119</v>
      </c>
      <c r="C143" s="60">
        <v>5</v>
      </c>
      <c r="D143" s="548" t="s">
        <v>3422</v>
      </c>
      <c r="E143" s="328" t="s">
        <v>3427</v>
      </c>
      <c r="F143" s="1632">
        <f>+C8</f>
        <v>94579468.313200593</v>
      </c>
      <c r="G143" s="1632">
        <f t="shared" si="18"/>
        <v>74330967.147696063</v>
      </c>
      <c r="H143" s="1632">
        <v>0</v>
      </c>
      <c r="I143" s="1632">
        <f t="shared" si="19"/>
        <v>0</v>
      </c>
      <c r="J143" s="1632">
        <v>0</v>
      </c>
      <c r="K143" s="1632">
        <f t="shared" si="20"/>
        <v>0</v>
      </c>
      <c r="L143" s="1633">
        <f t="shared" si="12"/>
        <v>74330967.147696063</v>
      </c>
    </row>
    <row r="144" spans="2:14">
      <c r="B144" s="693">
        <f t="shared" si="11"/>
        <v>120</v>
      </c>
      <c r="C144" s="60"/>
      <c r="D144" s="548"/>
      <c r="E144" s="328"/>
      <c r="F144" s="42"/>
      <c r="G144" s="718"/>
      <c r="H144" s="42"/>
      <c r="I144" s="663"/>
      <c r="J144" s="42"/>
      <c r="K144" s="504"/>
      <c r="L144" s="668"/>
    </row>
    <row r="145" spans="2:12">
      <c r="B145" s="693">
        <f t="shared" si="11"/>
        <v>121</v>
      </c>
      <c r="C145" s="60"/>
      <c r="D145" s="548"/>
      <c r="E145" s="328"/>
      <c r="F145" s="42"/>
      <c r="G145" s="718"/>
      <c r="H145" s="42"/>
      <c r="I145" s="663"/>
      <c r="J145" s="42"/>
      <c r="K145" s="504"/>
      <c r="L145" s="668"/>
    </row>
    <row r="146" spans="2:12">
      <c r="B146" s="693">
        <f t="shared" si="11"/>
        <v>122</v>
      </c>
      <c r="C146" s="293"/>
      <c r="D146" s="328"/>
      <c r="E146" s="328"/>
      <c r="F146" s="669"/>
      <c r="G146" s="1610"/>
      <c r="H146" s="439"/>
      <c r="I146" s="664"/>
      <c r="J146" s="439"/>
      <c r="K146" s="505"/>
      <c r="L146" s="670"/>
    </row>
    <row r="147" spans="2:12">
      <c r="B147" s="693">
        <f t="shared" si="11"/>
        <v>123</v>
      </c>
      <c r="C147" s="548"/>
      <c r="D147" s="328"/>
      <c r="E147" s="328" t="s">
        <v>115</v>
      </c>
      <c r="F147" s="651">
        <f t="shared" ref="F147:L147" si="21">+SUM(F21:F143)</f>
        <v>583336190.12468147</v>
      </c>
      <c r="G147" s="651">
        <f t="shared" si="21"/>
        <v>458449851.30000031</v>
      </c>
      <c r="H147" s="651">
        <f t="shared" si="21"/>
        <v>8527262.4069419913</v>
      </c>
      <c r="I147" s="651">
        <f t="shared" si="21"/>
        <v>8103480.028222031</v>
      </c>
      <c r="J147" s="651">
        <f t="shared" si="21"/>
        <v>76131027.193200544</v>
      </c>
      <c r="K147" s="651">
        <f t="shared" si="21"/>
        <v>76277379.720000029</v>
      </c>
      <c r="L147" s="1886">
        <f t="shared" si="21"/>
        <v>542830711.04822242</v>
      </c>
    </row>
    <row r="148" spans="2:12">
      <c r="B148" s="693">
        <f t="shared" si="11"/>
        <v>124</v>
      </c>
      <c r="C148" s="548"/>
      <c r="D148" s="328"/>
      <c r="E148" s="467"/>
      <c r="F148" s="651"/>
      <c r="G148" s="651"/>
      <c r="H148" s="651"/>
      <c r="I148" s="651"/>
      <c r="J148" s="651"/>
      <c r="K148" s="651"/>
      <c r="L148" s="668"/>
    </row>
    <row r="149" spans="2:12">
      <c r="B149" s="693">
        <f t="shared" si="11"/>
        <v>125</v>
      </c>
      <c r="C149" s="548"/>
      <c r="D149" s="328"/>
      <c r="E149" s="328"/>
      <c r="F149" s="651"/>
      <c r="G149" s="651"/>
      <c r="H149" s="651"/>
      <c r="I149" s="687"/>
      <c r="J149" s="651"/>
      <c r="K149" s="651"/>
      <c r="L149" s="668"/>
    </row>
    <row r="150" spans="2:12">
      <c r="B150" s="693">
        <f t="shared" si="11"/>
        <v>126</v>
      </c>
      <c r="C150" s="548"/>
      <c r="D150" s="328"/>
      <c r="E150" s="328" t="s">
        <v>3428</v>
      </c>
      <c r="F150" s="651"/>
      <c r="G150" s="651"/>
      <c r="H150" s="651"/>
      <c r="I150" s="651"/>
      <c r="J150" s="651"/>
      <c r="K150" s="651"/>
      <c r="L150" s="668"/>
    </row>
    <row r="151" spans="2:12">
      <c r="B151" s="693">
        <f t="shared" si="11"/>
        <v>127</v>
      </c>
      <c r="C151" s="548"/>
      <c r="D151" s="328"/>
      <c r="E151" s="328" t="s">
        <v>3429</v>
      </c>
      <c r="F151" s="651"/>
      <c r="G151" s="651"/>
      <c r="H151" s="651"/>
      <c r="I151" s="651"/>
      <c r="J151" s="651"/>
      <c r="K151" s="651"/>
      <c r="L151" s="668"/>
    </row>
    <row r="152" spans="2:12">
      <c r="B152" s="693">
        <f t="shared" si="11"/>
        <v>128</v>
      </c>
      <c r="C152" s="328"/>
      <c r="D152" s="328"/>
      <c r="E152" s="328" t="s">
        <v>3430</v>
      </c>
      <c r="F152" s="651">
        <f>+SUMIFS(F21:F143,C21:C143,1)</f>
        <v>85281824.882017285</v>
      </c>
      <c r="G152" s="651"/>
      <c r="H152" s="651">
        <f>+SUMIFS(H21:H143,C21:C143,1)</f>
        <v>3881863.1571299755</v>
      </c>
      <c r="I152" s="651"/>
      <c r="J152" s="651">
        <f>+SUMIFS(J21:J143,C21:C143,1)</f>
        <v>17574427.747052107</v>
      </c>
      <c r="K152" s="651"/>
      <c r="L152" s="668">
        <f>+F152+H152+J152</f>
        <v>106738115.78619936</v>
      </c>
    </row>
    <row r="153" spans="2:12">
      <c r="B153" s="693">
        <f t="shared" si="11"/>
        <v>129</v>
      </c>
      <c r="C153" s="328"/>
      <c r="D153" s="328"/>
      <c r="E153" s="328" t="s">
        <v>3431</v>
      </c>
      <c r="F153" s="651">
        <f>+SUMIFS(F21:F143,C21:C143,5)</f>
        <v>139617582.8808929</v>
      </c>
      <c r="G153" s="686"/>
      <c r="H153" s="651">
        <f>+SUMIFS(H21:H143,C21:C143,5)</f>
        <v>0</v>
      </c>
      <c r="I153" s="651"/>
      <c r="J153" s="651">
        <f>+SUMIFS(J21:J143,C21:C143,5)</f>
        <v>0</v>
      </c>
      <c r="K153" s="651"/>
      <c r="L153" s="668">
        <f>+F153+H153+J153</f>
        <v>139617582.8808929</v>
      </c>
    </row>
    <row r="154" spans="2:12" ht="15.6">
      <c r="B154" s="693">
        <f t="shared" ref="B154:B185" si="22">+B153+1</f>
        <v>130</v>
      </c>
      <c r="C154" s="328"/>
      <c r="D154" s="328"/>
      <c r="E154" s="328" t="s">
        <v>3432</v>
      </c>
      <c r="F154" s="688">
        <f>+SUMIFS(F21:F143,C21:C143,7)</f>
        <v>358436782.36177117</v>
      </c>
      <c r="G154" s="686"/>
      <c r="H154" s="629">
        <f>+SUMIFS(H21:H143,C21:C143,7)</f>
        <v>4645399.2498120135</v>
      </c>
      <c r="I154" s="689"/>
      <c r="J154" s="629">
        <f>+SUMIFS(J21:J143,C21:C143,7)</f>
        <v>58556599.44614841</v>
      </c>
      <c r="K154" s="689"/>
      <c r="L154" s="668">
        <f>+F154+H154+J154</f>
        <v>421638781.05773157</v>
      </c>
    </row>
    <row r="155" spans="2:12">
      <c r="B155" s="693">
        <f t="shared" si="22"/>
        <v>131</v>
      </c>
      <c r="C155" s="328"/>
      <c r="D155" s="328"/>
      <c r="E155" s="328"/>
      <c r="F155" s="651"/>
      <c r="G155" s="686"/>
      <c r="H155" s="651"/>
      <c r="I155" s="686"/>
      <c r="J155" s="651"/>
      <c r="K155" s="686"/>
      <c r="L155" s="690"/>
    </row>
    <row r="156" spans="2:12">
      <c r="B156" s="693">
        <f t="shared" si="22"/>
        <v>132</v>
      </c>
      <c r="C156" s="328"/>
      <c r="D156" s="328"/>
      <c r="E156" s="328" t="s">
        <v>3433</v>
      </c>
      <c r="F156" s="537">
        <f>+SUM(F152:F154)</f>
        <v>583336190.12468135</v>
      </c>
      <c r="G156" s="537"/>
      <c r="H156" s="537">
        <f>+SUM(H152:H154)</f>
        <v>8527262.4069419894</v>
      </c>
      <c r="I156" s="537"/>
      <c r="J156" s="537">
        <f>+SUM(J152:J154)</f>
        <v>76131027.193200514</v>
      </c>
      <c r="K156" s="537"/>
      <c r="L156" s="670">
        <f>+F156+H156+J156</f>
        <v>667994479.72482383</v>
      </c>
    </row>
    <row r="157" spans="2:12">
      <c r="B157" s="693">
        <f t="shared" si="22"/>
        <v>133</v>
      </c>
      <c r="C157" s="328"/>
      <c r="D157" s="328"/>
      <c r="E157" s="328" t="s">
        <v>3434</v>
      </c>
      <c r="F157" s="653">
        <f>+F156/F156</f>
        <v>1</v>
      </c>
      <c r="G157" s="691"/>
      <c r="H157" s="653">
        <f>+H156/H156</f>
        <v>1</v>
      </c>
      <c r="I157" s="691"/>
      <c r="J157" s="653">
        <f>+J156/J156</f>
        <v>1</v>
      </c>
      <c r="K157" s="691"/>
      <c r="L157" s="668"/>
    </row>
    <row r="158" spans="2:12">
      <c r="B158" s="693">
        <f t="shared" si="22"/>
        <v>134</v>
      </c>
      <c r="C158" s="328"/>
      <c r="D158" s="328"/>
      <c r="E158" s="328"/>
      <c r="F158" s="651"/>
      <c r="G158" s="686"/>
      <c r="H158" s="651"/>
      <c r="I158" s="686"/>
      <c r="J158" s="651"/>
      <c r="K158" s="651"/>
      <c r="L158" s="536"/>
    </row>
    <row r="159" spans="2:12">
      <c r="B159" s="693">
        <f t="shared" si="22"/>
        <v>135</v>
      </c>
      <c r="C159" s="328"/>
      <c r="D159" s="328"/>
      <c r="E159" s="328" t="s">
        <v>3435</v>
      </c>
      <c r="F159" s="651" t="s">
        <v>3136</v>
      </c>
      <c r="G159" s="651"/>
      <c r="H159" s="651" t="s">
        <v>3436</v>
      </c>
      <c r="I159" s="651"/>
      <c r="J159" s="651" t="s">
        <v>3437</v>
      </c>
      <c r="K159" s="651"/>
      <c r="L159" s="536"/>
    </row>
    <row r="160" spans="2:12">
      <c r="B160" s="693">
        <f t="shared" si="22"/>
        <v>136</v>
      </c>
      <c r="C160" s="328"/>
      <c r="D160" s="328"/>
      <c r="E160" s="328" t="s">
        <v>3430</v>
      </c>
      <c r="F160" s="708">
        <f>+F152*F157</f>
        <v>85281824.882017285</v>
      </c>
      <c r="G160" s="708"/>
      <c r="H160" s="708">
        <f>+H152*H157</f>
        <v>3881863.1571299755</v>
      </c>
      <c r="I160" s="708"/>
      <c r="J160" s="708">
        <f>+J152*J157</f>
        <v>17574427.747052107</v>
      </c>
      <c r="K160" s="708"/>
      <c r="L160" s="709">
        <f>+F160+H160+J160</f>
        <v>106738115.78619936</v>
      </c>
    </row>
    <row r="161" spans="2:12">
      <c r="B161" s="693">
        <f t="shared" si="22"/>
        <v>137</v>
      </c>
      <c r="C161" s="328"/>
      <c r="D161" s="328"/>
      <c r="E161" s="328" t="s">
        <v>3431</v>
      </c>
      <c r="F161" s="708">
        <f>+F153*F157</f>
        <v>139617582.8808929</v>
      </c>
      <c r="G161" s="708"/>
      <c r="H161" s="708">
        <f>+H153*H157</f>
        <v>0</v>
      </c>
      <c r="I161" s="708"/>
      <c r="J161" s="708">
        <f>+J153*J157</f>
        <v>0</v>
      </c>
      <c r="K161" s="708"/>
      <c r="L161" s="709">
        <f>+F161+H161+J161</f>
        <v>139617582.8808929</v>
      </c>
    </row>
    <row r="162" spans="2:12">
      <c r="B162" s="693">
        <f t="shared" si="22"/>
        <v>138</v>
      </c>
      <c r="C162" s="328"/>
      <c r="D162" s="328"/>
      <c r="E162" s="328" t="s">
        <v>3432</v>
      </c>
      <c r="F162" s="710">
        <f>+F154*F157</f>
        <v>358436782.36177117</v>
      </c>
      <c r="G162" s="708"/>
      <c r="H162" s="710">
        <f>+H154*H157</f>
        <v>4645399.2498120135</v>
      </c>
      <c r="I162" s="708"/>
      <c r="J162" s="710">
        <f>+J154*J157</f>
        <v>58556599.44614841</v>
      </c>
      <c r="K162" s="708"/>
      <c r="L162" s="711">
        <f>+F162+H162+J162</f>
        <v>421638781.05773157</v>
      </c>
    </row>
    <row r="163" spans="2:12">
      <c r="B163" s="693">
        <f t="shared" si="22"/>
        <v>139</v>
      </c>
      <c r="C163" s="328"/>
      <c r="D163" s="328"/>
      <c r="E163" s="328"/>
      <c r="F163" s="708"/>
      <c r="G163" s="708"/>
      <c r="H163" s="708"/>
      <c r="I163" s="708"/>
      <c r="J163" s="708"/>
      <c r="K163" s="708"/>
      <c r="L163" s="709"/>
    </row>
    <row r="164" spans="2:12" ht="15" thickBot="1">
      <c r="B164" s="693">
        <f t="shared" si="22"/>
        <v>140</v>
      </c>
      <c r="C164" s="328"/>
      <c r="D164" s="328"/>
      <c r="E164" s="695" t="s">
        <v>3438</v>
      </c>
      <c r="F164" s="712">
        <f>+SUM(F160:F162)</f>
        <v>583336190.12468135</v>
      </c>
      <c r="G164" s="712"/>
      <c r="H164" s="712">
        <f>+SUM(H160:H162)</f>
        <v>8527262.4069419894</v>
      </c>
      <c r="I164" s="712"/>
      <c r="J164" s="712">
        <f>+SUM(J160:J162)</f>
        <v>76131027.193200514</v>
      </c>
      <c r="K164" s="712"/>
      <c r="L164" s="713">
        <f>+F164+H164+J164</f>
        <v>667994479.72482383</v>
      </c>
    </row>
    <row r="165" spans="2:12" ht="15" thickTop="1">
      <c r="B165" s="693">
        <f t="shared" si="22"/>
        <v>141</v>
      </c>
      <c r="C165" s="328"/>
      <c r="D165" s="328"/>
      <c r="E165" s="328"/>
      <c r="F165" s="686"/>
      <c r="G165" s="686"/>
      <c r="H165" s="651"/>
      <c r="I165" s="686"/>
      <c r="J165" s="651"/>
      <c r="K165" s="686"/>
      <c r="L165" s="690"/>
    </row>
    <row r="166" spans="2:12">
      <c r="B166" s="693">
        <f t="shared" si="22"/>
        <v>142</v>
      </c>
      <c r="C166" s="328"/>
      <c r="D166" s="328"/>
      <c r="E166" s="328"/>
      <c r="F166" s="328"/>
      <c r="G166" s="559" t="s">
        <v>3136</v>
      </c>
      <c r="H166" s="563"/>
      <c r="I166" s="559" t="s">
        <v>3127</v>
      </c>
      <c r="J166" s="563"/>
      <c r="K166" s="559" t="s">
        <v>3437</v>
      </c>
      <c r="L166" s="582"/>
    </row>
    <row r="167" spans="2:12">
      <c r="B167" s="693">
        <f t="shared" si="22"/>
        <v>143</v>
      </c>
      <c r="C167" s="328"/>
      <c r="D167" s="328"/>
      <c r="E167" s="328" t="s">
        <v>3439</v>
      </c>
      <c r="F167" s="328"/>
      <c r="G167" s="570">
        <f>+F164/1000</f>
        <v>583336.19012468134</v>
      </c>
      <c r="H167" s="569"/>
      <c r="I167" s="565">
        <f>+I186/1000</f>
        <v>18730.873406941992</v>
      </c>
      <c r="J167" s="569"/>
      <c r="K167" s="565">
        <f>+J164/1000</f>
        <v>76131.027193200513</v>
      </c>
      <c r="L167" s="582"/>
    </row>
    <row r="168" spans="2:12">
      <c r="B168" s="693">
        <f t="shared" si="22"/>
        <v>144</v>
      </c>
      <c r="C168" s="328"/>
      <c r="D168" s="288"/>
      <c r="E168" s="328" t="s">
        <v>3440</v>
      </c>
      <c r="F168" s="696"/>
      <c r="G168" s="674">
        <f>+SUMIFS('300s - 3 Digit FERC Accounts'!D:D,'300s - 3 Digit FERC Accounts'!B:B,"353")/1000</f>
        <v>458449.85130000004</v>
      </c>
      <c r="H168" s="675"/>
      <c r="I168" s="674">
        <f>+SUMIFS('300s - 5 Digit FERC Accounts'!D:D,'300s - 5 Digit FERC Accounts'!B:B,"=35000")/1000</f>
        <v>17799.99856</v>
      </c>
      <c r="J168" s="675"/>
      <c r="K168" s="676">
        <f>+SUMIFS('300s - 3 Digit FERC Accounts'!D:D,'300s - 3 Digit FERC Accounts'!B:B,"352")/1000</f>
        <v>76277.379719999997</v>
      </c>
      <c r="L168" s="582"/>
    </row>
    <row r="169" spans="2:12">
      <c r="B169" s="693">
        <f t="shared" si="22"/>
        <v>145</v>
      </c>
      <c r="C169" s="328"/>
      <c r="D169" s="328"/>
      <c r="E169" s="328" t="s">
        <v>3441</v>
      </c>
      <c r="F169" s="328"/>
      <c r="G169" s="677">
        <f>+G168/G167</f>
        <v>0.78591018191758633</v>
      </c>
      <c r="H169" s="678"/>
      <c r="I169" s="677">
        <f>+I168/I167</f>
        <v>0.9503026459728785</v>
      </c>
      <c r="J169" s="678"/>
      <c r="K169" s="677">
        <f>+K168/K167</f>
        <v>1.001922376883581</v>
      </c>
      <c r="L169" s="582"/>
    </row>
    <row r="170" spans="2:12">
      <c r="B170" s="693">
        <f t="shared" si="22"/>
        <v>146</v>
      </c>
      <c r="C170" s="328"/>
      <c r="D170" s="328"/>
      <c r="E170" s="328"/>
      <c r="F170" s="328"/>
      <c r="G170" s="570"/>
      <c r="H170" s="569"/>
      <c r="I170" s="570"/>
      <c r="J170" s="569"/>
      <c r="K170" s="570"/>
      <c r="L170" s="582"/>
    </row>
    <row r="171" spans="2:12">
      <c r="B171" s="693">
        <f t="shared" si="22"/>
        <v>147</v>
      </c>
      <c r="C171" s="328"/>
      <c r="D171" s="328"/>
      <c r="E171" s="328" t="s">
        <v>3442</v>
      </c>
      <c r="F171" s="328"/>
      <c r="G171" s="570"/>
      <c r="H171" s="569"/>
      <c r="I171" s="570"/>
      <c r="J171" s="569"/>
      <c r="K171" s="570"/>
      <c r="L171" s="679"/>
    </row>
    <row r="172" spans="2:12">
      <c r="B172" s="693">
        <f t="shared" si="22"/>
        <v>148</v>
      </c>
      <c r="C172" s="328"/>
      <c r="D172" s="328"/>
      <c r="E172" s="328" t="s">
        <v>3430</v>
      </c>
      <c r="F172" s="328"/>
      <c r="G172" s="570">
        <f>+F160*G169</f>
        <v>67023854.507289946</v>
      </c>
      <c r="H172" s="569"/>
      <c r="I172" s="570">
        <f>+H160*I169</f>
        <v>3688944.8295252477</v>
      </c>
      <c r="J172" s="569"/>
      <c r="K172" s="570">
        <f>+J160*K169</f>
        <v>17608212.420695204</v>
      </c>
      <c r="L172" s="582">
        <f>+SUM(G172,I172,K172)</f>
        <v>88321011.757510394</v>
      </c>
    </row>
    <row r="173" spans="2:12">
      <c r="B173" s="693">
        <f t="shared" si="22"/>
        <v>149</v>
      </c>
      <c r="C173" s="328"/>
      <c r="D173" s="328"/>
      <c r="E173" s="328" t="s">
        <v>3431</v>
      </c>
      <c r="F173" s="328"/>
      <c r="G173" s="570">
        <f>+F161*G169</f>
        <v>109726879.96081623</v>
      </c>
      <c r="H173" s="569"/>
      <c r="I173" s="570">
        <f>+H161*I169</f>
        <v>0</v>
      </c>
      <c r="J173" s="569"/>
      <c r="K173" s="570">
        <f>+J161*K169</f>
        <v>0</v>
      </c>
      <c r="L173" s="582">
        <f>+SUM(G173,I173,K173)</f>
        <v>109726879.96081623</v>
      </c>
    </row>
    <row r="174" spans="2:12">
      <c r="B174" s="693">
        <f t="shared" si="22"/>
        <v>150</v>
      </c>
      <c r="C174" s="328"/>
      <c r="D174" s="328"/>
      <c r="E174" s="328" t="s">
        <v>3432</v>
      </c>
      <c r="F174" s="328"/>
      <c r="G174" s="570">
        <f>+F162*G169</f>
        <v>281699116.83189386</v>
      </c>
      <c r="H174" s="569"/>
      <c r="I174" s="570">
        <f>+H162*I169</f>
        <v>4414535.1986967809</v>
      </c>
      <c r="J174" s="569"/>
      <c r="K174" s="570">
        <f>+J162*K169</f>
        <v>58669167.299304798</v>
      </c>
      <c r="L174" s="582">
        <f>+SUM(G174,I174,K174)</f>
        <v>344782819.32989544</v>
      </c>
    </row>
    <row r="175" spans="2:12">
      <c r="B175" s="693">
        <f t="shared" si="22"/>
        <v>151</v>
      </c>
      <c r="C175" s="328"/>
      <c r="D175" s="328"/>
      <c r="E175" s="328"/>
      <c r="F175" s="328"/>
      <c r="G175" s="570"/>
      <c r="H175" s="569"/>
      <c r="I175" s="570"/>
      <c r="J175" s="569"/>
      <c r="K175" s="570"/>
      <c r="L175" s="582"/>
    </row>
    <row r="176" spans="2:12" ht="15" thickBot="1">
      <c r="B176" s="693">
        <f t="shared" si="22"/>
        <v>152</v>
      </c>
      <c r="C176" s="328"/>
      <c r="D176" s="328"/>
      <c r="E176" s="695" t="s">
        <v>3443</v>
      </c>
      <c r="F176" s="697"/>
      <c r="G176" s="714">
        <f>+SUM(G172:G174)</f>
        <v>458449851.30000007</v>
      </c>
      <c r="H176" s="681"/>
      <c r="I176" s="714">
        <f>+SUM(I172:I174)</f>
        <v>8103480.0282220282</v>
      </c>
      <c r="J176" s="681"/>
      <c r="K176" s="714">
        <f>+SUM(K172:K174)</f>
        <v>76277379.719999999</v>
      </c>
      <c r="L176" s="682">
        <f>+SUM(L172:L174)</f>
        <v>542830711.04822206</v>
      </c>
    </row>
    <row r="177" spans="2:12" ht="15" thickTop="1">
      <c r="B177" s="693">
        <f t="shared" si="22"/>
        <v>153</v>
      </c>
      <c r="C177" s="328"/>
      <c r="D177" s="328"/>
      <c r="E177" s="328"/>
      <c r="F177" s="686"/>
      <c r="G177" s="686"/>
      <c r="H177" s="651"/>
      <c r="I177" s="686"/>
      <c r="J177" s="651"/>
      <c r="K177" s="686"/>
      <c r="L177" s="698"/>
    </row>
    <row r="178" spans="2:12" ht="15" thickBot="1">
      <c r="B178" s="693">
        <f t="shared" si="22"/>
        <v>154</v>
      </c>
      <c r="C178" s="328"/>
      <c r="D178" s="328"/>
      <c r="E178" s="328"/>
      <c r="F178" s="328"/>
      <c r="G178" s="328"/>
      <c r="H178" s="467"/>
      <c r="I178" s="328"/>
      <c r="J178" s="467"/>
      <c r="K178" s="686"/>
      <c r="L178" s="690"/>
    </row>
    <row r="179" spans="2:12">
      <c r="B179" s="693">
        <f t="shared" si="22"/>
        <v>155</v>
      </c>
      <c r="C179" s="328"/>
      <c r="D179" s="328"/>
      <c r="E179" s="699" t="s">
        <v>3444</v>
      </c>
      <c r="F179" s="700"/>
      <c r="G179" s="700"/>
      <c r="H179" s="701"/>
      <c r="I179" s="702">
        <f>+I168*1000</f>
        <v>17799998.559999999</v>
      </c>
      <c r="J179" s="651"/>
      <c r="K179" s="686"/>
      <c r="L179" s="690"/>
    </row>
    <row r="180" spans="2:12" ht="15.6">
      <c r="B180" s="693">
        <f t="shared" si="22"/>
        <v>156</v>
      </c>
      <c r="C180" s="328"/>
      <c r="D180" s="328"/>
      <c r="E180" s="642" t="s">
        <v>3445</v>
      </c>
      <c r="F180" s="328"/>
      <c r="G180" s="328"/>
      <c r="H180" s="328"/>
      <c r="I180" s="692">
        <f>+I176</f>
        <v>8103480.0282220282</v>
      </c>
      <c r="J180" s="651"/>
      <c r="K180" s="686"/>
      <c r="L180" s="690"/>
    </row>
    <row r="181" spans="2:12">
      <c r="B181" s="693">
        <f t="shared" si="22"/>
        <v>157</v>
      </c>
      <c r="C181" s="328"/>
      <c r="D181" s="328"/>
      <c r="E181" s="703" t="s">
        <v>3446</v>
      </c>
      <c r="F181" s="686"/>
      <c r="G181" s="686"/>
      <c r="H181" s="328"/>
      <c r="I181" s="704">
        <f>+I179-I180</f>
        <v>9696518.5317779705</v>
      </c>
      <c r="J181" s="328"/>
      <c r="K181" s="328"/>
      <c r="L181" s="536"/>
    </row>
    <row r="182" spans="2:12">
      <c r="B182" s="693">
        <f t="shared" si="22"/>
        <v>158</v>
      </c>
      <c r="C182" s="328"/>
      <c r="D182" s="328"/>
      <c r="E182" s="642"/>
      <c r="F182" s="686"/>
      <c r="G182" s="686"/>
      <c r="H182" s="328"/>
      <c r="I182" s="705"/>
      <c r="J182" s="42"/>
      <c r="K182" s="504"/>
      <c r="L182" s="668"/>
    </row>
    <row r="183" spans="2:12">
      <c r="B183" s="693">
        <f t="shared" si="22"/>
        <v>159</v>
      </c>
      <c r="C183" s="328"/>
      <c r="D183" s="328"/>
      <c r="E183" s="642"/>
      <c r="F183" s="328"/>
      <c r="G183" s="328"/>
      <c r="H183" s="328"/>
      <c r="I183" s="635"/>
      <c r="J183" s="42"/>
      <c r="K183" s="504"/>
      <c r="L183" s="668"/>
    </row>
    <row r="184" spans="2:12">
      <c r="B184" s="693">
        <f t="shared" si="22"/>
        <v>160</v>
      </c>
      <c r="C184" s="328"/>
      <c r="D184" s="328"/>
      <c r="E184" s="642" t="s">
        <v>3447</v>
      </c>
      <c r="F184" s="504"/>
      <c r="G184" s="686"/>
      <c r="H184" s="467"/>
      <c r="I184" s="706">
        <f>+'Transmission Voltage Detail'!I11</f>
        <v>10203611</v>
      </c>
      <c r="J184" s="328"/>
      <c r="K184" s="328"/>
      <c r="L184" s="536"/>
    </row>
    <row r="185" spans="2:12">
      <c r="B185" s="693">
        <f t="shared" si="22"/>
        <v>161</v>
      </c>
      <c r="C185" s="328"/>
      <c r="D185" s="328"/>
      <c r="E185" s="642" t="s">
        <v>3448</v>
      </c>
      <c r="F185" s="328"/>
      <c r="G185" s="328"/>
      <c r="H185" s="467"/>
      <c r="I185" s="707">
        <f>+H147</f>
        <v>8527262.4069419913</v>
      </c>
      <c r="J185" s="328"/>
      <c r="K185" s="328"/>
      <c r="L185" s="536"/>
    </row>
    <row r="186" spans="2:12" ht="15" thickBot="1">
      <c r="B186" s="693">
        <f>+B185+1</f>
        <v>162</v>
      </c>
      <c r="C186" s="328"/>
      <c r="D186" s="328"/>
      <c r="E186" s="926" t="s">
        <v>3449</v>
      </c>
      <c r="F186" s="1887"/>
      <c r="G186" s="1887"/>
      <c r="H186" s="1887"/>
      <c r="I186" s="1888">
        <f>+SUM(I184:I185)</f>
        <v>18730873.406941991</v>
      </c>
      <c r="J186" s="328"/>
      <c r="K186" s="328"/>
      <c r="L186" s="536"/>
    </row>
    <row r="187" spans="2:12">
      <c r="B187" s="357"/>
      <c r="L187" s="296"/>
    </row>
    <row r="188" spans="2:12">
      <c r="B188" s="616"/>
      <c r="C188" s="297"/>
      <c r="D188" s="297"/>
      <c r="E188" s="297"/>
      <c r="F188" s="297"/>
      <c r="G188" s="297"/>
      <c r="H188" s="297"/>
      <c r="I188" s="297"/>
      <c r="J188" s="297"/>
      <c r="K188" s="297"/>
      <c r="L188" s="298"/>
    </row>
    <row r="191" spans="2:12">
      <c r="B191" s="665"/>
    </row>
    <row r="192" spans="2:12">
      <c r="B192" s="96"/>
    </row>
    <row r="193" spans="2:7">
      <c r="B193" s="96"/>
      <c r="C193" s="666"/>
      <c r="G193" s="66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8" tint="0.59999389629810485"/>
  </sheetPr>
  <dimension ref="A2:AA750"/>
  <sheetViews>
    <sheetView tabSelected="1" showOutlineSymbols="0" topLeftCell="A102" workbookViewId="0"/>
  </sheetViews>
  <sheetFormatPr defaultRowHeight="14.4"/>
  <cols>
    <col min="1" max="2" width="20" style="33" bestFit="1" customWidth="1"/>
    <col min="3" max="3" width="6.109375" bestFit="1" customWidth="1"/>
    <col min="4" max="4" width="25.5546875" bestFit="1" customWidth="1"/>
    <col min="5" max="5" width="50.88671875" bestFit="1" customWidth="1"/>
    <col min="6" max="11" width="10.6640625" bestFit="1" customWidth="1"/>
    <col min="12" max="18" width="10.88671875" bestFit="1" customWidth="1"/>
    <col min="19" max="19" width="13.44140625" bestFit="1" customWidth="1"/>
    <col min="20" max="20" width="3.44140625" customWidth="1"/>
    <col min="21" max="21" width="16.6640625" bestFit="1" customWidth="1"/>
    <col min="22" max="22" width="12.109375" bestFit="1" customWidth="1"/>
    <col min="23" max="23" width="3.88671875" customWidth="1"/>
    <col min="24" max="24" width="18.5546875" bestFit="1" customWidth="1"/>
    <col min="25" max="25" width="11.5546875" bestFit="1" customWidth="1"/>
    <col min="26" max="26" width="14.5546875" bestFit="1" customWidth="1"/>
    <col min="27" max="27" width="12.109375" bestFit="1" customWidth="1"/>
  </cols>
  <sheetData>
    <row r="2" spans="1:27">
      <c r="D2" s="1962"/>
      <c r="E2" s="1962"/>
      <c r="F2" s="1975" t="s">
        <v>9148</v>
      </c>
      <c r="G2" s="1975" t="s">
        <v>8699</v>
      </c>
      <c r="H2" s="1975" t="s">
        <v>8699</v>
      </c>
      <c r="I2" s="1975" t="s">
        <v>8699</v>
      </c>
      <c r="J2" s="1975" t="s">
        <v>8699</v>
      </c>
      <c r="K2" s="1975" t="s">
        <v>8699</v>
      </c>
      <c r="L2" s="1975" t="s">
        <v>8699</v>
      </c>
      <c r="M2" s="1975" t="s">
        <v>8699</v>
      </c>
      <c r="N2" s="1975" t="s">
        <v>8699</v>
      </c>
      <c r="O2" s="1975" t="s">
        <v>8699</v>
      </c>
      <c r="P2" s="1975" t="s">
        <v>8699</v>
      </c>
      <c r="Q2" s="1975" t="s">
        <v>8699</v>
      </c>
      <c r="R2" s="1975" t="s">
        <v>8699</v>
      </c>
      <c r="S2" s="1976" t="s">
        <v>605</v>
      </c>
      <c r="U2" s="1977" t="s">
        <v>611</v>
      </c>
      <c r="V2" s="1977" t="s">
        <v>610</v>
      </c>
      <c r="X2" t="s">
        <v>1356</v>
      </c>
      <c r="Y2" s="33" t="s">
        <v>1435</v>
      </c>
      <c r="Z2" s="33" t="s">
        <v>1436</v>
      </c>
      <c r="AA2" s="1977" t="s">
        <v>610</v>
      </c>
    </row>
    <row r="3" spans="1:27" ht="15" thickBot="1">
      <c r="A3" s="49"/>
      <c r="B3" s="49" t="s">
        <v>609</v>
      </c>
      <c r="C3" s="49"/>
      <c r="D3" s="1978" t="s">
        <v>1355</v>
      </c>
      <c r="E3" s="1979" t="s">
        <v>35</v>
      </c>
      <c r="F3" s="1975" t="s">
        <v>8700</v>
      </c>
      <c r="G3" s="1975" t="s">
        <v>9149</v>
      </c>
      <c r="H3" s="1975" t="s">
        <v>9150</v>
      </c>
      <c r="I3" s="1975" t="s">
        <v>9151</v>
      </c>
      <c r="J3" s="1975" t="s">
        <v>9152</v>
      </c>
      <c r="K3" s="1975" t="s">
        <v>9153</v>
      </c>
      <c r="L3" s="1975" t="s">
        <v>9154</v>
      </c>
      <c r="M3" s="1975" t="s">
        <v>9155</v>
      </c>
      <c r="N3" s="1975" t="s">
        <v>9156</v>
      </c>
      <c r="O3" s="1975" t="s">
        <v>9157</v>
      </c>
      <c r="P3" s="1975" t="s">
        <v>9158</v>
      </c>
      <c r="Q3" s="1975" t="s">
        <v>9159</v>
      </c>
      <c r="R3" s="1975" t="s">
        <v>9160</v>
      </c>
      <c r="S3" s="1980">
        <v>2025</v>
      </c>
    </row>
    <row r="4" spans="1:27">
      <c r="A4" s="33" t="str">
        <f>+LEFT(B4,3)</f>
        <v>131</v>
      </c>
      <c r="B4" s="33">
        <v>1310070</v>
      </c>
      <c r="D4" s="1962" t="s">
        <v>158</v>
      </c>
      <c r="E4" s="1962" t="s">
        <v>159</v>
      </c>
      <c r="F4" s="1981">
        <v>0</v>
      </c>
      <c r="G4" s="1981">
        <v>0</v>
      </c>
      <c r="H4" s="1981">
        <v>0</v>
      </c>
      <c r="I4" s="1981">
        <v>0</v>
      </c>
      <c r="J4" s="1981">
        <v>0</v>
      </c>
      <c r="K4" s="1981">
        <v>0</v>
      </c>
      <c r="L4" s="1981">
        <v>0</v>
      </c>
      <c r="M4" s="1981">
        <v>0</v>
      </c>
      <c r="N4" s="1981">
        <v>0</v>
      </c>
      <c r="O4" s="1981">
        <v>0</v>
      </c>
      <c r="P4" s="1981">
        <v>0</v>
      </c>
      <c r="Q4" s="1981">
        <v>0</v>
      </c>
      <c r="R4" s="1981">
        <v>0</v>
      </c>
      <c r="S4" s="1982">
        <v>0</v>
      </c>
      <c r="U4" s="47">
        <f>+IF(F4="","",SUM(F4:R4)/13)</f>
        <v>0</v>
      </c>
      <c r="V4" s="48">
        <f>IF(S4="","",+U4-S4)</f>
        <v>0</v>
      </c>
      <c r="X4" t="s">
        <v>1437</v>
      </c>
      <c r="Y4" s="44">
        <f>+SUMIFS(F:F,D:D,"A_1*")</f>
        <v>13050021.784111332</v>
      </c>
      <c r="Z4" s="44">
        <f>+SUMIF(D:D,"*A_2*",F:F)</f>
        <v>13050021.784111338</v>
      </c>
      <c r="AA4" s="46">
        <f>+Y4-Z4</f>
        <v>0</v>
      </c>
    </row>
    <row r="5" spans="1:27">
      <c r="A5" s="33" t="str">
        <f t="shared" ref="A5:A68" si="0">+LEFT(B5,3)</f>
        <v>131</v>
      </c>
      <c r="B5" s="33">
        <v>1310085</v>
      </c>
      <c r="D5" s="1962" t="s">
        <v>160</v>
      </c>
      <c r="E5" s="1962" t="s">
        <v>161</v>
      </c>
      <c r="F5" s="1981">
        <v>0</v>
      </c>
      <c r="G5" s="1981">
        <v>0</v>
      </c>
      <c r="H5" s="1981">
        <v>0</v>
      </c>
      <c r="I5" s="1981">
        <v>0</v>
      </c>
      <c r="J5" s="1981">
        <v>0</v>
      </c>
      <c r="K5" s="1981">
        <v>0</v>
      </c>
      <c r="L5" s="1981">
        <v>0</v>
      </c>
      <c r="M5" s="1981">
        <v>0</v>
      </c>
      <c r="N5" s="1981">
        <v>0</v>
      </c>
      <c r="O5" s="1981">
        <v>0</v>
      </c>
      <c r="P5" s="1981">
        <v>0</v>
      </c>
      <c r="Q5" s="1981">
        <v>0</v>
      </c>
      <c r="R5" s="1981">
        <v>0</v>
      </c>
      <c r="S5" s="1982">
        <v>0</v>
      </c>
      <c r="U5" s="47">
        <f>+IF(F5="","",SUM(F5:R5)/13)</f>
        <v>0</v>
      </c>
      <c r="V5" s="48">
        <f t="shared" ref="V5:V68" si="1">IF(S5="","",+U5-S5)</f>
        <v>0</v>
      </c>
      <c r="X5" t="s">
        <v>1357</v>
      </c>
      <c r="Y5" s="44">
        <f>+SUMIFS(G:G,D:D,"A_1*")</f>
        <v>13175694.211948149</v>
      </c>
      <c r="Z5" s="44">
        <f>+SUMIF(D:D,"*A_2*",G:G)</f>
        <v>13175694.211948149</v>
      </c>
      <c r="AA5" s="46">
        <f t="shared" ref="AA5:AA17" si="2">+Y5-Z5</f>
        <v>0</v>
      </c>
    </row>
    <row r="6" spans="1:27">
      <c r="A6" s="33" t="str">
        <f t="shared" si="0"/>
        <v>131</v>
      </c>
      <c r="B6" s="33">
        <v>1310095</v>
      </c>
      <c r="D6" s="1962" t="s">
        <v>162</v>
      </c>
      <c r="E6" s="1962" t="s">
        <v>163</v>
      </c>
      <c r="F6" s="1981">
        <v>0</v>
      </c>
      <c r="G6" s="1981">
        <v>0</v>
      </c>
      <c r="H6" s="1981">
        <v>0</v>
      </c>
      <c r="I6" s="1981">
        <v>0</v>
      </c>
      <c r="J6" s="1981">
        <v>0</v>
      </c>
      <c r="K6" s="1981">
        <v>0</v>
      </c>
      <c r="L6" s="1981">
        <v>0</v>
      </c>
      <c r="M6" s="1981">
        <v>0</v>
      </c>
      <c r="N6" s="1981">
        <v>0</v>
      </c>
      <c r="O6" s="1981">
        <v>0</v>
      </c>
      <c r="P6" s="1981">
        <v>0</v>
      </c>
      <c r="Q6" s="1981">
        <v>0</v>
      </c>
      <c r="R6" s="1981">
        <v>0</v>
      </c>
      <c r="S6" s="1982">
        <v>0</v>
      </c>
      <c r="U6" s="47">
        <f t="shared" ref="U6:U69" si="3">+IF(F6="","",SUM(F6:R6)/13)</f>
        <v>0</v>
      </c>
      <c r="V6" s="48">
        <f t="shared" si="1"/>
        <v>0</v>
      </c>
      <c r="X6" t="s">
        <v>1358</v>
      </c>
      <c r="Y6" s="44">
        <f>+SUMIFS(H:H,D:D,"A_1*")</f>
        <v>13283354.576640096</v>
      </c>
      <c r="Z6" s="44">
        <f>+SUMIF(D:D,"*A_2*",H:H)</f>
        <v>13283354.576640097</v>
      </c>
      <c r="AA6" s="46">
        <f t="shared" si="2"/>
        <v>0</v>
      </c>
    </row>
    <row r="7" spans="1:27">
      <c r="A7" s="33" t="str">
        <f t="shared" si="0"/>
        <v>131</v>
      </c>
      <c r="B7" s="33">
        <v>1310150</v>
      </c>
      <c r="D7" s="1962" t="s">
        <v>164</v>
      </c>
      <c r="E7" s="1962" t="s">
        <v>165</v>
      </c>
      <c r="F7" s="1981">
        <v>0</v>
      </c>
      <c r="G7" s="1981">
        <v>0</v>
      </c>
      <c r="H7" s="1981">
        <v>0</v>
      </c>
      <c r="I7" s="1981">
        <v>0</v>
      </c>
      <c r="J7" s="1981">
        <v>0</v>
      </c>
      <c r="K7" s="1981">
        <v>0</v>
      </c>
      <c r="L7" s="1981">
        <v>0</v>
      </c>
      <c r="M7" s="1981">
        <v>0</v>
      </c>
      <c r="N7" s="1981">
        <v>0</v>
      </c>
      <c r="O7" s="1981">
        <v>0</v>
      </c>
      <c r="P7" s="1981">
        <v>0</v>
      </c>
      <c r="Q7" s="1981">
        <v>0</v>
      </c>
      <c r="R7" s="1981">
        <v>0</v>
      </c>
      <c r="S7" s="1982">
        <v>0</v>
      </c>
      <c r="U7" s="47">
        <f t="shared" si="3"/>
        <v>0</v>
      </c>
      <c r="V7" s="48">
        <f t="shared" si="1"/>
        <v>0</v>
      </c>
      <c r="X7" t="s">
        <v>1359</v>
      </c>
      <c r="Y7" s="44">
        <f>+SUMIFS(I:I,D:D,"A_1*")</f>
        <v>13384643.651824947</v>
      </c>
      <c r="Z7" s="44">
        <f>+SUMIF(D:D,"*A_2*",I:I)</f>
        <v>13384643.651824946</v>
      </c>
      <c r="AA7" s="46">
        <f t="shared" si="2"/>
        <v>0</v>
      </c>
    </row>
    <row r="8" spans="1:27">
      <c r="A8" s="33" t="str">
        <f t="shared" si="0"/>
        <v>131</v>
      </c>
      <c r="B8" s="33">
        <v>1310990</v>
      </c>
      <c r="D8" s="1962" t="s">
        <v>166</v>
      </c>
      <c r="E8" s="1962" t="s">
        <v>167</v>
      </c>
      <c r="F8" s="1981">
        <v>1000</v>
      </c>
      <c r="G8" s="1981">
        <v>1000</v>
      </c>
      <c r="H8" s="1981">
        <v>1000</v>
      </c>
      <c r="I8" s="1981">
        <v>1000</v>
      </c>
      <c r="J8" s="1981">
        <v>1000</v>
      </c>
      <c r="K8" s="1981">
        <v>1000</v>
      </c>
      <c r="L8" s="1981">
        <v>1000</v>
      </c>
      <c r="M8" s="1981">
        <v>1000</v>
      </c>
      <c r="N8" s="1981">
        <v>1000</v>
      </c>
      <c r="O8" s="1981">
        <v>1000</v>
      </c>
      <c r="P8" s="1981">
        <v>1000</v>
      </c>
      <c r="Q8" s="1981">
        <v>1000</v>
      </c>
      <c r="R8" s="1981">
        <v>1000</v>
      </c>
      <c r="S8" s="1982">
        <v>1000</v>
      </c>
      <c r="U8" s="47">
        <f t="shared" si="3"/>
        <v>1000</v>
      </c>
      <c r="V8" s="48">
        <f t="shared" si="1"/>
        <v>0</v>
      </c>
      <c r="X8" t="s">
        <v>1360</v>
      </c>
      <c r="Y8" s="44">
        <f>+SUMIFS(J:J,D:D,"A_1*")</f>
        <v>13534249.080487099</v>
      </c>
      <c r="Z8" s="44">
        <f>+SUMIF(D:D,"*A_2*",J:J)</f>
        <v>13534249.080487093</v>
      </c>
      <c r="AA8" s="46">
        <f t="shared" si="2"/>
        <v>0</v>
      </c>
    </row>
    <row r="9" spans="1:27">
      <c r="A9" s="33" t="str">
        <f t="shared" si="0"/>
        <v>135</v>
      </c>
      <c r="B9" s="33">
        <v>1350000</v>
      </c>
      <c r="D9" s="1962" t="s">
        <v>169</v>
      </c>
      <c r="E9" s="1962" t="s">
        <v>170</v>
      </c>
      <c r="F9" s="1981">
        <v>52.665390000000002</v>
      </c>
      <c r="G9" s="1981">
        <v>52.665390000000002</v>
      </c>
      <c r="H9" s="1981">
        <v>52.665390000000002</v>
      </c>
      <c r="I9" s="1981">
        <v>52.665390000000002</v>
      </c>
      <c r="J9" s="1981">
        <v>52.665390000000002</v>
      </c>
      <c r="K9" s="1981">
        <v>52.665390000000002</v>
      </c>
      <c r="L9" s="1981">
        <v>52.665390000000002</v>
      </c>
      <c r="M9" s="1981">
        <v>52.665390000000002</v>
      </c>
      <c r="N9" s="1981">
        <v>52.665390000000002</v>
      </c>
      <c r="O9" s="1981">
        <v>52.665390000000002</v>
      </c>
      <c r="P9" s="1981">
        <v>52.665390000000002</v>
      </c>
      <c r="Q9" s="1981">
        <v>52.665390000000002</v>
      </c>
      <c r="R9" s="1981">
        <v>52.665390000000002</v>
      </c>
      <c r="S9" s="1982">
        <v>52.665390000000002</v>
      </c>
      <c r="U9" s="47">
        <f t="shared" si="3"/>
        <v>52.665390000000002</v>
      </c>
      <c r="V9" s="48">
        <f t="shared" si="1"/>
        <v>0</v>
      </c>
      <c r="X9" t="s">
        <v>1361</v>
      </c>
      <c r="Y9" s="44">
        <f>+SUMIFS(K:K,D:D,"A_1*")</f>
        <v>13651652.946849696</v>
      </c>
      <c r="Z9" s="44">
        <f>+SUMIF(D:D,"*A_2*",K:K)</f>
        <v>13651652.946849694</v>
      </c>
      <c r="AA9" s="46">
        <f t="shared" si="2"/>
        <v>0</v>
      </c>
    </row>
    <row r="10" spans="1:27">
      <c r="A10" s="33" t="str">
        <f t="shared" si="0"/>
        <v>142</v>
      </c>
      <c r="B10" s="33">
        <v>1420400</v>
      </c>
      <c r="D10" s="1962" t="s">
        <v>172</v>
      </c>
      <c r="E10" s="1962" t="s">
        <v>173</v>
      </c>
      <c r="F10" s="1981">
        <v>188937.48955500001</v>
      </c>
      <c r="G10" s="1981">
        <v>173534.24699983399</v>
      </c>
      <c r="H10" s="1981">
        <v>165572.29721224299</v>
      </c>
      <c r="I10" s="1981">
        <v>140540.68188247998</v>
      </c>
      <c r="J10" s="1981">
        <v>155516.57990402498</v>
      </c>
      <c r="K10" s="1981">
        <v>164406.39873599203</v>
      </c>
      <c r="L10" s="1981">
        <v>189294.35361418501</v>
      </c>
      <c r="M10" s="1981">
        <v>211020.25239529699</v>
      </c>
      <c r="N10" s="1981">
        <v>197373.32361847401</v>
      </c>
      <c r="O10" s="1981">
        <v>222831.767605311</v>
      </c>
      <c r="P10" s="1981">
        <v>200789.03837330799</v>
      </c>
      <c r="Q10" s="1981">
        <v>182023.08889238501</v>
      </c>
      <c r="R10" s="1981">
        <v>174641.23838903298</v>
      </c>
      <c r="S10" s="1982">
        <v>182036.98132135128</v>
      </c>
      <c r="U10" s="47">
        <f t="shared" si="3"/>
        <v>182036.98132135128</v>
      </c>
      <c r="V10" s="48">
        <f t="shared" si="1"/>
        <v>0</v>
      </c>
      <c r="X10" t="s">
        <v>1362</v>
      </c>
      <c r="Y10" s="44">
        <f>+SUMIFS(L:L,D:D,"A_1*")</f>
        <v>13837397.416289562</v>
      </c>
      <c r="Z10" s="44">
        <f>+SUMIF(D:D,"*A_2*",L:L)</f>
        <v>13837397.41628956</v>
      </c>
      <c r="AA10" s="46">
        <f t="shared" si="2"/>
        <v>0</v>
      </c>
    </row>
    <row r="11" spans="1:27">
      <c r="A11" s="33" t="str">
        <f t="shared" si="0"/>
        <v>142</v>
      </c>
      <c r="B11" s="33">
        <v>1420401</v>
      </c>
      <c r="D11" s="1962" t="s">
        <v>174</v>
      </c>
      <c r="E11" s="1962" t="s">
        <v>175</v>
      </c>
      <c r="F11" s="1981">
        <v>-550</v>
      </c>
      <c r="G11" s="1981">
        <v>-525</v>
      </c>
      <c r="H11" s="1981">
        <v>-525</v>
      </c>
      <c r="I11" s="1981">
        <v>-525</v>
      </c>
      <c r="J11" s="1981">
        <v>-525</v>
      </c>
      <c r="K11" s="1981">
        <v>-525</v>
      </c>
      <c r="L11" s="1981">
        <v>-525</v>
      </c>
      <c r="M11" s="1981">
        <v>-525</v>
      </c>
      <c r="N11" s="1981">
        <v>-525</v>
      </c>
      <c r="O11" s="1981">
        <v>-525</v>
      </c>
      <c r="P11" s="1981">
        <v>-525</v>
      </c>
      <c r="Q11" s="1981">
        <v>-525</v>
      </c>
      <c r="R11" s="1981">
        <v>-525</v>
      </c>
      <c r="S11" s="1982">
        <v>-526.92307692307691</v>
      </c>
      <c r="U11" s="47">
        <f t="shared" si="3"/>
        <v>-526.92307692307691</v>
      </c>
      <c r="V11" s="48">
        <f t="shared" si="1"/>
        <v>0</v>
      </c>
      <c r="X11" t="s">
        <v>1363</v>
      </c>
      <c r="Y11" s="44">
        <f>+SUMIFS(M:M,D:D,"A_1*")</f>
        <v>14004559.986957973</v>
      </c>
      <c r="Z11" s="44">
        <f>+SUMIF(D:D,"*A_2*",M:M)</f>
        <v>14004559.986957973</v>
      </c>
      <c r="AA11" s="46">
        <f t="shared" si="2"/>
        <v>0</v>
      </c>
    </row>
    <row r="12" spans="1:27">
      <c r="A12" s="33" t="str">
        <f t="shared" si="0"/>
        <v>143</v>
      </c>
      <c r="B12" s="33">
        <v>1430000</v>
      </c>
      <c r="D12" s="1962" t="s">
        <v>176</v>
      </c>
      <c r="E12" s="1962" t="s">
        <v>177</v>
      </c>
      <c r="F12" s="1981">
        <v>3200</v>
      </c>
      <c r="G12" s="1981">
        <v>3300</v>
      </c>
      <c r="H12" s="1981">
        <v>3300</v>
      </c>
      <c r="I12" s="1981">
        <v>3300</v>
      </c>
      <c r="J12" s="1981">
        <v>3300</v>
      </c>
      <c r="K12" s="1981">
        <v>3300</v>
      </c>
      <c r="L12" s="1981">
        <v>3300</v>
      </c>
      <c r="M12" s="1981">
        <v>3300</v>
      </c>
      <c r="N12" s="1981">
        <v>3300</v>
      </c>
      <c r="O12" s="1981">
        <v>3300</v>
      </c>
      <c r="P12" s="1981">
        <v>3300</v>
      </c>
      <c r="Q12" s="1981">
        <v>3300</v>
      </c>
      <c r="R12" s="1981">
        <v>3300</v>
      </c>
      <c r="S12" s="1982">
        <v>3292.3076923076924</v>
      </c>
      <c r="U12" s="47">
        <f t="shared" si="3"/>
        <v>3292.3076923076924</v>
      </c>
      <c r="V12" s="48">
        <f t="shared" si="1"/>
        <v>0</v>
      </c>
      <c r="X12" t="s">
        <v>1364</v>
      </c>
      <c r="Y12" s="44">
        <f>+SUMIFS(N:N,D:D,"A_1*")</f>
        <v>14052331.27040611</v>
      </c>
      <c r="Z12" s="44">
        <f>+SUMIF(D:D,"*A_2*",N:N)</f>
        <v>14052331.270406116</v>
      </c>
      <c r="AA12" s="46">
        <f t="shared" si="2"/>
        <v>0</v>
      </c>
    </row>
    <row r="13" spans="1:27">
      <c r="A13" s="33" t="str">
        <f t="shared" si="0"/>
        <v>143</v>
      </c>
      <c r="B13" s="33">
        <v>1430001</v>
      </c>
      <c r="D13" s="1962" t="s">
        <v>178</v>
      </c>
      <c r="E13" s="1962" t="s">
        <v>179</v>
      </c>
      <c r="F13" s="1981">
        <v>4000</v>
      </c>
      <c r="G13" s="1981">
        <v>4121.3059499999999</v>
      </c>
      <c r="H13" s="1981">
        <v>4134.4967500000002</v>
      </c>
      <c r="I13" s="1981">
        <v>4102.6173500000004</v>
      </c>
      <c r="J13" s="1981">
        <v>4049.9479500000002</v>
      </c>
      <c r="K13" s="1981">
        <v>4074.76755</v>
      </c>
      <c r="L13" s="1981">
        <v>4008.36375</v>
      </c>
      <c r="M13" s="1981">
        <v>4022.3229500000002</v>
      </c>
      <c r="N13" s="1981">
        <v>4026.9763499999999</v>
      </c>
      <c r="O13" s="1981">
        <v>4067.35095</v>
      </c>
      <c r="P13" s="1981">
        <v>4069.9241499999998</v>
      </c>
      <c r="Q13" s="1981">
        <v>4110.3399500000005</v>
      </c>
      <c r="R13" s="1981">
        <v>4080.4119500000002</v>
      </c>
      <c r="S13" s="1982">
        <v>4066.8327384615386</v>
      </c>
      <c r="U13" s="47">
        <f t="shared" si="3"/>
        <v>4066.8327384615386</v>
      </c>
      <c r="V13" s="48">
        <f t="shared" si="1"/>
        <v>0</v>
      </c>
      <c r="X13" t="s">
        <v>1365</v>
      </c>
      <c r="Y13" s="44">
        <f>+SUMIFS(O:O,D:D,"A_1*")</f>
        <v>14114049.317109808</v>
      </c>
      <c r="Z13" s="44">
        <f>+SUMIF(D:D,"*A_2*",O:O)</f>
        <v>14114049.317109812</v>
      </c>
      <c r="AA13" s="46">
        <f t="shared" si="2"/>
        <v>0</v>
      </c>
    </row>
    <row r="14" spans="1:27">
      <c r="A14" s="33" t="str">
        <f t="shared" si="0"/>
        <v>143</v>
      </c>
      <c r="B14" s="33">
        <v>1430030</v>
      </c>
      <c r="D14" s="1962" t="s">
        <v>180</v>
      </c>
      <c r="E14" s="1962" t="s">
        <v>181</v>
      </c>
      <c r="F14" s="1981">
        <v>0</v>
      </c>
      <c r="G14" s="1981">
        <v>0</v>
      </c>
      <c r="H14" s="1981">
        <v>0</v>
      </c>
      <c r="I14" s="1981">
        <v>0</v>
      </c>
      <c r="J14" s="1981">
        <v>0</v>
      </c>
      <c r="K14" s="1981">
        <v>0</v>
      </c>
      <c r="L14" s="1981">
        <v>0</v>
      </c>
      <c r="M14" s="1981">
        <v>0</v>
      </c>
      <c r="N14" s="1981">
        <v>0</v>
      </c>
      <c r="O14" s="1981">
        <v>0</v>
      </c>
      <c r="P14" s="1981">
        <v>0</v>
      </c>
      <c r="Q14" s="1981">
        <v>0</v>
      </c>
      <c r="R14" s="1981">
        <v>0</v>
      </c>
      <c r="S14" s="1982">
        <v>0</v>
      </c>
      <c r="U14" s="47">
        <f t="shared" si="3"/>
        <v>0</v>
      </c>
      <c r="V14" s="48">
        <f t="shared" si="1"/>
        <v>0</v>
      </c>
      <c r="X14" t="s">
        <v>1366</v>
      </c>
      <c r="Y14" s="44">
        <f>+SUMIFS(P:P,D:D,"A_1*")</f>
        <v>14134733.578126917</v>
      </c>
      <c r="Z14" s="44">
        <f>+SUMIF(D:D,"*A_2*",P:P)</f>
        <v>14134733.578126924</v>
      </c>
      <c r="AA14" s="46">
        <f t="shared" si="2"/>
        <v>0</v>
      </c>
    </row>
    <row r="15" spans="1:27">
      <c r="A15" s="33" t="str">
        <f t="shared" si="0"/>
        <v>143</v>
      </c>
      <c r="B15" s="33">
        <v>1430036</v>
      </c>
      <c r="D15" s="1962" t="s">
        <v>570</v>
      </c>
      <c r="E15" s="1962" t="s">
        <v>7143</v>
      </c>
      <c r="F15" s="1981">
        <v>0</v>
      </c>
      <c r="G15" s="1981">
        <v>0</v>
      </c>
      <c r="H15" s="1981">
        <v>0</v>
      </c>
      <c r="I15" s="1981">
        <v>0</v>
      </c>
      <c r="J15" s="1981">
        <v>0</v>
      </c>
      <c r="K15" s="1981">
        <v>0</v>
      </c>
      <c r="L15" s="1981">
        <v>0</v>
      </c>
      <c r="M15" s="1981">
        <v>0</v>
      </c>
      <c r="N15" s="1981">
        <v>0</v>
      </c>
      <c r="O15" s="1981">
        <v>0</v>
      </c>
      <c r="P15" s="1981">
        <v>0</v>
      </c>
      <c r="Q15" s="1981">
        <v>0</v>
      </c>
      <c r="R15" s="1981">
        <v>0</v>
      </c>
      <c r="S15" s="1982">
        <v>0</v>
      </c>
      <c r="U15" s="47">
        <f t="shared" si="3"/>
        <v>0</v>
      </c>
      <c r="V15" s="48">
        <f t="shared" si="1"/>
        <v>0</v>
      </c>
      <c r="X15" t="s">
        <v>1367</v>
      </c>
      <c r="Y15" s="44">
        <f>+SUMIFS(Q:Q,D:D,"A_1*")</f>
        <v>14143674.27601051</v>
      </c>
      <c r="Z15" s="44">
        <f>+SUMIF(D:D,"*A_2*",Q:Q)</f>
        <v>14143674.27601051</v>
      </c>
      <c r="AA15" s="46">
        <f t="shared" si="2"/>
        <v>0</v>
      </c>
    </row>
    <row r="16" spans="1:27">
      <c r="A16" s="33" t="str">
        <f t="shared" si="0"/>
        <v>144</v>
      </c>
      <c r="B16" s="33">
        <v>1440000</v>
      </c>
      <c r="D16" s="1962" t="s">
        <v>186</v>
      </c>
      <c r="E16" s="1962" t="s">
        <v>187</v>
      </c>
      <c r="F16" s="1981">
        <v>-2508.7199172141</v>
      </c>
      <c r="G16" s="1981">
        <v>-2514.5660026956002</v>
      </c>
      <c r="H16" s="1981">
        <v>-2476.7924411316003</v>
      </c>
      <c r="I16" s="1981">
        <v>-2438.3267081566</v>
      </c>
      <c r="J16" s="1981">
        <v>-2488.6004174250002</v>
      </c>
      <c r="K16" s="1981">
        <v>-2549.1611367354999</v>
      </c>
      <c r="L16" s="1981">
        <v>-2621.2883000667998</v>
      </c>
      <c r="M16" s="1981">
        <v>-2680.2729466597002</v>
      </c>
      <c r="N16" s="1981">
        <v>-2655.5401695203</v>
      </c>
      <c r="O16" s="1981">
        <v>-2673.6882820397</v>
      </c>
      <c r="P16" s="1981">
        <v>-2599.4199023250003</v>
      </c>
      <c r="Q16" s="1981">
        <v>-2518.9496663917002</v>
      </c>
      <c r="R16" s="1981">
        <v>-2490.1183433055999</v>
      </c>
      <c r="S16" s="1982">
        <v>-2555.0341718205545</v>
      </c>
      <c r="U16" s="47">
        <f t="shared" si="3"/>
        <v>-2555.0341718205545</v>
      </c>
      <c r="V16" s="48">
        <f t="shared" si="1"/>
        <v>0</v>
      </c>
      <c r="X16" t="s">
        <v>1368</v>
      </c>
      <c r="Y16" s="44">
        <f>+SUMIFS(R:R,D:D,"A_1*")</f>
        <v>14220035.58657613</v>
      </c>
      <c r="Z16" s="44">
        <f>+SUMIF(D:D,"*A_2*",R:R)</f>
        <v>14220035.58657613</v>
      </c>
      <c r="AA16" s="46">
        <f t="shared" si="2"/>
        <v>0</v>
      </c>
    </row>
    <row r="17" spans="1:27">
      <c r="A17" s="33" t="str">
        <f t="shared" si="0"/>
        <v>144</v>
      </c>
      <c r="B17" s="33">
        <v>1440001</v>
      </c>
      <c r="D17" s="1962" t="s">
        <v>188</v>
      </c>
      <c r="E17" s="1962" t="s">
        <v>189</v>
      </c>
      <c r="F17" s="1981">
        <v>777.70317433640002</v>
      </c>
      <c r="G17" s="1981">
        <v>779.51546083560004</v>
      </c>
      <c r="H17" s="1981">
        <v>767.80565675079993</v>
      </c>
      <c r="I17" s="1981">
        <v>755.88127952860009</v>
      </c>
      <c r="J17" s="1981">
        <v>771.46612940169996</v>
      </c>
      <c r="K17" s="1981">
        <v>790.23995238800001</v>
      </c>
      <c r="L17" s="1981">
        <v>812.5993730207</v>
      </c>
      <c r="M17" s="1981">
        <v>830.88461346450003</v>
      </c>
      <c r="N17" s="1981">
        <v>823.21745255130008</v>
      </c>
      <c r="O17" s="1981">
        <v>828.84336743230006</v>
      </c>
      <c r="P17" s="1981">
        <v>805.82016972079998</v>
      </c>
      <c r="Q17" s="1981">
        <v>780.87439658139999</v>
      </c>
      <c r="R17" s="1981">
        <v>771.93668642469993</v>
      </c>
      <c r="S17" s="1982">
        <v>792.06059326436923</v>
      </c>
      <c r="U17" s="47">
        <f t="shared" si="3"/>
        <v>792.06059326436923</v>
      </c>
      <c r="V17" s="48">
        <f t="shared" si="1"/>
        <v>0</v>
      </c>
      <c r="X17" t="s">
        <v>605</v>
      </c>
      <c r="Y17" s="44">
        <f>+SUMIFS(S:S,D:D,"A_1*")</f>
        <v>13737415.206410637</v>
      </c>
      <c r="Z17" s="44">
        <f>+SUMIF(D:D,"*A_2*",S:S)</f>
        <v>13737415.206410645</v>
      </c>
      <c r="AA17" s="46">
        <f t="shared" si="2"/>
        <v>0</v>
      </c>
    </row>
    <row r="18" spans="1:27">
      <c r="A18" s="33" t="str">
        <f t="shared" si="0"/>
        <v>144</v>
      </c>
      <c r="B18" s="33">
        <v>1440002</v>
      </c>
      <c r="D18" s="1962" t="s">
        <v>190</v>
      </c>
      <c r="E18" s="1962" t="s">
        <v>191</v>
      </c>
      <c r="F18" s="1981">
        <v>752.61597516419999</v>
      </c>
      <c r="G18" s="1981">
        <v>754.36980080870001</v>
      </c>
      <c r="H18" s="1981">
        <v>743.03773233949994</v>
      </c>
      <c r="I18" s="1981">
        <v>731.49801244700006</v>
      </c>
      <c r="J18" s="1981">
        <v>746.58012522749993</v>
      </c>
      <c r="K18" s="1981">
        <v>764.74834102070008</v>
      </c>
      <c r="L18" s="1981">
        <v>786.38649002</v>
      </c>
      <c r="M18" s="1981">
        <v>804.08188399789992</v>
      </c>
      <c r="N18" s="1981">
        <v>796.6620508561</v>
      </c>
      <c r="O18" s="1981">
        <v>802.1064846119001</v>
      </c>
      <c r="P18" s="1981">
        <v>779.8259706975</v>
      </c>
      <c r="Q18" s="1981">
        <v>755.68489991749993</v>
      </c>
      <c r="R18" s="1981">
        <v>747.03550299170001</v>
      </c>
      <c r="S18" s="1982">
        <v>766.51025154616923</v>
      </c>
      <c r="U18" s="47">
        <f t="shared" si="3"/>
        <v>766.51025154616923</v>
      </c>
      <c r="V18" s="48">
        <f t="shared" si="1"/>
        <v>0</v>
      </c>
    </row>
    <row r="19" spans="1:27">
      <c r="A19" s="33" t="str">
        <f t="shared" si="0"/>
        <v>144</v>
      </c>
      <c r="B19" s="33">
        <v>1440010</v>
      </c>
      <c r="D19" s="1962" t="s">
        <v>7144</v>
      </c>
      <c r="E19" s="1962" t="s">
        <v>7145</v>
      </c>
      <c r="F19" s="1981">
        <v>0</v>
      </c>
      <c r="G19" s="1981">
        <v>0</v>
      </c>
      <c r="H19" s="1981">
        <v>0</v>
      </c>
      <c r="I19" s="1981">
        <v>0</v>
      </c>
      <c r="J19" s="1981">
        <v>0</v>
      </c>
      <c r="K19" s="1981">
        <v>0</v>
      </c>
      <c r="L19" s="1981">
        <v>0</v>
      </c>
      <c r="M19" s="1981">
        <v>0</v>
      </c>
      <c r="N19" s="1981">
        <v>0</v>
      </c>
      <c r="O19" s="1981">
        <v>0</v>
      </c>
      <c r="P19" s="1981">
        <v>0</v>
      </c>
      <c r="Q19" s="1981">
        <v>0</v>
      </c>
      <c r="R19" s="1981">
        <v>0</v>
      </c>
      <c r="S19" s="1982">
        <v>0</v>
      </c>
      <c r="U19" s="47">
        <f t="shared" si="3"/>
        <v>0</v>
      </c>
      <c r="V19" s="48">
        <f t="shared" si="1"/>
        <v>0</v>
      </c>
    </row>
    <row r="20" spans="1:27">
      <c r="A20" s="33" t="str">
        <f t="shared" si="0"/>
        <v>144</v>
      </c>
      <c r="B20" s="33">
        <v>1440020</v>
      </c>
      <c r="D20" s="1962" t="s">
        <v>192</v>
      </c>
      <c r="E20" s="1962" t="s">
        <v>193</v>
      </c>
      <c r="F20" s="1981">
        <v>-654.51790000000005</v>
      </c>
      <c r="G20" s="1981">
        <v>-654.51790000000005</v>
      </c>
      <c r="H20" s="1981">
        <v>-654.51790000000005</v>
      </c>
      <c r="I20" s="1981">
        <v>-654.51790000000005</v>
      </c>
      <c r="J20" s="1981">
        <v>-654.51790000000005</v>
      </c>
      <c r="K20" s="1981">
        <v>-654.51790000000005</v>
      </c>
      <c r="L20" s="1981">
        <v>-654.51790000000005</v>
      </c>
      <c r="M20" s="1981">
        <v>-654.51790000000005</v>
      </c>
      <c r="N20" s="1981">
        <v>-654.51790000000005</v>
      </c>
      <c r="O20" s="1981">
        <v>-654.51790000000005</v>
      </c>
      <c r="P20" s="1981">
        <v>-654.51790000000005</v>
      </c>
      <c r="Q20" s="1981">
        <v>-654.51790000000005</v>
      </c>
      <c r="R20" s="1981">
        <v>-654.51790000000005</v>
      </c>
      <c r="S20" s="1982">
        <v>-654.51789999999994</v>
      </c>
      <c r="U20" s="47">
        <f t="shared" si="3"/>
        <v>-654.51789999999994</v>
      </c>
      <c r="V20" s="48">
        <f t="shared" si="1"/>
        <v>0</v>
      </c>
    </row>
    <row r="21" spans="1:27">
      <c r="A21" s="33" t="str">
        <f t="shared" si="0"/>
        <v>173</v>
      </c>
      <c r="B21" s="33">
        <v>1730100</v>
      </c>
      <c r="D21" s="1962" t="s">
        <v>241</v>
      </c>
      <c r="E21" s="1962" t="s">
        <v>242</v>
      </c>
      <c r="F21" s="1981">
        <v>73385.642000000109</v>
      </c>
      <c r="G21" s="1981">
        <v>71061.000329999995</v>
      </c>
      <c r="H21" s="1981">
        <v>65978.523000000001</v>
      </c>
      <c r="I21" s="1981">
        <v>70682.535999999993</v>
      </c>
      <c r="J21" s="1981">
        <v>75107.868000000002</v>
      </c>
      <c r="K21" s="1981">
        <v>85428.983999999997</v>
      </c>
      <c r="L21" s="1981">
        <v>89018.442999999999</v>
      </c>
      <c r="M21" s="1981">
        <v>91484.849000000002</v>
      </c>
      <c r="N21" s="1981">
        <v>96122.569000000003</v>
      </c>
      <c r="O21" s="1981">
        <v>87044.013999999996</v>
      </c>
      <c r="P21" s="1981">
        <v>82054.445999999996</v>
      </c>
      <c r="Q21" s="1981">
        <v>72861.231</v>
      </c>
      <c r="R21" s="1981">
        <v>73315.543000000005</v>
      </c>
      <c r="S21" s="1982">
        <v>79503.511410000021</v>
      </c>
      <c r="U21" s="47">
        <f t="shared" si="3"/>
        <v>79503.511410000021</v>
      </c>
      <c r="V21" s="48">
        <f t="shared" si="1"/>
        <v>0</v>
      </c>
    </row>
    <row r="22" spans="1:27">
      <c r="A22" s="33" t="str">
        <f t="shared" si="0"/>
        <v>145</v>
      </c>
      <c r="B22" s="33">
        <v>1450713</v>
      </c>
      <c r="D22" s="1962" t="s">
        <v>8685</v>
      </c>
      <c r="E22" s="1962" t="s">
        <v>8686</v>
      </c>
      <c r="F22" s="1981">
        <v>0</v>
      </c>
      <c r="G22" s="1981">
        <v>0</v>
      </c>
      <c r="H22" s="1981">
        <v>0</v>
      </c>
      <c r="I22" s="1981">
        <v>0</v>
      </c>
      <c r="J22" s="1981">
        <v>0</v>
      </c>
      <c r="K22" s="1981">
        <v>0</v>
      </c>
      <c r="L22" s="1981">
        <v>0</v>
      </c>
      <c r="M22" s="1981">
        <v>0</v>
      </c>
      <c r="N22" s="1981">
        <v>0</v>
      </c>
      <c r="O22" s="1981">
        <v>0</v>
      </c>
      <c r="P22" s="1981">
        <v>0</v>
      </c>
      <c r="Q22" s="1981">
        <v>0</v>
      </c>
      <c r="R22" s="1981">
        <v>0</v>
      </c>
      <c r="S22" s="1982">
        <v>0</v>
      </c>
      <c r="U22" s="47">
        <f t="shared" si="3"/>
        <v>0</v>
      </c>
      <c r="V22" s="48">
        <f t="shared" si="1"/>
        <v>0</v>
      </c>
    </row>
    <row r="23" spans="1:27">
      <c r="A23" s="33" t="str">
        <f t="shared" si="0"/>
        <v>146</v>
      </c>
      <c r="B23" s="33">
        <v>1460700</v>
      </c>
      <c r="D23" s="1962" t="s">
        <v>195</v>
      </c>
      <c r="E23" s="1962" t="s">
        <v>196</v>
      </c>
      <c r="F23" s="1981">
        <v>9002.110349999999</v>
      </c>
      <c r="G23" s="1981">
        <v>7976.3931746957996</v>
      </c>
      <c r="H23" s="1981">
        <v>8139.5715401763</v>
      </c>
      <c r="I23" s="1981">
        <v>8480.0435864229003</v>
      </c>
      <c r="J23" s="1981">
        <v>8432.2672224317012</v>
      </c>
      <c r="K23" s="1981">
        <v>8404.9899813799002</v>
      </c>
      <c r="L23" s="1981">
        <v>8402.384633187201</v>
      </c>
      <c r="M23" s="1981">
        <v>8582.8055236347009</v>
      </c>
      <c r="N23" s="1981">
        <v>8583.8189845147008</v>
      </c>
      <c r="O23" s="1981">
        <v>8495.6161527102995</v>
      </c>
      <c r="P23" s="1981">
        <v>8868.8378937239995</v>
      </c>
      <c r="Q23" s="1981">
        <v>9002.2848378998006</v>
      </c>
      <c r="R23" s="1981">
        <v>9118.0089722261</v>
      </c>
      <c r="S23" s="1982">
        <v>8576.0871425387231</v>
      </c>
      <c r="U23" s="47">
        <f t="shared" si="3"/>
        <v>8576.0871425387231</v>
      </c>
      <c r="V23" s="48">
        <f t="shared" si="1"/>
        <v>0</v>
      </c>
    </row>
    <row r="24" spans="1:27">
      <c r="A24" s="33" t="str">
        <f t="shared" si="0"/>
        <v>146</v>
      </c>
      <c r="B24" s="33">
        <v>1460701</v>
      </c>
      <c r="D24" s="1962" t="s">
        <v>197</v>
      </c>
      <c r="E24" s="1962" t="s">
        <v>198</v>
      </c>
      <c r="F24" s="1981">
        <v>0</v>
      </c>
      <c r="G24" s="1981">
        <v>0</v>
      </c>
      <c r="H24" s="1981">
        <v>0</v>
      </c>
      <c r="I24" s="1981">
        <v>0</v>
      </c>
      <c r="J24" s="1981">
        <v>0</v>
      </c>
      <c r="K24" s="1981">
        <v>0</v>
      </c>
      <c r="L24" s="1981">
        <v>0</v>
      </c>
      <c r="M24" s="1981">
        <v>0</v>
      </c>
      <c r="N24" s="1981">
        <v>0</v>
      </c>
      <c r="O24" s="1981">
        <v>0</v>
      </c>
      <c r="P24" s="1981">
        <v>0</v>
      </c>
      <c r="Q24" s="1981">
        <v>0</v>
      </c>
      <c r="R24" s="1981">
        <v>0</v>
      </c>
      <c r="S24" s="1982">
        <v>0</v>
      </c>
      <c r="U24" s="47">
        <f t="shared" si="3"/>
        <v>0</v>
      </c>
      <c r="V24" s="48">
        <f t="shared" si="1"/>
        <v>0</v>
      </c>
    </row>
    <row r="25" spans="1:27">
      <c r="A25" s="33" t="str">
        <f t="shared" si="0"/>
        <v>146</v>
      </c>
      <c r="B25" s="33">
        <v>1460706</v>
      </c>
      <c r="D25" s="1962" t="s">
        <v>199</v>
      </c>
      <c r="E25" s="1962" t="s">
        <v>7146</v>
      </c>
      <c r="F25" s="1981">
        <v>5.0246826382999998</v>
      </c>
      <c r="G25" s="1981">
        <v>24.449900238900003</v>
      </c>
      <c r="H25" s="1981">
        <v>24.225860361100001</v>
      </c>
      <c r="I25" s="1981">
        <v>23.8429707361</v>
      </c>
      <c r="J25" s="1981">
        <v>23.222340802800002</v>
      </c>
      <c r="K25" s="1981">
        <v>23.709005216599998</v>
      </c>
      <c r="L25" s="1981">
        <v>22.456144116600001</v>
      </c>
      <c r="M25" s="1981">
        <v>20.259540938900003</v>
      </c>
      <c r="N25" s="1981">
        <v>20.680210963900002</v>
      </c>
      <c r="O25" s="1981">
        <v>22.063801380499999</v>
      </c>
      <c r="P25" s="1981">
        <v>22.729206272200003</v>
      </c>
      <c r="Q25" s="1981">
        <v>24.877848072300001</v>
      </c>
      <c r="R25" s="1981">
        <v>25.976715588899999</v>
      </c>
      <c r="S25" s="1982">
        <v>21.809094409776925</v>
      </c>
      <c r="U25" s="47">
        <f t="shared" si="3"/>
        <v>21.809094409776925</v>
      </c>
      <c r="V25" s="48">
        <f t="shared" si="1"/>
        <v>0</v>
      </c>
    </row>
    <row r="26" spans="1:27">
      <c r="A26" s="33" t="str">
        <f t="shared" si="0"/>
        <v>146</v>
      </c>
      <c r="B26" s="33">
        <v>1460707</v>
      </c>
      <c r="D26" s="1962" t="s">
        <v>200</v>
      </c>
      <c r="E26" s="1962" t="s">
        <v>7147</v>
      </c>
      <c r="F26" s="1981">
        <v>0</v>
      </c>
      <c r="G26" s="1981">
        <v>0.73343499999999995</v>
      </c>
      <c r="H26" s="1981">
        <v>0.73343499999999995</v>
      </c>
      <c r="I26" s="1981">
        <v>0.73343499999999995</v>
      </c>
      <c r="J26" s="1981">
        <v>0.73343499999999995</v>
      </c>
      <c r="K26" s="1981">
        <v>0.73343499999999995</v>
      </c>
      <c r="L26" s="1981">
        <v>0.73343499999999995</v>
      </c>
      <c r="M26" s="1981">
        <v>0.73343499999999995</v>
      </c>
      <c r="N26" s="1981">
        <v>0.73343499999999995</v>
      </c>
      <c r="O26" s="1981">
        <v>0.73343499999999995</v>
      </c>
      <c r="P26" s="1981">
        <v>0.73343499999999995</v>
      </c>
      <c r="Q26" s="1981">
        <v>0.73343499999999995</v>
      </c>
      <c r="R26" s="1981">
        <v>0.73343499999999995</v>
      </c>
      <c r="S26" s="1982">
        <v>0.67701692307692296</v>
      </c>
      <c r="U26" s="47">
        <f t="shared" si="3"/>
        <v>0.67701692307692296</v>
      </c>
      <c r="V26" s="48">
        <f t="shared" si="1"/>
        <v>0</v>
      </c>
    </row>
    <row r="27" spans="1:27">
      <c r="A27" s="33" t="str">
        <f t="shared" si="0"/>
        <v>146</v>
      </c>
      <c r="B27" s="33">
        <v>1460708</v>
      </c>
      <c r="D27" s="1962" t="s">
        <v>201</v>
      </c>
      <c r="E27" s="1962" t="s">
        <v>202</v>
      </c>
      <c r="F27" s="1981">
        <v>230.47514000000001</v>
      </c>
      <c r="G27" s="1981">
        <v>201.26723833329999</v>
      </c>
      <c r="H27" s="1981">
        <v>201.26723833329999</v>
      </c>
      <c r="I27" s="1981">
        <v>201.26723833329999</v>
      </c>
      <c r="J27" s="1981">
        <v>201.26723833329999</v>
      </c>
      <c r="K27" s="1981">
        <v>201.26723833329999</v>
      </c>
      <c r="L27" s="1981">
        <v>201.26723833329999</v>
      </c>
      <c r="M27" s="1981">
        <v>201.26723833329999</v>
      </c>
      <c r="N27" s="1981">
        <v>201.26723833329999</v>
      </c>
      <c r="O27" s="1981">
        <v>201.26723833329999</v>
      </c>
      <c r="P27" s="1981">
        <v>201.26723833329999</v>
      </c>
      <c r="Q27" s="1981">
        <v>201.26723833329999</v>
      </c>
      <c r="R27" s="1981">
        <v>201.26723833329999</v>
      </c>
      <c r="S27" s="1982">
        <v>203.51399999996923</v>
      </c>
      <c r="U27" s="47">
        <f t="shared" si="3"/>
        <v>203.51399999996923</v>
      </c>
      <c r="V27" s="48">
        <f t="shared" si="1"/>
        <v>0</v>
      </c>
    </row>
    <row r="28" spans="1:27">
      <c r="A28" s="33" t="str">
        <f t="shared" si="0"/>
        <v>146</v>
      </c>
      <c r="B28" s="33">
        <v>1460709</v>
      </c>
      <c r="D28" s="1962" t="s">
        <v>203</v>
      </c>
      <c r="E28" s="1962" t="s">
        <v>7148</v>
      </c>
      <c r="F28" s="1981">
        <v>13.187889999999999</v>
      </c>
      <c r="G28" s="1981">
        <v>95.37088</v>
      </c>
      <c r="H28" s="1981">
        <v>95.37088</v>
      </c>
      <c r="I28" s="1981">
        <v>95.37088</v>
      </c>
      <c r="J28" s="1981">
        <v>95.37088</v>
      </c>
      <c r="K28" s="1981">
        <v>95.37088</v>
      </c>
      <c r="L28" s="1981">
        <v>95.37088</v>
      </c>
      <c r="M28" s="1981">
        <v>95.37088</v>
      </c>
      <c r="N28" s="1981">
        <v>95.37088</v>
      </c>
      <c r="O28" s="1981">
        <v>95.37088</v>
      </c>
      <c r="P28" s="1981">
        <v>95.37088</v>
      </c>
      <c r="Q28" s="1981">
        <v>95.37088</v>
      </c>
      <c r="R28" s="1981">
        <v>95.37088</v>
      </c>
      <c r="S28" s="1982">
        <v>89.049111538461517</v>
      </c>
      <c r="U28" s="47">
        <f t="shared" si="3"/>
        <v>89.049111538461517</v>
      </c>
      <c r="V28" s="48">
        <f t="shared" si="1"/>
        <v>0</v>
      </c>
    </row>
    <row r="29" spans="1:27">
      <c r="A29" s="33" t="str">
        <f t="shared" si="0"/>
        <v>146</v>
      </c>
      <c r="B29" s="33">
        <v>1460750</v>
      </c>
      <c r="D29" s="1962" t="s">
        <v>7149</v>
      </c>
      <c r="E29" s="1962" t="s">
        <v>7150</v>
      </c>
      <c r="F29" s="1981">
        <v>0</v>
      </c>
      <c r="G29" s="1981">
        <v>0</v>
      </c>
      <c r="H29" s="1981">
        <v>0</v>
      </c>
      <c r="I29" s="1981">
        <v>0</v>
      </c>
      <c r="J29" s="1981">
        <v>0</v>
      </c>
      <c r="K29" s="1981">
        <v>0</v>
      </c>
      <c r="L29" s="1981">
        <v>0</v>
      </c>
      <c r="M29" s="1981">
        <v>0</v>
      </c>
      <c r="N29" s="1981">
        <v>0</v>
      </c>
      <c r="O29" s="1981">
        <v>0</v>
      </c>
      <c r="P29" s="1981">
        <v>0</v>
      </c>
      <c r="Q29" s="1981">
        <v>0</v>
      </c>
      <c r="R29" s="1981">
        <v>0</v>
      </c>
      <c r="S29" s="1982">
        <v>0</v>
      </c>
      <c r="U29" s="47">
        <f t="shared" si="3"/>
        <v>0</v>
      </c>
      <c r="V29" s="48">
        <f t="shared" si="1"/>
        <v>0</v>
      </c>
    </row>
    <row r="30" spans="1:27">
      <c r="A30" s="33" t="str">
        <f t="shared" si="0"/>
        <v>146</v>
      </c>
      <c r="B30" s="33">
        <v>1460751</v>
      </c>
      <c r="D30" s="1962" t="s">
        <v>571</v>
      </c>
      <c r="E30" s="1962" t="s">
        <v>572</v>
      </c>
      <c r="F30" s="1981">
        <v>20.040929999999999</v>
      </c>
      <c r="G30" s="1981">
        <v>18.304759999999998</v>
      </c>
      <c r="H30" s="1981">
        <v>18.304759999999998</v>
      </c>
      <c r="I30" s="1981">
        <v>18.304759999999998</v>
      </c>
      <c r="J30" s="1981">
        <v>18.304759999999998</v>
      </c>
      <c r="K30" s="1981">
        <v>18.304759999999998</v>
      </c>
      <c r="L30" s="1981">
        <v>18.304759999999998</v>
      </c>
      <c r="M30" s="1981">
        <v>18.304759999999998</v>
      </c>
      <c r="N30" s="1981">
        <v>18.304759999999998</v>
      </c>
      <c r="O30" s="1981">
        <v>18.304759999999998</v>
      </c>
      <c r="P30" s="1981">
        <v>18.304759999999998</v>
      </c>
      <c r="Q30" s="1981">
        <v>18.304759999999998</v>
      </c>
      <c r="R30" s="1981">
        <v>18.304759999999998</v>
      </c>
      <c r="S30" s="1982">
        <v>18.43831153846153</v>
      </c>
      <c r="U30" s="47">
        <f t="shared" si="3"/>
        <v>18.43831153846153</v>
      </c>
      <c r="V30" s="48">
        <f t="shared" si="1"/>
        <v>0</v>
      </c>
    </row>
    <row r="31" spans="1:27">
      <c r="A31" s="33" t="str">
        <f t="shared" si="0"/>
        <v>146</v>
      </c>
      <c r="B31" s="33">
        <v>1460752</v>
      </c>
      <c r="D31" s="1962" t="s">
        <v>573</v>
      </c>
      <c r="E31" s="1962" t="s">
        <v>574</v>
      </c>
      <c r="F31" s="1981">
        <v>0</v>
      </c>
      <c r="G31" s="1981">
        <v>8.0269399999999997</v>
      </c>
      <c r="H31" s="1981">
        <v>8.0269399999999997</v>
      </c>
      <c r="I31" s="1981">
        <v>8.0269399999999997</v>
      </c>
      <c r="J31" s="1981">
        <v>8.0269399999999997</v>
      </c>
      <c r="K31" s="1981">
        <v>8.0269399999999997</v>
      </c>
      <c r="L31" s="1981">
        <v>8.0269399999999997</v>
      </c>
      <c r="M31" s="1981">
        <v>8.0269399999999997</v>
      </c>
      <c r="N31" s="1981">
        <v>8.0269399999999997</v>
      </c>
      <c r="O31" s="1981">
        <v>8.0269399999999997</v>
      </c>
      <c r="P31" s="1981">
        <v>8.0269399999999997</v>
      </c>
      <c r="Q31" s="1981">
        <v>8.0269399999999997</v>
      </c>
      <c r="R31" s="1981">
        <v>8.0269399999999997</v>
      </c>
      <c r="S31" s="1982">
        <v>7.4094830769230748</v>
      </c>
      <c r="U31" s="47">
        <f t="shared" si="3"/>
        <v>7.4094830769230748</v>
      </c>
      <c r="V31" s="48">
        <f t="shared" si="1"/>
        <v>0</v>
      </c>
    </row>
    <row r="32" spans="1:27">
      <c r="A32" s="33" t="str">
        <f t="shared" si="0"/>
        <v>146</v>
      </c>
      <c r="B32" s="33">
        <v>1460754</v>
      </c>
      <c r="D32" s="1962" t="s">
        <v>575</v>
      </c>
      <c r="E32" s="1962" t="s">
        <v>576</v>
      </c>
      <c r="F32" s="1981">
        <v>4.7042999999999999</v>
      </c>
      <c r="G32" s="1981">
        <v>10.116200000000001</v>
      </c>
      <c r="H32" s="1981">
        <v>10.116200000000001</v>
      </c>
      <c r="I32" s="1981">
        <v>10.116200000000001</v>
      </c>
      <c r="J32" s="1981">
        <v>10.116200000000001</v>
      </c>
      <c r="K32" s="1981">
        <v>10.116200000000001</v>
      </c>
      <c r="L32" s="1981">
        <v>10.116200000000001</v>
      </c>
      <c r="M32" s="1981">
        <v>10.116200000000001</v>
      </c>
      <c r="N32" s="1981">
        <v>10.116200000000001</v>
      </c>
      <c r="O32" s="1981">
        <v>10.116200000000001</v>
      </c>
      <c r="P32" s="1981">
        <v>10.116200000000001</v>
      </c>
      <c r="Q32" s="1981">
        <v>10.116200000000001</v>
      </c>
      <c r="R32" s="1981">
        <v>10.116200000000001</v>
      </c>
      <c r="S32" s="1982">
        <v>9.6999000000000031</v>
      </c>
      <c r="U32" s="47">
        <f t="shared" si="3"/>
        <v>9.6999000000000031</v>
      </c>
      <c r="V32" s="48">
        <f t="shared" si="1"/>
        <v>0</v>
      </c>
    </row>
    <row r="33" spans="1:22">
      <c r="A33" s="33" t="str">
        <f t="shared" si="0"/>
        <v>146</v>
      </c>
      <c r="B33" s="33">
        <v>1460755</v>
      </c>
      <c r="D33" s="1962" t="s">
        <v>577</v>
      </c>
      <c r="E33" s="1962" t="s">
        <v>578</v>
      </c>
      <c r="F33" s="1981">
        <v>1.88171</v>
      </c>
      <c r="G33" s="1981">
        <v>17.442430000000002</v>
      </c>
      <c r="H33" s="1981">
        <v>17.442430000000002</v>
      </c>
      <c r="I33" s="1981">
        <v>17.442430000000002</v>
      </c>
      <c r="J33" s="1981">
        <v>17.442430000000002</v>
      </c>
      <c r="K33" s="1981">
        <v>17.442430000000002</v>
      </c>
      <c r="L33" s="1981">
        <v>17.442430000000002</v>
      </c>
      <c r="M33" s="1981">
        <v>17.442430000000002</v>
      </c>
      <c r="N33" s="1981">
        <v>17.442430000000002</v>
      </c>
      <c r="O33" s="1981">
        <v>17.442430000000002</v>
      </c>
      <c r="P33" s="1981">
        <v>17.442430000000002</v>
      </c>
      <c r="Q33" s="1981">
        <v>17.442430000000002</v>
      </c>
      <c r="R33" s="1981">
        <v>17.442430000000002</v>
      </c>
      <c r="S33" s="1982">
        <v>16.245451538461541</v>
      </c>
      <c r="U33" s="47">
        <f t="shared" si="3"/>
        <v>16.245451538461541</v>
      </c>
      <c r="V33" s="48">
        <f t="shared" si="1"/>
        <v>0</v>
      </c>
    </row>
    <row r="34" spans="1:22">
      <c r="A34" s="33" t="str">
        <f t="shared" si="0"/>
        <v>146</v>
      </c>
      <c r="B34" s="33">
        <v>1460760</v>
      </c>
      <c r="D34" s="1962" t="s">
        <v>204</v>
      </c>
      <c r="E34" s="1962" t="s">
        <v>205</v>
      </c>
      <c r="F34" s="1981">
        <v>159.78101000000001</v>
      </c>
      <c r="G34" s="1981">
        <v>159.75099</v>
      </c>
      <c r="H34" s="1981">
        <v>159.75099</v>
      </c>
      <c r="I34" s="1981">
        <v>159.75099</v>
      </c>
      <c r="J34" s="1981">
        <v>159.75099</v>
      </c>
      <c r="K34" s="1981">
        <v>159.75099</v>
      </c>
      <c r="L34" s="1981">
        <v>159.75099</v>
      </c>
      <c r="M34" s="1981">
        <v>159.75099</v>
      </c>
      <c r="N34" s="1981">
        <v>159.75099</v>
      </c>
      <c r="O34" s="1981">
        <v>159.75099</v>
      </c>
      <c r="P34" s="1981">
        <v>159.75099</v>
      </c>
      <c r="Q34" s="1981">
        <v>159.75099</v>
      </c>
      <c r="R34" s="1981">
        <v>159.75099</v>
      </c>
      <c r="S34" s="1982">
        <v>159.75329923076924</v>
      </c>
      <c r="U34" s="47">
        <f t="shared" si="3"/>
        <v>159.75329923076924</v>
      </c>
      <c r="V34" s="48">
        <f t="shared" si="1"/>
        <v>0</v>
      </c>
    </row>
    <row r="35" spans="1:22">
      <c r="A35" s="33" t="str">
        <f t="shared" si="0"/>
        <v>146</v>
      </c>
      <c r="B35" s="33">
        <v>1460761</v>
      </c>
      <c r="D35" s="1962" t="s">
        <v>206</v>
      </c>
      <c r="E35" s="1962" t="s">
        <v>207</v>
      </c>
      <c r="F35" s="1981">
        <v>1.29891</v>
      </c>
      <c r="G35" s="1981">
        <v>1.29891</v>
      </c>
      <c r="H35" s="1981">
        <v>1.29891</v>
      </c>
      <c r="I35" s="1981">
        <v>1.29891</v>
      </c>
      <c r="J35" s="1981">
        <v>1.29891</v>
      </c>
      <c r="K35" s="1981">
        <v>1.29891</v>
      </c>
      <c r="L35" s="1981">
        <v>1.29891</v>
      </c>
      <c r="M35" s="1981">
        <v>1.29891</v>
      </c>
      <c r="N35" s="1981">
        <v>1.29891</v>
      </c>
      <c r="O35" s="1981">
        <v>1.29891</v>
      </c>
      <c r="P35" s="1981">
        <v>1.29891</v>
      </c>
      <c r="Q35" s="1981">
        <v>1.29891</v>
      </c>
      <c r="R35" s="1981">
        <v>1.29891</v>
      </c>
      <c r="S35" s="1982">
        <v>1.2989099999999998</v>
      </c>
      <c r="U35" s="47">
        <f t="shared" si="3"/>
        <v>1.2989099999999998</v>
      </c>
      <c r="V35" s="48">
        <f t="shared" si="1"/>
        <v>0</v>
      </c>
    </row>
    <row r="36" spans="1:22">
      <c r="A36" s="33" t="str">
        <f t="shared" si="0"/>
        <v>146</v>
      </c>
      <c r="B36" s="33">
        <v>1460762</v>
      </c>
      <c r="D36" s="1962" t="s">
        <v>579</v>
      </c>
      <c r="E36" s="1962" t="s">
        <v>580</v>
      </c>
      <c r="F36" s="1981">
        <v>15.1578</v>
      </c>
      <c r="G36" s="1981">
        <v>10.999332738200001</v>
      </c>
      <c r="H36" s="1981">
        <v>10.871299505700001</v>
      </c>
      <c r="I36" s="1981">
        <v>11.107421863899999</v>
      </c>
      <c r="J36" s="1981">
        <v>11.477906283300001</v>
      </c>
      <c r="K36" s="1981">
        <v>11.6787949083</v>
      </c>
      <c r="L36" s="1981">
        <v>12.6508102</v>
      </c>
      <c r="M36" s="1981">
        <v>13.8452926167</v>
      </c>
      <c r="N36" s="1981">
        <v>15.092834911100001</v>
      </c>
      <c r="O36" s="1981">
        <v>14.964048575000001</v>
      </c>
      <c r="P36" s="1981">
        <v>15.0294258222</v>
      </c>
      <c r="Q36" s="1981">
        <v>15.015071341700001</v>
      </c>
      <c r="R36" s="1981">
        <v>15.055488255599998</v>
      </c>
      <c r="S36" s="1982">
        <v>13.303502078592309</v>
      </c>
      <c r="U36" s="47">
        <f t="shared" si="3"/>
        <v>13.303502078592309</v>
      </c>
      <c r="V36" s="48">
        <f t="shared" si="1"/>
        <v>0</v>
      </c>
    </row>
    <row r="37" spans="1:22">
      <c r="A37" s="33" t="str">
        <f t="shared" si="0"/>
        <v>146</v>
      </c>
      <c r="B37" s="33">
        <v>1460780</v>
      </c>
      <c r="D37" s="1962" t="s">
        <v>208</v>
      </c>
      <c r="E37" s="1962" t="s">
        <v>7151</v>
      </c>
      <c r="F37" s="1981">
        <v>16.575240000000001</v>
      </c>
      <c r="G37" s="1981">
        <v>16.575240000000001</v>
      </c>
      <c r="H37" s="1981">
        <v>16.575240000000001</v>
      </c>
      <c r="I37" s="1981">
        <v>16.575240000000001</v>
      </c>
      <c r="J37" s="1981">
        <v>16.575240000000001</v>
      </c>
      <c r="K37" s="1981">
        <v>16.575240000000001</v>
      </c>
      <c r="L37" s="1981">
        <v>16.575240000000001</v>
      </c>
      <c r="M37" s="1981">
        <v>16.575240000000001</v>
      </c>
      <c r="N37" s="1981">
        <v>16.575240000000001</v>
      </c>
      <c r="O37" s="1981">
        <v>16.575240000000001</v>
      </c>
      <c r="P37" s="1981">
        <v>16.575240000000001</v>
      </c>
      <c r="Q37" s="1981">
        <v>16.575240000000001</v>
      </c>
      <c r="R37" s="1981">
        <v>16.575240000000001</v>
      </c>
      <c r="S37" s="1982">
        <v>16.575240000000004</v>
      </c>
      <c r="U37" s="47">
        <f t="shared" si="3"/>
        <v>16.575240000000004</v>
      </c>
      <c r="V37" s="48">
        <f t="shared" si="1"/>
        <v>0</v>
      </c>
    </row>
    <row r="38" spans="1:22">
      <c r="A38" s="33" t="str">
        <f t="shared" si="0"/>
        <v>146</v>
      </c>
      <c r="B38" s="33">
        <v>1460791</v>
      </c>
      <c r="D38" s="1962" t="s">
        <v>209</v>
      </c>
      <c r="E38" s="1962" t="s">
        <v>210</v>
      </c>
      <c r="F38" s="1981">
        <v>20.85</v>
      </c>
      <c r="G38" s="1981">
        <v>20.85</v>
      </c>
      <c r="H38" s="1981">
        <v>20.85</v>
      </c>
      <c r="I38" s="1981">
        <v>20.85</v>
      </c>
      <c r="J38" s="1981">
        <v>20.85</v>
      </c>
      <c r="K38" s="1981">
        <v>20.85</v>
      </c>
      <c r="L38" s="1981">
        <v>20.85</v>
      </c>
      <c r="M38" s="1981">
        <v>20.85</v>
      </c>
      <c r="N38" s="1981">
        <v>20.85</v>
      </c>
      <c r="O38" s="1981">
        <v>20.85</v>
      </c>
      <c r="P38" s="1981">
        <v>20.85</v>
      </c>
      <c r="Q38" s="1981">
        <v>20.85</v>
      </c>
      <c r="R38" s="1981">
        <v>20.85</v>
      </c>
      <c r="S38" s="1982">
        <v>20.849999999999998</v>
      </c>
      <c r="U38" s="47">
        <f t="shared" si="3"/>
        <v>20.849999999999998</v>
      </c>
      <c r="V38" s="48">
        <f t="shared" si="1"/>
        <v>0</v>
      </c>
    </row>
    <row r="39" spans="1:22">
      <c r="A39" s="33" t="str">
        <f t="shared" si="0"/>
        <v>146</v>
      </c>
      <c r="B39" s="33">
        <v>1460799</v>
      </c>
      <c r="D39" s="1962" t="s">
        <v>211</v>
      </c>
      <c r="E39" s="1962" t="s">
        <v>212</v>
      </c>
      <c r="F39" s="1981">
        <v>4249.4324100000003</v>
      </c>
      <c r="G39" s="1981">
        <v>4421.0489299999999</v>
      </c>
      <c r="H39" s="1981">
        <v>4421.0489299999999</v>
      </c>
      <c r="I39" s="1981">
        <v>4421.0489299999999</v>
      </c>
      <c r="J39" s="1981">
        <v>4421.0489299999999</v>
      </c>
      <c r="K39" s="1981">
        <v>4421.0489299999999</v>
      </c>
      <c r="L39" s="1981">
        <v>4421.0489299999999</v>
      </c>
      <c r="M39" s="1981">
        <v>4421.0489299999999</v>
      </c>
      <c r="N39" s="1981">
        <v>4421.0489299999999</v>
      </c>
      <c r="O39" s="1981">
        <v>4421.0489299999999</v>
      </c>
      <c r="P39" s="1981">
        <v>4421.0489299999999</v>
      </c>
      <c r="Q39" s="1981">
        <v>4421.0489299999999</v>
      </c>
      <c r="R39" s="1981">
        <v>4421.0489299999999</v>
      </c>
      <c r="S39" s="1982">
        <v>4407.8476592307688</v>
      </c>
      <c r="U39" s="47">
        <f t="shared" si="3"/>
        <v>4407.8476592307688</v>
      </c>
      <c r="V39" s="48">
        <f t="shared" si="1"/>
        <v>0</v>
      </c>
    </row>
    <row r="40" spans="1:22">
      <c r="A40" s="33" t="str">
        <f t="shared" si="0"/>
        <v>146</v>
      </c>
      <c r="B40" s="33">
        <v>1460763</v>
      </c>
      <c r="D40" s="1962" t="s">
        <v>581</v>
      </c>
      <c r="E40" s="1962" t="s">
        <v>582</v>
      </c>
      <c r="F40" s="1981">
        <v>15.913489999999999</v>
      </c>
      <c r="G40" s="1981">
        <v>4.1010600000000004</v>
      </c>
      <c r="H40" s="1981">
        <v>4.1010600000000004</v>
      </c>
      <c r="I40" s="1981">
        <v>4.1010600000000004</v>
      </c>
      <c r="J40" s="1981">
        <v>4.1010600000000004</v>
      </c>
      <c r="K40" s="1981">
        <v>4.1010600000000004</v>
      </c>
      <c r="L40" s="1981">
        <v>4.1010600000000004</v>
      </c>
      <c r="M40" s="1981">
        <v>4.1010600000000004</v>
      </c>
      <c r="N40" s="1981">
        <v>4.1010600000000004</v>
      </c>
      <c r="O40" s="1981">
        <v>4.1010600000000004</v>
      </c>
      <c r="P40" s="1981">
        <v>4.1010600000000004</v>
      </c>
      <c r="Q40" s="1981">
        <v>4.1010600000000004</v>
      </c>
      <c r="R40" s="1981">
        <v>4.1010600000000004</v>
      </c>
      <c r="S40" s="1982">
        <v>5.0097084615384642</v>
      </c>
      <c r="U40" s="47">
        <f t="shared" si="3"/>
        <v>5.0097084615384642</v>
      </c>
      <c r="V40" s="48">
        <f t="shared" si="1"/>
        <v>0</v>
      </c>
    </row>
    <row r="41" spans="1:22">
      <c r="A41" s="33" t="str">
        <f t="shared" si="0"/>
        <v>146</v>
      </c>
      <c r="B41" s="33">
        <v>1460764</v>
      </c>
      <c r="D41" s="1962" t="s">
        <v>583</v>
      </c>
      <c r="E41" s="1962" t="s">
        <v>584</v>
      </c>
      <c r="F41" s="1981">
        <v>203.42256</v>
      </c>
      <c r="G41" s="1981">
        <v>103.33966333330001</v>
      </c>
      <c r="H41" s="1981">
        <v>103.33966333330001</v>
      </c>
      <c r="I41" s="1981">
        <v>103.33966333330001</v>
      </c>
      <c r="J41" s="1981">
        <v>103.33966333330001</v>
      </c>
      <c r="K41" s="1981">
        <v>103.33966333330001</v>
      </c>
      <c r="L41" s="1981">
        <v>103.33966333330001</v>
      </c>
      <c r="M41" s="1981">
        <v>103.33966333330001</v>
      </c>
      <c r="N41" s="1981">
        <v>103.33966333330001</v>
      </c>
      <c r="O41" s="1981">
        <v>103.33966333330001</v>
      </c>
      <c r="P41" s="1981">
        <v>103.33966333330001</v>
      </c>
      <c r="Q41" s="1981">
        <v>103.33966333330001</v>
      </c>
      <c r="R41" s="1981">
        <v>103.33966333330001</v>
      </c>
      <c r="S41" s="1982">
        <v>111.03834769227693</v>
      </c>
      <c r="U41" s="47">
        <f t="shared" si="3"/>
        <v>111.03834769227693</v>
      </c>
      <c r="V41" s="48">
        <f t="shared" si="1"/>
        <v>0</v>
      </c>
    </row>
    <row r="42" spans="1:22">
      <c r="A42" s="33" t="str">
        <f t="shared" si="0"/>
        <v>151</v>
      </c>
      <c r="B42" s="33">
        <v>1510020</v>
      </c>
      <c r="D42" s="1962" t="s">
        <v>213</v>
      </c>
      <c r="E42" s="1962" t="s">
        <v>214</v>
      </c>
      <c r="F42" s="1981">
        <v>29309</v>
      </c>
      <c r="G42" s="1981">
        <v>30584</v>
      </c>
      <c r="H42" s="1981">
        <v>31809</v>
      </c>
      <c r="I42" s="1981">
        <v>31809</v>
      </c>
      <c r="J42" s="1981">
        <v>31809</v>
      </c>
      <c r="K42" s="1981">
        <v>31809</v>
      </c>
      <c r="L42" s="1981">
        <v>31809</v>
      </c>
      <c r="M42" s="1981">
        <v>29416</v>
      </c>
      <c r="N42" s="1981">
        <v>29403</v>
      </c>
      <c r="O42" s="1981">
        <v>30678</v>
      </c>
      <c r="P42" s="1981">
        <v>30678</v>
      </c>
      <c r="Q42" s="1981">
        <v>29844</v>
      </c>
      <c r="R42" s="1981">
        <v>29844</v>
      </c>
      <c r="S42" s="1982">
        <v>30677</v>
      </c>
      <c r="U42" s="47">
        <f t="shared" si="3"/>
        <v>30677</v>
      </c>
      <c r="V42" s="48">
        <f t="shared" si="1"/>
        <v>0</v>
      </c>
    </row>
    <row r="43" spans="1:22">
      <c r="A43" s="33" t="str">
        <f t="shared" si="0"/>
        <v>151</v>
      </c>
      <c r="B43" s="33">
        <v>1510030</v>
      </c>
      <c r="D43" s="1962" t="s">
        <v>215</v>
      </c>
      <c r="E43" s="1962" t="s">
        <v>216</v>
      </c>
      <c r="F43" s="1981">
        <v>5059</v>
      </c>
      <c r="G43" s="1981">
        <v>4992</v>
      </c>
      <c r="H43" s="1981">
        <v>4926</v>
      </c>
      <c r="I43" s="1981">
        <v>5374</v>
      </c>
      <c r="J43" s="1981">
        <v>5374</v>
      </c>
      <c r="K43" s="1981">
        <v>5308</v>
      </c>
      <c r="L43" s="1981">
        <v>5243</v>
      </c>
      <c r="M43" s="1981">
        <v>5178</v>
      </c>
      <c r="N43" s="1981">
        <v>5113</v>
      </c>
      <c r="O43" s="1981">
        <v>5305</v>
      </c>
      <c r="P43" s="1981">
        <v>5241</v>
      </c>
      <c r="Q43" s="1981">
        <v>5176</v>
      </c>
      <c r="R43" s="1981">
        <v>5112</v>
      </c>
      <c r="S43" s="1982">
        <v>5184.6923076923076</v>
      </c>
      <c r="U43" s="47">
        <f t="shared" si="3"/>
        <v>5184.6923076923076</v>
      </c>
      <c r="V43" s="48">
        <f t="shared" si="1"/>
        <v>0</v>
      </c>
    </row>
    <row r="44" spans="1:22">
      <c r="A44" s="33" t="str">
        <f t="shared" si="0"/>
        <v>151</v>
      </c>
      <c r="B44" s="33">
        <v>1510050</v>
      </c>
      <c r="D44" s="1962" t="s">
        <v>217</v>
      </c>
      <c r="E44" s="1962" t="s">
        <v>218</v>
      </c>
      <c r="F44" s="1981">
        <v>1016</v>
      </c>
      <c r="G44" s="1981">
        <v>1086</v>
      </c>
      <c r="H44" s="1981">
        <v>1062</v>
      </c>
      <c r="I44" s="1981">
        <v>971</v>
      </c>
      <c r="J44" s="1981">
        <v>864</v>
      </c>
      <c r="K44" s="1981">
        <v>857</v>
      </c>
      <c r="L44" s="1981">
        <v>885</v>
      </c>
      <c r="M44" s="1981">
        <v>913</v>
      </c>
      <c r="N44" s="1981">
        <v>922</v>
      </c>
      <c r="O44" s="1981">
        <v>911</v>
      </c>
      <c r="P44" s="1981">
        <v>928</v>
      </c>
      <c r="Q44" s="1981">
        <v>1003</v>
      </c>
      <c r="R44" s="1981">
        <v>1088</v>
      </c>
      <c r="S44" s="1982">
        <v>962</v>
      </c>
      <c r="U44" s="47">
        <f t="shared" si="3"/>
        <v>962</v>
      </c>
      <c r="V44" s="48">
        <f t="shared" si="1"/>
        <v>0</v>
      </c>
    </row>
    <row r="45" spans="1:22">
      <c r="A45" s="33" t="str">
        <f t="shared" si="0"/>
        <v>154</v>
      </c>
      <c r="B45" s="33">
        <v>1540000</v>
      </c>
      <c r="D45" s="1962" t="s">
        <v>219</v>
      </c>
      <c r="E45" s="1962" t="s">
        <v>220</v>
      </c>
      <c r="F45" s="1981">
        <v>162822.15</v>
      </c>
      <c r="G45" s="1981">
        <v>162822.15</v>
      </c>
      <c r="H45" s="1981">
        <v>162822.15</v>
      </c>
      <c r="I45" s="1981">
        <v>162822.15</v>
      </c>
      <c r="J45" s="1981">
        <v>162822.15</v>
      </c>
      <c r="K45" s="1981">
        <v>162822.15</v>
      </c>
      <c r="L45" s="1981">
        <v>162822.15</v>
      </c>
      <c r="M45" s="1981">
        <v>162822.15</v>
      </c>
      <c r="N45" s="1981">
        <v>162822.15</v>
      </c>
      <c r="O45" s="1981">
        <v>162822.15</v>
      </c>
      <c r="P45" s="1981">
        <v>162822.15</v>
      </c>
      <c r="Q45" s="1981">
        <v>162822.15</v>
      </c>
      <c r="R45" s="1981">
        <v>162822.15</v>
      </c>
      <c r="S45" s="1982">
        <v>162822.14999999997</v>
      </c>
      <c r="U45" s="47">
        <f t="shared" si="3"/>
        <v>162822.14999999997</v>
      </c>
      <c r="V45" s="48">
        <f t="shared" si="1"/>
        <v>0</v>
      </c>
    </row>
    <row r="46" spans="1:22">
      <c r="A46" s="33" t="str">
        <f t="shared" si="0"/>
        <v>154</v>
      </c>
      <c r="B46" s="33">
        <v>1540001</v>
      </c>
      <c r="D46" s="1962" t="s">
        <v>221</v>
      </c>
      <c r="E46" s="1962" t="s">
        <v>222</v>
      </c>
      <c r="F46" s="1981">
        <v>0</v>
      </c>
      <c r="G46" s="1981">
        <v>0</v>
      </c>
      <c r="H46" s="1981">
        <v>0</v>
      </c>
      <c r="I46" s="1981">
        <v>0</v>
      </c>
      <c r="J46" s="1981">
        <v>0</v>
      </c>
      <c r="K46" s="1981">
        <v>0</v>
      </c>
      <c r="L46" s="1981">
        <v>0</v>
      </c>
      <c r="M46" s="1981">
        <v>0</v>
      </c>
      <c r="N46" s="1981">
        <v>0</v>
      </c>
      <c r="O46" s="1981">
        <v>0</v>
      </c>
      <c r="P46" s="1981">
        <v>0</v>
      </c>
      <c r="Q46" s="1981">
        <v>0</v>
      </c>
      <c r="R46" s="1981">
        <v>0</v>
      </c>
      <c r="S46" s="1982">
        <v>0</v>
      </c>
      <c r="U46" s="47">
        <f t="shared" si="3"/>
        <v>0</v>
      </c>
      <c r="V46" s="48">
        <f t="shared" si="1"/>
        <v>0</v>
      </c>
    </row>
    <row r="47" spans="1:22">
      <c r="A47" s="33" t="str">
        <f t="shared" si="0"/>
        <v>176</v>
      </c>
      <c r="B47" s="33">
        <v>1760120</v>
      </c>
      <c r="D47" s="1962" t="s">
        <v>243</v>
      </c>
      <c r="E47" s="1962" t="s">
        <v>7152</v>
      </c>
      <c r="F47" s="1981">
        <v>0</v>
      </c>
      <c r="G47" s="1981">
        <v>0</v>
      </c>
      <c r="H47" s="1981">
        <v>0</v>
      </c>
      <c r="I47" s="1981">
        <v>0</v>
      </c>
      <c r="J47" s="1981">
        <v>0</v>
      </c>
      <c r="K47" s="1981">
        <v>0</v>
      </c>
      <c r="L47" s="1981">
        <v>0</v>
      </c>
      <c r="M47" s="1981">
        <v>0</v>
      </c>
      <c r="N47" s="1981">
        <v>0</v>
      </c>
      <c r="O47" s="1981">
        <v>0</v>
      </c>
      <c r="P47" s="1981">
        <v>0</v>
      </c>
      <c r="Q47" s="1981">
        <v>0</v>
      </c>
      <c r="R47" s="1981">
        <v>0</v>
      </c>
      <c r="S47" s="1982">
        <v>0</v>
      </c>
      <c r="U47" s="47">
        <f t="shared" si="3"/>
        <v>0</v>
      </c>
      <c r="V47" s="48">
        <f t="shared" si="1"/>
        <v>0</v>
      </c>
    </row>
    <row r="48" spans="1:22">
      <c r="A48" s="33" t="str">
        <f t="shared" si="0"/>
        <v>176</v>
      </c>
      <c r="B48" s="33">
        <v>1760700</v>
      </c>
      <c r="D48" s="1962" t="s">
        <v>9161</v>
      </c>
      <c r="E48" s="1962" t="s">
        <v>9162</v>
      </c>
      <c r="F48" s="1981">
        <v>0</v>
      </c>
      <c r="G48" s="1981">
        <v>0</v>
      </c>
      <c r="H48" s="1981">
        <v>0</v>
      </c>
      <c r="I48" s="1981">
        <v>0</v>
      </c>
      <c r="J48" s="1981">
        <v>528</v>
      </c>
      <c r="K48" s="1981">
        <v>528</v>
      </c>
      <c r="L48" s="1981">
        <v>528</v>
      </c>
      <c r="M48" s="1981">
        <v>528</v>
      </c>
      <c r="N48" s="1981">
        <v>528</v>
      </c>
      <c r="O48" s="1981">
        <v>528</v>
      </c>
      <c r="P48" s="1981">
        <v>528</v>
      </c>
      <c r="Q48" s="1981">
        <v>528</v>
      </c>
      <c r="R48" s="1981">
        <v>528</v>
      </c>
      <c r="S48" s="1982">
        <v>365.53846153846155</v>
      </c>
      <c r="U48" s="47">
        <f t="shared" si="3"/>
        <v>365.53846153846155</v>
      </c>
      <c r="V48" s="48">
        <f t="shared" si="1"/>
        <v>0</v>
      </c>
    </row>
    <row r="49" spans="1:22">
      <c r="A49" s="33" t="str">
        <f t="shared" si="0"/>
        <v>143</v>
      </c>
      <c r="B49" s="33">
        <v>1430300</v>
      </c>
      <c r="D49" s="1962" t="s">
        <v>184</v>
      </c>
      <c r="E49" s="1962" t="s">
        <v>185</v>
      </c>
      <c r="F49" s="1981">
        <v>0</v>
      </c>
      <c r="G49" s="1981">
        <v>0</v>
      </c>
      <c r="H49" s="1981">
        <v>0</v>
      </c>
      <c r="I49" s="1981">
        <v>0</v>
      </c>
      <c r="J49" s="1981">
        <v>0</v>
      </c>
      <c r="K49" s="1981">
        <v>0</v>
      </c>
      <c r="L49" s="1981">
        <v>0</v>
      </c>
      <c r="M49" s="1981">
        <v>0</v>
      </c>
      <c r="N49" s="1981">
        <v>0</v>
      </c>
      <c r="O49" s="1981">
        <v>0</v>
      </c>
      <c r="P49" s="1981">
        <v>0</v>
      </c>
      <c r="Q49" s="1981">
        <v>0</v>
      </c>
      <c r="R49" s="1981">
        <v>0</v>
      </c>
      <c r="S49" s="1982">
        <v>0</v>
      </c>
      <c r="U49" s="47">
        <f t="shared" si="3"/>
        <v>0</v>
      </c>
      <c r="V49" s="48">
        <f t="shared" si="1"/>
        <v>0</v>
      </c>
    </row>
    <row r="50" spans="1:22">
      <c r="A50" s="33" t="str">
        <f t="shared" si="0"/>
        <v>143</v>
      </c>
      <c r="B50" s="33">
        <v>1430400</v>
      </c>
      <c r="D50" s="1962" t="s">
        <v>182</v>
      </c>
      <c r="E50" s="1962" t="s">
        <v>183</v>
      </c>
      <c r="F50" s="1981">
        <v>0</v>
      </c>
      <c r="G50" s="1981">
        <v>0</v>
      </c>
      <c r="H50" s="1981">
        <v>0</v>
      </c>
      <c r="I50" s="1981">
        <v>0</v>
      </c>
      <c r="J50" s="1981">
        <v>0</v>
      </c>
      <c r="K50" s="1981">
        <v>0</v>
      </c>
      <c r="L50" s="1981">
        <v>0</v>
      </c>
      <c r="M50" s="1981">
        <v>0</v>
      </c>
      <c r="N50" s="1981">
        <v>0</v>
      </c>
      <c r="O50" s="1981">
        <v>0</v>
      </c>
      <c r="P50" s="1981">
        <v>0</v>
      </c>
      <c r="Q50" s="1981">
        <v>0</v>
      </c>
      <c r="R50" s="1981">
        <v>0</v>
      </c>
      <c r="S50" s="1982">
        <v>0</v>
      </c>
      <c r="U50" s="47">
        <f t="shared" si="3"/>
        <v>0</v>
      </c>
      <c r="V50" s="48">
        <f t="shared" si="1"/>
        <v>0</v>
      </c>
    </row>
    <row r="51" spans="1:22">
      <c r="A51" s="33" t="str">
        <f t="shared" si="0"/>
        <v>121</v>
      </c>
      <c r="B51" s="33">
        <v>1210100</v>
      </c>
      <c r="D51" s="1962" t="s">
        <v>7153</v>
      </c>
      <c r="E51" s="1962" t="s">
        <v>7154</v>
      </c>
      <c r="F51" s="1981">
        <v>249.9999</v>
      </c>
      <c r="G51" s="1981">
        <v>250</v>
      </c>
      <c r="H51" s="1981">
        <v>250</v>
      </c>
      <c r="I51" s="1981">
        <v>250</v>
      </c>
      <c r="J51" s="1981">
        <v>250</v>
      </c>
      <c r="K51" s="1981">
        <v>250</v>
      </c>
      <c r="L51" s="1981">
        <v>250</v>
      </c>
      <c r="M51" s="1981">
        <v>250</v>
      </c>
      <c r="N51" s="1981">
        <v>250</v>
      </c>
      <c r="O51" s="1981">
        <v>250</v>
      </c>
      <c r="P51" s="1981">
        <v>250</v>
      </c>
      <c r="Q51" s="1981">
        <v>250</v>
      </c>
      <c r="R51" s="1981">
        <v>250</v>
      </c>
      <c r="S51" s="1982">
        <v>249.99999230769228</v>
      </c>
      <c r="U51" s="47">
        <f t="shared" si="3"/>
        <v>249.99999230769228</v>
      </c>
      <c r="V51" s="48">
        <f t="shared" si="1"/>
        <v>0</v>
      </c>
    </row>
    <row r="52" spans="1:22">
      <c r="A52" s="33" t="str">
        <f t="shared" si="0"/>
        <v>165</v>
      </c>
      <c r="B52" s="33">
        <v>1650020</v>
      </c>
      <c r="D52" s="1962" t="s">
        <v>224</v>
      </c>
      <c r="E52" s="1962" t="s">
        <v>225</v>
      </c>
      <c r="F52" s="1981">
        <v>0</v>
      </c>
      <c r="G52" s="1981">
        <v>0</v>
      </c>
      <c r="H52" s="1981">
        <v>0</v>
      </c>
      <c r="I52" s="1981">
        <v>0</v>
      </c>
      <c r="J52" s="1981">
        <v>0</v>
      </c>
      <c r="K52" s="1981">
        <v>0</v>
      </c>
      <c r="L52" s="1981">
        <v>0</v>
      </c>
      <c r="M52" s="1981">
        <v>0</v>
      </c>
      <c r="N52" s="1981">
        <v>0</v>
      </c>
      <c r="O52" s="1981">
        <v>0</v>
      </c>
      <c r="P52" s="1981">
        <v>0</v>
      </c>
      <c r="Q52" s="1981">
        <v>0</v>
      </c>
      <c r="R52" s="1981">
        <v>0</v>
      </c>
      <c r="S52" s="1982">
        <v>0</v>
      </c>
      <c r="U52" s="47">
        <f t="shared" si="3"/>
        <v>0</v>
      </c>
      <c r="V52" s="48">
        <f t="shared" si="1"/>
        <v>0</v>
      </c>
    </row>
    <row r="53" spans="1:22">
      <c r="A53" s="33" t="str">
        <f t="shared" si="0"/>
        <v>165</v>
      </c>
      <c r="B53" s="33">
        <v>1650050</v>
      </c>
      <c r="D53" s="1962" t="s">
        <v>226</v>
      </c>
      <c r="E53" s="1962" t="s">
        <v>7155</v>
      </c>
      <c r="F53" s="1981">
        <v>1430.5741599999999</v>
      </c>
      <c r="G53" s="1981">
        <v>2152.7040299999999</v>
      </c>
      <c r="H53" s="1981">
        <v>2056.0697599999999</v>
      </c>
      <c r="I53" s="1981">
        <v>1959.4354900000001</v>
      </c>
      <c r="J53" s="1981">
        <v>1900.6731200000002</v>
      </c>
      <c r="K53" s="1981">
        <v>1841.91075</v>
      </c>
      <c r="L53" s="1981">
        <v>1783.1483799999999</v>
      </c>
      <c r="M53" s="1981">
        <v>1724.3860099999999</v>
      </c>
      <c r="N53" s="1981">
        <v>1665.6236399999998</v>
      </c>
      <c r="O53" s="1981">
        <v>1606.8612700000001</v>
      </c>
      <c r="P53" s="1981">
        <v>1548.0989</v>
      </c>
      <c r="Q53" s="1981">
        <v>1489.33653</v>
      </c>
      <c r="R53" s="1981">
        <v>1430.5741599999999</v>
      </c>
      <c r="S53" s="1982">
        <v>1737.6458615384618</v>
      </c>
      <c r="U53" s="47">
        <f t="shared" si="3"/>
        <v>1737.6458615384618</v>
      </c>
      <c r="V53" s="48">
        <f t="shared" si="1"/>
        <v>0</v>
      </c>
    </row>
    <row r="54" spans="1:22">
      <c r="A54" s="33" t="str">
        <f t="shared" si="0"/>
        <v>165</v>
      </c>
      <c r="B54" s="33">
        <v>1650401</v>
      </c>
      <c r="D54" s="1962" t="s">
        <v>227</v>
      </c>
      <c r="E54" s="1962" t="s">
        <v>228</v>
      </c>
      <c r="F54" s="1981">
        <v>0</v>
      </c>
      <c r="G54" s="1981">
        <v>0</v>
      </c>
      <c r="H54" s="1981">
        <v>0</v>
      </c>
      <c r="I54" s="1981">
        <v>0</v>
      </c>
      <c r="J54" s="1981">
        <v>0</v>
      </c>
      <c r="K54" s="1981">
        <v>0</v>
      </c>
      <c r="L54" s="1981">
        <v>0</v>
      </c>
      <c r="M54" s="1981">
        <v>0</v>
      </c>
      <c r="N54" s="1981">
        <v>0</v>
      </c>
      <c r="O54" s="1981">
        <v>0</v>
      </c>
      <c r="P54" s="1981">
        <v>0</v>
      </c>
      <c r="Q54" s="1981">
        <v>0</v>
      </c>
      <c r="R54" s="1981">
        <v>0</v>
      </c>
      <c r="S54" s="1982">
        <v>0</v>
      </c>
      <c r="U54" s="47">
        <f t="shared" si="3"/>
        <v>0</v>
      </c>
      <c r="V54" s="48">
        <f t="shared" si="1"/>
        <v>0</v>
      </c>
    </row>
    <row r="55" spans="1:22">
      <c r="A55" s="33" t="str">
        <f t="shared" si="0"/>
        <v>165</v>
      </c>
      <c r="B55" s="33">
        <v>1650402</v>
      </c>
      <c r="D55" s="1962" t="s">
        <v>229</v>
      </c>
      <c r="E55" s="1962" t="s">
        <v>230</v>
      </c>
      <c r="F55" s="1981">
        <v>0</v>
      </c>
      <c r="G55" s="1981">
        <v>0</v>
      </c>
      <c r="H55" s="1981">
        <v>0</v>
      </c>
      <c r="I55" s="1981">
        <v>0</v>
      </c>
      <c r="J55" s="1981">
        <v>0</v>
      </c>
      <c r="K55" s="1981">
        <v>0</v>
      </c>
      <c r="L55" s="1981">
        <v>0</v>
      </c>
      <c r="M55" s="1981">
        <v>0</v>
      </c>
      <c r="N55" s="1981">
        <v>0</v>
      </c>
      <c r="O55" s="1981">
        <v>0</v>
      </c>
      <c r="P55" s="1981">
        <v>0</v>
      </c>
      <c r="Q55" s="1981">
        <v>0</v>
      </c>
      <c r="R55" s="1981">
        <v>0</v>
      </c>
      <c r="S55" s="1982">
        <v>0</v>
      </c>
      <c r="U55" s="47">
        <f t="shared" si="3"/>
        <v>0</v>
      </c>
      <c r="V55" s="48">
        <f t="shared" si="1"/>
        <v>0</v>
      </c>
    </row>
    <row r="56" spans="1:22">
      <c r="A56" s="33" t="str">
        <f t="shared" si="0"/>
        <v>165</v>
      </c>
      <c r="B56" s="33">
        <v>1650403</v>
      </c>
      <c r="D56" s="1962" t="s">
        <v>231</v>
      </c>
      <c r="E56" s="1962" t="s">
        <v>232</v>
      </c>
      <c r="F56" s="1981">
        <v>0</v>
      </c>
      <c r="G56" s="1981">
        <v>0</v>
      </c>
      <c r="H56" s="1981">
        <v>0</v>
      </c>
      <c r="I56" s="1981">
        <v>0</v>
      </c>
      <c r="J56" s="1981">
        <v>0</v>
      </c>
      <c r="K56" s="1981">
        <v>0</v>
      </c>
      <c r="L56" s="1981">
        <v>0</v>
      </c>
      <c r="M56" s="1981">
        <v>0</v>
      </c>
      <c r="N56" s="1981">
        <v>0</v>
      </c>
      <c r="O56" s="1981">
        <v>0</v>
      </c>
      <c r="P56" s="1981">
        <v>0</v>
      </c>
      <c r="Q56" s="1981">
        <v>0</v>
      </c>
      <c r="R56" s="1981">
        <v>0</v>
      </c>
      <c r="S56" s="1982">
        <v>0</v>
      </c>
      <c r="U56" s="47">
        <f t="shared" si="3"/>
        <v>0</v>
      </c>
      <c r="V56" s="48">
        <f t="shared" si="1"/>
        <v>0</v>
      </c>
    </row>
    <row r="57" spans="1:22">
      <c r="A57" s="33" t="str">
        <f t="shared" si="0"/>
        <v>165</v>
      </c>
      <c r="B57" s="33">
        <v>1650404</v>
      </c>
      <c r="D57" s="1962" t="s">
        <v>233</v>
      </c>
      <c r="E57" s="1962" t="s">
        <v>234</v>
      </c>
      <c r="F57" s="1981">
        <v>0</v>
      </c>
      <c r="G57" s="1981">
        <v>0</v>
      </c>
      <c r="H57" s="1981">
        <v>0</v>
      </c>
      <c r="I57" s="1981">
        <v>0</v>
      </c>
      <c r="J57" s="1981">
        <v>0</v>
      </c>
      <c r="K57" s="1981">
        <v>0</v>
      </c>
      <c r="L57" s="1981">
        <v>0</v>
      </c>
      <c r="M57" s="1981">
        <v>0</v>
      </c>
      <c r="N57" s="1981">
        <v>0</v>
      </c>
      <c r="O57" s="1981">
        <v>0</v>
      </c>
      <c r="P57" s="1981">
        <v>0</v>
      </c>
      <c r="Q57" s="1981">
        <v>0</v>
      </c>
      <c r="R57" s="1981">
        <v>0</v>
      </c>
      <c r="S57" s="1982">
        <v>0</v>
      </c>
      <c r="U57" s="47">
        <f t="shared" si="3"/>
        <v>0</v>
      </c>
      <c r="V57" s="48">
        <f t="shared" si="1"/>
        <v>0</v>
      </c>
    </row>
    <row r="58" spans="1:22">
      <c r="A58" s="33" t="str">
        <f t="shared" si="0"/>
        <v>165</v>
      </c>
      <c r="B58" s="33">
        <v>1650405</v>
      </c>
      <c r="D58" s="1962" t="s">
        <v>235</v>
      </c>
      <c r="E58" s="1962" t="s">
        <v>236</v>
      </c>
      <c r="F58" s="1981">
        <v>0</v>
      </c>
      <c r="G58" s="1981">
        <v>0</v>
      </c>
      <c r="H58" s="1981">
        <v>0</v>
      </c>
      <c r="I58" s="1981">
        <v>0</v>
      </c>
      <c r="J58" s="1981">
        <v>0</v>
      </c>
      <c r="K58" s="1981">
        <v>0</v>
      </c>
      <c r="L58" s="1981">
        <v>0</v>
      </c>
      <c r="M58" s="1981">
        <v>0</v>
      </c>
      <c r="N58" s="1981">
        <v>0</v>
      </c>
      <c r="O58" s="1981">
        <v>0</v>
      </c>
      <c r="P58" s="1981">
        <v>0</v>
      </c>
      <c r="Q58" s="1981">
        <v>0</v>
      </c>
      <c r="R58" s="1981">
        <v>0</v>
      </c>
      <c r="S58" s="1982">
        <v>0</v>
      </c>
      <c r="U58" s="47">
        <f t="shared" si="3"/>
        <v>0</v>
      </c>
      <c r="V58" s="48">
        <f t="shared" si="1"/>
        <v>0</v>
      </c>
    </row>
    <row r="59" spans="1:22">
      <c r="A59" s="33" t="str">
        <f t="shared" si="0"/>
        <v>165</v>
      </c>
      <c r="B59" s="33">
        <v>1650599</v>
      </c>
      <c r="D59" s="1962" t="s">
        <v>237</v>
      </c>
      <c r="E59" s="1962" t="s">
        <v>238</v>
      </c>
      <c r="F59" s="1981">
        <v>10174.467097999999</v>
      </c>
      <c r="G59" s="1981">
        <v>7956.2404280000001</v>
      </c>
      <c r="H59" s="1981">
        <v>5229.6822380000003</v>
      </c>
      <c r="I59" s="1981">
        <v>17758.244328000001</v>
      </c>
      <c r="J59" s="1981">
        <v>14861.695017999999</v>
      </c>
      <c r="K59" s="1981">
        <v>11975.833757999999</v>
      </c>
      <c r="L59" s="1981">
        <v>28926.993548000002</v>
      </c>
      <c r="M59" s="1981">
        <v>25882.191178000001</v>
      </c>
      <c r="N59" s="1981">
        <v>23500.038787999998</v>
      </c>
      <c r="O59" s="1981">
        <v>20449.050078</v>
      </c>
      <c r="P59" s="1981">
        <v>17398.061368000002</v>
      </c>
      <c r="Q59" s="1981">
        <v>14347.072657999999</v>
      </c>
      <c r="R59" s="1981">
        <v>11380.071084835001</v>
      </c>
      <c r="S59" s="1982">
        <v>16141.51089006423</v>
      </c>
      <c r="U59" s="47">
        <f t="shared" si="3"/>
        <v>16141.51089006423</v>
      </c>
      <c r="V59" s="48">
        <f t="shared" si="1"/>
        <v>0</v>
      </c>
    </row>
    <row r="60" spans="1:22">
      <c r="A60" s="33" t="str">
        <f t="shared" si="0"/>
        <v>165</v>
      </c>
      <c r="B60" s="33">
        <v>1650800</v>
      </c>
      <c r="D60" s="1962" t="s">
        <v>239</v>
      </c>
      <c r="E60" s="1962" t="s">
        <v>240</v>
      </c>
      <c r="F60" s="1981">
        <v>8269.8247633824012</v>
      </c>
      <c r="G60" s="1981">
        <v>9791.9164273889</v>
      </c>
      <c r="H60" s="1981">
        <v>9745.5582019414996</v>
      </c>
      <c r="I60" s="1981">
        <v>9195.0292942364995</v>
      </c>
      <c r="J60" s="1981">
        <v>7757.4373898649001</v>
      </c>
      <c r="K60" s="1981">
        <v>6878.1584821598999</v>
      </c>
      <c r="L60" s="1981">
        <v>6763.5959569887</v>
      </c>
      <c r="M60" s="1981">
        <v>6873.6206980768002</v>
      </c>
      <c r="N60" s="1981">
        <v>6487.2044063501007</v>
      </c>
      <c r="O60" s="1981">
        <v>5776.70478129</v>
      </c>
      <c r="P60" s="1981">
        <v>6269.5920630633</v>
      </c>
      <c r="Q60" s="1981">
        <v>5780.4693532939</v>
      </c>
      <c r="R60" s="1981">
        <v>7502.9725795171998</v>
      </c>
      <c r="S60" s="1982">
        <v>7468.6218767349301</v>
      </c>
      <c r="U60" s="47">
        <f t="shared" si="3"/>
        <v>7468.6218767349301</v>
      </c>
      <c r="V60" s="48">
        <f t="shared" si="1"/>
        <v>0</v>
      </c>
    </row>
    <row r="61" spans="1:22">
      <c r="A61" s="33" t="str">
        <f t="shared" si="0"/>
        <v>165</v>
      </c>
      <c r="B61" s="33">
        <v>1650801</v>
      </c>
      <c r="D61" s="1962" t="s">
        <v>587</v>
      </c>
      <c r="E61" s="1962" t="s">
        <v>588</v>
      </c>
      <c r="F61" s="1981">
        <v>3971.4558453374002</v>
      </c>
      <c r="G61" s="1981">
        <v>6644.3565228878997</v>
      </c>
      <c r="H61" s="1981">
        <v>6068.3211877881995</v>
      </c>
      <c r="I61" s="1981">
        <v>5254.7533526884999</v>
      </c>
      <c r="J61" s="1981">
        <v>5564.0888214969</v>
      </c>
      <c r="K61" s="1981">
        <v>5478.1742413366992</v>
      </c>
      <c r="L61" s="1981">
        <v>5125.2983405104997</v>
      </c>
      <c r="M61" s="1981">
        <v>6459.8962283158007</v>
      </c>
      <c r="N61" s="1981">
        <v>5651.7044678210996</v>
      </c>
      <c r="O61" s="1981">
        <v>5157.8557600622999</v>
      </c>
      <c r="P61" s="1981">
        <v>4450.3497685656002</v>
      </c>
      <c r="Q61" s="1981">
        <v>4873.6133658568997</v>
      </c>
      <c r="R61" s="1981">
        <v>4050.8849622440998</v>
      </c>
      <c r="S61" s="1982">
        <v>5288.5194511470709</v>
      </c>
      <c r="U61" s="47">
        <f t="shared" si="3"/>
        <v>5288.5194511470709</v>
      </c>
      <c r="V61" s="48">
        <f t="shared" si="1"/>
        <v>0</v>
      </c>
    </row>
    <row r="62" spans="1:22">
      <c r="A62" s="33" t="str">
        <f t="shared" si="0"/>
        <v>165</v>
      </c>
      <c r="B62" s="33">
        <v>1650051</v>
      </c>
      <c r="D62" s="1962" t="s">
        <v>585</v>
      </c>
      <c r="E62" s="1962" t="s">
        <v>586</v>
      </c>
      <c r="F62" s="1981">
        <v>0</v>
      </c>
      <c r="G62" s="1981">
        <v>0</v>
      </c>
      <c r="H62" s="1981">
        <v>0</v>
      </c>
      <c r="I62" s="1981">
        <v>0</v>
      </c>
      <c r="J62" s="1981">
        <v>0</v>
      </c>
      <c r="K62" s="1981">
        <v>0</v>
      </c>
      <c r="L62" s="1981">
        <v>0</v>
      </c>
      <c r="M62" s="1981">
        <v>0</v>
      </c>
      <c r="N62" s="1981">
        <v>0</v>
      </c>
      <c r="O62" s="1981">
        <v>0</v>
      </c>
      <c r="P62" s="1981">
        <v>0</v>
      </c>
      <c r="Q62" s="1981">
        <v>0</v>
      </c>
      <c r="R62" s="1981">
        <v>0</v>
      </c>
      <c r="S62" s="1982">
        <v>0</v>
      </c>
      <c r="U62" s="47">
        <f t="shared" si="3"/>
        <v>0</v>
      </c>
      <c r="V62" s="48">
        <f t="shared" si="1"/>
        <v>0</v>
      </c>
    </row>
    <row r="63" spans="1:22">
      <c r="A63" s="33" t="str">
        <f t="shared" si="0"/>
        <v>182</v>
      </c>
      <c r="B63" s="33">
        <v>1823020</v>
      </c>
      <c r="D63" s="1962" t="s">
        <v>247</v>
      </c>
      <c r="E63" s="1962" t="s">
        <v>7156</v>
      </c>
      <c r="F63" s="1981">
        <v>0</v>
      </c>
      <c r="G63" s="1981">
        <v>0</v>
      </c>
      <c r="H63" s="1981">
        <v>-2.9999999999999997E-4</v>
      </c>
      <c r="I63" s="1981">
        <v>-2.9999999999999997E-4</v>
      </c>
      <c r="J63" s="1981">
        <v>-2.9999999999999997E-4</v>
      </c>
      <c r="K63" s="1981">
        <v>-2.9999999999999997E-4</v>
      </c>
      <c r="L63" s="1981">
        <v>-2.9999999999999997E-4</v>
      </c>
      <c r="M63" s="1981">
        <v>-2.9999999999999997E-4</v>
      </c>
      <c r="N63" s="1981">
        <v>0</v>
      </c>
      <c r="O63" s="1981">
        <v>0</v>
      </c>
      <c r="P63" s="1981">
        <v>0</v>
      </c>
      <c r="Q63" s="1981">
        <v>0</v>
      </c>
      <c r="R63" s="1981">
        <v>0</v>
      </c>
      <c r="S63" s="1982">
        <v>-1.3846153846153845E-4</v>
      </c>
      <c r="U63" s="47">
        <f t="shared" si="3"/>
        <v>-1.3846153846153845E-4</v>
      </c>
      <c r="V63" s="48">
        <f t="shared" si="1"/>
        <v>0</v>
      </c>
    </row>
    <row r="64" spans="1:22">
      <c r="A64" s="33" t="str">
        <f t="shared" si="0"/>
        <v>182</v>
      </c>
      <c r="B64" s="33">
        <v>1823090</v>
      </c>
      <c r="D64" s="1962" t="s">
        <v>8687</v>
      </c>
      <c r="E64" s="1962" t="s">
        <v>8688</v>
      </c>
      <c r="F64" s="1981">
        <v>0</v>
      </c>
      <c r="G64" s="1981">
        <v>0</v>
      </c>
      <c r="H64" s="1981">
        <v>696.03499999999997</v>
      </c>
      <c r="I64" s="1981">
        <v>2750.2170000000001</v>
      </c>
      <c r="J64" s="1981">
        <v>4603.2550000000001</v>
      </c>
      <c r="K64" s="1981">
        <v>5607.9049999999997</v>
      </c>
      <c r="L64" s="1981">
        <v>5167.4459999999999</v>
      </c>
      <c r="M64" s="1981">
        <v>4257.3090000000002</v>
      </c>
      <c r="N64" s="1981">
        <v>3527.567</v>
      </c>
      <c r="O64" s="1981">
        <v>2684.5729999999999</v>
      </c>
      <c r="P64" s="1981">
        <v>3214.2550000000001</v>
      </c>
      <c r="Q64" s="1981">
        <v>5438.2780000000002</v>
      </c>
      <c r="R64" s="1981">
        <v>8276.1509999999998</v>
      </c>
      <c r="S64" s="1982">
        <v>3555.6146923076926</v>
      </c>
      <c r="U64" s="47">
        <f t="shared" si="3"/>
        <v>3555.6146923076926</v>
      </c>
      <c r="V64" s="48">
        <f t="shared" si="1"/>
        <v>0</v>
      </c>
    </row>
    <row r="65" spans="1:22">
      <c r="A65" s="33" t="str">
        <f t="shared" si="0"/>
        <v>182</v>
      </c>
      <c r="B65" s="33">
        <v>1823102</v>
      </c>
      <c r="D65" s="1962" t="s">
        <v>248</v>
      </c>
      <c r="E65" s="1962" t="s">
        <v>249</v>
      </c>
      <c r="F65" s="1981">
        <v>460.11599999999999</v>
      </c>
      <c r="G65" s="1981">
        <v>1104.3096666667</v>
      </c>
      <c r="H65" s="1981">
        <v>1065.9666666667001</v>
      </c>
      <c r="I65" s="1981">
        <v>1027.6236666667</v>
      </c>
      <c r="J65" s="1981">
        <v>989.28066666670009</v>
      </c>
      <c r="K65" s="1981">
        <v>950.93766666670001</v>
      </c>
      <c r="L65" s="1981">
        <v>912.59466666670005</v>
      </c>
      <c r="M65" s="1981">
        <v>874.25166666670009</v>
      </c>
      <c r="N65" s="1981">
        <v>835.90866666670001</v>
      </c>
      <c r="O65" s="1981">
        <v>797.56566666670005</v>
      </c>
      <c r="P65" s="1981">
        <v>759.22266666670009</v>
      </c>
      <c r="Q65" s="1981">
        <v>720.87966666670002</v>
      </c>
      <c r="R65" s="1981">
        <v>682.53666666670006</v>
      </c>
      <c r="S65" s="1982">
        <v>860.09184615387687</v>
      </c>
      <c r="U65" s="47">
        <f t="shared" si="3"/>
        <v>860.09184615387687</v>
      </c>
      <c r="V65" s="48">
        <f t="shared" si="1"/>
        <v>0</v>
      </c>
    </row>
    <row r="66" spans="1:22">
      <c r="A66" s="33" t="str">
        <f t="shared" si="0"/>
        <v>182</v>
      </c>
      <c r="B66" s="33">
        <v>1823103</v>
      </c>
      <c r="D66" s="1962" t="s">
        <v>9360</v>
      </c>
      <c r="E66" s="1962" t="s">
        <v>9361</v>
      </c>
      <c r="F66" s="1981">
        <v>903.67250200000001</v>
      </c>
      <c r="G66" s="1981">
        <v>885.95343333330004</v>
      </c>
      <c r="H66" s="1981">
        <v>868.2343646667</v>
      </c>
      <c r="I66" s="1981">
        <v>850.51529599999992</v>
      </c>
      <c r="J66" s="1981">
        <v>832.79622733330007</v>
      </c>
      <c r="K66" s="1981">
        <v>815.07715866670003</v>
      </c>
      <c r="L66" s="1981">
        <v>797.35808999999995</v>
      </c>
      <c r="M66" s="1981">
        <v>779.63902133330009</v>
      </c>
      <c r="N66" s="1981">
        <v>761.91995266670006</v>
      </c>
      <c r="O66" s="1981">
        <v>744.20088399999997</v>
      </c>
      <c r="P66" s="1981">
        <v>726.48181533330001</v>
      </c>
      <c r="Q66" s="1981">
        <v>708.76274666669997</v>
      </c>
      <c r="R66" s="1981">
        <v>691.043678</v>
      </c>
      <c r="S66" s="1982">
        <v>797.35808999999995</v>
      </c>
      <c r="U66" s="47">
        <f t="shared" si="3"/>
        <v>797.35808999999995</v>
      </c>
      <c r="V66" s="48">
        <f t="shared" si="1"/>
        <v>0</v>
      </c>
    </row>
    <row r="67" spans="1:22">
      <c r="A67" s="33" t="str">
        <f t="shared" si="0"/>
        <v>182</v>
      </c>
      <c r="B67" s="33">
        <v>1823104</v>
      </c>
      <c r="D67" s="1962" t="s">
        <v>250</v>
      </c>
      <c r="E67" s="1962" t="s">
        <v>251</v>
      </c>
      <c r="F67" s="1981">
        <v>0</v>
      </c>
      <c r="G67" s="1981">
        <v>0</v>
      </c>
      <c r="H67" s="1981">
        <v>0</v>
      </c>
      <c r="I67" s="1981">
        <v>0</v>
      </c>
      <c r="J67" s="1981">
        <v>0</v>
      </c>
      <c r="K67" s="1981">
        <v>0</v>
      </c>
      <c r="L67" s="1981">
        <v>0</v>
      </c>
      <c r="M67" s="1981">
        <v>0</v>
      </c>
      <c r="N67" s="1981">
        <v>0</v>
      </c>
      <c r="O67" s="1981">
        <v>0</v>
      </c>
      <c r="P67" s="1981">
        <v>0</v>
      </c>
      <c r="Q67" s="1981">
        <v>0</v>
      </c>
      <c r="R67" s="1981">
        <v>0</v>
      </c>
      <c r="S67" s="1982">
        <v>0</v>
      </c>
      <c r="U67" s="47">
        <f t="shared" si="3"/>
        <v>0</v>
      </c>
      <c r="V67" s="48">
        <f t="shared" si="1"/>
        <v>0</v>
      </c>
    </row>
    <row r="68" spans="1:22">
      <c r="A68" s="33" t="str">
        <f t="shared" si="0"/>
        <v>182</v>
      </c>
      <c r="B68" s="33">
        <v>1823105</v>
      </c>
      <c r="D68" s="1962" t="s">
        <v>252</v>
      </c>
      <c r="E68" s="1962" t="s">
        <v>253</v>
      </c>
      <c r="F68" s="1981">
        <v>0</v>
      </c>
      <c r="G68" s="1981">
        <v>0</v>
      </c>
      <c r="H68" s="1981">
        <v>0</v>
      </c>
      <c r="I68" s="1981">
        <v>0</v>
      </c>
      <c r="J68" s="1981">
        <v>0</v>
      </c>
      <c r="K68" s="1981">
        <v>0</v>
      </c>
      <c r="L68" s="1981">
        <v>0</v>
      </c>
      <c r="M68" s="1981">
        <v>0</v>
      </c>
      <c r="N68" s="1981">
        <v>0</v>
      </c>
      <c r="O68" s="1981">
        <v>0</v>
      </c>
      <c r="P68" s="1981">
        <v>0</v>
      </c>
      <c r="Q68" s="1981">
        <v>0</v>
      </c>
      <c r="R68" s="1981">
        <v>0</v>
      </c>
      <c r="S68" s="1982">
        <v>0</v>
      </c>
      <c r="U68" s="47">
        <f t="shared" si="3"/>
        <v>0</v>
      </c>
      <c r="V68" s="48">
        <f t="shared" si="1"/>
        <v>0</v>
      </c>
    </row>
    <row r="69" spans="1:22">
      <c r="A69" s="33" t="str">
        <f t="shared" ref="A69:A132" si="4">+LEFT(B69,3)</f>
        <v>182</v>
      </c>
      <c r="B69" s="33">
        <v>1823612</v>
      </c>
      <c r="D69" s="1962" t="s">
        <v>7157</v>
      </c>
      <c r="E69" s="1962" t="s">
        <v>7158</v>
      </c>
      <c r="F69" s="1981">
        <v>0</v>
      </c>
      <c r="G69" s="1981">
        <v>0</v>
      </c>
      <c r="H69" s="1981">
        <v>0</v>
      </c>
      <c r="I69" s="1981">
        <v>0</v>
      </c>
      <c r="J69" s="1981">
        <v>0</v>
      </c>
      <c r="K69" s="1981">
        <v>0</v>
      </c>
      <c r="L69" s="1981">
        <v>0</v>
      </c>
      <c r="M69" s="1981">
        <v>0</v>
      </c>
      <c r="N69" s="1981">
        <v>0</v>
      </c>
      <c r="O69" s="1981">
        <v>0</v>
      </c>
      <c r="P69" s="1981">
        <v>0</v>
      </c>
      <c r="Q69" s="1981">
        <v>0</v>
      </c>
      <c r="R69" s="1981">
        <v>0</v>
      </c>
      <c r="S69" s="1982">
        <v>0</v>
      </c>
      <c r="U69" s="47">
        <f t="shared" si="3"/>
        <v>0</v>
      </c>
      <c r="V69" s="48">
        <f t="shared" ref="V69:V132" si="5">IF(S69="","",+U69-S69)</f>
        <v>0</v>
      </c>
    </row>
    <row r="70" spans="1:22">
      <c r="A70" s="33" t="str">
        <f t="shared" si="4"/>
        <v>189</v>
      </c>
      <c r="B70" s="33">
        <v>1890100</v>
      </c>
      <c r="D70" s="1962" t="s">
        <v>282</v>
      </c>
      <c r="E70" s="1962" t="s">
        <v>283</v>
      </c>
      <c r="F70" s="1981">
        <v>360.48176000000001</v>
      </c>
      <c r="G70" s="1981">
        <v>382.15884</v>
      </c>
      <c r="H70" s="1981">
        <v>382.15884</v>
      </c>
      <c r="I70" s="1981">
        <v>382.15884</v>
      </c>
      <c r="J70" s="1981">
        <v>382.15884</v>
      </c>
      <c r="K70" s="1981">
        <v>382.15884</v>
      </c>
      <c r="L70" s="1981">
        <v>382.15884</v>
      </c>
      <c r="M70" s="1981">
        <v>382.15884</v>
      </c>
      <c r="N70" s="1981">
        <v>382.15884</v>
      </c>
      <c r="O70" s="1981">
        <v>376.73957000000001</v>
      </c>
      <c r="P70" s="1981">
        <v>371.32029999999997</v>
      </c>
      <c r="Q70" s="1981">
        <v>365.90103000000005</v>
      </c>
      <c r="R70" s="1981">
        <v>360.48176000000001</v>
      </c>
      <c r="S70" s="1982">
        <v>376.32270307692306</v>
      </c>
      <c r="U70" s="47">
        <f t="shared" ref="U70:U133" si="6">+IF(F70="","",SUM(F70:R70)/13)</f>
        <v>376.32270307692306</v>
      </c>
      <c r="V70" s="48">
        <f t="shared" si="5"/>
        <v>0</v>
      </c>
    </row>
    <row r="71" spans="1:22">
      <c r="A71" s="33" t="str">
        <f t="shared" si="4"/>
        <v>228</v>
      </c>
      <c r="B71" s="33">
        <v>2281100</v>
      </c>
      <c r="D71" s="1962" t="s">
        <v>337</v>
      </c>
      <c r="E71" s="1962" t="s">
        <v>338</v>
      </c>
      <c r="F71" s="1981">
        <v>0</v>
      </c>
      <c r="G71" s="1981">
        <v>0</v>
      </c>
      <c r="H71" s="1981">
        <v>0</v>
      </c>
      <c r="I71" s="1981">
        <v>0</v>
      </c>
      <c r="J71" s="1981">
        <v>0</v>
      </c>
      <c r="K71" s="1981">
        <v>0</v>
      </c>
      <c r="L71" s="1981">
        <v>0</v>
      </c>
      <c r="M71" s="1981">
        <v>0</v>
      </c>
      <c r="N71" s="1981">
        <v>0</v>
      </c>
      <c r="O71" s="1981">
        <v>0</v>
      </c>
      <c r="P71" s="1981">
        <v>0</v>
      </c>
      <c r="Q71" s="1981">
        <v>0</v>
      </c>
      <c r="R71" s="1981">
        <v>0</v>
      </c>
      <c r="S71" s="1982">
        <v>0</v>
      </c>
      <c r="U71" s="47">
        <f t="shared" si="6"/>
        <v>0</v>
      </c>
      <c r="V71" s="48">
        <f t="shared" si="5"/>
        <v>0</v>
      </c>
    </row>
    <row r="72" spans="1:22">
      <c r="A72" s="33" t="str">
        <f t="shared" si="4"/>
        <v>182</v>
      </c>
      <c r="B72" s="33">
        <v>1823106</v>
      </c>
      <c r="D72" s="1962" t="s">
        <v>254</v>
      </c>
      <c r="E72" s="1962" t="s">
        <v>255</v>
      </c>
      <c r="F72" s="1981">
        <v>532.41916000000003</v>
      </c>
      <c r="G72" s="1981">
        <v>0</v>
      </c>
      <c r="H72" s="1981">
        <v>0</v>
      </c>
      <c r="I72" s="1981">
        <v>0</v>
      </c>
      <c r="J72" s="1981">
        <v>0</v>
      </c>
      <c r="K72" s="1981">
        <v>0</v>
      </c>
      <c r="L72" s="1981">
        <v>0</v>
      </c>
      <c r="M72" s="1981">
        <v>0</v>
      </c>
      <c r="N72" s="1981">
        <v>0</v>
      </c>
      <c r="O72" s="1981">
        <v>0</v>
      </c>
      <c r="P72" s="1981">
        <v>0</v>
      </c>
      <c r="Q72" s="1981">
        <v>0</v>
      </c>
      <c r="R72" s="1981">
        <v>0</v>
      </c>
      <c r="S72" s="1982">
        <v>40.95532</v>
      </c>
      <c r="U72" s="47">
        <f t="shared" si="6"/>
        <v>40.95532</v>
      </c>
      <c r="V72" s="48">
        <f t="shared" si="5"/>
        <v>0</v>
      </c>
    </row>
    <row r="73" spans="1:22">
      <c r="A73" s="33" t="str">
        <f t="shared" si="4"/>
        <v>182</v>
      </c>
      <c r="B73" s="33">
        <v>1822111</v>
      </c>
      <c r="D73" s="1962" t="s">
        <v>589</v>
      </c>
      <c r="E73" s="1962" t="s">
        <v>590</v>
      </c>
      <c r="F73" s="1981">
        <v>42800.445116666699</v>
      </c>
      <c r="G73" s="1981">
        <v>42986.927911888102</v>
      </c>
      <c r="H73" s="1981">
        <v>43414.275762253499</v>
      </c>
      <c r="I73" s="1981">
        <v>43880.914558297904</v>
      </c>
      <c r="J73" s="1981">
        <v>44333.768194285702</v>
      </c>
      <c r="K73" s="1981">
        <v>44786.144906762602</v>
      </c>
      <c r="L73" s="1981">
        <v>45249.3386713043</v>
      </c>
      <c r="M73" s="1981">
        <v>45741.0501258394</v>
      </c>
      <c r="N73" s="1981">
        <v>46291.391631176499</v>
      </c>
      <c r="O73" s="1981">
        <v>46744.721809777802</v>
      </c>
      <c r="P73" s="1981">
        <v>47267.692827761202</v>
      </c>
      <c r="Q73" s="1981">
        <v>47653.725063157901</v>
      </c>
      <c r="R73" s="1981">
        <v>48247.988095454501</v>
      </c>
      <c r="S73" s="1982">
        <v>45338.337282663546</v>
      </c>
      <c r="U73" s="47">
        <f t="shared" si="6"/>
        <v>45338.337282663546</v>
      </c>
      <c r="V73" s="48">
        <f t="shared" si="5"/>
        <v>0</v>
      </c>
    </row>
    <row r="74" spans="1:22">
      <c r="A74" s="33" t="str">
        <f t="shared" si="4"/>
        <v>182</v>
      </c>
      <c r="B74" s="33">
        <v>1823113</v>
      </c>
      <c r="D74" s="1962" t="s">
        <v>7159</v>
      </c>
      <c r="E74" s="1962" t="s">
        <v>338</v>
      </c>
      <c r="F74" s="1981">
        <v>0</v>
      </c>
      <c r="G74" s="1981">
        <v>0</v>
      </c>
      <c r="H74" s="1981">
        <v>0</v>
      </c>
      <c r="I74" s="1981">
        <v>0</v>
      </c>
      <c r="J74" s="1981">
        <v>0</v>
      </c>
      <c r="K74" s="1981">
        <v>0</v>
      </c>
      <c r="L74" s="1981">
        <v>0</v>
      </c>
      <c r="M74" s="1981">
        <v>0</v>
      </c>
      <c r="N74" s="1981">
        <v>0</v>
      </c>
      <c r="O74" s="1981">
        <v>0</v>
      </c>
      <c r="P74" s="1981">
        <v>0</v>
      </c>
      <c r="Q74" s="1981">
        <v>0</v>
      </c>
      <c r="R74" s="1981">
        <v>0</v>
      </c>
      <c r="S74" s="1982">
        <v>0</v>
      </c>
      <c r="U74" s="47">
        <f t="shared" si="6"/>
        <v>0</v>
      </c>
      <c r="V74" s="48">
        <f t="shared" si="5"/>
        <v>0</v>
      </c>
    </row>
    <row r="75" spans="1:22">
      <c r="A75" s="33" t="str">
        <f t="shared" si="4"/>
        <v>101</v>
      </c>
      <c r="B75" s="33">
        <v>1010000</v>
      </c>
      <c r="D75" s="1962" t="s">
        <v>124</v>
      </c>
      <c r="E75" s="1962" t="s">
        <v>125</v>
      </c>
      <c r="F75" s="1981">
        <v>11533012.18578</v>
      </c>
      <c r="G75" s="1981">
        <v>11571960.811700001</v>
      </c>
      <c r="H75" s="1981">
        <v>11646604.82753</v>
      </c>
      <c r="I75" s="1981">
        <v>11699312.50953</v>
      </c>
      <c r="J75" s="1981">
        <v>11931074.032540001</v>
      </c>
      <c r="K75" s="1981">
        <v>12227843.933660001</v>
      </c>
      <c r="L75" s="1981">
        <v>12620506.62841</v>
      </c>
      <c r="M75" s="1981">
        <v>12677288.185309999</v>
      </c>
      <c r="N75" s="1981">
        <v>12742732.6777</v>
      </c>
      <c r="O75" s="1981">
        <v>12812126.338200001</v>
      </c>
      <c r="P75" s="1981">
        <v>12880285.225099999</v>
      </c>
      <c r="Q75" s="1981">
        <v>12922495.913620001</v>
      </c>
      <c r="R75" s="1981">
        <v>13336395.117290001</v>
      </c>
      <c r="S75" s="1982">
        <v>12353972.18356692</v>
      </c>
      <c r="U75" s="47">
        <f t="shared" si="6"/>
        <v>12353972.18356692</v>
      </c>
      <c r="V75" s="48">
        <f t="shared" si="5"/>
        <v>0</v>
      </c>
    </row>
    <row r="76" spans="1:22">
      <c r="A76" s="33" t="str">
        <f t="shared" si="4"/>
        <v>101</v>
      </c>
      <c r="B76" s="33">
        <v>1011000</v>
      </c>
      <c r="D76" s="1962" t="s">
        <v>568</v>
      </c>
      <c r="E76" s="1962" t="s">
        <v>569</v>
      </c>
      <c r="F76" s="1981">
        <v>3026.1061131934998</v>
      </c>
      <c r="G76" s="1981">
        <v>2988.2797867785998</v>
      </c>
      <c r="H76" s="1981">
        <v>2950.4534603636998</v>
      </c>
      <c r="I76" s="1981">
        <v>2912.6271339487002</v>
      </c>
      <c r="J76" s="1981">
        <v>2874.8008075338003</v>
      </c>
      <c r="K76" s="1981">
        <v>2836.9744811188998</v>
      </c>
      <c r="L76" s="1981">
        <v>2799.1481547039998</v>
      </c>
      <c r="M76" s="1981">
        <v>2761.3218282890998</v>
      </c>
      <c r="N76" s="1981">
        <v>2723.4955018740998</v>
      </c>
      <c r="O76" s="1981">
        <v>2685.6691754592002</v>
      </c>
      <c r="P76" s="1981">
        <v>2647.8428490443002</v>
      </c>
      <c r="Q76" s="1981">
        <v>2610.0165226293998</v>
      </c>
      <c r="R76" s="1981">
        <v>2572.1901962144998</v>
      </c>
      <c r="S76" s="1982">
        <v>2799.1481547039843</v>
      </c>
      <c r="U76" s="47">
        <f t="shared" si="6"/>
        <v>2799.1481547039843</v>
      </c>
      <c r="V76" s="48">
        <f t="shared" si="5"/>
        <v>0</v>
      </c>
    </row>
    <row r="77" spans="1:22">
      <c r="A77" s="33" t="str">
        <f t="shared" si="4"/>
        <v>102</v>
      </c>
      <c r="B77" s="33">
        <v>1020000</v>
      </c>
      <c r="D77" s="1962" t="s">
        <v>128</v>
      </c>
      <c r="E77" s="1962" t="s">
        <v>129</v>
      </c>
      <c r="F77" s="1981">
        <v>0</v>
      </c>
      <c r="G77" s="1981">
        <v>0</v>
      </c>
      <c r="H77" s="1981">
        <v>0</v>
      </c>
      <c r="I77" s="1981">
        <v>0</v>
      </c>
      <c r="J77" s="1981">
        <v>0</v>
      </c>
      <c r="K77" s="1981">
        <v>0</v>
      </c>
      <c r="L77" s="1981">
        <v>0</v>
      </c>
      <c r="M77" s="1981">
        <v>0</v>
      </c>
      <c r="N77" s="1981">
        <v>0</v>
      </c>
      <c r="O77" s="1981">
        <v>0</v>
      </c>
      <c r="P77" s="1981">
        <v>0</v>
      </c>
      <c r="Q77" s="1981">
        <v>0</v>
      </c>
      <c r="R77" s="1981">
        <v>0</v>
      </c>
      <c r="S77" s="1982">
        <v>0</v>
      </c>
      <c r="U77" s="47">
        <f t="shared" si="6"/>
        <v>0</v>
      </c>
      <c r="V77" s="48">
        <f t="shared" si="5"/>
        <v>0</v>
      </c>
    </row>
    <row r="78" spans="1:22">
      <c r="A78" s="33" t="str">
        <f t="shared" si="4"/>
        <v>106</v>
      </c>
      <c r="B78" s="33">
        <v>1060000</v>
      </c>
      <c r="D78" s="1962" t="s">
        <v>132</v>
      </c>
      <c r="E78" s="1962" t="s">
        <v>133</v>
      </c>
      <c r="F78" s="1981">
        <v>2078381.7045999998</v>
      </c>
      <c r="G78" s="1981">
        <v>2078381.7045999998</v>
      </c>
      <c r="H78" s="1981">
        <v>2078381.7045999998</v>
      </c>
      <c r="I78" s="1981">
        <v>2078381.7045999998</v>
      </c>
      <c r="J78" s="1981">
        <v>2078381.7045999998</v>
      </c>
      <c r="K78" s="1981">
        <v>2078381.7045999998</v>
      </c>
      <c r="L78" s="1981">
        <v>2078381.7045999998</v>
      </c>
      <c r="M78" s="1981">
        <v>2078381.7045999998</v>
      </c>
      <c r="N78" s="1981">
        <v>2078381.7045999998</v>
      </c>
      <c r="O78" s="1981">
        <v>2078381.7045999998</v>
      </c>
      <c r="P78" s="1981">
        <v>2078381.7045999998</v>
      </c>
      <c r="Q78" s="1981">
        <v>2078381.7045999998</v>
      </c>
      <c r="R78" s="1981">
        <v>2078381.7045999998</v>
      </c>
      <c r="S78" s="1982">
        <v>2078381.7045999991</v>
      </c>
      <c r="U78" s="47">
        <f t="shared" si="6"/>
        <v>2078381.7045999991</v>
      </c>
      <c r="V78" s="48">
        <f t="shared" si="5"/>
        <v>0</v>
      </c>
    </row>
    <row r="79" spans="1:22">
      <c r="A79" s="33" t="str">
        <f t="shared" si="4"/>
        <v>114</v>
      </c>
      <c r="B79" s="33">
        <v>1140000</v>
      </c>
      <c r="D79" s="1962" t="s">
        <v>150</v>
      </c>
      <c r="E79" s="1962" t="s">
        <v>151</v>
      </c>
      <c r="F79" s="1981">
        <v>7484.82276</v>
      </c>
      <c r="G79" s="1981">
        <v>7484.82276</v>
      </c>
      <c r="H79" s="1981">
        <v>7484.82276</v>
      </c>
      <c r="I79" s="1981">
        <v>7484.82276</v>
      </c>
      <c r="J79" s="1981">
        <v>7484.82276</v>
      </c>
      <c r="K79" s="1981">
        <v>7484.82276</v>
      </c>
      <c r="L79" s="1981">
        <v>7484.82276</v>
      </c>
      <c r="M79" s="1981">
        <v>7484.82276</v>
      </c>
      <c r="N79" s="1981">
        <v>7484.82276</v>
      </c>
      <c r="O79" s="1981">
        <v>7484.82276</v>
      </c>
      <c r="P79" s="1981">
        <v>7484.82276</v>
      </c>
      <c r="Q79" s="1981">
        <v>7484.82276</v>
      </c>
      <c r="R79" s="1981">
        <v>7484.82276</v>
      </c>
      <c r="S79" s="1982">
        <v>7484.8227599999991</v>
      </c>
      <c r="U79" s="47">
        <f t="shared" si="6"/>
        <v>7484.8227599999991</v>
      </c>
      <c r="V79" s="48">
        <f t="shared" si="5"/>
        <v>0</v>
      </c>
    </row>
    <row r="80" spans="1:22">
      <c r="A80" s="33" t="str">
        <f t="shared" si="4"/>
        <v>105</v>
      </c>
      <c r="B80" s="33">
        <v>1050000</v>
      </c>
      <c r="D80" s="1962" t="s">
        <v>130</v>
      </c>
      <c r="E80" s="1962" t="s">
        <v>131</v>
      </c>
      <c r="F80" s="1981">
        <v>64262.399530000002</v>
      </c>
      <c r="G80" s="1981">
        <v>64262.399530000002</v>
      </c>
      <c r="H80" s="1981">
        <v>70262.399529999995</v>
      </c>
      <c r="I80" s="1981">
        <v>70262.399529999995</v>
      </c>
      <c r="J80" s="1981">
        <v>70262.399529999995</v>
      </c>
      <c r="K80" s="1981">
        <v>70262.399529999995</v>
      </c>
      <c r="L80" s="1981">
        <v>70264.952269999994</v>
      </c>
      <c r="M80" s="1981">
        <v>70264.952269999994</v>
      </c>
      <c r="N80" s="1981">
        <v>70264.952269999994</v>
      </c>
      <c r="O80" s="1981">
        <v>70764.952269999994</v>
      </c>
      <c r="P80" s="1981">
        <v>70764.952269999994</v>
      </c>
      <c r="Q80" s="1981">
        <v>70764.952269999994</v>
      </c>
      <c r="R80" s="1981">
        <v>70764.952269999994</v>
      </c>
      <c r="S80" s="1982">
        <v>69494.543313076923</v>
      </c>
      <c r="U80" s="47">
        <f t="shared" si="6"/>
        <v>69494.543313076923</v>
      </c>
      <c r="V80" s="48">
        <f t="shared" si="5"/>
        <v>0</v>
      </c>
    </row>
    <row r="81" spans="1:22">
      <c r="A81" s="33" t="str">
        <f t="shared" si="4"/>
        <v>107</v>
      </c>
      <c r="B81" s="33">
        <v>1070000</v>
      </c>
      <c r="D81" s="1962" t="s">
        <v>134</v>
      </c>
      <c r="E81" s="1962" t="s">
        <v>135</v>
      </c>
      <c r="F81" s="1981">
        <v>1082288.9041300002</v>
      </c>
      <c r="G81" s="1981">
        <v>1214318.4979300001</v>
      </c>
      <c r="H81" s="1981">
        <v>1262739.75125</v>
      </c>
      <c r="I81" s="1981">
        <v>1343231.8840099999</v>
      </c>
      <c r="J81" s="1981">
        <v>1234133.48172</v>
      </c>
      <c r="K81" s="1981">
        <v>1049240.1589800001</v>
      </c>
      <c r="L81" s="1981">
        <v>826404.68528999994</v>
      </c>
      <c r="M81" s="1981">
        <v>945656.79655999993</v>
      </c>
      <c r="N81" s="1981">
        <v>974098.32690999995</v>
      </c>
      <c r="O81" s="1981">
        <v>989658.22541999992</v>
      </c>
      <c r="P81" s="1981">
        <v>996139.25525000005</v>
      </c>
      <c r="Q81" s="1981">
        <v>1026714.72187</v>
      </c>
      <c r="R81" s="1981">
        <v>711966.47315999994</v>
      </c>
      <c r="S81" s="1982">
        <v>1050507.0124984616</v>
      </c>
      <c r="U81" s="47">
        <f t="shared" si="6"/>
        <v>1050507.0124984616</v>
      </c>
      <c r="V81" s="48">
        <f t="shared" si="5"/>
        <v>0</v>
      </c>
    </row>
    <row r="82" spans="1:22">
      <c r="A82" s="33" t="str">
        <f t="shared" si="4"/>
        <v>121</v>
      </c>
      <c r="B82" s="33">
        <v>1210000</v>
      </c>
      <c r="D82" s="1962" t="s">
        <v>154</v>
      </c>
      <c r="E82" s="1962" t="s">
        <v>155</v>
      </c>
      <c r="F82" s="1981">
        <v>19720.467789999999</v>
      </c>
      <c r="G82" s="1981">
        <v>19820.802019999999</v>
      </c>
      <c r="H82" s="1981">
        <v>19927.119289999999</v>
      </c>
      <c r="I82" s="1981">
        <v>20031.903850000002</v>
      </c>
      <c r="J82" s="1981">
        <v>20137.239289999998</v>
      </c>
      <c r="K82" s="1981">
        <v>20227.549289999999</v>
      </c>
      <c r="L82" s="1981">
        <v>20326.458160000002</v>
      </c>
      <c r="M82" s="1981">
        <v>20316.325850000001</v>
      </c>
      <c r="N82" s="1981">
        <v>20355.693019999999</v>
      </c>
      <c r="O82" s="1981">
        <v>20440.78011</v>
      </c>
      <c r="P82" s="1981">
        <v>20498.974719999998</v>
      </c>
      <c r="Q82" s="1981">
        <v>20620.646479999999</v>
      </c>
      <c r="R82" s="1981">
        <v>20724.960789999997</v>
      </c>
      <c r="S82" s="1982">
        <v>20242.224666153845</v>
      </c>
      <c r="U82" s="47">
        <f t="shared" si="6"/>
        <v>20242.224666153845</v>
      </c>
      <c r="V82" s="48">
        <f t="shared" si="5"/>
        <v>0</v>
      </c>
    </row>
    <row r="83" spans="1:22">
      <c r="A83" s="33" t="str">
        <f t="shared" si="4"/>
        <v>108</v>
      </c>
      <c r="B83" s="33">
        <v>1080000</v>
      </c>
      <c r="D83" s="1962" t="s">
        <v>136</v>
      </c>
      <c r="E83" s="1962" t="s">
        <v>137</v>
      </c>
      <c r="F83" s="1981">
        <v>-3876777.5564799998</v>
      </c>
      <c r="G83" s="1981">
        <v>-3901814.5033800001</v>
      </c>
      <c r="H83" s="1981">
        <v>-3934662.7112500002</v>
      </c>
      <c r="I83" s="1981">
        <v>-3964586.25985</v>
      </c>
      <c r="J83" s="1981">
        <v>-3996514.4771500002</v>
      </c>
      <c r="K83" s="1981">
        <v>-4010422.0681100003</v>
      </c>
      <c r="L83" s="1981">
        <v>-4040873.0864599999</v>
      </c>
      <c r="M83" s="1981">
        <v>-4073809.8421100001</v>
      </c>
      <c r="N83" s="1981">
        <v>-4110298.7601700001</v>
      </c>
      <c r="O83" s="1981">
        <v>-4143906.8427199996</v>
      </c>
      <c r="P83" s="1981">
        <v>-4170968.97535</v>
      </c>
      <c r="Q83" s="1981">
        <v>-4205274.2209200002</v>
      </c>
      <c r="R83" s="1981">
        <v>-4223419.2878600005</v>
      </c>
      <c r="S83" s="1982">
        <v>-4050256.0455238456</v>
      </c>
      <c r="U83" s="47">
        <f t="shared" si="6"/>
        <v>-4050256.0455238456</v>
      </c>
      <c r="V83" s="48">
        <f t="shared" si="5"/>
        <v>0</v>
      </c>
    </row>
    <row r="84" spans="1:22">
      <c r="A84" s="33" t="str">
        <f t="shared" si="4"/>
        <v>108</v>
      </c>
      <c r="B84" s="33">
        <v>1080001</v>
      </c>
      <c r="D84" s="1962" t="s">
        <v>138</v>
      </c>
      <c r="E84" s="1962" t="s">
        <v>139</v>
      </c>
      <c r="F84" s="1981">
        <v>80078.525709999987</v>
      </c>
      <c r="G84" s="1981">
        <v>80078.525709999987</v>
      </c>
      <c r="H84" s="1981">
        <v>80078.525709999987</v>
      </c>
      <c r="I84" s="1981">
        <v>80078.525709999987</v>
      </c>
      <c r="J84" s="1981">
        <v>80078.525709999987</v>
      </c>
      <c r="K84" s="1981">
        <v>80078.525709999987</v>
      </c>
      <c r="L84" s="1981">
        <v>80078.525709999987</v>
      </c>
      <c r="M84" s="1981">
        <v>80078.525709999987</v>
      </c>
      <c r="N84" s="1981">
        <v>80078.525709999987</v>
      </c>
      <c r="O84" s="1981">
        <v>80078.525709999987</v>
      </c>
      <c r="P84" s="1981">
        <v>80078.525709999987</v>
      </c>
      <c r="Q84" s="1981">
        <v>80078.525709999987</v>
      </c>
      <c r="R84" s="1981">
        <v>80078.525709999987</v>
      </c>
      <c r="S84" s="1982">
        <v>80078.525709999973</v>
      </c>
      <c r="U84" s="47">
        <f t="shared" si="6"/>
        <v>80078.525709999973</v>
      </c>
      <c r="V84" s="48">
        <f t="shared" si="5"/>
        <v>0</v>
      </c>
    </row>
    <row r="85" spans="1:22">
      <c r="A85" s="33" t="str">
        <f t="shared" si="4"/>
        <v>108</v>
      </c>
      <c r="B85" s="33">
        <v>1080100</v>
      </c>
      <c r="D85" s="1962" t="s">
        <v>140</v>
      </c>
      <c r="E85" s="1962" t="s">
        <v>141</v>
      </c>
      <c r="F85" s="1981">
        <v>13287.324949999998</v>
      </c>
      <c r="G85" s="1981">
        <v>13265.179410000001</v>
      </c>
      <c r="H85" s="1981">
        <v>13243.07078</v>
      </c>
      <c r="I85" s="1981">
        <v>13220.999</v>
      </c>
      <c r="J85" s="1981">
        <v>13198.964</v>
      </c>
      <c r="K85" s="1981">
        <v>13176.96573</v>
      </c>
      <c r="L85" s="1981">
        <v>13155.00412</v>
      </c>
      <c r="M85" s="1981">
        <v>13133.079109999999</v>
      </c>
      <c r="N85" s="1981">
        <v>13111.190640000001</v>
      </c>
      <c r="O85" s="1981">
        <v>13089.338659999999</v>
      </c>
      <c r="P85" s="1981">
        <v>13067.5231</v>
      </c>
      <c r="Q85" s="1981">
        <v>13045.74389</v>
      </c>
      <c r="R85" s="1981">
        <v>13024.000980000001</v>
      </c>
      <c r="S85" s="1982">
        <v>13155.260336153846</v>
      </c>
      <c r="U85" s="47">
        <f t="shared" si="6"/>
        <v>13155.260336153846</v>
      </c>
      <c r="V85" s="48">
        <f t="shared" si="5"/>
        <v>0</v>
      </c>
    </row>
    <row r="86" spans="1:22">
      <c r="A86" s="33" t="str">
        <f t="shared" si="4"/>
        <v>108</v>
      </c>
      <c r="B86" s="33">
        <v>1080200</v>
      </c>
      <c r="D86" s="1962" t="s">
        <v>144</v>
      </c>
      <c r="E86" s="1962" t="s">
        <v>145</v>
      </c>
      <c r="F86" s="1981">
        <v>252459.17374999999</v>
      </c>
      <c r="G86" s="1981">
        <v>252038.40846000001</v>
      </c>
      <c r="H86" s="1981">
        <v>251618.34444999998</v>
      </c>
      <c r="I86" s="1981">
        <v>251198.98053999999</v>
      </c>
      <c r="J86" s="1981">
        <v>250780.31557000001</v>
      </c>
      <c r="K86" s="1981">
        <v>250362.34837999998</v>
      </c>
      <c r="L86" s="1981">
        <v>249945.0778</v>
      </c>
      <c r="M86" s="1981">
        <v>249528.50266999999</v>
      </c>
      <c r="N86" s="1981">
        <v>249112.62183000002</v>
      </c>
      <c r="O86" s="1981">
        <v>248697.43413000001</v>
      </c>
      <c r="P86" s="1981">
        <v>248282.93841</v>
      </c>
      <c r="Q86" s="1981">
        <v>247869.13350999999</v>
      </c>
      <c r="R86" s="1981">
        <v>247456.01828999998</v>
      </c>
      <c r="S86" s="1982">
        <v>249949.94598384618</v>
      </c>
      <c r="U86" s="47">
        <f t="shared" si="6"/>
        <v>249949.94598384618</v>
      </c>
      <c r="V86" s="48">
        <f t="shared" si="5"/>
        <v>0</v>
      </c>
    </row>
    <row r="87" spans="1:22">
      <c r="A87" s="33" t="str">
        <f t="shared" si="4"/>
        <v>111</v>
      </c>
      <c r="B87" s="33">
        <v>1110000</v>
      </c>
      <c r="D87" s="1962" t="s">
        <v>148</v>
      </c>
      <c r="E87" s="1962" t="s">
        <v>149</v>
      </c>
      <c r="F87" s="1981">
        <v>-176791.07329</v>
      </c>
      <c r="G87" s="1981">
        <v>-176207.75362999999</v>
      </c>
      <c r="H87" s="1981">
        <v>-179444.67559</v>
      </c>
      <c r="I87" s="1981">
        <v>-182683.91024</v>
      </c>
      <c r="J87" s="1981">
        <v>-185936.06591999999</v>
      </c>
      <c r="K87" s="1981">
        <v>-189133.20363999999</v>
      </c>
      <c r="L87" s="1981">
        <v>-192389.05481999999</v>
      </c>
      <c r="M87" s="1981">
        <v>-195326.72514</v>
      </c>
      <c r="N87" s="1981">
        <v>-198172.59103000001</v>
      </c>
      <c r="O87" s="1981">
        <v>-201428.78278000001</v>
      </c>
      <c r="P87" s="1981">
        <v>-204629.87408000001</v>
      </c>
      <c r="Q87" s="1981">
        <v>-208198.85363999999</v>
      </c>
      <c r="R87" s="1981">
        <v>-211782.12745</v>
      </c>
      <c r="S87" s="1982">
        <v>-192471.13009615385</v>
      </c>
      <c r="U87" s="47">
        <f t="shared" si="6"/>
        <v>-192471.13009615385</v>
      </c>
      <c r="V87" s="48">
        <f t="shared" si="5"/>
        <v>0</v>
      </c>
    </row>
    <row r="88" spans="1:22">
      <c r="A88" s="33" t="str">
        <f t="shared" si="4"/>
        <v>115</v>
      </c>
      <c r="B88" s="33">
        <v>1150000</v>
      </c>
      <c r="D88" s="1962" t="s">
        <v>152</v>
      </c>
      <c r="E88" s="1962" t="s">
        <v>153</v>
      </c>
      <c r="F88" s="1981">
        <v>-6883.3661700000002</v>
      </c>
      <c r="G88" s="1981">
        <v>-6903.0919000000004</v>
      </c>
      <c r="H88" s="1981">
        <v>-6922.8176299999996</v>
      </c>
      <c r="I88" s="1981">
        <v>-6942.5433600000006</v>
      </c>
      <c r="J88" s="1981">
        <v>-6962.2690899999998</v>
      </c>
      <c r="K88" s="1981">
        <v>-6981.9948199999999</v>
      </c>
      <c r="L88" s="1981">
        <v>-7001.72055</v>
      </c>
      <c r="M88" s="1981">
        <v>-7021.4462800000001</v>
      </c>
      <c r="N88" s="1981">
        <v>-7041.1720100000002</v>
      </c>
      <c r="O88" s="1981">
        <v>-7060.8977400000003</v>
      </c>
      <c r="P88" s="1981">
        <v>-7080.6234699999995</v>
      </c>
      <c r="Q88" s="1981">
        <v>-7100.3492000000006</v>
      </c>
      <c r="R88" s="1981">
        <v>-7120.0749299999998</v>
      </c>
      <c r="S88" s="1982">
        <v>-7001.7205499999991</v>
      </c>
      <c r="U88" s="47">
        <f t="shared" si="6"/>
        <v>-7001.7205499999991</v>
      </c>
      <c r="V88" s="48">
        <f t="shared" si="5"/>
        <v>0</v>
      </c>
    </row>
    <row r="89" spans="1:22">
      <c r="A89" s="33" t="str">
        <f t="shared" si="4"/>
        <v>122</v>
      </c>
      <c r="B89" s="33">
        <v>1220000</v>
      </c>
      <c r="D89" s="1962" t="s">
        <v>156</v>
      </c>
      <c r="E89" s="1962" t="s">
        <v>157</v>
      </c>
      <c r="F89" s="1981">
        <v>-7869.60088</v>
      </c>
      <c r="G89" s="1981">
        <v>-7928.8322099999996</v>
      </c>
      <c r="H89" s="1981">
        <v>-7994.6067699999994</v>
      </c>
      <c r="I89" s="1981">
        <v>-8059.4422699999996</v>
      </c>
      <c r="J89" s="1981">
        <v>-8125.4136600000002</v>
      </c>
      <c r="K89" s="1981">
        <v>-8176.9477300000008</v>
      </c>
      <c r="L89" s="1981">
        <v>-8237.5848999999998</v>
      </c>
      <c r="M89" s="1981">
        <v>-8189.7331299999996</v>
      </c>
      <c r="N89" s="1981">
        <v>-8191.3242699999992</v>
      </c>
      <c r="O89" s="1981">
        <v>-8238.8551299999999</v>
      </c>
      <c r="P89" s="1981">
        <v>-8259.9685800000007</v>
      </c>
      <c r="Q89" s="1981">
        <v>-8344.8840899999996</v>
      </c>
      <c r="R89" s="1981">
        <v>-8408.9433000000008</v>
      </c>
      <c r="S89" s="1982">
        <v>-8155.8566861538466</v>
      </c>
      <c r="U89" s="47">
        <f t="shared" si="6"/>
        <v>-8155.8566861538466</v>
      </c>
      <c r="V89" s="48">
        <f t="shared" si="5"/>
        <v>0</v>
      </c>
    </row>
    <row r="90" spans="1:22">
      <c r="A90" s="33" t="str">
        <f t="shared" si="4"/>
        <v>190</v>
      </c>
      <c r="B90" s="33">
        <v>1900300</v>
      </c>
      <c r="D90" s="1962" t="s">
        <v>286</v>
      </c>
      <c r="E90" s="1962" t="s">
        <v>287</v>
      </c>
      <c r="F90" s="1981">
        <v>104855.04401000001</v>
      </c>
      <c r="G90" s="1981">
        <v>105864.30051</v>
      </c>
      <c r="H90" s="1981">
        <v>106795.40009000001</v>
      </c>
      <c r="I90" s="1981">
        <v>107773.81843000001</v>
      </c>
      <c r="J90" s="1981">
        <v>108768.22235</v>
      </c>
      <c r="K90" s="1981">
        <v>109752.8129</v>
      </c>
      <c r="L90" s="1981">
        <v>110688.02314</v>
      </c>
      <c r="M90" s="1981">
        <v>111507.36756999999</v>
      </c>
      <c r="N90" s="1981">
        <v>112561.40786000001</v>
      </c>
      <c r="O90" s="1981">
        <v>113476.08368000001</v>
      </c>
      <c r="P90" s="1981">
        <v>114742.35854999999</v>
      </c>
      <c r="Q90" s="1981">
        <v>115963.75809</v>
      </c>
      <c r="R90" s="1981">
        <v>117167.05604000001</v>
      </c>
      <c r="S90" s="1982">
        <v>110762.74255538461</v>
      </c>
      <c r="U90" s="47">
        <f t="shared" si="6"/>
        <v>110762.74255538461</v>
      </c>
      <c r="V90" s="48">
        <f t="shared" si="5"/>
        <v>0</v>
      </c>
    </row>
    <row r="91" spans="1:22">
      <c r="A91" s="33" t="str">
        <f t="shared" si="4"/>
        <v>190</v>
      </c>
      <c r="B91" s="33">
        <v>1900303</v>
      </c>
      <c r="D91" s="1962" t="s">
        <v>288</v>
      </c>
      <c r="E91" s="1962" t="s">
        <v>289</v>
      </c>
      <c r="F91" s="1981">
        <v>110743.46234</v>
      </c>
      <c r="G91" s="1981">
        <v>110743.46234</v>
      </c>
      <c r="H91" s="1981">
        <v>110743.46234</v>
      </c>
      <c r="I91" s="1981">
        <v>109830.92393</v>
      </c>
      <c r="J91" s="1981">
        <v>109830.92393</v>
      </c>
      <c r="K91" s="1981">
        <v>109830.92393</v>
      </c>
      <c r="L91" s="1981">
        <v>108918.38552</v>
      </c>
      <c r="M91" s="1981">
        <v>108918.38552</v>
      </c>
      <c r="N91" s="1981">
        <v>108918.38552</v>
      </c>
      <c r="O91" s="1981">
        <v>108005.84711</v>
      </c>
      <c r="P91" s="1981">
        <v>108005.84711</v>
      </c>
      <c r="Q91" s="1981">
        <v>108005.84711</v>
      </c>
      <c r="R91" s="1981">
        <v>107093.30870000001</v>
      </c>
      <c r="S91" s="1982">
        <v>109199.16656923077</v>
      </c>
      <c r="U91" s="47">
        <f t="shared" si="6"/>
        <v>109199.16656923077</v>
      </c>
      <c r="V91" s="48">
        <f t="shared" si="5"/>
        <v>0</v>
      </c>
    </row>
    <row r="92" spans="1:22">
      <c r="A92" s="33" t="str">
        <f t="shared" si="4"/>
        <v>190</v>
      </c>
      <c r="B92" s="33">
        <v>1900305</v>
      </c>
      <c r="D92" s="1962" t="s">
        <v>290</v>
      </c>
      <c r="E92" s="1962" t="s">
        <v>291</v>
      </c>
      <c r="F92" s="1981">
        <v>-18.808509999999998</v>
      </c>
      <c r="G92" s="1981">
        <v>-18.808509999999998</v>
      </c>
      <c r="H92" s="1981">
        <v>-18.808509999999998</v>
      </c>
      <c r="I92" s="1981">
        <v>-18.808509999999998</v>
      </c>
      <c r="J92" s="1981">
        <v>-18.808509999999998</v>
      </c>
      <c r="K92" s="1981">
        <v>-18.808509999999998</v>
      </c>
      <c r="L92" s="1981">
        <v>-18.808509999999998</v>
      </c>
      <c r="M92" s="1981">
        <v>-18.808509999999998</v>
      </c>
      <c r="N92" s="1981">
        <v>-18.808509999999998</v>
      </c>
      <c r="O92" s="1981">
        <v>-18.808509999999998</v>
      </c>
      <c r="P92" s="1981">
        <v>-18.808509999999998</v>
      </c>
      <c r="Q92" s="1981">
        <v>-18.808509999999998</v>
      </c>
      <c r="R92" s="1981">
        <v>-18.808509999999998</v>
      </c>
      <c r="S92" s="1982">
        <v>-18.808510000000005</v>
      </c>
      <c r="U92" s="47">
        <f t="shared" si="6"/>
        <v>-18.808510000000005</v>
      </c>
      <c r="V92" s="48">
        <f t="shared" si="5"/>
        <v>0</v>
      </c>
    </row>
    <row r="93" spans="1:22">
      <c r="A93" s="33" t="str">
        <f t="shared" si="4"/>
        <v>190</v>
      </c>
      <c r="B93" s="33">
        <v>1900306</v>
      </c>
      <c r="D93" s="1962" t="s">
        <v>292</v>
      </c>
      <c r="E93" s="1962" t="s">
        <v>293</v>
      </c>
      <c r="F93" s="1981">
        <v>1926.5080399999999</v>
      </c>
      <c r="G93" s="1981">
        <v>1926.5080399999999</v>
      </c>
      <c r="H93" s="1981">
        <v>1926.5080399999999</v>
      </c>
      <c r="I93" s="1981">
        <v>1926.5080399999999</v>
      </c>
      <c r="J93" s="1981">
        <v>1926.5080399999999</v>
      </c>
      <c r="K93" s="1981">
        <v>1926.5080399999999</v>
      </c>
      <c r="L93" s="1981">
        <v>1926.5080399999999</v>
      </c>
      <c r="M93" s="1981">
        <v>1926.5080399999999</v>
      </c>
      <c r="N93" s="1981">
        <v>1926.5080399999999</v>
      </c>
      <c r="O93" s="1981">
        <v>1926.5080399999999</v>
      </c>
      <c r="P93" s="1981">
        <v>1926.5080399999999</v>
      </c>
      <c r="Q93" s="1981">
        <v>1926.5080399999999</v>
      </c>
      <c r="R93" s="1981">
        <v>1926.5080399999999</v>
      </c>
      <c r="S93" s="1982">
        <v>1926.5080400000004</v>
      </c>
      <c r="U93" s="47">
        <f t="shared" si="6"/>
        <v>1926.5080400000004</v>
      </c>
      <c r="V93" s="48">
        <f t="shared" si="5"/>
        <v>0</v>
      </c>
    </row>
    <row r="94" spans="1:22">
      <c r="A94" s="33" t="str">
        <f t="shared" si="4"/>
        <v>190</v>
      </c>
      <c r="B94" s="33">
        <v>1900307</v>
      </c>
      <c r="D94" s="1962" t="s">
        <v>294</v>
      </c>
      <c r="E94" s="1962" t="s">
        <v>295</v>
      </c>
      <c r="F94" s="1981">
        <v>1091.8278500000001</v>
      </c>
      <c r="G94" s="1981">
        <v>1115.6613</v>
      </c>
      <c r="H94" s="1981">
        <v>1113.4946200000002</v>
      </c>
      <c r="I94" s="1981">
        <v>1111.3279399999999</v>
      </c>
      <c r="J94" s="1981">
        <v>1109.1612700000001</v>
      </c>
      <c r="K94" s="1981">
        <v>1106.99459</v>
      </c>
      <c r="L94" s="1981">
        <v>1104.82791</v>
      </c>
      <c r="M94" s="1981">
        <v>1102.6612399999999</v>
      </c>
      <c r="N94" s="1981">
        <v>1100.4945600000001</v>
      </c>
      <c r="O94" s="1981">
        <v>1098.3278799999998</v>
      </c>
      <c r="P94" s="1981">
        <v>1096.1612</v>
      </c>
      <c r="Q94" s="1981">
        <v>1093.9945299999999</v>
      </c>
      <c r="R94" s="1981">
        <v>1091.8278500000001</v>
      </c>
      <c r="S94" s="1982">
        <v>1102.8279030769231</v>
      </c>
      <c r="U94" s="47">
        <f t="shared" si="6"/>
        <v>1102.8279030769231</v>
      </c>
      <c r="V94" s="48">
        <f t="shared" si="5"/>
        <v>0</v>
      </c>
    </row>
    <row r="95" spans="1:22">
      <c r="A95" s="33" t="str">
        <f t="shared" si="4"/>
        <v>190</v>
      </c>
      <c r="B95" s="33">
        <v>1900308</v>
      </c>
      <c r="D95" s="1962" t="s">
        <v>296</v>
      </c>
      <c r="E95" s="1962" t="s">
        <v>297</v>
      </c>
      <c r="F95" s="1981">
        <v>79139.92876000001</v>
      </c>
      <c r="G95" s="1981">
        <v>79139.92876000001</v>
      </c>
      <c r="H95" s="1981">
        <v>79139.92876000001</v>
      </c>
      <c r="I95" s="1981">
        <v>79139.92876000001</v>
      </c>
      <c r="J95" s="1981">
        <v>79139.92876000001</v>
      </c>
      <c r="K95" s="1981">
        <v>79139.92876000001</v>
      </c>
      <c r="L95" s="1981">
        <v>79139.92876000001</v>
      </c>
      <c r="M95" s="1981">
        <v>79139.92876000001</v>
      </c>
      <c r="N95" s="1981">
        <v>79139.92876000001</v>
      </c>
      <c r="O95" s="1981">
        <v>79139.92876000001</v>
      </c>
      <c r="P95" s="1981">
        <v>79139.92876000001</v>
      </c>
      <c r="Q95" s="1981">
        <v>79139.92876000001</v>
      </c>
      <c r="R95" s="1981">
        <v>79139.92876000001</v>
      </c>
      <c r="S95" s="1982">
        <v>79139.928760000024</v>
      </c>
      <c r="U95" s="47">
        <f t="shared" si="6"/>
        <v>79139.928760000024</v>
      </c>
      <c r="V95" s="48">
        <f t="shared" si="5"/>
        <v>0</v>
      </c>
    </row>
    <row r="96" spans="1:22">
      <c r="A96" s="33" t="str">
        <f t="shared" si="4"/>
        <v>190</v>
      </c>
      <c r="B96" s="33">
        <v>1900310</v>
      </c>
      <c r="D96" s="1962" t="s">
        <v>298</v>
      </c>
      <c r="E96" s="1962" t="s">
        <v>299</v>
      </c>
      <c r="F96" s="1981">
        <v>300305.65870999999</v>
      </c>
      <c r="G96" s="1981">
        <v>300305.65870999999</v>
      </c>
      <c r="H96" s="1981">
        <v>315518.35871</v>
      </c>
      <c r="I96" s="1981">
        <v>315968.35871</v>
      </c>
      <c r="J96" s="1981">
        <v>341615.42770999996</v>
      </c>
      <c r="K96" s="1981">
        <v>341615.42770999996</v>
      </c>
      <c r="L96" s="1981">
        <v>342065.42770999996</v>
      </c>
      <c r="M96" s="1981">
        <v>342065.42770999996</v>
      </c>
      <c r="N96" s="1981">
        <v>342065.42770999996</v>
      </c>
      <c r="O96" s="1981">
        <v>342515.42770999996</v>
      </c>
      <c r="P96" s="1981">
        <v>342515.42770999996</v>
      </c>
      <c r="Q96" s="1981">
        <v>342515.42770999996</v>
      </c>
      <c r="R96" s="1981">
        <v>344415.82470999996</v>
      </c>
      <c r="S96" s="1982">
        <v>331806.7139407692</v>
      </c>
      <c r="U96" s="47">
        <f t="shared" si="6"/>
        <v>331806.7139407692</v>
      </c>
      <c r="V96" s="48">
        <f t="shared" si="5"/>
        <v>0</v>
      </c>
    </row>
    <row r="97" spans="1:22">
      <c r="A97" s="33" t="str">
        <f t="shared" si="4"/>
        <v>190</v>
      </c>
      <c r="B97" s="33">
        <v>1900400</v>
      </c>
      <c r="D97" s="1962" t="s">
        <v>300</v>
      </c>
      <c r="E97" s="1962" t="s">
        <v>301</v>
      </c>
      <c r="F97" s="1981">
        <v>23825.815280000003</v>
      </c>
      <c r="G97" s="1981">
        <v>24026.837680000001</v>
      </c>
      <c r="H97" s="1981">
        <v>24206.19903</v>
      </c>
      <c r="I97" s="1981">
        <v>24398.6747</v>
      </c>
      <c r="J97" s="1981">
        <v>24595.580730000001</v>
      </c>
      <c r="K97" s="1981">
        <v>24789.767</v>
      </c>
      <c r="L97" s="1981">
        <v>24970.267629999998</v>
      </c>
      <c r="M97" s="1981">
        <v>25118.656300000002</v>
      </c>
      <c r="N97" s="1981">
        <v>25332.09042</v>
      </c>
      <c r="O97" s="1981">
        <v>25506.899980000002</v>
      </c>
      <c r="P97" s="1981">
        <v>25779.154469999998</v>
      </c>
      <c r="Q97" s="1981">
        <v>26038.971870000001</v>
      </c>
      <c r="R97" s="1981">
        <v>26293.772440000001</v>
      </c>
      <c r="S97" s="1982">
        <v>24990.975963846155</v>
      </c>
      <c r="U97" s="47">
        <f t="shared" si="6"/>
        <v>24990.975963846155</v>
      </c>
      <c r="V97" s="48">
        <f t="shared" si="5"/>
        <v>0</v>
      </c>
    </row>
    <row r="98" spans="1:22">
      <c r="A98" s="33" t="str">
        <f t="shared" si="4"/>
        <v>190</v>
      </c>
      <c r="B98" s="33">
        <v>1900403</v>
      </c>
      <c r="D98" s="1962" t="s">
        <v>302</v>
      </c>
      <c r="E98" s="1962" t="s">
        <v>303</v>
      </c>
      <c r="F98" s="1981">
        <v>16789.878239999998</v>
      </c>
      <c r="G98" s="1981">
        <v>16789.878239999998</v>
      </c>
      <c r="H98" s="1981">
        <v>16789.878239999998</v>
      </c>
      <c r="I98" s="1981">
        <v>16789.878239999998</v>
      </c>
      <c r="J98" s="1981">
        <v>16789.878239999998</v>
      </c>
      <c r="K98" s="1981">
        <v>16789.878239999998</v>
      </c>
      <c r="L98" s="1981">
        <v>16789.878239999998</v>
      </c>
      <c r="M98" s="1981">
        <v>16789.878239999998</v>
      </c>
      <c r="N98" s="1981">
        <v>16789.878239999998</v>
      </c>
      <c r="O98" s="1981">
        <v>16789.878239999998</v>
      </c>
      <c r="P98" s="1981">
        <v>16789.878239999998</v>
      </c>
      <c r="Q98" s="1981">
        <v>16789.878239999998</v>
      </c>
      <c r="R98" s="1981">
        <v>16789.878239999998</v>
      </c>
      <c r="S98" s="1982">
        <v>16789.878239999995</v>
      </c>
      <c r="U98" s="47">
        <f t="shared" si="6"/>
        <v>16789.878239999995</v>
      </c>
      <c r="V98" s="48">
        <f t="shared" si="5"/>
        <v>0</v>
      </c>
    </row>
    <row r="99" spans="1:22">
      <c r="A99" s="33" t="str">
        <f t="shared" si="4"/>
        <v>190</v>
      </c>
      <c r="B99" s="33">
        <v>1900405</v>
      </c>
      <c r="D99" s="1962" t="s">
        <v>304</v>
      </c>
      <c r="E99" s="1962" t="s">
        <v>305</v>
      </c>
      <c r="F99" s="1981">
        <v>-5.2109199999999998</v>
      </c>
      <c r="G99" s="1981">
        <v>-5.2109199999999998</v>
      </c>
      <c r="H99" s="1981">
        <v>-5.2109199999999998</v>
      </c>
      <c r="I99" s="1981">
        <v>-5.2109199999999998</v>
      </c>
      <c r="J99" s="1981">
        <v>-5.2109199999999998</v>
      </c>
      <c r="K99" s="1981">
        <v>-5.2109199999999998</v>
      </c>
      <c r="L99" s="1981">
        <v>-5.2109199999999998</v>
      </c>
      <c r="M99" s="1981">
        <v>-5.2109199999999998</v>
      </c>
      <c r="N99" s="1981">
        <v>-5.2109199999999998</v>
      </c>
      <c r="O99" s="1981">
        <v>-5.2109199999999998</v>
      </c>
      <c r="P99" s="1981">
        <v>-5.2109199999999998</v>
      </c>
      <c r="Q99" s="1981">
        <v>-5.2109199999999998</v>
      </c>
      <c r="R99" s="1981">
        <v>-5.2109199999999998</v>
      </c>
      <c r="S99" s="1982">
        <v>-5.2109200000000007</v>
      </c>
      <c r="U99" s="47">
        <f t="shared" si="6"/>
        <v>-5.2109200000000007</v>
      </c>
      <c r="V99" s="48">
        <f t="shared" si="5"/>
        <v>0</v>
      </c>
    </row>
    <row r="100" spans="1:22">
      <c r="A100" s="33" t="str">
        <f t="shared" si="4"/>
        <v>190</v>
      </c>
      <c r="B100" s="33">
        <v>1900406</v>
      </c>
      <c r="D100" s="1962" t="s">
        <v>306</v>
      </c>
      <c r="E100" s="1962" t="s">
        <v>307</v>
      </c>
      <c r="F100" s="1981">
        <v>2.0000000000000001E-4</v>
      </c>
      <c r="G100" s="1981">
        <v>2.0000000000000001E-4</v>
      </c>
      <c r="H100" s="1981">
        <v>2.0000000000000001E-4</v>
      </c>
      <c r="I100" s="1981">
        <v>2.0000000000000001E-4</v>
      </c>
      <c r="J100" s="1981">
        <v>2.0000000000000001E-4</v>
      </c>
      <c r="K100" s="1981">
        <v>2.0000000000000001E-4</v>
      </c>
      <c r="L100" s="1981">
        <v>2.0000000000000001E-4</v>
      </c>
      <c r="M100" s="1981">
        <v>2.0000000000000001E-4</v>
      </c>
      <c r="N100" s="1981">
        <v>2.0000000000000001E-4</v>
      </c>
      <c r="O100" s="1981">
        <v>2.0000000000000001E-4</v>
      </c>
      <c r="P100" s="1981">
        <v>2.0000000000000001E-4</v>
      </c>
      <c r="Q100" s="1981">
        <v>2.0000000000000001E-4</v>
      </c>
      <c r="R100" s="1981">
        <v>2.0000000000000001E-4</v>
      </c>
      <c r="S100" s="1982">
        <v>2.0000000000000006E-4</v>
      </c>
      <c r="U100" s="47">
        <f t="shared" si="6"/>
        <v>2.0000000000000006E-4</v>
      </c>
      <c r="V100" s="48">
        <f t="shared" si="5"/>
        <v>0</v>
      </c>
    </row>
    <row r="101" spans="1:22">
      <c r="A101" s="33" t="str">
        <f t="shared" si="4"/>
        <v>190</v>
      </c>
      <c r="B101" s="33">
        <v>1900407</v>
      </c>
      <c r="D101" s="1962" t="s">
        <v>308</v>
      </c>
      <c r="E101" s="1962" t="s">
        <v>309</v>
      </c>
      <c r="F101" s="1981">
        <v>136.09512999969999</v>
      </c>
      <c r="G101" s="1981">
        <v>142.70051999959998</v>
      </c>
      <c r="H101" s="1981">
        <v>142.1000299996</v>
      </c>
      <c r="I101" s="1981">
        <v>141.49953999960002</v>
      </c>
      <c r="J101" s="1981">
        <v>140.89904999960001</v>
      </c>
      <c r="K101" s="1981">
        <v>140.29855999969999</v>
      </c>
      <c r="L101" s="1981">
        <v>139.69806999970001</v>
      </c>
      <c r="M101" s="1981">
        <v>139.0975799997</v>
      </c>
      <c r="N101" s="1981">
        <v>138.49708999969999</v>
      </c>
      <c r="O101" s="1981">
        <v>137.89659999970002</v>
      </c>
      <c r="P101" s="1981">
        <v>137.29610999970001</v>
      </c>
      <c r="Q101" s="1981">
        <v>136.6956199997</v>
      </c>
      <c r="R101" s="1981">
        <v>136.09512999969999</v>
      </c>
      <c r="S101" s="1982">
        <v>139.14377153813078</v>
      </c>
      <c r="U101" s="47">
        <f t="shared" si="6"/>
        <v>139.14377153813078</v>
      </c>
      <c r="V101" s="48">
        <f t="shared" si="5"/>
        <v>0</v>
      </c>
    </row>
    <row r="102" spans="1:22">
      <c r="A102" s="33" t="str">
        <f t="shared" si="4"/>
        <v>190</v>
      </c>
      <c r="B102" s="33">
        <v>1900408</v>
      </c>
      <c r="D102" s="1962" t="s">
        <v>310</v>
      </c>
      <c r="E102" s="1962" t="s">
        <v>311</v>
      </c>
      <c r="F102" s="1981">
        <v>12997.895699999999</v>
      </c>
      <c r="G102" s="1981">
        <v>12997.895699999999</v>
      </c>
      <c r="H102" s="1981">
        <v>12997.895699999999</v>
      </c>
      <c r="I102" s="1981">
        <v>12997.895699999999</v>
      </c>
      <c r="J102" s="1981">
        <v>12997.895699999999</v>
      </c>
      <c r="K102" s="1981">
        <v>12997.895699999999</v>
      </c>
      <c r="L102" s="1981">
        <v>12997.895699999999</v>
      </c>
      <c r="M102" s="1981">
        <v>12997.895699999999</v>
      </c>
      <c r="N102" s="1981">
        <v>12997.895699999999</v>
      </c>
      <c r="O102" s="1981">
        <v>12997.895699999999</v>
      </c>
      <c r="P102" s="1981">
        <v>12997.895699999999</v>
      </c>
      <c r="Q102" s="1981">
        <v>12997.895699999999</v>
      </c>
      <c r="R102" s="1981">
        <v>12997.895699999999</v>
      </c>
      <c r="S102" s="1982">
        <v>12997.895699999995</v>
      </c>
      <c r="U102" s="47">
        <f t="shared" si="6"/>
        <v>12997.895699999995</v>
      </c>
      <c r="V102" s="48">
        <f t="shared" si="5"/>
        <v>0</v>
      </c>
    </row>
    <row r="103" spans="1:22">
      <c r="A103" s="33" t="str">
        <f t="shared" si="4"/>
        <v>190</v>
      </c>
      <c r="B103" s="33">
        <v>1900315</v>
      </c>
      <c r="D103" s="1962" t="s">
        <v>7160</v>
      </c>
      <c r="E103" s="1962" t="s">
        <v>7161</v>
      </c>
      <c r="F103" s="1981">
        <v>50210.370320000002</v>
      </c>
      <c r="G103" s="1981">
        <v>52342.766320000002</v>
      </c>
      <c r="H103" s="1981">
        <v>54773.39832</v>
      </c>
      <c r="I103" s="1981">
        <v>57583.68432</v>
      </c>
      <c r="J103" s="1981">
        <v>61278.525320000001</v>
      </c>
      <c r="K103" s="1981">
        <v>65378.705320000001</v>
      </c>
      <c r="L103" s="1981">
        <v>68929.648319999993</v>
      </c>
      <c r="M103" s="1981">
        <v>72306.716319999992</v>
      </c>
      <c r="N103" s="1981">
        <v>75580.690319999994</v>
      </c>
      <c r="O103" s="1981">
        <v>78467.048319999987</v>
      </c>
      <c r="P103" s="1981">
        <v>81276.961319999988</v>
      </c>
      <c r="Q103" s="1981">
        <v>83434.076319999993</v>
      </c>
      <c r="R103" s="1981">
        <v>85598.174319999991</v>
      </c>
      <c r="S103" s="1982">
        <v>68243.135781538454</v>
      </c>
      <c r="U103" s="47">
        <f t="shared" si="6"/>
        <v>68243.135781538454</v>
      </c>
      <c r="V103" s="48">
        <f t="shared" si="5"/>
        <v>0</v>
      </c>
    </row>
    <row r="104" spans="1:22">
      <c r="A104" s="33" t="str">
        <f t="shared" si="4"/>
        <v>182</v>
      </c>
      <c r="B104" s="33">
        <v>1823200</v>
      </c>
      <c r="D104" s="1962" t="s">
        <v>256</v>
      </c>
      <c r="E104" s="1962" t="s">
        <v>257</v>
      </c>
      <c r="F104" s="1981">
        <v>236366.50700000001</v>
      </c>
      <c r="G104" s="1981">
        <v>236366.50700000001</v>
      </c>
      <c r="H104" s="1981">
        <v>236366.50700000001</v>
      </c>
      <c r="I104" s="1981">
        <v>236366.50700000001</v>
      </c>
      <c r="J104" s="1981">
        <v>236366.50700000001</v>
      </c>
      <c r="K104" s="1981">
        <v>236366.50700000001</v>
      </c>
      <c r="L104" s="1981">
        <v>236366.50700000001</v>
      </c>
      <c r="M104" s="1981">
        <v>236366.50700000001</v>
      </c>
      <c r="N104" s="1981">
        <v>236366.50700000001</v>
      </c>
      <c r="O104" s="1981">
        <v>236366.50700000001</v>
      </c>
      <c r="P104" s="1981">
        <v>236366.50700000001</v>
      </c>
      <c r="Q104" s="1981">
        <v>236366.50700000001</v>
      </c>
      <c r="R104" s="1981">
        <v>236366.50700000001</v>
      </c>
      <c r="S104" s="1982">
        <v>236366.50700000007</v>
      </c>
      <c r="U104" s="47">
        <f t="shared" si="6"/>
        <v>236366.50700000007</v>
      </c>
      <c r="V104" s="48">
        <f t="shared" si="5"/>
        <v>0</v>
      </c>
    </row>
    <row r="105" spans="1:22">
      <c r="A105" s="33" t="str">
        <f t="shared" si="4"/>
        <v>182</v>
      </c>
      <c r="B105" s="33">
        <v>1823201</v>
      </c>
      <c r="D105" s="1962" t="s">
        <v>258</v>
      </c>
      <c r="E105" s="1962" t="s">
        <v>259</v>
      </c>
      <c r="F105" s="1981">
        <v>-41.134569999999997</v>
      </c>
      <c r="G105" s="1981">
        <v>-41.134569999999997</v>
      </c>
      <c r="H105" s="1981">
        <v>-41.134569999999997</v>
      </c>
      <c r="I105" s="1981">
        <v>-41.134569999999997</v>
      </c>
      <c r="J105" s="1981">
        <v>-41.134569999999997</v>
      </c>
      <c r="K105" s="1981">
        <v>-41.134569999999997</v>
      </c>
      <c r="L105" s="1981">
        <v>-41.134569999999997</v>
      </c>
      <c r="M105" s="1981">
        <v>-41.134569999999997</v>
      </c>
      <c r="N105" s="1981">
        <v>-41.134569999999997</v>
      </c>
      <c r="O105" s="1981">
        <v>-41.134569999999997</v>
      </c>
      <c r="P105" s="1981">
        <v>-41.134569999999997</v>
      </c>
      <c r="Q105" s="1981">
        <v>-41.134569999999997</v>
      </c>
      <c r="R105" s="1981">
        <v>-41.134569999999997</v>
      </c>
      <c r="S105" s="1982">
        <v>-41.134569999999989</v>
      </c>
      <c r="U105" s="47">
        <f t="shared" si="6"/>
        <v>-41.134569999999989</v>
      </c>
      <c r="V105" s="48">
        <f t="shared" si="5"/>
        <v>0</v>
      </c>
    </row>
    <row r="106" spans="1:22">
      <c r="A106" s="33" t="str">
        <f t="shared" si="4"/>
        <v>182</v>
      </c>
      <c r="B106" s="33">
        <v>1823202</v>
      </c>
      <c r="D106" s="1962" t="s">
        <v>260</v>
      </c>
      <c r="E106" s="1962" t="s">
        <v>261</v>
      </c>
      <c r="F106" s="1981">
        <v>0</v>
      </c>
      <c r="G106" s="1981">
        <v>1308.1952777778001</v>
      </c>
      <c r="H106" s="1981">
        <v>1251.3172222221999</v>
      </c>
      <c r="I106" s="1981">
        <v>1194.4391666667</v>
      </c>
      <c r="J106" s="1981">
        <v>1137.5611111111</v>
      </c>
      <c r="K106" s="1981">
        <v>1080.6830555556</v>
      </c>
      <c r="L106" s="1981">
        <v>1023.8049999999999</v>
      </c>
      <c r="M106" s="1981">
        <v>966.92694444440008</v>
      </c>
      <c r="N106" s="1981">
        <v>910.04888888890002</v>
      </c>
      <c r="O106" s="1981">
        <v>853.17083333329992</v>
      </c>
      <c r="P106" s="1981">
        <v>796.29277777779998</v>
      </c>
      <c r="Q106" s="1981">
        <v>739.4147222222</v>
      </c>
      <c r="R106" s="1981">
        <v>682.53666666670006</v>
      </c>
      <c r="S106" s="1982">
        <v>918.79935897436144</v>
      </c>
      <c r="U106" s="47">
        <f t="shared" si="6"/>
        <v>918.79935897436144</v>
      </c>
      <c r="V106" s="48">
        <f t="shared" si="5"/>
        <v>0</v>
      </c>
    </row>
    <row r="107" spans="1:22">
      <c r="A107" s="33" t="str">
        <f t="shared" si="4"/>
        <v>182</v>
      </c>
      <c r="B107" s="33">
        <v>1823204</v>
      </c>
      <c r="D107" s="1962" t="s">
        <v>262</v>
      </c>
      <c r="E107" s="1962" t="s">
        <v>263</v>
      </c>
      <c r="F107" s="1981">
        <v>13874.211730000001</v>
      </c>
      <c r="G107" s="1981">
        <v>14072.458779999999</v>
      </c>
      <c r="H107" s="1981">
        <v>14271.292449999999</v>
      </c>
      <c r="I107" s="1981">
        <v>14470.715189999999</v>
      </c>
      <c r="J107" s="1981">
        <v>14670.729449999999</v>
      </c>
      <c r="K107" s="1981">
        <v>14871.33769</v>
      </c>
      <c r="L107" s="1981">
        <v>15072.5424</v>
      </c>
      <c r="M107" s="1981">
        <v>15274.34605</v>
      </c>
      <c r="N107" s="1981">
        <v>15476.75114</v>
      </c>
      <c r="O107" s="1981">
        <v>15679.760179999999</v>
      </c>
      <c r="P107" s="1981">
        <v>15883.375689999999</v>
      </c>
      <c r="Q107" s="1981">
        <v>16087.600189999999</v>
      </c>
      <c r="R107" s="1981">
        <v>16292.436220000001</v>
      </c>
      <c r="S107" s="1982">
        <v>15076.735166153845</v>
      </c>
      <c r="U107" s="47">
        <f t="shared" si="6"/>
        <v>15076.735166153845</v>
      </c>
      <c r="V107" s="48">
        <f t="shared" si="5"/>
        <v>0</v>
      </c>
    </row>
    <row r="108" spans="1:22">
      <c r="A108" s="33" t="str">
        <f t="shared" si="4"/>
        <v>182</v>
      </c>
      <c r="B108" s="33">
        <v>1823322</v>
      </c>
      <c r="D108" s="1962" t="s">
        <v>266</v>
      </c>
      <c r="E108" s="1962" t="s">
        <v>267</v>
      </c>
      <c r="F108" s="1981">
        <v>1771.915</v>
      </c>
      <c r="G108" s="1981">
        <v>1783.1510000000001</v>
      </c>
      <c r="H108" s="1981">
        <v>1794.057</v>
      </c>
      <c r="I108" s="1981">
        <v>1805.21</v>
      </c>
      <c r="J108" s="1981">
        <v>1816.059</v>
      </c>
      <c r="K108" s="1981">
        <v>1825.9010000000001</v>
      </c>
      <c r="L108" s="1981">
        <v>1834.7360000000001</v>
      </c>
      <c r="M108" s="1981">
        <v>1842.5640000000001</v>
      </c>
      <c r="N108" s="1981">
        <v>1849.5550000000001</v>
      </c>
      <c r="O108" s="1981">
        <v>1855.739</v>
      </c>
      <c r="P108" s="1981">
        <v>1860.96</v>
      </c>
      <c r="Q108" s="1981">
        <v>1865.2049999999999</v>
      </c>
      <c r="R108" s="1981">
        <v>1868.4590000000001</v>
      </c>
      <c r="S108" s="1982">
        <v>1828.7316153846155</v>
      </c>
      <c r="U108" s="47">
        <f t="shared" si="6"/>
        <v>1828.7316153846155</v>
      </c>
      <c r="V108" s="48">
        <f t="shared" si="5"/>
        <v>0</v>
      </c>
    </row>
    <row r="109" spans="1:22">
      <c r="A109" s="33" t="str">
        <f t="shared" si="4"/>
        <v>182</v>
      </c>
      <c r="B109" s="33">
        <v>1823324</v>
      </c>
      <c r="D109" s="1962" t="s">
        <v>268</v>
      </c>
      <c r="E109" s="1962" t="s">
        <v>269</v>
      </c>
      <c r="F109" s="1981">
        <v>0</v>
      </c>
      <c r="G109" s="1981">
        <v>0</v>
      </c>
      <c r="H109" s="1981">
        <v>0</v>
      </c>
      <c r="I109" s="1981">
        <v>0</v>
      </c>
      <c r="J109" s="1981">
        <v>0</v>
      </c>
      <c r="K109" s="1981">
        <v>0</v>
      </c>
      <c r="L109" s="1981">
        <v>0</v>
      </c>
      <c r="M109" s="1981">
        <v>0</v>
      </c>
      <c r="N109" s="1981">
        <v>0</v>
      </c>
      <c r="O109" s="1981">
        <v>0</v>
      </c>
      <c r="P109" s="1981">
        <v>0</v>
      </c>
      <c r="Q109" s="1981">
        <v>0</v>
      </c>
      <c r="R109" s="1981">
        <v>0</v>
      </c>
      <c r="S109" s="1982">
        <v>0</v>
      </c>
      <c r="U109" s="47">
        <f t="shared" si="6"/>
        <v>0</v>
      </c>
      <c r="V109" s="48">
        <f t="shared" si="5"/>
        <v>0</v>
      </c>
    </row>
    <row r="110" spans="1:22">
      <c r="A110" s="33" t="str">
        <f t="shared" si="4"/>
        <v>189</v>
      </c>
      <c r="B110" s="33">
        <v>1890200</v>
      </c>
      <c r="D110" s="1962" t="s">
        <v>284</v>
      </c>
      <c r="E110" s="1962" t="s">
        <v>285</v>
      </c>
      <c r="F110" s="1981">
        <v>2174.3921600000003</v>
      </c>
      <c r="G110" s="1981">
        <v>2503.0273500000003</v>
      </c>
      <c r="H110" s="1981">
        <v>2471.1807799999997</v>
      </c>
      <c r="I110" s="1981">
        <v>2439.33421</v>
      </c>
      <c r="J110" s="1981">
        <v>2407.4876400000003</v>
      </c>
      <c r="K110" s="1981">
        <v>2375.6410699999997</v>
      </c>
      <c r="L110" s="1981">
        <v>2343.7945</v>
      </c>
      <c r="M110" s="1981">
        <v>2311.9479300000003</v>
      </c>
      <c r="N110" s="1981">
        <v>2280.1013599999997</v>
      </c>
      <c r="O110" s="1981">
        <v>2253.6740600000003</v>
      </c>
      <c r="P110" s="1981">
        <v>2227.24676</v>
      </c>
      <c r="Q110" s="1981">
        <v>2200.8194600000002</v>
      </c>
      <c r="R110" s="1981">
        <v>2174.3921600000003</v>
      </c>
      <c r="S110" s="1982">
        <v>2320.2338030769229</v>
      </c>
      <c r="U110" s="47">
        <f t="shared" si="6"/>
        <v>2320.2338030769229</v>
      </c>
      <c r="V110" s="48">
        <f t="shared" si="5"/>
        <v>0</v>
      </c>
    </row>
    <row r="111" spans="1:22">
      <c r="A111" s="33" t="str">
        <f t="shared" si="4"/>
        <v>182</v>
      </c>
      <c r="B111" s="33">
        <v>1823206</v>
      </c>
      <c r="D111" s="1962" t="s">
        <v>264</v>
      </c>
      <c r="E111" s="1962" t="s">
        <v>265</v>
      </c>
      <c r="F111" s="1981">
        <v>2200</v>
      </c>
      <c r="G111" s="1981">
        <v>0</v>
      </c>
      <c r="H111" s="1981">
        <v>0</v>
      </c>
      <c r="I111" s="1981">
        <v>0</v>
      </c>
      <c r="J111" s="1981">
        <v>0</v>
      </c>
      <c r="K111" s="1981">
        <v>0</v>
      </c>
      <c r="L111" s="1981">
        <v>0</v>
      </c>
      <c r="M111" s="1981">
        <v>0</v>
      </c>
      <c r="N111" s="1981">
        <v>0</v>
      </c>
      <c r="O111" s="1981">
        <v>0</v>
      </c>
      <c r="P111" s="1981">
        <v>0</v>
      </c>
      <c r="Q111" s="1981">
        <v>0</v>
      </c>
      <c r="R111" s="1981">
        <v>0</v>
      </c>
      <c r="S111" s="1982">
        <v>169.23076923076923</v>
      </c>
      <c r="U111" s="47">
        <f t="shared" si="6"/>
        <v>169.23076923076923</v>
      </c>
      <c r="V111" s="48">
        <f t="shared" si="5"/>
        <v>0</v>
      </c>
    </row>
    <row r="112" spans="1:22">
      <c r="A112" s="33" t="str">
        <f t="shared" si="4"/>
        <v>182</v>
      </c>
      <c r="B112" s="33">
        <v>1822211</v>
      </c>
      <c r="D112" s="1962" t="s">
        <v>591</v>
      </c>
      <c r="E112" s="1962" t="s">
        <v>592</v>
      </c>
      <c r="F112" s="1981">
        <v>470804.89628333302</v>
      </c>
      <c r="G112" s="1981">
        <v>469273.96303811198</v>
      </c>
      <c r="H112" s="1981">
        <v>470321.320757746</v>
      </c>
      <c r="I112" s="1981">
        <v>471719.83150170202</v>
      </c>
      <c r="J112" s="1981">
        <v>472893.52740571398</v>
      </c>
      <c r="K112" s="1981">
        <v>473986.700263237</v>
      </c>
      <c r="L112" s="1981">
        <v>475118.05604869599</v>
      </c>
      <c r="M112" s="1981">
        <v>476469.27214416</v>
      </c>
      <c r="N112" s="1981">
        <v>478344.38018882298</v>
      </c>
      <c r="O112" s="1981">
        <v>479133.39855022199</v>
      </c>
      <c r="P112" s="1981">
        <v>480554.87708223896</v>
      </c>
      <c r="Q112" s="1981">
        <v>480508.39438684203</v>
      </c>
      <c r="R112" s="1981">
        <v>482479.88095454505</v>
      </c>
      <c r="S112" s="1982">
        <v>475508.34604656696</v>
      </c>
      <c r="U112" s="47">
        <f t="shared" si="6"/>
        <v>475508.34604656696</v>
      </c>
      <c r="V112" s="48">
        <f t="shared" si="5"/>
        <v>0</v>
      </c>
    </row>
    <row r="113" spans="1:22">
      <c r="A113" s="33" t="str">
        <f t="shared" si="4"/>
        <v>182</v>
      </c>
      <c r="B113" s="33">
        <v>1823220</v>
      </c>
      <c r="D113" s="1962" t="s">
        <v>7162</v>
      </c>
      <c r="E113" s="1962" t="s">
        <v>7163</v>
      </c>
      <c r="F113" s="1981">
        <v>0</v>
      </c>
      <c r="G113" s="1981">
        <v>0</v>
      </c>
      <c r="H113" s="1981">
        <v>0</v>
      </c>
      <c r="I113" s="1981">
        <v>0</v>
      </c>
      <c r="J113" s="1981">
        <v>0</v>
      </c>
      <c r="K113" s="1981">
        <v>0</v>
      </c>
      <c r="L113" s="1981">
        <v>0</v>
      </c>
      <c r="M113" s="1981">
        <v>0</v>
      </c>
      <c r="N113" s="1981">
        <v>0</v>
      </c>
      <c r="O113" s="1981">
        <v>0</v>
      </c>
      <c r="P113" s="1981">
        <v>0</v>
      </c>
      <c r="Q113" s="1981">
        <v>0</v>
      </c>
      <c r="R113" s="1981">
        <v>0</v>
      </c>
      <c r="S113" s="1982">
        <v>0</v>
      </c>
      <c r="U113" s="47">
        <f t="shared" si="6"/>
        <v>0</v>
      </c>
      <c r="V113" s="48">
        <f t="shared" si="5"/>
        <v>0</v>
      </c>
    </row>
    <row r="114" spans="1:22">
      <c r="A114" s="33" t="str">
        <f t="shared" si="4"/>
        <v>182</v>
      </c>
      <c r="B114" s="33">
        <v>1823610</v>
      </c>
      <c r="D114" s="1962" t="s">
        <v>270</v>
      </c>
      <c r="E114" s="1962" t="s">
        <v>271</v>
      </c>
      <c r="F114" s="1981">
        <v>117987.58408</v>
      </c>
      <c r="G114" s="1981">
        <v>118667.98992000001</v>
      </c>
      <c r="H114" s="1981">
        <v>122035.60358</v>
      </c>
      <c r="I114" s="1981">
        <v>122873.79601000001</v>
      </c>
      <c r="J114" s="1981">
        <v>128055.50658</v>
      </c>
      <c r="K114" s="1981">
        <v>128660.73722</v>
      </c>
      <c r="L114" s="1981">
        <v>128985.17848</v>
      </c>
      <c r="M114" s="1981">
        <v>129208.58441</v>
      </c>
      <c r="N114" s="1981">
        <v>129512.79351999999</v>
      </c>
      <c r="O114" s="1981">
        <v>129871.13397</v>
      </c>
      <c r="P114" s="1981">
        <v>130255.53947</v>
      </c>
      <c r="Q114" s="1981">
        <v>130660.0048</v>
      </c>
      <c r="R114" s="1981">
        <v>131185.92519000001</v>
      </c>
      <c r="S114" s="1982">
        <v>126766.18286384617</v>
      </c>
      <c r="U114" s="47">
        <f t="shared" si="6"/>
        <v>126766.18286384617</v>
      </c>
      <c r="V114" s="48">
        <f t="shared" si="5"/>
        <v>0</v>
      </c>
    </row>
    <row r="115" spans="1:22">
      <c r="A115" s="33" t="str">
        <f t="shared" si="4"/>
        <v>182</v>
      </c>
      <c r="B115" s="33">
        <v>1823611</v>
      </c>
      <c r="D115" s="1962" t="s">
        <v>272</v>
      </c>
      <c r="E115" s="1962" t="s">
        <v>273</v>
      </c>
      <c r="F115" s="1981">
        <v>961.66958999999997</v>
      </c>
      <c r="G115" s="1981">
        <v>961.66958999999997</v>
      </c>
      <c r="H115" s="1981">
        <v>961.66958999999997</v>
      </c>
      <c r="I115" s="1981">
        <v>961.66958999999997</v>
      </c>
      <c r="J115" s="1981">
        <v>961.66958999999997</v>
      </c>
      <c r="K115" s="1981">
        <v>961.66958999999997</v>
      </c>
      <c r="L115" s="1981">
        <v>961.66958999999997</v>
      </c>
      <c r="M115" s="1981">
        <v>961.66958999999997</v>
      </c>
      <c r="N115" s="1981">
        <v>961.66958999999997</v>
      </c>
      <c r="O115" s="1981">
        <v>961.66958999999997</v>
      </c>
      <c r="P115" s="1981">
        <v>961.66958999999997</v>
      </c>
      <c r="Q115" s="1981">
        <v>961.66958999999997</v>
      </c>
      <c r="R115" s="1981">
        <v>961.66958999999997</v>
      </c>
      <c r="S115" s="1982">
        <v>961.66958999999963</v>
      </c>
      <c r="U115" s="47">
        <f t="shared" si="6"/>
        <v>961.66958999999963</v>
      </c>
      <c r="V115" s="48">
        <f t="shared" si="5"/>
        <v>0</v>
      </c>
    </row>
    <row r="116" spans="1:22">
      <c r="A116" s="33" t="str">
        <f t="shared" si="4"/>
        <v>183</v>
      </c>
      <c r="B116" s="33">
        <v>1830000</v>
      </c>
      <c r="D116" s="1962" t="s">
        <v>274</v>
      </c>
      <c r="E116" s="1962" t="s">
        <v>275</v>
      </c>
      <c r="F116" s="1981">
        <v>14320.821550000001</v>
      </c>
      <c r="G116" s="1981">
        <v>6756.8215499999997</v>
      </c>
      <c r="H116" s="1981">
        <v>6803.8215499999997</v>
      </c>
      <c r="I116" s="1981">
        <v>6884.8215499999997</v>
      </c>
      <c r="J116" s="1981">
        <v>6952.8215499999997</v>
      </c>
      <c r="K116" s="1981">
        <v>6990.8215499999997</v>
      </c>
      <c r="L116" s="1981">
        <v>7028.8215499999997</v>
      </c>
      <c r="M116" s="1981">
        <v>7091.8215499999997</v>
      </c>
      <c r="N116" s="1981">
        <v>7129.8215499999997</v>
      </c>
      <c r="O116" s="1981">
        <v>3866.8215499999997</v>
      </c>
      <c r="P116" s="1981">
        <v>3904.8215499999997</v>
      </c>
      <c r="Q116" s="1981">
        <v>3942.8215499999997</v>
      </c>
      <c r="R116" s="1981">
        <v>3692.8215499999997</v>
      </c>
      <c r="S116" s="1982">
        <v>6566.744626923075</v>
      </c>
      <c r="U116" s="47">
        <f t="shared" si="6"/>
        <v>6566.744626923075</v>
      </c>
      <c r="V116" s="48">
        <f t="shared" si="5"/>
        <v>0</v>
      </c>
    </row>
    <row r="117" spans="1:22">
      <c r="A117" s="33" t="str">
        <f t="shared" si="4"/>
        <v>184</v>
      </c>
      <c r="B117" s="33">
        <v>1840010</v>
      </c>
      <c r="D117" s="1962" t="s">
        <v>276</v>
      </c>
      <c r="E117" s="1962" t="s">
        <v>277</v>
      </c>
      <c r="F117" s="1981">
        <v>0</v>
      </c>
      <c r="G117" s="1981">
        <v>0</v>
      </c>
      <c r="H117" s="1981">
        <v>0</v>
      </c>
      <c r="I117" s="1981">
        <v>0</v>
      </c>
      <c r="J117" s="1981">
        <v>0</v>
      </c>
      <c r="K117" s="1981">
        <v>0</v>
      </c>
      <c r="L117" s="1981">
        <v>0</v>
      </c>
      <c r="M117" s="1981">
        <v>0</v>
      </c>
      <c r="N117" s="1981">
        <v>0</v>
      </c>
      <c r="O117" s="1981">
        <v>0</v>
      </c>
      <c r="P117" s="1981">
        <v>0</v>
      </c>
      <c r="Q117" s="1981">
        <v>0</v>
      </c>
      <c r="R117" s="1981">
        <v>0</v>
      </c>
      <c r="S117" s="1982">
        <v>0</v>
      </c>
      <c r="U117" s="47">
        <f t="shared" si="6"/>
        <v>0</v>
      </c>
      <c r="V117" s="48">
        <f t="shared" si="5"/>
        <v>0</v>
      </c>
    </row>
    <row r="118" spans="1:22">
      <c r="A118" s="33" t="str">
        <f t="shared" si="4"/>
        <v>186</v>
      </c>
      <c r="B118" s="33">
        <v>1860020</v>
      </c>
      <c r="D118" s="1962" t="s">
        <v>278</v>
      </c>
      <c r="E118" s="1962" t="s">
        <v>279</v>
      </c>
      <c r="F118" s="1981">
        <v>1653</v>
      </c>
      <c r="G118" s="1981">
        <v>1653</v>
      </c>
      <c r="H118" s="1981">
        <v>1653</v>
      </c>
      <c r="I118" s="1981">
        <v>1593</v>
      </c>
      <c r="J118" s="1981">
        <v>1593</v>
      </c>
      <c r="K118" s="1981">
        <v>1593</v>
      </c>
      <c r="L118" s="1981">
        <v>1533</v>
      </c>
      <c r="M118" s="1981">
        <v>1533</v>
      </c>
      <c r="N118" s="1981">
        <v>1533</v>
      </c>
      <c r="O118" s="1981">
        <v>1473</v>
      </c>
      <c r="P118" s="1981">
        <v>1473</v>
      </c>
      <c r="Q118" s="1981">
        <v>1473</v>
      </c>
      <c r="R118" s="1981">
        <v>1413</v>
      </c>
      <c r="S118" s="1982">
        <v>1551.4615384615386</v>
      </c>
      <c r="U118" s="47">
        <f t="shared" si="6"/>
        <v>1551.4615384615386</v>
      </c>
      <c r="V118" s="48">
        <f t="shared" si="5"/>
        <v>0</v>
      </c>
    </row>
    <row r="119" spans="1:22">
      <c r="A119" s="33" t="str">
        <f t="shared" si="4"/>
        <v>186</v>
      </c>
      <c r="B119" s="33">
        <v>1860800</v>
      </c>
      <c r="D119" s="1962" t="s">
        <v>280</v>
      </c>
      <c r="E119" s="1962" t="s">
        <v>281</v>
      </c>
      <c r="F119" s="1981">
        <v>4092.2926600000001</v>
      </c>
      <c r="G119" s="1981">
        <v>1487.0285700000002</v>
      </c>
      <c r="H119" s="1981">
        <v>1622.6271000000002</v>
      </c>
      <c r="I119" s="1981">
        <v>1447.4160400000001</v>
      </c>
      <c r="J119" s="1981">
        <v>1361.19299</v>
      </c>
      <c r="K119" s="1981">
        <v>1235.62598</v>
      </c>
      <c r="L119" s="1981">
        <v>1585.57889</v>
      </c>
      <c r="M119" s="1981">
        <v>3743.0548699999999</v>
      </c>
      <c r="N119" s="1981">
        <v>4074.6506800000002</v>
      </c>
      <c r="O119" s="1981">
        <v>3790.8179399999999</v>
      </c>
      <c r="P119" s="1981">
        <v>3671.0990499999998</v>
      </c>
      <c r="Q119" s="1981">
        <v>3580.5128799999998</v>
      </c>
      <c r="R119" s="1981">
        <v>1575.38536</v>
      </c>
      <c r="S119" s="1982">
        <v>2559.0217699999998</v>
      </c>
      <c r="U119" s="47">
        <f t="shared" si="6"/>
        <v>2559.0217699999998</v>
      </c>
      <c r="V119" s="48">
        <f t="shared" si="5"/>
        <v>0</v>
      </c>
    </row>
    <row r="120" spans="1:22">
      <c r="A120" s="33" t="str">
        <f t="shared" si="4"/>
        <v>228</v>
      </c>
      <c r="B120" s="33">
        <v>2283202</v>
      </c>
      <c r="D120" s="1962" t="s">
        <v>7164</v>
      </c>
      <c r="E120" s="1962" t="s">
        <v>7165</v>
      </c>
      <c r="F120" s="1981">
        <v>-227513.89799999999</v>
      </c>
      <c r="G120" s="1981">
        <v>-229974.89799999999</v>
      </c>
      <c r="H120" s="1981">
        <v>-229974.89799999999</v>
      </c>
      <c r="I120" s="1981">
        <v>-229670.55100000001</v>
      </c>
      <c r="J120" s="1981">
        <v>-232131.55100000001</v>
      </c>
      <c r="K120" s="1981">
        <v>-232131.55100000001</v>
      </c>
      <c r="L120" s="1981">
        <v>-231827.204</v>
      </c>
      <c r="M120" s="1981">
        <v>-234288.204</v>
      </c>
      <c r="N120" s="1981">
        <v>-234288.204</v>
      </c>
      <c r="O120" s="1981">
        <v>-236444.85699999999</v>
      </c>
      <c r="P120" s="1981">
        <v>-236444.85699999999</v>
      </c>
      <c r="Q120" s="1981">
        <v>-236444.85699999999</v>
      </c>
      <c r="R120" s="1981">
        <v>-236140.511</v>
      </c>
      <c r="S120" s="1982">
        <v>-232867.3877692307</v>
      </c>
      <c r="U120" s="47">
        <f t="shared" si="6"/>
        <v>-232867.3877692307</v>
      </c>
      <c r="V120" s="48">
        <f t="shared" si="5"/>
        <v>0</v>
      </c>
    </row>
    <row r="121" spans="1:22">
      <c r="A121" s="33" t="str">
        <f t="shared" si="4"/>
        <v>228</v>
      </c>
      <c r="B121" s="33">
        <v>2283203</v>
      </c>
      <c r="D121" s="1962" t="s">
        <v>7166</v>
      </c>
      <c r="E121" s="1962" t="s">
        <v>7167</v>
      </c>
      <c r="F121" s="1981">
        <v>206391.291</v>
      </c>
      <c r="G121" s="1981">
        <v>206391.291</v>
      </c>
      <c r="H121" s="1981">
        <v>206391.291</v>
      </c>
      <c r="I121" s="1981">
        <v>206391.291</v>
      </c>
      <c r="J121" s="1981">
        <v>206391.291</v>
      </c>
      <c r="K121" s="1981">
        <v>206391.291</v>
      </c>
      <c r="L121" s="1981">
        <v>206391.291</v>
      </c>
      <c r="M121" s="1981">
        <v>206391.291</v>
      </c>
      <c r="N121" s="1981">
        <v>206391.291</v>
      </c>
      <c r="O121" s="1981">
        <v>206391.291</v>
      </c>
      <c r="P121" s="1981">
        <v>206391.291</v>
      </c>
      <c r="Q121" s="1981">
        <v>206391.291</v>
      </c>
      <c r="R121" s="1981">
        <v>206391.291</v>
      </c>
      <c r="S121" s="1982">
        <v>206391.29100000003</v>
      </c>
      <c r="U121" s="47">
        <f t="shared" si="6"/>
        <v>206391.29100000003</v>
      </c>
      <c r="V121" s="48">
        <f t="shared" si="5"/>
        <v>0</v>
      </c>
    </row>
    <row r="122" spans="1:22">
      <c r="A122" s="33" t="str">
        <f t="shared" si="4"/>
        <v>228</v>
      </c>
      <c r="B122" s="33">
        <v>2282210</v>
      </c>
      <c r="D122" s="1962" t="s">
        <v>345</v>
      </c>
      <c r="E122" s="1962" t="s">
        <v>346</v>
      </c>
      <c r="F122" s="1981">
        <v>-1027.652</v>
      </c>
      <c r="G122" s="1981">
        <v>-1027.652</v>
      </c>
      <c r="H122" s="1981">
        <v>-1027.652</v>
      </c>
      <c r="I122" s="1981">
        <v>-1027.652</v>
      </c>
      <c r="J122" s="1981">
        <v>-1027.652</v>
      </c>
      <c r="K122" s="1981">
        <v>-1027.652</v>
      </c>
      <c r="L122" s="1981">
        <v>-1027.652</v>
      </c>
      <c r="M122" s="1981">
        <v>-1027.652</v>
      </c>
      <c r="N122" s="1981">
        <v>-1027.652</v>
      </c>
      <c r="O122" s="1981">
        <v>-1027.652</v>
      </c>
      <c r="P122" s="1981">
        <v>-1027.652</v>
      </c>
      <c r="Q122" s="1981">
        <v>-1027.652</v>
      </c>
      <c r="R122" s="1981">
        <v>-1027.652</v>
      </c>
      <c r="S122" s="1982">
        <v>-1027.652</v>
      </c>
      <c r="U122" s="47">
        <f t="shared" si="6"/>
        <v>-1027.652</v>
      </c>
      <c r="V122" s="48">
        <f t="shared" si="5"/>
        <v>0</v>
      </c>
    </row>
    <row r="123" spans="1:22">
      <c r="A123" s="33" t="str">
        <f t="shared" si="4"/>
        <v>121</v>
      </c>
      <c r="B123" s="33">
        <v>1210200</v>
      </c>
      <c r="D123" s="1962" t="s">
        <v>7168</v>
      </c>
      <c r="E123" s="1962" t="s">
        <v>7169</v>
      </c>
      <c r="F123" s="1981">
        <v>4166.6668500000005</v>
      </c>
      <c r="G123" s="1981">
        <v>4145.8333333333003</v>
      </c>
      <c r="H123" s="1981">
        <v>4125</v>
      </c>
      <c r="I123" s="1981">
        <v>4104.1666666666997</v>
      </c>
      <c r="J123" s="1981">
        <v>4083.3333333332998</v>
      </c>
      <c r="K123" s="1981">
        <v>4062.5</v>
      </c>
      <c r="L123" s="1981">
        <v>4041.6666666667002</v>
      </c>
      <c r="M123" s="1981">
        <v>4020.8333333332998</v>
      </c>
      <c r="N123" s="1981">
        <v>4000</v>
      </c>
      <c r="O123" s="1981">
        <v>3979.1666666667002</v>
      </c>
      <c r="P123" s="1981">
        <v>3958.3333333332998</v>
      </c>
      <c r="Q123" s="1981">
        <v>3937.5</v>
      </c>
      <c r="R123" s="1981">
        <v>3916.6666666667002</v>
      </c>
      <c r="S123" s="1982">
        <v>4041.6666807692309</v>
      </c>
      <c r="U123" s="47">
        <f t="shared" si="6"/>
        <v>4041.6666807692309</v>
      </c>
      <c r="V123" s="48">
        <f t="shared" si="5"/>
        <v>0</v>
      </c>
    </row>
    <row r="124" spans="1:22">
      <c r="A124" s="33" t="str">
        <f t="shared" si="4"/>
        <v>101</v>
      </c>
      <c r="B124" s="33">
        <v>1011200</v>
      </c>
      <c r="D124" s="1962" t="s">
        <v>126</v>
      </c>
      <c r="E124" s="1962" t="s">
        <v>127</v>
      </c>
      <c r="F124" s="1981">
        <v>29713.612088704398</v>
      </c>
      <c r="G124" s="1981">
        <v>29534.072866679999</v>
      </c>
      <c r="H124" s="1981">
        <v>29354.087584319401</v>
      </c>
      <c r="I124" s="1981">
        <v>29173.654922334103</v>
      </c>
      <c r="J124" s="1981">
        <v>28992.773557698398</v>
      </c>
      <c r="K124" s="1981">
        <v>28811.4421636394</v>
      </c>
      <c r="L124" s="1981">
        <v>28629.6594096275</v>
      </c>
      <c r="M124" s="1981">
        <v>28447.423961366301</v>
      </c>
      <c r="N124" s="1981">
        <v>28264.731212916697</v>
      </c>
      <c r="O124" s="1981">
        <v>28081.579810273801</v>
      </c>
      <c r="P124" s="1981">
        <v>28051.569831023702</v>
      </c>
      <c r="Q124" s="1981">
        <v>28021.6310027492</v>
      </c>
      <c r="R124" s="1981">
        <v>27991.763655094797</v>
      </c>
      <c r="S124" s="1982">
        <v>28697.538620494437</v>
      </c>
      <c r="U124" s="47">
        <f t="shared" si="6"/>
        <v>28697.538620494437</v>
      </c>
      <c r="V124" s="48">
        <f t="shared" si="5"/>
        <v>0</v>
      </c>
    </row>
    <row r="125" spans="1:22">
      <c r="A125" s="33" t="str">
        <f t="shared" si="4"/>
        <v>176</v>
      </c>
      <c r="B125" s="33">
        <v>1760720</v>
      </c>
      <c r="D125" s="1962" t="s">
        <v>8492</v>
      </c>
      <c r="E125" s="1962" t="s">
        <v>8493</v>
      </c>
      <c r="F125" s="1981">
        <v>528</v>
      </c>
      <c r="G125" s="1981">
        <v>528</v>
      </c>
      <c r="H125" s="1981">
        <v>528</v>
      </c>
      <c r="I125" s="1981">
        <v>528</v>
      </c>
      <c r="J125" s="1981">
        <v>0</v>
      </c>
      <c r="K125" s="1981">
        <v>0</v>
      </c>
      <c r="L125" s="1981">
        <v>0</v>
      </c>
      <c r="M125" s="1981">
        <v>0</v>
      </c>
      <c r="N125" s="1981">
        <v>0</v>
      </c>
      <c r="O125" s="1981">
        <v>0</v>
      </c>
      <c r="P125" s="1981">
        <v>0</v>
      </c>
      <c r="Q125" s="1981">
        <v>0</v>
      </c>
      <c r="R125" s="1981">
        <v>0</v>
      </c>
      <c r="S125" s="1982">
        <v>162.46153846153845</v>
      </c>
      <c r="U125" s="47">
        <f t="shared" si="6"/>
        <v>162.46153846153845</v>
      </c>
      <c r="V125" s="48">
        <f t="shared" si="5"/>
        <v>0</v>
      </c>
    </row>
    <row r="126" spans="1:22">
      <c r="A126" s="33" t="str">
        <f t="shared" si="4"/>
        <v>182</v>
      </c>
      <c r="B126" s="33">
        <v>1823030</v>
      </c>
      <c r="D126" s="1962" t="s">
        <v>8490</v>
      </c>
      <c r="E126" s="1962" t="s">
        <v>8491</v>
      </c>
      <c r="F126" s="1981">
        <v>2238.3083407946001</v>
      </c>
      <c r="G126" s="1981">
        <v>3979.1803021824003</v>
      </c>
      <c r="H126" s="1981">
        <v>5545.1181972180002</v>
      </c>
      <c r="I126" s="1981">
        <v>5259.3422357502996</v>
      </c>
      <c r="J126" s="1981">
        <v>6429.2267866407992</v>
      </c>
      <c r="K126" s="1981">
        <v>6103.3230717156002</v>
      </c>
      <c r="L126" s="1981">
        <v>5728.6634150684004</v>
      </c>
      <c r="M126" s="1981">
        <v>5334.8552981925004</v>
      </c>
      <c r="N126" s="1981">
        <v>4941.2334615149002</v>
      </c>
      <c r="O126" s="1981">
        <v>4540.9482694132003</v>
      </c>
      <c r="P126" s="1981">
        <v>4174.2142502269999</v>
      </c>
      <c r="Q126" s="1981">
        <v>3855.8290759525003</v>
      </c>
      <c r="R126" s="1981">
        <v>3551.9935323438999</v>
      </c>
      <c r="S126" s="1982">
        <v>4744.7874028472388</v>
      </c>
      <c r="U126" s="47">
        <f t="shared" si="6"/>
        <v>4744.7874028472388</v>
      </c>
      <c r="V126" s="48">
        <f t="shared" si="5"/>
        <v>0</v>
      </c>
    </row>
    <row r="127" spans="1:22">
      <c r="A127" s="33" t="str">
        <f t="shared" si="4"/>
        <v>182</v>
      </c>
      <c r="B127" s="33">
        <v>1823321</v>
      </c>
      <c r="D127" s="1962" t="s">
        <v>8689</v>
      </c>
      <c r="E127" s="1962" t="s">
        <v>8690</v>
      </c>
      <c r="F127" s="1981">
        <v>0</v>
      </c>
      <c r="G127" s="1981">
        <v>0</v>
      </c>
      <c r="H127" s="1981">
        <v>0</v>
      </c>
      <c r="I127" s="1981">
        <v>0</v>
      </c>
      <c r="J127" s="1981">
        <v>0</v>
      </c>
      <c r="K127" s="1981">
        <v>0</v>
      </c>
      <c r="L127" s="1981">
        <v>0</v>
      </c>
      <c r="M127" s="1981">
        <v>0</v>
      </c>
      <c r="N127" s="1981">
        <v>0</v>
      </c>
      <c r="O127" s="1981">
        <v>0</v>
      </c>
      <c r="P127" s="1981">
        <v>0</v>
      </c>
      <c r="Q127" s="1981">
        <v>0</v>
      </c>
      <c r="R127" s="1981">
        <v>0</v>
      </c>
      <c r="S127" s="1982">
        <v>0</v>
      </c>
      <c r="U127" s="47">
        <f t="shared" si="6"/>
        <v>0</v>
      </c>
      <c r="V127" s="48">
        <f t="shared" si="5"/>
        <v>0</v>
      </c>
    </row>
    <row r="128" spans="1:22">
      <c r="A128" s="33" t="str">
        <f t="shared" si="4"/>
        <v>182</v>
      </c>
      <c r="B128" s="33">
        <v>1823327</v>
      </c>
      <c r="D128" s="1962" t="s">
        <v>8691</v>
      </c>
      <c r="E128" s="1962" t="s">
        <v>8692</v>
      </c>
      <c r="F128" s="1981">
        <v>1531.816</v>
      </c>
      <c r="G128" s="1981">
        <v>1610.98</v>
      </c>
      <c r="H128" s="1981">
        <v>1688.31</v>
      </c>
      <c r="I128" s="1981">
        <v>1763.807</v>
      </c>
      <c r="J128" s="1981">
        <v>1837.471</v>
      </c>
      <c r="K128" s="1981">
        <v>1909.3009999999999</v>
      </c>
      <c r="L128" s="1981">
        <v>1979.298</v>
      </c>
      <c r="M128" s="1981">
        <v>2047.462</v>
      </c>
      <c r="N128" s="1981">
        <v>2113.7919999999999</v>
      </c>
      <c r="O128" s="1981">
        <v>2178.2890000000002</v>
      </c>
      <c r="P128" s="1981">
        <v>2240.953</v>
      </c>
      <c r="Q128" s="1981">
        <v>2301.7829999999999</v>
      </c>
      <c r="R128" s="1981">
        <v>2360.7800000000002</v>
      </c>
      <c r="S128" s="1982">
        <v>1966.4647692307694</v>
      </c>
      <c r="U128" s="47">
        <f t="shared" si="6"/>
        <v>1966.4647692307694</v>
      </c>
      <c r="V128" s="48">
        <f t="shared" si="5"/>
        <v>0</v>
      </c>
    </row>
    <row r="129" spans="1:22">
      <c r="A129" s="33" t="str">
        <f t="shared" si="4"/>
        <v>232</v>
      </c>
      <c r="B129" s="33">
        <v>2320412</v>
      </c>
      <c r="D129" s="1962" t="s">
        <v>8693</v>
      </c>
      <c r="E129" s="1962" t="s">
        <v>8694</v>
      </c>
      <c r="F129" s="1981">
        <v>0</v>
      </c>
      <c r="G129" s="1981">
        <v>-472.0833333333</v>
      </c>
      <c r="H129" s="1981">
        <v>-944.16666666670005</v>
      </c>
      <c r="I129" s="1981">
        <v>0</v>
      </c>
      <c r="J129" s="1981">
        <v>-472.0833333333</v>
      </c>
      <c r="K129" s="1981">
        <v>-944.16666666670005</v>
      </c>
      <c r="L129" s="1981">
        <v>0</v>
      </c>
      <c r="M129" s="1981">
        <v>-472.0833333333</v>
      </c>
      <c r="N129" s="1981">
        <v>-944.16666666670005</v>
      </c>
      <c r="O129" s="1981">
        <v>0</v>
      </c>
      <c r="P129" s="1981">
        <v>-472.0833333333</v>
      </c>
      <c r="Q129" s="1981">
        <v>-944.16666666670005</v>
      </c>
      <c r="R129" s="1981">
        <v>0</v>
      </c>
      <c r="S129" s="1982">
        <v>-435.76923076923077</v>
      </c>
      <c r="U129" s="47">
        <f t="shared" si="6"/>
        <v>-435.76923076923077</v>
      </c>
      <c r="V129" s="48">
        <f t="shared" si="5"/>
        <v>0</v>
      </c>
    </row>
    <row r="130" spans="1:22">
      <c r="A130" s="33" t="str">
        <f t="shared" si="4"/>
        <v>254</v>
      </c>
      <c r="B130" s="33">
        <v>2540205</v>
      </c>
      <c r="D130" s="1962" t="s">
        <v>8494</v>
      </c>
      <c r="E130" s="1962" t="s">
        <v>8495</v>
      </c>
      <c r="F130" s="1981">
        <v>528</v>
      </c>
      <c r="G130" s="1981">
        <v>528</v>
      </c>
      <c r="H130" s="1981">
        <v>528</v>
      </c>
      <c r="I130" s="1981">
        <v>528</v>
      </c>
      <c r="J130" s="1981">
        <v>0</v>
      </c>
      <c r="K130" s="1981">
        <v>0</v>
      </c>
      <c r="L130" s="1981">
        <v>0</v>
      </c>
      <c r="M130" s="1981">
        <v>0</v>
      </c>
      <c r="N130" s="1981">
        <v>0</v>
      </c>
      <c r="O130" s="1981">
        <v>0</v>
      </c>
      <c r="P130" s="1981">
        <v>0</v>
      </c>
      <c r="Q130" s="1981">
        <v>0</v>
      </c>
      <c r="R130" s="1981">
        <v>0</v>
      </c>
      <c r="S130" s="1982">
        <v>162.46153846153845</v>
      </c>
      <c r="U130" s="47">
        <f t="shared" si="6"/>
        <v>162.46153846153845</v>
      </c>
      <c r="V130" s="48">
        <f t="shared" si="5"/>
        <v>0</v>
      </c>
    </row>
    <row r="131" spans="1:22">
      <c r="A131" s="33" t="str">
        <f t="shared" si="4"/>
        <v>254</v>
      </c>
      <c r="B131" s="33">
        <v>2540020</v>
      </c>
      <c r="D131" s="1962" t="s">
        <v>8695</v>
      </c>
      <c r="E131" s="1962" t="s">
        <v>8696</v>
      </c>
      <c r="F131" s="1981">
        <v>31771.499791605202</v>
      </c>
      <c r="G131" s="1981">
        <v>25642.083168054101</v>
      </c>
      <c r="H131" s="1981">
        <v>23946.2572760804</v>
      </c>
      <c r="I131" s="1981">
        <v>20915.462719441202</v>
      </c>
      <c r="J131" s="1981">
        <v>19458.747597768797</v>
      </c>
      <c r="K131" s="1981">
        <v>20005.751838235603</v>
      </c>
      <c r="L131" s="1981">
        <v>24356.989019944798</v>
      </c>
      <c r="M131" s="1981">
        <v>27026.425514468701</v>
      </c>
      <c r="N131" s="1981">
        <v>28425.7717863529</v>
      </c>
      <c r="O131" s="1981">
        <v>37118.443598728001</v>
      </c>
      <c r="P131" s="1981">
        <v>40323.969258173194</v>
      </c>
      <c r="Q131" s="1981">
        <v>43460.812576344106</v>
      </c>
      <c r="R131" s="1981">
        <v>36786.330692260701</v>
      </c>
      <c r="S131" s="1982">
        <v>29172.195756727517</v>
      </c>
      <c r="U131" s="47">
        <f t="shared" si="6"/>
        <v>29172.195756727517</v>
      </c>
      <c r="V131" s="48">
        <f t="shared" si="5"/>
        <v>0</v>
      </c>
    </row>
    <row r="132" spans="1:22">
      <c r="A132" s="33" t="str">
        <f t="shared" si="4"/>
        <v>221</v>
      </c>
      <c r="B132" s="33">
        <v>2210100</v>
      </c>
      <c r="D132" s="1962" t="s">
        <v>326</v>
      </c>
      <c r="E132" s="1962" t="s">
        <v>327</v>
      </c>
      <c r="F132" s="1981">
        <v>0</v>
      </c>
      <c r="G132" s="1981">
        <v>0</v>
      </c>
      <c r="H132" s="1981">
        <v>0</v>
      </c>
      <c r="I132" s="1981">
        <v>0</v>
      </c>
      <c r="J132" s="1981">
        <v>0</v>
      </c>
      <c r="K132" s="1981">
        <v>0</v>
      </c>
      <c r="L132" s="1981">
        <v>0</v>
      </c>
      <c r="M132" s="1981">
        <v>0</v>
      </c>
      <c r="N132" s="1981">
        <v>0</v>
      </c>
      <c r="O132" s="1981">
        <v>0</v>
      </c>
      <c r="P132" s="1981">
        <v>0</v>
      </c>
      <c r="Q132" s="1981">
        <v>0</v>
      </c>
      <c r="R132" s="1981">
        <v>0</v>
      </c>
      <c r="S132" s="1982">
        <v>0</v>
      </c>
      <c r="U132" s="47">
        <f t="shared" si="6"/>
        <v>0</v>
      </c>
      <c r="V132" s="48">
        <f t="shared" si="5"/>
        <v>0</v>
      </c>
    </row>
    <row r="133" spans="1:22">
      <c r="A133" s="33" t="str">
        <f t="shared" ref="A133:A196" si="7">+LEFT(B133,3)</f>
        <v>181</v>
      </c>
      <c r="B133" s="33">
        <v>1810100</v>
      </c>
      <c r="D133" s="1962" t="s">
        <v>244</v>
      </c>
      <c r="E133" s="1962" t="s">
        <v>7170</v>
      </c>
      <c r="F133" s="1981">
        <v>0</v>
      </c>
      <c r="G133" s="1981">
        <v>8.3209699999999991</v>
      </c>
      <c r="H133" s="1981">
        <v>0</v>
      </c>
      <c r="I133" s="1981">
        <v>0</v>
      </c>
      <c r="J133" s="1981">
        <v>0</v>
      </c>
      <c r="K133" s="1981">
        <v>0</v>
      </c>
      <c r="L133" s="1981">
        <v>0</v>
      </c>
      <c r="M133" s="1981">
        <v>0</v>
      </c>
      <c r="N133" s="1981">
        <v>0</v>
      </c>
      <c r="O133" s="1981">
        <v>0</v>
      </c>
      <c r="P133" s="1981">
        <v>0</v>
      </c>
      <c r="Q133" s="1981">
        <v>0</v>
      </c>
      <c r="R133" s="1981">
        <v>0</v>
      </c>
      <c r="S133" s="1982">
        <v>0.6400746153846153</v>
      </c>
      <c r="U133" s="47">
        <f t="shared" si="6"/>
        <v>0.6400746153846153</v>
      </c>
      <c r="V133" s="48">
        <f t="shared" ref="V133:V196" si="8">IF(S133="","",+U133-S133)</f>
        <v>0</v>
      </c>
    </row>
    <row r="134" spans="1:22">
      <c r="A134" s="33" t="str">
        <f t="shared" si="7"/>
        <v>231</v>
      </c>
      <c r="B134" s="33">
        <v>2310000</v>
      </c>
      <c r="D134" s="1962" t="s">
        <v>371</v>
      </c>
      <c r="E134" s="1962" t="s">
        <v>372</v>
      </c>
      <c r="F134" s="1981">
        <v>595364.85717259895</v>
      </c>
      <c r="G134" s="1981">
        <v>598422.40124888893</v>
      </c>
      <c r="H134" s="1981">
        <v>655705.08729093603</v>
      </c>
      <c r="I134" s="1981">
        <v>260252.506725691</v>
      </c>
      <c r="J134" s="1981">
        <v>333921.04664845299</v>
      </c>
      <c r="K134" s="1981">
        <v>304118.43847153697</v>
      </c>
      <c r="L134" s="1981">
        <v>369466.30793546303</v>
      </c>
      <c r="M134" s="1981">
        <v>437362.47203191102</v>
      </c>
      <c r="N134" s="1981">
        <v>456960.32966298005</v>
      </c>
      <c r="O134" s="1981">
        <v>471462.43003022304</v>
      </c>
      <c r="P134" s="1981">
        <v>432650.86985359597</v>
      </c>
      <c r="Q134" s="1981">
        <v>596370.82103931799</v>
      </c>
      <c r="R134" s="1981">
        <v>553907.77794710698</v>
      </c>
      <c r="S134" s="1982">
        <v>466612.71892759262</v>
      </c>
      <c r="U134" s="47">
        <f t="shared" ref="U134:U197" si="9">+IF(F134="","",SUM(F134:R134)/13)</f>
        <v>466612.71892759262</v>
      </c>
      <c r="V134" s="48">
        <f t="shared" si="8"/>
        <v>0</v>
      </c>
    </row>
    <row r="135" spans="1:22">
      <c r="A135" s="33" t="str">
        <f t="shared" si="7"/>
        <v>233</v>
      </c>
      <c r="B135" s="33">
        <v>2330711</v>
      </c>
      <c r="D135" s="1962" t="s">
        <v>436</v>
      </c>
      <c r="E135" s="1962" t="s">
        <v>437</v>
      </c>
      <c r="F135" s="1981">
        <v>0</v>
      </c>
      <c r="G135" s="1981">
        <v>0</v>
      </c>
      <c r="H135" s="1981">
        <v>0</v>
      </c>
      <c r="I135" s="1981">
        <v>0</v>
      </c>
      <c r="J135" s="1981">
        <v>0</v>
      </c>
      <c r="K135" s="1981">
        <v>0</v>
      </c>
      <c r="L135" s="1981">
        <v>0</v>
      </c>
      <c r="M135" s="1981">
        <v>0</v>
      </c>
      <c r="N135" s="1981">
        <v>0</v>
      </c>
      <c r="O135" s="1981">
        <v>0</v>
      </c>
      <c r="P135" s="1981">
        <v>0</v>
      </c>
      <c r="Q135" s="1981">
        <v>0</v>
      </c>
      <c r="R135" s="1981">
        <v>0</v>
      </c>
      <c r="S135" s="1982">
        <v>0</v>
      </c>
      <c r="U135" s="47">
        <f t="shared" si="9"/>
        <v>0</v>
      </c>
      <c r="V135" s="48">
        <f t="shared" si="8"/>
        <v>0</v>
      </c>
    </row>
    <row r="136" spans="1:22">
      <c r="A136" s="33" t="str">
        <f t="shared" si="7"/>
        <v>232</v>
      </c>
      <c r="B136" s="33">
        <v>2320000</v>
      </c>
      <c r="D136" s="1962" t="s">
        <v>373</v>
      </c>
      <c r="E136" s="1962" t="s">
        <v>374</v>
      </c>
      <c r="F136" s="1981">
        <v>33338</v>
      </c>
      <c r="G136" s="1981">
        <v>33338</v>
      </c>
      <c r="H136" s="1981">
        <v>33338</v>
      </c>
      <c r="I136" s="1981">
        <v>33338</v>
      </c>
      <c r="J136" s="1981">
        <v>33338</v>
      </c>
      <c r="K136" s="1981">
        <v>33338</v>
      </c>
      <c r="L136" s="1981">
        <v>33338</v>
      </c>
      <c r="M136" s="1981">
        <v>33338</v>
      </c>
      <c r="N136" s="1981">
        <v>33338</v>
      </c>
      <c r="O136" s="1981">
        <v>33338</v>
      </c>
      <c r="P136" s="1981">
        <v>33338</v>
      </c>
      <c r="Q136" s="1981">
        <v>33338</v>
      </c>
      <c r="R136" s="1981">
        <v>33338</v>
      </c>
      <c r="S136" s="1982">
        <v>33338</v>
      </c>
      <c r="U136" s="47">
        <f t="shared" si="9"/>
        <v>33338</v>
      </c>
      <c r="V136" s="48">
        <f t="shared" si="8"/>
        <v>0</v>
      </c>
    </row>
    <row r="137" spans="1:22">
      <c r="A137" s="33" t="str">
        <f t="shared" si="7"/>
        <v>232</v>
      </c>
      <c r="B137" s="33">
        <v>2320001</v>
      </c>
      <c r="D137" s="1962" t="s">
        <v>375</v>
      </c>
      <c r="E137" s="1962" t="s">
        <v>376</v>
      </c>
      <c r="F137" s="1981">
        <v>120140.96539</v>
      </c>
      <c r="G137" s="1981">
        <v>193227.08196000039</v>
      </c>
      <c r="H137" s="1981">
        <v>104539.76720999999</v>
      </c>
      <c r="I137" s="1981">
        <v>118795.71515999999</v>
      </c>
      <c r="J137" s="1981">
        <v>106427.55007</v>
      </c>
      <c r="K137" s="1981">
        <v>113718.90332</v>
      </c>
      <c r="L137" s="1981">
        <v>167375.6489099999</v>
      </c>
      <c r="M137" s="1981">
        <v>173805.89013000042</v>
      </c>
      <c r="N137" s="1981">
        <v>91425.837069999994</v>
      </c>
      <c r="O137" s="1981">
        <v>101195.64168</v>
      </c>
      <c r="P137" s="1981">
        <v>102591.10103000001</v>
      </c>
      <c r="Q137" s="1981">
        <v>90732.370909999998</v>
      </c>
      <c r="R137" s="1981">
        <v>198058.67348499989</v>
      </c>
      <c r="S137" s="1982">
        <v>129387.31894807695</v>
      </c>
      <c r="U137" s="47">
        <f t="shared" si="9"/>
        <v>129387.31894807695</v>
      </c>
      <c r="V137" s="48">
        <f t="shared" si="8"/>
        <v>0</v>
      </c>
    </row>
    <row r="138" spans="1:22">
      <c r="A138" s="33" t="str">
        <f t="shared" si="7"/>
        <v>232</v>
      </c>
      <c r="B138" s="33">
        <v>2320002</v>
      </c>
      <c r="D138" s="1962" t="s">
        <v>377</v>
      </c>
      <c r="E138" s="1962" t="s">
        <v>378</v>
      </c>
      <c r="F138" s="1981">
        <v>15000</v>
      </c>
      <c r="G138" s="1981">
        <v>15000</v>
      </c>
      <c r="H138" s="1981">
        <v>15000</v>
      </c>
      <c r="I138" s="1981">
        <v>15000</v>
      </c>
      <c r="J138" s="1981">
        <v>15000</v>
      </c>
      <c r="K138" s="1981">
        <v>15000</v>
      </c>
      <c r="L138" s="1981">
        <v>15000</v>
      </c>
      <c r="M138" s="1981">
        <v>15000</v>
      </c>
      <c r="N138" s="1981">
        <v>15000</v>
      </c>
      <c r="O138" s="1981">
        <v>15000</v>
      </c>
      <c r="P138" s="1981">
        <v>15000</v>
      </c>
      <c r="Q138" s="1981">
        <v>15000</v>
      </c>
      <c r="R138" s="1981">
        <v>15000</v>
      </c>
      <c r="S138" s="1982">
        <v>15000</v>
      </c>
      <c r="U138" s="47">
        <f t="shared" si="9"/>
        <v>15000</v>
      </c>
      <c r="V138" s="48">
        <f t="shared" si="8"/>
        <v>0</v>
      </c>
    </row>
    <row r="139" spans="1:22">
      <c r="A139" s="33" t="str">
        <f t="shared" si="7"/>
        <v>232</v>
      </c>
      <c r="B139" s="33">
        <v>2320003</v>
      </c>
      <c r="D139" s="1962" t="s">
        <v>379</v>
      </c>
      <c r="E139" s="1962" t="s">
        <v>380</v>
      </c>
      <c r="F139" s="1981">
        <v>579.89489500000002</v>
      </c>
      <c r="G139" s="1981">
        <v>203.051095</v>
      </c>
      <c r="H139" s="1981">
        <v>210.36239</v>
      </c>
      <c r="I139" s="1981">
        <v>549.06601499999999</v>
      </c>
      <c r="J139" s="1981">
        <v>247.24979999999999</v>
      </c>
      <c r="K139" s="1981">
        <v>227.363865</v>
      </c>
      <c r="L139" s="1981">
        <v>140.80855499999998</v>
      </c>
      <c r="M139" s="1981">
        <v>66.228089999999995</v>
      </c>
      <c r="N139" s="1981">
        <v>270.18598499999996</v>
      </c>
      <c r="O139" s="1981">
        <v>297.68707000000001</v>
      </c>
      <c r="P139" s="1981">
        <v>987.77821999999992</v>
      </c>
      <c r="Q139" s="1981">
        <v>257.54746999999998</v>
      </c>
      <c r="R139" s="1981">
        <v>579.89489500000002</v>
      </c>
      <c r="S139" s="1982">
        <v>355.1629496153846</v>
      </c>
      <c r="U139" s="47">
        <f t="shared" si="9"/>
        <v>355.1629496153846</v>
      </c>
      <c r="V139" s="48">
        <f t="shared" si="8"/>
        <v>0</v>
      </c>
    </row>
    <row r="140" spans="1:22">
      <c r="A140" s="33" t="str">
        <f t="shared" si="7"/>
        <v>232</v>
      </c>
      <c r="B140" s="33">
        <v>2320005</v>
      </c>
      <c r="D140" s="1962" t="s">
        <v>381</v>
      </c>
      <c r="E140" s="1962" t="s">
        <v>382</v>
      </c>
      <c r="F140" s="1981">
        <v>18.88054</v>
      </c>
      <c r="G140" s="1981">
        <v>18.88054</v>
      </c>
      <c r="H140" s="1981">
        <v>18.88054</v>
      </c>
      <c r="I140" s="1981">
        <v>18.88054</v>
      </c>
      <c r="J140" s="1981">
        <v>18.88054</v>
      </c>
      <c r="K140" s="1981">
        <v>18.88054</v>
      </c>
      <c r="L140" s="1981">
        <v>18.88054</v>
      </c>
      <c r="M140" s="1981">
        <v>18.88054</v>
      </c>
      <c r="N140" s="1981">
        <v>18.88054</v>
      </c>
      <c r="O140" s="1981">
        <v>18.88054</v>
      </c>
      <c r="P140" s="1981">
        <v>18.88054</v>
      </c>
      <c r="Q140" s="1981">
        <v>18.88054</v>
      </c>
      <c r="R140" s="1981">
        <v>18.88054</v>
      </c>
      <c r="S140" s="1982">
        <v>18.88054</v>
      </c>
      <c r="U140" s="47">
        <f t="shared" si="9"/>
        <v>18.88054</v>
      </c>
      <c r="V140" s="48">
        <f t="shared" si="8"/>
        <v>0</v>
      </c>
    </row>
    <row r="141" spans="1:22">
      <c r="A141" s="33" t="str">
        <f t="shared" si="7"/>
        <v>232</v>
      </c>
      <c r="B141" s="33">
        <v>2320006</v>
      </c>
      <c r="D141" s="1962" t="s">
        <v>383</v>
      </c>
      <c r="E141" s="1962" t="s">
        <v>384</v>
      </c>
      <c r="F141" s="1981">
        <v>-5.20383</v>
      </c>
      <c r="G141" s="1981">
        <v>-5.20383</v>
      </c>
      <c r="H141" s="1981">
        <v>-5.20383</v>
      </c>
      <c r="I141" s="1981">
        <v>-5.20383</v>
      </c>
      <c r="J141" s="1981">
        <v>-5.20383</v>
      </c>
      <c r="K141" s="1981">
        <v>-5.20383</v>
      </c>
      <c r="L141" s="1981">
        <v>-5.20383</v>
      </c>
      <c r="M141" s="1981">
        <v>-5.20383</v>
      </c>
      <c r="N141" s="1981">
        <v>-5.20383</v>
      </c>
      <c r="O141" s="1981">
        <v>-5.20383</v>
      </c>
      <c r="P141" s="1981">
        <v>-5.20383</v>
      </c>
      <c r="Q141" s="1981">
        <v>-5.20383</v>
      </c>
      <c r="R141" s="1981">
        <v>-5.20383</v>
      </c>
      <c r="S141" s="1982">
        <v>-5.2038299999999982</v>
      </c>
      <c r="U141" s="47">
        <f t="shared" si="9"/>
        <v>-5.2038299999999982</v>
      </c>
      <c r="V141" s="48">
        <f t="shared" si="8"/>
        <v>0</v>
      </c>
    </row>
    <row r="142" spans="1:22">
      <c r="A142" s="33" t="str">
        <f t="shared" si="7"/>
        <v>232</v>
      </c>
      <c r="B142" s="33">
        <v>2320007</v>
      </c>
      <c r="D142" s="1962" t="s">
        <v>385</v>
      </c>
      <c r="E142" s="1962" t="s">
        <v>386</v>
      </c>
      <c r="F142" s="1981">
        <v>6544.6258042285008</v>
      </c>
      <c r="G142" s="1981">
        <v>8930.0836089723998</v>
      </c>
      <c r="H142" s="1981">
        <v>9014.5651287969995</v>
      </c>
      <c r="I142" s="1981">
        <v>683.54407882010003</v>
      </c>
      <c r="J142" s="1981">
        <v>2252.3916032597999</v>
      </c>
      <c r="K142" s="1981">
        <v>4541.4133958970997</v>
      </c>
      <c r="L142" s="1981">
        <v>5431.8180343334006</v>
      </c>
      <c r="M142" s="1981">
        <v>8405.7846607989995</v>
      </c>
      <c r="N142" s="1981">
        <v>0</v>
      </c>
      <c r="O142" s="1981">
        <v>1439.43081678</v>
      </c>
      <c r="P142" s="1981">
        <v>3852.0415610302998</v>
      </c>
      <c r="Q142" s="1981">
        <v>5044.3544352901999</v>
      </c>
      <c r="R142" s="1981">
        <v>7339.2647113972998</v>
      </c>
      <c r="S142" s="1982">
        <v>4883.0244492003922</v>
      </c>
      <c r="U142" s="47">
        <f t="shared" si="9"/>
        <v>4883.0244492003922</v>
      </c>
      <c r="V142" s="48">
        <f t="shared" si="8"/>
        <v>0</v>
      </c>
    </row>
    <row r="143" spans="1:22">
      <c r="A143" s="33" t="str">
        <f t="shared" si="7"/>
        <v>232</v>
      </c>
      <c r="B143" s="33">
        <v>2320008</v>
      </c>
      <c r="D143" s="1962" t="s">
        <v>387</v>
      </c>
      <c r="E143" s="1962" t="s">
        <v>388</v>
      </c>
      <c r="F143" s="1981">
        <v>888</v>
      </c>
      <c r="G143" s="1981">
        <v>962</v>
      </c>
      <c r="H143" s="1981">
        <v>1036</v>
      </c>
      <c r="I143" s="1981">
        <v>222</v>
      </c>
      <c r="J143" s="1981">
        <v>296</v>
      </c>
      <c r="K143" s="1981">
        <v>370</v>
      </c>
      <c r="L143" s="1981">
        <v>444</v>
      </c>
      <c r="M143" s="1981">
        <v>518</v>
      </c>
      <c r="N143" s="1981">
        <v>592</v>
      </c>
      <c r="O143" s="1981">
        <v>666</v>
      </c>
      <c r="P143" s="1981">
        <v>740</v>
      </c>
      <c r="Q143" s="1981">
        <v>814</v>
      </c>
      <c r="R143" s="1981">
        <v>888</v>
      </c>
      <c r="S143" s="1982">
        <v>648.92307692307691</v>
      </c>
      <c r="U143" s="47">
        <f t="shared" si="9"/>
        <v>648.92307692307691</v>
      </c>
      <c r="V143" s="48">
        <f t="shared" si="8"/>
        <v>0</v>
      </c>
    </row>
    <row r="144" spans="1:22">
      <c r="A144" s="33" t="str">
        <f t="shared" si="7"/>
        <v>232</v>
      </c>
      <c r="B144" s="33">
        <v>2320009</v>
      </c>
      <c r="D144" s="1962" t="s">
        <v>389</v>
      </c>
      <c r="E144" s="1962" t="s">
        <v>390</v>
      </c>
      <c r="F144" s="1981">
        <v>0</v>
      </c>
      <c r="G144" s="1981">
        <v>0</v>
      </c>
      <c r="H144" s="1981">
        <v>0</v>
      </c>
      <c r="I144" s="1981">
        <v>0</v>
      </c>
      <c r="J144" s="1981">
        <v>0</v>
      </c>
      <c r="K144" s="1981">
        <v>0</v>
      </c>
      <c r="L144" s="1981">
        <v>0</v>
      </c>
      <c r="M144" s="1981">
        <v>0</v>
      </c>
      <c r="N144" s="1981">
        <v>0</v>
      </c>
      <c r="O144" s="1981">
        <v>0</v>
      </c>
      <c r="P144" s="1981">
        <v>0</v>
      </c>
      <c r="Q144" s="1981">
        <v>0</v>
      </c>
      <c r="R144" s="1981">
        <v>0</v>
      </c>
      <c r="S144" s="1982">
        <v>0</v>
      </c>
      <c r="U144" s="47">
        <f t="shared" si="9"/>
        <v>0</v>
      </c>
      <c r="V144" s="48">
        <f t="shared" si="8"/>
        <v>0</v>
      </c>
    </row>
    <row r="145" spans="1:22">
      <c r="A145" s="33" t="str">
        <f t="shared" si="7"/>
        <v>232</v>
      </c>
      <c r="B145" s="33">
        <v>2320010</v>
      </c>
      <c r="D145" s="1962" t="s">
        <v>391</v>
      </c>
      <c r="E145" s="1962" t="s">
        <v>392</v>
      </c>
      <c r="F145" s="1981">
        <v>0</v>
      </c>
      <c r="G145" s="1981">
        <v>0</v>
      </c>
      <c r="H145" s="1981">
        <v>0</v>
      </c>
      <c r="I145" s="1981">
        <v>0</v>
      </c>
      <c r="J145" s="1981">
        <v>0</v>
      </c>
      <c r="K145" s="1981">
        <v>0</v>
      </c>
      <c r="L145" s="1981">
        <v>0</v>
      </c>
      <c r="M145" s="1981">
        <v>0</v>
      </c>
      <c r="N145" s="1981">
        <v>0</v>
      </c>
      <c r="O145" s="1981">
        <v>0</v>
      </c>
      <c r="P145" s="1981">
        <v>0</v>
      </c>
      <c r="Q145" s="1981">
        <v>0</v>
      </c>
      <c r="R145" s="1981">
        <v>0</v>
      </c>
      <c r="S145" s="1982">
        <v>0</v>
      </c>
      <c r="U145" s="47">
        <f t="shared" si="9"/>
        <v>0</v>
      </c>
      <c r="V145" s="48">
        <f t="shared" si="8"/>
        <v>0</v>
      </c>
    </row>
    <row r="146" spans="1:22">
      <c r="A146" s="33" t="str">
        <f t="shared" si="7"/>
        <v>232</v>
      </c>
      <c r="B146" s="33">
        <v>2320011</v>
      </c>
      <c r="D146" s="1962" t="s">
        <v>393</v>
      </c>
      <c r="E146" s="1962" t="s">
        <v>7171</v>
      </c>
      <c r="F146" s="1981">
        <v>0</v>
      </c>
      <c r="G146" s="1981">
        <v>0</v>
      </c>
      <c r="H146" s="1981">
        <v>0</v>
      </c>
      <c r="I146" s="1981">
        <v>0</v>
      </c>
      <c r="J146" s="1981">
        <v>0</v>
      </c>
      <c r="K146" s="1981">
        <v>0</v>
      </c>
      <c r="L146" s="1981">
        <v>0</v>
      </c>
      <c r="M146" s="1981">
        <v>0</v>
      </c>
      <c r="N146" s="1981">
        <v>0</v>
      </c>
      <c r="O146" s="1981">
        <v>0</v>
      </c>
      <c r="P146" s="1981">
        <v>0</v>
      </c>
      <c r="Q146" s="1981">
        <v>0</v>
      </c>
      <c r="R146" s="1981">
        <v>0</v>
      </c>
      <c r="S146" s="1982">
        <v>0</v>
      </c>
      <c r="U146" s="47">
        <f t="shared" si="9"/>
        <v>0</v>
      </c>
      <c r="V146" s="48">
        <f t="shared" si="8"/>
        <v>0</v>
      </c>
    </row>
    <row r="147" spans="1:22">
      <c r="A147" s="33" t="str">
        <f t="shared" si="7"/>
        <v>232</v>
      </c>
      <c r="B147" s="33">
        <v>2320012</v>
      </c>
      <c r="D147" s="1962" t="s">
        <v>394</v>
      </c>
      <c r="E147" s="1962" t="s">
        <v>395</v>
      </c>
      <c r="F147" s="1981">
        <v>27186</v>
      </c>
      <c r="G147" s="1981">
        <v>29536</v>
      </c>
      <c r="H147" s="1981">
        <v>31886</v>
      </c>
      <c r="I147" s="1981">
        <v>7050</v>
      </c>
      <c r="J147" s="1981">
        <v>9400</v>
      </c>
      <c r="K147" s="1981">
        <v>11750</v>
      </c>
      <c r="L147" s="1981">
        <v>14100</v>
      </c>
      <c r="M147" s="1981">
        <v>16450</v>
      </c>
      <c r="N147" s="1981">
        <v>18800</v>
      </c>
      <c r="O147" s="1981">
        <v>21150</v>
      </c>
      <c r="P147" s="1981">
        <v>23500</v>
      </c>
      <c r="Q147" s="1981">
        <v>25850</v>
      </c>
      <c r="R147" s="1981">
        <v>28200</v>
      </c>
      <c r="S147" s="1982">
        <v>20373.692307692309</v>
      </c>
      <c r="U147" s="47">
        <f t="shared" si="9"/>
        <v>20373.692307692309</v>
      </c>
      <c r="V147" s="48">
        <f t="shared" si="8"/>
        <v>0</v>
      </c>
    </row>
    <row r="148" spans="1:22">
      <c r="A148" s="33" t="str">
        <f t="shared" si="7"/>
        <v>232</v>
      </c>
      <c r="B148" s="33">
        <v>2320013</v>
      </c>
      <c r="D148" s="1962" t="s">
        <v>396</v>
      </c>
      <c r="E148" s="1962" t="s">
        <v>7172</v>
      </c>
      <c r="F148" s="1981">
        <v>13.2</v>
      </c>
      <c r="G148" s="1981">
        <v>13.2</v>
      </c>
      <c r="H148" s="1981">
        <v>13.2</v>
      </c>
      <c r="I148" s="1981">
        <v>13.2</v>
      </c>
      <c r="J148" s="1981">
        <v>13.2</v>
      </c>
      <c r="K148" s="1981">
        <v>13.2</v>
      </c>
      <c r="L148" s="1981">
        <v>13.2</v>
      </c>
      <c r="M148" s="1981">
        <v>13.2</v>
      </c>
      <c r="N148" s="1981">
        <v>13.2</v>
      </c>
      <c r="O148" s="1981">
        <v>13.2</v>
      </c>
      <c r="P148" s="1981">
        <v>13.2</v>
      </c>
      <c r="Q148" s="1981">
        <v>13.2</v>
      </c>
      <c r="R148" s="1981">
        <v>13.2</v>
      </c>
      <c r="S148" s="1982">
        <v>13.199999999999998</v>
      </c>
      <c r="U148" s="47">
        <f t="shared" si="9"/>
        <v>13.199999999999998</v>
      </c>
      <c r="V148" s="48">
        <f t="shared" si="8"/>
        <v>0</v>
      </c>
    </row>
    <row r="149" spans="1:22">
      <c r="A149" s="33" t="str">
        <f t="shared" si="7"/>
        <v>232</v>
      </c>
      <c r="B149" s="33">
        <v>2320014</v>
      </c>
      <c r="D149" s="1962" t="s">
        <v>397</v>
      </c>
      <c r="E149" s="1962" t="s">
        <v>398</v>
      </c>
      <c r="F149" s="1981">
        <v>1.6</v>
      </c>
      <c r="G149" s="1981">
        <v>1.6</v>
      </c>
      <c r="H149" s="1981">
        <v>1.6</v>
      </c>
      <c r="I149" s="1981">
        <v>1.6</v>
      </c>
      <c r="J149" s="1981">
        <v>1.6</v>
      </c>
      <c r="K149" s="1981">
        <v>1.6</v>
      </c>
      <c r="L149" s="1981">
        <v>1.6</v>
      </c>
      <c r="M149" s="1981">
        <v>1.6</v>
      </c>
      <c r="N149" s="1981">
        <v>1.6</v>
      </c>
      <c r="O149" s="1981">
        <v>1.6</v>
      </c>
      <c r="P149" s="1981">
        <v>1.6</v>
      </c>
      <c r="Q149" s="1981">
        <v>1.6</v>
      </c>
      <c r="R149" s="1981">
        <v>1.6</v>
      </c>
      <c r="S149" s="1982">
        <v>1.6</v>
      </c>
      <c r="U149" s="47">
        <f t="shared" si="9"/>
        <v>1.6</v>
      </c>
      <c r="V149" s="48">
        <f t="shared" si="8"/>
        <v>0</v>
      </c>
    </row>
    <row r="150" spans="1:22">
      <c r="A150" s="33" t="str">
        <f t="shared" si="7"/>
        <v>232</v>
      </c>
      <c r="B150" s="33">
        <v>2320015</v>
      </c>
      <c r="D150" s="1962" t="s">
        <v>399</v>
      </c>
      <c r="E150" s="1962" t="s">
        <v>400</v>
      </c>
      <c r="F150" s="1981">
        <v>85.759</v>
      </c>
      <c r="G150" s="1981">
        <v>85.759</v>
      </c>
      <c r="H150" s="1981">
        <v>85.759</v>
      </c>
      <c r="I150" s="1981">
        <v>85.759</v>
      </c>
      <c r="J150" s="1981">
        <v>85.759</v>
      </c>
      <c r="K150" s="1981">
        <v>85.759</v>
      </c>
      <c r="L150" s="1981">
        <v>85.759</v>
      </c>
      <c r="M150" s="1981">
        <v>85.759</v>
      </c>
      <c r="N150" s="1981">
        <v>85.759</v>
      </c>
      <c r="O150" s="1981">
        <v>85.759</v>
      </c>
      <c r="P150" s="1981">
        <v>85.759</v>
      </c>
      <c r="Q150" s="1981">
        <v>85.759</v>
      </c>
      <c r="R150" s="1981">
        <v>85.759</v>
      </c>
      <c r="S150" s="1982">
        <v>85.759</v>
      </c>
      <c r="U150" s="47">
        <f t="shared" si="9"/>
        <v>85.759</v>
      </c>
      <c r="V150" s="48">
        <f t="shared" si="8"/>
        <v>0</v>
      </c>
    </row>
    <row r="151" spans="1:22">
      <c r="A151" s="33" t="str">
        <f t="shared" si="7"/>
        <v>232</v>
      </c>
      <c r="B151" s="33">
        <v>2320016</v>
      </c>
      <c r="D151" s="1962" t="s">
        <v>401</v>
      </c>
      <c r="E151" s="1962" t="s">
        <v>402</v>
      </c>
      <c r="F151" s="1981">
        <v>-2.8759999999999999</v>
      </c>
      <c r="G151" s="1981">
        <v>-2.8759999999999999</v>
      </c>
      <c r="H151" s="1981">
        <v>-2.8759999999999999</v>
      </c>
      <c r="I151" s="1981">
        <v>-2.8759999999999999</v>
      </c>
      <c r="J151" s="1981">
        <v>-2.8759999999999999</v>
      </c>
      <c r="K151" s="1981">
        <v>-2.8759999999999999</v>
      </c>
      <c r="L151" s="1981">
        <v>-2.8759999999999999</v>
      </c>
      <c r="M151" s="1981">
        <v>-2.8759999999999999</v>
      </c>
      <c r="N151" s="1981">
        <v>-2.8759999999999999</v>
      </c>
      <c r="O151" s="1981">
        <v>-2.8759999999999999</v>
      </c>
      <c r="P151" s="1981">
        <v>-2.8759999999999999</v>
      </c>
      <c r="Q151" s="1981">
        <v>-2.8759999999999999</v>
      </c>
      <c r="R151" s="1981">
        <v>-2.8759999999999999</v>
      </c>
      <c r="S151" s="1982">
        <v>-2.8760000000000003</v>
      </c>
      <c r="U151" s="47">
        <f t="shared" si="9"/>
        <v>-2.8760000000000003</v>
      </c>
      <c r="V151" s="48">
        <f t="shared" si="8"/>
        <v>0</v>
      </c>
    </row>
    <row r="152" spans="1:22">
      <c r="A152" s="33" t="str">
        <f t="shared" si="7"/>
        <v>232</v>
      </c>
      <c r="B152" s="33">
        <v>2320020</v>
      </c>
      <c r="D152" s="1962" t="s">
        <v>403</v>
      </c>
      <c r="E152" s="1962" t="s">
        <v>404</v>
      </c>
      <c r="F152" s="1981">
        <v>258.7</v>
      </c>
      <c r="G152" s="1981">
        <v>258.7</v>
      </c>
      <c r="H152" s="1981">
        <v>258.7</v>
      </c>
      <c r="I152" s="1981">
        <v>258.7</v>
      </c>
      <c r="J152" s="1981">
        <v>258.7</v>
      </c>
      <c r="K152" s="1981">
        <v>258.7</v>
      </c>
      <c r="L152" s="1981">
        <v>258.7</v>
      </c>
      <c r="M152" s="1981">
        <v>258.7</v>
      </c>
      <c r="N152" s="1981">
        <v>258.7</v>
      </c>
      <c r="O152" s="1981">
        <v>258.7</v>
      </c>
      <c r="P152" s="1981">
        <v>258.7</v>
      </c>
      <c r="Q152" s="1981">
        <v>258.7</v>
      </c>
      <c r="R152" s="1981">
        <v>258.7</v>
      </c>
      <c r="S152" s="1982">
        <v>258.69999999999993</v>
      </c>
      <c r="U152" s="47">
        <f t="shared" si="9"/>
        <v>258.69999999999993</v>
      </c>
      <c r="V152" s="48">
        <f t="shared" si="8"/>
        <v>0</v>
      </c>
    </row>
    <row r="153" spans="1:22">
      <c r="A153" s="33" t="str">
        <f t="shared" si="7"/>
        <v>232</v>
      </c>
      <c r="B153" s="33">
        <v>2320021</v>
      </c>
      <c r="D153" s="1962" t="s">
        <v>405</v>
      </c>
      <c r="E153" s="1962" t="s">
        <v>406</v>
      </c>
      <c r="F153" s="1981">
        <v>-30.7</v>
      </c>
      <c r="G153" s="1981">
        <v>-30.7</v>
      </c>
      <c r="H153" s="1981">
        <v>-30.7</v>
      </c>
      <c r="I153" s="1981">
        <v>-30.7</v>
      </c>
      <c r="J153" s="1981">
        <v>-30.7</v>
      </c>
      <c r="K153" s="1981">
        <v>-30.7</v>
      </c>
      <c r="L153" s="1981">
        <v>-30.7</v>
      </c>
      <c r="M153" s="1981">
        <v>-30.7</v>
      </c>
      <c r="N153" s="1981">
        <v>-30.7</v>
      </c>
      <c r="O153" s="1981">
        <v>-30.7</v>
      </c>
      <c r="P153" s="1981">
        <v>-30.7</v>
      </c>
      <c r="Q153" s="1981">
        <v>-30.7</v>
      </c>
      <c r="R153" s="1981">
        <v>-30.7</v>
      </c>
      <c r="S153" s="1982">
        <v>-30.699999999999992</v>
      </c>
      <c r="U153" s="47">
        <f t="shared" si="9"/>
        <v>-30.699999999999992</v>
      </c>
      <c r="V153" s="48">
        <f t="shared" si="8"/>
        <v>0</v>
      </c>
    </row>
    <row r="154" spans="1:22">
      <c r="A154" s="33" t="str">
        <f t="shared" si="7"/>
        <v>232</v>
      </c>
      <c r="B154" s="33">
        <v>2320022</v>
      </c>
      <c r="D154" s="1962" t="s">
        <v>407</v>
      </c>
      <c r="E154" s="1962" t="s">
        <v>408</v>
      </c>
      <c r="F154" s="1981">
        <v>4587.9279999999999</v>
      </c>
      <c r="G154" s="1981">
        <v>4591.2610000000004</v>
      </c>
      <c r="H154" s="1981">
        <v>4594.5940000000001</v>
      </c>
      <c r="I154" s="1981">
        <v>4597.9269999999997</v>
      </c>
      <c r="J154" s="1981">
        <v>4601.26</v>
      </c>
      <c r="K154" s="1981">
        <v>4604.5929999999998</v>
      </c>
      <c r="L154" s="1981">
        <v>4607.9260000000004</v>
      </c>
      <c r="M154" s="1981">
        <v>4611.259</v>
      </c>
      <c r="N154" s="1981">
        <v>4614.5919999999996</v>
      </c>
      <c r="O154" s="1981">
        <v>4617.9250000000002</v>
      </c>
      <c r="P154" s="1981">
        <v>4621.2579999999998</v>
      </c>
      <c r="Q154" s="1981">
        <v>4624.5910000000003</v>
      </c>
      <c r="R154" s="1981">
        <v>4627.9279999999999</v>
      </c>
      <c r="S154" s="1982">
        <v>4607.926307692308</v>
      </c>
      <c r="U154" s="47">
        <f t="shared" si="9"/>
        <v>4607.926307692308</v>
      </c>
      <c r="V154" s="48">
        <f t="shared" si="8"/>
        <v>0</v>
      </c>
    </row>
    <row r="155" spans="1:22">
      <c r="A155" s="33" t="str">
        <f t="shared" si="7"/>
        <v>232</v>
      </c>
      <c r="B155" s="33">
        <v>2320023</v>
      </c>
      <c r="D155" s="1962" t="s">
        <v>409</v>
      </c>
      <c r="E155" s="1962" t="s">
        <v>410</v>
      </c>
      <c r="F155" s="1981">
        <v>70.599999999999994</v>
      </c>
      <c r="G155" s="1981">
        <v>70.599999999999994</v>
      </c>
      <c r="H155" s="1981">
        <v>70.599999999999994</v>
      </c>
      <c r="I155" s="1981">
        <v>70.599999999999994</v>
      </c>
      <c r="J155" s="1981">
        <v>70.599999999999994</v>
      </c>
      <c r="K155" s="1981">
        <v>70.599999999999994</v>
      </c>
      <c r="L155" s="1981">
        <v>70.599999999999994</v>
      </c>
      <c r="M155" s="1981">
        <v>70.599999999999994</v>
      </c>
      <c r="N155" s="1981">
        <v>70.599999999999994</v>
      </c>
      <c r="O155" s="1981">
        <v>70.599999999999994</v>
      </c>
      <c r="P155" s="1981">
        <v>70.599999999999994</v>
      </c>
      <c r="Q155" s="1981">
        <v>70.599999999999994</v>
      </c>
      <c r="R155" s="1981">
        <v>70.599999999999994</v>
      </c>
      <c r="S155" s="1982">
        <v>70.600000000000009</v>
      </c>
      <c r="U155" s="47">
        <f t="shared" si="9"/>
        <v>70.600000000000009</v>
      </c>
      <c r="V155" s="48">
        <f t="shared" si="8"/>
        <v>0</v>
      </c>
    </row>
    <row r="156" spans="1:22">
      <c r="A156" s="33" t="str">
        <f t="shared" si="7"/>
        <v>232</v>
      </c>
      <c r="B156" s="33">
        <v>2320024</v>
      </c>
      <c r="D156" s="1962" t="s">
        <v>411</v>
      </c>
      <c r="E156" s="1962" t="s">
        <v>412</v>
      </c>
      <c r="F156" s="1981">
        <v>0.9</v>
      </c>
      <c r="G156" s="1981">
        <v>0.9</v>
      </c>
      <c r="H156" s="1981">
        <v>0.9</v>
      </c>
      <c r="I156" s="1981">
        <v>0.9</v>
      </c>
      <c r="J156" s="1981">
        <v>0.9</v>
      </c>
      <c r="K156" s="1981">
        <v>0.9</v>
      </c>
      <c r="L156" s="1981">
        <v>0.9</v>
      </c>
      <c r="M156" s="1981">
        <v>0.9</v>
      </c>
      <c r="N156" s="1981">
        <v>0.9</v>
      </c>
      <c r="O156" s="1981">
        <v>0.9</v>
      </c>
      <c r="P156" s="1981">
        <v>0.9</v>
      </c>
      <c r="Q156" s="1981">
        <v>0.9</v>
      </c>
      <c r="R156" s="1981">
        <v>0.9</v>
      </c>
      <c r="S156" s="1982">
        <v>0.90000000000000024</v>
      </c>
      <c r="U156" s="47">
        <f t="shared" si="9"/>
        <v>0.90000000000000024</v>
      </c>
      <c r="V156" s="48">
        <f t="shared" si="8"/>
        <v>0</v>
      </c>
    </row>
    <row r="157" spans="1:22">
      <c r="A157" s="33" t="str">
        <f t="shared" si="7"/>
        <v>232</v>
      </c>
      <c r="B157" s="33">
        <v>2320025</v>
      </c>
      <c r="D157" s="1962" t="s">
        <v>7173</v>
      </c>
      <c r="E157" s="1962" t="s">
        <v>7174</v>
      </c>
      <c r="F157" s="1981">
        <v>0</v>
      </c>
      <c r="G157" s="1981">
        <v>0</v>
      </c>
      <c r="H157" s="1981">
        <v>0</v>
      </c>
      <c r="I157" s="1981">
        <v>0</v>
      </c>
      <c r="J157" s="1981">
        <v>0</v>
      </c>
      <c r="K157" s="1981">
        <v>0</v>
      </c>
      <c r="L157" s="1981">
        <v>0</v>
      </c>
      <c r="M157" s="1981">
        <v>0</v>
      </c>
      <c r="N157" s="1981">
        <v>0</v>
      </c>
      <c r="O157" s="1981">
        <v>0</v>
      </c>
      <c r="P157" s="1981">
        <v>0</v>
      </c>
      <c r="Q157" s="1981">
        <v>0</v>
      </c>
      <c r="R157" s="1981">
        <v>0</v>
      </c>
      <c r="S157" s="1982">
        <v>0</v>
      </c>
      <c r="U157" s="47">
        <f t="shared" si="9"/>
        <v>0</v>
      </c>
      <c r="V157" s="48">
        <f t="shared" si="8"/>
        <v>0</v>
      </c>
    </row>
    <row r="158" spans="1:22">
      <c r="A158" s="33" t="str">
        <f t="shared" si="7"/>
        <v>232</v>
      </c>
      <c r="B158" s="33">
        <v>2320027</v>
      </c>
      <c r="D158" s="1962" t="s">
        <v>413</v>
      </c>
      <c r="E158" s="1962" t="s">
        <v>414</v>
      </c>
      <c r="F158" s="1981">
        <v>261</v>
      </c>
      <c r="G158" s="1981">
        <v>269</v>
      </c>
      <c r="H158" s="1981">
        <v>269</v>
      </c>
      <c r="I158" s="1981">
        <v>269</v>
      </c>
      <c r="J158" s="1981">
        <v>269</v>
      </c>
      <c r="K158" s="1981">
        <v>269</v>
      </c>
      <c r="L158" s="1981">
        <v>269</v>
      </c>
      <c r="M158" s="1981">
        <v>269</v>
      </c>
      <c r="N158" s="1981">
        <v>269</v>
      </c>
      <c r="O158" s="1981">
        <v>269</v>
      </c>
      <c r="P158" s="1981">
        <v>269</v>
      </c>
      <c r="Q158" s="1981">
        <v>269</v>
      </c>
      <c r="R158" s="1981">
        <v>269</v>
      </c>
      <c r="S158" s="1982">
        <v>268.38461538461536</v>
      </c>
      <c r="U158" s="47">
        <f t="shared" si="9"/>
        <v>268.38461538461536</v>
      </c>
      <c r="V158" s="48">
        <f t="shared" si="8"/>
        <v>0</v>
      </c>
    </row>
    <row r="159" spans="1:22">
      <c r="A159" s="33" t="str">
        <f t="shared" si="7"/>
        <v>232</v>
      </c>
      <c r="B159" s="33">
        <v>2320028</v>
      </c>
      <c r="D159" s="1962" t="s">
        <v>415</v>
      </c>
      <c r="E159" s="1962" t="s">
        <v>416</v>
      </c>
      <c r="F159" s="1981">
        <v>90</v>
      </c>
      <c r="G159" s="1981">
        <v>93</v>
      </c>
      <c r="H159" s="1981">
        <v>93</v>
      </c>
      <c r="I159" s="1981">
        <v>93</v>
      </c>
      <c r="J159" s="1981">
        <v>93</v>
      </c>
      <c r="K159" s="1981">
        <v>93</v>
      </c>
      <c r="L159" s="1981">
        <v>93</v>
      </c>
      <c r="M159" s="1981">
        <v>93</v>
      </c>
      <c r="N159" s="1981">
        <v>93</v>
      </c>
      <c r="O159" s="1981">
        <v>93</v>
      </c>
      <c r="P159" s="1981">
        <v>93</v>
      </c>
      <c r="Q159" s="1981">
        <v>93</v>
      </c>
      <c r="R159" s="1981">
        <v>93</v>
      </c>
      <c r="S159" s="1982">
        <v>92.769230769230774</v>
      </c>
      <c r="U159" s="47">
        <f t="shared" si="9"/>
        <v>92.769230769230774</v>
      </c>
      <c r="V159" s="48">
        <f t="shared" si="8"/>
        <v>0</v>
      </c>
    </row>
    <row r="160" spans="1:22">
      <c r="A160" s="33" t="str">
        <f t="shared" si="7"/>
        <v>232</v>
      </c>
      <c r="B160" s="33">
        <v>2320029</v>
      </c>
      <c r="D160" s="1962" t="s">
        <v>417</v>
      </c>
      <c r="E160" s="1962" t="s">
        <v>418</v>
      </c>
      <c r="F160" s="1981">
        <v>76</v>
      </c>
      <c r="G160" s="1981">
        <v>78</v>
      </c>
      <c r="H160" s="1981">
        <v>78</v>
      </c>
      <c r="I160" s="1981">
        <v>78</v>
      </c>
      <c r="J160" s="1981">
        <v>78</v>
      </c>
      <c r="K160" s="1981">
        <v>78</v>
      </c>
      <c r="L160" s="1981">
        <v>78</v>
      </c>
      <c r="M160" s="1981">
        <v>78</v>
      </c>
      <c r="N160" s="1981">
        <v>78</v>
      </c>
      <c r="O160" s="1981">
        <v>78</v>
      </c>
      <c r="P160" s="1981">
        <v>78</v>
      </c>
      <c r="Q160" s="1981">
        <v>78</v>
      </c>
      <c r="R160" s="1981">
        <v>78</v>
      </c>
      <c r="S160" s="1982">
        <v>77.84615384615384</v>
      </c>
      <c r="U160" s="47">
        <f t="shared" si="9"/>
        <v>77.84615384615384</v>
      </c>
      <c r="V160" s="48">
        <f t="shared" si="8"/>
        <v>0</v>
      </c>
    </row>
    <row r="161" spans="1:22">
      <c r="A161" s="33" t="str">
        <f t="shared" si="7"/>
        <v>232</v>
      </c>
      <c r="B161" s="33">
        <v>2320031</v>
      </c>
      <c r="D161" s="1962" t="s">
        <v>419</v>
      </c>
      <c r="E161" s="1962" t="s">
        <v>420</v>
      </c>
      <c r="F161" s="1981">
        <v>44738</v>
      </c>
      <c r="G161" s="1981">
        <v>49651</v>
      </c>
      <c r="H161" s="1981">
        <v>43913</v>
      </c>
      <c r="I161" s="1981">
        <v>44258</v>
      </c>
      <c r="J161" s="1981">
        <v>44615</v>
      </c>
      <c r="K161" s="1981">
        <v>51183</v>
      </c>
      <c r="L161" s="1981">
        <v>56459</v>
      </c>
      <c r="M161" s="1981">
        <v>63083</v>
      </c>
      <c r="N161" s="1981">
        <v>66650</v>
      </c>
      <c r="O161" s="1981">
        <v>59084</v>
      </c>
      <c r="P161" s="1981">
        <v>54945</v>
      </c>
      <c r="Q161" s="1981">
        <v>47148</v>
      </c>
      <c r="R161" s="1981">
        <v>48950</v>
      </c>
      <c r="S161" s="1982">
        <v>51898.230769230766</v>
      </c>
      <c r="U161" s="47">
        <f t="shared" si="9"/>
        <v>51898.230769230766</v>
      </c>
      <c r="V161" s="48">
        <f t="shared" si="8"/>
        <v>0</v>
      </c>
    </row>
    <row r="162" spans="1:22">
      <c r="A162" s="33" t="str">
        <f t="shared" si="7"/>
        <v>232</v>
      </c>
      <c r="B162" s="33">
        <v>2320035</v>
      </c>
      <c r="D162" s="1962" t="s">
        <v>421</v>
      </c>
      <c r="E162" s="1962" t="s">
        <v>422</v>
      </c>
      <c r="F162" s="1981">
        <v>441.5103301117</v>
      </c>
      <c r="G162" s="1981">
        <v>3864.376636425</v>
      </c>
      <c r="H162" s="1981">
        <v>3983.1686522620998</v>
      </c>
      <c r="I162" s="1981">
        <v>1989.2396562014001</v>
      </c>
      <c r="J162" s="1981">
        <v>4272.1801007372005</v>
      </c>
      <c r="K162" s="1981">
        <v>622.03757177720001</v>
      </c>
      <c r="L162" s="1981">
        <v>267.66828000000004</v>
      </c>
      <c r="M162" s="1981">
        <v>63.859319890899997</v>
      </c>
      <c r="N162" s="1981">
        <v>66.494354080899996</v>
      </c>
      <c r="O162" s="1981">
        <v>253.41823410219999</v>
      </c>
      <c r="P162" s="1981">
        <v>970.59140394149995</v>
      </c>
      <c r="Q162" s="1981">
        <v>187.47606071280001</v>
      </c>
      <c r="R162" s="1981">
        <v>242.74475343360001</v>
      </c>
      <c r="S162" s="1982">
        <v>1324.9819502828079</v>
      </c>
      <c r="U162" s="47">
        <f t="shared" si="9"/>
        <v>1324.9819502828079</v>
      </c>
      <c r="V162" s="48">
        <f t="shared" si="8"/>
        <v>0</v>
      </c>
    </row>
    <row r="163" spans="1:22">
      <c r="A163" s="33" t="str">
        <f t="shared" si="7"/>
        <v>232</v>
      </c>
      <c r="B163" s="33">
        <v>2320036</v>
      </c>
      <c r="D163" s="1962" t="s">
        <v>423</v>
      </c>
      <c r="E163" s="1962" t="s">
        <v>7175</v>
      </c>
      <c r="F163" s="1981">
        <v>11</v>
      </c>
      <c r="G163" s="1981">
        <v>11</v>
      </c>
      <c r="H163" s="1981">
        <v>11</v>
      </c>
      <c r="I163" s="1981">
        <v>11</v>
      </c>
      <c r="J163" s="1981">
        <v>11</v>
      </c>
      <c r="K163" s="1981">
        <v>11</v>
      </c>
      <c r="L163" s="1981">
        <v>11</v>
      </c>
      <c r="M163" s="1981">
        <v>11</v>
      </c>
      <c r="N163" s="1981">
        <v>11</v>
      </c>
      <c r="O163" s="1981">
        <v>11</v>
      </c>
      <c r="P163" s="1981">
        <v>11</v>
      </c>
      <c r="Q163" s="1981">
        <v>11</v>
      </c>
      <c r="R163" s="1981">
        <v>11</v>
      </c>
      <c r="S163" s="1982">
        <v>11</v>
      </c>
      <c r="U163" s="47">
        <f t="shared" si="9"/>
        <v>11</v>
      </c>
      <c r="V163" s="48">
        <f t="shared" si="8"/>
        <v>0</v>
      </c>
    </row>
    <row r="164" spans="1:22">
      <c r="A164" s="33" t="str">
        <f t="shared" si="7"/>
        <v>232</v>
      </c>
      <c r="B164" s="33">
        <v>2320037</v>
      </c>
      <c r="D164" s="1962" t="s">
        <v>424</v>
      </c>
      <c r="E164" s="1962" t="s">
        <v>425</v>
      </c>
      <c r="F164" s="1981">
        <v>45</v>
      </c>
      <c r="G164" s="1981">
        <v>45</v>
      </c>
      <c r="H164" s="1981">
        <v>45</v>
      </c>
      <c r="I164" s="1981">
        <v>45</v>
      </c>
      <c r="J164" s="1981">
        <v>45</v>
      </c>
      <c r="K164" s="1981">
        <v>45</v>
      </c>
      <c r="L164" s="1981">
        <v>45</v>
      </c>
      <c r="M164" s="1981">
        <v>45</v>
      </c>
      <c r="N164" s="1981">
        <v>45</v>
      </c>
      <c r="O164" s="1981">
        <v>45</v>
      </c>
      <c r="P164" s="1981">
        <v>45</v>
      </c>
      <c r="Q164" s="1981">
        <v>45</v>
      </c>
      <c r="R164" s="1981">
        <v>45</v>
      </c>
      <c r="S164" s="1982">
        <v>45</v>
      </c>
      <c r="U164" s="47">
        <f t="shared" si="9"/>
        <v>45</v>
      </c>
      <c r="V164" s="48">
        <f t="shared" si="8"/>
        <v>0</v>
      </c>
    </row>
    <row r="165" spans="1:22">
      <c r="A165" s="33" t="str">
        <f t="shared" si="7"/>
        <v>232</v>
      </c>
      <c r="B165" s="33">
        <v>2320039</v>
      </c>
      <c r="D165" s="1962" t="s">
        <v>426</v>
      </c>
      <c r="E165" s="1962" t="s">
        <v>427</v>
      </c>
      <c r="F165" s="1981">
        <v>0</v>
      </c>
      <c r="G165" s="1981">
        <v>0</v>
      </c>
      <c r="H165" s="1981">
        <v>0</v>
      </c>
      <c r="I165" s="1981">
        <v>0</v>
      </c>
      <c r="J165" s="1981">
        <v>0</v>
      </c>
      <c r="K165" s="1981">
        <v>0</v>
      </c>
      <c r="L165" s="1981">
        <v>0</v>
      </c>
      <c r="M165" s="1981">
        <v>0</v>
      </c>
      <c r="N165" s="1981">
        <v>0</v>
      </c>
      <c r="O165" s="1981">
        <v>0</v>
      </c>
      <c r="P165" s="1981">
        <v>0</v>
      </c>
      <c r="Q165" s="1981">
        <v>0</v>
      </c>
      <c r="R165" s="1981">
        <v>0</v>
      </c>
      <c r="S165" s="1982">
        <v>0</v>
      </c>
      <c r="U165" s="47">
        <f t="shared" si="9"/>
        <v>0</v>
      </c>
      <c r="V165" s="48">
        <f t="shared" si="8"/>
        <v>0</v>
      </c>
    </row>
    <row r="166" spans="1:22">
      <c r="A166" s="33" t="str">
        <f t="shared" si="7"/>
        <v>232</v>
      </c>
      <c r="B166" s="33">
        <v>2320402</v>
      </c>
      <c r="D166" s="1962" t="s">
        <v>428</v>
      </c>
      <c r="E166" s="1962" t="s">
        <v>429</v>
      </c>
      <c r="F166" s="1981">
        <v>0</v>
      </c>
      <c r="G166" s="1981">
        <v>0</v>
      </c>
      <c r="H166" s="1981">
        <v>0</v>
      </c>
      <c r="I166" s="1981">
        <v>0</v>
      </c>
      <c r="J166" s="1981">
        <v>0</v>
      </c>
      <c r="K166" s="1981">
        <v>0</v>
      </c>
      <c r="L166" s="1981">
        <v>0</v>
      </c>
      <c r="M166" s="1981">
        <v>0</v>
      </c>
      <c r="N166" s="1981">
        <v>0</v>
      </c>
      <c r="O166" s="1981">
        <v>0</v>
      </c>
      <c r="P166" s="1981">
        <v>0</v>
      </c>
      <c r="Q166" s="1981">
        <v>0</v>
      </c>
      <c r="R166" s="1981">
        <v>0</v>
      </c>
      <c r="S166" s="1982">
        <v>0</v>
      </c>
      <c r="U166" s="47">
        <f t="shared" si="9"/>
        <v>0</v>
      </c>
      <c r="V166" s="48">
        <f t="shared" si="8"/>
        <v>0</v>
      </c>
    </row>
    <row r="167" spans="1:22">
      <c r="A167" s="33" t="str">
        <f t="shared" si="7"/>
        <v>232</v>
      </c>
      <c r="B167" s="33">
        <v>2320403</v>
      </c>
      <c r="D167" s="1962" t="s">
        <v>430</v>
      </c>
      <c r="E167" s="1962" t="s">
        <v>431</v>
      </c>
      <c r="F167" s="1981">
        <v>0</v>
      </c>
      <c r="G167" s="1981">
        <v>0</v>
      </c>
      <c r="H167" s="1981">
        <v>0</v>
      </c>
      <c r="I167" s="1981">
        <v>0</v>
      </c>
      <c r="J167" s="1981">
        <v>0</v>
      </c>
      <c r="K167" s="1981">
        <v>0</v>
      </c>
      <c r="L167" s="1981">
        <v>0</v>
      </c>
      <c r="M167" s="1981">
        <v>0</v>
      </c>
      <c r="N167" s="1981">
        <v>0</v>
      </c>
      <c r="O167" s="1981">
        <v>0</v>
      </c>
      <c r="P167" s="1981">
        <v>0</v>
      </c>
      <c r="Q167" s="1981">
        <v>0</v>
      </c>
      <c r="R167" s="1981">
        <v>0</v>
      </c>
      <c r="S167" s="1982">
        <v>0</v>
      </c>
      <c r="U167" s="47">
        <f t="shared" si="9"/>
        <v>0</v>
      </c>
      <c r="V167" s="48">
        <f t="shared" si="8"/>
        <v>0</v>
      </c>
    </row>
    <row r="168" spans="1:22">
      <c r="A168" s="33" t="str">
        <f t="shared" si="7"/>
        <v>232</v>
      </c>
      <c r="B168" s="33">
        <v>2320404</v>
      </c>
      <c r="D168" s="1962" t="s">
        <v>432</v>
      </c>
      <c r="E168" s="1962" t="s">
        <v>433</v>
      </c>
      <c r="F168" s="1981">
        <v>0</v>
      </c>
      <c r="G168" s="1981">
        <v>0</v>
      </c>
      <c r="H168" s="1981">
        <v>0</v>
      </c>
      <c r="I168" s="1981">
        <v>0</v>
      </c>
      <c r="J168" s="1981">
        <v>0</v>
      </c>
      <c r="K168" s="1981">
        <v>0</v>
      </c>
      <c r="L168" s="1981">
        <v>0</v>
      </c>
      <c r="M168" s="1981">
        <v>0</v>
      </c>
      <c r="N168" s="1981">
        <v>0</v>
      </c>
      <c r="O168" s="1981">
        <v>0</v>
      </c>
      <c r="P168" s="1981">
        <v>0</v>
      </c>
      <c r="Q168" s="1981">
        <v>0</v>
      </c>
      <c r="R168" s="1981">
        <v>0</v>
      </c>
      <c r="S168" s="1982">
        <v>0</v>
      </c>
      <c r="U168" s="47">
        <f t="shared" si="9"/>
        <v>0</v>
      </c>
      <c r="V168" s="48">
        <f t="shared" si="8"/>
        <v>0</v>
      </c>
    </row>
    <row r="169" spans="1:22">
      <c r="A169" s="33" t="str">
        <f t="shared" si="7"/>
        <v>232</v>
      </c>
      <c r="B169" s="33">
        <v>2320405</v>
      </c>
      <c r="D169" s="1962" t="s">
        <v>434</v>
      </c>
      <c r="E169" s="1962" t="s">
        <v>435</v>
      </c>
      <c r="F169" s="1981">
        <v>0</v>
      </c>
      <c r="G169" s="1981">
        <v>0</v>
      </c>
      <c r="H169" s="1981">
        <v>0</v>
      </c>
      <c r="I169" s="1981">
        <v>0</v>
      </c>
      <c r="J169" s="1981">
        <v>0</v>
      </c>
      <c r="K169" s="1981">
        <v>0</v>
      </c>
      <c r="L169" s="1981">
        <v>0</v>
      </c>
      <c r="M169" s="1981">
        <v>0</v>
      </c>
      <c r="N169" s="1981">
        <v>0</v>
      </c>
      <c r="O169" s="1981">
        <v>0</v>
      </c>
      <c r="P169" s="1981">
        <v>0</v>
      </c>
      <c r="Q169" s="1981">
        <v>0</v>
      </c>
      <c r="R169" s="1981">
        <v>0</v>
      </c>
      <c r="S169" s="1982">
        <v>0</v>
      </c>
      <c r="U169" s="47">
        <f t="shared" si="9"/>
        <v>0</v>
      </c>
      <c r="V169" s="48">
        <f t="shared" si="8"/>
        <v>0</v>
      </c>
    </row>
    <row r="170" spans="1:22">
      <c r="A170" s="33" t="str">
        <f t="shared" si="7"/>
        <v>241</v>
      </c>
      <c r="B170" s="33">
        <v>2410000</v>
      </c>
      <c r="D170" s="1962" t="s">
        <v>475</v>
      </c>
      <c r="E170" s="1962" t="s">
        <v>476</v>
      </c>
      <c r="F170" s="1981">
        <v>1455.2055293771</v>
      </c>
      <c r="G170" s="1981">
        <v>1439.1704199218</v>
      </c>
      <c r="H170" s="1981">
        <v>1460.1364014681001</v>
      </c>
      <c r="I170" s="1981">
        <v>1448.5259254441999</v>
      </c>
      <c r="J170" s="1981">
        <v>1507.1079614255</v>
      </c>
      <c r="K170" s="1981">
        <v>1595.7073256637</v>
      </c>
      <c r="L170" s="1981">
        <v>1709.3683271729001</v>
      </c>
      <c r="M170" s="1981">
        <v>1786.1474506894001</v>
      </c>
      <c r="N170" s="1981">
        <v>1871.7812665122999</v>
      </c>
      <c r="O170" s="1981">
        <v>1899.2420875145999</v>
      </c>
      <c r="P170" s="1981">
        <v>1756.0887987870999</v>
      </c>
      <c r="Q170" s="1981">
        <v>1602.7503851573999</v>
      </c>
      <c r="R170" s="1981">
        <v>1654.1353943569</v>
      </c>
      <c r="S170" s="1982">
        <v>1629.6436364223846</v>
      </c>
      <c r="U170" s="47">
        <f t="shared" si="9"/>
        <v>1629.6436364223846</v>
      </c>
      <c r="V170" s="48">
        <f t="shared" si="8"/>
        <v>0</v>
      </c>
    </row>
    <row r="171" spans="1:22">
      <c r="A171" s="33" t="str">
        <f t="shared" si="7"/>
        <v>241</v>
      </c>
      <c r="B171" s="33">
        <v>2410005</v>
      </c>
      <c r="D171" s="1962" t="s">
        <v>477</v>
      </c>
      <c r="E171" s="1962" t="s">
        <v>478</v>
      </c>
      <c r="F171" s="1981">
        <v>730.05396664080001</v>
      </c>
      <c r="G171" s="1981">
        <v>671.24323391639996</v>
      </c>
      <c r="H171" s="1981">
        <v>681.02197384919998</v>
      </c>
      <c r="I171" s="1981">
        <v>675.6067336763</v>
      </c>
      <c r="J171" s="1981">
        <v>702.92997124240003</v>
      </c>
      <c r="K171" s="1981">
        <v>744.2535858407</v>
      </c>
      <c r="L171" s="1981">
        <v>797.26619447070004</v>
      </c>
      <c r="M171" s="1981">
        <v>833.07673257869999</v>
      </c>
      <c r="N171" s="1981">
        <v>873.01718623860006</v>
      </c>
      <c r="O171" s="1981">
        <v>885.82518315149991</v>
      </c>
      <c r="P171" s="1981">
        <v>819.05708179190003</v>
      </c>
      <c r="Q171" s="1981">
        <v>747.53853803660002</v>
      </c>
      <c r="R171" s="1981">
        <v>771.50501154970004</v>
      </c>
      <c r="S171" s="1982">
        <v>764.03041484488472</v>
      </c>
      <c r="U171" s="47">
        <f t="shared" si="9"/>
        <v>764.03041484488472</v>
      </c>
      <c r="V171" s="48">
        <f t="shared" si="8"/>
        <v>0</v>
      </c>
    </row>
    <row r="172" spans="1:22">
      <c r="A172" s="33" t="str">
        <f t="shared" si="7"/>
        <v>241</v>
      </c>
      <c r="B172" s="33">
        <v>2410300</v>
      </c>
      <c r="D172" s="1962" t="s">
        <v>479</v>
      </c>
      <c r="E172" s="1962" t="s">
        <v>480</v>
      </c>
      <c r="F172" s="1981">
        <v>1577.1644865516</v>
      </c>
      <c r="G172" s="1981">
        <v>1460.5668392672999</v>
      </c>
      <c r="H172" s="1981">
        <v>1481.8445260342</v>
      </c>
      <c r="I172" s="1981">
        <v>1470.0614348631</v>
      </c>
      <c r="J172" s="1981">
        <v>1529.5144210743001</v>
      </c>
      <c r="K172" s="1981">
        <v>1619.4310088496002</v>
      </c>
      <c r="L172" s="1981">
        <v>1734.7818300061999</v>
      </c>
      <c r="M172" s="1981">
        <v>1812.7024433010999</v>
      </c>
      <c r="N172" s="1981">
        <v>1899.6093932908</v>
      </c>
      <c r="O172" s="1981">
        <v>1927.4784795225</v>
      </c>
      <c r="P172" s="1981">
        <v>1782.1969037250999</v>
      </c>
      <c r="Q172" s="1981">
        <v>1626.5787788434</v>
      </c>
      <c r="R172" s="1981">
        <v>1678.7277387117001</v>
      </c>
      <c r="S172" s="1982">
        <v>1661.5890987723765</v>
      </c>
      <c r="U172" s="47">
        <f t="shared" si="9"/>
        <v>1661.5890987723765</v>
      </c>
      <c r="V172" s="48">
        <f t="shared" si="8"/>
        <v>0</v>
      </c>
    </row>
    <row r="173" spans="1:22">
      <c r="A173" s="33" t="str">
        <f t="shared" si="7"/>
        <v>241</v>
      </c>
      <c r="B173" s="33">
        <v>2410305</v>
      </c>
      <c r="D173" s="1962" t="s">
        <v>481</v>
      </c>
      <c r="E173" s="1962" t="s">
        <v>482</v>
      </c>
      <c r="F173" s="1981">
        <v>239.93795008000001</v>
      </c>
      <c r="G173" s="1981">
        <v>226.20147684710003</v>
      </c>
      <c r="H173" s="1981">
        <v>229.49680304589998</v>
      </c>
      <c r="I173" s="1981">
        <v>227.67192755709999</v>
      </c>
      <c r="J173" s="1981">
        <v>236.87955361189998</v>
      </c>
      <c r="K173" s="1981">
        <v>250.80515044249998</v>
      </c>
      <c r="L173" s="1981">
        <v>268.6698077794</v>
      </c>
      <c r="M173" s="1981">
        <v>280.73755937440001</v>
      </c>
      <c r="N173" s="1981">
        <v>294.19704640869998</v>
      </c>
      <c r="O173" s="1981">
        <v>298.5131983947</v>
      </c>
      <c r="P173" s="1981">
        <v>276.0130935583</v>
      </c>
      <c r="Q173" s="1981">
        <v>251.91214266310001</v>
      </c>
      <c r="R173" s="1981">
        <v>259.98857670299998</v>
      </c>
      <c r="S173" s="1982">
        <v>257.00186818970002</v>
      </c>
      <c r="U173" s="47">
        <f t="shared" si="9"/>
        <v>257.00186818970002</v>
      </c>
      <c r="V173" s="48">
        <f t="shared" si="8"/>
        <v>0</v>
      </c>
    </row>
    <row r="174" spans="1:22">
      <c r="A174" s="33" t="str">
        <f t="shared" si="7"/>
        <v>241</v>
      </c>
      <c r="B174" s="33">
        <v>2410310</v>
      </c>
      <c r="D174" s="1962" t="s">
        <v>483</v>
      </c>
      <c r="E174" s="1962" t="s">
        <v>484</v>
      </c>
      <c r="F174" s="1981">
        <v>7771.0460673505995</v>
      </c>
      <c r="G174" s="1981">
        <v>7180.2260300472999</v>
      </c>
      <c r="H174" s="1981">
        <v>7284.8282956026997</v>
      </c>
      <c r="I174" s="1981">
        <v>7226.9019784592001</v>
      </c>
      <c r="J174" s="1981">
        <v>7519.1760926460001</v>
      </c>
      <c r="K174" s="1981">
        <v>7961.2109292035002</v>
      </c>
      <c r="L174" s="1981">
        <v>8528.2818405708003</v>
      </c>
      <c r="M174" s="1981">
        <v>8911.3438140563994</v>
      </c>
      <c r="N174" s="1981">
        <v>9338.5831075496008</v>
      </c>
      <c r="O174" s="1981">
        <v>9475.5890514166003</v>
      </c>
      <c r="P174" s="1981">
        <v>8761.3769221375987</v>
      </c>
      <c r="Q174" s="1981">
        <v>7996.3497552993995</v>
      </c>
      <c r="R174" s="1981">
        <v>8252.7168786787006</v>
      </c>
      <c r="S174" s="1982">
        <v>8169.8177510014148</v>
      </c>
      <c r="U174" s="47">
        <f t="shared" si="9"/>
        <v>8169.8177510014148</v>
      </c>
      <c r="V174" s="48">
        <f t="shared" si="8"/>
        <v>0</v>
      </c>
    </row>
    <row r="175" spans="1:22">
      <c r="A175" s="33" t="str">
        <f t="shared" si="7"/>
        <v>241</v>
      </c>
      <c r="B175" s="33">
        <v>2410320</v>
      </c>
      <c r="D175" s="1962" t="s">
        <v>485</v>
      </c>
      <c r="E175" s="1962" t="s">
        <v>486</v>
      </c>
      <c r="F175" s="1981">
        <v>600.60474999999997</v>
      </c>
      <c r="G175" s="1981">
        <v>600.60474999999997</v>
      </c>
      <c r="H175" s="1981">
        <v>600.60474999999997</v>
      </c>
      <c r="I175" s="1981">
        <v>600.60474999999997</v>
      </c>
      <c r="J175" s="1981">
        <v>600.60474999999997</v>
      </c>
      <c r="K175" s="1981">
        <v>600.60474999999997</v>
      </c>
      <c r="L175" s="1981">
        <v>600.60474999999997</v>
      </c>
      <c r="M175" s="1981">
        <v>600.60474999999997</v>
      </c>
      <c r="N175" s="1981">
        <v>600.60474999999997</v>
      </c>
      <c r="O175" s="1981">
        <v>600.60474999999997</v>
      </c>
      <c r="P175" s="1981">
        <v>600.60474999999997</v>
      </c>
      <c r="Q175" s="1981">
        <v>600.60474999999997</v>
      </c>
      <c r="R175" s="1981">
        <v>600.60474999999997</v>
      </c>
      <c r="S175" s="1982">
        <v>600.60475000000019</v>
      </c>
      <c r="U175" s="47">
        <f t="shared" si="9"/>
        <v>600.60475000000019</v>
      </c>
      <c r="V175" s="48">
        <f t="shared" si="8"/>
        <v>0</v>
      </c>
    </row>
    <row r="176" spans="1:22">
      <c r="A176" s="33" t="str">
        <f t="shared" si="7"/>
        <v>241</v>
      </c>
      <c r="B176" s="33">
        <v>2410330</v>
      </c>
      <c r="D176" s="1962" t="s">
        <v>487</v>
      </c>
      <c r="E176" s="1962" t="s">
        <v>488</v>
      </c>
      <c r="F176" s="1981">
        <v>1092.7273899999998</v>
      </c>
      <c r="G176" s="1981">
        <v>1092.7273899999998</v>
      </c>
      <c r="H176" s="1981">
        <v>1092.7273899999998</v>
      </c>
      <c r="I176" s="1981">
        <v>1092.7273899999998</v>
      </c>
      <c r="J176" s="1981">
        <v>1092.7273899999998</v>
      </c>
      <c r="K176" s="1981">
        <v>1092.7273899999998</v>
      </c>
      <c r="L176" s="1981">
        <v>1092.7273899999998</v>
      </c>
      <c r="M176" s="1981">
        <v>1092.7273899999998</v>
      </c>
      <c r="N176" s="1981">
        <v>1092.7273899999998</v>
      </c>
      <c r="O176" s="1981">
        <v>1092.7273899999998</v>
      </c>
      <c r="P176" s="1981">
        <v>1092.7273899999998</v>
      </c>
      <c r="Q176" s="1981">
        <v>1092.7273899999998</v>
      </c>
      <c r="R176" s="1981">
        <v>1092.7273899999998</v>
      </c>
      <c r="S176" s="1982">
        <v>1092.7273899999998</v>
      </c>
      <c r="U176" s="47">
        <f t="shared" si="9"/>
        <v>1092.7273899999998</v>
      </c>
      <c r="V176" s="48">
        <f t="shared" si="8"/>
        <v>0</v>
      </c>
    </row>
    <row r="177" spans="1:22">
      <c r="A177" s="33" t="str">
        <f t="shared" si="7"/>
        <v>241</v>
      </c>
      <c r="B177" s="33">
        <v>2410430</v>
      </c>
      <c r="D177" s="1962" t="s">
        <v>489</v>
      </c>
      <c r="E177" s="1962" t="s">
        <v>490</v>
      </c>
      <c r="F177" s="1981">
        <v>31.720040000000001</v>
      </c>
      <c r="G177" s="1981">
        <v>31.720040000000001</v>
      </c>
      <c r="H177" s="1981">
        <v>31.720040000000001</v>
      </c>
      <c r="I177" s="1981">
        <v>31.720040000000001</v>
      </c>
      <c r="J177" s="1981">
        <v>31.720040000000001</v>
      </c>
      <c r="K177" s="1981">
        <v>31.720040000000001</v>
      </c>
      <c r="L177" s="1981">
        <v>31.720040000000001</v>
      </c>
      <c r="M177" s="1981">
        <v>31.720040000000001</v>
      </c>
      <c r="N177" s="1981">
        <v>31.720040000000001</v>
      </c>
      <c r="O177" s="1981">
        <v>31.720040000000001</v>
      </c>
      <c r="P177" s="1981">
        <v>31.720040000000001</v>
      </c>
      <c r="Q177" s="1981">
        <v>31.720040000000001</v>
      </c>
      <c r="R177" s="1981">
        <v>31.720040000000001</v>
      </c>
      <c r="S177" s="1982">
        <v>31.720039999999997</v>
      </c>
      <c r="U177" s="47">
        <f t="shared" si="9"/>
        <v>31.720039999999997</v>
      </c>
      <c r="V177" s="48">
        <f t="shared" si="8"/>
        <v>0</v>
      </c>
    </row>
    <row r="178" spans="1:22">
      <c r="A178" s="33" t="str">
        <f t="shared" si="7"/>
        <v>242</v>
      </c>
      <c r="B178" s="33">
        <v>2420300</v>
      </c>
      <c r="D178" s="1962" t="s">
        <v>497</v>
      </c>
      <c r="E178" s="1962" t="s">
        <v>498</v>
      </c>
      <c r="F178" s="1981">
        <v>22953</v>
      </c>
      <c r="G178" s="1981">
        <v>22956</v>
      </c>
      <c r="H178" s="1981">
        <v>23050</v>
      </c>
      <c r="I178" s="1981">
        <v>23130</v>
      </c>
      <c r="J178" s="1981">
        <v>23208</v>
      </c>
      <c r="K178" s="1981">
        <v>23263</v>
      </c>
      <c r="L178" s="1981">
        <v>23339</v>
      </c>
      <c r="M178" s="1981">
        <v>23350</v>
      </c>
      <c r="N178" s="1981">
        <v>23395</v>
      </c>
      <c r="O178" s="1981">
        <v>23440</v>
      </c>
      <c r="P178" s="1981">
        <v>23485</v>
      </c>
      <c r="Q178" s="1981">
        <v>23530</v>
      </c>
      <c r="R178" s="1981">
        <v>23359</v>
      </c>
      <c r="S178" s="1982">
        <v>23266</v>
      </c>
      <c r="U178" s="47">
        <f t="shared" si="9"/>
        <v>23266</v>
      </c>
      <c r="V178" s="48">
        <f t="shared" si="8"/>
        <v>0</v>
      </c>
    </row>
    <row r="179" spans="1:22">
      <c r="A179" s="33" t="str">
        <f t="shared" si="7"/>
        <v>234</v>
      </c>
      <c r="B179" s="33">
        <v>2340700</v>
      </c>
      <c r="D179" s="1962" t="s">
        <v>438</v>
      </c>
      <c r="E179" s="1962" t="s">
        <v>439</v>
      </c>
      <c r="F179" s="1981">
        <v>6265.1815700000006</v>
      </c>
      <c r="G179" s="1981">
        <v>4523.4131915610997</v>
      </c>
      <c r="H179" s="1981">
        <v>4700.3608393222003</v>
      </c>
      <c r="I179" s="1981">
        <v>4817.3092329360998</v>
      </c>
      <c r="J179" s="1981">
        <v>4880.3659187693993</v>
      </c>
      <c r="K179" s="1981">
        <v>4881.6720686360995</v>
      </c>
      <c r="L179" s="1981">
        <v>4886.3054086193997</v>
      </c>
      <c r="M179" s="1981">
        <v>5749.9223063444997</v>
      </c>
      <c r="N179" s="1981">
        <v>5887.6213746528001</v>
      </c>
      <c r="O179" s="1981">
        <v>5881.3804767611</v>
      </c>
      <c r="P179" s="1981">
        <v>5903.7780762499997</v>
      </c>
      <c r="Q179" s="1981">
        <v>5896.5460142222</v>
      </c>
      <c r="R179" s="1981">
        <v>5611.2550042749999</v>
      </c>
      <c r="S179" s="1982">
        <v>5375.7778063346068</v>
      </c>
      <c r="U179" s="47">
        <f t="shared" si="9"/>
        <v>5375.7778063346068</v>
      </c>
      <c r="V179" s="48">
        <f t="shared" si="8"/>
        <v>0</v>
      </c>
    </row>
    <row r="180" spans="1:22">
      <c r="A180" s="33" t="str">
        <f t="shared" si="7"/>
        <v>234</v>
      </c>
      <c r="B180" s="33">
        <v>2340701</v>
      </c>
      <c r="D180" s="1962" t="s">
        <v>440</v>
      </c>
      <c r="E180" s="1962" t="s">
        <v>441</v>
      </c>
      <c r="F180" s="1981">
        <v>924.94633999999996</v>
      </c>
      <c r="G180" s="1981">
        <v>930.1005903601</v>
      </c>
      <c r="H180" s="1981">
        <v>930.1005903601</v>
      </c>
      <c r="I180" s="1981">
        <v>930.1005903601</v>
      </c>
      <c r="J180" s="1981">
        <v>930.1005903601</v>
      </c>
      <c r="K180" s="1981">
        <v>930.1005903601</v>
      </c>
      <c r="L180" s="1981">
        <v>930.1005903601</v>
      </c>
      <c r="M180" s="1981">
        <v>930.1005903601</v>
      </c>
      <c r="N180" s="1981">
        <v>930.1005903601</v>
      </c>
      <c r="O180" s="1981">
        <v>930.1005903601</v>
      </c>
      <c r="P180" s="1981">
        <v>930.1005903601</v>
      </c>
      <c r="Q180" s="1981">
        <v>930.1005903601</v>
      </c>
      <c r="R180" s="1981">
        <v>930.1005903601</v>
      </c>
      <c r="S180" s="1982">
        <v>929.70410956316914</v>
      </c>
      <c r="U180" s="47">
        <f t="shared" si="9"/>
        <v>929.70410956316914</v>
      </c>
      <c r="V180" s="48">
        <f t="shared" si="8"/>
        <v>0</v>
      </c>
    </row>
    <row r="181" spans="1:22">
      <c r="A181" s="33" t="str">
        <f t="shared" si="7"/>
        <v>234</v>
      </c>
      <c r="B181" s="33">
        <v>2340711</v>
      </c>
      <c r="D181" s="1962" t="s">
        <v>442</v>
      </c>
      <c r="E181" s="1962" t="s">
        <v>443</v>
      </c>
      <c r="F181" s="1981">
        <v>4419.9135900000001</v>
      </c>
      <c r="G181" s="1981">
        <v>4076.0960885556001</v>
      </c>
      <c r="H181" s="1981">
        <v>3775.3608472000001</v>
      </c>
      <c r="I181" s="1981">
        <v>3675.9048104444</v>
      </c>
      <c r="J181" s="1981">
        <v>3616.6939268889</v>
      </c>
      <c r="K181" s="1981">
        <v>4802.5887253110996</v>
      </c>
      <c r="L181" s="1981">
        <v>5875.5087912667004</v>
      </c>
      <c r="M181" s="1981">
        <v>6301.4647081332996</v>
      </c>
      <c r="N181" s="1981">
        <v>6353.5734360667002</v>
      </c>
      <c r="O181" s="1981">
        <v>6087.3400491332995</v>
      </c>
      <c r="P181" s="1981">
        <v>5086.1458831110995</v>
      </c>
      <c r="Q181" s="1981">
        <v>4111.4305531111004</v>
      </c>
      <c r="R181" s="1981">
        <v>4471.3415275999996</v>
      </c>
      <c r="S181" s="1982">
        <v>4819.4894566786306</v>
      </c>
      <c r="U181" s="47">
        <f t="shared" si="9"/>
        <v>4819.4894566786306</v>
      </c>
      <c r="V181" s="48">
        <f t="shared" si="8"/>
        <v>0</v>
      </c>
    </row>
    <row r="182" spans="1:22">
      <c r="A182" s="33" t="str">
        <f t="shared" si="7"/>
        <v>234</v>
      </c>
      <c r="B182" s="33">
        <v>2340799</v>
      </c>
      <c r="D182" s="1962" t="s">
        <v>596</v>
      </c>
      <c r="E182" s="1962" t="s">
        <v>597</v>
      </c>
      <c r="F182" s="1981">
        <v>330.18571000000003</v>
      </c>
      <c r="G182" s="1981">
        <v>318.82377216970002</v>
      </c>
      <c r="H182" s="1981">
        <v>296.04903242349997</v>
      </c>
      <c r="I182" s="1981">
        <v>274.61029885710002</v>
      </c>
      <c r="J182" s="1981">
        <v>280.12737219999997</v>
      </c>
      <c r="K182" s="1981">
        <v>284.98937971110001</v>
      </c>
      <c r="L182" s="1981">
        <v>291.42037311109999</v>
      </c>
      <c r="M182" s="1981">
        <v>297.76746017779999</v>
      </c>
      <c r="N182" s="1981">
        <v>303.95502395559998</v>
      </c>
      <c r="O182" s="1981">
        <v>314.11698557779999</v>
      </c>
      <c r="P182" s="1981">
        <v>320.42018348890002</v>
      </c>
      <c r="Q182" s="1981">
        <v>323.97221797779997</v>
      </c>
      <c r="R182" s="1981">
        <v>332.01774291109996</v>
      </c>
      <c r="S182" s="1982">
        <v>305.26581173549999</v>
      </c>
      <c r="U182" s="47">
        <f t="shared" si="9"/>
        <v>305.26581173549999</v>
      </c>
      <c r="V182" s="48">
        <f t="shared" si="8"/>
        <v>0</v>
      </c>
    </row>
    <row r="183" spans="1:22">
      <c r="A183" s="33" t="str">
        <f t="shared" si="7"/>
        <v>235</v>
      </c>
      <c r="B183" s="33">
        <v>2350100</v>
      </c>
      <c r="D183" s="1962" t="s">
        <v>444</v>
      </c>
      <c r="E183" s="1962" t="s">
        <v>445</v>
      </c>
      <c r="F183" s="1981">
        <v>121238.932512716</v>
      </c>
      <c r="G183" s="1981">
        <v>121289.44873459599</v>
      </c>
      <c r="H183" s="1981">
        <v>121339.98600490201</v>
      </c>
      <c r="I183" s="1981">
        <v>121390.54433240401</v>
      </c>
      <c r="J183" s="1981">
        <v>121441.12372587601</v>
      </c>
      <c r="K183" s="1981">
        <v>121491.724194095</v>
      </c>
      <c r="L183" s="1981">
        <v>121542.34574584299</v>
      </c>
      <c r="M183" s="1981">
        <v>121592.988389903</v>
      </c>
      <c r="N183" s="1981">
        <v>121643.652135066</v>
      </c>
      <c r="O183" s="1981">
        <v>121694.336990122</v>
      </c>
      <c r="P183" s="1981">
        <v>121745.04296386801</v>
      </c>
      <c r="Q183" s="1981">
        <v>121795.77006510299</v>
      </c>
      <c r="R183" s="1981">
        <v>121846.51830263001</v>
      </c>
      <c r="S183" s="1982">
        <v>121542.49339208646</v>
      </c>
      <c r="U183" s="47">
        <f t="shared" si="9"/>
        <v>121542.49339208646</v>
      </c>
      <c r="V183" s="48">
        <f t="shared" si="8"/>
        <v>0</v>
      </c>
    </row>
    <row r="184" spans="1:22">
      <c r="A184" s="33" t="str">
        <f t="shared" si="7"/>
        <v>254</v>
      </c>
      <c r="B184" s="33">
        <v>2540030</v>
      </c>
      <c r="D184" s="1962" t="s">
        <v>519</v>
      </c>
      <c r="E184" s="1962" t="s">
        <v>520</v>
      </c>
      <c r="F184" s="1981">
        <v>0</v>
      </c>
      <c r="G184" s="1981">
        <v>0</v>
      </c>
      <c r="H184" s="1981">
        <v>0</v>
      </c>
      <c r="I184" s="1981">
        <v>0</v>
      </c>
      <c r="J184" s="1981">
        <v>0</v>
      </c>
      <c r="K184" s="1981">
        <v>0</v>
      </c>
      <c r="L184" s="1981">
        <v>0</v>
      </c>
      <c r="M184" s="1981">
        <v>0</v>
      </c>
      <c r="N184" s="1981">
        <v>0</v>
      </c>
      <c r="O184" s="1981">
        <v>0</v>
      </c>
      <c r="P184" s="1981">
        <v>0</v>
      </c>
      <c r="Q184" s="1981">
        <v>0</v>
      </c>
      <c r="R184" s="1981">
        <v>0</v>
      </c>
      <c r="S184" s="1982">
        <v>0</v>
      </c>
      <c r="U184" s="47">
        <f t="shared" si="9"/>
        <v>0</v>
      </c>
      <c r="V184" s="48">
        <f t="shared" si="8"/>
        <v>0</v>
      </c>
    </row>
    <row r="185" spans="1:22">
      <c r="A185" s="33" t="str">
        <f t="shared" si="7"/>
        <v>254</v>
      </c>
      <c r="B185" s="33">
        <v>2540040</v>
      </c>
      <c r="D185" s="1962" t="s">
        <v>521</v>
      </c>
      <c r="E185" s="1962" t="s">
        <v>522</v>
      </c>
      <c r="F185" s="1981">
        <v>1013.905</v>
      </c>
      <c r="G185" s="1981">
        <v>932.61099999999999</v>
      </c>
      <c r="H185" s="1981">
        <v>850.94</v>
      </c>
      <c r="I185" s="1981">
        <v>769.01199999999994</v>
      </c>
      <c r="J185" s="1981">
        <v>686.72900000000004</v>
      </c>
      <c r="K185" s="1981">
        <v>604.11900000000003</v>
      </c>
      <c r="L185" s="1981">
        <v>521.26900000000001</v>
      </c>
      <c r="M185" s="1981">
        <v>438.13299999999998</v>
      </c>
      <c r="N185" s="1981">
        <v>354.72899999999998</v>
      </c>
      <c r="O185" s="1981">
        <v>271.09699999999998</v>
      </c>
      <c r="P185" s="1981">
        <v>187.21600000000001</v>
      </c>
      <c r="Q185" s="1981">
        <v>103.098</v>
      </c>
      <c r="R185" s="1981">
        <v>18.762</v>
      </c>
      <c r="S185" s="1982">
        <v>519.35538461538465</v>
      </c>
      <c r="U185" s="47">
        <f t="shared" si="9"/>
        <v>519.35538461538465</v>
      </c>
      <c r="V185" s="48">
        <f t="shared" si="8"/>
        <v>0</v>
      </c>
    </row>
    <row r="186" spans="1:22">
      <c r="A186" s="33" t="str">
        <f t="shared" si="7"/>
        <v>254</v>
      </c>
      <c r="B186" s="33">
        <v>2540050</v>
      </c>
      <c r="D186" s="1962" t="s">
        <v>523</v>
      </c>
      <c r="E186" s="1962" t="s">
        <v>7176</v>
      </c>
      <c r="F186" s="1981">
        <v>7965.0140000000001</v>
      </c>
      <c r="G186" s="1981">
        <v>7368.5029999999997</v>
      </c>
      <c r="H186" s="1981">
        <v>6704.7560000000003</v>
      </c>
      <c r="I186" s="1981">
        <v>6034.5730000000003</v>
      </c>
      <c r="J186" s="1981">
        <v>5413.4089999999997</v>
      </c>
      <c r="K186" s="1981">
        <v>4951.8119999999999</v>
      </c>
      <c r="L186" s="1981">
        <v>4723.1220000000003</v>
      </c>
      <c r="M186" s="1981">
        <v>4594.9179999999997</v>
      </c>
      <c r="N186" s="1981">
        <v>4475.8999999999996</v>
      </c>
      <c r="O186" s="1981">
        <v>4391.4549999999999</v>
      </c>
      <c r="P186" s="1981">
        <v>4126.8760000000002</v>
      </c>
      <c r="Q186" s="1981">
        <v>3636.625</v>
      </c>
      <c r="R186" s="1981">
        <v>3079.8090000000002</v>
      </c>
      <c r="S186" s="1982">
        <v>5189.7516923076919</v>
      </c>
      <c r="U186" s="47">
        <f t="shared" si="9"/>
        <v>5189.7516923076919</v>
      </c>
      <c r="V186" s="48">
        <f t="shared" si="8"/>
        <v>0</v>
      </c>
    </row>
    <row r="187" spans="1:22">
      <c r="A187" s="33" t="str">
        <f t="shared" si="7"/>
        <v>254</v>
      </c>
      <c r="B187" s="33">
        <v>2540090</v>
      </c>
      <c r="D187" s="1962" t="s">
        <v>604</v>
      </c>
      <c r="E187" s="1962" t="s">
        <v>7177</v>
      </c>
      <c r="F187" s="1981">
        <v>1688.414</v>
      </c>
      <c r="G187" s="1981">
        <v>850.07399999999996</v>
      </c>
      <c r="H187" s="1981">
        <v>0</v>
      </c>
      <c r="I187" s="1981">
        <v>0</v>
      </c>
      <c r="J187" s="1981">
        <v>0</v>
      </c>
      <c r="K187" s="1981">
        <v>0</v>
      </c>
      <c r="L187" s="1981">
        <v>0</v>
      </c>
      <c r="M187" s="1981">
        <v>0</v>
      </c>
      <c r="N187" s="1981">
        <v>0</v>
      </c>
      <c r="O187" s="1981">
        <v>0</v>
      </c>
      <c r="P187" s="1981">
        <v>0</v>
      </c>
      <c r="Q187" s="1981">
        <v>0</v>
      </c>
      <c r="R187" s="1981">
        <v>0</v>
      </c>
      <c r="S187" s="1982">
        <v>195.26830769230767</v>
      </c>
      <c r="U187" s="47">
        <f t="shared" si="9"/>
        <v>195.26830769230767</v>
      </c>
      <c r="V187" s="48">
        <f t="shared" si="8"/>
        <v>0</v>
      </c>
    </row>
    <row r="188" spans="1:22">
      <c r="A188" s="33" t="str">
        <f t="shared" si="7"/>
        <v>108</v>
      </c>
      <c r="B188" s="33">
        <v>1080110</v>
      </c>
      <c r="D188" s="1962" t="s">
        <v>142</v>
      </c>
      <c r="E188" s="1962" t="s">
        <v>143</v>
      </c>
      <c r="F188" s="1981">
        <v>-13287.324949999998</v>
      </c>
      <c r="G188" s="1981">
        <v>-13265.179410000001</v>
      </c>
      <c r="H188" s="1981">
        <v>-13243.07078</v>
      </c>
      <c r="I188" s="1981">
        <v>-13220.999</v>
      </c>
      <c r="J188" s="1981">
        <v>-13198.964</v>
      </c>
      <c r="K188" s="1981">
        <v>-13176.96573</v>
      </c>
      <c r="L188" s="1981">
        <v>-13155.00412</v>
      </c>
      <c r="M188" s="1981">
        <v>-13133.079109999999</v>
      </c>
      <c r="N188" s="1981">
        <v>-13111.190640000001</v>
      </c>
      <c r="O188" s="1981">
        <v>-13089.338659999999</v>
      </c>
      <c r="P188" s="1981">
        <v>-13067.5231</v>
      </c>
      <c r="Q188" s="1981">
        <v>-13045.74389</v>
      </c>
      <c r="R188" s="1981">
        <v>-13024.000980000001</v>
      </c>
      <c r="S188" s="1982">
        <v>-13155.260336153846</v>
      </c>
      <c r="U188" s="47">
        <f t="shared" si="9"/>
        <v>-13155.260336153846</v>
      </c>
      <c r="V188" s="48">
        <f t="shared" si="8"/>
        <v>0</v>
      </c>
    </row>
    <row r="189" spans="1:22">
      <c r="A189" s="33" t="str">
        <f t="shared" si="7"/>
        <v>254</v>
      </c>
      <c r="B189" s="33">
        <v>2540105</v>
      </c>
      <c r="D189" s="1962" t="s">
        <v>524</v>
      </c>
      <c r="E189" s="1962" t="s">
        <v>525</v>
      </c>
      <c r="F189" s="1981">
        <v>0</v>
      </c>
      <c r="G189" s="1981">
        <v>0</v>
      </c>
      <c r="H189" s="1981">
        <v>0</v>
      </c>
      <c r="I189" s="1981">
        <v>0</v>
      </c>
      <c r="J189" s="1981">
        <v>528</v>
      </c>
      <c r="K189" s="1981">
        <v>528</v>
      </c>
      <c r="L189" s="1981">
        <v>528</v>
      </c>
      <c r="M189" s="1981">
        <v>528</v>
      </c>
      <c r="N189" s="1981">
        <v>528</v>
      </c>
      <c r="O189" s="1981">
        <v>528</v>
      </c>
      <c r="P189" s="1981">
        <v>528</v>
      </c>
      <c r="Q189" s="1981">
        <v>528</v>
      </c>
      <c r="R189" s="1981">
        <v>528</v>
      </c>
      <c r="S189" s="1982">
        <v>365.53846153846155</v>
      </c>
      <c r="U189" s="47">
        <f t="shared" si="9"/>
        <v>365.53846153846155</v>
      </c>
      <c r="V189" s="48">
        <f t="shared" si="8"/>
        <v>0</v>
      </c>
    </row>
    <row r="190" spans="1:22">
      <c r="A190" s="33" t="str">
        <f t="shared" si="7"/>
        <v>254</v>
      </c>
      <c r="B190" s="33">
        <v>2540180</v>
      </c>
      <c r="D190" s="1962" t="s">
        <v>526</v>
      </c>
      <c r="E190" s="1962" t="s">
        <v>7178</v>
      </c>
      <c r="F190" s="1981">
        <v>0</v>
      </c>
      <c r="G190" s="1981">
        <v>2.3608800000000003</v>
      </c>
      <c r="H190" s="1981">
        <v>1.7751600000000001</v>
      </c>
      <c r="I190" s="1981">
        <v>1.4793000000000001</v>
      </c>
      <c r="J190" s="1981">
        <v>1.18344</v>
      </c>
      <c r="K190" s="1981">
        <v>0.88758000000000004</v>
      </c>
      <c r="L190" s="1981">
        <v>0.59172000000000002</v>
      </c>
      <c r="M190" s="1981">
        <v>0.29586000000000001</v>
      </c>
      <c r="N190" s="1981">
        <v>0</v>
      </c>
      <c r="O190" s="1981">
        <v>0</v>
      </c>
      <c r="P190" s="1981">
        <v>0</v>
      </c>
      <c r="Q190" s="1981">
        <v>0</v>
      </c>
      <c r="R190" s="1981">
        <v>0</v>
      </c>
      <c r="S190" s="1982">
        <v>0.65953384615384614</v>
      </c>
      <c r="U190" s="47">
        <f t="shared" si="9"/>
        <v>0.65953384615384614</v>
      </c>
      <c r="V190" s="48">
        <f t="shared" si="8"/>
        <v>0</v>
      </c>
    </row>
    <row r="191" spans="1:22">
      <c r="A191" s="33" t="str">
        <f t="shared" si="7"/>
        <v>254</v>
      </c>
      <c r="B191" s="33">
        <v>2540612</v>
      </c>
      <c r="D191" s="1962" t="s">
        <v>534</v>
      </c>
      <c r="E191" s="1962" t="s">
        <v>535</v>
      </c>
      <c r="F191" s="1981">
        <v>55227.086771974602</v>
      </c>
      <c r="G191" s="1981">
        <v>54766.861046900201</v>
      </c>
      <c r="H191" s="1981">
        <v>54306.635323800401</v>
      </c>
      <c r="I191" s="1981">
        <v>53846.409600700601</v>
      </c>
      <c r="J191" s="1981">
        <v>53386.183877600793</v>
      </c>
      <c r="K191" s="1981">
        <v>52925.958154501001</v>
      </c>
      <c r="L191" s="1981">
        <v>52465.732431401295</v>
      </c>
      <c r="M191" s="1981">
        <v>52005.506708301502</v>
      </c>
      <c r="N191" s="1981">
        <v>51545.280985201702</v>
      </c>
      <c r="O191" s="1981">
        <v>51085.055262101901</v>
      </c>
      <c r="P191" s="1981">
        <v>50624.829539002101</v>
      </c>
      <c r="Q191" s="1981">
        <v>50164.603815902301</v>
      </c>
      <c r="R191" s="1981">
        <v>49704.378092802501</v>
      </c>
      <c r="S191" s="1982">
        <v>52465.732431553144</v>
      </c>
      <c r="U191" s="47">
        <f t="shared" si="9"/>
        <v>52465.732431553144</v>
      </c>
      <c r="V191" s="48">
        <f t="shared" si="8"/>
        <v>0</v>
      </c>
    </row>
    <row r="192" spans="1:22">
      <c r="A192" s="33" t="str">
        <f t="shared" si="7"/>
        <v>245</v>
      </c>
      <c r="B192" s="33">
        <v>2450700</v>
      </c>
      <c r="D192" s="1962" t="s">
        <v>503</v>
      </c>
      <c r="E192" s="1962" t="s">
        <v>504</v>
      </c>
      <c r="F192" s="1981">
        <v>0</v>
      </c>
      <c r="G192" s="1981">
        <v>0</v>
      </c>
      <c r="H192" s="1981">
        <v>0</v>
      </c>
      <c r="I192" s="1981">
        <v>0</v>
      </c>
      <c r="J192" s="1981">
        <v>0</v>
      </c>
      <c r="K192" s="1981">
        <v>0</v>
      </c>
      <c r="L192" s="1981">
        <v>0</v>
      </c>
      <c r="M192" s="1981">
        <v>0</v>
      </c>
      <c r="N192" s="1981">
        <v>0</v>
      </c>
      <c r="O192" s="1981">
        <v>0</v>
      </c>
      <c r="P192" s="1981">
        <v>0</v>
      </c>
      <c r="Q192" s="1981">
        <v>0</v>
      </c>
      <c r="R192" s="1981">
        <v>0</v>
      </c>
      <c r="S192" s="1982">
        <v>0</v>
      </c>
      <c r="U192" s="47">
        <f t="shared" si="9"/>
        <v>0</v>
      </c>
      <c r="V192" s="48">
        <f t="shared" si="8"/>
        <v>0</v>
      </c>
    </row>
    <row r="193" spans="1:22">
      <c r="A193" s="33" t="str">
        <f t="shared" si="7"/>
        <v>237</v>
      </c>
      <c r="B193" s="33">
        <v>2370300</v>
      </c>
      <c r="D193" s="1962" t="s">
        <v>468</v>
      </c>
      <c r="E193" s="1962" t="s">
        <v>469</v>
      </c>
      <c r="F193" s="1981">
        <v>114.7685516179</v>
      </c>
      <c r="G193" s="1981">
        <v>341.19659642509998</v>
      </c>
      <c r="H193" s="1981">
        <v>567.72614112830001</v>
      </c>
      <c r="I193" s="1981">
        <v>794.35722801910003</v>
      </c>
      <c r="J193" s="1981">
        <v>1021.0898994067001</v>
      </c>
      <c r="K193" s="1981">
        <v>1247.9241976181002</v>
      </c>
      <c r="L193" s="1981">
        <v>1474.8601649976001</v>
      </c>
      <c r="M193" s="1981">
        <v>1701.8978439076</v>
      </c>
      <c r="N193" s="1981">
        <v>1929.0372767276999</v>
      </c>
      <c r="O193" s="1981">
        <v>2156.2785058555</v>
      </c>
      <c r="P193" s="1981">
        <v>2383.6215737060002</v>
      </c>
      <c r="Q193" s="1981">
        <v>2611.0665227120999</v>
      </c>
      <c r="R193" s="1981">
        <v>115.3437112605</v>
      </c>
      <c r="S193" s="1982">
        <v>1266.0898625678615</v>
      </c>
      <c r="U193" s="47">
        <f t="shared" si="9"/>
        <v>1266.0898625678615</v>
      </c>
      <c r="V193" s="48">
        <f t="shared" si="8"/>
        <v>0</v>
      </c>
    </row>
    <row r="194" spans="1:22">
      <c r="A194" s="33" t="str">
        <f t="shared" si="7"/>
        <v>237</v>
      </c>
      <c r="B194" s="33">
        <v>2370350</v>
      </c>
      <c r="D194" s="1962" t="s">
        <v>470</v>
      </c>
      <c r="E194" s="1962" t="s">
        <v>471</v>
      </c>
      <c r="F194" s="1981">
        <v>532.07497140259989</v>
      </c>
      <c r="G194" s="1981">
        <v>241.92126757900002</v>
      </c>
      <c r="H194" s="1981">
        <v>253.80651013050002</v>
      </c>
      <c r="I194" s="1981">
        <v>198.72724062509999</v>
      </c>
      <c r="J194" s="1981">
        <v>115.25169109330001</v>
      </c>
      <c r="K194" s="1981">
        <v>123.2596194118</v>
      </c>
      <c r="L194" s="1981">
        <v>141.2789048823</v>
      </c>
      <c r="M194" s="1981">
        <v>146.3217640963</v>
      </c>
      <c r="N194" s="1981">
        <v>161.4536744088</v>
      </c>
      <c r="O194" s="1981">
        <v>178.88143863660002</v>
      </c>
      <c r="P194" s="1981">
        <v>154.4602084414</v>
      </c>
      <c r="Q194" s="1981">
        <v>174.86279725949998</v>
      </c>
      <c r="R194" s="1981">
        <v>206.19908031560001</v>
      </c>
      <c r="S194" s="1982">
        <v>202.19224371406153</v>
      </c>
      <c r="U194" s="47">
        <f t="shared" si="9"/>
        <v>202.19224371406153</v>
      </c>
      <c r="V194" s="48">
        <f t="shared" si="8"/>
        <v>0</v>
      </c>
    </row>
    <row r="195" spans="1:22">
      <c r="A195" s="33" t="str">
        <f t="shared" si="7"/>
        <v>237</v>
      </c>
      <c r="B195" s="33">
        <v>2370400</v>
      </c>
      <c r="D195" s="1962" t="s">
        <v>472</v>
      </c>
      <c r="E195" s="1962" t="s">
        <v>473</v>
      </c>
      <c r="F195" s="1981">
        <v>34554.677113333302</v>
      </c>
      <c r="G195" s="1981">
        <v>33314.062326666703</v>
      </c>
      <c r="H195" s="1981">
        <v>47740.103993333301</v>
      </c>
      <c r="I195" s="1981">
        <v>38216.145659999995</v>
      </c>
      <c r="J195" s="1981">
        <v>54683.853993333301</v>
      </c>
      <c r="K195" s="1981">
        <v>43501.562326666695</v>
      </c>
      <c r="L195" s="1981">
        <v>38663.020659999995</v>
      </c>
      <c r="M195" s="1981">
        <v>47630.728993333396</v>
      </c>
      <c r="N195" s="1981">
        <v>57948.437326666695</v>
      </c>
      <c r="O195" s="1981">
        <v>50466.145659999995</v>
      </c>
      <c r="P195" s="1981">
        <v>66933.853993333396</v>
      </c>
      <c r="Q195" s="1981">
        <v>43501.562326666695</v>
      </c>
      <c r="R195" s="1981">
        <v>32513.020660000002</v>
      </c>
      <c r="S195" s="1982">
        <v>45359.013464102587</v>
      </c>
      <c r="U195" s="47">
        <f t="shared" si="9"/>
        <v>45359.013464102587</v>
      </c>
      <c r="V195" s="48">
        <f t="shared" si="8"/>
        <v>0</v>
      </c>
    </row>
    <row r="196" spans="1:22">
      <c r="A196" s="33" t="str">
        <f t="shared" si="7"/>
        <v>236</v>
      </c>
      <c r="B196" s="33">
        <v>2360310</v>
      </c>
      <c r="D196" s="1962" t="s">
        <v>446</v>
      </c>
      <c r="E196" s="1962" t="s">
        <v>447</v>
      </c>
      <c r="F196" s="1981">
        <v>6.2595000000000001E-4</v>
      </c>
      <c r="G196" s="1981">
        <v>1115.900006543</v>
      </c>
      <c r="H196" s="1981">
        <v>957.04531791049999</v>
      </c>
      <c r="I196" s="1981">
        <v>-5151.2233268965001</v>
      </c>
      <c r="J196" s="1981">
        <v>-11886.492298564499</v>
      </c>
      <c r="K196" s="1981">
        <v>-7620.3609287249992</v>
      </c>
      <c r="L196" s="1981">
        <v>-7954.6675154990007</v>
      </c>
      <c r="M196" s="1981">
        <v>79.1586946555</v>
      </c>
      <c r="N196" s="1981">
        <v>8497.2386190249999</v>
      </c>
      <c r="O196" s="1981">
        <v>6578.4789350775</v>
      </c>
      <c r="P196" s="1981">
        <v>9332.0831143650012</v>
      </c>
      <c r="Q196" s="1981">
        <v>7995.1813953135006</v>
      </c>
      <c r="R196" s="1981">
        <v>2.2967499999999999E-4</v>
      </c>
      <c r="S196" s="1982">
        <v>149.41098991000015</v>
      </c>
      <c r="U196" s="47">
        <f t="shared" si="9"/>
        <v>149.41098991000015</v>
      </c>
      <c r="V196" s="48">
        <f t="shared" si="8"/>
        <v>0</v>
      </c>
    </row>
    <row r="197" spans="1:22">
      <c r="A197" s="33" t="str">
        <f t="shared" ref="A197:A260" si="10">+LEFT(B197,3)</f>
        <v>236</v>
      </c>
      <c r="B197" s="33">
        <v>2360410</v>
      </c>
      <c r="D197" s="1962" t="s">
        <v>448</v>
      </c>
      <c r="E197" s="1962" t="s">
        <v>449</v>
      </c>
      <c r="F197" s="1981">
        <v>3.0499999999999999E-4</v>
      </c>
      <c r="G197" s="1981">
        <v>266.54563503329996</v>
      </c>
      <c r="H197" s="1981">
        <v>179.79568328329998</v>
      </c>
      <c r="I197" s="1981">
        <v>-1555.8218300167</v>
      </c>
      <c r="J197" s="1981">
        <v>-3337.0401192167001</v>
      </c>
      <c r="K197" s="1981">
        <v>-2197.4144941667</v>
      </c>
      <c r="L197" s="1981">
        <v>-2204.6195247666997</v>
      </c>
      <c r="M197" s="1981">
        <v>-20.785201216699999</v>
      </c>
      <c r="N197" s="1981">
        <v>2269.5442308332999</v>
      </c>
      <c r="O197" s="1981">
        <v>1823.2110805832999</v>
      </c>
      <c r="P197" s="1981">
        <v>2543.6429768333001</v>
      </c>
      <c r="Q197" s="1981">
        <v>2130.3997689833</v>
      </c>
      <c r="R197" s="1981">
        <v>4.6583330000000002E-4</v>
      </c>
      <c r="S197" s="1982">
        <v>-7.8877710000307335</v>
      </c>
      <c r="U197" s="47">
        <f t="shared" si="9"/>
        <v>-7.8877710000307335</v>
      </c>
      <c r="V197" s="48">
        <f t="shared" ref="V197:V260" si="11">IF(S197="","",+U197-S197)</f>
        <v>0</v>
      </c>
    </row>
    <row r="198" spans="1:22">
      <c r="A198" s="33" t="str">
        <f t="shared" si="10"/>
        <v>236</v>
      </c>
      <c r="B198" s="33">
        <v>2360600</v>
      </c>
      <c r="D198" s="1962" t="s">
        <v>452</v>
      </c>
      <c r="E198" s="1962" t="s">
        <v>453</v>
      </c>
      <c r="F198" s="1981">
        <v>0</v>
      </c>
      <c r="G198" s="1981">
        <v>0</v>
      </c>
      <c r="H198" s="1981">
        <v>0</v>
      </c>
      <c r="I198" s="1981">
        <v>0</v>
      </c>
      <c r="J198" s="1981">
        <v>0</v>
      </c>
      <c r="K198" s="1981">
        <v>0</v>
      </c>
      <c r="L198" s="1981">
        <v>0</v>
      </c>
      <c r="M198" s="1981">
        <v>0</v>
      </c>
      <c r="N198" s="1981">
        <v>0</v>
      </c>
      <c r="O198" s="1981">
        <v>0</v>
      </c>
      <c r="P198" s="1981">
        <v>0</v>
      </c>
      <c r="Q198" s="1981">
        <v>0</v>
      </c>
      <c r="R198" s="1981">
        <v>0</v>
      </c>
      <c r="S198" s="1982">
        <v>0</v>
      </c>
      <c r="U198" s="47">
        <f t="shared" ref="U198:U261" si="12">+IF(F198="","",SUM(F198:R198)/13)</f>
        <v>0</v>
      </c>
      <c r="V198" s="48">
        <f t="shared" si="11"/>
        <v>0</v>
      </c>
    </row>
    <row r="199" spans="1:22">
      <c r="A199" s="33" t="str">
        <f t="shared" si="10"/>
        <v>236</v>
      </c>
      <c r="B199" s="33">
        <v>2360601</v>
      </c>
      <c r="D199" s="1962" t="s">
        <v>454</v>
      </c>
      <c r="E199" s="1962" t="s">
        <v>455</v>
      </c>
      <c r="F199" s="1981">
        <v>0</v>
      </c>
      <c r="G199" s="1981">
        <v>0</v>
      </c>
      <c r="H199" s="1981">
        <v>0</v>
      </c>
      <c r="I199" s="1981">
        <v>0</v>
      </c>
      <c r="J199" s="1981">
        <v>0</v>
      </c>
      <c r="K199" s="1981">
        <v>0</v>
      </c>
      <c r="L199" s="1981">
        <v>0</v>
      </c>
      <c r="M199" s="1981">
        <v>0</v>
      </c>
      <c r="N199" s="1981">
        <v>0</v>
      </c>
      <c r="O199" s="1981">
        <v>0</v>
      </c>
      <c r="P199" s="1981">
        <v>0</v>
      </c>
      <c r="Q199" s="1981">
        <v>0</v>
      </c>
      <c r="R199" s="1981">
        <v>0</v>
      </c>
      <c r="S199" s="1982">
        <v>0</v>
      </c>
      <c r="U199" s="47">
        <f t="shared" si="12"/>
        <v>0</v>
      </c>
      <c r="V199" s="48">
        <f t="shared" si="11"/>
        <v>0</v>
      </c>
    </row>
    <row r="200" spans="1:22">
      <c r="A200" s="33" t="str">
        <f t="shared" si="10"/>
        <v>236</v>
      </c>
      <c r="B200" s="33">
        <v>2360602</v>
      </c>
      <c r="D200" s="1962" t="s">
        <v>456</v>
      </c>
      <c r="E200" s="1962" t="s">
        <v>457</v>
      </c>
      <c r="F200" s="1981">
        <v>999.42368800320003</v>
      </c>
      <c r="G200" s="1981">
        <v>140.48683421039999</v>
      </c>
      <c r="H200" s="1981">
        <v>271.19712726719996</v>
      </c>
      <c r="I200" s="1981">
        <v>397.84016692080002</v>
      </c>
      <c r="J200" s="1981">
        <v>530.91831066479995</v>
      </c>
      <c r="K200" s="1981">
        <v>678.11502890880001</v>
      </c>
      <c r="L200" s="1981">
        <v>848.36137269599999</v>
      </c>
      <c r="M200" s="1981">
        <v>179.31000651119999</v>
      </c>
      <c r="N200" s="1981">
        <v>357.33892124879998</v>
      </c>
      <c r="O200" s="1981">
        <v>539.91648010080007</v>
      </c>
      <c r="P200" s="1981">
        <v>703.44203550480006</v>
      </c>
      <c r="Q200" s="1981">
        <v>843.60487355280009</v>
      </c>
      <c r="R200" s="1981">
        <v>977.18462637840003</v>
      </c>
      <c r="S200" s="1982">
        <v>574.39534399753848</v>
      </c>
      <c r="U200" s="47">
        <f t="shared" si="12"/>
        <v>574.39534399753848</v>
      </c>
      <c r="V200" s="48">
        <f t="shared" si="11"/>
        <v>0</v>
      </c>
    </row>
    <row r="201" spans="1:22">
      <c r="A201" s="33" t="str">
        <f t="shared" si="10"/>
        <v>236</v>
      </c>
      <c r="B201" s="33">
        <v>2360603</v>
      </c>
      <c r="D201" s="1962" t="s">
        <v>458</v>
      </c>
      <c r="E201" s="1962" t="s">
        <v>459</v>
      </c>
      <c r="F201" s="1981">
        <v>4570.1553652499997</v>
      </c>
      <c r="G201" s="1981">
        <v>4711.3015182499994</v>
      </c>
      <c r="H201" s="1981">
        <v>4371.8925765000004</v>
      </c>
      <c r="I201" s="1981">
        <v>4229.5951500000001</v>
      </c>
      <c r="J201" s="1981">
        <v>4451.4422507499994</v>
      </c>
      <c r="K201" s="1981">
        <v>4942.0127847499998</v>
      </c>
      <c r="L201" s="1981">
        <v>5741.3120990000007</v>
      </c>
      <c r="M201" s="1981">
        <v>6056.0920512499997</v>
      </c>
      <c r="N201" s="1981">
        <v>6011.4461835000002</v>
      </c>
      <c r="O201" s="1981">
        <v>6170.1132525000003</v>
      </c>
      <c r="P201" s="1981">
        <v>5507.4650062499995</v>
      </c>
      <c r="Q201" s="1981">
        <v>4696.9953497500001</v>
      </c>
      <c r="R201" s="1981">
        <v>4467.3669</v>
      </c>
      <c r="S201" s="1982">
        <v>5071.322345211539</v>
      </c>
      <c r="U201" s="47">
        <f t="shared" si="12"/>
        <v>5071.322345211539</v>
      </c>
      <c r="V201" s="48">
        <f t="shared" si="11"/>
        <v>0</v>
      </c>
    </row>
    <row r="202" spans="1:22">
      <c r="A202" s="33" t="str">
        <f t="shared" si="10"/>
        <v>236</v>
      </c>
      <c r="B202" s="33">
        <v>2360604</v>
      </c>
      <c r="D202" s="1962" t="s">
        <v>460</v>
      </c>
      <c r="E202" s="1962" t="s">
        <v>461</v>
      </c>
      <c r="F202" s="1981">
        <v>0</v>
      </c>
      <c r="G202" s="1981">
        <v>7567.2370000000001</v>
      </c>
      <c r="H202" s="1981">
        <v>15134.474</v>
      </c>
      <c r="I202" s="1981">
        <v>22701.710999999999</v>
      </c>
      <c r="J202" s="1981">
        <v>30268.948</v>
      </c>
      <c r="K202" s="1981">
        <v>37836.184999999998</v>
      </c>
      <c r="L202" s="1981">
        <v>45403.421999999999</v>
      </c>
      <c r="M202" s="1981">
        <v>52970.659</v>
      </c>
      <c r="N202" s="1981">
        <v>60537.896000000001</v>
      </c>
      <c r="O202" s="1981">
        <v>68105.133000000002</v>
      </c>
      <c r="P202" s="1981">
        <v>75672.37</v>
      </c>
      <c r="Q202" s="1981">
        <v>-7567.2370000000001</v>
      </c>
      <c r="R202" s="1981">
        <v>0</v>
      </c>
      <c r="S202" s="1982">
        <v>31433.138307692308</v>
      </c>
      <c r="U202" s="47">
        <f t="shared" si="12"/>
        <v>31433.138307692308</v>
      </c>
      <c r="V202" s="48">
        <f t="shared" si="11"/>
        <v>0</v>
      </c>
    </row>
    <row r="203" spans="1:22">
      <c r="A203" s="33" t="str">
        <f t="shared" si="10"/>
        <v>236</v>
      </c>
      <c r="B203" s="33">
        <v>2360605</v>
      </c>
      <c r="D203" s="1962" t="s">
        <v>462</v>
      </c>
      <c r="E203" s="1962" t="s">
        <v>463</v>
      </c>
      <c r="F203" s="1981">
        <v>4392.7574850468</v>
      </c>
      <c r="G203" s="1981">
        <v>4481.4595605683999</v>
      </c>
      <c r="H203" s="1981">
        <v>4198.4592116328004</v>
      </c>
      <c r="I203" s="1981">
        <v>4091.3259603840002</v>
      </c>
      <c r="J203" s="1981">
        <v>4296.5939251164</v>
      </c>
      <c r="K203" s="1981">
        <v>4716.5765708892004</v>
      </c>
      <c r="L203" s="1981">
        <v>5400.0898853328008</v>
      </c>
      <c r="M203" s="1981">
        <v>5662.819773786</v>
      </c>
      <c r="N203" s="1981">
        <v>5629.5263755992</v>
      </c>
      <c r="O203" s="1981">
        <v>5762.2197652200002</v>
      </c>
      <c r="P203" s="1981">
        <v>5208.6924721619998</v>
      </c>
      <c r="Q203" s="1981">
        <v>4515.5968313772</v>
      </c>
      <c r="R203" s="1981">
        <v>4299.4508745600006</v>
      </c>
      <c r="S203" s="1982">
        <v>4819.6591301288308</v>
      </c>
      <c r="U203" s="47">
        <f t="shared" si="12"/>
        <v>4819.6591301288308</v>
      </c>
      <c r="V203" s="48">
        <f t="shared" si="11"/>
        <v>0</v>
      </c>
    </row>
    <row r="204" spans="1:22">
      <c r="A204" s="33" t="str">
        <f t="shared" si="10"/>
        <v>236</v>
      </c>
      <c r="B204" s="33">
        <v>2360606</v>
      </c>
      <c r="D204" s="1962" t="s">
        <v>8697</v>
      </c>
      <c r="E204" s="1962" t="s">
        <v>8698</v>
      </c>
      <c r="F204" s="1981">
        <v>0</v>
      </c>
      <c r="G204" s="1981">
        <v>1</v>
      </c>
      <c r="H204" s="1981">
        <v>0</v>
      </c>
      <c r="I204" s="1981">
        <v>0</v>
      </c>
      <c r="J204" s="1981">
        <v>0</v>
      </c>
      <c r="K204" s="1981">
        <v>0</v>
      </c>
      <c r="L204" s="1981">
        <v>0</v>
      </c>
      <c r="M204" s="1981">
        <v>36</v>
      </c>
      <c r="N204" s="1981">
        <v>13</v>
      </c>
      <c r="O204" s="1981">
        <v>0</v>
      </c>
      <c r="P204" s="1981">
        <v>0</v>
      </c>
      <c r="Q204" s="1981">
        <v>1</v>
      </c>
      <c r="R204" s="1981">
        <v>0</v>
      </c>
      <c r="S204" s="1982">
        <v>3.9230769230769229</v>
      </c>
      <c r="U204" s="47">
        <f t="shared" si="12"/>
        <v>3.9230769230769229</v>
      </c>
      <c r="V204" s="48">
        <f t="shared" si="11"/>
        <v>0</v>
      </c>
    </row>
    <row r="205" spans="1:22">
      <c r="A205" s="33" t="str">
        <f t="shared" si="10"/>
        <v>236</v>
      </c>
      <c r="B205" s="33">
        <v>2360620</v>
      </c>
      <c r="D205" s="1962" t="s">
        <v>464</v>
      </c>
      <c r="E205" s="1962" t="s">
        <v>465</v>
      </c>
      <c r="F205" s="1981">
        <v>2945.9200699999997</v>
      </c>
      <c r="G205" s="1981">
        <v>3133.96207</v>
      </c>
      <c r="H205" s="1981">
        <v>3322.00407</v>
      </c>
      <c r="I205" s="1981">
        <v>986.04206999999997</v>
      </c>
      <c r="J205" s="1981">
        <v>1174.0840700000001</v>
      </c>
      <c r="K205" s="1981">
        <v>1362.12607</v>
      </c>
      <c r="L205" s="1981">
        <v>1686.67607</v>
      </c>
      <c r="M205" s="1981">
        <v>1874.7180700000001</v>
      </c>
      <c r="N205" s="1981">
        <v>2062.7600700000003</v>
      </c>
      <c r="O205" s="1981">
        <v>2387.31007</v>
      </c>
      <c r="P205" s="1981">
        <v>2575.3520699999999</v>
      </c>
      <c r="Q205" s="1981">
        <v>2763.3940699999998</v>
      </c>
      <c r="R205" s="1981">
        <v>3087.94407</v>
      </c>
      <c r="S205" s="1982">
        <v>2258.6379161538462</v>
      </c>
      <c r="U205" s="47">
        <f t="shared" si="12"/>
        <v>2258.6379161538462</v>
      </c>
      <c r="V205" s="48">
        <f t="shared" si="11"/>
        <v>0</v>
      </c>
    </row>
    <row r="206" spans="1:22">
      <c r="A206" s="33" t="str">
        <f t="shared" si="10"/>
        <v>236</v>
      </c>
      <c r="B206" s="33">
        <v>2360800</v>
      </c>
      <c r="D206" s="1962" t="s">
        <v>466</v>
      </c>
      <c r="E206" s="1962" t="s">
        <v>467</v>
      </c>
      <c r="F206" s="1981">
        <v>17</v>
      </c>
      <c r="G206" s="1981">
        <v>17</v>
      </c>
      <c r="H206" s="1981">
        <v>19</v>
      </c>
      <c r="I206" s="1981">
        <v>17</v>
      </c>
      <c r="J206" s="1981">
        <v>17</v>
      </c>
      <c r="K206" s="1981">
        <v>17</v>
      </c>
      <c r="L206" s="1981">
        <v>17</v>
      </c>
      <c r="M206" s="1981">
        <v>17</v>
      </c>
      <c r="N206" s="1981">
        <v>17</v>
      </c>
      <c r="O206" s="1981">
        <v>29</v>
      </c>
      <c r="P206" s="1981">
        <v>17</v>
      </c>
      <c r="Q206" s="1981">
        <v>17</v>
      </c>
      <c r="R206" s="1981">
        <v>17</v>
      </c>
      <c r="S206" s="1982">
        <v>18.076923076923077</v>
      </c>
      <c r="U206" s="47">
        <f t="shared" si="12"/>
        <v>18.076923076923077</v>
      </c>
      <c r="V206" s="48">
        <f t="shared" si="11"/>
        <v>0</v>
      </c>
    </row>
    <row r="207" spans="1:22">
      <c r="A207" s="33" t="str">
        <f t="shared" si="10"/>
        <v>230</v>
      </c>
      <c r="B207" s="33">
        <v>2300100</v>
      </c>
      <c r="D207" s="1962" t="s">
        <v>367</v>
      </c>
      <c r="E207" s="1962" t="s">
        <v>368</v>
      </c>
      <c r="F207" s="1981">
        <v>0</v>
      </c>
      <c r="G207" s="1981">
        <v>0</v>
      </c>
      <c r="H207" s="1981">
        <v>0</v>
      </c>
      <c r="I207" s="1981">
        <v>0</v>
      </c>
      <c r="J207" s="1981">
        <v>0</v>
      </c>
      <c r="K207" s="1981">
        <v>0</v>
      </c>
      <c r="L207" s="1981">
        <v>0</v>
      </c>
      <c r="M207" s="1981">
        <v>0</v>
      </c>
      <c r="N207" s="1981">
        <v>0</v>
      </c>
      <c r="O207" s="1981">
        <v>0</v>
      </c>
      <c r="P207" s="1981">
        <v>0</v>
      </c>
      <c r="Q207" s="1981">
        <v>0</v>
      </c>
      <c r="R207" s="1981">
        <v>0</v>
      </c>
      <c r="S207" s="1982">
        <v>0</v>
      </c>
      <c r="U207" s="47">
        <f t="shared" si="12"/>
        <v>0</v>
      </c>
      <c r="V207" s="48">
        <f t="shared" si="11"/>
        <v>0</v>
      </c>
    </row>
    <row r="208" spans="1:22">
      <c r="A208" s="33" t="str">
        <f t="shared" si="10"/>
        <v>242</v>
      </c>
      <c r="B208" s="33">
        <v>2420111</v>
      </c>
      <c r="D208" s="1962" t="s">
        <v>491</v>
      </c>
      <c r="E208" s="1962" t="s">
        <v>492</v>
      </c>
      <c r="F208" s="1981">
        <v>267.97199999999998</v>
      </c>
      <c r="G208" s="1981">
        <v>267.97199999999998</v>
      </c>
      <c r="H208" s="1981">
        <v>267.97199999999998</v>
      </c>
      <c r="I208" s="1981">
        <v>267.97199999999998</v>
      </c>
      <c r="J208" s="1981">
        <v>267.97199999999998</v>
      </c>
      <c r="K208" s="1981">
        <v>267.97199999999998</v>
      </c>
      <c r="L208" s="1981">
        <v>267.97199999999998</v>
      </c>
      <c r="M208" s="1981">
        <v>267.97199999999998</v>
      </c>
      <c r="N208" s="1981">
        <v>267.97199999999998</v>
      </c>
      <c r="O208" s="1981">
        <v>267.97199999999998</v>
      </c>
      <c r="P208" s="1981">
        <v>267.97199999999998</v>
      </c>
      <c r="Q208" s="1981">
        <v>267.97199999999998</v>
      </c>
      <c r="R208" s="1981">
        <v>267.97199999999998</v>
      </c>
      <c r="S208" s="1982">
        <v>267.97199999999987</v>
      </c>
      <c r="U208" s="47">
        <f t="shared" si="12"/>
        <v>267.97199999999987</v>
      </c>
      <c r="V208" s="48">
        <f t="shared" si="11"/>
        <v>0</v>
      </c>
    </row>
    <row r="209" spans="1:22">
      <c r="A209" s="33" t="str">
        <f t="shared" si="10"/>
        <v>242</v>
      </c>
      <c r="B209" s="33">
        <v>2420121</v>
      </c>
      <c r="D209" s="1962" t="s">
        <v>493</v>
      </c>
      <c r="E209" s="1962" t="s">
        <v>494</v>
      </c>
      <c r="F209" s="1981">
        <v>0</v>
      </c>
      <c r="G209" s="1981">
        <v>0</v>
      </c>
      <c r="H209" s="1981">
        <v>0</v>
      </c>
      <c r="I209" s="1981">
        <v>0</v>
      </c>
      <c r="J209" s="1981">
        <v>0</v>
      </c>
      <c r="K209" s="1981">
        <v>0</v>
      </c>
      <c r="L209" s="1981">
        <v>0</v>
      </c>
      <c r="M209" s="1981">
        <v>0</v>
      </c>
      <c r="N209" s="1981">
        <v>0</v>
      </c>
      <c r="O209" s="1981">
        <v>0</v>
      </c>
      <c r="P209" s="1981">
        <v>0</v>
      </c>
      <c r="Q209" s="1981">
        <v>0</v>
      </c>
      <c r="R209" s="1981">
        <v>0</v>
      </c>
      <c r="S209" s="1982">
        <v>0</v>
      </c>
      <c r="U209" s="47">
        <f t="shared" si="12"/>
        <v>0</v>
      </c>
      <c r="V209" s="48">
        <f t="shared" si="11"/>
        <v>0</v>
      </c>
    </row>
    <row r="210" spans="1:22">
      <c r="A210" s="33" t="str">
        <f t="shared" si="10"/>
        <v>242</v>
      </c>
      <c r="B210" s="33">
        <v>2420131</v>
      </c>
      <c r="D210" s="1962" t="s">
        <v>495</v>
      </c>
      <c r="E210" s="1962" t="s">
        <v>496</v>
      </c>
      <c r="F210" s="1981">
        <v>9910.1290000000008</v>
      </c>
      <c r="G210" s="1981">
        <v>9910.1290000000008</v>
      </c>
      <c r="H210" s="1981">
        <v>9910.1290000000008</v>
      </c>
      <c r="I210" s="1981">
        <v>9910.1290000000008</v>
      </c>
      <c r="J210" s="1981">
        <v>9910.1290000000008</v>
      </c>
      <c r="K210" s="1981">
        <v>9910.1290000000008</v>
      </c>
      <c r="L210" s="1981">
        <v>9910.1290000000008</v>
      </c>
      <c r="M210" s="1981">
        <v>9910.1290000000008</v>
      </c>
      <c r="N210" s="1981">
        <v>9910.1290000000008</v>
      </c>
      <c r="O210" s="1981">
        <v>9910.1290000000008</v>
      </c>
      <c r="P210" s="1981">
        <v>9910.1290000000008</v>
      </c>
      <c r="Q210" s="1981">
        <v>9910.1290000000008</v>
      </c>
      <c r="R210" s="1981">
        <v>9910.1290000000008</v>
      </c>
      <c r="S210" s="1982">
        <v>9910.1290000000008</v>
      </c>
      <c r="U210" s="47">
        <f t="shared" si="12"/>
        <v>9910.1290000000008</v>
      </c>
      <c r="V210" s="48">
        <f t="shared" si="11"/>
        <v>0</v>
      </c>
    </row>
    <row r="211" spans="1:22">
      <c r="A211" s="33" t="str">
        <f t="shared" si="10"/>
        <v>253</v>
      </c>
      <c r="B211" s="33">
        <v>2530120</v>
      </c>
      <c r="D211" s="1962" t="s">
        <v>505</v>
      </c>
      <c r="E211" s="1962" t="s">
        <v>7179</v>
      </c>
      <c r="F211" s="1981">
        <v>0</v>
      </c>
      <c r="G211" s="1981">
        <v>0</v>
      </c>
      <c r="H211" s="1981">
        <v>0</v>
      </c>
      <c r="I211" s="1981">
        <v>0</v>
      </c>
      <c r="J211" s="1981">
        <v>0</v>
      </c>
      <c r="K211" s="1981">
        <v>0</v>
      </c>
      <c r="L211" s="1981">
        <v>0</v>
      </c>
      <c r="M211" s="1981">
        <v>0</v>
      </c>
      <c r="N211" s="1981">
        <v>0</v>
      </c>
      <c r="O211" s="1981">
        <v>0</v>
      </c>
      <c r="P211" s="1981">
        <v>0</v>
      </c>
      <c r="Q211" s="1981">
        <v>0</v>
      </c>
      <c r="R211" s="1981">
        <v>0</v>
      </c>
      <c r="S211" s="1982">
        <v>0</v>
      </c>
      <c r="U211" s="47">
        <f t="shared" si="12"/>
        <v>0</v>
      </c>
      <c r="V211" s="48">
        <f t="shared" si="11"/>
        <v>0</v>
      </c>
    </row>
    <row r="212" spans="1:22">
      <c r="A212" s="33" t="str">
        <f t="shared" si="10"/>
        <v>253</v>
      </c>
      <c r="B212" s="33">
        <v>2530130</v>
      </c>
      <c r="D212" s="1962" t="s">
        <v>506</v>
      </c>
      <c r="E212" s="1962" t="s">
        <v>507</v>
      </c>
      <c r="F212" s="1981">
        <v>31119.781610330298</v>
      </c>
      <c r="G212" s="1981">
        <v>41587.771472478395</v>
      </c>
      <c r="H212" s="1981">
        <v>43406.569551648201</v>
      </c>
      <c r="I212" s="1981">
        <v>42797.117909999499</v>
      </c>
      <c r="J212" s="1981">
        <v>41129.866865865093</v>
      </c>
      <c r="K212" s="1981">
        <v>42132.487831741397</v>
      </c>
      <c r="L212" s="1981">
        <v>36663.712731967396</v>
      </c>
      <c r="M212" s="1981">
        <v>33618.934119240497</v>
      </c>
      <c r="N212" s="1981">
        <v>29885.921856643301</v>
      </c>
      <c r="O212" s="1981">
        <v>19774.585928321601</v>
      </c>
      <c r="P212" s="1981">
        <v>12355.667964160801</v>
      </c>
      <c r="Q212" s="1981">
        <v>7800</v>
      </c>
      <c r="R212" s="1981">
        <v>8000</v>
      </c>
      <c r="S212" s="1982">
        <v>30020.955218645882</v>
      </c>
      <c r="U212" s="47">
        <f t="shared" si="12"/>
        <v>30020.955218645882</v>
      </c>
      <c r="V212" s="48">
        <f t="shared" si="11"/>
        <v>0</v>
      </c>
    </row>
    <row r="213" spans="1:22">
      <c r="A213" s="33" t="str">
        <f t="shared" si="10"/>
        <v>242</v>
      </c>
      <c r="B213" s="33">
        <v>2420191</v>
      </c>
      <c r="D213" s="1962" t="s">
        <v>598</v>
      </c>
      <c r="E213" s="1962" t="s">
        <v>599</v>
      </c>
      <c r="F213" s="1981">
        <v>4748.5585733333</v>
      </c>
      <c r="G213" s="1981">
        <v>4748.5585733333</v>
      </c>
      <c r="H213" s="1981">
        <v>4748.5585733333</v>
      </c>
      <c r="I213" s="1981">
        <v>4275.8881911111002</v>
      </c>
      <c r="J213" s="1981">
        <v>4275.8881911111002</v>
      </c>
      <c r="K213" s="1981">
        <v>4275.8881911111002</v>
      </c>
      <c r="L213" s="1981">
        <v>4844.6701911110995</v>
      </c>
      <c r="M213" s="1981">
        <v>4844.6701911110995</v>
      </c>
      <c r="N213" s="1981">
        <v>4844.6701911110995</v>
      </c>
      <c r="O213" s="1981">
        <v>5413.4521911110996</v>
      </c>
      <c r="P213" s="1981">
        <v>5413.4521911110996</v>
      </c>
      <c r="Q213" s="1981">
        <v>5413.4521911110996</v>
      </c>
      <c r="R213" s="1981">
        <v>5982.2341911110998</v>
      </c>
      <c r="S213" s="1982">
        <v>4909.995510085455</v>
      </c>
      <c r="U213" s="47">
        <f t="shared" si="12"/>
        <v>4909.995510085455</v>
      </c>
      <c r="V213" s="48">
        <f t="shared" si="11"/>
        <v>0</v>
      </c>
    </row>
    <row r="214" spans="1:22">
      <c r="A214" s="33" t="str">
        <f t="shared" si="10"/>
        <v>242</v>
      </c>
      <c r="B214" s="33">
        <v>2420192</v>
      </c>
      <c r="D214" s="1962" t="s">
        <v>600</v>
      </c>
      <c r="E214" s="1962" t="s">
        <v>601</v>
      </c>
      <c r="F214" s="1981">
        <v>2989.9547159702001</v>
      </c>
      <c r="G214" s="1981">
        <v>2799.1315359701998</v>
      </c>
      <c r="H214" s="1981">
        <v>2799.1315359701998</v>
      </c>
      <c r="I214" s="1981">
        <v>3017.6087747761003</v>
      </c>
      <c r="J214" s="1981">
        <v>3017.6087747761003</v>
      </c>
      <c r="K214" s="1981">
        <v>3017.6087747761003</v>
      </c>
      <c r="L214" s="1981">
        <v>3236.0860135821003</v>
      </c>
      <c r="M214" s="1981">
        <v>3236.0860135821003</v>
      </c>
      <c r="N214" s="1981">
        <v>3236.0860135821003</v>
      </c>
      <c r="O214" s="1981">
        <v>3454.5632523881</v>
      </c>
      <c r="P214" s="1981">
        <v>3454.5632523881</v>
      </c>
      <c r="Q214" s="1981">
        <v>3454.5632523881</v>
      </c>
      <c r="R214" s="1981">
        <v>3673.040491194</v>
      </c>
      <c r="S214" s="1982">
        <v>3183.5409539494995</v>
      </c>
      <c r="U214" s="47">
        <f t="shared" si="12"/>
        <v>3183.5409539494995</v>
      </c>
      <c r="V214" s="48">
        <f t="shared" si="11"/>
        <v>0</v>
      </c>
    </row>
    <row r="215" spans="1:22">
      <c r="A215" s="33" t="str">
        <f t="shared" si="10"/>
        <v>243</v>
      </c>
      <c r="B215" s="33">
        <v>2430100</v>
      </c>
      <c r="D215" s="1962" t="s">
        <v>501</v>
      </c>
      <c r="E215" s="1962" t="s">
        <v>502</v>
      </c>
      <c r="F215" s="1981">
        <v>1297.2236984860999</v>
      </c>
      <c r="G215" s="1981">
        <v>1136.3077800302999</v>
      </c>
      <c r="H215" s="1981">
        <v>974.88103824589996</v>
      </c>
      <c r="I215" s="1981">
        <v>812.94185311489991</v>
      </c>
      <c r="J215" s="1981">
        <v>650.48859948860002</v>
      </c>
      <c r="K215" s="1981">
        <v>487.51964707170004</v>
      </c>
      <c r="L215" s="1981">
        <v>324.03336040549999</v>
      </c>
      <c r="M215" s="1981">
        <v>160.04392529</v>
      </c>
      <c r="N215" s="1981">
        <v>-4.4660717252000008</v>
      </c>
      <c r="O215" s="1981">
        <v>-169.49828146760001</v>
      </c>
      <c r="P215" s="1981">
        <v>-167.76910999259999</v>
      </c>
      <c r="Q215" s="1981">
        <v>-166.03294388770001</v>
      </c>
      <c r="R215" s="1981">
        <v>-164.23027677460001</v>
      </c>
      <c r="S215" s="1982">
        <v>397.80332448348469</v>
      </c>
      <c r="U215" s="47">
        <f t="shared" si="12"/>
        <v>397.80332448348469</v>
      </c>
      <c r="V215" s="48">
        <f t="shared" si="11"/>
        <v>0</v>
      </c>
    </row>
    <row r="216" spans="1:22">
      <c r="A216" s="33" t="str">
        <f t="shared" si="10"/>
        <v>243</v>
      </c>
      <c r="B216" s="33">
        <v>2430101</v>
      </c>
      <c r="D216" s="1962" t="s">
        <v>602</v>
      </c>
      <c r="E216" s="1962" t="s">
        <v>603</v>
      </c>
      <c r="F216" s="1981">
        <v>534.17540151189996</v>
      </c>
      <c r="G216" s="1981">
        <v>536.19916551990002</v>
      </c>
      <c r="H216" s="1981">
        <v>538.26221928840005</v>
      </c>
      <c r="I216" s="1981">
        <v>540.32817821539993</v>
      </c>
      <c r="J216" s="1981">
        <v>542.39704631939992</v>
      </c>
      <c r="K216" s="1981">
        <v>544.48102936809994</v>
      </c>
      <c r="L216" s="1981">
        <v>546.56794699880004</v>
      </c>
      <c r="M216" s="1981">
        <v>548.65780331949998</v>
      </c>
      <c r="N216" s="1981">
        <v>550.75060246850001</v>
      </c>
      <c r="O216" s="1981">
        <v>552.84634858959998</v>
      </c>
      <c r="P216" s="1981">
        <v>554.94504583269998</v>
      </c>
      <c r="Q216" s="1981">
        <v>557.04669835330003</v>
      </c>
      <c r="R216" s="1981">
        <v>559.15131031299995</v>
      </c>
      <c r="S216" s="1982">
        <v>546.60067662296149</v>
      </c>
      <c r="U216" s="47">
        <f t="shared" si="12"/>
        <v>546.60067662296149</v>
      </c>
      <c r="V216" s="48">
        <f t="shared" si="11"/>
        <v>0</v>
      </c>
    </row>
    <row r="217" spans="1:22">
      <c r="A217" s="33" t="str">
        <f t="shared" si="10"/>
        <v>255</v>
      </c>
      <c r="B217" s="33">
        <v>2550000</v>
      </c>
      <c r="D217" s="1962" t="s">
        <v>536</v>
      </c>
      <c r="E217" s="1962" t="s">
        <v>537</v>
      </c>
      <c r="F217" s="1981">
        <v>234685.67171</v>
      </c>
      <c r="G217" s="1981">
        <v>233862.22946999999</v>
      </c>
      <c r="H217" s="1981">
        <v>248251.48719999997</v>
      </c>
      <c r="I217" s="1981">
        <v>247301.27296999999</v>
      </c>
      <c r="J217" s="1981">
        <v>271998.12774000003</v>
      </c>
      <c r="K217" s="1981">
        <v>270834.18682999996</v>
      </c>
      <c r="L217" s="1981">
        <v>269670.24595000001</v>
      </c>
      <c r="M217" s="1981">
        <v>268506.30507</v>
      </c>
      <c r="N217" s="1981">
        <v>267342.36416</v>
      </c>
      <c r="O217" s="1981">
        <v>266178.42327999999</v>
      </c>
      <c r="P217" s="1981">
        <v>265014.48239999998</v>
      </c>
      <c r="Q217" s="1981">
        <v>263850.54149000003</v>
      </c>
      <c r="R217" s="1981">
        <v>264130.95380999998</v>
      </c>
      <c r="S217" s="1982">
        <v>259355.86862153851</v>
      </c>
      <c r="U217" s="47">
        <f t="shared" si="12"/>
        <v>259355.86862153851</v>
      </c>
      <c r="V217" s="48">
        <f t="shared" si="11"/>
        <v>0</v>
      </c>
    </row>
    <row r="218" spans="1:22">
      <c r="A218" s="33" t="str">
        <f t="shared" si="10"/>
        <v>255</v>
      </c>
      <c r="B218" s="33">
        <v>2550005</v>
      </c>
      <c r="D218" s="1962" t="s">
        <v>538</v>
      </c>
      <c r="E218" s="1962" t="s">
        <v>539</v>
      </c>
      <c r="F218" s="1981">
        <v>0.84848000000000001</v>
      </c>
      <c r="G218" s="1981">
        <v>-7.9439999999999997E-2</v>
      </c>
      <c r="H218" s="1981">
        <v>-1.00735</v>
      </c>
      <c r="I218" s="1981">
        <v>-1.93527</v>
      </c>
      <c r="J218" s="1981">
        <v>-2.8631899999999999</v>
      </c>
      <c r="K218" s="1981">
        <v>-3.7910999999999997</v>
      </c>
      <c r="L218" s="1981">
        <v>-4.7190200000000004</v>
      </c>
      <c r="M218" s="1981">
        <v>-5.6469399999999998</v>
      </c>
      <c r="N218" s="1981">
        <v>-6.5748500000000005</v>
      </c>
      <c r="O218" s="1981">
        <v>-7.5027700000000008</v>
      </c>
      <c r="P218" s="1981">
        <v>-8.4306900000000002</v>
      </c>
      <c r="Q218" s="1981">
        <v>-9.3586000000000009</v>
      </c>
      <c r="R218" s="1981">
        <v>-10.286520000000001</v>
      </c>
      <c r="S218" s="1982">
        <v>-4.7190200000000004</v>
      </c>
      <c r="U218" s="47">
        <f t="shared" si="12"/>
        <v>-4.7190200000000004</v>
      </c>
      <c r="V218" s="48">
        <f t="shared" si="11"/>
        <v>0</v>
      </c>
    </row>
    <row r="219" spans="1:22">
      <c r="A219" s="33" t="str">
        <f t="shared" si="10"/>
        <v>108</v>
      </c>
      <c r="B219" s="33">
        <v>1080210</v>
      </c>
      <c r="D219" s="1962" t="s">
        <v>146</v>
      </c>
      <c r="E219" s="1962" t="s">
        <v>147</v>
      </c>
      <c r="F219" s="1981">
        <v>-252459.17374999999</v>
      </c>
      <c r="G219" s="1981">
        <v>-252038.40846000001</v>
      </c>
      <c r="H219" s="1981">
        <v>-251618.34444999998</v>
      </c>
      <c r="I219" s="1981">
        <v>-251198.98053999999</v>
      </c>
      <c r="J219" s="1981">
        <v>-250780.31557000001</v>
      </c>
      <c r="K219" s="1981">
        <v>-250362.34837999998</v>
      </c>
      <c r="L219" s="1981">
        <v>-249945.0778</v>
      </c>
      <c r="M219" s="1981">
        <v>-249528.50266999999</v>
      </c>
      <c r="N219" s="1981">
        <v>-249112.62183000002</v>
      </c>
      <c r="O219" s="1981">
        <v>-248697.43413000001</v>
      </c>
      <c r="P219" s="1981">
        <v>-248282.93841</v>
      </c>
      <c r="Q219" s="1981">
        <v>-247869.13350999999</v>
      </c>
      <c r="R219" s="1981">
        <v>-247456.01828999998</v>
      </c>
      <c r="S219" s="1982">
        <v>-249949.94598384618</v>
      </c>
      <c r="U219" s="47">
        <f t="shared" si="12"/>
        <v>-249949.94598384618</v>
      </c>
      <c r="V219" s="48">
        <f t="shared" si="11"/>
        <v>0</v>
      </c>
    </row>
    <row r="220" spans="1:22">
      <c r="A220" s="33" t="str">
        <f t="shared" si="10"/>
        <v>228</v>
      </c>
      <c r="B220" s="33">
        <v>2281000</v>
      </c>
      <c r="D220" s="1962" t="s">
        <v>335</v>
      </c>
      <c r="E220" s="1962" t="s">
        <v>336</v>
      </c>
      <c r="F220" s="1981">
        <v>17835.4555666667</v>
      </c>
      <c r="G220" s="1981">
        <v>17835.4555666667</v>
      </c>
      <c r="H220" s="1981">
        <v>17835.4555666667</v>
      </c>
      <c r="I220" s="1981">
        <v>17835.4555666667</v>
      </c>
      <c r="J220" s="1981">
        <v>17835.4555666667</v>
      </c>
      <c r="K220" s="1981">
        <v>17835.4555666667</v>
      </c>
      <c r="L220" s="1981">
        <v>17835.4555666667</v>
      </c>
      <c r="M220" s="1981">
        <v>17835.4555666667</v>
      </c>
      <c r="N220" s="1981">
        <v>17835.4555666667</v>
      </c>
      <c r="O220" s="1981">
        <v>17835.4555666667</v>
      </c>
      <c r="P220" s="1981">
        <v>17835.4555666667</v>
      </c>
      <c r="Q220" s="1981">
        <v>17835.4555666667</v>
      </c>
      <c r="R220" s="1981">
        <v>17835.4555666667</v>
      </c>
      <c r="S220" s="1982">
        <v>17835.4555666667</v>
      </c>
      <c r="U220" s="47">
        <f t="shared" si="12"/>
        <v>17835.4555666667</v>
      </c>
      <c r="V220" s="48">
        <f t="shared" si="11"/>
        <v>0</v>
      </c>
    </row>
    <row r="221" spans="1:22">
      <c r="A221" s="33" t="str">
        <f t="shared" si="10"/>
        <v>254</v>
      </c>
      <c r="B221" s="33">
        <v>2540210</v>
      </c>
      <c r="D221" s="1962" t="s">
        <v>527</v>
      </c>
      <c r="E221" s="1962" t="s">
        <v>528</v>
      </c>
      <c r="F221" s="1981">
        <v>60.598999999999997</v>
      </c>
      <c r="G221" s="1981">
        <v>60.401000000000003</v>
      </c>
      <c r="H221" s="1981">
        <v>60.203000000000003</v>
      </c>
      <c r="I221" s="1981">
        <v>60.005000000000003</v>
      </c>
      <c r="J221" s="1981">
        <v>59.807000000000002</v>
      </c>
      <c r="K221" s="1981">
        <v>59.609000000000002</v>
      </c>
      <c r="L221" s="1981">
        <v>59.411000000000001</v>
      </c>
      <c r="M221" s="1981">
        <v>59.213000000000001</v>
      </c>
      <c r="N221" s="1981">
        <v>59.015000000000001</v>
      </c>
      <c r="O221" s="1981">
        <v>58.817</v>
      </c>
      <c r="P221" s="1981">
        <v>58.619</v>
      </c>
      <c r="Q221" s="1981">
        <v>58.420999999999999</v>
      </c>
      <c r="R221" s="1981">
        <v>58.222999999999999</v>
      </c>
      <c r="S221" s="1982">
        <v>59.411000000000008</v>
      </c>
      <c r="U221" s="47">
        <f t="shared" si="12"/>
        <v>59.411000000000008</v>
      </c>
      <c r="V221" s="48">
        <f t="shared" si="11"/>
        <v>0</v>
      </c>
    </row>
    <row r="222" spans="1:22">
      <c r="A222" s="33" t="str">
        <f t="shared" si="10"/>
        <v>254</v>
      </c>
      <c r="B222" s="33">
        <v>2540211</v>
      </c>
      <c r="D222" s="1962" t="s">
        <v>7180</v>
      </c>
      <c r="E222" s="1962" t="s">
        <v>7181</v>
      </c>
      <c r="F222" s="1981">
        <v>5293.4724800000004</v>
      </c>
      <c r="G222" s="1981">
        <v>5311.1670100000001</v>
      </c>
      <c r="H222" s="1981">
        <v>5328.2678299999998</v>
      </c>
      <c r="I222" s="1981">
        <v>5345.4108399999996</v>
      </c>
      <c r="J222" s="1981">
        <v>5361.9252900000001</v>
      </c>
      <c r="K222" s="1981">
        <v>5377.8775400000004</v>
      </c>
      <c r="L222" s="1981">
        <v>5393.9224400000003</v>
      </c>
      <c r="M222" s="1981">
        <v>5409.5477499999997</v>
      </c>
      <c r="N222" s="1981">
        <v>5424.7834999999995</v>
      </c>
      <c r="O222" s="1981">
        <v>5440.0661600000003</v>
      </c>
      <c r="P222" s="1981">
        <v>5454.92058</v>
      </c>
      <c r="Q222" s="1981">
        <v>5469.2746399999996</v>
      </c>
      <c r="R222" s="1981">
        <v>5483.6493466666998</v>
      </c>
      <c r="S222" s="1982">
        <v>5391.8681082051316</v>
      </c>
      <c r="U222" s="47">
        <f t="shared" si="12"/>
        <v>5391.8681082051316</v>
      </c>
      <c r="V222" s="48">
        <f t="shared" si="11"/>
        <v>0</v>
      </c>
    </row>
    <row r="223" spans="1:22">
      <c r="A223" s="33" t="str">
        <f t="shared" si="10"/>
        <v>254</v>
      </c>
      <c r="B223" s="33">
        <v>2540280</v>
      </c>
      <c r="D223" s="1962" t="s">
        <v>529</v>
      </c>
      <c r="E223" s="1962" t="s">
        <v>7182</v>
      </c>
      <c r="F223" s="1981">
        <v>0</v>
      </c>
      <c r="G223" s="1981">
        <v>0</v>
      </c>
      <c r="H223" s="1981">
        <v>0</v>
      </c>
      <c r="I223" s="1981">
        <v>0</v>
      </c>
      <c r="J223" s="1981">
        <v>0</v>
      </c>
      <c r="K223" s="1981">
        <v>0</v>
      </c>
      <c r="L223" s="1981">
        <v>0</v>
      </c>
      <c r="M223" s="1981">
        <v>0</v>
      </c>
      <c r="N223" s="1981">
        <v>0</v>
      </c>
      <c r="O223" s="1981">
        <v>0</v>
      </c>
      <c r="P223" s="1981">
        <v>0</v>
      </c>
      <c r="Q223" s="1981">
        <v>0</v>
      </c>
      <c r="R223" s="1981">
        <v>0</v>
      </c>
      <c r="S223" s="1982">
        <v>0</v>
      </c>
      <c r="U223" s="47">
        <f t="shared" si="12"/>
        <v>0</v>
      </c>
      <c r="V223" s="48">
        <f t="shared" si="11"/>
        <v>0</v>
      </c>
    </row>
    <row r="224" spans="1:22">
      <c r="A224" s="33" t="str">
        <f t="shared" si="10"/>
        <v>254</v>
      </c>
      <c r="B224" s="33">
        <v>2540320</v>
      </c>
      <c r="D224" s="1962" t="s">
        <v>530</v>
      </c>
      <c r="E224" s="1962" t="s">
        <v>531</v>
      </c>
      <c r="F224" s="1981">
        <v>34.125999999999998</v>
      </c>
      <c r="G224" s="1981">
        <v>34.121000000000002</v>
      </c>
      <c r="H224" s="1981">
        <v>34.121000000000002</v>
      </c>
      <c r="I224" s="1981">
        <v>34.121000000000002</v>
      </c>
      <c r="J224" s="1981">
        <v>34.116</v>
      </c>
      <c r="K224" s="1981">
        <v>34.116</v>
      </c>
      <c r="L224" s="1981">
        <v>34.116</v>
      </c>
      <c r="M224" s="1981">
        <v>34.110999999999997</v>
      </c>
      <c r="N224" s="1981">
        <v>34.110999999999997</v>
      </c>
      <c r="O224" s="1981">
        <v>34.110999999999997</v>
      </c>
      <c r="P224" s="1981">
        <v>34.106000000000002</v>
      </c>
      <c r="Q224" s="1981">
        <v>34.106000000000002</v>
      </c>
      <c r="R224" s="1981">
        <v>34.106000000000002</v>
      </c>
      <c r="S224" s="1982">
        <v>34.114461538461534</v>
      </c>
      <c r="U224" s="47">
        <f t="shared" si="12"/>
        <v>34.114461538461534</v>
      </c>
      <c r="V224" s="48">
        <f t="shared" si="11"/>
        <v>0</v>
      </c>
    </row>
    <row r="225" spans="1:22">
      <c r="A225" s="33" t="str">
        <f t="shared" si="10"/>
        <v>254</v>
      </c>
      <c r="B225" s="33">
        <v>2540610</v>
      </c>
      <c r="D225" s="1962" t="s">
        <v>532</v>
      </c>
      <c r="E225" s="1962" t="s">
        <v>533</v>
      </c>
      <c r="F225" s="1981">
        <v>440307.18586000003</v>
      </c>
      <c r="G225" s="1981">
        <v>437080.47891000001</v>
      </c>
      <c r="H225" s="1981">
        <v>438133.01233</v>
      </c>
      <c r="I225" s="1981">
        <v>440690.19731000002</v>
      </c>
      <c r="J225" s="1981">
        <v>444642.19554000004</v>
      </c>
      <c r="K225" s="1981">
        <v>441319.70837000001</v>
      </c>
      <c r="L225" s="1981">
        <v>437814.46724999999</v>
      </c>
      <c r="M225" s="1981">
        <v>434491.98012999998</v>
      </c>
      <c r="N225" s="1981">
        <v>431169.49288999999</v>
      </c>
      <c r="O225" s="1981">
        <v>414317.53959</v>
      </c>
      <c r="P225" s="1981">
        <v>410995.05232000002</v>
      </c>
      <c r="Q225" s="1981">
        <v>407672.56520999997</v>
      </c>
      <c r="R225" s="1981">
        <v>412649.03360000002</v>
      </c>
      <c r="S225" s="1982">
        <v>430098.68533153838</v>
      </c>
      <c r="U225" s="47">
        <f t="shared" si="12"/>
        <v>430098.68533153838</v>
      </c>
      <c r="V225" s="48">
        <f t="shared" si="11"/>
        <v>0</v>
      </c>
    </row>
    <row r="226" spans="1:22">
      <c r="A226" s="33" t="str">
        <f t="shared" si="10"/>
        <v>190</v>
      </c>
      <c r="B226" s="33">
        <v>1900610</v>
      </c>
      <c r="D226" s="1962" t="s">
        <v>312</v>
      </c>
      <c r="E226" s="1962" t="s">
        <v>313</v>
      </c>
      <c r="F226" s="1981">
        <v>66015.901759999993</v>
      </c>
      <c r="G226" s="1981">
        <v>65784.011450000005</v>
      </c>
      <c r="H226" s="1981">
        <v>69831.361519999991</v>
      </c>
      <c r="I226" s="1981">
        <v>69563.811000000002</v>
      </c>
      <c r="J226" s="1981">
        <v>76510.625910000002</v>
      </c>
      <c r="K226" s="1981">
        <v>76182.955300000001</v>
      </c>
      <c r="L226" s="1981">
        <v>75855.28476000001</v>
      </c>
      <c r="M226" s="1981">
        <v>75527.614239999995</v>
      </c>
      <c r="N226" s="1981">
        <v>75199.943670000008</v>
      </c>
      <c r="O226" s="1981">
        <v>74872.273140000005</v>
      </c>
      <c r="P226" s="1981">
        <v>74544.602549999996</v>
      </c>
      <c r="Q226" s="1981">
        <v>74216.932029999996</v>
      </c>
      <c r="R226" s="1981">
        <v>74295.549310000002</v>
      </c>
      <c r="S226" s="1982">
        <v>72953.91281846154</v>
      </c>
      <c r="U226" s="47">
        <f t="shared" si="12"/>
        <v>72953.91281846154</v>
      </c>
      <c r="V226" s="48">
        <f t="shared" si="11"/>
        <v>0</v>
      </c>
    </row>
    <row r="227" spans="1:22">
      <c r="A227" s="33" t="str">
        <f t="shared" si="10"/>
        <v>281</v>
      </c>
      <c r="B227" s="33">
        <v>2810300</v>
      </c>
      <c r="D227" s="1962" t="s">
        <v>542</v>
      </c>
      <c r="E227" s="1962" t="s">
        <v>543</v>
      </c>
      <c r="F227" s="1981">
        <v>45680.532119999996</v>
      </c>
      <c r="G227" s="1981">
        <v>45530.976159999998</v>
      </c>
      <c r="H227" s="1981">
        <v>45381.420210000004</v>
      </c>
      <c r="I227" s="1981">
        <v>45231.864249999999</v>
      </c>
      <c r="J227" s="1981">
        <v>45082.308299999997</v>
      </c>
      <c r="K227" s="1981">
        <v>44932.752340000006</v>
      </c>
      <c r="L227" s="1981">
        <v>44783.196389999997</v>
      </c>
      <c r="M227" s="1981">
        <v>44633.640429999999</v>
      </c>
      <c r="N227" s="1981">
        <v>44484.084479999998</v>
      </c>
      <c r="O227" s="1981">
        <v>44334.52852</v>
      </c>
      <c r="P227" s="1981">
        <v>44184.972569999998</v>
      </c>
      <c r="Q227" s="1981">
        <v>44035.41661</v>
      </c>
      <c r="R227" s="1981">
        <v>43885.860659999998</v>
      </c>
      <c r="S227" s="1982">
        <v>44783.196387692304</v>
      </c>
      <c r="U227" s="47">
        <f t="shared" si="12"/>
        <v>44783.196387692304</v>
      </c>
      <c r="V227" s="48">
        <f t="shared" si="11"/>
        <v>0</v>
      </c>
    </row>
    <row r="228" spans="1:22">
      <c r="A228" s="33" t="str">
        <f t="shared" si="10"/>
        <v>281</v>
      </c>
      <c r="B228" s="33">
        <v>2810400</v>
      </c>
      <c r="D228" s="1962" t="s">
        <v>544</v>
      </c>
      <c r="E228" s="1962" t="s">
        <v>545</v>
      </c>
      <c r="F228" s="1981">
        <v>7447.33907</v>
      </c>
      <c r="G228" s="1981">
        <v>7391.9938700000002</v>
      </c>
      <c r="H228" s="1981">
        <v>7336.6486699999996</v>
      </c>
      <c r="I228" s="1981">
        <v>7281.3034699999998</v>
      </c>
      <c r="J228" s="1981">
        <v>7225.9582799999998</v>
      </c>
      <c r="K228" s="1981">
        <v>7170.6130800000001</v>
      </c>
      <c r="L228" s="1981">
        <v>7115.2678800000003</v>
      </c>
      <c r="M228" s="1981">
        <v>7059.9226799999997</v>
      </c>
      <c r="N228" s="1981">
        <v>7004.5774800000008</v>
      </c>
      <c r="O228" s="1981">
        <v>6949.2322800000002</v>
      </c>
      <c r="P228" s="1981">
        <v>6893.8870900000002</v>
      </c>
      <c r="Q228" s="1981">
        <v>6838.5418899999995</v>
      </c>
      <c r="R228" s="1981">
        <v>6783.1966900000007</v>
      </c>
      <c r="S228" s="1982">
        <v>7115.2678792307697</v>
      </c>
      <c r="U228" s="47">
        <f t="shared" si="12"/>
        <v>7115.2678792307697</v>
      </c>
      <c r="V228" s="48">
        <f t="shared" si="11"/>
        <v>0</v>
      </c>
    </row>
    <row r="229" spans="1:22">
      <c r="A229" s="33" t="str">
        <f t="shared" si="10"/>
        <v>282</v>
      </c>
      <c r="B229" s="33">
        <v>2820300</v>
      </c>
      <c r="D229" s="1962" t="s">
        <v>546</v>
      </c>
      <c r="E229" s="1962" t="s">
        <v>547</v>
      </c>
      <c r="F229" s="1981">
        <v>1480700.41377</v>
      </c>
      <c r="G229" s="1981">
        <v>1483187.23327</v>
      </c>
      <c r="H229" s="1981">
        <v>1485678.82898</v>
      </c>
      <c r="I229" s="1981">
        <v>1488184.4580099999</v>
      </c>
      <c r="J229" s="1981">
        <v>1490754.2435099999</v>
      </c>
      <c r="K229" s="1981">
        <v>1493314.41506</v>
      </c>
      <c r="L229" s="1981">
        <v>1495859.7112</v>
      </c>
      <c r="M229" s="1981">
        <v>1498379.6890100001</v>
      </c>
      <c r="N229" s="1981">
        <v>1500939.58243</v>
      </c>
      <c r="O229" s="1981">
        <v>1503457.75079</v>
      </c>
      <c r="P229" s="1981">
        <v>1506045.2345199999</v>
      </c>
      <c r="Q229" s="1981">
        <v>1508526.0526099999</v>
      </c>
      <c r="R229" s="1981">
        <v>1510989.03794</v>
      </c>
      <c r="S229" s="1982">
        <v>1495847.4346999999</v>
      </c>
      <c r="U229" s="47">
        <f t="shared" si="12"/>
        <v>1495847.4346999999</v>
      </c>
      <c r="V229" s="48">
        <f t="shared" si="11"/>
        <v>0</v>
      </c>
    </row>
    <row r="230" spans="1:22">
      <c r="A230" s="33" t="str">
        <f t="shared" si="10"/>
        <v>282</v>
      </c>
      <c r="B230" s="33">
        <v>2820400</v>
      </c>
      <c r="D230" s="1962" t="s">
        <v>548</v>
      </c>
      <c r="E230" s="1962" t="s">
        <v>549</v>
      </c>
      <c r="F230" s="1981">
        <v>292233.64848999999</v>
      </c>
      <c r="G230" s="1981">
        <v>293839.58557</v>
      </c>
      <c r="H230" s="1981">
        <v>295444.34075999999</v>
      </c>
      <c r="I230" s="1981">
        <v>297056.41198000003</v>
      </c>
      <c r="J230" s="1981">
        <v>298682.83216000005</v>
      </c>
      <c r="K230" s="1981">
        <v>300308.79242000001</v>
      </c>
      <c r="L230" s="1981">
        <v>301928.33286000002</v>
      </c>
      <c r="M230" s="1981">
        <v>303543.14041000005</v>
      </c>
      <c r="N230" s="1981">
        <v>305166.82233999996</v>
      </c>
      <c r="O230" s="1981">
        <v>306785.16560000001</v>
      </c>
      <c r="P230" s="1981">
        <v>308416.50043999997</v>
      </c>
      <c r="Q230" s="1981">
        <v>310020.44376999995</v>
      </c>
      <c r="R230" s="1981">
        <v>311620.92982000002</v>
      </c>
      <c r="S230" s="1982">
        <v>301926.68820153846</v>
      </c>
      <c r="U230" s="47">
        <f t="shared" si="12"/>
        <v>301926.68820153846</v>
      </c>
      <c r="V230" s="48">
        <f t="shared" si="11"/>
        <v>0</v>
      </c>
    </row>
    <row r="231" spans="1:22">
      <c r="A231" s="33" t="str">
        <f t="shared" si="10"/>
        <v>282</v>
      </c>
      <c r="B231" s="33">
        <v>2820610</v>
      </c>
      <c r="D231" s="1962" t="s">
        <v>550</v>
      </c>
      <c r="E231" s="1962" t="s">
        <v>551</v>
      </c>
      <c r="F231" s="1981">
        <v>-191156.39005000002</v>
      </c>
      <c r="G231" s="1981">
        <v>-188415.54575999998</v>
      </c>
      <c r="H231" s="1981">
        <v>-183668.56644999998</v>
      </c>
      <c r="I231" s="1981">
        <v>-185154.51324</v>
      </c>
      <c r="J231" s="1981">
        <v>-179053.21987999999</v>
      </c>
      <c r="K231" s="1981">
        <v>-176368.49761000002</v>
      </c>
      <c r="L231" s="1981">
        <v>-173756.96378999998</v>
      </c>
      <c r="M231" s="1981">
        <v>-171357.29274999999</v>
      </c>
      <c r="N231" s="1981">
        <v>-168897.29811999999</v>
      </c>
      <c r="O231" s="1981">
        <v>-156296.46878</v>
      </c>
      <c r="P231" s="1981">
        <v>-153776.60358000002</v>
      </c>
      <c r="Q231" s="1981">
        <v>-151241.76266000001</v>
      </c>
      <c r="R231" s="1981">
        <v>-154508.52056999999</v>
      </c>
      <c r="S231" s="1982">
        <v>-171819.3571723077</v>
      </c>
      <c r="U231" s="47">
        <f t="shared" si="12"/>
        <v>-171819.3571723077</v>
      </c>
      <c r="V231" s="48">
        <f t="shared" si="11"/>
        <v>0</v>
      </c>
    </row>
    <row r="232" spans="1:22">
      <c r="A232" s="33" t="str">
        <f t="shared" si="10"/>
        <v>283</v>
      </c>
      <c r="B232" s="33">
        <v>2830300</v>
      </c>
      <c r="D232" s="1962" t="s">
        <v>552</v>
      </c>
      <c r="E232" s="1962" t="s">
        <v>553</v>
      </c>
      <c r="F232" s="1981">
        <v>16191.41316</v>
      </c>
      <c r="G232" s="1981">
        <v>17089.57604</v>
      </c>
      <c r="H232" s="1981">
        <v>17953.86594</v>
      </c>
      <c r="I232" s="1981">
        <v>28811.388800000001</v>
      </c>
      <c r="J232" s="1981">
        <v>29910.606219999998</v>
      </c>
      <c r="K232" s="1981">
        <v>30619.656260000003</v>
      </c>
      <c r="L232" s="1981">
        <v>30036.596859999998</v>
      </c>
      <c r="M232" s="1981">
        <v>30354.377179999999</v>
      </c>
      <c r="N232" s="1981">
        <v>30666.481649999998</v>
      </c>
      <c r="O232" s="1981">
        <v>20206.88881</v>
      </c>
      <c r="P232" s="1981">
        <v>20740.306079999998</v>
      </c>
      <c r="Q232" s="1981">
        <v>21735.7369</v>
      </c>
      <c r="R232" s="1981">
        <v>28045.393700000001</v>
      </c>
      <c r="S232" s="1982">
        <v>24797.099046153849</v>
      </c>
      <c r="U232" s="47">
        <f t="shared" si="12"/>
        <v>24797.099046153849</v>
      </c>
      <c r="V232" s="48">
        <f t="shared" si="11"/>
        <v>0</v>
      </c>
    </row>
    <row r="233" spans="1:22">
      <c r="A233" s="33" t="str">
        <f t="shared" si="10"/>
        <v>283</v>
      </c>
      <c r="B233" s="33">
        <v>2830330</v>
      </c>
      <c r="D233" s="1962" t="s">
        <v>554</v>
      </c>
      <c r="E233" s="1962" t="s">
        <v>555</v>
      </c>
      <c r="F233" s="1981">
        <v>79139.92876000001</v>
      </c>
      <c r="G233" s="1981">
        <v>79139.92876000001</v>
      </c>
      <c r="H233" s="1981">
        <v>79139.92876000001</v>
      </c>
      <c r="I233" s="1981">
        <v>79139.92876000001</v>
      </c>
      <c r="J233" s="1981">
        <v>79139.92876000001</v>
      </c>
      <c r="K233" s="1981">
        <v>79139.92876000001</v>
      </c>
      <c r="L233" s="1981">
        <v>79139.92876000001</v>
      </c>
      <c r="M233" s="1981">
        <v>79139.92876000001</v>
      </c>
      <c r="N233" s="1981">
        <v>79139.92876000001</v>
      </c>
      <c r="O233" s="1981">
        <v>79139.92876000001</v>
      </c>
      <c r="P233" s="1981">
        <v>79139.92876000001</v>
      </c>
      <c r="Q233" s="1981">
        <v>79139.92876000001</v>
      </c>
      <c r="R233" s="1981">
        <v>79139.92876000001</v>
      </c>
      <c r="S233" s="1982">
        <v>79139.928760000024</v>
      </c>
      <c r="U233" s="47">
        <f t="shared" si="12"/>
        <v>79139.928760000024</v>
      </c>
      <c r="V233" s="48">
        <f t="shared" si="11"/>
        <v>0</v>
      </c>
    </row>
    <row r="234" spans="1:22">
      <c r="A234" s="33" t="str">
        <f t="shared" si="10"/>
        <v>283</v>
      </c>
      <c r="B234" s="33">
        <v>2830340</v>
      </c>
      <c r="D234" s="1962" t="s">
        <v>556</v>
      </c>
      <c r="E234" s="1962" t="s">
        <v>557</v>
      </c>
      <c r="F234" s="1981">
        <v>1926.5080399999999</v>
      </c>
      <c r="G234" s="1981">
        <v>1926.5080399999999</v>
      </c>
      <c r="H234" s="1981">
        <v>1926.5080399999999</v>
      </c>
      <c r="I234" s="1981">
        <v>1926.5080399999999</v>
      </c>
      <c r="J234" s="1981">
        <v>1926.5080399999999</v>
      </c>
      <c r="K234" s="1981">
        <v>1926.5080399999999</v>
      </c>
      <c r="L234" s="1981">
        <v>1926.5080399999999</v>
      </c>
      <c r="M234" s="1981">
        <v>1926.5080399999999</v>
      </c>
      <c r="N234" s="1981">
        <v>1926.5080399999999</v>
      </c>
      <c r="O234" s="1981">
        <v>1926.5080399999999</v>
      </c>
      <c r="P234" s="1981">
        <v>1926.5080399999999</v>
      </c>
      <c r="Q234" s="1981">
        <v>1926.5080399999999</v>
      </c>
      <c r="R234" s="1981">
        <v>1926.5080399999999</v>
      </c>
      <c r="S234" s="1982">
        <v>1926.5080400000004</v>
      </c>
      <c r="U234" s="47">
        <f t="shared" si="12"/>
        <v>1926.5080400000004</v>
      </c>
      <c r="V234" s="48">
        <f t="shared" si="11"/>
        <v>0</v>
      </c>
    </row>
    <row r="235" spans="1:22">
      <c r="A235" s="33" t="str">
        <f t="shared" si="10"/>
        <v>283</v>
      </c>
      <c r="B235" s="33">
        <v>2830400</v>
      </c>
      <c r="D235" s="1962" t="s">
        <v>558</v>
      </c>
      <c r="E235" s="1962" t="s">
        <v>559</v>
      </c>
      <c r="F235" s="1981">
        <v>2155.1422599999996</v>
      </c>
      <c r="G235" s="1981">
        <v>2422.8989799999999</v>
      </c>
      <c r="H235" s="1981">
        <v>2683.77333</v>
      </c>
      <c r="I235" s="1981">
        <v>4506.7313700000004</v>
      </c>
      <c r="J235" s="1981">
        <v>4832.7205700000004</v>
      </c>
      <c r="K235" s="1981">
        <v>5048.37111</v>
      </c>
      <c r="L235" s="1981">
        <v>4946.0260199999993</v>
      </c>
      <c r="M235" s="1981">
        <v>5053.2500599999994</v>
      </c>
      <c r="N235" s="1981">
        <v>5161.0892000000003</v>
      </c>
      <c r="O235" s="1981">
        <v>5076.6607199999999</v>
      </c>
      <c r="P235" s="1981">
        <v>5245.8299500000003</v>
      </c>
      <c r="Q235" s="1981">
        <v>5540.8745599999993</v>
      </c>
      <c r="R235" s="1981">
        <v>5674.2372599999999</v>
      </c>
      <c r="S235" s="1982">
        <v>4488.2773376923078</v>
      </c>
      <c r="U235" s="47">
        <f t="shared" si="12"/>
        <v>4488.2773376923078</v>
      </c>
      <c r="V235" s="48">
        <f t="shared" si="11"/>
        <v>0</v>
      </c>
    </row>
    <row r="236" spans="1:22">
      <c r="A236" s="33" t="str">
        <f t="shared" si="10"/>
        <v>283</v>
      </c>
      <c r="B236" s="33">
        <v>2830430</v>
      </c>
      <c r="D236" s="1962" t="s">
        <v>560</v>
      </c>
      <c r="E236" s="1962" t="s">
        <v>561</v>
      </c>
      <c r="F236" s="1981">
        <v>12997.895699999999</v>
      </c>
      <c r="G236" s="1981">
        <v>12997.895699999999</v>
      </c>
      <c r="H236" s="1981">
        <v>12997.895699999999</v>
      </c>
      <c r="I236" s="1981">
        <v>12997.895699999999</v>
      </c>
      <c r="J236" s="1981">
        <v>12997.895699999999</v>
      </c>
      <c r="K236" s="1981">
        <v>12997.895699999999</v>
      </c>
      <c r="L236" s="1981">
        <v>12997.895699999999</v>
      </c>
      <c r="M236" s="1981">
        <v>12997.895699999999</v>
      </c>
      <c r="N236" s="1981">
        <v>12997.895699999999</v>
      </c>
      <c r="O236" s="1981">
        <v>12997.895699999999</v>
      </c>
      <c r="P236" s="1981">
        <v>12997.895699999999</v>
      </c>
      <c r="Q236" s="1981">
        <v>12997.895699999999</v>
      </c>
      <c r="R236" s="1981">
        <v>12997.895699999999</v>
      </c>
      <c r="S236" s="1982">
        <v>12997.895699999995</v>
      </c>
      <c r="U236" s="47">
        <f t="shared" si="12"/>
        <v>12997.895699999995</v>
      </c>
      <c r="V236" s="48">
        <f t="shared" si="11"/>
        <v>0</v>
      </c>
    </row>
    <row r="237" spans="1:22">
      <c r="A237" s="33" t="str">
        <f t="shared" si="10"/>
        <v>283</v>
      </c>
      <c r="B237" s="33">
        <v>2830440</v>
      </c>
      <c r="D237" s="1962" t="s">
        <v>562</v>
      </c>
      <c r="E237" s="1962" t="s">
        <v>563</v>
      </c>
      <c r="F237" s="1981">
        <v>2.0000000000000001E-4</v>
      </c>
      <c r="G237" s="1981">
        <v>2.0000000000000001E-4</v>
      </c>
      <c r="H237" s="1981">
        <v>2.0000000000000001E-4</v>
      </c>
      <c r="I237" s="1981">
        <v>2.0000000000000001E-4</v>
      </c>
      <c r="J237" s="1981">
        <v>2.0000000000000001E-4</v>
      </c>
      <c r="K237" s="1981">
        <v>2.0000000000000001E-4</v>
      </c>
      <c r="L237" s="1981">
        <v>2.0000000000000001E-4</v>
      </c>
      <c r="M237" s="1981">
        <v>2.0000000000000001E-4</v>
      </c>
      <c r="N237" s="1981">
        <v>2.0000000000000001E-4</v>
      </c>
      <c r="O237" s="1981">
        <v>2.0000000000000001E-4</v>
      </c>
      <c r="P237" s="1981">
        <v>2.0000000000000001E-4</v>
      </c>
      <c r="Q237" s="1981">
        <v>2.0000000000000001E-4</v>
      </c>
      <c r="R237" s="1981">
        <v>2.0000000000000001E-4</v>
      </c>
      <c r="S237" s="1982">
        <v>2.0000000000000006E-4</v>
      </c>
      <c r="U237" s="47">
        <f t="shared" si="12"/>
        <v>2.0000000000000006E-4</v>
      </c>
      <c r="V237" s="48">
        <f t="shared" si="11"/>
        <v>0</v>
      </c>
    </row>
    <row r="238" spans="1:22">
      <c r="A238" s="33" t="str">
        <f t="shared" si="10"/>
        <v>283</v>
      </c>
      <c r="B238" s="33">
        <v>2830610</v>
      </c>
      <c r="D238" s="1962" t="s">
        <v>564</v>
      </c>
      <c r="E238" s="1962" t="s">
        <v>565</v>
      </c>
      <c r="F238" s="1981">
        <v>-65147.308969999998</v>
      </c>
      <c r="G238" s="1981">
        <v>-64212.930780000002</v>
      </c>
      <c r="H238" s="1981">
        <v>-62597.479780000001</v>
      </c>
      <c r="I238" s="1981">
        <v>-63098.076059999999</v>
      </c>
      <c r="J238" s="1981">
        <v>-61022.842170000004</v>
      </c>
      <c r="K238" s="1981">
        <v>-60107.517240000001</v>
      </c>
      <c r="L238" s="1981">
        <v>-59217.039219999999</v>
      </c>
      <c r="M238" s="1981">
        <v>-58398.487729999993</v>
      </c>
      <c r="N238" s="1981">
        <v>-57559.456579999998</v>
      </c>
      <c r="O238" s="1981">
        <v>-53277.662700000001</v>
      </c>
      <c r="P238" s="1981">
        <v>-52418.305719999997</v>
      </c>
      <c r="Q238" s="1981">
        <v>-51553.864719999998</v>
      </c>
      <c r="R238" s="1981">
        <v>-52659.037530000001</v>
      </c>
      <c r="S238" s="1982">
        <v>-58559.231476923065</v>
      </c>
      <c r="U238" s="47">
        <f t="shared" si="12"/>
        <v>-58559.231476923065</v>
      </c>
      <c r="V238" s="48">
        <f t="shared" si="11"/>
        <v>0</v>
      </c>
    </row>
    <row r="239" spans="1:22">
      <c r="A239" s="33" t="str">
        <f t="shared" si="10"/>
        <v>283</v>
      </c>
      <c r="B239" s="33">
        <v>2830611</v>
      </c>
      <c r="D239" s="1962" t="s">
        <v>566</v>
      </c>
      <c r="E239" s="1962" t="s">
        <v>567</v>
      </c>
      <c r="F239" s="1981">
        <v>243.48062999999999</v>
      </c>
      <c r="G239" s="1981">
        <v>243.48062999999999</v>
      </c>
      <c r="H239" s="1981">
        <v>243.48062999999999</v>
      </c>
      <c r="I239" s="1981">
        <v>243.48062999999999</v>
      </c>
      <c r="J239" s="1981">
        <v>243.48062999999999</v>
      </c>
      <c r="K239" s="1981">
        <v>243.48062999999999</v>
      </c>
      <c r="L239" s="1981">
        <v>243.48062999999999</v>
      </c>
      <c r="M239" s="1981">
        <v>243.48062999999999</v>
      </c>
      <c r="N239" s="1981">
        <v>243.48062999999999</v>
      </c>
      <c r="O239" s="1981">
        <v>243.48062999999999</v>
      </c>
      <c r="P239" s="1981">
        <v>243.48062999999999</v>
      </c>
      <c r="Q239" s="1981">
        <v>243.48062999999999</v>
      </c>
      <c r="R239" s="1981">
        <v>243.48062999999999</v>
      </c>
      <c r="S239" s="1982">
        <v>243.48062999999999</v>
      </c>
      <c r="U239" s="47">
        <f t="shared" si="12"/>
        <v>243.48062999999999</v>
      </c>
      <c r="V239" s="48">
        <f t="shared" si="11"/>
        <v>0</v>
      </c>
    </row>
    <row r="240" spans="1:22">
      <c r="A240" s="33" t="str">
        <f t="shared" si="10"/>
        <v>228</v>
      </c>
      <c r="B240" s="33">
        <v>2282010</v>
      </c>
      <c r="D240" s="1962" t="s">
        <v>339</v>
      </c>
      <c r="E240" s="1962" t="s">
        <v>340</v>
      </c>
      <c r="F240" s="1981">
        <v>6545.6808827975001</v>
      </c>
      <c r="G240" s="1981">
        <v>6554.0840833333004</v>
      </c>
      <c r="H240" s="1981">
        <v>6562.4871666666995</v>
      </c>
      <c r="I240" s="1981">
        <v>6570.8902500000004</v>
      </c>
      <c r="J240" s="1981">
        <v>6579.2933333333003</v>
      </c>
      <c r="K240" s="1981">
        <v>6587.6964166666994</v>
      </c>
      <c r="L240" s="1981">
        <v>6596.0995000000003</v>
      </c>
      <c r="M240" s="1981">
        <v>6604.5025833333002</v>
      </c>
      <c r="N240" s="1981">
        <v>6612.9056666666993</v>
      </c>
      <c r="O240" s="1981">
        <v>6621.3087500000001</v>
      </c>
      <c r="P240" s="1981">
        <v>6629.7118333333001</v>
      </c>
      <c r="Q240" s="1981">
        <v>6638.1149166666992</v>
      </c>
      <c r="R240" s="1981">
        <v>6646.518</v>
      </c>
      <c r="S240" s="1982">
        <v>6596.0994909844239</v>
      </c>
      <c r="U240" s="47">
        <f t="shared" si="12"/>
        <v>6596.0994909844239</v>
      </c>
      <c r="V240" s="48">
        <f t="shared" si="11"/>
        <v>0</v>
      </c>
    </row>
    <row r="241" spans="1:22">
      <c r="A241" s="33" t="str">
        <f t="shared" si="10"/>
        <v>228</v>
      </c>
      <c r="B241" s="33">
        <v>2282020</v>
      </c>
      <c r="D241" s="1962" t="s">
        <v>341</v>
      </c>
      <c r="E241" s="1962" t="s">
        <v>342</v>
      </c>
      <c r="F241" s="1981">
        <v>2352.1439882446002</v>
      </c>
      <c r="G241" s="1981">
        <v>2349.5072500000001</v>
      </c>
      <c r="H241" s="1981">
        <v>2346.8705</v>
      </c>
      <c r="I241" s="1981">
        <v>2344.2337499999999</v>
      </c>
      <c r="J241" s="1981">
        <v>2341.5970000000002</v>
      </c>
      <c r="K241" s="1981">
        <v>2338.9602500000001</v>
      </c>
      <c r="L241" s="1981">
        <v>2336.3235</v>
      </c>
      <c r="M241" s="1981">
        <v>2333.6867499999998</v>
      </c>
      <c r="N241" s="1981">
        <v>2331.0500000000002</v>
      </c>
      <c r="O241" s="1981">
        <v>2328.4132500000001</v>
      </c>
      <c r="P241" s="1981">
        <v>2325.7764999999999</v>
      </c>
      <c r="Q241" s="1981">
        <v>2323.1397499999998</v>
      </c>
      <c r="R241" s="1981">
        <v>2320.5030000000002</v>
      </c>
      <c r="S241" s="1982">
        <v>2336.3234990957385</v>
      </c>
      <c r="U241" s="47">
        <f t="shared" si="12"/>
        <v>2336.3234990957385</v>
      </c>
      <c r="V241" s="48">
        <f t="shared" si="11"/>
        <v>0</v>
      </c>
    </row>
    <row r="242" spans="1:22">
      <c r="A242" s="33" t="str">
        <f t="shared" si="10"/>
        <v>228</v>
      </c>
      <c r="B242" s="33">
        <v>2282040</v>
      </c>
      <c r="D242" s="1962" t="s">
        <v>343</v>
      </c>
      <c r="E242" s="1962" t="s">
        <v>344</v>
      </c>
      <c r="F242" s="1981">
        <v>57.289239999999999</v>
      </c>
      <c r="G242" s="1981">
        <v>57.289000000000001</v>
      </c>
      <c r="H242" s="1981">
        <v>57.289000000000001</v>
      </c>
      <c r="I242" s="1981">
        <v>57.289000000000001</v>
      </c>
      <c r="J242" s="1981">
        <v>57.289000000000001</v>
      </c>
      <c r="K242" s="1981">
        <v>57.289000000000001</v>
      </c>
      <c r="L242" s="1981">
        <v>57.289000000000001</v>
      </c>
      <c r="M242" s="1981">
        <v>57.289000000000001</v>
      </c>
      <c r="N242" s="1981">
        <v>57.289000000000001</v>
      </c>
      <c r="O242" s="1981">
        <v>57.289000000000001</v>
      </c>
      <c r="P242" s="1981">
        <v>57.289000000000001</v>
      </c>
      <c r="Q242" s="1981">
        <v>57.289000000000001</v>
      </c>
      <c r="R242" s="1981">
        <v>57.289000000000001</v>
      </c>
      <c r="S242" s="1982">
        <v>57.289018461538454</v>
      </c>
      <c r="U242" s="47">
        <f t="shared" si="12"/>
        <v>57.289018461538454</v>
      </c>
      <c r="V242" s="48">
        <f t="shared" si="11"/>
        <v>0</v>
      </c>
    </row>
    <row r="243" spans="1:22">
      <c r="A243" s="33" t="str">
        <f t="shared" si="10"/>
        <v>228</v>
      </c>
      <c r="B243" s="33">
        <v>2284020</v>
      </c>
      <c r="D243" s="1962" t="s">
        <v>364</v>
      </c>
      <c r="E243" s="1962" t="s">
        <v>365</v>
      </c>
      <c r="F243" s="1981">
        <v>783</v>
      </c>
      <c r="G243" s="1981">
        <v>783</v>
      </c>
      <c r="H243" s="1981">
        <v>783</v>
      </c>
      <c r="I243" s="1981">
        <v>783</v>
      </c>
      <c r="J243" s="1981">
        <v>783</v>
      </c>
      <c r="K243" s="1981">
        <v>783</v>
      </c>
      <c r="L243" s="1981">
        <v>783</v>
      </c>
      <c r="M243" s="1981">
        <v>783</v>
      </c>
      <c r="N243" s="1981">
        <v>783</v>
      </c>
      <c r="O243" s="1981">
        <v>783</v>
      </c>
      <c r="P243" s="1981">
        <v>783</v>
      </c>
      <c r="Q243" s="1981">
        <v>783</v>
      </c>
      <c r="R243" s="1981">
        <v>783</v>
      </c>
      <c r="S243" s="1982">
        <v>783</v>
      </c>
      <c r="U243" s="47">
        <f t="shared" si="12"/>
        <v>783</v>
      </c>
      <c r="V243" s="48">
        <f t="shared" si="11"/>
        <v>0</v>
      </c>
    </row>
    <row r="244" spans="1:22">
      <c r="A244" s="33" t="str">
        <f t="shared" si="10"/>
        <v>242</v>
      </c>
      <c r="B244" s="33">
        <v>2420310</v>
      </c>
      <c r="D244" s="1962" t="s">
        <v>499</v>
      </c>
      <c r="E244" s="1962" t="s">
        <v>7183</v>
      </c>
      <c r="F244" s="1981">
        <v>0</v>
      </c>
      <c r="G244" s="1981">
        <v>0</v>
      </c>
      <c r="H244" s="1981">
        <v>0</v>
      </c>
      <c r="I244" s="1981">
        <v>0</v>
      </c>
      <c r="J244" s="1981">
        <v>0</v>
      </c>
      <c r="K244" s="1981">
        <v>0</v>
      </c>
      <c r="L244" s="1981">
        <v>0</v>
      </c>
      <c r="M244" s="1981">
        <v>0</v>
      </c>
      <c r="N244" s="1981">
        <v>0</v>
      </c>
      <c r="O244" s="1981">
        <v>0</v>
      </c>
      <c r="P244" s="1981">
        <v>0</v>
      </c>
      <c r="Q244" s="1981">
        <v>0</v>
      </c>
      <c r="R244" s="1981">
        <v>0</v>
      </c>
      <c r="S244" s="1982">
        <v>0</v>
      </c>
      <c r="U244" s="47">
        <f t="shared" si="12"/>
        <v>0</v>
      </c>
      <c r="V244" s="48">
        <f t="shared" si="11"/>
        <v>0</v>
      </c>
    </row>
    <row r="245" spans="1:22">
      <c r="A245" s="33" t="str">
        <f t="shared" si="10"/>
        <v>242</v>
      </c>
      <c r="B245" s="33">
        <v>2420320</v>
      </c>
      <c r="D245" s="1962" t="s">
        <v>500</v>
      </c>
      <c r="E245" s="1962" t="s">
        <v>7184</v>
      </c>
      <c r="F245" s="1981">
        <v>0</v>
      </c>
      <c r="G245" s="1981">
        <v>0</v>
      </c>
      <c r="H245" s="1981">
        <v>0</v>
      </c>
      <c r="I245" s="1981">
        <v>0</v>
      </c>
      <c r="J245" s="1981">
        <v>0</v>
      </c>
      <c r="K245" s="1981">
        <v>0</v>
      </c>
      <c r="L245" s="1981">
        <v>0</v>
      </c>
      <c r="M245" s="1981">
        <v>0</v>
      </c>
      <c r="N245" s="1981">
        <v>0</v>
      </c>
      <c r="O245" s="1981">
        <v>0</v>
      </c>
      <c r="P245" s="1981">
        <v>0</v>
      </c>
      <c r="Q245" s="1981">
        <v>0</v>
      </c>
      <c r="R245" s="1981">
        <v>0</v>
      </c>
      <c r="S245" s="1982">
        <v>0</v>
      </c>
      <c r="U245" s="47">
        <f t="shared" si="12"/>
        <v>0</v>
      </c>
      <c r="V245" s="48">
        <f t="shared" si="11"/>
        <v>0</v>
      </c>
    </row>
    <row r="246" spans="1:22">
      <c r="A246" s="33" t="str">
        <f t="shared" si="10"/>
        <v>253</v>
      </c>
      <c r="B246" s="33">
        <v>2530299</v>
      </c>
      <c r="D246" s="1962" t="s">
        <v>508</v>
      </c>
      <c r="E246" s="1962" t="s">
        <v>509</v>
      </c>
      <c r="F246" s="1981">
        <v>0</v>
      </c>
      <c r="G246" s="1981">
        <v>0</v>
      </c>
      <c r="H246" s="1981">
        <v>0</v>
      </c>
      <c r="I246" s="1981">
        <v>0</v>
      </c>
      <c r="J246" s="1981">
        <v>0</v>
      </c>
      <c r="K246" s="1981">
        <v>0</v>
      </c>
      <c r="L246" s="1981">
        <v>0</v>
      </c>
      <c r="M246" s="1981">
        <v>0</v>
      </c>
      <c r="N246" s="1981">
        <v>0</v>
      </c>
      <c r="O246" s="1981">
        <v>0</v>
      </c>
      <c r="P246" s="1981">
        <v>0</v>
      </c>
      <c r="Q246" s="1981">
        <v>0</v>
      </c>
      <c r="R246" s="1981">
        <v>0</v>
      </c>
      <c r="S246" s="1982">
        <v>0</v>
      </c>
      <c r="U246" s="47">
        <f t="shared" si="12"/>
        <v>0</v>
      </c>
      <c r="V246" s="48">
        <f t="shared" si="11"/>
        <v>0</v>
      </c>
    </row>
    <row r="247" spans="1:22">
      <c r="A247" s="33" t="str">
        <f t="shared" si="10"/>
        <v>253</v>
      </c>
      <c r="B247" s="33">
        <v>2530300</v>
      </c>
      <c r="D247" s="1962" t="s">
        <v>510</v>
      </c>
      <c r="E247" s="1962" t="s">
        <v>7185</v>
      </c>
      <c r="F247" s="1981">
        <v>0</v>
      </c>
      <c r="G247" s="1981">
        <v>0</v>
      </c>
      <c r="H247" s="1981">
        <v>0</v>
      </c>
      <c r="I247" s="1981">
        <v>0</v>
      </c>
      <c r="J247" s="1981">
        <v>0</v>
      </c>
      <c r="K247" s="1981">
        <v>0</v>
      </c>
      <c r="L247" s="1981">
        <v>0</v>
      </c>
      <c r="M247" s="1981">
        <v>0</v>
      </c>
      <c r="N247" s="1981">
        <v>0</v>
      </c>
      <c r="O247" s="1981">
        <v>0</v>
      </c>
      <c r="P247" s="1981">
        <v>0</v>
      </c>
      <c r="Q247" s="1981">
        <v>0</v>
      </c>
      <c r="R247" s="1981">
        <v>0</v>
      </c>
      <c r="S247" s="1982">
        <v>0</v>
      </c>
      <c r="U247" s="47">
        <f t="shared" si="12"/>
        <v>0</v>
      </c>
      <c r="V247" s="48">
        <f t="shared" si="11"/>
        <v>0</v>
      </c>
    </row>
    <row r="248" spans="1:22">
      <c r="A248" s="33" t="str">
        <f t="shared" si="10"/>
        <v>253</v>
      </c>
      <c r="B248" s="33">
        <v>2530302</v>
      </c>
      <c r="D248" s="1962" t="s">
        <v>511</v>
      </c>
      <c r="E248" s="1962" t="s">
        <v>512</v>
      </c>
      <c r="F248" s="1981">
        <v>459.46188514549999</v>
      </c>
      <c r="G248" s="1981">
        <v>468.0748112979</v>
      </c>
      <c r="H248" s="1981">
        <v>476.98017205709999</v>
      </c>
      <c r="I248" s="1981">
        <v>485.89164296219997</v>
      </c>
      <c r="J248" s="1981">
        <v>419.72771738400002</v>
      </c>
      <c r="K248" s="1981">
        <v>428.37965930050001</v>
      </c>
      <c r="L248" s="1981">
        <v>437.35366423709996</v>
      </c>
      <c r="M248" s="1981">
        <v>436.12217612379999</v>
      </c>
      <c r="N248" s="1981">
        <v>439.9645090843</v>
      </c>
      <c r="O248" s="1981">
        <v>373.84748447740003</v>
      </c>
      <c r="P248" s="1981">
        <v>382.5232097219</v>
      </c>
      <c r="Q248" s="1981">
        <v>391.41989329260002</v>
      </c>
      <c r="R248" s="1981">
        <v>400.23935903860001</v>
      </c>
      <c r="S248" s="1982">
        <v>430.76816800945386</v>
      </c>
      <c r="U248" s="47">
        <f t="shared" si="12"/>
        <v>430.76816800945386</v>
      </c>
      <c r="V248" s="48">
        <f t="shared" si="11"/>
        <v>0</v>
      </c>
    </row>
    <row r="249" spans="1:22">
      <c r="A249" s="33" t="str">
        <f t="shared" si="10"/>
        <v>253</v>
      </c>
      <c r="B249" s="33">
        <v>2530310</v>
      </c>
      <c r="D249" s="1962" t="s">
        <v>513</v>
      </c>
      <c r="E249" s="1962" t="s">
        <v>514</v>
      </c>
      <c r="F249" s="1981">
        <v>0</v>
      </c>
      <c r="G249" s="1981">
        <v>0</v>
      </c>
      <c r="H249" s="1981">
        <v>0</v>
      </c>
      <c r="I249" s="1981">
        <v>0</v>
      </c>
      <c r="J249" s="1981">
        <v>0</v>
      </c>
      <c r="K249" s="1981">
        <v>0</v>
      </c>
      <c r="L249" s="1981">
        <v>0</v>
      </c>
      <c r="M249" s="1981">
        <v>0</v>
      </c>
      <c r="N249" s="1981">
        <v>0</v>
      </c>
      <c r="O249" s="1981">
        <v>0</v>
      </c>
      <c r="P249" s="1981">
        <v>0</v>
      </c>
      <c r="Q249" s="1981">
        <v>0</v>
      </c>
      <c r="R249" s="1981">
        <v>0</v>
      </c>
      <c r="S249" s="1982">
        <v>0</v>
      </c>
      <c r="U249" s="47">
        <f t="shared" si="12"/>
        <v>0</v>
      </c>
      <c r="V249" s="48">
        <f t="shared" si="11"/>
        <v>0</v>
      </c>
    </row>
    <row r="250" spans="1:22">
      <c r="A250" s="33" t="str">
        <f t="shared" si="10"/>
        <v>253</v>
      </c>
      <c r="B250" s="33">
        <v>2530340</v>
      </c>
      <c r="D250" s="1962" t="s">
        <v>515</v>
      </c>
      <c r="E250" s="1962" t="s">
        <v>516</v>
      </c>
      <c r="F250" s="1981">
        <v>5560.6592866666997</v>
      </c>
      <c r="G250" s="1981">
        <v>5560.6592866666997</v>
      </c>
      <c r="H250" s="1981">
        <v>5560.6592866666997</v>
      </c>
      <c r="I250" s="1981">
        <v>2991.1170955555999</v>
      </c>
      <c r="J250" s="1981">
        <v>2991.1170955555999</v>
      </c>
      <c r="K250" s="1981">
        <v>2991.1170955555999</v>
      </c>
      <c r="L250" s="1981">
        <v>4128.6810955556002</v>
      </c>
      <c r="M250" s="1981">
        <v>4128.6810955556002</v>
      </c>
      <c r="N250" s="1981">
        <v>4128.6810955556002</v>
      </c>
      <c r="O250" s="1981">
        <v>5266.2450955555996</v>
      </c>
      <c r="P250" s="1981">
        <v>5266.2450955555996</v>
      </c>
      <c r="Q250" s="1981">
        <v>5266.2450955555996</v>
      </c>
      <c r="R250" s="1981">
        <v>6403.8090955555999</v>
      </c>
      <c r="S250" s="1982">
        <v>4634.1474473504686</v>
      </c>
      <c r="U250" s="47">
        <f t="shared" si="12"/>
        <v>4634.1474473504686</v>
      </c>
      <c r="V250" s="48">
        <f t="shared" si="11"/>
        <v>0</v>
      </c>
    </row>
    <row r="251" spans="1:22">
      <c r="A251" s="33" t="str">
        <f t="shared" si="10"/>
        <v>253</v>
      </c>
      <c r="B251" s="33">
        <v>2530800</v>
      </c>
      <c r="D251" s="1962" t="s">
        <v>517</v>
      </c>
      <c r="E251" s="1962" t="s">
        <v>518</v>
      </c>
      <c r="F251" s="1981">
        <v>956</v>
      </c>
      <c r="G251" s="1981">
        <v>1116.9831030580001</v>
      </c>
      <c r="H251" s="1981">
        <v>1153.2550684497</v>
      </c>
      <c r="I251" s="1981">
        <v>1185.7357306577001</v>
      </c>
      <c r="J251" s="1981">
        <v>1097.8244999378001</v>
      </c>
      <c r="K251" s="1981">
        <v>922.84260299589994</v>
      </c>
      <c r="L251" s="1981">
        <v>1418.5674040614001</v>
      </c>
      <c r="M251" s="1981">
        <v>1243.5855071195001</v>
      </c>
      <c r="N251" s="1981">
        <v>1068.6036101774998</v>
      </c>
      <c r="O251" s="1981">
        <v>1149.4356142355</v>
      </c>
      <c r="P251" s="1981">
        <v>1263.4245148028001</v>
      </c>
      <c r="Q251" s="1981">
        <v>1088.4426178607998</v>
      </c>
      <c r="R251" s="1981">
        <v>974.36241296680009</v>
      </c>
      <c r="S251" s="1982">
        <v>1126.0817451018002</v>
      </c>
      <c r="U251" s="47">
        <f t="shared" si="12"/>
        <v>1126.0817451018002</v>
      </c>
      <c r="V251" s="48">
        <f t="shared" si="11"/>
        <v>0</v>
      </c>
    </row>
    <row r="252" spans="1:22">
      <c r="A252" s="33" t="str">
        <f t="shared" si="10"/>
        <v>256</v>
      </c>
      <c r="B252" s="33">
        <v>2560000</v>
      </c>
      <c r="D252" s="1962" t="s">
        <v>540</v>
      </c>
      <c r="E252" s="1962" t="s">
        <v>541</v>
      </c>
      <c r="F252" s="1981">
        <v>-7.8761200000000002</v>
      </c>
      <c r="G252" s="1981">
        <v>-7.8761200000000002</v>
      </c>
      <c r="H252" s="1981">
        <v>-7.8761200000000002</v>
      </c>
      <c r="I252" s="1981">
        <v>-7.8761200000000002</v>
      </c>
      <c r="J252" s="1981">
        <v>-7.8761200000000002</v>
      </c>
      <c r="K252" s="1981">
        <v>-7.8761200000000002</v>
      </c>
      <c r="L252" s="1981">
        <v>-7.8761200000000002</v>
      </c>
      <c r="M252" s="1981">
        <v>-7.8761200000000002</v>
      </c>
      <c r="N252" s="1981">
        <v>-7.8761200000000002</v>
      </c>
      <c r="O252" s="1981">
        <v>-7.8761200000000002</v>
      </c>
      <c r="P252" s="1981">
        <v>-7.8761200000000002</v>
      </c>
      <c r="Q252" s="1981">
        <v>-7.8761200000000002</v>
      </c>
      <c r="R252" s="1981">
        <v>-7.8761200000000002</v>
      </c>
      <c r="S252" s="1982">
        <v>-7.8761200000000002</v>
      </c>
      <c r="U252" s="47">
        <f t="shared" si="12"/>
        <v>-7.8761200000000002</v>
      </c>
      <c r="V252" s="48">
        <f t="shared" si="11"/>
        <v>0</v>
      </c>
    </row>
    <row r="253" spans="1:22">
      <c r="A253" s="33" t="str">
        <f t="shared" si="10"/>
        <v>228</v>
      </c>
      <c r="B253" s="33">
        <v>2283200</v>
      </c>
      <c r="D253" s="1962" t="s">
        <v>347</v>
      </c>
      <c r="E253" s="1962" t="s">
        <v>348</v>
      </c>
      <c r="F253" s="1981">
        <v>0</v>
      </c>
      <c r="G253" s="1981">
        <v>0</v>
      </c>
      <c r="H253" s="1981">
        <v>0</v>
      </c>
      <c r="I253" s="1981">
        <v>0</v>
      </c>
      <c r="J253" s="1981">
        <v>0</v>
      </c>
      <c r="K253" s="1981">
        <v>0</v>
      </c>
      <c r="L253" s="1981">
        <v>0</v>
      </c>
      <c r="M253" s="1981">
        <v>0</v>
      </c>
      <c r="N253" s="1981">
        <v>0</v>
      </c>
      <c r="O253" s="1981">
        <v>0</v>
      </c>
      <c r="P253" s="1981">
        <v>0</v>
      </c>
      <c r="Q253" s="1981">
        <v>0</v>
      </c>
      <c r="R253" s="1981">
        <v>0</v>
      </c>
      <c r="S253" s="1982">
        <v>0</v>
      </c>
      <c r="U253" s="47">
        <f t="shared" si="12"/>
        <v>0</v>
      </c>
      <c r="V253" s="48">
        <f t="shared" si="11"/>
        <v>0</v>
      </c>
    </row>
    <row r="254" spans="1:22">
      <c r="A254" s="33" t="str">
        <f t="shared" si="10"/>
        <v>228</v>
      </c>
      <c r="B254" s="33">
        <v>2283201</v>
      </c>
      <c r="D254" s="1962" t="s">
        <v>349</v>
      </c>
      <c r="E254" s="1962" t="s">
        <v>350</v>
      </c>
      <c r="F254" s="1981">
        <v>0</v>
      </c>
      <c r="G254" s="1981">
        <v>0</v>
      </c>
      <c r="H254" s="1981">
        <v>0</v>
      </c>
      <c r="I254" s="1981">
        <v>0</v>
      </c>
      <c r="J254" s="1981">
        <v>0</v>
      </c>
      <c r="K254" s="1981">
        <v>0</v>
      </c>
      <c r="L254" s="1981">
        <v>0</v>
      </c>
      <c r="M254" s="1981">
        <v>0</v>
      </c>
      <c r="N254" s="1981">
        <v>0</v>
      </c>
      <c r="O254" s="1981">
        <v>0</v>
      </c>
      <c r="P254" s="1981">
        <v>0</v>
      </c>
      <c r="Q254" s="1981">
        <v>0</v>
      </c>
      <c r="R254" s="1981">
        <v>0</v>
      </c>
      <c r="S254" s="1982">
        <v>0</v>
      </c>
      <c r="U254" s="47">
        <f t="shared" si="12"/>
        <v>0</v>
      </c>
      <c r="V254" s="48">
        <f t="shared" si="11"/>
        <v>0</v>
      </c>
    </row>
    <row r="255" spans="1:22">
      <c r="A255" s="33" t="str">
        <f t="shared" si="10"/>
        <v>228</v>
      </c>
      <c r="B255" s="33">
        <v>2283210</v>
      </c>
      <c r="D255" s="1962" t="s">
        <v>351</v>
      </c>
      <c r="E255" s="1962" t="s">
        <v>352</v>
      </c>
      <c r="F255" s="1981">
        <v>66.814999999999998</v>
      </c>
      <c r="G255" s="1981">
        <v>416.815</v>
      </c>
      <c r="H255" s="1981">
        <v>416.815</v>
      </c>
      <c r="I255" s="1981">
        <v>314.51900000000001</v>
      </c>
      <c r="J255" s="1981">
        <v>314.51900000000001</v>
      </c>
      <c r="K255" s="1981">
        <v>314.51900000000001</v>
      </c>
      <c r="L255" s="1981">
        <v>212.22300000000001</v>
      </c>
      <c r="M255" s="1981">
        <v>212.22300000000001</v>
      </c>
      <c r="N255" s="1981">
        <v>212.22300000000001</v>
      </c>
      <c r="O255" s="1981">
        <v>109.92700000000001</v>
      </c>
      <c r="P255" s="1981">
        <v>109.92700000000001</v>
      </c>
      <c r="Q255" s="1981">
        <v>109.92700000000001</v>
      </c>
      <c r="R255" s="1981">
        <v>7.6310000000000002</v>
      </c>
      <c r="S255" s="1982">
        <v>216.77561538461538</v>
      </c>
      <c r="U255" s="47">
        <f t="shared" si="12"/>
        <v>216.77561538461538</v>
      </c>
      <c r="V255" s="48">
        <f t="shared" si="11"/>
        <v>0</v>
      </c>
    </row>
    <row r="256" spans="1:22">
      <c r="A256" s="33" t="str">
        <f t="shared" si="10"/>
        <v>228</v>
      </c>
      <c r="B256" s="33">
        <v>2283211</v>
      </c>
      <c r="D256" s="1962" t="s">
        <v>353</v>
      </c>
      <c r="E256" s="1962" t="s">
        <v>354</v>
      </c>
      <c r="F256" s="1981">
        <v>75.998429999999999</v>
      </c>
      <c r="G256" s="1981">
        <v>75.998429999999999</v>
      </c>
      <c r="H256" s="1981">
        <v>75.998429999999999</v>
      </c>
      <c r="I256" s="1981">
        <v>75.998429999999999</v>
      </c>
      <c r="J256" s="1981">
        <v>75.998429999999999</v>
      </c>
      <c r="K256" s="1981">
        <v>75.998429999999999</v>
      </c>
      <c r="L256" s="1981">
        <v>75.998429999999999</v>
      </c>
      <c r="M256" s="1981">
        <v>75.998429999999999</v>
      </c>
      <c r="N256" s="1981">
        <v>75.998429999999999</v>
      </c>
      <c r="O256" s="1981">
        <v>75.998429999999999</v>
      </c>
      <c r="P256" s="1981">
        <v>75.998429999999999</v>
      </c>
      <c r="Q256" s="1981">
        <v>75.998429999999999</v>
      </c>
      <c r="R256" s="1981">
        <v>75.998429999999999</v>
      </c>
      <c r="S256" s="1982">
        <v>75.998429999999999</v>
      </c>
      <c r="U256" s="47">
        <f t="shared" si="12"/>
        <v>75.998429999999999</v>
      </c>
      <c r="V256" s="48">
        <f t="shared" si="11"/>
        <v>0</v>
      </c>
    </row>
    <row r="257" spans="1:22">
      <c r="A257" s="33" t="str">
        <f t="shared" si="10"/>
        <v>228</v>
      </c>
      <c r="B257" s="33">
        <v>2283220</v>
      </c>
      <c r="D257" s="1962" t="s">
        <v>355</v>
      </c>
      <c r="E257" s="1962" t="s">
        <v>356</v>
      </c>
      <c r="F257" s="1981">
        <v>470.97800000000001</v>
      </c>
      <c r="G257" s="1981">
        <v>503.39</v>
      </c>
      <c r="H257" s="1981">
        <v>503.39</v>
      </c>
      <c r="I257" s="1981">
        <v>503.39</v>
      </c>
      <c r="J257" s="1981">
        <v>535.80200000000002</v>
      </c>
      <c r="K257" s="1981">
        <v>535.80200000000002</v>
      </c>
      <c r="L257" s="1981">
        <v>535.80200000000002</v>
      </c>
      <c r="M257" s="1981">
        <v>568.21400000000006</v>
      </c>
      <c r="N257" s="1981">
        <v>568.21400000000006</v>
      </c>
      <c r="O257" s="1981">
        <v>568.21400000000006</v>
      </c>
      <c r="P257" s="1981">
        <v>600.62699999999995</v>
      </c>
      <c r="Q257" s="1981">
        <v>600.62699999999995</v>
      </c>
      <c r="R257" s="1981">
        <v>600.62699999999995</v>
      </c>
      <c r="S257" s="1982">
        <v>545.7751538461539</v>
      </c>
      <c r="U257" s="47">
        <f t="shared" si="12"/>
        <v>545.7751538461539</v>
      </c>
      <c r="V257" s="48">
        <f t="shared" si="11"/>
        <v>0</v>
      </c>
    </row>
    <row r="258" spans="1:22">
      <c r="A258" s="33" t="str">
        <f t="shared" si="10"/>
        <v>228</v>
      </c>
      <c r="B258" s="33">
        <v>2283221</v>
      </c>
      <c r="D258" s="1962" t="s">
        <v>357</v>
      </c>
      <c r="E258" s="1962" t="s">
        <v>7186</v>
      </c>
      <c r="F258" s="1981">
        <v>365.97277000000003</v>
      </c>
      <c r="G258" s="1981">
        <v>365.97277000000003</v>
      </c>
      <c r="H258" s="1981">
        <v>365.97277000000003</v>
      </c>
      <c r="I258" s="1981">
        <v>365.97277000000003</v>
      </c>
      <c r="J258" s="1981">
        <v>365.97277000000003</v>
      </c>
      <c r="K258" s="1981">
        <v>365.97277000000003</v>
      </c>
      <c r="L258" s="1981">
        <v>365.97277000000003</v>
      </c>
      <c r="M258" s="1981">
        <v>365.97277000000003</v>
      </c>
      <c r="N258" s="1981">
        <v>365.97277000000003</v>
      </c>
      <c r="O258" s="1981">
        <v>365.97277000000003</v>
      </c>
      <c r="P258" s="1981">
        <v>365.97277000000003</v>
      </c>
      <c r="Q258" s="1981">
        <v>365.97277000000003</v>
      </c>
      <c r="R258" s="1981">
        <v>365.97277000000003</v>
      </c>
      <c r="S258" s="1982">
        <v>365.97276999999997</v>
      </c>
      <c r="U258" s="47">
        <f t="shared" si="12"/>
        <v>365.97276999999997</v>
      </c>
      <c r="V258" s="48">
        <f t="shared" si="11"/>
        <v>0</v>
      </c>
    </row>
    <row r="259" spans="1:22">
      <c r="A259" s="33" t="str">
        <f t="shared" si="10"/>
        <v>228</v>
      </c>
      <c r="B259" s="33">
        <v>2283231</v>
      </c>
      <c r="D259" s="1962" t="s">
        <v>358</v>
      </c>
      <c r="E259" s="1962" t="s">
        <v>359</v>
      </c>
      <c r="F259" s="1981">
        <v>19314.009999999998</v>
      </c>
      <c r="G259" s="1981">
        <v>19314.009999999998</v>
      </c>
      <c r="H259" s="1981">
        <v>19314.009999999998</v>
      </c>
      <c r="I259" s="1981">
        <v>19314.009999999998</v>
      </c>
      <c r="J259" s="1981">
        <v>19314.009999999998</v>
      </c>
      <c r="K259" s="1981">
        <v>19314.009999999998</v>
      </c>
      <c r="L259" s="1981">
        <v>19314.009999999998</v>
      </c>
      <c r="M259" s="1981">
        <v>19314.009999999998</v>
      </c>
      <c r="N259" s="1981">
        <v>19314.009999999998</v>
      </c>
      <c r="O259" s="1981">
        <v>19314.009999999998</v>
      </c>
      <c r="P259" s="1981">
        <v>19314.009999999998</v>
      </c>
      <c r="Q259" s="1981">
        <v>19314.009999999998</v>
      </c>
      <c r="R259" s="1981">
        <v>19314.009999999998</v>
      </c>
      <c r="S259" s="1982">
        <v>19314.010000000002</v>
      </c>
      <c r="U259" s="47">
        <f t="shared" si="12"/>
        <v>19314.010000000002</v>
      </c>
      <c r="V259" s="48">
        <f t="shared" si="11"/>
        <v>0</v>
      </c>
    </row>
    <row r="260" spans="1:22">
      <c r="A260" s="33" t="str">
        <f t="shared" si="10"/>
        <v>228</v>
      </c>
      <c r="B260" s="33">
        <v>2283232</v>
      </c>
      <c r="D260" s="1962" t="s">
        <v>360</v>
      </c>
      <c r="E260" s="1962" t="s">
        <v>361</v>
      </c>
      <c r="F260" s="1981">
        <v>73655.244030000002</v>
      </c>
      <c r="G260" s="1981">
        <v>72789.244030000002</v>
      </c>
      <c r="H260" s="1981">
        <v>71923.244030000002</v>
      </c>
      <c r="I260" s="1981">
        <v>72405.34203</v>
      </c>
      <c r="J260" s="1981">
        <v>71539.34203</v>
      </c>
      <c r="K260" s="1981">
        <v>70673.34203</v>
      </c>
      <c r="L260" s="1981">
        <v>71155.440029999998</v>
      </c>
      <c r="M260" s="1981">
        <v>70289.440029999998</v>
      </c>
      <c r="N260" s="1981">
        <v>69423.440029999998</v>
      </c>
      <c r="O260" s="1981">
        <v>69905.538029999996</v>
      </c>
      <c r="P260" s="1981">
        <v>69039.538029999996</v>
      </c>
      <c r="Q260" s="1981">
        <v>68173.538029999996</v>
      </c>
      <c r="R260" s="1981">
        <v>68655.636029999994</v>
      </c>
      <c r="S260" s="1982">
        <v>70740.640645384585</v>
      </c>
      <c r="U260" s="47">
        <f t="shared" si="12"/>
        <v>70740.640645384585</v>
      </c>
      <c r="V260" s="48">
        <f t="shared" si="11"/>
        <v>0</v>
      </c>
    </row>
    <row r="261" spans="1:22">
      <c r="A261" s="33" t="str">
        <f t="shared" ref="A261:A272" si="13">+LEFT(B261,3)</f>
        <v>228</v>
      </c>
      <c r="B261" s="33">
        <v>2283240</v>
      </c>
      <c r="D261" s="1962" t="s">
        <v>362</v>
      </c>
      <c r="E261" s="1962" t="s">
        <v>363</v>
      </c>
      <c r="F261" s="1981">
        <v>11252.659</v>
      </c>
      <c r="G261" s="1981">
        <v>11094.325999999999</v>
      </c>
      <c r="H261" s="1981">
        <v>11485.992</v>
      </c>
      <c r="I261" s="1981">
        <v>11327.659</v>
      </c>
      <c r="J261" s="1981">
        <v>11369.325999999999</v>
      </c>
      <c r="K261" s="1981">
        <v>11210.992</v>
      </c>
      <c r="L261" s="1981">
        <v>11277.659</v>
      </c>
      <c r="M261" s="1981">
        <v>11119.325999999999</v>
      </c>
      <c r="N261" s="1981">
        <v>11160.992</v>
      </c>
      <c r="O261" s="1981">
        <v>10702.659</v>
      </c>
      <c r="P261" s="1981">
        <v>10769.325999999999</v>
      </c>
      <c r="Q261" s="1981">
        <v>10610.992</v>
      </c>
      <c r="R261" s="1981">
        <v>10552.659</v>
      </c>
      <c r="S261" s="1982">
        <v>11071.889769230767</v>
      </c>
      <c r="U261" s="47">
        <f t="shared" si="12"/>
        <v>11071.889769230767</v>
      </c>
      <c r="V261" s="48">
        <f t="shared" ref="V261:V324" si="14">IF(S261="","",+U261-S261)</f>
        <v>0</v>
      </c>
    </row>
    <row r="262" spans="1:22">
      <c r="A262" s="33" t="str">
        <f t="shared" si="13"/>
        <v>230</v>
      </c>
      <c r="B262" s="33">
        <v>2300200</v>
      </c>
      <c r="D262" s="1962" t="s">
        <v>369</v>
      </c>
      <c r="E262" s="1962" t="s">
        <v>370</v>
      </c>
      <c r="F262" s="1981">
        <v>33789.464899999999</v>
      </c>
      <c r="G262" s="1981">
        <v>33930.254340000007</v>
      </c>
      <c r="H262" s="1981">
        <v>34071.630400000002</v>
      </c>
      <c r="I262" s="1981">
        <v>34213.595529999999</v>
      </c>
      <c r="J262" s="1981">
        <v>34356.152179999997</v>
      </c>
      <c r="K262" s="1981">
        <v>34499.302810000001</v>
      </c>
      <c r="L262" s="1981">
        <v>34643.049909999994</v>
      </c>
      <c r="M262" s="1981">
        <v>34787.395950000006</v>
      </c>
      <c r="N262" s="1981">
        <v>34932.343430000001</v>
      </c>
      <c r="O262" s="1981">
        <v>35077.89486</v>
      </c>
      <c r="P262" s="1981">
        <v>35224.052759999999</v>
      </c>
      <c r="Q262" s="1981">
        <v>35370.819649999998</v>
      </c>
      <c r="R262" s="1981">
        <v>35518.198069999999</v>
      </c>
      <c r="S262" s="1982">
        <v>34647.242676153845</v>
      </c>
      <c r="U262" s="47">
        <f t="shared" ref="U262:U325" si="15">+IF(F262="","",SUM(F262:R262)/13)</f>
        <v>34647.242676153845</v>
      </c>
      <c r="V262" s="48">
        <f t="shared" si="14"/>
        <v>0</v>
      </c>
    </row>
    <row r="263" spans="1:22">
      <c r="A263" s="33" t="str">
        <f t="shared" si="13"/>
        <v>236</v>
      </c>
      <c r="B263" s="33">
        <v>2360421</v>
      </c>
      <c r="D263" s="1962" t="s">
        <v>450</v>
      </c>
      <c r="E263" s="1962" t="s">
        <v>451</v>
      </c>
      <c r="F263" s="1981">
        <v>0</v>
      </c>
      <c r="G263" s="1981">
        <v>0</v>
      </c>
      <c r="H263" s="1981">
        <v>0</v>
      </c>
      <c r="I263" s="1981">
        <v>0</v>
      </c>
      <c r="J263" s="1981">
        <v>0</v>
      </c>
      <c r="K263" s="1981">
        <v>0</v>
      </c>
      <c r="L263" s="1981">
        <v>0</v>
      </c>
      <c r="M263" s="1981">
        <v>0</v>
      </c>
      <c r="N263" s="1981">
        <v>0</v>
      </c>
      <c r="O263" s="1981">
        <v>0</v>
      </c>
      <c r="P263" s="1981">
        <v>0</v>
      </c>
      <c r="Q263" s="1981">
        <v>0</v>
      </c>
      <c r="R263" s="1981">
        <v>0</v>
      </c>
      <c r="S263" s="1982">
        <v>0</v>
      </c>
      <c r="U263" s="47">
        <f t="shared" si="15"/>
        <v>0</v>
      </c>
      <c r="V263" s="48">
        <f t="shared" si="14"/>
        <v>0</v>
      </c>
    </row>
    <row r="264" spans="1:22">
      <c r="A264" s="33" t="str">
        <f t="shared" si="13"/>
        <v>227</v>
      </c>
      <c r="B264" s="33">
        <v>2270200</v>
      </c>
      <c r="D264" s="1962" t="s">
        <v>333</v>
      </c>
      <c r="E264" s="1962" t="s">
        <v>334</v>
      </c>
      <c r="F264" s="1981">
        <v>29817.9916022945</v>
      </c>
      <c r="G264" s="1981">
        <v>29831.896274903698</v>
      </c>
      <c r="H264" s="1981">
        <v>29845.865710505299</v>
      </c>
      <c r="I264" s="1981">
        <v>29859.900209828898</v>
      </c>
      <c r="J264" s="1981">
        <v>29874.000074997202</v>
      </c>
      <c r="K264" s="1981">
        <v>29888.165609532902</v>
      </c>
      <c r="L264" s="1981">
        <v>29902.397118364901</v>
      </c>
      <c r="M264" s="1981">
        <v>29915.799834842499</v>
      </c>
      <c r="N264" s="1981">
        <v>29929.265813031201</v>
      </c>
      <c r="O264" s="1981">
        <v>29942.795349753997</v>
      </c>
      <c r="P264" s="1981">
        <v>29956.388743220003</v>
      </c>
      <c r="Q264" s="1981">
        <v>29970.046293031701</v>
      </c>
      <c r="R264" s="1981">
        <v>29982.2218790691</v>
      </c>
      <c r="S264" s="1982">
        <v>29901.287270259687</v>
      </c>
      <c r="U264" s="47">
        <f t="shared" si="15"/>
        <v>29901.287270259687</v>
      </c>
      <c r="V264" s="48">
        <f t="shared" si="14"/>
        <v>0</v>
      </c>
    </row>
    <row r="265" spans="1:22">
      <c r="A265" s="33" t="str">
        <f t="shared" si="13"/>
        <v>227</v>
      </c>
      <c r="B265" s="33">
        <v>2270201</v>
      </c>
      <c r="D265" s="1962" t="s">
        <v>594</v>
      </c>
      <c r="E265" s="1962" t="s">
        <v>595</v>
      </c>
      <c r="F265" s="1981">
        <v>2557.0060781090001</v>
      </c>
      <c r="G265" s="1981">
        <v>2511.8398616252998</v>
      </c>
      <c r="H265" s="1981">
        <v>2465.8446543975997</v>
      </c>
      <c r="I265" s="1981">
        <v>2419.7846775662001</v>
      </c>
      <c r="J265" s="1981">
        <v>2373.6598414456998</v>
      </c>
      <c r="K265" s="1981">
        <v>2326.9152398780002</v>
      </c>
      <c r="L265" s="1981">
        <v>2280.1048138654</v>
      </c>
      <c r="M265" s="1981">
        <v>2233.2284718192</v>
      </c>
      <c r="N265" s="1981">
        <v>2186.2861209181997</v>
      </c>
      <c r="O265" s="1981">
        <v>2139.2776682120998</v>
      </c>
      <c r="P265" s="1981">
        <v>2092.2030206197001</v>
      </c>
      <c r="Q265" s="1981">
        <v>2045.0620849289</v>
      </c>
      <c r="R265" s="1981">
        <v>1997.8547677960998</v>
      </c>
      <c r="S265" s="1982">
        <v>2279.1590231678001</v>
      </c>
      <c r="U265" s="47">
        <f t="shared" si="15"/>
        <v>2279.1590231678001</v>
      </c>
      <c r="V265" s="48">
        <f t="shared" si="14"/>
        <v>0</v>
      </c>
    </row>
    <row r="266" spans="1:22">
      <c r="A266" s="33" t="str">
        <f t="shared" si="13"/>
        <v>181</v>
      </c>
      <c r="B266" s="33">
        <v>1810200</v>
      </c>
      <c r="D266" s="1962" t="s">
        <v>245</v>
      </c>
      <c r="E266" s="1962" t="s">
        <v>246</v>
      </c>
      <c r="F266" s="1981">
        <v>28016.99784</v>
      </c>
      <c r="G266" s="1981">
        <v>27860.087339999998</v>
      </c>
      <c r="H266" s="1981">
        <v>27703.17684</v>
      </c>
      <c r="I266" s="1981">
        <v>30046.266339999998</v>
      </c>
      <c r="J266" s="1981">
        <v>29868.522840000001</v>
      </c>
      <c r="K266" s="1981">
        <v>29690.779340000001</v>
      </c>
      <c r="L266" s="1981">
        <v>29325.53484</v>
      </c>
      <c r="M266" s="1981">
        <v>29147.79134</v>
      </c>
      <c r="N266" s="1981">
        <v>28970.047839999999</v>
      </c>
      <c r="O266" s="1981">
        <v>28792.304339999999</v>
      </c>
      <c r="P266" s="1981">
        <v>28614.560839999998</v>
      </c>
      <c r="Q266" s="1981">
        <v>28436.817340000001</v>
      </c>
      <c r="R266" s="1981">
        <v>28259.073840000001</v>
      </c>
      <c r="S266" s="1982">
        <v>28825.535455384615</v>
      </c>
      <c r="U266" s="47">
        <f t="shared" si="15"/>
        <v>28825.535455384615</v>
      </c>
      <c r="V266" s="48">
        <f t="shared" si="14"/>
        <v>0</v>
      </c>
    </row>
    <row r="267" spans="1:22">
      <c r="A267" s="33" t="str">
        <f t="shared" si="13"/>
        <v>221</v>
      </c>
      <c r="B267" s="33">
        <v>2210200</v>
      </c>
      <c r="D267" s="1962" t="s">
        <v>328</v>
      </c>
      <c r="E267" s="1962" t="s">
        <v>329</v>
      </c>
      <c r="F267" s="1981">
        <v>3975000</v>
      </c>
      <c r="G267" s="1981">
        <v>3975000</v>
      </c>
      <c r="H267" s="1981">
        <v>3975000</v>
      </c>
      <c r="I267" s="1981">
        <v>4475000</v>
      </c>
      <c r="J267" s="1981">
        <v>4475000</v>
      </c>
      <c r="K267" s="1981">
        <v>4475000</v>
      </c>
      <c r="L267" s="1981">
        <v>4475000</v>
      </c>
      <c r="M267" s="1981">
        <v>4475000</v>
      </c>
      <c r="N267" s="1981">
        <v>4475000</v>
      </c>
      <c r="O267" s="1981">
        <v>4475000</v>
      </c>
      <c r="P267" s="1981">
        <v>4475000</v>
      </c>
      <c r="Q267" s="1981">
        <v>4475000</v>
      </c>
      <c r="R267" s="1981">
        <v>4475000</v>
      </c>
      <c r="S267" s="1982">
        <v>4359615.384615385</v>
      </c>
      <c r="U267" s="47">
        <f t="shared" si="15"/>
        <v>4359615.384615385</v>
      </c>
      <c r="V267" s="48">
        <f t="shared" si="14"/>
        <v>0</v>
      </c>
    </row>
    <row r="268" spans="1:22">
      <c r="A268" s="33" t="str">
        <f t="shared" si="13"/>
        <v>226</v>
      </c>
      <c r="B268" s="33">
        <v>2260200</v>
      </c>
      <c r="D268" s="1962" t="s">
        <v>331</v>
      </c>
      <c r="E268" s="1962" t="s">
        <v>332</v>
      </c>
      <c r="F268" s="1981">
        <v>-12501.45364</v>
      </c>
      <c r="G268" s="1981">
        <v>-12404.31436</v>
      </c>
      <c r="H268" s="1981">
        <v>-14807.175080000001</v>
      </c>
      <c r="I268" s="1981">
        <v>-14689.202800000001</v>
      </c>
      <c r="J268" s="1981">
        <v>-14571.230519999999</v>
      </c>
      <c r="K268" s="1981">
        <v>-14453.258240000001</v>
      </c>
      <c r="L268" s="1981">
        <v>-14335.285960000001</v>
      </c>
      <c r="M268" s="1981">
        <v>-14217.313679999999</v>
      </c>
      <c r="N268" s="1981">
        <v>-14099.341400000001</v>
      </c>
      <c r="O268" s="1981">
        <v>-13981.369119999999</v>
      </c>
      <c r="P268" s="1981">
        <v>-13863.396839999999</v>
      </c>
      <c r="Q268" s="1981">
        <v>-13745.424560000001</v>
      </c>
      <c r="R268" s="1981">
        <v>-13627.45228</v>
      </c>
      <c r="S268" s="1982">
        <v>-13945.862959999999</v>
      </c>
      <c r="U268" s="47">
        <f t="shared" si="15"/>
        <v>-13945.862959999999</v>
      </c>
      <c r="V268" s="48">
        <f t="shared" si="14"/>
        <v>0</v>
      </c>
    </row>
    <row r="269" spans="1:22">
      <c r="A269" s="33" t="str">
        <f t="shared" si="13"/>
        <v>201</v>
      </c>
      <c r="B269" s="33">
        <v>2010000</v>
      </c>
      <c r="D269" s="1962" t="s">
        <v>314</v>
      </c>
      <c r="E269" s="1962" t="s">
        <v>315</v>
      </c>
      <c r="F269" s="1981">
        <v>119696.8</v>
      </c>
      <c r="G269" s="1981">
        <v>119696.8</v>
      </c>
      <c r="H269" s="1981">
        <v>119696.8</v>
      </c>
      <c r="I269" s="1981">
        <v>119696.8</v>
      </c>
      <c r="J269" s="1981">
        <v>119696.8</v>
      </c>
      <c r="K269" s="1981">
        <v>119696.8</v>
      </c>
      <c r="L269" s="1981">
        <v>119696.8</v>
      </c>
      <c r="M269" s="1981">
        <v>119696.8</v>
      </c>
      <c r="N269" s="1981">
        <v>119696.8</v>
      </c>
      <c r="O269" s="1981">
        <v>119696.8</v>
      </c>
      <c r="P269" s="1981">
        <v>119696.8</v>
      </c>
      <c r="Q269" s="1981">
        <v>119696.8</v>
      </c>
      <c r="R269" s="1981">
        <v>119696.8</v>
      </c>
      <c r="S269" s="1982">
        <v>119696.80000000003</v>
      </c>
      <c r="U269" s="47">
        <f t="shared" si="15"/>
        <v>119696.80000000003</v>
      </c>
      <c r="V269" s="48">
        <f t="shared" si="14"/>
        <v>0</v>
      </c>
    </row>
    <row r="270" spans="1:22">
      <c r="A270" s="33" t="str">
        <f t="shared" si="13"/>
        <v>211</v>
      </c>
      <c r="B270" s="33">
        <v>2110000</v>
      </c>
      <c r="D270" s="1962" t="s">
        <v>316</v>
      </c>
      <c r="E270" s="1962" t="s">
        <v>317</v>
      </c>
      <c r="F270" s="1981">
        <v>4985840.2</v>
      </c>
      <c r="G270" s="1981">
        <v>4985840.2</v>
      </c>
      <c r="H270" s="1981">
        <v>5145840.2</v>
      </c>
      <c r="I270" s="1981">
        <v>5145840.2</v>
      </c>
      <c r="J270" s="1981">
        <v>5145840.2</v>
      </c>
      <c r="K270" s="1981">
        <v>5300840.2</v>
      </c>
      <c r="L270" s="1981">
        <v>5300840.2</v>
      </c>
      <c r="M270" s="1981">
        <v>5300840.2</v>
      </c>
      <c r="N270" s="1981">
        <v>5450840.2000000002</v>
      </c>
      <c r="O270" s="1981">
        <v>5450840.2000000002</v>
      </c>
      <c r="P270" s="1981">
        <v>5450840.2000000002</v>
      </c>
      <c r="Q270" s="1981">
        <v>5565840.2000000002</v>
      </c>
      <c r="R270" s="1981">
        <v>5565840.2000000002</v>
      </c>
      <c r="S270" s="1982">
        <v>5291994.0461538471</v>
      </c>
      <c r="U270" s="47">
        <f t="shared" si="15"/>
        <v>5291994.0461538471</v>
      </c>
      <c r="V270" s="48">
        <f t="shared" si="14"/>
        <v>0</v>
      </c>
    </row>
    <row r="271" spans="1:22">
      <c r="A271" s="33" t="str">
        <f t="shared" si="13"/>
        <v>214</v>
      </c>
      <c r="B271" s="33">
        <v>2140000</v>
      </c>
      <c r="D271" s="1962" t="s">
        <v>318</v>
      </c>
      <c r="E271" s="1962" t="s">
        <v>319</v>
      </c>
      <c r="F271" s="1981">
        <v>-700.9</v>
      </c>
      <c r="G271" s="1981">
        <v>-700.9</v>
      </c>
      <c r="H271" s="1981">
        <v>-700.9</v>
      </c>
      <c r="I271" s="1981">
        <v>-700.9</v>
      </c>
      <c r="J271" s="1981">
        <v>-700.9</v>
      </c>
      <c r="K271" s="1981">
        <v>-700.9</v>
      </c>
      <c r="L271" s="1981">
        <v>-700.9</v>
      </c>
      <c r="M271" s="1981">
        <v>-700.9</v>
      </c>
      <c r="N271" s="1981">
        <v>-700.9</v>
      </c>
      <c r="O271" s="1981">
        <v>-700.9</v>
      </c>
      <c r="P271" s="1981">
        <v>-700.9</v>
      </c>
      <c r="Q271" s="1981">
        <v>-700.9</v>
      </c>
      <c r="R271" s="1981">
        <v>-700.9</v>
      </c>
      <c r="S271" s="1982">
        <v>-700.89999999999975</v>
      </c>
      <c r="U271" s="47">
        <f t="shared" si="15"/>
        <v>-700.89999999999975</v>
      </c>
      <c r="V271" s="48">
        <f t="shared" si="14"/>
        <v>0</v>
      </c>
    </row>
    <row r="272" spans="1:22">
      <c r="A272" s="33" t="str">
        <f t="shared" si="13"/>
        <v>216</v>
      </c>
      <c r="B272" s="33">
        <v>2160000</v>
      </c>
      <c r="D272" s="1962" t="s">
        <v>320</v>
      </c>
      <c r="E272" s="1962" t="s">
        <v>321</v>
      </c>
      <c r="F272" s="1981">
        <v>220252.162617942</v>
      </c>
      <c r="G272" s="1981">
        <v>249197.47295984102</v>
      </c>
      <c r="H272" s="1981">
        <v>187957.93965559901</v>
      </c>
      <c r="I272" s="1981">
        <v>207636.87295460099</v>
      </c>
      <c r="J272" s="1981">
        <v>238440.591939048</v>
      </c>
      <c r="K272" s="1981">
        <v>207498.48499128301</v>
      </c>
      <c r="L272" s="1981">
        <v>254959.36925075998</v>
      </c>
      <c r="M272" s="1981">
        <v>308954.61665669002</v>
      </c>
      <c r="N272" s="1981">
        <v>242825.25534687701</v>
      </c>
      <c r="O272" s="1981">
        <v>294000.31182010606</v>
      </c>
      <c r="P272" s="1981">
        <v>327392.87427941797</v>
      </c>
      <c r="Q272" s="1981">
        <v>186334.37271725197</v>
      </c>
      <c r="R272" s="1981">
        <v>199314.50254972698</v>
      </c>
      <c r="S272" s="1982">
        <v>240366.52521070337</v>
      </c>
      <c r="U272" s="47">
        <f t="shared" si="15"/>
        <v>240366.52521070337</v>
      </c>
      <c r="V272" s="48">
        <f t="shared" si="14"/>
        <v>0</v>
      </c>
    </row>
    <row r="273" spans="2:22">
      <c r="B273" s="33">
        <v>2190040</v>
      </c>
      <c r="D273" s="1962" t="s">
        <v>322</v>
      </c>
      <c r="E273" s="1962" t="s">
        <v>323</v>
      </c>
      <c r="F273" s="1981">
        <v>-1867.9040400000001</v>
      </c>
      <c r="G273" s="1981">
        <v>-1988.00171</v>
      </c>
      <c r="H273" s="1981">
        <v>-1977.08374</v>
      </c>
      <c r="I273" s="1981">
        <v>-1966.1657700000001</v>
      </c>
      <c r="J273" s="1981">
        <v>-1955.2478000000001</v>
      </c>
      <c r="K273" s="1981">
        <v>-1944.3298300000001</v>
      </c>
      <c r="L273" s="1981">
        <v>-1933.4118600000002</v>
      </c>
      <c r="M273" s="1981">
        <v>-1922.49389</v>
      </c>
      <c r="N273" s="1981">
        <v>-1911.57592</v>
      </c>
      <c r="O273" s="1981">
        <v>-1900.65795</v>
      </c>
      <c r="P273" s="1981">
        <v>-1889.7399800000001</v>
      </c>
      <c r="Q273" s="1981">
        <v>-1878.8220100000001</v>
      </c>
      <c r="R273" s="1981">
        <v>-1867.9040400000001</v>
      </c>
      <c r="S273" s="1982">
        <v>-1923.3337338461538</v>
      </c>
      <c r="U273" s="47">
        <f t="shared" si="15"/>
        <v>-1923.3337338461538</v>
      </c>
      <c r="V273" s="48">
        <f t="shared" si="14"/>
        <v>0</v>
      </c>
    </row>
    <row r="274" spans="2:22">
      <c r="B274" s="33">
        <v>2190041</v>
      </c>
      <c r="D274" s="1962" t="s">
        <v>324</v>
      </c>
      <c r="E274" s="1962" t="s">
        <v>325</v>
      </c>
      <c r="F274" s="1981">
        <v>1227.9229799997001</v>
      </c>
      <c r="G274" s="1981">
        <v>1258.3618199996001</v>
      </c>
      <c r="H274" s="1981">
        <v>1255.5946499995998</v>
      </c>
      <c r="I274" s="1981">
        <v>1252.8274799996</v>
      </c>
      <c r="J274" s="1981">
        <v>1250.0603199996001</v>
      </c>
      <c r="K274" s="1981">
        <v>1247.2931499997001</v>
      </c>
      <c r="L274" s="1981">
        <v>1244.5259799997</v>
      </c>
      <c r="M274" s="1981">
        <v>1241.7588199996999</v>
      </c>
      <c r="N274" s="1981">
        <v>1238.9916499997</v>
      </c>
      <c r="O274" s="1981">
        <v>1236.2244799997002</v>
      </c>
      <c r="P274" s="1981">
        <v>1233.4573099996999</v>
      </c>
      <c r="Q274" s="1981">
        <v>1230.6901499997</v>
      </c>
      <c r="R274" s="1981">
        <v>1227.9229799997001</v>
      </c>
      <c r="S274" s="1982">
        <v>1241.9716746150539</v>
      </c>
      <c r="U274" s="47">
        <f t="shared" si="15"/>
        <v>1241.9716746150539</v>
      </c>
      <c r="V274" s="48">
        <f t="shared" si="14"/>
        <v>0</v>
      </c>
    </row>
    <row r="275" spans="2:22">
      <c r="U275" s="47" t="str">
        <f t="shared" si="15"/>
        <v/>
      </c>
      <c r="V275" s="48" t="str">
        <f t="shared" si="14"/>
        <v/>
      </c>
    </row>
    <row r="276" spans="2:22">
      <c r="D276" s="1983" t="s">
        <v>3148</v>
      </c>
      <c r="E276" s="1984"/>
      <c r="U276" s="47" t="str">
        <f t="shared" si="15"/>
        <v/>
      </c>
      <c r="V276" s="48" t="str">
        <f t="shared" si="14"/>
        <v/>
      </c>
    </row>
    <row r="277" spans="2:22">
      <c r="B277" s="33">
        <v>131</v>
      </c>
      <c r="F277" s="1981">
        <v>1000</v>
      </c>
      <c r="G277" s="1981">
        <v>1000</v>
      </c>
      <c r="H277" s="1981">
        <v>1000</v>
      </c>
      <c r="I277" s="1981">
        <v>1000</v>
      </c>
      <c r="J277" s="1981">
        <v>1000</v>
      </c>
      <c r="K277" s="1981">
        <v>1000</v>
      </c>
      <c r="L277" s="1981">
        <v>1000</v>
      </c>
      <c r="M277" s="1981">
        <v>1000</v>
      </c>
      <c r="N277" s="1981">
        <v>1000</v>
      </c>
      <c r="O277" s="1981">
        <v>1000</v>
      </c>
      <c r="P277" s="1981">
        <v>1000</v>
      </c>
      <c r="Q277" s="1981">
        <v>1000</v>
      </c>
      <c r="R277" s="1981">
        <v>1000</v>
      </c>
      <c r="S277" s="1982">
        <v>1000</v>
      </c>
      <c r="U277" s="47">
        <f t="shared" si="15"/>
        <v>1000</v>
      </c>
      <c r="V277" s="48">
        <f t="shared" si="14"/>
        <v>0</v>
      </c>
    </row>
    <row r="278" spans="2:22">
      <c r="B278" s="33">
        <v>135</v>
      </c>
      <c r="F278" s="1981">
        <v>52.665390000000002</v>
      </c>
      <c r="G278" s="1981">
        <v>52.665390000000002</v>
      </c>
      <c r="H278" s="1981">
        <v>52.665390000000002</v>
      </c>
      <c r="I278" s="1981">
        <v>52.665390000000002</v>
      </c>
      <c r="J278" s="1981">
        <v>52.665390000000002</v>
      </c>
      <c r="K278" s="1981">
        <v>52.665390000000002</v>
      </c>
      <c r="L278" s="1981">
        <v>52.665390000000002</v>
      </c>
      <c r="M278" s="1981">
        <v>52.665390000000002</v>
      </c>
      <c r="N278" s="1981">
        <v>52.665390000000002</v>
      </c>
      <c r="O278" s="1981">
        <v>52.665390000000002</v>
      </c>
      <c r="P278" s="1981">
        <v>52.665390000000002</v>
      </c>
      <c r="Q278" s="1981">
        <v>52.665390000000002</v>
      </c>
      <c r="R278" s="1981">
        <v>52.665390000000002</v>
      </c>
      <c r="S278" s="1982">
        <v>52.665390000000002</v>
      </c>
      <c r="U278" s="47">
        <f t="shared" si="15"/>
        <v>52.665390000000002</v>
      </c>
      <c r="V278" s="48">
        <f t="shared" si="14"/>
        <v>0</v>
      </c>
    </row>
    <row r="279" spans="2:22">
      <c r="B279" s="33">
        <v>142</v>
      </c>
      <c r="F279" s="1981">
        <v>188387.48955500001</v>
      </c>
      <c r="G279" s="1981">
        <v>173009.24699983399</v>
      </c>
      <c r="H279" s="1981">
        <v>165047.29721224299</v>
      </c>
      <c r="I279" s="1981">
        <v>140015.68188247998</v>
      </c>
      <c r="J279" s="1981">
        <v>154991.57990402498</v>
      </c>
      <c r="K279" s="1981">
        <v>163881.39873599203</v>
      </c>
      <c r="L279" s="1981">
        <v>188769.35361418501</v>
      </c>
      <c r="M279" s="1981">
        <v>210495.25239529699</v>
      </c>
      <c r="N279" s="1981">
        <v>196848.32361847401</v>
      </c>
      <c r="O279" s="1981">
        <v>222306.767605311</v>
      </c>
      <c r="P279" s="1981">
        <v>200264.03837330799</v>
      </c>
      <c r="Q279" s="1981">
        <v>181498.08889238501</v>
      </c>
      <c r="R279" s="1981">
        <v>174116.23838903298</v>
      </c>
      <c r="S279" s="1982">
        <v>181510.05824442819</v>
      </c>
      <c r="U279" s="47">
        <f t="shared" si="15"/>
        <v>181510.05824442819</v>
      </c>
      <c r="V279" s="48">
        <f t="shared" si="14"/>
        <v>0</v>
      </c>
    </row>
    <row r="280" spans="2:22">
      <c r="B280" s="33">
        <v>143</v>
      </c>
      <c r="F280" s="1981">
        <v>7200</v>
      </c>
      <c r="G280" s="1981">
        <v>7421.3059499999999</v>
      </c>
      <c r="H280" s="1981">
        <v>7434.4967500000002</v>
      </c>
      <c r="I280" s="1981">
        <v>7402.6173500000004</v>
      </c>
      <c r="J280" s="1981">
        <v>7349.9479499999998</v>
      </c>
      <c r="K280" s="1981">
        <v>7374.7675500000005</v>
      </c>
      <c r="L280" s="1981">
        <v>7308.3637500000004</v>
      </c>
      <c r="M280" s="1981">
        <v>7322.3229499999998</v>
      </c>
      <c r="N280" s="1981">
        <v>7326.9763499999999</v>
      </c>
      <c r="O280" s="1981">
        <v>7367.35095</v>
      </c>
      <c r="P280" s="1981">
        <v>7369.9241499999998</v>
      </c>
      <c r="Q280" s="1981">
        <v>7410.3399500000005</v>
      </c>
      <c r="R280" s="1981">
        <v>7380.4119499999997</v>
      </c>
      <c r="S280" s="1982">
        <v>7359.1404307692301</v>
      </c>
      <c r="U280" s="47">
        <f t="shared" si="15"/>
        <v>7359.1404307692301</v>
      </c>
      <c r="V280" s="48">
        <f t="shared" si="14"/>
        <v>0</v>
      </c>
    </row>
    <row r="281" spans="2:22">
      <c r="B281" s="33">
        <v>144</v>
      </c>
      <c r="F281" s="1981">
        <v>-1632.9186677134999</v>
      </c>
      <c r="G281" s="1981">
        <v>-1635.1986410513</v>
      </c>
      <c r="H281" s="1981">
        <v>-1620.4669520413004</v>
      </c>
      <c r="I281" s="1981">
        <v>-1605.4653161809999</v>
      </c>
      <c r="J281" s="1981">
        <v>-1625.0720627958003</v>
      </c>
      <c r="K281" s="1981">
        <v>-1648.6907433268</v>
      </c>
      <c r="L281" s="1981">
        <v>-1676.8203370260999</v>
      </c>
      <c r="M281" s="1981">
        <v>-1699.8243491973003</v>
      </c>
      <c r="N281" s="1981">
        <v>-1690.1785661128999</v>
      </c>
      <c r="O281" s="1981">
        <v>-1697.2563299954998</v>
      </c>
      <c r="P281" s="1981">
        <v>-1668.2916619067003</v>
      </c>
      <c r="Q281" s="1981">
        <v>-1636.9082698928003</v>
      </c>
      <c r="R281" s="1981">
        <v>-1625.6640538892</v>
      </c>
      <c r="S281" s="1982">
        <v>-1650.9812270100153</v>
      </c>
      <c r="U281" s="47">
        <f t="shared" si="15"/>
        <v>-1650.9812270100153</v>
      </c>
      <c r="V281" s="48">
        <f t="shared" si="14"/>
        <v>0</v>
      </c>
    </row>
    <row r="282" spans="2:22">
      <c r="B282" s="33">
        <v>173</v>
      </c>
      <c r="F282" s="1981">
        <v>73385.642000000109</v>
      </c>
      <c r="G282" s="1981">
        <v>71061.000329999995</v>
      </c>
      <c r="H282" s="1981">
        <v>65978.523000000001</v>
      </c>
      <c r="I282" s="1981">
        <v>70682.535999999993</v>
      </c>
      <c r="J282" s="1981">
        <v>75107.868000000002</v>
      </c>
      <c r="K282" s="1981">
        <v>85428.983999999997</v>
      </c>
      <c r="L282" s="1981">
        <v>89018.442999999999</v>
      </c>
      <c r="M282" s="1981">
        <v>91484.849000000002</v>
      </c>
      <c r="N282" s="1981">
        <v>96122.569000000003</v>
      </c>
      <c r="O282" s="1981">
        <v>87044.013999999996</v>
      </c>
      <c r="P282" s="1981">
        <v>82054.445999999996</v>
      </c>
      <c r="Q282" s="1981">
        <v>72861.231</v>
      </c>
      <c r="R282" s="1981">
        <v>73315.543000000005</v>
      </c>
      <c r="S282" s="1982">
        <v>79503.511410000021</v>
      </c>
      <c r="U282" s="47">
        <f t="shared" si="15"/>
        <v>79503.511410000021</v>
      </c>
      <c r="V282" s="48">
        <f t="shared" si="14"/>
        <v>0</v>
      </c>
    </row>
    <row r="283" spans="2:22">
      <c r="B283" s="33">
        <v>145</v>
      </c>
      <c r="F283" s="1981">
        <v>0</v>
      </c>
      <c r="G283" s="1981">
        <v>0</v>
      </c>
      <c r="H283" s="1981">
        <v>0</v>
      </c>
      <c r="I283" s="1981">
        <v>0</v>
      </c>
      <c r="J283" s="1981">
        <v>0</v>
      </c>
      <c r="K283" s="1981">
        <v>0</v>
      </c>
      <c r="L283" s="1981">
        <v>0</v>
      </c>
      <c r="M283" s="1981">
        <v>0</v>
      </c>
      <c r="N283" s="1981">
        <v>0</v>
      </c>
      <c r="O283" s="1981">
        <v>0</v>
      </c>
      <c r="P283" s="1981">
        <v>0</v>
      </c>
      <c r="Q283" s="1981">
        <v>0</v>
      </c>
      <c r="R283" s="1981">
        <v>0</v>
      </c>
      <c r="S283" s="1982">
        <v>0</v>
      </c>
      <c r="U283" s="47">
        <f t="shared" si="15"/>
        <v>0</v>
      </c>
      <c r="V283" s="48">
        <f t="shared" si="14"/>
        <v>0</v>
      </c>
    </row>
    <row r="284" spans="2:22">
      <c r="B284" s="33">
        <v>146</v>
      </c>
      <c r="F284" s="1981">
        <v>13959.856422638302</v>
      </c>
      <c r="G284" s="1981">
        <v>13090.069084339502</v>
      </c>
      <c r="H284" s="1981">
        <v>13252.895376709701</v>
      </c>
      <c r="I284" s="1981">
        <v>13593.2206556895</v>
      </c>
      <c r="J284" s="1981">
        <v>13545.194146184404</v>
      </c>
      <c r="K284" s="1981">
        <v>13518.604458171401</v>
      </c>
      <c r="L284" s="1981">
        <v>13515.718264170402</v>
      </c>
      <c r="M284" s="1981">
        <v>13695.1370338569</v>
      </c>
      <c r="N284" s="1981">
        <v>13697.8187070563</v>
      </c>
      <c r="O284" s="1981">
        <v>13610.870679332402</v>
      </c>
      <c r="P284" s="1981">
        <v>13984.823202485</v>
      </c>
      <c r="Q284" s="1981">
        <v>14120.404433980402</v>
      </c>
      <c r="R284" s="1981">
        <v>14237.267852737201</v>
      </c>
      <c r="S284" s="1982">
        <v>13678.6061782578</v>
      </c>
      <c r="U284" s="47">
        <f t="shared" si="15"/>
        <v>13678.6061782578</v>
      </c>
      <c r="V284" s="48">
        <f t="shared" si="14"/>
        <v>0</v>
      </c>
    </row>
    <row r="285" spans="2:22">
      <c r="B285" s="33">
        <v>151</v>
      </c>
      <c r="F285" s="1981">
        <v>35384</v>
      </c>
      <c r="G285" s="1981">
        <v>36662</v>
      </c>
      <c r="H285" s="1981">
        <v>37797</v>
      </c>
      <c r="I285" s="1981">
        <v>38154</v>
      </c>
      <c r="J285" s="1981">
        <v>38047</v>
      </c>
      <c r="K285" s="1981">
        <v>37974</v>
      </c>
      <c r="L285" s="1981">
        <v>37937</v>
      </c>
      <c r="M285" s="1981">
        <v>35507</v>
      </c>
      <c r="N285" s="1981">
        <v>35438</v>
      </c>
      <c r="O285" s="1981">
        <v>36894</v>
      </c>
      <c r="P285" s="1981">
        <v>36847</v>
      </c>
      <c r="Q285" s="1981">
        <v>36023</v>
      </c>
      <c r="R285" s="1981">
        <v>36044</v>
      </c>
      <c r="S285" s="1982">
        <v>36823.692307692305</v>
      </c>
      <c r="U285" s="47">
        <f t="shared" si="15"/>
        <v>36823.692307692305</v>
      </c>
      <c r="V285" s="48">
        <f t="shared" si="14"/>
        <v>0</v>
      </c>
    </row>
    <row r="286" spans="2:22">
      <c r="B286" s="33">
        <v>154</v>
      </c>
      <c r="F286" s="1981">
        <v>162822.15</v>
      </c>
      <c r="G286" s="1981">
        <v>162822.15</v>
      </c>
      <c r="H286" s="1981">
        <v>162822.15</v>
      </c>
      <c r="I286" s="1981">
        <v>162822.15</v>
      </c>
      <c r="J286" s="1981">
        <v>162822.15</v>
      </c>
      <c r="K286" s="1981">
        <v>162822.15</v>
      </c>
      <c r="L286" s="1981">
        <v>162822.15</v>
      </c>
      <c r="M286" s="1981">
        <v>162822.15</v>
      </c>
      <c r="N286" s="1981">
        <v>162822.15</v>
      </c>
      <c r="O286" s="1981">
        <v>162822.15</v>
      </c>
      <c r="P286" s="1981">
        <v>162822.15</v>
      </c>
      <c r="Q286" s="1981">
        <v>162822.15</v>
      </c>
      <c r="R286" s="1981">
        <v>162822.15</v>
      </c>
      <c r="S286" s="1982">
        <v>162822.14999999997</v>
      </c>
      <c r="U286" s="47">
        <f t="shared" si="15"/>
        <v>162822.14999999997</v>
      </c>
      <c r="V286" s="48">
        <f t="shared" si="14"/>
        <v>0</v>
      </c>
    </row>
    <row r="287" spans="2:22">
      <c r="B287" s="33">
        <v>176</v>
      </c>
      <c r="F287" s="1981">
        <v>528</v>
      </c>
      <c r="G287" s="1981">
        <v>528</v>
      </c>
      <c r="H287" s="1981">
        <v>528</v>
      </c>
      <c r="I287" s="1981">
        <v>528</v>
      </c>
      <c r="J287" s="1981">
        <v>528</v>
      </c>
      <c r="K287" s="1981">
        <v>528</v>
      </c>
      <c r="L287" s="1981">
        <v>528</v>
      </c>
      <c r="M287" s="1981">
        <v>528</v>
      </c>
      <c r="N287" s="1981">
        <v>528</v>
      </c>
      <c r="O287" s="1981">
        <v>528</v>
      </c>
      <c r="P287" s="1981">
        <v>528</v>
      </c>
      <c r="Q287" s="1981">
        <v>528</v>
      </c>
      <c r="R287" s="1981">
        <v>528</v>
      </c>
      <c r="S287" s="1982">
        <v>528</v>
      </c>
      <c r="U287" s="47">
        <f t="shared" si="15"/>
        <v>528</v>
      </c>
      <c r="V287" s="48">
        <f t="shared" si="14"/>
        <v>0</v>
      </c>
    </row>
    <row r="288" spans="2:22">
      <c r="B288" s="33">
        <v>121</v>
      </c>
      <c r="F288" s="1981">
        <v>24137.134539999999</v>
      </c>
      <c r="G288" s="1981">
        <v>24216.635353333299</v>
      </c>
      <c r="H288" s="1981">
        <v>24302.119289999999</v>
      </c>
      <c r="I288" s="1981">
        <v>24386.070516666703</v>
      </c>
      <c r="J288" s="1981">
        <v>24470.572623333297</v>
      </c>
      <c r="K288" s="1981">
        <v>24540.049289999999</v>
      </c>
      <c r="L288" s="1981">
        <v>24618.124826666703</v>
      </c>
      <c r="M288" s="1981">
        <v>24587.1591833333</v>
      </c>
      <c r="N288" s="1981">
        <v>24605.693019999999</v>
      </c>
      <c r="O288" s="1981">
        <v>24669.9467766667</v>
      </c>
      <c r="P288" s="1981">
        <v>24707.308053333298</v>
      </c>
      <c r="Q288" s="1981">
        <v>24808.146479999999</v>
      </c>
      <c r="R288" s="1981">
        <v>24891.627456666698</v>
      </c>
      <c r="S288" s="1982">
        <v>24533.891339230773</v>
      </c>
      <c r="U288" s="47">
        <f t="shared" si="15"/>
        <v>24533.891339230773</v>
      </c>
      <c r="V288" s="48">
        <f t="shared" si="14"/>
        <v>0</v>
      </c>
    </row>
    <row r="289" spans="2:22">
      <c r="B289" s="33">
        <v>165</v>
      </c>
      <c r="F289" s="1981">
        <v>23846.321866719802</v>
      </c>
      <c r="G289" s="1981">
        <v>26545.217408276803</v>
      </c>
      <c r="H289" s="1981">
        <v>23099.6313877297</v>
      </c>
      <c r="I289" s="1981">
        <v>34167.462464925004</v>
      </c>
      <c r="J289" s="1981">
        <v>30083.894349361799</v>
      </c>
      <c r="K289" s="1981">
        <v>26174.077231496598</v>
      </c>
      <c r="L289" s="1981">
        <v>42599.0362254992</v>
      </c>
      <c r="M289" s="1981">
        <v>40940.094114392603</v>
      </c>
      <c r="N289" s="1981">
        <v>37304.5713021712</v>
      </c>
      <c r="O289" s="1981">
        <v>32990.471889352302</v>
      </c>
      <c r="P289" s="1981">
        <v>29666.102099628904</v>
      </c>
      <c r="Q289" s="1981">
        <v>26490.491907150797</v>
      </c>
      <c r="R289" s="1981">
        <v>24364.502786596302</v>
      </c>
      <c r="S289" s="1982">
        <v>30636.298079484692</v>
      </c>
      <c r="U289" s="47">
        <f t="shared" si="15"/>
        <v>30636.298079484692</v>
      </c>
      <c r="V289" s="48">
        <f t="shared" si="14"/>
        <v>0</v>
      </c>
    </row>
    <row r="290" spans="2:22">
      <c r="B290" s="33">
        <v>182</v>
      </c>
      <c r="F290" s="1981">
        <v>892392.4262327943</v>
      </c>
      <c r="G290" s="1981">
        <v>892960.15134996024</v>
      </c>
      <c r="H290" s="1981">
        <v>900238.57272077317</v>
      </c>
      <c r="I290" s="1981">
        <v>904883.45334508363</v>
      </c>
      <c r="J290" s="1981">
        <v>914886.2231417516</v>
      </c>
      <c r="K290" s="1981">
        <v>917885.08975260425</v>
      </c>
      <c r="L290" s="1981">
        <v>919156.05849173525</v>
      </c>
      <c r="M290" s="1981">
        <v>920083.30238063633</v>
      </c>
      <c r="N290" s="1981">
        <v>921852.38346973667</v>
      </c>
      <c r="O290" s="1981">
        <v>922370.54318341287</v>
      </c>
      <c r="P290" s="1981">
        <v>925020.90660000488</v>
      </c>
      <c r="Q290" s="1981">
        <v>927826.91867150809</v>
      </c>
      <c r="R290" s="1981">
        <v>933606.77302367671</v>
      </c>
      <c r="S290" s="1982">
        <v>914858.67710489803</v>
      </c>
      <c r="U290" s="47">
        <f t="shared" si="15"/>
        <v>914858.67710489803</v>
      </c>
      <c r="V290" s="48">
        <f t="shared" si="14"/>
        <v>0</v>
      </c>
    </row>
    <row r="291" spans="2:22">
      <c r="B291" s="33">
        <v>189</v>
      </c>
      <c r="F291" s="1981">
        <v>2534.8739200000005</v>
      </c>
      <c r="G291" s="1981">
        <v>2885.1861900000004</v>
      </c>
      <c r="H291" s="1981">
        <v>2853.3396199999997</v>
      </c>
      <c r="I291" s="1981">
        <v>2821.49305</v>
      </c>
      <c r="J291" s="1981">
        <v>2789.6464800000003</v>
      </c>
      <c r="K291" s="1981">
        <v>2757.7999099999997</v>
      </c>
      <c r="L291" s="1981">
        <v>2725.95334</v>
      </c>
      <c r="M291" s="1981">
        <v>2694.1067700000003</v>
      </c>
      <c r="N291" s="1981">
        <v>2662.2601999999997</v>
      </c>
      <c r="O291" s="1981">
        <v>2630.4136300000005</v>
      </c>
      <c r="P291" s="1981">
        <v>2598.5670599999999</v>
      </c>
      <c r="Q291" s="1981">
        <v>2566.7204900000002</v>
      </c>
      <c r="R291" s="1981">
        <v>2534.8739200000005</v>
      </c>
      <c r="S291" s="1982">
        <v>2696.5565061538459</v>
      </c>
      <c r="U291" s="47">
        <f t="shared" si="15"/>
        <v>2696.5565061538459</v>
      </c>
      <c r="V291" s="48">
        <f t="shared" si="14"/>
        <v>0</v>
      </c>
    </row>
    <row r="292" spans="2:22">
      <c r="B292" s="33">
        <v>228</v>
      </c>
      <c r="F292" s="1981">
        <v>110624.98790770881</v>
      </c>
      <c r="G292" s="1981">
        <v>107527.83313000001</v>
      </c>
      <c r="H292" s="1981">
        <v>107059.2654633334</v>
      </c>
      <c r="I292" s="1981">
        <v>107590.84779666668</v>
      </c>
      <c r="J292" s="1981">
        <v>104343.69312999999</v>
      </c>
      <c r="K292" s="1981">
        <v>103325.12546333339</v>
      </c>
      <c r="L292" s="1981">
        <v>104081.7077966667</v>
      </c>
      <c r="M292" s="1981">
        <v>100634.55313</v>
      </c>
      <c r="N292" s="1981">
        <v>99815.985463333389</v>
      </c>
      <c r="O292" s="1981">
        <v>97586.567796666699</v>
      </c>
      <c r="P292" s="1981">
        <v>96825.414130000005</v>
      </c>
      <c r="Q292" s="1981">
        <v>95806.846463333393</v>
      </c>
      <c r="R292" s="1981">
        <v>96438.427796666685</v>
      </c>
      <c r="S292" s="1982">
        <v>102435.48118982378</v>
      </c>
      <c r="U292" s="47">
        <f t="shared" si="15"/>
        <v>102435.48118982378</v>
      </c>
      <c r="V292" s="48">
        <f t="shared" si="14"/>
        <v>0</v>
      </c>
    </row>
    <row r="293" spans="2:22">
      <c r="B293" s="33">
        <v>101</v>
      </c>
      <c r="F293" s="1981">
        <v>11565751.903981898</v>
      </c>
      <c r="G293" s="1981">
        <v>11604483.16435346</v>
      </c>
      <c r="H293" s="1981">
        <v>11678909.368574683</v>
      </c>
      <c r="I293" s="1981">
        <v>11731398.791586284</v>
      </c>
      <c r="J293" s="1981">
        <v>11962941.606905233</v>
      </c>
      <c r="K293" s="1981">
        <v>12259492.350304758</v>
      </c>
      <c r="L293" s="1981">
        <v>12651935.435974332</v>
      </c>
      <c r="M293" s="1981">
        <v>12708496.931099653</v>
      </c>
      <c r="N293" s="1981">
        <v>12773720.90441479</v>
      </c>
      <c r="O293" s="1981">
        <v>12842893.587185733</v>
      </c>
      <c r="P293" s="1981">
        <v>12910984.637780067</v>
      </c>
      <c r="Q293" s="1981">
        <v>12953127.561145378</v>
      </c>
      <c r="R293" s="1981">
        <v>13366959.07114131</v>
      </c>
      <c r="S293" s="1982">
        <v>12385468.870342119</v>
      </c>
      <c r="U293" s="47">
        <f t="shared" si="15"/>
        <v>12385468.870342119</v>
      </c>
      <c r="V293" s="48">
        <f t="shared" si="14"/>
        <v>0</v>
      </c>
    </row>
    <row r="294" spans="2:22">
      <c r="B294" s="33">
        <v>102</v>
      </c>
      <c r="F294" s="1981">
        <v>0</v>
      </c>
      <c r="G294" s="1981">
        <v>0</v>
      </c>
      <c r="H294" s="1981">
        <v>0</v>
      </c>
      <c r="I294" s="1981">
        <v>0</v>
      </c>
      <c r="J294" s="1981">
        <v>0</v>
      </c>
      <c r="K294" s="1981">
        <v>0</v>
      </c>
      <c r="L294" s="1981">
        <v>0</v>
      </c>
      <c r="M294" s="1981">
        <v>0</v>
      </c>
      <c r="N294" s="1981">
        <v>0</v>
      </c>
      <c r="O294" s="1981">
        <v>0</v>
      </c>
      <c r="P294" s="1981">
        <v>0</v>
      </c>
      <c r="Q294" s="1981">
        <v>0</v>
      </c>
      <c r="R294" s="1981">
        <v>0</v>
      </c>
      <c r="S294" s="1982">
        <v>0</v>
      </c>
      <c r="U294" s="47">
        <f t="shared" si="15"/>
        <v>0</v>
      </c>
      <c r="V294" s="48">
        <f t="shared" si="14"/>
        <v>0</v>
      </c>
    </row>
    <row r="295" spans="2:22">
      <c r="B295" s="33">
        <v>106</v>
      </c>
      <c r="F295" s="1981">
        <v>2078381.7045999998</v>
      </c>
      <c r="G295" s="1981">
        <v>2078381.7045999998</v>
      </c>
      <c r="H295" s="1981">
        <v>2078381.7045999998</v>
      </c>
      <c r="I295" s="1981">
        <v>2078381.7045999998</v>
      </c>
      <c r="J295" s="1981">
        <v>2078381.7045999998</v>
      </c>
      <c r="K295" s="1981">
        <v>2078381.7045999998</v>
      </c>
      <c r="L295" s="1981">
        <v>2078381.7045999998</v>
      </c>
      <c r="M295" s="1981">
        <v>2078381.7045999998</v>
      </c>
      <c r="N295" s="1981">
        <v>2078381.7045999998</v>
      </c>
      <c r="O295" s="1981">
        <v>2078381.7045999998</v>
      </c>
      <c r="P295" s="1981">
        <v>2078381.7045999998</v>
      </c>
      <c r="Q295" s="1981">
        <v>2078381.7045999998</v>
      </c>
      <c r="R295" s="1981">
        <v>2078381.7045999998</v>
      </c>
      <c r="S295" s="1982">
        <v>2078381.7045999991</v>
      </c>
      <c r="U295" s="47">
        <f t="shared" si="15"/>
        <v>2078381.7045999991</v>
      </c>
      <c r="V295" s="48">
        <f t="shared" si="14"/>
        <v>0</v>
      </c>
    </row>
    <row r="296" spans="2:22">
      <c r="B296" s="33">
        <v>114</v>
      </c>
      <c r="F296" s="1981">
        <v>7484.82276</v>
      </c>
      <c r="G296" s="1981">
        <v>7484.82276</v>
      </c>
      <c r="H296" s="1981">
        <v>7484.82276</v>
      </c>
      <c r="I296" s="1981">
        <v>7484.82276</v>
      </c>
      <c r="J296" s="1981">
        <v>7484.82276</v>
      </c>
      <c r="K296" s="1981">
        <v>7484.82276</v>
      </c>
      <c r="L296" s="1981">
        <v>7484.82276</v>
      </c>
      <c r="M296" s="1981">
        <v>7484.82276</v>
      </c>
      <c r="N296" s="1981">
        <v>7484.82276</v>
      </c>
      <c r="O296" s="1981">
        <v>7484.82276</v>
      </c>
      <c r="P296" s="1981">
        <v>7484.82276</v>
      </c>
      <c r="Q296" s="1981">
        <v>7484.82276</v>
      </c>
      <c r="R296" s="1981">
        <v>7484.82276</v>
      </c>
      <c r="S296" s="1982">
        <v>7484.8227599999991</v>
      </c>
      <c r="U296" s="47">
        <f t="shared" si="15"/>
        <v>7484.8227599999991</v>
      </c>
      <c r="V296" s="48">
        <f t="shared" si="14"/>
        <v>0</v>
      </c>
    </row>
    <row r="297" spans="2:22">
      <c r="B297" s="33">
        <v>105</v>
      </c>
      <c r="F297" s="1981">
        <v>64262.399530000002</v>
      </c>
      <c r="G297" s="1981">
        <v>64262.399530000002</v>
      </c>
      <c r="H297" s="1981">
        <v>70262.399529999995</v>
      </c>
      <c r="I297" s="1981">
        <v>70262.399529999995</v>
      </c>
      <c r="J297" s="1981">
        <v>70262.399529999995</v>
      </c>
      <c r="K297" s="1981">
        <v>70262.399529999995</v>
      </c>
      <c r="L297" s="1981">
        <v>70264.952269999994</v>
      </c>
      <c r="M297" s="1981">
        <v>70264.952269999994</v>
      </c>
      <c r="N297" s="1981">
        <v>70264.952269999994</v>
      </c>
      <c r="O297" s="1981">
        <v>70764.952269999994</v>
      </c>
      <c r="P297" s="1981">
        <v>70764.952269999994</v>
      </c>
      <c r="Q297" s="1981">
        <v>70764.952269999994</v>
      </c>
      <c r="R297" s="1981">
        <v>70764.952269999994</v>
      </c>
      <c r="S297" s="1982">
        <v>69494.543313076923</v>
      </c>
      <c r="U297" s="47">
        <f t="shared" si="15"/>
        <v>69494.543313076923</v>
      </c>
      <c r="V297" s="48">
        <f t="shared" si="14"/>
        <v>0</v>
      </c>
    </row>
    <row r="298" spans="2:22">
      <c r="B298" s="33">
        <v>107</v>
      </c>
      <c r="F298" s="1981">
        <v>1082288.9041300002</v>
      </c>
      <c r="G298" s="1981">
        <v>1214318.4979300001</v>
      </c>
      <c r="H298" s="1981">
        <v>1262739.75125</v>
      </c>
      <c r="I298" s="1981">
        <v>1343231.8840099999</v>
      </c>
      <c r="J298" s="1981">
        <v>1234133.48172</v>
      </c>
      <c r="K298" s="1981">
        <v>1049240.1589800001</v>
      </c>
      <c r="L298" s="1981">
        <v>826404.68528999994</v>
      </c>
      <c r="M298" s="1981">
        <v>945656.79655999993</v>
      </c>
      <c r="N298" s="1981">
        <v>974098.32690999995</v>
      </c>
      <c r="O298" s="1981">
        <v>989658.22541999992</v>
      </c>
      <c r="P298" s="1981">
        <v>996139.25525000005</v>
      </c>
      <c r="Q298" s="1981">
        <v>1026714.72187</v>
      </c>
      <c r="R298" s="1981">
        <v>711966.47315999994</v>
      </c>
      <c r="S298" s="1982">
        <v>1050507.0124984616</v>
      </c>
      <c r="U298" s="47">
        <f t="shared" si="15"/>
        <v>1050507.0124984616</v>
      </c>
      <c r="V298" s="48">
        <f t="shared" si="14"/>
        <v>0</v>
      </c>
    </row>
    <row r="299" spans="2:22">
      <c r="B299" s="33">
        <v>108</v>
      </c>
      <c r="F299" s="1981">
        <v>-3796699.0307699996</v>
      </c>
      <c r="G299" s="1981">
        <v>-3821735.9776699999</v>
      </c>
      <c r="H299" s="1981">
        <v>-3854584.18554</v>
      </c>
      <c r="I299" s="1981">
        <v>-3884507.7341399998</v>
      </c>
      <c r="J299" s="1981">
        <v>-3916435.95144</v>
      </c>
      <c r="K299" s="1981">
        <v>-3930343.5424000002</v>
      </c>
      <c r="L299" s="1981">
        <v>-3960794.5607499997</v>
      </c>
      <c r="M299" s="1981">
        <v>-3993731.3163999999</v>
      </c>
      <c r="N299" s="1981">
        <v>-4030220.2344599999</v>
      </c>
      <c r="O299" s="1981">
        <v>-4063828.3170099994</v>
      </c>
      <c r="P299" s="1981">
        <v>-4090890.4496399998</v>
      </c>
      <c r="Q299" s="1981">
        <v>-4125195.69521</v>
      </c>
      <c r="R299" s="1981">
        <v>-4143340.7621500003</v>
      </c>
      <c r="S299" s="1982">
        <v>-3970177.5198138454</v>
      </c>
      <c r="U299" s="47">
        <f t="shared" si="15"/>
        <v>-3970177.5198138454</v>
      </c>
      <c r="V299" s="48">
        <f t="shared" si="14"/>
        <v>0</v>
      </c>
    </row>
    <row r="300" spans="2:22">
      <c r="B300" s="33">
        <v>111</v>
      </c>
      <c r="F300" s="1981">
        <v>-176791.07329</v>
      </c>
      <c r="G300" s="1981">
        <v>-176207.75362999999</v>
      </c>
      <c r="H300" s="1981">
        <v>-179444.67559</v>
      </c>
      <c r="I300" s="1981">
        <v>-182683.91024</v>
      </c>
      <c r="J300" s="1981">
        <v>-185936.06591999999</v>
      </c>
      <c r="K300" s="1981">
        <v>-189133.20363999999</v>
      </c>
      <c r="L300" s="1981">
        <v>-192389.05481999999</v>
      </c>
      <c r="M300" s="1981">
        <v>-195326.72514</v>
      </c>
      <c r="N300" s="1981">
        <v>-198172.59103000001</v>
      </c>
      <c r="O300" s="1981">
        <v>-201428.78278000001</v>
      </c>
      <c r="P300" s="1981">
        <v>-204629.87408000001</v>
      </c>
      <c r="Q300" s="1981">
        <v>-208198.85363999999</v>
      </c>
      <c r="R300" s="1981">
        <v>-211782.12745</v>
      </c>
      <c r="S300" s="1982">
        <v>-192471.13009615385</v>
      </c>
      <c r="U300" s="47">
        <f t="shared" si="15"/>
        <v>-192471.13009615385</v>
      </c>
      <c r="V300" s="48">
        <f t="shared" si="14"/>
        <v>0</v>
      </c>
    </row>
    <row r="301" spans="2:22">
      <c r="B301" s="33">
        <v>115</v>
      </c>
      <c r="F301" s="1981">
        <v>-6883.3661700000002</v>
      </c>
      <c r="G301" s="1981">
        <v>-6903.0919000000004</v>
      </c>
      <c r="H301" s="1981">
        <v>-6922.8176299999996</v>
      </c>
      <c r="I301" s="1981">
        <v>-6942.5433600000006</v>
      </c>
      <c r="J301" s="1981">
        <v>-6962.2690899999998</v>
      </c>
      <c r="K301" s="1981">
        <v>-6981.9948199999999</v>
      </c>
      <c r="L301" s="1981">
        <v>-7001.72055</v>
      </c>
      <c r="M301" s="1981">
        <v>-7021.4462800000001</v>
      </c>
      <c r="N301" s="1981">
        <v>-7041.1720100000002</v>
      </c>
      <c r="O301" s="1981">
        <v>-7060.8977400000003</v>
      </c>
      <c r="P301" s="1981">
        <v>-7080.6234699999995</v>
      </c>
      <c r="Q301" s="1981">
        <v>-7100.3492000000006</v>
      </c>
      <c r="R301" s="1981">
        <v>-7120.0749299999998</v>
      </c>
      <c r="S301" s="1982">
        <v>-7001.7205499999991</v>
      </c>
      <c r="U301" s="47">
        <f t="shared" si="15"/>
        <v>-7001.7205499999991</v>
      </c>
      <c r="V301" s="48">
        <f t="shared" si="14"/>
        <v>0</v>
      </c>
    </row>
    <row r="302" spans="2:22">
      <c r="B302" s="33">
        <v>122</v>
      </c>
      <c r="F302" s="1981">
        <v>-7869.60088</v>
      </c>
      <c r="G302" s="1981">
        <v>-7928.8322099999996</v>
      </c>
      <c r="H302" s="1981">
        <v>-7994.6067699999994</v>
      </c>
      <c r="I302" s="1981">
        <v>-8059.4422699999996</v>
      </c>
      <c r="J302" s="1981">
        <v>-8125.4136600000002</v>
      </c>
      <c r="K302" s="1981">
        <v>-8176.9477300000008</v>
      </c>
      <c r="L302" s="1981">
        <v>-8237.5848999999998</v>
      </c>
      <c r="M302" s="1981">
        <v>-8189.7331299999996</v>
      </c>
      <c r="N302" s="1981">
        <v>-8191.3242699999992</v>
      </c>
      <c r="O302" s="1981">
        <v>-8238.8551299999999</v>
      </c>
      <c r="P302" s="1981">
        <v>-8259.9685800000007</v>
      </c>
      <c r="Q302" s="1981">
        <v>-8344.8840899999996</v>
      </c>
      <c r="R302" s="1981">
        <v>-8408.9433000000008</v>
      </c>
      <c r="S302" s="1982">
        <v>-8155.8566861538466</v>
      </c>
      <c r="U302" s="47">
        <f t="shared" si="15"/>
        <v>-8155.8566861538466</v>
      </c>
      <c r="V302" s="48">
        <f t="shared" si="14"/>
        <v>0</v>
      </c>
    </row>
    <row r="303" spans="2:22">
      <c r="B303" s="33">
        <v>190</v>
      </c>
      <c r="F303" s="1981">
        <v>768014.36690999963</v>
      </c>
      <c r="G303" s="1981">
        <v>771155.59033999965</v>
      </c>
      <c r="H303" s="1981">
        <v>793953.96616999968</v>
      </c>
      <c r="I303" s="1981">
        <v>797202.2900799996</v>
      </c>
      <c r="J303" s="1981">
        <v>834679.55777999968</v>
      </c>
      <c r="K303" s="1981">
        <v>839628.07681999961</v>
      </c>
      <c r="L303" s="1981">
        <v>843501.75456999964</v>
      </c>
      <c r="M303" s="1981">
        <v>847516.11798999971</v>
      </c>
      <c r="N303" s="1981">
        <v>851727.1286599997</v>
      </c>
      <c r="O303" s="1981">
        <v>854909.99592999974</v>
      </c>
      <c r="P303" s="1981">
        <v>858928.0005299995</v>
      </c>
      <c r="Q303" s="1981">
        <v>862235.8947899997</v>
      </c>
      <c r="R303" s="1981">
        <v>866921.80000999966</v>
      </c>
      <c r="S303" s="1982">
        <v>830028.81081384583</v>
      </c>
      <c r="U303" s="47">
        <f t="shared" si="15"/>
        <v>830028.81081384583</v>
      </c>
      <c r="V303" s="48">
        <f t="shared" si="14"/>
        <v>0</v>
      </c>
    </row>
    <row r="304" spans="2:22">
      <c r="B304" s="33">
        <v>183</v>
      </c>
      <c r="F304" s="1981">
        <v>14320.821550000001</v>
      </c>
      <c r="G304" s="1981">
        <v>6756.8215499999997</v>
      </c>
      <c r="H304" s="1981">
        <v>6803.8215499999997</v>
      </c>
      <c r="I304" s="1981">
        <v>6884.8215499999997</v>
      </c>
      <c r="J304" s="1981">
        <v>6952.8215499999997</v>
      </c>
      <c r="K304" s="1981">
        <v>6990.8215499999997</v>
      </c>
      <c r="L304" s="1981">
        <v>7028.8215499999997</v>
      </c>
      <c r="M304" s="1981">
        <v>7091.8215499999997</v>
      </c>
      <c r="N304" s="1981">
        <v>7129.8215499999997</v>
      </c>
      <c r="O304" s="1981">
        <v>3866.8215499999997</v>
      </c>
      <c r="P304" s="1981">
        <v>3904.8215499999997</v>
      </c>
      <c r="Q304" s="1981">
        <v>3942.8215499999997</v>
      </c>
      <c r="R304" s="1981">
        <v>3692.8215499999997</v>
      </c>
      <c r="S304" s="1982">
        <v>6566.744626923075</v>
      </c>
      <c r="U304" s="47">
        <f t="shared" si="15"/>
        <v>6566.744626923075</v>
      </c>
      <c r="V304" s="48">
        <f t="shared" si="14"/>
        <v>0</v>
      </c>
    </row>
    <row r="305" spans="2:22">
      <c r="B305" s="33">
        <v>184</v>
      </c>
      <c r="F305" s="1981">
        <v>0</v>
      </c>
      <c r="G305" s="1981">
        <v>0</v>
      </c>
      <c r="H305" s="1981">
        <v>0</v>
      </c>
      <c r="I305" s="1981">
        <v>0</v>
      </c>
      <c r="J305" s="1981">
        <v>0</v>
      </c>
      <c r="K305" s="1981">
        <v>0</v>
      </c>
      <c r="L305" s="1981">
        <v>0</v>
      </c>
      <c r="M305" s="1981">
        <v>0</v>
      </c>
      <c r="N305" s="1981">
        <v>0</v>
      </c>
      <c r="O305" s="1981">
        <v>0</v>
      </c>
      <c r="P305" s="1981">
        <v>0</v>
      </c>
      <c r="Q305" s="1981">
        <v>0</v>
      </c>
      <c r="R305" s="1981">
        <v>0</v>
      </c>
      <c r="S305" s="1982">
        <v>0</v>
      </c>
      <c r="U305" s="47">
        <f t="shared" si="15"/>
        <v>0</v>
      </c>
      <c r="V305" s="48">
        <f t="shared" si="14"/>
        <v>0</v>
      </c>
    </row>
    <row r="306" spans="2:22">
      <c r="B306" s="33">
        <v>186</v>
      </c>
      <c r="F306" s="1981">
        <v>5745.2926600000001</v>
      </c>
      <c r="G306" s="1981">
        <v>3140.0285700000004</v>
      </c>
      <c r="H306" s="1981">
        <v>3275.6271000000002</v>
      </c>
      <c r="I306" s="1981">
        <v>3040.4160400000001</v>
      </c>
      <c r="J306" s="1981">
        <v>2954.19299</v>
      </c>
      <c r="K306" s="1981">
        <v>2828.6259799999998</v>
      </c>
      <c r="L306" s="1981">
        <v>3118.5788899999998</v>
      </c>
      <c r="M306" s="1981">
        <v>5276.0548699999999</v>
      </c>
      <c r="N306" s="1981">
        <v>5607.6506800000006</v>
      </c>
      <c r="O306" s="1981">
        <v>5263.8179399999999</v>
      </c>
      <c r="P306" s="1981">
        <v>5144.0990499999998</v>
      </c>
      <c r="Q306" s="1981">
        <v>5053.5128800000002</v>
      </c>
      <c r="R306" s="1981">
        <v>2988.3853600000002</v>
      </c>
      <c r="S306" s="1982">
        <v>4110.4833084615393</v>
      </c>
      <c r="U306" s="47">
        <f t="shared" si="15"/>
        <v>4110.4833084615393</v>
      </c>
      <c r="V306" s="48">
        <f t="shared" si="14"/>
        <v>0</v>
      </c>
    </row>
    <row r="307" spans="2:22">
      <c r="B307" s="33">
        <v>221</v>
      </c>
      <c r="F307" s="1981">
        <v>3975000</v>
      </c>
      <c r="G307" s="1981">
        <v>3975000</v>
      </c>
      <c r="H307" s="1981">
        <v>3975000</v>
      </c>
      <c r="I307" s="1981">
        <v>4475000</v>
      </c>
      <c r="J307" s="1981">
        <v>4475000</v>
      </c>
      <c r="K307" s="1981">
        <v>4475000</v>
      </c>
      <c r="L307" s="1981">
        <v>4475000</v>
      </c>
      <c r="M307" s="1981">
        <v>4475000</v>
      </c>
      <c r="N307" s="1981">
        <v>4475000</v>
      </c>
      <c r="O307" s="1981">
        <v>4475000</v>
      </c>
      <c r="P307" s="1981">
        <v>4475000</v>
      </c>
      <c r="Q307" s="1981">
        <v>4475000</v>
      </c>
      <c r="R307" s="1981">
        <v>4475000</v>
      </c>
      <c r="S307" s="1982">
        <v>4359615.384615385</v>
      </c>
      <c r="U307" s="47">
        <f t="shared" si="15"/>
        <v>4359615.384615385</v>
      </c>
      <c r="V307" s="48">
        <f t="shared" si="14"/>
        <v>0</v>
      </c>
    </row>
    <row r="308" spans="2:22">
      <c r="B308" s="33">
        <v>181</v>
      </c>
      <c r="F308" s="1981">
        <v>28016.99784</v>
      </c>
      <c r="G308" s="1981">
        <v>27868.408309999999</v>
      </c>
      <c r="H308" s="1981">
        <v>27703.17684</v>
      </c>
      <c r="I308" s="1981">
        <v>30046.266339999998</v>
      </c>
      <c r="J308" s="1981">
        <v>29868.522840000001</v>
      </c>
      <c r="K308" s="1981">
        <v>29690.779340000001</v>
      </c>
      <c r="L308" s="1981">
        <v>29325.53484</v>
      </c>
      <c r="M308" s="1981">
        <v>29147.79134</v>
      </c>
      <c r="N308" s="1981">
        <v>28970.047839999999</v>
      </c>
      <c r="O308" s="1981">
        <v>28792.304339999999</v>
      </c>
      <c r="P308" s="1981">
        <v>28614.560839999998</v>
      </c>
      <c r="Q308" s="1981">
        <v>28436.817340000001</v>
      </c>
      <c r="R308" s="1981">
        <v>28259.073840000001</v>
      </c>
      <c r="S308" s="1982">
        <v>28826.17553</v>
      </c>
      <c r="U308" s="47">
        <f t="shared" si="15"/>
        <v>28826.17553</v>
      </c>
      <c r="V308" s="48">
        <f t="shared" si="14"/>
        <v>0</v>
      </c>
    </row>
    <row r="309" spans="2:22">
      <c r="B309" s="33">
        <v>231</v>
      </c>
      <c r="F309" s="1981">
        <v>595364.85717259895</v>
      </c>
      <c r="G309" s="1981">
        <v>598422.40124888893</v>
      </c>
      <c r="H309" s="1981">
        <v>655705.08729093603</v>
      </c>
      <c r="I309" s="1981">
        <v>260252.506725691</v>
      </c>
      <c r="J309" s="1981">
        <v>333921.04664845299</v>
      </c>
      <c r="K309" s="1981">
        <v>304118.43847153697</v>
      </c>
      <c r="L309" s="1981">
        <v>369466.30793546303</v>
      </c>
      <c r="M309" s="1981">
        <v>437362.47203191102</v>
      </c>
      <c r="N309" s="1981">
        <v>456960.32966298005</v>
      </c>
      <c r="O309" s="1981">
        <v>471462.43003022304</v>
      </c>
      <c r="P309" s="1981">
        <v>432650.86985359597</v>
      </c>
      <c r="Q309" s="1981">
        <v>596370.82103931799</v>
      </c>
      <c r="R309" s="1981">
        <v>553907.77794710698</v>
      </c>
      <c r="S309" s="1982">
        <v>466612.71892759262</v>
      </c>
      <c r="U309" s="47">
        <f t="shared" si="15"/>
        <v>466612.71892759262</v>
      </c>
      <c r="V309" s="48">
        <f t="shared" si="14"/>
        <v>0</v>
      </c>
    </row>
    <row r="310" spans="2:22">
      <c r="B310" s="33">
        <v>233</v>
      </c>
      <c r="F310" s="1981">
        <v>0</v>
      </c>
      <c r="G310" s="1981">
        <v>0</v>
      </c>
      <c r="H310" s="1981">
        <v>0</v>
      </c>
      <c r="I310" s="1981">
        <v>0</v>
      </c>
      <c r="J310" s="1981">
        <v>0</v>
      </c>
      <c r="K310" s="1981">
        <v>0</v>
      </c>
      <c r="L310" s="1981">
        <v>0</v>
      </c>
      <c r="M310" s="1981">
        <v>0</v>
      </c>
      <c r="N310" s="1981">
        <v>0</v>
      </c>
      <c r="O310" s="1981">
        <v>0</v>
      </c>
      <c r="P310" s="1981">
        <v>0</v>
      </c>
      <c r="Q310" s="1981">
        <v>0</v>
      </c>
      <c r="R310" s="1981">
        <v>0</v>
      </c>
      <c r="S310" s="1982">
        <v>0</v>
      </c>
      <c r="U310" s="47">
        <f t="shared" si="15"/>
        <v>0</v>
      </c>
      <c r="V310" s="48">
        <f t="shared" si="14"/>
        <v>0</v>
      </c>
    </row>
    <row r="311" spans="2:22">
      <c r="B311" s="33">
        <v>232</v>
      </c>
      <c r="F311" s="1981">
        <v>254338.78412934023</v>
      </c>
      <c r="G311" s="1981">
        <v>339737.63067706447</v>
      </c>
      <c r="H311" s="1981">
        <v>247478.1504243924</v>
      </c>
      <c r="I311" s="1981">
        <v>227390.35162002148</v>
      </c>
      <c r="J311" s="1981">
        <v>220884.40795066371</v>
      </c>
      <c r="K311" s="1981">
        <v>235318.00419600762</v>
      </c>
      <c r="L311" s="1981">
        <v>298071.72948933335</v>
      </c>
      <c r="M311" s="1981">
        <v>315776.79757735698</v>
      </c>
      <c r="N311" s="1981">
        <v>230719.80245241421</v>
      </c>
      <c r="O311" s="1981">
        <v>237948.96251088221</v>
      </c>
      <c r="P311" s="1981">
        <v>240980.54659163853</v>
      </c>
      <c r="Q311" s="1981">
        <v>222959.03291933631</v>
      </c>
      <c r="R311" s="1981">
        <v>338131.36555483087</v>
      </c>
      <c r="S311" s="1982">
        <v>262287.35123794485</v>
      </c>
      <c r="U311" s="47">
        <f t="shared" si="15"/>
        <v>262287.35123794485</v>
      </c>
      <c r="V311" s="48">
        <f t="shared" si="14"/>
        <v>0</v>
      </c>
    </row>
    <row r="312" spans="2:22">
      <c r="B312" s="33">
        <v>241</v>
      </c>
      <c r="F312" s="1981">
        <v>13498.4601800001</v>
      </c>
      <c r="G312" s="1981">
        <v>12702.4601799999</v>
      </c>
      <c r="H312" s="1981">
        <v>12862.3801800001</v>
      </c>
      <c r="I312" s="1981">
        <v>12773.820179999901</v>
      </c>
      <c r="J312" s="1981">
        <v>13220.660180000101</v>
      </c>
      <c r="K312" s="1981">
        <v>13896.46018</v>
      </c>
      <c r="L312" s="1981">
        <v>14763.420180000001</v>
      </c>
      <c r="M312" s="1981">
        <v>15349.06018</v>
      </c>
      <c r="N312" s="1981">
        <v>16002.240180000001</v>
      </c>
      <c r="O312" s="1981">
        <v>16211.7001799999</v>
      </c>
      <c r="P312" s="1981">
        <v>15119.784979999999</v>
      </c>
      <c r="Q312" s="1981">
        <v>13950.181779999899</v>
      </c>
      <c r="R312" s="1981">
        <v>14342.12578</v>
      </c>
      <c r="S312" s="1982">
        <v>14207.134949230762</v>
      </c>
      <c r="U312" s="47">
        <f t="shared" si="15"/>
        <v>14207.134949230762</v>
      </c>
      <c r="V312" s="48">
        <f t="shared" si="14"/>
        <v>0</v>
      </c>
    </row>
    <row r="313" spans="2:22">
      <c r="B313" s="33">
        <v>242</v>
      </c>
      <c r="F313" s="1981">
        <v>40869.614289303499</v>
      </c>
      <c r="G313" s="1981">
        <v>40681.7911093035</v>
      </c>
      <c r="H313" s="1981">
        <v>40775.7911093035</v>
      </c>
      <c r="I313" s="1981">
        <v>40601.597965887202</v>
      </c>
      <c r="J313" s="1981">
        <v>40679.597965887202</v>
      </c>
      <c r="K313" s="1981">
        <v>40734.597965887202</v>
      </c>
      <c r="L313" s="1981">
        <v>41597.857204693202</v>
      </c>
      <c r="M313" s="1981">
        <v>41608.857204693202</v>
      </c>
      <c r="N313" s="1981">
        <v>41653.857204693202</v>
      </c>
      <c r="O313" s="1981">
        <v>42486.116443499202</v>
      </c>
      <c r="P313" s="1981">
        <v>42531.116443499202</v>
      </c>
      <c r="Q313" s="1981">
        <v>42576.116443499202</v>
      </c>
      <c r="R313" s="1981">
        <v>43192.375682305101</v>
      </c>
      <c r="S313" s="1982">
        <v>41537.63746403496</v>
      </c>
      <c r="U313" s="47">
        <f t="shared" si="15"/>
        <v>41537.63746403496</v>
      </c>
      <c r="V313" s="48">
        <f t="shared" si="14"/>
        <v>0</v>
      </c>
    </row>
    <row r="314" spans="2:22">
      <c r="B314" s="33">
        <v>234</v>
      </c>
      <c r="F314" s="1981">
        <v>11940.227210000001</v>
      </c>
      <c r="G314" s="1981">
        <v>9848.4336426464997</v>
      </c>
      <c r="H314" s="1981">
        <v>9701.8713093057995</v>
      </c>
      <c r="I314" s="1981">
        <v>9697.9249325976998</v>
      </c>
      <c r="J314" s="1981">
        <v>9707.2878082183997</v>
      </c>
      <c r="K314" s="1981">
        <v>10899.3507640184</v>
      </c>
      <c r="L314" s="1981">
        <v>11983.335163357298</v>
      </c>
      <c r="M314" s="1981">
        <v>13279.255065015699</v>
      </c>
      <c r="N314" s="1981">
        <v>13475.250425035199</v>
      </c>
      <c r="O314" s="1981">
        <v>13212.9381018323</v>
      </c>
      <c r="P314" s="1981">
        <v>12240.444733210099</v>
      </c>
      <c r="Q314" s="1981">
        <v>11262.0493756712</v>
      </c>
      <c r="R314" s="1981">
        <v>11344.714865146198</v>
      </c>
      <c r="S314" s="1982">
        <v>11430.237184311907</v>
      </c>
      <c r="U314" s="47">
        <f t="shared" si="15"/>
        <v>11430.237184311907</v>
      </c>
      <c r="V314" s="48">
        <f t="shared" si="14"/>
        <v>0</v>
      </c>
    </row>
    <row r="315" spans="2:22">
      <c r="B315" s="33">
        <v>235</v>
      </c>
      <c r="F315" s="1981">
        <v>121238.932512716</v>
      </c>
      <c r="G315" s="1981">
        <v>121289.44873459599</v>
      </c>
      <c r="H315" s="1981">
        <v>121339.98600490201</v>
      </c>
      <c r="I315" s="1981">
        <v>121390.54433240401</v>
      </c>
      <c r="J315" s="1981">
        <v>121441.12372587601</v>
      </c>
      <c r="K315" s="1981">
        <v>121491.724194095</v>
      </c>
      <c r="L315" s="1981">
        <v>121542.34574584299</v>
      </c>
      <c r="M315" s="1981">
        <v>121592.988389903</v>
      </c>
      <c r="N315" s="1981">
        <v>121643.652135066</v>
      </c>
      <c r="O315" s="1981">
        <v>121694.336990122</v>
      </c>
      <c r="P315" s="1981">
        <v>121745.04296386801</v>
      </c>
      <c r="Q315" s="1981">
        <v>121795.77006510299</v>
      </c>
      <c r="R315" s="1981">
        <v>121846.51830263001</v>
      </c>
      <c r="S315" s="1982">
        <v>121542.49339208646</v>
      </c>
      <c r="U315" s="47">
        <f t="shared" si="15"/>
        <v>121542.49339208646</v>
      </c>
      <c r="V315" s="48">
        <f t="shared" si="14"/>
        <v>0</v>
      </c>
    </row>
    <row r="316" spans="2:22">
      <c r="B316" s="33">
        <v>254</v>
      </c>
      <c r="F316" s="1981">
        <v>543889.30290357978</v>
      </c>
      <c r="G316" s="1981">
        <v>532576.66101495433</v>
      </c>
      <c r="H316" s="1981">
        <v>529893.96791988076</v>
      </c>
      <c r="I316" s="1981">
        <v>528224.67077014176</v>
      </c>
      <c r="J316" s="1981">
        <v>529572.29674536968</v>
      </c>
      <c r="K316" s="1981">
        <v>525807.83948273654</v>
      </c>
      <c r="L316" s="1981">
        <v>525897.62086134602</v>
      </c>
      <c r="M316" s="1981">
        <v>524588.1309627702</v>
      </c>
      <c r="N316" s="1981">
        <v>522017.08416155458</v>
      </c>
      <c r="O316" s="1981">
        <v>513244.58461082994</v>
      </c>
      <c r="P316" s="1981">
        <v>512333.58869717532</v>
      </c>
      <c r="Q316" s="1981">
        <v>511127.50624224637</v>
      </c>
      <c r="R316" s="1981">
        <v>508342.29173172993</v>
      </c>
      <c r="S316" s="1982">
        <v>523655.04200802429</v>
      </c>
      <c r="U316" s="47">
        <f t="shared" si="15"/>
        <v>523655.04200802429</v>
      </c>
      <c r="V316" s="48">
        <f t="shared" si="14"/>
        <v>0</v>
      </c>
    </row>
    <row r="317" spans="2:22">
      <c r="B317" s="33">
        <v>245</v>
      </c>
      <c r="F317" s="1981">
        <v>0</v>
      </c>
      <c r="G317" s="1981">
        <v>0</v>
      </c>
      <c r="H317" s="1981">
        <v>0</v>
      </c>
      <c r="I317" s="1981">
        <v>0</v>
      </c>
      <c r="J317" s="1981">
        <v>0</v>
      </c>
      <c r="K317" s="1981">
        <v>0</v>
      </c>
      <c r="L317" s="1981">
        <v>0</v>
      </c>
      <c r="M317" s="1981">
        <v>0</v>
      </c>
      <c r="N317" s="1981">
        <v>0</v>
      </c>
      <c r="O317" s="1981">
        <v>0</v>
      </c>
      <c r="P317" s="1981">
        <v>0</v>
      </c>
      <c r="Q317" s="1981">
        <v>0</v>
      </c>
      <c r="R317" s="1981">
        <v>0</v>
      </c>
      <c r="S317" s="1982">
        <v>0</v>
      </c>
      <c r="U317" s="47">
        <f t="shared" si="15"/>
        <v>0</v>
      </c>
      <c r="V317" s="48">
        <f t="shared" si="14"/>
        <v>0</v>
      </c>
    </row>
    <row r="318" spans="2:22">
      <c r="B318" s="33">
        <v>237</v>
      </c>
      <c r="F318" s="1981">
        <v>35201.520636353802</v>
      </c>
      <c r="G318" s="1981">
        <v>33897.180190670806</v>
      </c>
      <c r="H318" s="1981">
        <v>48561.636644592101</v>
      </c>
      <c r="I318" s="1981">
        <v>39209.230128644194</v>
      </c>
      <c r="J318" s="1981">
        <v>55820.195583833301</v>
      </c>
      <c r="K318" s="1981">
        <v>44872.746143696597</v>
      </c>
      <c r="L318" s="1981">
        <v>40279.159729879895</v>
      </c>
      <c r="M318" s="1981">
        <v>49478.948601337295</v>
      </c>
      <c r="N318" s="1981">
        <v>60038.928277803192</v>
      </c>
      <c r="O318" s="1981">
        <v>52801.305604492096</v>
      </c>
      <c r="P318" s="1981">
        <v>69471.935775480801</v>
      </c>
      <c r="Q318" s="1981">
        <v>46287.491646638293</v>
      </c>
      <c r="R318" s="1981">
        <v>32834.563451576105</v>
      </c>
      <c r="S318" s="1982">
        <v>46827.295570384493</v>
      </c>
      <c r="U318" s="47">
        <f t="shared" si="15"/>
        <v>46827.295570384493</v>
      </c>
      <c r="V318" s="48">
        <f t="shared" si="14"/>
        <v>0</v>
      </c>
    </row>
    <row r="319" spans="2:22">
      <c r="B319" s="33">
        <v>236</v>
      </c>
      <c r="F319" s="1981">
        <v>12925.25753925</v>
      </c>
      <c r="G319" s="1981">
        <v>21434.892624605101</v>
      </c>
      <c r="H319" s="1981">
        <v>28453.867986593799</v>
      </c>
      <c r="I319" s="1981">
        <v>25716.469190391599</v>
      </c>
      <c r="J319" s="1981">
        <v>25515.454138750003</v>
      </c>
      <c r="K319" s="1981">
        <v>39734.240031656293</v>
      </c>
      <c r="L319" s="1981">
        <v>48937.574386763103</v>
      </c>
      <c r="M319" s="1981">
        <v>66854.972394986005</v>
      </c>
      <c r="N319" s="1981">
        <v>85395.750400206307</v>
      </c>
      <c r="O319" s="1981">
        <v>91395.382583481609</v>
      </c>
      <c r="P319" s="1981">
        <v>101560.0476751151</v>
      </c>
      <c r="Q319" s="1981">
        <v>15395.935288976802</v>
      </c>
      <c r="R319" s="1981">
        <v>12848.9471664467</v>
      </c>
      <c r="S319" s="1982">
        <v>44320.676262094028</v>
      </c>
      <c r="U319" s="47">
        <f t="shared" si="15"/>
        <v>44320.676262094028</v>
      </c>
      <c r="V319" s="48">
        <f t="shared" si="14"/>
        <v>0</v>
      </c>
    </row>
    <row r="320" spans="2:22">
      <c r="B320" s="33">
        <v>230</v>
      </c>
      <c r="F320" s="1981">
        <v>33789.464899999999</v>
      </c>
      <c r="G320" s="1981">
        <v>33930.254340000007</v>
      </c>
      <c r="H320" s="1981">
        <v>34071.630400000002</v>
      </c>
      <c r="I320" s="1981">
        <v>34213.595529999999</v>
      </c>
      <c r="J320" s="1981">
        <v>34356.152179999997</v>
      </c>
      <c r="K320" s="1981">
        <v>34499.302810000001</v>
      </c>
      <c r="L320" s="1981">
        <v>34643.049909999994</v>
      </c>
      <c r="M320" s="1981">
        <v>34787.395950000006</v>
      </c>
      <c r="N320" s="1981">
        <v>34932.343430000001</v>
      </c>
      <c r="O320" s="1981">
        <v>35077.89486</v>
      </c>
      <c r="P320" s="1981">
        <v>35224.052759999999</v>
      </c>
      <c r="Q320" s="1981">
        <v>35370.819649999998</v>
      </c>
      <c r="R320" s="1981">
        <v>35518.198069999999</v>
      </c>
      <c r="S320" s="1982">
        <v>34647.242676153845</v>
      </c>
      <c r="U320" s="47">
        <f t="shared" si="15"/>
        <v>34647.242676153845</v>
      </c>
      <c r="V320" s="48">
        <f t="shared" si="14"/>
        <v>0</v>
      </c>
    </row>
    <row r="321" spans="2:22">
      <c r="B321" s="33">
        <v>253</v>
      </c>
      <c r="F321" s="1981">
        <v>38095.902782142497</v>
      </c>
      <c r="G321" s="1981">
        <v>48733.488673500993</v>
      </c>
      <c r="H321" s="1981">
        <v>50597.464078821693</v>
      </c>
      <c r="I321" s="1981">
        <v>47459.862379175</v>
      </c>
      <c r="J321" s="1981">
        <v>45638.536178742492</v>
      </c>
      <c r="K321" s="1981">
        <v>46474.827189593401</v>
      </c>
      <c r="L321" s="1981">
        <v>42648.314895821495</v>
      </c>
      <c r="M321" s="1981">
        <v>39427.322898039391</v>
      </c>
      <c r="N321" s="1981">
        <v>35523.171071460703</v>
      </c>
      <c r="O321" s="1981">
        <v>26564.114122590097</v>
      </c>
      <c r="P321" s="1981">
        <v>19267.8607842411</v>
      </c>
      <c r="Q321" s="1981">
        <v>14546.107606708998</v>
      </c>
      <c r="R321" s="1981">
        <v>15778.410867561</v>
      </c>
      <c r="S321" s="1982">
        <v>36211.952579107608</v>
      </c>
      <c r="U321" s="47">
        <f t="shared" si="15"/>
        <v>36211.952579107608</v>
      </c>
      <c r="V321" s="48">
        <f t="shared" si="14"/>
        <v>0</v>
      </c>
    </row>
    <row r="322" spans="2:22">
      <c r="B322" s="33">
        <v>243</v>
      </c>
      <c r="F322" s="1981">
        <v>1831.3990999979999</v>
      </c>
      <c r="G322" s="1981">
        <v>1672.5069455501998</v>
      </c>
      <c r="H322" s="1981">
        <v>1513.1432575343001</v>
      </c>
      <c r="I322" s="1981">
        <v>1353.2700313302998</v>
      </c>
      <c r="J322" s="1981">
        <v>1192.8856458079999</v>
      </c>
      <c r="K322" s="1981">
        <v>1032.0006764397999</v>
      </c>
      <c r="L322" s="1981">
        <v>870.60130740430009</v>
      </c>
      <c r="M322" s="1981">
        <v>708.70172860949992</v>
      </c>
      <c r="N322" s="1981">
        <v>546.28453074330002</v>
      </c>
      <c r="O322" s="1981">
        <v>383.34806712199997</v>
      </c>
      <c r="P322" s="1981">
        <v>387.17593584010001</v>
      </c>
      <c r="Q322" s="1981">
        <v>391.01375446560002</v>
      </c>
      <c r="R322" s="1981">
        <v>394.92103353839991</v>
      </c>
      <c r="S322" s="1982">
        <v>944.40400110644612</v>
      </c>
      <c r="U322" s="47">
        <f t="shared" si="15"/>
        <v>944.40400110644612</v>
      </c>
      <c r="V322" s="48">
        <f t="shared" si="14"/>
        <v>0</v>
      </c>
    </row>
    <row r="323" spans="2:22">
      <c r="B323" s="33">
        <v>255</v>
      </c>
      <c r="F323" s="1981">
        <v>234686.52018999998</v>
      </c>
      <c r="G323" s="1981">
        <v>233862.15002999999</v>
      </c>
      <c r="H323" s="1981">
        <v>248250.47984999997</v>
      </c>
      <c r="I323" s="1981">
        <v>247299.3377</v>
      </c>
      <c r="J323" s="1981">
        <v>271995.26455000002</v>
      </c>
      <c r="K323" s="1981">
        <v>270830.39572999999</v>
      </c>
      <c r="L323" s="1981">
        <v>269665.52692999999</v>
      </c>
      <c r="M323" s="1981">
        <v>268500.65813</v>
      </c>
      <c r="N323" s="1981">
        <v>267335.78931000002</v>
      </c>
      <c r="O323" s="1981">
        <v>266170.92050999997</v>
      </c>
      <c r="P323" s="1981">
        <v>265006.05170999997</v>
      </c>
      <c r="Q323" s="1981">
        <v>263841.18289000005</v>
      </c>
      <c r="R323" s="1981">
        <v>264120.66728999995</v>
      </c>
      <c r="S323" s="1982">
        <v>259351.1496015384</v>
      </c>
      <c r="U323" s="47">
        <f t="shared" si="15"/>
        <v>259351.1496015384</v>
      </c>
      <c r="V323" s="48">
        <f t="shared" si="14"/>
        <v>0</v>
      </c>
    </row>
    <row r="324" spans="2:22">
      <c r="B324" s="33">
        <v>281</v>
      </c>
      <c r="F324" s="1981">
        <v>53127.871189999998</v>
      </c>
      <c r="G324" s="1981">
        <v>52922.970029999997</v>
      </c>
      <c r="H324" s="1981">
        <v>52718.068880000006</v>
      </c>
      <c r="I324" s="1981">
        <v>52513.167719999998</v>
      </c>
      <c r="J324" s="1981">
        <v>52308.266579999996</v>
      </c>
      <c r="K324" s="1981">
        <v>52103.365420000009</v>
      </c>
      <c r="L324" s="1981">
        <v>51898.464269999997</v>
      </c>
      <c r="M324" s="1981">
        <v>51693.563110000003</v>
      </c>
      <c r="N324" s="1981">
        <v>51488.661959999998</v>
      </c>
      <c r="O324" s="1981">
        <v>51283.760800000004</v>
      </c>
      <c r="P324" s="1981">
        <v>51078.859660000002</v>
      </c>
      <c r="Q324" s="1981">
        <v>50873.958500000001</v>
      </c>
      <c r="R324" s="1981">
        <v>50669.057350000003</v>
      </c>
      <c r="S324" s="1982">
        <v>51898.464266923067</v>
      </c>
      <c r="U324" s="47">
        <f t="shared" si="15"/>
        <v>51898.464266923067</v>
      </c>
      <c r="V324" s="48">
        <f t="shared" si="14"/>
        <v>0</v>
      </c>
    </row>
    <row r="325" spans="2:22">
      <c r="B325" s="33">
        <v>282</v>
      </c>
      <c r="F325" s="1981">
        <v>1581777.67221</v>
      </c>
      <c r="G325" s="1981">
        <v>1588611.27308</v>
      </c>
      <c r="H325" s="1981">
        <v>1597454.60329</v>
      </c>
      <c r="I325" s="1981">
        <v>1600086.35675</v>
      </c>
      <c r="J325" s="1981">
        <v>1610383.8557899999</v>
      </c>
      <c r="K325" s="1981">
        <v>1617254.7098700001</v>
      </c>
      <c r="L325" s="1981">
        <v>1624031.08027</v>
      </c>
      <c r="M325" s="1981">
        <v>1630565.5366700001</v>
      </c>
      <c r="N325" s="1981">
        <v>1637209.10665</v>
      </c>
      <c r="O325" s="1981">
        <v>1653946.4476099999</v>
      </c>
      <c r="P325" s="1981">
        <v>1660685.1313799999</v>
      </c>
      <c r="Q325" s="1981">
        <v>1667304.7337199999</v>
      </c>
      <c r="R325" s="1981">
        <v>1668101.44719</v>
      </c>
      <c r="S325" s="1982">
        <v>1625954.7657292311</v>
      </c>
      <c r="U325" s="47">
        <f t="shared" si="15"/>
        <v>1625954.7657292311</v>
      </c>
      <c r="V325" s="48">
        <f t="shared" ref="V325:V388" si="16">IF(S325="","",+U325-S325)</f>
        <v>0</v>
      </c>
    </row>
    <row r="326" spans="2:22">
      <c r="B326" s="33">
        <v>283</v>
      </c>
      <c r="F326" s="1981">
        <v>47507.059779999989</v>
      </c>
      <c r="G326" s="1981">
        <v>49607.357569999993</v>
      </c>
      <c r="H326" s="1981">
        <v>52347.972819999995</v>
      </c>
      <c r="I326" s="1981">
        <v>64527.857439999992</v>
      </c>
      <c r="J326" s="1981">
        <v>68028.297950000007</v>
      </c>
      <c r="K326" s="1981">
        <v>69868.323460000014</v>
      </c>
      <c r="L326" s="1981">
        <v>70073.396990000008</v>
      </c>
      <c r="M326" s="1981">
        <v>71316.952840000013</v>
      </c>
      <c r="N326" s="1981">
        <v>72575.92760000001</v>
      </c>
      <c r="O326" s="1981">
        <v>66313.700160000008</v>
      </c>
      <c r="P326" s="1981">
        <v>67875.643639999995</v>
      </c>
      <c r="Q326" s="1981">
        <v>70030.560070000007</v>
      </c>
      <c r="R326" s="1981">
        <v>75368.406759999998</v>
      </c>
      <c r="S326" s="1982">
        <v>65033.958236923092</v>
      </c>
      <c r="U326" s="47">
        <f t="shared" ref="U326:U389" si="17">+IF(F326="","",SUM(F326:R326)/13)</f>
        <v>65033.958236923092</v>
      </c>
      <c r="V326" s="48">
        <f t="shared" si="16"/>
        <v>0</v>
      </c>
    </row>
    <row r="327" spans="2:22">
      <c r="B327" s="33">
        <v>256</v>
      </c>
      <c r="F327" s="1981">
        <v>-7.8761200000000002</v>
      </c>
      <c r="G327" s="1981">
        <v>-7.8761200000000002</v>
      </c>
      <c r="H327" s="1981">
        <v>-7.8761200000000002</v>
      </c>
      <c r="I327" s="1981">
        <v>-7.8761200000000002</v>
      </c>
      <c r="J327" s="1981">
        <v>-7.8761200000000002</v>
      </c>
      <c r="K327" s="1981">
        <v>-7.8761200000000002</v>
      </c>
      <c r="L327" s="1981">
        <v>-7.8761200000000002</v>
      </c>
      <c r="M327" s="1981">
        <v>-7.8761200000000002</v>
      </c>
      <c r="N327" s="1981">
        <v>-7.8761200000000002</v>
      </c>
      <c r="O327" s="1981">
        <v>-7.8761200000000002</v>
      </c>
      <c r="P327" s="1981">
        <v>-7.8761200000000002</v>
      </c>
      <c r="Q327" s="1981">
        <v>-7.8761200000000002</v>
      </c>
      <c r="R327" s="1981">
        <v>-7.8761200000000002</v>
      </c>
      <c r="S327" s="1982">
        <v>-7.8761200000000002</v>
      </c>
      <c r="U327" s="47">
        <f t="shared" si="17"/>
        <v>-7.8761200000000002</v>
      </c>
      <c r="V327" s="48">
        <f t="shared" si="16"/>
        <v>0</v>
      </c>
    </row>
    <row r="328" spans="2:22">
      <c r="B328" s="33">
        <v>227</v>
      </c>
      <c r="F328" s="1981">
        <v>32374.9976804035</v>
      </c>
      <c r="G328" s="1981">
        <v>32343.736136528998</v>
      </c>
      <c r="H328" s="1981">
        <v>32311.710364902898</v>
      </c>
      <c r="I328" s="1981">
        <v>32279.684887395098</v>
      </c>
      <c r="J328" s="1981">
        <v>32247.659916442903</v>
      </c>
      <c r="K328" s="1981">
        <v>32215.080849410901</v>
      </c>
      <c r="L328" s="1981">
        <v>32182.501932230301</v>
      </c>
      <c r="M328" s="1981">
        <v>32149.028306661698</v>
      </c>
      <c r="N328" s="1981">
        <v>32115.551933949402</v>
      </c>
      <c r="O328" s="1981">
        <v>32082.073017966097</v>
      </c>
      <c r="P328" s="1981">
        <v>32048.591763839704</v>
      </c>
      <c r="Q328" s="1981">
        <v>32015.108377960602</v>
      </c>
      <c r="R328" s="1981">
        <v>31980.0766468652</v>
      </c>
      <c r="S328" s="1982">
        <v>32180.446293427492</v>
      </c>
      <c r="U328" s="47">
        <f t="shared" si="17"/>
        <v>32180.446293427492</v>
      </c>
      <c r="V328" s="48">
        <f t="shared" si="16"/>
        <v>0</v>
      </c>
    </row>
    <row r="329" spans="2:22">
      <c r="B329" s="33">
        <v>226</v>
      </c>
      <c r="F329" s="1981">
        <v>-12501.45364</v>
      </c>
      <c r="G329" s="1981">
        <v>-12404.31436</v>
      </c>
      <c r="H329" s="1981">
        <v>-14807.175080000001</v>
      </c>
      <c r="I329" s="1981">
        <v>-14689.202800000001</v>
      </c>
      <c r="J329" s="1981">
        <v>-14571.230519999999</v>
      </c>
      <c r="K329" s="1981">
        <v>-14453.258240000001</v>
      </c>
      <c r="L329" s="1981">
        <v>-14335.285960000001</v>
      </c>
      <c r="M329" s="1981">
        <v>-14217.313679999999</v>
      </c>
      <c r="N329" s="1981">
        <v>-14099.341400000001</v>
      </c>
      <c r="O329" s="1981">
        <v>-13981.369119999999</v>
      </c>
      <c r="P329" s="1981">
        <v>-13863.396839999999</v>
      </c>
      <c r="Q329" s="1981">
        <v>-13745.424560000001</v>
      </c>
      <c r="R329" s="1981">
        <v>-13627.45228</v>
      </c>
      <c r="S329" s="1982">
        <v>-13945.862959999999</v>
      </c>
      <c r="U329" s="47">
        <f t="shared" si="17"/>
        <v>-13945.862959999999</v>
      </c>
      <c r="V329" s="48">
        <f t="shared" si="16"/>
        <v>0</v>
      </c>
    </row>
    <row r="330" spans="2:22">
      <c r="B330" s="33">
        <v>201</v>
      </c>
      <c r="F330" s="1981">
        <v>119696.8</v>
      </c>
      <c r="G330" s="1981">
        <v>119696.8</v>
      </c>
      <c r="H330" s="1981">
        <v>119696.8</v>
      </c>
      <c r="I330" s="1981">
        <v>119696.8</v>
      </c>
      <c r="J330" s="1981">
        <v>119696.8</v>
      </c>
      <c r="K330" s="1981">
        <v>119696.8</v>
      </c>
      <c r="L330" s="1981">
        <v>119696.8</v>
      </c>
      <c r="M330" s="1981">
        <v>119696.8</v>
      </c>
      <c r="N330" s="1981">
        <v>119696.8</v>
      </c>
      <c r="O330" s="1981">
        <v>119696.8</v>
      </c>
      <c r="P330" s="1981">
        <v>119696.8</v>
      </c>
      <c r="Q330" s="1981">
        <v>119696.8</v>
      </c>
      <c r="R330" s="1981">
        <v>119696.8</v>
      </c>
      <c r="S330" s="1982">
        <v>119696.80000000003</v>
      </c>
      <c r="U330" s="47">
        <f t="shared" si="17"/>
        <v>119696.80000000003</v>
      </c>
      <c r="V330" s="48">
        <f t="shared" si="16"/>
        <v>0</v>
      </c>
    </row>
    <row r="331" spans="2:22">
      <c r="B331" s="33">
        <v>211</v>
      </c>
      <c r="F331" s="1981">
        <v>4985840.2</v>
      </c>
      <c r="G331" s="1981">
        <v>4985840.2</v>
      </c>
      <c r="H331" s="1981">
        <v>5145840.2</v>
      </c>
      <c r="I331" s="1981">
        <v>5145840.2</v>
      </c>
      <c r="J331" s="1981">
        <v>5145840.2</v>
      </c>
      <c r="K331" s="1981">
        <v>5300840.2</v>
      </c>
      <c r="L331" s="1981">
        <v>5300840.2</v>
      </c>
      <c r="M331" s="1981">
        <v>5300840.2</v>
      </c>
      <c r="N331" s="1981">
        <v>5450840.2000000002</v>
      </c>
      <c r="O331" s="1981">
        <v>5450840.2000000002</v>
      </c>
      <c r="P331" s="1981">
        <v>5450840.2000000002</v>
      </c>
      <c r="Q331" s="1981">
        <v>5565840.2000000002</v>
      </c>
      <c r="R331" s="1981">
        <v>5565840.2000000002</v>
      </c>
      <c r="S331" s="1982">
        <v>5291994.0461538471</v>
      </c>
      <c r="U331" s="47">
        <f t="shared" si="17"/>
        <v>5291994.0461538471</v>
      </c>
      <c r="V331" s="48">
        <f t="shared" si="16"/>
        <v>0</v>
      </c>
    </row>
    <row r="332" spans="2:22">
      <c r="B332" s="33">
        <v>214</v>
      </c>
      <c r="F332" s="1981">
        <v>-700.9</v>
      </c>
      <c r="G332" s="1981">
        <v>-700.9</v>
      </c>
      <c r="H332" s="1981">
        <v>-700.9</v>
      </c>
      <c r="I332" s="1981">
        <v>-700.9</v>
      </c>
      <c r="J332" s="1981">
        <v>-700.9</v>
      </c>
      <c r="K332" s="1981">
        <v>-700.9</v>
      </c>
      <c r="L332" s="1981">
        <v>-700.9</v>
      </c>
      <c r="M332" s="1981">
        <v>-700.9</v>
      </c>
      <c r="N332" s="1981">
        <v>-700.9</v>
      </c>
      <c r="O332" s="1981">
        <v>-700.9</v>
      </c>
      <c r="P332" s="1981">
        <v>-700.9</v>
      </c>
      <c r="Q332" s="1981">
        <v>-700.9</v>
      </c>
      <c r="R332" s="1981">
        <v>-700.9</v>
      </c>
      <c r="S332" s="1982">
        <v>-700.89999999999975</v>
      </c>
      <c r="U332" s="47">
        <f t="shared" si="17"/>
        <v>-700.89999999999975</v>
      </c>
      <c r="V332" s="48">
        <f t="shared" si="16"/>
        <v>0</v>
      </c>
    </row>
    <row r="333" spans="2:22">
      <c r="B333" s="33">
        <v>216</v>
      </c>
      <c r="F333" s="1981">
        <v>220252.162617942</v>
      </c>
      <c r="G333" s="1981">
        <v>249197.47295984102</v>
      </c>
      <c r="H333" s="1981">
        <v>187957.93965559901</v>
      </c>
      <c r="I333" s="1981">
        <v>207636.87295460099</v>
      </c>
      <c r="J333" s="1981">
        <v>238440.591939048</v>
      </c>
      <c r="K333" s="1981">
        <v>207498.48499128301</v>
      </c>
      <c r="L333" s="1981">
        <v>254959.36925075998</v>
      </c>
      <c r="M333" s="1981">
        <v>308954.61665669002</v>
      </c>
      <c r="N333" s="1981">
        <v>242825.25534687701</v>
      </c>
      <c r="O333" s="1981">
        <v>294000.31182010606</v>
      </c>
      <c r="P333" s="1981">
        <v>327392.87427941797</v>
      </c>
      <c r="Q333" s="1981">
        <v>186334.37271725197</v>
      </c>
      <c r="R333" s="1981">
        <v>199314.50254972698</v>
      </c>
      <c r="S333" s="1982">
        <v>240366.52521070337</v>
      </c>
      <c r="U333" s="47"/>
      <c r="V333" s="48"/>
    </row>
    <row r="334" spans="2:22">
      <c r="B334" s="33">
        <v>219</v>
      </c>
      <c r="F334" s="1981">
        <v>-639.98106000029998</v>
      </c>
      <c r="G334" s="1981">
        <v>-729.63989000039987</v>
      </c>
      <c r="H334" s="1981">
        <v>-721.48909000040021</v>
      </c>
      <c r="I334" s="1981">
        <v>-713.33829000040009</v>
      </c>
      <c r="J334" s="1981">
        <v>-705.1874800004</v>
      </c>
      <c r="K334" s="1981">
        <v>-697.03668000030007</v>
      </c>
      <c r="L334" s="1981">
        <v>-688.88588000030018</v>
      </c>
      <c r="M334" s="1981">
        <v>-680.73507000030008</v>
      </c>
      <c r="N334" s="1981">
        <v>-672.58427000029997</v>
      </c>
      <c r="O334" s="1981">
        <v>-664.43347000029985</v>
      </c>
      <c r="P334" s="1981">
        <v>-656.28267000030019</v>
      </c>
      <c r="Q334" s="1981">
        <v>-648.13186000030009</v>
      </c>
      <c r="R334" s="1981">
        <v>-639.98106000029998</v>
      </c>
      <c r="S334" s="1982">
        <v>-681.36205923110003</v>
      </c>
      <c r="U334" s="47"/>
      <c r="V334" s="48"/>
    </row>
    <row r="335" spans="2:22">
      <c r="U335" s="47"/>
      <c r="V335" s="48"/>
    </row>
    <row r="336" spans="2:22">
      <c r="U336" s="47"/>
      <c r="V336" s="48"/>
    </row>
    <row r="337" spans="6:22">
      <c r="U337" s="47"/>
      <c r="V337" s="48"/>
    </row>
    <row r="338" spans="6:22">
      <c r="F338" s="1981"/>
      <c r="G338" s="1981"/>
      <c r="H338" s="1981"/>
      <c r="I338" s="1981"/>
      <c r="J338" s="1981"/>
      <c r="K338" s="1981"/>
      <c r="L338" s="1981"/>
      <c r="M338" s="1981"/>
      <c r="N338" s="1981"/>
      <c r="O338" s="1981"/>
      <c r="P338" s="1981"/>
      <c r="Q338" s="1981"/>
      <c r="R338" s="1981"/>
      <c r="S338" s="1982"/>
      <c r="U338" s="47"/>
      <c r="V338" s="48"/>
    </row>
    <row r="339" spans="6:22">
      <c r="F339" s="1981"/>
      <c r="G339" s="1981"/>
      <c r="H339" s="1981"/>
      <c r="I339" s="1981"/>
      <c r="J339" s="1981"/>
      <c r="K339" s="1981"/>
      <c r="L339" s="1981"/>
      <c r="M339" s="1981"/>
      <c r="N339" s="1981"/>
      <c r="O339" s="1981"/>
      <c r="P339" s="1981"/>
      <c r="Q339" s="1981"/>
      <c r="R339" s="1981"/>
      <c r="S339" s="1982"/>
      <c r="U339" s="47"/>
      <c r="V339" s="48"/>
    </row>
    <row r="340" spans="6:22">
      <c r="F340" s="1981"/>
      <c r="G340" s="1981"/>
      <c r="H340" s="1981"/>
      <c r="I340" s="1981"/>
      <c r="J340" s="1981"/>
      <c r="K340" s="1981"/>
      <c r="L340" s="1981"/>
      <c r="M340" s="1981"/>
      <c r="N340" s="1981"/>
      <c r="O340" s="1981"/>
      <c r="P340" s="1981"/>
      <c r="Q340" s="1981"/>
      <c r="R340" s="1981"/>
      <c r="S340" s="1982"/>
      <c r="U340" s="47"/>
      <c r="V340" s="48"/>
    </row>
    <row r="341" spans="6:22">
      <c r="F341" s="1981"/>
      <c r="G341" s="1981"/>
      <c r="H341" s="1981"/>
      <c r="I341" s="1981"/>
      <c r="J341" s="1981"/>
      <c r="K341" s="1981"/>
      <c r="L341" s="1981"/>
      <c r="M341" s="1981"/>
      <c r="N341" s="1981"/>
      <c r="O341" s="1981"/>
      <c r="P341" s="1981"/>
      <c r="Q341" s="1981"/>
      <c r="R341" s="1981"/>
      <c r="S341" s="1982"/>
      <c r="U341" s="47"/>
      <c r="V341" s="48"/>
    </row>
    <row r="342" spans="6:22">
      <c r="F342" s="1981"/>
      <c r="G342" s="1981"/>
      <c r="H342" s="1981"/>
      <c r="I342" s="1981"/>
      <c r="J342" s="1981"/>
      <c r="K342" s="1981"/>
      <c r="L342" s="1981"/>
      <c r="M342" s="1981"/>
      <c r="N342" s="1981"/>
      <c r="O342" s="1981"/>
      <c r="P342" s="1981"/>
      <c r="Q342" s="1981"/>
      <c r="R342" s="1981"/>
      <c r="S342" s="1982"/>
      <c r="U342" s="47"/>
      <c r="V342" s="48"/>
    </row>
    <row r="343" spans="6:22">
      <c r="F343" s="1981"/>
      <c r="G343" s="1981"/>
      <c r="H343" s="1981"/>
      <c r="I343" s="1981"/>
      <c r="J343" s="1981"/>
      <c r="K343" s="1981"/>
      <c r="L343" s="1981"/>
      <c r="M343" s="1981"/>
      <c r="N343" s="1981"/>
      <c r="O343" s="1981"/>
      <c r="P343" s="1981"/>
      <c r="Q343" s="1981"/>
      <c r="R343" s="1981"/>
      <c r="S343" s="1982"/>
      <c r="U343" s="47"/>
      <c r="V343" s="48"/>
    </row>
    <row r="344" spans="6:22">
      <c r="F344" s="1981"/>
      <c r="G344" s="1981"/>
      <c r="H344" s="1981"/>
      <c r="I344" s="1981"/>
      <c r="J344" s="1981"/>
      <c r="K344" s="1981"/>
      <c r="L344" s="1981"/>
      <c r="M344" s="1981"/>
      <c r="N344" s="1981"/>
      <c r="O344" s="1981"/>
      <c r="P344" s="1981"/>
      <c r="Q344" s="1981"/>
      <c r="R344" s="1981"/>
      <c r="S344" s="1982"/>
      <c r="U344" s="47"/>
      <c r="V344" s="48"/>
    </row>
    <row r="345" spans="6:22">
      <c r="U345" s="47" t="str">
        <f t="shared" si="17"/>
        <v/>
      </c>
      <c r="V345" s="48" t="str">
        <f t="shared" si="16"/>
        <v/>
      </c>
    </row>
    <row r="346" spans="6:22">
      <c r="U346" s="47" t="str">
        <f t="shared" si="17"/>
        <v/>
      </c>
      <c r="V346" s="48" t="str">
        <f t="shared" si="16"/>
        <v/>
      </c>
    </row>
    <row r="347" spans="6:22">
      <c r="U347" s="47" t="str">
        <f t="shared" si="17"/>
        <v/>
      </c>
      <c r="V347" s="48" t="str">
        <f t="shared" si="16"/>
        <v/>
      </c>
    </row>
    <row r="348" spans="6:22">
      <c r="U348" s="47" t="str">
        <f t="shared" si="17"/>
        <v/>
      </c>
      <c r="V348" s="48" t="str">
        <f t="shared" si="16"/>
        <v/>
      </c>
    </row>
    <row r="349" spans="6:22">
      <c r="U349" s="47" t="str">
        <f t="shared" si="17"/>
        <v/>
      </c>
      <c r="V349" s="48" t="str">
        <f t="shared" si="16"/>
        <v/>
      </c>
    </row>
    <row r="350" spans="6:22">
      <c r="U350" s="47" t="str">
        <f t="shared" si="17"/>
        <v/>
      </c>
      <c r="V350" s="48" t="str">
        <f t="shared" si="16"/>
        <v/>
      </c>
    </row>
    <row r="351" spans="6:22">
      <c r="U351" s="47" t="str">
        <f t="shared" si="17"/>
        <v/>
      </c>
      <c r="V351" s="48" t="str">
        <f t="shared" si="16"/>
        <v/>
      </c>
    </row>
    <row r="352" spans="6:22">
      <c r="U352" s="47" t="str">
        <f t="shared" si="17"/>
        <v/>
      </c>
      <c r="V352" s="48" t="str">
        <f t="shared" si="16"/>
        <v/>
      </c>
    </row>
    <row r="353" spans="21:22">
      <c r="U353" s="47" t="str">
        <f t="shared" si="17"/>
        <v/>
      </c>
      <c r="V353" s="48" t="str">
        <f t="shared" si="16"/>
        <v/>
      </c>
    </row>
    <row r="354" spans="21:22">
      <c r="U354" s="47" t="str">
        <f t="shared" si="17"/>
        <v/>
      </c>
      <c r="V354" s="48" t="str">
        <f t="shared" si="16"/>
        <v/>
      </c>
    </row>
    <row r="355" spans="21:22">
      <c r="U355" s="47" t="str">
        <f t="shared" si="17"/>
        <v/>
      </c>
      <c r="V355" s="48" t="str">
        <f t="shared" si="16"/>
        <v/>
      </c>
    </row>
    <row r="356" spans="21:22">
      <c r="U356" s="47" t="str">
        <f t="shared" si="17"/>
        <v/>
      </c>
      <c r="V356" s="48" t="str">
        <f t="shared" si="16"/>
        <v/>
      </c>
    </row>
    <row r="357" spans="21:22">
      <c r="U357" s="47" t="str">
        <f t="shared" si="17"/>
        <v/>
      </c>
      <c r="V357" s="48" t="str">
        <f t="shared" si="16"/>
        <v/>
      </c>
    </row>
    <row r="358" spans="21:22">
      <c r="U358" s="47" t="str">
        <f t="shared" si="17"/>
        <v/>
      </c>
      <c r="V358" s="48" t="str">
        <f t="shared" si="16"/>
        <v/>
      </c>
    </row>
    <row r="359" spans="21:22">
      <c r="U359" s="47" t="str">
        <f t="shared" si="17"/>
        <v/>
      </c>
      <c r="V359" s="48" t="str">
        <f t="shared" si="16"/>
        <v/>
      </c>
    </row>
    <row r="360" spans="21:22">
      <c r="U360" s="47" t="str">
        <f t="shared" si="17"/>
        <v/>
      </c>
      <c r="V360" s="48" t="str">
        <f t="shared" si="16"/>
        <v/>
      </c>
    </row>
    <row r="361" spans="21:22">
      <c r="U361" s="47" t="str">
        <f t="shared" si="17"/>
        <v/>
      </c>
      <c r="V361" s="48" t="str">
        <f t="shared" si="16"/>
        <v/>
      </c>
    </row>
    <row r="362" spans="21:22">
      <c r="U362" s="47" t="str">
        <f t="shared" si="17"/>
        <v/>
      </c>
      <c r="V362" s="48" t="str">
        <f t="shared" si="16"/>
        <v/>
      </c>
    </row>
    <row r="363" spans="21:22">
      <c r="U363" s="47" t="str">
        <f t="shared" si="17"/>
        <v/>
      </c>
      <c r="V363" s="48" t="str">
        <f t="shared" si="16"/>
        <v/>
      </c>
    </row>
    <row r="364" spans="21:22">
      <c r="U364" s="47" t="str">
        <f t="shared" si="17"/>
        <v/>
      </c>
      <c r="V364" s="48" t="str">
        <f t="shared" si="16"/>
        <v/>
      </c>
    </row>
    <row r="365" spans="21:22">
      <c r="U365" s="47" t="str">
        <f t="shared" si="17"/>
        <v/>
      </c>
      <c r="V365" s="48" t="str">
        <f t="shared" si="16"/>
        <v/>
      </c>
    </row>
    <row r="366" spans="21:22">
      <c r="U366" s="47" t="str">
        <f t="shared" si="17"/>
        <v/>
      </c>
      <c r="V366" s="48" t="str">
        <f t="shared" si="16"/>
        <v/>
      </c>
    </row>
    <row r="367" spans="21:22">
      <c r="U367" s="47" t="str">
        <f t="shared" si="17"/>
        <v/>
      </c>
      <c r="V367" s="48" t="str">
        <f t="shared" si="16"/>
        <v/>
      </c>
    </row>
    <row r="368" spans="21:22">
      <c r="U368" s="47" t="str">
        <f t="shared" si="17"/>
        <v/>
      </c>
      <c r="V368" s="48" t="str">
        <f t="shared" si="16"/>
        <v/>
      </c>
    </row>
    <row r="369" spans="21:22">
      <c r="U369" s="47" t="str">
        <f t="shared" si="17"/>
        <v/>
      </c>
      <c r="V369" s="48" t="str">
        <f t="shared" si="16"/>
        <v/>
      </c>
    </row>
    <row r="370" spans="21:22">
      <c r="U370" s="47" t="str">
        <f t="shared" si="17"/>
        <v/>
      </c>
      <c r="V370" s="48" t="str">
        <f t="shared" si="16"/>
        <v/>
      </c>
    </row>
    <row r="371" spans="21:22">
      <c r="U371" s="47" t="str">
        <f t="shared" si="17"/>
        <v/>
      </c>
      <c r="V371" s="48" t="str">
        <f t="shared" si="16"/>
        <v/>
      </c>
    </row>
    <row r="372" spans="21:22">
      <c r="U372" s="47" t="str">
        <f t="shared" si="17"/>
        <v/>
      </c>
      <c r="V372" s="48" t="str">
        <f t="shared" si="16"/>
        <v/>
      </c>
    </row>
    <row r="373" spans="21:22">
      <c r="U373" s="47" t="str">
        <f t="shared" si="17"/>
        <v/>
      </c>
      <c r="V373" s="48" t="str">
        <f t="shared" si="16"/>
        <v/>
      </c>
    </row>
    <row r="374" spans="21:22">
      <c r="U374" s="47" t="str">
        <f t="shared" si="17"/>
        <v/>
      </c>
      <c r="V374" s="48" t="str">
        <f t="shared" si="16"/>
        <v/>
      </c>
    </row>
    <row r="375" spans="21:22">
      <c r="U375" s="47" t="str">
        <f t="shared" si="17"/>
        <v/>
      </c>
      <c r="V375" s="48" t="str">
        <f t="shared" si="16"/>
        <v/>
      </c>
    </row>
    <row r="376" spans="21:22">
      <c r="U376" s="47" t="str">
        <f t="shared" si="17"/>
        <v/>
      </c>
      <c r="V376" s="48" t="str">
        <f t="shared" si="16"/>
        <v/>
      </c>
    </row>
    <row r="377" spans="21:22">
      <c r="U377" s="47" t="str">
        <f t="shared" si="17"/>
        <v/>
      </c>
      <c r="V377" s="48" t="str">
        <f t="shared" si="16"/>
        <v/>
      </c>
    </row>
    <row r="378" spans="21:22">
      <c r="U378" s="47" t="str">
        <f t="shared" si="17"/>
        <v/>
      </c>
      <c r="V378" s="48" t="str">
        <f t="shared" si="16"/>
        <v/>
      </c>
    </row>
    <row r="379" spans="21:22">
      <c r="U379" s="47" t="str">
        <f t="shared" si="17"/>
        <v/>
      </c>
      <c r="V379" s="48" t="str">
        <f t="shared" si="16"/>
        <v/>
      </c>
    </row>
    <row r="380" spans="21:22">
      <c r="U380" s="47" t="str">
        <f t="shared" si="17"/>
        <v/>
      </c>
      <c r="V380" s="48" t="str">
        <f t="shared" si="16"/>
        <v/>
      </c>
    </row>
    <row r="381" spans="21:22">
      <c r="U381" s="47" t="str">
        <f t="shared" si="17"/>
        <v/>
      </c>
      <c r="V381" s="48" t="str">
        <f t="shared" si="16"/>
        <v/>
      </c>
    </row>
    <row r="382" spans="21:22">
      <c r="U382" s="47" t="str">
        <f t="shared" si="17"/>
        <v/>
      </c>
      <c r="V382" s="48" t="str">
        <f t="shared" si="16"/>
        <v/>
      </c>
    </row>
    <row r="383" spans="21:22">
      <c r="U383" s="47" t="str">
        <f t="shared" si="17"/>
        <v/>
      </c>
      <c r="V383" s="48" t="str">
        <f t="shared" si="16"/>
        <v/>
      </c>
    </row>
    <row r="384" spans="21:22">
      <c r="U384" s="47" t="str">
        <f t="shared" si="17"/>
        <v/>
      </c>
      <c r="V384" s="48" t="str">
        <f t="shared" si="16"/>
        <v/>
      </c>
    </row>
    <row r="385" spans="21:22">
      <c r="U385" s="47" t="str">
        <f t="shared" si="17"/>
        <v/>
      </c>
      <c r="V385" s="48" t="str">
        <f t="shared" si="16"/>
        <v/>
      </c>
    </row>
    <row r="386" spans="21:22">
      <c r="U386" s="47" t="str">
        <f t="shared" si="17"/>
        <v/>
      </c>
      <c r="V386" s="48" t="str">
        <f t="shared" si="16"/>
        <v/>
      </c>
    </row>
    <row r="387" spans="21:22">
      <c r="U387" s="47" t="str">
        <f t="shared" si="17"/>
        <v/>
      </c>
      <c r="V387" s="48" t="str">
        <f t="shared" si="16"/>
        <v/>
      </c>
    </row>
    <row r="388" spans="21:22">
      <c r="U388" s="47" t="str">
        <f t="shared" si="17"/>
        <v/>
      </c>
      <c r="V388" s="48" t="str">
        <f t="shared" si="16"/>
        <v/>
      </c>
    </row>
    <row r="389" spans="21:22">
      <c r="U389" s="47" t="str">
        <f t="shared" si="17"/>
        <v/>
      </c>
      <c r="V389" s="48" t="str">
        <f t="shared" ref="V389:V452" si="18">IF(S389="","",+U389-S389)</f>
        <v/>
      </c>
    </row>
    <row r="390" spans="21:22">
      <c r="U390" s="47" t="str">
        <f t="shared" ref="U390:U453" si="19">+IF(F390="","",SUM(F390:R390)/13)</f>
        <v/>
      </c>
      <c r="V390" s="48" t="str">
        <f t="shared" si="18"/>
        <v/>
      </c>
    </row>
    <row r="391" spans="21:22">
      <c r="U391" s="47" t="str">
        <f t="shared" si="19"/>
        <v/>
      </c>
      <c r="V391" s="48" t="str">
        <f t="shared" si="18"/>
        <v/>
      </c>
    </row>
    <row r="392" spans="21:22">
      <c r="U392" s="47" t="str">
        <f t="shared" si="19"/>
        <v/>
      </c>
      <c r="V392" s="48" t="str">
        <f t="shared" si="18"/>
        <v/>
      </c>
    </row>
    <row r="393" spans="21:22">
      <c r="U393" s="47" t="str">
        <f t="shared" si="19"/>
        <v/>
      </c>
      <c r="V393" s="48" t="str">
        <f t="shared" si="18"/>
        <v/>
      </c>
    </row>
    <row r="394" spans="21:22">
      <c r="U394" s="47" t="str">
        <f t="shared" si="19"/>
        <v/>
      </c>
      <c r="V394" s="48" t="str">
        <f t="shared" si="18"/>
        <v/>
      </c>
    </row>
    <row r="395" spans="21:22">
      <c r="U395" s="47" t="str">
        <f t="shared" si="19"/>
        <v/>
      </c>
      <c r="V395" s="48" t="str">
        <f t="shared" si="18"/>
        <v/>
      </c>
    </row>
    <row r="396" spans="21:22">
      <c r="U396" s="47" t="str">
        <f t="shared" si="19"/>
        <v/>
      </c>
      <c r="V396" s="48" t="str">
        <f t="shared" si="18"/>
        <v/>
      </c>
    </row>
    <row r="397" spans="21:22">
      <c r="U397" s="47" t="str">
        <f t="shared" si="19"/>
        <v/>
      </c>
      <c r="V397" s="48" t="str">
        <f t="shared" si="18"/>
        <v/>
      </c>
    </row>
    <row r="398" spans="21:22">
      <c r="U398" s="47" t="str">
        <f t="shared" si="19"/>
        <v/>
      </c>
      <c r="V398" s="48" t="str">
        <f t="shared" si="18"/>
        <v/>
      </c>
    </row>
    <row r="399" spans="21:22">
      <c r="U399" s="47" t="str">
        <f t="shared" si="19"/>
        <v/>
      </c>
      <c r="V399" s="48" t="str">
        <f t="shared" si="18"/>
        <v/>
      </c>
    </row>
    <row r="400" spans="21:22">
      <c r="U400" s="47" t="str">
        <f t="shared" si="19"/>
        <v/>
      </c>
      <c r="V400" s="48" t="str">
        <f t="shared" si="18"/>
        <v/>
      </c>
    </row>
    <row r="401" spans="21:22">
      <c r="U401" s="47" t="str">
        <f t="shared" si="19"/>
        <v/>
      </c>
      <c r="V401" s="48" t="str">
        <f t="shared" si="18"/>
        <v/>
      </c>
    </row>
    <row r="402" spans="21:22">
      <c r="U402" s="47" t="str">
        <f t="shared" si="19"/>
        <v/>
      </c>
      <c r="V402" s="48" t="str">
        <f t="shared" si="18"/>
        <v/>
      </c>
    </row>
    <row r="403" spans="21:22">
      <c r="U403" s="47" t="str">
        <f t="shared" si="19"/>
        <v/>
      </c>
      <c r="V403" s="48" t="str">
        <f t="shared" si="18"/>
        <v/>
      </c>
    </row>
    <row r="404" spans="21:22">
      <c r="U404" s="47" t="str">
        <f t="shared" si="19"/>
        <v/>
      </c>
      <c r="V404" s="48" t="str">
        <f t="shared" si="18"/>
        <v/>
      </c>
    </row>
    <row r="405" spans="21:22">
      <c r="U405" s="47" t="str">
        <f t="shared" si="19"/>
        <v/>
      </c>
      <c r="V405" s="48" t="str">
        <f t="shared" si="18"/>
        <v/>
      </c>
    </row>
    <row r="406" spans="21:22">
      <c r="U406" s="47" t="str">
        <f t="shared" si="19"/>
        <v/>
      </c>
      <c r="V406" s="48" t="str">
        <f t="shared" si="18"/>
        <v/>
      </c>
    </row>
    <row r="407" spans="21:22">
      <c r="U407" s="47" t="str">
        <f t="shared" si="19"/>
        <v/>
      </c>
      <c r="V407" s="48" t="str">
        <f t="shared" si="18"/>
        <v/>
      </c>
    </row>
    <row r="408" spans="21:22">
      <c r="U408" s="47" t="str">
        <f t="shared" si="19"/>
        <v/>
      </c>
      <c r="V408" s="48" t="str">
        <f t="shared" si="18"/>
        <v/>
      </c>
    </row>
    <row r="409" spans="21:22">
      <c r="U409" s="47" t="str">
        <f t="shared" si="19"/>
        <v/>
      </c>
      <c r="V409" s="48" t="str">
        <f t="shared" si="18"/>
        <v/>
      </c>
    </row>
    <row r="410" spans="21:22">
      <c r="U410" s="47" t="str">
        <f t="shared" si="19"/>
        <v/>
      </c>
      <c r="V410" s="48" t="str">
        <f t="shared" si="18"/>
        <v/>
      </c>
    </row>
    <row r="411" spans="21:22">
      <c r="U411" s="47" t="str">
        <f t="shared" si="19"/>
        <v/>
      </c>
      <c r="V411" s="48" t="str">
        <f t="shared" si="18"/>
        <v/>
      </c>
    </row>
    <row r="412" spans="21:22">
      <c r="U412" s="47" t="str">
        <f t="shared" si="19"/>
        <v/>
      </c>
      <c r="V412" s="48" t="str">
        <f t="shared" si="18"/>
        <v/>
      </c>
    </row>
    <row r="413" spans="21:22">
      <c r="U413" s="47" t="str">
        <f t="shared" si="19"/>
        <v/>
      </c>
      <c r="V413" s="48" t="str">
        <f t="shared" si="18"/>
        <v/>
      </c>
    </row>
    <row r="414" spans="21:22">
      <c r="U414" s="47" t="str">
        <f t="shared" si="19"/>
        <v/>
      </c>
      <c r="V414" s="48" t="str">
        <f t="shared" si="18"/>
        <v/>
      </c>
    </row>
    <row r="415" spans="21:22">
      <c r="U415" s="47" t="str">
        <f t="shared" si="19"/>
        <v/>
      </c>
      <c r="V415" s="48" t="str">
        <f t="shared" si="18"/>
        <v/>
      </c>
    </row>
    <row r="416" spans="21:22">
      <c r="U416" s="47" t="str">
        <f t="shared" si="19"/>
        <v/>
      </c>
      <c r="V416" s="48" t="str">
        <f t="shared" si="18"/>
        <v/>
      </c>
    </row>
    <row r="417" spans="21:22">
      <c r="U417" s="47" t="str">
        <f t="shared" si="19"/>
        <v/>
      </c>
      <c r="V417" s="48" t="str">
        <f t="shared" si="18"/>
        <v/>
      </c>
    </row>
    <row r="418" spans="21:22">
      <c r="U418" s="47" t="str">
        <f t="shared" si="19"/>
        <v/>
      </c>
      <c r="V418" s="48" t="str">
        <f t="shared" si="18"/>
        <v/>
      </c>
    </row>
    <row r="419" spans="21:22">
      <c r="U419" s="47" t="str">
        <f t="shared" si="19"/>
        <v/>
      </c>
      <c r="V419" s="48" t="str">
        <f t="shared" si="18"/>
        <v/>
      </c>
    </row>
    <row r="420" spans="21:22">
      <c r="U420" s="47" t="str">
        <f t="shared" si="19"/>
        <v/>
      </c>
      <c r="V420" s="48" t="str">
        <f t="shared" si="18"/>
        <v/>
      </c>
    </row>
    <row r="421" spans="21:22">
      <c r="U421" s="47" t="str">
        <f t="shared" si="19"/>
        <v/>
      </c>
      <c r="V421" s="48" t="str">
        <f t="shared" si="18"/>
        <v/>
      </c>
    </row>
    <row r="422" spans="21:22">
      <c r="U422" s="47" t="str">
        <f t="shared" si="19"/>
        <v/>
      </c>
      <c r="V422" s="48" t="str">
        <f t="shared" si="18"/>
        <v/>
      </c>
    </row>
    <row r="423" spans="21:22">
      <c r="U423" s="47" t="str">
        <f t="shared" si="19"/>
        <v/>
      </c>
      <c r="V423" s="48" t="str">
        <f t="shared" si="18"/>
        <v/>
      </c>
    </row>
    <row r="424" spans="21:22">
      <c r="U424" s="47" t="str">
        <f t="shared" si="19"/>
        <v/>
      </c>
      <c r="V424" s="48" t="str">
        <f t="shared" si="18"/>
        <v/>
      </c>
    </row>
    <row r="425" spans="21:22">
      <c r="U425" s="47" t="str">
        <f t="shared" si="19"/>
        <v/>
      </c>
      <c r="V425" s="48" t="str">
        <f t="shared" si="18"/>
        <v/>
      </c>
    </row>
    <row r="426" spans="21:22">
      <c r="U426" s="47" t="str">
        <f t="shared" si="19"/>
        <v/>
      </c>
      <c r="V426" s="48" t="str">
        <f t="shared" si="18"/>
        <v/>
      </c>
    </row>
    <row r="427" spans="21:22">
      <c r="U427" s="47" t="str">
        <f t="shared" si="19"/>
        <v/>
      </c>
      <c r="V427" s="48" t="str">
        <f t="shared" si="18"/>
        <v/>
      </c>
    </row>
    <row r="428" spans="21:22">
      <c r="U428" s="47" t="str">
        <f t="shared" si="19"/>
        <v/>
      </c>
      <c r="V428" s="48" t="str">
        <f t="shared" si="18"/>
        <v/>
      </c>
    </row>
    <row r="429" spans="21:22">
      <c r="U429" s="47" t="str">
        <f t="shared" si="19"/>
        <v/>
      </c>
      <c r="V429" s="48" t="str">
        <f t="shared" si="18"/>
        <v/>
      </c>
    </row>
    <row r="430" spans="21:22">
      <c r="U430" s="47" t="str">
        <f t="shared" si="19"/>
        <v/>
      </c>
      <c r="V430" s="48" t="str">
        <f t="shared" si="18"/>
        <v/>
      </c>
    </row>
    <row r="431" spans="21:22">
      <c r="U431" s="47" t="str">
        <f t="shared" si="19"/>
        <v/>
      </c>
      <c r="V431" s="48" t="str">
        <f t="shared" si="18"/>
        <v/>
      </c>
    </row>
    <row r="432" spans="21:22">
      <c r="U432" s="47" t="str">
        <f t="shared" si="19"/>
        <v/>
      </c>
      <c r="V432" s="48" t="str">
        <f t="shared" si="18"/>
        <v/>
      </c>
    </row>
    <row r="433" spans="21:22">
      <c r="U433" s="47" t="str">
        <f t="shared" si="19"/>
        <v/>
      </c>
      <c r="V433" s="48" t="str">
        <f t="shared" si="18"/>
        <v/>
      </c>
    </row>
    <row r="434" spans="21:22">
      <c r="U434" s="47" t="str">
        <f t="shared" si="19"/>
        <v/>
      </c>
      <c r="V434" s="48" t="str">
        <f t="shared" si="18"/>
        <v/>
      </c>
    </row>
    <row r="435" spans="21:22">
      <c r="U435" s="47" t="str">
        <f t="shared" si="19"/>
        <v/>
      </c>
      <c r="V435" s="48" t="str">
        <f t="shared" si="18"/>
        <v/>
      </c>
    </row>
    <row r="436" spans="21:22">
      <c r="U436" s="47" t="str">
        <f t="shared" si="19"/>
        <v/>
      </c>
      <c r="V436" s="48" t="str">
        <f t="shared" si="18"/>
        <v/>
      </c>
    </row>
    <row r="437" spans="21:22">
      <c r="U437" s="47" t="str">
        <f t="shared" si="19"/>
        <v/>
      </c>
      <c r="V437" s="48" t="str">
        <f t="shared" si="18"/>
        <v/>
      </c>
    </row>
    <row r="438" spans="21:22">
      <c r="U438" s="47" t="str">
        <f t="shared" si="19"/>
        <v/>
      </c>
      <c r="V438" s="48" t="str">
        <f t="shared" si="18"/>
        <v/>
      </c>
    </row>
    <row r="439" spans="21:22">
      <c r="U439" s="47" t="str">
        <f t="shared" si="19"/>
        <v/>
      </c>
      <c r="V439" s="48" t="str">
        <f t="shared" si="18"/>
        <v/>
      </c>
    </row>
    <row r="440" spans="21:22">
      <c r="U440" s="47" t="str">
        <f t="shared" si="19"/>
        <v/>
      </c>
      <c r="V440" s="48" t="str">
        <f t="shared" si="18"/>
        <v/>
      </c>
    </row>
    <row r="441" spans="21:22">
      <c r="U441" s="47" t="str">
        <f t="shared" si="19"/>
        <v/>
      </c>
      <c r="V441" s="48" t="str">
        <f t="shared" si="18"/>
        <v/>
      </c>
    </row>
    <row r="442" spans="21:22">
      <c r="U442" s="47" t="str">
        <f t="shared" si="19"/>
        <v/>
      </c>
      <c r="V442" s="48" t="str">
        <f t="shared" si="18"/>
        <v/>
      </c>
    </row>
    <row r="443" spans="21:22">
      <c r="U443" s="47" t="str">
        <f t="shared" si="19"/>
        <v/>
      </c>
      <c r="V443" s="48" t="str">
        <f t="shared" si="18"/>
        <v/>
      </c>
    </row>
    <row r="444" spans="21:22">
      <c r="U444" s="47" t="str">
        <f t="shared" si="19"/>
        <v/>
      </c>
      <c r="V444" s="48" t="str">
        <f t="shared" si="18"/>
        <v/>
      </c>
    </row>
    <row r="445" spans="21:22">
      <c r="U445" s="47" t="str">
        <f t="shared" si="19"/>
        <v/>
      </c>
      <c r="V445" s="48" t="str">
        <f t="shared" si="18"/>
        <v/>
      </c>
    </row>
    <row r="446" spans="21:22">
      <c r="U446" s="47" t="str">
        <f t="shared" si="19"/>
        <v/>
      </c>
      <c r="V446" s="48" t="str">
        <f t="shared" si="18"/>
        <v/>
      </c>
    </row>
    <row r="447" spans="21:22">
      <c r="U447" s="47" t="str">
        <f t="shared" si="19"/>
        <v/>
      </c>
      <c r="V447" s="48" t="str">
        <f t="shared" si="18"/>
        <v/>
      </c>
    </row>
    <row r="448" spans="21:22">
      <c r="U448" s="47" t="str">
        <f t="shared" si="19"/>
        <v/>
      </c>
      <c r="V448" s="48" t="str">
        <f t="shared" si="18"/>
        <v/>
      </c>
    </row>
    <row r="449" spans="21:22">
      <c r="U449" s="47" t="str">
        <f t="shared" si="19"/>
        <v/>
      </c>
      <c r="V449" s="48" t="str">
        <f t="shared" si="18"/>
        <v/>
      </c>
    </row>
    <row r="450" spans="21:22">
      <c r="U450" s="47" t="str">
        <f t="shared" si="19"/>
        <v/>
      </c>
      <c r="V450" s="48" t="str">
        <f t="shared" si="18"/>
        <v/>
      </c>
    </row>
    <row r="451" spans="21:22">
      <c r="U451" s="47" t="str">
        <f t="shared" si="19"/>
        <v/>
      </c>
      <c r="V451" s="48" t="str">
        <f t="shared" si="18"/>
        <v/>
      </c>
    </row>
    <row r="452" spans="21:22">
      <c r="U452" s="47" t="str">
        <f t="shared" si="19"/>
        <v/>
      </c>
      <c r="V452" s="48" t="str">
        <f t="shared" si="18"/>
        <v/>
      </c>
    </row>
    <row r="453" spans="21:22">
      <c r="U453" s="47" t="str">
        <f t="shared" si="19"/>
        <v/>
      </c>
      <c r="V453" s="48" t="str">
        <f t="shared" ref="V453:V516" si="20">IF(S453="","",+U453-S453)</f>
        <v/>
      </c>
    </row>
    <row r="454" spans="21:22">
      <c r="U454" s="47" t="str">
        <f t="shared" ref="U454:U517" si="21">+IF(F454="","",SUM(F454:R454)/13)</f>
        <v/>
      </c>
      <c r="V454" s="48" t="str">
        <f t="shared" si="20"/>
        <v/>
      </c>
    </row>
    <row r="455" spans="21:22">
      <c r="U455" s="47" t="str">
        <f t="shared" si="21"/>
        <v/>
      </c>
      <c r="V455" s="48" t="str">
        <f t="shared" si="20"/>
        <v/>
      </c>
    </row>
    <row r="456" spans="21:22">
      <c r="U456" s="47" t="str">
        <f t="shared" si="21"/>
        <v/>
      </c>
      <c r="V456" s="48" t="str">
        <f t="shared" si="20"/>
        <v/>
      </c>
    </row>
    <row r="457" spans="21:22">
      <c r="U457" s="47" t="str">
        <f t="shared" si="21"/>
        <v/>
      </c>
      <c r="V457" s="48" t="str">
        <f t="shared" si="20"/>
        <v/>
      </c>
    </row>
    <row r="458" spans="21:22">
      <c r="U458" s="47" t="str">
        <f t="shared" si="21"/>
        <v/>
      </c>
      <c r="V458" s="48" t="str">
        <f t="shared" si="20"/>
        <v/>
      </c>
    </row>
    <row r="459" spans="21:22">
      <c r="U459" s="47" t="str">
        <f t="shared" si="21"/>
        <v/>
      </c>
      <c r="V459" s="48" t="str">
        <f t="shared" si="20"/>
        <v/>
      </c>
    </row>
    <row r="460" spans="21:22">
      <c r="U460" s="47" t="str">
        <f t="shared" si="21"/>
        <v/>
      </c>
      <c r="V460" s="48" t="str">
        <f t="shared" si="20"/>
        <v/>
      </c>
    </row>
    <row r="461" spans="21:22">
      <c r="U461" s="47" t="str">
        <f t="shared" si="21"/>
        <v/>
      </c>
      <c r="V461" s="48" t="str">
        <f t="shared" si="20"/>
        <v/>
      </c>
    </row>
    <row r="462" spans="21:22">
      <c r="U462" s="47" t="str">
        <f t="shared" si="21"/>
        <v/>
      </c>
      <c r="V462" s="48" t="str">
        <f t="shared" si="20"/>
        <v/>
      </c>
    </row>
    <row r="463" spans="21:22">
      <c r="U463" s="47" t="str">
        <f t="shared" si="21"/>
        <v/>
      </c>
      <c r="V463" s="48" t="str">
        <f t="shared" si="20"/>
        <v/>
      </c>
    </row>
    <row r="464" spans="21:22">
      <c r="U464" s="47" t="str">
        <f t="shared" si="21"/>
        <v/>
      </c>
      <c r="V464" s="48" t="str">
        <f t="shared" si="20"/>
        <v/>
      </c>
    </row>
    <row r="465" spans="21:22">
      <c r="U465" s="47" t="str">
        <f t="shared" si="21"/>
        <v/>
      </c>
      <c r="V465" s="48" t="str">
        <f t="shared" si="20"/>
        <v/>
      </c>
    </row>
    <row r="466" spans="21:22">
      <c r="U466" s="47" t="str">
        <f t="shared" si="21"/>
        <v/>
      </c>
      <c r="V466" s="48" t="str">
        <f t="shared" si="20"/>
        <v/>
      </c>
    </row>
    <row r="467" spans="21:22">
      <c r="U467" s="47" t="str">
        <f t="shared" si="21"/>
        <v/>
      </c>
      <c r="V467" s="48" t="str">
        <f t="shared" si="20"/>
        <v/>
      </c>
    </row>
    <row r="468" spans="21:22">
      <c r="U468" s="47" t="str">
        <f t="shared" si="21"/>
        <v/>
      </c>
      <c r="V468" s="48" t="str">
        <f t="shared" si="20"/>
        <v/>
      </c>
    </row>
    <row r="469" spans="21:22">
      <c r="U469" s="47" t="str">
        <f t="shared" si="21"/>
        <v/>
      </c>
      <c r="V469" s="48" t="str">
        <f t="shared" si="20"/>
        <v/>
      </c>
    </row>
    <row r="470" spans="21:22">
      <c r="U470" s="47" t="str">
        <f t="shared" si="21"/>
        <v/>
      </c>
      <c r="V470" s="48" t="str">
        <f t="shared" si="20"/>
        <v/>
      </c>
    </row>
    <row r="471" spans="21:22">
      <c r="U471" s="47" t="str">
        <f t="shared" si="21"/>
        <v/>
      </c>
      <c r="V471" s="48" t="str">
        <f t="shared" si="20"/>
        <v/>
      </c>
    </row>
    <row r="472" spans="21:22">
      <c r="U472" s="47" t="str">
        <f t="shared" si="21"/>
        <v/>
      </c>
      <c r="V472" s="48" t="str">
        <f t="shared" si="20"/>
        <v/>
      </c>
    </row>
    <row r="473" spans="21:22">
      <c r="U473" s="47" t="str">
        <f t="shared" si="21"/>
        <v/>
      </c>
      <c r="V473" s="48" t="str">
        <f t="shared" si="20"/>
        <v/>
      </c>
    </row>
    <row r="474" spans="21:22">
      <c r="U474" s="47" t="str">
        <f t="shared" si="21"/>
        <v/>
      </c>
      <c r="V474" s="48" t="str">
        <f t="shared" si="20"/>
        <v/>
      </c>
    </row>
    <row r="475" spans="21:22">
      <c r="U475" s="47" t="str">
        <f t="shared" si="21"/>
        <v/>
      </c>
      <c r="V475" s="48" t="str">
        <f t="shared" si="20"/>
        <v/>
      </c>
    </row>
    <row r="476" spans="21:22">
      <c r="U476" s="47" t="str">
        <f t="shared" si="21"/>
        <v/>
      </c>
      <c r="V476" s="48" t="str">
        <f t="shared" si="20"/>
        <v/>
      </c>
    </row>
    <row r="477" spans="21:22">
      <c r="U477" s="47" t="str">
        <f t="shared" si="21"/>
        <v/>
      </c>
      <c r="V477" s="48" t="str">
        <f t="shared" si="20"/>
        <v/>
      </c>
    </row>
    <row r="478" spans="21:22">
      <c r="U478" s="47" t="str">
        <f t="shared" si="21"/>
        <v/>
      </c>
      <c r="V478" s="48" t="str">
        <f t="shared" si="20"/>
        <v/>
      </c>
    </row>
    <row r="479" spans="21:22">
      <c r="U479" s="47" t="str">
        <f t="shared" si="21"/>
        <v/>
      </c>
      <c r="V479" s="48" t="str">
        <f t="shared" si="20"/>
        <v/>
      </c>
    </row>
    <row r="480" spans="21:22">
      <c r="U480" s="47" t="str">
        <f t="shared" si="21"/>
        <v/>
      </c>
      <c r="V480" s="48" t="str">
        <f t="shared" si="20"/>
        <v/>
      </c>
    </row>
    <row r="481" spans="21:22">
      <c r="U481" s="47" t="str">
        <f t="shared" si="21"/>
        <v/>
      </c>
      <c r="V481" s="48" t="str">
        <f t="shared" si="20"/>
        <v/>
      </c>
    </row>
    <row r="482" spans="21:22">
      <c r="U482" s="47" t="str">
        <f t="shared" si="21"/>
        <v/>
      </c>
      <c r="V482" s="48" t="str">
        <f t="shared" si="20"/>
        <v/>
      </c>
    </row>
    <row r="483" spans="21:22">
      <c r="U483" s="47" t="str">
        <f t="shared" si="21"/>
        <v/>
      </c>
      <c r="V483" s="48" t="str">
        <f t="shared" si="20"/>
        <v/>
      </c>
    </row>
    <row r="484" spans="21:22">
      <c r="U484" s="47" t="str">
        <f t="shared" si="21"/>
        <v/>
      </c>
      <c r="V484" s="48" t="str">
        <f t="shared" si="20"/>
        <v/>
      </c>
    </row>
    <row r="485" spans="21:22">
      <c r="U485" s="47" t="str">
        <f t="shared" si="21"/>
        <v/>
      </c>
      <c r="V485" s="48" t="str">
        <f t="shared" si="20"/>
        <v/>
      </c>
    </row>
    <row r="486" spans="21:22">
      <c r="U486" s="47" t="str">
        <f t="shared" si="21"/>
        <v/>
      </c>
      <c r="V486" s="48" t="str">
        <f t="shared" si="20"/>
        <v/>
      </c>
    </row>
    <row r="487" spans="21:22">
      <c r="U487" s="47" t="str">
        <f t="shared" si="21"/>
        <v/>
      </c>
      <c r="V487" s="48" t="str">
        <f t="shared" si="20"/>
        <v/>
      </c>
    </row>
    <row r="488" spans="21:22">
      <c r="U488" s="47" t="str">
        <f t="shared" si="21"/>
        <v/>
      </c>
      <c r="V488" s="48" t="str">
        <f t="shared" si="20"/>
        <v/>
      </c>
    </row>
    <row r="489" spans="21:22">
      <c r="U489" s="47" t="str">
        <f t="shared" si="21"/>
        <v/>
      </c>
      <c r="V489" s="48" t="str">
        <f t="shared" si="20"/>
        <v/>
      </c>
    </row>
    <row r="490" spans="21:22">
      <c r="U490" s="47" t="str">
        <f t="shared" si="21"/>
        <v/>
      </c>
      <c r="V490" s="48" t="str">
        <f t="shared" si="20"/>
        <v/>
      </c>
    </row>
    <row r="491" spans="21:22">
      <c r="U491" s="47" t="str">
        <f t="shared" si="21"/>
        <v/>
      </c>
      <c r="V491" s="48" t="str">
        <f t="shared" si="20"/>
        <v/>
      </c>
    </row>
    <row r="492" spans="21:22">
      <c r="U492" s="47" t="str">
        <f t="shared" si="21"/>
        <v/>
      </c>
      <c r="V492" s="48" t="str">
        <f t="shared" si="20"/>
        <v/>
      </c>
    </row>
    <row r="493" spans="21:22">
      <c r="U493" s="47" t="str">
        <f t="shared" si="21"/>
        <v/>
      </c>
      <c r="V493" s="48" t="str">
        <f t="shared" si="20"/>
        <v/>
      </c>
    </row>
    <row r="494" spans="21:22">
      <c r="U494" s="47" t="str">
        <f t="shared" si="21"/>
        <v/>
      </c>
      <c r="V494" s="48" t="str">
        <f t="shared" si="20"/>
        <v/>
      </c>
    </row>
    <row r="495" spans="21:22">
      <c r="U495" s="47" t="str">
        <f t="shared" si="21"/>
        <v/>
      </c>
      <c r="V495" s="48" t="str">
        <f t="shared" si="20"/>
        <v/>
      </c>
    </row>
    <row r="496" spans="21:22">
      <c r="U496" s="47" t="str">
        <f t="shared" si="21"/>
        <v/>
      </c>
      <c r="V496" s="48" t="str">
        <f t="shared" si="20"/>
        <v/>
      </c>
    </row>
    <row r="497" spans="2:22">
      <c r="U497" s="47" t="str">
        <f t="shared" si="21"/>
        <v/>
      </c>
      <c r="V497" s="48" t="str">
        <f t="shared" si="20"/>
        <v/>
      </c>
    </row>
    <row r="498" spans="2:22">
      <c r="U498" s="47" t="str">
        <f t="shared" si="21"/>
        <v/>
      </c>
      <c r="V498" s="48" t="str">
        <f t="shared" si="20"/>
        <v/>
      </c>
    </row>
    <row r="499" spans="2:22">
      <c r="B499" s="33" t="str">
        <f t="shared" ref="B499:B516" si="22">IF(D499="","",IF((MID(D499,1,1)="A"),VALUE(MID(D499,3,7)),IF((MID(D499,1,1)="T"),VALUE(MID(D499,3,3)))))</f>
        <v/>
      </c>
      <c r="U499" s="47" t="str">
        <f t="shared" si="21"/>
        <v/>
      </c>
      <c r="V499" s="48" t="str">
        <f t="shared" si="20"/>
        <v/>
      </c>
    </row>
    <row r="500" spans="2:22">
      <c r="B500" s="33" t="str">
        <f t="shared" si="22"/>
        <v/>
      </c>
      <c r="U500" s="47" t="str">
        <f t="shared" si="21"/>
        <v/>
      </c>
      <c r="V500" s="48" t="str">
        <f t="shared" si="20"/>
        <v/>
      </c>
    </row>
    <row r="501" spans="2:22">
      <c r="B501" s="33" t="str">
        <f t="shared" si="22"/>
        <v/>
      </c>
      <c r="U501" s="47" t="str">
        <f t="shared" si="21"/>
        <v/>
      </c>
      <c r="V501" s="48" t="str">
        <f t="shared" si="20"/>
        <v/>
      </c>
    </row>
    <row r="502" spans="2:22">
      <c r="B502" s="33" t="str">
        <f t="shared" si="22"/>
        <v/>
      </c>
      <c r="U502" s="47" t="str">
        <f t="shared" si="21"/>
        <v/>
      </c>
      <c r="V502" s="48" t="str">
        <f t="shared" si="20"/>
        <v/>
      </c>
    </row>
    <row r="503" spans="2:22">
      <c r="B503" s="33" t="str">
        <f t="shared" si="22"/>
        <v/>
      </c>
      <c r="U503" s="47" t="str">
        <f t="shared" si="21"/>
        <v/>
      </c>
      <c r="V503" s="48" t="str">
        <f t="shared" si="20"/>
        <v/>
      </c>
    </row>
    <row r="504" spans="2:22">
      <c r="B504" s="33" t="str">
        <f t="shared" si="22"/>
        <v/>
      </c>
      <c r="U504" s="47" t="str">
        <f t="shared" si="21"/>
        <v/>
      </c>
      <c r="V504" s="48" t="str">
        <f t="shared" si="20"/>
        <v/>
      </c>
    </row>
    <row r="505" spans="2:22">
      <c r="B505" s="33" t="str">
        <f t="shared" si="22"/>
        <v/>
      </c>
      <c r="U505" s="47" t="str">
        <f t="shared" si="21"/>
        <v/>
      </c>
      <c r="V505" s="48" t="str">
        <f t="shared" si="20"/>
        <v/>
      </c>
    </row>
    <row r="506" spans="2:22">
      <c r="B506" s="33" t="str">
        <f t="shared" si="22"/>
        <v/>
      </c>
      <c r="U506" s="47" t="str">
        <f t="shared" si="21"/>
        <v/>
      </c>
      <c r="V506" s="48" t="str">
        <f t="shared" si="20"/>
        <v/>
      </c>
    </row>
    <row r="507" spans="2:22">
      <c r="B507" s="33" t="str">
        <f t="shared" si="22"/>
        <v/>
      </c>
      <c r="U507" s="47" t="str">
        <f t="shared" si="21"/>
        <v/>
      </c>
      <c r="V507" s="48" t="str">
        <f t="shared" si="20"/>
        <v/>
      </c>
    </row>
    <row r="508" spans="2:22">
      <c r="B508" s="33" t="str">
        <f t="shared" si="22"/>
        <v/>
      </c>
      <c r="U508" s="47" t="str">
        <f t="shared" si="21"/>
        <v/>
      </c>
      <c r="V508" s="48" t="str">
        <f t="shared" si="20"/>
        <v/>
      </c>
    </row>
    <row r="509" spans="2:22">
      <c r="B509" s="33" t="str">
        <f t="shared" si="22"/>
        <v/>
      </c>
      <c r="U509" s="47" t="str">
        <f t="shared" si="21"/>
        <v/>
      </c>
      <c r="V509" s="48" t="str">
        <f t="shared" si="20"/>
        <v/>
      </c>
    </row>
    <row r="510" spans="2:22">
      <c r="B510" s="33" t="str">
        <f t="shared" si="22"/>
        <v/>
      </c>
      <c r="U510" s="47" t="str">
        <f t="shared" si="21"/>
        <v/>
      </c>
      <c r="V510" s="48" t="str">
        <f t="shared" si="20"/>
        <v/>
      </c>
    </row>
    <row r="511" spans="2:22">
      <c r="B511" s="33" t="str">
        <f t="shared" si="22"/>
        <v/>
      </c>
      <c r="U511" s="47" t="str">
        <f t="shared" si="21"/>
        <v/>
      </c>
      <c r="V511" s="48" t="str">
        <f t="shared" si="20"/>
        <v/>
      </c>
    </row>
    <row r="512" spans="2:22">
      <c r="B512" s="33" t="str">
        <f t="shared" si="22"/>
        <v/>
      </c>
      <c r="U512" s="47" t="str">
        <f t="shared" si="21"/>
        <v/>
      </c>
      <c r="V512" s="48" t="str">
        <f t="shared" si="20"/>
        <v/>
      </c>
    </row>
    <row r="513" spans="2:22">
      <c r="B513" s="33" t="str">
        <f t="shared" si="22"/>
        <v/>
      </c>
      <c r="U513" s="47" t="str">
        <f t="shared" si="21"/>
        <v/>
      </c>
      <c r="V513" s="48" t="str">
        <f t="shared" si="20"/>
        <v/>
      </c>
    </row>
    <row r="514" spans="2:22">
      <c r="B514" s="33" t="str">
        <f t="shared" si="22"/>
        <v/>
      </c>
      <c r="U514" s="47" t="str">
        <f t="shared" si="21"/>
        <v/>
      </c>
      <c r="V514" s="48" t="str">
        <f t="shared" si="20"/>
        <v/>
      </c>
    </row>
    <row r="515" spans="2:22">
      <c r="B515" s="33" t="str">
        <f t="shared" si="22"/>
        <v/>
      </c>
      <c r="U515" s="47" t="str">
        <f t="shared" si="21"/>
        <v/>
      </c>
      <c r="V515" s="48" t="str">
        <f t="shared" si="20"/>
        <v/>
      </c>
    </row>
    <row r="516" spans="2:22">
      <c r="B516" s="33" t="str">
        <f t="shared" si="22"/>
        <v/>
      </c>
      <c r="U516" s="47" t="str">
        <f t="shared" si="21"/>
        <v/>
      </c>
      <c r="V516" s="48" t="str">
        <f t="shared" si="20"/>
        <v/>
      </c>
    </row>
    <row r="517" spans="2:22">
      <c r="B517" s="33" t="str">
        <f t="shared" ref="B517:B580" si="23">IF(D517="","",IF((MID(D517,1,1)="A"),VALUE(MID(D517,3,7)),IF((MID(D517,1,1)="T"),VALUE(MID(D517,3,3)))))</f>
        <v/>
      </c>
      <c r="U517" s="47" t="str">
        <f t="shared" si="21"/>
        <v/>
      </c>
      <c r="V517" s="48" t="str">
        <f t="shared" ref="V517:V580" si="24">IF(S517="","",+U517-S517)</f>
        <v/>
      </c>
    </row>
    <row r="518" spans="2:22">
      <c r="B518" s="33" t="str">
        <f t="shared" si="23"/>
        <v/>
      </c>
      <c r="U518" s="47" t="str">
        <f t="shared" ref="U518:U581" si="25">+IF(F518="","",SUM(F518:R518)/13)</f>
        <v/>
      </c>
      <c r="V518" s="48" t="str">
        <f t="shared" si="24"/>
        <v/>
      </c>
    </row>
    <row r="519" spans="2:22">
      <c r="B519" s="33" t="str">
        <f t="shared" si="23"/>
        <v/>
      </c>
      <c r="U519" s="47" t="str">
        <f t="shared" si="25"/>
        <v/>
      </c>
      <c r="V519" s="48" t="str">
        <f t="shared" si="24"/>
        <v/>
      </c>
    </row>
    <row r="520" spans="2:22">
      <c r="B520" s="33" t="str">
        <f t="shared" si="23"/>
        <v/>
      </c>
      <c r="U520" s="47" t="str">
        <f t="shared" si="25"/>
        <v/>
      </c>
      <c r="V520" s="48" t="str">
        <f t="shared" si="24"/>
        <v/>
      </c>
    </row>
    <row r="521" spans="2:22">
      <c r="B521" s="33" t="str">
        <f t="shared" si="23"/>
        <v/>
      </c>
      <c r="U521" s="47" t="str">
        <f t="shared" si="25"/>
        <v/>
      </c>
      <c r="V521" s="48" t="str">
        <f t="shared" si="24"/>
        <v/>
      </c>
    </row>
    <row r="522" spans="2:22">
      <c r="B522" s="33" t="str">
        <f t="shared" si="23"/>
        <v/>
      </c>
      <c r="U522" s="47" t="str">
        <f t="shared" si="25"/>
        <v/>
      </c>
      <c r="V522" s="48" t="str">
        <f t="shared" si="24"/>
        <v/>
      </c>
    </row>
    <row r="523" spans="2:22">
      <c r="B523" s="33" t="str">
        <f t="shared" si="23"/>
        <v/>
      </c>
      <c r="U523" s="47" t="str">
        <f t="shared" si="25"/>
        <v/>
      </c>
      <c r="V523" s="48" t="str">
        <f t="shared" si="24"/>
        <v/>
      </c>
    </row>
    <row r="524" spans="2:22">
      <c r="B524" s="33" t="str">
        <f t="shared" si="23"/>
        <v/>
      </c>
      <c r="U524" s="47" t="str">
        <f t="shared" si="25"/>
        <v/>
      </c>
      <c r="V524" s="48" t="str">
        <f t="shared" si="24"/>
        <v/>
      </c>
    </row>
    <row r="525" spans="2:22">
      <c r="B525" s="33" t="str">
        <f t="shared" si="23"/>
        <v/>
      </c>
      <c r="U525" s="47" t="str">
        <f t="shared" si="25"/>
        <v/>
      </c>
      <c r="V525" s="48" t="str">
        <f t="shared" si="24"/>
        <v/>
      </c>
    </row>
    <row r="526" spans="2:22">
      <c r="B526" s="33" t="str">
        <f t="shared" si="23"/>
        <v/>
      </c>
      <c r="U526" s="47" t="str">
        <f t="shared" si="25"/>
        <v/>
      </c>
      <c r="V526" s="48" t="str">
        <f t="shared" si="24"/>
        <v/>
      </c>
    </row>
    <row r="527" spans="2:22">
      <c r="B527" s="33" t="str">
        <f t="shared" si="23"/>
        <v/>
      </c>
      <c r="U527" s="47" t="str">
        <f t="shared" si="25"/>
        <v/>
      </c>
      <c r="V527" s="48" t="str">
        <f t="shared" si="24"/>
        <v/>
      </c>
    </row>
    <row r="528" spans="2:22">
      <c r="B528" s="33" t="str">
        <f t="shared" si="23"/>
        <v/>
      </c>
      <c r="U528" s="47" t="str">
        <f t="shared" si="25"/>
        <v/>
      </c>
      <c r="V528" s="48" t="str">
        <f t="shared" si="24"/>
        <v/>
      </c>
    </row>
    <row r="529" spans="2:22">
      <c r="B529" s="33" t="str">
        <f t="shared" si="23"/>
        <v/>
      </c>
      <c r="U529" s="47" t="str">
        <f t="shared" si="25"/>
        <v/>
      </c>
      <c r="V529" s="48" t="str">
        <f t="shared" si="24"/>
        <v/>
      </c>
    </row>
    <row r="530" spans="2:22">
      <c r="B530" s="33" t="str">
        <f t="shared" si="23"/>
        <v/>
      </c>
      <c r="U530" s="47" t="str">
        <f t="shared" si="25"/>
        <v/>
      </c>
      <c r="V530" s="48" t="str">
        <f t="shared" si="24"/>
        <v/>
      </c>
    </row>
    <row r="531" spans="2:22">
      <c r="B531" s="33" t="str">
        <f t="shared" si="23"/>
        <v/>
      </c>
      <c r="U531" s="47" t="str">
        <f t="shared" si="25"/>
        <v/>
      </c>
      <c r="V531" s="48" t="str">
        <f t="shared" si="24"/>
        <v/>
      </c>
    </row>
    <row r="532" spans="2:22">
      <c r="B532" s="33" t="str">
        <f t="shared" si="23"/>
        <v/>
      </c>
      <c r="U532" s="47" t="str">
        <f t="shared" si="25"/>
        <v/>
      </c>
      <c r="V532" s="48" t="str">
        <f t="shared" si="24"/>
        <v/>
      </c>
    </row>
    <row r="533" spans="2:22">
      <c r="B533" s="33" t="str">
        <f t="shared" si="23"/>
        <v/>
      </c>
      <c r="U533" s="47" t="str">
        <f t="shared" si="25"/>
        <v/>
      </c>
      <c r="V533" s="48" t="str">
        <f t="shared" si="24"/>
        <v/>
      </c>
    </row>
    <row r="534" spans="2:22">
      <c r="B534" s="33" t="str">
        <f t="shared" si="23"/>
        <v/>
      </c>
      <c r="U534" s="47" t="str">
        <f t="shared" si="25"/>
        <v/>
      </c>
      <c r="V534" s="48" t="str">
        <f t="shared" si="24"/>
        <v/>
      </c>
    </row>
    <row r="535" spans="2:22">
      <c r="B535" s="33" t="str">
        <f t="shared" si="23"/>
        <v/>
      </c>
      <c r="U535" s="47" t="str">
        <f t="shared" si="25"/>
        <v/>
      </c>
      <c r="V535" s="48" t="str">
        <f t="shared" si="24"/>
        <v/>
      </c>
    </row>
    <row r="536" spans="2:22">
      <c r="B536" s="33" t="str">
        <f t="shared" si="23"/>
        <v/>
      </c>
      <c r="U536" s="47" t="str">
        <f t="shared" si="25"/>
        <v/>
      </c>
      <c r="V536" s="48" t="str">
        <f t="shared" si="24"/>
        <v/>
      </c>
    </row>
    <row r="537" spans="2:22">
      <c r="B537" s="33" t="str">
        <f t="shared" si="23"/>
        <v/>
      </c>
      <c r="U537" s="47" t="str">
        <f t="shared" si="25"/>
        <v/>
      </c>
      <c r="V537" s="48" t="str">
        <f t="shared" si="24"/>
        <v/>
      </c>
    </row>
    <row r="538" spans="2:22">
      <c r="B538" s="33" t="str">
        <f t="shared" si="23"/>
        <v/>
      </c>
      <c r="U538" s="47" t="str">
        <f t="shared" si="25"/>
        <v/>
      </c>
      <c r="V538" s="48" t="str">
        <f t="shared" si="24"/>
        <v/>
      </c>
    </row>
    <row r="539" spans="2:22">
      <c r="B539" s="33" t="str">
        <f t="shared" si="23"/>
        <v/>
      </c>
      <c r="U539" s="47" t="str">
        <f t="shared" si="25"/>
        <v/>
      </c>
      <c r="V539" s="48" t="str">
        <f t="shared" si="24"/>
        <v/>
      </c>
    </row>
    <row r="540" spans="2:22">
      <c r="B540" s="33" t="str">
        <f t="shared" si="23"/>
        <v/>
      </c>
      <c r="U540" s="47" t="str">
        <f t="shared" si="25"/>
        <v/>
      </c>
      <c r="V540" s="48" t="str">
        <f t="shared" si="24"/>
        <v/>
      </c>
    </row>
    <row r="541" spans="2:22">
      <c r="B541" s="33" t="str">
        <f t="shared" si="23"/>
        <v/>
      </c>
      <c r="U541" s="47" t="str">
        <f t="shared" si="25"/>
        <v/>
      </c>
      <c r="V541" s="48" t="str">
        <f t="shared" si="24"/>
        <v/>
      </c>
    </row>
    <row r="542" spans="2:22">
      <c r="B542" s="33" t="str">
        <f t="shared" si="23"/>
        <v/>
      </c>
      <c r="U542" s="47" t="str">
        <f t="shared" si="25"/>
        <v/>
      </c>
      <c r="V542" s="48" t="str">
        <f t="shared" si="24"/>
        <v/>
      </c>
    </row>
    <row r="543" spans="2:22">
      <c r="B543" s="33" t="str">
        <f t="shared" si="23"/>
        <v/>
      </c>
      <c r="U543" s="47" t="str">
        <f t="shared" si="25"/>
        <v/>
      </c>
      <c r="V543" s="48" t="str">
        <f t="shared" si="24"/>
        <v/>
      </c>
    </row>
    <row r="544" spans="2:22">
      <c r="B544" s="33" t="str">
        <f t="shared" si="23"/>
        <v/>
      </c>
      <c r="U544" s="47" t="str">
        <f t="shared" si="25"/>
        <v/>
      </c>
      <c r="V544" s="48" t="str">
        <f t="shared" si="24"/>
        <v/>
      </c>
    </row>
    <row r="545" spans="2:22">
      <c r="B545" s="33" t="str">
        <f t="shared" si="23"/>
        <v/>
      </c>
      <c r="U545" s="47" t="str">
        <f t="shared" si="25"/>
        <v/>
      </c>
      <c r="V545" s="48" t="str">
        <f t="shared" si="24"/>
        <v/>
      </c>
    </row>
    <row r="546" spans="2:22">
      <c r="B546" s="33" t="str">
        <f t="shared" si="23"/>
        <v/>
      </c>
      <c r="U546" s="47" t="str">
        <f t="shared" si="25"/>
        <v/>
      </c>
      <c r="V546" s="48" t="str">
        <f t="shared" si="24"/>
        <v/>
      </c>
    </row>
    <row r="547" spans="2:22">
      <c r="B547" s="33" t="str">
        <f t="shared" si="23"/>
        <v/>
      </c>
      <c r="U547" s="47" t="str">
        <f t="shared" si="25"/>
        <v/>
      </c>
      <c r="V547" s="48" t="str">
        <f t="shared" si="24"/>
        <v/>
      </c>
    </row>
    <row r="548" spans="2:22">
      <c r="B548" s="33" t="str">
        <f t="shared" si="23"/>
        <v/>
      </c>
      <c r="U548" s="47" t="str">
        <f t="shared" si="25"/>
        <v/>
      </c>
      <c r="V548" s="48" t="str">
        <f t="shared" si="24"/>
        <v/>
      </c>
    </row>
    <row r="549" spans="2:22">
      <c r="B549" s="33" t="str">
        <f t="shared" si="23"/>
        <v/>
      </c>
      <c r="U549" s="47" t="str">
        <f t="shared" si="25"/>
        <v/>
      </c>
      <c r="V549" s="48" t="str">
        <f t="shared" si="24"/>
        <v/>
      </c>
    </row>
    <row r="550" spans="2:22">
      <c r="B550" s="33" t="str">
        <f t="shared" si="23"/>
        <v/>
      </c>
      <c r="U550" s="47" t="str">
        <f t="shared" si="25"/>
        <v/>
      </c>
      <c r="V550" s="48" t="str">
        <f t="shared" si="24"/>
        <v/>
      </c>
    </row>
    <row r="551" spans="2:22">
      <c r="B551" s="33" t="str">
        <f t="shared" si="23"/>
        <v/>
      </c>
      <c r="U551" s="47" t="str">
        <f t="shared" si="25"/>
        <v/>
      </c>
      <c r="V551" s="48" t="str">
        <f t="shared" si="24"/>
        <v/>
      </c>
    </row>
    <row r="552" spans="2:22">
      <c r="B552" s="33" t="str">
        <f t="shared" si="23"/>
        <v/>
      </c>
      <c r="U552" s="47" t="str">
        <f t="shared" si="25"/>
        <v/>
      </c>
      <c r="V552" s="48" t="str">
        <f t="shared" si="24"/>
        <v/>
      </c>
    </row>
    <row r="553" spans="2:22">
      <c r="B553" s="33" t="str">
        <f t="shared" si="23"/>
        <v/>
      </c>
      <c r="U553" s="47" t="str">
        <f t="shared" si="25"/>
        <v/>
      </c>
      <c r="V553" s="48" t="str">
        <f t="shared" si="24"/>
        <v/>
      </c>
    </row>
    <row r="554" spans="2:22">
      <c r="B554" s="33" t="str">
        <f t="shared" si="23"/>
        <v/>
      </c>
      <c r="U554" s="47" t="str">
        <f t="shared" si="25"/>
        <v/>
      </c>
      <c r="V554" s="48" t="str">
        <f t="shared" si="24"/>
        <v/>
      </c>
    </row>
    <row r="555" spans="2:22">
      <c r="B555" s="33" t="str">
        <f t="shared" si="23"/>
        <v/>
      </c>
      <c r="U555" s="47" t="str">
        <f t="shared" si="25"/>
        <v/>
      </c>
      <c r="V555" s="48" t="str">
        <f t="shared" si="24"/>
        <v/>
      </c>
    </row>
    <row r="556" spans="2:22">
      <c r="B556" s="33" t="str">
        <f t="shared" si="23"/>
        <v/>
      </c>
      <c r="U556" s="47" t="str">
        <f t="shared" si="25"/>
        <v/>
      </c>
      <c r="V556" s="48" t="str">
        <f t="shared" si="24"/>
        <v/>
      </c>
    </row>
    <row r="557" spans="2:22">
      <c r="B557" s="33" t="str">
        <f t="shared" si="23"/>
        <v/>
      </c>
      <c r="U557" s="47" t="str">
        <f t="shared" si="25"/>
        <v/>
      </c>
      <c r="V557" s="48" t="str">
        <f t="shared" si="24"/>
        <v/>
      </c>
    </row>
    <row r="558" spans="2:22">
      <c r="B558" s="33" t="str">
        <f t="shared" si="23"/>
        <v/>
      </c>
      <c r="U558" s="47" t="str">
        <f t="shared" si="25"/>
        <v/>
      </c>
      <c r="V558" s="48" t="str">
        <f t="shared" si="24"/>
        <v/>
      </c>
    </row>
    <row r="559" spans="2:22">
      <c r="B559" s="33" t="str">
        <f t="shared" si="23"/>
        <v/>
      </c>
      <c r="U559" s="47" t="str">
        <f t="shared" si="25"/>
        <v/>
      </c>
      <c r="V559" s="48" t="str">
        <f t="shared" si="24"/>
        <v/>
      </c>
    </row>
    <row r="560" spans="2:22">
      <c r="B560" s="33" t="str">
        <f t="shared" si="23"/>
        <v/>
      </c>
      <c r="U560" s="47" t="str">
        <f t="shared" si="25"/>
        <v/>
      </c>
      <c r="V560" s="48" t="str">
        <f t="shared" si="24"/>
        <v/>
      </c>
    </row>
    <row r="561" spans="2:22">
      <c r="B561" s="33" t="str">
        <f t="shared" si="23"/>
        <v/>
      </c>
      <c r="U561" s="47" t="str">
        <f t="shared" si="25"/>
        <v/>
      </c>
      <c r="V561" s="48" t="str">
        <f t="shared" si="24"/>
        <v/>
      </c>
    </row>
    <row r="562" spans="2:22">
      <c r="B562" s="33" t="str">
        <f t="shared" si="23"/>
        <v/>
      </c>
      <c r="U562" s="47" t="str">
        <f t="shared" si="25"/>
        <v/>
      </c>
      <c r="V562" s="48" t="str">
        <f t="shared" si="24"/>
        <v/>
      </c>
    </row>
    <row r="563" spans="2:22">
      <c r="B563" s="33" t="str">
        <f t="shared" si="23"/>
        <v/>
      </c>
      <c r="U563" s="47" t="str">
        <f t="shared" si="25"/>
        <v/>
      </c>
      <c r="V563" s="48" t="str">
        <f t="shared" si="24"/>
        <v/>
      </c>
    </row>
    <row r="564" spans="2:22">
      <c r="B564" s="33" t="str">
        <f t="shared" si="23"/>
        <v/>
      </c>
      <c r="U564" s="47" t="str">
        <f t="shared" si="25"/>
        <v/>
      </c>
      <c r="V564" s="48" t="str">
        <f t="shared" si="24"/>
        <v/>
      </c>
    </row>
    <row r="565" spans="2:22">
      <c r="B565" s="33" t="str">
        <f t="shared" si="23"/>
        <v/>
      </c>
      <c r="U565" s="47" t="str">
        <f t="shared" si="25"/>
        <v/>
      </c>
      <c r="V565" s="48" t="str">
        <f t="shared" si="24"/>
        <v/>
      </c>
    </row>
    <row r="566" spans="2:22">
      <c r="B566" s="33" t="str">
        <f t="shared" si="23"/>
        <v/>
      </c>
      <c r="U566" s="47" t="str">
        <f t="shared" si="25"/>
        <v/>
      </c>
      <c r="V566" s="48" t="str">
        <f t="shared" si="24"/>
        <v/>
      </c>
    </row>
    <row r="567" spans="2:22">
      <c r="B567" s="33" t="str">
        <f t="shared" si="23"/>
        <v/>
      </c>
      <c r="U567" s="47" t="str">
        <f t="shared" si="25"/>
        <v/>
      </c>
      <c r="V567" s="48" t="str">
        <f t="shared" si="24"/>
        <v/>
      </c>
    </row>
    <row r="568" spans="2:22">
      <c r="B568" s="33" t="str">
        <f t="shared" si="23"/>
        <v/>
      </c>
      <c r="U568" s="47" t="str">
        <f t="shared" si="25"/>
        <v/>
      </c>
      <c r="V568" s="48" t="str">
        <f t="shared" si="24"/>
        <v/>
      </c>
    </row>
    <row r="569" spans="2:22">
      <c r="B569" s="33" t="str">
        <f t="shared" si="23"/>
        <v/>
      </c>
      <c r="U569" s="47" t="str">
        <f t="shared" si="25"/>
        <v/>
      </c>
      <c r="V569" s="48" t="str">
        <f t="shared" si="24"/>
        <v/>
      </c>
    </row>
    <row r="570" spans="2:22">
      <c r="B570" s="33" t="str">
        <f t="shared" si="23"/>
        <v/>
      </c>
      <c r="U570" s="47" t="str">
        <f t="shared" si="25"/>
        <v/>
      </c>
      <c r="V570" s="48" t="str">
        <f t="shared" si="24"/>
        <v/>
      </c>
    </row>
    <row r="571" spans="2:22">
      <c r="B571" s="33" t="str">
        <f t="shared" si="23"/>
        <v/>
      </c>
      <c r="U571" s="47" t="str">
        <f t="shared" si="25"/>
        <v/>
      </c>
      <c r="V571" s="48" t="str">
        <f t="shared" si="24"/>
        <v/>
      </c>
    </row>
    <row r="572" spans="2:22">
      <c r="B572" s="33" t="str">
        <f t="shared" si="23"/>
        <v/>
      </c>
      <c r="U572" s="47" t="str">
        <f t="shared" si="25"/>
        <v/>
      </c>
      <c r="V572" s="48" t="str">
        <f t="shared" si="24"/>
        <v/>
      </c>
    </row>
    <row r="573" spans="2:22">
      <c r="B573" s="33" t="str">
        <f t="shared" si="23"/>
        <v/>
      </c>
      <c r="U573" s="47" t="str">
        <f t="shared" si="25"/>
        <v/>
      </c>
      <c r="V573" s="48" t="str">
        <f t="shared" si="24"/>
        <v/>
      </c>
    </row>
    <row r="574" spans="2:22">
      <c r="B574" s="33" t="str">
        <f t="shared" si="23"/>
        <v/>
      </c>
      <c r="U574" s="47" t="str">
        <f t="shared" si="25"/>
        <v/>
      </c>
      <c r="V574" s="48" t="str">
        <f t="shared" si="24"/>
        <v/>
      </c>
    </row>
    <row r="575" spans="2:22">
      <c r="B575" s="33" t="str">
        <f t="shared" si="23"/>
        <v/>
      </c>
      <c r="U575" s="47" t="str">
        <f t="shared" si="25"/>
        <v/>
      </c>
      <c r="V575" s="48" t="str">
        <f t="shared" si="24"/>
        <v/>
      </c>
    </row>
    <row r="576" spans="2:22">
      <c r="B576" s="33" t="str">
        <f t="shared" si="23"/>
        <v/>
      </c>
      <c r="U576" s="47" t="str">
        <f t="shared" si="25"/>
        <v/>
      </c>
      <c r="V576" s="48" t="str">
        <f t="shared" si="24"/>
        <v/>
      </c>
    </row>
    <row r="577" spans="2:22">
      <c r="B577" s="33" t="str">
        <f t="shared" si="23"/>
        <v/>
      </c>
      <c r="U577" s="47" t="str">
        <f t="shared" si="25"/>
        <v/>
      </c>
      <c r="V577" s="48" t="str">
        <f t="shared" si="24"/>
        <v/>
      </c>
    </row>
    <row r="578" spans="2:22">
      <c r="B578" s="33" t="str">
        <f t="shared" si="23"/>
        <v/>
      </c>
      <c r="U578" s="47" t="str">
        <f t="shared" si="25"/>
        <v/>
      </c>
      <c r="V578" s="48" t="str">
        <f t="shared" si="24"/>
        <v/>
      </c>
    </row>
    <row r="579" spans="2:22">
      <c r="B579" s="33" t="str">
        <f t="shared" si="23"/>
        <v/>
      </c>
      <c r="U579" s="47" t="str">
        <f t="shared" si="25"/>
        <v/>
      </c>
      <c r="V579" s="48" t="str">
        <f t="shared" si="24"/>
        <v/>
      </c>
    </row>
    <row r="580" spans="2:22">
      <c r="B580" s="33" t="str">
        <f t="shared" si="23"/>
        <v/>
      </c>
      <c r="U580" s="47" t="str">
        <f t="shared" si="25"/>
        <v/>
      </c>
      <c r="V580" s="48" t="str">
        <f t="shared" si="24"/>
        <v/>
      </c>
    </row>
    <row r="581" spans="2:22">
      <c r="B581" s="33" t="str">
        <f t="shared" ref="B581:B644" si="26">IF(D581="","",IF((MID(D581,1,1)="A"),VALUE(MID(D581,3,7)),IF((MID(D581,1,1)="T"),VALUE(MID(D581,3,3)))))</f>
        <v/>
      </c>
      <c r="U581" s="47" t="str">
        <f t="shared" si="25"/>
        <v/>
      </c>
      <c r="V581" s="48" t="str">
        <f t="shared" ref="V581:V644" si="27">IF(S581="","",+U581-S581)</f>
        <v/>
      </c>
    </row>
    <row r="582" spans="2:22">
      <c r="B582" s="33" t="str">
        <f t="shared" si="26"/>
        <v/>
      </c>
      <c r="U582" s="47" t="str">
        <f t="shared" ref="U582:U645" si="28">+IF(F582="","",SUM(F582:R582)/13)</f>
        <v/>
      </c>
      <c r="V582" s="48" t="str">
        <f t="shared" si="27"/>
        <v/>
      </c>
    </row>
    <row r="583" spans="2:22">
      <c r="B583" s="33" t="str">
        <f t="shared" si="26"/>
        <v/>
      </c>
      <c r="U583" s="47" t="str">
        <f t="shared" si="28"/>
        <v/>
      </c>
      <c r="V583" s="48" t="str">
        <f t="shared" si="27"/>
        <v/>
      </c>
    </row>
    <row r="584" spans="2:22">
      <c r="B584" s="33" t="str">
        <f t="shared" si="26"/>
        <v/>
      </c>
      <c r="U584" s="47" t="str">
        <f t="shared" si="28"/>
        <v/>
      </c>
      <c r="V584" s="48" t="str">
        <f t="shared" si="27"/>
        <v/>
      </c>
    </row>
    <row r="585" spans="2:22">
      <c r="B585" s="33" t="str">
        <f t="shared" si="26"/>
        <v/>
      </c>
      <c r="U585" s="47" t="str">
        <f t="shared" si="28"/>
        <v/>
      </c>
      <c r="V585" s="48" t="str">
        <f t="shared" si="27"/>
        <v/>
      </c>
    </row>
    <row r="586" spans="2:22">
      <c r="B586" s="33" t="str">
        <f t="shared" si="26"/>
        <v/>
      </c>
      <c r="U586" s="47" t="str">
        <f t="shared" si="28"/>
        <v/>
      </c>
      <c r="V586" s="48" t="str">
        <f t="shared" si="27"/>
        <v/>
      </c>
    </row>
    <row r="587" spans="2:22">
      <c r="B587" s="33" t="str">
        <f t="shared" si="26"/>
        <v/>
      </c>
      <c r="U587" s="47" t="str">
        <f t="shared" si="28"/>
        <v/>
      </c>
      <c r="V587" s="48" t="str">
        <f t="shared" si="27"/>
        <v/>
      </c>
    </row>
    <row r="588" spans="2:22">
      <c r="B588" s="33" t="str">
        <f t="shared" si="26"/>
        <v/>
      </c>
      <c r="U588" s="47" t="str">
        <f t="shared" si="28"/>
        <v/>
      </c>
      <c r="V588" s="48" t="str">
        <f t="shared" si="27"/>
        <v/>
      </c>
    </row>
    <row r="589" spans="2:22">
      <c r="B589" s="33" t="str">
        <f t="shared" si="26"/>
        <v/>
      </c>
      <c r="U589" s="47" t="str">
        <f t="shared" si="28"/>
        <v/>
      </c>
      <c r="V589" s="48" t="str">
        <f t="shared" si="27"/>
        <v/>
      </c>
    </row>
    <row r="590" spans="2:22">
      <c r="B590" s="33" t="str">
        <f t="shared" si="26"/>
        <v/>
      </c>
      <c r="U590" s="47" t="str">
        <f t="shared" si="28"/>
        <v/>
      </c>
      <c r="V590" s="48" t="str">
        <f t="shared" si="27"/>
        <v/>
      </c>
    </row>
    <row r="591" spans="2:22">
      <c r="B591" s="33" t="str">
        <f t="shared" si="26"/>
        <v/>
      </c>
      <c r="U591" s="47" t="str">
        <f t="shared" si="28"/>
        <v/>
      </c>
      <c r="V591" s="48" t="str">
        <f t="shared" si="27"/>
        <v/>
      </c>
    </row>
    <row r="592" spans="2:22">
      <c r="B592" s="33" t="str">
        <f t="shared" si="26"/>
        <v/>
      </c>
      <c r="U592" s="47" t="str">
        <f t="shared" si="28"/>
        <v/>
      </c>
      <c r="V592" s="48" t="str">
        <f t="shared" si="27"/>
        <v/>
      </c>
    </row>
    <row r="593" spans="2:22">
      <c r="B593" s="33" t="str">
        <f t="shared" si="26"/>
        <v/>
      </c>
      <c r="U593" s="47" t="str">
        <f t="shared" si="28"/>
        <v/>
      </c>
      <c r="V593" s="48" t="str">
        <f t="shared" si="27"/>
        <v/>
      </c>
    </row>
    <row r="594" spans="2:22">
      <c r="B594" s="33" t="str">
        <f t="shared" si="26"/>
        <v/>
      </c>
      <c r="U594" s="47" t="str">
        <f t="shared" si="28"/>
        <v/>
      </c>
      <c r="V594" s="48" t="str">
        <f t="shared" si="27"/>
        <v/>
      </c>
    </row>
    <row r="595" spans="2:22">
      <c r="B595" s="33" t="str">
        <f t="shared" si="26"/>
        <v/>
      </c>
      <c r="U595" s="47" t="str">
        <f t="shared" si="28"/>
        <v/>
      </c>
      <c r="V595" s="48" t="str">
        <f t="shared" si="27"/>
        <v/>
      </c>
    </row>
    <row r="596" spans="2:22">
      <c r="B596" s="33" t="str">
        <f t="shared" si="26"/>
        <v/>
      </c>
      <c r="U596" s="47" t="str">
        <f t="shared" si="28"/>
        <v/>
      </c>
      <c r="V596" s="48" t="str">
        <f t="shared" si="27"/>
        <v/>
      </c>
    </row>
    <row r="597" spans="2:22">
      <c r="B597" s="33" t="str">
        <f t="shared" si="26"/>
        <v/>
      </c>
      <c r="U597" s="47" t="str">
        <f t="shared" si="28"/>
        <v/>
      </c>
      <c r="V597" s="48" t="str">
        <f t="shared" si="27"/>
        <v/>
      </c>
    </row>
    <row r="598" spans="2:22">
      <c r="B598" s="33" t="str">
        <f t="shared" si="26"/>
        <v/>
      </c>
      <c r="U598" s="47" t="str">
        <f t="shared" si="28"/>
        <v/>
      </c>
      <c r="V598" s="48" t="str">
        <f t="shared" si="27"/>
        <v/>
      </c>
    </row>
    <row r="599" spans="2:22">
      <c r="B599" s="33" t="str">
        <f t="shared" si="26"/>
        <v/>
      </c>
      <c r="U599" s="47" t="str">
        <f t="shared" si="28"/>
        <v/>
      </c>
      <c r="V599" s="48" t="str">
        <f t="shared" si="27"/>
        <v/>
      </c>
    </row>
    <row r="600" spans="2:22">
      <c r="B600" s="33" t="str">
        <f t="shared" si="26"/>
        <v/>
      </c>
      <c r="U600" s="47" t="str">
        <f t="shared" si="28"/>
        <v/>
      </c>
      <c r="V600" s="48" t="str">
        <f t="shared" si="27"/>
        <v/>
      </c>
    </row>
    <row r="601" spans="2:22">
      <c r="B601" s="33" t="str">
        <f t="shared" si="26"/>
        <v/>
      </c>
      <c r="U601" s="47" t="str">
        <f t="shared" si="28"/>
        <v/>
      </c>
      <c r="V601" s="48" t="str">
        <f t="shared" si="27"/>
        <v/>
      </c>
    </row>
    <row r="602" spans="2:22">
      <c r="B602" s="33" t="str">
        <f t="shared" si="26"/>
        <v/>
      </c>
      <c r="U602" s="47" t="str">
        <f t="shared" si="28"/>
        <v/>
      </c>
      <c r="V602" s="48" t="str">
        <f t="shared" si="27"/>
        <v/>
      </c>
    </row>
    <row r="603" spans="2:22">
      <c r="B603" s="33" t="str">
        <f t="shared" si="26"/>
        <v/>
      </c>
      <c r="U603" s="47" t="str">
        <f t="shared" si="28"/>
        <v/>
      </c>
      <c r="V603" s="48" t="str">
        <f t="shared" si="27"/>
        <v/>
      </c>
    </row>
    <row r="604" spans="2:22">
      <c r="B604" s="33" t="str">
        <f t="shared" si="26"/>
        <v/>
      </c>
      <c r="U604" s="47" t="str">
        <f t="shared" si="28"/>
        <v/>
      </c>
      <c r="V604" s="48" t="str">
        <f t="shared" si="27"/>
        <v/>
      </c>
    </row>
    <row r="605" spans="2:22">
      <c r="B605" s="33" t="str">
        <f t="shared" si="26"/>
        <v/>
      </c>
      <c r="U605" s="47" t="str">
        <f t="shared" si="28"/>
        <v/>
      </c>
      <c r="V605" s="48" t="str">
        <f t="shared" si="27"/>
        <v/>
      </c>
    </row>
    <row r="606" spans="2:22">
      <c r="B606" s="33" t="str">
        <f t="shared" si="26"/>
        <v/>
      </c>
      <c r="U606" s="47" t="str">
        <f t="shared" si="28"/>
        <v/>
      </c>
      <c r="V606" s="48" t="str">
        <f t="shared" si="27"/>
        <v/>
      </c>
    </row>
    <row r="607" spans="2:22">
      <c r="B607" s="33" t="str">
        <f t="shared" si="26"/>
        <v/>
      </c>
      <c r="U607" s="47" t="str">
        <f t="shared" si="28"/>
        <v/>
      </c>
      <c r="V607" s="48" t="str">
        <f t="shared" si="27"/>
        <v/>
      </c>
    </row>
    <row r="608" spans="2:22">
      <c r="B608" s="33" t="str">
        <f t="shared" si="26"/>
        <v/>
      </c>
      <c r="U608" s="47" t="str">
        <f t="shared" si="28"/>
        <v/>
      </c>
      <c r="V608" s="48" t="str">
        <f t="shared" si="27"/>
        <v/>
      </c>
    </row>
    <row r="609" spans="2:22">
      <c r="B609" s="33" t="str">
        <f t="shared" si="26"/>
        <v/>
      </c>
      <c r="U609" s="47" t="str">
        <f t="shared" si="28"/>
        <v/>
      </c>
      <c r="V609" s="48" t="str">
        <f t="shared" si="27"/>
        <v/>
      </c>
    </row>
    <row r="610" spans="2:22">
      <c r="B610" s="33" t="str">
        <f t="shared" si="26"/>
        <v/>
      </c>
      <c r="U610" s="47" t="str">
        <f t="shared" si="28"/>
        <v/>
      </c>
      <c r="V610" s="48" t="str">
        <f t="shared" si="27"/>
        <v/>
      </c>
    </row>
    <row r="611" spans="2:22">
      <c r="B611" s="33" t="str">
        <f t="shared" si="26"/>
        <v/>
      </c>
      <c r="U611" s="47" t="str">
        <f t="shared" si="28"/>
        <v/>
      </c>
      <c r="V611" s="48" t="str">
        <f t="shared" si="27"/>
        <v/>
      </c>
    </row>
    <row r="612" spans="2:22">
      <c r="B612" s="33" t="str">
        <f t="shared" si="26"/>
        <v/>
      </c>
      <c r="U612" s="47" t="str">
        <f t="shared" si="28"/>
        <v/>
      </c>
      <c r="V612" s="48" t="str">
        <f t="shared" si="27"/>
        <v/>
      </c>
    </row>
    <row r="613" spans="2:22">
      <c r="B613" s="33" t="str">
        <f t="shared" si="26"/>
        <v/>
      </c>
      <c r="U613" s="47" t="str">
        <f t="shared" si="28"/>
        <v/>
      </c>
      <c r="V613" s="48" t="str">
        <f t="shared" si="27"/>
        <v/>
      </c>
    </row>
    <row r="614" spans="2:22">
      <c r="B614" s="33" t="str">
        <f t="shared" si="26"/>
        <v/>
      </c>
      <c r="U614" s="47" t="str">
        <f t="shared" si="28"/>
        <v/>
      </c>
      <c r="V614" s="48" t="str">
        <f t="shared" si="27"/>
        <v/>
      </c>
    </row>
    <row r="615" spans="2:22">
      <c r="B615" s="33" t="str">
        <f t="shared" si="26"/>
        <v/>
      </c>
      <c r="U615" s="47" t="str">
        <f t="shared" si="28"/>
        <v/>
      </c>
      <c r="V615" s="48" t="str">
        <f t="shared" si="27"/>
        <v/>
      </c>
    </row>
    <row r="616" spans="2:22">
      <c r="B616" s="33" t="str">
        <f t="shared" si="26"/>
        <v/>
      </c>
      <c r="U616" s="47" t="str">
        <f t="shared" si="28"/>
        <v/>
      </c>
      <c r="V616" s="48" t="str">
        <f t="shared" si="27"/>
        <v/>
      </c>
    </row>
    <row r="617" spans="2:22">
      <c r="B617" s="33" t="str">
        <f t="shared" si="26"/>
        <v/>
      </c>
      <c r="U617" s="47" t="str">
        <f t="shared" si="28"/>
        <v/>
      </c>
      <c r="V617" s="48" t="str">
        <f t="shared" si="27"/>
        <v/>
      </c>
    </row>
    <row r="618" spans="2:22">
      <c r="B618" s="33" t="str">
        <f t="shared" si="26"/>
        <v/>
      </c>
      <c r="U618" s="47" t="str">
        <f t="shared" si="28"/>
        <v/>
      </c>
      <c r="V618" s="48" t="str">
        <f t="shared" si="27"/>
        <v/>
      </c>
    </row>
    <row r="619" spans="2:22">
      <c r="B619" s="33" t="str">
        <f t="shared" si="26"/>
        <v/>
      </c>
      <c r="U619" s="47" t="str">
        <f t="shared" si="28"/>
        <v/>
      </c>
      <c r="V619" s="48" t="str">
        <f t="shared" si="27"/>
        <v/>
      </c>
    </row>
    <row r="620" spans="2:22">
      <c r="B620" s="33" t="str">
        <f t="shared" si="26"/>
        <v/>
      </c>
      <c r="U620" s="47" t="str">
        <f t="shared" si="28"/>
        <v/>
      </c>
      <c r="V620" s="48" t="str">
        <f t="shared" si="27"/>
        <v/>
      </c>
    </row>
    <row r="621" spans="2:22">
      <c r="B621" s="33" t="str">
        <f t="shared" si="26"/>
        <v/>
      </c>
      <c r="U621" s="47" t="str">
        <f t="shared" si="28"/>
        <v/>
      </c>
      <c r="V621" s="48" t="str">
        <f t="shared" si="27"/>
        <v/>
      </c>
    </row>
    <row r="622" spans="2:22">
      <c r="B622" s="33" t="str">
        <f t="shared" si="26"/>
        <v/>
      </c>
      <c r="U622" s="47" t="str">
        <f t="shared" si="28"/>
        <v/>
      </c>
      <c r="V622" s="48" t="str">
        <f t="shared" si="27"/>
        <v/>
      </c>
    </row>
    <row r="623" spans="2:22">
      <c r="B623" s="33" t="str">
        <f t="shared" si="26"/>
        <v/>
      </c>
      <c r="U623" s="47" t="str">
        <f t="shared" si="28"/>
        <v/>
      </c>
      <c r="V623" s="48" t="str">
        <f t="shared" si="27"/>
        <v/>
      </c>
    </row>
    <row r="624" spans="2:22">
      <c r="B624" s="33" t="str">
        <f t="shared" si="26"/>
        <v/>
      </c>
      <c r="U624" s="47" t="str">
        <f t="shared" si="28"/>
        <v/>
      </c>
      <c r="V624" s="48" t="str">
        <f t="shared" si="27"/>
        <v/>
      </c>
    </row>
    <row r="625" spans="2:22">
      <c r="B625" s="33" t="str">
        <f t="shared" si="26"/>
        <v/>
      </c>
      <c r="U625" s="47" t="str">
        <f t="shared" si="28"/>
        <v/>
      </c>
      <c r="V625" s="48" t="str">
        <f t="shared" si="27"/>
        <v/>
      </c>
    </row>
    <row r="626" spans="2:22">
      <c r="B626" s="33" t="str">
        <f t="shared" si="26"/>
        <v/>
      </c>
      <c r="U626" s="47" t="str">
        <f t="shared" si="28"/>
        <v/>
      </c>
      <c r="V626" s="48" t="str">
        <f t="shared" si="27"/>
        <v/>
      </c>
    </row>
    <row r="627" spans="2:22">
      <c r="B627" s="33" t="str">
        <f t="shared" si="26"/>
        <v/>
      </c>
      <c r="U627" s="47" t="str">
        <f t="shared" si="28"/>
        <v/>
      </c>
      <c r="V627" s="48" t="str">
        <f t="shared" si="27"/>
        <v/>
      </c>
    </row>
    <row r="628" spans="2:22">
      <c r="B628" s="33" t="str">
        <f t="shared" si="26"/>
        <v/>
      </c>
      <c r="U628" s="47" t="str">
        <f t="shared" si="28"/>
        <v/>
      </c>
      <c r="V628" s="48" t="str">
        <f t="shared" si="27"/>
        <v/>
      </c>
    </row>
    <row r="629" spans="2:22">
      <c r="B629" s="33" t="str">
        <f t="shared" si="26"/>
        <v/>
      </c>
      <c r="U629" s="47" t="str">
        <f t="shared" si="28"/>
        <v/>
      </c>
      <c r="V629" s="48" t="str">
        <f t="shared" si="27"/>
        <v/>
      </c>
    </row>
    <row r="630" spans="2:22">
      <c r="B630" s="33" t="str">
        <f t="shared" si="26"/>
        <v/>
      </c>
      <c r="U630" s="47" t="str">
        <f t="shared" si="28"/>
        <v/>
      </c>
      <c r="V630" s="48" t="str">
        <f t="shared" si="27"/>
        <v/>
      </c>
    </row>
    <row r="631" spans="2:22">
      <c r="B631" s="33" t="str">
        <f t="shared" si="26"/>
        <v/>
      </c>
      <c r="U631" s="47" t="str">
        <f t="shared" si="28"/>
        <v/>
      </c>
      <c r="V631" s="48" t="str">
        <f t="shared" si="27"/>
        <v/>
      </c>
    </row>
    <row r="632" spans="2:22">
      <c r="B632" s="33" t="str">
        <f t="shared" si="26"/>
        <v/>
      </c>
      <c r="U632" s="47" t="str">
        <f t="shared" si="28"/>
        <v/>
      </c>
      <c r="V632" s="48" t="str">
        <f t="shared" si="27"/>
        <v/>
      </c>
    </row>
    <row r="633" spans="2:22">
      <c r="B633" s="33" t="str">
        <f t="shared" si="26"/>
        <v/>
      </c>
      <c r="U633" s="47" t="str">
        <f t="shared" si="28"/>
        <v/>
      </c>
      <c r="V633" s="48" t="str">
        <f t="shared" si="27"/>
        <v/>
      </c>
    </row>
    <row r="634" spans="2:22">
      <c r="B634" s="33" t="str">
        <f t="shared" si="26"/>
        <v/>
      </c>
      <c r="U634" s="47" t="str">
        <f t="shared" si="28"/>
        <v/>
      </c>
      <c r="V634" s="48" t="str">
        <f t="shared" si="27"/>
        <v/>
      </c>
    </row>
    <row r="635" spans="2:22">
      <c r="B635" s="33" t="str">
        <f t="shared" si="26"/>
        <v/>
      </c>
      <c r="U635" s="47" t="str">
        <f t="shared" si="28"/>
        <v/>
      </c>
      <c r="V635" s="48" t="str">
        <f t="shared" si="27"/>
        <v/>
      </c>
    </row>
    <row r="636" spans="2:22">
      <c r="B636" s="33" t="str">
        <f t="shared" si="26"/>
        <v/>
      </c>
      <c r="U636" s="47" t="str">
        <f t="shared" si="28"/>
        <v/>
      </c>
      <c r="V636" s="48" t="str">
        <f t="shared" si="27"/>
        <v/>
      </c>
    </row>
    <row r="637" spans="2:22">
      <c r="B637" s="33" t="str">
        <f t="shared" si="26"/>
        <v/>
      </c>
      <c r="U637" s="47" t="str">
        <f t="shared" si="28"/>
        <v/>
      </c>
      <c r="V637" s="48" t="str">
        <f t="shared" si="27"/>
        <v/>
      </c>
    </row>
    <row r="638" spans="2:22">
      <c r="B638" s="33" t="str">
        <f t="shared" si="26"/>
        <v/>
      </c>
      <c r="U638" s="47" t="str">
        <f t="shared" si="28"/>
        <v/>
      </c>
      <c r="V638" s="48" t="str">
        <f t="shared" si="27"/>
        <v/>
      </c>
    </row>
    <row r="639" spans="2:22">
      <c r="B639" s="33" t="str">
        <f t="shared" si="26"/>
        <v/>
      </c>
      <c r="U639" s="47" t="str">
        <f t="shared" si="28"/>
        <v/>
      </c>
      <c r="V639" s="48" t="str">
        <f t="shared" si="27"/>
        <v/>
      </c>
    </row>
    <row r="640" spans="2:22">
      <c r="B640" s="33" t="str">
        <f t="shared" si="26"/>
        <v/>
      </c>
      <c r="U640" s="47" t="str">
        <f t="shared" si="28"/>
        <v/>
      </c>
      <c r="V640" s="48" t="str">
        <f t="shared" si="27"/>
        <v/>
      </c>
    </row>
    <row r="641" spans="2:22">
      <c r="B641" s="33" t="str">
        <f t="shared" si="26"/>
        <v/>
      </c>
      <c r="U641" s="47" t="str">
        <f t="shared" si="28"/>
        <v/>
      </c>
      <c r="V641" s="48" t="str">
        <f t="shared" si="27"/>
        <v/>
      </c>
    </row>
    <row r="642" spans="2:22">
      <c r="B642" s="33" t="str">
        <f t="shared" si="26"/>
        <v/>
      </c>
      <c r="U642" s="47" t="str">
        <f t="shared" si="28"/>
        <v/>
      </c>
      <c r="V642" s="48" t="str">
        <f t="shared" si="27"/>
        <v/>
      </c>
    </row>
    <row r="643" spans="2:22">
      <c r="B643" s="33" t="str">
        <f t="shared" si="26"/>
        <v/>
      </c>
      <c r="U643" s="47" t="str">
        <f t="shared" si="28"/>
        <v/>
      </c>
      <c r="V643" s="48" t="str">
        <f t="shared" si="27"/>
        <v/>
      </c>
    </row>
    <row r="644" spans="2:22">
      <c r="B644" s="33" t="str">
        <f t="shared" si="26"/>
        <v/>
      </c>
      <c r="U644" s="47" t="str">
        <f t="shared" si="28"/>
        <v/>
      </c>
      <c r="V644" s="48" t="str">
        <f t="shared" si="27"/>
        <v/>
      </c>
    </row>
    <row r="645" spans="2:22">
      <c r="B645" s="33" t="str">
        <f t="shared" ref="B645:B708" si="29">IF(D645="","",IF((MID(D645,1,1)="A"),VALUE(MID(D645,3,7)),IF((MID(D645,1,1)="T"),VALUE(MID(D645,3,3)))))</f>
        <v/>
      </c>
      <c r="U645" s="47" t="str">
        <f t="shared" si="28"/>
        <v/>
      </c>
      <c r="V645" s="48" t="str">
        <f t="shared" ref="V645:V708" si="30">IF(S645="","",+U645-S645)</f>
        <v/>
      </c>
    </row>
    <row r="646" spans="2:22">
      <c r="B646" s="33" t="str">
        <f t="shared" si="29"/>
        <v/>
      </c>
      <c r="U646" s="47" t="str">
        <f t="shared" ref="U646:U709" si="31">+IF(F646="","",SUM(F646:R646)/13)</f>
        <v/>
      </c>
      <c r="V646" s="48" t="str">
        <f t="shared" si="30"/>
        <v/>
      </c>
    </row>
    <row r="647" spans="2:22">
      <c r="B647" s="33" t="str">
        <f t="shared" si="29"/>
        <v/>
      </c>
      <c r="U647" s="47" t="str">
        <f t="shared" si="31"/>
        <v/>
      </c>
      <c r="V647" s="48" t="str">
        <f t="shared" si="30"/>
        <v/>
      </c>
    </row>
    <row r="648" spans="2:22">
      <c r="B648" s="33" t="str">
        <f t="shared" si="29"/>
        <v/>
      </c>
      <c r="U648" s="47" t="str">
        <f t="shared" si="31"/>
        <v/>
      </c>
      <c r="V648" s="48" t="str">
        <f t="shared" si="30"/>
        <v/>
      </c>
    </row>
    <row r="649" spans="2:22">
      <c r="B649" s="33" t="str">
        <f t="shared" si="29"/>
        <v/>
      </c>
      <c r="U649" s="47" t="str">
        <f t="shared" si="31"/>
        <v/>
      </c>
      <c r="V649" s="48" t="str">
        <f t="shared" si="30"/>
        <v/>
      </c>
    </row>
    <row r="650" spans="2:22">
      <c r="B650" s="33" t="str">
        <f t="shared" si="29"/>
        <v/>
      </c>
      <c r="U650" s="47" t="str">
        <f t="shared" si="31"/>
        <v/>
      </c>
      <c r="V650" s="48" t="str">
        <f t="shared" si="30"/>
        <v/>
      </c>
    </row>
    <row r="651" spans="2:22">
      <c r="B651" s="33" t="str">
        <f t="shared" si="29"/>
        <v/>
      </c>
      <c r="U651" s="47" t="str">
        <f t="shared" si="31"/>
        <v/>
      </c>
      <c r="V651" s="48" t="str">
        <f t="shared" si="30"/>
        <v/>
      </c>
    </row>
    <row r="652" spans="2:22">
      <c r="B652" s="33" t="str">
        <f t="shared" si="29"/>
        <v/>
      </c>
      <c r="U652" s="47" t="str">
        <f t="shared" si="31"/>
        <v/>
      </c>
      <c r="V652" s="48" t="str">
        <f t="shared" si="30"/>
        <v/>
      </c>
    </row>
    <row r="653" spans="2:22">
      <c r="B653" s="33" t="str">
        <f t="shared" si="29"/>
        <v/>
      </c>
      <c r="U653" s="47" t="str">
        <f t="shared" si="31"/>
        <v/>
      </c>
      <c r="V653" s="48" t="str">
        <f t="shared" si="30"/>
        <v/>
      </c>
    </row>
    <row r="654" spans="2:22">
      <c r="B654" s="33" t="str">
        <f t="shared" si="29"/>
        <v/>
      </c>
      <c r="U654" s="47" t="str">
        <f t="shared" si="31"/>
        <v/>
      </c>
      <c r="V654" s="48" t="str">
        <f t="shared" si="30"/>
        <v/>
      </c>
    </row>
    <row r="655" spans="2:22">
      <c r="B655" s="33" t="str">
        <f t="shared" si="29"/>
        <v/>
      </c>
      <c r="U655" s="47" t="str">
        <f t="shared" si="31"/>
        <v/>
      </c>
      <c r="V655" s="48" t="str">
        <f t="shared" si="30"/>
        <v/>
      </c>
    </row>
    <row r="656" spans="2:22">
      <c r="B656" s="33" t="str">
        <f t="shared" si="29"/>
        <v/>
      </c>
      <c r="U656" s="47" t="str">
        <f t="shared" si="31"/>
        <v/>
      </c>
      <c r="V656" s="48" t="str">
        <f t="shared" si="30"/>
        <v/>
      </c>
    </row>
    <row r="657" spans="2:22">
      <c r="B657" s="33" t="str">
        <f t="shared" si="29"/>
        <v/>
      </c>
      <c r="U657" s="47" t="str">
        <f t="shared" si="31"/>
        <v/>
      </c>
      <c r="V657" s="48" t="str">
        <f t="shared" si="30"/>
        <v/>
      </c>
    </row>
    <row r="658" spans="2:22">
      <c r="B658" s="33" t="str">
        <f t="shared" si="29"/>
        <v/>
      </c>
      <c r="U658" s="47" t="str">
        <f t="shared" si="31"/>
        <v/>
      </c>
      <c r="V658" s="48" t="str">
        <f t="shared" si="30"/>
        <v/>
      </c>
    </row>
    <row r="659" spans="2:22">
      <c r="B659" s="33" t="str">
        <f t="shared" si="29"/>
        <v/>
      </c>
      <c r="U659" s="47" t="str">
        <f t="shared" si="31"/>
        <v/>
      </c>
      <c r="V659" s="48" t="str">
        <f t="shared" si="30"/>
        <v/>
      </c>
    </row>
    <row r="660" spans="2:22">
      <c r="B660" s="33" t="str">
        <f t="shared" si="29"/>
        <v/>
      </c>
      <c r="U660" s="47" t="str">
        <f t="shared" si="31"/>
        <v/>
      </c>
      <c r="V660" s="48" t="str">
        <f t="shared" si="30"/>
        <v/>
      </c>
    </row>
    <row r="661" spans="2:22">
      <c r="B661" s="33" t="str">
        <f t="shared" si="29"/>
        <v/>
      </c>
      <c r="U661" s="47" t="str">
        <f t="shared" si="31"/>
        <v/>
      </c>
      <c r="V661" s="48" t="str">
        <f t="shared" si="30"/>
        <v/>
      </c>
    </row>
    <row r="662" spans="2:22">
      <c r="B662" s="33" t="str">
        <f t="shared" si="29"/>
        <v/>
      </c>
      <c r="U662" s="47" t="str">
        <f t="shared" si="31"/>
        <v/>
      </c>
      <c r="V662" s="48" t="str">
        <f t="shared" si="30"/>
        <v/>
      </c>
    </row>
    <row r="663" spans="2:22">
      <c r="B663" s="33" t="str">
        <f t="shared" si="29"/>
        <v/>
      </c>
      <c r="U663" s="47" t="str">
        <f t="shared" si="31"/>
        <v/>
      </c>
      <c r="V663" s="48" t="str">
        <f t="shared" si="30"/>
        <v/>
      </c>
    </row>
    <row r="664" spans="2:22">
      <c r="B664" s="33" t="str">
        <f t="shared" si="29"/>
        <v/>
      </c>
      <c r="U664" s="47" t="str">
        <f t="shared" si="31"/>
        <v/>
      </c>
      <c r="V664" s="48" t="str">
        <f t="shared" si="30"/>
        <v/>
      </c>
    </row>
    <row r="665" spans="2:22">
      <c r="B665" s="33" t="str">
        <f t="shared" si="29"/>
        <v/>
      </c>
      <c r="U665" s="47" t="str">
        <f t="shared" si="31"/>
        <v/>
      </c>
      <c r="V665" s="48" t="str">
        <f t="shared" si="30"/>
        <v/>
      </c>
    </row>
    <row r="666" spans="2:22">
      <c r="B666" s="33" t="str">
        <f t="shared" si="29"/>
        <v/>
      </c>
      <c r="U666" s="47" t="str">
        <f t="shared" si="31"/>
        <v/>
      </c>
      <c r="V666" s="48" t="str">
        <f t="shared" si="30"/>
        <v/>
      </c>
    </row>
    <row r="667" spans="2:22">
      <c r="B667" s="33" t="str">
        <f t="shared" si="29"/>
        <v/>
      </c>
      <c r="U667" s="47" t="str">
        <f t="shared" si="31"/>
        <v/>
      </c>
      <c r="V667" s="48" t="str">
        <f t="shared" si="30"/>
        <v/>
      </c>
    </row>
    <row r="668" spans="2:22">
      <c r="B668" s="33" t="str">
        <f t="shared" si="29"/>
        <v/>
      </c>
      <c r="U668" s="47" t="str">
        <f t="shared" si="31"/>
        <v/>
      </c>
      <c r="V668" s="48" t="str">
        <f t="shared" si="30"/>
        <v/>
      </c>
    </row>
    <row r="669" spans="2:22">
      <c r="B669" s="33" t="str">
        <f t="shared" si="29"/>
        <v/>
      </c>
      <c r="U669" s="47" t="str">
        <f t="shared" si="31"/>
        <v/>
      </c>
      <c r="V669" s="48" t="str">
        <f t="shared" si="30"/>
        <v/>
      </c>
    </row>
    <row r="670" spans="2:22">
      <c r="B670" s="33" t="str">
        <f t="shared" si="29"/>
        <v/>
      </c>
      <c r="U670" s="47" t="str">
        <f t="shared" si="31"/>
        <v/>
      </c>
      <c r="V670" s="48" t="str">
        <f t="shared" si="30"/>
        <v/>
      </c>
    </row>
    <row r="671" spans="2:22">
      <c r="B671" s="33" t="str">
        <f t="shared" si="29"/>
        <v/>
      </c>
      <c r="U671" s="47" t="str">
        <f t="shared" si="31"/>
        <v/>
      </c>
      <c r="V671" s="48" t="str">
        <f t="shared" si="30"/>
        <v/>
      </c>
    </row>
    <row r="672" spans="2:22">
      <c r="B672" s="33" t="str">
        <f t="shared" si="29"/>
        <v/>
      </c>
      <c r="U672" s="47" t="str">
        <f t="shared" si="31"/>
        <v/>
      </c>
      <c r="V672" s="48" t="str">
        <f t="shared" si="30"/>
        <v/>
      </c>
    </row>
    <row r="673" spans="2:22">
      <c r="B673" s="33" t="str">
        <f t="shared" si="29"/>
        <v/>
      </c>
      <c r="U673" s="47" t="str">
        <f t="shared" si="31"/>
        <v/>
      </c>
      <c r="V673" s="48" t="str">
        <f t="shared" si="30"/>
        <v/>
      </c>
    </row>
    <row r="674" spans="2:22">
      <c r="B674" s="33" t="str">
        <f t="shared" si="29"/>
        <v/>
      </c>
      <c r="U674" s="47" t="str">
        <f t="shared" si="31"/>
        <v/>
      </c>
      <c r="V674" s="48" t="str">
        <f t="shared" si="30"/>
        <v/>
      </c>
    </row>
    <row r="675" spans="2:22">
      <c r="B675" s="33" t="str">
        <f t="shared" si="29"/>
        <v/>
      </c>
      <c r="U675" s="47" t="str">
        <f t="shared" si="31"/>
        <v/>
      </c>
      <c r="V675" s="48" t="str">
        <f t="shared" si="30"/>
        <v/>
      </c>
    </row>
    <row r="676" spans="2:22">
      <c r="B676" s="33" t="str">
        <f t="shared" si="29"/>
        <v/>
      </c>
      <c r="U676" s="47" t="str">
        <f t="shared" si="31"/>
        <v/>
      </c>
      <c r="V676" s="48" t="str">
        <f t="shared" si="30"/>
        <v/>
      </c>
    </row>
    <row r="677" spans="2:22">
      <c r="B677" s="33" t="str">
        <f t="shared" si="29"/>
        <v/>
      </c>
      <c r="U677" s="47" t="str">
        <f t="shared" si="31"/>
        <v/>
      </c>
      <c r="V677" s="48" t="str">
        <f t="shared" si="30"/>
        <v/>
      </c>
    </row>
    <row r="678" spans="2:22">
      <c r="B678" s="33" t="str">
        <f t="shared" si="29"/>
        <v/>
      </c>
      <c r="U678" s="47" t="str">
        <f t="shared" si="31"/>
        <v/>
      </c>
      <c r="V678" s="48" t="str">
        <f t="shared" si="30"/>
        <v/>
      </c>
    </row>
    <row r="679" spans="2:22">
      <c r="B679" s="33" t="str">
        <f t="shared" si="29"/>
        <v/>
      </c>
      <c r="U679" s="47" t="str">
        <f t="shared" si="31"/>
        <v/>
      </c>
      <c r="V679" s="48" t="str">
        <f t="shared" si="30"/>
        <v/>
      </c>
    </row>
    <row r="680" spans="2:22">
      <c r="B680" s="33" t="str">
        <f t="shared" si="29"/>
        <v/>
      </c>
      <c r="U680" s="47" t="str">
        <f t="shared" si="31"/>
        <v/>
      </c>
      <c r="V680" s="48" t="str">
        <f t="shared" si="30"/>
        <v/>
      </c>
    </row>
    <row r="681" spans="2:22">
      <c r="B681" s="33" t="str">
        <f t="shared" si="29"/>
        <v/>
      </c>
      <c r="U681" s="47" t="str">
        <f t="shared" si="31"/>
        <v/>
      </c>
      <c r="V681" s="48" t="str">
        <f t="shared" si="30"/>
        <v/>
      </c>
    </row>
    <row r="682" spans="2:22">
      <c r="B682" s="33" t="str">
        <f t="shared" si="29"/>
        <v/>
      </c>
      <c r="U682" s="47" t="str">
        <f t="shared" si="31"/>
        <v/>
      </c>
      <c r="V682" s="48" t="str">
        <f t="shared" si="30"/>
        <v/>
      </c>
    </row>
    <row r="683" spans="2:22">
      <c r="B683" s="33" t="str">
        <f t="shared" si="29"/>
        <v/>
      </c>
      <c r="U683" s="47" t="str">
        <f t="shared" si="31"/>
        <v/>
      </c>
      <c r="V683" s="48" t="str">
        <f t="shared" si="30"/>
        <v/>
      </c>
    </row>
    <row r="684" spans="2:22">
      <c r="B684" s="33" t="str">
        <f t="shared" si="29"/>
        <v/>
      </c>
      <c r="U684" s="47" t="str">
        <f t="shared" si="31"/>
        <v/>
      </c>
      <c r="V684" s="48" t="str">
        <f t="shared" si="30"/>
        <v/>
      </c>
    </row>
    <row r="685" spans="2:22">
      <c r="B685" s="33" t="str">
        <f t="shared" si="29"/>
        <v/>
      </c>
      <c r="U685" s="47" t="str">
        <f t="shared" si="31"/>
        <v/>
      </c>
      <c r="V685" s="48" t="str">
        <f t="shared" si="30"/>
        <v/>
      </c>
    </row>
    <row r="686" spans="2:22">
      <c r="B686" s="33" t="str">
        <f t="shared" si="29"/>
        <v/>
      </c>
      <c r="U686" s="47" t="str">
        <f t="shared" si="31"/>
        <v/>
      </c>
      <c r="V686" s="48" t="str">
        <f t="shared" si="30"/>
        <v/>
      </c>
    </row>
    <row r="687" spans="2:22">
      <c r="B687" s="33" t="str">
        <f t="shared" si="29"/>
        <v/>
      </c>
      <c r="U687" s="47" t="str">
        <f t="shared" si="31"/>
        <v/>
      </c>
      <c r="V687" s="48" t="str">
        <f t="shared" si="30"/>
        <v/>
      </c>
    </row>
    <row r="688" spans="2:22">
      <c r="B688" s="33" t="str">
        <f t="shared" si="29"/>
        <v/>
      </c>
      <c r="U688" s="47" t="str">
        <f t="shared" si="31"/>
        <v/>
      </c>
      <c r="V688" s="48" t="str">
        <f t="shared" si="30"/>
        <v/>
      </c>
    </row>
    <row r="689" spans="2:22">
      <c r="B689" s="33" t="str">
        <f t="shared" si="29"/>
        <v/>
      </c>
      <c r="U689" s="47" t="str">
        <f t="shared" si="31"/>
        <v/>
      </c>
      <c r="V689" s="48" t="str">
        <f t="shared" si="30"/>
        <v/>
      </c>
    </row>
    <row r="690" spans="2:22">
      <c r="B690" s="33" t="str">
        <f t="shared" si="29"/>
        <v/>
      </c>
      <c r="U690" s="47" t="str">
        <f t="shared" si="31"/>
        <v/>
      </c>
      <c r="V690" s="48" t="str">
        <f t="shared" si="30"/>
        <v/>
      </c>
    </row>
    <row r="691" spans="2:22">
      <c r="B691" s="33" t="str">
        <f t="shared" si="29"/>
        <v/>
      </c>
      <c r="U691" s="47" t="str">
        <f t="shared" si="31"/>
        <v/>
      </c>
      <c r="V691" s="48" t="str">
        <f t="shared" si="30"/>
        <v/>
      </c>
    </row>
    <row r="692" spans="2:22">
      <c r="B692" s="33" t="str">
        <f t="shared" si="29"/>
        <v/>
      </c>
      <c r="U692" s="47" t="str">
        <f t="shared" si="31"/>
        <v/>
      </c>
      <c r="V692" s="48" t="str">
        <f t="shared" si="30"/>
        <v/>
      </c>
    </row>
    <row r="693" spans="2:22">
      <c r="B693" s="33" t="str">
        <f t="shared" si="29"/>
        <v/>
      </c>
      <c r="U693" s="47" t="str">
        <f t="shared" si="31"/>
        <v/>
      </c>
      <c r="V693" s="48" t="str">
        <f t="shared" si="30"/>
        <v/>
      </c>
    </row>
    <row r="694" spans="2:22">
      <c r="B694" s="33" t="str">
        <f t="shared" si="29"/>
        <v/>
      </c>
      <c r="U694" s="47" t="str">
        <f t="shared" si="31"/>
        <v/>
      </c>
      <c r="V694" s="48" t="str">
        <f t="shared" si="30"/>
        <v/>
      </c>
    </row>
    <row r="695" spans="2:22">
      <c r="B695" s="33" t="str">
        <f t="shared" si="29"/>
        <v/>
      </c>
      <c r="U695" s="47" t="str">
        <f t="shared" si="31"/>
        <v/>
      </c>
      <c r="V695" s="48" t="str">
        <f t="shared" si="30"/>
        <v/>
      </c>
    </row>
    <row r="696" spans="2:22">
      <c r="B696" s="33" t="str">
        <f t="shared" si="29"/>
        <v/>
      </c>
      <c r="U696" s="47" t="str">
        <f t="shared" si="31"/>
        <v/>
      </c>
      <c r="V696" s="48" t="str">
        <f t="shared" si="30"/>
        <v/>
      </c>
    </row>
    <row r="697" spans="2:22">
      <c r="B697" s="33" t="str">
        <f t="shared" si="29"/>
        <v/>
      </c>
      <c r="U697" s="47" t="str">
        <f t="shared" si="31"/>
        <v/>
      </c>
      <c r="V697" s="48" t="str">
        <f t="shared" si="30"/>
        <v/>
      </c>
    </row>
    <row r="698" spans="2:22">
      <c r="B698" s="33" t="str">
        <f t="shared" si="29"/>
        <v/>
      </c>
      <c r="U698" s="47" t="str">
        <f t="shared" si="31"/>
        <v/>
      </c>
      <c r="V698" s="48" t="str">
        <f t="shared" si="30"/>
        <v/>
      </c>
    </row>
    <row r="699" spans="2:22">
      <c r="B699" s="33" t="str">
        <f t="shared" si="29"/>
        <v/>
      </c>
      <c r="U699" s="47" t="str">
        <f t="shared" si="31"/>
        <v/>
      </c>
      <c r="V699" s="48" t="str">
        <f t="shared" si="30"/>
        <v/>
      </c>
    </row>
    <row r="700" spans="2:22">
      <c r="B700" s="33" t="str">
        <f t="shared" si="29"/>
        <v/>
      </c>
      <c r="U700" s="47" t="str">
        <f t="shared" si="31"/>
        <v/>
      </c>
      <c r="V700" s="48" t="str">
        <f t="shared" si="30"/>
        <v/>
      </c>
    </row>
    <row r="701" spans="2:22">
      <c r="B701" s="33" t="str">
        <f t="shared" si="29"/>
        <v/>
      </c>
      <c r="U701" s="47" t="str">
        <f t="shared" si="31"/>
        <v/>
      </c>
      <c r="V701" s="48" t="str">
        <f t="shared" si="30"/>
        <v/>
      </c>
    </row>
    <row r="702" spans="2:22">
      <c r="B702" s="33" t="str">
        <f t="shared" si="29"/>
        <v/>
      </c>
      <c r="U702" s="47" t="str">
        <f t="shared" si="31"/>
        <v/>
      </c>
      <c r="V702" s="48" t="str">
        <f t="shared" si="30"/>
        <v/>
      </c>
    </row>
    <row r="703" spans="2:22">
      <c r="B703" s="33" t="str">
        <f t="shared" si="29"/>
        <v/>
      </c>
      <c r="U703" s="47" t="str">
        <f t="shared" si="31"/>
        <v/>
      </c>
      <c r="V703" s="48" t="str">
        <f t="shared" si="30"/>
        <v/>
      </c>
    </row>
    <row r="704" spans="2:22">
      <c r="B704" s="33" t="str">
        <f t="shared" si="29"/>
        <v/>
      </c>
      <c r="U704" s="47" t="str">
        <f t="shared" si="31"/>
        <v/>
      </c>
      <c r="V704" s="48" t="str">
        <f t="shared" si="30"/>
        <v/>
      </c>
    </row>
    <row r="705" spans="2:22">
      <c r="B705" s="33" t="str">
        <f t="shared" si="29"/>
        <v/>
      </c>
      <c r="U705" s="47" t="str">
        <f t="shared" si="31"/>
        <v/>
      </c>
      <c r="V705" s="48" t="str">
        <f t="shared" si="30"/>
        <v/>
      </c>
    </row>
    <row r="706" spans="2:22">
      <c r="B706" s="33" t="str">
        <f t="shared" si="29"/>
        <v/>
      </c>
      <c r="U706" s="47" t="str">
        <f t="shared" si="31"/>
        <v/>
      </c>
      <c r="V706" s="48" t="str">
        <f t="shared" si="30"/>
        <v/>
      </c>
    </row>
    <row r="707" spans="2:22">
      <c r="B707" s="33" t="str">
        <f t="shared" si="29"/>
        <v/>
      </c>
      <c r="U707" s="47" t="str">
        <f t="shared" si="31"/>
        <v/>
      </c>
      <c r="V707" s="48" t="str">
        <f t="shared" si="30"/>
        <v/>
      </c>
    </row>
    <row r="708" spans="2:22">
      <c r="B708" s="33" t="str">
        <f t="shared" si="29"/>
        <v/>
      </c>
      <c r="U708" s="47" t="str">
        <f t="shared" si="31"/>
        <v/>
      </c>
      <c r="V708" s="48" t="str">
        <f t="shared" si="30"/>
        <v/>
      </c>
    </row>
    <row r="709" spans="2:22">
      <c r="B709" s="33" t="str">
        <f t="shared" ref="B709:B750" si="32">IF(D709="","",IF((MID(D709,1,1)="A"),VALUE(MID(D709,3,7)),IF((MID(D709,1,1)="T"),VALUE(MID(D709,3,3)))))</f>
        <v/>
      </c>
      <c r="U709" s="47" t="str">
        <f t="shared" si="31"/>
        <v/>
      </c>
      <c r="V709" s="48" t="str">
        <f t="shared" ref="V709:V750" si="33">IF(S709="","",+U709-S709)</f>
        <v/>
      </c>
    </row>
    <row r="710" spans="2:22">
      <c r="B710" s="33" t="str">
        <f t="shared" si="32"/>
        <v/>
      </c>
      <c r="U710" s="47" t="str">
        <f t="shared" ref="U710:U750" si="34">+IF(F710="","",SUM(F710:R710)/13)</f>
        <v/>
      </c>
      <c r="V710" s="48" t="str">
        <f t="shared" si="33"/>
        <v/>
      </c>
    </row>
    <row r="711" spans="2:22">
      <c r="B711" s="33" t="str">
        <f t="shared" si="32"/>
        <v/>
      </c>
      <c r="U711" s="47" t="str">
        <f t="shared" si="34"/>
        <v/>
      </c>
      <c r="V711" s="48" t="str">
        <f t="shared" si="33"/>
        <v/>
      </c>
    </row>
    <row r="712" spans="2:22">
      <c r="B712" s="33" t="str">
        <f t="shared" si="32"/>
        <v/>
      </c>
      <c r="U712" s="47" t="str">
        <f t="shared" si="34"/>
        <v/>
      </c>
      <c r="V712" s="48" t="str">
        <f t="shared" si="33"/>
        <v/>
      </c>
    </row>
    <row r="713" spans="2:22">
      <c r="B713" s="33" t="str">
        <f t="shared" si="32"/>
        <v/>
      </c>
      <c r="U713" s="47" t="str">
        <f t="shared" si="34"/>
        <v/>
      </c>
      <c r="V713" s="48" t="str">
        <f t="shared" si="33"/>
        <v/>
      </c>
    </row>
    <row r="714" spans="2:22">
      <c r="B714" s="33" t="str">
        <f t="shared" si="32"/>
        <v/>
      </c>
      <c r="U714" s="47" t="str">
        <f t="shared" si="34"/>
        <v/>
      </c>
      <c r="V714" s="48" t="str">
        <f t="shared" si="33"/>
        <v/>
      </c>
    </row>
    <row r="715" spans="2:22">
      <c r="B715" s="33" t="str">
        <f t="shared" si="32"/>
        <v/>
      </c>
      <c r="U715" s="47" t="str">
        <f t="shared" si="34"/>
        <v/>
      </c>
      <c r="V715" s="48" t="str">
        <f t="shared" si="33"/>
        <v/>
      </c>
    </row>
    <row r="716" spans="2:22">
      <c r="B716" s="33" t="str">
        <f t="shared" si="32"/>
        <v/>
      </c>
      <c r="U716" s="47" t="str">
        <f t="shared" si="34"/>
        <v/>
      </c>
      <c r="V716" s="48" t="str">
        <f t="shared" si="33"/>
        <v/>
      </c>
    </row>
    <row r="717" spans="2:22">
      <c r="B717" s="33" t="str">
        <f t="shared" si="32"/>
        <v/>
      </c>
      <c r="U717" s="47" t="str">
        <f t="shared" si="34"/>
        <v/>
      </c>
      <c r="V717" s="48" t="str">
        <f t="shared" si="33"/>
        <v/>
      </c>
    </row>
    <row r="718" spans="2:22">
      <c r="B718" s="33" t="str">
        <f t="shared" si="32"/>
        <v/>
      </c>
      <c r="U718" s="47" t="str">
        <f t="shared" si="34"/>
        <v/>
      </c>
      <c r="V718" s="48" t="str">
        <f t="shared" si="33"/>
        <v/>
      </c>
    </row>
    <row r="719" spans="2:22">
      <c r="B719" s="33" t="str">
        <f t="shared" si="32"/>
        <v/>
      </c>
      <c r="U719" s="47" t="str">
        <f t="shared" si="34"/>
        <v/>
      </c>
      <c r="V719" s="48" t="str">
        <f t="shared" si="33"/>
        <v/>
      </c>
    </row>
    <row r="720" spans="2:22">
      <c r="B720" s="33" t="str">
        <f t="shared" si="32"/>
        <v/>
      </c>
      <c r="U720" s="47" t="str">
        <f t="shared" si="34"/>
        <v/>
      </c>
      <c r="V720" s="48" t="str">
        <f t="shared" si="33"/>
        <v/>
      </c>
    </row>
    <row r="721" spans="2:22">
      <c r="B721" s="33" t="str">
        <f t="shared" si="32"/>
        <v/>
      </c>
      <c r="U721" s="47" t="str">
        <f t="shared" si="34"/>
        <v/>
      </c>
      <c r="V721" s="48" t="str">
        <f t="shared" si="33"/>
        <v/>
      </c>
    </row>
    <row r="722" spans="2:22">
      <c r="B722" s="33" t="str">
        <f t="shared" si="32"/>
        <v/>
      </c>
      <c r="U722" s="47" t="str">
        <f t="shared" si="34"/>
        <v/>
      </c>
      <c r="V722" s="48" t="str">
        <f t="shared" si="33"/>
        <v/>
      </c>
    </row>
    <row r="723" spans="2:22">
      <c r="B723" s="33" t="str">
        <f t="shared" si="32"/>
        <v/>
      </c>
      <c r="U723" s="47" t="str">
        <f t="shared" si="34"/>
        <v/>
      </c>
      <c r="V723" s="48" t="str">
        <f t="shared" si="33"/>
        <v/>
      </c>
    </row>
    <row r="724" spans="2:22">
      <c r="B724" s="33" t="str">
        <f t="shared" si="32"/>
        <v/>
      </c>
      <c r="U724" s="47" t="str">
        <f t="shared" si="34"/>
        <v/>
      </c>
      <c r="V724" s="48" t="str">
        <f t="shared" si="33"/>
        <v/>
      </c>
    </row>
    <row r="725" spans="2:22">
      <c r="B725" s="33" t="str">
        <f t="shared" si="32"/>
        <v/>
      </c>
      <c r="U725" s="47" t="str">
        <f t="shared" si="34"/>
        <v/>
      </c>
      <c r="V725" s="48" t="str">
        <f t="shared" si="33"/>
        <v/>
      </c>
    </row>
    <row r="726" spans="2:22">
      <c r="B726" s="33" t="str">
        <f t="shared" si="32"/>
        <v/>
      </c>
      <c r="U726" s="47" t="str">
        <f t="shared" si="34"/>
        <v/>
      </c>
      <c r="V726" s="48" t="str">
        <f t="shared" si="33"/>
        <v/>
      </c>
    </row>
    <row r="727" spans="2:22">
      <c r="B727" s="33" t="str">
        <f t="shared" si="32"/>
        <v/>
      </c>
      <c r="U727" s="47" t="str">
        <f t="shared" si="34"/>
        <v/>
      </c>
      <c r="V727" s="48" t="str">
        <f t="shared" si="33"/>
        <v/>
      </c>
    </row>
    <row r="728" spans="2:22">
      <c r="B728" s="33" t="str">
        <f t="shared" si="32"/>
        <v/>
      </c>
      <c r="U728" s="47" t="str">
        <f t="shared" si="34"/>
        <v/>
      </c>
      <c r="V728" s="48" t="str">
        <f t="shared" si="33"/>
        <v/>
      </c>
    </row>
    <row r="729" spans="2:22">
      <c r="B729" s="33" t="str">
        <f t="shared" si="32"/>
        <v/>
      </c>
      <c r="U729" s="47" t="str">
        <f t="shared" si="34"/>
        <v/>
      </c>
      <c r="V729" s="48" t="str">
        <f t="shared" si="33"/>
        <v/>
      </c>
    </row>
    <row r="730" spans="2:22">
      <c r="B730" s="33" t="str">
        <f t="shared" si="32"/>
        <v/>
      </c>
      <c r="U730" s="47" t="str">
        <f t="shared" si="34"/>
        <v/>
      </c>
      <c r="V730" s="48" t="str">
        <f t="shared" si="33"/>
        <v/>
      </c>
    </row>
    <row r="731" spans="2:22">
      <c r="B731" s="33" t="str">
        <f t="shared" si="32"/>
        <v/>
      </c>
      <c r="U731" s="47" t="str">
        <f t="shared" si="34"/>
        <v/>
      </c>
      <c r="V731" s="48" t="str">
        <f t="shared" si="33"/>
        <v/>
      </c>
    </row>
    <row r="732" spans="2:22">
      <c r="B732" s="33" t="str">
        <f t="shared" si="32"/>
        <v/>
      </c>
      <c r="U732" s="47" t="str">
        <f t="shared" si="34"/>
        <v/>
      </c>
      <c r="V732" s="48" t="str">
        <f t="shared" si="33"/>
        <v/>
      </c>
    </row>
    <row r="733" spans="2:22">
      <c r="B733" s="33" t="str">
        <f t="shared" si="32"/>
        <v/>
      </c>
      <c r="U733" s="47" t="str">
        <f t="shared" si="34"/>
        <v/>
      </c>
      <c r="V733" s="48" t="str">
        <f t="shared" si="33"/>
        <v/>
      </c>
    </row>
    <row r="734" spans="2:22">
      <c r="B734" s="33" t="str">
        <f t="shared" si="32"/>
        <v/>
      </c>
      <c r="U734" s="47" t="str">
        <f t="shared" si="34"/>
        <v/>
      </c>
      <c r="V734" s="48" t="str">
        <f t="shared" si="33"/>
        <v/>
      </c>
    </row>
    <row r="735" spans="2:22">
      <c r="B735" s="33" t="str">
        <f t="shared" si="32"/>
        <v/>
      </c>
      <c r="U735" s="47" t="str">
        <f t="shared" si="34"/>
        <v/>
      </c>
      <c r="V735" s="48" t="str">
        <f t="shared" si="33"/>
        <v/>
      </c>
    </row>
    <row r="736" spans="2:22">
      <c r="B736" s="33" t="str">
        <f t="shared" si="32"/>
        <v/>
      </c>
      <c r="U736" s="47" t="str">
        <f t="shared" si="34"/>
        <v/>
      </c>
      <c r="V736" s="48" t="str">
        <f t="shared" si="33"/>
        <v/>
      </c>
    </row>
    <row r="737" spans="2:22">
      <c r="B737" s="33" t="str">
        <f t="shared" si="32"/>
        <v/>
      </c>
      <c r="U737" s="47" t="str">
        <f t="shared" si="34"/>
        <v/>
      </c>
      <c r="V737" s="48" t="str">
        <f t="shared" si="33"/>
        <v/>
      </c>
    </row>
    <row r="738" spans="2:22">
      <c r="B738" s="33" t="str">
        <f t="shared" si="32"/>
        <v/>
      </c>
      <c r="U738" s="47" t="str">
        <f t="shared" si="34"/>
        <v/>
      </c>
      <c r="V738" s="48" t="str">
        <f t="shared" si="33"/>
        <v/>
      </c>
    </row>
    <row r="739" spans="2:22">
      <c r="B739" s="33" t="str">
        <f t="shared" si="32"/>
        <v/>
      </c>
      <c r="U739" s="47" t="str">
        <f t="shared" si="34"/>
        <v/>
      </c>
      <c r="V739" s="48" t="str">
        <f t="shared" si="33"/>
        <v/>
      </c>
    </row>
    <row r="740" spans="2:22">
      <c r="B740" s="33" t="str">
        <f t="shared" si="32"/>
        <v/>
      </c>
      <c r="U740" s="47" t="str">
        <f t="shared" si="34"/>
        <v/>
      </c>
      <c r="V740" s="48" t="str">
        <f t="shared" si="33"/>
        <v/>
      </c>
    </row>
    <row r="741" spans="2:22">
      <c r="B741" s="33" t="str">
        <f t="shared" si="32"/>
        <v/>
      </c>
      <c r="U741" s="47" t="str">
        <f t="shared" si="34"/>
        <v/>
      </c>
      <c r="V741" s="48" t="str">
        <f t="shared" si="33"/>
        <v/>
      </c>
    </row>
    <row r="742" spans="2:22">
      <c r="B742" s="33" t="str">
        <f t="shared" si="32"/>
        <v/>
      </c>
      <c r="U742" s="47" t="str">
        <f t="shared" si="34"/>
        <v/>
      </c>
      <c r="V742" s="48" t="str">
        <f t="shared" si="33"/>
        <v/>
      </c>
    </row>
    <row r="743" spans="2:22">
      <c r="B743" s="33" t="str">
        <f t="shared" si="32"/>
        <v/>
      </c>
      <c r="U743" s="47" t="str">
        <f t="shared" si="34"/>
        <v/>
      </c>
      <c r="V743" s="48" t="str">
        <f t="shared" si="33"/>
        <v/>
      </c>
    </row>
    <row r="744" spans="2:22">
      <c r="B744" s="33" t="str">
        <f t="shared" si="32"/>
        <v/>
      </c>
      <c r="U744" s="47" t="str">
        <f t="shared" si="34"/>
        <v/>
      </c>
      <c r="V744" s="48" t="str">
        <f t="shared" si="33"/>
        <v/>
      </c>
    </row>
    <row r="745" spans="2:22">
      <c r="B745" s="33" t="str">
        <f t="shared" si="32"/>
        <v/>
      </c>
      <c r="U745" s="47" t="str">
        <f t="shared" si="34"/>
        <v/>
      </c>
      <c r="V745" s="48" t="str">
        <f t="shared" si="33"/>
        <v/>
      </c>
    </row>
    <row r="746" spans="2:22">
      <c r="B746" s="33" t="str">
        <f t="shared" si="32"/>
        <v/>
      </c>
      <c r="U746" s="47" t="str">
        <f t="shared" si="34"/>
        <v/>
      </c>
      <c r="V746" s="48" t="str">
        <f t="shared" si="33"/>
        <v/>
      </c>
    </row>
    <row r="747" spans="2:22">
      <c r="B747" s="33" t="str">
        <f t="shared" si="32"/>
        <v/>
      </c>
      <c r="U747" s="47" t="str">
        <f t="shared" si="34"/>
        <v/>
      </c>
      <c r="V747" s="48" t="str">
        <f t="shared" si="33"/>
        <v/>
      </c>
    </row>
    <row r="748" spans="2:22">
      <c r="B748" s="33" t="str">
        <f t="shared" si="32"/>
        <v/>
      </c>
      <c r="U748" s="47" t="str">
        <f t="shared" si="34"/>
        <v/>
      </c>
      <c r="V748" s="48" t="str">
        <f t="shared" si="33"/>
        <v/>
      </c>
    </row>
    <row r="749" spans="2:22">
      <c r="B749" s="33" t="str">
        <f t="shared" si="32"/>
        <v/>
      </c>
      <c r="U749" s="47" t="str">
        <f t="shared" si="34"/>
        <v/>
      </c>
      <c r="V749" s="48" t="str">
        <f t="shared" si="33"/>
        <v/>
      </c>
    </row>
    <row r="750" spans="2:22">
      <c r="B750" s="33" t="str">
        <f t="shared" si="32"/>
        <v/>
      </c>
      <c r="U750" s="47" t="str">
        <f t="shared" si="34"/>
        <v/>
      </c>
      <c r="V750" s="48" t="str">
        <f t="shared" si="33"/>
        <v/>
      </c>
    </row>
  </sheetData>
  <phoneticPr fontId="13" type="noConversion"/>
  <conditionalFormatting sqref="V4:V750">
    <cfRule type="cellIs" dxfId="4" priority="1" operator="notEqual">
      <formula>0</formula>
    </cfRule>
  </conditionalFormatting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B1:M176"/>
  <sheetViews>
    <sheetView tabSelected="1" showOutlineSymbols="0" workbookViewId="0"/>
  </sheetViews>
  <sheetFormatPr defaultRowHeight="14.4"/>
  <cols>
    <col min="2" max="2" width="20.6640625" bestFit="1" customWidth="1"/>
    <col min="3" max="3" width="29.44140625" customWidth="1"/>
    <col min="4" max="4" width="30.33203125" customWidth="1"/>
    <col min="5" max="5" width="12.6640625" bestFit="1" customWidth="1"/>
    <col min="6" max="6" width="9.33203125" bestFit="1" customWidth="1"/>
    <col min="7" max="7" width="13.33203125" bestFit="1" customWidth="1"/>
    <col min="8" max="9" width="9.33203125" bestFit="1" customWidth="1"/>
    <col min="10" max="10" width="13.109375" bestFit="1" customWidth="1"/>
    <col min="12" max="12" width="19.5546875" bestFit="1" customWidth="1"/>
    <col min="13" max="13" width="16.88671875" bestFit="1" customWidth="1"/>
  </cols>
  <sheetData>
    <row r="1" spans="2:6">
      <c r="C1" s="2107" t="s">
        <v>116</v>
      </c>
    </row>
    <row r="2" spans="2:6" ht="15" thickBot="1">
      <c r="C2" s="2107"/>
    </row>
    <row r="3" spans="2:6">
      <c r="B3" s="2060"/>
      <c r="C3" s="2514" t="s">
        <v>3111</v>
      </c>
      <c r="D3" s="2514" t="s">
        <v>6154</v>
      </c>
    </row>
    <row r="4" spans="2:6" ht="15" thickBot="1">
      <c r="B4" s="31"/>
      <c r="C4" s="464" t="s">
        <v>6153</v>
      </c>
      <c r="D4" s="464" t="s">
        <v>6153</v>
      </c>
    </row>
    <row r="5" spans="2:6">
      <c r="B5" s="2456" t="s">
        <v>1823</v>
      </c>
      <c r="C5" s="192">
        <f>+SUMIFS('Transmission Interconnections'!B:B,'Transmission Interconnections'!A:A,"=TOTAL ASSET")</f>
        <v>31052307.041790407</v>
      </c>
      <c r="D5" s="672">
        <v>0</v>
      </c>
    </row>
    <row r="6" spans="2:6">
      <c r="B6" s="2456" t="s">
        <v>1824</v>
      </c>
      <c r="C6" s="68">
        <f>+SUMIFS('Transmission Interconnections'!B:B,'Transmission Interconnections'!A:A,"=TOTAL RESERVE")</f>
        <v>8500933.7692823987</v>
      </c>
      <c r="D6" s="672">
        <v>0</v>
      </c>
    </row>
    <row r="7" spans="2:6" ht="15" thickBot="1">
      <c r="B7" s="2515" t="s">
        <v>1825</v>
      </c>
      <c r="C7" s="70">
        <f>+SUMIFS('Transmission Interconnections'!B:B,'Transmission Interconnections'!A:A,"=TOTAL DEPR EXP")</f>
        <v>871532.92692192027</v>
      </c>
      <c r="D7" s="1553">
        <v>0</v>
      </c>
    </row>
    <row r="8" spans="2:6">
      <c r="C8" s="112"/>
    </row>
    <row r="9" spans="2:6" ht="15" thickBot="1"/>
    <row r="10" spans="2:6">
      <c r="B10" s="2060"/>
      <c r="C10" s="2514" t="s">
        <v>3112</v>
      </c>
      <c r="D10" s="2514" t="s">
        <v>6155</v>
      </c>
    </row>
    <row r="11" spans="2:6" ht="15" thickBot="1">
      <c r="B11" s="31"/>
      <c r="C11" s="464" t="s">
        <v>6153</v>
      </c>
      <c r="D11" s="464" t="s">
        <v>6153</v>
      </c>
    </row>
    <row r="12" spans="2:6">
      <c r="B12" s="2456" t="s">
        <v>1823</v>
      </c>
      <c r="C12" s="192">
        <f>+'Transmission GSU Investments'!V86</f>
        <v>139617582.8808929</v>
      </c>
      <c r="D12" s="672">
        <f>+'Transmission GSU Investments'!C4</f>
        <v>0</v>
      </c>
    </row>
    <row r="13" spans="2:6">
      <c r="B13" s="2456" t="s">
        <v>1824</v>
      </c>
      <c r="C13" s="68">
        <f>+'Transmission GSU Investments'!V179</f>
        <v>33596397.551347293</v>
      </c>
      <c r="D13" s="672">
        <f>+'Transmission GSU Investments'!C5</f>
        <v>0</v>
      </c>
    </row>
    <row r="14" spans="2:6" ht="15" thickBot="1">
      <c r="B14" s="2515" t="s">
        <v>1825</v>
      </c>
      <c r="C14" s="70">
        <f>+'Transmission GSU Investments'!V269</f>
        <v>3145893.9329739278</v>
      </c>
      <c r="D14" s="1553">
        <f>+'Transmission GSU Investments'!C6</f>
        <v>0</v>
      </c>
      <c r="F14" s="64"/>
    </row>
    <row r="15" spans="2:6">
      <c r="C15" s="112"/>
    </row>
    <row r="16" spans="2:6" ht="15" thickBot="1"/>
    <row r="17" spans="2:13">
      <c r="B17" s="139"/>
      <c r="C17" s="2514" t="s">
        <v>3114</v>
      </c>
    </row>
    <row r="18" spans="2:13" ht="15" thickBot="1">
      <c r="B18" s="119"/>
      <c r="C18" s="2516" t="s">
        <v>3113</v>
      </c>
    </row>
    <row r="19" spans="2:13" ht="15" thickBot="1">
      <c r="B19" s="120" t="s">
        <v>1825</v>
      </c>
      <c r="C19" s="71">
        <f>+SUMIFS('Accounting Schedule B-9'!H:H,'Accounting Schedule B-9'!D:D,"=ACQUISITION ADJUSTMENT - OUC")/1000</f>
        <v>0.18574932000000002</v>
      </c>
    </row>
    <row r="22" spans="2:13">
      <c r="B22" s="352" t="s">
        <v>2173</v>
      </c>
      <c r="C22" s="518"/>
      <c r="D22" s="549"/>
      <c r="E22" s="549"/>
      <c r="F22" s="549"/>
      <c r="G22" s="549"/>
      <c r="H22" s="549"/>
      <c r="I22" s="549"/>
      <c r="J22" s="550"/>
      <c r="L22" t="s">
        <v>8413</v>
      </c>
    </row>
    <row r="23" spans="2:13">
      <c r="B23" s="353" t="s">
        <v>3115</v>
      </c>
      <c r="C23" s="62"/>
      <c r="D23" s="328"/>
      <c r="E23" s="328"/>
      <c r="F23" s="328"/>
      <c r="G23" s="328"/>
      <c r="H23" s="328"/>
      <c r="I23" s="328"/>
      <c r="J23" s="536"/>
      <c r="L23" t="s">
        <v>8436</v>
      </c>
      <c r="M23" s="2394">
        <f>+'Accounting Schedule B-7'!R534</f>
        <v>1316495.31443</v>
      </c>
    </row>
    <row r="24" spans="2:13">
      <c r="B24" s="353" t="s">
        <v>9263</v>
      </c>
      <c r="C24" s="62"/>
      <c r="D24" s="328"/>
      <c r="E24" s="328"/>
      <c r="F24" s="328"/>
      <c r="G24" s="328"/>
      <c r="H24" s="328"/>
      <c r="I24" s="328"/>
      <c r="J24" s="536"/>
      <c r="L24" s="297" t="s">
        <v>8437</v>
      </c>
      <c r="M24" s="2517">
        <f>+E60</f>
        <v>1251152.2439899999</v>
      </c>
    </row>
    <row r="25" spans="2:13">
      <c r="B25" s="639"/>
      <c r="C25" s="546"/>
      <c r="D25" s="514"/>
      <c r="E25" s="514"/>
      <c r="F25" s="514"/>
      <c r="G25" s="514"/>
      <c r="H25" s="514"/>
      <c r="I25" s="514"/>
      <c r="J25" s="2518"/>
      <c r="M25" s="516">
        <f>+M23-M24</f>
        <v>65343.070440000156</v>
      </c>
    </row>
    <row r="26" spans="2:13" ht="15" thickBot="1">
      <c r="B26" s="535"/>
      <c r="C26" s="535"/>
      <c r="D26" s="328"/>
      <c r="E26" s="534"/>
      <c r="F26" s="3128" t="s">
        <v>3116</v>
      </c>
      <c r="G26" s="3129"/>
      <c r="H26" s="3129"/>
      <c r="I26" s="3130"/>
      <c r="J26" s="2520" t="s">
        <v>3117</v>
      </c>
      <c r="L26" t="s">
        <v>8438</v>
      </c>
      <c r="M26" s="2394">
        <f>-'SPP ADJ T&amp;D'!C23/1000</f>
        <v>-83143.069000000003</v>
      </c>
    </row>
    <row r="27" spans="2:13">
      <c r="B27" s="535"/>
      <c r="C27" s="535"/>
      <c r="D27" s="62"/>
      <c r="E27" s="280" t="s">
        <v>3118</v>
      </c>
      <c r="F27" s="363" t="s">
        <v>115</v>
      </c>
      <c r="G27" s="60" t="s">
        <v>3119</v>
      </c>
      <c r="H27" s="60" t="s">
        <v>3120</v>
      </c>
      <c r="I27" s="622"/>
      <c r="J27" s="280" t="s">
        <v>3121</v>
      </c>
      <c r="L27" s="297" t="s">
        <v>8439</v>
      </c>
      <c r="M27" s="2517">
        <f>+E33</f>
        <v>17799.99856</v>
      </c>
    </row>
    <row r="28" spans="2:13">
      <c r="B28" s="522" t="s">
        <v>2430</v>
      </c>
      <c r="C28" s="522" t="s">
        <v>2110</v>
      </c>
      <c r="D28" s="77" t="s">
        <v>35</v>
      </c>
      <c r="E28" s="523" t="s">
        <v>3122</v>
      </c>
      <c r="F28" s="522" t="s">
        <v>3116</v>
      </c>
      <c r="G28" s="77" t="s">
        <v>3123</v>
      </c>
      <c r="H28" s="77" t="s">
        <v>3124</v>
      </c>
      <c r="I28" s="364" t="s">
        <v>3125</v>
      </c>
      <c r="J28" s="523" t="s">
        <v>3126</v>
      </c>
      <c r="M28" s="2521">
        <f>+SUM(M25:M27)</f>
        <v>1.5279510989785194E-10</v>
      </c>
    </row>
    <row r="29" spans="2:13">
      <c r="B29" s="640" t="s">
        <v>2175</v>
      </c>
      <c r="C29" s="640" t="s">
        <v>2176</v>
      </c>
      <c r="D29" s="551" t="s">
        <v>2177</v>
      </c>
      <c r="E29" s="641" t="s">
        <v>2178</v>
      </c>
      <c r="F29" s="551" t="s">
        <v>2179</v>
      </c>
      <c r="G29" s="551" t="s">
        <v>2625</v>
      </c>
      <c r="H29" s="551" t="s">
        <v>2626</v>
      </c>
      <c r="I29" s="632" t="s">
        <v>2627</v>
      </c>
      <c r="J29" s="623" t="s">
        <v>2628</v>
      </c>
    </row>
    <row r="30" spans="2:13">
      <c r="B30" s="535"/>
      <c r="C30" s="535"/>
      <c r="D30" s="328"/>
      <c r="E30" s="534"/>
      <c r="F30" s="2522"/>
      <c r="G30" s="569"/>
      <c r="H30" s="569"/>
      <c r="I30" s="2523"/>
      <c r="J30" s="720"/>
      <c r="L30" t="s">
        <v>8440</v>
      </c>
      <c r="M30" s="2394">
        <f>+'Accounting Schedule B-7'!R384</f>
        <v>12162.25409</v>
      </c>
    </row>
    <row r="31" spans="2:13">
      <c r="B31" s="604">
        <v>1</v>
      </c>
      <c r="C31" s="604">
        <v>350</v>
      </c>
      <c r="D31" s="96" t="s">
        <v>3127</v>
      </c>
      <c r="E31" s="617">
        <f>+'Tranmission Substation Detail'!I176/1000</f>
        <v>8103.4800282220285</v>
      </c>
      <c r="F31" s="620">
        <f>+SUM(G31:I31)</f>
        <v>3688.9448295252478</v>
      </c>
      <c r="G31" s="565">
        <f>+'Tranmission Substation Detail'!I172/1000</f>
        <v>3688.9448295252478</v>
      </c>
      <c r="H31" s="2524">
        <v>0</v>
      </c>
      <c r="I31" s="2524">
        <v>0</v>
      </c>
      <c r="J31" s="723">
        <f>+E31-F31</f>
        <v>4414.5351986967808</v>
      </c>
      <c r="L31" s="297" t="s">
        <v>8441</v>
      </c>
      <c r="M31" s="2517">
        <f>+E40</f>
        <v>29962.252649999999</v>
      </c>
    </row>
    <row r="32" spans="2:13" ht="15.6">
      <c r="B32" s="604">
        <v>2</v>
      </c>
      <c r="C32" s="604">
        <v>350</v>
      </c>
      <c r="D32" s="96" t="s">
        <v>3128</v>
      </c>
      <c r="E32" s="625">
        <f>+'Tranmission Substation Detail'!I181/1000</f>
        <v>9696.5185317779706</v>
      </c>
      <c r="F32" s="624">
        <f>+SUM(G32:I32)</f>
        <v>9767.2559999999994</v>
      </c>
      <c r="G32" s="2524">
        <v>0</v>
      </c>
      <c r="H32" s="2524">
        <v>0</v>
      </c>
      <c r="I32" s="724">
        <f>+'Transmission Voltage Detail'!H11/1000</f>
        <v>9767.2559999999994</v>
      </c>
      <c r="J32" s="724">
        <f t="shared" ref="J32:J38" si="0">+E32-F32</f>
        <v>-70.737468222028838</v>
      </c>
      <c r="M32" s="516">
        <f>+M30-M31</f>
        <v>-17799.99856</v>
      </c>
    </row>
    <row r="33" spans="2:13">
      <c r="B33" s="604">
        <v>3</v>
      </c>
      <c r="C33" s="604"/>
      <c r="D33" s="96" t="s">
        <v>3129</v>
      </c>
      <c r="E33" s="617">
        <f>+SUM(E31:E32)</f>
        <v>17799.99856</v>
      </c>
      <c r="F33" s="620">
        <f>+SUM(G33:I33)</f>
        <v>13456.200829525247</v>
      </c>
      <c r="G33" s="565">
        <f>+SUM(G31:G32)</f>
        <v>3688.9448295252478</v>
      </c>
      <c r="H33" s="565">
        <f>+SUM(H31:H32)</f>
        <v>0</v>
      </c>
      <c r="I33" s="565">
        <f>+SUM(I31:I32)</f>
        <v>9767.2559999999994</v>
      </c>
      <c r="J33" s="723">
        <f t="shared" si="0"/>
        <v>4343.7977304747528</v>
      </c>
      <c r="L33" t="s">
        <v>8438</v>
      </c>
      <c r="M33" s="2394">
        <v>0</v>
      </c>
    </row>
    <row r="34" spans="2:13">
      <c r="B34" s="604">
        <v>4</v>
      </c>
      <c r="C34" s="604"/>
      <c r="D34" s="96"/>
      <c r="E34" s="617"/>
      <c r="F34" s="565"/>
      <c r="G34" s="565"/>
      <c r="H34" s="565"/>
      <c r="I34" s="722"/>
      <c r="J34" s="723"/>
      <c r="L34" s="297" t="s">
        <v>8439</v>
      </c>
      <c r="M34" s="2517">
        <f>+E33</f>
        <v>17799.99856</v>
      </c>
    </row>
    <row r="35" spans="2:13">
      <c r="B35" s="604">
        <v>5</v>
      </c>
      <c r="C35" s="604">
        <v>350.01</v>
      </c>
      <c r="D35" s="96" t="s">
        <v>3130</v>
      </c>
      <c r="E35" s="617">
        <f>+SUMIFS('300s - 5 Digit FERC Accounts'!D:D,'300s - 5 Digit FERC Accounts'!B:B,35001)/1000</f>
        <v>12162.25409</v>
      </c>
      <c r="F35" s="721">
        <f>+SUM(G35:I35)</f>
        <v>6535.7420000000002</v>
      </c>
      <c r="G35" s="2524">
        <v>0</v>
      </c>
      <c r="H35" s="2524">
        <v>0</v>
      </c>
      <c r="I35" s="722">
        <f>+'Transmission Voltage Detail'!H12/1000</f>
        <v>6535.7420000000002</v>
      </c>
      <c r="J35" s="723">
        <f t="shared" si="0"/>
        <v>5626.5120900000002</v>
      </c>
      <c r="M35" s="2521">
        <f>+SUM(M32:M34)</f>
        <v>0</v>
      </c>
    </row>
    <row r="36" spans="2:13">
      <c r="B36" s="604">
        <v>6</v>
      </c>
      <c r="C36" s="604"/>
      <c r="D36" s="96"/>
      <c r="E36" s="617"/>
      <c r="F36" s="565"/>
      <c r="G36" s="565"/>
      <c r="H36" s="565"/>
      <c r="I36" s="722"/>
      <c r="J36" s="723"/>
    </row>
    <row r="37" spans="2:13">
      <c r="B37" s="604">
        <v>7</v>
      </c>
      <c r="C37" s="604"/>
      <c r="D37" s="96" t="s">
        <v>3131</v>
      </c>
      <c r="E37" s="617">
        <f>+E31</f>
        <v>8103.4800282220285</v>
      </c>
      <c r="F37" s="721">
        <f>+SUM(G37:I37)</f>
        <v>3688.9448295252478</v>
      </c>
      <c r="G37" s="565">
        <f>+G31</f>
        <v>3688.9448295252478</v>
      </c>
      <c r="H37" s="2524">
        <v>0</v>
      </c>
      <c r="I37" s="565">
        <f>+I31</f>
        <v>0</v>
      </c>
      <c r="J37" s="723">
        <f t="shared" si="0"/>
        <v>4414.5351986967808</v>
      </c>
      <c r="L37" t="s">
        <v>8442</v>
      </c>
      <c r="M37" s="2394">
        <f>+'Accounting Schedule B-7'!R386+'Accounting Schedule B-7'!R387</f>
        <v>534727.23102000006</v>
      </c>
    </row>
    <row r="38" spans="2:13">
      <c r="B38" s="604">
        <v>8</v>
      </c>
      <c r="C38" s="604"/>
      <c r="D38" s="96" t="s">
        <v>3132</v>
      </c>
      <c r="E38" s="617">
        <f>+E32+E35</f>
        <v>21858.772621777971</v>
      </c>
      <c r="F38" s="721">
        <f>+SUM(G38:I38)</f>
        <v>16302.998</v>
      </c>
      <c r="G38" s="565">
        <f>+G32+G35</f>
        <v>0</v>
      </c>
      <c r="H38" s="2524">
        <v>0</v>
      </c>
      <c r="I38" s="565">
        <f>+I32+I35</f>
        <v>16302.998</v>
      </c>
      <c r="J38" s="723">
        <f t="shared" si="0"/>
        <v>5555.7746217779713</v>
      </c>
      <c r="L38" s="297" t="s">
        <v>8443</v>
      </c>
      <c r="M38" s="2517">
        <f>+E45</f>
        <v>534508.84701999999</v>
      </c>
    </row>
    <row r="39" spans="2:13">
      <c r="B39" s="604">
        <v>9</v>
      </c>
      <c r="C39" s="604"/>
      <c r="D39" s="96"/>
      <c r="E39" s="617"/>
      <c r="F39" s="565"/>
      <c r="G39" s="565"/>
      <c r="H39" s="565"/>
      <c r="I39" s="722"/>
      <c r="J39" s="723"/>
      <c r="M39" s="516">
        <f>+M37-M38</f>
        <v>218.38400000007823</v>
      </c>
    </row>
    <row r="40" spans="2:13">
      <c r="B40" s="2525">
        <v>10</v>
      </c>
      <c r="C40" s="2526" t="s">
        <v>3133</v>
      </c>
      <c r="D40" s="2527"/>
      <c r="E40" s="618">
        <f>+SUM(E37:E38)</f>
        <v>29962.252649999999</v>
      </c>
      <c r="F40" s="725">
        <f>+SUM(G40:I40)</f>
        <v>19991.942829525247</v>
      </c>
      <c r="G40" s="726">
        <f>+SUM(G37:G38)</f>
        <v>3688.9448295252478</v>
      </c>
      <c r="H40" s="726">
        <f>+SUM(H37:H38)</f>
        <v>0</v>
      </c>
      <c r="I40" s="727">
        <f>+SUM(I37:I38)</f>
        <v>16302.998</v>
      </c>
      <c r="J40" s="728">
        <f>+SUM(J37:J38)</f>
        <v>9970.3098204747512</v>
      </c>
      <c r="L40" t="s">
        <v>8438</v>
      </c>
      <c r="M40" s="2394">
        <f>-(+'SPP ADJ T&amp;D'!C11+'SPP ADJ T&amp;D'!C12)/1000</f>
        <v>-218.38399999999999</v>
      </c>
    </row>
    <row r="41" spans="2:13">
      <c r="B41" s="604">
        <v>11</v>
      </c>
      <c r="C41" s="2415"/>
      <c r="D41" s="96"/>
      <c r="E41" s="617"/>
      <c r="F41" s="721"/>
      <c r="G41" s="565"/>
      <c r="H41" s="565"/>
      <c r="I41" s="565"/>
      <c r="J41" s="723"/>
      <c r="L41" s="297" t="s">
        <v>8439</v>
      </c>
      <c r="M41" s="2517">
        <v>0</v>
      </c>
    </row>
    <row r="42" spans="2:13">
      <c r="B42" s="604">
        <v>12</v>
      </c>
      <c r="C42" s="604">
        <v>352</v>
      </c>
      <c r="D42" s="96" t="s">
        <v>3134</v>
      </c>
      <c r="E42" s="617">
        <f>+SUMIFS('300s - 5 Digit FERC Accounts'!D:D,'300s - 5 Digit FERC Accounts'!B:B,35200)/1000</f>
        <v>76277.379719999997</v>
      </c>
      <c r="F42" s="721">
        <f>+SUM(G42:I42)</f>
        <v>17608.212420695203</v>
      </c>
      <c r="G42" s="565">
        <f>+'Tranmission Substation Detail'!K172/1000</f>
        <v>17608.212420695203</v>
      </c>
      <c r="H42" s="2524">
        <v>0</v>
      </c>
      <c r="I42" s="2524">
        <v>0</v>
      </c>
      <c r="J42" s="723">
        <f>+E42-F42</f>
        <v>58669.167299304798</v>
      </c>
      <c r="M42" s="2521">
        <f>+SUM(M39:M41)</f>
        <v>7.8244966061902232E-11</v>
      </c>
    </row>
    <row r="43" spans="2:13">
      <c r="B43" s="604">
        <v>13</v>
      </c>
      <c r="C43" s="604" t="s">
        <v>3135</v>
      </c>
      <c r="D43" s="96" t="s">
        <v>3136</v>
      </c>
      <c r="E43" s="617">
        <f>+SUMIFS('300s - 5 Digit FERC Accounts'!D:D,'300s - 5 Digit FERC Accounts'!B:B,35300)/1000-'SPP ADJ T&amp;D'!C12/1000</f>
        <v>458231.46730000002</v>
      </c>
      <c r="F43" s="721">
        <f>+SUM(G43:I43)</f>
        <v>280396.76988349954</v>
      </c>
      <c r="G43" s="565">
        <f>+(C5+C12)/1000</f>
        <v>170669.8899226833</v>
      </c>
      <c r="H43" s="565">
        <f>+'Tranmission Substation Detail'!G173/1000</f>
        <v>109726.87996081624</v>
      </c>
      <c r="I43" s="2524">
        <v>0</v>
      </c>
      <c r="J43" s="723">
        <f>+E43-F43</f>
        <v>177834.69741650048</v>
      </c>
    </row>
    <row r="44" spans="2:13">
      <c r="B44" s="604">
        <v>14</v>
      </c>
      <c r="C44" s="2415"/>
      <c r="D44" s="96" t="s">
        <v>3137</v>
      </c>
      <c r="E44" s="617"/>
      <c r="F44" s="565"/>
      <c r="G44" s="565"/>
      <c r="H44" s="565"/>
      <c r="I44" s="722"/>
      <c r="J44" s="723"/>
      <c r="L44" t="s">
        <v>8444</v>
      </c>
      <c r="M44" s="2394">
        <f>+SUM('Accounting Schedule B-7'!R388:R394)</f>
        <v>769605.82932000002</v>
      </c>
    </row>
    <row r="45" spans="2:13">
      <c r="B45" s="2525">
        <v>15</v>
      </c>
      <c r="C45" s="2526" t="s">
        <v>3138</v>
      </c>
      <c r="D45" s="2528"/>
      <c r="E45" s="618">
        <f>+SUM(E42:E43)</f>
        <v>534508.84701999999</v>
      </c>
      <c r="F45" s="725">
        <f>+SUM(G45:I45)</f>
        <v>298004.98230419471</v>
      </c>
      <c r="G45" s="726">
        <f>+SUM(G42:G43)</f>
        <v>188278.1023433785</v>
      </c>
      <c r="H45" s="726">
        <f>+SUM(H42:H43)</f>
        <v>109726.87996081624</v>
      </c>
      <c r="I45" s="727">
        <f>+SUM(I42:I43)</f>
        <v>0</v>
      </c>
      <c r="J45" s="727">
        <f>+SUM(J42:J43)</f>
        <v>236503.86471580528</v>
      </c>
      <c r="L45" s="297" t="s">
        <v>8445</v>
      </c>
      <c r="M45" s="2517">
        <f>+E56</f>
        <v>686681.14431999996</v>
      </c>
    </row>
    <row r="46" spans="2:13">
      <c r="B46" s="604">
        <v>16</v>
      </c>
      <c r="C46" s="2415"/>
      <c r="D46" s="96"/>
      <c r="E46" s="617"/>
      <c r="F46" s="721"/>
      <c r="G46" s="565"/>
      <c r="H46" s="565"/>
      <c r="I46" s="565"/>
      <c r="J46" s="723"/>
      <c r="M46" s="516">
        <f>+M44-M45</f>
        <v>82924.685000000056</v>
      </c>
    </row>
    <row r="47" spans="2:13">
      <c r="B47" s="604">
        <v>17</v>
      </c>
      <c r="C47" s="604">
        <v>354</v>
      </c>
      <c r="D47" s="96" t="s">
        <v>3139</v>
      </c>
      <c r="E47" s="617">
        <f>+SUMIFS('300s - 5 Digit FERC Accounts'!D:D,'300s - 5 Digit FERC Accounts'!B:B,35400)/1000</f>
        <v>5092.0605500000001</v>
      </c>
      <c r="F47" s="721">
        <f>+SUM(G47:I47)</f>
        <v>3671.5360000000001</v>
      </c>
      <c r="G47" s="2524">
        <v>0</v>
      </c>
      <c r="H47" s="2524">
        <v>0</v>
      </c>
      <c r="I47" s="722">
        <f>+'Transmission Voltage Detail'!H13/1000</f>
        <v>3671.5360000000001</v>
      </c>
      <c r="J47" s="723">
        <f>+E47-F47</f>
        <v>1420.5245500000001</v>
      </c>
      <c r="L47" t="s">
        <v>8438</v>
      </c>
      <c r="M47" s="2394">
        <f>-SUM('SPP ADJ T&amp;D'!C13:C19)/1000</f>
        <v>-82924.684999999998</v>
      </c>
    </row>
    <row r="48" spans="2:13">
      <c r="B48" s="604">
        <v>18</v>
      </c>
      <c r="C48" s="604"/>
      <c r="D48" s="96"/>
      <c r="E48" s="617"/>
      <c r="F48" s="721"/>
      <c r="G48" s="565"/>
      <c r="H48" s="565"/>
      <c r="I48" s="729"/>
      <c r="J48" s="723"/>
      <c r="L48" s="297" t="s">
        <v>8439</v>
      </c>
      <c r="M48" s="2517">
        <v>0</v>
      </c>
    </row>
    <row r="49" spans="2:13">
      <c r="B49" s="604">
        <v>19</v>
      </c>
      <c r="C49" s="604">
        <v>355</v>
      </c>
      <c r="D49" s="96" t="s">
        <v>3140</v>
      </c>
      <c r="E49" s="617">
        <f>+(SUMIFS('300s - 5 Digit FERC Accounts'!D:D,'300s - 5 Digit FERC Accounts'!B:B,35500)/1000)-('SPP ADJ T&amp;D'!C14/1000)</f>
        <v>453647.14867999998</v>
      </c>
      <c r="F49" s="721">
        <f t="shared" ref="F49:F54" si="1">+SUM(G49:I49)</f>
        <v>293408.92499999999</v>
      </c>
      <c r="G49" s="2524">
        <v>0</v>
      </c>
      <c r="H49" s="2524">
        <v>0</v>
      </c>
      <c r="I49" s="722">
        <f>+'Transmission Voltage Detail'!H14/1000</f>
        <v>293408.92499999999</v>
      </c>
      <c r="J49" s="723">
        <f t="shared" ref="J49:J54" si="2">+E49-F49</f>
        <v>160238.22368</v>
      </c>
      <c r="M49" s="2521">
        <f>+SUM(M46:M48)</f>
        <v>5.8207660913467407E-11</v>
      </c>
    </row>
    <row r="50" spans="2:13">
      <c r="B50" s="604">
        <v>20</v>
      </c>
      <c r="C50" s="604">
        <v>356</v>
      </c>
      <c r="D50" s="96" t="s">
        <v>3141</v>
      </c>
      <c r="E50" s="617">
        <f>(+SUMIFS('300s - 5 Digit FERC Accounts'!D:D,'300s - 5 Digit FERC Accounts'!B:B,35600)/1000)+(SUMIFS('Surv Report Sched 2 pg 1'!D:D,'Surv Report Sched 2 pg 1'!B:B,"=Acquisition Book Values")/1000)-('SPP ADJ T&amp;D'!C15/1000)</f>
        <v>188926.12715999997</v>
      </c>
      <c r="F50" s="721">
        <f t="shared" si="1"/>
        <v>92412.298999999999</v>
      </c>
      <c r="G50" s="2524">
        <v>0</v>
      </c>
      <c r="H50" s="2524">
        <v>0</v>
      </c>
      <c r="I50" s="722">
        <f>+'Transmission Voltage Detail'!H15/1000</f>
        <v>92412.298999999999</v>
      </c>
      <c r="J50" s="723">
        <f t="shared" si="2"/>
        <v>96513.828159999975</v>
      </c>
    </row>
    <row r="51" spans="2:13">
      <c r="B51" s="604">
        <v>21</v>
      </c>
      <c r="C51" s="604">
        <v>356.01</v>
      </c>
      <c r="D51" s="96" t="s">
        <v>3142</v>
      </c>
      <c r="E51" s="617">
        <f>+SUMIFS('300s - 5 Digit FERC Accounts'!D:D,'300s - 5 Digit FERC Accounts'!B:B,35601)/1000</f>
        <v>2110.61013</v>
      </c>
      <c r="F51" s="721">
        <f t="shared" si="1"/>
        <v>1599.587</v>
      </c>
      <c r="G51" s="2524">
        <v>0</v>
      </c>
      <c r="H51" s="2524">
        <v>0</v>
      </c>
      <c r="I51" s="722">
        <f>+'Transmission Voltage Detail'!H16/1000</f>
        <v>1599.587</v>
      </c>
      <c r="J51" s="723">
        <f t="shared" si="2"/>
        <v>511.02313000000004</v>
      </c>
      <c r="L51" t="s">
        <v>8427</v>
      </c>
      <c r="M51" s="2521">
        <f>+SUM(M44,M37,M30)-M23</f>
        <v>0</v>
      </c>
    </row>
    <row r="52" spans="2:13">
      <c r="B52" s="604">
        <v>22</v>
      </c>
      <c r="C52" s="604">
        <v>357</v>
      </c>
      <c r="D52" s="96" t="s">
        <v>3143</v>
      </c>
      <c r="E52" s="617">
        <f>+SUMIFS('300s - 5 Digit FERC Accounts'!D:D,'300s - 5 Digit FERC Accounts'!B:B,35700)/1000</f>
        <v>4322.8605299999999</v>
      </c>
      <c r="F52" s="721">
        <f t="shared" si="1"/>
        <v>0</v>
      </c>
      <c r="G52" s="2524">
        <v>0</v>
      </c>
      <c r="H52" s="2524">
        <v>0</v>
      </c>
      <c r="I52" s="722">
        <f>+'Transmission Voltage Detail'!H17/1000</f>
        <v>0</v>
      </c>
      <c r="J52" s="723">
        <f t="shared" si="2"/>
        <v>4322.8605299999999</v>
      </c>
      <c r="L52" s="297" t="s">
        <v>8426</v>
      </c>
      <c r="M52" s="2529">
        <f>+SUM(M45,M38,M31)-M24</f>
        <v>0</v>
      </c>
    </row>
    <row r="53" spans="2:13">
      <c r="B53" s="604">
        <v>23</v>
      </c>
      <c r="C53" s="604">
        <v>358</v>
      </c>
      <c r="D53" s="96" t="s">
        <v>3144</v>
      </c>
      <c r="E53" s="617">
        <f>+SUMIFS('300s - 5 Digit FERC Accounts'!D:D,'300s - 5 Digit FERC Accounts'!B:B,35800)/1000</f>
        <v>12363.044739999999</v>
      </c>
      <c r="F53" s="721">
        <f t="shared" si="1"/>
        <v>0</v>
      </c>
      <c r="G53" s="2524">
        <v>0</v>
      </c>
      <c r="H53" s="2524">
        <v>0</v>
      </c>
      <c r="I53" s="722">
        <f>+'Transmission Voltage Detail'!H18/1000</f>
        <v>0</v>
      </c>
      <c r="J53" s="723">
        <f t="shared" si="2"/>
        <v>12363.044739999999</v>
      </c>
      <c r="M53" s="2521">
        <f>+M51-M52</f>
        <v>0</v>
      </c>
    </row>
    <row r="54" spans="2:13">
      <c r="B54" s="604">
        <v>24</v>
      </c>
      <c r="C54" s="604">
        <v>359</v>
      </c>
      <c r="D54" s="2530" t="s">
        <v>3145</v>
      </c>
      <c r="E54" s="617">
        <f>(+SUMIFS('300s - 5 Digit FERC Accounts'!D:D,'300s - 5 Digit FERC Accounts'!B:B,35900)/1000)-('SPP ADJ T&amp;D'!C19/1000)</f>
        <v>20219.292530000002</v>
      </c>
      <c r="F54" s="721">
        <f t="shared" si="1"/>
        <v>17064.925999999999</v>
      </c>
      <c r="G54" s="2524">
        <v>0</v>
      </c>
      <c r="H54" s="2524">
        <v>0</v>
      </c>
      <c r="I54" s="722">
        <f>+'Transmission Voltage Detail'!H19/1000</f>
        <v>17064.925999999999</v>
      </c>
      <c r="J54" s="723">
        <f t="shared" si="2"/>
        <v>3154.366530000003</v>
      </c>
      <c r="L54" t="s">
        <v>8438</v>
      </c>
      <c r="M54" s="2521">
        <f>+SUM(M47,M40,M33)-M26</f>
        <v>0</v>
      </c>
    </row>
    <row r="55" spans="2:13">
      <c r="B55" s="604">
        <v>25</v>
      </c>
      <c r="C55" s="2417"/>
      <c r="D55" s="545"/>
      <c r="E55" s="621"/>
      <c r="F55" s="574"/>
      <c r="G55" s="574"/>
      <c r="H55" s="574"/>
      <c r="I55" s="730"/>
      <c r="J55" s="731"/>
      <c r="L55" s="297" t="s">
        <v>8439</v>
      </c>
      <c r="M55" s="2529">
        <f>+SUM(M48,M41,M34)-M27</f>
        <v>0</v>
      </c>
    </row>
    <row r="56" spans="2:13">
      <c r="B56" s="2525">
        <v>26</v>
      </c>
      <c r="C56" s="2526" t="s">
        <v>3146</v>
      </c>
      <c r="D56" s="2528"/>
      <c r="E56" s="618">
        <f>+SUM(E47:E54)</f>
        <v>686681.14431999996</v>
      </c>
      <c r="F56" s="725">
        <f>+SUM(G56:I56)</f>
        <v>408157.27299999999</v>
      </c>
      <c r="G56" s="726">
        <f>+SUM(G47,G49:G54)</f>
        <v>0</v>
      </c>
      <c r="H56" s="726">
        <f>+SUM(H47,H49:H54)</f>
        <v>0</v>
      </c>
      <c r="I56" s="727">
        <f>+SUM(I47,I49:I54)</f>
        <v>408157.27299999999</v>
      </c>
      <c r="J56" s="727">
        <f>+SUM(J47,J49:J54)</f>
        <v>278523.87131999992</v>
      </c>
      <c r="M56" s="2521">
        <f>+SUM(M53:M55)</f>
        <v>0</v>
      </c>
    </row>
    <row r="57" spans="2:13">
      <c r="B57" s="604">
        <v>27</v>
      </c>
      <c r="C57" s="2415"/>
      <c r="D57" s="96"/>
      <c r="E57" s="617"/>
      <c r="F57" s="721"/>
      <c r="G57" s="565"/>
      <c r="H57" s="565"/>
      <c r="I57" s="722"/>
      <c r="J57" s="723"/>
    </row>
    <row r="58" spans="2:13">
      <c r="B58" s="604">
        <v>28</v>
      </c>
      <c r="C58" s="2415"/>
      <c r="D58" s="96"/>
      <c r="E58" s="617"/>
      <c r="F58" s="732"/>
      <c r="G58" s="733"/>
      <c r="H58" s="733"/>
      <c r="I58" s="734"/>
      <c r="J58" s="735"/>
    </row>
    <row r="59" spans="2:13">
      <c r="B59" s="604">
        <v>29</v>
      </c>
      <c r="C59" s="2415"/>
      <c r="D59" s="96"/>
      <c r="E59" s="617"/>
      <c r="F59" s="721"/>
      <c r="G59" s="565"/>
      <c r="H59" s="565"/>
      <c r="I59" s="722"/>
      <c r="J59" s="723"/>
    </row>
    <row r="60" spans="2:13">
      <c r="B60" s="637">
        <v>30</v>
      </c>
      <c r="C60" s="2497" t="s">
        <v>3147</v>
      </c>
      <c r="D60" s="638"/>
      <c r="E60" s="619">
        <f>+SUM(E40,E45,E56)</f>
        <v>1251152.2439899999</v>
      </c>
      <c r="F60" s="740">
        <f>+SUM(G60:I60)</f>
        <v>726154.19813372009</v>
      </c>
      <c r="G60" s="736">
        <f>+G40+G45+G56</f>
        <v>191967.04717290375</v>
      </c>
      <c r="H60" s="736">
        <f>+H40+H45+H56</f>
        <v>109726.87996081624</v>
      </c>
      <c r="I60" s="737">
        <f>+I40+I45+I56</f>
        <v>424460.27100000001</v>
      </c>
      <c r="J60" s="738">
        <f>+J40+J45+J56</f>
        <v>524998.04585628002</v>
      </c>
    </row>
    <row r="61" spans="2:13">
      <c r="B61" s="604">
        <v>31</v>
      </c>
      <c r="C61" s="2415"/>
      <c r="D61" s="96"/>
      <c r="E61" s="617"/>
      <c r="F61" s="721"/>
      <c r="G61" s="565"/>
      <c r="H61" s="565"/>
      <c r="I61" s="722"/>
      <c r="J61" s="723"/>
    </row>
    <row r="62" spans="2:13">
      <c r="B62" s="604">
        <v>32</v>
      </c>
      <c r="C62" s="2415"/>
      <c r="D62" s="96"/>
      <c r="E62" s="617"/>
      <c r="F62" s="721"/>
      <c r="G62" s="565"/>
      <c r="H62" s="565"/>
      <c r="I62" s="722"/>
      <c r="J62" s="723"/>
    </row>
    <row r="63" spans="2:13">
      <c r="B63" s="604">
        <v>33</v>
      </c>
      <c r="C63" s="2531" t="s">
        <v>3148</v>
      </c>
      <c r="D63" s="96"/>
      <c r="E63" s="617"/>
      <c r="F63" s="721"/>
      <c r="G63" s="565"/>
      <c r="H63" s="565"/>
      <c r="I63" s="722"/>
      <c r="J63" s="723"/>
    </row>
    <row r="64" spans="2:13">
      <c r="B64" s="604">
        <v>34</v>
      </c>
      <c r="C64" s="2415" t="s">
        <v>3149</v>
      </c>
      <c r="D64" s="96"/>
      <c r="E64" s="620">
        <f>+E45+E37</f>
        <v>542612.32704822207</v>
      </c>
      <c r="F64" s="721">
        <f>+SUM(G64:I64)</f>
        <v>301693.92713372002</v>
      </c>
      <c r="G64" s="565">
        <f>+G37+G45</f>
        <v>191967.04717290375</v>
      </c>
      <c r="H64" s="565">
        <f>+H37+H45</f>
        <v>109726.87996081624</v>
      </c>
      <c r="I64" s="722">
        <f>+I37+I45</f>
        <v>0</v>
      </c>
      <c r="J64" s="722">
        <f>+J37+J45</f>
        <v>240918.39991450205</v>
      </c>
    </row>
    <row r="65" spans="2:10">
      <c r="B65" s="2532">
        <v>35</v>
      </c>
      <c r="C65" s="2417" t="s">
        <v>3150</v>
      </c>
      <c r="D65" s="545"/>
      <c r="E65" s="621">
        <f>+E56+E38</f>
        <v>708539.91694177792</v>
      </c>
      <c r="F65" s="739">
        <f>+SUM(G65:I65)</f>
        <v>424460.27100000001</v>
      </c>
      <c r="G65" s="574">
        <f>+G38+G56</f>
        <v>0</v>
      </c>
      <c r="H65" s="574">
        <f>+H38+H56</f>
        <v>0</v>
      </c>
      <c r="I65" s="730">
        <f>+I38+I56</f>
        <v>424460.27100000001</v>
      </c>
      <c r="J65" s="730">
        <f>+J38+J56</f>
        <v>284079.64594177791</v>
      </c>
    </row>
    <row r="66" spans="2:10" ht="15" thickBot="1">
      <c r="B66" s="328"/>
      <c r="C66" s="328"/>
      <c r="D66" s="328"/>
      <c r="E66" s="328"/>
      <c r="F66" s="328"/>
      <c r="G66" s="328"/>
      <c r="H66" s="328"/>
      <c r="I66" s="328"/>
      <c r="J66" s="328"/>
    </row>
    <row r="67" spans="2:10">
      <c r="B67" s="2533" t="s">
        <v>3151</v>
      </c>
      <c r="C67" s="2533"/>
      <c r="D67" s="2533"/>
      <c r="E67" s="2534"/>
      <c r="F67" s="2535"/>
      <c r="G67" s="633"/>
      <c r="H67" s="633"/>
      <c r="I67" s="633"/>
      <c r="J67" s="634"/>
    </row>
    <row r="68" spans="2:10">
      <c r="B68" s="642"/>
      <c r="C68" s="328"/>
      <c r="D68" s="328"/>
      <c r="E68" s="328"/>
      <c r="F68" s="328"/>
      <c r="G68" s="328"/>
      <c r="H68" s="328"/>
      <c r="I68" s="328"/>
      <c r="J68" s="635"/>
    </row>
    <row r="69" spans="2:10">
      <c r="B69" s="98"/>
      <c r="C69" s="328"/>
      <c r="D69" s="328"/>
      <c r="E69" s="328"/>
      <c r="F69" s="328"/>
      <c r="G69" s="3064" t="s">
        <v>3116</v>
      </c>
      <c r="H69" s="3064"/>
      <c r="I69" s="3064"/>
      <c r="J69" s="40" t="s">
        <v>3117</v>
      </c>
    </row>
    <row r="70" spans="2:10" ht="27">
      <c r="B70" s="95" t="s">
        <v>3152</v>
      </c>
      <c r="C70" s="96" t="s">
        <v>3153</v>
      </c>
      <c r="D70" s="96"/>
      <c r="E70" s="96"/>
      <c r="F70" s="626" t="s">
        <v>122</v>
      </c>
      <c r="G70" s="627" t="s">
        <v>3154</v>
      </c>
      <c r="H70" s="626" t="s">
        <v>3155</v>
      </c>
      <c r="I70" s="626" t="s">
        <v>3125</v>
      </c>
      <c r="J70" s="2536" t="s">
        <v>3156</v>
      </c>
    </row>
    <row r="71" spans="2:10">
      <c r="B71" s="95"/>
      <c r="C71" s="290">
        <v>350</v>
      </c>
      <c r="D71" s="96" t="s">
        <v>3127</v>
      </c>
      <c r="E71" s="96"/>
      <c r="F71" s="569">
        <f>+SUM(G71:J71)</f>
        <v>4414.5351986967808</v>
      </c>
      <c r="G71" s="2537"/>
      <c r="H71" s="2538"/>
      <c r="I71" s="2538"/>
      <c r="J71" s="2539">
        <f>+J37</f>
        <v>4414.5351986967808</v>
      </c>
    </row>
    <row r="72" spans="2:10">
      <c r="B72" s="98"/>
      <c r="C72" s="290">
        <v>352</v>
      </c>
      <c r="D72" s="328" t="s">
        <v>3157</v>
      </c>
      <c r="E72" s="328"/>
      <c r="F72" s="569">
        <f>+SUM(G72:J72)</f>
        <v>76277.379719999997</v>
      </c>
      <c r="G72" s="569">
        <f t="shared" ref="G72:J73" si="3">+G42</f>
        <v>17608.212420695203</v>
      </c>
      <c r="H72" s="569">
        <f t="shared" si="3"/>
        <v>0</v>
      </c>
      <c r="I72" s="569">
        <f t="shared" si="3"/>
        <v>0</v>
      </c>
      <c r="J72" s="2539">
        <f t="shared" si="3"/>
        <v>58669.167299304798</v>
      </c>
    </row>
    <row r="73" spans="2:10">
      <c r="B73" s="98"/>
      <c r="C73" s="290" t="s">
        <v>3135</v>
      </c>
      <c r="D73" s="328" t="s">
        <v>3158</v>
      </c>
      <c r="E73" s="328"/>
      <c r="F73" s="569">
        <f>+SUM(G73:J73)</f>
        <v>458231.46730000002</v>
      </c>
      <c r="G73" s="2540">
        <f t="shared" si="3"/>
        <v>170669.8899226833</v>
      </c>
      <c r="H73" s="2540">
        <f t="shared" si="3"/>
        <v>109726.87996081624</v>
      </c>
      <c r="I73" s="2540">
        <f t="shared" si="3"/>
        <v>0</v>
      </c>
      <c r="J73" s="2541">
        <f t="shared" si="3"/>
        <v>177834.69741650048</v>
      </c>
    </row>
    <row r="74" spans="2:10">
      <c r="B74" s="98"/>
      <c r="C74" s="290"/>
      <c r="D74" s="96" t="s">
        <v>3159</v>
      </c>
      <c r="E74" s="96"/>
      <c r="F74" s="745">
        <f>+SUM(F71:F73)</f>
        <v>538923.38221869676</v>
      </c>
      <c r="G74" s="570">
        <f>+SUM(G71:G73)</f>
        <v>188278.1023433785</v>
      </c>
      <c r="H74" s="570">
        <f>+SUM(H71:H73)</f>
        <v>109726.87996081624</v>
      </c>
      <c r="I74" s="570">
        <f>+SUM(I71:I73)</f>
        <v>0</v>
      </c>
      <c r="J74" s="744">
        <f>+SUM(J71:J73)</f>
        <v>240918.39991450205</v>
      </c>
    </row>
    <row r="75" spans="2:10">
      <c r="B75" s="642"/>
      <c r="C75" s="328"/>
      <c r="D75" s="96" t="s">
        <v>3160</v>
      </c>
      <c r="E75" s="328"/>
      <c r="F75" s="2542">
        <f>+SUM(G75:J75)</f>
        <v>1</v>
      </c>
      <c r="G75" s="746">
        <f>+G74/F74</f>
        <v>0.34935968368686343</v>
      </c>
      <c r="H75" s="746">
        <f>+H74/F74</f>
        <v>0.20360385832412953</v>
      </c>
      <c r="I75" s="746">
        <f>+I74/F74</f>
        <v>0</v>
      </c>
      <c r="J75" s="747">
        <f>+J74/F74</f>
        <v>0.4470364579890071</v>
      </c>
    </row>
    <row r="76" spans="2:10">
      <c r="B76" s="642"/>
      <c r="C76" s="328"/>
      <c r="D76" s="328"/>
      <c r="E76" s="328"/>
      <c r="F76" s="569"/>
      <c r="G76" s="569"/>
      <c r="H76" s="569"/>
      <c r="I76" s="569"/>
      <c r="J76" s="743"/>
    </row>
    <row r="77" spans="2:10">
      <c r="B77" s="642"/>
      <c r="C77" s="328"/>
      <c r="D77" s="328"/>
      <c r="E77" s="328"/>
      <c r="F77" s="569"/>
      <c r="G77" s="569"/>
      <c r="H77" s="569"/>
      <c r="I77" s="569"/>
      <c r="J77" s="743"/>
    </row>
    <row r="78" spans="2:10">
      <c r="B78" s="95" t="s">
        <v>3161</v>
      </c>
      <c r="C78" s="96" t="s">
        <v>3162</v>
      </c>
      <c r="D78" s="328"/>
      <c r="E78" s="328"/>
      <c r="F78" s="569"/>
      <c r="G78" s="569"/>
      <c r="H78" s="569"/>
      <c r="I78" s="569"/>
      <c r="J78" s="743"/>
    </row>
    <row r="79" spans="2:10">
      <c r="B79" s="642"/>
      <c r="C79" s="548">
        <v>350</v>
      </c>
      <c r="D79" s="96" t="s">
        <v>3163</v>
      </c>
      <c r="E79" s="328"/>
      <c r="F79" s="569">
        <f>+SUM(G79:J79)</f>
        <v>21858.772621777971</v>
      </c>
      <c r="G79" s="569"/>
      <c r="H79" s="569"/>
      <c r="I79" s="569">
        <f>+I38</f>
        <v>16302.998</v>
      </c>
      <c r="J79" s="2539">
        <f>+J38</f>
        <v>5555.7746217779713</v>
      </c>
    </row>
    <row r="80" spans="2:10">
      <c r="B80" s="642"/>
      <c r="C80" s="290" t="s">
        <v>3164</v>
      </c>
      <c r="D80" s="96" t="s">
        <v>3165</v>
      </c>
      <c r="E80" s="328"/>
      <c r="F80" s="2540">
        <f>+SUM(G80:J80)</f>
        <v>686681.14431999996</v>
      </c>
      <c r="G80" s="2540"/>
      <c r="H80" s="2540"/>
      <c r="I80" s="2540">
        <f>+I56</f>
        <v>408157.27299999999</v>
      </c>
      <c r="J80" s="2541">
        <f>+J56</f>
        <v>278523.87131999992</v>
      </c>
    </row>
    <row r="81" spans="2:13">
      <c r="B81" s="642"/>
      <c r="C81" s="328"/>
      <c r="D81" s="96" t="s">
        <v>3166</v>
      </c>
      <c r="E81" s="328"/>
      <c r="F81" s="569">
        <f>+SUM(G81:J81)</f>
        <v>708539.91694177792</v>
      </c>
      <c r="G81" s="569"/>
      <c r="H81" s="569"/>
      <c r="I81" s="569">
        <f>+SUM(I79:I80)</f>
        <v>424460.27100000001</v>
      </c>
      <c r="J81" s="2539">
        <f>+SUM(J79:J80)</f>
        <v>284079.64594177791</v>
      </c>
    </row>
    <row r="82" spans="2:13">
      <c r="B82" s="642"/>
      <c r="C82" s="328"/>
      <c r="D82" s="96" t="s">
        <v>3160</v>
      </c>
      <c r="E82" s="328"/>
      <c r="F82" s="2543">
        <f>+SUM(G82:J82)</f>
        <v>1</v>
      </c>
      <c r="G82" s="2543"/>
      <c r="H82" s="2543"/>
      <c r="I82" s="746">
        <f>+I81/F81</f>
        <v>0.59906331436070481</v>
      </c>
      <c r="J82" s="747">
        <f>+J81/F81</f>
        <v>0.40093668563929513</v>
      </c>
    </row>
    <row r="83" spans="2:13">
      <c r="B83" s="642"/>
      <c r="C83" s="328"/>
      <c r="D83" s="96"/>
      <c r="E83" s="328"/>
      <c r="F83" s="569"/>
      <c r="G83" s="569"/>
      <c r="H83" s="569"/>
      <c r="I83" s="741"/>
      <c r="J83" s="742"/>
    </row>
    <row r="84" spans="2:13">
      <c r="B84" s="642"/>
      <c r="C84" s="328"/>
      <c r="D84" s="96"/>
      <c r="E84" s="328"/>
      <c r="F84" s="569"/>
      <c r="G84" s="569"/>
      <c r="H84" s="569"/>
      <c r="I84" s="741"/>
      <c r="J84" s="742"/>
    </row>
    <row r="85" spans="2:13" ht="15" thickBot="1">
      <c r="B85" s="643"/>
      <c r="C85" s="636"/>
      <c r="D85" s="636"/>
      <c r="E85" s="636"/>
      <c r="F85" s="2544"/>
      <c r="G85" s="2544"/>
      <c r="H85" s="2544"/>
      <c r="I85" s="2544"/>
      <c r="J85" s="2545"/>
    </row>
    <row r="86" spans="2:13">
      <c r="B86" s="328"/>
      <c r="C86" s="328"/>
      <c r="D86" s="328"/>
      <c r="E86" s="328"/>
      <c r="F86" s="328"/>
      <c r="G86" s="328"/>
      <c r="H86" s="328"/>
      <c r="I86" s="328"/>
      <c r="J86" s="328"/>
    </row>
    <row r="87" spans="2:13">
      <c r="B87" s="328"/>
      <c r="C87" s="328"/>
      <c r="D87" s="328"/>
      <c r="E87" s="328"/>
      <c r="F87" s="328"/>
      <c r="G87" s="328"/>
      <c r="H87" s="328"/>
      <c r="I87" s="328"/>
      <c r="J87" s="328"/>
    </row>
    <row r="88" spans="2:13">
      <c r="B88" s="352" t="s">
        <v>2173</v>
      </c>
      <c r="C88" s="518"/>
      <c r="D88" s="549"/>
      <c r="E88" s="549"/>
      <c r="F88" s="549"/>
      <c r="G88" s="549"/>
      <c r="H88" s="549"/>
      <c r="I88" s="549"/>
      <c r="J88" s="550"/>
      <c r="L88" t="s">
        <v>8413</v>
      </c>
    </row>
    <row r="89" spans="2:13">
      <c r="B89" s="353" t="s">
        <v>3167</v>
      </c>
      <c r="C89" s="62"/>
      <c r="D89" s="328"/>
      <c r="E89" s="328"/>
      <c r="F89" s="328"/>
      <c r="G89" s="328"/>
      <c r="H89" s="328"/>
      <c r="I89" s="328"/>
      <c r="J89" s="536"/>
      <c r="L89" t="s">
        <v>8446</v>
      </c>
      <c r="M89" s="2394">
        <f>+'Accounting Schedule B-9'!T534</f>
        <v>314672.16446999996</v>
      </c>
    </row>
    <row r="90" spans="2:13">
      <c r="B90" s="353" t="s">
        <v>9263</v>
      </c>
      <c r="C90" s="62"/>
      <c r="D90" s="328"/>
      <c r="E90" s="328"/>
      <c r="F90" s="328"/>
      <c r="G90" s="328"/>
      <c r="H90" s="328"/>
      <c r="I90" s="328"/>
      <c r="J90" s="536"/>
      <c r="L90" s="297" t="s">
        <v>8437</v>
      </c>
      <c r="M90" s="2517">
        <f>+E126</f>
        <v>312140.42547000002</v>
      </c>
    </row>
    <row r="91" spans="2:13">
      <c r="B91" s="639"/>
      <c r="C91" s="546"/>
      <c r="D91" s="514"/>
      <c r="E91" s="514"/>
      <c r="F91" s="514"/>
      <c r="G91" s="514"/>
      <c r="H91" s="514"/>
      <c r="I91" s="514"/>
      <c r="J91" s="2518"/>
      <c r="M91" s="516">
        <f>+M89-M90</f>
        <v>2531.7389999999432</v>
      </c>
    </row>
    <row r="92" spans="2:13" ht="15" thickBot="1">
      <c r="B92" s="540"/>
      <c r="C92" s="328"/>
      <c r="D92" s="328"/>
      <c r="E92" s="534"/>
      <c r="F92" s="3128" t="s">
        <v>3116</v>
      </c>
      <c r="G92" s="3129"/>
      <c r="H92" s="3129"/>
      <c r="I92" s="3130"/>
      <c r="J92" s="2519" t="s">
        <v>3117</v>
      </c>
      <c r="L92" t="s">
        <v>8438</v>
      </c>
      <c r="M92" s="2394">
        <f>-'SPP ADJ T&amp;D'!D23/1000</f>
        <v>-2531.739</v>
      </c>
    </row>
    <row r="93" spans="2:13">
      <c r="B93" s="534"/>
      <c r="C93" s="328"/>
      <c r="D93" s="62"/>
      <c r="E93" s="280" t="s">
        <v>3118</v>
      </c>
      <c r="F93" s="363" t="s">
        <v>122</v>
      </c>
      <c r="G93" s="60" t="s">
        <v>3119</v>
      </c>
      <c r="H93" s="60" t="s">
        <v>3120</v>
      </c>
      <c r="I93" s="622"/>
      <c r="J93" s="280" t="s">
        <v>3121</v>
      </c>
      <c r="L93" s="297" t="s">
        <v>8439</v>
      </c>
      <c r="M93" s="2517">
        <f>+E99</f>
        <v>0</v>
      </c>
    </row>
    <row r="94" spans="2:13">
      <c r="B94" s="523" t="s">
        <v>2430</v>
      </c>
      <c r="C94" s="514" t="s">
        <v>2110</v>
      </c>
      <c r="D94" s="514" t="s">
        <v>35</v>
      </c>
      <c r="E94" s="523" t="s">
        <v>3122</v>
      </c>
      <c r="F94" s="522" t="s">
        <v>3168</v>
      </c>
      <c r="G94" s="77" t="s">
        <v>3123</v>
      </c>
      <c r="H94" s="77" t="s">
        <v>3124</v>
      </c>
      <c r="I94" s="364" t="s">
        <v>3125</v>
      </c>
      <c r="J94" s="523" t="s">
        <v>3126</v>
      </c>
      <c r="M94" s="2521">
        <f>+SUM(M91:M93)</f>
        <v>-5.6843418860808015E-11</v>
      </c>
    </row>
    <row r="95" spans="2:13">
      <c r="B95" s="2546" t="s">
        <v>2175</v>
      </c>
      <c r="C95" s="2546" t="s">
        <v>2176</v>
      </c>
      <c r="D95" s="551" t="s">
        <v>2177</v>
      </c>
      <c r="E95" s="641" t="s">
        <v>2178</v>
      </c>
      <c r="F95" s="551" t="s">
        <v>2179</v>
      </c>
      <c r="G95" s="551" t="s">
        <v>2625</v>
      </c>
      <c r="H95" s="551" t="s">
        <v>2626</v>
      </c>
      <c r="I95" s="632" t="s">
        <v>2627</v>
      </c>
      <c r="J95" s="628" t="s">
        <v>2628</v>
      </c>
    </row>
    <row r="96" spans="2:13">
      <c r="B96" s="535"/>
      <c r="C96" s="535"/>
      <c r="D96" s="328"/>
      <c r="E96" s="534"/>
      <c r="F96" s="2415"/>
      <c r="G96" s="96"/>
      <c r="H96" s="96"/>
      <c r="I96" s="2530"/>
      <c r="J96" s="2530"/>
      <c r="L96" t="s">
        <v>8447</v>
      </c>
      <c r="M96" s="2394">
        <f>+'Accounting Schedule B-9'!T384</f>
        <v>5182.5554099999999</v>
      </c>
    </row>
    <row r="97" spans="2:13">
      <c r="B97" s="604">
        <v>1</v>
      </c>
      <c r="C97" s="604">
        <v>350</v>
      </c>
      <c r="D97" s="96" t="s">
        <v>3127</v>
      </c>
      <c r="E97" s="723">
        <f>+SUMIFS('300s - 5 Digit FERC Accounts'!E:E,'300s - 5 Digit FERC Accounts'!B:B,35000)/1000</f>
        <v>0</v>
      </c>
      <c r="F97" s="721">
        <f>+SUM(G97:I97)</f>
        <v>0</v>
      </c>
      <c r="G97" s="565">
        <f t="shared" ref="G97:J98" si="4">+$E97*(G31/$E31)</f>
        <v>0</v>
      </c>
      <c r="H97" s="565">
        <f t="shared" si="4"/>
        <v>0</v>
      </c>
      <c r="I97" s="722">
        <f t="shared" si="4"/>
        <v>0</v>
      </c>
      <c r="J97" s="723">
        <f t="shared" si="4"/>
        <v>0</v>
      </c>
      <c r="L97" s="297" t="s">
        <v>8441</v>
      </c>
      <c r="M97" s="2517">
        <f>+E106</f>
        <v>5182.5554099999999</v>
      </c>
    </row>
    <row r="98" spans="2:13" ht="15.6">
      <c r="B98" s="604">
        <v>2</v>
      </c>
      <c r="C98" s="604">
        <v>350</v>
      </c>
      <c r="D98" s="96" t="s">
        <v>3128</v>
      </c>
      <c r="E98" s="2547">
        <v>0</v>
      </c>
      <c r="F98" s="721">
        <f>+SUM(G98:I98)</f>
        <v>0</v>
      </c>
      <c r="G98" s="680">
        <f t="shared" si="4"/>
        <v>0</v>
      </c>
      <c r="H98" s="680">
        <f t="shared" si="4"/>
        <v>0</v>
      </c>
      <c r="I98" s="749">
        <f t="shared" si="4"/>
        <v>0</v>
      </c>
      <c r="J98" s="750">
        <f t="shared" si="4"/>
        <v>0</v>
      </c>
      <c r="M98" s="516">
        <f>+M96-M97</f>
        <v>0</v>
      </c>
    </row>
    <row r="99" spans="2:13">
      <c r="B99" s="604">
        <v>3</v>
      </c>
      <c r="C99" s="604"/>
      <c r="D99" s="96" t="s">
        <v>3129</v>
      </c>
      <c r="E99" s="723">
        <f>+SUM(E97:E98)</f>
        <v>0</v>
      </c>
      <c r="F99" s="721">
        <f>+SUM(G99:I99)</f>
        <v>0</v>
      </c>
      <c r="G99" s="565">
        <f>+SUM(G97:G98)</f>
        <v>0</v>
      </c>
      <c r="H99" s="565">
        <f>+SUM(H97:H98)</f>
        <v>0</v>
      </c>
      <c r="I99" s="565">
        <f>+SUM(I97:I98)</f>
        <v>0</v>
      </c>
      <c r="J99" s="723">
        <f>+SUM(J97:J98)</f>
        <v>0</v>
      </c>
      <c r="L99" t="s">
        <v>8438</v>
      </c>
      <c r="M99" s="2394">
        <v>0</v>
      </c>
    </row>
    <row r="100" spans="2:13">
      <c r="B100" s="604">
        <v>4</v>
      </c>
      <c r="C100" s="604"/>
      <c r="D100" s="96"/>
      <c r="E100" s="723"/>
      <c r="F100" s="565"/>
      <c r="G100" s="565"/>
      <c r="H100" s="565"/>
      <c r="I100" s="722"/>
      <c r="J100" s="723"/>
      <c r="L100" s="297" t="s">
        <v>8439</v>
      </c>
      <c r="M100" s="2517">
        <f>+E99</f>
        <v>0</v>
      </c>
    </row>
    <row r="101" spans="2:13">
      <c r="B101" s="604">
        <v>5</v>
      </c>
      <c r="C101" s="604">
        <v>350.01</v>
      </c>
      <c r="D101" s="96" t="s">
        <v>3130</v>
      </c>
      <c r="E101" s="723">
        <f>+SUMIFS('300s - 5 Digit FERC Accounts'!E:E,'300s - 5 Digit FERC Accounts'!B:B,35001)/1000</f>
        <v>5182.5554099999999</v>
      </c>
      <c r="F101" s="721">
        <f>+SUM(G101:I101)</f>
        <v>2784.9973212049722</v>
      </c>
      <c r="G101" s="565">
        <f>+$E101*(G35/$E35)</f>
        <v>0</v>
      </c>
      <c r="H101" s="565">
        <f>+$E101*(H35/$E35)</f>
        <v>0</v>
      </c>
      <c r="I101" s="722">
        <f>+$E101*(I35/$E35)</f>
        <v>2784.9973212049722</v>
      </c>
      <c r="J101" s="723">
        <f>+$E101*(J35/$E35)</f>
        <v>2397.5580887950277</v>
      </c>
      <c r="M101" s="2521">
        <f>+SUM(M98:M100)</f>
        <v>0</v>
      </c>
    </row>
    <row r="102" spans="2:13">
      <c r="B102" s="604">
        <v>6</v>
      </c>
      <c r="C102" s="604"/>
      <c r="D102" s="96"/>
      <c r="E102" s="723"/>
      <c r="F102" s="565"/>
      <c r="G102" s="565"/>
      <c r="H102" s="565"/>
      <c r="I102" s="722"/>
      <c r="J102" s="723"/>
    </row>
    <row r="103" spans="2:13">
      <c r="B103" s="604">
        <v>7</v>
      </c>
      <c r="C103" s="2415"/>
      <c r="D103" s="96" t="s">
        <v>3131</v>
      </c>
      <c r="E103" s="723">
        <f>+E97</f>
        <v>0</v>
      </c>
      <c r="F103" s="721">
        <f>+SUM(G103:I103)</f>
        <v>0</v>
      </c>
      <c r="G103" s="565">
        <f>+G97</f>
        <v>0</v>
      </c>
      <c r="H103" s="565">
        <f>+H97</f>
        <v>0</v>
      </c>
      <c r="I103" s="565">
        <f>+I97</f>
        <v>0</v>
      </c>
      <c r="J103" s="723">
        <f>+J97</f>
        <v>0</v>
      </c>
      <c r="L103" t="s">
        <v>8448</v>
      </c>
      <c r="M103" s="2394">
        <f>+'Accounting Schedule B-9'!T386+'Accounting Schedule B-9'!T387</f>
        <v>116530.73034000001</v>
      </c>
    </row>
    <row r="104" spans="2:13">
      <c r="B104" s="604">
        <v>8</v>
      </c>
      <c r="C104" s="2415"/>
      <c r="D104" s="96" t="s">
        <v>3132</v>
      </c>
      <c r="E104" s="723">
        <f>+E98+E101</f>
        <v>5182.5554099999999</v>
      </c>
      <c r="F104" s="721">
        <f>+SUM(G104:I104)</f>
        <v>2784.9973212049722</v>
      </c>
      <c r="G104" s="565">
        <f>+G98+G101</f>
        <v>0</v>
      </c>
      <c r="H104" s="565">
        <f>+H98+H101</f>
        <v>0</v>
      </c>
      <c r="I104" s="565">
        <f>+I98+I101</f>
        <v>2784.9973212049722</v>
      </c>
      <c r="J104" s="723">
        <f>+J98+J101</f>
        <v>2397.5580887950277</v>
      </c>
      <c r="L104" s="297" t="s">
        <v>8443</v>
      </c>
      <c r="M104" s="2517">
        <f>+E111</f>
        <v>116520.97234000001</v>
      </c>
    </row>
    <row r="105" spans="2:13">
      <c r="B105" s="604">
        <v>9</v>
      </c>
      <c r="C105" s="2415"/>
      <c r="D105" s="96"/>
      <c r="E105" s="723"/>
      <c r="F105" s="739"/>
      <c r="G105" s="565"/>
      <c r="H105" s="565"/>
      <c r="I105" s="722"/>
      <c r="J105" s="723"/>
      <c r="M105" s="516">
        <f>+M103-M104</f>
        <v>9.7580000000016298</v>
      </c>
    </row>
    <row r="106" spans="2:13">
      <c r="B106" s="2525">
        <v>10</v>
      </c>
      <c r="C106" s="2526" t="s">
        <v>3133</v>
      </c>
      <c r="D106" s="2527"/>
      <c r="E106" s="728">
        <f t="shared" ref="E106:J106" si="5">+SUM(E103:E104)</f>
        <v>5182.5554099999999</v>
      </c>
      <c r="F106" s="725">
        <f t="shared" si="5"/>
        <v>2784.9973212049722</v>
      </c>
      <c r="G106" s="726">
        <f t="shared" si="5"/>
        <v>0</v>
      </c>
      <c r="H106" s="726">
        <f t="shared" si="5"/>
        <v>0</v>
      </c>
      <c r="I106" s="727">
        <f t="shared" si="5"/>
        <v>2784.9973212049722</v>
      </c>
      <c r="J106" s="728">
        <f t="shared" si="5"/>
        <v>2397.5580887950277</v>
      </c>
      <c r="L106" t="s">
        <v>8438</v>
      </c>
      <c r="M106" s="2394">
        <f>-SUM('SPP ADJ T&amp;D'!D11:D12)/1000</f>
        <v>-9.7579999999999991</v>
      </c>
    </row>
    <row r="107" spans="2:13">
      <c r="B107" s="604">
        <v>11</v>
      </c>
      <c r="C107" s="2415"/>
      <c r="D107" s="96"/>
      <c r="E107" s="723"/>
      <c r="F107" s="721"/>
      <c r="G107" s="565"/>
      <c r="H107" s="565"/>
      <c r="I107" s="565"/>
      <c r="J107" s="723"/>
      <c r="L107" s="297" t="s">
        <v>8439</v>
      </c>
      <c r="M107" s="2517">
        <v>0</v>
      </c>
    </row>
    <row r="108" spans="2:13">
      <c r="B108" s="604">
        <v>12</v>
      </c>
      <c r="C108" s="604">
        <v>352</v>
      </c>
      <c r="D108" s="96" t="s">
        <v>3134</v>
      </c>
      <c r="E108" s="723">
        <f>(+SUMIFS('300s - 5 Digit FERC Accounts'!E:E,'300s - 5 Digit FERC Accounts'!B:B,35200)/1000)-('SPP ADJ T&amp;D'!D11/1000)</f>
        <v>16973.679649999998</v>
      </c>
      <c r="F108" s="721">
        <f>+SUM(G108:I108)</f>
        <v>3918.2803333720935</v>
      </c>
      <c r="G108" s="565">
        <f>+$E108*(G42/$E42)</f>
        <v>3918.2803333720935</v>
      </c>
      <c r="H108" s="565">
        <f>+$E108*(H42/$E42)</f>
        <v>0</v>
      </c>
      <c r="I108" s="722">
        <f>+$E108*(I42/$E42)</f>
        <v>0</v>
      </c>
      <c r="J108" s="723">
        <f>+$E108*(J42/$E42)</f>
        <v>13055.399316627905</v>
      </c>
      <c r="M108" s="2521">
        <f>+SUM(M105:M107)</f>
        <v>1.6306955785694299E-12</v>
      </c>
    </row>
    <row r="109" spans="2:13">
      <c r="B109" s="604">
        <v>13</v>
      </c>
      <c r="C109" s="604" t="s">
        <v>3135</v>
      </c>
      <c r="D109" s="96" t="s">
        <v>3136</v>
      </c>
      <c r="E109" s="723">
        <f>(+SUMIFS('300s - 5 Digit FERC Accounts'!E:E,'300s - 5 Digit FERC Accounts'!B:B,35300)/1000)-('SPP ADJ T&amp;D'!D12/1000)</f>
        <v>99547.292690000002</v>
      </c>
      <c r="F109" s="721">
        <f>+SUM(G109:I109)</f>
        <v>65934.659428584942</v>
      </c>
      <c r="G109" s="565">
        <f>+(C6+C13)/1000</f>
        <v>42097.331320629695</v>
      </c>
      <c r="H109" s="565">
        <f>+$E109*(H43/$E43)</f>
        <v>23837.328107955254</v>
      </c>
      <c r="I109" s="722">
        <f>+$E109*(I43/$E43)</f>
        <v>0</v>
      </c>
      <c r="J109" s="748">
        <f>+E109-F109</f>
        <v>33612.63326141506</v>
      </c>
    </row>
    <row r="110" spans="2:13">
      <c r="B110" s="604">
        <v>14</v>
      </c>
      <c r="C110" s="2415"/>
      <c r="D110" s="96" t="s">
        <v>3137</v>
      </c>
      <c r="E110" s="723"/>
      <c r="F110" s="565"/>
      <c r="G110" s="565"/>
      <c r="H110" s="565"/>
      <c r="I110" s="722"/>
      <c r="J110" s="723"/>
      <c r="L110" t="s">
        <v>8449</v>
      </c>
      <c r="M110" s="2394">
        <f>+SUM('Accounting Schedule B-9'!T388:T394)</f>
        <v>192958.87871999998</v>
      </c>
    </row>
    <row r="111" spans="2:13">
      <c r="B111" s="2525">
        <v>15</v>
      </c>
      <c r="C111" s="2526" t="s">
        <v>3138</v>
      </c>
      <c r="D111" s="2528"/>
      <c r="E111" s="728">
        <f t="shared" ref="E111:J111" si="6">+SUM(E108:E109)</f>
        <v>116520.97234000001</v>
      </c>
      <c r="F111" s="725">
        <f t="shared" si="6"/>
        <v>69852.939761957037</v>
      </c>
      <c r="G111" s="726">
        <f t="shared" si="6"/>
        <v>46015.61165400179</v>
      </c>
      <c r="H111" s="726">
        <f t="shared" si="6"/>
        <v>23837.328107955254</v>
      </c>
      <c r="I111" s="727">
        <f t="shared" si="6"/>
        <v>0</v>
      </c>
      <c r="J111" s="728">
        <f t="shared" si="6"/>
        <v>46668.032578042963</v>
      </c>
      <c r="L111" s="297" t="s">
        <v>8445</v>
      </c>
      <c r="M111" s="2517">
        <f>+E122</f>
        <v>190436.89771999998</v>
      </c>
    </row>
    <row r="112" spans="2:13">
      <c r="B112" s="604">
        <v>16</v>
      </c>
      <c r="C112" s="2415"/>
      <c r="D112" s="96"/>
      <c r="E112" s="723"/>
      <c r="F112" s="721"/>
      <c r="G112" s="565"/>
      <c r="H112" s="565"/>
      <c r="I112" s="565"/>
      <c r="J112" s="723"/>
      <c r="M112" s="516">
        <f>+M110-M111</f>
        <v>2521.9809999999998</v>
      </c>
    </row>
    <row r="113" spans="2:13">
      <c r="B113" s="604">
        <v>17</v>
      </c>
      <c r="C113" s="604">
        <v>354</v>
      </c>
      <c r="D113" s="96" t="s">
        <v>3139</v>
      </c>
      <c r="E113" s="723">
        <f>(+SUMIFS('300s - 5 Digit FERC Accounts'!E:E,'300s - 5 Digit FERC Accounts'!B:B,35400)/1000)-('SPP ADJ T&amp;D'!D13/1000)</f>
        <v>5314.1141100000004</v>
      </c>
      <c r="F113" s="721">
        <f>+SUM(G113:I113)</f>
        <v>3831.6436089851604</v>
      </c>
      <c r="G113" s="565">
        <f>+$E113*(G47/$E47)</f>
        <v>0</v>
      </c>
      <c r="H113" s="565">
        <f>+$E113*(H47/$E47)</f>
        <v>0</v>
      </c>
      <c r="I113" s="722">
        <f>+$E113*(I47/$E47)</f>
        <v>3831.6436089851604</v>
      </c>
      <c r="J113" s="723">
        <f>+$E113*(J47/$E47)</f>
        <v>1482.4705010148398</v>
      </c>
      <c r="L113" t="s">
        <v>8438</v>
      </c>
      <c r="M113" s="2394">
        <f>-SUM('SPP ADJ T&amp;D'!D13:D19)/1000</f>
        <v>-2521.9810000000002</v>
      </c>
    </row>
    <row r="114" spans="2:13">
      <c r="B114" s="604">
        <v>18</v>
      </c>
      <c r="C114" s="604"/>
      <c r="D114" s="96"/>
      <c r="E114" s="723"/>
      <c r="F114" s="721"/>
      <c r="G114" s="565"/>
      <c r="H114" s="565"/>
      <c r="I114" s="729"/>
      <c r="J114" s="723"/>
      <c r="L114" s="297" t="s">
        <v>8439</v>
      </c>
      <c r="M114" s="2517">
        <v>0</v>
      </c>
    </row>
    <row r="115" spans="2:13">
      <c r="B115" s="604">
        <v>19</v>
      </c>
      <c r="C115" s="604">
        <v>355</v>
      </c>
      <c r="D115" s="96" t="s">
        <v>3140</v>
      </c>
      <c r="E115" s="723">
        <f>(+SUMIFS('300s - 5 Digit FERC Accounts'!E:E,'300s - 5 Digit FERC Accounts'!B:B,35500)/1000)-('SPP ADJ T&amp;D'!D14/1000)</f>
        <v>140853.67816999997</v>
      </c>
      <c r="F115" s="721">
        <f t="shared" ref="F115:F120" si="7">+SUM(G115:I115)</f>
        <v>91101.038360781124</v>
      </c>
      <c r="G115" s="565">
        <f t="shared" ref="G115:G120" si="8">+$E115*(G49/$E49)</f>
        <v>0</v>
      </c>
      <c r="H115" s="565">
        <f t="shared" ref="H115:J120" si="9">+$E115*(H49/$E49)</f>
        <v>0</v>
      </c>
      <c r="I115" s="722">
        <f t="shared" si="9"/>
        <v>91101.038360781124</v>
      </c>
      <c r="J115" s="723">
        <f t="shared" si="9"/>
        <v>49752.639809218846</v>
      </c>
      <c r="M115" s="2521">
        <f>+SUM(M112:M114)</f>
        <v>-4.5474735088646412E-13</v>
      </c>
    </row>
    <row r="116" spans="2:13">
      <c r="B116" s="604">
        <v>20</v>
      </c>
      <c r="C116" s="604">
        <v>356</v>
      </c>
      <c r="D116" s="96" t="s">
        <v>3141</v>
      </c>
      <c r="E116" s="723">
        <f>(+SUMIFS('300s - 5 Digit FERC Accounts'!E:E,'300s - 5 Digit FERC Accounts'!B:B,35600)/1000)-('SPP ADJ T&amp;D'!D15/1000)-(SUMIFS('Surv Report Sched 2 pg 1'!F:F,'Surv Report Sched 2 pg 1'!B:B,"=Acquisition Accumulated Amortizations")/1000)</f>
        <v>32699.946300000003</v>
      </c>
      <c r="F116" s="721">
        <f t="shared" si="7"/>
        <v>15995.020171034053</v>
      </c>
      <c r="G116" s="565">
        <f t="shared" si="8"/>
        <v>0</v>
      </c>
      <c r="H116" s="565">
        <f t="shared" si="9"/>
        <v>0</v>
      </c>
      <c r="I116" s="722">
        <f t="shared" si="9"/>
        <v>15995.020171034053</v>
      </c>
      <c r="J116" s="723">
        <f t="shared" si="9"/>
        <v>16704.926128965952</v>
      </c>
    </row>
    <row r="117" spans="2:13">
      <c r="B117" s="604">
        <v>21</v>
      </c>
      <c r="C117" s="604">
        <v>356.01</v>
      </c>
      <c r="D117" s="96" t="s">
        <v>3142</v>
      </c>
      <c r="E117" s="723">
        <f>(+SUMIFS('300s - 5 Digit FERC Accounts'!E:E,'300s - 5 Digit FERC Accounts'!B:B,35601)/1000)-('SPP ADJ T&amp;D'!D16/1000)</f>
        <v>1807.8972099999999</v>
      </c>
      <c r="F117" s="721">
        <f t="shared" si="7"/>
        <v>1370.167248487654</v>
      </c>
      <c r="G117" s="565">
        <f t="shared" si="8"/>
        <v>0</v>
      </c>
      <c r="H117" s="565">
        <f t="shared" si="9"/>
        <v>0</v>
      </c>
      <c r="I117" s="722">
        <f t="shared" si="9"/>
        <v>1370.167248487654</v>
      </c>
      <c r="J117" s="723">
        <f t="shared" si="9"/>
        <v>437.72996151234588</v>
      </c>
      <c r="L117" t="s">
        <v>8435</v>
      </c>
      <c r="M117" s="2521">
        <f>+SUM(M110,M103,M96)-M89</f>
        <v>0</v>
      </c>
    </row>
    <row r="118" spans="2:13">
      <c r="B118" s="604">
        <v>22</v>
      </c>
      <c r="C118" s="604">
        <v>357</v>
      </c>
      <c r="D118" s="96" t="s">
        <v>3143</v>
      </c>
      <c r="E118" s="723">
        <f>(+SUMIFS('300s - 5 Digit FERC Accounts'!E:E,'300s - 5 Digit FERC Accounts'!B:B,35700)/1000)-('SPP ADJ T&amp;D'!D17/1000)</f>
        <v>1885.9514999999999</v>
      </c>
      <c r="F118" s="721">
        <f t="shared" si="7"/>
        <v>0</v>
      </c>
      <c r="G118" s="565">
        <f t="shared" si="8"/>
        <v>0</v>
      </c>
      <c r="H118" s="565">
        <f t="shared" si="9"/>
        <v>0</v>
      </c>
      <c r="I118" s="722">
        <f t="shared" si="9"/>
        <v>0</v>
      </c>
      <c r="J118" s="723">
        <f t="shared" si="9"/>
        <v>1885.9514999999999</v>
      </c>
      <c r="L118" s="297" t="s">
        <v>8426</v>
      </c>
      <c r="M118" s="2529">
        <f>+SUM(M111,M104,M97)-M90</f>
        <v>0</v>
      </c>
    </row>
    <row r="119" spans="2:13">
      <c r="B119" s="604">
        <v>23</v>
      </c>
      <c r="C119" s="604">
        <v>358</v>
      </c>
      <c r="D119" s="96" t="s">
        <v>3144</v>
      </c>
      <c r="E119" s="723">
        <f>(+SUMIFS('300s - 5 Digit FERC Accounts'!E:E,'300s - 5 Digit FERC Accounts'!B:B,35800)/1000)-('SPP ADJ T&amp;D'!D18/1000)</f>
        <v>4137.2318599999999</v>
      </c>
      <c r="F119" s="721">
        <f t="shared" si="7"/>
        <v>0</v>
      </c>
      <c r="G119" s="565">
        <f t="shared" si="8"/>
        <v>0</v>
      </c>
      <c r="H119" s="565">
        <f t="shared" si="9"/>
        <v>0</v>
      </c>
      <c r="I119" s="722">
        <f t="shared" si="9"/>
        <v>0</v>
      </c>
      <c r="J119" s="723">
        <f t="shared" si="9"/>
        <v>4137.2318599999999</v>
      </c>
      <c r="M119" s="2521">
        <f>+M117-M118</f>
        <v>0</v>
      </c>
    </row>
    <row r="120" spans="2:13">
      <c r="B120" s="604">
        <v>24</v>
      </c>
      <c r="C120" s="604">
        <v>359</v>
      </c>
      <c r="D120" s="2530" t="s">
        <v>3145</v>
      </c>
      <c r="E120" s="723">
        <f>(+SUMIFS('300s - 5 Digit FERC Accounts'!E:E,'300s - 5 Digit FERC Accounts'!B:B,35900)/1000)-('SPP ADJ T&amp;D'!D19/1000)</f>
        <v>3738.0785699999997</v>
      </c>
      <c r="F120" s="721">
        <f t="shared" si="7"/>
        <v>3154.9093067716649</v>
      </c>
      <c r="G120" s="565">
        <f t="shared" si="8"/>
        <v>0</v>
      </c>
      <c r="H120" s="565">
        <f t="shared" si="9"/>
        <v>0</v>
      </c>
      <c r="I120" s="722">
        <f t="shared" si="9"/>
        <v>3154.9093067716649</v>
      </c>
      <c r="J120" s="723">
        <f t="shared" si="9"/>
        <v>583.16926322833467</v>
      </c>
      <c r="L120" t="s">
        <v>8438</v>
      </c>
      <c r="M120" s="2521">
        <f>+SUM(M113,M106,M99)-M92</f>
        <v>0</v>
      </c>
    </row>
    <row r="121" spans="2:13">
      <c r="B121" s="604">
        <v>25</v>
      </c>
      <c r="C121" s="2417"/>
      <c r="D121" s="545"/>
      <c r="E121" s="731"/>
      <c r="F121" s="574"/>
      <c r="G121" s="574"/>
      <c r="H121" s="574"/>
      <c r="I121" s="730"/>
      <c r="J121" s="731"/>
      <c r="L121" s="297" t="s">
        <v>8439</v>
      </c>
      <c r="M121" s="2529">
        <f>+SUM(M114,M107,M100)-M93</f>
        <v>0</v>
      </c>
    </row>
    <row r="122" spans="2:13">
      <c r="B122" s="2525">
        <v>26</v>
      </c>
      <c r="C122" s="2526" t="s">
        <v>3146</v>
      </c>
      <c r="D122" s="2528"/>
      <c r="E122" s="728">
        <f t="shared" ref="E122:J122" si="10">+SUM(E113:E120)</f>
        <v>190436.89771999998</v>
      </c>
      <c r="F122" s="726">
        <f t="shared" si="10"/>
        <v>115452.77869605964</v>
      </c>
      <c r="G122" s="726">
        <f t="shared" si="10"/>
        <v>0</v>
      </c>
      <c r="H122" s="726">
        <f t="shared" si="10"/>
        <v>0</v>
      </c>
      <c r="I122" s="727">
        <f t="shared" si="10"/>
        <v>115452.77869605964</v>
      </c>
      <c r="J122" s="728">
        <f t="shared" si="10"/>
        <v>74984.119023940322</v>
      </c>
      <c r="M122" s="2521">
        <f>+SUM(M119:M121)</f>
        <v>0</v>
      </c>
    </row>
    <row r="123" spans="2:13">
      <c r="B123" s="604">
        <v>27</v>
      </c>
      <c r="C123" s="2415"/>
      <c r="D123" s="96"/>
      <c r="E123" s="723"/>
      <c r="F123" s="721"/>
      <c r="G123" s="565"/>
      <c r="H123" s="565"/>
      <c r="I123" s="722"/>
      <c r="J123" s="723"/>
    </row>
    <row r="124" spans="2:13">
      <c r="B124" s="604">
        <v>28</v>
      </c>
      <c r="C124" s="2415"/>
      <c r="D124" s="96"/>
      <c r="E124" s="723"/>
      <c r="F124" s="732"/>
      <c r="G124" s="733"/>
      <c r="H124" s="733"/>
      <c r="I124" s="734"/>
      <c r="J124" s="735"/>
    </row>
    <row r="125" spans="2:13">
      <c r="B125" s="604">
        <v>29</v>
      </c>
      <c r="C125" s="2415"/>
      <c r="D125" s="96"/>
      <c r="E125" s="723"/>
      <c r="F125" s="721"/>
      <c r="G125" s="565"/>
      <c r="H125" s="565"/>
      <c r="I125" s="722"/>
      <c r="J125" s="723"/>
    </row>
    <row r="126" spans="2:13">
      <c r="B126" s="637">
        <v>30</v>
      </c>
      <c r="C126" s="2497" t="s">
        <v>3147</v>
      </c>
      <c r="D126" s="638"/>
      <c r="E126" s="738">
        <f t="shared" ref="E126:J126" si="11">+E106+E111+E122</f>
        <v>312140.42547000002</v>
      </c>
      <c r="F126" s="740">
        <f t="shared" si="11"/>
        <v>188090.71577922165</v>
      </c>
      <c r="G126" s="736">
        <f t="shared" si="11"/>
        <v>46015.61165400179</v>
      </c>
      <c r="H126" s="736">
        <f t="shared" si="11"/>
        <v>23837.328107955254</v>
      </c>
      <c r="I126" s="737">
        <f t="shared" si="11"/>
        <v>118237.77601726461</v>
      </c>
      <c r="J126" s="738">
        <f t="shared" si="11"/>
        <v>124049.70969077831</v>
      </c>
    </row>
    <row r="127" spans="2:13">
      <c r="B127" s="604">
        <v>31</v>
      </c>
      <c r="C127" s="2415"/>
      <c r="D127" s="96"/>
      <c r="E127" s="723"/>
      <c r="F127" s="721"/>
      <c r="G127" s="565"/>
      <c r="H127" s="565"/>
      <c r="I127" s="722"/>
      <c r="J127" s="723"/>
    </row>
    <row r="128" spans="2:13">
      <c r="B128" s="604">
        <v>32</v>
      </c>
      <c r="C128" s="2415"/>
      <c r="D128" s="96"/>
      <c r="E128" s="723"/>
      <c r="F128" s="721"/>
      <c r="G128" s="565"/>
      <c r="H128" s="565"/>
      <c r="I128" s="722"/>
      <c r="J128" s="723"/>
    </row>
    <row r="129" spans="2:13">
      <c r="B129" s="604">
        <v>33</v>
      </c>
      <c r="C129" s="2531" t="s">
        <v>3148</v>
      </c>
      <c r="D129" s="96"/>
      <c r="E129" s="723"/>
      <c r="F129" s="721"/>
      <c r="G129" s="565"/>
      <c r="H129" s="565"/>
      <c r="I129" s="722"/>
      <c r="J129" s="723"/>
    </row>
    <row r="130" spans="2:13">
      <c r="B130" s="604">
        <v>34</v>
      </c>
      <c r="C130" s="2415" t="s">
        <v>3149</v>
      </c>
      <c r="D130" s="96"/>
      <c r="E130" s="723">
        <f t="shared" ref="E130:J130" si="12">+E103+E111</f>
        <v>116520.97234000001</v>
      </c>
      <c r="F130" s="721">
        <f t="shared" si="12"/>
        <v>69852.939761957037</v>
      </c>
      <c r="G130" s="565">
        <f t="shared" si="12"/>
        <v>46015.61165400179</v>
      </c>
      <c r="H130" s="565">
        <f t="shared" si="12"/>
        <v>23837.328107955254</v>
      </c>
      <c r="I130" s="722">
        <f t="shared" si="12"/>
        <v>0</v>
      </c>
      <c r="J130" s="723">
        <f t="shared" si="12"/>
        <v>46668.032578042963</v>
      </c>
    </row>
    <row r="131" spans="2:13">
      <c r="B131" s="2532">
        <v>35</v>
      </c>
      <c r="C131" s="2417" t="s">
        <v>3150</v>
      </c>
      <c r="D131" s="545"/>
      <c r="E131" s="731">
        <f t="shared" ref="E131:J131" si="13">+E104+E122</f>
        <v>195619.45312999998</v>
      </c>
      <c r="F131" s="574">
        <f t="shared" si="13"/>
        <v>118237.77601726461</v>
      </c>
      <c r="G131" s="574">
        <f t="shared" si="13"/>
        <v>0</v>
      </c>
      <c r="H131" s="574">
        <f t="shared" si="13"/>
        <v>0</v>
      </c>
      <c r="I131" s="730">
        <f t="shared" si="13"/>
        <v>118237.77601726461</v>
      </c>
      <c r="J131" s="730">
        <f t="shared" si="13"/>
        <v>77381.677112735357</v>
      </c>
    </row>
    <row r="132" spans="2:13">
      <c r="B132" s="96"/>
      <c r="C132" s="96"/>
      <c r="D132" s="96"/>
      <c r="E132" s="96"/>
      <c r="F132" s="630"/>
      <c r="G132" s="630"/>
      <c r="H132" s="630"/>
      <c r="I132" s="630"/>
      <c r="J132" s="630"/>
    </row>
    <row r="133" spans="2:13">
      <c r="B133" s="328"/>
      <c r="C133" s="328"/>
      <c r="D133" s="328"/>
      <c r="E133" s="328"/>
      <c r="F133" s="328"/>
      <c r="G133" s="328"/>
      <c r="H133" s="328"/>
      <c r="I133" s="328"/>
      <c r="J133" s="328"/>
    </row>
    <row r="134" spans="2:13">
      <c r="B134" s="352" t="s">
        <v>2173</v>
      </c>
      <c r="C134" s="518"/>
      <c r="D134" s="549"/>
      <c r="E134" s="549"/>
      <c r="F134" s="549"/>
      <c r="G134" s="549"/>
      <c r="H134" s="549"/>
      <c r="I134" s="549"/>
      <c r="J134" s="550"/>
      <c r="L134" t="s">
        <v>8446</v>
      </c>
      <c r="M134" s="2394">
        <f>+'Accounting Schedule B-9'!H534</f>
        <v>34258.116600000001</v>
      </c>
    </row>
    <row r="135" spans="2:13">
      <c r="B135" s="353" t="s">
        <v>3169</v>
      </c>
      <c r="C135" s="62"/>
      <c r="D135" s="328"/>
      <c r="E135" s="328"/>
      <c r="F135" s="328"/>
      <c r="G135" s="328"/>
      <c r="H135" s="328"/>
      <c r="I135" s="328"/>
      <c r="J135" s="536"/>
      <c r="L135" s="297" t="s">
        <v>8437</v>
      </c>
      <c r="M135" s="2517">
        <f>+E171</f>
        <v>32325.967333735563</v>
      </c>
    </row>
    <row r="136" spans="2:13">
      <c r="B136" s="353" t="s">
        <v>9263</v>
      </c>
      <c r="C136" s="62"/>
      <c r="D136" s="328"/>
      <c r="E136" s="328"/>
      <c r="F136" s="328"/>
      <c r="G136" s="328"/>
      <c r="H136" s="328"/>
      <c r="I136" s="328"/>
      <c r="J136" s="536"/>
      <c r="M136" s="516">
        <f>+M134-M135</f>
        <v>1932.1492662644378</v>
      </c>
    </row>
    <row r="137" spans="2:13">
      <c r="B137" s="639"/>
      <c r="C137" s="546"/>
      <c r="D137" s="514"/>
      <c r="E137" s="514"/>
      <c r="F137" s="514"/>
      <c r="G137" s="514"/>
      <c r="H137" s="514"/>
      <c r="I137" s="514"/>
      <c r="J137" s="2518"/>
      <c r="L137" t="s">
        <v>8438</v>
      </c>
      <c r="M137" s="2394">
        <f>-'SPP ADJ T&amp;D'!E23/1000</f>
        <v>-1932.1492662644403</v>
      </c>
    </row>
    <row r="138" spans="2:13" ht="15" thickBot="1">
      <c r="B138" s="540"/>
      <c r="C138" s="328"/>
      <c r="D138" s="328"/>
      <c r="E138" s="534"/>
      <c r="F138" s="3131" t="s">
        <v>3116</v>
      </c>
      <c r="G138" s="3132"/>
      <c r="H138" s="3132"/>
      <c r="I138" s="3133"/>
      <c r="J138" s="2548" t="s">
        <v>3117</v>
      </c>
      <c r="L138" s="297" t="s">
        <v>8439</v>
      </c>
      <c r="M138" s="2517">
        <f>+E144</f>
        <v>0</v>
      </c>
    </row>
    <row r="139" spans="2:13" ht="15" thickTop="1">
      <c r="B139" s="534"/>
      <c r="C139" s="328"/>
      <c r="D139" s="62"/>
      <c r="E139" s="280" t="s">
        <v>3118</v>
      </c>
      <c r="F139" s="363" t="s">
        <v>122</v>
      </c>
      <c r="G139" s="60" t="s">
        <v>3119</v>
      </c>
      <c r="H139" s="60" t="s">
        <v>3120</v>
      </c>
      <c r="I139" s="622"/>
      <c r="J139" s="280" t="s">
        <v>3121</v>
      </c>
      <c r="M139" s="2521">
        <f>+SUM(M136:M138)</f>
        <v>-2.5011104298755527E-12</v>
      </c>
    </row>
    <row r="140" spans="2:13">
      <c r="B140" s="522" t="s">
        <v>2430</v>
      </c>
      <c r="C140" s="522" t="s">
        <v>2110</v>
      </c>
      <c r="D140" s="77" t="s">
        <v>35</v>
      </c>
      <c r="E140" s="523" t="s">
        <v>3122</v>
      </c>
      <c r="F140" s="522" t="s">
        <v>3168</v>
      </c>
      <c r="G140" s="77" t="s">
        <v>3123</v>
      </c>
      <c r="H140" s="77" t="s">
        <v>3124</v>
      </c>
      <c r="I140" s="364" t="s">
        <v>3125</v>
      </c>
      <c r="J140" s="523" t="s">
        <v>3126</v>
      </c>
    </row>
    <row r="141" spans="2:13">
      <c r="B141" s="2546" t="s">
        <v>2175</v>
      </c>
      <c r="C141" s="2546" t="s">
        <v>2176</v>
      </c>
      <c r="D141" s="551" t="s">
        <v>2177</v>
      </c>
      <c r="E141" s="641" t="s">
        <v>2178</v>
      </c>
      <c r="F141" s="551" t="s">
        <v>2179</v>
      </c>
      <c r="G141" s="551" t="s">
        <v>2625</v>
      </c>
      <c r="H141" s="551" t="s">
        <v>2626</v>
      </c>
      <c r="I141" s="632" t="s">
        <v>2627</v>
      </c>
      <c r="J141" s="628" t="s">
        <v>2628</v>
      </c>
      <c r="L141" t="s">
        <v>8447</v>
      </c>
      <c r="M141" s="2394">
        <f>+'Accounting Schedule B-9'!H384</f>
        <v>187.29876000000002</v>
      </c>
    </row>
    <row r="142" spans="2:13">
      <c r="B142" s="535"/>
      <c r="C142" s="535"/>
      <c r="D142" s="328"/>
      <c r="E142" s="534"/>
      <c r="F142" s="2415"/>
      <c r="G142" s="96"/>
      <c r="H142" s="96"/>
      <c r="I142" s="2530"/>
      <c r="J142" s="631"/>
      <c r="L142" s="297" t="s">
        <v>8441</v>
      </c>
      <c r="M142" s="2517">
        <f>+E152</f>
        <v>187.29876000000002</v>
      </c>
    </row>
    <row r="143" spans="2:13">
      <c r="B143" s="604">
        <v>1</v>
      </c>
      <c r="C143" s="604">
        <v>350</v>
      </c>
      <c r="D143" s="96" t="s">
        <v>3127</v>
      </c>
      <c r="E143" s="723">
        <f>+SUMIFS('300s - 5 Digit FERC Accounts'!F:F,'300s - 5 Digit FERC Accounts'!B:B,35000)/1000</f>
        <v>0</v>
      </c>
      <c r="F143" s="721">
        <f>+SUM(G143:I143)</f>
        <v>0</v>
      </c>
      <c r="G143" s="565">
        <f t="shared" ref="G143:J144" si="14">+(G31/$E31)*$E143</f>
        <v>0</v>
      </c>
      <c r="H143" s="565">
        <f t="shared" si="14"/>
        <v>0</v>
      </c>
      <c r="I143" s="722">
        <f t="shared" si="14"/>
        <v>0</v>
      </c>
      <c r="J143" s="723">
        <f t="shared" si="14"/>
        <v>0</v>
      </c>
      <c r="M143" s="516">
        <f>+M141-M142</f>
        <v>0</v>
      </c>
    </row>
    <row r="144" spans="2:13" ht="15.6">
      <c r="B144" s="604">
        <v>2</v>
      </c>
      <c r="C144" s="604">
        <v>350</v>
      </c>
      <c r="D144" s="96" t="s">
        <v>3128</v>
      </c>
      <c r="E144" s="2547">
        <v>0</v>
      </c>
      <c r="F144" s="751">
        <f>+SUM(G144:I144)</f>
        <v>0</v>
      </c>
      <c r="G144" s="680">
        <f t="shared" si="14"/>
        <v>0</v>
      </c>
      <c r="H144" s="680">
        <f t="shared" si="14"/>
        <v>0</v>
      </c>
      <c r="I144" s="749">
        <f t="shared" si="14"/>
        <v>0</v>
      </c>
      <c r="J144" s="750">
        <f t="shared" si="14"/>
        <v>0</v>
      </c>
      <c r="L144" t="s">
        <v>8438</v>
      </c>
      <c r="M144" s="2394">
        <v>0</v>
      </c>
    </row>
    <row r="145" spans="2:13">
      <c r="B145" s="604">
        <v>3</v>
      </c>
      <c r="C145" s="604"/>
      <c r="D145" s="96" t="s">
        <v>3129</v>
      </c>
      <c r="E145" s="723">
        <f>+SUM(E143:E144)</f>
        <v>0</v>
      </c>
      <c r="F145" s="721">
        <f>+SUM(G145:I145)</f>
        <v>0</v>
      </c>
      <c r="G145" s="565">
        <f>+SUM(G143:G144)</f>
        <v>0</v>
      </c>
      <c r="H145" s="565">
        <f>+SUM(H143:H144)</f>
        <v>0</v>
      </c>
      <c r="I145" s="565">
        <f>+SUM(I143:I144)</f>
        <v>0</v>
      </c>
      <c r="J145" s="723">
        <f>+SUM(J143:J144)</f>
        <v>0</v>
      </c>
      <c r="L145" s="297" t="s">
        <v>8439</v>
      </c>
      <c r="M145" s="2517">
        <f>+E144</f>
        <v>0</v>
      </c>
    </row>
    <row r="146" spans="2:13">
      <c r="B146" s="604">
        <v>4</v>
      </c>
      <c r="C146" s="604"/>
      <c r="D146" s="96"/>
      <c r="E146" s="723"/>
      <c r="F146" s="565"/>
      <c r="G146" s="565"/>
      <c r="H146" s="565"/>
      <c r="I146" s="722"/>
      <c r="J146" s="723"/>
      <c r="M146" s="2521">
        <f>+SUM(M143:M145)</f>
        <v>0</v>
      </c>
    </row>
    <row r="147" spans="2:13">
      <c r="B147" s="604">
        <v>5</v>
      </c>
      <c r="C147" s="604">
        <v>350.01</v>
      </c>
      <c r="D147" s="96" t="s">
        <v>3130</v>
      </c>
      <c r="E147" s="723">
        <f>+SUMIFS('300s - 5 Digit FERC Accounts'!F:F,'300s - 5 Digit FERC Accounts'!B:B,35001)/1000</f>
        <v>187.29876000000002</v>
      </c>
      <c r="F147" s="721">
        <f>+SUM(G147:I147)</f>
        <v>100.65045206434428</v>
      </c>
      <c r="G147" s="565">
        <f>+(G35/$E35)*$E147</f>
        <v>0</v>
      </c>
      <c r="H147" s="565">
        <f>+(H35/$E35)*$E147</f>
        <v>0</v>
      </c>
      <c r="I147" s="722">
        <f>+(I35/$E35)*$E147</f>
        <v>100.65045206434428</v>
      </c>
      <c r="J147" s="723">
        <f>+(J35/$E35)*$E147</f>
        <v>86.648307935655737</v>
      </c>
    </row>
    <row r="148" spans="2:13">
      <c r="B148" s="604">
        <v>6</v>
      </c>
      <c r="C148" s="604"/>
      <c r="D148" s="96"/>
      <c r="E148" s="723"/>
      <c r="F148" s="565"/>
      <c r="G148" s="565"/>
      <c r="H148" s="565"/>
      <c r="I148" s="722"/>
      <c r="J148" s="723"/>
      <c r="L148" t="s">
        <v>8448</v>
      </c>
      <c r="M148" s="2394">
        <f>+'Accounting Schedule B-9'!H386+'Accounting Schedule B-9'!H387</f>
        <v>12431.213170000001</v>
      </c>
    </row>
    <row r="149" spans="2:13">
      <c r="B149" s="604">
        <v>7</v>
      </c>
      <c r="C149" s="604"/>
      <c r="D149" s="96" t="s">
        <v>3131</v>
      </c>
      <c r="E149" s="723">
        <f t="shared" ref="E149:J149" si="15">+E143</f>
        <v>0</v>
      </c>
      <c r="F149" s="721">
        <f t="shared" si="15"/>
        <v>0</v>
      </c>
      <c r="G149" s="565">
        <f t="shared" si="15"/>
        <v>0</v>
      </c>
      <c r="H149" s="565">
        <f t="shared" si="15"/>
        <v>0</v>
      </c>
      <c r="I149" s="565">
        <f t="shared" si="15"/>
        <v>0</v>
      </c>
      <c r="J149" s="723">
        <f t="shared" si="15"/>
        <v>0</v>
      </c>
      <c r="L149" s="297" t="s">
        <v>8443</v>
      </c>
      <c r="M149" s="2517">
        <f>+E157</f>
        <v>12432.614237033029</v>
      </c>
    </row>
    <row r="150" spans="2:13">
      <c r="B150" s="604">
        <v>8</v>
      </c>
      <c r="C150" s="2415"/>
      <c r="D150" s="96" t="s">
        <v>3132</v>
      </c>
      <c r="E150" s="723">
        <f>+E143+E147</f>
        <v>187.29876000000002</v>
      </c>
      <c r="F150" s="721">
        <f>+F144+F147</f>
        <v>100.65045206434428</v>
      </c>
      <c r="G150" s="565">
        <f>+G144+G147</f>
        <v>0</v>
      </c>
      <c r="H150" s="565">
        <f>+H144+H147</f>
        <v>0</v>
      </c>
      <c r="I150" s="565">
        <f>+I144+I147</f>
        <v>100.65045206434428</v>
      </c>
      <c r="J150" s="723">
        <f>+J144+J147</f>
        <v>86.648307935655737</v>
      </c>
      <c r="M150" s="516">
        <f>+M148-M149</f>
        <v>-1.4010670330280846</v>
      </c>
    </row>
    <row r="151" spans="2:13">
      <c r="B151" s="604">
        <v>9</v>
      </c>
      <c r="C151" s="2415"/>
      <c r="D151" s="96"/>
      <c r="E151" s="723"/>
      <c r="F151" s="739"/>
      <c r="G151" s="565"/>
      <c r="H151" s="565"/>
      <c r="I151" s="722"/>
      <c r="J151" s="723"/>
      <c r="L151" t="s">
        <v>8438</v>
      </c>
      <c r="M151" s="2394">
        <f>-SUM('SPP ADJ T&amp;D'!E11:E12)/1000</f>
        <v>1.4010670330271997</v>
      </c>
    </row>
    <row r="152" spans="2:13">
      <c r="B152" s="2525">
        <v>10</v>
      </c>
      <c r="C152" s="2526" t="s">
        <v>3133</v>
      </c>
      <c r="D152" s="2527"/>
      <c r="E152" s="728">
        <f t="shared" ref="E152:J152" si="16">+SUM(E149:E150)</f>
        <v>187.29876000000002</v>
      </c>
      <c r="F152" s="725">
        <f t="shared" si="16"/>
        <v>100.65045206434428</v>
      </c>
      <c r="G152" s="726">
        <f t="shared" si="16"/>
        <v>0</v>
      </c>
      <c r="H152" s="726">
        <f t="shared" si="16"/>
        <v>0</v>
      </c>
      <c r="I152" s="727">
        <f t="shared" si="16"/>
        <v>100.65045206434428</v>
      </c>
      <c r="J152" s="728">
        <f t="shared" si="16"/>
        <v>86.648307935655737</v>
      </c>
      <c r="L152" s="297" t="s">
        <v>8439</v>
      </c>
      <c r="M152" s="2517">
        <v>0</v>
      </c>
    </row>
    <row r="153" spans="2:13">
      <c r="B153" s="604">
        <v>11</v>
      </c>
      <c r="C153" s="2415"/>
      <c r="D153" s="96"/>
      <c r="E153" s="723"/>
      <c r="F153" s="721"/>
      <c r="G153" s="565"/>
      <c r="H153" s="565"/>
      <c r="I153" s="565"/>
      <c r="J153" s="723"/>
      <c r="M153" s="2521">
        <f>+SUM(M150:M152)</f>
        <v>-8.8484775062624976E-13</v>
      </c>
    </row>
    <row r="154" spans="2:13">
      <c r="B154" s="604">
        <v>12</v>
      </c>
      <c r="C154" s="604">
        <v>352</v>
      </c>
      <c r="D154" s="96" t="s">
        <v>3134</v>
      </c>
      <c r="E154" s="723">
        <f>(+SUMIFS('300s - 5 Digit FERC Accounts'!F:F,'300s - 5 Digit FERC Accounts'!B:B,35200)/1000)-('SPP ADJ T&amp;D'!E11/1000)</f>
        <v>1655.2191599999999</v>
      </c>
      <c r="F154" s="721">
        <f>+SUM(G154:I154)</f>
        <v>382.09821416351974</v>
      </c>
      <c r="G154" s="565">
        <f>+(G42/$E42)*$E154</f>
        <v>382.09821416351974</v>
      </c>
      <c r="H154" s="565">
        <f>+(H42/$E42)*$E154</f>
        <v>0</v>
      </c>
      <c r="I154" s="722">
        <f>+(I42/$E42)*$E154</f>
        <v>0</v>
      </c>
      <c r="J154" s="723">
        <f>+(J42/$E42)*$E154</f>
        <v>1273.1209458364801</v>
      </c>
    </row>
    <row r="155" spans="2:13">
      <c r="B155" s="604">
        <v>13</v>
      </c>
      <c r="C155" s="604" t="s">
        <v>3135</v>
      </c>
      <c r="D155" s="96" t="s">
        <v>3136</v>
      </c>
      <c r="E155" s="723">
        <f>(+SUMIFS('300s - 5 Digit FERC Accounts'!F:F,'300s - 5 Digit FERC Accounts'!B:B,35300)/1000)-('SPP ADJ T&amp;D'!E12/1000)</f>
        <v>10777.395077033028</v>
      </c>
      <c r="F155" s="721">
        <f>+SUM(G155:I155)</f>
        <v>6598.1530218852367</v>
      </c>
      <c r="G155" s="565">
        <f>+(C7+C14)/1000</f>
        <v>4017.4268598958483</v>
      </c>
      <c r="H155" s="565">
        <f>+(H43/$E43)*$E155</f>
        <v>2580.7261619893884</v>
      </c>
      <c r="I155" s="722">
        <f>+(I43/$E43)*$E155</f>
        <v>0</v>
      </c>
      <c r="J155" s="723">
        <f>+E155-F155</f>
        <v>4179.2420551477917</v>
      </c>
      <c r="L155" t="s">
        <v>8449</v>
      </c>
      <c r="M155" s="2394">
        <f>+SUM('Accounting Schedule B-9'!H388:H394)</f>
        <v>21639.604670000004</v>
      </c>
    </row>
    <row r="156" spans="2:13">
      <c r="B156" s="604">
        <v>14</v>
      </c>
      <c r="C156" s="2415"/>
      <c r="D156" s="96" t="s">
        <v>3137</v>
      </c>
      <c r="E156" s="723"/>
      <c r="F156" s="565"/>
      <c r="G156" s="565"/>
      <c r="H156" s="565"/>
      <c r="I156" s="722"/>
      <c r="J156" s="723"/>
      <c r="L156" s="297" t="s">
        <v>8445</v>
      </c>
      <c r="M156" s="2517">
        <f>+E168</f>
        <v>19706.054336702535</v>
      </c>
    </row>
    <row r="157" spans="2:13">
      <c r="B157" s="2525">
        <v>15</v>
      </c>
      <c r="C157" s="2526" t="s">
        <v>3138</v>
      </c>
      <c r="D157" s="2528"/>
      <c r="E157" s="728">
        <f t="shared" ref="E157:J157" si="17">+SUM(E154:E155)</f>
        <v>12432.614237033029</v>
      </c>
      <c r="F157" s="725">
        <f t="shared" si="17"/>
        <v>6980.2512360487563</v>
      </c>
      <c r="G157" s="726">
        <f t="shared" si="17"/>
        <v>4399.5250740593683</v>
      </c>
      <c r="H157" s="726">
        <f t="shared" si="17"/>
        <v>2580.7261619893884</v>
      </c>
      <c r="I157" s="727">
        <f t="shared" si="17"/>
        <v>0</v>
      </c>
      <c r="J157" s="728">
        <f t="shared" si="17"/>
        <v>5452.3630009842718</v>
      </c>
      <c r="M157" s="516">
        <f>+M155-M156</f>
        <v>1933.5503332974695</v>
      </c>
    </row>
    <row r="158" spans="2:13">
      <c r="B158" s="604">
        <v>16</v>
      </c>
      <c r="C158" s="2415"/>
      <c r="D158" s="96"/>
      <c r="E158" s="723"/>
      <c r="F158" s="721"/>
      <c r="G158" s="565"/>
      <c r="H158" s="565"/>
      <c r="I158" s="565"/>
      <c r="J158" s="723"/>
      <c r="L158" t="s">
        <v>8438</v>
      </c>
      <c r="M158" s="2394">
        <f>-SUM('SPP ADJ T&amp;D'!E13:E19)/1000</f>
        <v>-1933.5503332974677</v>
      </c>
    </row>
    <row r="159" spans="2:13">
      <c r="B159" s="604">
        <v>17</v>
      </c>
      <c r="C159" s="604">
        <v>354</v>
      </c>
      <c r="D159" s="96" t="s">
        <v>3139</v>
      </c>
      <c r="E159" s="723">
        <f>(+SUMIFS('300s - 5 Digit FERC Accounts'!F:F,'300s - 5 Digit FERC Accounts'!B:B,35400)/1000)-('SPP ADJ T&amp;D'!E13/1000)</f>
        <v>65.687640000000002</v>
      </c>
      <c r="F159" s="721">
        <f>+SUM(G159:I159)</f>
        <v>47.362856872359856</v>
      </c>
      <c r="G159" s="565">
        <f>+(G47/$E47)*$E159</f>
        <v>0</v>
      </c>
      <c r="H159" s="565">
        <f>+(H47/$E47)*$E159</f>
        <v>0</v>
      </c>
      <c r="I159" s="722">
        <f>+(I47/$E47)*$E159</f>
        <v>47.362856872359856</v>
      </c>
      <c r="J159" s="723">
        <f>+(J47/$E47)*$E159</f>
        <v>18.324783127640146</v>
      </c>
      <c r="L159" s="297" t="s">
        <v>8439</v>
      </c>
      <c r="M159" s="2517">
        <v>0</v>
      </c>
    </row>
    <row r="160" spans="2:13">
      <c r="B160" s="604">
        <v>18</v>
      </c>
      <c r="C160" s="604"/>
      <c r="D160" s="96"/>
      <c r="E160" s="723"/>
      <c r="F160" s="721"/>
      <c r="G160" s="565"/>
      <c r="H160" s="565"/>
      <c r="I160" s="729"/>
      <c r="J160" s="723"/>
      <c r="M160" s="2521">
        <f>+SUM(M157:M159)</f>
        <v>1.8189894035458565E-12</v>
      </c>
    </row>
    <row r="161" spans="2:13">
      <c r="B161" s="604">
        <v>19</v>
      </c>
      <c r="C161" s="604">
        <v>355</v>
      </c>
      <c r="D161" s="96" t="s">
        <v>3140</v>
      </c>
      <c r="E161" s="723">
        <f>(+SUMIFS('300s - 5 Digit FERC Accounts'!F:F,'300s - 5 Digit FERC Accounts'!B:B,35500)/1000)-('SPP ADJ T&amp;D'!E14/1000)</f>
        <v>13164.708887861336</v>
      </c>
      <c r="F161" s="721">
        <f t="shared" ref="F161:F166" si="18">+SUM(G161:I161)</f>
        <v>8514.6420383433851</v>
      </c>
      <c r="G161" s="565">
        <f t="shared" ref="G161:J166" si="19">+(G49/$E49)*$E161</f>
        <v>0</v>
      </c>
      <c r="H161" s="565">
        <f t="shared" si="19"/>
        <v>0</v>
      </c>
      <c r="I161" s="722">
        <f t="shared" si="19"/>
        <v>8514.6420383433851</v>
      </c>
      <c r="J161" s="723">
        <f t="shared" si="19"/>
        <v>4650.0668495179498</v>
      </c>
    </row>
    <row r="162" spans="2:13">
      <c r="B162" s="604">
        <v>20</v>
      </c>
      <c r="C162" s="604">
        <v>356</v>
      </c>
      <c r="D162" s="96" t="s">
        <v>3141</v>
      </c>
      <c r="E162" s="723">
        <f>(+SUMIFS('300s - 5 Digit FERC Accounts'!F:F,'300s - 5 Digit FERC Accounts'!B:B,35600)/1000)-('SPP ADJ T&amp;D'!E15/1000)</f>
        <v>5672.8400388411983</v>
      </c>
      <c r="F162" s="721">
        <f t="shared" si="18"/>
        <v>2774.8421974721887</v>
      </c>
      <c r="G162" s="565">
        <f t="shared" si="19"/>
        <v>0</v>
      </c>
      <c r="H162" s="565">
        <f t="shared" si="19"/>
        <v>0</v>
      </c>
      <c r="I162" s="722">
        <f t="shared" si="19"/>
        <v>2774.8421974721887</v>
      </c>
      <c r="J162" s="723">
        <f t="shared" si="19"/>
        <v>2897.9978413690101</v>
      </c>
      <c r="L162" t="s">
        <v>8435</v>
      </c>
      <c r="M162" s="2521">
        <f>+SUM(M155,M148,M141)-M134</f>
        <v>0</v>
      </c>
    </row>
    <row r="163" spans="2:13">
      <c r="B163" s="604">
        <v>21</v>
      </c>
      <c r="C163" s="604">
        <v>356.01</v>
      </c>
      <c r="D163" s="96" t="s">
        <v>3142</v>
      </c>
      <c r="E163" s="723">
        <f>(+SUMIFS('300s - 5 Digit FERC Accounts'!F:F,'300s - 5 Digit FERC Accounts'!B:B,35601)/1000)-('SPP ADJ T&amp;D'!E16/1000)</f>
        <v>21.52824</v>
      </c>
      <c r="F163" s="721">
        <f t="shared" si="18"/>
        <v>16.3158000368737</v>
      </c>
      <c r="G163" s="565">
        <f t="shared" si="19"/>
        <v>0</v>
      </c>
      <c r="H163" s="565">
        <f t="shared" si="19"/>
        <v>0</v>
      </c>
      <c r="I163" s="722">
        <f t="shared" si="19"/>
        <v>16.3158000368737</v>
      </c>
      <c r="J163" s="723">
        <f t="shared" si="19"/>
        <v>5.212439963126303</v>
      </c>
      <c r="L163" s="297" t="s">
        <v>8426</v>
      </c>
      <c r="M163" s="2529">
        <f>+SUM(M156,M149,M142)-M135</f>
        <v>0</v>
      </c>
    </row>
    <row r="164" spans="2:13">
      <c r="B164" s="604">
        <v>22</v>
      </c>
      <c r="C164" s="604">
        <v>357</v>
      </c>
      <c r="D164" s="96" t="s">
        <v>3143</v>
      </c>
      <c r="E164" s="723">
        <f>(+SUMIFS('300s - 5 Digit FERC Accounts'!F:F,'300s - 5 Digit FERC Accounts'!B:B,35700)/1000)-('SPP ADJ T&amp;D'!E17/1000)</f>
        <v>78.676079999999999</v>
      </c>
      <c r="F164" s="721">
        <f t="shared" si="18"/>
        <v>0</v>
      </c>
      <c r="G164" s="565">
        <f t="shared" si="19"/>
        <v>0</v>
      </c>
      <c r="H164" s="565">
        <f t="shared" si="19"/>
        <v>0</v>
      </c>
      <c r="I164" s="722">
        <f t="shared" si="19"/>
        <v>0</v>
      </c>
      <c r="J164" s="723">
        <f t="shared" si="19"/>
        <v>78.676079999999999</v>
      </c>
      <c r="M164" s="2521">
        <f>+M162-M163</f>
        <v>0</v>
      </c>
    </row>
    <row r="165" spans="2:13">
      <c r="B165" s="604">
        <v>23</v>
      </c>
      <c r="C165" s="604">
        <v>358</v>
      </c>
      <c r="D165" s="96" t="s">
        <v>3144</v>
      </c>
      <c r="E165" s="723">
        <f>(+SUMIFS('300s - 5 Digit FERC Accounts'!F:F,'300s - 5 Digit FERC Accounts'!B:B,35800)/1000)-('SPP ADJ T&amp;D'!E18/1000)</f>
        <v>346.16520000000003</v>
      </c>
      <c r="F165" s="721">
        <f t="shared" si="18"/>
        <v>0</v>
      </c>
      <c r="G165" s="565">
        <f t="shared" si="19"/>
        <v>0</v>
      </c>
      <c r="H165" s="565">
        <f t="shared" si="19"/>
        <v>0</v>
      </c>
      <c r="I165" s="722">
        <f t="shared" si="19"/>
        <v>0</v>
      </c>
      <c r="J165" s="723">
        <f t="shared" si="19"/>
        <v>346.16520000000003</v>
      </c>
      <c r="L165" t="s">
        <v>8438</v>
      </c>
      <c r="M165" s="2521">
        <f>+SUM(M158,M151,M144)-M137</f>
        <v>0</v>
      </c>
    </row>
    <row r="166" spans="2:13">
      <c r="B166" s="604">
        <v>24</v>
      </c>
      <c r="C166" s="604">
        <v>359</v>
      </c>
      <c r="D166" s="96" t="s">
        <v>3145</v>
      </c>
      <c r="E166" s="723">
        <f>(+SUMIFS('300s - 5 Digit FERC Accounts'!F:F,'300s - 5 Digit FERC Accounts'!B:B,35900)/1000)-('SPP ADJ T&amp;D'!E19/1000)</f>
        <v>356.44824999999997</v>
      </c>
      <c r="F166" s="721">
        <f t="shared" si="18"/>
        <v>300.83955707423053</v>
      </c>
      <c r="G166" s="565">
        <f t="shared" si="19"/>
        <v>0</v>
      </c>
      <c r="H166" s="565">
        <f t="shared" si="19"/>
        <v>0</v>
      </c>
      <c r="I166" s="722">
        <f t="shared" si="19"/>
        <v>300.83955707423053</v>
      </c>
      <c r="J166" s="723">
        <f t="shared" si="19"/>
        <v>55.608692925769418</v>
      </c>
      <c r="L166" s="297" t="s">
        <v>8439</v>
      </c>
      <c r="M166" s="2529">
        <f>+SUM(M159,M152,M145)-M138</f>
        <v>0</v>
      </c>
    </row>
    <row r="167" spans="2:13">
      <c r="B167" s="604">
        <v>25</v>
      </c>
      <c r="C167" s="2415"/>
      <c r="D167" s="96"/>
      <c r="E167" s="723"/>
      <c r="F167" s="565"/>
      <c r="G167" s="565"/>
      <c r="H167" s="565"/>
      <c r="I167" s="722"/>
      <c r="J167" s="723"/>
      <c r="M167" s="2521">
        <f>+SUM(M164:M166)</f>
        <v>0</v>
      </c>
    </row>
    <row r="168" spans="2:13">
      <c r="B168" s="2525">
        <v>26</v>
      </c>
      <c r="C168" s="2526" t="s">
        <v>3146</v>
      </c>
      <c r="D168" s="2528"/>
      <c r="E168" s="728">
        <f t="shared" ref="E168:J168" si="20">+SUM(E159:E166)</f>
        <v>19706.054336702535</v>
      </c>
      <c r="F168" s="726">
        <f t="shared" si="20"/>
        <v>11654.002449799038</v>
      </c>
      <c r="G168" s="726">
        <f t="shared" si="20"/>
        <v>0</v>
      </c>
      <c r="H168" s="726">
        <f t="shared" si="20"/>
        <v>0</v>
      </c>
      <c r="I168" s="727">
        <f t="shared" si="20"/>
        <v>11654.002449799038</v>
      </c>
      <c r="J168" s="728">
        <f t="shared" si="20"/>
        <v>8052.0518869034968</v>
      </c>
    </row>
    <row r="169" spans="2:13">
      <c r="B169" s="604">
        <v>27</v>
      </c>
      <c r="C169" s="2415"/>
      <c r="D169" s="96"/>
      <c r="E169" s="723"/>
      <c r="F169" s="721"/>
      <c r="G169" s="565"/>
      <c r="H169" s="565"/>
      <c r="I169" s="722"/>
      <c r="J169" s="723"/>
    </row>
    <row r="170" spans="2:13">
      <c r="B170" s="604">
        <v>28</v>
      </c>
      <c r="C170" s="2415"/>
      <c r="D170" s="96"/>
      <c r="E170" s="723"/>
      <c r="F170" s="732"/>
      <c r="G170" s="733"/>
      <c r="H170" s="733"/>
      <c r="I170" s="734"/>
      <c r="J170" s="734"/>
    </row>
    <row r="171" spans="2:13">
      <c r="B171" s="637">
        <v>29</v>
      </c>
      <c r="C171" s="2497" t="s">
        <v>3147</v>
      </c>
      <c r="D171" s="638"/>
      <c r="E171" s="738">
        <f t="shared" ref="E171:J171" si="21">+E152+E157+E168</f>
        <v>32325.967333735563</v>
      </c>
      <c r="F171" s="740">
        <f t="shared" si="21"/>
        <v>18734.904137912137</v>
      </c>
      <c r="G171" s="736">
        <f t="shared" si="21"/>
        <v>4399.5250740593683</v>
      </c>
      <c r="H171" s="736">
        <f t="shared" si="21"/>
        <v>2580.7261619893884</v>
      </c>
      <c r="I171" s="737">
        <f t="shared" si="21"/>
        <v>11754.652901863383</v>
      </c>
      <c r="J171" s="738">
        <f t="shared" si="21"/>
        <v>13591.063195823424</v>
      </c>
    </row>
    <row r="172" spans="2:13">
      <c r="B172" s="604">
        <v>30</v>
      </c>
      <c r="C172" s="2415"/>
      <c r="D172" s="96"/>
      <c r="E172" s="723"/>
      <c r="F172" s="721"/>
      <c r="G172" s="565"/>
      <c r="H172" s="565"/>
      <c r="I172" s="722"/>
      <c r="J172" s="723"/>
    </row>
    <row r="173" spans="2:13">
      <c r="B173" s="604">
        <v>31</v>
      </c>
      <c r="C173" s="2415"/>
      <c r="D173" s="96"/>
      <c r="E173" s="723"/>
      <c r="F173" s="721"/>
      <c r="G173" s="565"/>
      <c r="H173" s="565"/>
      <c r="I173" s="722"/>
      <c r="J173" s="723"/>
    </row>
    <row r="174" spans="2:13">
      <c r="B174" s="604">
        <v>32</v>
      </c>
      <c r="C174" s="2531" t="s">
        <v>3148</v>
      </c>
      <c r="D174" s="96"/>
      <c r="E174" s="723"/>
      <c r="F174" s="721"/>
      <c r="G174" s="565"/>
      <c r="H174" s="565"/>
      <c r="I174" s="722"/>
      <c r="J174" s="723"/>
    </row>
    <row r="175" spans="2:13">
      <c r="B175" s="604">
        <v>33</v>
      </c>
      <c r="C175" s="2415" t="s">
        <v>3149</v>
      </c>
      <c r="D175" s="96"/>
      <c r="E175" s="723">
        <f t="shared" ref="E175:J175" si="22">+E149+E157</f>
        <v>12432.614237033029</v>
      </c>
      <c r="F175" s="721">
        <f t="shared" si="22"/>
        <v>6980.2512360487563</v>
      </c>
      <c r="G175" s="565">
        <f t="shared" si="22"/>
        <v>4399.5250740593683</v>
      </c>
      <c r="H175" s="565">
        <f t="shared" si="22"/>
        <v>2580.7261619893884</v>
      </c>
      <c r="I175" s="722">
        <f t="shared" si="22"/>
        <v>0</v>
      </c>
      <c r="J175" s="722">
        <f t="shared" si="22"/>
        <v>5452.3630009842718</v>
      </c>
    </row>
    <row r="176" spans="2:13">
      <c r="B176" s="2532">
        <v>34</v>
      </c>
      <c r="C176" s="2417" t="s">
        <v>3150</v>
      </c>
      <c r="D176" s="545"/>
      <c r="E176" s="731">
        <f t="shared" ref="E176:J176" si="23">+E150+E168</f>
        <v>19893.353096702536</v>
      </c>
      <c r="F176" s="574">
        <f t="shared" si="23"/>
        <v>11754.652901863383</v>
      </c>
      <c r="G176" s="574">
        <f t="shared" si="23"/>
        <v>0</v>
      </c>
      <c r="H176" s="574">
        <f t="shared" si="23"/>
        <v>0</v>
      </c>
      <c r="I176" s="730">
        <f t="shared" si="23"/>
        <v>11754.652901863383</v>
      </c>
      <c r="J176" s="730">
        <f t="shared" si="23"/>
        <v>8138.7001948391526</v>
      </c>
    </row>
  </sheetData>
  <mergeCells count="4">
    <mergeCell ref="F26:I26"/>
    <mergeCell ref="G69:I69"/>
    <mergeCell ref="F92:I92"/>
    <mergeCell ref="F138:I138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B2:H168"/>
  <sheetViews>
    <sheetView tabSelected="1" showOutlineSymbols="0" workbookViewId="0"/>
  </sheetViews>
  <sheetFormatPr defaultRowHeight="14.4"/>
  <cols>
    <col min="2" max="2" width="62.88671875" bestFit="1" customWidth="1"/>
    <col min="3" max="3" width="16.109375" bestFit="1" customWidth="1"/>
    <col min="4" max="4" width="34.109375" bestFit="1" customWidth="1"/>
    <col min="5" max="5" width="13.44140625" bestFit="1" customWidth="1"/>
    <col min="6" max="6" width="16.44140625" bestFit="1" customWidth="1"/>
    <col min="7" max="7" width="12.5546875" bestFit="1" customWidth="1"/>
    <col min="8" max="8" width="16.5546875" bestFit="1" customWidth="1"/>
  </cols>
  <sheetData>
    <row r="2" spans="2:8">
      <c r="C2" s="1962" t="s">
        <v>116</v>
      </c>
    </row>
    <row r="4" spans="2:8">
      <c r="B4" s="352" t="s">
        <v>2173</v>
      </c>
      <c r="C4" s="294"/>
      <c r="D4" s="294"/>
      <c r="E4" s="294"/>
      <c r="F4" s="2549"/>
      <c r="G4" s="2550"/>
      <c r="H4" s="460"/>
    </row>
    <row r="5" spans="2:8">
      <c r="B5" s="353" t="s">
        <v>3473</v>
      </c>
      <c r="G5" s="2551"/>
      <c r="H5" s="296"/>
    </row>
    <row r="6" spans="2:8">
      <c r="B6" s="2552" t="s">
        <v>9263</v>
      </c>
      <c r="F6" s="2553"/>
      <c r="H6" s="296"/>
    </row>
    <row r="7" spans="2:8">
      <c r="B7" s="616"/>
      <c r="C7" s="297"/>
      <c r="D7" s="297"/>
      <c r="E7" s="297"/>
      <c r="F7" s="297"/>
      <c r="G7" s="297"/>
      <c r="H7" s="298"/>
    </row>
    <row r="8" spans="2:8">
      <c r="B8" s="353"/>
      <c r="C8" s="62"/>
      <c r="D8" s="62"/>
      <c r="E8" s="60"/>
      <c r="G8" s="60" t="s">
        <v>3474</v>
      </c>
      <c r="H8" s="2554"/>
    </row>
    <row r="9" spans="2:8">
      <c r="B9" s="363" t="s">
        <v>2182</v>
      </c>
      <c r="C9" s="62"/>
      <c r="D9" s="62"/>
      <c r="E9" s="60" t="s">
        <v>3475</v>
      </c>
      <c r="F9" s="60" t="s">
        <v>3476</v>
      </c>
      <c r="G9" s="60" t="s">
        <v>3477</v>
      </c>
      <c r="H9" s="767" t="s">
        <v>3476</v>
      </c>
    </row>
    <row r="10" spans="2:8">
      <c r="B10" s="522" t="s">
        <v>3216</v>
      </c>
      <c r="C10" s="77" t="s">
        <v>2678</v>
      </c>
      <c r="D10" s="77" t="s">
        <v>1918</v>
      </c>
      <c r="E10" s="77" t="s">
        <v>3478</v>
      </c>
      <c r="F10" s="60" t="s">
        <v>3479</v>
      </c>
      <c r="G10" s="77" t="s">
        <v>3480</v>
      </c>
      <c r="H10" s="767" t="s">
        <v>3481</v>
      </c>
    </row>
    <row r="11" spans="2:8">
      <c r="B11" s="354" t="s">
        <v>2175</v>
      </c>
      <c r="C11" s="355" t="s">
        <v>2176</v>
      </c>
      <c r="D11" s="355" t="s">
        <v>2177</v>
      </c>
      <c r="E11" s="355" t="s">
        <v>2178</v>
      </c>
      <c r="F11" s="355" t="s">
        <v>2179</v>
      </c>
      <c r="G11" s="355" t="s">
        <v>2625</v>
      </c>
      <c r="H11" s="356" t="s">
        <v>2626</v>
      </c>
    </row>
    <row r="12" spans="2:8" ht="15.6">
      <c r="B12" s="357"/>
      <c r="C12" s="2555" t="s">
        <v>1915</v>
      </c>
      <c r="H12" s="296"/>
    </row>
    <row r="13" spans="2:8">
      <c r="B13" s="604">
        <v>1</v>
      </c>
      <c r="C13" s="290" t="s">
        <v>3482</v>
      </c>
      <c r="D13" s="96" t="s">
        <v>3483</v>
      </c>
      <c r="E13" s="538">
        <f>+SUMIFS('Dist Overhead Conductors'!F:F,'Dist Overhead Conductors'!B:B,'Distribution Overhead Conductor'!C13)</f>
        <v>3966</v>
      </c>
      <c r="G13" s="538">
        <f>+SUMIFS('Dist Overhead Conductors'!D:D,'Dist Overhead Conductors'!B:B,'Distribution Overhead Conductor'!C13)</f>
        <v>3051042.2799999993</v>
      </c>
      <c r="H13" s="296"/>
    </row>
    <row r="14" spans="2:8">
      <c r="B14" s="604">
        <v>2</v>
      </c>
      <c r="C14" s="290" t="s">
        <v>3484</v>
      </c>
      <c r="D14" s="96" t="s">
        <v>3483</v>
      </c>
      <c r="E14" s="538">
        <f>+SUMIFS('Dist Overhead Conductors'!F:F,'Dist Overhead Conductors'!B:B,'Distribution Overhead Conductor'!C14)</f>
        <v>14</v>
      </c>
      <c r="G14" s="538">
        <f>+SUMIFS('Dist Overhead Conductors'!D:D,'Dist Overhead Conductors'!B:B,'Distribution Overhead Conductor'!C14)</f>
        <v>71965.91</v>
      </c>
      <c r="H14" s="296"/>
    </row>
    <row r="15" spans="2:8">
      <c r="B15" s="604">
        <v>3</v>
      </c>
      <c r="C15" s="290" t="s">
        <v>2906</v>
      </c>
      <c r="D15" s="96" t="s">
        <v>3483</v>
      </c>
      <c r="E15" s="538">
        <f>+SUMIFS('Dist Overhead Conductors'!F:F,'Dist Overhead Conductors'!B:B,'Distribution Overhead Conductor'!C15)</f>
        <v>2873372.55</v>
      </c>
      <c r="G15" s="538">
        <f>+SUMIFS('Dist Overhead Conductors'!D:D,'Dist Overhead Conductors'!B:B,'Distribution Overhead Conductor'!C15)</f>
        <v>316715.61</v>
      </c>
      <c r="H15" s="296"/>
    </row>
    <row r="16" spans="2:8">
      <c r="B16" s="604">
        <v>4</v>
      </c>
      <c r="C16" s="290" t="s">
        <v>3485</v>
      </c>
      <c r="D16" s="96" t="s">
        <v>3486</v>
      </c>
      <c r="E16" s="538">
        <f>+SUMIFS('Dist Overhead Conductors'!F:F,'Dist Overhead Conductors'!B:B,'Distribution Overhead Conductor'!C16)</f>
        <v>14175182.449999999</v>
      </c>
      <c r="G16" s="538">
        <f>+SUMIFS('Dist Overhead Conductors'!D:D,'Dist Overhead Conductors'!B:B,'Distribution Overhead Conductor'!C16)</f>
        <v>1758691.51</v>
      </c>
      <c r="H16" s="296"/>
    </row>
    <row r="17" spans="2:8">
      <c r="B17" s="604">
        <v>5</v>
      </c>
      <c r="C17" s="290" t="s">
        <v>3487</v>
      </c>
      <c r="D17" s="96" t="s">
        <v>3488</v>
      </c>
      <c r="E17" s="538">
        <f>+SUMIFS('Dist Overhead Conductors'!F:F,'Dist Overhead Conductors'!B:B,'Distribution Overhead Conductor'!C17)</f>
        <v>10467122.85</v>
      </c>
      <c r="G17" s="538">
        <f>+SUMIFS('Dist Overhead Conductors'!D:D,'Dist Overhead Conductors'!B:B,'Distribution Overhead Conductor'!C17)</f>
        <v>3431763.4600000004</v>
      </c>
      <c r="H17" s="296"/>
    </row>
    <row r="18" spans="2:8">
      <c r="B18" s="604">
        <v>6</v>
      </c>
      <c r="C18" s="290" t="s">
        <v>2768</v>
      </c>
      <c r="D18" s="96" t="s">
        <v>3489</v>
      </c>
      <c r="E18" s="538">
        <f>+SUMIFS('Dist Overhead Conductors'!F:F,'Dist Overhead Conductors'!B:B,'Distribution Overhead Conductor'!C18)</f>
        <v>967216.95</v>
      </c>
      <c r="G18" s="538">
        <f>+SUMIFS('Dist Overhead Conductors'!D:D,'Dist Overhead Conductors'!B:B,'Distribution Overhead Conductor'!C18)</f>
        <v>162959.84</v>
      </c>
      <c r="H18" s="296"/>
    </row>
    <row r="19" spans="2:8">
      <c r="B19" s="604">
        <v>7</v>
      </c>
      <c r="C19" s="290" t="s">
        <v>3490</v>
      </c>
      <c r="D19" s="96" t="s">
        <v>3491</v>
      </c>
      <c r="E19" s="538">
        <f>+SUMIFS('Dist Overhead Conductors'!F:F,'Dist Overhead Conductors'!B:B,'Distribution Overhead Conductor'!C19)</f>
        <v>2665074.1999999997</v>
      </c>
      <c r="G19" s="538">
        <f>+SUMIFS('Dist Overhead Conductors'!D:D,'Dist Overhead Conductors'!B:B,'Distribution Overhead Conductor'!C19)</f>
        <v>3657548.1700000004</v>
      </c>
      <c r="H19" s="296"/>
    </row>
    <row r="20" spans="2:8">
      <c r="B20" s="604">
        <v>8</v>
      </c>
      <c r="C20" s="290" t="s">
        <v>2908</v>
      </c>
      <c r="D20" s="96" t="s">
        <v>3492</v>
      </c>
      <c r="E20" s="538">
        <f>+SUMIFS('Dist Overhead Conductors'!F:F,'Dist Overhead Conductors'!B:B,'Distribution Overhead Conductor'!C20)</f>
        <v>1747</v>
      </c>
      <c r="G20" s="538">
        <f>+SUMIFS('Dist Overhead Conductors'!D:D,'Dist Overhead Conductors'!B:B,'Distribution Overhead Conductor'!C20)</f>
        <v>2876.82</v>
      </c>
      <c r="H20" s="296"/>
    </row>
    <row r="21" spans="2:8">
      <c r="B21" s="604">
        <v>9</v>
      </c>
      <c r="C21" s="290" t="s">
        <v>2910</v>
      </c>
      <c r="D21" s="96" t="s">
        <v>3493</v>
      </c>
      <c r="E21" s="538">
        <f>+SUMIFS('Dist Overhead Conductors'!F:F,'Dist Overhead Conductors'!B:B,'Distribution Overhead Conductor'!C21)</f>
        <v>2692689.5</v>
      </c>
      <c r="G21" s="538">
        <f>+SUMIFS('Dist Overhead Conductors'!D:D,'Dist Overhead Conductors'!B:B,'Distribution Overhead Conductor'!C21)</f>
        <v>3889521.26</v>
      </c>
      <c r="H21" s="2556"/>
    </row>
    <row r="22" spans="2:8">
      <c r="B22" s="604">
        <v>10</v>
      </c>
      <c r="C22" s="290" t="s">
        <v>3494</v>
      </c>
      <c r="D22" s="96" t="s">
        <v>3495</v>
      </c>
      <c r="E22" s="538">
        <f>+SUMIFS('Dist Overhead Conductors'!F:F,'Dist Overhead Conductors'!B:B,'Distribution Overhead Conductor'!C22)</f>
        <v>-1289</v>
      </c>
      <c r="G22" s="538">
        <f>+SUMIFS('Dist Overhead Conductors'!D:D,'Dist Overhead Conductors'!B:B,'Distribution Overhead Conductor'!C22)</f>
        <v>-40332.339999999997</v>
      </c>
      <c r="H22" s="296"/>
    </row>
    <row r="23" spans="2:8">
      <c r="B23" s="604">
        <v>11</v>
      </c>
      <c r="C23" s="290" t="s">
        <v>3496</v>
      </c>
      <c r="D23" s="96" t="s">
        <v>3497</v>
      </c>
      <c r="E23" s="538">
        <f>+SUMIFS('Dist Overhead Conductors'!F:F,'Dist Overhead Conductors'!B:B,'Distribution Overhead Conductor'!C23)</f>
        <v>1454</v>
      </c>
      <c r="G23" s="538">
        <f>+SUMIFS('Dist Overhead Conductors'!D:D,'Dist Overhead Conductors'!B:B,'Distribution Overhead Conductor'!C23)</f>
        <v>2141</v>
      </c>
      <c r="H23" s="296"/>
    </row>
    <row r="24" spans="2:8">
      <c r="B24" s="604">
        <v>12</v>
      </c>
      <c r="C24" s="290" t="s">
        <v>3498</v>
      </c>
      <c r="D24" s="96" t="s">
        <v>3499</v>
      </c>
      <c r="E24" s="538">
        <f>+SUMIFS('Dist Overhead Conductors'!F:F,'Dist Overhead Conductors'!B:B,'Distribution Overhead Conductor'!C24)</f>
        <v>169385</v>
      </c>
      <c r="G24" s="538">
        <f>+SUMIFS('Dist Overhead Conductors'!D:D,'Dist Overhead Conductors'!B:B,'Distribution Overhead Conductor'!C24)</f>
        <v>1027952.6700000002</v>
      </c>
      <c r="H24" s="296"/>
    </row>
    <row r="25" spans="2:8">
      <c r="B25" s="604">
        <v>13</v>
      </c>
      <c r="C25" s="290" t="s">
        <v>2838</v>
      </c>
      <c r="D25" s="96" t="s">
        <v>3500</v>
      </c>
      <c r="E25" s="538">
        <f>+SUMIFS('Dist Overhead Conductors'!F:F,'Dist Overhead Conductors'!B:B,'Distribution Overhead Conductor'!C25)</f>
        <v>776</v>
      </c>
      <c r="G25" s="538">
        <f>+SUMIFS('Dist Overhead Conductors'!D:D,'Dist Overhead Conductors'!B:B,'Distribution Overhead Conductor'!C25)</f>
        <v>11476.81</v>
      </c>
      <c r="H25" s="296"/>
    </row>
    <row r="26" spans="2:8">
      <c r="B26" s="604">
        <v>14</v>
      </c>
      <c r="C26" s="290" t="s">
        <v>3501</v>
      </c>
      <c r="D26" s="96" t="s">
        <v>3502</v>
      </c>
      <c r="E26" s="538">
        <f>+SUMIFS('Dist Overhead Conductors'!F:F,'Dist Overhead Conductors'!B:B,'Distribution Overhead Conductor'!C26)</f>
        <v>12347385</v>
      </c>
      <c r="G26" s="538">
        <f>+SUMIFS('Dist Overhead Conductors'!D:D,'Dist Overhead Conductors'!B:B,'Distribution Overhead Conductor'!C26)</f>
        <v>2243161.9900000002</v>
      </c>
      <c r="H26" s="296"/>
    </row>
    <row r="27" spans="2:8">
      <c r="B27" s="604">
        <v>15</v>
      </c>
      <c r="C27" s="290" t="s">
        <v>2720</v>
      </c>
      <c r="D27" s="96" t="s">
        <v>3503</v>
      </c>
      <c r="E27" s="538">
        <f>+SUMIFS('Dist Overhead Conductors'!F:F,'Dist Overhead Conductors'!B:B,'Distribution Overhead Conductor'!C27)</f>
        <v>3130699</v>
      </c>
      <c r="G27" s="538">
        <f>+SUMIFS('Dist Overhead Conductors'!D:D,'Dist Overhead Conductors'!B:B,'Distribution Overhead Conductor'!C27)</f>
        <v>1047281.27</v>
      </c>
      <c r="H27" s="2556"/>
    </row>
    <row r="28" spans="2:8">
      <c r="B28" s="604">
        <v>16</v>
      </c>
      <c r="C28" s="290" t="s">
        <v>3504</v>
      </c>
      <c r="D28" s="96" t="s">
        <v>3505</v>
      </c>
      <c r="E28" s="538">
        <f>+SUMIFS('Dist Overhead Conductors'!F:F,'Dist Overhead Conductors'!B:B,'Distribution Overhead Conductor'!C28)</f>
        <v>27989476.279999997</v>
      </c>
      <c r="G28" s="538">
        <f>+SUMIFS('Dist Overhead Conductors'!D:D,'Dist Overhead Conductors'!B:B,'Distribution Overhead Conductor'!C28)</f>
        <v>57024900.190000013</v>
      </c>
      <c r="H28" s="2556"/>
    </row>
    <row r="29" spans="2:8">
      <c r="B29" s="604">
        <v>17</v>
      </c>
      <c r="C29" s="290" t="s">
        <v>2776</v>
      </c>
      <c r="D29" s="96" t="s">
        <v>3506</v>
      </c>
      <c r="E29" s="538">
        <f>+SUMIFS('Dist Overhead Conductors'!F:F,'Dist Overhead Conductors'!B:B,'Distribution Overhead Conductor'!C29)</f>
        <v>16560</v>
      </c>
      <c r="G29" s="538">
        <f>+SUMIFS('Dist Overhead Conductors'!D:D,'Dist Overhead Conductors'!B:B,'Distribution Overhead Conductor'!C29)</f>
        <v>13443.83</v>
      </c>
      <c r="H29" s="2556"/>
    </row>
    <row r="30" spans="2:8">
      <c r="B30" s="604">
        <v>18</v>
      </c>
      <c r="C30" s="290" t="s">
        <v>2778</v>
      </c>
      <c r="D30" s="96" t="s">
        <v>3507</v>
      </c>
      <c r="E30" s="538">
        <f>+SUMIFS('Dist Overhead Conductors'!F:F,'Dist Overhead Conductors'!B:B,'Distribution Overhead Conductor'!C30)</f>
        <v>1</v>
      </c>
      <c r="F30" s="46"/>
      <c r="G30" s="538">
        <f>+SUMIFS('Dist Overhead Conductors'!D:D,'Dist Overhead Conductors'!B:B,'Distribution Overhead Conductor'!C30)</f>
        <v>4007.67</v>
      </c>
      <c r="H30" s="296"/>
    </row>
    <row r="31" spans="2:8">
      <c r="B31" s="604">
        <v>19</v>
      </c>
      <c r="C31" s="290" t="s">
        <v>2780</v>
      </c>
      <c r="D31" s="96" t="s">
        <v>3508</v>
      </c>
      <c r="E31" s="538">
        <f>+SUMIFS('Dist Overhead Conductors'!F:F,'Dist Overhead Conductors'!B:B,'Distribution Overhead Conductor'!C31)</f>
        <v>-50</v>
      </c>
      <c r="F31" s="46"/>
      <c r="G31" s="538">
        <f>+SUMIFS('Dist Overhead Conductors'!D:D,'Dist Overhead Conductors'!B:B,'Distribution Overhead Conductor'!C31)</f>
        <v>-992.63</v>
      </c>
      <c r="H31" s="296"/>
    </row>
    <row r="32" spans="2:8">
      <c r="B32" s="604">
        <v>20</v>
      </c>
      <c r="C32" s="290" t="s">
        <v>3509</v>
      </c>
      <c r="D32" s="96" t="s">
        <v>3510</v>
      </c>
      <c r="E32" s="538">
        <f>+SUMIFS('Dist Overhead Conductors'!F:F,'Dist Overhead Conductors'!B:B,'Distribution Overhead Conductor'!C32)</f>
        <v>410.8</v>
      </c>
      <c r="G32" s="538">
        <f>+SUMIFS('Dist Overhead Conductors'!D:D,'Dist Overhead Conductors'!B:B,'Distribution Overhead Conductor'!C32)</f>
        <v>28403.010000000002</v>
      </c>
      <c r="H32" s="2556"/>
    </row>
    <row r="33" spans="2:8">
      <c r="B33" s="604">
        <v>21</v>
      </c>
      <c r="C33" s="290" t="s">
        <v>2784</v>
      </c>
      <c r="D33" s="96" t="s">
        <v>3511</v>
      </c>
      <c r="E33" s="538">
        <f>+SUMIFS('Dist Overhead Conductors'!F:F,'Dist Overhead Conductors'!B:B,'Distribution Overhead Conductor'!C33)</f>
        <v>33453562.999999996</v>
      </c>
      <c r="G33" s="538">
        <f>+SUMIFS('Dist Overhead Conductors'!D:D,'Dist Overhead Conductors'!B:B,'Distribution Overhead Conductor'!C33)</f>
        <v>64884392.649999991</v>
      </c>
      <c r="H33" s="296"/>
    </row>
    <row r="34" spans="2:8">
      <c r="B34" s="604">
        <v>22</v>
      </c>
      <c r="C34" s="290" t="s">
        <v>3512</v>
      </c>
      <c r="D34" s="96" t="s">
        <v>3513</v>
      </c>
      <c r="E34" s="538">
        <f>+SUMIFS('Dist Overhead Conductors'!F:F,'Dist Overhead Conductors'!B:B,'Distribution Overhead Conductor'!C34)</f>
        <v>5224064.0999999996</v>
      </c>
      <c r="G34" s="538">
        <f>+SUMIFS('Dist Overhead Conductors'!D:D,'Dist Overhead Conductors'!B:B,'Distribution Overhead Conductor'!C34)</f>
        <v>1225726.74</v>
      </c>
      <c r="H34" s="296"/>
    </row>
    <row r="35" spans="2:8">
      <c r="B35" s="604">
        <v>23</v>
      </c>
      <c r="C35" s="290" t="s">
        <v>2786</v>
      </c>
      <c r="D35" s="96" t="s">
        <v>3514</v>
      </c>
      <c r="E35" s="538">
        <f>+SUMIFS('Dist Overhead Conductors'!F:F,'Dist Overhead Conductors'!B:B,'Distribution Overhead Conductor'!C35)</f>
        <v>13996575.610000005</v>
      </c>
      <c r="G35" s="538">
        <f>+SUMIFS('Dist Overhead Conductors'!D:D,'Dist Overhead Conductors'!B:B,'Distribution Overhead Conductor'!C35)</f>
        <v>18368384.349999994</v>
      </c>
      <c r="H35" s="296"/>
    </row>
    <row r="36" spans="2:8">
      <c r="B36" s="604">
        <v>24</v>
      </c>
      <c r="C36" s="290" t="s">
        <v>2846</v>
      </c>
      <c r="D36" s="96" t="s">
        <v>3515</v>
      </c>
      <c r="E36" s="538">
        <f>+SUMIFS('Dist Overhead Conductors'!F:F,'Dist Overhead Conductors'!B:B,'Distribution Overhead Conductor'!C36)</f>
        <v>2240913.5</v>
      </c>
      <c r="G36" s="538">
        <f>+SUMIFS('Dist Overhead Conductors'!D:D,'Dist Overhead Conductors'!B:B,'Distribution Overhead Conductor'!C36)</f>
        <v>3195035.2299999991</v>
      </c>
      <c r="H36" s="2556"/>
    </row>
    <row r="37" spans="2:8">
      <c r="B37" s="604">
        <v>25</v>
      </c>
      <c r="C37" s="290" t="s">
        <v>3516</v>
      </c>
      <c r="D37" s="96" t="s">
        <v>3517</v>
      </c>
      <c r="E37" s="538">
        <f>+SUMIFS('Dist Overhead Conductors'!F:F,'Dist Overhead Conductors'!B:B,'Distribution Overhead Conductor'!C37)</f>
        <v>51721</v>
      </c>
      <c r="G37" s="538">
        <f>+SUMIFS('Dist Overhead Conductors'!D:D,'Dist Overhead Conductors'!B:B,'Distribution Overhead Conductor'!C37)</f>
        <v>28065.100000000002</v>
      </c>
      <c r="H37" s="296"/>
    </row>
    <row r="38" spans="2:8">
      <c r="B38" s="604">
        <v>26</v>
      </c>
      <c r="C38" s="290" t="s">
        <v>3518</v>
      </c>
      <c r="D38" s="96" t="s">
        <v>3519</v>
      </c>
      <c r="E38" s="538">
        <f>+SUMIFS('Dist Overhead Conductors'!F:F,'Dist Overhead Conductors'!B:B,'Distribution Overhead Conductor'!C38)</f>
        <v>751</v>
      </c>
      <c r="G38" s="538">
        <f>+SUMIFS('Dist Overhead Conductors'!D:D,'Dist Overhead Conductors'!B:B,'Distribution Overhead Conductor'!C38)</f>
        <v>4991.3599999999997</v>
      </c>
      <c r="H38" s="2556"/>
    </row>
    <row r="39" spans="2:8">
      <c r="B39" s="604">
        <v>27</v>
      </c>
      <c r="C39" s="290" t="s">
        <v>3520</v>
      </c>
      <c r="D39" s="96" t="s">
        <v>3521</v>
      </c>
      <c r="E39" s="538">
        <f>+SUMIFS('Dist Overhead Conductors'!F:F,'Dist Overhead Conductors'!B:B,'Distribution Overhead Conductor'!C39)</f>
        <v>1324864.5</v>
      </c>
      <c r="G39" s="538">
        <f>+SUMIFS('Dist Overhead Conductors'!D:D,'Dist Overhead Conductors'!B:B,'Distribution Overhead Conductor'!C39)</f>
        <v>1413233.1600000001</v>
      </c>
      <c r="H39" s="2556"/>
    </row>
    <row r="40" spans="2:8">
      <c r="B40" s="604">
        <v>28</v>
      </c>
      <c r="C40" s="290" t="s">
        <v>3522</v>
      </c>
      <c r="D40" t="s">
        <v>3523</v>
      </c>
      <c r="E40" s="538">
        <f>+SUMIFS('Dist Overhead Conductors'!F:F,'Dist Overhead Conductors'!B:B,'Distribution Overhead Conductor'!C40)</f>
        <v>2534</v>
      </c>
      <c r="G40" s="538">
        <f>+SUMIFS('Dist Overhead Conductors'!D:D,'Dist Overhead Conductors'!B:B,'Distribution Overhead Conductor'!C40)</f>
        <v>137952.65</v>
      </c>
      <c r="H40" s="2556"/>
    </row>
    <row r="41" spans="2:8">
      <c r="B41" s="604">
        <v>29</v>
      </c>
      <c r="C41" s="290" t="s">
        <v>3524</v>
      </c>
      <c r="D41" s="96" t="s">
        <v>3525</v>
      </c>
      <c r="E41" s="538">
        <f>+SUMIFS('Dist Overhead Conductors'!F:F,'Dist Overhead Conductors'!B:B,'Distribution Overhead Conductor'!C41)</f>
        <v>3263</v>
      </c>
      <c r="G41" s="538">
        <f>+SUMIFS('Dist Overhead Conductors'!D:D,'Dist Overhead Conductors'!B:B,'Distribution Overhead Conductor'!C41)</f>
        <v>172223.24</v>
      </c>
      <c r="H41" s="296"/>
    </row>
    <row r="42" spans="2:8">
      <c r="B42" s="604">
        <v>30</v>
      </c>
      <c r="C42" s="290" t="s">
        <v>3526</v>
      </c>
      <c r="D42" s="96" t="s">
        <v>3527</v>
      </c>
      <c r="E42" s="538">
        <f>+SUMIFS('Dist Overhead Conductors'!F:F,'Dist Overhead Conductors'!B:B,'Distribution Overhead Conductor'!C42)</f>
        <v>1604</v>
      </c>
      <c r="G42" s="538">
        <f>+SUMIFS('Dist Overhead Conductors'!D:D,'Dist Overhead Conductors'!B:B,'Distribution Overhead Conductor'!C42)</f>
        <v>3336.32</v>
      </c>
      <c r="H42" s="296"/>
    </row>
    <row r="43" spans="2:8">
      <c r="B43" s="604">
        <v>31</v>
      </c>
      <c r="C43" s="96"/>
      <c r="D43" s="2557" t="s">
        <v>3528</v>
      </c>
      <c r="E43" s="2558">
        <f>+SUM(E13:E42)</f>
        <v>133801047.28999999</v>
      </c>
      <c r="F43" s="2559">
        <f>+E43/E59</f>
        <v>0.86753516431227851</v>
      </c>
      <c r="G43" s="2558">
        <f>+SUM(G13:G42)</f>
        <v>167137869.13000003</v>
      </c>
      <c r="H43" s="2560">
        <f>+G43/G59</f>
        <v>0.83133136642317484</v>
      </c>
    </row>
    <row r="44" spans="2:8">
      <c r="B44" s="604">
        <v>32</v>
      </c>
      <c r="C44" s="96"/>
      <c r="D44" s="96"/>
      <c r="E44" s="2561"/>
      <c r="F44" s="33"/>
      <c r="G44" s="755"/>
      <c r="H44" s="2562"/>
    </row>
    <row r="45" spans="2:8" ht="15.6">
      <c r="B45" s="604">
        <v>33</v>
      </c>
      <c r="C45" s="2555" t="s">
        <v>1914</v>
      </c>
      <c r="E45" s="2563" t="s">
        <v>3529</v>
      </c>
      <c r="F45" s="33"/>
      <c r="G45" s="77" t="s">
        <v>3480</v>
      </c>
      <c r="H45" s="2562"/>
    </row>
    <row r="46" spans="2:8">
      <c r="B46" s="604">
        <v>34</v>
      </c>
      <c r="C46" s="290" t="s">
        <v>3530</v>
      </c>
      <c r="D46" s="96" t="s">
        <v>3531</v>
      </c>
      <c r="E46" s="538">
        <f>+SUMIFS('Dist Overhead Conductors'!F:F,'Dist Overhead Conductors'!B:B,'Distribution Overhead Conductor'!C46)</f>
        <v>11679736</v>
      </c>
      <c r="F46" s="33"/>
      <c r="G46" s="538">
        <f>+SUMIFS('Dist Overhead Conductors'!D:D,'Dist Overhead Conductors'!B:B,'Distribution Overhead Conductor'!C46)</f>
        <v>11600554.949999999</v>
      </c>
      <c r="H46" s="2562"/>
    </row>
    <row r="47" spans="2:8">
      <c r="B47" s="604">
        <v>35</v>
      </c>
      <c r="C47" s="290" t="s">
        <v>3532</v>
      </c>
      <c r="D47" s="96" t="s">
        <v>3533</v>
      </c>
      <c r="E47" s="538">
        <f>+SUMIFS('Dist Overhead Conductors'!F:F,'Dist Overhead Conductors'!B:B,'Distribution Overhead Conductor'!C47)</f>
        <v>7135265.6000000006</v>
      </c>
      <c r="F47" s="33"/>
      <c r="G47" s="538">
        <f>+SUMIFS('Dist Overhead Conductors'!D:D,'Dist Overhead Conductors'!B:B,'Distribution Overhead Conductor'!C47)</f>
        <v>16704929.01</v>
      </c>
      <c r="H47" s="2562"/>
    </row>
    <row r="48" spans="2:8">
      <c r="B48" s="604">
        <v>36</v>
      </c>
      <c r="C48" s="290" t="s">
        <v>3534</v>
      </c>
      <c r="D48" s="96" t="s">
        <v>3535</v>
      </c>
      <c r="E48" s="538">
        <f>+SUMIFS('Dist Overhead Conductors'!F:F,'Dist Overhead Conductors'!B:B,'Distribution Overhead Conductor'!C48)</f>
        <v>479440.45</v>
      </c>
      <c r="F48" s="33"/>
      <c r="G48" s="538">
        <f>+SUMIFS('Dist Overhead Conductors'!D:D,'Dist Overhead Conductors'!B:B,'Distribution Overhead Conductor'!C48)</f>
        <v>1636569.7900000003</v>
      </c>
      <c r="H48" s="2562"/>
    </row>
    <row r="49" spans="2:8">
      <c r="B49" s="604">
        <v>37</v>
      </c>
      <c r="C49" s="290" t="s">
        <v>3536</v>
      </c>
      <c r="D49" s="96" t="s">
        <v>3537</v>
      </c>
      <c r="E49" s="538">
        <f>+SUMIFS('Dist Overhead Conductors'!F:F,'Dist Overhead Conductors'!B:B,'Distribution Overhead Conductor'!C49)</f>
        <v>926160.45000000007</v>
      </c>
      <c r="F49" s="33"/>
      <c r="G49" s="538">
        <f>+SUMIFS('Dist Overhead Conductors'!D:D,'Dist Overhead Conductors'!B:B,'Distribution Overhead Conductor'!C49)</f>
        <v>2934475.2199999997</v>
      </c>
      <c r="H49" s="2562"/>
    </row>
    <row r="50" spans="2:8">
      <c r="B50" s="604">
        <v>38</v>
      </c>
      <c r="C50" s="290" t="s">
        <v>3538</v>
      </c>
      <c r="D50" s="96" t="s">
        <v>3539</v>
      </c>
      <c r="E50" s="538">
        <f>+SUMIFS('Dist Overhead Conductors'!F:F,'Dist Overhead Conductors'!B:B,'Distribution Overhead Conductor'!C50)</f>
        <v>207227.90000000002</v>
      </c>
      <c r="F50" s="33"/>
      <c r="G50" s="538">
        <f>+SUMIFS('Dist Overhead Conductors'!D:D,'Dist Overhead Conductors'!B:B,'Distribution Overhead Conductor'!C50)</f>
        <v>882425.11999999976</v>
      </c>
      <c r="H50" s="2562"/>
    </row>
    <row r="51" spans="2:8">
      <c r="B51" s="604">
        <v>39</v>
      </c>
      <c r="C51" s="290" t="s">
        <v>3540</v>
      </c>
      <c r="D51" s="96" t="s">
        <v>3539</v>
      </c>
      <c r="E51" s="538">
        <f>+SUMIFS('Dist Overhead Conductors'!F:F,'Dist Overhead Conductors'!B:B,'Distribution Overhead Conductor'!C51)</f>
        <v>250</v>
      </c>
      <c r="F51" s="33"/>
      <c r="G51" s="538">
        <f>+SUMIFS('Dist Overhead Conductors'!D:D,'Dist Overhead Conductors'!B:B,'Distribution Overhead Conductor'!C51)</f>
        <v>2821.8100000000004</v>
      </c>
      <c r="H51" s="2562"/>
    </row>
    <row r="52" spans="2:8">
      <c r="B52" s="604">
        <v>40</v>
      </c>
      <c r="C52" s="290" t="s">
        <v>3541</v>
      </c>
      <c r="D52" s="96" t="s">
        <v>3542</v>
      </c>
      <c r="E52" s="538">
        <f>+SUMIFS('Dist Overhead Conductors'!F:F,'Dist Overhead Conductors'!B:B,'Distribution Overhead Conductor'!C52)</f>
        <v>0</v>
      </c>
      <c r="F52" s="33"/>
      <c r="G52" s="538">
        <f>+SUMIFS('Dist Overhead Conductors'!D:D,'Dist Overhead Conductors'!B:B,'Distribution Overhead Conductor'!C52)</f>
        <v>0</v>
      </c>
      <c r="H52" s="2562"/>
    </row>
    <row r="53" spans="2:8">
      <c r="B53" s="604">
        <v>41</v>
      </c>
      <c r="C53" s="290" t="s">
        <v>3543</v>
      </c>
      <c r="D53" s="96" t="s">
        <v>3544</v>
      </c>
      <c r="E53" s="538">
        <f>+SUMIFS('Dist Overhead Conductors'!F:F,'Dist Overhead Conductors'!B:B,'Distribution Overhead Conductor'!C53)</f>
        <v>0</v>
      </c>
      <c r="F53" s="33"/>
      <c r="G53" s="538">
        <f>+SUMIFS('Dist Overhead Conductors'!D:D,'Dist Overhead Conductors'!B:B,'Distribution Overhead Conductor'!C53)</f>
        <v>0</v>
      </c>
      <c r="H53" s="2562"/>
    </row>
    <row r="54" spans="2:8">
      <c r="B54" s="604">
        <v>42</v>
      </c>
      <c r="C54" s="290" t="s">
        <v>3545</v>
      </c>
      <c r="D54" s="96" t="s">
        <v>3546</v>
      </c>
      <c r="E54" s="538">
        <f>+SUMIFS('Dist Overhead Conductors'!F:F,'Dist Overhead Conductors'!B:B,'Distribution Overhead Conductor'!C54)</f>
        <v>0</v>
      </c>
      <c r="F54" s="33"/>
      <c r="G54" s="538">
        <f>+SUMIFS('Dist Overhead Conductors'!D:D,'Dist Overhead Conductors'!B:B,'Distribution Overhead Conductor'!C54)</f>
        <v>1604.6000000000001</v>
      </c>
      <c r="H54" s="2562"/>
    </row>
    <row r="55" spans="2:8">
      <c r="B55" s="604">
        <v>43</v>
      </c>
      <c r="C55" s="290" t="s">
        <v>3547</v>
      </c>
      <c r="D55" s="96" t="s">
        <v>3548</v>
      </c>
      <c r="E55" s="538">
        <f>+SUMIFS('Dist Overhead Conductors'!F:F,'Dist Overhead Conductors'!B:B,'Distribution Overhead Conductor'!C55)</f>
        <v>0</v>
      </c>
      <c r="F55" s="33"/>
      <c r="G55" s="538">
        <f>+SUMIFS('Dist Overhead Conductors'!D:D,'Dist Overhead Conductors'!B:B,'Distribution Overhead Conductor'!C55)</f>
        <v>0</v>
      </c>
      <c r="H55" s="2562"/>
    </row>
    <row r="56" spans="2:8">
      <c r="B56" s="604">
        <v>44</v>
      </c>
      <c r="C56" s="290" t="s">
        <v>3549</v>
      </c>
      <c r="D56" s="96" t="s">
        <v>3550</v>
      </c>
      <c r="E56" s="538">
        <f>+SUMIFS('Dist Overhead Conductors'!F:F,'Dist Overhead Conductors'!B:B,'Distribution Overhead Conductor'!C56)</f>
        <v>2139</v>
      </c>
      <c r="F56" s="33"/>
      <c r="G56" s="538">
        <f>+SUMIFS('Dist Overhead Conductors'!D:D,'Dist Overhead Conductors'!B:B,'Distribution Overhead Conductor'!C56)</f>
        <v>147184.10000000003</v>
      </c>
      <c r="H56" s="2562"/>
    </row>
    <row r="57" spans="2:8">
      <c r="B57" s="604">
        <v>45</v>
      </c>
      <c r="D57" s="62" t="s">
        <v>3551</v>
      </c>
      <c r="E57" s="2564">
        <f>+SUM(E46:E56)</f>
        <v>20430219.399999999</v>
      </c>
      <c r="F57" s="2559">
        <f>+E57/E59</f>
        <v>0.13246483568772147</v>
      </c>
      <c r="G57" s="2564">
        <f>+SUM(G46:G56)</f>
        <v>33910564.600000001</v>
      </c>
      <c r="H57" s="2560">
        <f>+G57/G59</f>
        <v>0.16866863357682521</v>
      </c>
    </row>
    <row r="58" spans="2:8">
      <c r="B58" s="604">
        <v>46</v>
      </c>
      <c r="E58" s="46"/>
      <c r="F58" s="33"/>
      <c r="G58" s="756"/>
      <c r="H58" s="2562"/>
    </row>
    <row r="59" spans="2:8" ht="15" thickBot="1">
      <c r="B59" s="604">
        <v>47</v>
      </c>
      <c r="D59" s="62" t="s">
        <v>3552</v>
      </c>
      <c r="E59" s="2419">
        <f>+E43+E57</f>
        <v>154231266.69</v>
      </c>
      <c r="F59" s="2559">
        <f>+F43+F57</f>
        <v>1</v>
      </c>
      <c r="G59" s="2419">
        <f>+G43+G57</f>
        <v>201048433.73000002</v>
      </c>
      <c r="H59" s="2560">
        <f>+H43+H57</f>
        <v>1</v>
      </c>
    </row>
    <row r="60" spans="2:8" ht="15" thickTop="1">
      <c r="B60" s="604">
        <v>48</v>
      </c>
      <c r="E60" s="46"/>
      <c r="G60" s="756"/>
      <c r="H60" s="296"/>
    </row>
    <row r="61" spans="2:8">
      <c r="B61" s="604">
        <v>49</v>
      </c>
      <c r="D61" s="62" t="s">
        <v>2161</v>
      </c>
      <c r="E61" s="439">
        <f>+SUMIFS('Dist Overhead Conductors'!F:F,'Dist Overhead Conductors'!A:A,"=Other")</f>
        <v>73302</v>
      </c>
      <c r="G61" s="439">
        <f>+SUMIFS('Dist Overhead Conductors'!D:D,'Dist Overhead Conductors'!A:A,"=Other")</f>
        <v>74632168.200000003</v>
      </c>
      <c r="H61" s="2565"/>
    </row>
    <row r="62" spans="2:8">
      <c r="B62" s="604">
        <v>50</v>
      </c>
      <c r="E62" s="46"/>
      <c r="G62" s="46"/>
      <c r="H62" s="296"/>
    </row>
    <row r="63" spans="2:8" ht="15" thickBot="1">
      <c r="B63" s="604">
        <v>51</v>
      </c>
      <c r="D63" s="2566" t="s">
        <v>3553</v>
      </c>
      <c r="E63" s="2567">
        <f>+E43+E57+E61</f>
        <v>154304568.69</v>
      </c>
      <c r="F63" s="2568"/>
      <c r="G63" s="2567">
        <f>+G43+G57+G61</f>
        <v>275680601.93000001</v>
      </c>
      <c r="H63" s="2569"/>
    </row>
    <row r="64" spans="2:8" ht="15" thickTop="1">
      <c r="B64" s="365"/>
      <c r="E64" s="64"/>
      <c r="F64" s="64"/>
      <c r="G64" s="64"/>
      <c r="H64" s="296"/>
    </row>
    <row r="65" spans="2:8">
      <c r="B65" s="462"/>
      <c r="C65" s="297"/>
      <c r="D65" s="297"/>
      <c r="E65" s="2570"/>
      <c r="F65" s="2571"/>
      <c r="G65" s="2571"/>
      <c r="H65" s="298"/>
    </row>
    <row r="68" spans="2:8">
      <c r="D68" s="61"/>
      <c r="E68" s="513"/>
      <c r="G68" s="513"/>
    </row>
    <row r="69" spans="2:8">
      <c r="D69" s="61"/>
      <c r="E69" s="46"/>
      <c r="F69" s="46"/>
      <c r="G69" s="46"/>
    </row>
    <row r="71" spans="2:8">
      <c r="B71" s="2572"/>
    </row>
    <row r="72" spans="2:8">
      <c r="B72" s="2573"/>
    </row>
    <row r="73" spans="2:8">
      <c r="B73" s="762"/>
    </row>
    <row r="74" spans="2:8" ht="15.6">
      <c r="B74" s="650"/>
    </row>
    <row r="75" spans="2:8" ht="15.6">
      <c r="B75" s="650"/>
    </row>
    <row r="76" spans="2:8" ht="15.6">
      <c r="B76" s="650"/>
    </row>
    <row r="77" spans="2:8">
      <c r="B77" s="62"/>
    </row>
    <row r="79" spans="2:8" ht="15.6">
      <c r="B79" s="650"/>
    </row>
    <row r="80" spans="2:8">
      <c r="B80" s="2574"/>
      <c r="C80" s="2574"/>
      <c r="D80" s="2574"/>
      <c r="E80" s="2574"/>
      <c r="F80" s="2574"/>
    </row>
    <row r="81" spans="2:8">
      <c r="B81" s="96"/>
      <c r="C81" s="96"/>
      <c r="D81" s="513"/>
      <c r="E81" s="513"/>
      <c r="H81" s="162"/>
    </row>
    <row r="82" spans="2:8">
      <c r="B82" s="96"/>
      <c r="D82" s="513"/>
      <c r="E82" s="513"/>
      <c r="H82" s="162"/>
    </row>
    <row r="83" spans="2:8">
      <c r="B83" s="96"/>
      <c r="D83" s="513"/>
      <c r="E83" s="513"/>
      <c r="H83" s="162"/>
    </row>
    <row r="84" spans="2:8">
      <c r="B84" s="96"/>
      <c r="D84" s="513"/>
      <c r="E84" s="513"/>
    </row>
    <row r="85" spans="2:8">
      <c r="B85" s="96"/>
      <c r="D85" s="513"/>
      <c r="E85" s="513"/>
    </row>
    <row r="86" spans="2:8">
      <c r="B86" s="96"/>
      <c r="D86" s="513"/>
      <c r="E86" s="513"/>
    </row>
    <row r="87" spans="2:8">
      <c r="B87" s="96"/>
      <c r="D87" s="513"/>
      <c r="E87" s="513"/>
    </row>
    <row r="88" spans="2:8">
      <c r="B88" s="96"/>
      <c r="D88" s="513"/>
      <c r="E88" s="513"/>
    </row>
    <row r="89" spans="2:8">
      <c r="B89" s="96"/>
      <c r="D89" s="513"/>
      <c r="E89" s="513"/>
    </row>
    <row r="90" spans="2:8">
      <c r="B90" s="96"/>
      <c r="D90" s="513"/>
      <c r="E90" s="513"/>
    </row>
    <row r="91" spans="2:8">
      <c r="B91" s="96"/>
      <c r="D91" s="513"/>
      <c r="E91" s="513"/>
    </row>
    <row r="92" spans="2:8">
      <c r="B92" s="96"/>
      <c r="D92" s="513"/>
      <c r="E92" s="513"/>
    </row>
    <row r="93" spans="2:8">
      <c r="B93" s="96"/>
      <c r="C93" s="96"/>
      <c r="D93" s="513"/>
      <c r="E93" s="513"/>
    </row>
    <row r="94" spans="2:8">
      <c r="B94" s="96"/>
      <c r="D94" s="513"/>
      <c r="E94" s="513"/>
    </row>
    <row r="95" spans="2:8">
      <c r="B95" s="96"/>
      <c r="D95" s="513"/>
      <c r="E95" s="513"/>
    </row>
    <row r="96" spans="2:8">
      <c r="B96" s="96"/>
      <c r="D96" s="513"/>
      <c r="E96" s="513"/>
    </row>
    <row r="97" spans="2:8">
      <c r="B97" s="96"/>
      <c r="D97" s="513"/>
      <c r="E97" s="513"/>
    </row>
    <row r="98" spans="2:8">
      <c r="B98" s="96"/>
      <c r="D98" s="513"/>
      <c r="E98" s="513"/>
    </row>
    <row r="99" spans="2:8">
      <c r="B99" s="96"/>
      <c r="D99" s="513"/>
      <c r="E99" s="513"/>
    </row>
    <row r="100" spans="2:8">
      <c r="B100" s="96"/>
      <c r="D100" s="513"/>
      <c r="E100" s="513"/>
    </row>
    <row r="101" spans="2:8">
      <c r="B101" s="763"/>
      <c r="C101" s="763"/>
      <c r="D101" s="764"/>
      <c r="E101" s="764"/>
      <c r="F101" s="763"/>
      <c r="H101" s="763"/>
    </row>
    <row r="102" spans="2:8">
      <c r="B102" s="96"/>
      <c r="D102" s="513"/>
      <c r="E102" s="513"/>
      <c r="G102" s="763"/>
    </row>
    <row r="103" spans="2:8">
      <c r="B103" s="96"/>
      <c r="D103" s="513"/>
      <c r="E103" s="513"/>
    </row>
    <row r="104" spans="2:8">
      <c r="B104" s="96"/>
      <c r="D104" s="513"/>
      <c r="E104" s="513"/>
    </row>
    <row r="105" spans="2:8">
      <c r="B105" s="96"/>
      <c r="D105" s="513"/>
      <c r="E105" s="513"/>
    </row>
    <row r="106" spans="2:8">
      <c r="B106" s="96"/>
      <c r="D106" s="513"/>
      <c r="E106" s="513"/>
    </row>
    <row r="107" spans="2:8">
      <c r="B107" s="96"/>
      <c r="D107" s="513"/>
      <c r="E107" s="513"/>
    </row>
    <row r="108" spans="2:8">
      <c r="B108" s="96"/>
      <c r="D108" s="513"/>
      <c r="E108" s="513"/>
    </row>
    <row r="109" spans="2:8">
      <c r="B109" s="96"/>
      <c r="D109" s="513"/>
      <c r="E109" s="513"/>
    </row>
    <row r="110" spans="2:8">
      <c r="B110" s="96"/>
      <c r="D110" s="513"/>
      <c r="E110" s="513"/>
    </row>
    <row r="111" spans="2:8">
      <c r="B111" s="96"/>
      <c r="D111" s="513"/>
      <c r="E111" s="513"/>
    </row>
    <row r="112" spans="2:8">
      <c r="B112" s="96"/>
      <c r="D112" s="513"/>
      <c r="E112" s="513"/>
    </row>
    <row r="113" spans="2:5">
      <c r="B113" s="96"/>
      <c r="D113" s="513"/>
      <c r="E113" s="513"/>
    </row>
    <row r="114" spans="2:5">
      <c r="B114" s="96"/>
      <c r="D114" s="513"/>
      <c r="E114" s="513"/>
    </row>
    <row r="115" spans="2:5">
      <c r="B115" s="96"/>
      <c r="D115" s="513"/>
      <c r="E115" s="513"/>
    </row>
    <row r="116" spans="2:5">
      <c r="B116" s="96"/>
      <c r="D116" s="513"/>
      <c r="E116" s="513"/>
    </row>
    <row r="117" spans="2:5">
      <c r="B117" s="96"/>
      <c r="D117" s="513"/>
      <c r="E117" s="513"/>
    </row>
    <row r="118" spans="2:5">
      <c r="B118" s="96"/>
      <c r="D118" s="513"/>
      <c r="E118" s="513"/>
    </row>
    <row r="119" spans="2:5">
      <c r="B119" s="96"/>
      <c r="D119" s="513"/>
      <c r="E119" s="513"/>
    </row>
    <row r="120" spans="2:5">
      <c r="B120" s="96"/>
      <c r="D120" s="513"/>
      <c r="E120" s="513"/>
    </row>
    <row r="121" spans="2:5">
      <c r="B121" s="96"/>
      <c r="D121" s="513"/>
      <c r="E121" s="513"/>
    </row>
    <row r="122" spans="2:5">
      <c r="B122" s="96"/>
      <c r="D122" s="513"/>
      <c r="E122" s="513"/>
    </row>
    <row r="123" spans="2:5">
      <c r="B123" s="96"/>
      <c r="D123" s="513"/>
      <c r="E123" s="513"/>
    </row>
    <row r="124" spans="2:5">
      <c r="B124" s="96"/>
      <c r="D124" s="513"/>
      <c r="E124" s="513"/>
    </row>
    <row r="125" spans="2:5">
      <c r="B125" s="96"/>
      <c r="D125" s="513"/>
      <c r="E125" s="513"/>
    </row>
    <row r="126" spans="2:5">
      <c r="B126" s="96"/>
      <c r="D126" s="513"/>
      <c r="E126" s="513"/>
    </row>
    <row r="127" spans="2:5">
      <c r="B127" s="96"/>
      <c r="D127" s="513"/>
      <c r="E127" s="513"/>
    </row>
    <row r="128" spans="2:5">
      <c r="B128" s="96"/>
      <c r="D128" s="513"/>
      <c r="E128" s="513"/>
    </row>
    <row r="129" spans="2:7">
      <c r="B129" s="96"/>
      <c r="D129" s="513"/>
      <c r="E129" s="513"/>
    </row>
    <row r="130" spans="2:7">
      <c r="B130" s="96"/>
      <c r="D130" s="513"/>
      <c r="E130" s="513"/>
    </row>
    <row r="131" spans="2:7">
      <c r="B131" s="96"/>
      <c r="D131" s="513"/>
      <c r="E131" s="513"/>
    </row>
    <row r="132" spans="2:7">
      <c r="B132" s="96"/>
      <c r="D132" s="513"/>
      <c r="E132" s="513"/>
    </row>
    <row r="133" spans="2:7">
      <c r="B133" s="96"/>
      <c r="D133" s="513"/>
      <c r="E133" s="513"/>
    </row>
    <row r="134" spans="2:7">
      <c r="B134" s="96"/>
      <c r="D134" s="513"/>
      <c r="E134" s="513"/>
    </row>
    <row r="135" spans="2:7">
      <c r="B135" s="96"/>
      <c r="D135" s="513"/>
      <c r="E135" s="513"/>
    </row>
    <row r="136" spans="2:7">
      <c r="B136" s="96"/>
      <c r="D136" s="513"/>
      <c r="E136" s="513"/>
    </row>
    <row r="137" spans="2:7">
      <c r="B137" s="96"/>
      <c r="D137" s="513"/>
      <c r="E137" s="513"/>
    </row>
    <row r="138" spans="2:7">
      <c r="B138" s="96"/>
      <c r="D138" s="513"/>
      <c r="E138" s="513"/>
      <c r="F138" s="2574"/>
    </row>
    <row r="139" spans="2:7">
      <c r="B139" s="96"/>
      <c r="D139" s="513"/>
      <c r="E139" s="513"/>
    </row>
    <row r="140" spans="2:7">
      <c r="B140" s="96"/>
      <c r="D140" s="513"/>
      <c r="E140" s="513"/>
    </row>
    <row r="141" spans="2:7">
      <c r="B141" s="96"/>
      <c r="D141" s="513"/>
      <c r="E141" s="513"/>
    </row>
    <row r="142" spans="2:7">
      <c r="B142" s="96"/>
      <c r="D142" s="513"/>
      <c r="E142" s="513"/>
    </row>
    <row r="143" spans="2:7">
      <c r="B143" s="96"/>
      <c r="C143" s="2575"/>
      <c r="D143" s="513"/>
      <c r="E143" s="513"/>
      <c r="G143" s="2575"/>
    </row>
    <row r="144" spans="2:7">
      <c r="B144" s="96"/>
      <c r="C144" s="2575"/>
      <c r="D144" s="513"/>
      <c r="E144" s="513"/>
      <c r="G144" s="2575"/>
    </row>
    <row r="145" spans="2:8">
      <c r="B145" s="96"/>
      <c r="C145" s="2575"/>
      <c r="D145" s="513"/>
      <c r="E145" s="513"/>
      <c r="G145" s="2575"/>
    </row>
    <row r="146" spans="2:8">
      <c r="B146" s="763"/>
      <c r="C146" s="763"/>
      <c r="D146" s="764"/>
      <c r="E146" s="764"/>
      <c r="F146" s="763"/>
    </row>
    <row r="147" spans="2:8">
      <c r="B147" s="96"/>
      <c r="C147" s="96"/>
      <c r="D147" s="513"/>
      <c r="E147" s="513"/>
    </row>
    <row r="148" spans="2:8">
      <c r="B148" s="96"/>
      <c r="C148" s="2575"/>
      <c r="D148" s="513"/>
      <c r="E148" s="513"/>
      <c r="G148" s="2575"/>
    </row>
    <row r="149" spans="2:8">
      <c r="B149" s="96"/>
      <c r="C149" s="2575"/>
      <c r="D149" s="513"/>
      <c r="E149" s="513"/>
      <c r="G149" s="2575"/>
    </row>
    <row r="150" spans="2:8">
      <c r="B150" s="96"/>
      <c r="D150" s="513"/>
      <c r="E150" s="513"/>
    </row>
    <row r="151" spans="2:8">
      <c r="B151" s="96"/>
      <c r="C151" s="2575"/>
      <c r="D151" s="513"/>
      <c r="E151" s="513"/>
      <c r="G151" s="2575"/>
    </row>
    <row r="152" spans="2:8">
      <c r="B152" s="96"/>
      <c r="C152" s="96"/>
      <c r="D152" s="513"/>
      <c r="E152" s="513"/>
    </row>
    <row r="153" spans="2:8">
      <c r="B153" s="96"/>
      <c r="D153" s="513"/>
      <c r="E153" s="513"/>
      <c r="H153" s="763"/>
    </row>
    <row r="154" spans="2:8">
      <c r="B154" s="96"/>
      <c r="D154" s="513"/>
      <c r="E154" s="513"/>
      <c r="F154" s="765"/>
    </row>
    <row r="155" spans="2:8">
      <c r="B155" s="96"/>
      <c r="D155" s="513"/>
      <c r="E155" s="513"/>
      <c r="F155" s="765"/>
    </row>
    <row r="156" spans="2:8">
      <c r="B156" s="96"/>
      <c r="D156" s="513"/>
      <c r="E156" s="513"/>
      <c r="F156" s="765"/>
    </row>
    <row r="157" spans="2:8">
      <c r="B157" s="96"/>
      <c r="D157" s="513"/>
      <c r="E157" s="513"/>
    </row>
    <row r="158" spans="2:8">
      <c r="B158" s="96"/>
      <c r="D158" s="513"/>
      <c r="E158" s="513"/>
    </row>
    <row r="159" spans="2:8">
      <c r="B159" s="96"/>
      <c r="D159" s="513"/>
      <c r="E159" s="513"/>
    </row>
    <row r="160" spans="2:8">
      <c r="B160" s="96"/>
      <c r="D160" s="513"/>
      <c r="E160" s="513"/>
    </row>
    <row r="161" spans="2:5">
      <c r="B161" s="62"/>
      <c r="D161" s="758"/>
      <c r="E161" s="758"/>
    </row>
    <row r="162" spans="2:5">
      <c r="B162" s="62"/>
      <c r="D162" s="758"/>
      <c r="E162" s="758"/>
    </row>
    <row r="163" spans="2:5">
      <c r="B163" s="62"/>
      <c r="D163" s="758"/>
      <c r="E163" s="758"/>
    </row>
    <row r="164" spans="2:5">
      <c r="D164" s="52"/>
      <c r="E164" s="52"/>
    </row>
    <row r="165" spans="2:5">
      <c r="C165" s="513"/>
      <c r="D165" s="513"/>
      <c r="E165" s="513"/>
    </row>
    <row r="166" spans="2:5">
      <c r="C166" s="513"/>
      <c r="D166" s="513"/>
      <c r="E166" s="513"/>
    </row>
    <row r="167" spans="2:5">
      <c r="C167" s="513"/>
      <c r="D167" s="513"/>
      <c r="E167" s="513"/>
    </row>
    <row r="168" spans="2:5">
      <c r="C168" s="42"/>
      <c r="D168" s="758"/>
      <c r="E168" s="766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B2:L216"/>
  <sheetViews>
    <sheetView tabSelected="1" showOutlineSymbols="0" workbookViewId="0"/>
  </sheetViews>
  <sheetFormatPr defaultRowHeight="14.4"/>
  <cols>
    <col min="5" max="5" width="51.33203125" bestFit="1" customWidth="1"/>
    <col min="6" max="6" width="12.88671875" bestFit="1" customWidth="1"/>
    <col min="7" max="7" width="14.44140625" bestFit="1" customWidth="1"/>
    <col min="8" max="8" width="11.88671875" bestFit="1" customWidth="1"/>
    <col min="9" max="9" width="17.33203125" bestFit="1" customWidth="1"/>
    <col min="10" max="10" width="12.44140625" bestFit="1" customWidth="1"/>
    <col min="11" max="11" width="17.33203125" bestFit="1" customWidth="1"/>
    <col min="12" max="12" width="14" bestFit="1" customWidth="1"/>
  </cols>
  <sheetData>
    <row r="2" spans="2:12">
      <c r="B2" s="352" t="s">
        <v>2173</v>
      </c>
      <c r="C2" s="549"/>
      <c r="D2" s="549"/>
      <c r="E2" s="549"/>
      <c r="F2" s="549"/>
      <c r="G2" s="549"/>
      <c r="H2" s="549"/>
      <c r="I2" s="549"/>
      <c r="J2" s="549"/>
      <c r="K2" s="549"/>
      <c r="L2" s="550"/>
    </row>
    <row r="3" spans="2:12">
      <c r="B3" s="353" t="s">
        <v>3708</v>
      </c>
      <c r="C3" s="328"/>
      <c r="D3" s="328"/>
      <c r="E3" s="328"/>
      <c r="F3" s="328"/>
      <c r="G3" s="96"/>
      <c r="H3" s="96"/>
      <c r="I3" s="96"/>
      <c r="J3" s="96"/>
      <c r="K3" s="96"/>
      <c r="L3" s="2530"/>
    </row>
    <row r="4" spans="2:12">
      <c r="B4" s="769" t="s">
        <v>9263</v>
      </c>
      <c r="C4" s="546"/>
      <c r="D4" s="546"/>
      <c r="E4" s="2576"/>
      <c r="F4" s="546"/>
      <c r="G4" s="545"/>
      <c r="H4" s="545"/>
      <c r="I4" s="545"/>
      <c r="J4" s="545"/>
      <c r="K4" s="545"/>
      <c r="L4" s="2577"/>
    </row>
    <row r="5" spans="2:12">
      <c r="B5" s="535"/>
      <c r="C5" s="60" t="s">
        <v>3709</v>
      </c>
      <c r="D5" s="328"/>
      <c r="E5" s="328"/>
      <c r="F5" s="328"/>
      <c r="G5" s="548" t="s">
        <v>3710</v>
      </c>
      <c r="H5" s="328"/>
      <c r="I5" s="548" t="s">
        <v>3711</v>
      </c>
      <c r="J5" s="328"/>
      <c r="K5" s="548" t="s">
        <v>3712</v>
      </c>
      <c r="L5" s="679" t="s">
        <v>115</v>
      </c>
    </row>
    <row r="6" spans="2:12" ht="28.8">
      <c r="B6" s="693" t="s">
        <v>2182</v>
      </c>
      <c r="C6" s="548" t="s">
        <v>3209</v>
      </c>
      <c r="D6" s="548"/>
      <c r="E6" s="548"/>
      <c r="F6" s="2578" t="s">
        <v>3713</v>
      </c>
      <c r="G6" s="2579" t="s">
        <v>3714</v>
      </c>
      <c r="H6" s="548" t="s">
        <v>3715</v>
      </c>
      <c r="I6" s="548" t="s">
        <v>3714</v>
      </c>
      <c r="J6" s="548" t="s">
        <v>3716</v>
      </c>
      <c r="K6" s="548" t="s">
        <v>3714</v>
      </c>
      <c r="L6" s="679" t="s">
        <v>3717</v>
      </c>
    </row>
    <row r="7" spans="2:12">
      <c r="B7" s="2580" t="s">
        <v>3216</v>
      </c>
      <c r="C7" s="770" t="s">
        <v>3216</v>
      </c>
      <c r="D7" s="770" t="s">
        <v>3718</v>
      </c>
      <c r="E7" s="770" t="s">
        <v>3121</v>
      </c>
      <c r="F7" s="770" t="s">
        <v>3218</v>
      </c>
      <c r="G7" s="770" t="s">
        <v>3219</v>
      </c>
      <c r="H7" s="770" t="s">
        <v>3220</v>
      </c>
      <c r="I7" s="770" t="s">
        <v>3219</v>
      </c>
      <c r="J7" s="770" t="s">
        <v>3719</v>
      </c>
      <c r="K7" s="770" t="s">
        <v>3219</v>
      </c>
      <c r="L7" s="2581" t="s">
        <v>3222</v>
      </c>
    </row>
    <row r="8" spans="2:12">
      <c r="B8" s="640" t="s">
        <v>2175</v>
      </c>
      <c r="C8" s="632" t="s">
        <v>2176</v>
      </c>
      <c r="D8" s="632" t="s">
        <v>2177</v>
      </c>
      <c r="E8" s="632" t="s">
        <v>2178</v>
      </c>
      <c r="F8" s="632" t="s">
        <v>2179</v>
      </c>
      <c r="G8" s="632" t="s">
        <v>2625</v>
      </c>
      <c r="H8" s="632" t="s">
        <v>2626</v>
      </c>
      <c r="I8" s="632" t="s">
        <v>2627</v>
      </c>
      <c r="J8" s="632" t="s">
        <v>2628</v>
      </c>
      <c r="K8" s="632" t="s">
        <v>2629</v>
      </c>
      <c r="L8" s="552" t="s">
        <v>2630</v>
      </c>
    </row>
    <row r="9" spans="2:12">
      <c r="B9" s="771"/>
      <c r="C9" s="328"/>
      <c r="D9" s="328"/>
      <c r="E9" s="328"/>
      <c r="F9" s="328"/>
      <c r="G9" s="328"/>
      <c r="H9" s="328"/>
      <c r="I9" s="328"/>
      <c r="J9" s="328"/>
      <c r="K9" s="328"/>
      <c r="L9" s="550"/>
    </row>
    <row r="10" spans="2:12">
      <c r="B10" s="604"/>
      <c r="C10" s="60"/>
      <c r="D10" s="96"/>
      <c r="E10" s="96"/>
      <c r="F10" s="694"/>
      <c r="G10" s="485"/>
      <c r="H10" s="694"/>
      <c r="I10" s="538"/>
      <c r="J10" s="694"/>
      <c r="K10" s="538"/>
      <c r="L10" s="2582"/>
    </row>
    <row r="11" spans="2:12">
      <c r="B11" s="604">
        <v>1</v>
      </c>
      <c r="C11" s="60">
        <v>1</v>
      </c>
      <c r="D11" s="290" t="s">
        <v>3229</v>
      </c>
      <c r="E11" s="2583" t="s">
        <v>3230</v>
      </c>
      <c r="F11" s="42">
        <f>+SUMIFS('Distribution Substation Costs'!E:E,'Distribution Substation Costs'!B:B,'Distribution Substation Detail'!E11)</f>
        <v>1033117.9600000002</v>
      </c>
      <c r="G11" s="485">
        <f t="shared" ref="G11:G42" si="0">+F11*F$202*F$213</f>
        <v>1121015.1029424542</v>
      </c>
      <c r="H11" s="42">
        <f>+SUMIFS('Distribution Substation Costs'!C:C,'Distribution Substation Costs'!B:B,'Distribution Substation Detail'!E11)</f>
        <v>0</v>
      </c>
      <c r="I11" s="485">
        <f t="shared" ref="I11:I42" si="1">+H11*H$202*H$213</f>
        <v>0</v>
      </c>
      <c r="J11" s="42">
        <f>+SUMIFS('Distribution Substation Costs'!D:D,'Distribution Substation Costs'!B:B,'Distribution Substation Detail'!E11)</f>
        <v>59934.58</v>
      </c>
      <c r="K11" s="485">
        <f t="shared" ref="K11:K42" si="2">+J11*J$202*J$213</f>
        <v>59934.580000000016</v>
      </c>
      <c r="L11" s="2582">
        <f>+G11+I11+K11</f>
        <v>1180949.6829424542</v>
      </c>
    </row>
    <row r="12" spans="2:12">
      <c r="B12" s="693">
        <f>1+B11</f>
        <v>2</v>
      </c>
      <c r="C12" s="60">
        <v>1</v>
      </c>
      <c r="D12" s="290" t="s">
        <v>3720</v>
      </c>
      <c r="E12" s="2583" t="s">
        <v>3721</v>
      </c>
      <c r="F12" s="42">
        <f>+SUMIFS('Distribution Substation Costs'!E:E,'Distribution Substation Costs'!B:B,'Distribution Substation Detail'!E12)</f>
        <v>3047957.15</v>
      </c>
      <c r="G12" s="485">
        <f t="shared" si="0"/>
        <v>3307275.7715599467</v>
      </c>
      <c r="H12" s="42">
        <f>+SUMIFS('Distribution Substation Costs'!C:C,'Distribution Substation Costs'!B:B,'Distribution Substation Detail'!E12)</f>
        <v>88561.419999999984</v>
      </c>
      <c r="I12" s="485">
        <f t="shared" si="1"/>
        <v>94554.004279018845</v>
      </c>
      <c r="J12" s="42">
        <f>+SUMIFS('Distribution Substation Costs'!D:D,'Distribution Substation Costs'!B:B,'Distribution Substation Detail'!E12)</f>
        <v>495348.81</v>
      </c>
      <c r="K12" s="485">
        <f t="shared" si="2"/>
        <v>495348.81000000011</v>
      </c>
      <c r="L12" s="2582">
        <f t="shared" ref="L12:L77" si="3">+G12+I12+K12</f>
        <v>3897178.5858389656</v>
      </c>
    </row>
    <row r="13" spans="2:12">
      <c r="B13" s="693">
        <f t="shared" ref="B13:B77" si="4">1+B12</f>
        <v>3</v>
      </c>
      <c r="C13" s="60">
        <v>1</v>
      </c>
      <c r="D13" s="290" t="s">
        <v>3231</v>
      </c>
      <c r="E13" s="2583" t="s">
        <v>3232</v>
      </c>
      <c r="F13" s="42">
        <f>+SUMIFS('Distribution Substation Costs'!E:E,'Distribution Substation Costs'!B:B,'Distribution Substation Detail'!E13)</f>
        <v>0</v>
      </c>
      <c r="G13" s="485">
        <f t="shared" si="0"/>
        <v>0</v>
      </c>
      <c r="H13" s="42">
        <f>+SUMIFS('Distribution Substation Costs'!C:C,'Distribution Substation Costs'!B:B,'Distribution Substation Detail'!E13)</f>
        <v>0</v>
      </c>
      <c r="I13" s="485">
        <f t="shared" si="1"/>
        <v>0</v>
      </c>
      <c r="J13" s="42">
        <f>+SUMIFS('Distribution Substation Costs'!D:D,'Distribution Substation Costs'!B:B,'Distribution Substation Detail'!E13)</f>
        <v>0</v>
      </c>
      <c r="K13" s="485">
        <f t="shared" si="2"/>
        <v>0</v>
      </c>
      <c r="L13" s="2582">
        <f t="shared" si="3"/>
        <v>0</v>
      </c>
    </row>
    <row r="14" spans="2:12">
      <c r="B14" s="693">
        <f t="shared" si="4"/>
        <v>4</v>
      </c>
      <c r="C14" s="60">
        <v>1</v>
      </c>
      <c r="D14" s="290" t="s">
        <v>3722</v>
      </c>
      <c r="E14" s="2583" t="s">
        <v>3723</v>
      </c>
      <c r="F14" s="42">
        <f>+SUMIFS('Distribution Substation Costs'!E:E,'Distribution Substation Costs'!B:B,'Distribution Substation Detail'!E14)</f>
        <v>1028286.8099999999</v>
      </c>
      <c r="G14" s="485">
        <f t="shared" si="0"/>
        <v>1115772.9211933529</v>
      </c>
      <c r="H14" s="42">
        <f>+SUMIFS('Distribution Substation Costs'!C:C,'Distribution Substation Costs'!B:B,'Distribution Substation Detail'!E14)</f>
        <v>14244.439999999999</v>
      </c>
      <c r="I14" s="485">
        <f t="shared" si="1"/>
        <v>15208.302223611898</v>
      </c>
      <c r="J14" s="42">
        <f>+SUMIFS('Distribution Substation Costs'!D:D,'Distribution Substation Costs'!B:B,'Distribution Substation Detail'!E14)</f>
        <v>64386.159999999996</v>
      </c>
      <c r="K14" s="485">
        <f t="shared" si="2"/>
        <v>64386.160000000011</v>
      </c>
      <c r="L14" s="2582">
        <f t="shared" si="3"/>
        <v>1195367.3834169647</v>
      </c>
    </row>
    <row r="15" spans="2:12">
      <c r="B15" s="693">
        <f t="shared" si="4"/>
        <v>5</v>
      </c>
      <c r="C15" s="60">
        <v>1</v>
      </c>
      <c r="D15" s="290" t="s">
        <v>3724</v>
      </c>
      <c r="E15" s="2583" t="s">
        <v>3725</v>
      </c>
      <c r="F15" s="42">
        <f>+SUMIFS('Distribution Substation Costs'!E:E,'Distribution Substation Costs'!B:B,'Distribution Substation Detail'!E15)</f>
        <v>14030790.170000006</v>
      </c>
      <c r="G15" s="485">
        <f t="shared" si="0"/>
        <v>15224522.557701472</v>
      </c>
      <c r="H15" s="42">
        <f>+SUMIFS('Distribution Substation Costs'!C:C,'Distribution Substation Costs'!B:B,'Distribution Substation Detail'!E15)</f>
        <v>1524522.38</v>
      </c>
      <c r="I15" s="485">
        <f t="shared" si="1"/>
        <v>1627680.4915953246</v>
      </c>
      <c r="J15" s="42">
        <f>+SUMIFS('Distribution Substation Costs'!D:D,'Distribution Substation Costs'!B:B,'Distribution Substation Detail'!E15)</f>
        <v>2824932.0800000005</v>
      </c>
      <c r="K15" s="485">
        <f t="shared" si="2"/>
        <v>2824932.080000001</v>
      </c>
      <c r="L15" s="2582">
        <f t="shared" si="3"/>
        <v>19677135.129296798</v>
      </c>
    </row>
    <row r="16" spans="2:12">
      <c r="B16" s="693">
        <f t="shared" si="4"/>
        <v>6</v>
      </c>
      <c r="C16" s="60">
        <v>1</v>
      </c>
      <c r="D16" s="290" t="s">
        <v>3726</v>
      </c>
      <c r="E16" s="2583" t="s">
        <v>3727</v>
      </c>
      <c r="F16" s="42">
        <f>+SUMIFS('Distribution Substation Costs'!E:E,'Distribution Substation Costs'!B:B,'Distribution Substation Detail'!E16)</f>
        <v>2934504.9699999993</v>
      </c>
      <c r="G16" s="485">
        <f t="shared" si="0"/>
        <v>3184171.1386274728</v>
      </c>
      <c r="H16" s="42">
        <f>+SUMIFS('Distribution Substation Costs'!C:C,'Distribution Substation Costs'!B:B,'Distribution Substation Detail'!E16)</f>
        <v>5209.01</v>
      </c>
      <c r="I16" s="485">
        <f t="shared" si="1"/>
        <v>5561.4821197475385</v>
      </c>
      <c r="J16" s="42">
        <f>+SUMIFS('Distribution Substation Costs'!D:D,'Distribution Substation Costs'!B:B,'Distribution Substation Detail'!E16)</f>
        <v>121053.75</v>
      </c>
      <c r="K16" s="485">
        <f t="shared" si="2"/>
        <v>121053.75000000003</v>
      </c>
      <c r="L16" s="2582">
        <f t="shared" si="3"/>
        <v>3310786.3707472202</v>
      </c>
    </row>
    <row r="17" spans="2:12">
      <c r="B17" s="693">
        <f t="shared" si="4"/>
        <v>7</v>
      </c>
      <c r="C17" s="60">
        <v>1</v>
      </c>
      <c r="D17" s="290" t="s">
        <v>3728</v>
      </c>
      <c r="E17" s="2583" t="s">
        <v>3729</v>
      </c>
      <c r="F17" s="42">
        <f>+SUMIFS('Distribution Substation Costs'!E:E,'Distribution Substation Costs'!B:B,'Distribution Substation Detail'!E17)</f>
        <v>1593500.3799999997</v>
      </c>
      <c r="G17" s="485">
        <f t="shared" si="0"/>
        <v>1729074.5700757531</v>
      </c>
      <c r="H17" s="42">
        <f>+SUMIFS('Distribution Substation Costs'!C:C,'Distribution Substation Costs'!B:B,'Distribution Substation Detail'!E17)</f>
        <v>17529.7</v>
      </c>
      <c r="I17" s="485">
        <f t="shared" si="1"/>
        <v>18715.862153180435</v>
      </c>
      <c r="J17" s="42">
        <f>+SUMIFS('Distribution Substation Costs'!D:D,'Distribution Substation Costs'!B:B,'Distribution Substation Detail'!E17)</f>
        <v>182774.27000000002</v>
      </c>
      <c r="K17" s="485">
        <f t="shared" si="2"/>
        <v>182774.27000000005</v>
      </c>
      <c r="L17" s="2582">
        <f t="shared" si="3"/>
        <v>1930564.7022289336</v>
      </c>
    </row>
    <row r="18" spans="2:12">
      <c r="B18" s="693">
        <f t="shared" si="4"/>
        <v>8</v>
      </c>
      <c r="C18" s="60">
        <v>1</v>
      </c>
      <c r="D18" s="290" t="s">
        <v>3730</v>
      </c>
      <c r="E18" s="2583" t="s">
        <v>3731</v>
      </c>
      <c r="F18" s="42">
        <f>+SUMIFS('Distribution Substation Costs'!E:E,'Distribution Substation Costs'!B:B,'Distribution Substation Detail'!E18)</f>
        <v>1475603.8199999998</v>
      </c>
      <c r="G18" s="485">
        <f t="shared" si="0"/>
        <v>1601147.4315862034</v>
      </c>
      <c r="H18" s="42">
        <f>+SUMIFS('Distribution Substation Costs'!C:C,'Distribution Substation Costs'!B:B,'Distribution Substation Detail'!E18)</f>
        <v>13909.55</v>
      </c>
      <c r="I18" s="485">
        <f t="shared" si="1"/>
        <v>14850.751605148456</v>
      </c>
      <c r="J18" s="42">
        <f>+SUMIFS('Distribution Substation Costs'!D:D,'Distribution Substation Costs'!B:B,'Distribution Substation Detail'!E18)</f>
        <v>37109.67</v>
      </c>
      <c r="K18" s="485">
        <f t="shared" si="2"/>
        <v>37109.670000000006</v>
      </c>
      <c r="L18" s="2582">
        <f t="shared" si="3"/>
        <v>1653107.8531913518</v>
      </c>
    </row>
    <row r="19" spans="2:12">
      <c r="B19" s="693">
        <f t="shared" si="4"/>
        <v>9</v>
      </c>
      <c r="C19" s="60">
        <v>1</v>
      </c>
      <c r="D19" s="290" t="s">
        <v>3732</v>
      </c>
      <c r="E19" s="2583" t="s">
        <v>3733</v>
      </c>
      <c r="F19" s="42">
        <f>+SUMIFS('Distribution Substation Costs'!E:E,'Distribution Substation Costs'!B:B,'Distribution Substation Detail'!E19)</f>
        <v>597707.53999999992</v>
      </c>
      <c r="G19" s="485">
        <f t="shared" si="0"/>
        <v>648560.18908293953</v>
      </c>
      <c r="H19" s="42">
        <f>+SUMIFS('Distribution Substation Costs'!C:C,'Distribution Substation Costs'!B:B,'Distribution Substation Detail'!E19)</f>
        <v>1806.0100000000002</v>
      </c>
      <c r="I19" s="485">
        <f t="shared" si="1"/>
        <v>1928.2152123119849</v>
      </c>
      <c r="J19" s="42">
        <f>+SUMIFS('Distribution Substation Costs'!D:D,'Distribution Substation Costs'!B:B,'Distribution Substation Detail'!E19)</f>
        <v>65123.91</v>
      </c>
      <c r="K19" s="485">
        <f t="shared" si="2"/>
        <v>65123.910000000018</v>
      </c>
      <c r="L19" s="2582">
        <f t="shared" si="3"/>
        <v>715612.3142952515</v>
      </c>
    </row>
    <row r="20" spans="2:12">
      <c r="B20" s="693">
        <f t="shared" si="4"/>
        <v>10</v>
      </c>
      <c r="C20" s="60">
        <v>1</v>
      </c>
      <c r="D20" s="290" t="s">
        <v>3734</v>
      </c>
      <c r="E20" s="2583" t="s">
        <v>3735</v>
      </c>
      <c r="F20" s="42">
        <f>+SUMIFS('Distribution Substation Costs'!E:E,'Distribution Substation Costs'!B:B,'Distribution Substation Detail'!E20)</f>
        <v>785366.85999999987</v>
      </c>
      <c r="G20" s="485">
        <f t="shared" si="0"/>
        <v>852185.46719533519</v>
      </c>
      <c r="H20" s="42">
        <f>+SUMIFS('Distribution Substation Costs'!C:C,'Distribution Substation Costs'!B:B,'Distribution Substation Detail'!E20)</f>
        <v>3991.61</v>
      </c>
      <c r="I20" s="485">
        <f t="shared" si="1"/>
        <v>4261.705706843617</v>
      </c>
      <c r="J20" s="42">
        <f>+SUMIFS('Distribution Substation Costs'!D:D,'Distribution Substation Costs'!B:B,'Distribution Substation Detail'!E20)</f>
        <v>30363.74</v>
      </c>
      <c r="K20" s="485">
        <f t="shared" si="2"/>
        <v>30363.740000000009</v>
      </c>
      <c r="L20" s="2582">
        <f t="shared" si="3"/>
        <v>886810.91290217882</v>
      </c>
    </row>
    <row r="21" spans="2:12">
      <c r="B21" s="693">
        <f t="shared" si="4"/>
        <v>11</v>
      </c>
      <c r="C21" s="60">
        <v>1</v>
      </c>
      <c r="D21" s="290" t="s">
        <v>3736</v>
      </c>
      <c r="E21" s="2583" t="s">
        <v>3737</v>
      </c>
      <c r="F21" s="42">
        <f>+SUMIFS('Distribution Substation Costs'!E:E,'Distribution Substation Costs'!B:B,'Distribution Substation Detail'!E21)</f>
        <v>2204434.5</v>
      </c>
      <c r="G21" s="485">
        <f t="shared" si="0"/>
        <v>2391986.6497601075</v>
      </c>
      <c r="H21" s="42">
        <f>+SUMIFS('Distribution Substation Costs'!C:C,'Distribution Substation Costs'!B:B,'Distribution Substation Detail'!E21)</f>
        <v>13646.18</v>
      </c>
      <c r="I21" s="485">
        <f t="shared" si="1"/>
        <v>14569.560448694947</v>
      </c>
      <c r="J21" s="42">
        <f>+SUMIFS('Distribution Substation Costs'!D:D,'Distribution Substation Costs'!B:B,'Distribution Substation Detail'!E21)</f>
        <v>41762.18</v>
      </c>
      <c r="K21" s="485">
        <f t="shared" si="2"/>
        <v>41762.180000000008</v>
      </c>
      <c r="L21" s="2582">
        <f t="shared" si="3"/>
        <v>2448318.3902088027</v>
      </c>
    </row>
    <row r="22" spans="2:12">
      <c r="B22" s="693">
        <f t="shared" si="4"/>
        <v>12</v>
      </c>
      <c r="C22" s="60">
        <v>1</v>
      </c>
      <c r="D22" s="290" t="s">
        <v>3738</v>
      </c>
      <c r="E22" s="2583" t="s">
        <v>3739</v>
      </c>
      <c r="F22" s="42">
        <f>+SUMIFS('Distribution Substation Costs'!E:E,'Distribution Substation Costs'!B:B,'Distribution Substation Detail'!E22)</f>
        <v>1368648.91</v>
      </c>
      <c r="G22" s="485">
        <f t="shared" si="0"/>
        <v>1485092.8530327042</v>
      </c>
      <c r="H22" s="42">
        <f>+SUMIFS('Distribution Substation Costs'!C:C,'Distribution Substation Costs'!B:B,'Distribution Substation Detail'!E22)</f>
        <v>2733.65</v>
      </c>
      <c r="I22" s="485">
        <f t="shared" si="1"/>
        <v>2918.6247668266828</v>
      </c>
      <c r="J22" s="42">
        <f>+SUMIFS('Distribution Substation Costs'!D:D,'Distribution Substation Costs'!B:B,'Distribution Substation Detail'!E22)</f>
        <v>27884.719999999998</v>
      </c>
      <c r="K22" s="485">
        <f t="shared" si="2"/>
        <v>27884.720000000005</v>
      </c>
      <c r="L22" s="2582">
        <f t="shared" si="3"/>
        <v>1515896.1977995308</v>
      </c>
    </row>
    <row r="23" spans="2:12">
      <c r="B23" s="693">
        <f t="shared" si="4"/>
        <v>13</v>
      </c>
      <c r="C23" s="60">
        <v>1</v>
      </c>
      <c r="D23" s="290" t="s">
        <v>3740</v>
      </c>
      <c r="E23" s="2583" t="s">
        <v>3741</v>
      </c>
      <c r="F23" s="42">
        <f>+SUMIFS('Distribution Substation Costs'!E:E,'Distribution Substation Costs'!B:B,'Distribution Substation Detail'!E23)</f>
        <v>433782.63999999996</v>
      </c>
      <c r="G23" s="485">
        <f t="shared" si="0"/>
        <v>470688.64317705733</v>
      </c>
      <c r="H23" s="42">
        <f>+SUMIFS('Distribution Substation Costs'!C:C,'Distribution Substation Costs'!B:B,'Distribution Substation Detail'!E23)</f>
        <v>56485.760000000002</v>
      </c>
      <c r="I23" s="485">
        <f t="shared" si="1"/>
        <v>60307.917293372579</v>
      </c>
      <c r="J23" s="42">
        <f>+SUMIFS('Distribution Substation Costs'!D:D,'Distribution Substation Costs'!B:B,'Distribution Substation Detail'!E23)</f>
        <v>86186.62</v>
      </c>
      <c r="K23" s="485">
        <f t="shared" si="2"/>
        <v>86186.62000000001</v>
      </c>
      <c r="L23" s="2582">
        <f t="shared" si="3"/>
        <v>617183.18047042994</v>
      </c>
    </row>
    <row r="24" spans="2:12">
      <c r="B24" s="693">
        <f t="shared" si="4"/>
        <v>14</v>
      </c>
      <c r="C24" s="60">
        <v>1</v>
      </c>
      <c r="D24" s="290" t="s">
        <v>3742</v>
      </c>
      <c r="E24" s="2583" t="s">
        <v>3743</v>
      </c>
      <c r="F24" s="42">
        <f>+SUMIFS('Distribution Substation Costs'!E:E,'Distribution Substation Costs'!B:B,'Distribution Substation Detail'!E24)</f>
        <v>3584446.5099999993</v>
      </c>
      <c r="G24" s="485">
        <f t="shared" si="0"/>
        <v>3889409.3694773912</v>
      </c>
      <c r="H24" s="42">
        <f>+SUMIFS('Distribution Substation Costs'!C:C,'Distribution Substation Costs'!B:B,'Distribution Substation Detail'!E24)</f>
        <v>2794.98</v>
      </c>
      <c r="I24" s="485">
        <f t="shared" si="1"/>
        <v>2984.1047137655664</v>
      </c>
      <c r="J24" s="42">
        <f>+SUMIFS('Distribution Substation Costs'!D:D,'Distribution Substation Costs'!B:B,'Distribution Substation Detail'!E24)</f>
        <v>319662.22000000009</v>
      </c>
      <c r="K24" s="485">
        <f t="shared" si="2"/>
        <v>319662.22000000015</v>
      </c>
      <c r="L24" s="2582">
        <f t="shared" si="3"/>
        <v>4212055.6941911569</v>
      </c>
    </row>
    <row r="25" spans="2:12">
      <c r="B25" s="693">
        <f t="shared" si="4"/>
        <v>15</v>
      </c>
      <c r="C25" s="60">
        <v>1</v>
      </c>
      <c r="D25" s="290" t="s">
        <v>3744</v>
      </c>
      <c r="E25" s="2583" t="s">
        <v>3745</v>
      </c>
      <c r="F25" s="42">
        <f>+SUMIFS('Distribution Substation Costs'!E:E,'Distribution Substation Costs'!B:B,'Distribution Substation Detail'!E25)</f>
        <v>2225943.5299999993</v>
      </c>
      <c r="G25" s="485">
        <f t="shared" si="0"/>
        <v>2415325.6569337333</v>
      </c>
      <c r="H25" s="42">
        <f>+SUMIFS('Distribution Substation Costs'!C:C,'Distribution Substation Costs'!B:B,'Distribution Substation Detail'!E25)</f>
        <v>31339.600000000002</v>
      </c>
      <c r="I25" s="485">
        <f t="shared" si="1"/>
        <v>33460.22085579409</v>
      </c>
      <c r="J25" s="42">
        <f>+SUMIFS('Distribution Substation Costs'!D:D,'Distribution Substation Costs'!B:B,'Distribution Substation Detail'!E25)</f>
        <v>129899.35000000002</v>
      </c>
      <c r="K25" s="485">
        <f t="shared" si="2"/>
        <v>129899.35000000005</v>
      </c>
      <c r="L25" s="2582">
        <f t="shared" si="3"/>
        <v>2578685.2277895273</v>
      </c>
    </row>
    <row r="26" spans="2:12">
      <c r="B26" s="693">
        <f t="shared" si="4"/>
        <v>16</v>
      </c>
      <c r="C26" s="60">
        <v>1</v>
      </c>
      <c r="D26" s="290" t="s">
        <v>3746</v>
      </c>
      <c r="E26" s="2583" t="s">
        <v>3747</v>
      </c>
      <c r="F26" s="42">
        <f>+SUMIFS('Distribution Substation Costs'!E:E,'Distribution Substation Costs'!B:B,'Distribution Substation Detail'!E26)</f>
        <v>2098893.1400000006</v>
      </c>
      <c r="G26" s="485">
        <f t="shared" si="0"/>
        <v>2277465.8853112096</v>
      </c>
      <c r="H26" s="42">
        <f>+SUMIFS('Distribution Substation Costs'!C:C,'Distribution Substation Costs'!B:B,'Distribution Substation Detail'!E26)</f>
        <v>3248</v>
      </c>
      <c r="I26" s="485">
        <f t="shared" si="1"/>
        <v>3467.7786997798053</v>
      </c>
      <c r="J26" s="42">
        <f>+SUMIFS('Distribution Substation Costs'!D:D,'Distribution Substation Costs'!B:B,'Distribution Substation Detail'!E26)</f>
        <v>59067.18</v>
      </c>
      <c r="K26" s="485">
        <f t="shared" si="2"/>
        <v>59067.180000000015</v>
      </c>
      <c r="L26" s="2582">
        <f t="shared" si="3"/>
        <v>2340000.8440109896</v>
      </c>
    </row>
    <row r="27" spans="2:12">
      <c r="B27" s="693">
        <f t="shared" si="4"/>
        <v>17</v>
      </c>
      <c r="C27" s="60">
        <v>1</v>
      </c>
      <c r="D27" s="290" t="s">
        <v>3748</v>
      </c>
      <c r="E27" s="2583" t="s">
        <v>3749</v>
      </c>
      <c r="F27" s="42">
        <f>+SUMIFS('Distribution Substation Costs'!E:E,'Distribution Substation Costs'!B:B,'Distribution Substation Detail'!E27)</f>
        <v>1432715.44</v>
      </c>
      <c r="G27" s="485">
        <f t="shared" si="0"/>
        <v>1554610.1303464351</v>
      </c>
      <c r="H27" s="42">
        <f>+SUMIFS('Distribution Substation Costs'!C:C,'Distribution Substation Costs'!B:B,'Distribution Substation Detail'!E27)</f>
        <v>68450.37</v>
      </c>
      <c r="I27" s="485">
        <f t="shared" si="1"/>
        <v>73082.122868856706</v>
      </c>
      <c r="J27" s="42">
        <f>+SUMIFS('Distribution Substation Costs'!D:D,'Distribution Substation Costs'!B:B,'Distribution Substation Detail'!E27)</f>
        <v>82940.969999999987</v>
      </c>
      <c r="K27" s="485">
        <f t="shared" si="2"/>
        <v>82940.97</v>
      </c>
      <c r="L27" s="2582">
        <f t="shared" si="3"/>
        <v>1710633.2232152917</v>
      </c>
    </row>
    <row r="28" spans="2:12">
      <c r="B28" s="693">
        <f t="shared" si="4"/>
        <v>18</v>
      </c>
      <c r="C28" s="60">
        <v>1</v>
      </c>
      <c r="D28" s="290" t="s">
        <v>3750</v>
      </c>
      <c r="E28" s="2583" t="s">
        <v>3751</v>
      </c>
      <c r="F28" s="42">
        <f>+SUMIFS('Distribution Substation Costs'!E:E,'Distribution Substation Costs'!B:B,'Distribution Substation Detail'!E28)</f>
        <v>1633895.19</v>
      </c>
      <c r="G28" s="485">
        <f t="shared" si="0"/>
        <v>1772906.1496666172</v>
      </c>
      <c r="H28" s="42">
        <f>+SUMIFS('Distribution Substation Costs'!C:C,'Distribution Substation Costs'!B:B,'Distribution Substation Detail'!E28)</f>
        <v>29476.43</v>
      </c>
      <c r="I28" s="485">
        <f t="shared" si="1"/>
        <v>31470.977863162083</v>
      </c>
      <c r="J28" s="42">
        <f>+SUMIFS('Distribution Substation Costs'!D:D,'Distribution Substation Costs'!B:B,'Distribution Substation Detail'!E28)</f>
        <v>59471.17</v>
      </c>
      <c r="K28" s="485">
        <f t="shared" si="2"/>
        <v>59471.170000000013</v>
      </c>
      <c r="L28" s="2582">
        <f t="shared" si="3"/>
        <v>1863848.2975297791</v>
      </c>
    </row>
    <row r="29" spans="2:12">
      <c r="B29" s="693">
        <f t="shared" si="4"/>
        <v>19</v>
      </c>
      <c r="C29" s="60">
        <v>1</v>
      </c>
      <c r="D29" s="290" t="s">
        <v>3752</v>
      </c>
      <c r="E29" s="2583" t="s">
        <v>3753</v>
      </c>
      <c r="F29" s="42">
        <f>+SUMIFS('Distribution Substation Costs'!E:E,'Distribution Substation Costs'!B:B,'Distribution Substation Detail'!E29)</f>
        <v>0</v>
      </c>
      <c r="G29" s="485">
        <f t="shared" si="0"/>
        <v>0</v>
      </c>
      <c r="H29" s="42">
        <f>+SUMIFS('Distribution Substation Costs'!C:C,'Distribution Substation Costs'!B:B,'Distribution Substation Detail'!E29)</f>
        <v>0</v>
      </c>
      <c r="I29" s="485">
        <f t="shared" si="1"/>
        <v>0</v>
      </c>
      <c r="J29" s="42">
        <f>+SUMIFS('Distribution Substation Costs'!D:D,'Distribution Substation Costs'!B:B,'Distribution Substation Detail'!E29)</f>
        <v>37827.33</v>
      </c>
      <c r="K29" s="485">
        <f t="shared" si="2"/>
        <v>37827.330000000009</v>
      </c>
      <c r="L29" s="2582">
        <f t="shared" si="3"/>
        <v>37827.330000000009</v>
      </c>
    </row>
    <row r="30" spans="2:12">
      <c r="B30" s="693">
        <f t="shared" si="4"/>
        <v>20</v>
      </c>
      <c r="C30" s="60">
        <v>1</v>
      </c>
      <c r="D30" s="290" t="s">
        <v>3235</v>
      </c>
      <c r="E30" s="2584" t="s">
        <v>3236</v>
      </c>
      <c r="F30" s="42">
        <f>+SUMIFS('Distribution Substation Costs'!E:E,'Distribution Substation Costs'!B:B,'Distribution Substation Detail'!E30)</f>
        <v>0</v>
      </c>
      <c r="G30" s="485">
        <f t="shared" si="0"/>
        <v>0</v>
      </c>
      <c r="H30" s="42">
        <f>+SUMIFS('Distribution Substation Costs'!C:C,'Distribution Substation Costs'!B:B,'Distribution Substation Detail'!E30)</f>
        <v>0</v>
      </c>
      <c r="I30" s="485">
        <f t="shared" si="1"/>
        <v>0</v>
      </c>
      <c r="J30" s="42">
        <f>+SUMIFS('Distribution Substation Costs'!D:D,'Distribution Substation Costs'!B:B,'Distribution Substation Detail'!E30)</f>
        <v>0</v>
      </c>
      <c r="K30" s="485">
        <f t="shared" si="2"/>
        <v>0</v>
      </c>
      <c r="L30" s="2582">
        <f>+G30+I30+K30</f>
        <v>0</v>
      </c>
    </row>
    <row r="31" spans="2:12">
      <c r="B31" s="693">
        <f t="shared" si="4"/>
        <v>21</v>
      </c>
      <c r="C31" s="60">
        <v>1</v>
      </c>
      <c r="D31" s="290" t="s">
        <v>3754</v>
      </c>
      <c r="E31" s="2583" t="s">
        <v>3755</v>
      </c>
      <c r="F31" s="42">
        <f>+SUMIFS('Distribution Substation Costs'!E:E,'Distribution Substation Costs'!B:B,'Distribution Substation Detail'!E31)</f>
        <v>1934977.6799999992</v>
      </c>
      <c r="G31" s="485">
        <f t="shared" si="0"/>
        <v>2099604.5825556549</v>
      </c>
      <c r="H31" s="42">
        <f>+SUMIFS('Distribution Substation Costs'!C:C,'Distribution Substation Costs'!B:B,'Distribution Substation Detail'!E31)</f>
        <v>3972.76</v>
      </c>
      <c r="I31" s="485">
        <f t="shared" si="1"/>
        <v>4241.5802054609667</v>
      </c>
      <c r="J31" s="42">
        <f>+SUMIFS('Distribution Substation Costs'!D:D,'Distribution Substation Costs'!B:B,'Distribution Substation Detail'!E31)</f>
        <v>80173.73000000001</v>
      </c>
      <c r="K31" s="485">
        <f t="shared" si="2"/>
        <v>80173.730000000025</v>
      </c>
      <c r="L31" s="2582">
        <f t="shared" si="3"/>
        <v>2184019.8927611159</v>
      </c>
    </row>
    <row r="32" spans="2:12">
      <c r="B32" s="693">
        <f t="shared" si="4"/>
        <v>22</v>
      </c>
      <c r="C32" s="60">
        <v>1</v>
      </c>
      <c r="D32" s="290" t="s">
        <v>3756</v>
      </c>
      <c r="E32" s="2583" t="s">
        <v>3757</v>
      </c>
      <c r="F32" s="42">
        <f>+SUMIFS('Distribution Substation Costs'!E:E,'Distribution Substation Costs'!B:B,'Distribution Substation Detail'!E32)</f>
        <v>259931.22000000003</v>
      </c>
      <c r="G32" s="485">
        <f t="shared" si="0"/>
        <v>282046.03407171206</v>
      </c>
      <c r="H32" s="42">
        <f>+SUMIFS('Distribution Substation Costs'!C:C,'Distribution Substation Costs'!B:B,'Distribution Substation Detail'!E32)</f>
        <v>0</v>
      </c>
      <c r="I32" s="485">
        <f t="shared" si="1"/>
        <v>0</v>
      </c>
      <c r="J32" s="42">
        <f>+SUMIFS('Distribution Substation Costs'!D:D,'Distribution Substation Costs'!B:B,'Distribution Substation Detail'!E32)</f>
        <v>0</v>
      </c>
      <c r="K32" s="485">
        <f t="shared" si="2"/>
        <v>0</v>
      </c>
      <c r="L32" s="2582">
        <f t="shared" si="3"/>
        <v>282046.03407171206</v>
      </c>
    </row>
    <row r="33" spans="2:12">
      <c r="B33" s="693">
        <f t="shared" si="4"/>
        <v>23</v>
      </c>
      <c r="C33" s="60">
        <v>1</v>
      </c>
      <c r="D33" s="290" t="s">
        <v>3758</v>
      </c>
      <c r="E33" s="2583" t="s">
        <v>3759</v>
      </c>
      <c r="F33" s="42">
        <f>+SUMIFS('Distribution Substation Costs'!E:E,'Distribution Substation Costs'!B:B,'Distribution Substation Detail'!E33)</f>
        <v>0</v>
      </c>
      <c r="G33" s="485">
        <f t="shared" si="0"/>
        <v>0</v>
      </c>
      <c r="H33" s="42">
        <f>+SUMIFS('Distribution Substation Costs'!C:C,'Distribution Substation Costs'!B:B,'Distribution Substation Detail'!E33)</f>
        <v>0</v>
      </c>
      <c r="I33" s="485">
        <f t="shared" si="1"/>
        <v>0</v>
      </c>
      <c r="J33" s="42">
        <f>+SUMIFS('Distribution Substation Costs'!D:D,'Distribution Substation Costs'!B:B,'Distribution Substation Detail'!E33)</f>
        <v>8463.23</v>
      </c>
      <c r="K33" s="485">
        <f t="shared" si="2"/>
        <v>8463.2300000000014</v>
      </c>
      <c r="L33" s="2582">
        <f t="shared" si="3"/>
        <v>8463.2300000000014</v>
      </c>
    </row>
    <row r="34" spans="2:12">
      <c r="B34" s="693">
        <f t="shared" si="4"/>
        <v>24</v>
      </c>
      <c r="C34" s="60">
        <v>1</v>
      </c>
      <c r="D34" s="290" t="s">
        <v>3760</v>
      </c>
      <c r="E34" s="2583" t="s">
        <v>3761</v>
      </c>
      <c r="F34" s="42">
        <f>+SUMIFS('Distribution Substation Costs'!E:E,'Distribution Substation Costs'!B:B,'Distribution Substation Detail'!E34)</f>
        <v>1457364.9099999997</v>
      </c>
      <c r="G34" s="485">
        <f t="shared" si="0"/>
        <v>1581356.7645347775</v>
      </c>
      <c r="H34" s="42">
        <f>+SUMIFS('Distribution Substation Costs'!C:C,'Distribution Substation Costs'!B:B,'Distribution Substation Detail'!E34)</f>
        <v>20797.84</v>
      </c>
      <c r="I34" s="485">
        <f t="shared" si="1"/>
        <v>22205.143643296931</v>
      </c>
      <c r="J34" s="42">
        <f>+SUMIFS('Distribution Substation Costs'!D:D,'Distribution Substation Costs'!B:B,'Distribution Substation Detail'!E34)</f>
        <v>42878.34</v>
      </c>
      <c r="K34" s="485">
        <f t="shared" si="2"/>
        <v>42878.340000000004</v>
      </c>
      <c r="L34" s="2582">
        <f t="shared" si="3"/>
        <v>1646440.2481780746</v>
      </c>
    </row>
    <row r="35" spans="2:12">
      <c r="B35" s="693">
        <f t="shared" si="4"/>
        <v>25</v>
      </c>
      <c r="C35" s="60">
        <v>1</v>
      </c>
      <c r="D35" s="290" t="s">
        <v>3762</v>
      </c>
      <c r="E35" s="2583" t="s">
        <v>3763</v>
      </c>
      <c r="F35" s="42">
        <f>+SUMIFS('Distribution Substation Costs'!E:E,'Distribution Substation Costs'!B:B,'Distribution Substation Detail'!E35)</f>
        <v>1586926.3699999999</v>
      </c>
      <c r="G35" s="485">
        <f t="shared" si="0"/>
        <v>1721941.2466971774</v>
      </c>
      <c r="H35" s="42">
        <f>+SUMIFS('Distribution Substation Costs'!C:C,'Distribution Substation Costs'!B:B,'Distribution Substation Detail'!E35)</f>
        <v>0</v>
      </c>
      <c r="I35" s="485">
        <f t="shared" si="1"/>
        <v>0</v>
      </c>
      <c r="J35" s="42">
        <f>+SUMIFS('Distribution Substation Costs'!D:D,'Distribution Substation Costs'!B:B,'Distribution Substation Detail'!E35)</f>
        <v>160754.10000000003</v>
      </c>
      <c r="K35" s="485">
        <f t="shared" si="2"/>
        <v>160754.10000000006</v>
      </c>
      <c r="L35" s="2582">
        <f t="shared" si="3"/>
        <v>1882695.3466971775</v>
      </c>
    </row>
    <row r="36" spans="2:12">
      <c r="B36" s="693">
        <f t="shared" si="4"/>
        <v>26</v>
      </c>
      <c r="C36" s="60">
        <v>1</v>
      </c>
      <c r="D36" s="290" t="s">
        <v>3764</v>
      </c>
      <c r="E36" s="2583" t="s">
        <v>3765</v>
      </c>
      <c r="F36" s="42">
        <f>+SUMIFS('Distribution Substation Costs'!E:E,'Distribution Substation Costs'!B:B,'Distribution Substation Detail'!E36)</f>
        <v>1531838.1299999997</v>
      </c>
      <c r="G36" s="485">
        <f t="shared" si="0"/>
        <v>1662166.127663801</v>
      </c>
      <c r="H36" s="42">
        <f>+SUMIFS('Distribution Substation Costs'!C:C,'Distribution Substation Costs'!B:B,'Distribution Substation Detail'!E36)</f>
        <v>12383.98</v>
      </c>
      <c r="I36" s="485">
        <f t="shared" si="1"/>
        <v>13221.952605449234</v>
      </c>
      <c r="J36" s="42">
        <f>+SUMIFS('Distribution Substation Costs'!D:D,'Distribution Substation Costs'!B:B,'Distribution Substation Detail'!E36)</f>
        <v>75215.520000000004</v>
      </c>
      <c r="K36" s="485">
        <f t="shared" si="2"/>
        <v>75215.520000000019</v>
      </c>
      <c r="L36" s="2582">
        <f t="shared" si="3"/>
        <v>1750603.6002692501</v>
      </c>
    </row>
    <row r="37" spans="2:12">
      <c r="B37" s="693">
        <f t="shared" si="4"/>
        <v>27</v>
      </c>
      <c r="C37" s="60">
        <v>1</v>
      </c>
      <c r="D37" s="290" t="s">
        <v>3766</v>
      </c>
      <c r="E37" s="2583" t="s">
        <v>3767</v>
      </c>
      <c r="F37" s="42">
        <f>+SUMIFS('Distribution Substation Costs'!E:E,'Distribution Substation Costs'!B:B,'Distribution Substation Detail'!E37)</f>
        <v>2597230.7800000007</v>
      </c>
      <c r="G37" s="485">
        <f t="shared" si="0"/>
        <v>2818201.8345775451</v>
      </c>
      <c r="H37" s="42">
        <f>+SUMIFS('Distribution Substation Costs'!C:C,'Distribution Substation Costs'!B:B,'Distribution Substation Detail'!E37)</f>
        <v>8474.68</v>
      </c>
      <c r="I37" s="485">
        <f t="shared" si="1"/>
        <v>9048.1264752000989</v>
      </c>
      <c r="J37" s="42">
        <f>+SUMIFS('Distribution Substation Costs'!D:D,'Distribution Substation Costs'!B:B,'Distribution Substation Detail'!E37)</f>
        <v>265620.07</v>
      </c>
      <c r="K37" s="485">
        <f t="shared" si="2"/>
        <v>265620.07000000007</v>
      </c>
      <c r="L37" s="2582">
        <f t="shared" si="3"/>
        <v>3092870.0310527449</v>
      </c>
    </row>
    <row r="38" spans="2:12">
      <c r="B38" s="693">
        <f t="shared" si="4"/>
        <v>28</v>
      </c>
      <c r="C38" s="60">
        <v>1</v>
      </c>
      <c r="D38" s="290" t="s">
        <v>3768</v>
      </c>
      <c r="E38" s="2583" t="s">
        <v>3769</v>
      </c>
      <c r="F38" s="42">
        <f>+SUMIFS('Distribution Substation Costs'!E:E,'Distribution Substation Costs'!B:B,'Distribution Substation Detail'!E38)</f>
        <v>1780794.1100000003</v>
      </c>
      <c r="G38" s="485">
        <f t="shared" si="0"/>
        <v>1932303.1539795958</v>
      </c>
      <c r="H38" s="42">
        <f>+SUMIFS('Distribution Substation Costs'!C:C,'Distribution Substation Costs'!B:B,'Distribution Substation Detail'!E38)</f>
        <v>16076.550000000001</v>
      </c>
      <c r="I38" s="485">
        <f t="shared" si="1"/>
        <v>17164.383514761401</v>
      </c>
      <c r="J38" s="42">
        <f>+SUMIFS('Distribution Substation Costs'!D:D,'Distribution Substation Costs'!B:B,'Distribution Substation Detail'!E38)</f>
        <v>65411.99</v>
      </c>
      <c r="K38" s="485">
        <f t="shared" si="2"/>
        <v>65411.990000000013</v>
      </c>
      <c r="L38" s="2582">
        <f t="shared" si="3"/>
        <v>2014879.5274943572</v>
      </c>
    </row>
    <row r="39" spans="2:12">
      <c r="B39" s="693">
        <f t="shared" si="4"/>
        <v>29</v>
      </c>
      <c r="C39" s="60">
        <v>1</v>
      </c>
      <c r="D39" s="290" t="s">
        <v>3770</v>
      </c>
      <c r="E39" s="2583" t="s">
        <v>3771</v>
      </c>
      <c r="F39" s="42">
        <f>+SUMIFS('Distribution Substation Costs'!E:E,'Distribution Substation Costs'!B:B,'Distribution Substation Detail'!E39)</f>
        <v>152045.04</v>
      </c>
      <c r="G39" s="485">
        <f t="shared" si="0"/>
        <v>164980.95354715307</v>
      </c>
      <c r="H39" s="42">
        <f>+SUMIFS('Distribution Substation Costs'!C:C,'Distribution Substation Costs'!B:B,'Distribution Substation Detail'!E39)</f>
        <v>0</v>
      </c>
      <c r="I39" s="485">
        <f t="shared" si="1"/>
        <v>0</v>
      </c>
      <c r="J39" s="42">
        <f>+SUMIFS('Distribution Substation Costs'!D:D,'Distribution Substation Costs'!B:B,'Distribution Substation Detail'!E39)</f>
        <v>2619.1899999999996</v>
      </c>
      <c r="K39" s="485">
        <f t="shared" si="2"/>
        <v>2619.19</v>
      </c>
      <c r="L39" s="2582">
        <f t="shared" si="3"/>
        <v>167600.14354715307</v>
      </c>
    </row>
    <row r="40" spans="2:12">
      <c r="B40" s="693">
        <f t="shared" si="4"/>
        <v>30</v>
      </c>
      <c r="C40" s="60">
        <v>1</v>
      </c>
      <c r="D40" s="290" t="s">
        <v>3772</v>
      </c>
      <c r="E40" s="2583" t="s">
        <v>3773</v>
      </c>
      <c r="F40" s="42">
        <f>+SUMIFS('Distribution Substation Costs'!E:E,'Distribution Substation Costs'!B:B,'Distribution Substation Detail'!E40)</f>
        <v>2637175.4199999995</v>
      </c>
      <c r="G40" s="485">
        <f t="shared" si="0"/>
        <v>2861544.9439370977</v>
      </c>
      <c r="H40" s="42">
        <f>+SUMIFS('Distribution Substation Costs'!C:C,'Distribution Substation Costs'!B:B,'Distribution Substation Detail'!E40)</f>
        <v>9897.07</v>
      </c>
      <c r="I40" s="485">
        <f t="shared" si="1"/>
        <v>10566.763711893385</v>
      </c>
      <c r="J40" s="42">
        <f>+SUMIFS('Distribution Substation Costs'!D:D,'Distribution Substation Costs'!B:B,'Distribution Substation Detail'!E40)</f>
        <v>89588.89</v>
      </c>
      <c r="K40" s="485">
        <f t="shared" si="2"/>
        <v>89588.890000000014</v>
      </c>
      <c r="L40" s="2582">
        <f t="shared" si="3"/>
        <v>2961700.5976489913</v>
      </c>
    </row>
    <row r="41" spans="2:12">
      <c r="B41" s="693">
        <f t="shared" si="4"/>
        <v>31</v>
      </c>
      <c r="C41" s="60">
        <v>1</v>
      </c>
      <c r="D41" s="290" t="s">
        <v>3774</v>
      </c>
      <c r="E41" s="2583" t="s">
        <v>3775</v>
      </c>
      <c r="F41" s="42">
        <f>+SUMIFS('Distribution Substation Costs'!E:E,'Distribution Substation Costs'!B:B,'Distribution Substation Detail'!E41)</f>
        <v>1539114.6500000006</v>
      </c>
      <c r="G41" s="485">
        <f t="shared" si="0"/>
        <v>1670061.7302306793</v>
      </c>
      <c r="H41" s="42">
        <f>+SUMIFS('Distribution Substation Costs'!C:C,'Distribution Substation Costs'!B:B,'Distribution Substation Detail'!E41)</f>
        <v>5279.42</v>
      </c>
      <c r="I41" s="485">
        <f t="shared" si="1"/>
        <v>5636.6564726574816</v>
      </c>
      <c r="J41" s="42">
        <f>+SUMIFS('Distribution Substation Costs'!D:D,'Distribution Substation Costs'!B:B,'Distribution Substation Detail'!E41)</f>
        <v>82990.189999999988</v>
      </c>
      <c r="K41" s="485">
        <f t="shared" si="2"/>
        <v>82990.19</v>
      </c>
      <c r="L41" s="2582">
        <f t="shared" si="3"/>
        <v>1758688.5767033368</v>
      </c>
    </row>
    <row r="42" spans="2:12">
      <c r="B42" s="693">
        <f t="shared" si="4"/>
        <v>32</v>
      </c>
      <c r="C42" s="60">
        <v>1</v>
      </c>
      <c r="D42" s="290" t="s">
        <v>3776</v>
      </c>
      <c r="E42" s="2583" t="s">
        <v>3777</v>
      </c>
      <c r="F42" s="42">
        <f>+SUMIFS('Distribution Substation Costs'!E:E,'Distribution Substation Costs'!B:B,'Distribution Substation Detail'!E42)</f>
        <v>1815876.76</v>
      </c>
      <c r="G42" s="485">
        <f t="shared" si="0"/>
        <v>1970370.6177387622</v>
      </c>
      <c r="H42" s="42">
        <f>+SUMIFS('Distribution Substation Costs'!C:C,'Distribution Substation Costs'!B:B,'Distribution Substation Detail'!E42)</f>
        <v>7177.66</v>
      </c>
      <c r="I42" s="485">
        <f t="shared" si="1"/>
        <v>7663.3425068539154</v>
      </c>
      <c r="J42" s="42">
        <f>+SUMIFS('Distribution Substation Costs'!D:D,'Distribution Substation Costs'!B:B,'Distribution Substation Detail'!E42)</f>
        <v>257230.72999999998</v>
      </c>
      <c r="K42" s="485">
        <f t="shared" si="2"/>
        <v>257230.73000000004</v>
      </c>
      <c r="L42" s="2582">
        <f t="shared" si="3"/>
        <v>2235264.6902456162</v>
      </c>
    </row>
    <row r="43" spans="2:12">
      <c r="B43" s="693">
        <f t="shared" si="4"/>
        <v>33</v>
      </c>
      <c r="C43" s="60">
        <v>1</v>
      </c>
      <c r="D43" s="290" t="s">
        <v>3778</v>
      </c>
      <c r="E43" s="2583" t="s">
        <v>3779</v>
      </c>
      <c r="F43" s="42">
        <f>+SUMIFS('Distribution Substation Costs'!E:E,'Distribution Substation Costs'!B:B,'Distribution Substation Detail'!E43)</f>
        <v>995710.88000000035</v>
      </c>
      <c r="G43" s="485">
        <f t="shared" ref="G43:G74" si="5">+F43*F$202*F$213</f>
        <v>1080425.447878306</v>
      </c>
      <c r="H43" s="42">
        <f>+SUMIFS('Distribution Substation Costs'!C:C,'Distribution Substation Costs'!B:B,'Distribution Substation Detail'!E43)</f>
        <v>4385.9000000000005</v>
      </c>
      <c r="I43" s="485">
        <f t="shared" ref="I43:I74" si="6">+H43*H$202*H$213</f>
        <v>4682.675677144166</v>
      </c>
      <c r="J43" s="42">
        <f>+SUMIFS('Distribution Substation Costs'!D:D,'Distribution Substation Costs'!B:B,'Distribution Substation Detail'!E43)</f>
        <v>9030.57</v>
      </c>
      <c r="K43" s="485">
        <f t="shared" ref="K43:K74" si="7">+J43*J$202*J$213</f>
        <v>9030.5700000000015</v>
      </c>
      <c r="L43" s="2582">
        <f t="shared" si="3"/>
        <v>1094138.6935554503</v>
      </c>
    </row>
    <row r="44" spans="2:12">
      <c r="B44" s="693">
        <f t="shared" si="4"/>
        <v>34</v>
      </c>
      <c r="C44" s="60">
        <v>1</v>
      </c>
      <c r="D44" s="290" t="s">
        <v>3780</v>
      </c>
      <c r="E44" s="2583" t="s">
        <v>3781</v>
      </c>
      <c r="F44" s="42">
        <f>+SUMIFS('Distribution Substation Costs'!E:E,'Distribution Substation Costs'!B:B,'Distribution Substation Detail'!E44)</f>
        <v>2073000.1700000002</v>
      </c>
      <c r="G44" s="485">
        <f t="shared" si="5"/>
        <v>2249369.954784519</v>
      </c>
      <c r="H44" s="42">
        <f>+SUMIFS('Distribution Substation Costs'!C:C,'Distribution Substation Costs'!B:B,'Distribution Substation Detail'!E44)</f>
        <v>3419.37</v>
      </c>
      <c r="I44" s="485">
        <f t="shared" si="6"/>
        <v>3650.7445974957118</v>
      </c>
      <c r="J44" s="42">
        <f>+SUMIFS('Distribution Substation Costs'!D:D,'Distribution Substation Costs'!B:B,'Distribution Substation Detail'!E44)</f>
        <v>381592.85000000003</v>
      </c>
      <c r="K44" s="485">
        <f t="shared" si="7"/>
        <v>381592.85000000009</v>
      </c>
      <c r="L44" s="2582">
        <f t="shared" si="3"/>
        <v>2634613.5493820147</v>
      </c>
    </row>
    <row r="45" spans="2:12">
      <c r="B45" s="693">
        <f t="shared" si="4"/>
        <v>35</v>
      </c>
      <c r="C45" s="60">
        <v>1</v>
      </c>
      <c r="D45" s="290" t="s">
        <v>3782</v>
      </c>
      <c r="E45" s="2583" t="s">
        <v>3783</v>
      </c>
      <c r="F45" s="42">
        <f>+SUMIFS('Distribution Substation Costs'!E:E,'Distribution Substation Costs'!B:B,'Distribution Substation Detail'!E45)</f>
        <v>2685848.9499999993</v>
      </c>
      <c r="G45" s="485">
        <f t="shared" si="5"/>
        <v>2914359.5927536977</v>
      </c>
      <c r="H45" s="42">
        <f>+SUMIFS('Distribution Substation Costs'!C:C,'Distribution Substation Costs'!B:B,'Distribution Substation Detail'!E45)</f>
        <v>17187.310000000001</v>
      </c>
      <c r="I45" s="485">
        <f t="shared" si="6"/>
        <v>18350.304040798168</v>
      </c>
      <c r="J45" s="42">
        <f>+SUMIFS('Distribution Substation Costs'!D:D,'Distribution Substation Costs'!B:B,'Distribution Substation Detail'!E45)</f>
        <v>405253.83999999997</v>
      </c>
      <c r="K45" s="485">
        <f t="shared" si="7"/>
        <v>405253.84000000008</v>
      </c>
      <c r="L45" s="2582">
        <f t="shared" si="3"/>
        <v>3337963.736794496</v>
      </c>
    </row>
    <row r="46" spans="2:12">
      <c r="B46" s="693">
        <f t="shared" si="4"/>
        <v>36</v>
      </c>
      <c r="C46" s="60">
        <v>1</v>
      </c>
      <c r="D46" s="290" t="s">
        <v>3784</v>
      </c>
      <c r="E46" s="2583" t="s">
        <v>3785</v>
      </c>
      <c r="F46" s="42">
        <f>+SUMIFS('Distribution Substation Costs'!E:E,'Distribution Substation Costs'!B:B,'Distribution Substation Detail'!E46)</f>
        <v>1466932.2799999996</v>
      </c>
      <c r="G46" s="485">
        <f t="shared" si="5"/>
        <v>1591738.1214375638</v>
      </c>
      <c r="H46" s="42">
        <f>+SUMIFS('Distribution Substation Costs'!C:C,'Distribution Substation Costs'!B:B,'Distribution Substation Detail'!E46)</f>
        <v>1164.24</v>
      </c>
      <c r="I46" s="485">
        <f t="shared" si="6"/>
        <v>1243.0192960072784</v>
      </c>
      <c r="J46" s="42">
        <f>+SUMIFS('Distribution Substation Costs'!D:D,'Distribution Substation Costs'!B:B,'Distribution Substation Detail'!E46)</f>
        <v>126494.90000000001</v>
      </c>
      <c r="K46" s="485">
        <f t="shared" si="7"/>
        <v>126494.90000000004</v>
      </c>
      <c r="L46" s="2582">
        <f t="shared" si="3"/>
        <v>1719476.0407335712</v>
      </c>
    </row>
    <row r="47" spans="2:12">
      <c r="B47" s="693">
        <f t="shared" si="4"/>
        <v>37</v>
      </c>
      <c r="C47" s="60">
        <v>1</v>
      </c>
      <c r="D47" s="290" t="s">
        <v>3786</v>
      </c>
      <c r="E47" s="2583" t="s">
        <v>3787</v>
      </c>
      <c r="F47" s="42">
        <f>+SUMIFS('Distribution Substation Costs'!E:E,'Distribution Substation Costs'!B:B,'Distribution Substation Detail'!E47)</f>
        <v>2739078.09</v>
      </c>
      <c r="G47" s="485">
        <f t="shared" si="5"/>
        <v>2972117.4405183797</v>
      </c>
      <c r="H47" s="42">
        <f>+SUMIFS('Distribution Substation Costs'!C:C,'Distribution Substation Costs'!B:B,'Distribution Substation Detail'!E47)</f>
        <v>0</v>
      </c>
      <c r="I47" s="485">
        <f t="shared" si="6"/>
        <v>0</v>
      </c>
      <c r="J47" s="42">
        <f>+SUMIFS('Distribution Substation Costs'!D:D,'Distribution Substation Costs'!B:B,'Distribution Substation Detail'!E47)</f>
        <v>433855.95999999996</v>
      </c>
      <c r="K47" s="485">
        <f t="shared" si="7"/>
        <v>433855.96000000008</v>
      </c>
      <c r="L47" s="2582">
        <f t="shared" si="3"/>
        <v>3405973.4005183796</v>
      </c>
    </row>
    <row r="48" spans="2:12">
      <c r="B48" s="693">
        <f t="shared" si="4"/>
        <v>38</v>
      </c>
      <c r="C48" s="60">
        <v>1</v>
      </c>
      <c r="D48" s="290" t="s">
        <v>3788</v>
      </c>
      <c r="E48" s="2583" t="s">
        <v>3789</v>
      </c>
      <c r="F48" s="42">
        <f>+SUMIFS('Distribution Substation Costs'!E:E,'Distribution Substation Costs'!B:B,'Distribution Substation Detail'!E48)</f>
        <v>796614.18</v>
      </c>
      <c r="G48" s="485">
        <f t="shared" si="5"/>
        <v>864389.70337725861</v>
      </c>
      <c r="H48" s="42">
        <f>+SUMIFS('Distribution Substation Costs'!C:C,'Distribution Substation Costs'!B:B,'Distribution Substation Detail'!E48)</f>
        <v>37222.9</v>
      </c>
      <c r="I48" s="485">
        <f t="shared" si="6"/>
        <v>39741.619385478363</v>
      </c>
      <c r="J48" s="42">
        <f>+SUMIFS('Distribution Substation Costs'!D:D,'Distribution Substation Costs'!B:B,'Distribution Substation Detail'!E48)</f>
        <v>77927.060000000012</v>
      </c>
      <c r="K48" s="485">
        <f t="shared" si="7"/>
        <v>77927.060000000027</v>
      </c>
      <c r="L48" s="2582">
        <f t="shared" si="3"/>
        <v>982058.38276273699</v>
      </c>
    </row>
    <row r="49" spans="2:12">
      <c r="B49" s="693">
        <f t="shared" si="4"/>
        <v>39</v>
      </c>
      <c r="C49" s="60">
        <v>1</v>
      </c>
      <c r="D49" s="290" t="s">
        <v>3790</v>
      </c>
      <c r="E49" s="2583" t="s">
        <v>3791</v>
      </c>
      <c r="F49" s="42">
        <f>+SUMIFS('Distribution Substation Costs'!E:E,'Distribution Substation Costs'!B:B,'Distribution Substation Detail'!E49)</f>
        <v>1433697.3499999996</v>
      </c>
      <c r="G49" s="485">
        <f t="shared" si="5"/>
        <v>1555675.5807425641</v>
      </c>
      <c r="H49" s="42">
        <f>+SUMIFS('Distribution Substation Costs'!C:C,'Distribution Substation Costs'!B:B,'Distribution Substation Detail'!E49)</f>
        <v>11173.99</v>
      </c>
      <c r="I49" s="485">
        <f t="shared" si="6"/>
        <v>11930.087596537114</v>
      </c>
      <c r="J49" s="42">
        <f>+SUMIFS('Distribution Substation Costs'!D:D,'Distribution Substation Costs'!B:B,'Distribution Substation Detail'!E49)</f>
        <v>67770.570000000007</v>
      </c>
      <c r="K49" s="485">
        <f t="shared" si="7"/>
        <v>67770.570000000022</v>
      </c>
      <c r="L49" s="2582">
        <f t="shared" si="3"/>
        <v>1635376.2383391012</v>
      </c>
    </row>
    <row r="50" spans="2:12">
      <c r="B50" s="693">
        <f t="shared" si="4"/>
        <v>40</v>
      </c>
      <c r="C50" s="60">
        <v>1</v>
      </c>
      <c r="D50" s="290" t="s">
        <v>3792</v>
      </c>
      <c r="E50" s="2583" t="s">
        <v>3793</v>
      </c>
      <c r="F50" s="42">
        <f>+SUMIFS('Distribution Substation Costs'!E:E,'Distribution Substation Costs'!B:B,'Distribution Substation Detail'!E50)</f>
        <v>0</v>
      </c>
      <c r="G50" s="485">
        <f t="shared" si="5"/>
        <v>0</v>
      </c>
      <c r="H50" s="42">
        <f>+SUMIFS('Distribution Substation Costs'!C:C,'Distribution Substation Costs'!B:B,'Distribution Substation Detail'!E50)</f>
        <v>0</v>
      </c>
      <c r="I50" s="485">
        <f t="shared" si="6"/>
        <v>0</v>
      </c>
      <c r="J50" s="42">
        <f>+SUMIFS('Distribution Substation Costs'!D:D,'Distribution Substation Costs'!B:B,'Distribution Substation Detail'!E50)</f>
        <v>0</v>
      </c>
      <c r="K50" s="485">
        <f t="shared" si="7"/>
        <v>0</v>
      </c>
      <c r="L50" s="2582">
        <f t="shared" si="3"/>
        <v>0</v>
      </c>
    </row>
    <row r="51" spans="2:12">
      <c r="B51" s="693">
        <f t="shared" si="4"/>
        <v>41</v>
      </c>
      <c r="C51" s="60">
        <v>1</v>
      </c>
      <c r="D51" s="290" t="s">
        <v>3794</v>
      </c>
      <c r="E51" s="2583" t="s">
        <v>3795</v>
      </c>
      <c r="F51" s="42">
        <f>+SUMIFS('Distribution Substation Costs'!E:E,'Distribution Substation Costs'!B:B,'Distribution Substation Detail'!E51)</f>
        <v>1895617.9600000004</v>
      </c>
      <c r="G51" s="485">
        <f t="shared" si="5"/>
        <v>2056896.1578878805</v>
      </c>
      <c r="H51" s="42">
        <f>+SUMIFS('Distribution Substation Costs'!C:C,'Distribution Substation Costs'!B:B,'Distribution Substation Detail'!E51)</f>
        <v>17303.11</v>
      </c>
      <c r="I51" s="485">
        <f t="shared" si="6"/>
        <v>18473.939746904849</v>
      </c>
      <c r="J51" s="42">
        <f>+SUMIFS('Distribution Substation Costs'!D:D,'Distribution Substation Costs'!B:B,'Distribution Substation Detail'!E51)</f>
        <v>96663.329999999987</v>
      </c>
      <c r="K51" s="485">
        <f t="shared" si="7"/>
        <v>96663.33</v>
      </c>
      <c r="L51" s="2582">
        <f t="shared" si="3"/>
        <v>2172033.4276347854</v>
      </c>
    </row>
    <row r="52" spans="2:12">
      <c r="B52" s="693">
        <f t="shared" si="4"/>
        <v>42</v>
      </c>
      <c r="C52" s="60">
        <v>1</v>
      </c>
      <c r="D52" s="290" t="s">
        <v>3255</v>
      </c>
      <c r="E52" s="2583" t="s">
        <v>3256</v>
      </c>
      <c r="F52" s="42">
        <f>+SUMIFS('Distribution Substation Costs'!E:E,'Distribution Substation Costs'!B:B,'Distribution Substation Detail'!E52)</f>
        <v>0</v>
      </c>
      <c r="G52" s="485">
        <f t="shared" si="5"/>
        <v>0</v>
      </c>
      <c r="H52" s="42">
        <f>+SUMIFS('Distribution Substation Costs'!C:C,'Distribution Substation Costs'!B:B,'Distribution Substation Detail'!E52)</f>
        <v>0</v>
      </c>
      <c r="I52" s="485">
        <f t="shared" si="6"/>
        <v>0</v>
      </c>
      <c r="J52" s="42">
        <f>+SUMIFS('Distribution Substation Costs'!D:D,'Distribution Substation Costs'!B:B,'Distribution Substation Detail'!E52)</f>
        <v>0</v>
      </c>
      <c r="K52" s="485">
        <f t="shared" si="7"/>
        <v>0</v>
      </c>
      <c r="L52" s="2582">
        <f t="shared" si="3"/>
        <v>0</v>
      </c>
    </row>
    <row r="53" spans="2:12">
      <c r="B53" s="693">
        <f t="shared" si="4"/>
        <v>43</v>
      </c>
      <c r="C53" s="60">
        <v>1</v>
      </c>
      <c r="D53" s="290" t="s">
        <v>3796</v>
      </c>
      <c r="E53" s="2583" t="s">
        <v>3797</v>
      </c>
      <c r="F53" s="42">
        <f>+SUMIFS('Distribution Substation Costs'!E:E,'Distribution Substation Costs'!B:B,'Distribution Substation Detail'!E53)</f>
        <v>655595.23000000021</v>
      </c>
      <c r="G53" s="485">
        <f t="shared" si="5"/>
        <v>711372.93387778488</v>
      </c>
      <c r="H53" s="42">
        <f>+SUMIFS('Distribution Substation Costs'!C:C,'Distribution Substation Costs'!B:B,'Distribution Substation Detail'!E53)</f>
        <v>6842.35</v>
      </c>
      <c r="I53" s="485">
        <f t="shared" si="6"/>
        <v>7305.34346873102</v>
      </c>
      <c r="J53" s="42">
        <f>+SUMIFS('Distribution Substation Costs'!D:D,'Distribution Substation Costs'!B:B,'Distribution Substation Detail'!E53)</f>
        <v>43311.340000000004</v>
      </c>
      <c r="K53" s="485">
        <f t="shared" si="7"/>
        <v>43311.340000000011</v>
      </c>
      <c r="L53" s="2582">
        <f t="shared" si="3"/>
        <v>761989.61734651588</v>
      </c>
    </row>
    <row r="54" spans="2:12">
      <c r="B54" s="693">
        <f t="shared" si="4"/>
        <v>44</v>
      </c>
      <c r="C54" s="60">
        <v>1</v>
      </c>
      <c r="D54" s="290" t="s">
        <v>3798</v>
      </c>
      <c r="E54" s="2583" t="s">
        <v>3799</v>
      </c>
      <c r="F54" s="42">
        <f>+SUMIFS('Distribution Substation Costs'!E:E,'Distribution Substation Costs'!B:B,'Distribution Substation Detail'!E54)</f>
        <v>1376660.1600000004</v>
      </c>
      <c r="G54" s="485">
        <f t="shared" si="5"/>
        <v>1493785.6960488572</v>
      </c>
      <c r="H54" s="42">
        <f>+SUMIFS('Distribution Substation Costs'!C:C,'Distribution Substation Costs'!B:B,'Distribution Substation Detail'!E54)</f>
        <v>3091.75</v>
      </c>
      <c r="I54" s="485">
        <f t="shared" si="6"/>
        <v>3300.9559098042528</v>
      </c>
      <c r="J54" s="42">
        <f>+SUMIFS('Distribution Substation Costs'!D:D,'Distribution Substation Costs'!B:B,'Distribution Substation Detail'!E54)</f>
        <v>94255.13</v>
      </c>
      <c r="K54" s="485">
        <f t="shared" si="7"/>
        <v>94255.130000000019</v>
      </c>
      <c r="L54" s="2582">
        <f t="shared" si="3"/>
        <v>1591341.7819586615</v>
      </c>
    </row>
    <row r="55" spans="2:12">
      <c r="B55" s="693">
        <f t="shared" si="4"/>
        <v>45</v>
      </c>
      <c r="C55" s="60">
        <v>1</v>
      </c>
      <c r="D55" s="290" t="s">
        <v>3800</v>
      </c>
      <c r="E55" s="2583" t="s">
        <v>3801</v>
      </c>
      <c r="F55" s="42">
        <f>+SUMIFS('Distribution Substation Costs'!E:E,'Distribution Substation Costs'!B:B,'Distribution Substation Detail'!E55)</f>
        <v>435286.6100000001</v>
      </c>
      <c r="G55" s="485">
        <f t="shared" si="5"/>
        <v>472320.570168601</v>
      </c>
      <c r="H55" s="42">
        <f>+SUMIFS('Distribution Substation Costs'!C:C,'Distribution Substation Costs'!B:B,'Distribution Substation Detail'!E55)</f>
        <v>3517.53</v>
      </c>
      <c r="I55" s="485">
        <f t="shared" si="6"/>
        <v>3755.546677905314</v>
      </c>
      <c r="J55" s="42">
        <f>+SUMIFS('Distribution Substation Costs'!D:D,'Distribution Substation Costs'!B:B,'Distribution Substation Detail'!E55)</f>
        <v>70056.350000000006</v>
      </c>
      <c r="K55" s="485">
        <f t="shared" si="7"/>
        <v>70056.35000000002</v>
      </c>
      <c r="L55" s="2582">
        <f t="shared" si="3"/>
        <v>546132.46684650634</v>
      </c>
    </row>
    <row r="56" spans="2:12">
      <c r="B56" s="693">
        <f t="shared" si="4"/>
        <v>46</v>
      </c>
      <c r="C56" s="60">
        <v>1</v>
      </c>
      <c r="D56" s="290" t="s">
        <v>3802</v>
      </c>
      <c r="E56" s="2583" t="s">
        <v>3803</v>
      </c>
      <c r="F56" s="42">
        <f>+SUMIFS('Distribution Substation Costs'!E:E,'Distribution Substation Costs'!B:B,'Distribution Substation Detail'!E56)</f>
        <v>2483186.6799999997</v>
      </c>
      <c r="G56" s="485">
        <f t="shared" si="5"/>
        <v>2694454.9213969042</v>
      </c>
      <c r="H56" s="42">
        <f>+SUMIFS('Distribution Substation Costs'!C:C,'Distribution Substation Costs'!B:B,'Distribution Substation Detail'!E56)</f>
        <v>6165.3600000000006</v>
      </c>
      <c r="I56" s="485">
        <f t="shared" si="6"/>
        <v>6582.5443609835047</v>
      </c>
      <c r="J56" s="42">
        <f>+SUMIFS('Distribution Substation Costs'!D:D,'Distribution Substation Costs'!B:B,'Distribution Substation Detail'!E56)</f>
        <v>104589.91000000002</v>
      </c>
      <c r="K56" s="485">
        <f t="shared" si="7"/>
        <v>104589.91000000005</v>
      </c>
      <c r="L56" s="2582">
        <f t="shared" si="3"/>
        <v>2805627.375757888</v>
      </c>
    </row>
    <row r="57" spans="2:12">
      <c r="B57" s="693">
        <f t="shared" si="4"/>
        <v>47</v>
      </c>
      <c r="C57" s="60">
        <v>1</v>
      </c>
      <c r="D57" s="290" t="s">
        <v>3804</v>
      </c>
      <c r="E57" s="2583" t="s">
        <v>3805</v>
      </c>
      <c r="F57" s="42">
        <f>+SUMIFS('Distribution Substation Costs'!E:E,'Distribution Substation Costs'!B:B,'Distribution Substation Detail'!E57)</f>
        <v>3751892.3899999997</v>
      </c>
      <c r="G57" s="485">
        <f t="shared" si="5"/>
        <v>4071101.4585448299</v>
      </c>
      <c r="H57" s="42">
        <f>+SUMIFS('Distribution Substation Costs'!C:C,'Distribution Substation Costs'!B:B,'Distribution Substation Detail'!E57)</f>
        <v>22187.07</v>
      </c>
      <c r="I57" s="485">
        <f t="shared" si="6"/>
        <v>23688.377080210445</v>
      </c>
      <c r="J57" s="42">
        <f>+SUMIFS('Distribution Substation Costs'!D:D,'Distribution Substation Costs'!B:B,'Distribution Substation Detail'!E57)</f>
        <v>806421.72000000009</v>
      </c>
      <c r="K57" s="485">
        <f t="shared" si="7"/>
        <v>806421.72000000032</v>
      </c>
      <c r="L57" s="2582">
        <f t="shared" si="3"/>
        <v>4901211.555625041</v>
      </c>
    </row>
    <row r="58" spans="2:12">
      <c r="B58" s="693">
        <f t="shared" si="4"/>
        <v>48</v>
      </c>
      <c r="C58" s="60">
        <v>1</v>
      </c>
      <c r="D58" s="290" t="s">
        <v>3806</v>
      </c>
      <c r="E58" s="2583" t="s">
        <v>3807</v>
      </c>
      <c r="F58" s="42">
        <f>+SUMIFS('Distribution Substation Costs'!E:E,'Distribution Substation Costs'!B:B,'Distribution Substation Detail'!E58)</f>
        <v>3210522.8600000003</v>
      </c>
      <c r="G58" s="485">
        <f t="shared" si="5"/>
        <v>3483672.4882819788</v>
      </c>
      <c r="H58" s="42">
        <f>+SUMIFS('Distribution Substation Costs'!C:C,'Distribution Substation Costs'!B:B,'Distribution Substation Detail'!E58)</f>
        <v>39563.57</v>
      </c>
      <c r="I58" s="485">
        <f t="shared" si="6"/>
        <v>42240.672824275651</v>
      </c>
      <c r="J58" s="42">
        <f>+SUMIFS('Distribution Substation Costs'!D:D,'Distribution Substation Costs'!B:B,'Distribution Substation Detail'!E58)</f>
        <v>270356.60000000003</v>
      </c>
      <c r="K58" s="485">
        <f t="shared" si="7"/>
        <v>270356.60000000009</v>
      </c>
      <c r="L58" s="2582">
        <f t="shared" si="3"/>
        <v>3796269.7611062545</v>
      </c>
    </row>
    <row r="59" spans="2:12">
      <c r="B59" s="693">
        <f t="shared" si="4"/>
        <v>49</v>
      </c>
      <c r="C59" s="60">
        <v>1</v>
      </c>
      <c r="D59" s="290" t="s">
        <v>3808</v>
      </c>
      <c r="E59" s="2583" t="s">
        <v>3809</v>
      </c>
      <c r="F59" s="42">
        <f>+SUMIFS('Distribution Substation Costs'!E:E,'Distribution Substation Costs'!B:B,'Distribution Substation Detail'!E59)</f>
        <v>763395.47000000009</v>
      </c>
      <c r="G59" s="485">
        <f t="shared" si="5"/>
        <v>828344.76267148915</v>
      </c>
      <c r="H59" s="42">
        <f>+SUMIFS('Distribution Substation Costs'!C:C,'Distribution Substation Costs'!B:B,'Distribution Substation Detail'!E59)</f>
        <v>4533.93</v>
      </c>
      <c r="I59" s="485">
        <f t="shared" si="6"/>
        <v>4840.7222537846837</v>
      </c>
      <c r="J59" s="42">
        <f>+SUMIFS('Distribution Substation Costs'!D:D,'Distribution Substation Costs'!B:B,'Distribution Substation Detail'!E59)</f>
        <v>76641.259999999995</v>
      </c>
      <c r="K59" s="485">
        <f t="shared" si="7"/>
        <v>76641.260000000009</v>
      </c>
      <c r="L59" s="2582">
        <f t="shared" si="3"/>
        <v>909826.74492527382</v>
      </c>
    </row>
    <row r="60" spans="2:12">
      <c r="B60" s="693">
        <f t="shared" si="4"/>
        <v>50</v>
      </c>
      <c r="C60" s="60">
        <v>1</v>
      </c>
      <c r="D60" s="290" t="s">
        <v>3810</v>
      </c>
      <c r="E60" s="2583" t="s">
        <v>3811</v>
      </c>
      <c r="F60" s="42">
        <f>+SUMIFS('Distribution Substation Costs'!E:E,'Distribution Substation Costs'!B:B,'Distribution Substation Detail'!E60)</f>
        <v>1178767.9200000011</v>
      </c>
      <c r="G60" s="485">
        <f t="shared" si="5"/>
        <v>1279056.8863831034</v>
      </c>
      <c r="H60" s="42">
        <f>+SUMIFS('Distribution Substation Costs'!C:C,'Distribution Substation Costs'!B:B,'Distribution Substation Detail'!E60)</f>
        <v>2244.84</v>
      </c>
      <c r="I60" s="485">
        <f t="shared" si="6"/>
        <v>2396.7390198318039</v>
      </c>
      <c r="J60" s="42">
        <f>+SUMIFS('Distribution Substation Costs'!D:D,'Distribution Substation Costs'!B:B,'Distribution Substation Detail'!E60)</f>
        <v>49025.740000000005</v>
      </c>
      <c r="K60" s="485">
        <f t="shared" si="7"/>
        <v>49025.740000000013</v>
      </c>
      <c r="L60" s="2582">
        <f t="shared" si="3"/>
        <v>1330479.3654029353</v>
      </c>
    </row>
    <row r="61" spans="2:12">
      <c r="B61" s="693">
        <f t="shared" si="4"/>
        <v>51</v>
      </c>
      <c r="C61" s="60">
        <v>1</v>
      </c>
      <c r="D61" s="290" t="s">
        <v>3812</v>
      </c>
      <c r="E61" s="2583" t="s">
        <v>3813</v>
      </c>
      <c r="F61" s="42">
        <f>+SUMIFS('Distribution Substation Costs'!E:E,'Distribution Substation Costs'!B:B,'Distribution Substation Detail'!E61)</f>
        <v>2025778.9499999997</v>
      </c>
      <c r="G61" s="485">
        <f t="shared" si="5"/>
        <v>2198131.1777533186</v>
      </c>
      <c r="H61" s="42">
        <f>+SUMIFS('Distribution Substation Costs'!C:C,'Distribution Substation Costs'!B:B,'Distribution Substation Detail'!E61)</f>
        <v>35732.080000000002</v>
      </c>
      <c r="I61" s="485">
        <f t="shared" si="6"/>
        <v>38149.9217742697</v>
      </c>
      <c r="J61" s="42">
        <f>+SUMIFS('Distribution Substation Costs'!D:D,'Distribution Substation Costs'!B:B,'Distribution Substation Detail'!E61)</f>
        <v>187372.13999999998</v>
      </c>
      <c r="K61" s="485">
        <f t="shared" si="7"/>
        <v>187372.14</v>
      </c>
      <c r="L61" s="2582">
        <f t="shared" si="3"/>
        <v>2423653.2395275882</v>
      </c>
    </row>
    <row r="62" spans="2:12">
      <c r="B62" s="693">
        <f t="shared" si="4"/>
        <v>52</v>
      </c>
      <c r="C62" s="60">
        <v>1</v>
      </c>
      <c r="D62" s="290" t="s">
        <v>3814</v>
      </c>
      <c r="E62" s="2583" t="s">
        <v>3815</v>
      </c>
      <c r="F62" s="42">
        <f>+SUMIFS('Distribution Substation Costs'!E:E,'Distribution Substation Costs'!B:B,'Distribution Substation Detail'!E62)</f>
        <v>2438472.6199999992</v>
      </c>
      <c r="G62" s="485">
        <f t="shared" si="5"/>
        <v>2645936.6122447955</v>
      </c>
      <c r="H62" s="42">
        <f>+SUMIFS('Distribution Substation Costs'!C:C,'Distribution Substation Costs'!B:B,'Distribution Substation Detail'!E62)</f>
        <v>140632.26</v>
      </c>
      <c r="I62" s="485">
        <f t="shared" si="6"/>
        <v>150148.26223211069</v>
      </c>
      <c r="J62" s="42">
        <f>+SUMIFS('Distribution Substation Costs'!D:D,'Distribution Substation Costs'!B:B,'Distribution Substation Detail'!E62)</f>
        <v>222098.88999999998</v>
      </c>
      <c r="K62" s="485">
        <f t="shared" si="7"/>
        <v>222098.89000000004</v>
      </c>
      <c r="L62" s="2582">
        <f t="shared" si="3"/>
        <v>3018183.7644769065</v>
      </c>
    </row>
    <row r="63" spans="2:12">
      <c r="B63" s="693">
        <f t="shared" si="4"/>
        <v>53</v>
      </c>
      <c r="C63" s="60">
        <v>1</v>
      </c>
      <c r="D63" s="290" t="s">
        <v>3816</v>
      </c>
      <c r="E63" s="2583" t="s">
        <v>3817</v>
      </c>
      <c r="F63" s="42">
        <f>+SUMIFS('Distribution Substation Costs'!E:E,'Distribution Substation Costs'!B:B,'Distribution Substation Detail'!E63)</f>
        <v>2973047.41</v>
      </c>
      <c r="G63" s="485">
        <f t="shared" si="5"/>
        <v>3225992.7495345701</v>
      </c>
      <c r="H63" s="42">
        <f>+SUMIFS('Distribution Substation Costs'!C:C,'Distribution Substation Costs'!B:B,'Distribution Substation Detail'!E63)</f>
        <v>0</v>
      </c>
      <c r="I63" s="485">
        <f t="shared" si="6"/>
        <v>0</v>
      </c>
      <c r="J63" s="42">
        <f>+SUMIFS('Distribution Substation Costs'!D:D,'Distribution Substation Costs'!B:B,'Distribution Substation Detail'!E63)</f>
        <v>221856.74000000002</v>
      </c>
      <c r="K63" s="485">
        <f t="shared" si="7"/>
        <v>221856.74000000008</v>
      </c>
      <c r="L63" s="2582">
        <f t="shared" si="3"/>
        <v>3447849.4895345704</v>
      </c>
    </row>
    <row r="64" spans="2:12">
      <c r="B64" s="693">
        <f t="shared" si="4"/>
        <v>54</v>
      </c>
      <c r="C64" s="60">
        <v>1</v>
      </c>
      <c r="D64" s="290" t="s">
        <v>3818</v>
      </c>
      <c r="E64" s="2583" t="s">
        <v>3819</v>
      </c>
      <c r="F64" s="42">
        <f>+SUMIFS('Distribution Substation Costs'!E:E,'Distribution Substation Costs'!B:B,'Distribution Substation Detail'!E64)</f>
        <v>4091617.1299999994</v>
      </c>
      <c r="G64" s="485">
        <f t="shared" si="5"/>
        <v>4439729.8041242622</v>
      </c>
      <c r="H64" s="42">
        <f>+SUMIFS('Distribution Substation Costs'!C:C,'Distribution Substation Costs'!B:B,'Distribution Substation Detail'!E64)</f>
        <v>10295.33</v>
      </c>
      <c r="I64" s="485">
        <f t="shared" si="6"/>
        <v>10991.972315641633</v>
      </c>
      <c r="J64" s="42">
        <f>+SUMIFS('Distribution Substation Costs'!D:D,'Distribution Substation Costs'!B:B,'Distribution Substation Detail'!E64)</f>
        <v>381328.53000000009</v>
      </c>
      <c r="K64" s="485">
        <f t="shared" si="7"/>
        <v>381328.53000000014</v>
      </c>
      <c r="L64" s="2582">
        <f t="shared" si="3"/>
        <v>4832050.3064399045</v>
      </c>
    </row>
    <row r="65" spans="2:12">
      <c r="B65" s="693">
        <f t="shared" si="4"/>
        <v>55</v>
      </c>
      <c r="C65" s="60">
        <v>1</v>
      </c>
      <c r="D65" s="290" t="s">
        <v>3820</v>
      </c>
      <c r="E65" s="2583" t="s">
        <v>3821</v>
      </c>
      <c r="F65" s="42">
        <f>+SUMIFS('Distribution Substation Costs'!E:E,'Distribution Substation Costs'!B:B,'Distribution Substation Detail'!E65)</f>
        <v>593151.27</v>
      </c>
      <c r="G65" s="485">
        <f t="shared" si="5"/>
        <v>643616.27398239914</v>
      </c>
      <c r="H65" s="42">
        <f>+SUMIFS('Distribution Substation Costs'!C:C,'Distribution Substation Costs'!B:B,'Distribution Substation Detail'!E65)</f>
        <v>1339.58</v>
      </c>
      <c r="I65" s="485">
        <f t="shared" si="6"/>
        <v>1430.2238271708841</v>
      </c>
      <c r="J65" s="42">
        <f>+SUMIFS('Distribution Substation Costs'!D:D,'Distribution Substation Costs'!B:B,'Distribution Substation Detail'!E65)</f>
        <v>28740.940000000002</v>
      </c>
      <c r="K65" s="485">
        <f t="shared" si="7"/>
        <v>28740.94000000001</v>
      </c>
      <c r="L65" s="2582">
        <f t="shared" si="3"/>
        <v>673787.43780957011</v>
      </c>
    </row>
    <row r="66" spans="2:12">
      <c r="B66" s="693">
        <f t="shared" si="4"/>
        <v>56</v>
      </c>
      <c r="C66" s="60">
        <v>1</v>
      </c>
      <c r="D66" s="290" t="s">
        <v>3822</v>
      </c>
      <c r="E66" s="2583" t="s">
        <v>3823</v>
      </c>
      <c r="F66" s="42">
        <f>+SUMIFS('Distribution Substation Costs'!E:E,'Distribution Substation Costs'!B:B,'Distribution Substation Detail'!E66)</f>
        <v>3671075.9300000016</v>
      </c>
      <c r="G66" s="485">
        <f t="shared" si="5"/>
        <v>3983409.1758297537</v>
      </c>
      <c r="H66" s="42">
        <f>+SUMIFS('Distribution Substation Costs'!C:C,'Distribution Substation Costs'!B:B,'Distribution Substation Detail'!E66)</f>
        <v>23377.82</v>
      </c>
      <c r="I66" s="485">
        <f t="shared" si="6"/>
        <v>24959.700198056136</v>
      </c>
      <c r="J66" s="42">
        <f>+SUMIFS('Distribution Substation Costs'!D:D,'Distribution Substation Costs'!B:B,'Distribution Substation Detail'!E66)</f>
        <v>117209.29999999999</v>
      </c>
      <c r="K66" s="485">
        <f t="shared" si="7"/>
        <v>117209.30000000002</v>
      </c>
      <c r="L66" s="2582">
        <f t="shared" si="3"/>
        <v>4125578.1760278097</v>
      </c>
    </row>
    <row r="67" spans="2:12">
      <c r="B67" s="693">
        <f t="shared" si="4"/>
        <v>57</v>
      </c>
      <c r="C67" s="60">
        <v>1</v>
      </c>
      <c r="D67" s="290" t="s">
        <v>3824</v>
      </c>
      <c r="E67" s="2583" t="s">
        <v>3825</v>
      </c>
      <c r="F67" s="42">
        <f>+SUMIFS('Distribution Substation Costs'!E:E,'Distribution Substation Costs'!B:B,'Distribution Substation Detail'!E67)</f>
        <v>4227131.8499999987</v>
      </c>
      <c r="G67" s="485">
        <f t="shared" si="5"/>
        <v>4586774.0465755472</v>
      </c>
      <c r="H67" s="42">
        <f>+SUMIFS('Distribution Substation Costs'!C:C,'Distribution Substation Costs'!B:B,'Distribution Substation Detail'!E67)</f>
        <v>2.2000000000000002</v>
      </c>
      <c r="I67" s="485">
        <f t="shared" si="6"/>
        <v>2.3488648828557799</v>
      </c>
      <c r="J67" s="42">
        <f>+SUMIFS('Distribution Substation Costs'!D:D,'Distribution Substation Costs'!B:B,'Distribution Substation Detail'!E67)</f>
        <v>202570.15</v>
      </c>
      <c r="K67" s="485">
        <f t="shared" si="7"/>
        <v>202570.15000000005</v>
      </c>
      <c r="L67" s="2582">
        <f t="shared" si="3"/>
        <v>4789346.5454404308</v>
      </c>
    </row>
    <row r="68" spans="2:12">
      <c r="B68" s="693">
        <f t="shared" si="4"/>
        <v>58</v>
      </c>
      <c r="C68" s="60">
        <v>1</v>
      </c>
      <c r="D68" s="290" t="s">
        <v>3826</v>
      </c>
      <c r="E68" s="2583" t="s">
        <v>3827</v>
      </c>
      <c r="F68" s="42">
        <f>+SUMIFS('Distribution Substation Costs'!E:E,'Distribution Substation Costs'!B:B,'Distribution Substation Detail'!E68)</f>
        <v>2320951.8800000004</v>
      </c>
      <c r="G68" s="485">
        <f t="shared" si="5"/>
        <v>2518417.2683269219</v>
      </c>
      <c r="H68" s="42">
        <f>+SUMIFS('Distribution Substation Costs'!C:C,'Distribution Substation Costs'!B:B,'Distribution Substation Detail'!E68)</f>
        <v>5172.03</v>
      </c>
      <c r="I68" s="485">
        <f t="shared" si="6"/>
        <v>5521.9998363984441</v>
      </c>
      <c r="J68" s="42">
        <f>+SUMIFS('Distribution Substation Costs'!D:D,'Distribution Substation Costs'!B:B,'Distribution Substation Detail'!E68)</f>
        <v>107673.03000000001</v>
      </c>
      <c r="K68" s="485">
        <f t="shared" si="7"/>
        <v>107673.03000000004</v>
      </c>
      <c r="L68" s="2582">
        <f t="shared" si="3"/>
        <v>2631612.2981633204</v>
      </c>
    </row>
    <row r="69" spans="2:12">
      <c r="B69" s="693">
        <f t="shared" si="4"/>
        <v>59</v>
      </c>
      <c r="C69" s="60">
        <v>1</v>
      </c>
      <c r="D69" s="290" t="s">
        <v>3828</v>
      </c>
      <c r="E69" s="2583" t="s">
        <v>3829</v>
      </c>
      <c r="F69" s="42">
        <f>+SUMIFS('Distribution Substation Costs'!E:E,'Distribution Substation Costs'!B:B,'Distribution Substation Detail'!E69)</f>
        <v>6764164.709999999</v>
      </c>
      <c r="G69" s="485">
        <f t="shared" si="5"/>
        <v>7339656.3531819377</v>
      </c>
      <c r="H69" s="42">
        <f>+SUMIFS('Distribution Substation Costs'!C:C,'Distribution Substation Costs'!B:B,'Distribution Substation Detail'!E69)</f>
        <v>124807.40000000001</v>
      </c>
      <c r="I69" s="485">
        <f t="shared" si="6"/>
        <v>133252.59953660655</v>
      </c>
      <c r="J69" s="42">
        <f>+SUMIFS('Distribution Substation Costs'!D:D,'Distribution Substation Costs'!B:B,'Distribution Substation Detail'!E69)</f>
        <v>335151.12000000005</v>
      </c>
      <c r="K69" s="485">
        <f t="shared" si="7"/>
        <v>335151.12000000011</v>
      </c>
      <c r="L69" s="2582">
        <f t="shared" si="3"/>
        <v>7808060.0727185439</v>
      </c>
    </row>
    <row r="70" spans="2:12">
      <c r="B70" s="693">
        <f t="shared" si="4"/>
        <v>60</v>
      </c>
      <c r="C70" s="60">
        <v>1</v>
      </c>
      <c r="D70" s="290" t="s">
        <v>3830</v>
      </c>
      <c r="E70" s="2583" t="s">
        <v>3831</v>
      </c>
      <c r="F70" s="42">
        <f>+SUMIFS('Distribution Substation Costs'!E:E,'Distribution Substation Costs'!B:B,'Distribution Substation Detail'!E70)</f>
        <v>2161892.0399999996</v>
      </c>
      <c r="G70" s="485">
        <f t="shared" si="5"/>
        <v>2345824.6992154419</v>
      </c>
      <c r="H70" s="42">
        <f>+SUMIFS('Distribution Substation Costs'!C:C,'Distribution Substation Costs'!B:B,'Distribution Substation Detail'!E70)</f>
        <v>3942</v>
      </c>
      <c r="I70" s="485">
        <f t="shared" si="6"/>
        <v>4208.7388037352193</v>
      </c>
      <c r="J70" s="42">
        <f>+SUMIFS('Distribution Substation Costs'!D:D,'Distribution Substation Costs'!B:B,'Distribution Substation Detail'!E70)</f>
        <v>136151.99</v>
      </c>
      <c r="K70" s="485">
        <f t="shared" si="7"/>
        <v>136151.99000000002</v>
      </c>
      <c r="L70" s="2582">
        <f t="shared" si="3"/>
        <v>2486185.4280191772</v>
      </c>
    </row>
    <row r="71" spans="2:12">
      <c r="B71" s="693">
        <f t="shared" si="4"/>
        <v>61</v>
      </c>
      <c r="C71" s="60">
        <v>1</v>
      </c>
      <c r="D71" s="290" t="s">
        <v>3832</v>
      </c>
      <c r="E71" s="2583" t="s">
        <v>3833</v>
      </c>
      <c r="F71" s="42">
        <f>+SUMIFS('Distribution Substation Costs'!E:E,'Distribution Substation Costs'!B:B,'Distribution Substation Detail'!E71)</f>
        <v>3148587.01</v>
      </c>
      <c r="G71" s="485">
        <f t="shared" si="5"/>
        <v>3416467.1681232052</v>
      </c>
      <c r="H71" s="42">
        <f>+SUMIFS('Distribution Substation Costs'!C:C,'Distribution Substation Costs'!B:B,'Distribution Substation Detail'!E71)</f>
        <v>10161.43</v>
      </c>
      <c r="I71" s="485">
        <f t="shared" si="6"/>
        <v>10849.011857544183</v>
      </c>
      <c r="J71" s="42">
        <f>+SUMIFS('Distribution Substation Costs'!D:D,'Distribution Substation Costs'!B:B,'Distribution Substation Detail'!E71)</f>
        <v>398200.02999999997</v>
      </c>
      <c r="K71" s="485">
        <f t="shared" si="7"/>
        <v>398200.03000000009</v>
      </c>
      <c r="L71" s="2582">
        <f t="shared" si="3"/>
        <v>3825516.2099807495</v>
      </c>
    </row>
    <row r="72" spans="2:12">
      <c r="B72" s="693">
        <f t="shared" si="4"/>
        <v>62</v>
      </c>
      <c r="C72" s="60">
        <v>1</v>
      </c>
      <c r="D72" s="290" t="s">
        <v>3834</v>
      </c>
      <c r="E72" s="2583" t="s">
        <v>3835</v>
      </c>
      <c r="F72" s="42">
        <f>+SUMIFS('Distribution Substation Costs'!E:E,'Distribution Substation Costs'!B:B,'Distribution Substation Detail'!E72)</f>
        <v>860487.89000000036</v>
      </c>
      <c r="G72" s="485">
        <f t="shared" si="5"/>
        <v>933697.75566488586</v>
      </c>
      <c r="H72" s="42">
        <f>+SUMIFS('Distribution Substation Costs'!C:C,'Distribution Substation Costs'!B:B,'Distribution Substation Detail'!E72)</f>
        <v>5916.17</v>
      </c>
      <c r="I72" s="485">
        <f t="shared" si="6"/>
        <v>6316.4927063658533</v>
      </c>
      <c r="J72" s="42">
        <f>+SUMIFS('Distribution Substation Costs'!D:D,'Distribution Substation Costs'!B:B,'Distribution Substation Detail'!E72)</f>
        <v>50282.51</v>
      </c>
      <c r="K72" s="485">
        <f t="shared" si="7"/>
        <v>50282.510000000017</v>
      </c>
      <c r="L72" s="2582">
        <f t="shared" si="3"/>
        <v>990296.75837125175</v>
      </c>
    </row>
    <row r="73" spans="2:12">
      <c r="B73" s="693">
        <f t="shared" si="4"/>
        <v>63</v>
      </c>
      <c r="C73" s="60">
        <v>1</v>
      </c>
      <c r="D73" s="290" t="s">
        <v>3836</v>
      </c>
      <c r="E73" s="2583" t="s">
        <v>3837</v>
      </c>
      <c r="F73" s="42">
        <f>+SUMIFS('Distribution Substation Costs'!E:E,'Distribution Substation Costs'!B:B,'Distribution Substation Detail'!E73)</f>
        <v>149661.00999999998</v>
      </c>
      <c r="G73" s="485">
        <f t="shared" si="5"/>
        <v>162394.09150492516</v>
      </c>
      <c r="H73" s="42">
        <f>+SUMIFS('Distribution Substation Costs'!C:C,'Distribution Substation Costs'!B:B,'Distribution Substation Detail'!E73)</f>
        <v>3919.13</v>
      </c>
      <c r="I73" s="485">
        <f t="shared" si="6"/>
        <v>4184.3212856120781</v>
      </c>
      <c r="J73" s="42">
        <f>+SUMIFS('Distribution Substation Costs'!D:D,'Distribution Substation Costs'!B:B,'Distribution Substation Detail'!E73)</f>
        <v>7167.75</v>
      </c>
      <c r="K73" s="485">
        <f t="shared" si="7"/>
        <v>7167.7500000000018</v>
      </c>
      <c r="L73" s="2582">
        <f t="shared" si="3"/>
        <v>173746.16279053723</v>
      </c>
    </row>
    <row r="74" spans="2:12">
      <c r="B74" s="693">
        <f t="shared" si="4"/>
        <v>64</v>
      </c>
      <c r="C74" s="60">
        <v>1</v>
      </c>
      <c r="D74" s="290" t="s">
        <v>3838</v>
      </c>
      <c r="E74" s="2583" t="s">
        <v>3839</v>
      </c>
      <c r="F74" s="42">
        <f>+SUMIFS('Distribution Substation Costs'!E:E,'Distribution Substation Costs'!B:B,'Distribution Substation Detail'!E74)</f>
        <v>2611381.2499999986</v>
      </c>
      <c r="G74" s="485">
        <f t="shared" si="5"/>
        <v>2833556.2192634251</v>
      </c>
      <c r="H74" s="42">
        <f>+SUMIFS('Distribution Substation Costs'!C:C,'Distribution Substation Costs'!B:B,'Distribution Substation Detail'!E74)</f>
        <v>5730.4000000000005</v>
      </c>
      <c r="I74" s="485">
        <f t="shared" si="6"/>
        <v>6118.1524203258004</v>
      </c>
      <c r="J74" s="42">
        <f>+SUMIFS('Distribution Substation Costs'!D:D,'Distribution Substation Costs'!B:B,'Distribution Substation Detail'!E74)</f>
        <v>342545.05</v>
      </c>
      <c r="K74" s="485">
        <f t="shared" si="7"/>
        <v>342545.05000000005</v>
      </c>
      <c r="L74" s="2582">
        <f t="shared" si="3"/>
        <v>3182219.421683751</v>
      </c>
    </row>
    <row r="75" spans="2:12">
      <c r="B75" s="693">
        <f t="shared" si="4"/>
        <v>65</v>
      </c>
      <c r="C75" s="60">
        <v>1</v>
      </c>
      <c r="D75" s="290" t="s">
        <v>9260</v>
      </c>
      <c r="E75" s="2584" t="s">
        <v>9258</v>
      </c>
      <c r="F75" s="42">
        <f>+SUMIFS('Distribution Substation Costs'!E:E,'Distribution Substation Costs'!B:B,'Distribution Substation Detail'!E75)</f>
        <v>0</v>
      </c>
      <c r="G75" s="485">
        <f t="shared" ref="G75:G106" si="8">+F75*F$202*F$213</f>
        <v>0</v>
      </c>
      <c r="H75" s="42">
        <f>+SUMIFS('Distribution Substation Costs'!C:C,'Distribution Substation Costs'!B:B,'Distribution Substation Detail'!E75)</f>
        <v>0</v>
      </c>
      <c r="I75" s="485">
        <f t="shared" ref="I75:I106" si="9">+H75*H$202*H$213</f>
        <v>0</v>
      </c>
      <c r="J75" s="42">
        <f>+SUMIFS('Distribution Substation Costs'!D:D,'Distribution Substation Costs'!B:B,'Distribution Substation Detail'!E75)</f>
        <v>248602.99</v>
      </c>
      <c r="K75" s="485">
        <f t="shared" ref="K75:K106" si="10">+J75*J$202*J$213</f>
        <v>248602.99000000005</v>
      </c>
      <c r="L75" s="2582">
        <f>+G75+I75+K75</f>
        <v>248602.99000000005</v>
      </c>
    </row>
    <row r="76" spans="2:12">
      <c r="B76" s="693">
        <f t="shared" si="4"/>
        <v>66</v>
      </c>
      <c r="C76" s="60">
        <v>1</v>
      </c>
      <c r="D76" s="290" t="s">
        <v>3840</v>
      </c>
      <c r="E76" s="2583" t="s">
        <v>3841</v>
      </c>
      <c r="F76" s="42">
        <f>+SUMIFS('Distribution Substation Costs'!E:E,'Distribution Substation Costs'!B:B,'Distribution Substation Detail'!E76)</f>
        <v>3156779.6500000027</v>
      </c>
      <c r="G76" s="485">
        <f t="shared" si="8"/>
        <v>3425356.8337069629</v>
      </c>
      <c r="H76" s="42">
        <f>+SUMIFS('Distribution Substation Costs'!C:C,'Distribution Substation Costs'!B:B,'Distribution Substation Detail'!E76)</f>
        <v>8290.5400000000009</v>
      </c>
      <c r="I76" s="485">
        <f t="shared" si="9"/>
        <v>8851.5264845050715</v>
      </c>
      <c r="J76" s="42">
        <f>+SUMIFS('Distribution Substation Costs'!D:D,'Distribution Substation Costs'!B:B,'Distribution Substation Detail'!E76)</f>
        <v>303225.71000000008</v>
      </c>
      <c r="K76" s="485">
        <f t="shared" si="10"/>
        <v>303225.71000000014</v>
      </c>
      <c r="L76" s="2582">
        <f t="shared" si="3"/>
        <v>3737434.0701914681</v>
      </c>
    </row>
    <row r="77" spans="2:12">
      <c r="B77" s="693">
        <f t="shared" si="4"/>
        <v>67</v>
      </c>
      <c r="C77" s="60">
        <v>1</v>
      </c>
      <c r="D77" s="290" t="s">
        <v>3842</v>
      </c>
      <c r="E77" s="2583" t="s">
        <v>3843</v>
      </c>
      <c r="F77" s="42">
        <f>+SUMIFS('Distribution Substation Costs'!E:E,'Distribution Substation Costs'!B:B,'Distribution Substation Detail'!E77)</f>
        <v>2405532.6099999994</v>
      </c>
      <c r="G77" s="485">
        <f t="shared" si="8"/>
        <v>2610194.083191216</v>
      </c>
      <c r="H77" s="42">
        <f>+SUMIFS('Distribution Substation Costs'!C:C,'Distribution Substation Costs'!B:B,'Distribution Substation Detail'!E77)</f>
        <v>2450.9299999999998</v>
      </c>
      <c r="I77" s="485">
        <f t="shared" si="9"/>
        <v>2616.7742760625979</v>
      </c>
      <c r="J77" s="42">
        <f>+SUMIFS('Distribution Substation Costs'!D:D,'Distribution Substation Costs'!B:B,'Distribution Substation Detail'!E77)</f>
        <v>140995.85</v>
      </c>
      <c r="K77" s="485">
        <f t="shared" si="10"/>
        <v>140995.85000000003</v>
      </c>
      <c r="L77" s="2582">
        <f t="shared" si="3"/>
        <v>2753806.7074672785</v>
      </c>
    </row>
    <row r="78" spans="2:12">
      <c r="B78" s="693">
        <f t="shared" ref="B78:B107" si="11">1+B77</f>
        <v>68</v>
      </c>
      <c r="C78" s="60">
        <v>1</v>
      </c>
      <c r="D78" s="290" t="s">
        <v>3844</v>
      </c>
      <c r="E78" s="2583" t="s">
        <v>3845</v>
      </c>
      <c r="F78" s="42">
        <f>+SUMIFS('Distribution Substation Costs'!E:E,'Distribution Substation Costs'!B:B,'Distribution Substation Detail'!E78)</f>
        <v>1459265.6000000003</v>
      </c>
      <c r="G78" s="485">
        <f t="shared" si="8"/>
        <v>1583419.1642592121</v>
      </c>
      <c r="H78" s="42">
        <f>+SUMIFS('Distribution Substation Costs'!C:C,'Distribution Substation Costs'!B:B,'Distribution Substation Detail'!E78)</f>
        <v>6983.76</v>
      </c>
      <c r="I78" s="485">
        <f t="shared" si="9"/>
        <v>7456.322097405854</v>
      </c>
      <c r="J78" s="42">
        <f>+SUMIFS('Distribution Substation Costs'!D:D,'Distribution Substation Costs'!B:B,'Distribution Substation Detail'!E78)</f>
        <v>65581.12000000001</v>
      </c>
      <c r="K78" s="485">
        <f t="shared" si="10"/>
        <v>65581.120000000024</v>
      </c>
      <c r="L78" s="2582">
        <f t="shared" ref="L78:L142" si="12">+G78+I78+K78</f>
        <v>1656456.606356618</v>
      </c>
    </row>
    <row r="79" spans="2:12">
      <c r="B79" s="693">
        <f t="shared" si="11"/>
        <v>69</v>
      </c>
      <c r="C79" s="60">
        <v>1</v>
      </c>
      <c r="D79" s="290" t="s">
        <v>3846</v>
      </c>
      <c r="E79" s="2583" t="s">
        <v>3847</v>
      </c>
      <c r="F79" s="42">
        <f>+SUMIFS('Distribution Substation Costs'!E:E,'Distribution Substation Costs'!B:B,'Distribution Substation Detail'!E79)</f>
        <v>2475459.9799999991</v>
      </c>
      <c r="G79" s="485">
        <f t="shared" si="8"/>
        <v>2686070.8377479217</v>
      </c>
      <c r="H79" s="42">
        <f>+SUMIFS('Distribution Substation Costs'!C:C,'Distribution Substation Costs'!B:B,'Distribution Substation Detail'!E79)</f>
        <v>7655.35</v>
      </c>
      <c r="I79" s="485">
        <f t="shared" si="9"/>
        <v>8173.3558095318149</v>
      </c>
      <c r="J79" s="42">
        <f>+SUMIFS('Distribution Substation Costs'!D:D,'Distribution Substation Costs'!B:B,'Distribution Substation Detail'!E79)</f>
        <v>123171.03000000003</v>
      </c>
      <c r="K79" s="485">
        <f t="shared" si="10"/>
        <v>123171.03000000006</v>
      </c>
      <c r="L79" s="2582">
        <f t="shared" si="12"/>
        <v>2817415.2235574536</v>
      </c>
    </row>
    <row r="80" spans="2:12">
      <c r="B80" s="693">
        <f t="shared" si="11"/>
        <v>70</v>
      </c>
      <c r="C80" s="60">
        <v>1</v>
      </c>
      <c r="D80" s="290" t="s">
        <v>3848</v>
      </c>
      <c r="E80" s="2583" t="s">
        <v>3849</v>
      </c>
      <c r="F80" s="42">
        <f>+SUMIFS('Distribution Substation Costs'!E:E,'Distribution Substation Costs'!B:B,'Distribution Substation Detail'!E80)</f>
        <v>5888573.6900000004</v>
      </c>
      <c r="G80" s="485">
        <f t="shared" si="8"/>
        <v>6389570.5010099486</v>
      </c>
      <c r="H80" s="42">
        <f>+SUMIFS('Distribution Substation Costs'!C:C,'Distribution Substation Costs'!B:B,'Distribution Substation Detail'!E80)</f>
        <v>75743.520000000004</v>
      </c>
      <c r="I80" s="485">
        <f t="shared" si="9"/>
        <v>80868.770105402</v>
      </c>
      <c r="J80" s="42">
        <f>+SUMIFS('Distribution Substation Costs'!D:D,'Distribution Substation Costs'!B:B,'Distribution Substation Detail'!E80)</f>
        <v>319140.73</v>
      </c>
      <c r="K80" s="485">
        <f t="shared" si="10"/>
        <v>319140.73000000004</v>
      </c>
      <c r="L80" s="2582">
        <f t="shared" si="12"/>
        <v>6789580.001115351</v>
      </c>
    </row>
    <row r="81" spans="2:12">
      <c r="B81" s="693">
        <f t="shared" si="11"/>
        <v>71</v>
      </c>
      <c r="C81" s="60">
        <v>1</v>
      </c>
      <c r="D81" s="290" t="s">
        <v>3850</v>
      </c>
      <c r="E81" s="2583" t="s">
        <v>3851</v>
      </c>
      <c r="F81" s="42">
        <f>+SUMIFS('Distribution Substation Costs'!E:E,'Distribution Substation Costs'!B:B,'Distribution Substation Detail'!E81)</f>
        <v>2664935.6400000029</v>
      </c>
      <c r="G81" s="485">
        <f t="shared" si="8"/>
        <v>2891666.9891302804</v>
      </c>
      <c r="H81" s="42">
        <f>+SUMIFS('Distribution Substation Costs'!C:C,'Distribution Substation Costs'!B:B,'Distribution Substation Detail'!E81)</f>
        <v>3456.77</v>
      </c>
      <c r="I81" s="485">
        <f t="shared" si="9"/>
        <v>3690.6753005042606</v>
      </c>
      <c r="J81" s="42">
        <f>+SUMIFS('Distribution Substation Costs'!D:D,'Distribution Substation Costs'!B:B,'Distribution Substation Detail'!E81)</f>
        <v>180177.89</v>
      </c>
      <c r="K81" s="485">
        <f t="shared" si="10"/>
        <v>180177.89000000004</v>
      </c>
      <c r="L81" s="2582">
        <f t="shared" si="12"/>
        <v>3075535.5544307847</v>
      </c>
    </row>
    <row r="82" spans="2:12">
      <c r="B82" s="693">
        <f t="shared" si="11"/>
        <v>72</v>
      </c>
      <c r="C82" s="60">
        <v>1</v>
      </c>
      <c r="D82" s="290" t="s">
        <v>3852</v>
      </c>
      <c r="E82" s="2583" t="s">
        <v>3853</v>
      </c>
      <c r="F82" s="42">
        <f>+SUMIFS('Distribution Substation Costs'!E:E,'Distribution Substation Costs'!B:B,'Distribution Substation Detail'!E82)</f>
        <v>862081.76000000013</v>
      </c>
      <c r="G82" s="485">
        <f t="shared" si="8"/>
        <v>935427.23130204028</v>
      </c>
      <c r="H82" s="42">
        <f>+SUMIFS('Distribution Substation Costs'!C:C,'Distribution Substation Costs'!B:B,'Distribution Substation Detail'!E82)</f>
        <v>7572.32</v>
      </c>
      <c r="I82" s="485">
        <f t="shared" si="9"/>
        <v>8084.7075135211253</v>
      </c>
      <c r="J82" s="42">
        <f>+SUMIFS('Distribution Substation Costs'!D:D,'Distribution Substation Costs'!B:B,'Distribution Substation Detail'!E82)</f>
        <v>87225.29</v>
      </c>
      <c r="K82" s="485">
        <f t="shared" si="10"/>
        <v>87225.290000000008</v>
      </c>
      <c r="L82" s="2582">
        <f t="shared" si="12"/>
        <v>1030737.2288155614</v>
      </c>
    </row>
    <row r="83" spans="2:12">
      <c r="B83" s="693">
        <f t="shared" si="11"/>
        <v>73</v>
      </c>
      <c r="C83" s="60">
        <v>1</v>
      </c>
      <c r="D83" s="290" t="s">
        <v>3854</v>
      </c>
      <c r="E83" s="2583" t="s">
        <v>3855</v>
      </c>
      <c r="F83" s="42">
        <f>+SUMIFS('Distribution Substation Costs'!E:E,'Distribution Substation Costs'!B:B,'Distribution Substation Detail'!E83)</f>
        <v>1334147.6800000006</v>
      </c>
      <c r="G83" s="485">
        <f t="shared" si="8"/>
        <v>1447656.2761871226</v>
      </c>
      <c r="H83" s="42">
        <f>+SUMIFS('Distribution Substation Costs'!C:C,'Distribution Substation Costs'!B:B,'Distribution Substation Detail'!E83)</f>
        <v>10116.61</v>
      </c>
      <c r="I83" s="485">
        <f t="shared" si="9"/>
        <v>10801.159073885277</v>
      </c>
      <c r="J83" s="42">
        <f>+SUMIFS('Distribution Substation Costs'!D:D,'Distribution Substation Costs'!B:B,'Distribution Substation Detail'!E83)</f>
        <v>62680.280000000006</v>
      </c>
      <c r="K83" s="485">
        <f t="shared" si="10"/>
        <v>62680.280000000021</v>
      </c>
      <c r="L83" s="2582">
        <f t="shared" si="12"/>
        <v>1521137.7152610079</v>
      </c>
    </row>
    <row r="84" spans="2:12">
      <c r="B84" s="693">
        <f t="shared" si="11"/>
        <v>74</v>
      </c>
      <c r="C84" s="60">
        <v>1</v>
      </c>
      <c r="D84" s="290" t="s">
        <v>3856</v>
      </c>
      <c r="E84" s="2583" t="s">
        <v>3857</v>
      </c>
      <c r="F84" s="42">
        <f>+SUMIFS('Distribution Substation Costs'!E:E,'Distribution Substation Costs'!B:B,'Distribution Substation Detail'!E84)</f>
        <v>2312746.0499999998</v>
      </c>
      <c r="G84" s="485">
        <f t="shared" si="8"/>
        <v>2509513.2905447735</v>
      </c>
      <c r="H84" s="42">
        <f>+SUMIFS('Distribution Substation Costs'!C:C,'Distribution Substation Costs'!B:B,'Distribution Substation Detail'!E84)</f>
        <v>47814.19</v>
      </c>
      <c r="I84" s="485">
        <f t="shared" si="9"/>
        <v>51049.578087815447</v>
      </c>
      <c r="J84" s="42">
        <f>+SUMIFS('Distribution Substation Costs'!D:D,'Distribution Substation Costs'!B:B,'Distribution Substation Detail'!E84)</f>
        <v>86768.710000000021</v>
      </c>
      <c r="K84" s="485">
        <f t="shared" si="10"/>
        <v>86768.710000000036</v>
      </c>
      <c r="L84" s="2582">
        <f t="shared" si="12"/>
        <v>2647331.578632589</v>
      </c>
    </row>
    <row r="85" spans="2:12">
      <c r="B85" s="693">
        <f t="shared" si="11"/>
        <v>75</v>
      </c>
      <c r="C85" s="60">
        <v>1</v>
      </c>
      <c r="D85" s="290" t="s">
        <v>3858</v>
      </c>
      <c r="E85" s="2583" t="s">
        <v>3859</v>
      </c>
      <c r="F85" s="42">
        <f>+SUMIFS('Distribution Substation Costs'!E:E,'Distribution Substation Costs'!B:B,'Distribution Substation Detail'!E85)</f>
        <v>2904487.2399999974</v>
      </c>
      <c r="G85" s="485">
        <f t="shared" si="8"/>
        <v>3151599.5156483785</v>
      </c>
      <c r="H85" s="42">
        <f>+SUMIFS('Distribution Substation Costs'!C:C,'Distribution Substation Costs'!B:B,'Distribution Substation Detail'!E85)</f>
        <v>2697.33</v>
      </c>
      <c r="I85" s="485">
        <f t="shared" si="9"/>
        <v>2879.8471429424453</v>
      </c>
      <c r="J85" s="42">
        <f>+SUMIFS('Distribution Substation Costs'!D:D,'Distribution Substation Costs'!B:B,'Distribution Substation Detail'!E85)</f>
        <v>95127.510000000009</v>
      </c>
      <c r="K85" s="485">
        <f t="shared" si="10"/>
        <v>95127.510000000024</v>
      </c>
      <c r="L85" s="2582">
        <f t="shared" si="12"/>
        <v>3249606.872791321</v>
      </c>
    </row>
    <row r="86" spans="2:12">
      <c r="B86" s="693">
        <f t="shared" si="11"/>
        <v>76</v>
      </c>
      <c r="C86" s="60">
        <v>1</v>
      </c>
      <c r="D86" s="290" t="s">
        <v>3860</v>
      </c>
      <c r="E86" s="2583" t="s">
        <v>3861</v>
      </c>
      <c r="F86" s="42">
        <f>+SUMIFS('Distribution Substation Costs'!E:E,'Distribution Substation Costs'!B:B,'Distribution Substation Detail'!E86)</f>
        <v>2968779.870000002</v>
      </c>
      <c r="G86" s="485">
        <f t="shared" si="8"/>
        <v>3221362.1294334456</v>
      </c>
      <c r="H86" s="42">
        <f>+SUMIFS('Distribution Substation Costs'!C:C,'Distribution Substation Costs'!B:B,'Distribution Substation Detail'!E86)</f>
        <v>6426.95</v>
      </c>
      <c r="I86" s="485">
        <f t="shared" si="9"/>
        <v>6861.8350722136147</v>
      </c>
      <c r="J86" s="42">
        <f>+SUMIFS('Distribution Substation Costs'!D:D,'Distribution Substation Costs'!B:B,'Distribution Substation Detail'!E86)</f>
        <v>163592.32000000001</v>
      </c>
      <c r="K86" s="485">
        <f t="shared" si="10"/>
        <v>163592.32000000004</v>
      </c>
      <c r="L86" s="2582">
        <f t="shared" si="12"/>
        <v>3391816.2845056592</v>
      </c>
    </row>
    <row r="87" spans="2:12">
      <c r="B87" s="693">
        <f t="shared" si="11"/>
        <v>77</v>
      </c>
      <c r="C87" s="60">
        <v>1</v>
      </c>
      <c r="D87" s="290" t="s">
        <v>3862</v>
      </c>
      <c r="E87" s="2583" t="s">
        <v>3863</v>
      </c>
      <c r="F87" s="42">
        <f>+SUMIFS('Distribution Substation Costs'!E:E,'Distribution Substation Costs'!B:B,'Distribution Substation Detail'!E87)</f>
        <v>1466073.9300000018</v>
      </c>
      <c r="G87" s="485">
        <f t="shared" si="8"/>
        <v>1590806.7434624792</v>
      </c>
      <c r="H87" s="42">
        <f>+SUMIFS('Distribution Substation Costs'!C:C,'Distribution Substation Costs'!B:B,'Distribution Substation Detail'!E87)</f>
        <v>15683.61</v>
      </c>
      <c r="I87" s="485">
        <f t="shared" si="9"/>
        <v>16744.854893366242</v>
      </c>
      <c r="J87" s="42">
        <f>+SUMIFS('Distribution Substation Costs'!D:D,'Distribution Substation Costs'!B:B,'Distribution Substation Detail'!E87)</f>
        <v>58757.72</v>
      </c>
      <c r="K87" s="485">
        <f t="shared" si="10"/>
        <v>58757.720000000016</v>
      </c>
      <c r="L87" s="2582">
        <f t="shared" si="12"/>
        <v>1666309.3183558455</v>
      </c>
    </row>
    <row r="88" spans="2:12">
      <c r="B88" s="693">
        <f t="shared" si="11"/>
        <v>78</v>
      </c>
      <c r="C88" s="60">
        <v>1</v>
      </c>
      <c r="D88" s="290" t="s">
        <v>3864</v>
      </c>
      <c r="E88" s="2583" t="s">
        <v>3865</v>
      </c>
      <c r="F88" s="42">
        <f>+SUMIFS('Distribution Substation Costs'!E:E,'Distribution Substation Costs'!B:B,'Distribution Substation Detail'!E88)</f>
        <v>860717.23</v>
      </c>
      <c r="G88" s="485">
        <f t="shared" si="8"/>
        <v>933946.60779374477</v>
      </c>
      <c r="H88" s="42">
        <f>+SUMIFS('Distribution Substation Costs'!C:C,'Distribution Substation Costs'!B:B,'Distribution Substation Detail'!E88)</f>
        <v>19976.14</v>
      </c>
      <c r="I88" s="485">
        <f t="shared" si="9"/>
        <v>21327.842609550295</v>
      </c>
      <c r="J88" s="42">
        <f>+SUMIFS('Distribution Substation Costs'!D:D,'Distribution Substation Costs'!B:B,'Distribution Substation Detail'!E88)</f>
        <v>51065.23</v>
      </c>
      <c r="K88" s="485">
        <f t="shared" si="10"/>
        <v>51065.230000000018</v>
      </c>
      <c r="L88" s="2582">
        <f t="shared" si="12"/>
        <v>1006339.6804032951</v>
      </c>
    </row>
    <row r="89" spans="2:12">
      <c r="B89" s="693">
        <f t="shared" si="11"/>
        <v>79</v>
      </c>
      <c r="C89" s="60">
        <v>1</v>
      </c>
      <c r="D89" s="290" t="s">
        <v>3866</v>
      </c>
      <c r="E89" s="2583" t="s">
        <v>3867</v>
      </c>
      <c r="F89" s="42">
        <f>+SUMIFS('Distribution Substation Costs'!E:E,'Distribution Substation Costs'!B:B,'Distribution Substation Detail'!E89)</f>
        <v>2730589.6300000008</v>
      </c>
      <c r="G89" s="485">
        <f t="shared" si="8"/>
        <v>2962906.786721671</v>
      </c>
      <c r="H89" s="42">
        <f>+SUMIFS('Distribution Substation Costs'!C:C,'Distribution Substation Costs'!B:B,'Distribution Substation Detail'!E89)</f>
        <v>14982.24</v>
      </c>
      <c r="I89" s="485">
        <f t="shared" si="9"/>
        <v>15996.02609205326</v>
      </c>
      <c r="J89" s="42">
        <f>+SUMIFS('Distribution Substation Costs'!D:D,'Distribution Substation Costs'!B:B,'Distribution Substation Detail'!E89)</f>
        <v>137645.51999999999</v>
      </c>
      <c r="K89" s="485">
        <f t="shared" si="10"/>
        <v>137645.52000000002</v>
      </c>
      <c r="L89" s="2582">
        <f t="shared" si="12"/>
        <v>3116548.3328137244</v>
      </c>
    </row>
    <row r="90" spans="2:12">
      <c r="B90" s="693">
        <f t="shared" si="11"/>
        <v>80</v>
      </c>
      <c r="C90" s="60">
        <v>1</v>
      </c>
      <c r="D90" s="290" t="s">
        <v>3868</v>
      </c>
      <c r="E90" s="2583" t="s">
        <v>3869</v>
      </c>
      <c r="F90" s="42">
        <f>+SUMIFS('Distribution Substation Costs'!E:E,'Distribution Substation Costs'!B:B,'Distribution Substation Detail'!E90)</f>
        <v>1362728.1500000001</v>
      </c>
      <c r="G90" s="485">
        <f t="shared" si="8"/>
        <v>1478668.3578270481</v>
      </c>
      <c r="H90" s="42">
        <f>+SUMIFS('Distribution Substation Costs'!C:C,'Distribution Substation Costs'!B:B,'Distribution Substation Detail'!E90)</f>
        <v>51951.96</v>
      </c>
      <c r="I90" s="485">
        <f t="shared" si="9"/>
        <v>55467.333836149155</v>
      </c>
      <c r="J90" s="42">
        <f>+SUMIFS('Distribution Substation Costs'!D:D,'Distribution Substation Costs'!B:B,'Distribution Substation Detail'!E90)</f>
        <v>106095.79999999999</v>
      </c>
      <c r="K90" s="485">
        <f t="shared" si="10"/>
        <v>106095.80000000002</v>
      </c>
      <c r="L90" s="2582">
        <f t="shared" si="12"/>
        <v>1640231.4916631973</v>
      </c>
    </row>
    <row r="91" spans="2:12">
      <c r="B91" s="693">
        <f t="shared" si="11"/>
        <v>81</v>
      </c>
      <c r="C91" s="60">
        <v>1</v>
      </c>
      <c r="D91" s="290" t="s">
        <v>3870</v>
      </c>
      <c r="E91" s="2583" t="s">
        <v>3871</v>
      </c>
      <c r="F91" s="42">
        <f>+SUMIFS('Distribution Substation Costs'!E:E,'Distribution Substation Costs'!B:B,'Distribution Substation Detail'!E91)</f>
        <v>4569636.3500000024</v>
      </c>
      <c r="G91" s="485">
        <f t="shared" si="8"/>
        <v>4958418.6527014123</v>
      </c>
      <c r="H91" s="42">
        <f>+SUMIFS('Distribution Substation Costs'!C:C,'Distribution Substation Costs'!B:B,'Distribution Substation Detail'!E91)</f>
        <v>169713.66</v>
      </c>
      <c r="I91" s="485">
        <f t="shared" si="9"/>
        <v>181197.48005223891</v>
      </c>
      <c r="J91" s="42">
        <f>+SUMIFS('Distribution Substation Costs'!D:D,'Distribution Substation Costs'!B:B,'Distribution Substation Detail'!E91)</f>
        <v>358201.61</v>
      </c>
      <c r="K91" s="485">
        <f t="shared" si="10"/>
        <v>358201.61000000004</v>
      </c>
      <c r="L91" s="2582">
        <f t="shared" si="12"/>
        <v>5497817.7427536519</v>
      </c>
    </row>
    <row r="92" spans="2:12">
      <c r="B92" s="693">
        <f t="shared" si="11"/>
        <v>82</v>
      </c>
      <c r="C92" s="60">
        <v>1</v>
      </c>
      <c r="D92" s="290" t="s">
        <v>3872</v>
      </c>
      <c r="E92" s="2583" t="s">
        <v>3873</v>
      </c>
      <c r="F92" s="42">
        <f>+SUMIFS('Distribution Substation Costs'!E:E,'Distribution Substation Costs'!B:B,'Distribution Substation Detail'!E92)</f>
        <v>2987197.9600000009</v>
      </c>
      <c r="G92" s="485">
        <f t="shared" si="8"/>
        <v>3241347.2210268122</v>
      </c>
      <c r="H92" s="42">
        <f>+SUMIFS('Distribution Substation Costs'!C:C,'Distribution Substation Costs'!B:B,'Distribution Substation Detail'!E92)</f>
        <v>0</v>
      </c>
      <c r="I92" s="485">
        <f t="shared" si="9"/>
        <v>0</v>
      </c>
      <c r="J92" s="42">
        <f>+SUMIFS('Distribution Substation Costs'!D:D,'Distribution Substation Costs'!B:B,'Distribution Substation Detail'!E92)</f>
        <v>119582.23999999999</v>
      </c>
      <c r="K92" s="485">
        <f t="shared" si="10"/>
        <v>119582.24000000002</v>
      </c>
      <c r="L92" s="2582">
        <f t="shared" si="12"/>
        <v>3360929.4610268124</v>
      </c>
    </row>
    <row r="93" spans="2:12">
      <c r="B93" s="693">
        <f t="shared" si="11"/>
        <v>83</v>
      </c>
      <c r="C93" s="60">
        <v>1</v>
      </c>
      <c r="D93" s="290" t="s">
        <v>3874</v>
      </c>
      <c r="E93" s="2583" t="s">
        <v>3875</v>
      </c>
      <c r="F93" s="42">
        <f>+SUMIFS('Distribution Substation Costs'!E:E,'Distribution Substation Costs'!B:B,'Distribution Substation Detail'!E93)</f>
        <v>2381328.3799999994</v>
      </c>
      <c r="G93" s="485">
        <f t="shared" si="8"/>
        <v>2583930.569792327</v>
      </c>
      <c r="H93" s="42">
        <f>+SUMIFS('Distribution Substation Costs'!C:C,'Distribution Substation Costs'!B:B,'Distribution Substation Detail'!E93)</f>
        <v>8565.5</v>
      </c>
      <c r="I93" s="485">
        <f t="shared" si="9"/>
        <v>9145.0918882278092</v>
      </c>
      <c r="J93" s="42">
        <f>+SUMIFS('Distribution Substation Costs'!D:D,'Distribution Substation Costs'!B:B,'Distribution Substation Detail'!E93)</f>
        <v>272164.19</v>
      </c>
      <c r="K93" s="485">
        <f t="shared" si="10"/>
        <v>272164.19000000006</v>
      </c>
      <c r="L93" s="2582">
        <f t="shared" si="12"/>
        <v>2865239.8516805549</v>
      </c>
    </row>
    <row r="94" spans="2:12">
      <c r="B94" s="693">
        <f t="shared" si="11"/>
        <v>84</v>
      </c>
      <c r="C94" s="60">
        <v>1</v>
      </c>
      <c r="D94" s="290" t="s">
        <v>3876</v>
      </c>
      <c r="E94" s="2583" t="s">
        <v>3877</v>
      </c>
      <c r="F94" s="42">
        <f>+SUMIFS('Distribution Substation Costs'!E:E,'Distribution Substation Costs'!B:B,'Distribution Substation Detail'!E94)</f>
        <v>1186673.2600000002</v>
      </c>
      <c r="G94" s="485">
        <f t="shared" si="8"/>
        <v>1287634.8086311051</v>
      </c>
      <c r="H94" s="42">
        <f>+SUMIFS('Distribution Substation Costs'!C:C,'Distribution Substation Costs'!B:B,'Distribution Substation Detail'!E94)</f>
        <v>58825.83</v>
      </c>
      <c r="I94" s="485">
        <f t="shared" si="9"/>
        <v>62806.330132656367</v>
      </c>
      <c r="J94" s="42">
        <f>+SUMIFS('Distribution Substation Costs'!D:D,'Distribution Substation Costs'!B:B,'Distribution Substation Detail'!E94)</f>
        <v>77476.09</v>
      </c>
      <c r="K94" s="485">
        <f t="shared" si="10"/>
        <v>77476.090000000011</v>
      </c>
      <c r="L94" s="2582">
        <f t="shared" si="12"/>
        <v>1427917.2287637615</v>
      </c>
    </row>
    <row r="95" spans="2:12">
      <c r="B95" s="693">
        <f t="shared" si="11"/>
        <v>85</v>
      </c>
      <c r="C95" s="60">
        <v>1</v>
      </c>
      <c r="D95" s="290" t="s">
        <v>3878</v>
      </c>
      <c r="E95" s="2583" t="s">
        <v>3879</v>
      </c>
      <c r="F95" s="42">
        <f>+SUMIFS('Distribution Substation Costs'!E:E,'Distribution Substation Costs'!B:B,'Distribution Substation Detail'!E95)</f>
        <v>3431386.819999997</v>
      </c>
      <c r="G95" s="485">
        <f t="shared" si="8"/>
        <v>3723327.4400318004</v>
      </c>
      <c r="H95" s="42">
        <f>+SUMIFS('Distribution Substation Costs'!C:C,'Distribution Substation Costs'!B:B,'Distribution Substation Detail'!E95)</f>
        <v>16703.63</v>
      </c>
      <c r="I95" s="485">
        <f t="shared" si="9"/>
        <v>17833.895419643766</v>
      </c>
      <c r="J95" s="42">
        <f>+SUMIFS('Distribution Substation Costs'!D:D,'Distribution Substation Costs'!B:B,'Distribution Substation Detail'!E95)</f>
        <v>283218.33</v>
      </c>
      <c r="K95" s="485">
        <f t="shared" si="10"/>
        <v>283218.33000000007</v>
      </c>
      <c r="L95" s="2582">
        <f t="shared" si="12"/>
        <v>4024379.6654514442</v>
      </c>
    </row>
    <row r="96" spans="2:12">
      <c r="B96" s="693">
        <f t="shared" si="11"/>
        <v>86</v>
      </c>
      <c r="C96" s="60">
        <v>1</v>
      </c>
      <c r="D96" s="290" t="s">
        <v>3880</v>
      </c>
      <c r="E96" s="2583" t="s">
        <v>3881</v>
      </c>
      <c r="F96" s="42">
        <f>+SUMIFS('Distribution Substation Costs'!E:E,'Distribution Substation Costs'!B:B,'Distribution Substation Detail'!E96)</f>
        <v>2589241.100000001</v>
      </c>
      <c r="G96" s="485">
        <f t="shared" si="8"/>
        <v>2809532.3967258623</v>
      </c>
      <c r="H96" s="42">
        <f>+SUMIFS('Distribution Substation Costs'!C:C,'Distribution Substation Costs'!B:B,'Distribution Substation Detail'!E96)</f>
        <v>128.25</v>
      </c>
      <c r="I96" s="485">
        <f t="shared" si="9"/>
        <v>136.92814601193351</v>
      </c>
      <c r="J96" s="42">
        <f>+SUMIFS('Distribution Substation Costs'!D:D,'Distribution Substation Costs'!B:B,'Distribution Substation Detail'!E96)</f>
        <v>294212.32</v>
      </c>
      <c r="K96" s="485">
        <f t="shared" si="10"/>
        <v>294212.32000000007</v>
      </c>
      <c r="L96" s="2582">
        <f t="shared" si="12"/>
        <v>3103881.6448718747</v>
      </c>
    </row>
    <row r="97" spans="2:12">
      <c r="B97" s="693">
        <f t="shared" si="11"/>
        <v>87</v>
      </c>
      <c r="C97" s="60">
        <v>1</v>
      </c>
      <c r="D97" s="290" t="s">
        <v>3882</v>
      </c>
      <c r="E97" s="2583" t="s">
        <v>3883</v>
      </c>
      <c r="F97" s="42">
        <f>+SUMIFS('Distribution Substation Costs'!E:E,'Distribution Substation Costs'!B:B,'Distribution Substation Detail'!E97)</f>
        <v>2410423.0499999989</v>
      </c>
      <c r="G97" s="485">
        <f t="shared" si="8"/>
        <v>2615500.5993029224</v>
      </c>
      <c r="H97" s="42">
        <f>+SUMIFS('Distribution Substation Costs'!C:C,'Distribution Substation Costs'!B:B,'Distribution Substation Detail'!E97)</f>
        <v>13756.37</v>
      </c>
      <c r="I97" s="485">
        <f t="shared" si="9"/>
        <v>14687.206549350345</v>
      </c>
      <c r="J97" s="42">
        <f>+SUMIFS('Distribution Substation Costs'!D:D,'Distribution Substation Costs'!B:B,'Distribution Substation Detail'!E97)</f>
        <v>237031.56000000003</v>
      </c>
      <c r="K97" s="485">
        <f t="shared" si="10"/>
        <v>237031.56000000008</v>
      </c>
      <c r="L97" s="2582">
        <f t="shared" si="12"/>
        <v>2867219.3658522726</v>
      </c>
    </row>
    <row r="98" spans="2:12">
      <c r="B98" s="693">
        <f t="shared" si="11"/>
        <v>88</v>
      </c>
      <c r="C98" s="60">
        <v>1</v>
      </c>
      <c r="D98" s="290" t="s">
        <v>3884</v>
      </c>
      <c r="E98" s="2583" t="s">
        <v>3885</v>
      </c>
      <c r="F98" s="42">
        <f>+SUMIFS('Distribution Substation Costs'!E:E,'Distribution Substation Costs'!B:B,'Distribution Substation Detail'!E98)</f>
        <v>2524839.0599999991</v>
      </c>
      <c r="G98" s="485">
        <f t="shared" si="8"/>
        <v>2739651.0643944545</v>
      </c>
      <c r="H98" s="42">
        <f>+SUMIFS('Distribution Substation Costs'!C:C,'Distribution Substation Costs'!B:B,'Distribution Substation Detail'!E98)</f>
        <v>0</v>
      </c>
      <c r="I98" s="485">
        <f t="shared" si="9"/>
        <v>0</v>
      </c>
      <c r="J98" s="42">
        <f>+SUMIFS('Distribution Substation Costs'!D:D,'Distribution Substation Costs'!B:B,'Distribution Substation Detail'!E98)</f>
        <v>139645.28999999998</v>
      </c>
      <c r="K98" s="485">
        <f t="shared" si="10"/>
        <v>139645.29</v>
      </c>
      <c r="L98" s="2582">
        <f t="shared" si="12"/>
        <v>2879296.3543944545</v>
      </c>
    </row>
    <row r="99" spans="2:12">
      <c r="B99" s="693">
        <f t="shared" si="11"/>
        <v>89</v>
      </c>
      <c r="C99" s="60">
        <v>1</v>
      </c>
      <c r="D99" s="290" t="s">
        <v>3886</v>
      </c>
      <c r="E99" s="2583" t="s">
        <v>3887</v>
      </c>
      <c r="F99" s="42">
        <f>+SUMIFS('Distribution Substation Costs'!E:E,'Distribution Substation Costs'!B:B,'Distribution Substation Detail'!E99)</f>
        <v>1395858.1600000008</v>
      </c>
      <c r="G99" s="485">
        <f t="shared" si="8"/>
        <v>1514617.0519825879</v>
      </c>
      <c r="H99" s="42">
        <f>+SUMIFS('Distribution Substation Costs'!C:C,'Distribution Substation Costs'!B:B,'Distribution Substation Detail'!E99)</f>
        <v>19277.190000000002</v>
      </c>
      <c r="I99" s="485">
        <f t="shared" si="9"/>
        <v>20581.597559608457</v>
      </c>
      <c r="J99" s="42">
        <f>+SUMIFS('Distribution Substation Costs'!D:D,'Distribution Substation Costs'!B:B,'Distribution Substation Detail'!E99)</f>
        <v>114266.77</v>
      </c>
      <c r="K99" s="485">
        <f t="shared" si="10"/>
        <v>114266.77000000003</v>
      </c>
      <c r="L99" s="2582">
        <f t="shared" si="12"/>
        <v>1649465.4195421964</v>
      </c>
    </row>
    <row r="100" spans="2:12">
      <c r="B100" s="693">
        <f t="shared" si="11"/>
        <v>90</v>
      </c>
      <c r="C100" s="60">
        <v>1</v>
      </c>
      <c r="D100" s="290" t="s">
        <v>3888</v>
      </c>
      <c r="E100" s="2583" t="s">
        <v>3889</v>
      </c>
      <c r="F100" s="42">
        <f>+SUMIFS('Distribution Substation Costs'!E:E,'Distribution Substation Costs'!B:B,'Distribution Substation Detail'!E100)</f>
        <v>1513656.6800000002</v>
      </c>
      <c r="G100" s="485">
        <f t="shared" si="8"/>
        <v>1642437.8092795261</v>
      </c>
      <c r="H100" s="42">
        <f>+SUMIFS('Distribution Substation Costs'!C:C,'Distribution Substation Costs'!B:B,'Distribution Substation Detail'!E100)</f>
        <v>5611.7</v>
      </c>
      <c r="I100" s="485">
        <f t="shared" si="9"/>
        <v>5991.4204832371715</v>
      </c>
      <c r="J100" s="42">
        <f>+SUMIFS('Distribution Substation Costs'!D:D,'Distribution Substation Costs'!B:B,'Distribution Substation Detail'!E100)</f>
        <v>278700.01</v>
      </c>
      <c r="K100" s="485">
        <f t="shared" si="10"/>
        <v>278700.01000000007</v>
      </c>
      <c r="L100" s="2582">
        <f t="shared" si="12"/>
        <v>1927129.2397627633</v>
      </c>
    </row>
    <row r="101" spans="2:12">
      <c r="B101" s="693">
        <f t="shared" si="11"/>
        <v>91</v>
      </c>
      <c r="C101" s="60">
        <v>1</v>
      </c>
      <c r="D101" s="290" t="s">
        <v>3890</v>
      </c>
      <c r="E101" s="2583" t="s">
        <v>3891</v>
      </c>
      <c r="F101" s="42">
        <f>+SUMIFS('Distribution Substation Costs'!E:E,'Distribution Substation Costs'!B:B,'Distribution Substation Detail'!E101)</f>
        <v>991233.46000000008</v>
      </c>
      <c r="G101" s="485">
        <f t="shared" si="8"/>
        <v>1075567.0912950782</v>
      </c>
      <c r="H101" s="42">
        <f>+SUMIFS('Distribution Substation Costs'!C:C,'Distribution Substation Costs'!B:B,'Distribution Substation Detail'!E101)</f>
        <v>12485.54</v>
      </c>
      <c r="I101" s="485">
        <f t="shared" si="9"/>
        <v>13330.384749768706</v>
      </c>
      <c r="J101" s="42">
        <f>+SUMIFS('Distribution Substation Costs'!D:D,'Distribution Substation Costs'!B:B,'Distribution Substation Detail'!E101)</f>
        <v>53975.01</v>
      </c>
      <c r="K101" s="485">
        <f t="shared" si="10"/>
        <v>53975.010000000017</v>
      </c>
      <c r="L101" s="2582">
        <f t="shared" si="12"/>
        <v>1142872.4860448469</v>
      </c>
    </row>
    <row r="102" spans="2:12">
      <c r="B102" s="693">
        <f t="shared" si="11"/>
        <v>92</v>
      </c>
      <c r="C102" s="60">
        <v>1</v>
      </c>
      <c r="D102" s="290" t="s">
        <v>3892</v>
      </c>
      <c r="E102" s="2583" t="s">
        <v>3893</v>
      </c>
      <c r="F102" s="42">
        <f>+SUMIFS('Distribution Substation Costs'!E:E,'Distribution Substation Costs'!B:B,'Distribution Substation Detail'!E102)</f>
        <v>0</v>
      </c>
      <c r="G102" s="485">
        <f t="shared" si="8"/>
        <v>0</v>
      </c>
      <c r="H102" s="42">
        <f>+SUMIFS('Distribution Substation Costs'!C:C,'Distribution Substation Costs'!B:B,'Distribution Substation Detail'!E102)</f>
        <v>0</v>
      </c>
      <c r="I102" s="485">
        <f t="shared" si="9"/>
        <v>0</v>
      </c>
      <c r="J102" s="42">
        <f>+SUMIFS('Distribution Substation Costs'!D:D,'Distribution Substation Costs'!B:B,'Distribution Substation Detail'!E102)</f>
        <v>69.47</v>
      </c>
      <c r="K102" s="485">
        <f t="shared" si="10"/>
        <v>69.470000000000013</v>
      </c>
      <c r="L102" s="2582">
        <f t="shared" si="12"/>
        <v>69.470000000000013</v>
      </c>
    </row>
    <row r="103" spans="2:12">
      <c r="B103" s="693">
        <f t="shared" si="11"/>
        <v>93</v>
      </c>
      <c r="C103" s="60">
        <v>1</v>
      </c>
      <c r="D103" s="290" t="s">
        <v>3894</v>
      </c>
      <c r="E103" s="2583" t="s">
        <v>3895</v>
      </c>
      <c r="F103" s="42">
        <f>+SUMIFS('Distribution Substation Costs'!E:E,'Distribution Substation Costs'!B:B,'Distribution Substation Detail'!E103)</f>
        <v>2328486.4300000002</v>
      </c>
      <c r="G103" s="485">
        <f t="shared" si="8"/>
        <v>2526592.8539530542</v>
      </c>
      <c r="H103" s="42">
        <f>+SUMIFS('Distribution Substation Costs'!C:C,'Distribution Substation Costs'!B:B,'Distribution Substation Detail'!E103)</f>
        <v>5955.89</v>
      </c>
      <c r="I103" s="485">
        <f t="shared" si="9"/>
        <v>6358.9003941599585</v>
      </c>
      <c r="J103" s="42">
        <f>+SUMIFS('Distribution Substation Costs'!D:D,'Distribution Substation Costs'!B:B,'Distribution Substation Detail'!E103)</f>
        <v>117683.72999999998</v>
      </c>
      <c r="K103" s="485">
        <f t="shared" si="10"/>
        <v>117683.73000000001</v>
      </c>
      <c r="L103" s="2582">
        <f t="shared" si="12"/>
        <v>2650635.484347214</v>
      </c>
    </row>
    <row r="104" spans="2:12">
      <c r="B104" s="693">
        <f t="shared" si="11"/>
        <v>94</v>
      </c>
      <c r="C104" s="60">
        <v>1</v>
      </c>
      <c r="D104" s="290" t="s">
        <v>3896</v>
      </c>
      <c r="E104" s="2583" t="s">
        <v>3897</v>
      </c>
      <c r="F104" s="42">
        <f>+SUMIFS('Distribution Substation Costs'!E:E,'Distribution Substation Costs'!B:B,'Distribution Substation Detail'!E104)</f>
        <v>1612490.9900000009</v>
      </c>
      <c r="G104" s="485">
        <f t="shared" si="8"/>
        <v>1749680.8913752988</v>
      </c>
      <c r="H104" s="42">
        <f>+SUMIFS('Distribution Substation Costs'!C:C,'Distribution Substation Costs'!B:B,'Distribution Substation Detail'!E104)</f>
        <v>6209.46</v>
      </c>
      <c r="I104" s="485">
        <f t="shared" si="9"/>
        <v>6629.6284252262039</v>
      </c>
      <c r="J104" s="42">
        <f>+SUMIFS('Distribution Substation Costs'!D:D,'Distribution Substation Costs'!B:B,'Distribution Substation Detail'!E104)</f>
        <v>93849.69</v>
      </c>
      <c r="K104" s="485">
        <f t="shared" si="10"/>
        <v>93849.690000000017</v>
      </c>
      <c r="L104" s="2582">
        <f t="shared" si="12"/>
        <v>1850160.2098005251</v>
      </c>
    </row>
    <row r="105" spans="2:12">
      <c r="B105" s="693">
        <f t="shared" si="11"/>
        <v>95</v>
      </c>
      <c r="C105" s="60">
        <v>1</v>
      </c>
      <c r="D105" s="290" t="s">
        <v>3898</v>
      </c>
      <c r="E105" s="2583" t="s">
        <v>3899</v>
      </c>
      <c r="F105" s="42">
        <f>+SUMIFS('Distribution Substation Costs'!E:E,'Distribution Substation Costs'!B:B,'Distribution Substation Detail'!E105)</f>
        <v>823229.24000000057</v>
      </c>
      <c r="G105" s="485">
        <f t="shared" si="8"/>
        <v>893269.15894854709</v>
      </c>
      <c r="H105" s="42">
        <f>+SUMIFS('Distribution Substation Costs'!C:C,'Distribution Substation Costs'!B:B,'Distribution Substation Detail'!E105)</f>
        <v>29117.22</v>
      </c>
      <c r="I105" s="485">
        <f t="shared" si="9"/>
        <v>31087.461611084527</v>
      </c>
      <c r="J105" s="42">
        <f>+SUMIFS('Distribution Substation Costs'!D:D,'Distribution Substation Costs'!B:B,'Distribution Substation Detail'!E105)</f>
        <v>144274.41</v>
      </c>
      <c r="K105" s="485">
        <f t="shared" si="10"/>
        <v>144274.41000000003</v>
      </c>
      <c r="L105" s="2582">
        <f t="shared" si="12"/>
        <v>1068631.0305596315</v>
      </c>
    </row>
    <row r="106" spans="2:12">
      <c r="B106" s="693">
        <f t="shared" si="11"/>
        <v>96</v>
      </c>
      <c r="C106" s="60">
        <v>1</v>
      </c>
      <c r="D106" s="290" t="s">
        <v>3900</v>
      </c>
      <c r="E106" s="2583" t="s">
        <v>3901</v>
      </c>
      <c r="F106" s="42">
        <f>+SUMIFS('Distribution Substation Costs'!E:E,'Distribution Substation Costs'!B:B,'Distribution Substation Detail'!E106)</f>
        <v>1407311.4900000002</v>
      </c>
      <c r="G106" s="485">
        <f t="shared" si="8"/>
        <v>1527044.8253890083</v>
      </c>
      <c r="H106" s="42">
        <f>+SUMIFS('Distribution Substation Costs'!C:C,'Distribution Substation Costs'!B:B,'Distribution Substation Detail'!E106)</f>
        <v>8926.76</v>
      </c>
      <c r="I106" s="485">
        <f t="shared" si="9"/>
        <v>9530.7968553098453</v>
      </c>
      <c r="J106" s="42">
        <f>+SUMIFS('Distribution Substation Costs'!D:D,'Distribution Substation Costs'!B:B,'Distribution Substation Detail'!E106)</f>
        <v>259536.67000000004</v>
      </c>
      <c r="K106" s="485">
        <f t="shared" si="10"/>
        <v>259536.6700000001</v>
      </c>
      <c r="L106" s="2582">
        <f t="shared" si="12"/>
        <v>1796112.2922443182</v>
      </c>
    </row>
    <row r="107" spans="2:12">
      <c r="B107" s="693">
        <f t="shared" si="11"/>
        <v>97</v>
      </c>
      <c r="C107" s="60">
        <v>1</v>
      </c>
      <c r="D107" s="290" t="s">
        <v>3902</v>
      </c>
      <c r="E107" s="2583" t="s">
        <v>3903</v>
      </c>
      <c r="F107" s="42">
        <f>+SUMIFS('Distribution Substation Costs'!E:E,'Distribution Substation Costs'!B:B,'Distribution Substation Detail'!E107)</f>
        <v>1566931.9499999995</v>
      </c>
      <c r="G107" s="485">
        <f t="shared" ref="G107:G138" si="13">+F107*F$202*F$213</f>
        <v>1700245.7117608036</v>
      </c>
      <c r="H107" s="42">
        <f>+SUMIFS('Distribution Substation Costs'!C:C,'Distribution Substation Costs'!B:B,'Distribution Substation Detail'!E107)</f>
        <v>19120.16</v>
      </c>
      <c r="I107" s="485">
        <f t="shared" ref="I107:I138" si="14">+H107*H$202*H$213</f>
        <v>20413.941990265346</v>
      </c>
      <c r="J107" s="42">
        <f>+SUMIFS('Distribution Substation Costs'!D:D,'Distribution Substation Costs'!B:B,'Distribution Substation Detail'!E107)</f>
        <v>185045.24</v>
      </c>
      <c r="K107" s="485">
        <f t="shared" ref="K107:K138" si="15">+J107*J$202*J$213</f>
        <v>185045.24000000002</v>
      </c>
      <c r="L107" s="2582">
        <f t="shared" si="12"/>
        <v>1905704.893751069</v>
      </c>
    </row>
    <row r="108" spans="2:12">
      <c r="B108" s="693">
        <f t="shared" ref="B108:B142" si="16">1+B107</f>
        <v>98</v>
      </c>
      <c r="C108" s="60">
        <v>1</v>
      </c>
      <c r="D108" s="290" t="s">
        <v>3904</v>
      </c>
      <c r="E108" s="2583" t="s">
        <v>3905</v>
      </c>
      <c r="F108" s="42">
        <f>+SUMIFS('Distribution Substation Costs'!E:E,'Distribution Substation Costs'!B:B,'Distribution Substation Detail'!E108)</f>
        <v>3355331.6199999992</v>
      </c>
      <c r="G108" s="485">
        <f t="shared" si="13"/>
        <v>3640801.5028606895</v>
      </c>
      <c r="H108" s="42">
        <f>+SUMIFS('Distribution Substation Costs'!C:C,'Distribution Substation Costs'!B:B,'Distribution Substation Detail'!E108)</f>
        <v>3408.06</v>
      </c>
      <c r="I108" s="485">
        <f t="shared" si="14"/>
        <v>3638.6692966661217</v>
      </c>
      <c r="J108" s="42">
        <f>+SUMIFS('Distribution Substation Costs'!D:D,'Distribution Substation Costs'!B:B,'Distribution Substation Detail'!E108)</f>
        <v>309063.09999999998</v>
      </c>
      <c r="K108" s="485">
        <f t="shared" si="15"/>
        <v>309063.10000000003</v>
      </c>
      <c r="L108" s="2582">
        <f t="shared" si="12"/>
        <v>3953503.2721573557</v>
      </c>
    </row>
    <row r="109" spans="2:12">
      <c r="B109" s="693">
        <f t="shared" si="16"/>
        <v>99</v>
      </c>
      <c r="C109" s="60">
        <v>1</v>
      </c>
      <c r="D109" s="290" t="s">
        <v>3906</v>
      </c>
      <c r="E109" s="2583" t="s">
        <v>3907</v>
      </c>
      <c r="F109" s="42">
        <f>+SUMIFS('Distribution Substation Costs'!E:E,'Distribution Substation Costs'!B:B,'Distribution Substation Detail'!E109)</f>
        <v>1012008.0599999999</v>
      </c>
      <c r="G109" s="485">
        <f t="shared" si="13"/>
        <v>1098109.1835432742</v>
      </c>
      <c r="H109" s="42">
        <f>+SUMIFS('Distribution Substation Costs'!C:C,'Distribution Substation Costs'!B:B,'Distribution Substation Detail'!E109)</f>
        <v>351887.93</v>
      </c>
      <c r="I109" s="485">
        <f t="shared" si="14"/>
        <v>375698.72794446035</v>
      </c>
      <c r="J109" s="42">
        <f>+SUMIFS('Distribution Substation Costs'!D:D,'Distribution Substation Costs'!B:B,'Distribution Substation Detail'!E109)</f>
        <v>131701.76999999999</v>
      </c>
      <c r="K109" s="485">
        <f t="shared" si="15"/>
        <v>131701.77000000002</v>
      </c>
      <c r="L109" s="2582">
        <f t="shared" si="12"/>
        <v>1605509.6814877344</v>
      </c>
    </row>
    <row r="110" spans="2:12">
      <c r="B110" s="693">
        <f t="shared" si="16"/>
        <v>100</v>
      </c>
      <c r="C110" s="60">
        <v>1</v>
      </c>
      <c r="D110" s="290" t="s">
        <v>3908</v>
      </c>
      <c r="E110" s="2583" t="s">
        <v>3909</v>
      </c>
      <c r="F110" s="42">
        <f>+SUMIFS('Distribution Substation Costs'!E:E,'Distribution Substation Costs'!B:B,'Distribution Substation Detail'!E110)</f>
        <v>1137271.6099999996</v>
      </c>
      <c r="G110" s="485">
        <f t="shared" si="13"/>
        <v>1234030.0917406178</v>
      </c>
      <c r="H110" s="42">
        <f>+SUMIFS('Distribution Substation Costs'!C:C,'Distribution Substation Costs'!B:B,'Distribution Substation Detail'!E110)</f>
        <v>4640.2</v>
      </c>
      <c r="I110" s="485">
        <f t="shared" si="14"/>
        <v>4954.1831042851763</v>
      </c>
      <c r="J110" s="42">
        <f>+SUMIFS('Distribution Substation Costs'!D:D,'Distribution Substation Costs'!B:B,'Distribution Substation Detail'!E110)</f>
        <v>122858.24999999999</v>
      </c>
      <c r="K110" s="485">
        <f t="shared" si="15"/>
        <v>122858.25000000001</v>
      </c>
      <c r="L110" s="2582">
        <f t="shared" si="12"/>
        <v>1361842.524844903</v>
      </c>
    </row>
    <row r="111" spans="2:12">
      <c r="B111" s="693">
        <f t="shared" si="16"/>
        <v>101</v>
      </c>
      <c r="C111" s="60">
        <v>1</v>
      </c>
      <c r="D111" s="290" t="s">
        <v>3910</v>
      </c>
      <c r="E111" s="2583" t="s">
        <v>3911</v>
      </c>
      <c r="F111" s="42">
        <f>+SUMIFS('Distribution Substation Costs'!E:E,'Distribution Substation Costs'!B:B,'Distribution Substation Detail'!E111)</f>
        <v>1147774.1800000006</v>
      </c>
      <c r="G111" s="485">
        <f t="shared" si="13"/>
        <v>1245426.2149768369</v>
      </c>
      <c r="H111" s="42">
        <f>+SUMIFS('Distribution Substation Costs'!C:C,'Distribution Substation Costs'!B:B,'Distribution Substation Detail'!E111)</f>
        <v>11680.34</v>
      </c>
      <c r="I111" s="485">
        <f t="shared" si="14"/>
        <v>12470.700202643489</v>
      </c>
      <c r="J111" s="42">
        <f>+SUMIFS('Distribution Substation Costs'!D:D,'Distribution Substation Costs'!B:B,'Distribution Substation Detail'!E111)</f>
        <v>101329.97</v>
      </c>
      <c r="K111" s="485">
        <f t="shared" si="15"/>
        <v>101329.97000000003</v>
      </c>
      <c r="L111" s="2582">
        <f t="shared" si="12"/>
        <v>1359226.8851794803</v>
      </c>
    </row>
    <row r="112" spans="2:12">
      <c r="B112" s="693">
        <f t="shared" si="16"/>
        <v>102</v>
      </c>
      <c r="C112" s="60">
        <v>1</v>
      </c>
      <c r="D112" s="290" t="s">
        <v>3912</v>
      </c>
      <c r="E112" s="2583" t="s">
        <v>3913</v>
      </c>
      <c r="F112" s="42">
        <f>+SUMIFS('Distribution Substation Costs'!E:E,'Distribution Substation Costs'!B:B,'Distribution Substation Detail'!E112)</f>
        <v>2273215.9699999993</v>
      </c>
      <c r="G112" s="485">
        <f t="shared" si="13"/>
        <v>2466620.0117361038</v>
      </c>
      <c r="H112" s="42">
        <f>+SUMIFS('Distribution Substation Costs'!C:C,'Distribution Substation Costs'!B:B,'Distribution Substation Detail'!E112)</f>
        <v>44117.66</v>
      </c>
      <c r="I112" s="485">
        <f t="shared" si="14"/>
        <v>47102.919221714146</v>
      </c>
      <c r="J112" s="42">
        <f>+SUMIFS('Distribution Substation Costs'!D:D,'Distribution Substation Costs'!B:B,'Distribution Substation Detail'!E112)</f>
        <v>77132.259999999995</v>
      </c>
      <c r="K112" s="485">
        <f t="shared" si="15"/>
        <v>77132.260000000009</v>
      </c>
      <c r="L112" s="2582">
        <f t="shared" si="12"/>
        <v>2590855.1909578182</v>
      </c>
    </row>
    <row r="113" spans="2:12">
      <c r="B113" s="693">
        <f t="shared" si="16"/>
        <v>103</v>
      </c>
      <c r="C113" s="60">
        <v>1</v>
      </c>
      <c r="D113" s="290" t="s">
        <v>3914</v>
      </c>
      <c r="E113" s="2583" t="s">
        <v>3915</v>
      </c>
      <c r="F113" s="42">
        <f>+SUMIFS('Distribution Substation Costs'!E:E,'Distribution Substation Costs'!B:B,'Distribution Substation Detail'!E113)</f>
        <v>1273195.4599999997</v>
      </c>
      <c r="G113" s="485">
        <f t="shared" si="13"/>
        <v>1381518.2727611905</v>
      </c>
      <c r="H113" s="42">
        <f>+SUMIFS('Distribution Substation Costs'!C:C,'Distribution Substation Costs'!B:B,'Distribution Substation Detail'!E113)</f>
        <v>73783.22</v>
      </c>
      <c r="I113" s="485">
        <f t="shared" si="14"/>
        <v>78775.824728191918</v>
      </c>
      <c r="J113" s="42">
        <f>+SUMIFS('Distribution Substation Costs'!D:D,'Distribution Substation Costs'!B:B,'Distribution Substation Detail'!E113)</f>
        <v>81551.789999999994</v>
      </c>
      <c r="K113" s="485">
        <f t="shared" si="15"/>
        <v>81551.790000000008</v>
      </c>
      <c r="L113" s="2582">
        <f t="shared" si="12"/>
        <v>1541845.8874893824</v>
      </c>
    </row>
    <row r="114" spans="2:12">
      <c r="B114" s="693">
        <f t="shared" si="16"/>
        <v>104</v>
      </c>
      <c r="C114" s="60">
        <v>1</v>
      </c>
      <c r="D114" s="290" t="s">
        <v>3916</v>
      </c>
      <c r="E114" s="2583" t="s">
        <v>3917</v>
      </c>
      <c r="F114" s="42">
        <f>+SUMIFS('Distribution Substation Costs'!E:E,'Distribution Substation Costs'!B:B,'Distribution Substation Detail'!E114)</f>
        <v>914248.42999999935</v>
      </c>
      <c r="G114" s="485">
        <f t="shared" si="13"/>
        <v>992032.21466736111</v>
      </c>
      <c r="H114" s="42">
        <f>+SUMIFS('Distribution Substation Costs'!C:C,'Distribution Substation Costs'!B:B,'Distribution Substation Detail'!E114)</f>
        <v>5761.46</v>
      </c>
      <c r="I114" s="485">
        <f t="shared" si="14"/>
        <v>6151.3141218083001</v>
      </c>
      <c r="J114" s="42">
        <f>+SUMIFS('Distribution Substation Costs'!D:D,'Distribution Substation Costs'!B:B,'Distribution Substation Detail'!E114)</f>
        <v>107933.47000000002</v>
      </c>
      <c r="K114" s="485">
        <f t="shared" si="15"/>
        <v>107933.47000000004</v>
      </c>
      <c r="L114" s="2582">
        <f t="shared" si="12"/>
        <v>1106116.9987891694</v>
      </c>
    </row>
    <row r="115" spans="2:12">
      <c r="B115" s="693">
        <f t="shared" si="16"/>
        <v>105</v>
      </c>
      <c r="C115" s="60">
        <v>1</v>
      </c>
      <c r="D115" s="290" t="s">
        <v>3918</v>
      </c>
      <c r="E115" s="2583" t="s">
        <v>3919</v>
      </c>
      <c r="F115" s="42">
        <f>+SUMIFS('Distribution Substation Costs'!E:E,'Distribution Substation Costs'!B:B,'Distribution Substation Detail'!E115)</f>
        <v>751055.43999999971</v>
      </c>
      <c r="G115" s="485">
        <f t="shared" si="13"/>
        <v>814954.84928660968</v>
      </c>
      <c r="H115" s="42">
        <f>+SUMIFS('Distribution Substation Costs'!C:C,'Distribution Substation Costs'!B:B,'Distribution Substation Detail'!E115)</f>
        <v>32148.23</v>
      </c>
      <c r="I115" s="485">
        <f t="shared" si="14"/>
        <v>34323.567496804841</v>
      </c>
      <c r="J115" s="42">
        <f>+SUMIFS('Distribution Substation Costs'!D:D,'Distribution Substation Costs'!B:B,'Distribution Substation Detail'!E115)</f>
        <v>88241.72</v>
      </c>
      <c r="K115" s="485">
        <f t="shared" si="15"/>
        <v>88241.720000000016</v>
      </c>
      <c r="L115" s="2582">
        <f t="shared" si="12"/>
        <v>937520.13678341452</v>
      </c>
    </row>
    <row r="116" spans="2:12">
      <c r="B116" s="693">
        <f t="shared" si="16"/>
        <v>106</v>
      </c>
      <c r="C116" s="60">
        <v>1</v>
      </c>
      <c r="D116" s="290" t="s">
        <v>3920</v>
      </c>
      <c r="E116" s="2583" t="s">
        <v>3921</v>
      </c>
      <c r="F116" s="42">
        <f>+SUMIFS('Distribution Substation Costs'!E:E,'Distribution Substation Costs'!B:B,'Distribution Substation Detail'!E116)</f>
        <v>872636.41000000015</v>
      </c>
      <c r="G116" s="485">
        <f t="shared" si="13"/>
        <v>946879.86547778489</v>
      </c>
      <c r="H116" s="42">
        <f>+SUMIFS('Distribution Substation Costs'!C:C,'Distribution Substation Costs'!B:B,'Distribution Substation Detail'!E116)</f>
        <v>9479.56</v>
      </c>
      <c r="I116" s="485">
        <f t="shared" si="14"/>
        <v>10121.002540420151</v>
      </c>
      <c r="J116" s="42">
        <f>+SUMIFS('Distribution Substation Costs'!D:D,'Distribution Substation Costs'!B:B,'Distribution Substation Detail'!E116)</f>
        <v>236344.3</v>
      </c>
      <c r="K116" s="485">
        <f t="shared" si="15"/>
        <v>236344.30000000005</v>
      </c>
      <c r="L116" s="2582">
        <f t="shared" si="12"/>
        <v>1193345.1680182051</v>
      </c>
    </row>
    <row r="117" spans="2:12">
      <c r="B117" s="693">
        <f t="shared" si="16"/>
        <v>107</v>
      </c>
      <c r="C117" s="60">
        <v>1</v>
      </c>
      <c r="D117" s="290" t="s">
        <v>3922</v>
      </c>
      <c r="E117" s="2583" t="s">
        <v>3923</v>
      </c>
      <c r="F117" s="42">
        <f>+SUMIFS('Distribution Substation Costs'!E:E,'Distribution Substation Costs'!B:B,'Distribution Substation Detail'!E117)</f>
        <v>1356316.24</v>
      </c>
      <c r="G117" s="485">
        <f t="shared" si="13"/>
        <v>1471710.9258328273</v>
      </c>
      <c r="H117" s="42">
        <f>+SUMIFS('Distribution Substation Costs'!C:C,'Distribution Substation Costs'!B:B,'Distribution Substation Detail'!E117)</f>
        <v>8905.5499999999993</v>
      </c>
      <c r="I117" s="485">
        <f t="shared" si="14"/>
        <v>9508.1516625074019</v>
      </c>
      <c r="J117" s="42">
        <f>+SUMIFS('Distribution Substation Costs'!D:D,'Distribution Substation Costs'!B:B,'Distribution Substation Detail'!E117)</f>
        <v>143085.47</v>
      </c>
      <c r="K117" s="485">
        <f t="shared" si="15"/>
        <v>143085.47000000003</v>
      </c>
      <c r="L117" s="2582">
        <f t="shared" si="12"/>
        <v>1624304.5474953346</v>
      </c>
    </row>
    <row r="118" spans="2:12">
      <c r="B118" s="693">
        <f t="shared" si="16"/>
        <v>108</v>
      </c>
      <c r="C118" s="60">
        <v>1</v>
      </c>
      <c r="D118" s="290" t="s">
        <v>3924</v>
      </c>
      <c r="E118" s="2583" t="s">
        <v>3925</v>
      </c>
      <c r="F118" s="42">
        <f>+SUMIFS('Distribution Substation Costs'!E:E,'Distribution Substation Costs'!B:B,'Distribution Substation Detail'!E118)</f>
        <v>1031457.6700000002</v>
      </c>
      <c r="G118" s="485">
        <f t="shared" si="13"/>
        <v>1119213.5563259725</v>
      </c>
      <c r="H118" s="42">
        <f>+SUMIFS('Distribution Substation Costs'!C:C,'Distribution Substation Costs'!B:B,'Distribution Substation Detail'!E118)</f>
        <v>5046.5</v>
      </c>
      <c r="I118" s="485">
        <f t="shared" si="14"/>
        <v>5387.9757415144049</v>
      </c>
      <c r="J118" s="42">
        <f>+SUMIFS('Distribution Substation Costs'!D:D,'Distribution Substation Costs'!B:B,'Distribution Substation Detail'!E118)</f>
        <v>165326.58000000002</v>
      </c>
      <c r="K118" s="485">
        <f t="shared" si="15"/>
        <v>165326.58000000005</v>
      </c>
      <c r="L118" s="2582">
        <f t="shared" si="12"/>
        <v>1289928.1120674871</v>
      </c>
    </row>
    <row r="119" spans="2:12">
      <c r="B119" s="693">
        <f t="shared" si="16"/>
        <v>109</v>
      </c>
      <c r="C119" s="60">
        <v>1</v>
      </c>
      <c r="D119" s="290" t="s">
        <v>3926</v>
      </c>
      <c r="E119" s="2583" t="s">
        <v>3927</v>
      </c>
      <c r="F119" s="42">
        <f>+SUMIFS('Distribution Substation Costs'!E:E,'Distribution Substation Costs'!B:B,'Distribution Substation Detail'!E119)</f>
        <v>1212043.3799999992</v>
      </c>
      <c r="G119" s="485">
        <f t="shared" si="13"/>
        <v>1315163.4053495876</v>
      </c>
      <c r="H119" s="42">
        <f>+SUMIFS('Distribution Substation Costs'!C:C,'Distribution Substation Costs'!B:B,'Distribution Substation Detail'!E119)</f>
        <v>40147.01</v>
      </c>
      <c r="I119" s="485">
        <f t="shared" si="14"/>
        <v>42863.591791209008</v>
      </c>
      <c r="J119" s="42">
        <f>+SUMIFS('Distribution Substation Costs'!D:D,'Distribution Substation Costs'!B:B,'Distribution Substation Detail'!E119)</f>
        <v>238276.75000000003</v>
      </c>
      <c r="K119" s="485">
        <f t="shared" si="15"/>
        <v>238276.75000000009</v>
      </c>
      <c r="L119" s="2582">
        <f t="shared" si="12"/>
        <v>1596303.7471407966</v>
      </c>
    </row>
    <row r="120" spans="2:12">
      <c r="B120" s="693">
        <f t="shared" si="16"/>
        <v>110</v>
      </c>
      <c r="C120" s="60">
        <v>1</v>
      </c>
      <c r="D120" s="290" t="s">
        <v>3928</v>
      </c>
      <c r="E120" s="2583" t="s">
        <v>3929</v>
      </c>
      <c r="F120" s="42">
        <f>+SUMIFS('Distribution Substation Costs'!E:E,'Distribution Substation Costs'!B:B,'Distribution Substation Detail'!E120)</f>
        <v>433579.70000000013</v>
      </c>
      <c r="G120" s="485">
        <f t="shared" si="13"/>
        <v>470468.4371465756</v>
      </c>
      <c r="H120" s="42">
        <f>+SUMIFS('Distribution Substation Costs'!C:C,'Distribution Substation Costs'!B:B,'Distribution Substation Detail'!E120)</f>
        <v>24007.62</v>
      </c>
      <c r="I120" s="485">
        <f t="shared" si="14"/>
        <v>25632.116154066392</v>
      </c>
      <c r="J120" s="42">
        <f>+SUMIFS('Distribution Substation Costs'!D:D,'Distribution Substation Costs'!B:B,'Distribution Substation Detail'!E120)</f>
        <v>90338.32</v>
      </c>
      <c r="K120" s="485">
        <f t="shared" si="15"/>
        <v>90338.320000000022</v>
      </c>
      <c r="L120" s="2582">
        <f t="shared" si="12"/>
        <v>586438.87330064201</v>
      </c>
    </row>
    <row r="121" spans="2:12">
      <c r="B121" s="693">
        <f t="shared" si="16"/>
        <v>111</v>
      </c>
      <c r="C121" s="60">
        <v>1</v>
      </c>
      <c r="D121" s="290" t="s">
        <v>3930</v>
      </c>
      <c r="E121" s="2583" t="s">
        <v>3931</v>
      </c>
      <c r="F121" s="42">
        <f>+SUMIFS('Distribution Substation Costs'!E:E,'Distribution Substation Costs'!B:B,'Distribution Substation Detail'!E121)</f>
        <v>2227735.0300000007</v>
      </c>
      <c r="G121" s="485">
        <f t="shared" si="13"/>
        <v>2417269.5768293114</v>
      </c>
      <c r="H121" s="42">
        <f>+SUMIFS('Distribution Substation Costs'!C:C,'Distribution Substation Costs'!B:B,'Distribution Substation Detail'!E121)</f>
        <v>41615.480000000003</v>
      </c>
      <c r="I121" s="485">
        <f t="shared" si="14"/>
        <v>44431.427070539561</v>
      </c>
      <c r="J121" s="42">
        <f>+SUMIFS('Distribution Substation Costs'!D:D,'Distribution Substation Costs'!B:B,'Distribution Substation Detail'!E121)</f>
        <v>538968.21000000008</v>
      </c>
      <c r="K121" s="485">
        <f t="shared" si="15"/>
        <v>538968.2100000002</v>
      </c>
      <c r="L121" s="2582">
        <f t="shared" si="12"/>
        <v>3000669.2138998508</v>
      </c>
    </row>
    <row r="122" spans="2:12">
      <c r="B122" s="693">
        <f t="shared" si="16"/>
        <v>112</v>
      </c>
      <c r="C122" s="60">
        <v>1</v>
      </c>
      <c r="D122" s="290" t="s">
        <v>3932</v>
      </c>
      <c r="E122" s="2583" t="s">
        <v>3933</v>
      </c>
      <c r="F122" s="42">
        <f>+SUMIFS('Distribution Substation Costs'!E:E,'Distribution Substation Costs'!B:B,'Distribution Substation Detail'!E122)</f>
        <v>1856326.7899999993</v>
      </c>
      <c r="G122" s="485">
        <f t="shared" si="13"/>
        <v>2014262.1154187312</v>
      </c>
      <c r="H122" s="42">
        <f>+SUMIFS('Distribution Substation Costs'!C:C,'Distribution Substation Costs'!B:B,'Distribution Substation Detail'!E122)</f>
        <v>54803.090000000004</v>
      </c>
      <c r="I122" s="485">
        <f t="shared" si="14"/>
        <v>58511.387987720344</v>
      </c>
      <c r="J122" s="42">
        <f>+SUMIFS('Distribution Substation Costs'!D:D,'Distribution Substation Costs'!B:B,'Distribution Substation Detail'!E122)</f>
        <v>214695.23</v>
      </c>
      <c r="K122" s="485">
        <f t="shared" si="15"/>
        <v>214695.23000000007</v>
      </c>
      <c r="L122" s="2582">
        <f t="shared" si="12"/>
        <v>2287468.7334064515</v>
      </c>
    </row>
    <row r="123" spans="2:12">
      <c r="B123" s="693">
        <f t="shared" si="16"/>
        <v>113</v>
      </c>
      <c r="C123" s="60">
        <v>1</v>
      </c>
      <c r="D123" s="290" t="s">
        <v>3934</v>
      </c>
      <c r="E123" s="2583" t="s">
        <v>3935</v>
      </c>
      <c r="F123" s="42">
        <f>+SUMIFS('Distribution Substation Costs'!E:E,'Distribution Substation Costs'!B:B,'Distribution Substation Detail'!E123)</f>
        <v>3640112.450000002</v>
      </c>
      <c r="G123" s="485">
        <f t="shared" si="13"/>
        <v>3949811.3389286739</v>
      </c>
      <c r="H123" s="42">
        <f>+SUMIFS('Distribution Substation Costs'!C:C,'Distribution Substation Costs'!B:B,'Distribution Substation Detail'!E123)</f>
        <v>37388.370000000003</v>
      </c>
      <c r="I123" s="485">
        <f t="shared" si="14"/>
        <v>39918.286054644792</v>
      </c>
      <c r="J123" s="42">
        <f>+SUMIFS('Distribution Substation Costs'!D:D,'Distribution Substation Costs'!B:B,'Distribution Substation Detail'!E123)</f>
        <v>149548.03</v>
      </c>
      <c r="K123" s="485">
        <f t="shared" si="15"/>
        <v>149548.03000000003</v>
      </c>
      <c r="L123" s="2582">
        <f t="shared" si="12"/>
        <v>4139277.6549833184</v>
      </c>
    </row>
    <row r="124" spans="2:12">
      <c r="B124" s="693">
        <f t="shared" si="16"/>
        <v>114</v>
      </c>
      <c r="C124" s="60">
        <v>1</v>
      </c>
      <c r="D124" s="290" t="s">
        <v>3936</v>
      </c>
      <c r="E124" s="2583" t="s">
        <v>3937</v>
      </c>
      <c r="F124" s="42">
        <f>+SUMIFS('Distribution Substation Costs'!E:E,'Distribution Substation Costs'!B:B,'Distribution Substation Detail'!E124)</f>
        <v>3843507.3299999991</v>
      </c>
      <c r="G124" s="485">
        <f t="shared" si="13"/>
        <v>4170510.9503662344</v>
      </c>
      <c r="H124" s="42">
        <f>+SUMIFS('Distribution Substation Costs'!C:C,'Distribution Substation Costs'!B:B,'Distribution Substation Detail'!E124)</f>
        <v>295808.92</v>
      </c>
      <c r="I124" s="485">
        <f t="shared" si="14"/>
        <v>315825.08373795211</v>
      </c>
      <c r="J124" s="42">
        <f>+SUMIFS('Distribution Substation Costs'!D:D,'Distribution Substation Costs'!B:B,'Distribution Substation Detail'!E124)</f>
        <v>644022.27999999991</v>
      </c>
      <c r="K124" s="485">
        <f t="shared" si="15"/>
        <v>644022.28</v>
      </c>
      <c r="L124" s="2582">
        <f t="shared" si="12"/>
        <v>5130358.3141041864</v>
      </c>
    </row>
    <row r="125" spans="2:12">
      <c r="B125" s="693">
        <f t="shared" si="16"/>
        <v>115</v>
      </c>
      <c r="C125" s="60">
        <v>1</v>
      </c>
      <c r="D125" s="290" t="s">
        <v>3938</v>
      </c>
      <c r="E125" s="2583" t="s">
        <v>3939</v>
      </c>
      <c r="F125" s="42">
        <f>+SUMIFS('Distribution Substation Costs'!E:E,'Distribution Substation Costs'!B:B,'Distribution Substation Detail'!E125)</f>
        <v>1395471.3800000006</v>
      </c>
      <c r="G125" s="485">
        <f t="shared" si="13"/>
        <v>1514197.3649397683</v>
      </c>
      <c r="H125" s="42">
        <f>+SUMIFS('Distribution Substation Costs'!C:C,'Distribution Substation Costs'!B:B,'Distribution Substation Detail'!E125)</f>
        <v>8294.6200000000008</v>
      </c>
      <c r="I125" s="485">
        <f t="shared" si="14"/>
        <v>8855.8825611969132</v>
      </c>
      <c r="J125" s="42">
        <f>+SUMIFS('Distribution Substation Costs'!D:D,'Distribution Substation Costs'!B:B,'Distribution Substation Detail'!E125)</f>
        <v>114694.37999999999</v>
      </c>
      <c r="K125" s="485">
        <f t="shared" si="15"/>
        <v>114694.38000000002</v>
      </c>
      <c r="L125" s="2582">
        <f t="shared" si="12"/>
        <v>1637747.6275009653</v>
      </c>
    </row>
    <row r="126" spans="2:12">
      <c r="B126" s="693">
        <f t="shared" si="16"/>
        <v>116</v>
      </c>
      <c r="C126" s="60">
        <v>1</v>
      </c>
      <c r="D126" s="290" t="s">
        <v>3940</v>
      </c>
      <c r="E126" s="2583" t="s">
        <v>3941</v>
      </c>
      <c r="F126" s="42">
        <f>+SUMIFS('Distribution Substation Costs'!E:E,'Distribution Substation Costs'!B:B,'Distribution Substation Detail'!E126)</f>
        <v>2299861.9800000014</v>
      </c>
      <c r="G126" s="485">
        <f t="shared" si="13"/>
        <v>2495533.0505174235</v>
      </c>
      <c r="H126" s="42">
        <f>+SUMIFS('Distribution Substation Costs'!C:C,'Distribution Substation Costs'!B:B,'Distribution Substation Detail'!E126)</f>
        <v>163047.55000000002</v>
      </c>
      <c r="I126" s="485">
        <f t="shared" si="14"/>
        <v>174080.30201394178</v>
      </c>
      <c r="J126" s="42">
        <f>+SUMIFS('Distribution Substation Costs'!D:D,'Distribution Substation Costs'!B:B,'Distribution Substation Detail'!E126)</f>
        <v>210379.37</v>
      </c>
      <c r="K126" s="485">
        <f t="shared" si="15"/>
        <v>210379.37000000005</v>
      </c>
      <c r="L126" s="2582">
        <f t="shared" si="12"/>
        <v>2879992.7225313652</v>
      </c>
    </row>
    <row r="127" spans="2:12">
      <c r="B127" s="693">
        <f t="shared" si="16"/>
        <v>117</v>
      </c>
      <c r="C127" s="60">
        <v>1</v>
      </c>
      <c r="D127" s="290" t="s">
        <v>3942</v>
      </c>
      <c r="E127" s="2583" t="s">
        <v>3943</v>
      </c>
      <c r="F127" s="42">
        <f>+SUMIFS('Distribution Substation Costs'!E:E,'Distribution Substation Costs'!B:B,'Distribution Substation Detail'!E127)</f>
        <v>466917.8299999999</v>
      </c>
      <c r="G127" s="485">
        <f t="shared" si="13"/>
        <v>506642.95804432349</v>
      </c>
      <c r="H127" s="42">
        <f>+SUMIFS('Distribution Substation Costs'!C:C,'Distribution Substation Costs'!B:B,'Distribution Substation Detail'!E127)</f>
        <v>52247.31</v>
      </c>
      <c r="I127" s="485">
        <f t="shared" si="14"/>
        <v>55782.668946672544</v>
      </c>
      <c r="J127" s="42">
        <f>+SUMIFS('Distribution Substation Costs'!D:D,'Distribution Substation Costs'!B:B,'Distribution Substation Detail'!E127)</f>
        <v>161913.38</v>
      </c>
      <c r="K127" s="485">
        <f t="shared" si="15"/>
        <v>161913.38000000003</v>
      </c>
      <c r="L127" s="2582">
        <f t="shared" si="12"/>
        <v>724339.00699099607</v>
      </c>
    </row>
    <row r="128" spans="2:12">
      <c r="B128" s="693">
        <f t="shared" si="16"/>
        <v>118</v>
      </c>
      <c r="C128" s="60">
        <v>1</v>
      </c>
      <c r="D128" s="290" t="s">
        <v>3944</v>
      </c>
      <c r="E128" s="2583" t="s">
        <v>3945</v>
      </c>
      <c r="F128" s="42">
        <f>+SUMIFS('Distribution Substation Costs'!E:E,'Distribution Substation Costs'!B:B,'Distribution Substation Detail'!E128)</f>
        <v>3345558.2999999989</v>
      </c>
      <c r="G128" s="485">
        <f t="shared" si="13"/>
        <v>3630196.673838174</v>
      </c>
      <c r="H128" s="42">
        <f>+SUMIFS('Distribution Substation Costs'!C:C,'Distribution Substation Costs'!B:B,'Distribution Substation Detail'!E128)</f>
        <v>27135.100000000002</v>
      </c>
      <c r="I128" s="485">
        <f t="shared" si="14"/>
        <v>28971.219764899939</v>
      </c>
      <c r="J128" s="42">
        <f>+SUMIFS('Distribution Substation Costs'!D:D,'Distribution Substation Costs'!B:B,'Distribution Substation Detail'!E128)</f>
        <v>1045662.51</v>
      </c>
      <c r="K128" s="485">
        <f t="shared" si="15"/>
        <v>1045662.5100000002</v>
      </c>
      <c r="L128" s="2582">
        <f t="shared" si="12"/>
        <v>4704830.4036030741</v>
      </c>
    </row>
    <row r="129" spans="2:12">
      <c r="B129" s="693">
        <f t="shared" si="16"/>
        <v>119</v>
      </c>
      <c r="C129" s="60">
        <v>1</v>
      </c>
      <c r="D129" s="290" t="s">
        <v>3946</v>
      </c>
      <c r="E129" s="2583" t="s">
        <v>3947</v>
      </c>
      <c r="F129" s="42">
        <f>+SUMIFS('Distribution Substation Costs'!E:E,'Distribution Substation Costs'!B:B,'Distribution Substation Detail'!E129)</f>
        <v>2037042.9900000012</v>
      </c>
      <c r="G129" s="485">
        <f t="shared" si="13"/>
        <v>2210353.5564642157</v>
      </c>
      <c r="H129" s="42">
        <f>+SUMIFS('Distribution Substation Costs'!C:C,'Distribution Substation Costs'!B:B,'Distribution Substation Detail'!E129)</f>
        <v>34421.61</v>
      </c>
      <c r="I129" s="485">
        <f t="shared" si="14"/>
        <v>36750.77770016242</v>
      </c>
      <c r="J129" s="42">
        <f>+SUMIFS('Distribution Substation Costs'!D:D,'Distribution Substation Costs'!B:B,'Distribution Substation Detail'!E129)</f>
        <v>177132.44</v>
      </c>
      <c r="K129" s="485">
        <f t="shared" si="15"/>
        <v>177132.44000000003</v>
      </c>
      <c r="L129" s="2582">
        <f t="shared" si="12"/>
        <v>2424236.7741643782</v>
      </c>
    </row>
    <row r="130" spans="2:12">
      <c r="B130" s="693">
        <f t="shared" si="16"/>
        <v>120</v>
      </c>
      <c r="C130" s="60">
        <v>1</v>
      </c>
      <c r="D130" s="290" t="s">
        <v>3948</v>
      </c>
      <c r="E130" s="2583" t="s">
        <v>3949</v>
      </c>
      <c r="F130" s="42">
        <f>+SUMIFS('Distribution Substation Costs'!E:E,'Distribution Substation Costs'!B:B,'Distribution Substation Detail'!E130)</f>
        <v>977638.58999999985</v>
      </c>
      <c r="G130" s="485">
        <f t="shared" si="13"/>
        <v>1060815.5767705028</v>
      </c>
      <c r="H130" s="42">
        <f>+SUMIFS('Distribution Substation Costs'!C:C,'Distribution Substation Costs'!B:B,'Distribution Substation Detail'!E130)</f>
        <v>42437.78</v>
      </c>
      <c r="I130" s="485">
        <f t="shared" si="14"/>
        <v>45309.368703799701</v>
      </c>
      <c r="J130" s="42">
        <f>+SUMIFS('Distribution Substation Costs'!D:D,'Distribution Substation Costs'!B:B,'Distribution Substation Detail'!E130)</f>
        <v>131631.24</v>
      </c>
      <c r="K130" s="485">
        <f t="shared" si="15"/>
        <v>131631.24000000002</v>
      </c>
      <c r="L130" s="2582">
        <f t="shared" si="12"/>
        <v>1237756.1854743026</v>
      </c>
    </row>
    <row r="131" spans="2:12">
      <c r="B131" s="693">
        <f t="shared" si="16"/>
        <v>121</v>
      </c>
      <c r="C131" s="60">
        <v>1</v>
      </c>
      <c r="D131" s="290" t="s">
        <v>3950</v>
      </c>
      <c r="E131" s="2583" t="s">
        <v>3951</v>
      </c>
      <c r="F131" s="42">
        <f>+SUMIFS('Distribution Substation Costs'!E:E,'Distribution Substation Costs'!B:B,'Distribution Substation Detail'!E131)</f>
        <v>2114626.0900000012</v>
      </c>
      <c r="G131" s="485">
        <f t="shared" si="13"/>
        <v>2294537.386578925</v>
      </c>
      <c r="H131" s="42">
        <f>+SUMIFS('Distribution Substation Costs'!C:C,'Distribution Substation Costs'!B:B,'Distribution Substation Detail'!E131)</f>
        <v>133487.65</v>
      </c>
      <c r="I131" s="485">
        <f t="shared" si="14"/>
        <v>142520.20608179239</v>
      </c>
      <c r="J131" s="42">
        <f>+SUMIFS('Distribution Substation Costs'!D:D,'Distribution Substation Costs'!B:B,'Distribution Substation Detail'!E131)</f>
        <v>260097.42999999996</v>
      </c>
      <c r="K131" s="485">
        <f t="shared" si="15"/>
        <v>260097.43000000002</v>
      </c>
      <c r="L131" s="2582">
        <f t="shared" si="12"/>
        <v>2697155.0226607174</v>
      </c>
    </row>
    <row r="132" spans="2:12">
      <c r="B132" s="693">
        <f t="shared" si="16"/>
        <v>122</v>
      </c>
      <c r="C132" s="60">
        <v>1</v>
      </c>
      <c r="D132" s="290" t="s">
        <v>3952</v>
      </c>
      <c r="E132" s="2583" t="s">
        <v>3953</v>
      </c>
      <c r="F132" s="42">
        <f>+SUMIFS('Distribution Substation Costs'!E:E,'Distribution Substation Costs'!B:B,'Distribution Substation Detail'!E132)</f>
        <v>2347173.8100000005</v>
      </c>
      <c r="G132" s="485">
        <f t="shared" si="13"/>
        <v>2546870.1466006674</v>
      </c>
      <c r="H132" s="42">
        <f>+SUMIFS('Distribution Substation Costs'!C:C,'Distribution Substation Costs'!B:B,'Distribution Substation Detail'!E132)</f>
        <v>128157.36</v>
      </c>
      <c r="I132" s="485">
        <f t="shared" si="14"/>
        <v>136829.23744704816</v>
      </c>
      <c r="J132" s="42">
        <f>+SUMIFS('Distribution Substation Costs'!D:D,'Distribution Substation Costs'!B:B,'Distribution Substation Detail'!E132)</f>
        <v>429151.26</v>
      </c>
      <c r="K132" s="485">
        <f t="shared" si="15"/>
        <v>429151.26000000013</v>
      </c>
      <c r="L132" s="2582">
        <f t="shared" si="12"/>
        <v>3112850.6440477157</v>
      </c>
    </row>
    <row r="133" spans="2:12">
      <c r="B133" s="693">
        <f t="shared" si="16"/>
        <v>123</v>
      </c>
      <c r="C133" s="60">
        <v>1</v>
      </c>
      <c r="D133" s="290" t="s">
        <v>3954</v>
      </c>
      <c r="E133" s="2583" t="s">
        <v>3955</v>
      </c>
      <c r="F133" s="42">
        <f>+SUMIFS('Distribution Substation Costs'!E:E,'Distribution Substation Costs'!B:B,'Distribution Substation Detail'!E133)</f>
        <v>0</v>
      </c>
      <c r="G133" s="485">
        <f t="shared" si="13"/>
        <v>0</v>
      </c>
      <c r="H133" s="42">
        <f>+SUMIFS('Distribution Substation Costs'!C:C,'Distribution Substation Costs'!B:B,'Distribution Substation Detail'!E133)</f>
        <v>0</v>
      </c>
      <c r="I133" s="485">
        <f t="shared" si="14"/>
        <v>0</v>
      </c>
      <c r="J133" s="42">
        <f>+SUMIFS('Distribution Substation Costs'!D:D,'Distribution Substation Costs'!B:B,'Distribution Substation Detail'!E133)</f>
        <v>0</v>
      </c>
      <c r="K133" s="485">
        <f t="shared" si="15"/>
        <v>0</v>
      </c>
      <c r="L133" s="2582">
        <f t="shared" si="12"/>
        <v>0</v>
      </c>
    </row>
    <row r="134" spans="2:12">
      <c r="B134" s="693">
        <f t="shared" si="16"/>
        <v>124</v>
      </c>
      <c r="C134" s="60">
        <v>1</v>
      </c>
      <c r="D134" s="290" t="s">
        <v>3956</v>
      </c>
      <c r="E134" s="2583" t="s">
        <v>3957</v>
      </c>
      <c r="F134" s="42">
        <f>+SUMIFS('Distribution Substation Costs'!E:E,'Distribution Substation Costs'!B:B,'Distribution Substation Detail'!E134)</f>
        <v>977107.90000000037</v>
      </c>
      <c r="G134" s="485">
        <f t="shared" si="13"/>
        <v>1060239.7359391423</v>
      </c>
      <c r="H134" s="42">
        <f>+SUMIFS('Distribution Substation Costs'!C:C,'Distribution Substation Costs'!B:B,'Distribution Substation Detail'!E134)</f>
        <v>104042.7</v>
      </c>
      <c r="I134" s="485">
        <f t="shared" si="14"/>
        <v>111082.83833977228</v>
      </c>
      <c r="J134" s="42">
        <f>+SUMIFS('Distribution Substation Costs'!D:D,'Distribution Substation Costs'!B:B,'Distribution Substation Detail'!E134)</f>
        <v>217281.47</v>
      </c>
      <c r="K134" s="485">
        <f t="shared" si="15"/>
        <v>217281.47000000006</v>
      </c>
      <c r="L134" s="2582">
        <f t="shared" si="12"/>
        <v>1388604.0442789146</v>
      </c>
    </row>
    <row r="135" spans="2:12">
      <c r="B135" s="693">
        <f t="shared" si="16"/>
        <v>125</v>
      </c>
      <c r="C135" s="60">
        <v>1</v>
      </c>
      <c r="D135" s="290" t="s">
        <v>3958</v>
      </c>
      <c r="E135" s="2583" t="s">
        <v>3959</v>
      </c>
      <c r="F135" s="42">
        <f>+SUMIFS('Distribution Substation Costs'!E:E,'Distribution Substation Costs'!B:B,'Distribution Substation Detail'!E135)</f>
        <v>679880.89999999979</v>
      </c>
      <c r="G135" s="485">
        <f t="shared" si="13"/>
        <v>737724.81614984991</v>
      </c>
      <c r="H135" s="42">
        <f>+SUMIFS('Distribution Substation Costs'!C:C,'Distribution Substation Costs'!B:B,'Distribution Substation Detail'!E135)</f>
        <v>108660.84</v>
      </c>
      <c r="I135" s="485">
        <f t="shared" si="14"/>
        <v>116013.46873527754</v>
      </c>
      <c r="J135" s="42">
        <f>+SUMIFS('Distribution Substation Costs'!D:D,'Distribution Substation Costs'!B:B,'Distribution Substation Detail'!E135)</f>
        <v>82332.509999999995</v>
      </c>
      <c r="K135" s="485">
        <f t="shared" si="15"/>
        <v>82332.510000000009</v>
      </c>
      <c r="L135" s="2582">
        <f t="shared" si="12"/>
        <v>936070.79488512746</v>
      </c>
    </row>
    <row r="136" spans="2:12">
      <c r="B136" s="693">
        <f t="shared" si="16"/>
        <v>126</v>
      </c>
      <c r="C136" s="60">
        <v>1</v>
      </c>
      <c r="D136" s="290" t="s">
        <v>3960</v>
      </c>
      <c r="E136" s="2583" t="s">
        <v>3961</v>
      </c>
      <c r="F136" s="42">
        <f>+SUMIFS('Distribution Substation Costs'!E:E,'Distribution Substation Costs'!B:B,'Distribution Substation Detail'!E136)</f>
        <v>2400985.02</v>
      </c>
      <c r="G136" s="485">
        <f t="shared" si="13"/>
        <v>2605259.5865805969</v>
      </c>
      <c r="H136" s="42">
        <f>+SUMIFS('Distribution Substation Costs'!C:C,'Distribution Substation Costs'!B:B,'Distribution Substation Detail'!E136)</f>
        <v>88562.16</v>
      </c>
      <c r="I136" s="485">
        <f t="shared" si="14"/>
        <v>94554.794351752178</v>
      </c>
      <c r="J136" s="42">
        <f>+SUMIFS('Distribution Substation Costs'!D:D,'Distribution Substation Costs'!B:B,'Distribution Substation Detail'!E136)</f>
        <v>316180.03000000003</v>
      </c>
      <c r="K136" s="485">
        <f t="shared" si="15"/>
        <v>316180.03000000009</v>
      </c>
      <c r="L136" s="2582">
        <f t="shared" si="12"/>
        <v>3015994.4109323495</v>
      </c>
    </row>
    <row r="137" spans="2:12">
      <c r="B137" s="693">
        <f t="shared" si="16"/>
        <v>127</v>
      </c>
      <c r="C137" s="60">
        <v>1</v>
      </c>
      <c r="D137" s="290" t="s">
        <v>3962</v>
      </c>
      <c r="E137" s="2583" t="s">
        <v>3963</v>
      </c>
      <c r="F137" s="42">
        <f>+SUMIFS('Distribution Substation Costs'!E:E,'Distribution Substation Costs'!B:B,'Distribution Substation Detail'!E137)</f>
        <v>1282851.6699999995</v>
      </c>
      <c r="G137" s="485">
        <f t="shared" si="13"/>
        <v>1391996.0281253345</v>
      </c>
      <c r="H137" s="42">
        <f>+SUMIFS('Distribution Substation Costs'!C:C,'Distribution Substation Costs'!B:B,'Distribution Substation Detail'!E137)</f>
        <v>259667.48</v>
      </c>
      <c r="I137" s="485">
        <f t="shared" si="14"/>
        <v>277238.10226893431</v>
      </c>
      <c r="J137" s="42">
        <f>+SUMIFS('Distribution Substation Costs'!D:D,'Distribution Substation Costs'!B:B,'Distribution Substation Detail'!E137)</f>
        <v>87397.190000000017</v>
      </c>
      <c r="K137" s="485">
        <f t="shared" si="15"/>
        <v>87397.190000000031</v>
      </c>
      <c r="L137" s="2582">
        <f t="shared" si="12"/>
        <v>1756631.3203942687</v>
      </c>
    </row>
    <row r="138" spans="2:12">
      <c r="B138" s="693">
        <f t="shared" si="16"/>
        <v>128</v>
      </c>
      <c r="C138" s="60">
        <v>1</v>
      </c>
      <c r="D138" s="290" t="s">
        <v>3964</v>
      </c>
      <c r="E138" s="2583" t="s">
        <v>3965</v>
      </c>
      <c r="F138" s="42">
        <f>+SUMIFS('Distribution Substation Costs'!E:E,'Distribution Substation Costs'!B:B,'Distribution Substation Detail'!E138)</f>
        <v>1574326.4299999997</v>
      </c>
      <c r="G138" s="485">
        <f t="shared" si="13"/>
        <v>1708269.3103036131</v>
      </c>
      <c r="H138" s="42">
        <f>+SUMIFS('Distribution Substation Costs'!C:C,'Distribution Substation Costs'!B:B,'Distribution Substation Detail'!E138)</f>
        <v>490298.88</v>
      </c>
      <c r="I138" s="485">
        <f t="shared" si="14"/>
        <v>523475.37333432725</v>
      </c>
      <c r="J138" s="42">
        <f>+SUMIFS('Distribution Substation Costs'!D:D,'Distribution Substation Costs'!B:B,'Distribution Substation Detail'!E138)</f>
        <v>295610.32</v>
      </c>
      <c r="K138" s="485">
        <f t="shared" si="15"/>
        <v>295610.32000000007</v>
      </c>
      <c r="L138" s="2582">
        <f t="shared" si="12"/>
        <v>2527355.0036379406</v>
      </c>
    </row>
    <row r="139" spans="2:12">
      <c r="B139" s="693">
        <f>1+B138</f>
        <v>129</v>
      </c>
      <c r="C139" s="60">
        <v>1</v>
      </c>
      <c r="D139" s="290" t="s">
        <v>3966</v>
      </c>
      <c r="E139" s="2583" t="s">
        <v>3967</v>
      </c>
      <c r="F139" s="42">
        <f>+SUMIFS('Distribution Substation Costs'!E:E,'Distribution Substation Costs'!B:B,'Distribution Substation Detail'!E139)</f>
        <v>344617.87</v>
      </c>
      <c r="G139" s="485">
        <f>+F139*F$202*F$213</f>
        <v>373937.78055495152</v>
      </c>
      <c r="H139" s="42">
        <f>+SUMIFS('Distribution Substation Costs'!C:C,'Distribution Substation Costs'!B:B,'Distribution Substation Detail'!E139)</f>
        <v>0</v>
      </c>
      <c r="I139" s="485">
        <f>+H139*H$202*H$213</f>
        <v>0</v>
      </c>
      <c r="J139" s="42">
        <f>+SUMIFS('Distribution Substation Costs'!D:D,'Distribution Substation Costs'!B:B,'Distribution Substation Detail'!E139)</f>
        <v>6928.56</v>
      </c>
      <c r="K139" s="485">
        <f>+J139*J$202*J$213</f>
        <v>6928.5600000000022</v>
      </c>
      <c r="L139" s="2582">
        <f t="shared" si="12"/>
        <v>380866.34055495152</v>
      </c>
    </row>
    <row r="140" spans="2:12">
      <c r="B140" s="693"/>
      <c r="C140" s="60"/>
      <c r="D140" s="290" t="s">
        <v>3300</v>
      </c>
      <c r="E140" s="2583" t="s">
        <v>3301</v>
      </c>
      <c r="F140" s="42">
        <f>+SUMIFS('Distribution Substation Costs'!E:E,'Distribution Substation Costs'!B:B,'Distribution Substation Detail'!E140)</f>
        <v>0</v>
      </c>
      <c r="G140" s="485">
        <f>+F140*F$202*F$213</f>
        <v>0</v>
      </c>
      <c r="H140" s="42">
        <f>+SUMIFS('Distribution Substation Costs'!C:C,'Distribution Substation Costs'!B:B,'Distribution Substation Detail'!E140)</f>
        <v>0</v>
      </c>
      <c r="I140" s="485">
        <f>+H140*H$202*H$213</f>
        <v>0</v>
      </c>
      <c r="J140" s="42">
        <f>+SUMIFS('Distribution Substation Costs'!D:D,'Distribution Substation Costs'!B:B,'Distribution Substation Detail'!E140)</f>
        <v>0</v>
      </c>
      <c r="K140" s="485">
        <f>+J140*J$202*J$213</f>
        <v>0</v>
      </c>
      <c r="L140" s="2582">
        <f>+G140+I140+K140</f>
        <v>0</v>
      </c>
    </row>
    <row r="141" spans="2:12">
      <c r="B141" s="693">
        <f>1+B139</f>
        <v>130</v>
      </c>
      <c r="C141" s="60">
        <v>1</v>
      </c>
      <c r="D141" s="290" t="s">
        <v>3968</v>
      </c>
      <c r="E141" s="2583" t="s">
        <v>3969</v>
      </c>
      <c r="F141" s="42">
        <f>+SUMIFS('Distribution Substation Costs'!E:E,'Distribution Substation Costs'!B:B,'Distribution Substation Detail'!E141)</f>
        <v>2654202.2700000014</v>
      </c>
      <c r="G141" s="485">
        <f t="shared" ref="G141:G172" si="17">+F141*F$202*F$213</f>
        <v>2880020.4295491548</v>
      </c>
      <c r="H141" s="42">
        <f>+SUMIFS('Distribution Substation Costs'!C:C,'Distribution Substation Costs'!B:B,'Distribution Substation Detail'!E141)</f>
        <v>163393.80000000002</v>
      </c>
      <c r="I141" s="485">
        <f t="shared" ref="I141:I172" si="18">+H141*H$202*H$213</f>
        <v>174449.98131652758</v>
      </c>
      <c r="J141" s="42">
        <f>+SUMIFS('Distribution Substation Costs'!D:D,'Distribution Substation Costs'!B:B,'Distribution Substation Detail'!E141)</f>
        <v>201924.47000000003</v>
      </c>
      <c r="K141" s="485">
        <f t="shared" ref="K141:K172" si="19">+J141*J$202*J$213</f>
        <v>201924.47000000009</v>
      </c>
      <c r="L141" s="2582">
        <f t="shared" si="12"/>
        <v>3256394.8808656824</v>
      </c>
    </row>
    <row r="142" spans="2:12">
      <c r="B142" s="693">
        <f t="shared" si="16"/>
        <v>131</v>
      </c>
      <c r="C142" s="60">
        <v>1</v>
      </c>
      <c r="D142" s="290" t="s">
        <v>3970</v>
      </c>
      <c r="E142" s="2583" t="s">
        <v>3971</v>
      </c>
      <c r="F142" s="42">
        <f>+SUMIFS('Distribution Substation Costs'!E:E,'Distribution Substation Costs'!B:B,'Distribution Substation Detail'!E142)</f>
        <v>2801377.38</v>
      </c>
      <c r="G142" s="485">
        <f t="shared" si="17"/>
        <v>3039717.121964816</v>
      </c>
      <c r="H142" s="42">
        <f>+SUMIFS('Distribution Substation Costs'!C:C,'Distribution Substation Costs'!B:B,'Distribution Substation Detail'!E142)</f>
        <v>174297.9</v>
      </c>
      <c r="I142" s="485">
        <f t="shared" si="18"/>
        <v>186091.91657523107</v>
      </c>
      <c r="J142" s="42">
        <f>+SUMIFS('Distribution Substation Costs'!D:D,'Distribution Substation Costs'!B:B,'Distribution Substation Detail'!E142)</f>
        <v>580114.81000000017</v>
      </c>
      <c r="K142" s="485">
        <f t="shared" si="19"/>
        <v>580114.81000000029</v>
      </c>
      <c r="L142" s="2582">
        <f t="shared" si="12"/>
        <v>3805923.8485400472</v>
      </c>
    </row>
    <row r="143" spans="2:12">
      <c r="B143" s="693">
        <f t="shared" ref="B143:B206" si="20">1+B142</f>
        <v>132</v>
      </c>
      <c r="C143" s="60">
        <v>1</v>
      </c>
      <c r="D143" s="290" t="s">
        <v>3972</v>
      </c>
      <c r="E143" s="2583" t="s">
        <v>3973</v>
      </c>
      <c r="F143" s="42">
        <f>+SUMIFS('Distribution Substation Costs'!E:E,'Distribution Substation Costs'!B:B,'Distribution Substation Detail'!E143)</f>
        <v>2976080.049999998</v>
      </c>
      <c r="G143" s="485">
        <f t="shared" si="17"/>
        <v>3229283.4049809095</v>
      </c>
      <c r="H143" s="42">
        <f>+SUMIFS('Distribution Substation Costs'!C:C,'Distribution Substation Costs'!B:B,'Distribution Substation Detail'!E143)</f>
        <v>631732.99</v>
      </c>
      <c r="I143" s="485">
        <f t="shared" si="18"/>
        <v>674479.74343294604</v>
      </c>
      <c r="J143" s="42">
        <f>+SUMIFS('Distribution Substation Costs'!D:D,'Distribution Substation Costs'!B:B,'Distribution Substation Detail'!E143)</f>
        <v>281186.78999999998</v>
      </c>
      <c r="K143" s="485">
        <f t="shared" si="19"/>
        <v>281186.79000000004</v>
      </c>
      <c r="L143" s="2582">
        <f t="shared" ref="L143:L179" si="21">+G143+I143+K143</f>
        <v>4184949.9384138556</v>
      </c>
    </row>
    <row r="144" spans="2:12">
      <c r="B144" s="693">
        <f t="shared" si="20"/>
        <v>133</v>
      </c>
      <c r="C144" s="60">
        <v>1</v>
      </c>
      <c r="D144" s="290" t="s">
        <v>3974</v>
      </c>
      <c r="E144" s="2583" t="s">
        <v>3975</v>
      </c>
      <c r="F144" s="42">
        <f>+SUMIFS('Distribution Substation Costs'!E:E,'Distribution Substation Costs'!B:B,'Distribution Substation Detail'!E144)</f>
        <v>1828809.5899999992</v>
      </c>
      <c r="G144" s="485">
        <f t="shared" si="17"/>
        <v>1984403.7662417523</v>
      </c>
      <c r="H144" s="42">
        <f>+SUMIFS('Distribution Substation Costs'!C:C,'Distribution Substation Costs'!B:B,'Distribution Substation Detail'!E144)</f>
        <v>14574.94</v>
      </c>
      <c r="I144" s="485">
        <f t="shared" si="18"/>
        <v>15561.165788968188</v>
      </c>
      <c r="J144" s="42">
        <f>+SUMIFS('Distribution Substation Costs'!D:D,'Distribution Substation Costs'!B:B,'Distribution Substation Detail'!E144)</f>
        <v>250112.12999999998</v>
      </c>
      <c r="K144" s="485">
        <f t="shared" si="19"/>
        <v>250112.13000000003</v>
      </c>
      <c r="L144" s="2582">
        <f t="shared" si="21"/>
        <v>2250077.0620307205</v>
      </c>
    </row>
    <row r="145" spans="2:12">
      <c r="B145" s="693">
        <f t="shared" si="20"/>
        <v>134</v>
      </c>
      <c r="C145" s="60">
        <v>1</v>
      </c>
      <c r="D145" s="290" t="s">
        <v>3976</v>
      </c>
      <c r="E145" s="2583" t="s">
        <v>3977</v>
      </c>
      <c r="F145" s="42">
        <f>+SUMIFS('Distribution Substation Costs'!E:E,'Distribution Substation Costs'!B:B,'Distribution Substation Detail'!E145)</f>
        <v>201660.53</v>
      </c>
      <c r="G145" s="485">
        <f t="shared" si="17"/>
        <v>218817.70383449708</v>
      </c>
      <c r="H145" s="42">
        <f>+SUMIFS('Distribution Substation Costs'!C:C,'Distribution Substation Costs'!B:B,'Distribution Substation Detail'!E145)</f>
        <v>0</v>
      </c>
      <c r="I145" s="485">
        <f t="shared" si="18"/>
        <v>0</v>
      </c>
      <c r="J145" s="42">
        <f>+SUMIFS('Distribution Substation Costs'!D:D,'Distribution Substation Costs'!B:B,'Distribution Substation Detail'!E145)</f>
        <v>0</v>
      </c>
      <c r="K145" s="485">
        <f t="shared" si="19"/>
        <v>0</v>
      </c>
      <c r="L145" s="2582">
        <f t="shared" si="21"/>
        <v>218817.70383449708</v>
      </c>
    </row>
    <row r="146" spans="2:12">
      <c r="B146" s="693">
        <f t="shared" si="20"/>
        <v>135</v>
      </c>
      <c r="C146" s="60">
        <v>1</v>
      </c>
      <c r="D146" s="290" t="s">
        <v>3978</v>
      </c>
      <c r="E146" s="2583" t="s">
        <v>3979</v>
      </c>
      <c r="F146" s="42">
        <f>+SUMIFS('Distribution Substation Costs'!E:E,'Distribution Substation Costs'!B:B,'Distribution Substation Detail'!E146)</f>
        <v>1950175.4199999997</v>
      </c>
      <c r="G146" s="485">
        <f t="shared" si="17"/>
        <v>2116095.3384327409</v>
      </c>
      <c r="H146" s="42">
        <f>+SUMIFS('Distribution Substation Costs'!C:C,'Distribution Substation Costs'!B:B,'Distribution Substation Detail'!E146)</f>
        <v>313369.85000000003</v>
      </c>
      <c r="I146" s="485">
        <f t="shared" si="18"/>
        <v>334574.28909581056</v>
      </c>
      <c r="J146" s="42">
        <f>+SUMIFS('Distribution Substation Costs'!D:D,'Distribution Substation Costs'!B:B,'Distribution Substation Detail'!E146)</f>
        <v>602510.35000000009</v>
      </c>
      <c r="K146" s="485">
        <f t="shared" si="19"/>
        <v>602510.35000000021</v>
      </c>
      <c r="L146" s="2582">
        <f t="shared" si="21"/>
        <v>3053179.9775285516</v>
      </c>
    </row>
    <row r="147" spans="2:12">
      <c r="B147" s="693">
        <f t="shared" si="20"/>
        <v>136</v>
      </c>
      <c r="C147" s="60">
        <v>1</v>
      </c>
      <c r="D147" s="290" t="s">
        <v>3980</v>
      </c>
      <c r="E147" s="2583" t="s">
        <v>3981</v>
      </c>
      <c r="F147" s="42">
        <f>+SUMIFS('Distribution Substation Costs'!E:E,'Distribution Substation Costs'!B:B,'Distribution Substation Detail'!E147)</f>
        <v>987619.60000000033</v>
      </c>
      <c r="G147" s="485">
        <f t="shared" si="17"/>
        <v>1071645.7659510493</v>
      </c>
      <c r="H147" s="42">
        <f>+SUMIFS('Distribution Substation Costs'!C:C,'Distribution Substation Costs'!B:B,'Distribution Substation Detail'!E147)</f>
        <v>114576.8</v>
      </c>
      <c r="I147" s="485">
        <f t="shared" si="18"/>
        <v>122329.73723181368</v>
      </c>
      <c r="J147" s="42">
        <f>+SUMIFS('Distribution Substation Costs'!D:D,'Distribution Substation Costs'!B:B,'Distribution Substation Detail'!E147)</f>
        <v>144761.10999999999</v>
      </c>
      <c r="K147" s="485">
        <f t="shared" si="19"/>
        <v>144761.11000000002</v>
      </c>
      <c r="L147" s="2582">
        <f t="shared" si="21"/>
        <v>1338736.613182863</v>
      </c>
    </row>
    <row r="148" spans="2:12">
      <c r="B148" s="693">
        <f t="shared" si="20"/>
        <v>137</v>
      </c>
      <c r="C148" s="60">
        <v>1</v>
      </c>
      <c r="D148" s="290" t="s">
        <v>3982</v>
      </c>
      <c r="E148" s="2583" t="s">
        <v>3983</v>
      </c>
      <c r="F148" s="42">
        <f>+SUMIFS('Distribution Substation Costs'!E:E,'Distribution Substation Costs'!B:B,'Distribution Substation Detail'!E148)</f>
        <v>1892361.6700000002</v>
      </c>
      <c r="G148" s="485">
        <f t="shared" si="17"/>
        <v>2053362.8244149431</v>
      </c>
      <c r="H148" s="42">
        <f>+SUMIFS('Distribution Substation Costs'!C:C,'Distribution Substation Costs'!B:B,'Distribution Substation Detail'!E148)</f>
        <v>0</v>
      </c>
      <c r="I148" s="485">
        <f t="shared" si="18"/>
        <v>0</v>
      </c>
      <c r="J148" s="42">
        <f>+SUMIFS('Distribution Substation Costs'!D:D,'Distribution Substation Costs'!B:B,'Distribution Substation Detail'!E148)</f>
        <v>2656.29</v>
      </c>
      <c r="K148" s="485">
        <f t="shared" si="19"/>
        <v>2656.2900000000004</v>
      </c>
      <c r="L148" s="2582">
        <f t="shared" si="21"/>
        <v>2056019.1144149431</v>
      </c>
    </row>
    <row r="149" spans="2:12">
      <c r="B149" s="693">
        <f t="shared" si="20"/>
        <v>138</v>
      </c>
      <c r="C149" s="60">
        <v>1</v>
      </c>
      <c r="D149" s="290" t="s">
        <v>3984</v>
      </c>
      <c r="E149" s="2583" t="s">
        <v>3985</v>
      </c>
      <c r="F149" s="42">
        <f>+SUMIFS('Distribution Substation Costs'!E:E,'Distribution Substation Costs'!B:B,'Distribution Substation Detail'!E149)</f>
        <v>273032.34000000003</v>
      </c>
      <c r="G149" s="485">
        <f t="shared" si="17"/>
        <v>296261.79060106468</v>
      </c>
      <c r="H149" s="42">
        <f>+SUMIFS('Distribution Substation Costs'!C:C,'Distribution Substation Costs'!B:B,'Distribution Substation Detail'!E149)</f>
        <v>0</v>
      </c>
      <c r="I149" s="485">
        <f t="shared" si="18"/>
        <v>0</v>
      </c>
      <c r="J149" s="42">
        <f>+SUMIFS('Distribution Substation Costs'!D:D,'Distribution Substation Costs'!B:B,'Distribution Substation Detail'!E149)</f>
        <v>0</v>
      </c>
      <c r="K149" s="485">
        <f t="shared" si="19"/>
        <v>0</v>
      </c>
      <c r="L149" s="2582">
        <f t="shared" si="21"/>
        <v>296261.79060106468</v>
      </c>
    </row>
    <row r="150" spans="2:12">
      <c r="B150" s="693">
        <f t="shared" si="20"/>
        <v>139</v>
      </c>
      <c r="C150" s="60">
        <v>1</v>
      </c>
      <c r="D150" s="290" t="s">
        <v>3986</v>
      </c>
      <c r="E150" s="2583" t="s">
        <v>3987</v>
      </c>
      <c r="F150" s="42">
        <f>+SUMIFS('Distribution Substation Costs'!E:E,'Distribution Substation Costs'!B:B,'Distribution Substation Detail'!E150)</f>
        <v>3063708.9299999978</v>
      </c>
      <c r="G150" s="485">
        <f t="shared" si="17"/>
        <v>3324367.7048743428</v>
      </c>
      <c r="H150" s="42">
        <f>+SUMIFS('Distribution Substation Costs'!C:C,'Distribution Substation Costs'!B:B,'Distribution Substation Detail'!E150)</f>
        <v>19888.43</v>
      </c>
      <c r="I150" s="485">
        <f t="shared" si="18"/>
        <v>21234.197637334259</v>
      </c>
      <c r="J150" s="42">
        <f>+SUMIFS('Distribution Substation Costs'!D:D,'Distribution Substation Costs'!B:B,'Distribution Substation Detail'!E150)</f>
        <v>611388.35000000009</v>
      </c>
      <c r="K150" s="485">
        <f t="shared" si="19"/>
        <v>611388.35000000021</v>
      </c>
      <c r="L150" s="2582">
        <f t="shared" si="21"/>
        <v>3956990.2525116773</v>
      </c>
    </row>
    <row r="151" spans="2:12">
      <c r="B151" s="693">
        <f t="shared" si="20"/>
        <v>140</v>
      </c>
      <c r="C151" s="60">
        <v>1</v>
      </c>
      <c r="D151" s="290" t="s">
        <v>3988</v>
      </c>
      <c r="E151" s="2583" t="s">
        <v>3989</v>
      </c>
      <c r="F151" s="42">
        <f>+SUMIFS('Distribution Substation Costs'!E:E,'Distribution Substation Costs'!B:B,'Distribution Substation Detail'!E151)</f>
        <v>1203169.4399999997</v>
      </c>
      <c r="G151" s="485">
        <f t="shared" si="17"/>
        <v>1305534.4751133882</v>
      </c>
      <c r="H151" s="42">
        <f>+SUMIFS('Distribution Substation Costs'!C:C,'Distribution Substation Costs'!B:B,'Distribution Substation Detail'!E151)</f>
        <v>45274.770000000004</v>
      </c>
      <c r="I151" s="485">
        <f t="shared" si="18"/>
        <v>48338.32606016926</v>
      </c>
      <c r="J151" s="42">
        <f>+SUMIFS('Distribution Substation Costs'!D:D,'Distribution Substation Costs'!B:B,'Distribution Substation Detail'!E151)</f>
        <v>89720.809999999983</v>
      </c>
      <c r="K151" s="485">
        <f t="shared" si="19"/>
        <v>89720.81</v>
      </c>
      <c r="L151" s="2582">
        <f t="shared" si="21"/>
        <v>1443593.6111735576</v>
      </c>
    </row>
    <row r="152" spans="2:12">
      <c r="B152" s="693">
        <f t="shared" si="20"/>
        <v>141</v>
      </c>
      <c r="C152" s="60">
        <v>1</v>
      </c>
      <c r="D152" s="290" t="s">
        <v>3990</v>
      </c>
      <c r="E152" s="2583" t="s">
        <v>3991</v>
      </c>
      <c r="F152" s="42">
        <f>+SUMIFS('Distribution Substation Costs'!E:E,'Distribution Substation Costs'!B:B,'Distribution Substation Detail'!E152)</f>
        <v>73766.16</v>
      </c>
      <c r="G152" s="485">
        <f t="shared" si="17"/>
        <v>80042.146829070247</v>
      </c>
      <c r="H152" s="42">
        <f>+SUMIFS('Distribution Substation Costs'!C:C,'Distribution Substation Costs'!B:B,'Distribution Substation Detail'!E152)</f>
        <v>0</v>
      </c>
      <c r="I152" s="485">
        <f t="shared" si="18"/>
        <v>0</v>
      </c>
      <c r="J152" s="42">
        <f>+SUMIFS('Distribution Substation Costs'!D:D,'Distribution Substation Costs'!B:B,'Distribution Substation Detail'!E152)</f>
        <v>2117.98</v>
      </c>
      <c r="K152" s="485">
        <f t="shared" si="19"/>
        <v>2117.9800000000005</v>
      </c>
      <c r="L152" s="2582">
        <f t="shared" si="21"/>
        <v>82160.126829070243</v>
      </c>
    </row>
    <row r="153" spans="2:12">
      <c r="B153" s="693">
        <f t="shared" si="20"/>
        <v>142</v>
      </c>
      <c r="C153" s="60">
        <v>1</v>
      </c>
      <c r="D153" s="290" t="s">
        <v>3992</v>
      </c>
      <c r="E153" s="2583" t="s">
        <v>3993</v>
      </c>
      <c r="F153" s="42">
        <f>+SUMIFS('Distribution Substation Costs'!E:E,'Distribution Substation Costs'!B:B,'Distribution Substation Detail'!E153)</f>
        <v>82275.460000000006</v>
      </c>
      <c r="G153" s="485">
        <f t="shared" si="17"/>
        <v>89275.413682226324</v>
      </c>
      <c r="H153" s="42">
        <f>+SUMIFS('Distribution Substation Costs'!C:C,'Distribution Substation Costs'!B:B,'Distribution Substation Detail'!E153)</f>
        <v>0</v>
      </c>
      <c r="I153" s="485">
        <f t="shared" si="18"/>
        <v>0</v>
      </c>
      <c r="J153" s="42">
        <f>+SUMIFS('Distribution Substation Costs'!D:D,'Distribution Substation Costs'!B:B,'Distribution Substation Detail'!E153)</f>
        <v>1454.5300000000002</v>
      </c>
      <c r="K153" s="485">
        <f t="shared" si="19"/>
        <v>1454.5300000000004</v>
      </c>
      <c r="L153" s="2582">
        <f t="shared" si="21"/>
        <v>90729.943682226323</v>
      </c>
    </row>
    <row r="154" spans="2:12">
      <c r="B154" s="693">
        <f t="shared" si="20"/>
        <v>143</v>
      </c>
      <c r="C154" s="60">
        <v>1</v>
      </c>
      <c r="D154" s="290" t="s">
        <v>3994</v>
      </c>
      <c r="E154" s="2583" t="s">
        <v>3995</v>
      </c>
      <c r="F154" s="42">
        <f>+SUMIFS('Distribution Substation Costs'!E:E,'Distribution Substation Costs'!B:B,'Distribution Substation Detail'!E154)</f>
        <v>65361.3</v>
      </c>
      <c r="G154" s="485">
        <f t="shared" si="17"/>
        <v>70922.205677222591</v>
      </c>
      <c r="H154" s="42">
        <f>+SUMIFS('Distribution Substation Costs'!C:C,'Distribution Substation Costs'!B:B,'Distribution Substation Detail'!E154)</f>
        <v>0</v>
      </c>
      <c r="I154" s="485">
        <f t="shared" si="18"/>
        <v>0</v>
      </c>
      <c r="J154" s="42">
        <f>+SUMIFS('Distribution Substation Costs'!D:D,'Distribution Substation Costs'!B:B,'Distribution Substation Detail'!E154)</f>
        <v>2152.34</v>
      </c>
      <c r="K154" s="485">
        <f t="shared" si="19"/>
        <v>2152.3400000000006</v>
      </c>
      <c r="L154" s="2582">
        <f t="shared" si="21"/>
        <v>73074.545677222588</v>
      </c>
    </row>
    <row r="155" spans="2:12">
      <c r="B155" s="693">
        <f t="shared" si="20"/>
        <v>144</v>
      </c>
      <c r="C155" s="60">
        <v>1</v>
      </c>
      <c r="D155" s="290" t="s">
        <v>3996</v>
      </c>
      <c r="E155" s="2583" t="s">
        <v>3997</v>
      </c>
      <c r="F155" s="42">
        <f>+SUMIFS('Distribution Substation Costs'!E:E,'Distribution Substation Costs'!B:B,'Distribution Substation Detail'!E155)</f>
        <v>906864.06999999983</v>
      </c>
      <c r="G155" s="485">
        <f t="shared" si="17"/>
        <v>984019.5971289305</v>
      </c>
      <c r="H155" s="42">
        <f>+SUMIFS('Distribution Substation Costs'!C:C,'Distribution Substation Costs'!B:B,'Distribution Substation Detail'!E155)</f>
        <v>4625.62</v>
      </c>
      <c r="I155" s="485">
        <f t="shared" si="18"/>
        <v>4938.616536106977</v>
      </c>
      <c r="J155" s="42">
        <f>+SUMIFS('Distribution Substation Costs'!D:D,'Distribution Substation Costs'!B:B,'Distribution Substation Detail'!E155)</f>
        <v>184521.38</v>
      </c>
      <c r="K155" s="485">
        <f t="shared" si="19"/>
        <v>184521.38000000003</v>
      </c>
      <c r="L155" s="2582">
        <f t="shared" si="21"/>
        <v>1173479.5936650375</v>
      </c>
    </row>
    <row r="156" spans="2:12">
      <c r="B156" s="693">
        <f t="shared" si="20"/>
        <v>145</v>
      </c>
      <c r="C156" s="60">
        <v>1</v>
      </c>
      <c r="D156" s="290" t="s">
        <v>3998</v>
      </c>
      <c r="E156" s="2583" t="s">
        <v>3999</v>
      </c>
      <c r="F156" s="42">
        <f>+SUMIFS('Distribution Substation Costs'!E:E,'Distribution Substation Costs'!B:B,'Distribution Substation Detail'!E156)</f>
        <v>185104.90000000002</v>
      </c>
      <c r="G156" s="485">
        <f t="shared" si="17"/>
        <v>200853.52937688999</v>
      </c>
      <c r="H156" s="42">
        <f>+SUMIFS('Distribution Substation Costs'!C:C,'Distribution Substation Costs'!B:B,'Distribution Substation Detail'!E156)</f>
        <v>0</v>
      </c>
      <c r="I156" s="485">
        <f t="shared" si="18"/>
        <v>0</v>
      </c>
      <c r="J156" s="42">
        <f>+SUMIFS('Distribution Substation Costs'!D:D,'Distribution Substation Costs'!B:B,'Distribution Substation Detail'!E156)</f>
        <v>0</v>
      </c>
      <c r="K156" s="485">
        <f t="shared" si="19"/>
        <v>0</v>
      </c>
      <c r="L156" s="2582">
        <f t="shared" si="21"/>
        <v>200853.52937688999</v>
      </c>
    </row>
    <row r="157" spans="2:12">
      <c r="B157" s="693">
        <f t="shared" si="20"/>
        <v>146</v>
      </c>
      <c r="C157" s="60">
        <v>1</v>
      </c>
      <c r="D157" s="290" t="s">
        <v>4000</v>
      </c>
      <c r="E157" s="2583" t="s">
        <v>4001</v>
      </c>
      <c r="F157" s="42">
        <f>+SUMIFS('Distribution Substation Costs'!E:E,'Distribution Substation Costs'!B:B,'Distribution Substation Detail'!E157)</f>
        <v>3141538.5400000005</v>
      </c>
      <c r="G157" s="485">
        <f t="shared" si="17"/>
        <v>3408819.0179326539</v>
      </c>
      <c r="H157" s="42">
        <f>+SUMIFS('Distribution Substation Costs'!C:C,'Distribution Substation Costs'!B:B,'Distribution Substation Detail'!E157)</f>
        <v>178474.02</v>
      </c>
      <c r="I157" s="485">
        <f t="shared" si="18"/>
        <v>190550.61730913637</v>
      </c>
      <c r="J157" s="42">
        <f>+SUMIFS('Distribution Substation Costs'!D:D,'Distribution Substation Costs'!B:B,'Distribution Substation Detail'!E157)</f>
        <v>360810.22</v>
      </c>
      <c r="K157" s="485">
        <f t="shared" si="19"/>
        <v>360810.22000000003</v>
      </c>
      <c r="L157" s="2582">
        <f t="shared" si="21"/>
        <v>3960179.8552417904</v>
      </c>
    </row>
    <row r="158" spans="2:12">
      <c r="B158" s="693">
        <f t="shared" si="20"/>
        <v>147</v>
      </c>
      <c r="C158" s="60">
        <v>1</v>
      </c>
      <c r="D158" s="290" t="s">
        <v>4002</v>
      </c>
      <c r="E158" s="2583" t="s">
        <v>4003</v>
      </c>
      <c r="F158" s="42">
        <f>+SUMIFS('Distribution Substation Costs'!E:E,'Distribution Substation Costs'!B:B,'Distribution Substation Detail'!E158)</f>
        <v>108465.45999999999</v>
      </c>
      <c r="G158" s="485">
        <f t="shared" si="17"/>
        <v>117693.64536804742</v>
      </c>
      <c r="H158" s="42">
        <f>+SUMIFS('Distribution Substation Costs'!C:C,'Distribution Substation Costs'!B:B,'Distribution Substation Detail'!E158)</f>
        <v>0</v>
      </c>
      <c r="I158" s="485">
        <f t="shared" si="18"/>
        <v>0</v>
      </c>
      <c r="J158" s="42">
        <f>+SUMIFS('Distribution Substation Costs'!D:D,'Distribution Substation Costs'!B:B,'Distribution Substation Detail'!E158)</f>
        <v>14864.62</v>
      </c>
      <c r="K158" s="485">
        <f t="shared" si="19"/>
        <v>14864.620000000004</v>
      </c>
      <c r="L158" s="2582">
        <f t="shared" si="21"/>
        <v>132558.26536804743</v>
      </c>
    </row>
    <row r="159" spans="2:12">
      <c r="B159" s="693">
        <f t="shared" si="20"/>
        <v>148</v>
      </c>
      <c r="C159" s="60">
        <v>1</v>
      </c>
      <c r="D159" s="290" t="s">
        <v>4004</v>
      </c>
      <c r="E159" s="2583" t="s">
        <v>4005</v>
      </c>
      <c r="F159" s="42">
        <f>+SUMIFS('Distribution Substation Costs'!E:E,'Distribution Substation Costs'!B:B,'Distribution Substation Detail'!E159)</f>
        <v>1016847.1699999999</v>
      </c>
      <c r="G159" s="485">
        <f t="shared" si="17"/>
        <v>1103360.0025250677</v>
      </c>
      <c r="H159" s="42">
        <f>+SUMIFS('Distribution Substation Costs'!C:C,'Distribution Substation Costs'!B:B,'Distribution Substation Detail'!E159)</f>
        <v>0</v>
      </c>
      <c r="I159" s="485">
        <f t="shared" si="18"/>
        <v>0</v>
      </c>
      <c r="J159" s="42">
        <f>+SUMIFS('Distribution Substation Costs'!D:D,'Distribution Substation Costs'!B:B,'Distribution Substation Detail'!E159)</f>
        <v>83189.709999999992</v>
      </c>
      <c r="K159" s="485">
        <f t="shared" si="19"/>
        <v>83189.710000000006</v>
      </c>
      <c r="L159" s="2582">
        <f t="shared" si="21"/>
        <v>1186549.7125250676</v>
      </c>
    </row>
    <row r="160" spans="2:12">
      <c r="B160" s="693">
        <f t="shared" si="20"/>
        <v>149</v>
      </c>
      <c r="C160" s="60">
        <v>1</v>
      </c>
      <c r="D160" s="290" t="s">
        <v>4006</v>
      </c>
      <c r="E160" s="2583" t="s">
        <v>4007</v>
      </c>
      <c r="F160" s="42">
        <f>+SUMIFS('Distribution Substation Costs'!E:E,'Distribution Substation Costs'!B:B,'Distribution Substation Detail'!E160)</f>
        <v>160921.66</v>
      </c>
      <c r="G160" s="485">
        <f t="shared" si="17"/>
        <v>174612.79179637006</v>
      </c>
      <c r="H160" s="42">
        <f>+SUMIFS('Distribution Substation Costs'!C:C,'Distribution Substation Costs'!B:B,'Distribution Substation Detail'!E160)</f>
        <v>0</v>
      </c>
      <c r="I160" s="485">
        <f t="shared" si="18"/>
        <v>0</v>
      </c>
      <c r="J160" s="42">
        <f>+SUMIFS('Distribution Substation Costs'!D:D,'Distribution Substation Costs'!B:B,'Distribution Substation Detail'!E160)</f>
        <v>39214.5</v>
      </c>
      <c r="K160" s="485">
        <f t="shared" si="19"/>
        <v>39214.500000000007</v>
      </c>
      <c r="L160" s="2582">
        <f t="shared" si="21"/>
        <v>213827.29179637006</v>
      </c>
    </row>
    <row r="161" spans="2:12">
      <c r="B161" s="693">
        <f t="shared" si="20"/>
        <v>150</v>
      </c>
      <c r="C161" s="60">
        <v>1</v>
      </c>
      <c r="D161" s="290" t="s">
        <v>4008</v>
      </c>
      <c r="E161" s="2583" t="s">
        <v>4009</v>
      </c>
      <c r="F161" s="42">
        <f>+SUMIFS('Distribution Substation Costs'!E:E,'Distribution Substation Costs'!B:B,'Distribution Substation Detail'!E161)</f>
        <v>1572835.7599999998</v>
      </c>
      <c r="G161" s="485">
        <f t="shared" si="17"/>
        <v>1706651.8148692066</v>
      </c>
      <c r="H161" s="42">
        <f>+SUMIFS('Distribution Substation Costs'!C:C,'Distribution Substation Costs'!B:B,'Distribution Substation Detail'!E161)</f>
        <v>0</v>
      </c>
      <c r="I161" s="485">
        <f t="shared" si="18"/>
        <v>0</v>
      </c>
      <c r="J161" s="42">
        <f>+SUMIFS('Distribution Substation Costs'!D:D,'Distribution Substation Costs'!B:B,'Distribution Substation Detail'!E161)</f>
        <v>14513.58</v>
      </c>
      <c r="K161" s="485">
        <f t="shared" si="19"/>
        <v>14513.580000000004</v>
      </c>
      <c r="L161" s="2582">
        <f t="shared" si="21"/>
        <v>1721165.3948692067</v>
      </c>
    </row>
    <row r="162" spans="2:12">
      <c r="B162" s="693">
        <f t="shared" si="20"/>
        <v>151</v>
      </c>
      <c r="C162" s="60">
        <v>1</v>
      </c>
      <c r="D162" s="290" t="s">
        <v>4010</v>
      </c>
      <c r="E162" s="2583" t="s">
        <v>9259</v>
      </c>
      <c r="F162" s="42">
        <f>+SUMIFS('Distribution Substation Costs'!E:E,'Distribution Substation Costs'!B:B,'Distribution Substation Detail'!E162)</f>
        <v>0</v>
      </c>
      <c r="G162" s="485">
        <f t="shared" si="17"/>
        <v>0</v>
      </c>
      <c r="H162" s="42">
        <f>+SUMIFS('Distribution Substation Costs'!C:C,'Distribution Substation Costs'!B:B,'Distribution Substation Detail'!E162)</f>
        <v>0</v>
      </c>
      <c r="I162" s="485">
        <f t="shared" si="18"/>
        <v>0</v>
      </c>
      <c r="J162" s="42">
        <f>+SUMIFS('Distribution Substation Costs'!D:D,'Distribution Substation Costs'!B:B,'Distribution Substation Detail'!E162)</f>
        <v>0</v>
      </c>
      <c r="K162" s="485">
        <f t="shared" si="19"/>
        <v>0</v>
      </c>
      <c r="L162" s="2582">
        <f t="shared" si="21"/>
        <v>0</v>
      </c>
    </row>
    <row r="163" spans="2:12">
      <c r="B163" s="693">
        <f t="shared" si="20"/>
        <v>152</v>
      </c>
      <c r="C163" s="60">
        <v>1</v>
      </c>
      <c r="D163" s="290" t="s">
        <v>4011</v>
      </c>
      <c r="E163" s="2583" t="s">
        <v>4012</v>
      </c>
      <c r="F163" s="42">
        <f>+SUMIFS('Distribution Substation Costs'!E:E,'Distribution Substation Costs'!B:B,'Distribution Substation Detail'!E163)</f>
        <v>958840.28999999969</v>
      </c>
      <c r="G163" s="485">
        <f t="shared" si="17"/>
        <v>1040417.9271065252</v>
      </c>
      <c r="H163" s="42">
        <f>+SUMIFS('Distribution Substation Costs'!C:C,'Distribution Substation Costs'!B:B,'Distribution Substation Detail'!E163)</f>
        <v>550026.44000000006</v>
      </c>
      <c r="I163" s="485">
        <f t="shared" si="18"/>
        <v>587244.4497991734</v>
      </c>
      <c r="J163" s="42">
        <f>+SUMIFS('Distribution Substation Costs'!D:D,'Distribution Substation Costs'!B:B,'Distribution Substation Detail'!E163)</f>
        <v>578059.19999999995</v>
      </c>
      <c r="K163" s="485">
        <f t="shared" si="19"/>
        <v>578059.20000000007</v>
      </c>
      <c r="L163" s="2582">
        <f t="shared" si="21"/>
        <v>2205721.5769056985</v>
      </c>
    </row>
    <row r="164" spans="2:12">
      <c r="B164" s="693">
        <f t="shared" si="20"/>
        <v>153</v>
      </c>
      <c r="C164" s="60">
        <v>1</v>
      </c>
      <c r="D164" s="290" t="s">
        <v>4013</v>
      </c>
      <c r="E164" s="2583" t="s">
        <v>4014</v>
      </c>
      <c r="F164" s="42">
        <f>+SUMIFS('Distribution Substation Costs'!E:E,'Distribution Substation Costs'!B:B,'Distribution Substation Detail'!E164)</f>
        <v>1979127.2200000007</v>
      </c>
      <c r="G164" s="485">
        <f t="shared" si="17"/>
        <v>2147510.3426374597</v>
      </c>
      <c r="H164" s="42">
        <f>+SUMIFS('Distribution Substation Costs'!C:C,'Distribution Substation Costs'!B:B,'Distribution Substation Detail'!E164)</f>
        <v>0</v>
      </c>
      <c r="I164" s="485">
        <f t="shared" si="18"/>
        <v>0</v>
      </c>
      <c r="J164" s="42">
        <f>+SUMIFS('Distribution Substation Costs'!D:D,'Distribution Substation Costs'!B:B,'Distribution Substation Detail'!E164)</f>
        <v>178752.24000000002</v>
      </c>
      <c r="K164" s="485">
        <f t="shared" si="19"/>
        <v>178752.24000000005</v>
      </c>
      <c r="L164" s="2582">
        <f t="shared" si="21"/>
        <v>2326262.58263746</v>
      </c>
    </row>
    <row r="165" spans="2:12">
      <c r="B165" s="693">
        <f t="shared" si="20"/>
        <v>154</v>
      </c>
      <c r="C165" s="60">
        <v>1</v>
      </c>
      <c r="D165" s="290" t="s">
        <v>4015</v>
      </c>
      <c r="E165" s="2583" t="s">
        <v>4016</v>
      </c>
      <c r="F165" s="42">
        <f>+SUMIFS('Distribution Substation Costs'!E:E,'Distribution Substation Costs'!B:B,'Distribution Substation Detail'!E165)</f>
        <v>1850538.3799999997</v>
      </c>
      <c r="G165" s="485">
        <f t="shared" si="17"/>
        <v>2007981.230482782</v>
      </c>
      <c r="H165" s="42">
        <f>+SUMIFS('Distribution Substation Costs'!C:C,'Distribution Substation Costs'!B:B,'Distribution Substation Detail'!E165)</f>
        <v>725769.94000000006</v>
      </c>
      <c r="I165" s="485">
        <f t="shared" si="18"/>
        <v>774879.78413561196</v>
      </c>
      <c r="J165" s="42">
        <f>+SUMIFS('Distribution Substation Costs'!D:D,'Distribution Substation Costs'!B:B,'Distribution Substation Detail'!E165)</f>
        <v>968806.22</v>
      </c>
      <c r="K165" s="485">
        <f t="shared" si="19"/>
        <v>968806.2200000002</v>
      </c>
      <c r="L165" s="2582">
        <f t="shared" si="21"/>
        <v>3751667.2346183942</v>
      </c>
    </row>
    <row r="166" spans="2:12">
      <c r="B166" s="693">
        <f t="shared" si="20"/>
        <v>155</v>
      </c>
      <c r="C166" s="60">
        <v>1</v>
      </c>
      <c r="D166" s="290" t="s">
        <v>4017</v>
      </c>
      <c r="E166" s="2583" t="s">
        <v>4018</v>
      </c>
      <c r="F166" s="42">
        <f>+SUMIFS('Distribution Substation Costs'!E:E,'Distribution Substation Costs'!B:B,'Distribution Substation Detail'!E166)</f>
        <v>314625.54000000004</v>
      </c>
      <c r="G166" s="485">
        <f t="shared" si="17"/>
        <v>341393.71859475289</v>
      </c>
      <c r="H166" s="42">
        <f>+SUMIFS('Distribution Substation Costs'!C:C,'Distribution Substation Costs'!B:B,'Distribution Substation Detail'!E166)</f>
        <v>688082.1</v>
      </c>
      <c r="I166" s="485">
        <f t="shared" si="18"/>
        <v>734641.76418711757</v>
      </c>
      <c r="J166" s="42">
        <f>+SUMIFS('Distribution Substation Costs'!D:D,'Distribution Substation Costs'!B:B,'Distribution Substation Detail'!E166)</f>
        <v>409157.32999999996</v>
      </c>
      <c r="K166" s="485">
        <f t="shared" si="19"/>
        <v>409157.33000000007</v>
      </c>
      <c r="L166" s="2582">
        <f t="shared" si="21"/>
        <v>1485192.8127818706</v>
      </c>
    </row>
    <row r="167" spans="2:12">
      <c r="B167" s="693">
        <f t="shared" si="20"/>
        <v>156</v>
      </c>
      <c r="C167" s="60">
        <v>1</v>
      </c>
      <c r="D167" s="290" t="s">
        <v>3340</v>
      </c>
      <c r="E167" s="2583" t="s">
        <v>3341</v>
      </c>
      <c r="F167" s="42">
        <f>+SUMIFS('Distribution Substation Costs'!E:E,'Distribution Substation Costs'!B:B,'Distribution Substation Detail'!E167)</f>
        <v>0</v>
      </c>
      <c r="G167" s="485">
        <f t="shared" si="17"/>
        <v>0</v>
      </c>
      <c r="H167" s="42">
        <f>+SUMIFS('Distribution Substation Costs'!C:C,'Distribution Substation Costs'!B:B,'Distribution Substation Detail'!E167)</f>
        <v>0</v>
      </c>
      <c r="I167" s="485">
        <f t="shared" si="18"/>
        <v>0</v>
      </c>
      <c r="J167" s="42">
        <f>+SUMIFS('Distribution Substation Costs'!D:D,'Distribution Substation Costs'!B:B,'Distribution Substation Detail'!E167)</f>
        <v>0</v>
      </c>
      <c r="K167" s="485">
        <f t="shared" si="19"/>
        <v>0</v>
      </c>
      <c r="L167" s="2582">
        <f t="shared" si="21"/>
        <v>0</v>
      </c>
    </row>
    <row r="168" spans="2:12">
      <c r="B168" s="693">
        <f t="shared" si="20"/>
        <v>157</v>
      </c>
      <c r="C168" s="60">
        <v>1</v>
      </c>
      <c r="D168" s="290" t="s">
        <v>4019</v>
      </c>
      <c r="E168" s="2583" t="s">
        <v>4020</v>
      </c>
      <c r="F168" s="42">
        <f>+SUMIFS('Distribution Substation Costs'!E:E,'Distribution Substation Costs'!B:B,'Distribution Substation Detail'!E168)</f>
        <v>1984942.4700000004</v>
      </c>
      <c r="G168" s="485">
        <f t="shared" si="17"/>
        <v>2153820.3511067596</v>
      </c>
      <c r="H168" s="42">
        <f>+SUMIFS('Distribution Substation Costs'!C:C,'Distribution Substation Costs'!B:B,'Distribution Substation Detail'!E168)</f>
        <v>0</v>
      </c>
      <c r="I168" s="485">
        <f t="shared" si="18"/>
        <v>0</v>
      </c>
      <c r="J168" s="42">
        <f>+SUMIFS('Distribution Substation Costs'!D:D,'Distribution Substation Costs'!B:B,'Distribution Substation Detail'!E168)</f>
        <v>1560939.85</v>
      </c>
      <c r="K168" s="485">
        <f t="shared" si="19"/>
        <v>1560939.8500000003</v>
      </c>
      <c r="L168" s="2582">
        <f t="shared" si="21"/>
        <v>3714760.2011067597</v>
      </c>
    </row>
    <row r="169" spans="2:12">
      <c r="B169" s="693">
        <f t="shared" si="20"/>
        <v>158</v>
      </c>
      <c r="C169" s="60">
        <v>1</v>
      </c>
      <c r="D169" s="290" t="s">
        <v>4021</v>
      </c>
      <c r="E169" s="2583" t="s">
        <v>4022</v>
      </c>
      <c r="F169" s="42">
        <f>+SUMIFS('Distribution Substation Costs'!E:E,'Distribution Substation Costs'!B:B,'Distribution Substation Detail'!E169)</f>
        <v>2050190.34</v>
      </c>
      <c r="G169" s="485">
        <f t="shared" si="17"/>
        <v>2224619.4762181123</v>
      </c>
      <c r="H169" s="42">
        <f>+SUMIFS('Distribution Substation Costs'!C:C,'Distribution Substation Costs'!B:B,'Distribution Substation Detail'!E169)</f>
        <v>0</v>
      </c>
      <c r="I169" s="485">
        <f t="shared" si="18"/>
        <v>0</v>
      </c>
      <c r="J169" s="42">
        <f>+SUMIFS('Distribution Substation Costs'!D:D,'Distribution Substation Costs'!B:B,'Distribution Substation Detail'!E169)</f>
        <v>0</v>
      </c>
      <c r="K169" s="485">
        <f t="shared" si="19"/>
        <v>0</v>
      </c>
      <c r="L169" s="2582">
        <f t="shared" si="21"/>
        <v>2224619.4762181123</v>
      </c>
    </row>
    <row r="170" spans="2:12">
      <c r="B170" s="693">
        <f t="shared" si="20"/>
        <v>159</v>
      </c>
      <c r="C170" s="60">
        <v>1</v>
      </c>
      <c r="D170" s="290" t="s">
        <v>8324</v>
      </c>
      <c r="E170" s="2584" t="s">
        <v>8280</v>
      </c>
      <c r="F170" s="42">
        <f>+SUMIFS('Distribution Substation Costs'!E:E,'Distribution Substation Costs'!B:B,'Distribution Substation Detail'!E170)</f>
        <v>3255367.93</v>
      </c>
      <c r="G170" s="485">
        <f t="shared" si="17"/>
        <v>3532332.9536972847</v>
      </c>
      <c r="H170" s="42">
        <f>+SUMIFS('Distribution Substation Costs'!C:C,'Distribution Substation Costs'!B:B,'Distribution Substation Detail'!E170)</f>
        <v>0</v>
      </c>
      <c r="I170" s="485">
        <f t="shared" si="18"/>
        <v>0</v>
      </c>
      <c r="J170" s="42">
        <f>+SUMIFS('Distribution Substation Costs'!D:D,'Distribution Substation Costs'!B:B,'Distribution Substation Detail'!E170)</f>
        <v>418625.54</v>
      </c>
      <c r="K170" s="485">
        <f t="shared" si="19"/>
        <v>418625.5400000001</v>
      </c>
      <c r="L170" s="2582">
        <f>+G170+I170+K170</f>
        <v>3950958.4936972847</v>
      </c>
    </row>
    <row r="171" spans="2:12">
      <c r="B171" s="693">
        <f t="shared" si="20"/>
        <v>160</v>
      </c>
      <c r="C171" s="60">
        <v>1</v>
      </c>
      <c r="D171" s="290" t="s">
        <v>4023</v>
      </c>
      <c r="E171" s="2583" t="s">
        <v>4024</v>
      </c>
      <c r="F171" s="42">
        <f>+SUMIFS('Distribution Substation Costs'!E:E,'Distribution Substation Costs'!B:B,'Distribution Substation Detail'!E171)</f>
        <v>2215583.15</v>
      </c>
      <c r="G171" s="485">
        <f t="shared" si="17"/>
        <v>2404083.821149345</v>
      </c>
      <c r="H171" s="42">
        <f>+SUMIFS('Distribution Substation Costs'!C:C,'Distribution Substation Costs'!B:B,'Distribution Substation Detail'!E171)</f>
        <v>0</v>
      </c>
      <c r="I171" s="485">
        <f t="shared" si="18"/>
        <v>0</v>
      </c>
      <c r="J171" s="42">
        <f>+SUMIFS('Distribution Substation Costs'!D:D,'Distribution Substation Costs'!B:B,'Distribution Substation Detail'!E171)</f>
        <v>1962179.7299999997</v>
      </c>
      <c r="K171" s="485">
        <f t="shared" si="19"/>
        <v>1962179.7300000002</v>
      </c>
      <c r="L171" s="2582">
        <f t="shared" si="21"/>
        <v>4366263.551149345</v>
      </c>
    </row>
    <row r="172" spans="2:12">
      <c r="B172" s="693">
        <f t="shared" si="20"/>
        <v>161</v>
      </c>
      <c r="C172" s="60">
        <v>1</v>
      </c>
      <c r="D172" s="290" t="s">
        <v>4025</v>
      </c>
      <c r="E172" s="2583" t="s">
        <v>4026</v>
      </c>
      <c r="F172" s="42">
        <f>+SUMIFS('Distribution Substation Costs'!E:E,'Distribution Substation Costs'!B:B,'Distribution Substation Detail'!E172)</f>
        <v>2486078.5999999996</v>
      </c>
      <c r="G172" s="485">
        <f t="shared" si="17"/>
        <v>2697592.8844582583</v>
      </c>
      <c r="H172" s="42">
        <f>+SUMIFS('Distribution Substation Costs'!C:C,'Distribution Substation Costs'!B:B,'Distribution Substation Detail'!E172)</f>
        <v>0</v>
      </c>
      <c r="I172" s="485">
        <f t="shared" si="18"/>
        <v>0</v>
      </c>
      <c r="J172" s="42">
        <f>+SUMIFS('Distribution Substation Costs'!D:D,'Distribution Substation Costs'!B:B,'Distribution Substation Detail'!E172)</f>
        <v>0</v>
      </c>
      <c r="K172" s="485">
        <f t="shared" si="19"/>
        <v>0</v>
      </c>
      <c r="L172" s="2582">
        <f t="shared" si="21"/>
        <v>2697592.8844582583</v>
      </c>
    </row>
    <row r="173" spans="2:12">
      <c r="B173" s="693">
        <f t="shared" si="20"/>
        <v>162</v>
      </c>
      <c r="C173" s="60">
        <v>1</v>
      </c>
      <c r="D173" s="290" t="s">
        <v>3358</v>
      </c>
      <c r="E173" s="2583" t="s">
        <v>3359</v>
      </c>
      <c r="F173" s="42">
        <f>+SUMIFS('Distribution Substation Costs'!E:E,'Distribution Substation Costs'!B:B,'Distribution Substation Detail'!E173)</f>
        <v>1296841.5</v>
      </c>
      <c r="G173" s="485">
        <f t="shared" ref="G173:G179" si="22">+F173*F$202*F$213</f>
        <v>1407176.1056429087</v>
      </c>
      <c r="H173" s="42">
        <f>+SUMIFS('Distribution Substation Costs'!C:C,'Distribution Substation Costs'!B:B,'Distribution Substation Detail'!E173)</f>
        <v>0</v>
      </c>
      <c r="I173" s="485">
        <f t="shared" ref="I173:I179" si="23">+H173*H$202*H$213</f>
        <v>0</v>
      </c>
      <c r="J173" s="42">
        <f>+SUMIFS('Distribution Substation Costs'!D:D,'Distribution Substation Costs'!B:B,'Distribution Substation Detail'!E173)</f>
        <v>650896.85999999987</v>
      </c>
      <c r="K173" s="485">
        <f t="shared" ref="K173:K179" si="24">+J173*J$202*J$213</f>
        <v>650896.86</v>
      </c>
      <c r="L173" s="2582">
        <f t="shared" si="21"/>
        <v>2058072.9656429086</v>
      </c>
    </row>
    <row r="174" spans="2:12">
      <c r="B174" s="693">
        <f t="shared" si="20"/>
        <v>163</v>
      </c>
      <c r="C174" s="60">
        <v>1</v>
      </c>
      <c r="D174" s="290" t="s">
        <v>8325</v>
      </c>
      <c r="E174" s="2584" t="s">
        <v>8281</v>
      </c>
      <c r="F174" s="42">
        <f>+SUMIFS('Distribution Substation Costs'!E:E,'Distribution Substation Costs'!B:B,'Distribution Substation Detail'!E174)</f>
        <v>492243.31000000006</v>
      </c>
      <c r="G174" s="485">
        <f t="shared" si="22"/>
        <v>534123.11681464163</v>
      </c>
      <c r="H174" s="42">
        <f>+SUMIFS('Distribution Substation Costs'!C:C,'Distribution Substation Costs'!B:B,'Distribution Substation Detail'!E174)</f>
        <v>0</v>
      </c>
      <c r="I174" s="485">
        <f t="shared" si="23"/>
        <v>0</v>
      </c>
      <c r="J174" s="42">
        <f>+SUMIFS('Distribution Substation Costs'!D:D,'Distribution Substation Costs'!B:B,'Distribution Substation Detail'!E174)</f>
        <v>0</v>
      </c>
      <c r="K174" s="485">
        <f t="shared" si="24"/>
        <v>0</v>
      </c>
      <c r="L174" s="2582">
        <f>+G174+I174+K174</f>
        <v>534123.11681464163</v>
      </c>
    </row>
    <row r="175" spans="2:12">
      <c r="B175" s="693">
        <f t="shared" si="20"/>
        <v>164</v>
      </c>
      <c r="C175" s="60">
        <v>1</v>
      </c>
      <c r="D175" s="290" t="s">
        <v>4027</v>
      </c>
      <c r="E175" s="2583" t="s">
        <v>4028</v>
      </c>
      <c r="F175" s="42">
        <f>+SUMIFS('Distribution Substation Costs'!E:E,'Distribution Substation Costs'!B:B,'Distribution Substation Detail'!E175)</f>
        <v>15408.960000000001</v>
      </c>
      <c r="G175" s="485">
        <f t="shared" si="22"/>
        <v>16719.946365694926</v>
      </c>
      <c r="H175" s="42">
        <f>+SUMIFS('Distribution Substation Costs'!C:C,'Distribution Substation Costs'!B:B,'Distribution Substation Detail'!E175)</f>
        <v>0</v>
      </c>
      <c r="I175" s="485">
        <f t="shared" si="23"/>
        <v>0</v>
      </c>
      <c r="J175" s="42">
        <f>+SUMIFS('Distribution Substation Costs'!D:D,'Distribution Substation Costs'!B:B,'Distribution Substation Detail'!E175)</f>
        <v>0</v>
      </c>
      <c r="K175" s="485">
        <f t="shared" si="24"/>
        <v>0</v>
      </c>
      <c r="L175" s="2582">
        <f t="shared" si="21"/>
        <v>16719.946365694926</v>
      </c>
    </row>
    <row r="176" spans="2:12">
      <c r="B176" s="693">
        <f t="shared" si="20"/>
        <v>165</v>
      </c>
      <c r="C176" s="60">
        <v>1</v>
      </c>
      <c r="D176" s="290" t="s">
        <v>4029</v>
      </c>
      <c r="E176" s="2583" t="s">
        <v>4030</v>
      </c>
      <c r="F176" s="42">
        <f>+SUMIFS('Distribution Substation Costs'!E:E,'Distribution Substation Costs'!B:B,'Distribution Substation Detail'!E176)</f>
        <v>7943.6</v>
      </c>
      <c r="G176" s="485">
        <f t="shared" si="22"/>
        <v>8619.4373890602747</v>
      </c>
      <c r="H176" s="42">
        <f>+SUMIFS('Distribution Substation Costs'!C:C,'Distribution Substation Costs'!B:B,'Distribution Substation Detail'!E176)</f>
        <v>0</v>
      </c>
      <c r="I176" s="485">
        <f t="shared" si="23"/>
        <v>0</v>
      </c>
      <c r="J176" s="42">
        <f>+SUMIFS('Distribution Substation Costs'!D:D,'Distribution Substation Costs'!B:B,'Distribution Substation Detail'!E176)</f>
        <v>0</v>
      </c>
      <c r="K176" s="485">
        <f t="shared" si="24"/>
        <v>0</v>
      </c>
      <c r="L176" s="2582">
        <f t="shared" si="21"/>
        <v>8619.4373890602747</v>
      </c>
    </row>
    <row r="177" spans="2:12">
      <c r="B177" s="693">
        <f t="shared" si="20"/>
        <v>166</v>
      </c>
      <c r="C177" s="60">
        <v>1</v>
      </c>
      <c r="D177" s="290" t="s">
        <v>4031</v>
      </c>
      <c r="E177" s="2583" t="s">
        <v>4032</v>
      </c>
      <c r="F177" s="42">
        <f>+SUMIFS('Distribution Substation Costs'!E:E,'Distribution Substation Costs'!B:B,'Distribution Substation Detail'!E177)</f>
        <v>66738.450000000012</v>
      </c>
      <c r="G177" s="485">
        <f t="shared" si="22"/>
        <v>72416.52288860589</v>
      </c>
      <c r="H177" s="42">
        <f>+SUMIFS('Distribution Substation Costs'!C:C,'Distribution Substation Costs'!B:B,'Distribution Substation Detail'!E177)</f>
        <v>0</v>
      </c>
      <c r="I177" s="485">
        <f t="shared" si="23"/>
        <v>0</v>
      </c>
      <c r="J177" s="42">
        <f>+SUMIFS('Distribution Substation Costs'!D:D,'Distribution Substation Costs'!B:B,'Distribution Substation Detail'!E177)</f>
        <v>-0.02</v>
      </c>
      <c r="K177" s="485">
        <f t="shared" si="24"/>
        <v>-2.0000000000000004E-2</v>
      </c>
      <c r="L177" s="2582">
        <f t="shared" si="21"/>
        <v>72416.502888605886</v>
      </c>
    </row>
    <row r="178" spans="2:12">
      <c r="B178" s="693">
        <f t="shared" si="20"/>
        <v>167</v>
      </c>
      <c r="C178" s="60">
        <v>1</v>
      </c>
      <c r="D178" s="290" t="s">
        <v>4033</v>
      </c>
      <c r="E178" s="2583" t="s">
        <v>4034</v>
      </c>
      <c r="F178" s="42">
        <f>+SUMIFS('Distribution Substation Costs'!E:E,'Distribution Substation Costs'!B:B,'Distribution Substation Detail'!E178)</f>
        <v>0</v>
      </c>
      <c r="G178" s="485">
        <f t="shared" si="22"/>
        <v>0</v>
      </c>
      <c r="H178" s="42">
        <f>+SUMIFS('Distribution Substation Costs'!C:C,'Distribution Substation Costs'!B:B,'Distribution Substation Detail'!E178)</f>
        <v>0</v>
      </c>
      <c r="I178" s="485">
        <f t="shared" si="23"/>
        <v>0</v>
      </c>
      <c r="J178" s="42">
        <f>+SUMIFS('Distribution Substation Costs'!D:D,'Distribution Substation Costs'!B:B,'Distribution Substation Detail'!E178)</f>
        <v>0</v>
      </c>
      <c r="K178" s="485">
        <f t="shared" si="24"/>
        <v>0</v>
      </c>
      <c r="L178" s="2582">
        <f t="shared" si="21"/>
        <v>0</v>
      </c>
    </row>
    <row r="179" spans="2:12">
      <c r="B179" s="693">
        <f t="shared" si="20"/>
        <v>168</v>
      </c>
      <c r="C179" s="60">
        <v>1</v>
      </c>
      <c r="D179" s="290" t="s">
        <v>3420</v>
      </c>
      <c r="E179" s="2583" t="s">
        <v>3421</v>
      </c>
      <c r="F179" s="42">
        <f>+SUMIFS('Distribution Substation Costs'!E:E,'Distribution Substation Costs'!B:B,'Distribution Substation Detail'!E179)</f>
        <v>15192329.749999996</v>
      </c>
      <c r="G179" s="485">
        <f t="shared" si="22"/>
        <v>16484885.325807279</v>
      </c>
      <c r="H179" s="42">
        <f>+SUMIFS('Distribution Substation Costs'!C:C,'Distribution Substation Costs'!B:B,'Distribution Substation Detail'!E179)</f>
        <v>0</v>
      </c>
      <c r="I179" s="485">
        <f t="shared" si="23"/>
        <v>0</v>
      </c>
      <c r="J179" s="42">
        <f>+SUMIFS('Distribution Substation Costs'!D:D,'Distribution Substation Costs'!B:B,'Distribution Substation Detail'!E179)</f>
        <v>0</v>
      </c>
      <c r="K179" s="485">
        <f t="shared" si="24"/>
        <v>0</v>
      </c>
      <c r="L179" s="2582">
        <f t="shared" si="21"/>
        <v>16484885.325807279</v>
      </c>
    </row>
    <row r="180" spans="2:12">
      <c r="B180" s="693">
        <f t="shared" si="20"/>
        <v>169</v>
      </c>
      <c r="C180" s="60"/>
      <c r="D180" s="378"/>
      <c r="E180" s="2583"/>
      <c r="F180" s="42"/>
      <c r="G180" s="485"/>
      <c r="H180" s="42"/>
      <c r="I180" s="485"/>
      <c r="J180" s="42"/>
      <c r="K180" s="485"/>
      <c r="L180" s="2582"/>
    </row>
    <row r="181" spans="2:12">
      <c r="B181" s="693">
        <f t="shared" si="20"/>
        <v>170</v>
      </c>
      <c r="C181" s="60"/>
      <c r="D181" s="290"/>
      <c r="E181" s="2583"/>
      <c r="F181" s="42"/>
      <c r="G181" s="485"/>
      <c r="H181" s="42"/>
      <c r="I181" s="485"/>
      <c r="J181" s="42"/>
      <c r="K181" s="485"/>
      <c r="L181" s="2582"/>
    </row>
    <row r="182" spans="2:12">
      <c r="B182" s="693">
        <f t="shared" si="20"/>
        <v>171</v>
      </c>
      <c r="C182" s="60"/>
      <c r="D182" s="290"/>
      <c r="E182" s="96"/>
      <c r="F182" s="439"/>
      <c r="G182" s="2585"/>
      <c r="H182" s="439"/>
      <c r="I182" s="2585"/>
      <c r="J182" s="439"/>
      <c r="K182" s="2585"/>
      <c r="L182" s="2586"/>
    </row>
    <row r="183" spans="2:12">
      <c r="B183" s="693">
        <f t="shared" si="20"/>
        <v>172</v>
      </c>
      <c r="C183" s="290"/>
      <c r="D183" s="290"/>
      <c r="E183" s="96"/>
      <c r="F183" s="694"/>
      <c r="G183" s="485"/>
      <c r="H183" s="694"/>
      <c r="I183" s="485"/>
      <c r="J183" s="694"/>
      <c r="K183" s="485"/>
      <c r="L183" s="2582"/>
    </row>
    <row r="184" spans="2:12">
      <c r="B184" s="693">
        <f t="shared" si="20"/>
        <v>173</v>
      </c>
      <c r="C184" s="548"/>
      <c r="D184" s="328"/>
      <c r="E184" s="328" t="s">
        <v>4035</v>
      </c>
      <c r="F184" s="42">
        <f t="shared" ref="F184:L184" si="25">+SUM(F11:F179)</f>
        <v>305249755.53000021</v>
      </c>
      <c r="G184" s="42">
        <f t="shared" si="25"/>
        <v>331220247.21999961</v>
      </c>
      <c r="H184" s="42">
        <f t="shared" si="25"/>
        <v>9478417.3200000022</v>
      </c>
      <c r="I184" s="42">
        <f t="shared" si="25"/>
        <v>10119782.539999994</v>
      </c>
      <c r="J184" s="42">
        <f t="shared" si="25"/>
        <v>34138496.829999991</v>
      </c>
      <c r="K184" s="42">
        <f t="shared" si="25"/>
        <v>34138496.829999998</v>
      </c>
      <c r="L184" s="2582">
        <f t="shared" si="25"/>
        <v>375478526.58999991</v>
      </c>
    </row>
    <row r="185" spans="2:12">
      <c r="B185" s="693">
        <f t="shared" si="20"/>
        <v>174</v>
      </c>
      <c r="C185" s="548"/>
      <c r="D185" s="328"/>
      <c r="E185" s="328"/>
      <c r="F185" s="653"/>
      <c r="G185" s="485"/>
      <c r="H185" s="653"/>
      <c r="I185" s="485"/>
      <c r="J185" s="653"/>
      <c r="K185" s="485"/>
      <c r="L185" s="2582"/>
    </row>
    <row r="186" spans="2:12">
      <c r="B186" s="693">
        <f t="shared" si="20"/>
        <v>175</v>
      </c>
      <c r="C186" s="548"/>
      <c r="D186" s="328"/>
      <c r="E186" s="328" t="s">
        <v>4036</v>
      </c>
      <c r="F186" s="2587">
        <v>0</v>
      </c>
      <c r="G186" s="538"/>
      <c r="H186" s="2587">
        <v>0</v>
      </c>
      <c r="I186" s="538"/>
      <c r="J186" s="2587">
        <v>0</v>
      </c>
      <c r="K186" s="538"/>
      <c r="L186" s="2588">
        <v>0</v>
      </c>
    </row>
    <row r="187" spans="2:12">
      <c r="B187" s="693">
        <f t="shared" si="20"/>
        <v>176</v>
      </c>
      <c r="C187" s="548"/>
      <c r="D187" s="328"/>
      <c r="E187" s="328" t="s">
        <v>4037</v>
      </c>
      <c r="F187" s="2587">
        <v>0</v>
      </c>
      <c r="G187" s="538"/>
      <c r="H187" s="2587">
        <v>0</v>
      </c>
      <c r="I187" s="538"/>
      <c r="J187" s="2587">
        <v>0</v>
      </c>
      <c r="K187" s="538"/>
      <c r="L187" s="2588">
        <v>0</v>
      </c>
    </row>
    <row r="188" spans="2:12">
      <c r="B188" s="693">
        <f t="shared" si="20"/>
        <v>177</v>
      </c>
      <c r="C188" s="548"/>
      <c r="D188" s="328"/>
      <c r="E188" s="328"/>
      <c r="F188" s="653"/>
      <c r="G188" s="485"/>
      <c r="H188" s="653"/>
      <c r="I188" s="485"/>
      <c r="J188" s="653"/>
      <c r="K188" s="485"/>
      <c r="L188" s="2582"/>
    </row>
    <row r="189" spans="2:12">
      <c r="B189" s="693">
        <f t="shared" si="20"/>
        <v>178</v>
      </c>
      <c r="C189" s="548"/>
      <c r="D189" s="328"/>
      <c r="E189" s="328" t="s">
        <v>4038</v>
      </c>
      <c r="F189" s="686">
        <f t="shared" ref="F189:L189" si="26">+SUM(F184:F187)</f>
        <v>305249755.53000021</v>
      </c>
      <c r="G189" s="686">
        <f t="shared" si="26"/>
        <v>331220247.21999961</v>
      </c>
      <c r="H189" s="686">
        <f t="shared" si="26"/>
        <v>9478417.3200000022</v>
      </c>
      <c r="I189" s="686">
        <f t="shared" si="26"/>
        <v>10119782.539999994</v>
      </c>
      <c r="J189" s="686">
        <f t="shared" si="26"/>
        <v>34138496.829999991</v>
      </c>
      <c r="K189" s="686">
        <f t="shared" si="26"/>
        <v>34138496.829999998</v>
      </c>
      <c r="L189" s="690">
        <f t="shared" si="26"/>
        <v>375478526.58999991</v>
      </c>
    </row>
    <row r="190" spans="2:12">
      <c r="B190" s="693">
        <f t="shared" si="20"/>
        <v>179</v>
      </c>
      <c r="C190" s="548"/>
      <c r="D190" s="328"/>
      <c r="E190" s="328" t="s">
        <v>4039</v>
      </c>
      <c r="F190" s="2589">
        <v>0</v>
      </c>
      <c r="G190" s="2585"/>
      <c r="H190" s="2589">
        <v>0</v>
      </c>
      <c r="I190" s="2585"/>
      <c r="J190" s="2589">
        <v>0</v>
      </c>
      <c r="K190" s="2585"/>
      <c r="L190" s="2586">
        <f>+G190+I190+K190</f>
        <v>0</v>
      </c>
    </row>
    <row r="191" spans="2:12">
      <c r="B191" s="693">
        <f t="shared" si="20"/>
        <v>180</v>
      </c>
      <c r="C191" s="548"/>
      <c r="D191" s="328"/>
      <c r="E191" s="328"/>
      <c r="F191" s="686"/>
      <c r="G191" s="485"/>
      <c r="H191" s="686"/>
      <c r="I191" s="485"/>
      <c r="J191" s="686"/>
      <c r="K191" s="485"/>
      <c r="L191" s="2582"/>
    </row>
    <row r="192" spans="2:12" ht="15" thickBot="1">
      <c r="B192" s="693">
        <f t="shared" si="20"/>
        <v>181</v>
      </c>
      <c r="C192" s="548"/>
      <c r="D192" s="328"/>
      <c r="E192" s="328" t="s">
        <v>4040</v>
      </c>
      <c r="F192" s="772">
        <f>+SUM(F189:F190)</f>
        <v>305249755.53000021</v>
      </c>
      <c r="G192" s="542">
        <f>+G190+G189</f>
        <v>331220247.21999961</v>
      </c>
      <c r="H192" s="772">
        <f>+SUM(H189:H190)</f>
        <v>9478417.3200000022</v>
      </c>
      <c r="I192" s="542">
        <f>+I190+I189</f>
        <v>10119782.539999994</v>
      </c>
      <c r="J192" s="772">
        <f>+SUM(J189:J190)</f>
        <v>34138496.829999991</v>
      </c>
      <c r="K192" s="542">
        <f>+K190+K189</f>
        <v>34138496.829999998</v>
      </c>
      <c r="L192" s="2590">
        <f>+L189+L190</f>
        <v>375478526.58999991</v>
      </c>
    </row>
    <row r="193" spans="2:12" ht="15.6" thickTop="1" thickBot="1">
      <c r="B193" s="693">
        <f t="shared" si="20"/>
        <v>182</v>
      </c>
      <c r="C193" s="58"/>
      <c r="D193" s="636"/>
      <c r="E193" s="636"/>
      <c r="F193" s="773"/>
      <c r="G193" s="2591"/>
      <c r="H193" s="773"/>
      <c r="I193" s="2591"/>
      <c r="J193" s="773"/>
      <c r="K193" s="2591"/>
      <c r="L193" s="2592"/>
    </row>
    <row r="194" spans="2:12">
      <c r="B194" s="693">
        <f t="shared" si="20"/>
        <v>183</v>
      </c>
      <c r="C194" s="548"/>
      <c r="D194" s="328"/>
      <c r="E194" s="328"/>
      <c r="F194" s="485"/>
      <c r="G194" s="485"/>
      <c r="H194" s="485"/>
      <c r="I194" s="485"/>
      <c r="J194" s="485"/>
      <c r="K194" s="485"/>
      <c r="L194" s="2582"/>
    </row>
    <row r="195" spans="2:12">
      <c r="B195" s="693">
        <f t="shared" si="20"/>
        <v>184</v>
      </c>
      <c r="C195" s="328"/>
      <c r="D195" s="328"/>
      <c r="E195" s="361" t="s">
        <v>4041</v>
      </c>
      <c r="F195" s="485"/>
      <c r="G195" s="485"/>
      <c r="H195" s="485"/>
      <c r="I195" s="485"/>
      <c r="J195" s="485"/>
      <c r="K195" s="485"/>
      <c r="L195" s="2582"/>
    </row>
    <row r="196" spans="2:12">
      <c r="B196" s="693">
        <f t="shared" si="20"/>
        <v>185</v>
      </c>
      <c r="C196" s="328"/>
      <c r="D196" s="328"/>
      <c r="E196" s="328" t="s">
        <v>4042</v>
      </c>
      <c r="F196" s="485">
        <f>+SUMIFS(F11:F179,C11:C179,1)</f>
        <v>305249755.53000021</v>
      </c>
      <c r="G196" s="485">
        <f>+SUMIFS(G11:G179,C11:C179,1)</f>
        <v>331220247.21999961</v>
      </c>
      <c r="H196" s="485">
        <f>+SUMIFS(H11:H179,C11:C179,1)</f>
        <v>9478417.3200000022</v>
      </c>
      <c r="I196" s="485">
        <f>+SUMIFS(I11:I179,C11:C179,1)</f>
        <v>10119782.539999994</v>
      </c>
      <c r="J196" s="485">
        <f>+SUMIFS(J11:J179,C11:C179,1)</f>
        <v>34138496.829999991</v>
      </c>
      <c r="K196" s="485">
        <f>+SUMIFS(K11:K179,C11:C179,1)</f>
        <v>34138496.829999998</v>
      </c>
      <c r="L196" s="2582">
        <f>+G196+I196+K196</f>
        <v>375478526.58999962</v>
      </c>
    </row>
    <row r="197" spans="2:12">
      <c r="B197" s="693">
        <f t="shared" si="20"/>
        <v>186</v>
      </c>
      <c r="C197" s="328"/>
      <c r="D197" s="328"/>
      <c r="E197" s="328"/>
      <c r="F197" s="485"/>
      <c r="G197" s="485"/>
      <c r="H197" s="485"/>
      <c r="I197" s="485"/>
      <c r="J197" s="485"/>
      <c r="K197" s="485"/>
      <c r="L197" s="2582"/>
    </row>
    <row r="198" spans="2:12" ht="15" thickBot="1">
      <c r="B198" s="693">
        <f t="shared" si="20"/>
        <v>187</v>
      </c>
      <c r="C198" s="328"/>
      <c r="D198" s="328"/>
      <c r="E198" s="328" t="s">
        <v>4040</v>
      </c>
      <c r="F198" s="543">
        <f t="shared" ref="F198:L198" si="27">+F184</f>
        <v>305249755.53000021</v>
      </c>
      <c r="G198" s="543">
        <f t="shared" si="27"/>
        <v>331220247.21999961</v>
      </c>
      <c r="H198" s="543">
        <f t="shared" si="27"/>
        <v>9478417.3200000022</v>
      </c>
      <c r="I198" s="543">
        <f t="shared" si="27"/>
        <v>10119782.539999994</v>
      </c>
      <c r="J198" s="543">
        <f t="shared" si="27"/>
        <v>34138496.829999991</v>
      </c>
      <c r="K198" s="543">
        <f t="shared" si="27"/>
        <v>34138496.829999998</v>
      </c>
      <c r="L198" s="2593">
        <f t="shared" si="27"/>
        <v>375478526.58999991</v>
      </c>
    </row>
    <row r="199" spans="2:12" ht="15" thickTop="1">
      <c r="B199" s="693">
        <f t="shared" si="20"/>
        <v>188</v>
      </c>
      <c r="C199" s="328"/>
      <c r="D199" s="328"/>
      <c r="E199" s="328"/>
      <c r="F199" s="485"/>
      <c r="G199" s="485"/>
      <c r="H199" s="485"/>
      <c r="I199" s="485"/>
      <c r="J199" s="485"/>
      <c r="K199" s="485"/>
      <c r="L199" s="2582"/>
    </row>
    <row r="200" spans="2:12">
      <c r="B200" s="693">
        <f t="shared" si="20"/>
        <v>189</v>
      </c>
      <c r="C200" s="328"/>
      <c r="D200" s="328"/>
      <c r="E200" s="328" t="s">
        <v>4039</v>
      </c>
      <c r="F200" s="2594">
        <f>+F190</f>
        <v>0</v>
      </c>
      <c r="G200" s="2594"/>
      <c r="H200" s="2594">
        <f>+H190</f>
        <v>0</v>
      </c>
      <c r="I200" s="2594"/>
      <c r="J200" s="2594">
        <f>+J190</f>
        <v>0</v>
      </c>
      <c r="K200" s="2594"/>
      <c r="L200" s="2595">
        <f>+L190</f>
        <v>0</v>
      </c>
    </row>
    <row r="201" spans="2:12">
      <c r="B201" s="693">
        <f t="shared" si="20"/>
        <v>190</v>
      </c>
      <c r="C201" s="328"/>
      <c r="D201" s="328"/>
      <c r="E201" s="328"/>
      <c r="F201" s="485"/>
      <c r="G201" s="485"/>
      <c r="H201" s="485"/>
      <c r="I201" s="485"/>
      <c r="J201" s="485"/>
      <c r="K201" s="485"/>
      <c r="L201" s="2582"/>
    </row>
    <row r="202" spans="2:12">
      <c r="B202" s="693">
        <f t="shared" si="20"/>
        <v>191</v>
      </c>
      <c r="C202" s="328"/>
      <c r="D202" s="328"/>
      <c r="E202" s="328" t="s">
        <v>3434</v>
      </c>
      <c r="F202" s="2596">
        <f>+F192/F189</f>
        <v>1</v>
      </c>
      <c r="G202" s="2596"/>
      <c r="H202" s="2596">
        <f>+H192/H189</f>
        <v>1</v>
      </c>
      <c r="I202" s="2596"/>
      <c r="J202" s="2596">
        <f>+J192/J189</f>
        <v>1</v>
      </c>
      <c r="K202" s="2596"/>
      <c r="L202" s="2597">
        <f>+L192/L189</f>
        <v>1</v>
      </c>
    </row>
    <row r="203" spans="2:12">
      <c r="B203" s="693">
        <f t="shared" si="20"/>
        <v>192</v>
      </c>
      <c r="C203" s="328"/>
      <c r="D203" s="328"/>
      <c r="E203" s="328"/>
      <c r="F203" s="485"/>
      <c r="G203" s="485"/>
      <c r="H203" s="485"/>
      <c r="I203" s="485"/>
      <c r="J203" s="485"/>
      <c r="K203" s="485"/>
      <c r="L203" s="2582"/>
    </row>
    <row r="204" spans="2:12">
      <c r="B204" s="693">
        <f t="shared" si="20"/>
        <v>193</v>
      </c>
      <c r="C204" s="328"/>
      <c r="D204" s="328"/>
      <c r="E204" s="328"/>
      <c r="F204" s="485"/>
      <c r="G204" s="485"/>
      <c r="H204" s="485"/>
      <c r="I204" s="485"/>
      <c r="J204" s="485"/>
      <c r="K204" s="485"/>
      <c r="L204" s="2582"/>
    </row>
    <row r="205" spans="2:12">
      <c r="B205" s="693">
        <f t="shared" si="20"/>
        <v>194</v>
      </c>
      <c r="C205" s="328"/>
      <c r="D205" s="328"/>
      <c r="E205" s="328"/>
      <c r="F205" s="485"/>
      <c r="G205" s="485"/>
      <c r="H205" s="485"/>
      <c r="I205" s="485"/>
      <c r="J205" s="485"/>
      <c r="K205" s="485"/>
      <c r="L205" s="2582"/>
    </row>
    <row r="206" spans="2:12">
      <c r="B206" s="693">
        <f t="shared" si="20"/>
        <v>195</v>
      </c>
      <c r="C206" s="328"/>
      <c r="D206" s="328"/>
      <c r="E206" s="361" t="s">
        <v>4043</v>
      </c>
      <c r="F206" s="485"/>
      <c r="G206" s="485"/>
      <c r="H206" s="485"/>
      <c r="I206" s="485"/>
      <c r="J206" s="485"/>
      <c r="K206" s="485"/>
      <c r="L206" s="2582"/>
    </row>
    <row r="207" spans="2:12">
      <c r="B207" s="693">
        <f t="shared" ref="B207:B213" si="28">1+B206</f>
        <v>196</v>
      </c>
      <c r="C207" s="328"/>
      <c r="D207" s="328"/>
      <c r="E207" s="328" t="s">
        <v>4042</v>
      </c>
      <c r="F207" s="2594">
        <f>+F196*F202</f>
        <v>305249755.53000021</v>
      </c>
      <c r="G207" s="2594"/>
      <c r="H207" s="2594">
        <f>+H196*H202</f>
        <v>9478417.3200000022</v>
      </c>
      <c r="I207" s="2594"/>
      <c r="J207" s="2594">
        <f>+J196*J202</f>
        <v>34138496.829999991</v>
      </c>
      <c r="K207" s="2594"/>
      <c r="L207" s="2595">
        <f>+L198*L202</f>
        <v>375478526.58999991</v>
      </c>
    </row>
    <row r="208" spans="2:12">
      <c r="B208" s="693">
        <f t="shared" si="28"/>
        <v>197</v>
      </c>
      <c r="C208" s="328"/>
      <c r="D208" s="328"/>
      <c r="E208" s="328"/>
      <c r="F208" s="485"/>
      <c r="G208" s="485"/>
      <c r="H208" s="485"/>
      <c r="I208" s="485"/>
      <c r="J208" s="485"/>
      <c r="K208" s="485"/>
      <c r="L208" s="2582"/>
    </row>
    <row r="209" spans="2:12" ht="15" thickBot="1">
      <c r="B209" s="693">
        <f t="shared" si="28"/>
        <v>198</v>
      </c>
      <c r="C209" s="548"/>
      <c r="D209" s="328"/>
      <c r="E209" s="328" t="s">
        <v>4040</v>
      </c>
      <c r="F209" s="2598">
        <f>+F207</f>
        <v>305249755.53000021</v>
      </c>
      <c r="G209" s="2598"/>
      <c r="H209" s="2598">
        <f>+H207</f>
        <v>9478417.3200000022</v>
      </c>
      <c r="I209" s="2598"/>
      <c r="J209" s="2598">
        <f>+J207</f>
        <v>34138496.829999991</v>
      </c>
      <c r="K209" s="2598"/>
      <c r="L209" s="2593">
        <f>+L207</f>
        <v>375478526.58999991</v>
      </c>
    </row>
    <row r="210" spans="2:12" ht="15" thickTop="1">
      <c r="B210" s="693">
        <f t="shared" si="28"/>
        <v>199</v>
      </c>
      <c r="C210" s="548"/>
      <c r="D210" s="328"/>
      <c r="E210" s="328"/>
      <c r="F210" s="485"/>
      <c r="G210" s="485"/>
      <c r="H210" s="485"/>
      <c r="I210" s="485"/>
      <c r="J210" s="485"/>
      <c r="K210" s="485"/>
      <c r="L210" s="2582"/>
    </row>
    <row r="211" spans="2:12">
      <c r="B211" s="693">
        <f t="shared" si="28"/>
        <v>200</v>
      </c>
      <c r="C211" s="548"/>
      <c r="D211" s="328"/>
      <c r="E211" s="328" t="s">
        <v>4044</v>
      </c>
      <c r="F211" s="2594">
        <f>+F209</f>
        <v>305249755.53000021</v>
      </c>
      <c r="G211" s="2594"/>
      <c r="H211" s="2594">
        <f>+H209</f>
        <v>9478417.3200000022</v>
      </c>
      <c r="I211" s="2594"/>
      <c r="J211" s="2594">
        <f>+J209</f>
        <v>34138496.829999991</v>
      </c>
      <c r="K211" s="2594"/>
      <c r="L211" s="2595"/>
    </row>
    <row r="212" spans="2:12">
      <c r="B212" s="693">
        <f t="shared" si="28"/>
        <v>201</v>
      </c>
      <c r="C212" s="548"/>
      <c r="D212" s="288"/>
      <c r="E212" s="328" t="s">
        <v>3122</v>
      </c>
      <c r="F212" s="2599">
        <f>+SUMIFS('300s - 5 Digit FERC Accounts'!D:D,'300s - 5 Digit FERC Accounts'!B:B,36200)</f>
        <v>331220247.22000003</v>
      </c>
      <c r="G212" s="2599"/>
      <c r="H212" s="2599">
        <f>+SUMIFS('300s - 5 Digit FERC Accounts'!D:D,'300s - 5 Digit FERC Accounts'!B:B,36000)</f>
        <v>10119782.539999999</v>
      </c>
      <c r="I212" s="2599"/>
      <c r="J212" s="2599">
        <f>+SUMIFS('300s - 5 Digit FERC Accounts'!D:D,'300s - 5 Digit FERC Accounts'!B:B,36100)</f>
        <v>34138496.829999998</v>
      </c>
      <c r="K212" s="2599"/>
      <c r="L212" s="2600"/>
    </row>
    <row r="213" spans="2:12">
      <c r="B213" s="693">
        <f t="shared" si="28"/>
        <v>202</v>
      </c>
      <c r="C213" s="548"/>
      <c r="D213" s="328"/>
      <c r="E213" s="328" t="s">
        <v>3441</v>
      </c>
      <c r="F213" s="2601">
        <f>+F212/F211</f>
        <v>1.0850794839946969</v>
      </c>
      <c r="G213" s="485"/>
      <c r="H213" s="2601">
        <f>+H212/H211</f>
        <v>1.0676658558435361</v>
      </c>
      <c r="I213" s="485"/>
      <c r="J213" s="2601">
        <f>+J212/J211</f>
        <v>1.0000000000000002</v>
      </c>
      <c r="K213" s="485"/>
      <c r="L213" s="2602"/>
    </row>
    <row r="214" spans="2:12">
      <c r="B214" s="693"/>
      <c r="C214" s="548"/>
      <c r="D214" s="328"/>
      <c r="E214" s="328"/>
      <c r="F214" s="485"/>
      <c r="G214" s="485"/>
      <c r="H214" s="485"/>
      <c r="I214" s="485"/>
      <c r="J214" s="485"/>
      <c r="K214" s="485"/>
      <c r="L214" s="2582"/>
    </row>
    <row r="215" spans="2:12">
      <c r="B215" s="693"/>
      <c r="C215" s="328"/>
      <c r="D215" s="328"/>
      <c r="E215" s="328"/>
      <c r="F215" s="485"/>
      <c r="G215" s="485"/>
      <c r="H215" s="485"/>
      <c r="I215" s="485"/>
      <c r="J215" s="485"/>
      <c r="K215" s="485"/>
      <c r="L215" s="2582"/>
    </row>
    <row r="216" spans="2:12">
      <c r="B216" s="639"/>
      <c r="C216" s="546"/>
      <c r="D216" s="546"/>
      <c r="E216" s="546"/>
      <c r="F216" s="2603"/>
      <c r="G216" s="2603"/>
      <c r="H216" s="2603"/>
      <c r="I216" s="2603"/>
      <c r="J216" s="2603"/>
      <c r="K216" s="2603"/>
      <c r="L216" s="2604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B1:L37"/>
  <sheetViews>
    <sheetView tabSelected="1" showOutlineSymbols="0"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1962" t="s">
        <v>116</v>
      </c>
    </row>
    <row r="2" spans="2:12">
      <c r="C2" s="1962"/>
    </row>
    <row r="3" spans="2:12" ht="15" thickBot="1">
      <c r="D3" s="2605" t="s">
        <v>4158</v>
      </c>
      <c r="E3" s="2605" t="s">
        <v>4158</v>
      </c>
      <c r="G3" s="2606"/>
    </row>
    <row r="4" spans="2:12" ht="15" thickBot="1">
      <c r="B4" s="2607" t="s">
        <v>4159</v>
      </c>
      <c r="C4" s="72"/>
      <c r="D4" s="2608" t="s">
        <v>4160</v>
      </c>
      <c r="E4" s="2608" t="s">
        <v>4161</v>
      </c>
      <c r="F4" s="2609" t="s">
        <v>4162</v>
      </c>
      <c r="G4" s="2610" t="s">
        <v>119</v>
      </c>
    </row>
    <row r="5" spans="2:12">
      <c r="B5" s="2611" t="s">
        <v>4154</v>
      </c>
      <c r="C5" s="329" t="s">
        <v>4163</v>
      </c>
      <c r="D5" s="2612">
        <v>0.23096236603757933</v>
      </c>
      <c r="E5" s="2612">
        <v>0</v>
      </c>
      <c r="F5" s="2613">
        <f t="shared" ref="F5:F12" si="0">+E5</f>
        <v>0</v>
      </c>
      <c r="G5" s="2614">
        <f t="shared" ref="G5:G12" si="1">1-F5</f>
        <v>1</v>
      </c>
    </row>
    <row r="6" spans="2:12" ht="15" thickBot="1">
      <c r="B6" s="31"/>
      <c r="C6" s="2615" t="s">
        <v>4164</v>
      </c>
      <c r="D6" s="2616">
        <v>0.76903763397367086</v>
      </c>
      <c r="E6" s="2616">
        <v>0</v>
      </c>
      <c r="F6" s="2617">
        <f t="shared" si="0"/>
        <v>0</v>
      </c>
      <c r="G6" s="2618">
        <f t="shared" si="1"/>
        <v>1</v>
      </c>
    </row>
    <row r="7" spans="2:12">
      <c r="B7" s="2611" t="s">
        <v>4165</v>
      </c>
      <c r="C7" s="329" t="s">
        <v>4166</v>
      </c>
      <c r="D7" s="2612">
        <v>0.13204117900782086</v>
      </c>
      <c r="E7" s="2612">
        <v>0</v>
      </c>
      <c r="F7" s="2613">
        <f t="shared" si="0"/>
        <v>0</v>
      </c>
      <c r="G7" s="2614">
        <f t="shared" si="1"/>
        <v>1</v>
      </c>
    </row>
    <row r="8" spans="2:12" ht="15" thickBot="1">
      <c r="B8" s="31"/>
      <c r="C8" s="2615" t="s">
        <v>4167</v>
      </c>
      <c r="D8" s="2619">
        <v>0.86795882098703259</v>
      </c>
      <c r="E8" s="2619">
        <v>0</v>
      </c>
      <c r="F8" s="2617">
        <f t="shared" si="0"/>
        <v>0</v>
      </c>
      <c r="G8" s="2618">
        <f t="shared" si="1"/>
        <v>1</v>
      </c>
    </row>
    <row r="9" spans="2:12">
      <c r="B9" s="2611" t="s">
        <v>4168</v>
      </c>
      <c r="C9" s="329" t="s">
        <v>4169</v>
      </c>
      <c r="D9" s="2612">
        <v>7.0844662329269573E-2</v>
      </c>
      <c r="E9" s="2612">
        <v>0</v>
      </c>
      <c r="F9" s="2613">
        <f t="shared" si="0"/>
        <v>0</v>
      </c>
      <c r="G9" s="2614">
        <f t="shared" si="1"/>
        <v>1</v>
      </c>
    </row>
    <row r="10" spans="2:12" ht="15" thickBot="1">
      <c r="B10" s="31"/>
      <c r="C10" s="2615" t="s">
        <v>4170</v>
      </c>
      <c r="D10" s="2619">
        <v>0.92915533767073044</v>
      </c>
      <c r="E10" s="2619">
        <v>0</v>
      </c>
      <c r="F10" s="2617">
        <f t="shared" si="0"/>
        <v>0</v>
      </c>
      <c r="G10" s="2618">
        <f t="shared" si="1"/>
        <v>1</v>
      </c>
    </row>
    <row r="11" spans="2:12">
      <c r="B11" s="2611" t="s">
        <v>4156</v>
      </c>
      <c r="C11" s="329" t="s">
        <v>4171</v>
      </c>
      <c r="D11" s="2612">
        <v>0.83553396670615077</v>
      </c>
      <c r="E11" s="2612">
        <v>0</v>
      </c>
      <c r="F11" s="2613">
        <f t="shared" si="0"/>
        <v>0</v>
      </c>
      <c r="G11" s="2614">
        <f t="shared" si="1"/>
        <v>1</v>
      </c>
    </row>
    <row r="12" spans="2:12">
      <c r="B12" s="30"/>
      <c r="C12" s="329" t="s">
        <v>4172</v>
      </c>
      <c r="D12" s="2619">
        <v>0.16446603329705672</v>
      </c>
      <c r="E12" s="2619">
        <v>0</v>
      </c>
      <c r="F12" s="2613">
        <f t="shared" si="0"/>
        <v>0</v>
      </c>
      <c r="G12" s="2614">
        <f t="shared" si="1"/>
        <v>1</v>
      </c>
    </row>
    <row r="13" spans="2:12" ht="15" thickBot="1">
      <c r="B13" s="2620"/>
      <c r="C13" s="2615"/>
      <c r="D13" s="2621"/>
      <c r="E13" s="2621"/>
      <c r="F13" s="2622"/>
      <c r="G13" s="2623"/>
    </row>
    <row r="14" spans="2:12">
      <c r="C14" s="1962"/>
    </row>
    <row r="15" spans="2:12" ht="15" thickBot="1"/>
    <row r="16" spans="2:12" ht="60.6">
      <c r="B16" s="2624" t="s">
        <v>4134</v>
      </c>
      <c r="C16" s="2625" t="s">
        <v>4135</v>
      </c>
      <c r="D16" s="2625" t="s">
        <v>4136</v>
      </c>
      <c r="E16" s="2625" t="s">
        <v>4137</v>
      </c>
      <c r="F16" s="2625" t="s">
        <v>4138</v>
      </c>
      <c r="G16" s="2625" t="s">
        <v>4139</v>
      </c>
      <c r="H16" s="2625" t="s">
        <v>4140</v>
      </c>
      <c r="I16" s="2625" t="s">
        <v>4141</v>
      </c>
      <c r="J16" s="2625" t="s">
        <v>4142</v>
      </c>
      <c r="K16" s="2625" t="s">
        <v>4143</v>
      </c>
      <c r="L16" s="2626" t="s">
        <v>4144</v>
      </c>
    </row>
    <row r="17" spans="2:12">
      <c r="B17" s="2627" t="s">
        <v>2175</v>
      </c>
      <c r="C17" s="2628" t="s">
        <v>2176</v>
      </c>
      <c r="D17" s="2628" t="s">
        <v>2177</v>
      </c>
      <c r="E17" s="2628" t="s">
        <v>2309</v>
      </c>
      <c r="F17" s="2628" t="s">
        <v>2179</v>
      </c>
      <c r="G17" s="2628" t="s">
        <v>2625</v>
      </c>
      <c r="H17" s="2628" t="s">
        <v>2626</v>
      </c>
      <c r="I17" s="2628" t="s">
        <v>2627</v>
      </c>
      <c r="J17" s="2628" t="s">
        <v>2628</v>
      </c>
      <c r="K17" s="2628" t="s">
        <v>2629</v>
      </c>
      <c r="L17" s="2629" t="s">
        <v>2630</v>
      </c>
    </row>
    <row r="18" spans="2:12">
      <c r="B18" s="2630"/>
      <c r="C18" s="2631"/>
      <c r="D18" s="2631"/>
      <c r="E18" s="2631" t="s">
        <v>4145</v>
      </c>
      <c r="F18" s="2631"/>
      <c r="G18" s="2631"/>
      <c r="H18" s="2631" t="s">
        <v>4146</v>
      </c>
      <c r="I18" s="2631"/>
      <c r="J18" s="2631" t="s">
        <v>4147</v>
      </c>
      <c r="K18" s="2631" t="s">
        <v>4148</v>
      </c>
      <c r="L18" s="2632" t="s">
        <v>4149</v>
      </c>
    </row>
    <row r="19" spans="2:12">
      <c r="B19" s="30"/>
      <c r="D19" s="290"/>
      <c r="E19" s="33"/>
      <c r="I19" s="33"/>
      <c r="J19" s="290"/>
      <c r="K19" s="33"/>
      <c r="L19" s="803"/>
    </row>
    <row r="20" spans="2:12" ht="15.6">
      <c r="B20" s="814" t="s">
        <v>4150</v>
      </c>
      <c r="C20" s="804">
        <f>(+SUMIFS('300s - 5 Digit FERC Accounts'!D:D,'300s - 5 Digit FERC Accounts'!B:B,36500)/1000)-('SPP ADJ T&amp;D'!H13/1000)</f>
        <v>294587.42404000001</v>
      </c>
      <c r="D20" s="2633">
        <v>4542.9060069542402</v>
      </c>
      <c r="E20" s="805">
        <f>+C20-D20</f>
        <v>290044.51803304575</v>
      </c>
      <c r="F20" s="275" t="s">
        <v>1951</v>
      </c>
      <c r="G20" s="806">
        <f>+D7</f>
        <v>0.13204117900782086</v>
      </c>
      <c r="H20" s="805">
        <f>+E20*G20</f>
        <v>38297.820125838523</v>
      </c>
      <c r="I20" s="807">
        <f>+E7</f>
        <v>0</v>
      </c>
      <c r="J20" s="805">
        <f>+H20*I20</f>
        <v>0</v>
      </c>
      <c r="K20" s="805">
        <f>+H20-J20</f>
        <v>38297.820125838523</v>
      </c>
      <c r="L20" s="808">
        <f>+D20+J20+K20</f>
        <v>42840.726132792763</v>
      </c>
    </row>
    <row r="21" spans="2:12" ht="15.6">
      <c r="B21" s="809" t="s">
        <v>4151</v>
      </c>
      <c r="C21" s="2131"/>
      <c r="D21" s="805"/>
      <c r="E21" s="805"/>
      <c r="F21" s="275" t="s">
        <v>1952</v>
      </c>
      <c r="G21" s="810">
        <f>+D8</f>
        <v>0.86795882098703259</v>
      </c>
      <c r="H21" s="811">
        <f>+E20*G21</f>
        <v>251746.69790571451</v>
      </c>
      <c r="I21" s="812">
        <f>+E8</f>
        <v>0</v>
      </c>
      <c r="J21" s="811">
        <f>+H21*I21</f>
        <v>0</v>
      </c>
      <c r="K21" s="811">
        <f>+H21-J21</f>
        <v>251746.69790571451</v>
      </c>
      <c r="L21" s="813">
        <f>+D21+J21+K21</f>
        <v>251746.69790571451</v>
      </c>
    </row>
    <row r="22" spans="2:12" ht="15.6">
      <c r="B22" s="814"/>
      <c r="C22" s="2131"/>
      <c r="D22" s="2634"/>
      <c r="E22" s="2634"/>
      <c r="F22" s="2131"/>
      <c r="G22" s="806"/>
      <c r="H22" s="2635">
        <f>+SUM(H20:H21)</f>
        <v>290044.51803155302</v>
      </c>
      <c r="I22" s="2636"/>
      <c r="J22" s="2635">
        <f>+SUM(J20:J21)</f>
        <v>0</v>
      </c>
      <c r="K22" s="2635">
        <f>+SUM(K20:K21)</f>
        <v>290044.51803155302</v>
      </c>
      <c r="L22" s="2637">
        <f>+SUM(L20:L21)</f>
        <v>294587.42403850728</v>
      </c>
    </row>
    <row r="23" spans="2:12" ht="15.6">
      <c r="B23" s="814"/>
      <c r="C23" s="2131"/>
      <c r="D23" s="2131"/>
      <c r="E23" s="2131"/>
      <c r="F23" s="2131"/>
      <c r="G23" s="2638"/>
      <c r="H23" s="2131"/>
      <c r="I23" s="2638"/>
      <c r="J23" s="2131"/>
      <c r="K23" s="2634"/>
      <c r="L23" s="2639"/>
    </row>
    <row r="24" spans="2:12" ht="15.6">
      <c r="B24" s="2640" t="s">
        <v>4152</v>
      </c>
      <c r="C24" s="804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2633">
        <v>385.73180000000002</v>
      </c>
      <c r="E24" s="805">
        <f>+C24-D24</f>
        <v>810678.82957000006</v>
      </c>
      <c r="F24" s="275" t="s">
        <v>1951</v>
      </c>
      <c r="G24" s="806">
        <f>+D9</f>
        <v>7.0844662329269573E-2</v>
      </c>
      <c r="H24" s="805">
        <f>+E24*G24</f>
        <v>57432.267938374134</v>
      </c>
      <c r="I24" s="807">
        <f>+E9</f>
        <v>0</v>
      </c>
      <c r="J24" s="805">
        <f>+H24*I24</f>
        <v>0</v>
      </c>
      <c r="K24" s="805">
        <f>+H24-J24</f>
        <v>57432.267938374134</v>
      </c>
      <c r="L24" s="808">
        <f>+D24+J24+K24</f>
        <v>57817.999738374136</v>
      </c>
    </row>
    <row r="25" spans="2:12" ht="15.6">
      <c r="B25" s="815" t="s">
        <v>4153</v>
      </c>
      <c r="F25" s="275" t="s">
        <v>1952</v>
      </c>
      <c r="G25" s="810">
        <f>+D10</f>
        <v>0.92915533767073044</v>
      </c>
      <c r="H25" s="811">
        <f>+E24*G25</f>
        <v>753246.56163162598</v>
      </c>
      <c r="I25" s="812">
        <f>+E10</f>
        <v>0</v>
      </c>
      <c r="J25" s="811">
        <f>+H25*I25</f>
        <v>0</v>
      </c>
      <c r="K25" s="811">
        <f>+H25-J25</f>
        <v>753246.56163162598</v>
      </c>
      <c r="L25" s="813">
        <f>+D25+J25+K25</f>
        <v>753246.56163162598</v>
      </c>
    </row>
    <row r="26" spans="2:12" ht="15.6">
      <c r="B26" s="2640"/>
      <c r="C26" s="2131"/>
      <c r="D26" s="2634"/>
      <c r="E26" s="2634"/>
      <c r="F26" s="2131"/>
      <c r="G26" s="806"/>
      <c r="H26" s="2635">
        <f>+SUM(H24:H25)</f>
        <v>810678.82957000006</v>
      </c>
      <c r="I26" s="2636"/>
      <c r="J26" s="2635">
        <f>+SUM(J24:J25)</f>
        <v>0</v>
      </c>
      <c r="K26" s="2635">
        <f>+SUM(K24:K25)</f>
        <v>810678.82957000006</v>
      </c>
      <c r="L26" s="2637">
        <f>+SUM(L24:L25)</f>
        <v>811064.56137000013</v>
      </c>
    </row>
    <row r="27" spans="2:12" ht="15.6">
      <c r="B27" s="2640"/>
      <c r="C27" s="2131"/>
      <c r="D27" s="2131"/>
      <c r="E27" s="2131"/>
      <c r="F27" s="2131"/>
      <c r="G27" s="2638"/>
      <c r="H27" s="2131"/>
      <c r="I27" s="2638"/>
      <c r="J27" s="2131"/>
      <c r="K27" s="2131"/>
      <c r="L27" s="2641"/>
    </row>
    <row r="28" spans="2:12" ht="15.6">
      <c r="B28" s="2640"/>
      <c r="C28" s="2131"/>
      <c r="D28" s="2131"/>
      <c r="E28" s="2131"/>
      <c r="F28" s="2131"/>
      <c r="G28" s="2638"/>
      <c r="H28" s="2131"/>
      <c r="I28" s="2638"/>
      <c r="J28" s="2131"/>
      <c r="K28" s="2131"/>
      <c r="L28" s="2641"/>
    </row>
    <row r="29" spans="2:12" ht="15.6">
      <c r="B29" s="814" t="s">
        <v>4154</v>
      </c>
      <c r="C29" s="804">
        <f>(+SUMIFS('300s - 5 Digit FERC Accounts'!D:D,'300s - 5 Digit FERC Accounts'!B:B,36400)/1000)-('SPP ADJ T&amp;D'!H12/1000)</f>
        <v>423461.34847999999</v>
      </c>
      <c r="D29" s="2633">
        <v>32074.434089827188</v>
      </c>
      <c r="E29" s="805">
        <f>+C29-D29</f>
        <v>391386.91439017281</v>
      </c>
      <c r="F29" s="275" t="s">
        <v>1951</v>
      </c>
      <c r="G29" s="806">
        <f>+D5</f>
        <v>0.23096236603757933</v>
      </c>
      <c r="H29" s="805">
        <f>+E29*G29</f>
        <v>90395.647783701817</v>
      </c>
      <c r="I29" s="807">
        <f>+E5</f>
        <v>0</v>
      </c>
      <c r="J29" s="805">
        <f>+H29*I29</f>
        <v>0</v>
      </c>
      <c r="K29" s="805">
        <f>+H29-J29</f>
        <v>90395.647783701817</v>
      </c>
      <c r="L29" s="808">
        <f>+D29+J29+K29</f>
        <v>122470.08187352901</v>
      </c>
    </row>
    <row r="30" spans="2:12" ht="15.6">
      <c r="B30" s="809" t="s">
        <v>4155</v>
      </c>
      <c r="F30" s="275" t="s">
        <v>1952</v>
      </c>
      <c r="G30" s="810">
        <f>+D6</f>
        <v>0.76903763397367086</v>
      </c>
      <c r="H30" s="811">
        <f>+E29*G30</f>
        <v>300991.26661087415</v>
      </c>
      <c r="I30" s="812">
        <f>+E6</f>
        <v>0</v>
      </c>
      <c r="J30" s="811">
        <f>+H30*I30</f>
        <v>0</v>
      </c>
      <c r="K30" s="811">
        <f>+H30-J30</f>
        <v>300991.26661087415</v>
      </c>
      <c r="L30" s="813">
        <f>+D30+J30+K30</f>
        <v>300991.26661087415</v>
      </c>
    </row>
    <row r="31" spans="2:12" ht="15.6">
      <c r="B31" s="814"/>
      <c r="C31" s="2131"/>
      <c r="D31" s="2634"/>
      <c r="E31" s="2634"/>
      <c r="F31" s="2131"/>
      <c r="G31" s="806"/>
      <c r="H31" s="2635">
        <f>+SUM(H29:H30)</f>
        <v>391386.91439457599</v>
      </c>
      <c r="I31" s="2636"/>
      <c r="J31" s="2635">
        <f>+SUM(J29:J30)</f>
        <v>0</v>
      </c>
      <c r="K31" s="2635">
        <f>+SUM(K29:K30)</f>
        <v>391386.91439457599</v>
      </c>
      <c r="L31" s="2637">
        <f>+SUM(L29:L30)</f>
        <v>423461.34848440316</v>
      </c>
    </row>
    <row r="32" spans="2:12" ht="15.6">
      <c r="B32" s="814"/>
      <c r="C32" s="2131"/>
      <c r="D32" s="2634"/>
      <c r="E32" s="2634"/>
      <c r="F32" s="2131"/>
      <c r="G32" s="806"/>
      <c r="H32" s="2634"/>
      <c r="I32" s="2638"/>
      <c r="J32" s="2634"/>
      <c r="K32" s="2634"/>
      <c r="L32" s="2639"/>
    </row>
    <row r="33" spans="2:12" ht="15.6">
      <c r="B33" s="814"/>
      <c r="G33" s="345"/>
      <c r="I33" s="345"/>
      <c r="L33" s="2641"/>
    </row>
    <row r="34" spans="2:12" ht="15.6">
      <c r="B34" s="814" t="s">
        <v>4156</v>
      </c>
      <c r="C34" s="804">
        <f>+(+SUMIFS('300s - 5 Digit FERC Accounts'!D:D,'300s - 5 Digit FERC Accounts'!B:B,36800)/1000)-('SPP ADJ T&amp;D'!H16/1000)</f>
        <v>998079.55103999993</v>
      </c>
      <c r="D34" s="2633">
        <v>0</v>
      </c>
      <c r="E34" s="805">
        <f>+C34-D34</f>
        <v>998079.55103999993</v>
      </c>
      <c r="F34" s="275" t="s">
        <v>1951</v>
      </c>
      <c r="G34" s="806">
        <f>+D11</f>
        <v>0.83553396670615077</v>
      </c>
      <c r="H34" s="805">
        <f>+E34*G34</f>
        <v>833929.36636874522</v>
      </c>
      <c r="I34" s="807">
        <f>+E11</f>
        <v>0</v>
      </c>
      <c r="J34" s="805">
        <f>+H34*I34</f>
        <v>0</v>
      </c>
      <c r="K34" s="805">
        <f>+H34-J34</f>
        <v>833929.36636874522</v>
      </c>
      <c r="L34" s="808">
        <f>+D34+J34+K34</f>
        <v>833929.36636874522</v>
      </c>
    </row>
    <row r="35" spans="2:12" ht="15.6">
      <c r="B35" s="2642" t="s">
        <v>4157</v>
      </c>
      <c r="F35" s="275" t="s">
        <v>1952</v>
      </c>
      <c r="G35" s="810">
        <f>+D12</f>
        <v>0.16446603329705672</v>
      </c>
      <c r="H35" s="805">
        <f>+E34*G35</f>
        <v>164150.18467445605</v>
      </c>
      <c r="I35" s="807">
        <f>+E12</f>
        <v>0</v>
      </c>
      <c r="J35" s="811">
        <f>+H35*I35</f>
        <v>0</v>
      </c>
      <c r="K35" s="811">
        <f>+H35-J35</f>
        <v>164150.18467445605</v>
      </c>
      <c r="L35" s="813">
        <f>+D35+J35+K35</f>
        <v>164150.18467445605</v>
      </c>
    </row>
    <row r="36" spans="2:12" ht="15.6">
      <c r="B36" s="814"/>
      <c r="D36" s="2634"/>
      <c r="E36" s="2634"/>
      <c r="G36" s="816"/>
      <c r="H36" s="2643">
        <f>+SUM(H34:H35)</f>
        <v>998079.55104320124</v>
      </c>
      <c r="I36" s="2644"/>
      <c r="J36" s="2635">
        <f>+SUM(J34:J35)</f>
        <v>0</v>
      </c>
      <c r="K36" s="2635">
        <f>+SUM(K34:K35)</f>
        <v>998079.55104320124</v>
      </c>
      <c r="L36" s="2637">
        <f>+SUM(L34:L35)</f>
        <v>998079.55104320124</v>
      </c>
    </row>
    <row r="37" spans="2:12" ht="16.2" thickBot="1">
      <c r="B37" s="2645"/>
      <c r="C37" s="2646"/>
      <c r="D37" s="2646"/>
      <c r="E37" s="2646"/>
      <c r="F37" s="2646"/>
      <c r="G37" s="2646"/>
      <c r="H37" s="2646"/>
      <c r="I37" s="2646"/>
      <c r="J37" s="2646"/>
      <c r="K37" s="2646"/>
      <c r="L37" s="26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theme="2" tint="-0.499984740745262"/>
  </sheetPr>
  <dimension ref="B1:L37"/>
  <sheetViews>
    <sheetView tabSelected="1" showOutlineSymbols="0" workbookViewId="0"/>
  </sheetViews>
  <sheetFormatPr defaultRowHeight="14.4"/>
  <cols>
    <col min="2" max="2" width="27.33203125" bestFit="1" customWidth="1"/>
    <col min="3" max="3" width="22.109375" bestFit="1" customWidth="1"/>
    <col min="4" max="4" width="14.33203125" bestFit="1" customWidth="1"/>
    <col min="5" max="5" width="16.44140625" bestFit="1" customWidth="1"/>
    <col min="6" max="6" width="12" bestFit="1" customWidth="1"/>
    <col min="7" max="7" width="9" bestFit="1" customWidth="1"/>
    <col min="8" max="8" width="12.33203125" bestFit="1" customWidth="1"/>
    <col min="9" max="9" width="7.6640625" bestFit="1" customWidth="1"/>
    <col min="10" max="11" width="12.33203125" bestFit="1" customWidth="1"/>
    <col min="12" max="12" width="15.109375" bestFit="1" customWidth="1"/>
  </cols>
  <sheetData>
    <row r="1" spans="2:12">
      <c r="D1" s="1962" t="s">
        <v>116</v>
      </c>
    </row>
    <row r="2" spans="2:12">
      <c r="C2" s="1962"/>
    </row>
    <row r="3" spans="2:12" ht="15" thickBot="1">
      <c r="D3" s="2605" t="s">
        <v>4158</v>
      </c>
      <c r="E3" s="2605" t="s">
        <v>4158</v>
      </c>
      <c r="G3" s="2606"/>
    </row>
    <row r="4" spans="2:12" ht="15" thickBot="1">
      <c r="B4" s="2607" t="s">
        <v>4159</v>
      </c>
      <c r="C4" s="72"/>
      <c r="D4" s="2608" t="s">
        <v>4160</v>
      </c>
      <c r="E4" s="2608" t="s">
        <v>4161</v>
      </c>
      <c r="F4" s="2609" t="s">
        <v>4162</v>
      </c>
      <c r="G4" s="2610" t="s">
        <v>119</v>
      </c>
    </row>
    <row r="5" spans="2:12">
      <c r="B5" s="2611" t="s">
        <v>4154</v>
      </c>
      <c r="C5" s="329" t="s">
        <v>4163</v>
      </c>
      <c r="D5" s="2612">
        <v>0.23096236603757933</v>
      </c>
      <c r="E5" s="2612">
        <v>0</v>
      </c>
      <c r="F5" s="2613">
        <f t="shared" ref="F5:F12" si="0">+E5</f>
        <v>0</v>
      </c>
      <c r="G5" s="2614">
        <f t="shared" ref="G5:G12" si="1">1-F5</f>
        <v>1</v>
      </c>
    </row>
    <row r="6" spans="2:12" ht="15" thickBot="1">
      <c r="B6" s="31"/>
      <c r="C6" s="2615" t="s">
        <v>4164</v>
      </c>
      <c r="D6" s="2616">
        <v>0.76903763397367086</v>
      </c>
      <c r="E6" s="2616">
        <v>0</v>
      </c>
      <c r="F6" s="2617">
        <f t="shared" si="0"/>
        <v>0</v>
      </c>
      <c r="G6" s="2618">
        <f t="shared" si="1"/>
        <v>1</v>
      </c>
    </row>
    <row r="7" spans="2:12">
      <c r="B7" s="2611" t="s">
        <v>4165</v>
      </c>
      <c r="C7" s="329" t="s">
        <v>4166</v>
      </c>
      <c r="D7" s="2612">
        <v>0.13204117900782086</v>
      </c>
      <c r="E7" s="2612">
        <v>0</v>
      </c>
      <c r="F7" s="2613">
        <f t="shared" si="0"/>
        <v>0</v>
      </c>
      <c r="G7" s="2614">
        <f t="shared" si="1"/>
        <v>1</v>
      </c>
    </row>
    <row r="8" spans="2:12" ht="15" thickBot="1">
      <c r="B8" s="31"/>
      <c r="C8" s="2615" t="s">
        <v>4167</v>
      </c>
      <c r="D8" s="2619">
        <v>0.86795882098703259</v>
      </c>
      <c r="E8" s="2619">
        <v>0</v>
      </c>
      <c r="F8" s="2617">
        <f t="shared" si="0"/>
        <v>0</v>
      </c>
      <c r="G8" s="2618">
        <f t="shared" si="1"/>
        <v>1</v>
      </c>
    </row>
    <row r="9" spans="2:12">
      <c r="B9" s="2611" t="s">
        <v>4168</v>
      </c>
      <c r="C9" s="329" t="s">
        <v>4169</v>
      </c>
      <c r="D9" s="2612">
        <v>7.0844662329269573E-2</v>
      </c>
      <c r="E9" s="2612">
        <v>0</v>
      </c>
      <c r="F9" s="2613">
        <f t="shared" si="0"/>
        <v>0</v>
      </c>
      <c r="G9" s="2614">
        <f t="shared" si="1"/>
        <v>1</v>
      </c>
    </row>
    <row r="10" spans="2:12" ht="15" thickBot="1">
      <c r="B10" s="31"/>
      <c r="C10" s="2615" t="s">
        <v>4170</v>
      </c>
      <c r="D10" s="2619">
        <v>0.92915533767073044</v>
      </c>
      <c r="E10" s="2619">
        <v>0</v>
      </c>
      <c r="F10" s="2617">
        <f t="shared" si="0"/>
        <v>0</v>
      </c>
      <c r="G10" s="2618">
        <f t="shared" si="1"/>
        <v>1</v>
      </c>
    </row>
    <row r="11" spans="2:12">
      <c r="B11" s="2611" t="s">
        <v>4156</v>
      </c>
      <c r="C11" s="329" t="s">
        <v>4171</v>
      </c>
      <c r="D11" s="2612">
        <v>0.83553396670615077</v>
      </c>
      <c r="E11" s="2612">
        <v>0</v>
      </c>
      <c r="F11" s="2613">
        <f t="shared" si="0"/>
        <v>0</v>
      </c>
      <c r="G11" s="2614">
        <f t="shared" si="1"/>
        <v>1</v>
      </c>
    </row>
    <row r="12" spans="2:12">
      <c r="B12" s="30"/>
      <c r="C12" s="329" t="s">
        <v>4172</v>
      </c>
      <c r="D12" s="2619">
        <v>0.16446603329705672</v>
      </c>
      <c r="E12" s="2619">
        <v>0</v>
      </c>
      <c r="F12" s="2613">
        <f t="shared" si="0"/>
        <v>0</v>
      </c>
      <c r="G12" s="2614">
        <f t="shared" si="1"/>
        <v>1</v>
      </c>
    </row>
    <row r="13" spans="2:12" ht="15" thickBot="1">
      <c r="B13" s="2620"/>
      <c r="C13" s="2615"/>
      <c r="D13" s="2621"/>
      <c r="E13" s="2621"/>
      <c r="F13" s="2622"/>
      <c r="G13" s="2623"/>
    </row>
    <row r="14" spans="2:12">
      <c r="C14" s="1962"/>
    </row>
    <row r="15" spans="2:12" ht="15" thickBot="1"/>
    <row r="16" spans="2:12" ht="60.6">
      <c r="B16" s="2624" t="s">
        <v>4134</v>
      </c>
      <c r="C16" s="2625" t="s">
        <v>4135</v>
      </c>
      <c r="D16" s="2625" t="s">
        <v>4136</v>
      </c>
      <c r="E16" s="2625" t="s">
        <v>4137</v>
      </c>
      <c r="F16" s="2625" t="s">
        <v>4138</v>
      </c>
      <c r="G16" s="2625" t="s">
        <v>4139</v>
      </c>
      <c r="H16" s="2625" t="s">
        <v>4140</v>
      </c>
      <c r="I16" s="2625" t="s">
        <v>4141</v>
      </c>
      <c r="J16" s="2625" t="s">
        <v>4142</v>
      </c>
      <c r="K16" s="2625" t="s">
        <v>4143</v>
      </c>
      <c r="L16" s="2626" t="s">
        <v>4144</v>
      </c>
    </row>
    <row r="17" spans="2:12">
      <c r="B17" s="2627" t="s">
        <v>2175</v>
      </c>
      <c r="C17" s="2628" t="s">
        <v>2176</v>
      </c>
      <c r="D17" s="2628" t="s">
        <v>2177</v>
      </c>
      <c r="E17" s="2628" t="s">
        <v>2309</v>
      </c>
      <c r="F17" s="2628" t="s">
        <v>2179</v>
      </c>
      <c r="G17" s="2628" t="s">
        <v>2625</v>
      </c>
      <c r="H17" s="2628" t="s">
        <v>2626</v>
      </c>
      <c r="I17" s="2628" t="s">
        <v>2627</v>
      </c>
      <c r="J17" s="2628" t="s">
        <v>2628</v>
      </c>
      <c r="K17" s="2628" t="s">
        <v>2629</v>
      </c>
      <c r="L17" s="2629" t="s">
        <v>2630</v>
      </c>
    </row>
    <row r="18" spans="2:12">
      <c r="B18" s="2630"/>
      <c r="C18" s="2631"/>
      <c r="D18" s="2631"/>
      <c r="E18" s="2631" t="s">
        <v>4145</v>
      </c>
      <c r="F18" s="2631"/>
      <c r="G18" s="2631"/>
      <c r="H18" s="2631" t="s">
        <v>4146</v>
      </c>
      <c r="I18" s="2631"/>
      <c r="J18" s="2631" t="s">
        <v>4147</v>
      </c>
      <c r="K18" s="2631" t="s">
        <v>4148</v>
      </c>
      <c r="L18" s="2632" t="s">
        <v>4149</v>
      </c>
    </row>
    <row r="19" spans="2:12">
      <c r="B19" s="30"/>
      <c r="D19" s="290"/>
      <c r="E19" s="33"/>
      <c r="I19" s="33"/>
      <c r="J19" s="290"/>
      <c r="K19" s="33"/>
      <c r="L19" s="803"/>
    </row>
    <row r="20" spans="2:12" ht="15.6">
      <c r="B20" s="814" t="s">
        <v>4150</v>
      </c>
      <c r="C20" s="804">
        <f>(+SUMIFS('300s - 5 Digit FERC Accounts'!D:D,'300s - 5 Digit FERC Accounts'!B:B,36500)/1000)-('SPP ADJ T&amp;D'!H13/1000)</f>
        <v>294587.42404000001</v>
      </c>
      <c r="D20" s="2633">
        <v>4542.9060069542402</v>
      </c>
      <c r="E20" s="805">
        <f>+C20-D20</f>
        <v>290044.51803304575</v>
      </c>
      <c r="F20" s="275" t="s">
        <v>1951</v>
      </c>
      <c r="G20" s="806">
        <f>+D7</f>
        <v>0.13204117900782086</v>
      </c>
      <c r="H20" s="805">
        <f>+E20*G20</f>
        <v>38297.820125838523</v>
      </c>
      <c r="I20" s="807">
        <f>+E7</f>
        <v>0</v>
      </c>
      <c r="J20" s="805">
        <f>+H20*I20</f>
        <v>0</v>
      </c>
      <c r="K20" s="805">
        <f>+H20-J20</f>
        <v>38297.820125838523</v>
      </c>
      <c r="L20" s="808">
        <f>+D20+J20+K20</f>
        <v>42840.726132792763</v>
      </c>
    </row>
    <row r="21" spans="2:12" ht="15.6">
      <c r="B21" s="809" t="s">
        <v>4151</v>
      </c>
      <c r="C21" s="2131"/>
      <c r="D21" s="805"/>
      <c r="E21" s="805"/>
      <c r="F21" s="275" t="s">
        <v>1952</v>
      </c>
      <c r="G21" s="810">
        <f>+D8</f>
        <v>0.86795882098703259</v>
      </c>
      <c r="H21" s="811">
        <f>+E20*G21</f>
        <v>251746.69790571451</v>
      </c>
      <c r="I21" s="812">
        <f>+E8</f>
        <v>0</v>
      </c>
      <c r="J21" s="811">
        <f>+H21*I21</f>
        <v>0</v>
      </c>
      <c r="K21" s="811">
        <f>+H21-J21</f>
        <v>251746.69790571451</v>
      </c>
      <c r="L21" s="813">
        <f>+D21+J21+K21</f>
        <v>251746.69790571451</v>
      </c>
    </row>
    <row r="22" spans="2:12" ht="15.6">
      <c r="B22" s="814"/>
      <c r="C22" s="2131"/>
      <c r="D22" s="2634"/>
      <c r="E22" s="2634"/>
      <c r="F22" s="2131"/>
      <c r="G22" s="806"/>
      <c r="H22" s="2635">
        <f>+SUM(H20:H21)</f>
        <v>290044.51803155302</v>
      </c>
      <c r="I22" s="2636"/>
      <c r="J22" s="2635">
        <f>+SUM(J20:J21)</f>
        <v>0</v>
      </c>
      <c r="K22" s="2635">
        <f>+SUM(K20:K21)</f>
        <v>290044.51803155302</v>
      </c>
      <c r="L22" s="2637">
        <f>+SUM(L20:L21)</f>
        <v>294587.42403850728</v>
      </c>
    </row>
    <row r="23" spans="2:12" ht="15.6">
      <c r="B23" s="814"/>
      <c r="C23" s="2131"/>
      <c r="D23" s="2131"/>
      <c r="E23" s="2131"/>
      <c r="F23" s="2131"/>
      <c r="G23" s="2638"/>
      <c r="H23" s="2131"/>
      <c r="I23" s="2638"/>
      <c r="J23" s="2131"/>
      <c r="K23" s="2634"/>
      <c r="L23" s="2639"/>
    </row>
    <row r="24" spans="2:12" ht="15.6">
      <c r="B24" s="2640" t="s">
        <v>4152</v>
      </c>
      <c r="C24" s="804">
        <f>(+SUMIFS('300s - 5 Digit FERC Accounts'!D:D,'300s - 5 Digit FERC Accounts'!B:B,36600)/1000)-('SPP ADJ T&amp;D'!H14/1000)+(+SUMIFS('300s - 5 Digit FERC Accounts'!D:D,'300s - 5 Digit FERC Accounts'!B:B,36700)/1000)-('SPP ADJ T&amp;D'!H15/1000)</f>
        <v>811064.56137000001</v>
      </c>
      <c r="D24" s="2633">
        <v>385.73180000000002</v>
      </c>
      <c r="E24" s="805">
        <f>+C24-D24</f>
        <v>810678.82957000006</v>
      </c>
      <c r="F24" s="275" t="s">
        <v>1951</v>
      </c>
      <c r="G24" s="806">
        <f>+D9</f>
        <v>7.0844662329269573E-2</v>
      </c>
      <c r="H24" s="805">
        <f>+E24*G24</f>
        <v>57432.267938374134</v>
      </c>
      <c r="I24" s="807">
        <f>+E9</f>
        <v>0</v>
      </c>
      <c r="J24" s="805">
        <f>+H24*I24</f>
        <v>0</v>
      </c>
      <c r="K24" s="805">
        <f>+H24-J24</f>
        <v>57432.267938374134</v>
      </c>
      <c r="L24" s="808">
        <f>+D24+J24+K24</f>
        <v>57817.999738374136</v>
      </c>
    </row>
    <row r="25" spans="2:12" ht="15.6">
      <c r="B25" s="815" t="s">
        <v>4153</v>
      </c>
      <c r="F25" s="275" t="s">
        <v>1952</v>
      </c>
      <c r="G25" s="810">
        <f>+D10</f>
        <v>0.92915533767073044</v>
      </c>
      <c r="H25" s="811">
        <f>+E24*G25</f>
        <v>753246.56163162598</v>
      </c>
      <c r="I25" s="812">
        <f>+E10</f>
        <v>0</v>
      </c>
      <c r="J25" s="811">
        <f>+H25*I25</f>
        <v>0</v>
      </c>
      <c r="K25" s="811">
        <f>+H25-J25</f>
        <v>753246.56163162598</v>
      </c>
      <c r="L25" s="813">
        <f>+D25+J25+K25</f>
        <v>753246.56163162598</v>
      </c>
    </row>
    <row r="26" spans="2:12" ht="15.6">
      <c r="B26" s="2640"/>
      <c r="C26" s="2131"/>
      <c r="D26" s="2634"/>
      <c r="E26" s="2634"/>
      <c r="F26" s="2131"/>
      <c r="G26" s="806"/>
      <c r="H26" s="2635">
        <f>+SUM(H24:H25)</f>
        <v>810678.82957000006</v>
      </c>
      <c r="I26" s="2636"/>
      <c r="J26" s="2635">
        <f>+SUM(J24:J25)</f>
        <v>0</v>
      </c>
      <c r="K26" s="2635">
        <f>+SUM(K24:K25)</f>
        <v>810678.82957000006</v>
      </c>
      <c r="L26" s="2637">
        <f>+SUM(L24:L25)</f>
        <v>811064.56137000013</v>
      </c>
    </row>
    <row r="27" spans="2:12" ht="15.6">
      <c r="B27" s="2640"/>
      <c r="C27" s="2131"/>
      <c r="D27" s="2131"/>
      <c r="E27" s="2131"/>
      <c r="F27" s="2131"/>
      <c r="G27" s="2638"/>
      <c r="H27" s="2131"/>
      <c r="I27" s="2638"/>
      <c r="J27" s="2131"/>
      <c r="K27" s="2131"/>
      <c r="L27" s="2641"/>
    </row>
    <row r="28" spans="2:12" ht="15.6">
      <c r="B28" s="2640"/>
      <c r="C28" s="2131"/>
      <c r="D28" s="2131"/>
      <c r="E28" s="2131"/>
      <c r="F28" s="2131"/>
      <c r="G28" s="2638"/>
      <c r="H28" s="2131"/>
      <c r="I28" s="2638"/>
      <c r="J28" s="2131"/>
      <c r="K28" s="2131"/>
      <c r="L28" s="2641"/>
    </row>
    <row r="29" spans="2:12" ht="15.6">
      <c r="B29" s="814" t="s">
        <v>4154</v>
      </c>
      <c r="C29" s="804">
        <f>(+SUMIFS('300s - 5 Digit FERC Accounts'!D:D,'300s - 5 Digit FERC Accounts'!B:B,36400)/1000)-('SPP ADJ T&amp;D'!H12/1000)</f>
        <v>423461.34847999999</v>
      </c>
      <c r="D29" s="2633">
        <v>32074.434089827188</v>
      </c>
      <c r="E29" s="805">
        <f>+C29-D29</f>
        <v>391386.91439017281</v>
      </c>
      <c r="F29" s="275" t="s">
        <v>1951</v>
      </c>
      <c r="G29" s="806">
        <f>+D5</f>
        <v>0.23096236603757933</v>
      </c>
      <c r="H29" s="805">
        <f>+E29*G29</f>
        <v>90395.647783701817</v>
      </c>
      <c r="I29" s="807">
        <f>+E5</f>
        <v>0</v>
      </c>
      <c r="J29" s="805">
        <f>+H29*I29</f>
        <v>0</v>
      </c>
      <c r="K29" s="805">
        <f>+H29-J29</f>
        <v>90395.647783701817</v>
      </c>
      <c r="L29" s="808">
        <f>+D29+J29+K29</f>
        <v>122470.08187352901</v>
      </c>
    </row>
    <row r="30" spans="2:12" ht="15.6">
      <c r="B30" s="809" t="s">
        <v>4155</v>
      </c>
      <c r="F30" s="275" t="s">
        <v>1952</v>
      </c>
      <c r="G30" s="810">
        <f>+D6</f>
        <v>0.76903763397367086</v>
      </c>
      <c r="H30" s="811">
        <f>+E29*G30</f>
        <v>300991.26661087415</v>
      </c>
      <c r="I30" s="812">
        <f>+E6</f>
        <v>0</v>
      </c>
      <c r="J30" s="811">
        <f>+H30*I30</f>
        <v>0</v>
      </c>
      <c r="K30" s="811">
        <f>+H30-J30</f>
        <v>300991.26661087415</v>
      </c>
      <c r="L30" s="813">
        <f>+D30+J30+K30</f>
        <v>300991.26661087415</v>
      </c>
    </row>
    <row r="31" spans="2:12" ht="15.6">
      <c r="B31" s="814"/>
      <c r="C31" s="2131"/>
      <c r="D31" s="2634"/>
      <c r="E31" s="2634"/>
      <c r="F31" s="2131"/>
      <c r="G31" s="806"/>
      <c r="H31" s="2635">
        <f>+SUM(H29:H30)</f>
        <v>391386.91439457599</v>
      </c>
      <c r="I31" s="2636"/>
      <c r="J31" s="2635">
        <f>+SUM(J29:J30)</f>
        <v>0</v>
      </c>
      <c r="K31" s="2635">
        <f>+SUM(K29:K30)</f>
        <v>391386.91439457599</v>
      </c>
      <c r="L31" s="2637">
        <f>+SUM(L29:L30)</f>
        <v>423461.34848440316</v>
      </c>
    </row>
    <row r="32" spans="2:12" ht="15.6">
      <c r="B32" s="814"/>
      <c r="C32" s="2131"/>
      <c r="D32" s="2634"/>
      <c r="E32" s="2634"/>
      <c r="F32" s="2131"/>
      <c r="G32" s="806"/>
      <c r="H32" s="2634"/>
      <c r="I32" s="2638"/>
      <c r="J32" s="2634"/>
      <c r="K32" s="2634"/>
      <c r="L32" s="2639"/>
    </row>
    <row r="33" spans="2:12" ht="15.6">
      <c r="B33" s="814"/>
      <c r="G33" s="345"/>
      <c r="I33" s="345"/>
      <c r="L33" s="2641"/>
    </row>
    <row r="34" spans="2:12" ht="15.6">
      <c r="B34" s="814" t="s">
        <v>4156</v>
      </c>
      <c r="C34" s="804">
        <f>+(+SUMIFS('300s - 5 Digit FERC Accounts'!D:D,'300s - 5 Digit FERC Accounts'!B:B,36800)/1000)-('SPP ADJ T&amp;D'!H16/1000)</f>
        <v>998079.55103999993</v>
      </c>
      <c r="D34" s="2633">
        <v>0</v>
      </c>
      <c r="E34" s="805">
        <f>+C34-D34</f>
        <v>998079.55103999993</v>
      </c>
      <c r="F34" s="275" t="s">
        <v>1951</v>
      </c>
      <c r="G34" s="806">
        <f>+D11</f>
        <v>0.83553396670615077</v>
      </c>
      <c r="H34" s="805">
        <f>+E34*G34</f>
        <v>833929.36636874522</v>
      </c>
      <c r="I34" s="807">
        <f>+E11</f>
        <v>0</v>
      </c>
      <c r="J34" s="805">
        <f>+H34*I34</f>
        <v>0</v>
      </c>
      <c r="K34" s="805">
        <f>+H34-J34</f>
        <v>833929.36636874522</v>
      </c>
      <c r="L34" s="808">
        <f>+D34+J34+K34</f>
        <v>833929.36636874522</v>
      </c>
    </row>
    <row r="35" spans="2:12" ht="15.6">
      <c r="B35" s="2642" t="s">
        <v>4157</v>
      </c>
      <c r="F35" s="275" t="s">
        <v>1952</v>
      </c>
      <c r="G35" s="810">
        <f>+D12</f>
        <v>0.16446603329705672</v>
      </c>
      <c r="H35" s="805">
        <f>+E34*G35</f>
        <v>164150.18467445605</v>
      </c>
      <c r="I35" s="807">
        <f>+E12</f>
        <v>0</v>
      </c>
      <c r="J35" s="811">
        <f>+H35*I35</f>
        <v>0</v>
      </c>
      <c r="K35" s="811">
        <f>+H35-J35</f>
        <v>164150.18467445605</v>
      </c>
      <c r="L35" s="813">
        <f>+D35+J35+K35</f>
        <v>164150.18467445605</v>
      </c>
    </row>
    <row r="36" spans="2:12" ht="15.6">
      <c r="B36" s="814"/>
      <c r="D36" s="2634"/>
      <c r="E36" s="2634"/>
      <c r="G36" s="816"/>
      <c r="H36" s="2643">
        <f>+SUM(H34:H35)</f>
        <v>998079.55104320124</v>
      </c>
      <c r="I36" s="2644"/>
      <c r="J36" s="2635">
        <f>+SUM(J34:J35)</f>
        <v>0</v>
      </c>
      <c r="K36" s="2635">
        <f>+SUM(K34:K35)</f>
        <v>998079.55104320124</v>
      </c>
      <c r="L36" s="2637">
        <f>+SUM(L34:L35)</f>
        <v>998079.55104320124</v>
      </c>
    </row>
    <row r="37" spans="2:12" ht="16.2" thickBot="1">
      <c r="B37" s="2645"/>
      <c r="C37" s="2646"/>
      <c r="D37" s="2646"/>
      <c r="E37" s="2646"/>
      <c r="F37" s="2646"/>
      <c r="G37" s="2646"/>
      <c r="H37" s="2646"/>
      <c r="I37" s="2646"/>
      <c r="J37" s="2646"/>
      <c r="K37" s="2646"/>
      <c r="L37" s="26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  <drawing r:id="rId4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B1:U206"/>
  <sheetViews>
    <sheetView tabSelected="1" showOutlineSymbols="0"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29" t="s">
        <v>116</v>
      </c>
    </row>
    <row r="3" spans="2:21">
      <c r="B3" s="352" t="s">
        <v>2173</v>
      </c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  <c r="R3" s="550"/>
      <c r="T3" t="s">
        <v>8413</v>
      </c>
    </row>
    <row r="4" spans="2:21">
      <c r="B4" s="353" t="s">
        <v>4047</v>
      </c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536"/>
      <c r="T4" t="s">
        <v>8452</v>
      </c>
      <c r="U4" s="1586">
        <f>+'Accounting Schedule B-7'!R536</f>
        <v>4263250.7829099996</v>
      </c>
    </row>
    <row r="5" spans="2:21">
      <c r="B5" s="615" t="s">
        <v>9264</v>
      </c>
      <c r="C5" s="29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536"/>
      <c r="T5" t="s">
        <v>8453</v>
      </c>
      <c r="U5" s="1639">
        <f>+E55</f>
        <v>3688874.9774561115</v>
      </c>
    </row>
    <row r="6" spans="2:21">
      <c r="B6" s="639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7"/>
      <c r="U6" s="516">
        <f>+U4-U5</f>
        <v>574375.80545388814</v>
      </c>
    </row>
    <row r="7" spans="2:21">
      <c r="B7" s="352"/>
      <c r="C7" s="521"/>
      <c r="D7" s="521"/>
      <c r="E7" s="521"/>
      <c r="F7" s="753" t="s">
        <v>3197</v>
      </c>
      <c r="G7" s="753" t="s">
        <v>3197</v>
      </c>
      <c r="H7" s="753" t="s">
        <v>3197</v>
      </c>
      <c r="I7" s="753" t="s">
        <v>3197</v>
      </c>
      <c r="J7" s="753" t="s">
        <v>3197</v>
      </c>
      <c r="K7" s="753" t="s">
        <v>3197</v>
      </c>
      <c r="L7" s="753" t="s">
        <v>3197</v>
      </c>
      <c r="M7" s="753" t="s">
        <v>3197</v>
      </c>
      <c r="N7" s="753" t="s">
        <v>3197</v>
      </c>
      <c r="O7" s="753" t="s">
        <v>3197</v>
      </c>
      <c r="P7" s="753" t="s">
        <v>3197</v>
      </c>
      <c r="Q7" s="1771" t="s">
        <v>3197</v>
      </c>
      <c r="R7" s="754" t="s">
        <v>3197</v>
      </c>
      <c r="T7" t="s">
        <v>8454</v>
      </c>
      <c r="U7" s="1586">
        <f>-SUM('SPP ADJ T&amp;D'!$H$23/1000)</f>
        <v>-584495.58799999999</v>
      </c>
    </row>
    <row r="8" spans="2:21">
      <c r="B8" s="769"/>
      <c r="C8" s="523"/>
      <c r="D8" s="523"/>
      <c r="E8" s="523"/>
      <c r="F8" s="77" t="s">
        <v>1761</v>
      </c>
      <c r="G8" s="77" t="s">
        <v>1761</v>
      </c>
      <c r="H8" s="77" t="s">
        <v>1763</v>
      </c>
      <c r="I8" s="77" t="s">
        <v>1764</v>
      </c>
      <c r="J8" s="77" t="s">
        <v>1765</v>
      </c>
      <c r="K8" s="77" t="s">
        <v>1766</v>
      </c>
      <c r="L8" s="77" t="s">
        <v>1767</v>
      </c>
      <c r="M8" s="77" t="s">
        <v>1769</v>
      </c>
      <c r="N8" s="77">
        <v>369.01</v>
      </c>
      <c r="O8" s="77">
        <v>369.02</v>
      </c>
      <c r="P8" s="77" t="s">
        <v>1770</v>
      </c>
      <c r="Q8" s="77">
        <v>371</v>
      </c>
      <c r="R8" s="364" t="s">
        <v>1771</v>
      </c>
      <c r="T8" s="297" t="s">
        <v>8439</v>
      </c>
      <c r="U8" s="1639">
        <f>+G15</f>
        <v>10119.782539999998</v>
      </c>
    </row>
    <row r="9" spans="2:21">
      <c r="B9" s="353"/>
      <c r="C9" s="280"/>
      <c r="D9" s="280"/>
      <c r="E9" s="280"/>
      <c r="F9" s="60" t="s">
        <v>2430</v>
      </c>
      <c r="G9" s="60" t="s">
        <v>4048</v>
      </c>
      <c r="H9" s="60" t="s">
        <v>4049</v>
      </c>
      <c r="I9" s="60" t="s">
        <v>3453</v>
      </c>
      <c r="J9" s="60" t="s">
        <v>4050</v>
      </c>
      <c r="K9" s="60" t="s">
        <v>4051</v>
      </c>
      <c r="L9" s="60" t="s">
        <v>1768</v>
      </c>
      <c r="M9" s="60" t="s">
        <v>2430</v>
      </c>
      <c r="N9" s="60" t="s">
        <v>4051</v>
      </c>
      <c r="O9" s="60" t="s">
        <v>4052</v>
      </c>
      <c r="P9" s="60" t="s">
        <v>4053</v>
      </c>
      <c r="Q9" s="60" t="s">
        <v>9136</v>
      </c>
      <c r="R9" s="767" t="s">
        <v>4054</v>
      </c>
      <c r="U9" s="1640">
        <f>+SUM(U6:U8)</f>
        <v>-6.1118498706491664E-6</v>
      </c>
    </row>
    <row r="10" spans="2:21">
      <c r="B10" s="522" t="s">
        <v>2182</v>
      </c>
      <c r="C10" s="523" t="s">
        <v>1918</v>
      </c>
      <c r="D10" s="523" t="s">
        <v>4055</v>
      </c>
      <c r="E10" s="523" t="s">
        <v>115</v>
      </c>
      <c r="F10" s="77" t="s">
        <v>3451</v>
      </c>
      <c r="G10" s="77" t="s">
        <v>3451</v>
      </c>
      <c r="H10" s="77"/>
      <c r="I10" s="77" t="s">
        <v>4056</v>
      </c>
      <c r="J10" s="77"/>
      <c r="K10" s="77" t="s">
        <v>4057</v>
      </c>
      <c r="L10" s="60" t="s">
        <v>4058</v>
      </c>
      <c r="M10" s="60" t="s">
        <v>4059</v>
      </c>
      <c r="N10" s="60" t="s">
        <v>4060</v>
      </c>
      <c r="O10" s="60" t="s">
        <v>4060</v>
      </c>
      <c r="P10" s="60"/>
      <c r="Q10" s="60" t="s">
        <v>9137</v>
      </c>
      <c r="R10" s="767" t="s">
        <v>1954</v>
      </c>
    </row>
    <row r="11" spans="2:21">
      <c r="B11" s="641" t="s">
        <v>2175</v>
      </c>
      <c r="C11" s="641" t="s">
        <v>2176</v>
      </c>
      <c r="D11" s="641" t="s">
        <v>2177</v>
      </c>
      <c r="E11" s="641" t="s">
        <v>2178</v>
      </c>
      <c r="F11" s="632" t="s">
        <v>2179</v>
      </c>
      <c r="G11" s="632" t="s">
        <v>2625</v>
      </c>
      <c r="H11" s="632" t="s">
        <v>2626</v>
      </c>
      <c r="I11" s="632" t="s">
        <v>2627</v>
      </c>
      <c r="J11" s="661" t="s">
        <v>2628</v>
      </c>
      <c r="K11" s="661" t="s">
        <v>2629</v>
      </c>
      <c r="L11" s="661" t="s">
        <v>2630</v>
      </c>
      <c r="M11" s="661" t="s">
        <v>4061</v>
      </c>
      <c r="N11" s="661" t="s">
        <v>4062</v>
      </c>
      <c r="O11" s="661" t="s">
        <v>4063</v>
      </c>
      <c r="P11" s="661" t="s">
        <v>4064</v>
      </c>
      <c r="Q11" s="1772" t="s">
        <v>4065</v>
      </c>
      <c r="R11" s="662" t="s">
        <v>4178</v>
      </c>
      <c r="T11" t="s">
        <v>8455</v>
      </c>
      <c r="U11" s="1586">
        <f>+SUM('Accounting Schedule B-7'!R415:R417)</f>
        <v>365358.74405000004</v>
      </c>
    </row>
    <row r="12" spans="2:21">
      <c r="B12" s="771"/>
      <c r="C12" s="540"/>
      <c r="D12" s="540"/>
      <c r="E12" s="720"/>
      <c r="F12" s="549"/>
      <c r="G12" s="549"/>
      <c r="H12" s="549"/>
      <c r="I12" s="549"/>
      <c r="J12" s="549"/>
      <c r="K12" s="549"/>
      <c r="L12" s="328"/>
      <c r="M12" s="328"/>
      <c r="N12" s="328"/>
      <c r="O12" s="328"/>
      <c r="P12" s="328"/>
      <c r="Q12" s="328"/>
      <c r="R12" s="536"/>
      <c r="T12" t="s">
        <v>8456</v>
      </c>
      <c r="U12" s="1639">
        <f>+E16</f>
        <v>368438.48759000003</v>
      </c>
    </row>
    <row r="13" spans="2:21">
      <c r="B13" s="604">
        <v>1</v>
      </c>
      <c r="C13" s="775" t="s">
        <v>2543</v>
      </c>
      <c r="D13" s="775"/>
      <c r="E13" s="564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536"/>
      <c r="U13" s="516">
        <f>+U11-U12</f>
        <v>-3079.7435399999958</v>
      </c>
    </row>
    <row r="14" spans="2:21">
      <c r="B14" s="693">
        <v>2</v>
      </c>
      <c r="C14" s="534" t="s">
        <v>4066</v>
      </c>
      <c r="D14" s="783" t="s">
        <v>4067</v>
      </c>
      <c r="E14" s="817">
        <v>0</v>
      </c>
      <c r="F14" s="42"/>
      <c r="G14" s="42">
        <f>+IF($E14=0,0,((G15/$E15)*$E14))</f>
        <v>0</v>
      </c>
      <c r="H14" s="42">
        <f>+IF($E14=0,0,((H15/$E15)*$E14))</f>
        <v>0</v>
      </c>
      <c r="I14" s="42">
        <f>+IF($E14=0,0,((I15/$E15)*$E14))</f>
        <v>0</v>
      </c>
      <c r="J14" s="651"/>
      <c r="K14" s="651"/>
      <c r="L14" s="651"/>
      <c r="M14" s="651"/>
      <c r="N14" s="651"/>
      <c r="O14" s="651"/>
      <c r="P14" s="651"/>
      <c r="Q14" s="651"/>
      <c r="R14" s="668"/>
      <c r="T14" t="s">
        <v>8454</v>
      </c>
      <c r="U14" s="1586">
        <f>-SUM('SPP ADJ T&amp;D'!$H$10:H11)/1000</f>
        <v>-7040.0389999999998</v>
      </c>
    </row>
    <row r="15" spans="2:21">
      <c r="B15" s="693">
        <v>3</v>
      </c>
      <c r="C15" s="534" t="s">
        <v>4068</v>
      </c>
      <c r="D15" s="783" t="s">
        <v>4067</v>
      </c>
      <c r="E15" s="731">
        <f>+SUM(F15:R15)</f>
        <v>368438.48759000003</v>
      </c>
      <c r="F15" s="42"/>
      <c r="G15" s="439">
        <f>(+SUMIFS('300s - 5 Digit FERC Accounts'!$D:$D,'300s - 5 Digit FERC Accounts'!$B:$B,36000)/1000)</f>
        <v>10119.782539999998</v>
      </c>
      <c r="H15" s="439">
        <f>(+SUMIFS('300s - 5 Digit FERC Accounts'!$D:$D,'300s - 5 Digit FERC Accounts'!$B:$B,36100)/1000)-('SPP ADJ T&amp;D'!H10/1000)</f>
        <v>33935.685829999995</v>
      </c>
      <c r="I15" s="439">
        <f>(+SUMIFS('300s - 5 Digit FERC Accounts'!$D:$D,'300s - 5 Digit FERC Accounts'!$B:$B,36200)/1000)-('SPP ADJ T&amp;D'!H11/1000)</f>
        <v>324383.01922000002</v>
      </c>
      <c r="J15" s="651"/>
      <c r="K15" s="651"/>
      <c r="L15" s="651"/>
      <c r="M15" s="651"/>
      <c r="N15" s="651"/>
      <c r="O15" s="651"/>
      <c r="P15" s="651"/>
      <c r="Q15" s="651"/>
      <c r="R15" s="668"/>
      <c r="T15" s="297" t="s">
        <v>8439</v>
      </c>
      <c r="U15" s="1639">
        <f>+G15</f>
        <v>10119.782539999998</v>
      </c>
    </row>
    <row r="16" spans="2:21">
      <c r="B16" s="693">
        <v>4</v>
      </c>
      <c r="C16" s="534" t="s">
        <v>4069</v>
      </c>
      <c r="D16" s="783" t="s">
        <v>115</v>
      </c>
      <c r="E16" s="818">
        <f>+SUM(E14:E15)</f>
        <v>368438.48759000003</v>
      </c>
      <c r="F16" s="651"/>
      <c r="G16" s="774">
        <f>+SUM(G14:G15)</f>
        <v>10119.782539999998</v>
      </c>
      <c r="H16" s="774">
        <f>+SUM(H14:H15)</f>
        <v>33935.685829999995</v>
      </c>
      <c r="I16" s="774">
        <f>+SUM(I14:I15)</f>
        <v>324383.01922000002</v>
      </c>
      <c r="J16" s="651"/>
      <c r="K16" s="651"/>
      <c r="L16" s="651"/>
      <c r="M16" s="651"/>
      <c r="N16" s="651"/>
      <c r="O16" s="651"/>
      <c r="P16" s="651"/>
      <c r="Q16" s="651"/>
      <c r="R16" s="668"/>
      <c r="U16" s="1640">
        <f>+SUM(U13:U15)</f>
        <v>0</v>
      </c>
    </row>
    <row r="17" spans="2:21">
      <c r="B17" s="693">
        <v>5</v>
      </c>
      <c r="C17" s="534"/>
      <c r="D17" s="783"/>
      <c r="E17" s="818"/>
      <c r="F17" s="328"/>
      <c r="G17" s="328"/>
      <c r="H17" s="328"/>
      <c r="I17" s="328"/>
      <c r="J17" s="651"/>
      <c r="K17" s="651"/>
      <c r="L17" s="651"/>
      <c r="M17" s="651"/>
      <c r="N17" s="651"/>
      <c r="O17" s="651"/>
      <c r="P17" s="651"/>
      <c r="Q17" s="651"/>
      <c r="R17" s="668"/>
    </row>
    <row r="18" spans="2:21">
      <c r="B18" s="693">
        <v>6</v>
      </c>
      <c r="C18" s="534"/>
      <c r="D18" s="783"/>
      <c r="E18" s="818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68"/>
      <c r="T18" t="s">
        <v>8458</v>
      </c>
      <c r="U18" s="1586">
        <f>+'Accounting Schedule B-7'!R418</f>
        <v>499219.43348000001</v>
      </c>
    </row>
    <row r="19" spans="2:21">
      <c r="B19" s="693">
        <v>7</v>
      </c>
      <c r="C19" s="534" t="s">
        <v>4070</v>
      </c>
      <c r="D19" s="783" t="s">
        <v>4071</v>
      </c>
      <c r="E19" s="819">
        <f>+SUM(F19:R19)</f>
        <v>32074.434089827188</v>
      </c>
      <c r="F19" s="651"/>
      <c r="G19" s="651"/>
      <c r="H19" s="651"/>
      <c r="I19" s="651"/>
      <c r="J19" s="777">
        <f>+'Minimum Distribution System'!D29</f>
        <v>32074.434089827188</v>
      </c>
      <c r="K19" s="651"/>
      <c r="L19" s="651"/>
      <c r="M19" s="651"/>
      <c r="N19" s="651"/>
      <c r="O19" s="651"/>
      <c r="P19" s="651"/>
      <c r="Q19" s="651"/>
      <c r="R19" s="668"/>
      <c r="T19" t="s">
        <v>8457</v>
      </c>
      <c r="U19" s="1639">
        <f>+E24</f>
        <v>423461.34848440316</v>
      </c>
    </row>
    <row r="20" spans="2:21">
      <c r="B20" s="693">
        <v>8</v>
      </c>
      <c r="C20" s="534" t="s">
        <v>4072</v>
      </c>
      <c r="D20" s="783" t="s">
        <v>4067</v>
      </c>
      <c r="E20" s="819">
        <f>+SUM(F20:R20)</f>
        <v>300991.26661087415</v>
      </c>
      <c r="F20" s="651"/>
      <c r="G20" s="651"/>
      <c r="H20" s="651"/>
      <c r="I20" s="651"/>
      <c r="J20" s="42">
        <f>+'Minimum Distribution System'!K30</f>
        <v>300991.26661087415</v>
      </c>
      <c r="K20" s="651"/>
      <c r="L20" s="651"/>
      <c r="M20" s="651"/>
      <c r="N20" s="651"/>
      <c r="O20" s="651"/>
      <c r="P20" s="651"/>
      <c r="Q20" s="651"/>
      <c r="R20" s="668"/>
      <c r="U20" s="516">
        <f>+U18-U19</f>
        <v>75758.084995596844</v>
      </c>
    </row>
    <row r="21" spans="2:21">
      <c r="B21" s="693">
        <v>9</v>
      </c>
      <c r="C21" s="631" t="s">
        <v>4073</v>
      </c>
      <c r="D21" s="783" t="s">
        <v>4071</v>
      </c>
      <c r="E21" s="819">
        <f>+SUM(F21:R21)</f>
        <v>0</v>
      </c>
      <c r="F21" s="651"/>
      <c r="G21" s="651"/>
      <c r="H21" s="651"/>
      <c r="I21" s="651"/>
      <c r="J21" s="42">
        <f>+'Minimum Distribution System'!J30</f>
        <v>0</v>
      </c>
      <c r="K21" s="651"/>
      <c r="L21" s="651"/>
      <c r="M21" s="651"/>
      <c r="N21" s="651"/>
      <c r="O21" s="651"/>
      <c r="P21" s="651"/>
      <c r="Q21" s="651"/>
      <c r="R21" s="668"/>
      <c r="T21" t="s">
        <v>8454</v>
      </c>
      <c r="U21" s="1586">
        <f>-'SPP ADJ T&amp;D'!$H$12/1000</f>
        <v>-75758.085000000006</v>
      </c>
    </row>
    <row r="22" spans="2:21">
      <c r="B22" s="693">
        <v>10</v>
      </c>
      <c r="C22" s="534" t="s">
        <v>4074</v>
      </c>
      <c r="D22" s="783" t="s">
        <v>4067</v>
      </c>
      <c r="E22" s="819">
        <f>+SUM(F22:R22)</f>
        <v>90395.647783701817</v>
      </c>
      <c r="F22" s="651"/>
      <c r="G22" s="651"/>
      <c r="H22" s="651"/>
      <c r="I22" s="651"/>
      <c r="J22" s="777">
        <f>+'Minimum Distribution System'!K29</f>
        <v>90395.647783701817</v>
      </c>
      <c r="K22" s="651"/>
      <c r="L22" s="651"/>
      <c r="M22" s="651"/>
      <c r="N22" s="651"/>
      <c r="O22" s="651"/>
      <c r="P22" s="651"/>
      <c r="Q22" s="651"/>
      <c r="R22" s="668"/>
      <c r="T22" s="297" t="s">
        <v>8439</v>
      </c>
      <c r="U22" s="1639">
        <f>+G22</f>
        <v>0</v>
      </c>
    </row>
    <row r="23" spans="2:21">
      <c r="B23" s="693">
        <v>11</v>
      </c>
      <c r="C23" s="631" t="s">
        <v>4075</v>
      </c>
      <c r="D23" s="776" t="s">
        <v>4071</v>
      </c>
      <c r="E23" s="731">
        <f>+SUM(F23:R23)</f>
        <v>0</v>
      </c>
      <c r="F23" s="651"/>
      <c r="G23" s="651"/>
      <c r="H23" s="651"/>
      <c r="I23" s="651"/>
      <c r="J23" s="782">
        <f>+'Minimum Distribution System'!J29</f>
        <v>0</v>
      </c>
      <c r="K23" s="651"/>
      <c r="L23" s="651"/>
      <c r="M23" s="651"/>
      <c r="N23" s="651"/>
      <c r="O23" s="651"/>
      <c r="P23" s="651"/>
      <c r="Q23" s="651"/>
      <c r="R23" s="668"/>
      <c r="U23" s="1640">
        <f>+SUM(U20:U22)</f>
        <v>-4.4031621655449271E-6</v>
      </c>
    </row>
    <row r="24" spans="2:21">
      <c r="B24" s="693">
        <v>12</v>
      </c>
      <c r="C24" s="534" t="s">
        <v>4076</v>
      </c>
      <c r="D24" s="783" t="s">
        <v>115</v>
      </c>
      <c r="E24" s="820">
        <f>+SUM(E19:E23)</f>
        <v>423461.34848440316</v>
      </c>
      <c r="F24" s="651"/>
      <c r="G24" s="651"/>
      <c r="H24" s="651"/>
      <c r="I24" s="651"/>
      <c r="J24" s="777">
        <f>+SUM(J19:J23)</f>
        <v>423461.34848440316</v>
      </c>
      <c r="K24" s="651"/>
      <c r="L24" s="651"/>
      <c r="M24" s="651"/>
      <c r="N24" s="651"/>
      <c r="O24" s="651"/>
      <c r="P24" s="651"/>
      <c r="Q24" s="651"/>
      <c r="R24" s="668"/>
    </row>
    <row r="25" spans="2:21">
      <c r="B25" s="693">
        <v>13</v>
      </c>
      <c r="C25" s="534"/>
      <c r="D25" s="783"/>
      <c r="E25" s="818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68"/>
      <c r="T25" t="s">
        <v>8459</v>
      </c>
      <c r="U25" s="1586">
        <f>+'Accounting Schedule B-7'!R419</f>
        <v>303327.78304000001</v>
      </c>
    </row>
    <row r="26" spans="2:21">
      <c r="B26" s="693">
        <v>14</v>
      </c>
      <c r="C26" s="534" t="s">
        <v>4077</v>
      </c>
      <c r="D26" s="783" t="s">
        <v>4071</v>
      </c>
      <c r="E26" s="819">
        <f>+SUM(F26:R26)</f>
        <v>4542.9060069542402</v>
      </c>
      <c r="F26" s="42"/>
      <c r="G26" s="651"/>
      <c r="H26" s="651"/>
      <c r="I26" s="651"/>
      <c r="J26" s="651"/>
      <c r="K26" s="777">
        <f>+'Minimum Distribution System'!D20</f>
        <v>4542.9060069542402</v>
      </c>
      <c r="L26" s="784"/>
      <c r="M26" s="651"/>
      <c r="N26" s="651"/>
      <c r="O26" s="651"/>
      <c r="P26" s="651"/>
      <c r="Q26" s="651"/>
      <c r="R26" s="668"/>
      <c r="T26" t="s">
        <v>8460</v>
      </c>
      <c r="U26" s="1639">
        <f>+E31</f>
        <v>294587.42403850728</v>
      </c>
    </row>
    <row r="27" spans="2:21">
      <c r="B27" s="693">
        <v>15</v>
      </c>
      <c r="C27" s="534" t="s">
        <v>4078</v>
      </c>
      <c r="D27" s="783" t="s">
        <v>4067</v>
      </c>
      <c r="E27" s="819">
        <f>+SUM(F27:R27)</f>
        <v>251746.69790571451</v>
      </c>
      <c r="F27" s="42"/>
      <c r="G27" s="651"/>
      <c r="H27" s="651"/>
      <c r="I27" s="651"/>
      <c r="J27" s="651"/>
      <c r="K27" s="777">
        <f>+'Minimum Distribution System'!K21</f>
        <v>251746.69790571451</v>
      </c>
      <c r="L27" s="784"/>
      <c r="M27" s="651"/>
      <c r="N27" s="651"/>
      <c r="O27" s="651"/>
      <c r="P27" s="651"/>
      <c r="Q27" s="651"/>
      <c r="R27" s="668"/>
      <c r="U27" s="516">
        <f>+U25-U26</f>
        <v>8740.3590014927322</v>
      </c>
    </row>
    <row r="28" spans="2:21">
      <c r="B28" s="693">
        <v>16</v>
      </c>
      <c r="C28" s="631" t="s">
        <v>4079</v>
      </c>
      <c r="D28" s="783" t="s">
        <v>4071</v>
      </c>
      <c r="E28" s="819">
        <f>+SUM(F28:R28)</f>
        <v>0</v>
      </c>
      <c r="F28" s="42"/>
      <c r="G28" s="651"/>
      <c r="H28" s="651"/>
      <c r="I28" s="651"/>
      <c r="J28" s="651"/>
      <c r="K28" s="777">
        <f>+'Minimum Distribution System'!J21</f>
        <v>0</v>
      </c>
      <c r="L28" s="784"/>
      <c r="M28" s="651"/>
      <c r="N28" s="651"/>
      <c r="O28" s="651"/>
      <c r="P28" s="651"/>
      <c r="Q28" s="651"/>
      <c r="R28" s="668"/>
      <c r="T28" t="s">
        <v>8454</v>
      </c>
      <c r="U28" s="1586">
        <f>-'SPP ADJ T&amp;D'!$H$13/1000</f>
        <v>-8740.3590000000004</v>
      </c>
    </row>
    <row r="29" spans="2:21">
      <c r="B29" s="693">
        <v>17</v>
      </c>
      <c r="C29" s="534" t="s">
        <v>4080</v>
      </c>
      <c r="D29" s="783" t="s">
        <v>4067</v>
      </c>
      <c r="E29" s="819">
        <f>+SUM(F29:R29)</f>
        <v>38297.820125838523</v>
      </c>
      <c r="F29" s="42"/>
      <c r="G29" s="651"/>
      <c r="H29" s="651"/>
      <c r="I29" s="651"/>
      <c r="J29" s="651"/>
      <c r="K29" s="777">
        <f>+'Minimum Distribution System'!K20</f>
        <v>38297.820125838523</v>
      </c>
      <c r="L29" s="784"/>
      <c r="M29" s="651"/>
      <c r="N29" s="651"/>
      <c r="O29" s="651"/>
      <c r="P29" s="651"/>
      <c r="Q29" s="651"/>
      <c r="R29" s="668"/>
      <c r="T29" s="297" t="s">
        <v>8439</v>
      </c>
      <c r="U29" s="1639">
        <f>+G29</f>
        <v>0</v>
      </c>
    </row>
    <row r="30" spans="2:21">
      <c r="B30" s="693">
        <v>18</v>
      </c>
      <c r="C30" s="631" t="s">
        <v>4081</v>
      </c>
      <c r="D30" s="783" t="s">
        <v>4071</v>
      </c>
      <c r="E30" s="731">
        <f>+SUM(F30:R30)</f>
        <v>0</v>
      </c>
      <c r="F30" s="42"/>
      <c r="G30" s="651"/>
      <c r="H30" s="651"/>
      <c r="I30" s="651"/>
      <c r="J30" s="651"/>
      <c r="K30" s="782">
        <f>+'Minimum Distribution System'!J20</f>
        <v>0</v>
      </c>
      <c r="L30" s="784"/>
      <c r="M30" s="651"/>
      <c r="N30" s="651"/>
      <c r="O30" s="651"/>
      <c r="P30" s="651"/>
      <c r="Q30" s="651"/>
      <c r="R30" s="668"/>
      <c r="U30" s="1640">
        <f>+SUM(U27:U29)</f>
        <v>1.4927318261470646E-6</v>
      </c>
    </row>
    <row r="31" spans="2:21">
      <c r="B31" s="693">
        <v>19</v>
      </c>
      <c r="C31" s="534" t="s">
        <v>4082</v>
      </c>
      <c r="D31" s="783" t="s">
        <v>115</v>
      </c>
      <c r="E31" s="820">
        <f>+SUM(E26:E30)</f>
        <v>294587.42403850728</v>
      </c>
      <c r="F31" s="651"/>
      <c r="G31" s="651"/>
      <c r="H31" s="651"/>
      <c r="I31" s="651"/>
      <c r="J31" s="651"/>
      <c r="K31" s="777">
        <f>+SUM(K26:K30)</f>
        <v>294587.42403850728</v>
      </c>
      <c r="L31" s="651"/>
      <c r="M31" s="651"/>
      <c r="N31" s="651"/>
      <c r="O31" s="651"/>
      <c r="P31" s="651"/>
      <c r="Q31" s="651"/>
      <c r="R31" s="668"/>
    </row>
    <row r="32" spans="2:21">
      <c r="B32" s="693">
        <v>20</v>
      </c>
      <c r="C32" s="534"/>
      <c r="D32" s="783"/>
      <c r="E32" s="818"/>
      <c r="F32" s="651"/>
      <c r="G32" s="653"/>
      <c r="H32" s="651"/>
      <c r="I32" s="651"/>
      <c r="J32" s="651"/>
      <c r="K32" s="651"/>
      <c r="L32" s="651"/>
      <c r="M32" s="651"/>
      <c r="N32" s="651"/>
      <c r="O32" s="651"/>
      <c r="P32" s="651"/>
      <c r="Q32" s="651"/>
      <c r="R32" s="668"/>
      <c r="T32" t="s">
        <v>8462</v>
      </c>
      <c r="U32" s="1586">
        <f>+'Accounting Schedule B-7'!R420+'Accounting Schedule B-7'!R421</f>
        <v>1249165.66237</v>
      </c>
    </row>
    <row r="33" spans="2:21">
      <c r="B33" s="693">
        <v>21</v>
      </c>
      <c r="C33" s="534" t="s">
        <v>4173</v>
      </c>
      <c r="D33" s="783" t="s">
        <v>4071</v>
      </c>
      <c r="E33" s="819">
        <f>+SUM(F33:R33)</f>
        <v>385.73180000000002</v>
      </c>
      <c r="F33" s="651"/>
      <c r="G33" s="651"/>
      <c r="H33" s="651"/>
      <c r="I33" s="651"/>
      <c r="J33" s="651"/>
      <c r="K33" s="651"/>
      <c r="L33" s="777">
        <f>+'Minimum Distribution System'!D24</f>
        <v>385.73180000000002</v>
      </c>
      <c r="M33" s="651"/>
      <c r="N33" s="651"/>
      <c r="O33" s="651"/>
      <c r="P33" s="651"/>
      <c r="Q33" s="651"/>
      <c r="R33" s="668"/>
      <c r="T33" t="s">
        <v>8461</v>
      </c>
      <c r="U33" s="1639">
        <f>+E38</f>
        <v>811064.56137000001</v>
      </c>
    </row>
    <row r="34" spans="2:21">
      <c r="B34" s="693">
        <v>22</v>
      </c>
      <c r="C34" s="534" t="s">
        <v>4084</v>
      </c>
      <c r="D34" s="783" t="s">
        <v>4067</v>
      </c>
      <c r="E34" s="819">
        <f>+SUM(F34:R34)</f>
        <v>753246.56163162598</v>
      </c>
      <c r="F34" s="651"/>
      <c r="G34" s="651"/>
      <c r="H34" s="651"/>
      <c r="I34" s="651"/>
      <c r="J34" s="651"/>
      <c r="K34" s="651"/>
      <c r="L34" s="42">
        <f>+'Minimum Distribution System'!K25</f>
        <v>753246.56163162598</v>
      </c>
      <c r="M34" s="651"/>
      <c r="N34" s="651"/>
      <c r="O34" s="651"/>
      <c r="P34" s="651"/>
      <c r="Q34" s="651"/>
      <c r="R34" s="668"/>
      <c r="U34" s="516">
        <f>+U32-U33</f>
        <v>438101.10100000002</v>
      </c>
    </row>
    <row r="35" spans="2:21">
      <c r="B35" s="693">
        <v>23</v>
      </c>
      <c r="C35" s="631" t="s">
        <v>4085</v>
      </c>
      <c r="D35" s="783" t="s">
        <v>4071</v>
      </c>
      <c r="E35" s="819">
        <f>+SUM(F35:R35)</f>
        <v>0</v>
      </c>
      <c r="F35" s="651"/>
      <c r="G35" s="651"/>
      <c r="H35" s="651"/>
      <c r="I35" s="651"/>
      <c r="J35" s="651"/>
      <c r="K35" s="651"/>
      <c r="L35" s="42">
        <f>+'Minimum Distribution System'!J25</f>
        <v>0</v>
      </c>
      <c r="M35" s="651"/>
      <c r="N35" s="651"/>
      <c r="O35" s="651"/>
      <c r="P35" s="651"/>
      <c r="Q35" s="651"/>
      <c r="R35" s="668"/>
      <c r="T35" t="s">
        <v>8454</v>
      </c>
      <c r="U35" s="1586">
        <f>-SUM('SPP ADJ T&amp;D'!$H$14:H15)/1000</f>
        <v>-438101.10100000002</v>
      </c>
    </row>
    <row r="36" spans="2:21">
      <c r="B36" s="693">
        <v>24</v>
      </c>
      <c r="C36" s="534" t="s">
        <v>4086</v>
      </c>
      <c r="D36" s="783" t="s">
        <v>4067</v>
      </c>
      <c r="E36" s="819">
        <f>+SUM(F36:R36)</f>
        <v>57432.267938374134</v>
      </c>
      <c r="F36" s="651"/>
      <c r="G36" s="651"/>
      <c r="H36" s="651"/>
      <c r="I36" s="651"/>
      <c r="J36" s="651"/>
      <c r="K36" s="651"/>
      <c r="L36" s="42">
        <f>+'Minimum Distribution System'!K24</f>
        <v>57432.267938374134</v>
      </c>
      <c r="M36" s="651"/>
      <c r="N36" s="651"/>
      <c r="O36" s="651"/>
      <c r="P36" s="651"/>
      <c r="Q36" s="651"/>
      <c r="R36" s="668"/>
      <c r="T36" s="297" t="s">
        <v>8439</v>
      </c>
      <c r="U36" s="1639">
        <f>+G36</f>
        <v>0</v>
      </c>
    </row>
    <row r="37" spans="2:21">
      <c r="B37" s="693">
        <v>25</v>
      </c>
      <c r="C37" s="631" t="s">
        <v>4087</v>
      </c>
      <c r="D37" s="783" t="s">
        <v>4071</v>
      </c>
      <c r="E37" s="731">
        <f>+SUM(F37:R37)</f>
        <v>0</v>
      </c>
      <c r="F37" s="651"/>
      <c r="G37" s="651"/>
      <c r="H37" s="651"/>
      <c r="I37" s="651"/>
      <c r="J37" s="651"/>
      <c r="K37" s="651"/>
      <c r="L37" s="439">
        <f>+'Minimum Distribution System'!J24</f>
        <v>0</v>
      </c>
      <c r="M37" s="651"/>
      <c r="N37" s="651"/>
      <c r="O37" s="651"/>
      <c r="P37" s="651"/>
      <c r="Q37" s="651"/>
      <c r="R37" s="668"/>
      <c r="U37" s="1640">
        <f>+SUM(U34:U36)</f>
        <v>0</v>
      </c>
    </row>
    <row r="38" spans="2:21">
      <c r="B38" s="693">
        <v>26</v>
      </c>
      <c r="C38" s="534" t="s">
        <v>4088</v>
      </c>
      <c r="D38" s="783" t="s">
        <v>115</v>
      </c>
      <c r="E38" s="820">
        <f>+SUM(E33:E37)</f>
        <v>811064.56137000001</v>
      </c>
      <c r="F38" s="651"/>
      <c r="G38" s="651"/>
      <c r="H38" s="651"/>
      <c r="I38" s="651"/>
      <c r="J38" s="651"/>
      <c r="K38" s="651"/>
      <c r="L38" s="774">
        <f>+SUM(L33:L37)</f>
        <v>811064.56137000001</v>
      </c>
      <c r="M38" s="651"/>
      <c r="N38" s="651"/>
      <c r="O38" s="651"/>
      <c r="P38" s="651"/>
      <c r="Q38" s="651"/>
      <c r="R38" s="668"/>
    </row>
    <row r="39" spans="2:21">
      <c r="B39" s="693">
        <v>27</v>
      </c>
      <c r="C39" s="534"/>
      <c r="D39" s="783"/>
      <c r="E39" s="818"/>
      <c r="F39" s="651"/>
      <c r="G39" s="651"/>
      <c r="H39" s="651"/>
      <c r="I39" s="651"/>
      <c r="J39" s="651"/>
      <c r="K39" s="651"/>
      <c r="L39" s="651"/>
      <c r="M39" s="651"/>
      <c r="N39" s="651"/>
      <c r="O39" s="651"/>
      <c r="P39" s="651"/>
      <c r="Q39" s="651"/>
      <c r="R39" s="668"/>
      <c r="T39" t="s">
        <v>8463</v>
      </c>
      <c r="U39" s="1586">
        <f>+'Accounting Schedule B-7'!R422</f>
        <v>1040688.1980399999</v>
      </c>
    </row>
    <row r="40" spans="2:21">
      <c r="B40" s="693">
        <v>28</v>
      </c>
      <c r="C40" s="534" t="s">
        <v>4089</v>
      </c>
      <c r="D40" s="783" t="s">
        <v>4071</v>
      </c>
      <c r="E40" s="819">
        <f>+SUM(F40:R40)</f>
        <v>0</v>
      </c>
      <c r="F40" s="651"/>
      <c r="G40" s="651"/>
      <c r="H40" s="651"/>
      <c r="I40" s="651"/>
      <c r="J40" s="651"/>
      <c r="K40" s="651"/>
      <c r="L40" s="651"/>
      <c r="M40" s="42">
        <f>+'Minimum Distribution System'!D34</f>
        <v>0</v>
      </c>
      <c r="N40" s="651"/>
      <c r="O40" s="651"/>
      <c r="P40" s="651"/>
      <c r="Q40" s="651"/>
      <c r="R40" s="668"/>
      <c r="T40" t="s">
        <v>8464</v>
      </c>
      <c r="U40" s="1639">
        <f>+E45</f>
        <v>998079.55104320124</v>
      </c>
    </row>
    <row r="41" spans="2:21">
      <c r="B41" s="693">
        <v>29</v>
      </c>
      <c r="C41" s="631" t="s">
        <v>4174</v>
      </c>
      <c r="D41" s="783" t="s">
        <v>4067</v>
      </c>
      <c r="E41" s="819">
        <f>+SUM(F41:R41)</f>
        <v>164150.18467445605</v>
      </c>
      <c r="F41" s="651"/>
      <c r="G41" s="651"/>
      <c r="H41" s="651"/>
      <c r="I41" s="651"/>
      <c r="J41" s="651"/>
      <c r="K41" s="651"/>
      <c r="L41" s="651"/>
      <c r="M41" s="42">
        <f>+'Minimum Distribution System'!K35</f>
        <v>164150.18467445605</v>
      </c>
      <c r="N41" s="651"/>
      <c r="O41" s="651"/>
      <c r="P41" s="651"/>
      <c r="Q41" s="651"/>
      <c r="R41" s="668"/>
      <c r="U41" s="516">
        <f>+U39-U40</f>
        <v>42608.646996798692</v>
      </c>
    </row>
    <row r="42" spans="2:21">
      <c r="B42" s="693">
        <v>30</v>
      </c>
      <c r="C42" s="631" t="s">
        <v>4175</v>
      </c>
      <c r="D42" s="776" t="s">
        <v>4071</v>
      </c>
      <c r="E42" s="819">
        <f>+SUM(F42:R42)</f>
        <v>0</v>
      </c>
      <c r="F42" s="651"/>
      <c r="G42" s="651"/>
      <c r="H42" s="651"/>
      <c r="I42" s="651"/>
      <c r="J42" s="651"/>
      <c r="K42" s="651"/>
      <c r="L42" s="651"/>
      <c r="M42" s="42">
        <f>+'Minimum Distribution System'!J35</f>
        <v>0</v>
      </c>
      <c r="N42" s="651"/>
      <c r="O42" s="651"/>
      <c r="P42" s="651"/>
      <c r="Q42" s="651"/>
      <c r="R42" s="668"/>
      <c r="T42" t="s">
        <v>8454</v>
      </c>
      <c r="U42" s="1586">
        <f>-'SPP ADJ T&amp;D'!$H$16/1000</f>
        <v>-42608.646999999997</v>
      </c>
    </row>
    <row r="43" spans="2:21">
      <c r="B43" s="693">
        <v>31</v>
      </c>
      <c r="C43" s="631" t="s">
        <v>4176</v>
      </c>
      <c r="D43" s="776" t="s">
        <v>4067</v>
      </c>
      <c r="E43" s="819">
        <f>+SUM(F43:R43)</f>
        <v>833929.36636874522</v>
      </c>
      <c r="F43" s="651"/>
      <c r="G43" s="651"/>
      <c r="H43" s="651"/>
      <c r="I43" s="651"/>
      <c r="J43" s="651"/>
      <c r="K43" s="651"/>
      <c r="L43" s="651"/>
      <c r="M43" s="42">
        <f>+'Minimum Distribution System'!K34</f>
        <v>833929.36636874522</v>
      </c>
      <c r="N43" s="651"/>
      <c r="O43" s="651"/>
      <c r="P43" s="651"/>
      <c r="Q43" s="651"/>
      <c r="R43" s="668"/>
      <c r="T43" s="297" t="s">
        <v>8439</v>
      </c>
      <c r="U43" s="1639">
        <f>+G43</f>
        <v>0</v>
      </c>
    </row>
    <row r="44" spans="2:21">
      <c r="B44" s="693">
        <v>32</v>
      </c>
      <c r="C44" s="631" t="s">
        <v>4177</v>
      </c>
      <c r="D44" s="776" t="s">
        <v>4071</v>
      </c>
      <c r="E44" s="731">
        <f>+SUM(F44:R44)</f>
        <v>0</v>
      </c>
      <c r="F44" s="651"/>
      <c r="G44" s="651"/>
      <c r="H44" s="651"/>
      <c r="I44" s="651"/>
      <c r="J44" s="651"/>
      <c r="K44" s="651"/>
      <c r="L44" s="651"/>
      <c r="M44" s="439">
        <f>+'Minimum Distribution System'!J34</f>
        <v>0</v>
      </c>
      <c r="N44" s="651"/>
      <c r="O44" s="651"/>
      <c r="P44" s="651"/>
      <c r="Q44" s="651"/>
      <c r="R44" s="668"/>
      <c r="U44" s="1640">
        <f>+SUM(U41:U43)</f>
        <v>-3.2013049349188805E-6</v>
      </c>
    </row>
    <row r="45" spans="2:21">
      <c r="B45" s="693">
        <v>33</v>
      </c>
      <c r="C45" s="534" t="s">
        <v>4090</v>
      </c>
      <c r="D45" s="783" t="s">
        <v>115</v>
      </c>
      <c r="E45" s="820">
        <f>+SUM(E40:E44)</f>
        <v>998079.55104320124</v>
      </c>
      <c r="F45" s="651"/>
      <c r="G45" s="651"/>
      <c r="H45" s="651"/>
      <c r="I45" s="651"/>
      <c r="J45" s="651"/>
      <c r="K45" s="651"/>
      <c r="L45" s="651"/>
      <c r="M45" s="651">
        <f>+SUM(M40:M44)</f>
        <v>998079.55104320124</v>
      </c>
      <c r="N45" s="651"/>
      <c r="O45" s="651"/>
      <c r="P45" s="651"/>
      <c r="Q45" s="651"/>
      <c r="R45" s="668"/>
    </row>
    <row r="46" spans="2:21">
      <c r="B46" s="693">
        <v>34</v>
      </c>
      <c r="C46" s="534"/>
      <c r="D46" s="783"/>
      <c r="E46" s="818"/>
      <c r="F46" s="651"/>
      <c r="G46" s="651"/>
      <c r="H46" s="651"/>
      <c r="I46" s="651"/>
      <c r="J46" s="651"/>
      <c r="K46" s="651"/>
      <c r="L46" s="651"/>
      <c r="M46" s="651"/>
      <c r="N46" s="651"/>
      <c r="O46" s="651"/>
      <c r="P46" s="651"/>
      <c r="Q46" s="651"/>
      <c r="R46" s="668"/>
      <c r="T46" t="s">
        <v>8465</v>
      </c>
      <c r="U46" s="1586">
        <f>+SUM('Accounting Schedule B-7'!R423:R429)</f>
        <v>805490.96192999999</v>
      </c>
    </row>
    <row r="47" spans="2:21">
      <c r="B47" s="693">
        <v>35</v>
      </c>
      <c r="C47" s="534" t="s">
        <v>4091</v>
      </c>
      <c r="D47" s="783" t="s">
        <v>4071</v>
      </c>
      <c r="E47" s="819">
        <f>+SUM(F47:R47)</f>
        <v>228413.06716999999</v>
      </c>
      <c r="F47" s="651"/>
      <c r="G47" s="651"/>
      <c r="H47" s="651"/>
      <c r="I47" s="651"/>
      <c r="J47" s="651"/>
      <c r="K47" s="651"/>
      <c r="L47" s="651"/>
      <c r="M47" s="651"/>
      <c r="N47" s="651">
        <f>(+SUMIFS('300s - 5 Digit FERC Accounts'!D:D,'300s - 5 Digit FERC Accounts'!B:B,36900)/1000)-('SPP ADJ T&amp;D'!H17/1000)</f>
        <v>74342.805049999995</v>
      </c>
      <c r="O47" s="651">
        <f>(+SUMIFS('300s - 5 Digit FERC Accounts'!D:D,'300s - 5 Digit FERC Accounts'!B:B,36902)/1000)-('SPP ADJ T&amp;D'!H18/1000)</f>
        <v>154070.26212</v>
      </c>
      <c r="P47" s="651"/>
      <c r="Q47" s="651"/>
      <c r="R47" s="668"/>
      <c r="T47" t="s">
        <v>8466</v>
      </c>
      <c r="U47" s="1639">
        <f>+SUM(E47:E50)</f>
        <v>793243.60492999991</v>
      </c>
    </row>
    <row r="48" spans="2:21">
      <c r="B48" s="693">
        <v>36</v>
      </c>
      <c r="C48" s="534" t="s">
        <v>4092</v>
      </c>
      <c r="D48" s="783" t="s">
        <v>4071</v>
      </c>
      <c r="E48" s="819">
        <f>+SUM(F48:R48)</f>
        <v>149851.91621000002</v>
      </c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651"/>
      <c r="R48" s="668"/>
      <c r="U48" s="516">
        <f>+U46-U47</f>
        <v>12247.357000000076</v>
      </c>
    </row>
    <row r="49" spans="2:21">
      <c r="B49" s="693">
        <v>37</v>
      </c>
      <c r="C49" s="534" t="s">
        <v>9138</v>
      </c>
      <c r="D49" s="783" t="s">
        <v>4071</v>
      </c>
      <c r="E49" s="819">
        <f>+SUM(F49:R49)</f>
        <v>0</v>
      </c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>
        <f>(+SUMIFS('300s - 5 Digit FERC Accounts'!D:D,'300s - 5 Digit FERC Accounts'!B:B,37100)/1000)</f>
        <v>0</v>
      </c>
      <c r="R49" s="668"/>
      <c r="T49" t="s">
        <v>8454</v>
      </c>
      <c r="U49" s="1586">
        <f>-SUM('SPP ADJ T&amp;D'!$H$17:H21)/1000</f>
        <v>-12247.357</v>
      </c>
    </row>
    <row r="50" spans="2:21">
      <c r="B50" s="693">
        <v>38</v>
      </c>
      <c r="C50" s="785" t="s">
        <v>4093</v>
      </c>
      <c r="D50" s="783" t="s">
        <v>4071</v>
      </c>
      <c r="E50" s="731">
        <f>+SUM(F50:R50)</f>
        <v>414978.62154999998</v>
      </c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670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297" t="s">
        <v>8439</v>
      </c>
      <c r="U50" s="1639">
        <f>+G50</f>
        <v>0</v>
      </c>
    </row>
    <row r="51" spans="2:21">
      <c r="B51" s="693">
        <v>39</v>
      </c>
      <c r="C51" s="540"/>
      <c r="D51" s="786"/>
      <c r="E51" s="82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68"/>
      <c r="U51" s="1640">
        <f>+SUM(U48:U50)</f>
        <v>7.6397554948925972E-11</v>
      </c>
    </row>
    <row r="52" spans="2:21">
      <c r="B52" s="693">
        <v>40</v>
      </c>
      <c r="C52" s="534" t="s">
        <v>4094</v>
      </c>
      <c r="D52" s="783" t="s">
        <v>4067</v>
      </c>
      <c r="E52" s="818">
        <f>+SUMIFS(E14:E50,D14:D50,D52)</f>
        <v>2858628.3006293303</v>
      </c>
      <c r="F52" s="651">
        <f>+SUMIFS(F$14:F$50,$D$14:$D$50,$D$52)</f>
        <v>0</v>
      </c>
      <c r="G52" s="651">
        <f>+SUMIFS(G$14:G$50,$D$14:$D$50,$D$52)</f>
        <v>10119.782539999998</v>
      </c>
      <c r="H52" s="651">
        <f t="shared" ref="H52:R52" si="0">+SUMIFS(H$14:H$50,$D$14:$D$50,$D$52)</f>
        <v>33935.685829999995</v>
      </c>
      <c r="I52" s="651">
        <f t="shared" si="0"/>
        <v>324383.01922000002</v>
      </c>
      <c r="J52" s="651">
        <f t="shared" si="0"/>
        <v>391386.91439457599</v>
      </c>
      <c r="K52" s="651">
        <f t="shared" si="0"/>
        <v>290044.51803155302</v>
      </c>
      <c r="L52" s="651">
        <f t="shared" si="0"/>
        <v>810678.82957000006</v>
      </c>
      <c r="M52" s="651">
        <f t="shared" si="0"/>
        <v>998079.55104320124</v>
      </c>
      <c r="N52" s="651">
        <f t="shared" si="0"/>
        <v>0</v>
      </c>
      <c r="O52" s="651">
        <f t="shared" si="0"/>
        <v>0</v>
      </c>
      <c r="P52" s="651">
        <f t="shared" si="0"/>
        <v>0</v>
      </c>
      <c r="Q52" s="651">
        <f t="shared" si="0"/>
        <v>0</v>
      </c>
      <c r="R52" s="668">
        <f t="shared" si="0"/>
        <v>0</v>
      </c>
    </row>
    <row r="53" spans="2:21">
      <c r="B53" s="693">
        <v>41</v>
      </c>
      <c r="C53" s="785" t="s">
        <v>4094</v>
      </c>
      <c r="D53" s="787" t="s">
        <v>4071</v>
      </c>
      <c r="E53" s="573">
        <f>+SUMIFS(E14:E50,D14:D50,D53)</f>
        <v>830246.67682678136</v>
      </c>
      <c r="F53" s="822">
        <f>+SUMIFS(F$14:F$50,$D$14:$D$50,$D$53)</f>
        <v>0</v>
      </c>
      <c r="G53" s="537">
        <f>+SUMIFS(G$14:G$50,$D$14:$D$50,$D$53)</f>
        <v>0</v>
      </c>
      <c r="H53" s="537">
        <f t="shared" ref="H53:R53" si="1">+SUMIFS(H$14:H$50,$D$14:$D$50,$D$53)</f>
        <v>0</v>
      </c>
      <c r="I53" s="537">
        <f t="shared" si="1"/>
        <v>0</v>
      </c>
      <c r="J53" s="537">
        <f t="shared" si="1"/>
        <v>32074.434089827188</v>
      </c>
      <c r="K53" s="537">
        <f t="shared" si="1"/>
        <v>4542.9060069542402</v>
      </c>
      <c r="L53" s="537">
        <f t="shared" si="1"/>
        <v>385.73180000000002</v>
      </c>
      <c r="M53" s="537">
        <f t="shared" si="1"/>
        <v>0</v>
      </c>
      <c r="N53" s="537">
        <f t="shared" si="1"/>
        <v>74342.805049999995</v>
      </c>
      <c r="O53" s="537">
        <f t="shared" si="1"/>
        <v>154070.26212</v>
      </c>
      <c r="P53" s="537">
        <f t="shared" si="1"/>
        <v>149851.91621000002</v>
      </c>
      <c r="Q53" s="537">
        <f t="shared" si="1"/>
        <v>0</v>
      </c>
      <c r="R53" s="670">
        <f t="shared" si="1"/>
        <v>414978.62154999998</v>
      </c>
      <c r="T53" t="s">
        <v>8427</v>
      </c>
      <c r="U53" s="1586">
        <f>+SUM(U11,U18,U25,U32,U39,U46)-U4</f>
        <v>0</v>
      </c>
    </row>
    <row r="54" spans="2:21">
      <c r="B54" s="693">
        <v>42</v>
      </c>
      <c r="C54" s="328"/>
      <c r="D54" s="328"/>
      <c r="E54" s="570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68"/>
      <c r="T54" t="s">
        <v>8426</v>
      </c>
      <c r="U54" s="1639">
        <f>+SUM(U12,U19,U26,U33,U40,U47)-U5</f>
        <v>0</v>
      </c>
    </row>
    <row r="55" spans="2:21" ht="15" thickBot="1">
      <c r="B55" s="693">
        <v>43</v>
      </c>
      <c r="C55" s="328" t="s">
        <v>2543</v>
      </c>
      <c r="D55" s="548" t="s">
        <v>115</v>
      </c>
      <c r="E55" s="576">
        <f>+SUM(E52:E53)</f>
        <v>3688874.9774561115</v>
      </c>
      <c r="F55" s="788">
        <f>+SUM(F52:F53)</f>
        <v>0</v>
      </c>
      <c r="G55" s="788">
        <f t="shared" ref="G55:R55" si="2">+SUM(G52:G53)</f>
        <v>10119.782539999998</v>
      </c>
      <c r="H55" s="788">
        <f t="shared" si="2"/>
        <v>33935.685829999995</v>
      </c>
      <c r="I55" s="788">
        <f t="shared" si="2"/>
        <v>324383.01922000002</v>
      </c>
      <c r="J55" s="788">
        <f t="shared" si="2"/>
        <v>423461.34848440316</v>
      </c>
      <c r="K55" s="788">
        <f t="shared" si="2"/>
        <v>294587.42403850728</v>
      </c>
      <c r="L55" s="788">
        <f t="shared" si="2"/>
        <v>811064.56137000001</v>
      </c>
      <c r="M55" s="788">
        <f t="shared" si="2"/>
        <v>998079.55104320124</v>
      </c>
      <c r="N55" s="788">
        <f t="shared" si="2"/>
        <v>74342.805049999995</v>
      </c>
      <c r="O55" s="788">
        <f t="shared" si="2"/>
        <v>154070.26212</v>
      </c>
      <c r="P55" s="788">
        <f t="shared" si="2"/>
        <v>149851.91621000002</v>
      </c>
      <c r="Q55" s="788">
        <f t="shared" si="2"/>
        <v>0</v>
      </c>
      <c r="R55" s="789">
        <f t="shared" si="2"/>
        <v>414978.62154999998</v>
      </c>
      <c r="U55" s="516">
        <f>+U53-U54</f>
        <v>0</v>
      </c>
    </row>
    <row r="56" spans="2:21" ht="15" thickTop="1">
      <c r="B56" s="693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536"/>
      <c r="T56" t="s">
        <v>8454</v>
      </c>
      <c r="U56" s="1586">
        <f>+SUM(U14,U21,U28,U35,U42,U49)-U7</f>
        <v>0</v>
      </c>
    </row>
    <row r="57" spans="2:21">
      <c r="B57" s="639"/>
      <c r="C57" s="546"/>
      <c r="D57" s="546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T57" s="297" t="s">
        <v>8439</v>
      </c>
      <c r="U57" s="1639">
        <f>+SUM(U15,U22,U29,U36,U43,U50)-U8</f>
        <v>0</v>
      </c>
    </row>
    <row r="58" spans="2:21" ht="15" thickBot="1">
      <c r="B58" s="328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U58" s="1640">
        <f>+SUM(U55:U57)</f>
        <v>0</v>
      </c>
    </row>
    <row r="59" spans="2:21">
      <c r="B59" s="699"/>
      <c r="C59" s="633"/>
      <c r="D59" s="633"/>
      <c r="E59" s="633"/>
      <c r="F59" s="633"/>
      <c r="G59" s="633"/>
      <c r="H59" s="633"/>
      <c r="I59" s="701"/>
      <c r="J59" s="633"/>
      <c r="K59" s="633"/>
      <c r="L59" s="633"/>
      <c r="M59" s="633"/>
      <c r="N59" s="633"/>
      <c r="O59" s="633"/>
      <c r="P59" s="633"/>
      <c r="Q59" s="633"/>
      <c r="R59" s="634"/>
    </row>
    <row r="60" spans="2:21">
      <c r="B60" s="778" t="s">
        <v>4095</v>
      </c>
      <c r="C60" s="413"/>
      <c r="D60" s="638"/>
      <c r="E60" s="328"/>
      <c r="F60" s="328"/>
      <c r="G60" s="328"/>
      <c r="H60" s="328"/>
      <c r="I60" s="467"/>
      <c r="J60" s="328"/>
      <c r="K60" s="328"/>
      <c r="L60" s="328"/>
      <c r="M60" s="328"/>
      <c r="N60" s="328"/>
      <c r="O60" s="328"/>
      <c r="P60" s="328"/>
      <c r="Q60" s="328"/>
      <c r="R60" s="635"/>
    </row>
    <row r="61" spans="2:21">
      <c r="B61" s="642"/>
      <c r="C61" s="328"/>
      <c r="D61" s="328"/>
      <c r="E61" s="3134" t="s">
        <v>4096</v>
      </c>
      <c r="F61" s="3135"/>
      <c r="G61" s="3136"/>
      <c r="H61" s="328"/>
      <c r="I61" s="3134" t="s">
        <v>4097</v>
      </c>
      <c r="J61" s="3135"/>
      <c r="K61" s="3136"/>
      <c r="L61" s="328"/>
      <c r="M61" s="328"/>
      <c r="N61" s="328"/>
      <c r="O61" s="328"/>
      <c r="P61" s="328"/>
      <c r="Q61" s="328"/>
      <c r="R61" s="635"/>
    </row>
    <row r="62" spans="2:21" ht="27">
      <c r="B62" s="779" t="s">
        <v>4098</v>
      </c>
      <c r="C62" s="62" t="s">
        <v>4099</v>
      </c>
      <c r="D62" s="328"/>
      <c r="E62" s="627" t="s">
        <v>4100</v>
      </c>
      <c r="F62" s="627" t="s">
        <v>4101</v>
      </c>
      <c r="G62" s="627" t="s">
        <v>4102</v>
      </c>
      <c r="H62" s="328"/>
      <c r="I62" s="627" t="s">
        <v>4100</v>
      </c>
      <c r="J62" s="627" t="s">
        <v>4103</v>
      </c>
      <c r="K62" s="627" t="s">
        <v>4104</v>
      </c>
      <c r="L62" s="328"/>
      <c r="M62" s="328"/>
      <c r="N62" s="328"/>
      <c r="O62" s="328"/>
      <c r="P62" s="328"/>
      <c r="Q62" s="328"/>
      <c r="R62" s="635"/>
    </row>
    <row r="63" spans="2:21">
      <c r="B63" s="642"/>
      <c r="C63" s="62"/>
      <c r="D63" s="96" t="s">
        <v>4050</v>
      </c>
      <c r="E63" s="651">
        <f>+E24</f>
        <v>423461.34848440316</v>
      </c>
      <c r="F63" s="467">
        <f>+E63</f>
        <v>423461.34848440316</v>
      </c>
      <c r="G63" s="29">
        <v>0</v>
      </c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635"/>
    </row>
    <row r="64" spans="2:21">
      <c r="B64" s="642"/>
      <c r="C64" s="62"/>
      <c r="D64" s="96" t="s">
        <v>4105</v>
      </c>
      <c r="E64" s="651">
        <f>+E31</f>
        <v>294587.42403850728</v>
      </c>
      <c r="F64" s="467">
        <f>+E64</f>
        <v>294587.42403850728</v>
      </c>
      <c r="G64" s="29">
        <v>0</v>
      </c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635"/>
    </row>
    <row r="65" spans="2:18">
      <c r="B65" s="642"/>
      <c r="C65" s="62"/>
      <c r="D65" s="96" t="s">
        <v>4106</v>
      </c>
      <c r="E65" s="537">
        <f>+E38</f>
        <v>811064.56137000001</v>
      </c>
      <c r="F65" s="823">
        <v>0</v>
      </c>
      <c r="G65" s="790">
        <f>+E65</f>
        <v>811064.56137000001</v>
      </c>
      <c r="H65" s="328"/>
      <c r="I65" s="546"/>
      <c r="J65" s="546"/>
      <c r="K65" s="546"/>
      <c r="L65" s="328"/>
      <c r="M65" s="328"/>
      <c r="N65" s="328"/>
      <c r="O65" s="328"/>
      <c r="P65" s="328"/>
      <c r="Q65" s="328"/>
      <c r="R65" s="635"/>
    </row>
    <row r="66" spans="2:18">
      <c r="B66" s="642"/>
      <c r="C66" s="62"/>
      <c r="D66" s="328"/>
      <c r="E66" s="467">
        <f>+SUM(E63:E65)</f>
        <v>1529113.3338929105</v>
      </c>
      <c r="F66" s="467">
        <f>+SUM(F63:F65)</f>
        <v>718048.7725229105</v>
      </c>
      <c r="G66" s="467">
        <f>+SUM(G63:G65)</f>
        <v>811064.56137000001</v>
      </c>
      <c r="H66" s="328"/>
      <c r="I66" s="791">
        <f>+E47</f>
        <v>228413.06716999999</v>
      </c>
      <c r="J66" s="467">
        <f>+I66*F67</f>
        <v>107259.36323637994</v>
      </c>
      <c r="K66" s="467">
        <f>+I66*G67</f>
        <v>121153.70393362005</v>
      </c>
      <c r="L66" s="328"/>
      <c r="M66" s="328"/>
      <c r="N66" s="328"/>
      <c r="O66" s="328"/>
      <c r="P66" s="328"/>
      <c r="Q66" s="328"/>
      <c r="R66" s="635"/>
    </row>
    <row r="67" spans="2:18">
      <c r="B67" s="642"/>
      <c r="C67" s="62" t="s">
        <v>4107</v>
      </c>
      <c r="D67" s="328"/>
      <c r="E67" s="328"/>
      <c r="F67" s="792">
        <f>+F66/E66</f>
        <v>0.46958505730563338</v>
      </c>
      <c r="G67" s="792">
        <f>+G66/E66</f>
        <v>0.53041494269436662</v>
      </c>
      <c r="H67" s="328"/>
      <c r="I67" s="548" t="s">
        <v>4108</v>
      </c>
      <c r="J67" s="792">
        <f>+J66/I66</f>
        <v>0.46958505730563344</v>
      </c>
      <c r="K67" s="792">
        <f>+K66/I66</f>
        <v>0.53041494269436662</v>
      </c>
      <c r="L67" s="328"/>
      <c r="M67" s="328"/>
      <c r="N67" s="328"/>
      <c r="O67" s="328"/>
      <c r="P67" s="328"/>
      <c r="Q67" s="328"/>
      <c r="R67" s="635"/>
    </row>
    <row r="68" spans="2:18">
      <c r="B68" s="793"/>
      <c r="C68" s="514"/>
      <c r="D68" s="546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794"/>
    </row>
    <row r="69" spans="2:18">
      <c r="B69" s="642"/>
      <c r="C69" s="62"/>
      <c r="D69" s="328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635"/>
    </row>
    <row r="70" spans="2:18">
      <c r="B70" s="642"/>
      <c r="C70" s="62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635"/>
    </row>
    <row r="71" spans="2:18" ht="40.200000000000003">
      <c r="B71" s="779" t="s">
        <v>4109</v>
      </c>
      <c r="C71" s="62" t="s">
        <v>4110</v>
      </c>
      <c r="D71" s="328"/>
      <c r="E71" s="627" t="s">
        <v>4100</v>
      </c>
      <c r="F71" s="627" t="s">
        <v>4111</v>
      </c>
      <c r="G71" s="627" t="s">
        <v>4112</v>
      </c>
      <c r="H71" s="627" t="s">
        <v>4113</v>
      </c>
      <c r="I71" s="627" t="s">
        <v>4114</v>
      </c>
      <c r="J71" s="780" t="s">
        <v>4115</v>
      </c>
      <c r="K71" s="627" t="s">
        <v>4116</v>
      </c>
      <c r="L71" s="627" t="s">
        <v>4679</v>
      </c>
      <c r="M71" s="328"/>
      <c r="N71" s="328"/>
      <c r="O71" s="328"/>
      <c r="P71" s="328"/>
      <c r="Q71" s="328"/>
      <c r="R71" s="635"/>
    </row>
    <row r="72" spans="2:18">
      <c r="B72" s="642"/>
      <c r="C72" s="62"/>
      <c r="D72" s="96" t="s">
        <v>4050</v>
      </c>
      <c r="E72" s="824">
        <f>+SUM(F72:L72)</f>
        <v>423461.34848440316</v>
      </c>
      <c r="F72" s="825">
        <f>+E19</f>
        <v>32074.434089827188</v>
      </c>
      <c r="G72" s="824">
        <f>+E20</f>
        <v>300991.26661087415</v>
      </c>
      <c r="H72" s="824">
        <f>+E21</f>
        <v>0</v>
      </c>
      <c r="I72" s="824">
        <f>+E22</f>
        <v>90395.647783701817</v>
      </c>
      <c r="J72" s="824">
        <f>+E23</f>
        <v>0</v>
      </c>
      <c r="K72" s="824"/>
      <c r="L72" s="29">
        <v>0</v>
      </c>
      <c r="M72" s="328"/>
      <c r="N72" s="328"/>
      <c r="O72" s="328"/>
      <c r="P72" s="328"/>
      <c r="Q72" s="328"/>
      <c r="R72" s="635"/>
    </row>
    <row r="73" spans="2:18">
      <c r="B73" s="642"/>
      <c r="C73" s="62"/>
      <c r="D73" s="96" t="s">
        <v>4117</v>
      </c>
      <c r="E73" s="824">
        <f>+SUM(F73:L73)</f>
        <v>294587.42403850728</v>
      </c>
      <c r="F73" s="824">
        <f>+E26</f>
        <v>4542.9060069542402</v>
      </c>
      <c r="G73" s="824">
        <f>+E27</f>
        <v>251746.69790571451</v>
      </c>
      <c r="H73" s="824">
        <f>+E28</f>
        <v>0</v>
      </c>
      <c r="I73" s="824">
        <f>+E29</f>
        <v>38297.820125838523</v>
      </c>
      <c r="J73" s="824">
        <f>+E30</f>
        <v>0</v>
      </c>
      <c r="K73" s="824"/>
      <c r="L73" s="29">
        <v>0</v>
      </c>
      <c r="M73" s="328"/>
      <c r="N73" s="328"/>
      <c r="O73" s="328"/>
      <c r="P73" s="328"/>
      <c r="Q73" s="328"/>
      <c r="R73" s="635"/>
    </row>
    <row r="74" spans="2:18">
      <c r="B74" s="642"/>
      <c r="C74" s="62"/>
      <c r="D74" s="96" t="s">
        <v>4118</v>
      </c>
      <c r="E74" s="826">
        <f>+SUM(F74:L74)</f>
        <v>107259.36323637994</v>
      </c>
      <c r="F74" s="826"/>
      <c r="G74" s="826"/>
      <c r="H74" s="826"/>
      <c r="I74" s="826"/>
      <c r="J74" s="826"/>
      <c r="K74" s="826">
        <f>+J66</f>
        <v>107259.36323637994</v>
      </c>
      <c r="L74" s="826"/>
      <c r="M74" s="328"/>
      <c r="N74" s="328"/>
      <c r="O74" s="328"/>
      <c r="P74" s="328"/>
      <c r="Q74" s="328"/>
      <c r="R74" s="635"/>
    </row>
    <row r="75" spans="2:18">
      <c r="B75" s="642"/>
      <c r="C75" s="62"/>
      <c r="D75" s="96" t="s">
        <v>4119</v>
      </c>
      <c r="E75" s="824">
        <f>+SUM(F75:L75)</f>
        <v>825308.13575929042</v>
      </c>
      <c r="F75" s="824">
        <f t="shared" ref="F75:L75" si="3">+SUM(F72:F74)</f>
        <v>36617.34009678143</v>
      </c>
      <c r="G75" s="824">
        <f t="shared" si="3"/>
        <v>552737.96451658872</v>
      </c>
      <c r="H75" s="824">
        <f t="shared" si="3"/>
        <v>0</v>
      </c>
      <c r="I75" s="824">
        <f t="shared" si="3"/>
        <v>128693.46790954034</v>
      </c>
      <c r="J75" s="824">
        <f t="shared" si="3"/>
        <v>0</v>
      </c>
      <c r="K75" s="824">
        <f t="shared" si="3"/>
        <v>107259.36323637994</v>
      </c>
      <c r="L75" s="824">
        <f t="shared" si="3"/>
        <v>0</v>
      </c>
      <c r="M75" s="328"/>
      <c r="N75" s="328"/>
      <c r="O75" s="328"/>
      <c r="P75" s="328"/>
      <c r="Q75" s="328"/>
      <c r="R75" s="635"/>
    </row>
    <row r="76" spans="2:18">
      <c r="B76" s="642"/>
      <c r="C76" s="62"/>
      <c r="D76" s="293" t="s">
        <v>3160</v>
      </c>
      <c r="E76" s="796">
        <f>+SUM(F76:L76)</f>
        <v>1</v>
      </c>
      <c r="F76" s="781">
        <f t="shared" ref="F76:L76" si="4">+F75/$E$75</f>
        <v>4.4368083277275788E-2</v>
      </c>
      <c r="G76" s="781">
        <f t="shared" si="4"/>
        <v>0.6697352668262081</v>
      </c>
      <c r="H76" s="781">
        <f t="shared" si="4"/>
        <v>0</v>
      </c>
      <c r="I76" s="781">
        <f t="shared" si="4"/>
        <v>0.15593384135386146</v>
      </c>
      <c r="J76" s="781">
        <f t="shared" si="4"/>
        <v>0</v>
      </c>
      <c r="K76" s="781">
        <f t="shared" si="4"/>
        <v>0.12996280854265471</v>
      </c>
      <c r="L76" s="781">
        <f t="shared" si="4"/>
        <v>0</v>
      </c>
      <c r="M76" s="328"/>
      <c r="N76" s="328"/>
      <c r="O76" s="328"/>
      <c r="P76" s="328"/>
      <c r="Q76" s="328"/>
      <c r="R76" s="635"/>
    </row>
    <row r="77" spans="2:18">
      <c r="B77" s="642"/>
      <c r="C77" s="62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635"/>
    </row>
    <row r="78" spans="2:18">
      <c r="B78" s="793"/>
      <c r="C78" s="514"/>
      <c r="D78" s="546"/>
      <c r="E78" s="546"/>
      <c r="F78" s="546"/>
      <c r="G78" s="546"/>
      <c r="H78" s="546"/>
      <c r="I78" s="546"/>
      <c r="J78" s="546"/>
      <c r="K78" s="546"/>
      <c r="L78" s="546"/>
      <c r="M78" s="545"/>
      <c r="N78" s="545"/>
      <c r="O78" s="546"/>
      <c r="P78" s="546"/>
      <c r="Q78" s="546"/>
      <c r="R78" s="794"/>
    </row>
    <row r="79" spans="2:18">
      <c r="B79" s="642"/>
      <c r="C79" s="62"/>
      <c r="D79" s="328"/>
      <c r="E79" s="328"/>
      <c r="F79" s="328"/>
      <c r="G79" s="328"/>
      <c r="H79" s="328"/>
      <c r="I79" s="328"/>
      <c r="J79" s="328"/>
      <c r="K79" s="328"/>
      <c r="L79" s="328"/>
      <c r="M79" s="96"/>
      <c r="N79" s="96"/>
      <c r="O79" s="328"/>
      <c r="P79" s="328"/>
      <c r="Q79" s="328"/>
      <c r="R79" s="635"/>
    </row>
    <row r="80" spans="2:18" ht="40.200000000000003">
      <c r="B80" s="779" t="s">
        <v>4120</v>
      </c>
      <c r="C80" s="62" t="s">
        <v>4121</v>
      </c>
      <c r="D80" s="328"/>
      <c r="E80" s="627" t="s">
        <v>4100</v>
      </c>
      <c r="F80" s="627" t="s">
        <v>4111</v>
      </c>
      <c r="G80" s="627" t="s">
        <v>4112</v>
      </c>
      <c r="H80" s="627" t="s">
        <v>4113</v>
      </c>
      <c r="I80" s="627" t="s">
        <v>4114</v>
      </c>
      <c r="J80" s="780" t="s">
        <v>4115</v>
      </c>
      <c r="K80" s="627" t="s">
        <v>4116</v>
      </c>
      <c r="L80" s="290"/>
      <c r="M80" s="328"/>
      <c r="N80" s="42"/>
      <c r="O80" s="797"/>
      <c r="P80" s="548"/>
      <c r="Q80" s="548"/>
      <c r="R80" s="635"/>
    </row>
    <row r="81" spans="2:21">
      <c r="B81" s="642"/>
      <c r="C81" s="62"/>
      <c r="D81" s="96" t="s">
        <v>4058</v>
      </c>
      <c r="E81" s="824">
        <f>+SUM(F81:K81)</f>
        <v>811064.56137000001</v>
      </c>
      <c r="F81" s="824">
        <f>+L33</f>
        <v>385.73180000000002</v>
      </c>
      <c r="G81" s="824">
        <f>+L34</f>
        <v>753246.56163162598</v>
      </c>
      <c r="H81" s="824">
        <f>+L35</f>
        <v>0</v>
      </c>
      <c r="I81" s="824">
        <f>+L36</f>
        <v>57432.267938374134</v>
      </c>
      <c r="J81" s="824">
        <f>+L37</f>
        <v>0</v>
      </c>
      <c r="K81" s="824"/>
      <c r="L81" s="548"/>
      <c r="M81" s="328"/>
      <c r="N81" s="42"/>
      <c r="O81" s="797"/>
      <c r="P81" s="548"/>
      <c r="Q81" s="548"/>
      <c r="R81" s="635"/>
    </row>
    <row r="82" spans="2:21">
      <c r="B82" s="642"/>
      <c r="C82" s="62"/>
      <c r="D82" s="96" t="s">
        <v>4122</v>
      </c>
      <c r="E82" s="826"/>
      <c r="F82" s="826"/>
      <c r="G82" s="826"/>
      <c r="H82" s="826"/>
      <c r="I82" s="826"/>
      <c r="J82" s="826"/>
      <c r="K82" s="826">
        <f>+K66</f>
        <v>121153.70393362005</v>
      </c>
      <c r="L82" s="548"/>
      <c r="M82" s="328"/>
      <c r="N82" s="42"/>
      <c r="O82" s="797"/>
      <c r="P82" s="548"/>
      <c r="Q82" s="548"/>
      <c r="R82" s="635"/>
    </row>
    <row r="83" spans="2:21">
      <c r="B83" s="642"/>
      <c r="C83" s="62"/>
      <c r="D83" s="96" t="s">
        <v>3166</v>
      </c>
      <c r="E83" s="824">
        <f>+SUM(F83:K83)</f>
        <v>932218.26530362002</v>
      </c>
      <c r="F83" s="824">
        <f t="shared" ref="F83:K83" si="5">+SUM(F81:F82)</f>
        <v>385.73180000000002</v>
      </c>
      <c r="G83" s="824">
        <f t="shared" si="5"/>
        <v>753246.56163162598</v>
      </c>
      <c r="H83" s="824">
        <f t="shared" si="5"/>
        <v>0</v>
      </c>
      <c r="I83" s="824">
        <f t="shared" si="5"/>
        <v>57432.267938374134</v>
      </c>
      <c r="J83" s="824">
        <f t="shared" si="5"/>
        <v>0</v>
      </c>
      <c r="K83" s="824">
        <f t="shared" si="5"/>
        <v>121153.70393362005</v>
      </c>
      <c r="L83" s="548"/>
      <c r="M83" s="328"/>
      <c r="N83" s="42"/>
      <c r="O83" s="797"/>
      <c r="P83" s="548"/>
      <c r="Q83" s="548"/>
      <c r="R83" s="635"/>
    </row>
    <row r="84" spans="2:21">
      <c r="B84" s="642"/>
      <c r="C84" s="62"/>
      <c r="D84" s="96" t="s">
        <v>3160</v>
      </c>
      <c r="E84" s="824"/>
      <c r="F84" s="827"/>
      <c r="G84" s="827"/>
      <c r="H84" s="827"/>
      <c r="I84" s="827"/>
      <c r="J84" s="827"/>
      <c r="K84" s="827"/>
      <c r="L84" s="548"/>
      <c r="M84" s="328"/>
      <c r="N84" s="42"/>
      <c r="O84" s="797"/>
      <c r="P84" s="548"/>
      <c r="Q84" s="548"/>
      <c r="R84" s="635"/>
    </row>
    <row r="85" spans="2:21">
      <c r="B85" s="642"/>
      <c r="C85" s="62"/>
      <c r="D85" s="328"/>
      <c r="E85" s="328"/>
      <c r="F85" s="328"/>
      <c r="G85" s="328"/>
      <c r="H85" s="328"/>
      <c r="I85" s="328"/>
      <c r="J85" s="328"/>
      <c r="K85" s="328"/>
      <c r="L85" s="548"/>
      <c r="M85" s="328"/>
      <c r="N85" s="42"/>
      <c r="O85" s="797"/>
      <c r="P85" s="548"/>
      <c r="Q85" s="548"/>
      <c r="R85" s="635"/>
    </row>
    <row r="86" spans="2:21">
      <c r="B86" s="793"/>
      <c r="C86" s="514"/>
      <c r="D86" s="546"/>
      <c r="E86" s="546"/>
      <c r="F86" s="546"/>
      <c r="G86" s="546"/>
      <c r="H86" s="546"/>
      <c r="I86" s="546"/>
      <c r="J86" s="546"/>
      <c r="K86" s="546"/>
      <c r="L86" s="770"/>
      <c r="M86" s="546"/>
      <c r="N86" s="439"/>
      <c r="O86" s="798"/>
      <c r="P86" s="770"/>
      <c r="Q86" s="770"/>
      <c r="R86" s="794"/>
    </row>
    <row r="87" spans="2:21">
      <c r="B87" s="642"/>
      <c r="C87" s="62"/>
      <c r="D87" s="328"/>
      <c r="E87" s="328"/>
      <c r="F87" s="328"/>
      <c r="G87" s="328"/>
      <c r="H87" s="328"/>
      <c r="I87" s="328"/>
      <c r="J87" s="328"/>
      <c r="K87" s="328"/>
      <c r="L87" s="548"/>
      <c r="M87" s="328"/>
      <c r="N87" s="42"/>
      <c r="O87" s="797"/>
      <c r="P87" s="548"/>
      <c r="Q87" s="548"/>
      <c r="R87" s="635"/>
    </row>
    <row r="88" spans="2:21" ht="27">
      <c r="B88" s="779" t="s">
        <v>4123</v>
      </c>
      <c r="C88" s="62" t="s">
        <v>3136</v>
      </c>
      <c r="D88" s="328"/>
      <c r="E88" s="627" t="s">
        <v>4100</v>
      </c>
      <c r="F88" s="627" t="s">
        <v>4124</v>
      </c>
      <c r="G88" s="627" t="s">
        <v>4125</v>
      </c>
      <c r="H88" s="328"/>
      <c r="I88" s="328"/>
      <c r="J88" s="328"/>
      <c r="K88" s="328"/>
      <c r="L88" s="548"/>
      <c r="M88" s="328"/>
      <c r="N88" s="42"/>
      <c r="O88" s="797"/>
      <c r="P88" s="548"/>
      <c r="Q88" s="548"/>
      <c r="R88" s="635"/>
    </row>
    <row r="89" spans="2:21">
      <c r="B89" s="642"/>
      <c r="C89" s="328"/>
      <c r="D89" s="96" t="s">
        <v>4119</v>
      </c>
      <c r="E89" s="795">
        <f>+E16</f>
        <v>368438.48759000003</v>
      </c>
      <c r="F89" s="795">
        <f>+I49</f>
        <v>0</v>
      </c>
      <c r="G89" s="795">
        <f>+E89-F89</f>
        <v>368438.48759000003</v>
      </c>
      <c r="H89" s="328"/>
      <c r="I89" s="328"/>
      <c r="J89" s="328"/>
      <c r="K89" s="328"/>
      <c r="L89" s="548"/>
      <c r="M89" s="328"/>
      <c r="N89" s="42"/>
      <c r="O89" s="797"/>
      <c r="P89" s="548"/>
      <c r="Q89" s="548"/>
      <c r="R89" s="635"/>
    </row>
    <row r="90" spans="2:21">
      <c r="B90" s="642"/>
      <c r="C90" s="328"/>
      <c r="D90" s="96" t="s">
        <v>3160</v>
      </c>
      <c r="E90" s="328"/>
      <c r="F90" s="792">
        <f>+F89/G89</f>
        <v>0</v>
      </c>
      <c r="G90" s="792">
        <f>+G89/E89</f>
        <v>1</v>
      </c>
      <c r="H90" s="328"/>
      <c r="I90" s="328"/>
      <c r="J90" s="328"/>
      <c r="K90" s="328"/>
      <c r="L90" s="548"/>
      <c r="M90" s="328"/>
      <c r="N90" s="42"/>
      <c r="O90" s="797"/>
      <c r="P90" s="548"/>
      <c r="Q90" s="548"/>
      <c r="R90" s="635"/>
    </row>
    <row r="91" spans="2:21">
      <c r="B91" s="793"/>
      <c r="C91" s="546"/>
      <c r="D91" s="546"/>
      <c r="E91" s="546"/>
      <c r="F91" s="546"/>
      <c r="G91" s="546"/>
      <c r="H91" s="546"/>
      <c r="I91" s="546"/>
      <c r="J91" s="546"/>
      <c r="K91" s="770"/>
      <c r="L91" s="546"/>
      <c r="M91" s="546"/>
      <c r="N91" s="439"/>
      <c r="O91" s="798"/>
      <c r="P91" s="770"/>
      <c r="Q91" s="770"/>
      <c r="R91" s="794"/>
    </row>
    <row r="92" spans="2:21" ht="15" thickBot="1">
      <c r="B92" s="643"/>
      <c r="C92" s="636"/>
      <c r="D92" s="636"/>
      <c r="E92" s="636"/>
      <c r="F92" s="636"/>
      <c r="G92" s="636"/>
      <c r="H92" s="636"/>
      <c r="I92" s="636"/>
      <c r="J92" s="636"/>
      <c r="K92" s="58"/>
      <c r="L92" s="636"/>
      <c r="M92" s="636"/>
      <c r="N92" s="646"/>
      <c r="O92" s="799"/>
      <c r="P92" s="58"/>
      <c r="Q92" s="58"/>
      <c r="R92" s="800"/>
    </row>
    <row r="93" spans="2:21">
      <c r="B93" s="328"/>
      <c r="C93" s="328"/>
      <c r="D93" s="328"/>
      <c r="E93" s="328"/>
      <c r="F93" s="328"/>
      <c r="G93" s="328"/>
      <c r="H93" s="328"/>
      <c r="I93" s="328"/>
      <c r="J93" s="328"/>
      <c r="K93" s="548"/>
      <c r="L93" s="328"/>
      <c r="M93" s="328"/>
      <c r="N93" s="801"/>
      <c r="O93" s="797"/>
      <c r="P93" s="548"/>
      <c r="Q93" s="548"/>
      <c r="R93" s="328"/>
    </row>
    <row r="94" spans="2:21">
      <c r="B94" s="802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</row>
    <row r="95" spans="2:21">
      <c r="B95" s="352" t="s">
        <v>2173</v>
      </c>
      <c r="C95" s="549"/>
      <c r="D95" s="549"/>
      <c r="E95" s="549"/>
      <c r="F95" s="549"/>
      <c r="G95" s="549"/>
      <c r="H95" s="549"/>
      <c r="I95" s="549"/>
      <c r="J95" s="549"/>
      <c r="K95" s="549"/>
      <c r="L95" s="549"/>
      <c r="M95" s="549"/>
      <c r="N95" s="549"/>
      <c r="O95" s="549"/>
      <c r="P95" s="549"/>
      <c r="Q95" s="549"/>
      <c r="R95" s="550"/>
      <c r="T95" t="s">
        <v>8474</v>
      </c>
      <c r="U95" s="1586">
        <f>+'Accounting Schedule B-9'!T536</f>
        <v>1283180.1421700001</v>
      </c>
    </row>
    <row r="96" spans="2:21">
      <c r="B96" s="353" t="s">
        <v>4126</v>
      </c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536"/>
      <c r="T96" t="s">
        <v>8453</v>
      </c>
      <c r="U96" s="1639">
        <f>+E147</f>
        <v>1265764.4421699999</v>
      </c>
    </row>
    <row r="97" spans="2:21">
      <c r="B97" s="615" t="s">
        <v>9264</v>
      </c>
      <c r="C97" s="29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536"/>
      <c r="U97" s="516">
        <f>+U95-U96</f>
        <v>17415.700000000186</v>
      </c>
    </row>
    <row r="98" spans="2:21">
      <c r="B98" s="639"/>
      <c r="C98" s="546"/>
      <c r="D98" s="546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T98" t="s">
        <v>8454</v>
      </c>
      <c r="U98" s="1586">
        <f>-SUM('SPP ADJ T&amp;D'!$I$23/1000)</f>
        <v>-17415.7</v>
      </c>
    </row>
    <row r="99" spans="2:21">
      <c r="B99" s="352"/>
      <c r="C99" s="521"/>
      <c r="D99" s="521"/>
      <c r="E99" s="521"/>
      <c r="F99" s="753" t="s">
        <v>3197</v>
      </c>
      <c r="G99" s="753" t="s">
        <v>3197</v>
      </c>
      <c r="H99" s="753" t="s">
        <v>3197</v>
      </c>
      <c r="I99" s="753" t="s">
        <v>3197</v>
      </c>
      <c r="J99" s="753" t="s">
        <v>3197</v>
      </c>
      <c r="K99" s="753" t="s">
        <v>3197</v>
      </c>
      <c r="L99" s="753" t="s">
        <v>3197</v>
      </c>
      <c r="M99" s="753" t="s">
        <v>3197</v>
      </c>
      <c r="N99" s="753" t="s">
        <v>3197</v>
      </c>
      <c r="O99" s="753" t="s">
        <v>3197</v>
      </c>
      <c r="P99" s="753" t="s">
        <v>3197</v>
      </c>
      <c r="Q99" s="1771" t="s">
        <v>3197</v>
      </c>
      <c r="R99" s="754" t="s">
        <v>3197</v>
      </c>
      <c r="T99" s="297" t="s">
        <v>8439</v>
      </c>
      <c r="U99" s="1639">
        <f>+G106</f>
        <v>0</v>
      </c>
    </row>
    <row r="100" spans="2:21">
      <c r="B100" s="769"/>
      <c r="C100" s="523"/>
      <c r="D100" s="523"/>
      <c r="E100" s="523"/>
      <c r="F100" s="77" t="s">
        <v>1761</v>
      </c>
      <c r="G100" s="77" t="s">
        <v>1761</v>
      </c>
      <c r="H100" s="77" t="s">
        <v>1763</v>
      </c>
      <c r="I100" s="77" t="s">
        <v>1764</v>
      </c>
      <c r="J100" s="77" t="s">
        <v>1765</v>
      </c>
      <c r="K100" s="77" t="s">
        <v>1766</v>
      </c>
      <c r="L100" s="77" t="s">
        <v>1767</v>
      </c>
      <c r="M100" s="77" t="s">
        <v>1769</v>
      </c>
      <c r="N100" s="77">
        <v>369.01</v>
      </c>
      <c r="O100" s="77">
        <v>369.02</v>
      </c>
      <c r="P100" s="77" t="s">
        <v>1770</v>
      </c>
      <c r="Q100" s="77">
        <v>371</v>
      </c>
      <c r="R100" s="364" t="s">
        <v>1771</v>
      </c>
      <c r="U100" s="1640">
        <f>+SUM(U97:U99)</f>
        <v>1.8553691916167736E-10</v>
      </c>
    </row>
    <row r="101" spans="2:21">
      <c r="B101" s="353"/>
      <c r="C101" s="280"/>
      <c r="D101" s="280"/>
      <c r="E101" s="280"/>
      <c r="F101" s="60" t="s">
        <v>2430</v>
      </c>
      <c r="G101" s="60" t="s">
        <v>4048</v>
      </c>
      <c r="H101" s="60" t="s">
        <v>4049</v>
      </c>
      <c r="I101" s="60" t="s">
        <v>3453</v>
      </c>
      <c r="J101" s="60" t="s">
        <v>4050</v>
      </c>
      <c r="K101" s="60" t="s">
        <v>4051</v>
      </c>
      <c r="L101" s="60" t="s">
        <v>1768</v>
      </c>
      <c r="M101" s="60" t="s">
        <v>2430</v>
      </c>
      <c r="N101" s="60" t="s">
        <v>4051</v>
      </c>
      <c r="O101" s="60" t="s">
        <v>4052</v>
      </c>
      <c r="P101" s="60" t="s">
        <v>4053</v>
      </c>
      <c r="Q101" s="60" t="s">
        <v>9136</v>
      </c>
      <c r="R101" s="767" t="s">
        <v>4054</v>
      </c>
    </row>
    <row r="102" spans="2:21">
      <c r="B102" s="522" t="s">
        <v>2182</v>
      </c>
      <c r="C102" s="523" t="s">
        <v>1918</v>
      </c>
      <c r="D102" s="523" t="s">
        <v>4055</v>
      </c>
      <c r="E102" s="523" t="s">
        <v>115</v>
      </c>
      <c r="F102" s="77" t="s">
        <v>3451</v>
      </c>
      <c r="G102" s="77" t="s">
        <v>3451</v>
      </c>
      <c r="H102" s="77"/>
      <c r="I102" s="77" t="s">
        <v>4056</v>
      </c>
      <c r="J102" s="77"/>
      <c r="K102" s="77" t="s">
        <v>4057</v>
      </c>
      <c r="L102" s="77" t="s">
        <v>4052</v>
      </c>
      <c r="M102" s="77" t="s">
        <v>4059</v>
      </c>
      <c r="N102" s="77" t="s">
        <v>4060</v>
      </c>
      <c r="O102" s="77" t="s">
        <v>4060</v>
      </c>
      <c r="P102" s="77"/>
      <c r="Q102" s="60" t="s">
        <v>9137</v>
      </c>
      <c r="R102" s="364" t="s">
        <v>1954</v>
      </c>
      <c r="T102" t="s">
        <v>8467</v>
      </c>
      <c r="U102" s="1586">
        <f>+'Accounting Schedule B-9'!T415+'Accounting Schedule B-9'!T416</f>
        <v>92974.253449999989</v>
      </c>
    </row>
    <row r="103" spans="2:21">
      <c r="B103" s="641" t="s">
        <v>2175</v>
      </c>
      <c r="C103" s="641" t="s">
        <v>2176</v>
      </c>
      <c r="D103" s="641" t="s">
        <v>2177</v>
      </c>
      <c r="E103" s="641" t="s">
        <v>2178</v>
      </c>
      <c r="F103" s="632" t="s">
        <v>2179</v>
      </c>
      <c r="G103" s="632" t="s">
        <v>2625</v>
      </c>
      <c r="H103" s="632" t="s">
        <v>2626</v>
      </c>
      <c r="I103" s="632" t="s">
        <v>2627</v>
      </c>
      <c r="J103" s="661" t="s">
        <v>2628</v>
      </c>
      <c r="K103" s="661" t="s">
        <v>2629</v>
      </c>
      <c r="L103" s="661" t="s">
        <v>2630</v>
      </c>
      <c r="M103" s="661" t="s">
        <v>4061</v>
      </c>
      <c r="N103" s="661" t="s">
        <v>4062</v>
      </c>
      <c r="O103" s="661" t="s">
        <v>4063</v>
      </c>
      <c r="P103" s="661" t="s">
        <v>4064</v>
      </c>
      <c r="Q103" s="1772" t="s">
        <v>4065</v>
      </c>
      <c r="R103" s="662" t="s">
        <v>4178</v>
      </c>
      <c r="T103" t="s">
        <v>8456</v>
      </c>
      <c r="U103" s="1639">
        <f>+E107</f>
        <v>92545.866450000001</v>
      </c>
    </row>
    <row r="104" spans="2:21">
      <c r="B104" s="771"/>
      <c r="C104" s="540"/>
      <c r="D104" s="540"/>
      <c r="E104" s="540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50"/>
      <c r="U104" s="516">
        <f>+U102-U103</f>
        <v>428.38699999998789</v>
      </c>
    </row>
    <row r="105" spans="2:21">
      <c r="B105" s="604">
        <v>1</v>
      </c>
      <c r="C105" s="775" t="s">
        <v>4127</v>
      </c>
      <c r="D105" s="775"/>
      <c r="E105" s="534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536"/>
      <c r="T105" t="s">
        <v>8454</v>
      </c>
      <c r="U105" s="1586">
        <f>-SUM('SPP ADJ T&amp;D'!$I$10:$I$11)/1000</f>
        <v>-428.387</v>
      </c>
    </row>
    <row r="106" spans="2:21">
      <c r="B106" s="693">
        <v>2</v>
      </c>
      <c r="C106" s="534" t="s">
        <v>4066</v>
      </c>
      <c r="D106" s="783" t="s">
        <v>4067</v>
      </c>
      <c r="E106" s="817">
        <v>0</v>
      </c>
      <c r="F106" s="42"/>
      <c r="G106" s="42">
        <f>+IF($E106=0,0,((G107/$E107)*$E106))</f>
        <v>0</v>
      </c>
      <c r="H106" s="42">
        <f>+IF($E106=0,0,((H107/$E107)*$E106))</f>
        <v>0</v>
      </c>
      <c r="I106" s="42">
        <f>+IF($E106=0,0,((I107/$E107)*$E106))</f>
        <v>0</v>
      </c>
      <c r="J106" s="651"/>
      <c r="K106" s="651"/>
      <c r="L106" s="651"/>
      <c r="M106" s="651"/>
      <c r="N106" s="651"/>
      <c r="O106" s="651"/>
      <c r="P106" s="651"/>
      <c r="Q106" s="651"/>
      <c r="R106" s="668"/>
      <c r="T106" s="297" t="s">
        <v>8439</v>
      </c>
      <c r="U106" s="1639">
        <f>+G106</f>
        <v>0</v>
      </c>
    </row>
    <row r="107" spans="2:21">
      <c r="B107" s="693">
        <v>3</v>
      </c>
      <c r="C107" s="534" t="s">
        <v>4068</v>
      </c>
      <c r="D107" s="783" t="s">
        <v>4067</v>
      </c>
      <c r="E107" s="828">
        <f>+SUM(F107:R107)</f>
        <v>92545.866450000001</v>
      </c>
      <c r="F107" s="42"/>
      <c r="G107" s="439">
        <f>(+SUMIFS('300s - 5 Digit FERC Accounts'!$E:$E,'300s - 5 Digit FERC Accounts'!$B:$B,36000)/1000)</f>
        <v>0</v>
      </c>
      <c r="H107" s="439">
        <f>(+SUMIFS('300s - 5 Digit FERC Accounts'!$E:$E,'300s - 5 Digit FERC Accounts'!$B:$B,36100)/1000)-('SPP ADJ T&amp;D'!I10/1000)</f>
        <v>10286.785960000001</v>
      </c>
      <c r="I107" s="439">
        <f>(+SUMIFS('300s - 5 Digit FERC Accounts'!$E:$E,'300s - 5 Digit FERC Accounts'!$B:$B,36200)/1000)-('SPP ADJ T&amp;D'!I11/1000)</f>
        <v>82259.080489999993</v>
      </c>
      <c r="J107" s="651"/>
      <c r="K107" s="651"/>
      <c r="L107" s="651"/>
      <c r="M107" s="651"/>
      <c r="N107" s="651"/>
      <c r="O107" s="651"/>
      <c r="P107" s="651"/>
      <c r="Q107" s="651"/>
      <c r="R107" s="668"/>
      <c r="U107" s="1640">
        <f>+SUM(U104:U106)</f>
        <v>-1.2107648217352107E-11</v>
      </c>
    </row>
    <row r="108" spans="2:21">
      <c r="B108" s="693">
        <v>4</v>
      </c>
      <c r="C108" s="534" t="s">
        <v>4069</v>
      </c>
      <c r="D108" s="783" t="s">
        <v>115</v>
      </c>
      <c r="E108" s="820">
        <f>+SUM(E106:E107)</f>
        <v>92545.866450000001</v>
      </c>
      <c r="F108" s="42"/>
      <c r="G108" s="774">
        <f>+SUM(G106:G107)</f>
        <v>0</v>
      </c>
      <c r="H108" s="774">
        <f>+SUM(H106:H107)</f>
        <v>10286.785960000001</v>
      </c>
      <c r="I108" s="774">
        <f>+SUM(I106:I107)</f>
        <v>82259.080489999993</v>
      </c>
      <c r="J108" s="651"/>
      <c r="K108" s="651"/>
      <c r="L108" s="651"/>
      <c r="M108" s="651"/>
      <c r="N108" s="651"/>
      <c r="O108" s="651"/>
      <c r="P108" s="651"/>
      <c r="Q108" s="651"/>
      <c r="R108" s="668"/>
    </row>
    <row r="109" spans="2:21">
      <c r="B109" s="693">
        <v>5</v>
      </c>
      <c r="C109" s="534"/>
      <c r="D109" s="783"/>
      <c r="E109" s="820"/>
      <c r="F109" s="328"/>
      <c r="G109" s="328"/>
      <c r="H109" s="328"/>
      <c r="I109" s="328"/>
      <c r="J109" s="651"/>
      <c r="K109" s="651"/>
      <c r="L109" s="651"/>
      <c r="M109" s="651"/>
      <c r="N109" s="651"/>
      <c r="O109" s="651"/>
      <c r="P109" s="651"/>
      <c r="Q109" s="651"/>
      <c r="R109" s="668"/>
      <c r="T109" t="s">
        <v>8468</v>
      </c>
      <c r="U109" s="1586">
        <f>+'Accounting Schedule B-9'!T418</f>
        <v>192985.64118999999</v>
      </c>
    </row>
    <row r="110" spans="2:21">
      <c r="B110" s="693">
        <v>6</v>
      </c>
      <c r="C110" s="534"/>
      <c r="D110" s="783"/>
      <c r="E110" s="818"/>
      <c r="F110" s="651"/>
      <c r="G110" s="651"/>
      <c r="H110" s="651"/>
      <c r="I110" s="651"/>
      <c r="J110" s="651"/>
      <c r="K110" s="651"/>
      <c r="L110" s="651"/>
      <c r="M110" s="651"/>
      <c r="N110" s="651"/>
      <c r="O110" s="651"/>
      <c r="P110" s="651"/>
      <c r="Q110" s="651"/>
      <c r="R110" s="668"/>
      <c r="T110" t="s">
        <v>8457</v>
      </c>
      <c r="U110" s="1639">
        <f>+E116</f>
        <v>193173.97918999998</v>
      </c>
    </row>
    <row r="111" spans="2:21">
      <c r="B111" s="693">
        <v>7</v>
      </c>
      <c r="C111" s="534" t="s">
        <v>4128</v>
      </c>
      <c r="D111" s="783" t="s">
        <v>4071</v>
      </c>
      <c r="E111" s="819">
        <f>+SUM(F111:R111)</f>
        <v>14631.668475942406</v>
      </c>
      <c r="F111" s="651"/>
      <c r="G111" s="651"/>
      <c r="H111" s="651"/>
      <c r="I111" s="651"/>
      <c r="J111" s="42">
        <f>+IF($J$116=0,0,$J$116*(J19/$J$24))</f>
        <v>14631.668475942406</v>
      </c>
      <c r="K111" s="651"/>
      <c r="L111" s="651"/>
      <c r="M111" s="651"/>
      <c r="N111" s="651"/>
      <c r="O111" s="651"/>
      <c r="P111" s="651"/>
      <c r="Q111" s="651"/>
      <c r="R111" s="668"/>
      <c r="U111" s="516">
        <f>+U109-U110</f>
        <v>-188.33799999998882</v>
      </c>
    </row>
    <row r="112" spans="2:21">
      <c r="B112" s="693">
        <v>8</v>
      </c>
      <c r="C112" s="534" t="s">
        <v>4072</v>
      </c>
      <c r="D112" s="783" t="s">
        <v>4067</v>
      </c>
      <c r="E112" s="819">
        <f>+SUM(F112:R112)</f>
        <v>137305.75619418611</v>
      </c>
      <c r="F112" s="651"/>
      <c r="G112" s="651"/>
      <c r="H112" s="651"/>
      <c r="I112" s="651"/>
      <c r="J112" s="42">
        <f>+IF($J$116=0,0,$J$116*(J20/$J$24))</f>
        <v>137305.75619418611</v>
      </c>
      <c r="K112" s="651"/>
      <c r="L112" s="651"/>
      <c r="M112" s="651"/>
      <c r="N112" s="651"/>
      <c r="O112" s="651"/>
      <c r="P112" s="651"/>
      <c r="Q112" s="651"/>
      <c r="R112" s="668"/>
      <c r="T112" t="s">
        <v>8454</v>
      </c>
      <c r="U112" s="1586">
        <f>-'SPP ADJ T&amp;D'!$I$12/1000</f>
        <v>188.33799999999999</v>
      </c>
    </row>
    <row r="113" spans="2:21">
      <c r="B113" s="693">
        <v>9</v>
      </c>
      <c r="C113" s="631" t="s">
        <v>4073</v>
      </c>
      <c r="D113" s="783" t="s">
        <v>4071</v>
      </c>
      <c r="E113" s="819">
        <f>+SUM(F113:R113)</f>
        <v>0</v>
      </c>
      <c r="F113" s="651"/>
      <c r="G113" s="651"/>
      <c r="H113" s="651"/>
      <c r="I113" s="651"/>
      <c r="J113" s="42">
        <f>+IF($J$116=0,0,$J$116*(J21/$J$24))</f>
        <v>0</v>
      </c>
      <c r="K113" s="651"/>
      <c r="L113" s="651"/>
      <c r="M113" s="651"/>
      <c r="N113" s="651"/>
      <c r="O113" s="651"/>
      <c r="P113" s="651"/>
      <c r="Q113" s="651"/>
      <c r="R113" s="668"/>
      <c r="T113" s="297" t="s">
        <v>8439</v>
      </c>
      <c r="U113" s="1639">
        <f>+G113</f>
        <v>0</v>
      </c>
    </row>
    <row r="114" spans="2:21">
      <c r="B114" s="693">
        <v>10</v>
      </c>
      <c r="C114" s="534" t="s">
        <v>4074</v>
      </c>
      <c r="D114" s="783" t="s">
        <v>4067</v>
      </c>
      <c r="E114" s="819">
        <f>+SUM(F114:R114)</f>
        <v>41236.554519871468</v>
      </c>
      <c r="F114" s="651"/>
      <c r="G114" s="651"/>
      <c r="H114" s="651"/>
      <c r="I114" s="651"/>
      <c r="J114" s="42">
        <f>+IF($J$116=0,0,$J$116*(J22/$J$24))</f>
        <v>41236.554519871468</v>
      </c>
      <c r="K114" s="651"/>
      <c r="L114" s="651"/>
      <c r="M114" s="651"/>
      <c r="N114" s="651"/>
      <c r="O114" s="651"/>
      <c r="P114" s="651"/>
      <c r="Q114" s="651"/>
      <c r="R114" s="668"/>
      <c r="U114" s="1640">
        <f>+SUM(U111:U113)</f>
        <v>1.1169731806148775E-11</v>
      </c>
    </row>
    <row r="115" spans="2:21">
      <c r="B115" s="693">
        <v>11</v>
      </c>
      <c r="C115" s="631" t="s">
        <v>4075</v>
      </c>
      <c r="D115" s="783" t="s">
        <v>4071</v>
      </c>
      <c r="E115" s="828">
        <f>+SUM(F115:R115)</f>
        <v>0</v>
      </c>
      <c r="F115" s="651"/>
      <c r="G115" s="651"/>
      <c r="H115" s="651"/>
      <c r="I115" s="651"/>
      <c r="J115" s="439">
        <f>+IF($J$116=0,0,$J$116*(J23/$J$24))</f>
        <v>0</v>
      </c>
      <c r="K115" s="651"/>
      <c r="L115" s="651"/>
      <c r="M115" s="651"/>
      <c r="N115" s="651"/>
      <c r="O115" s="651"/>
      <c r="P115" s="651"/>
      <c r="Q115" s="651"/>
      <c r="R115" s="668"/>
    </row>
    <row r="116" spans="2:21">
      <c r="B116" s="693">
        <v>12</v>
      </c>
      <c r="C116" s="534" t="s">
        <v>4076</v>
      </c>
      <c r="D116" s="783" t="s">
        <v>115</v>
      </c>
      <c r="E116" s="820">
        <f>+SUM(E111:E115)</f>
        <v>193173.97918999998</v>
      </c>
      <c r="F116" s="651"/>
      <c r="G116" s="651"/>
      <c r="H116" s="651"/>
      <c r="I116" s="651"/>
      <c r="J116" s="777">
        <f>(+SUMIFS('300s - 3 Digit FERC Accounts'!E:E,'300s - 3 Digit FERC Accounts'!B:B,364)/1000)-('SPP ADJ T&amp;D'!I12/1000)</f>
        <v>193173.97918999998</v>
      </c>
      <c r="K116" s="651"/>
      <c r="L116" s="651"/>
      <c r="M116" s="651"/>
      <c r="N116" s="651"/>
      <c r="O116" s="651"/>
      <c r="P116" s="651"/>
      <c r="Q116" s="651"/>
      <c r="R116" s="668"/>
      <c r="T116" t="s">
        <v>8469</v>
      </c>
      <c r="U116" s="1586">
        <f>+'Accounting Schedule B-9'!T419</f>
        <v>151439.20053999999</v>
      </c>
    </row>
    <row r="117" spans="2:21">
      <c r="B117" s="693">
        <v>13</v>
      </c>
      <c r="C117" s="534"/>
      <c r="D117" s="783"/>
      <c r="E117" s="818"/>
      <c r="F117" s="651"/>
      <c r="G117" s="651"/>
      <c r="H117" s="651"/>
      <c r="I117" s="651"/>
      <c r="J117" s="651"/>
      <c r="K117" s="651"/>
      <c r="L117" s="651"/>
      <c r="M117" s="651"/>
      <c r="N117" s="651"/>
      <c r="O117" s="651"/>
      <c r="P117" s="651"/>
      <c r="Q117" s="651"/>
      <c r="R117" s="668"/>
      <c r="T117" t="s">
        <v>8460</v>
      </c>
      <c r="U117" s="1639">
        <f>+E123</f>
        <v>151221.13954</v>
      </c>
    </row>
    <row r="118" spans="2:21">
      <c r="B118" s="693">
        <v>14</v>
      </c>
      <c r="C118" s="534" t="s">
        <v>4129</v>
      </c>
      <c r="D118" s="783" t="s">
        <v>4071</v>
      </c>
      <c r="E118" s="819">
        <f>+SUM(F118:R118)</f>
        <v>2332.0188410518558</v>
      </c>
      <c r="F118" s="42"/>
      <c r="G118" s="651"/>
      <c r="H118" s="651"/>
      <c r="I118" s="651"/>
      <c r="J118" s="651"/>
      <c r="K118" s="42">
        <f>+IF($K$123=0,0,$K$123*(K26/$K$31))</f>
        <v>2332.0188410518558</v>
      </c>
      <c r="L118" s="784"/>
      <c r="M118" s="651"/>
      <c r="N118" s="651"/>
      <c r="O118" s="651"/>
      <c r="P118" s="651"/>
      <c r="Q118" s="651"/>
      <c r="R118" s="668"/>
      <c r="U118" s="516">
        <f>+U116-U117</f>
        <v>218.06099999998696</v>
      </c>
    </row>
    <row r="119" spans="2:21">
      <c r="B119" s="693">
        <v>15</v>
      </c>
      <c r="C119" s="534" t="s">
        <v>4078</v>
      </c>
      <c r="D119" s="783" t="s">
        <v>4067</v>
      </c>
      <c r="E119" s="819">
        <f>+SUM(F119:R119)</f>
        <v>129229.6256603201</v>
      </c>
      <c r="F119" s="42"/>
      <c r="G119" s="651"/>
      <c r="H119" s="651"/>
      <c r="I119" s="651"/>
      <c r="J119" s="651"/>
      <c r="K119" s="42">
        <f>+IF($K$123=0,0,$K$123*(K27/$K$31))</f>
        <v>129229.6256603201</v>
      </c>
      <c r="L119" s="784"/>
      <c r="M119" s="651"/>
      <c r="N119" s="651"/>
      <c r="O119" s="651"/>
      <c r="P119" s="651"/>
      <c r="Q119" s="651"/>
      <c r="R119" s="668"/>
      <c r="T119" t="s">
        <v>8454</v>
      </c>
      <c r="U119" s="1586">
        <f>-'SPP ADJ T&amp;D'!$I$13/1000</f>
        <v>-218.06100000000001</v>
      </c>
    </row>
    <row r="120" spans="2:21">
      <c r="B120" s="693">
        <v>16</v>
      </c>
      <c r="C120" s="631" t="s">
        <v>4079</v>
      </c>
      <c r="D120" s="783" t="s">
        <v>4071</v>
      </c>
      <c r="E120" s="819">
        <f>+SUM(F120:R120)</f>
        <v>0</v>
      </c>
      <c r="F120" s="42"/>
      <c r="G120" s="651"/>
      <c r="H120" s="651"/>
      <c r="I120" s="651"/>
      <c r="J120" s="651"/>
      <c r="K120" s="42">
        <f>+IF($K$123=0,0,$K$123*(K28/$K$31))</f>
        <v>0</v>
      </c>
      <c r="L120" s="784"/>
      <c r="M120" s="651"/>
      <c r="N120" s="651"/>
      <c r="O120" s="651"/>
      <c r="P120" s="651"/>
      <c r="Q120" s="651"/>
      <c r="R120" s="668"/>
      <c r="T120" s="297" t="s">
        <v>8439</v>
      </c>
      <c r="U120" s="1639">
        <f>+G120</f>
        <v>0</v>
      </c>
    </row>
    <row r="121" spans="2:21">
      <c r="B121" s="693">
        <v>17</v>
      </c>
      <c r="C121" s="534" t="s">
        <v>4080</v>
      </c>
      <c r="D121" s="783" t="s">
        <v>4067</v>
      </c>
      <c r="E121" s="819">
        <f>+SUM(F121:R121)</f>
        <v>19659.49503862804</v>
      </c>
      <c r="F121" s="42"/>
      <c r="G121" s="328"/>
      <c r="H121" s="328"/>
      <c r="I121" s="651"/>
      <c r="J121" s="651"/>
      <c r="K121" s="42">
        <f>+IF($K$123=0,0,$K$123*(K29/$K$31))</f>
        <v>19659.49503862804</v>
      </c>
      <c r="L121" s="784"/>
      <c r="M121" s="651"/>
      <c r="N121" s="651"/>
      <c r="O121" s="651"/>
      <c r="P121" s="651"/>
      <c r="Q121" s="651"/>
      <c r="R121" s="668"/>
      <c r="U121" s="1640">
        <f>+SUM(U118:U120)</f>
        <v>-1.3045564628555439E-11</v>
      </c>
    </row>
    <row r="122" spans="2:21">
      <c r="B122" s="693">
        <v>18</v>
      </c>
      <c r="C122" s="631" t="s">
        <v>4081</v>
      </c>
      <c r="D122" s="783" t="s">
        <v>4071</v>
      </c>
      <c r="E122" s="828">
        <f>+SUM(F122:R122)</f>
        <v>0</v>
      </c>
      <c r="F122" s="42"/>
      <c r="G122" s="328"/>
      <c r="H122" s="328"/>
      <c r="I122" s="651"/>
      <c r="J122" s="651"/>
      <c r="K122" s="439">
        <f>+IF($K$123=0,0,$K$123*(K30/$K$31))</f>
        <v>0</v>
      </c>
      <c r="L122" s="784"/>
      <c r="M122" s="651"/>
      <c r="N122" s="651"/>
      <c r="O122" s="651"/>
      <c r="P122" s="651"/>
      <c r="Q122" s="651"/>
      <c r="R122" s="668"/>
    </row>
    <row r="123" spans="2:21">
      <c r="B123" s="693">
        <v>19</v>
      </c>
      <c r="C123" s="534" t="s">
        <v>4082</v>
      </c>
      <c r="D123" s="783" t="s">
        <v>115</v>
      </c>
      <c r="E123" s="820">
        <f>+SUM(E118:E122)</f>
        <v>151221.13954</v>
      </c>
      <c r="F123" s="651"/>
      <c r="G123" s="328"/>
      <c r="H123" s="328"/>
      <c r="I123" s="651"/>
      <c r="J123" s="651"/>
      <c r="K123" s="777">
        <f>(+SUMIFS('300s - 3 Digit FERC Accounts'!E:E,'300s - 3 Digit FERC Accounts'!B:B,365)/1000)-('SPP ADJ T&amp;D'!I13/1000)</f>
        <v>151221.13954</v>
      </c>
      <c r="L123" s="651"/>
      <c r="M123" s="651"/>
      <c r="N123" s="651"/>
      <c r="O123" s="651"/>
      <c r="P123" s="651"/>
      <c r="Q123" s="651"/>
      <c r="R123" s="668"/>
      <c r="T123" t="s">
        <v>8470</v>
      </c>
      <c r="U123" s="1586">
        <f>+'Accounting Schedule B-9'!T420+'Accounting Schedule B-9'!T421</f>
        <v>164836.85764</v>
      </c>
    </row>
    <row r="124" spans="2:21">
      <c r="B124" s="693">
        <v>20</v>
      </c>
      <c r="C124" s="534"/>
      <c r="D124" s="783"/>
      <c r="E124" s="818"/>
      <c r="F124" s="651"/>
      <c r="G124" s="328"/>
      <c r="H124" s="328"/>
      <c r="I124" s="651"/>
      <c r="J124" s="651"/>
      <c r="K124" s="651"/>
      <c r="L124" s="651"/>
      <c r="M124" s="651"/>
      <c r="N124" s="651"/>
      <c r="O124" s="651"/>
      <c r="P124" s="651"/>
      <c r="Q124" s="651"/>
      <c r="R124" s="668"/>
      <c r="T124" t="s">
        <v>8461</v>
      </c>
      <c r="U124" s="1639">
        <f>+E130</f>
        <v>151928.61264000004</v>
      </c>
    </row>
    <row r="125" spans="2:21">
      <c r="B125" s="693">
        <v>21</v>
      </c>
      <c r="C125" s="534" t="s">
        <v>4083</v>
      </c>
      <c r="D125" s="783" t="s">
        <v>4071</v>
      </c>
      <c r="E125" s="819">
        <f>+SUM(F125:R125)</f>
        <v>72.255280302396912</v>
      </c>
      <c r="F125" s="651"/>
      <c r="G125" s="328"/>
      <c r="H125" s="328"/>
      <c r="I125" s="651"/>
      <c r="J125" s="651"/>
      <c r="K125" s="651"/>
      <c r="L125" s="42">
        <f>+IF($L$130=0,0,$L$130*(L33/$L$38))</f>
        <v>72.255280302396912</v>
      </c>
      <c r="M125" s="651"/>
      <c r="N125" s="651"/>
      <c r="O125" s="651"/>
      <c r="P125" s="651"/>
      <c r="Q125" s="651"/>
      <c r="R125" s="668"/>
      <c r="U125" s="516">
        <f>+U123-U124</f>
        <v>12908.244999999966</v>
      </c>
    </row>
    <row r="126" spans="2:21">
      <c r="B126" s="693">
        <v>22</v>
      </c>
      <c r="C126" s="534" t="s">
        <v>4084</v>
      </c>
      <c r="D126" s="783" t="s">
        <v>4067</v>
      </c>
      <c r="E126" s="819">
        <f>+SUM(F126:R126)</f>
        <v>141098.14499999696</v>
      </c>
      <c r="F126" s="651"/>
      <c r="G126" s="328"/>
      <c r="H126" s="328"/>
      <c r="I126" s="651"/>
      <c r="J126" s="651"/>
      <c r="K126" s="651"/>
      <c r="L126" s="42">
        <f>+IF($L$130=0,0,$L$130*(L34/$L$38))</f>
        <v>141098.14499999696</v>
      </c>
      <c r="M126" s="651"/>
      <c r="N126" s="651"/>
      <c r="O126" s="651"/>
      <c r="P126" s="651"/>
      <c r="Q126" s="651"/>
      <c r="R126" s="668"/>
      <c r="T126" t="s">
        <v>8454</v>
      </c>
      <c r="U126" s="1586">
        <f>-SUM('SPP ADJ T&amp;D'!$I$14:$I$15)/1000</f>
        <v>-12908.245000000001</v>
      </c>
    </row>
    <row r="127" spans="2:21">
      <c r="B127" s="693">
        <v>23</v>
      </c>
      <c r="C127" s="631" t="s">
        <v>4085</v>
      </c>
      <c r="D127" s="783" t="s">
        <v>4071</v>
      </c>
      <c r="E127" s="819">
        <f>+SUM(F127:R127)</f>
        <v>0</v>
      </c>
      <c r="F127" s="651"/>
      <c r="G127" s="328"/>
      <c r="H127" s="328"/>
      <c r="I127" s="651"/>
      <c r="J127" s="651"/>
      <c r="K127" s="651"/>
      <c r="L127" s="42">
        <f>+IF($L$130=0,0,$L$130*(L35/$L$38))</f>
        <v>0</v>
      </c>
      <c r="M127" s="651"/>
      <c r="N127" s="651"/>
      <c r="O127" s="651"/>
      <c r="P127" s="651"/>
      <c r="Q127" s="651"/>
      <c r="R127" s="668"/>
      <c r="T127" s="297" t="s">
        <v>8439</v>
      </c>
      <c r="U127" s="1639">
        <f>+G127</f>
        <v>0</v>
      </c>
    </row>
    <row r="128" spans="2:21">
      <c r="B128" s="693">
        <v>24</v>
      </c>
      <c r="C128" s="534" t="s">
        <v>4086</v>
      </c>
      <c r="D128" s="783" t="s">
        <v>4067</v>
      </c>
      <c r="E128" s="819">
        <f>+SUM(F128:R128)</f>
        <v>10758.21235970067</v>
      </c>
      <c r="F128" s="651"/>
      <c r="G128" s="328"/>
      <c r="H128" s="328"/>
      <c r="I128" s="651"/>
      <c r="J128" s="651"/>
      <c r="K128" s="651"/>
      <c r="L128" s="42">
        <f>+IF($L$130=0,0,$L$130*(L36/$L$38))</f>
        <v>10758.21235970067</v>
      </c>
      <c r="M128" s="651"/>
      <c r="N128" s="651"/>
      <c r="O128" s="651"/>
      <c r="P128" s="651"/>
      <c r="Q128" s="651"/>
      <c r="R128" s="668"/>
      <c r="U128" s="1640">
        <f>+SUM(U125:U127)</f>
        <v>-3.4560798667371273E-11</v>
      </c>
    </row>
    <row r="129" spans="2:21">
      <c r="B129" s="693">
        <v>25</v>
      </c>
      <c r="C129" s="631" t="s">
        <v>4087</v>
      </c>
      <c r="D129" s="783" t="s">
        <v>4071</v>
      </c>
      <c r="E129" s="828">
        <f>+SUM(F129:R129)</f>
        <v>0</v>
      </c>
      <c r="F129" s="651"/>
      <c r="G129" s="328"/>
      <c r="H129" s="328"/>
      <c r="I129" s="651"/>
      <c r="J129" s="651"/>
      <c r="K129" s="651"/>
      <c r="L129" s="439">
        <f>+IF($L$130=0,0,$L$130*(L37/$L$38))</f>
        <v>0</v>
      </c>
      <c r="M129" s="651"/>
      <c r="N129" s="651"/>
      <c r="O129" s="651"/>
      <c r="P129" s="651"/>
      <c r="Q129" s="651"/>
      <c r="R129" s="668"/>
    </row>
    <row r="130" spans="2:21">
      <c r="B130" s="693">
        <v>26</v>
      </c>
      <c r="C130" s="534" t="s">
        <v>4088</v>
      </c>
      <c r="D130" s="783" t="s">
        <v>115</v>
      </c>
      <c r="E130" s="820">
        <f>+SUM(E125:E129)</f>
        <v>151928.61264000004</v>
      </c>
      <c r="F130" s="651"/>
      <c r="G130" s="328"/>
      <c r="H130" s="328"/>
      <c r="I130" s="651"/>
      <c r="J130" s="651"/>
      <c r="K130" s="651"/>
      <c r="L130" s="777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651"/>
      <c r="N130" s="651"/>
      <c r="O130" s="651"/>
      <c r="P130" s="651"/>
      <c r="Q130" s="651"/>
      <c r="R130" s="668"/>
      <c r="T130" t="s">
        <v>8471</v>
      </c>
      <c r="U130" s="1586">
        <f>+'Accounting Schedule B-9'!T422</f>
        <v>379252.06789999997</v>
      </c>
    </row>
    <row r="131" spans="2:21">
      <c r="B131" s="693">
        <v>27</v>
      </c>
      <c r="C131" s="534"/>
      <c r="D131" s="783"/>
      <c r="E131" s="818"/>
      <c r="F131" s="651"/>
      <c r="G131" s="651"/>
      <c r="H131" s="651"/>
      <c r="I131" s="651"/>
      <c r="J131" s="651"/>
      <c r="K131" s="651"/>
      <c r="L131" s="651"/>
      <c r="M131" s="651"/>
      <c r="N131" s="651"/>
      <c r="O131" s="651"/>
      <c r="P131" s="651"/>
      <c r="Q131" s="651"/>
      <c r="R131" s="668"/>
      <c r="T131" t="s">
        <v>8464</v>
      </c>
      <c r="U131" s="1639">
        <f>+E137</f>
        <v>375805.82389999996</v>
      </c>
    </row>
    <row r="132" spans="2:21">
      <c r="B132" s="693">
        <v>28</v>
      </c>
      <c r="C132" s="534" t="s">
        <v>4089</v>
      </c>
      <c r="D132" s="783" t="s">
        <v>4071</v>
      </c>
      <c r="E132" s="819">
        <f>+SUM(F132:R132)</f>
        <v>0</v>
      </c>
      <c r="F132" s="651"/>
      <c r="G132" s="651"/>
      <c r="H132" s="651"/>
      <c r="I132" s="651"/>
      <c r="J132" s="651"/>
      <c r="K132" s="651"/>
      <c r="L132" s="651"/>
      <c r="M132" s="42">
        <f>+IF($M$137=0,0,$M$137*(M40/$M$45))</f>
        <v>0</v>
      </c>
      <c r="N132" s="651"/>
      <c r="O132" s="651"/>
      <c r="P132" s="651"/>
      <c r="Q132" s="651"/>
      <c r="R132" s="668"/>
      <c r="U132" s="516">
        <f>+U130-U131</f>
        <v>3446.2440000000061</v>
      </c>
    </row>
    <row r="133" spans="2:21">
      <c r="B133" s="693">
        <v>29</v>
      </c>
      <c r="C133" s="534" t="s">
        <v>4174</v>
      </c>
      <c r="D133" s="783" t="s">
        <v>4067</v>
      </c>
      <c r="E133" s="819">
        <f>+SUM(F133:R133)</f>
        <v>61807.293146566983</v>
      </c>
      <c r="F133" s="651"/>
      <c r="G133" s="651"/>
      <c r="H133" s="651"/>
      <c r="I133" s="651"/>
      <c r="J133" s="651"/>
      <c r="K133" s="651"/>
      <c r="L133" s="651"/>
      <c r="M133" s="42">
        <f>+IF($M$137=0,0,$M$137*(M41/$M$45))</f>
        <v>61807.293146566983</v>
      </c>
      <c r="N133" s="651"/>
      <c r="O133" s="651"/>
      <c r="P133" s="651"/>
      <c r="Q133" s="651"/>
      <c r="R133" s="668"/>
      <c r="T133" t="s">
        <v>8454</v>
      </c>
      <c r="U133" s="1586">
        <f>-'SPP ADJ T&amp;D'!$I$16/1000</f>
        <v>-3446.2440000000001</v>
      </c>
    </row>
    <row r="134" spans="2:21">
      <c r="B134" s="693">
        <v>30</v>
      </c>
      <c r="C134" s="534" t="s">
        <v>4175</v>
      </c>
      <c r="D134" s="783" t="s">
        <v>4071</v>
      </c>
      <c r="E134" s="819">
        <f>+SUM(F134:R134)</f>
        <v>0</v>
      </c>
      <c r="F134" s="651"/>
      <c r="G134" s="651"/>
      <c r="H134" s="651"/>
      <c r="I134" s="651"/>
      <c r="J134" s="651"/>
      <c r="K134" s="651"/>
      <c r="L134" s="651"/>
      <c r="M134" s="42">
        <f>+IF($M$137=0,0,$M$137*(M42/$M$45))</f>
        <v>0</v>
      </c>
      <c r="N134" s="651"/>
      <c r="O134" s="651"/>
      <c r="P134" s="651"/>
      <c r="Q134" s="651"/>
      <c r="R134" s="668"/>
      <c r="T134" s="297" t="s">
        <v>8439</v>
      </c>
      <c r="U134" s="1639">
        <f>+G134</f>
        <v>0</v>
      </c>
    </row>
    <row r="135" spans="2:21">
      <c r="B135" s="693">
        <v>31</v>
      </c>
      <c r="C135" s="631" t="s">
        <v>4176</v>
      </c>
      <c r="D135" s="783" t="s">
        <v>4067</v>
      </c>
      <c r="E135" s="819">
        <f>+SUM(F135:R135)</f>
        <v>313998.53075343295</v>
      </c>
      <c r="F135" s="651"/>
      <c r="G135" s="651"/>
      <c r="H135" s="651"/>
      <c r="I135" s="651"/>
      <c r="J135" s="651"/>
      <c r="K135" s="651"/>
      <c r="L135" s="651"/>
      <c r="M135" s="42">
        <f>+IF($M$137=0,0,$M$137*(M43/$M$45))</f>
        <v>313998.53075343295</v>
      </c>
      <c r="N135" s="651"/>
      <c r="O135" s="651"/>
      <c r="P135" s="651"/>
      <c r="Q135" s="651"/>
      <c r="R135" s="668"/>
      <c r="U135" s="1640">
        <f>+SUM(U132:U134)</f>
        <v>5.9117155615240335E-12</v>
      </c>
    </row>
    <row r="136" spans="2:21">
      <c r="B136" s="693">
        <v>32</v>
      </c>
      <c r="C136" s="631" t="s">
        <v>4177</v>
      </c>
      <c r="D136" s="783" t="s">
        <v>4071</v>
      </c>
      <c r="E136" s="828">
        <f>+SUM(F136:R136)</f>
        <v>0</v>
      </c>
      <c r="F136" s="651"/>
      <c r="G136" s="651"/>
      <c r="H136" s="651"/>
      <c r="I136" s="651"/>
      <c r="J136" s="651"/>
      <c r="K136" s="651"/>
      <c r="L136" s="651"/>
      <c r="M136" s="439">
        <f>+IF($M$137=0,0,$M$137*(M44/$M$45))</f>
        <v>0</v>
      </c>
      <c r="N136" s="651"/>
      <c r="O136" s="651"/>
      <c r="P136" s="651"/>
      <c r="Q136" s="651"/>
      <c r="R136" s="668"/>
    </row>
    <row r="137" spans="2:21">
      <c r="B137" s="693">
        <v>33</v>
      </c>
      <c r="C137" s="534" t="s">
        <v>4090</v>
      </c>
      <c r="D137" s="783" t="s">
        <v>115</v>
      </c>
      <c r="E137" s="820">
        <f>+SUM(E132:E136)</f>
        <v>375805.82389999996</v>
      </c>
      <c r="F137" s="651"/>
      <c r="G137" s="651"/>
      <c r="H137" s="651"/>
      <c r="I137" s="651"/>
      <c r="J137" s="651"/>
      <c r="K137" s="651"/>
      <c r="L137" s="651"/>
      <c r="M137" s="777">
        <f>(+SUMIFS('300s - 3 Digit FERC Accounts'!E:E,'300s - 3 Digit FERC Accounts'!B:B,368)/1000)-('SPP ADJ T&amp;D'!I16/1000)</f>
        <v>375805.82389999996</v>
      </c>
      <c r="N137" s="651"/>
      <c r="O137" s="651"/>
      <c r="P137" s="651"/>
      <c r="Q137" s="651"/>
      <c r="R137" s="668"/>
      <c r="T137" t="s">
        <v>8472</v>
      </c>
      <c r="U137" s="1586">
        <f>+SUM('Accounting Schedule B-9'!T423:T429)</f>
        <v>301692.12144999998</v>
      </c>
    </row>
    <row r="138" spans="2:21">
      <c r="B138" s="693">
        <v>34</v>
      </c>
      <c r="C138" s="534"/>
      <c r="D138" s="783"/>
      <c r="E138" s="818"/>
      <c r="F138" s="651"/>
      <c r="G138" s="651"/>
      <c r="H138" s="651"/>
      <c r="I138" s="651"/>
      <c r="J138" s="651"/>
      <c r="K138" s="651"/>
      <c r="L138" s="651"/>
      <c r="M138" s="651"/>
      <c r="N138" s="651"/>
      <c r="O138" s="651"/>
      <c r="P138" s="651"/>
      <c r="Q138" s="651"/>
      <c r="R138" s="668"/>
      <c r="T138" t="s">
        <v>8466</v>
      </c>
      <c r="U138" s="1639">
        <f>+SUM(E139:E142)</f>
        <v>301089.02045000001</v>
      </c>
    </row>
    <row r="139" spans="2:21">
      <c r="B139" s="693">
        <v>35</v>
      </c>
      <c r="C139" s="534" t="s">
        <v>4091</v>
      </c>
      <c r="D139" s="783" t="s">
        <v>4071</v>
      </c>
      <c r="E139" s="819">
        <f>+SUM(F139:R139)</f>
        <v>143574.07361000002</v>
      </c>
      <c r="F139" s="651"/>
      <c r="G139" s="651"/>
      <c r="H139" s="651"/>
      <c r="I139" s="651"/>
      <c r="J139" s="651"/>
      <c r="K139" s="651"/>
      <c r="L139" s="651"/>
      <c r="M139" s="651"/>
      <c r="N139" s="651">
        <f>(+SUMIFS('300s - 5 Digit FERC Accounts'!E:E,'300s - 5 Digit FERC Accounts'!B:B,36900)/1000)-('SPP ADJ T&amp;D'!I17/1000)</f>
        <v>66934.435900000011</v>
      </c>
      <c r="O139" s="651">
        <f>(+SUMIFS('300s - 5 Digit FERC Accounts'!E:E,'300s - 5 Digit FERC Accounts'!B:B,36902)/1000)-('SPP ADJ T&amp;D'!I18/1000)</f>
        <v>76639.637709999995</v>
      </c>
      <c r="P139" s="651"/>
      <c r="Q139" s="651"/>
      <c r="R139" s="668"/>
      <c r="U139" s="516">
        <f>+U137-U138</f>
        <v>603.10099999996601</v>
      </c>
    </row>
    <row r="140" spans="2:21">
      <c r="B140" s="693">
        <v>36</v>
      </c>
      <c r="C140" s="534" t="s">
        <v>4092</v>
      </c>
      <c r="D140" s="783" t="s">
        <v>4071</v>
      </c>
      <c r="E140" s="819">
        <f>+SUM(F140:R140)</f>
        <v>25380.59634</v>
      </c>
      <c r="F140" s="651"/>
      <c r="G140" s="651"/>
      <c r="H140" s="651"/>
      <c r="I140" s="651"/>
      <c r="J140" s="651"/>
      <c r="K140" s="651"/>
      <c r="L140" s="651"/>
      <c r="M140" s="651"/>
      <c r="N140" s="651"/>
      <c r="O140" s="651"/>
      <c r="P140" s="651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651"/>
      <c r="R140" s="668"/>
      <c r="T140" t="s">
        <v>8454</v>
      </c>
      <c r="U140" s="1586">
        <f>-SUM('SPP ADJ T&amp;D'!$I$17:$I$21)/1000</f>
        <v>-603.101</v>
      </c>
    </row>
    <row r="141" spans="2:21">
      <c r="B141" s="693">
        <v>37</v>
      </c>
      <c r="C141" s="534" t="s">
        <v>9138</v>
      </c>
      <c r="D141" s="1726" t="s">
        <v>4071</v>
      </c>
      <c r="E141" s="1727">
        <f>+SUM(F141:R141)</f>
        <v>0</v>
      </c>
      <c r="F141" s="651"/>
      <c r="G141" s="651"/>
      <c r="H141" s="651"/>
      <c r="I141" s="777"/>
      <c r="J141" s="651"/>
      <c r="K141" s="42"/>
      <c r="L141" s="651"/>
      <c r="M141" s="651"/>
      <c r="N141" s="651"/>
      <c r="O141" s="651"/>
      <c r="P141" s="651"/>
      <c r="Q141" s="651">
        <f>+SUMIFS('300s - 5 Digit FERC Accounts'!E:E,'300s - 5 Digit FERC Accounts'!B:B,37100)/1000</f>
        <v>0</v>
      </c>
      <c r="R141" s="668"/>
      <c r="T141" s="297" t="s">
        <v>8439</v>
      </c>
      <c r="U141" s="1639">
        <f>+G141</f>
        <v>0</v>
      </c>
    </row>
    <row r="142" spans="2:21">
      <c r="B142" s="693">
        <v>38</v>
      </c>
      <c r="C142" s="785" t="s">
        <v>4093</v>
      </c>
      <c r="D142" s="783" t="s">
        <v>4071</v>
      </c>
      <c r="E142" s="819">
        <f>+SUM(F142:R142)</f>
        <v>132134.3505</v>
      </c>
      <c r="F142" s="537"/>
      <c r="G142" s="537"/>
      <c r="H142" s="537"/>
      <c r="I142" s="537"/>
      <c r="J142" s="537"/>
      <c r="K142" s="537"/>
      <c r="L142" s="537"/>
      <c r="M142" s="537"/>
      <c r="N142" s="537"/>
      <c r="O142" s="537"/>
      <c r="P142" s="537"/>
      <c r="Q142" s="537"/>
      <c r="R142" s="670">
        <f>(+SUMIFS('300s - 3 Digit FERC Accounts'!E:E,'300s - 3 Digit FERC Accounts'!B:B,373)/1000)-('SPP ADJ T&amp;D'!I21/1000)</f>
        <v>132134.3505</v>
      </c>
      <c r="U142" s="1640">
        <f>+SUM(U139:U141)</f>
        <v>-3.3992364478763193E-11</v>
      </c>
    </row>
    <row r="143" spans="2:21">
      <c r="B143" s="693">
        <v>39</v>
      </c>
      <c r="C143" s="540"/>
      <c r="D143" s="786"/>
      <c r="E143" s="821"/>
      <c r="F143" s="651"/>
      <c r="G143" s="651"/>
      <c r="H143" s="651"/>
      <c r="I143" s="651"/>
      <c r="J143" s="651"/>
      <c r="K143" s="651"/>
      <c r="L143" s="651"/>
      <c r="M143" s="651"/>
      <c r="N143" s="651"/>
      <c r="O143" s="651"/>
      <c r="P143" s="651"/>
      <c r="Q143" s="651"/>
      <c r="R143" s="668"/>
    </row>
    <row r="144" spans="2:21">
      <c r="B144" s="693">
        <v>40</v>
      </c>
      <c r="C144" s="534" t="s">
        <v>4130</v>
      </c>
      <c r="D144" s="783" t="s">
        <v>4067</v>
      </c>
      <c r="E144" s="818">
        <f>+SUMIFS(E$106:E$142,$D$106:$D$142,$D$144)</f>
        <v>947639.4791227032</v>
      </c>
      <c r="F144" s="829">
        <f>+SUMIFS(F$106:F$142,$D$106:$D$142,$D$144)</f>
        <v>0</v>
      </c>
      <c r="G144" s="570">
        <f>+SUMIFS(G$106:G$142,$D$106:$D$142,$D$144)</f>
        <v>0</v>
      </c>
      <c r="H144" s="570">
        <f t="shared" ref="H144:R144" si="6">+SUMIFS(H$106:H$142,$D$106:$D$142,$D$144)</f>
        <v>10286.785960000001</v>
      </c>
      <c r="I144" s="570">
        <f t="shared" si="6"/>
        <v>82259.080489999993</v>
      </c>
      <c r="J144" s="570">
        <f t="shared" si="6"/>
        <v>178542.31071405759</v>
      </c>
      <c r="K144" s="570">
        <f t="shared" si="6"/>
        <v>148889.12069894816</v>
      </c>
      <c r="L144" s="570">
        <f t="shared" si="6"/>
        <v>151856.35735969763</v>
      </c>
      <c r="M144" s="570">
        <f t="shared" si="6"/>
        <v>375805.82389999996</v>
      </c>
      <c r="N144" s="570">
        <f t="shared" si="6"/>
        <v>0</v>
      </c>
      <c r="O144" s="570">
        <f t="shared" si="6"/>
        <v>0</v>
      </c>
      <c r="P144" s="570">
        <f t="shared" si="6"/>
        <v>0</v>
      </c>
      <c r="Q144" s="570">
        <f t="shared" si="6"/>
        <v>0</v>
      </c>
      <c r="R144" s="830">
        <f t="shared" si="6"/>
        <v>0</v>
      </c>
      <c r="T144" t="s">
        <v>8473</v>
      </c>
      <c r="U144" s="1586">
        <f>+SUM(U102,U109,U116,U123,U130,U137)-U95</f>
        <v>0</v>
      </c>
    </row>
    <row r="145" spans="2:21">
      <c r="B145" s="693">
        <v>41</v>
      </c>
      <c r="C145" s="785" t="s">
        <v>4130</v>
      </c>
      <c r="D145" s="787" t="s">
        <v>4071</v>
      </c>
      <c r="E145" s="573">
        <f>+SUMIFS(E106:E142,D106:D142,D145)</f>
        <v>318124.96304729668</v>
      </c>
      <c r="F145" s="831">
        <f>+SUMIFS(F$106:F$142,$D$106:$D$142,$D$145)</f>
        <v>0</v>
      </c>
      <c r="G145" s="571">
        <f>+SUMIFS(G$106:G$142,$D$106:$D$142,$D$145)</f>
        <v>0</v>
      </c>
      <c r="H145" s="571">
        <f>+SUMIFS(H$106:H$142,$D$106:$D$142,$D$145)</f>
        <v>0</v>
      </c>
      <c r="I145" s="571">
        <f t="shared" ref="I145:R145" si="7">+SUMIFS(I$106:I$142,$D$106:$D$142,$D$145)</f>
        <v>0</v>
      </c>
      <c r="J145" s="571">
        <f t="shared" si="7"/>
        <v>14631.668475942406</v>
      </c>
      <c r="K145" s="571">
        <f t="shared" si="7"/>
        <v>2332.0188410518558</v>
      </c>
      <c r="L145" s="571">
        <f t="shared" si="7"/>
        <v>72.255280302396912</v>
      </c>
      <c r="M145" s="571">
        <f t="shared" si="7"/>
        <v>0</v>
      </c>
      <c r="N145" s="571">
        <f t="shared" si="7"/>
        <v>66934.435900000011</v>
      </c>
      <c r="O145" s="571">
        <f t="shared" si="7"/>
        <v>76639.637709999995</v>
      </c>
      <c r="P145" s="571">
        <f t="shared" si="7"/>
        <v>25380.59634</v>
      </c>
      <c r="Q145" s="571">
        <f t="shared" si="7"/>
        <v>0</v>
      </c>
      <c r="R145" s="832">
        <f t="shared" si="7"/>
        <v>132134.3505</v>
      </c>
      <c r="T145" t="s">
        <v>8426</v>
      </c>
      <c r="U145" s="1639">
        <f>+SUM(U103,U110,U117,U124,U131,U138)-U96</f>
        <v>0</v>
      </c>
    </row>
    <row r="146" spans="2:21">
      <c r="B146" s="693">
        <v>42</v>
      </c>
      <c r="C146" s="328"/>
      <c r="D146" s="328"/>
      <c r="E146" s="570"/>
      <c r="F146" s="651"/>
      <c r="G146" s="651"/>
      <c r="H146" s="651"/>
      <c r="I146" s="651"/>
      <c r="J146" s="651"/>
      <c r="K146" s="651"/>
      <c r="L146" s="651"/>
      <c r="M146" s="651"/>
      <c r="N146" s="651"/>
      <c r="O146" s="651"/>
      <c r="P146" s="651"/>
      <c r="Q146" s="651"/>
      <c r="R146" s="668"/>
      <c r="U146" s="516">
        <f>+U144-U145</f>
        <v>0</v>
      </c>
    </row>
    <row r="147" spans="2:21" ht="15" thickBot="1">
      <c r="B147" s="693">
        <v>43</v>
      </c>
      <c r="C147" s="328" t="s">
        <v>4127</v>
      </c>
      <c r="D147" s="328" t="s">
        <v>115</v>
      </c>
      <c r="E147" s="576">
        <f>+SUM(E144:E145)</f>
        <v>1265764.4421699999</v>
      </c>
      <c r="F147" s="597">
        <f>+SUM(F144:F145)</f>
        <v>0</v>
      </c>
      <c r="G147" s="597">
        <f t="shared" ref="G147:R147" si="8">+SUM(G144:G145)</f>
        <v>0</v>
      </c>
      <c r="H147" s="597">
        <f t="shared" si="8"/>
        <v>10286.785960000001</v>
      </c>
      <c r="I147" s="597">
        <f t="shared" si="8"/>
        <v>82259.080489999993</v>
      </c>
      <c r="J147" s="597">
        <f t="shared" si="8"/>
        <v>193173.97918999998</v>
      </c>
      <c r="K147" s="597">
        <f t="shared" si="8"/>
        <v>151221.13954</v>
      </c>
      <c r="L147" s="597">
        <f t="shared" si="8"/>
        <v>151928.61264000004</v>
      </c>
      <c r="M147" s="597">
        <f t="shared" si="8"/>
        <v>375805.82389999996</v>
      </c>
      <c r="N147" s="597">
        <f t="shared" si="8"/>
        <v>66934.435900000011</v>
      </c>
      <c r="O147" s="597">
        <f t="shared" si="8"/>
        <v>76639.637709999995</v>
      </c>
      <c r="P147" s="597">
        <f t="shared" si="8"/>
        <v>25380.59634</v>
      </c>
      <c r="Q147" s="597">
        <f t="shared" si="8"/>
        <v>0</v>
      </c>
      <c r="R147" s="600">
        <f t="shared" si="8"/>
        <v>132134.3505</v>
      </c>
      <c r="T147" t="s">
        <v>8454</v>
      </c>
      <c r="U147" s="1586">
        <f>+SUM(U105,U112,U119,U126,U133,U140)-U98</f>
        <v>0</v>
      </c>
    </row>
    <row r="148" spans="2:21" ht="15" thickTop="1">
      <c r="B148" s="535"/>
      <c r="C148" s="467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536"/>
      <c r="T148" s="297" t="s">
        <v>8439</v>
      </c>
      <c r="U148" s="1639">
        <f>+SUM(U106,U113,U120,U127,U134,U141)-U99</f>
        <v>0</v>
      </c>
    </row>
    <row r="149" spans="2:21">
      <c r="B149" s="639"/>
      <c r="C149" s="546"/>
      <c r="D149" s="546"/>
      <c r="E149" s="546"/>
      <c r="F149" s="546"/>
      <c r="G149" s="546"/>
      <c r="H149" s="546"/>
      <c r="I149" s="546"/>
      <c r="J149" s="546"/>
      <c r="K149" s="546"/>
      <c r="L149" s="546"/>
      <c r="M149" s="546"/>
      <c r="N149" s="546"/>
      <c r="O149" s="546"/>
      <c r="P149" s="546"/>
      <c r="Q149" s="546"/>
      <c r="R149" s="547"/>
      <c r="U149" s="1640">
        <f>+SUM(U146:U148)</f>
        <v>0</v>
      </c>
    </row>
    <row r="150" spans="2:21">
      <c r="B150" s="328"/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</row>
    <row r="151" spans="2:21">
      <c r="B151" s="328"/>
      <c r="C151" s="797"/>
      <c r="D151" s="797"/>
      <c r="E151" s="467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</row>
    <row r="152" spans="2:21">
      <c r="B152" s="352" t="s">
        <v>2173</v>
      </c>
      <c r="C152" s="549"/>
      <c r="D152" s="549"/>
      <c r="E152" s="549"/>
      <c r="F152" s="549"/>
      <c r="G152" s="549"/>
      <c r="H152" s="549"/>
      <c r="I152" s="549"/>
      <c r="J152" s="549"/>
      <c r="K152" s="549"/>
      <c r="L152" s="549"/>
      <c r="M152" s="549"/>
      <c r="N152" s="549"/>
      <c r="O152" s="549"/>
      <c r="P152" s="549"/>
      <c r="Q152" s="549"/>
      <c r="R152" s="550"/>
      <c r="T152" t="s">
        <v>8474</v>
      </c>
      <c r="U152" s="1586">
        <f>+'Accounting Schedule B-9'!H536</f>
        <v>156846.65659</v>
      </c>
    </row>
    <row r="153" spans="2:21">
      <c r="B153" s="353" t="s">
        <v>4131</v>
      </c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536"/>
      <c r="T153" t="s">
        <v>8453</v>
      </c>
      <c r="U153" s="1639">
        <f>+E204</f>
        <v>140699.70399000001</v>
      </c>
    </row>
    <row r="154" spans="2:21">
      <c r="B154" s="615" t="s">
        <v>9264</v>
      </c>
      <c r="C154" s="29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536"/>
      <c r="U154" s="516">
        <f>+U152-U153</f>
        <v>16146.95259999999</v>
      </c>
    </row>
    <row r="155" spans="2:21">
      <c r="B155" s="639"/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546"/>
      <c r="P155" s="546"/>
      <c r="Q155" s="546"/>
      <c r="R155" s="547"/>
      <c r="T155" t="s">
        <v>8454</v>
      </c>
      <c r="U155" s="1586">
        <f>-SUM('SPP ADJ T&amp;D'!$J$23/1000)</f>
        <v>-16146.952600000001</v>
      </c>
    </row>
    <row r="156" spans="2:21">
      <c r="B156" s="352"/>
      <c r="C156" s="521"/>
      <c r="D156" s="521"/>
      <c r="E156" s="521"/>
      <c r="F156" s="753" t="s">
        <v>3197</v>
      </c>
      <c r="G156" s="753" t="s">
        <v>3197</v>
      </c>
      <c r="H156" s="753" t="s">
        <v>3197</v>
      </c>
      <c r="I156" s="753" t="s">
        <v>3197</v>
      </c>
      <c r="J156" s="753" t="s">
        <v>3197</v>
      </c>
      <c r="K156" s="753" t="s">
        <v>3197</v>
      </c>
      <c r="L156" s="753" t="s">
        <v>3197</v>
      </c>
      <c r="M156" s="753" t="s">
        <v>3197</v>
      </c>
      <c r="N156" s="753" t="s">
        <v>3197</v>
      </c>
      <c r="O156" s="753" t="s">
        <v>3197</v>
      </c>
      <c r="P156" s="753" t="s">
        <v>3197</v>
      </c>
      <c r="Q156" s="1771" t="s">
        <v>3197</v>
      </c>
      <c r="R156" s="754" t="s">
        <v>3197</v>
      </c>
      <c r="T156" s="297" t="s">
        <v>8439</v>
      </c>
      <c r="U156" s="1639">
        <f>+G163</f>
        <v>0</v>
      </c>
    </row>
    <row r="157" spans="2:21">
      <c r="B157" s="769"/>
      <c r="C157" s="523"/>
      <c r="D157" s="523"/>
      <c r="E157" s="523"/>
      <c r="F157" s="77" t="s">
        <v>1761</v>
      </c>
      <c r="G157" s="77" t="s">
        <v>1761</v>
      </c>
      <c r="H157" s="77" t="s">
        <v>1763</v>
      </c>
      <c r="I157" s="77" t="s">
        <v>1764</v>
      </c>
      <c r="J157" s="77" t="s">
        <v>1765</v>
      </c>
      <c r="K157" s="77" t="s">
        <v>1766</v>
      </c>
      <c r="L157" s="77" t="s">
        <v>1767</v>
      </c>
      <c r="M157" s="77" t="s">
        <v>1769</v>
      </c>
      <c r="N157" s="77">
        <v>369.01</v>
      </c>
      <c r="O157" s="77">
        <v>369.02</v>
      </c>
      <c r="P157" s="77" t="s">
        <v>1770</v>
      </c>
      <c r="Q157" s="77">
        <v>371</v>
      </c>
      <c r="R157" s="364" t="s">
        <v>1771</v>
      </c>
      <c r="U157" s="1640">
        <f>+SUM(U154:U156)</f>
        <v>-1.0913936421275139E-11</v>
      </c>
    </row>
    <row r="158" spans="2:21">
      <c r="B158" s="353"/>
      <c r="C158" s="280"/>
      <c r="D158" s="280"/>
      <c r="E158" s="280"/>
      <c r="F158" s="60" t="s">
        <v>2430</v>
      </c>
      <c r="G158" s="60" t="s">
        <v>4048</v>
      </c>
      <c r="H158" s="60" t="s">
        <v>4049</v>
      </c>
      <c r="I158" s="60" t="s">
        <v>3453</v>
      </c>
      <c r="J158" s="60" t="s">
        <v>4050</v>
      </c>
      <c r="K158" s="60" t="s">
        <v>4051</v>
      </c>
      <c r="L158" s="60" t="s">
        <v>1768</v>
      </c>
      <c r="M158" s="60" t="s">
        <v>2430</v>
      </c>
      <c r="N158" s="60" t="s">
        <v>4051</v>
      </c>
      <c r="O158" s="60" t="s">
        <v>4052</v>
      </c>
      <c r="P158" s="60" t="s">
        <v>4053</v>
      </c>
      <c r="Q158" s="60" t="s">
        <v>9136</v>
      </c>
      <c r="R158" s="767" t="s">
        <v>4054</v>
      </c>
    </row>
    <row r="159" spans="2:21">
      <c r="B159" s="522" t="s">
        <v>2182</v>
      </c>
      <c r="C159" s="523" t="s">
        <v>1918</v>
      </c>
      <c r="D159" s="523" t="s">
        <v>4055</v>
      </c>
      <c r="E159" s="523" t="s">
        <v>115</v>
      </c>
      <c r="F159" s="77" t="s">
        <v>3451</v>
      </c>
      <c r="G159" s="77" t="s">
        <v>3451</v>
      </c>
      <c r="H159" s="77"/>
      <c r="I159" s="77" t="s">
        <v>4056</v>
      </c>
      <c r="J159" s="77"/>
      <c r="K159" s="77" t="s">
        <v>4057</v>
      </c>
      <c r="L159" s="77" t="s">
        <v>4052</v>
      </c>
      <c r="M159" s="77" t="s">
        <v>4059</v>
      </c>
      <c r="N159" s="77" t="s">
        <v>4060</v>
      </c>
      <c r="O159" s="77" t="s">
        <v>4060</v>
      </c>
      <c r="P159" s="77"/>
      <c r="Q159" s="60" t="s">
        <v>9137</v>
      </c>
      <c r="R159" s="364" t="s">
        <v>1954</v>
      </c>
      <c r="T159" t="s">
        <v>8467</v>
      </c>
      <c r="U159" s="1586">
        <f>+'Accounting Schedule B-9'!H415+'Accounting Schedule B-9'!H416</f>
        <v>9995.034450000001</v>
      </c>
    </row>
    <row r="160" spans="2:21">
      <c r="B160" s="641" t="s">
        <v>2175</v>
      </c>
      <c r="C160" s="641" t="s">
        <v>2176</v>
      </c>
      <c r="D160" s="641" t="s">
        <v>2177</v>
      </c>
      <c r="E160" s="641" t="s">
        <v>2178</v>
      </c>
      <c r="F160" s="632" t="s">
        <v>2179</v>
      </c>
      <c r="G160" s="632" t="s">
        <v>2625</v>
      </c>
      <c r="H160" s="632" t="s">
        <v>2626</v>
      </c>
      <c r="I160" s="632" t="s">
        <v>2627</v>
      </c>
      <c r="J160" s="661" t="s">
        <v>2628</v>
      </c>
      <c r="K160" s="661" t="s">
        <v>2629</v>
      </c>
      <c r="L160" s="661" t="s">
        <v>2630</v>
      </c>
      <c r="M160" s="661" t="s">
        <v>4061</v>
      </c>
      <c r="N160" s="661" t="s">
        <v>4062</v>
      </c>
      <c r="O160" s="661" t="s">
        <v>4063</v>
      </c>
      <c r="P160" s="661" t="s">
        <v>4064</v>
      </c>
      <c r="Q160" s="1772" t="s">
        <v>4065</v>
      </c>
      <c r="R160" s="662" t="s">
        <v>4178</v>
      </c>
      <c r="T160" t="s">
        <v>8456</v>
      </c>
      <c r="U160" s="1639">
        <f>+E164</f>
        <v>9806.7207300000009</v>
      </c>
    </row>
    <row r="161" spans="2:21">
      <c r="B161" s="771"/>
      <c r="C161" s="540"/>
      <c r="D161" s="540"/>
      <c r="E161" s="540"/>
      <c r="F161" s="549"/>
      <c r="G161" s="549"/>
      <c r="H161" s="549"/>
      <c r="I161" s="549"/>
      <c r="J161" s="549"/>
      <c r="K161" s="549"/>
      <c r="L161" s="549"/>
      <c r="M161" s="549"/>
      <c r="N161" s="549"/>
      <c r="O161" s="549"/>
      <c r="P161" s="549"/>
      <c r="Q161" s="549"/>
      <c r="R161" s="550"/>
      <c r="U161" s="516">
        <f>+U159-U160</f>
        <v>188.3137200000001</v>
      </c>
    </row>
    <row r="162" spans="2:21">
      <c r="B162" s="604">
        <v>1</v>
      </c>
      <c r="C162" s="775" t="s">
        <v>4132</v>
      </c>
      <c r="D162" s="775"/>
      <c r="E162" s="534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536"/>
      <c r="T162" t="s">
        <v>8454</v>
      </c>
      <c r="U162" s="1586">
        <f>-SUM('SPP ADJ T&amp;D'!$J$10:$J$11)/1000</f>
        <v>-188.31371999999999</v>
      </c>
    </row>
    <row r="163" spans="2:21">
      <c r="B163" s="693">
        <v>2</v>
      </c>
      <c r="C163" s="534" t="s">
        <v>4066</v>
      </c>
      <c r="D163" s="783" t="s">
        <v>4067</v>
      </c>
      <c r="E163" s="817">
        <v>0</v>
      </c>
      <c r="F163" s="42"/>
      <c r="G163" s="42"/>
      <c r="H163" s="42">
        <f>+IF($E163=0,0,((H164/$E164)*$E163))</f>
        <v>0</v>
      </c>
      <c r="I163" s="42">
        <f>+IF($E163=0,0,((I164/$E164)*$E163))</f>
        <v>0</v>
      </c>
      <c r="J163" s="651"/>
      <c r="K163" s="651"/>
      <c r="L163" s="651"/>
      <c r="M163" s="651"/>
      <c r="N163" s="651"/>
      <c r="O163" s="651"/>
      <c r="P163" s="651"/>
      <c r="Q163" s="651"/>
      <c r="R163" s="668"/>
      <c r="T163" s="297" t="s">
        <v>8439</v>
      </c>
      <c r="U163" s="1639">
        <f>+G163</f>
        <v>0</v>
      </c>
    </row>
    <row r="164" spans="2:21">
      <c r="B164" s="693">
        <v>3</v>
      </c>
      <c r="C164" s="534" t="s">
        <v>4068</v>
      </c>
      <c r="D164" s="783" t="s">
        <v>4067</v>
      </c>
      <c r="E164" s="828">
        <f>+SUM(F164:R164)</f>
        <v>9806.7207300000009</v>
      </c>
      <c r="F164" s="42"/>
      <c r="G164" s="42"/>
      <c r="H164" s="439">
        <f>(+SUMIFS('300s - 5 Digit FERC Accounts'!$F:$F,'300s - 5 Digit FERC Accounts'!$B:$B,36100)/1000)-('SPP ADJ T&amp;D'!J10/1000)</f>
        <v>875.54075999999998</v>
      </c>
      <c r="I164" s="439">
        <f>(+SUMIFS('300s - 5 Digit FERC Accounts'!$F:$F,'300s - 5 Digit FERC Accounts'!$B:$B,36200)/1000)-('SPP ADJ T&amp;D'!J11/1000)</f>
        <v>8931.179970000001</v>
      </c>
      <c r="J164" s="651"/>
      <c r="K164" s="651"/>
      <c r="L164" s="651"/>
      <c r="M164" s="651"/>
      <c r="N164" s="651"/>
      <c r="O164" s="651"/>
      <c r="P164" s="651"/>
      <c r="Q164" s="651"/>
      <c r="R164" s="668"/>
      <c r="U164" s="1640">
        <f>+SUM(U161:U163)</f>
        <v>1.1368683772161603E-13</v>
      </c>
    </row>
    <row r="165" spans="2:21">
      <c r="B165" s="693">
        <v>4</v>
      </c>
      <c r="C165" s="534" t="s">
        <v>4069</v>
      </c>
      <c r="D165" s="783" t="s">
        <v>115</v>
      </c>
      <c r="E165" s="820">
        <f>+SUM(E163:E164)</f>
        <v>9806.7207300000009</v>
      </c>
      <c r="F165" s="42"/>
      <c r="G165" s="42"/>
      <c r="H165" s="774">
        <f>+SUM(H163:H164)</f>
        <v>875.54075999999998</v>
      </c>
      <c r="I165" s="774">
        <f>+SUM(I163:I164)</f>
        <v>8931.179970000001</v>
      </c>
      <c r="J165" s="651"/>
      <c r="K165" s="651"/>
      <c r="L165" s="651"/>
      <c r="M165" s="651"/>
      <c r="N165" s="651"/>
      <c r="O165" s="651"/>
      <c r="P165" s="651"/>
      <c r="Q165" s="651"/>
      <c r="R165" s="668"/>
    </row>
    <row r="166" spans="2:21">
      <c r="B166" s="693">
        <v>5</v>
      </c>
      <c r="C166" s="534"/>
      <c r="D166" s="783"/>
      <c r="E166" s="820"/>
      <c r="F166" s="328"/>
      <c r="G166" s="328"/>
      <c r="H166" s="328"/>
      <c r="I166" s="328"/>
      <c r="J166" s="651"/>
      <c r="K166" s="651"/>
      <c r="L166" s="651"/>
      <c r="M166" s="651"/>
      <c r="N166" s="651"/>
      <c r="O166" s="651"/>
      <c r="P166" s="651"/>
      <c r="Q166" s="651"/>
      <c r="R166" s="668"/>
      <c r="T166" t="s">
        <v>8468</v>
      </c>
      <c r="U166" s="1586">
        <f>+'Accounting Schedule B-9'!H418</f>
        <v>26341.50128</v>
      </c>
    </row>
    <row r="167" spans="2:21">
      <c r="B167" s="693">
        <v>6</v>
      </c>
      <c r="C167" s="534"/>
      <c r="D167" s="783"/>
      <c r="E167" s="818"/>
      <c r="F167" s="651"/>
      <c r="G167" s="651"/>
      <c r="H167" s="651"/>
      <c r="I167" s="651"/>
      <c r="J167" s="651"/>
      <c r="K167" s="651"/>
      <c r="L167" s="651"/>
      <c r="M167" s="651"/>
      <c r="N167" s="651"/>
      <c r="O167" s="651"/>
      <c r="P167" s="651"/>
      <c r="Q167" s="651"/>
      <c r="R167" s="668"/>
      <c r="T167" t="s">
        <v>8457</v>
      </c>
      <c r="U167" s="1639">
        <f>+E173</f>
        <v>26994.533890000006</v>
      </c>
    </row>
    <row r="168" spans="2:21">
      <c r="B168" s="693">
        <v>7</v>
      </c>
      <c r="C168" s="534" t="s">
        <v>4128</v>
      </c>
      <c r="D168" s="783" t="s">
        <v>4071</v>
      </c>
      <c r="E168" s="819">
        <f>+SUM(F168:R168)</f>
        <v>2044.6598045826174</v>
      </c>
      <c r="F168" s="651"/>
      <c r="G168" s="651"/>
      <c r="H168" s="651"/>
      <c r="I168" s="651"/>
      <c r="J168" s="42">
        <f>+IF($J$173=0,0,$J$173*(J19/$J$24))</f>
        <v>2044.6598045826174</v>
      </c>
      <c r="K168" s="651"/>
      <c r="L168" s="651"/>
      <c r="M168" s="651"/>
      <c r="N168" s="651"/>
      <c r="O168" s="651"/>
      <c r="P168" s="651"/>
      <c r="Q168" s="651"/>
      <c r="R168" s="668"/>
      <c r="U168" s="516">
        <f>+U166-U167</f>
        <v>-653.03261000000566</v>
      </c>
    </row>
    <row r="169" spans="2:21">
      <c r="B169" s="693">
        <v>8</v>
      </c>
      <c r="C169" s="534" t="s">
        <v>4072</v>
      </c>
      <c r="D169" s="783" t="s">
        <v>4067</v>
      </c>
      <c r="E169" s="819">
        <f>+SUM(F169:R169)</f>
        <v>19187.392134374531</v>
      </c>
      <c r="F169" s="651"/>
      <c r="G169" s="651"/>
      <c r="H169" s="651"/>
      <c r="I169" s="651"/>
      <c r="J169" s="42">
        <f>+IF($J$173=0,0,$J$173*(J20/$J$24))</f>
        <v>19187.392134374531</v>
      </c>
      <c r="K169" s="651"/>
      <c r="L169" s="651"/>
      <c r="M169" s="651"/>
      <c r="N169" s="651"/>
      <c r="O169" s="651"/>
      <c r="P169" s="651"/>
      <c r="Q169" s="651"/>
      <c r="R169" s="668"/>
      <c r="T169" t="s">
        <v>8454</v>
      </c>
      <c r="U169" s="1586">
        <f>-'SPP ADJ T&amp;D'!$J$12/1000</f>
        <v>653.03261000000032</v>
      </c>
    </row>
    <row r="170" spans="2:21">
      <c r="B170" s="693">
        <v>9</v>
      </c>
      <c r="C170" s="631" t="s">
        <v>4073</v>
      </c>
      <c r="D170" s="783" t="s">
        <v>4071</v>
      </c>
      <c r="E170" s="819">
        <f>+SUM(F170:R170)</f>
        <v>0</v>
      </c>
      <c r="F170" s="651"/>
      <c r="G170" s="651"/>
      <c r="H170" s="651"/>
      <c r="I170" s="651"/>
      <c r="J170" s="42">
        <f>+IF($J$173=0,0,$J$173*(J21/$J$24))</f>
        <v>0</v>
      </c>
      <c r="K170" s="651"/>
      <c r="L170" s="651"/>
      <c r="M170" s="651"/>
      <c r="N170" s="651"/>
      <c r="O170" s="651"/>
      <c r="P170" s="651"/>
      <c r="Q170" s="651"/>
      <c r="R170" s="668"/>
      <c r="T170" s="297" t="s">
        <v>8439</v>
      </c>
      <c r="U170" s="1639">
        <f>+G170</f>
        <v>0</v>
      </c>
    </row>
    <row r="171" spans="2:21">
      <c r="B171" s="693">
        <v>10</v>
      </c>
      <c r="C171" s="534" t="s">
        <v>4074</v>
      </c>
      <c r="D171" s="783" t="s">
        <v>4067</v>
      </c>
      <c r="E171" s="819">
        <f>+SUM(F171:R171)</f>
        <v>5762.4819510428561</v>
      </c>
      <c r="F171" s="651"/>
      <c r="G171" s="651"/>
      <c r="H171" s="651"/>
      <c r="I171" s="651"/>
      <c r="J171" s="42">
        <f>+IF($J$173=0,0,$J$173*(J22/$J$24))</f>
        <v>5762.4819510428561</v>
      </c>
      <c r="K171" s="651"/>
      <c r="L171" s="651"/>
      <c r="M171" s="651"/>
      <c r="N171" s="651"/>
      <c r="O171" s="651"/>
      <c r="P171" s="651"/>
      <c r="Q171" s="651"/>
      <c r="R171" s="668"/>
      <c r="U171" s="1640">
        <f>+SUM(U168:U170)</f>
        <v>-5.3432813729159534E-12</v>
      </c>
    </row>
    <row r="172" spans="2:21">
      <c r="B172" s="693">
        <v>11</v>
      </c>
      <c r="C172" s="631" t="s">
        <v>4075</v>
      </c>
      <c r="D172" s="783" t="s">
        <v>4071</v>
      </c>
      <c r="E172" s="828">
        <f>+SUM(F172:R172)</f>
        <v>0</v>
      </c>
      <c r="F172" s="651"/>
      <c r="G172" s="651"/>
      <c r="H172" s="651"/>
      <c r="I172" s="651"/>
      <c r="J172" s="439">
        <f>+IF($J$173=0,0,$J$173*(J23/$J$24))</f>
        <v>0</v>
      </c>
      <c r="K172" s="651"/>
      <c r="L172" s="651"/>
      <c r="M172" s="651"/>
      <c r="N172" s="651"/>
      <c r="O172" s="651"/>
      <c r="P172" s="651"/>
      <c r="Q172" s="651"/>
      <c r="R172" s="668"/>
    </row>
    <row r="173" spans="2:21">
      <c r="B173" s="693">
        <v>12</v>
      </c>
      <c r="C173" s="534" t="s">
        <v>4076</v>
      </c>
      <c r="D173" s="783" t="s">
        <v>115</v>
      </c>
      <c r="E173" s="820">
        <f>+SUM(E168:E172)</f>
        <v>26994.533890000006</v>
      </c>
      <c r="F173" s="651"/>
      <c r="G173" s="651"/>
      <c r="H173" s="651"/>
      <c r="I173" s="651"/>
      <c r="J173" s="774">
        <f>(+SUMIFS('300s - 3 Digit FERC Accounts'!F:F,'300s - 3 Digit FERC Accounts'!B:B,364)/1000)-('SPP ADJ T&amp;D'!J12/1000)</f>
        <v>26994.533890000002</v>
      </c>
      <c r="K173" s="651"/>
      <c r="L173" s="651"/>
      <c r="M173" s="651"/>
      <c r="N173" s="651"/>
      <c r="O173" s="651"/>
      <c r="P173" s="651"/>
      <c r="Q173" s="651"/>
      <c r="R173" s="668"/>
      <c r="T173" t="s">
        <v>8469</v>
      </c>
      <c r="U173" s="1586">
        <f>+'Accounting Schedule B-9'!H419</f>
        <v>7051.0570399999997</v>
      </c>
    </row>
    <row r="174" spans="2:21">
      <c r="B174" s="693">
        <v>13</v>
      </c>
      <c r="C174" s="534"/>
      <c r="D174" s="783"/>
      <c r="E174" s="818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68"/>
      <c r="T174" t="s">
        <v>8460</v>
      </c>
      <c r="U174" s="1639">
        <f>+E180</f>
        <v>6939.2229200000002</v>
      </c>
    </row>
    <row r="175" spans="2:21">
      <c r="B175" s="693">
        <v>14</v>
      </c>
      <c r="C175" s="534" t="s">
        <v>4129</v>
      </c>
      <c r="D175" s="783" t="s">
        <v>4071</v>
      </c>
      <c r="E175" s="819">
        <f>+SUM(F175:R175)</f>
        <v>107.01148424700513</v>
      </c>
      <c r="F175" s="42"/>
      <c r="G175" s="651"/>
      <c r="H175" s="651"/>
      <c r="I175" s="651"/>
      <c r="J175" s="651"/>
      <c r="K175" s="42">
        <f>+IF($K$180=0,0,$K$180*(K26/$K$31))</f>
        <v>107.01148424700513</v>
      </c>
      <c r="L175" s="651"/>
      <c r="M175" s="651"/>
      <c r="N175" s="651"/>
      <c r="O175" s="651"/>
      <c r="P175" s="651"/>
      <c r="Q175" s="651"/>
      <c r="R175" s="668"/>
      <c r="U175" s="516">
        <f>+U173-U174</f>
        <v>111.83411999999953</v>
      </c>
    </row>
    <row r="176" spans="2:21">
      <c r="B176" s="693">
        <v>15</v>
      </c>
      <c r="C176" s="534" t="s">
        <v>4078</v>
      </c>
      <c r="D176" s="783" t="s">
        <v>4067</v>
      </c>
      <c r="E176" s="819">
        <f>+SUM(F176:R176)</f>
        <v>5930.0781825408103</v>
      </c>
      <c r="F176" s="42"/>
      <c r="G176" s="651"/>
      <c r="H176" s="651"/>
      <c r="I176" s="651"/>
      <c r="J176" s="651"/>
      <c r="K176" s="42">
        <f>+IF($K$180=0,0,$K$180*(K27/$K$31))</f>
        <v>5930.0781825408103</v>
      </c>
      <c r="L176" s="651"/>
      <c r="M176" s="651"/>
      <c r="N176" s="651"/>
      <c r="O176" s="651"/>
      <c r="P176" s="651"/>
      <c r="Q176" s="651"/>
      <c r="R176" s="668"/>
      <c r="T176" t="s">
        <v>8454</v>
      </c>
      <c r="U176" s="1586">
        <f>-'SPP ADJ T&amp;D'!$J$13/1000</f>
        <v>-111.83411999999997</v>
      </c>
    </row>
    <row r="177" spans="2:21">
      <c r="B177" s="693">
        <v>16</v>
      </c>
      <c r="C177" s="631" t="s">
        <v>4079</v>
      </c>
      <c r="D177" s="783" t="s">
        <v>4071</v>
      </c>
      <c r="E177" s="819">
        <f>+SUM(F177:R177)</f>
        <v>0</v>
      </c>
      <c r="F177" s="42"/>
      <c r="G177" s="651"/>
      <c r="H177" s="651"/>
      <c r="I177" s="651"/>
      <c r="J177" s="651"/>
      <c r="K177" s="42">
        <f>+IF($K$180=0,0,$K$180*(K28/$K$31))</f>
        <v>0</v>
      </c>
      <c r="L177" s="651"/>
      <c r="M177" s="651"/>
      <c r="N177" s="651"/>
      <c r="O177" s="651"/>
      <c r="P177" s="651"/>
      <c r="Q177" s="651"/>
      <c r="R177" s="668"/>
      <c r="T177" s="297" t="s">
        <v>8439</v>
      </c>
      <c r="U177" s="1639">
        <f>+G177</f>
        <v>0</v>
      </c>
    </row>
    <row r="178" spans="2:21">
      <c r="B178" s="693">
        <v>17</v>
      </c>
      <c r="C178" s="534" t="s">
        <v>4080</v>
      </c>
      <c r="D178" s="783" t="s">
        <v>4067</v>
      </c>
      <c r="E178" s="819">
        <f>+SUM(F178:R178)</f>
        <v>902.13325321218497</v>
      </c>
      <c r="F178" s="42"/>
      <c r="G178" s="801"/>
      <c r="H178" s="801"/>
      <c r="I178" s="651"/>
      <c r="J178" s="651"/>
      <c r="K178" s="42">
        <f>+IF($K$180=0,0,$K$180*(K29/$K$31))</f>
        <v>902.13325321218497</v>
      </c>
      <c r="L178" s="651"/>
      <c r="M178" s="651"/>
      <c r="N178" s="651"/>
      <c r="O178" s="651"/>
      <c r="P178" s="651"/>
      <c r="Q178" s="651"/>
      <c r="R178" s="668"/>
      <c r="U178" s="1640">
        <f>+SUM(U175:U177)</f>
        <v>-4.4053649617126212E-13</v>
      </c>
    </row>
    <row r="179" spans="2:21">
      <c r="B179" s="693">
        <v>18</v>
      </c>
      <c r="C179" s="631" t="s">
        <v>4081</v>
      </c>
      <c r="D179" s="783" t="s">
        <v>4071</v>
      </c>
      <c r="E179" s="828">
        <f>+SUM(F179:R179)</f>
        <v>0</v>
      </c>
      <c r="F179" s="42"/>
      <c r="G179" s="801"/>
      <c r="H179" s="801"/>
      <c r="I179" s="651"/>
      <c r="J179" s="651"/>
      <c r="K179" s="439">
        <f>+IF($K$180=0,0,$K$180*(K30/$K$31))</f>
        <v>0</v>
      </c>
      <c r="L179" s="651"/>
      <c r="M179" s="651"/>
      <c r="N179" s="651"/>
      <c r="O179" s="651"/>
      <c r="P179" s="651"/>
      <c r="Q179" s="651"/>
      <c r="R179" s="668"/>
    </row>
    <row r="180" spans="2:21">
      <c r="B180" s="693">
        <v>19</v>
      </c>
      <c r="C180" s="534" t="s">
        <v>4082</v>
      </c>
      <c r="D180" s="783" t="s">
        <v>115</v>
      </c>
      <c r="E180" s="820">
        <f>+SUM(E175:E179)</f>
        <v>6939.2229200000002</v>
      </c>
      <c r="F180" s="651"/>
      <c r="G180" s="801"/>
      <c r="H180" s="801"/>
      <c r="I180" s="651"/>
      <c r="J180" s="651"/>
      <c r="K180" s="774">
        <f>(+SUMIFS('300s - 3 Digit FERC Accounts'!F:F,'300s - 3 Digit FERC Accounts'!B:B,365)/1000)-('SPP ADJ T&amp;D'!J13/1000)</f>
        <v>6939.2229200000002</v>
      </c>
      <c r="L180" s="651"/>
      <c r="M180" s="651"/>
      <c r="N180" s="651"/>
      <c r="O180" s="651"/>
      <c r="P180" s="651"/>
      <c r="Q180" s="651"/>
      <c r="R180" s="668"/>
      <c r="T180" t="s">
        <v>8470</v>
      </c>
      <c r="U180" s="1586">
        <f>+'Accounting Schedule B-9'!H420+'Accounting Schedule B-9'!H421</f>
        <v>36033.862289999997</v>
      </c>
    </row>
    <row r="181" spans="2:21">
      <c r="B181" s="693">
        <v>20</v>
      </c>
      <c r="C181" s="534"/>
      <c r="D181" s="783"/>
      <c r="E181" s="818"/>
      <c r="F181" s="651"/>
      <c r="G181" s="801"/>
      <c r="H181" s="801"/>
      <c r="I181" s="651"/>
      <c r="J181" s="651"/>
      <c r="K181" s="651"/>
      <c r="L181" s="651"/>
      <c r="M181" s="651"/>
      <c r="N181" s="651"/>
      <c r="O181" s="651"/>
      <c r="P181" s="651"/>
      <c r="Q181" s="651"/>
      <c r="R181" s="668"/>
      <c r="T181" t="s">
        <v>8461</v>
      </c>
      <c r="U181" s="1639">
        <f>+E187</f>
        <v>21346.182480000007</v>
      </c>
    </row>
    <row r="182" spans="2:21">
      <c r="B182" s="693">
        <v>21</v>
      </c>
      <c r="C182" s="534" t="s">
        <v>4083</v>
      </c>
      <c r="D182" s="783" t="s">
        <v>4071</v>
      </c>
      <c r="E182" s="819">
        <f>+SUM(F182:R182)</f>
        <v>10.151967899116032</v>
      </c>
      <c r="F182" s="651"/>
      <c r="G182" s="801"/>
      <c r="H182" s="801"/>
      <c r="I182" s="651"/>
      <c r="J182" s="651"/>
      <c r="K182" s="651"/>
      <c r="L182" s="42">
        <f>+IF($L$187=0,0,$L$187*(L33/$L$38))</f>
        <v>10.151967899116032</v>
      </c>
      <c r="M182" s="651"/>
      <c r="N182" s="651"/>
      <c r="O182" s="651"/>
      <c r="P182" s="651"/>
      <c r="Q182" s="651"/>
      <c r="R182" s="668"/>
      <c r="U182" s="516">
        <f>+U180-U181</f>
        <v>14687.679809999991</v>
      </c>
    </row>
    <row r="183" spans="2:21">
      <c r="B183" s="693">
        <v>22</v>
      </c>
      <c r="C183" s="534" t="s">
        <v>4084</v>
      </c>
      <c r="D183" s="783" t="s">
        <v>4067</v>
      </c>
      <c r="E183" s="819">
        <f>+SUM(F183:R183)</f>
        <v>19824.48663502411</v>
      </c>
      <c r="F183" s="651"/>
      <c r="G183" s="801"/>
      <c r="H183" s="801"/>
      <c r="I183" s="651"/>
      <c r="J183" s="651"/>
      <c r="K183" s="651"/>
      <c r="L183" s="42">
        <f>+IF($L$187=0,0,$L$187*(L34/$L$38))</f>
        <v>19824.48663502411</v>
      </c>
      <c r="M183" s="651"/>
      <c r="N183" s="651"/>
      <c r="O183" s="651"/>
      <c r="P183" s="651"/>
      <c r="Q183" s="651"/>
      <c r="R183" s="668"/>
      <c r="T183" t="s">
        <v>8454</v>
      </c>
      <c r="U183" s="1586">
        <f>-SUM('SPP ADJ T&amp;D'!$J$14:$J$15)/1000</f>
        <v>-14687.679809999998</v>
      </c>
    </row>
    <row r="184" spans="2:21">
      <c r="B184" s="693">
        <v>23</v>
      </c>
      <c r="C184" s="631" t="s">
        <v>4085</v>
      </c>
      <c r="D184" s="783" t="s">
        <v>4071</v>
      </c>
      <c r="E184" s="819">
        <f>+SUM(F184:R184)</f>
        <v>0</v>
      </c>
      <c r="F184" s="651"/>
      <c r="G184" s="801"/>
      <c r="H184" s="801"/>
      <c r="I184" s="651"/>
      <c r="J184" s="651"/>
      <c r="K184" s="651"/>
      <c r="L184" s="42">
        <f>+IF($L$187=0,0,$L$187*(L35/$L$38))</f>
        <v>0</v>
      </c>
      <c r="M184" s="651"/>
      <c r="N184" s="651"/>
      <c r="O184" s="651"/>
      <c r="P184" s="651"/>
      <c r="Q184" s="651"/>
      <c r="R184" s="668"/>
      <c r="T184" s="297" t="s">
        <v>8439</v>
      </c>
      <c r="U184" s="1639">
        <f>+G184</f>
        <v>0</v>
      </c>
    </row>
    <row r="185" spans="2:21">
      <c r="B185" s="693">
        <v>24</v>
      </c>
      <c r="C185" s="534" t="s">
        <v>4086</v>
      </c>
      <c r="D185" s="783" t="s">
        <v>4067</v>
      </c>
      <c r="E185" s="819">
        <f>+SUM(F185:R185)</f>
        <v>1511.5438770767803</v>
      </c>
      <c r="F185" s="651"/>
      <c r="G185" s="801"/>
      <c r="H185" s="801"/>
      <c r="I185" s="651"/>
      <c r="J185" s="651"/>
      <c r="K185" s="651"/>
      <c r="L185" s="42">
        <f>+IF($L$187=0,0,$L$187*(L36/$L$38))</f>
        <v>1511.5438770767803</v>
      </c>
      <c r="M185" s="651"/>
      <c r="N185" s="651"/>
      <c r="O185" s="651"/>
      <c r="P185" s="651"/>
      <c r="Q185" s="651"/>
      <c r="R185" s="668"/>
      <c r="U185" s="1640">
        <f>+SUM(U182:U184)</f>
        <v>-7.2759576141834259E-12</v>
      </c>
    </row>
    <row r="186" spans="2:21">
      <c r="B186" s="693">
        <v>25</v>
      </c>
      <c r="C186" s="631" t="s">
        <v>4087</v>
      </c>
      <c r="D186" s="783" t="s">
        <v>4071</v>
      </c>
      <c r="E186" s="828">
        <f>+SUM(F186:R186)</f>
        <v>0</v>
      </c>
      <c r="F186" s="651"/>
      <c r="G186" s="801"/>
      <c r="H186" s="801"/>
      <c r="I186" s="651"/>
      <c r="J186" s="651"/>
      <c r="K186" s="651"/>
      <c r="L186" s="439">
        <f>+IF($L$187=0,0,$L$187*(L37/$L$38))</f>
        <v>0</v>
      </c>
      <c r="M186" s="651"/>
      <c r="N186" s="651"/>
      <c r="O186" s="651"/>
      <c r="P186" s="651"/>
      <c r="Q186" s="651"/>
      <c r="R186" s="668"/>
    </row>
    <row r="187" spans="2:21">
      <c r="B187" s="693">
        <v>26</v>
      </c>
      <c r="C187" s="534" t="s">
        <v>4088</v>
      </c>
      <c r="D187" s="783" t="s">
        <v>115</v>
      </c>
      <c r="E187" s="820">
        <f>+SUM(E182:E186)</f>
        <v>21346.182480000007</v>
      </c>
      <c r="F187" s="651"/>
      <c r="G187" s="801"/>
      <c r="H187" s="801"/>
      <c r="I187" s="651"/>
      <c r="J187" s="651"/>
      <c r="K187" s="651"/>
      <c r="L187" s="774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651"/>
      <c r="N187" s="651"/>
      <c r="O187" s="651"/>
      <c r="P187" s="651"/>
      <c r="Q187" s="651"/>
      <c r="R187" s="668"/>
      <c r="T187" t="s">
        <v>8471</v>
      </c>
      <c r="U187" s="1586">
        <f>+'Accounting Schedule B-9'!H422</f>
        <v>40688.717689999998</v>
      </c>
    </row>
    <row r="188" spans="2:21">
      <c r="B188" s="693">
        <v>27</v>
      </c>
      <c r="C188" s="534"/>
      <c r="D188" s="783"/>
      <c r="E188" s="818"/>
      <c r="F188" s="651"/>
      <c r="G188" s="651"/>
      <c r="H188" s="651"/>
      <c r="I188" s="651"/>
      <c r="J188" s="651"/>
      <c r="K188" s="651"/>
      <c r="L188" s="651"/>
      <c r="M188" s="651"/>
      <c r="N188" s="651"/>
      <c r="O188" s="651"/>
      <c r="P188" s="651"/>
      <c r="Q188" s="651"/>
      <c r="R188" s="668"/>
      <c r="T188" t="s">
        <v>8464</v>
      </c>
      <c r="U188" s="1639">
        <f>+E194</f>
        <v>39194.892769999999</v>
      </c>
    </row>
    <row r="189" spans="2:21">
      <c r="B189" s="693">
        <v>28</v>
      </c>
      <c r="C189" s="534" t="s">
        <v>4089</v>
      </c>
      <c r="D189" s="783" t="s">
        <v>4071</v>
      </c>
      <c r="E189" s="819">
        <f>+SUM(F189:R189)</f>
        <v>0</v>
      </c>
      <c r="F189" s="651"/>
      <c r="G189" s="651"/>
      <c r="H189" s="651"/>
      <c r="I189" s="651"/>
      <c r="J189" s="651"/>
      <c r="K189" s="651"/>
      <c r="L189" s="651"/>
      <c r="M189" s="42">
        <f>+IF($M$194=0,0,$M$194*(M40/$M$45))</f>
        <v>0</v>
      </c>
      <c r="N189" s="651"/>
      <c r="O189" s="651"/>
      <c r="P189" s="651"/>
      <c r="Q189" s="651"/>
      <c r="R189" s="668"/>
      <c r="U189" s="516">
        <f>+U187-U188</f>
        <v>1493.8249199999991</v>
      </c>
    </row>
    <row r="190" spans="2:21">
      <c r="B190" s="693">
        <v>29</v>
      </c>
      <c r="C190" s="534" t="s">
        <v>4174</v>
      </c>
      <c r="D190" s="783" t="s">
        <v>4067</v>
      </c>
      <c r="E190" s="819">
        <f>+SUM(F190:R190)</f>
        <v>6446.2285393647117</v>
      </c>
      <c r="F190" s="651"/>
      <c r="G190" s="651"/>
      <c r="H190" s="651"/>
      <c r="I190" s="651"/>
      <c r="J190" s="651"/>
      <c r="K190" s="651"/>
      <c r="L190" s="651"/>
      <c r="M190" s="42">
        <f>+IF($M$194=0,0,$M$194*(M41/$M$45))</f>
        <v>6446.2285393647117</v>
      </c>
      <c r="N190" s="651"/>
      <c r="O190" s="651"/>
      <c r="P190" s="651"/>
      <c r="Q190" s="651"/>
      <c r="R190" s="668"/>
      <c r="T190" t="s">
        <v>8454</v>
      </c>
      <c r="U190" s="1586">
        <f>-'SPP ADJ T&amp;D'!$J$16/1000</f>
        <v>-1493.8249200000005</v>
      </c>
    </row>
    <row r="191" spans="2:21">
      <c r="B191" s="693">
        <v>30</v>
      </c>
      <c r="C191" s="534" t="s">
        <v>4175</v>
      </c>
      <c r="D191" s="783" t="s">
        <v>4071</v>
      </c>
      <c r="E191" s="819">
        <f>+SUM(F191:R191)</f>
        <v>0</v>
      </c>
      <c r="F191" s="651"/>
      <c r="G191" s="651"/>
      <c r="H191" s="651"/>
      <c r="I191" s="651"/>
      <c r="J191" s="651"/>
      <c r="K191" s="651"/>
      <c r="L191" s="651"/>
      <c r="M191" s="42">
        <f>+IF($M$194=0,0,$M$194*(M42/$M$45))</f>
        <v>0</v>
      </c>
      <c r="N191" s="651"/>
      <c r="O191" s="651"/>
      <c r="P191" s="651"/>
      <c r="Q191" s="651"/>
      <c r="R191" s="668"/>
      <c r="T191" s="297" t="s">
        <v>8439</v>
      </c>
      <c r="U191" s="1639">
        <f>+G191</f>
        <v>0</v>
      </c>
    </row>
    <row r="192" spans="2:21">
      <c r="B192" s="693">
        <v>31</v>
      </c>
      <c r="C192" s="631" t="s">
        <v>4176</v>
      </c>
      <c r="D192" s="783" t="s">
        <v>4067</v>
      </c>
      <c r="E192" s="819">
        <f>+SUM(F192:R192)</f>
        <v>32748.664230635288</v>
      </c>
      <c r="F192" s="651"/>
      <c r="G192" s="651"/>
      <c r="H192" s="651"/>
      <c r="I192" s="651"/>
      <c r="J192" s="651"/>
      <c r="K192" s="651"/>
      <c r="L192" s="651"/>
      <c r="M192" s="42">
        <f>+IF($M$194=0,0,$M$194*(M43/$M$45))</f>
        <v>32748.664230635288</v>
      </c>
      <c r="N192" s="651"/>
      <c r="O192" s="651"/>
      <c r="P192" s="651"/>
      <c r="Q192" s="651"/>
      <c r="R192" s="668"/>
      <c r="U192" s="1640">
        <f>+SUM(U189:U191)</f>
        <v>-1.3642420526593924E-12</v>
      </c>
    </row>
    <row r="193" spans="2:21">
      <c r="B193" s="693">
        <v>32</v>
      </c>
      <c r="C193" s="631" t="s">
        <v>4177</v>
      </c>
      <c r="D193" s="783" t="s">
        <v>4071</v>
      </c>
      <c r="E193" s="828">
        <f>+SUM(F193:R193)</f>
        <v>0</v>
      </c>
      <c r="F193" s="651"/>
      <c r="G193" s="651"/>
      <c r="H193" s="651"/>
      <c r="I193" s="651"/>
      <c r="J193" s="651"/>
      <c r="K193" s="651"/>
      <c r="L193" s="651"/>
      <c r="M193" s="439">
        <f>+IF($M$194=0,0,$M$194*(M44/$M$45))</f>
        <v>0</v>
      </c>
      <c r="N193" s="651"/>
      <c r="O193" s="651"/>
      <c r="P193" s="651"/>
      <c r="Q193" s="651"/>
      <c r="R193" s="668"/>
    </row>
    <row r="194" spans="2:21">
      <c r="B194" s="693">
        <v>33</v>
      </c>
      <c r="C194" s="534" t="s">
        <v>4090</v>
      </c>
      <c r="D194" s="783" t="s">
        <v>115</v>
      </c>
      <c r="E194" s="820">
        <f>+SUM(E189:E193)</f>
        <v>39194.892769999999</v>
      </c>
      <c r="F194" s="651"/>
      <c r="G194" s="651"/>
      <c r="H194" s="651"/>
      <c r="I194" s="651"/>
      <c r="J194" s="651"/>
      <c r="K194" s="651"/>
      <c r="L194" s="651"/>
      <c r="M194" s="774">
        <f>(+SUMIFS('300s - 3 Digit FERC Accounts'!F:F,'300s - 3 Digit FERC Accounts'!B:B,368)/1000)-('SPP ADJ T&amp;D'!J16/1000)</f>
        <v>39194.892769999999</v>
      </c>
      <c r="N194" s="651"/>
      <c r="O194" s="651"/>
      <c r="P194" s="651"/>
      <c r="Q194" s="651"/>
      <c r="R194" s="668"/>
      <c r="T194" t="s">
        <v>8472</v>
      </c>
      <c r="U194" s="1586">
        <f>+SUM('Accounting Schedule B-9'!H423:H429)</f>
        <v>36736.483840000001</v>
      </c>
    </row>
    <row r="195" spans="2:21">
      <c r="B195" s="693">
        <v>32</v>
      </c>
      <c r="C195" s="534"/>
      <c r="D195" s="783"/>
      <c r="E195" s="818"/>
      <c r="F195" s="651"/>
      <c r="G195" s="651"/>
      <c r="H195" s="651"/>
      <c r="I195" s="651"/>
      <c r="J195" s="651"/>
      <c r="K195" s="651"/>
      <c r="L195" s="651"/>
      <c r="M195" s="651"/>
      <c r="N195" s="651"/>
      <c r="O195" s="651"/>
      <c r="P195" s="651"/>
      <c r="Q195" s="651"/>
      <c r="R195" s="668"/>
      <c r="T195" t="s">
        <v>8466</v>
      </c>
      <c r="U195" s="1639">
        <f>+SUM(E196:E199)</f>
        <v>36418.1512</v>
      </c>
    </row>
    <row r="196" spans="2:21">
      <c r="B196" s="693">
        <v>33</v>
      </c>
      <c r="C196" s="534" t="s">
        <v>4091</v>
      </c>
      <c r="D196" s="783" t="s">
        <v>4071</v>
      </c>
      <c r="E196" s="819">
        <f>+SUM(F196:R196)</f>
        <v>5782.6588400000001</v>
      </c>
      <c r="F196" s="651"/>
      <c r="G196" s="651"/>
      <c r="H196" s="651"/>
      <c r="I196" s="651"/>
      <c r="J196" s="651"/>
      <c r="K196" s="651"/>
      <c r="L196" s="651"/>
      <c r="M196" s="651"/>
      <c r="N196" s="651">
        <f>(+SUMIFS('300s - 5 Digit FERC Accounts'!F:F,'300s - 5 Digit FERC Accounts'!B:B,36900)/1000)-('SPP ADJ T&amp;D'!J17/1000)</f>
        <v>1719.3555799999999</v>
      </c>
      <c r="O196" s="651">
        <f>(+SUMIFS('300s - 5 Digit FERC Accounts'!F:F,'300s - 5 Digit FERC Accounts'!B:B,36902)/1000)-('SPP ADJ T&amp;D'!J18/1000)</f>
        <v>4063.3032599999997</v>
      </c>
      <c r="P196" s="651"/>
      <c r="Q196" s="651"/>
      <c r="R196" s="668"/>
      <c r="U196" s="516">
        <f>+U194-U195</f>
        <v>318.33264000000054</v>
      </c>
    </row>
    <row r="197" spans="2:21">
      <c r="B197" s="693">
        <v>34</v>
      </c>
      <c r="C197" s="534" t="s">
        <v>4092</v>
      </c>
      <c r="D197" s="783" t="s">
        <v>4071</v>
      </c>
      <c r="E197" s="819">
        <f>+SUM(F197:R197)</f>
        <v>15403.828909999998</v>
      </c>
      <c r="F197" s="651"/>
      <c r="G197" s="651"/>
      <c r="H197" s="651"/>
      <c r="I197" s="651"/>
      <c r="J197" s="651"/>
      <c r="K197" s="651"/>
      <c r="L197" s="651"/>
      <c r="M197" s="651"/>
      <c r="N197" s="651"/>
      <c r="O197" s="651"/>
      <c r="P197" s="651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651"/>
      <c r="R197" s="668"/>
      <c r="T197" t="s">
        <v>8454</v>
      </c>
      <c r="U197" s="1586">
        <f>-SUM('SPP ADJ T&amp;D'!$J$17:$J$21)/1000</f>
        <v>-318.33263999999991</v>
      </c>
    </row>
    <row r="198" spans="2:21">
      <c r="B198" s="693">
        <v>35</v>
      </c>
      <c r="C198" s="534" t="s">
        <v>9138</v>
      </c>
      <c r="D198" s="1726" t="s">
        <v>4071</v>
      </c>
      <c r="E198" s="1727">
        <f>+SUM(F198:R198)</f>
        <v>0</v>
      </c>
      <c r="F198" s="651"/>
      <c r="G198" s="651"/>
      <c r="H198" s="651"/>
      <c r="I198" s="777"/>
      <c r="J198" s="651"/>
      <c r="K198" s="42"/>
      <c r="L198" s="651"/>
      <c r="M198" s="651"/>
      <c r="N198" s="651"/>
      <c r="O198" s="651"/>
      <c r="P198" s="651"/>
      <c r="Q198" s="651">
        <f>+SUMIFS('300s - 5 Digit FERC Accounts'!F:F,'300s - 5 Digit FERC Accounts'!B:B,37100)/1000</f>
        <v>0</v>
      </c>
      <c r="R198" s="668"/>
      <c r="T198" s="297" t="s">
        <v>8439</v>
      </c>
      <c r="U198" s="1639">
        <f>+G198</f>
        <v>0</v>
      </c>
    </row>
    <row r="199" spans="2:21">
      <c r="B199" s="693">
        <v>36</v>
      </c>
      <c r="C199" s="785" t="s">
        <v>4093</v>
      </c>
      <c r="D199" s="783" t="s">
        <v>4071</v>
      </c>
      <c r="E199" s="819">
        <f>+SUM(F199:R199)</f>
        <v>15231.66345</v>
      </c>
      <c r="F199" s="537"/>
      <c r="G199" s="537"/>
      <c r="H199" s="537"/>
      <c r="I199" s="537"/>
      <c r="J199" s="537"/>
      <c r="K199" s="537"/>
      <c r="L199" s="537"/>
      <c r="M199" s="537"/>
      <c r="N199" s="537"/>
      <c r="O199" s="537"/>
      <c r="P199" s="537"/>
      <c r="Q199" s="537"/>
      <c r="R199" s="670">
        <f>(+SUMIFS('300s - 3 Digit FERC Accounts'!F:F,'300s - 3 Digit FERC Accounts'!B:B,373)/1000)-('SPP ADJ T&amp;D'!J21/1000)</f>
        <v>15231.66345</v>
      </c>
      <c r="U199" s="1640">
        <f>+SUM(U196:U198)</f>
        <v>6.2527760746888816E-13</v>
      </c>
    </row>
    <row r="200" spans="2:21">
      <c r="B200" s="693">
        <v>37</v>
      </c>
      <c r="C200" s="540"/>
      <c r="D200" s="786"/>
      <c r="E200" s="821"/>
      <c r="F200" s="651"/>
      <c r="G200" s="651"/>
      <c r="H200" s="651"/>
      <c r="I200" s="651"/>
      <c r="J200" s="651"/>
      <c r="K200" s="651"/>
      <c r="L200" s="651"/>
      <c r="M200" s="651"/>
      <c r="N200" s="651"/>
      <c r="O200" s="651"/>
      <c r="P200" s="651"/>
      <c r="Q200" s="651"/>
      <c r="R200" s="668"/>
    </row>
    <row r="201" spans="2:21">
      <c r="B201" s="693">
        <v>38</v>
      </c>
      <c r="C201" s="534" t="s">
        <v>4133</v>
      </c>
      <c r="D201" s="783" t="s">
        <v>4067</v>
      </c>
      <c r="E201" s="818">
        <f>+SUMIFS(E$163:E$199,$D$163:$D$199,$D$201)</f>
        <v>102119.72953327128</v>
      </c>
      <c r="F201" s="829">
        <f t="shared" ref="F201:R201" si="9">+SUMIFS(F$163:F$199,$D$163:$D$199,$D$201)</f>
        <v>0</v>
      </c>
      <c r="G201" s="570">
        <f t="shared" si="9"/>
        <v>0</v>
      </c>
      <c r="H201" s="570">
        <f t="shared" si="9"/>
        <v>875.54075999999998</v>
      </c>
      <c r="I201" s="570">
        <f t="shared" si="9"/>
        <v>8931.179970000001</v>
      </c>
      <c r="J201" s="570">
        <f t="shared" si="9"/>
        <v>24949.874085417388</v>
      </c>
      <c r="K201" s="570">
        <f t="shared" si="9"/>
        <v>6832.2114357529954</v>
      </c>
      <c r="L201" s="570">
        <f t="shared" si="9"/>
        <v>21336.03051210089</v>
      </c>
      <c r="M201" s="570">
        <f t="shared" si="9"/>
        <v>39194.892769999999</v>
      </c>
      <c r="N201" s="570">
        <f t="shared" si="9"/>
        <v>0</v>
      </c>
      <c r="O201" s="570">
        <f t="shared" si="9"/>
        <v>0</v>
      </c>
      <c r="P201" s="570">
        <f t="shared" si="9"/>
        <v>0</v>
      </c>
      <c r="Q201" s="570">
        <f t="shared" si="9"/>
        <v>0</v>
      </c>
      <c r="R201" s="830">
        <f t="shared" si="9"/>
        <v>0</v>
      </c>
      <c r="T201" t="s">
        <v>8473</v>
      </c>
      <c r="U201" s="1586">
        <f>+SUM(U159,U166,U173,U180,U187,U194)-U152</f>
        <v>0</v>
      </c>
    </row>
    <row r="202" spans="2:21">
      <c r="B202" s="693">
        <v>39</v>
      </c>
      <c r="C202" s="785" t="s">
        <v>4133</v>
      </c>
      <c r="D202" s="787" t="s">
        <v>4071</v>
      </c>
      <c r="E202" s="573">
        <f>+SUMIFS(E$163:E$199,$D$163:$D$199,$D$202)</f>
        <v>38579.974456728742</v>
      </c>
      <c r="F202" s="831">
        <f t="shared" ref="F202:R202" si="10">+SUMIFS(F$163:F$199,$D$163:$D$199,$D$202)</f>
        <v>0</v>
      </c>
      <c r="G202" s="571">
        <f t="shared" si="10"/>
        <v>0</v>
      </c>
      <c r="H202" s="571">
        <f t="shared" si="10"/>
        <v>0</v>
      </c>
      <c r="I202" s="571">
        <f t="shared" si="10"/>
        <v>0</v>
      </c>
      <c r="J202" s="571">
        <f t="shared" si="10"/>
        <v>2044.6598045826174</v>
      </c>
      <c r="K202" s="571">
        <f t="shared" si="10"/>
        <v>107.01148424700513</v>
      </c>
      <c r="L202" s="571">
        <f t="shared" si="10"/>
        <v>10.151967899116032</v>
      </c>
      <c r="M202" s="571">
        <f t="shared" si="10"/>
        <v>0</v>
      </c>
      <c r="N202" s="571">
        <f t="shared" si="10"/>
        <v>1719.3555799999999</v>
      </c>
      <c r="O202" s="571">
        <f t="shared" si="10"/>
        <v>4063.3032599999997</v>
      </c>
      <c r="P202" s="571">
        <f t="shared" si="10"/>
        <v>15403.828909999998</v>
      </c>
      <c r="Q202" s="571">
        <f t="shared" si="10"/>
        <v>0</v>
      </c>
      <c r="R202" s="832">
        <f t="shared" si="10"/>
        <v>15231.66345</v>
      </c>
      <c r="T202" t="s">
        <v>8426</v>
      </c>
      <c r="U202" s="1639">
        <f>+SUM(U160,U167,U174,U181,U188,U195)-U153</f>
        <v>0</v>
      </c>
    </row>
    <row r="203" spans="2:21">
      <c r="B203" s="693">
        <v>40</v>
      </c>
      <c r="C203" s="328"/>
      <c r="D203" s="328"/>
      <c r="E203" s="570"/>
      <c r="F203" s="570"/>
      <c r="G203" s="570"/>
      <c r="H203" s="570"/>
      <c r="I203" s="570"/>
      <c r="J203" s="570"/>
      <c r="K203" s="570"/>
      <c r="L203" s="570"/>
      <c r="M203" s="570"/>
      <c r="N203" s="570"/>
      <c r="O203" s="570"/>
      <c r="P203" s="570"/>
      <c r="Q203" s="570"/>
      <c r="R203" s="830"/>
      <c r="U203" s="516">
        <f>+U201-U202</f>
        <v>0</v>
      </c>
    </row>
    <row r="204" spans="2:21" ht="15" thickBot="1">
      <c r="B204" s="693">
        <v>41</v>
      </c>
      <c r="C204" s="328" t="s">
        <v>4132</v>
      </c>
      <c r="D204" s="328" t="s">
        <v>115</v>
      </c>
      <c r="E204" s="576">
        <f>+SUM(E201:E202)</f>
        <v>140699.70399000001</v>
      </c>
      <c r="F204" s="576">
        <f>+SUM(F201:F202)</f>
        <v>0</v>
      </c>
      <c r="G204" s="576">
        <f>+SUM(G201:G202)</f>
        <v>0</v>
      </c>
      <c r="H204" s="576">
        <f>+SUM(H201:H202)</f>
        <v>875.54075999999998</v>
      </c>
      <c r="I204" s="576">
        <f t="shared" ref="I204:R204" si="11">+SUM(I201:I202)</f>
        <v>8931.179970000001</v>
      </c>
      <c r="J204" s="576">
        <f t="shared" si="11"/>
        <v>26994.533890000006</v>
      </c>
      <c r="K204" s="576">
        <f t="shared" si="11"/>
        <v>6939.2229200000002</v>
      </c>
      <c r="L204" s="576">
        <f t="shared" si="11"/>
        <v>21346.182480000007</v>
      </c>
      <c r="M204" s="576">
        <f t="shared" si="11"/>
        <v>39194.892769999999</v>
      </c>
      <c r="N204" s="576">
        <f t="shared" si="11"/>
        <v>1719.3555799999999</v>
      </c>
      <c r="O204" s="576">
        <f t="shared" si="11"/>
        <v>4063.3032599999997</v>
      </c>
      <c r="P204" s="576">
        <f t="shared" si="11"/>
        <v>15403.828909999998</v>
      </c>
      <c r="Q204" s="576">
        <f t="shared" si="11"/>
        <v>0</v>
      </c>
      <c r="R204" s="833">
        <f t="shared" si="11"/>
        <v>15231.66345</v>
      </c>
      <c r="T204" t="s">
        <v>8454</v>
      </c>
      <c r="U204" s="1586">
        <f>+SUM(U162,U169,U176,U183,U190,U197)-U155</f>
        <v>0</v>
      </c>
    </row>
    <row r="205" spans="2:21" ht="15" thickTop="1">
      <c r="B205" s="535"/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536"/>
      <c r="T205" s="297" t="s">
        <v>8439</v>
      </c>
      <c r="U205" s="1639">
        <f>+SUM(U163,U170,U177,U184,U191,U198)-U156</f>
        <v>0</v>
      </c>
    </row>
    <row r="206" spans="2:21">
      <c r="B206" s="639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7"/>
      <c r="U206" s="1640">
        <f>+SUM(U203:U205)</f>
        <v>0</v>
      </c>
    </row>
  </sheetData>
  <mergeCells count="2">
    <mergeCell ref="E61:G61"/>
    <mergeCell ref="I61:K61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theme="2" tint="-0.499984740745262"/>
  </sheetPr>
  <dimension ref="B1:U206"/>
  <sheetViews>
    <sheetView tabSelected="1" showOutlineSymbols="0" workbookViewId="0"/>
  </sheetViews>
  <sheetFormatPr defaultRowHeight="14.4"/>
  <cols>
    <col min="2" max="2" width="9.33203125" bestFit="1" customWidth="1"/>
    <col min="3" max="3" width="40.44140625" bestFit="1" customWidth="1"/>
    <col min="4" max="4" width="18.109375" bestFit="1" customWidth="1"/>
    <col min="5" max="5" width="26" customWidth="1"/>
    <col min="6" max="6" width="10.5546875" bestFit="1" customWidth="1"/>
    <col min="7" max="7" width="11.33203125" bestFit="1" customWidth="1"/>
    <col min="8" max="12" width="10" bestFit="1" customWidth="1"/>
    <col min="13" max="13" width="9.33203125" bestFit="1" customWidth="1"/>
    <col min="14" max="14" width="11.5546875" bestFit="1" customWidth="1"/>
    <col min="15" max="16" width="9.33203125" bestFit="1" customWidth="1"/>
    <col min="17" max="17" width="20" bestFit="1" customWidth="1"/>
    <col min="18" max="18" width="9.33203125" bestFit="1" customWidth="1"/>
    <col min="20" max="20" width="20.33203125" bestFit="1" customWidth="1"/>
    <col min="21" max="21" width="15.33203125" customWidth="1"/>
  </cols>
  <sheetData>
    <row r="1" spans="2:21">
      <c r="E1" s="29" t="s">
        <v>116</v>
      </c>
    </row>
    <row r="3" spans="2:21">
      <c r="B3" s="352" t="s">
        <v>2173</v>
      </c>
      <c r="C3" s="549"/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49"/>
      <c r="O3" s="549"/>
      <c r="P3" s="549"/>
      <c r="Q3" s="549"/>
      <c r="R3" s="550"/>
      <c r="T3" t="s">
        <v>8413</v>
      </c>
    </row>
    <row r="4" spans="2:21">
      <c r="B4" s="353" t="s">
        <v>4047</v>
      </c>
      <c r="C4" s="328"/>
      <c r="D4" s="328"/>
      <c r="E4" s="328"/>
      <c r="F4" s="328"/>
      <c r="G4" s="328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536"/>
      <c r="T4" t="s">
        <v>8452</v>
      </c>
      <c r="U4" s="1586">
        <f>+'Accounting Schedule B-7'!R536</f>
        <v>4263250.7829099996</v>
      </c>
    </row>
    <row r="5" spans="2:21">
      <c r="B5" s="615" t="s">
        <v>9264</v>
      </c>
      <c r="C5" s="29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536"/>
      <c r="T5" t="s">
        <v>8453</v>
      </c>
      <c r="U5" s="1639">
        <f>+E55</f>
        <v>3688874.9774561115</v>
      </c>
    </row>
    <row r="6" spans="2:21">
      <c r="B6" s="639"/>
      <c r="C6" s="546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  <c r="R6" s="547"/>
      <c r="U6" s="516">
        <f>+U4-U5</f>
        <v>574375.80545388814</v>
      </c>
    </row>
    <row r="7" spans="2:21">
      <c r="B7" s="352"/>
      <c r="C7" s="521"/>
      <c r="D7" s="521"/>
      <c r="E7" s="521"/>
      <c r="F7" s="753" t="s">
        <v>3197</v>
      </c>
      <c r="G7" s="753" t="s">
        <v>3197</v>
      </c>
      <c r="H7" s="753" t="s">
        <v>3197</v>
      </c>
      <c r="I7" s="753" t="s">
        <v>3197</v>
      </c>
      <c r="J7" s="753" t="s">
        <v>3197</v>
      </c>
      <c r="K7" s="753" t="s">
        <v>3197</v>
      </c>
      <c r="L7" s="753" t="s">
        <v>3197</v>
      </c>
      <c r="M7" s="753" t="s">
        <v>3197</v>
      </c>
      <c r="N7" s="753" t="s">
        <v>3197</v>
      </c>
      <c r="O7" s="753" t="s">
        <v>3197</v>
      </c>
      <c r="P7" s="753" t="s">
        <v>3197</v>
      </c>
      <c r="Q7" s="1771" t="s">
        <v>3197</v>
      </c>
      <c r="R7" s="754" t="s">
        <v>3197</v>
      </c>
      <c r="T7" t="s">
        <v>8454</v>
      </c>
      <c r="U7" s="1586">
        <f>-SUM('SPP ADJ T&amp;D'!$H$23/1000)</f>
        <v>-584495.58799999999</v>
      </c>
    </row>
    <row r="8" spans="2:21">
      <c r="B8" s="769"/>
      <c r="C8" s="523"/>
      <c r="D8" s="523"/>
      <c r="E8" s="523"/>
      <c r="F8" s="77" t="s">
        <v>1761</v>
      </c>
      <c r="G8" s="77" t="s">
        <v>1761</v>
      </c>
      <c r="H8" s="77" t="s">
        <v>1763</v>
      </c>
      <c r="I8" s="77" t="s">
        <v>1764</v>
      </c>
      <c r="J8" s="77" t="s">
        <v>1765</v>
      </c>
      <c r="K8" s="77" t="s">
        <v>1766</v>
      </c>
      <c r="L8" s="77" t="s">
        <v>1767</v>
      </c>
      <c r="M8" s="77" t="s">
        <v>1769</v>
      </c>
      <c r="N8" s="77">
        <v>369.01</v>
      </c>
      <c r="O8" s="77">
        <v>369.02</v>
      </c>
      <c r="P8" s="77" t="s">
        <v>1770</v>
      </c>
      <c r="Q8" s="77">
        <v>371</v>
      </c>
      <c r="R8" s="364" t="s">
        <v>1771</v>
      </c>
      <c r="T8" s="297" t="s">
        <v>8439</v>
      </c>
      <c r="U8" s="1639">
        <f>+G15</f>
        <v>10119.782539999998</v>
      </c>
    </row>
    <row r="9" spans="2:21">
      <c r="B9" s="353"/>
      <c r="C9" s="280"/>
      <c r="D9" s="280"/>
      <c r="E9" s="280"/>
      <c r="F9" s="60" t="s">
        <v>2430</v>
      </c>
      <c r="G9" s="60" t="s">
        <v>4048</v>
      </c>
      <c r="H9" s="60" t="s">
        <v>4049</v>
      </c>
      <c r="I9" s="60" t="s">
        <v>3453</v>
      </c>
      <c r="J9" s="60" t="s">
        <v>4050</v>
      </c>
      <c r="K9" s="60" t="s">
        <v>4051</v>
      </c>
      <c r="L9" s="60" t="s">
        <v>1768</v>
      </c>
      <c r="M9" s="60" t="s">
        <v>2430</v>
      </c>
      <c r="N9" s="60" t="s">
        <v>4051</v>
      </c>
      <c r="O9" s="60" t="s">
        <v>4052</v>
      </c>
      <c r="P9" s="60" t="s">
        <v>4053</v>
      </c>
      <c r="Q9" s="60" t="s">
        <v>9136</v>
      </c>
      <c r="R9" s="767" t="s">
        <v>4054</v>
      </c>
      <c r="U9" s="1640">
        <f>+SUM(U6:U8)</f>
        <v>-6.1118498706491664E-6</v>
      </c>
    </row>
    <row r="10" spans="2:21">
      <c r="B10" s="522" t="s">
        <v>2182</v>
      </c>
      <c r="C10" s="523" t="s">
        <v>1918</v>
      </c>
      <c r="D10" s="523" t="s">
        <v>4055</v>
      </c>
      <c r="E10" s="523" t="s">
        <v>115</v>
      </c>
      <c r="F10" s="77" t="s">
        <v>3451</v>
      </c>
      <c r="G10" s="77" t="s">
        <v>3451</v>
      </c>
      <c r="H10" s="77"/>
      <c r="I10" s="77" t="s">
        <v>4056</v>
      </c>
      <c r="J10" s="77"/>
      <c r="K10" s="77" t="s">
        <v>4057</v>
      </c>
      <c r="L10" s="60" t="s">
        <v>4058</v>
      </c>
      <c r="M10" s="60" t="s">
        <v>4059</v>
      </c>
      <c r="N10" s="60" t="s">
        <v>4060</v>
      </c>
      <c r="O10" s="60" t="s">
        <v>4060</v>
      </c>
      <c r="P10" s="60"/>
      <c r="Q10" s="60" t="s">
        <v>9137</v>
      </c>
      <c r="R10" s="767" t="s">
        <v>1954</v>
      </c>
    </row>
    <row r="11" spans="2:21">
      <c r="B11" s="641" t="s">
        <v>2175</v>
      </c>
      <c r="C11" s="641" t="s">
        <v>2176</v>
      </c>
      <c r="D11" s="641" t="s">
        <v>2177</v>
      </c>
      <c r="E11" s="641" t="s">
        <v>2178</v>
      </c>
      <c r="F11" s="632" t="s">
        <v>2179</v>
      </c>
      <c r="G11" s="632" t="s">
        <v>2625</v>
      </c>
      <c r="H11" s="632" t="s">
        <v>2626</v>
      </c>
      <c r="I11" s="632" t="s">
        <v>2627</v>
      </c>
      <c r="J11" s="661" t="s">
        <v>2628</v>
      </c>
      <c r="K11" s="661" t="s">
        <v>2629</v>
      </c>
      <c r="L11" s="661" t="s">
        <v>2630</v>
      </c>
      <c r="M11" s="661" t="s">
        <v>4061</v>
      </c>
      <c r="N11" s="661" t="s">
        <v>4062</v>
      </c>
      <c r="O11" s="661" t="s">
        <v>4063</v>
      </c>
      <c r="P11" s="661" t="s">
        <v>4064</v>
      </c>
      <c r="Q11" s="1772" t="s">
        <v>4065</v>
      </c>
      <c r="R11" s="662" t="s">
        <v>4178</v>
      </c>
      <c r="T11" t="s">
        <v>8455</v>
      </c>
      <c r="U11" s="1586">
        <f>+SUM('Accounting Schedule B-7'!R415:R417)</f>
        <v>365358.74405000004</v>
      </c>
    </row>
    <row r="12" spans="2:21">
      <c r="B12" s="771"/>
      <c r="C12" s="540"/>
      <c r="D12" s="540"/>
      <c r="E12" s="720"/>
      <c r="F12" s="549"/>
      <c r="G12" s="549"/>
      <c r="H12" s="549"/>
      <c r="I12" s="549"/>
      <c r="J12" s="549"/>
      <c r="K12" s="549"/>
      <c r="L12" s="328"/>
      <c r="M12" s="328"/>
      <c r="N12" s="328"/>
      <c r="O12" s="328"/>
      <c r="P12" s="328"/>
      <c r="Q12" s="328"/>
      <c r="R12" s="536"/>
      <c r="T12" t="s">
        <v>8456</v>
      </c>
      <c r="U12" s="1639">
        <f>+E16</f>
        <v>368438.48759000003</v>
      </c>
    </row>
    <row r="13" spans="2:21">
      <c r="B13" s="604">
        <v>1</v>
      </c>
      <c r="C13" s="775" t="s">
        <v>2543</v>
      </c>
      <c r="D13" s="775"/>
      <c r="E13" s="564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536"/>
      <c r="U13" s="516">
        <f>+U11-U12</f>
        <v>-3079.7435399999958</v>
      </c>
    </row>
    <row r="14" spans="2:21">
      <c r="B14" s="693">
        <v>2</v>
      </c>
      <c r="C14" s="534" t="s">
        <v>4066</v>
      </c>
      <c r="D14" s="783" t="s">
        <v>4067</v>
      </c>
      <c r="E14" s="817">
        <v>0</v>
      </c>
      <c r="F14" s="42"/>
      <c r="G14" s="42">
        <f>+IF($E14=0,0,((G15/$E15)*$E14))</f>
        <v>0</v>
      </c>
      <c r="H14" s="42">
        <f>+IF($E14=0,0,((H15/$E15)*$E14))</f>
        <v>0</v>
      </c>
      <c r="I14" s="42">
        <f>+IF($E14=0,0,((I15/$E15)*$E14))</f>
        <v>0</v>
      </c>
      <c r="J14" s="651"/>
      <c r="K14" s="651"/>
      <c r="L14" s="651"/>
      <c r="M14" s="651"/>
      <c r="N14" s="651"/>
      <c r="O14" s="651"/>
      <c r="P14" s="651"/>
      <c r="Q14" s="651"/>
      <c r="R14" s="668"/>
      <c r="T14" t="s">
        <v>8454</v>
      </c>
      <c r="U14" s="1586">
        <f>-SUM('SPP ADJ T&amp;D'!$H$10:H11)/1000</f>
        <v>-7040.0389999999998</v>
      </c>
    </row>
    <row r="15" spans="2:21">
      <c r="B15" s="693">
        <v>3</v>
      </c>
      <c r="C15" s="534" t="s">
        <v>4068</v>
      </c>
      <c r="D15" s="783" t="s">
        <v>4067</v>
      </c>
      <c r="E15" s="731">
        <f>+SUM(F15:R15)</f>
        <v>368438.48759000003</v>
      </c>
      <c r="F15" s="42"/>
      <c r="G15" s="439">
        <f>(+SUMIFS('300s - 5 Digit FERC Accounts'!$D:$D,'300s - 5 Digit FERC Accounts'!$B:$B,36000)/1000)</f>
        <v>10119.782539999998</v>
      </c>
      <c r="H15" s="439">
        <f>(+SUMIFS('300s - 5 Digit FERC Accounts'!$D:$D,'300s - 5 Digit FERC Accounts'!$B:$B,36100)/1000)-('SPP ADJ T&amp;D'!H10/1000)</f>
        <v>33935.685829999995</v>
      </c>
      <c r="I15" s="439">
        <f>(+SUMIFS('300s - 5 Digit FERC Accounts'!$D:$D,'300s - 5 Digit FERC Accounts'!$B:$B,36200)/1000)-('SPP ADJ T&amp;D'!H11/1000)</f>
        <v>324383.01922000002</v>
      </c>
      <c r="J15" s="651"/>
      <c r="K15" s="651"/>
      <c r="L15" s="651"/>
      <c r="M15" s="651"/>
      <c r="N15" s="651"/>
      <c r="O15" s="651"/>
      <c r="P15" s="651"/>
      <c r="Q15" s="651"/>
      <c r="R15" s="668"/>
      <c r="T15" s="297" t="s">
        <v>8439</v>
      </c>
      <c r="U15" s="1639">
        <f>+G15</f>
        <v>10119.782539999998</v>
      </c>
    </row>
    <row r="16" spans="2:21">
      <c r="B16" s="693">
        <v>4</v>
      </c>
      <c r="C16" s="534" t="s">
        <v>4069</v>
      </c>
      <c r="D16" s="783" t="s">
        <v>115</v>
      </c>
      <c r="E16" s="818">
        <f>+SUM(E14:E15)</f>
        <v>368438.48759000003</v>
      </c>
      <c r="F16" s="651"/>
      <c r="G16" s="774">
        <f>+SUM(G14:G15)</f>
        <v>10119.782539999998</v>
      </c>
      <c r="H16" s="774">
        <f>+SUM(H14:H15)</f>
        <v>33935.685829999995</v>
      </c>
      <c r="I16" s="774">
        <f>+SUM(I14:I15)</f>
        <v>324383.01922000002</v>
      </c>
      <c r="J16" s="651"/>
      <c r="K16" s="651"/>
      <c r="L16" s="651"/>
      <c r="M16" s="651"/>
      <c r="N16" s="651"/>
      <c r="O16" s="651"/>
      <c r="P16" s="651"/>
      <c r="Q16" s="651"/>
      <c r="R16" s="668"/>
      <c r="U16" s="1640">
        <f>+SUM(U13:U15)</f>
        <v>0</v>
      </c>
    </row>
    <row r="17" spans="2:21">
      <c r="B17" s="693">
        <v>5</v>
      </c>
      <c r="C17" s="534"/>
      <c r="D17" s="783"/>
      <c r="E17" s="818"/>
      <c r="F17" s="328"/>
      <c r="G17" s="328"/>
      <c r="H17" s="328"/>
      <c r="I17" s="328"/>
      <c r="J17" s="651"/>
      <c r="K17" s="651"/>
      <c r="L17" s="651"/>
      <c r="M17" s="651"/>
      <c r="N17" s="651"/>
      <c r="O17" s="651"/>
      <c r="P17" s="651"/>
      <c r="Q17" s="651"/>
      <c r="R17" s="668"/>
    </row>
    <row r="18" spans="2:21">
      <c r="B18" s="693">
        <v>6</v>
      </c>
      <c r="C18" s="534"/>
      <c r="D18" s="783"/>
      <c r="E18" s="818"/>
      <c r="F18" s="651"/>
      <c r="G18" s="651"/>
      <c r="H18" s="651"/>
      <c r="I18" s="651"/>
      <c r="J18" s="651"/>
      <c r="K18" s="651"/>
      <c r="L18" s="651"/>
      <c r="M18" s="651"/>
      <c r="N18" s="651"/>
      <c r="O18" s="651"/>
      <c r="P18" s="651"/>
      <c r="Q18" s="651"/>
      <c r="R18" s="668"/>
      <c r="T18" t="s">
        <v>8458</v>
      </c>
      <c r="U18" s="1586">
        <f>+'Accounting Schedule B-7'!R418</f>
        <v>499219.43348000001</v>
      </c>
    </row>
    <row r="19" spans="2:21">
      <c r="B19" s="693">
        <v>7</v>
      </c>
      <c r="C19" s="534" t="s">
        <v>4070</v>
      </c>
      <c r="D19" s="783" t="s">
        <v>4071</v>
      </c>
      <c r="E19" s="819">
        <f>+SUM(F19:R19)</f>
        <v>32074.434089827188</v>
      </c>
      <c r="F19" s="651"/>
      <c r="G19" s="651"/>
      <c r="H19" s="651"/>
      <c r="I19" s="651"/>
      <c r="J19" s="777">
        <f>+'0 MDS'!D29</f>
        <v>32074.434089827188</v>
      </c>
      <c r="K19" s="651"/>
      <c r="L19" s="651"/>
      <c r="M19" s="651"/>
      <c r="N19" s="651"/>
      <c r="O19" s="651"/>
      <c r="P19" s="651"/>
      <c r="Q19" s="651"/>
      <c r="R19" s="668"/>
      <c r="T19" t="s">
        <v>8457</v>
      </c>
      <c r="U19" s="1639">
        <f>+E24</f>
        <v>423461.34848440316</v>
      </c>
    </row>
    <row r="20" spans="2:21">
      <c r="B20" s="693">
        <v>8</v>
      </c>
      <c r="C20" s="534" t="s">
        <v>4072</v>
      </c>
      <c r="D20" s="783" t="s">
        <v>4067</v>
      </c>
      <c r="E20" s="819">
        <f>+SUM(F20:R20)</f>
        <v>300991.26661087415</v>
      </c>
      <c r="F20" s="651"/>
      <c r="G20" s="651"/>
      <c r="H20" s="651"/>
      <c r="I20" s="651"/>
      <c r="J20" s="42">
        <f>+'0 MDS'!K30</f>
        <v>300991.26661087415</v>
      </c>
      <c r="K20" s="651"/>
      <c r="L20" s="651"/>
      <c r="M20" s="651"/>
      <c r="N20" s="651"/>
      <c r="O20" s="651"/>
      <c r="P20" s="651"/>
      <c r="Q20" s="651"/>
      <c r="R20" s="668"/>
      <c r="U20" s="516">
        <f>+U18-U19</f>
        <v>75758.084995596844</v>
      </c>
    </row>
    <row r="21" spans="2:21">
      <c r="B21" s="693">
        <v>9</v>
      </c>
      <c r="C21" s="631" t="s">
        <v>4073</v>
      </c>
      <c r="D21" s="783" t="s">
        <v>4071</v>
      </c>
      <c r="E21" s="819">
        <f>+SUM(F21:R21)</f>
        <v>0</v>
      </c>
      <c r="F21" s="651"/>
      <c r="G21" s="651"/>
      <c r="H21" s="651"/>
      <c r="I21" s="651"/>
      <c r="J21" s="42">
        <f>+'0 MDS'!J30</f>
        <v>0</v>
      </c>
      <c r="K21" s="651"/>
      <c r="L21" s="651"/>
      <c r="M21" s="651"/>
      <c r="N21" s="651"/>
      <c r="O21" s="651"/>
      <c r="P21" s="651"/>
      <c r="Q21" s="651"/>
      <c r="R21" s="668"/>
      <c r="T21" t="s">
        <v>8454</v>
      </c>
      <c r="U21" s="1586">
        <f>-'SPP ADJ T&amp;D'!$H$12/1000</f>
        <v>-75758.085000000006</v>
      </c>
    </row>
    <row r="22" spans="2:21">
      <c r="B22" s="693">
        <v>10</v>
      </c>
      <c r="C22" s="534" t="s">
        <v>4074</v>
      </c>
      <c r="D22" s="783" t="s">
        <v>4067</v>
      </c>
      <c r="E22" s="819">
        <f>+SUM(F22:R22)</f>
        <v>90395.647783701817</v>
      </c>
      <c r="F22" s="651"/>
      <c r="G22" s="651"/>
      <c r="H22" s="651"/>
      <c r="I22" s="651"/>
      <c r="J22" s="777">
        <f>+'0 MDS'!K29</f>
        <v>90395.647783701817</v>
      </c>
      <c r="K22" s="651"/>
      <c r="L22" s="651"/>
      <c r="M22" s="651"/>
      <c r="N22" s="651"/>
      <c r="O22" s="651"/>
      <c r="P22" s="651"/>
      <c r="Q22" s="651"/>
      <c r="R22" s="668"/>
      <c r="T22" s="297" t="s">
        <v>8439</v>
      </c>
      <c r="U22" s="1639">
        <f>+G22</f>
        <v>0</v>
      </c>
    </row>
    <row r="23" spans="2:21">
      <c r="B23" s="693">
        <v>11</v>
      </c>
      <c r="C23" s="631" t="s">
        <v>4075</v>
      </c>
      <c r="D23" s="776" t="s">
        <v>4071</v>
      </c>
      <c r="E23" s="731">
        <f>+SUM(F23:R23)</f>
        <v>0</v>
      </c>
      <c r="F23" s="651"/>
      <c r="G23" s="651"/>
      <c r="H23" s="651"/>
      <c r="I23" s="651"/>
      <c r="J23" s="782">
        <f>+'0 MDS'!J29</f>
        <v>0</v>
      </c>
      <c r="K23" s="651"/>
      <c r="L23" s="651"/>
      <c r="M23" s="651"/>
      <c r="N23" s="651"/>
      <c r="O23" s="651"/>
      <c r="P23" s="651"/>
      <c r="Q23" s="651"/>
      <c r="R23" s="668"/>
      <c r="U23" s="1640">
        <f>+SUM(U20:U22)</f>
        <v>-4.4031621655449271E-6</v>
      </c>
    </row>
    <row r="24" spans="2:21">
      <c r="B24" s="693">
        <v>12</v>
      </c>
      <c r="C24" s="534" t="s">
        <v>4076</v>
      </c>
      <c r="D24" s="783" t="s">
        <v>115</v>
      </c>
      <c r="E24" s="820">
        <f>+SUM(E19:E23)</f>
        <v>423461.34848440316</v>
      </c>
      <c r="F24" s="651"/>
      <c r="G24" s="651"/>
      <c r="H24" s="651"/>
      <c r="I24" s="651"/>
      <c r="J24" s="777">
        <f>+SUM(J19:J23)</f>
        <v>423461.34848440316</v>
      </c>
      <c r="K24" s="651"/>
      <c r="L24" s="651"/>
      <c r="M24" s="651"/>
      <c r="N24" s="651"/>
      <c r="O24" s="651"/>
      <c r="P24" s="651"/>
      <c r="Q24" s="651"/>
      <c r="R24" s="668"/>
    </row>
    <row r="25" spans="2:21">
      <c r="B25" s="693">
        <v>13</v>
      </c>
      <c r="C25" s="534"/>
      <c r="D25" s="783"/>
      <c r="E25" s="818"/>
      <c r="F25" s="651"/>
      <c r="G25" s="651"/>
      <c r="H25" s="651"/>
      <c r="I25" s="651"/>
      <c r="J25" s="651"/>
      <c r="K25" s="651"/>
      <c r="L25" s="651"/>
      <c r="M25" s="651"/>
      <c r="N25" s="651"/>
      <c r="O25" s="651"/>
      <c r="P25" s="651"/>
      <c r="Q25" s="651"/>
      <c r="R25" s="668"/>
      <c r="T25" t="s">
        <v>8459</v>
      </c>
      <c r="U25" s="1586">
        <f>+'Accounting Schedule B-7'!R419</f>
        <v>303327.78304000001</v>
      </c>
    </row>
    <row r="26" spans="2:21">
      <c r="B26" s="693">
        <v>14</v>
      </c>
      <c r="C26" s="534" t="s">
        <v>4077</v>
      </c>
      <c r="D26" s="783" t="s">
        <v>4071</v>
      </c>
      <c r="E26" s="819">
        <f>+SUM(F26:R26)</f>
        <v>4542.9060069542402</v>
      </c>
      <c r="F26" s="42"/>
      <c r="G26" s="651"/>
      <c r="H26" s="651"/>
      <c r="I26" s="651"/>
      <c r="J26" s="651"/>
      <c r="K26" s="777">
        <f>+'0 MDS'!D20</f>
        <v>4542.9060069542402</v>
      </c>
      <c r="L26" s="784"/>
      <c r="M26" s="651"/>
      <c r="N26" s="651"/>
      <c r="O26" s="651"/>
      <c r="P26" s="651"/>
      <c r="Q26" s="651"/>
      <c r="R26" s="668"/>
      <c r="T26" t="s">
        <v>8460</v>
      </c>
      <c r="U26" s="1639">
        <f>+E31</f>
        <v>294587.42403850728</v>
      </c>
    </row>
    <row r="27" spans="2:21">
      <c r="B27" s="693">
        <v>15</v>
      </c>
      <c r="C27" s="534" t="s">
        <v>4078</v>
      </c>
      <c r="D27" s="783" t="s">
        <v>4067</v>
      </c>
      <c r="E27" s="819">
        <f>+SUM(F27:R27)</f>
        <v>251746.69790571451</v>
      </c>
      <c r="F27" s="42"/>
      <c r="G27" s="651"/>
      <c r="H27" s="651"/>
      <c r="I27" s="651"/>
      <c r="J27" s="651"/>
      <c r="K27" s="777">
        <f>+'0 MDS'!K21</f>
        <v>251746.69790571451</v>
      </c>
      <c r="L27" s="784"/>
      <c r="M27" s="651"/>
      <c r="N27" s="651"/>
      <c r="O27" s="651"/>
      <c r="P27" s="651"/>
      <c r="Q27" s="651"/>
      <c r="R27" s="668"/>
      <c r="U27" s="516">
        <f>+U25-U26</f>
        <v>8740.3590014927322</v>
      </c>
    </row>
    <row r="28" spans="2:21">
      <c r="B28" s="693">
        <v>16</v>
      </c>
      <c r="C28" s="631" t="s">
        <v>4079</v>
      </c>
      <c r="D28" s="783" t="s">
        <v>4071</v>
      </c>
      <c r="E28" s="819">
        <f>+SUM(F28:R28)</f>
        <v>0</v>
      </c>
      <c r="F28" s="42"/>
      <c r="G28" s="651"/>
      <c r="H28" s="651"/>
      <c r="I28" s="651"/>
      <c r="J28" s="651"/>
      <c r="K28" s="777">
        <f>+'0 MDS'!J21</f>
        <v>0</v>
      </c>
      <c r="L28" s="784"/>
      <c r="M28" s="651"/>
      <c r="N28" s="651"/>
      <c r="O28" s="651"/>
      <c r="P28" s="651"/>
      <c r="Q28" s="651"/>
      <c r="R28" s="668"/>
      <c r="T28" t="s">
        <v>8454</v>
      </c>
      <c r="U28" s="1586">
        <f>-'SPP ADJ T&amp;D'!$H$13/1000</f>
        <v>-8740.3590000000004</v>
      </c>
    </row>
    <row r="29" spans="2:21">
      <c r="B29" s="693">
        <v>17</v>
      </c>
      <c r="C29" s="534" t="s">
        <v>4080</v>
      </c>
      <c r="D29" s="783" t="s">
        <v>4067</v>
      </c>
      <c r="E29" s="819">
        <f>+SUM(F29:R29)</f>
        <v>38297.820125838523</v>
      </c>
      <c r="F29" s="42"/>
      <c r="G29" s="651"/>
      <c r="H29" s="651"/>
      <c r="I29" s="651"/>
      <c r="J29" s="651"/>
      <c r="K29" s="777">
        <f>+'0 MDS'!K20</f>
        <v>38297.820125838523</v>
      </c>
      <c r="L29" s="784"/>
      <c r="M29" s="651"/>
      <c r="N29" s="651"/>
      <c r="O29" s="651"/>
      <c r="P29" s="651"/>
      <c r="Q29" s="651"/>
      <c r="R29" s="668"/>
      <c r="T29" s="297" t="s">
        <v>8439</v>
      </c>
      <c r="U29" s="1639">
        <f>+G29</f>
        <v>0</v>
      </c>
    </row>
    <row r="30" spans="2:21">
      <c r="B30" s="693">
        <v>18</v>
      </c>
      <c r="C30" s="631" t="s">
        <v>4081</v>
      </c>
      <c r="D30" s="783" t="s">
        <v>4071</v>
      </c>
      <c r="E30" s="731">
        <f>+SUM(F30:R30)</f>
        <v>0</v>
      </c>
      <c r="F30" s="42"/>
      <c r="G30" s="651"/>
      <c r="H30" s="651"/>
      <c r="I30" s="651"/>
      <c r="J30" s="651"/>
      <c r="K30" s="782">
        <f>+'0 MDS'!J20</f>
        <v>0</v>
      </c>
      <c r="L30" s="784"/>
      <c r="M30" s="651"/>
      <c r="N30" s="651"/>
      <c r="O30" s="651"/>
      <c r="P30" s="651"/>
      <c r="Q30" s="651"/>
      <c r="R30" s="668"/>
      <c r="U30" s="1640">
        <f>+SUM(U27:U29)</f>
        <v>1.4927318261470646E-6</v>
      </c>
    </row>
    <row r="31" spans="2:21">
      <c r="B31" s="693">
        <v>19</v>
      </c>
      <c r="C31" s="534" t="s">
        <v>4082</v>
      </c>
      <c r="D31" s="783" t="s">
        <v>115</v>
      </c>
      <c r="E31" s="820">
        <f>+SUM(E26:E30)</f>
        <v>294587.42403850728</v>
      </c>
      <c r="F31" s="651"/>
      <c r="G31" s="651"/>
      <c r="H31" s="651"/>
      <c r="I31" s="651"/>
      <c r="J31" s="651"/>
      <c r="K31" s="777">
        <f>+SUM(K26:K30)</f>
        <v>294587.42403850728</v>
      </c>
      <c r="L31" s="651"/>
      <c r="M31" s="651"/>
      <c r="N31" s="651"/>
      <c r="O31" s="651"/>
      <c r="P31" s="651"/>
      <c r="Q31" s="651"/>
      <c r="R31" s="668"/>
    </row>
    <row r="32" spans="2:21">
      <c r="B32" s="693">
        <v>20</v>
      </c>
      <c r="C32" s="534"/>
      <c r="D32" s="783"/>
      <c r="E32" s="818"/>
      <c r="F32" s="651"/>
      <c r="G32" s="653"/>
      <c r="H32" s="651"/>
      <c r="I32" s="651"/>
      <c r="J32" s="651"/>
      <c r="K32" s="651"/>
      <c r="L32" s="651"/>
      <c r="M32" s="651"/>
      <c r="N32" s="651"/>
      <c r="O32" s="651"/>
      <c r="P32" s="651"/>
      <c r="Q32" s="651"/>
      <c r="R32" s="668"/>
      <c r="T32" t="s">
        <v>8462</v>
      </c>
      <c r="U32" s="1586">
        <f>+'Accounting Schedule B-7'!R420+'Accounting Schedule B-7'!R421</f>
        <v>1249165.66237</v>
      </c>
    </row>
    <row r="33" spans="2:21">
      <c r="B33" s="693">
        <v>21</v>
      </c>
      <c r="C33" s="534" t="s">
        <v>4173</v>
      </c>
      <c r="D33" s="783" t="s">
        <v>4071</v>
      </c>
      <c r="E33" s="819">
        <f>+SUM(F33:R33)</f>
        <v>385.73180000000002</v>
      </c>
      <c r="F33" s="651"/>
      <c r="G33" s="651"/>
      <c r="H33" s="651"/>
      <c r="I33" s="651"/>
      <c r="J33" s="651"/>
      <c r="K33" s="651"/>
      <c r="L33" s="777">
        <f>+'0 MDS'!D24</f>
        <v>385.73180000000002</v>
      </c>
      <c r="M33" s="651"/>
      <c r="N33" s="651"/>
      <c r="O33" s="651"/>
      <c r="P33" s="651"/>
      <c r="Q33" s="651"/>
      <c r="R33" s="668"/>
      <c r="T33" t="s">
        <v>8461</v>
      </c>
      <c r="U33" s="1639">
        <f>+E38</f>
        <v>811064.56137000001</v>
      </c>
    </row>
    <row r="34" spans="2:21">
      <c r="B34" s="693">
        <v>22</v>
      </c>
      <c r="C34" s="534" t="s">
        <v>4084</v>
      </c>
      <c r="D34" s="783" t="s">
        <v>4067</v>
      </c>
      <c r="E34" s="819">
        <f>+SUM(F34:R34)</f>
        <v>753246.56163162598</v>
      </c>
      <c r="F34" s="651"/>
      <c r="G34" s="651"/>
      <c r="H34" s="651"/>
      <c r="I34" s="651"/>
      <c r="J34" s="651"/>
      <c r="K34" s="651"/>
      <c r="L34" s="42">
        <f>+'0 MDS'!K25</f>
        <v>753246.56163162598</v>
      </c>
      <c r="M34" s="651"/>
      <c r="N34" s="651"/>
      <c r="O34" s="651"/>
      <c r="P34" s="651"/>
      <c r="Q34" s="651"/>
      <c r="R34" s="668"/>
      <c r="U34" s="516">
        <f>+U32-U33</f>
        <v>438101.10100000002</v>
      </c>
    </row>
    <row r="35" spans="2:21">
      <c r="B35" s="693">
        <v>23</v>
      </c>
      <c r="C35" s="631" t="s">
        <v>4085</v>
      </c>
      <c r="D35" s="783" t="s">
        <v>4071</v>
      </c>
      <c r="E35" s="819">
        <f>+SUM(F35:R35)</f>
        <v>0</v>
      </c>
      <c r="F35" s="651"/>
      <c r="G35" s="651"/>
      <c r="H35" s="651"/>
      <c r="I35" s="651"/>
      <c r="J35" s="651"/>
      <c r="K35" s="651"/>
      <c r="L35" s="42">
        <f>+'0 MDS'!J25</f>
        <v>0</v>
      </c>
      <c r="M35" s="651"/>
      <c r="N35" s="651"/>
      <c r="O35" s="651"/>
      <c r="P35" s="651"/>
      <c r="Q35" s="651"/>
      <c r="R35" s="668"/>
      <c r="T35" t="s">
        <v>8454</v>
      </c>
      <c r="U35" s="1586">
        <f>-SUM('SPP ADJ T&amp;D'!$H$14:H15)/1000</f>
        <v>-438101.10100000002</v>
      </c>
    </row>
    <row r="36" spans="2:21">
      <c r="B36" s="693">
        <v>24</v>
      </c>
      <c r="C36" s="534" t="s">
        <v>4086</v>
      </c>
      <c r="D36" s="783" t="s">
        <v>4067</v>
      </c>
      <c r="E36" s="819">
        <f>+SUM(F36:R36)</f>
        <v>57432.267938374134</v>
      </c>
      <c r="F36" s="651"/>
      <c r="G36" s="651"/>
      <c r="H36" s="651"/>
      <c r="I36" s="651"/>
      <c r="J36" s="651"/>
      <c r="K36" s="651"/>
      <c r="L36" s="42">
        <f>+'0 MDS'!K24</f>
        <v>57432.267938374134</v>
      </c>
      <c r="M36" s="651"/>
      <c r="N36" s="651"/>
      <c r="O36" s="651"/>
      <c r="P36" s="651"/>
      <c r="Q36" s="651"/>
      <c r="R36" s="668"/>
      <c r="T36" s="297" t="s">
        <v>8439</v>
      </c>
      <c r="U36" s="1639">
        <f>+G36</f>
        <v>0</v>
      </c>
    </row>
    <row r="37" spans="2:21">
      <c r="B37" s="693">
        <v>25</v>
      </c>
      <c r="C37" s="631" t="s">
        <v>4087</v>
      </c>
      <c r="D37" s="783" t="s">
        <v>4071</v>
      </c>
      <c r="E37" s="731">
        <f>+SUM(F37:R37)</f>
        <v>0</v>
      </c>
      <c r="F37" s="651"/>
      <c r="G37" s="651"/>
      <c r="H37" s="651"/>
      <c r="I37" s="651"/>
      <c r="J37" s="651"/>
      <c r="K37" s="651"/>
      <c r="L37" s="439">
        <f>+'0 MDS'!J24</f>
        <v>0</v>
      </c>
      <c r="M37" s="651"/>
      <c r="N37" s="651"/>
      <c r="O37" s="651"/>
      <c r="P37" s="651"/>
      <c r="Q37" s="651"/>
      <c r="R37" s="668"/>
      <c r="U37" s="1640">
        <f>+SUM(U34:U36)</f>
        <v>0</v>
      </c>
    </row>
    <row r="38" spans="2:21">
      <c r="B38" s="693">
        <v>26</v>
      </c>
      <c r="C38" s="534" t="s">
        <v>4088</v>
      </c>
      <c r="D38" s="783" t="s">
        <v>115</v>
      </c>
      <c r="E38" s="820">
        <f>+SUM(E33:E37)</f>
        <v>811064.56137000001</v>
      </c>
      <c r="F38" s="651"/>
      <c r="G38" s="651"/>
      <c r="H38" s="651"/>
      <c r="I38" s="651"/>
      <c r="J38" s="651"/>
      <c r="K38" s="651"/>
      <c r="L38" s="774">
        <f>+SUM(L33:L37)</f>
        <v>811064.56137000001</v>
      </c>
      <c r="M38" s="651"/>
      <c r="N38" s="651"/>
      <c r="O38" s="651"/>
      <c r="P38" s="651"/>
      <c r="Q38" s="651"/>
      <c r="R38" s="668"/>
    </row>
    <row r="39" spans="2:21">
      <c r="B39" s="693">
        <v>27</v>
      </c>
      <c r="C39" s="534"/>
      <c r="D39" s="783"/>
      <c r="E39" s="818"/>
      <c r="F39" s="651"/>
      <c r="G39" s="651"/>
      <c r="H39" s="651"/>
      <c r="I39" s="651"/>
      <c r="J39" s="651"/>
      <c r="K39" s="651"/>
      <c r="L39" s="651"/>
      <c r="M39" s="651"/>
      <c r="N39" s="651"/>
      <c r="O39" s="651"/>
      <c r="P39" s="651"/>
      <c r="Q39" s="651"/>
      <c r="R39" s="668"/>
      <c r="T39" t="s">
        <v>8463</v>
      </c>
      <c r="U39" s="1586">
        <f>+'Accounting Schedule B-7'!R422</f>
        <v>1040688.1980399999</v>
      </c>
    </row>
    <row r="40" spans="2:21">
      <c r="B40" s="693">
        <v>28</v>
      </c>
      <c r="C40" s="534" t="s">
        <v>4089</v>
      </c>
      <c r="D40" s="783" t="s">
        <v>4071</v>
      </c>
      <c r="E40" s="819">
        <f>+SUM(F40:R40)</f>
        <v>0</v>
      </c>
      <c r="F40" s="651"/>
      <c r="G40" s="651"/>
      <c r="H40" s="651"/>
      <c r="I40" s="651"/>
      <c r="J40" s="651"/>
      <c r="K40" s="651"/>
      <c r="L40" s="651"/>
      <c r="M40" s="42">
        <f>+'0 MDS'!D34</f>
        <v>0</v>
      </c>
      <c r="N40" s="651"/>
      <c r="O40" s="651"/>
      <c r="P40" s="651"/>
      <c r="Q40" s="651"/>
      <c r="R40" s="668"/>
      <c r="T40" t="s">
        <v>8464</v>
      </c>
      <c r="U40" s="1639">
        <f>+E45</f>
        <v>998079.55104320124</v>
      </c>
    </row>
    <row r="41" spans="2:21">
      <c r="B41" s="693">
        <v>29</v>
      </c>
      <c r="C41" s="631" t="s">
        <v>4174</v>
      </c>
      <c r="D41" s="783" t="s">
        <v>4067</v>
      </c>
      <c r="E41" s="819">
        <f>+SUM(F41:R41)</f>
        <v>164150.18467445605</v>
      </c>
      <c r="F41" s="651"/>
      <c r="G41" s="651"/>
      <c r="H41" s="651"/>
      <c r="I41" s="651"/>
      <c r="J41" s="651"/>
      <c r="K41" s="651"/>
      <c r="L41" s="651"/>
      <c r="M41" s="42">
        <f>+'0 MDS'!K35</f>
        <v>164150.18467445605</v>
      </c>
      <c r="N41" s="651"/>
      <c r="O41" s="651"/>
      <c r="P41" s="651"/>
      <c r="Q41" s="651"/>
      <c r="R41" s="668"/>
      <c r="U41" s="516">
        <f>+U39-U40</f>
        <v>42608.646996798692</v>
      </c>
    </row>
    <row r="42" spans="2:21">
      <c r="B42" s="693">
        <v>30</v>
      </c>
      <c r="C42" s="631" t="s">
        <v>4175</v>
      </c>
      <c r="D42" s="776" t="s">
        <v>4071</v>
      </c>
      <c r="E42" s="819">
        <f>+SUM(F42:R42)</f>
        <v>0</v>
      </c>
      <c r="F42" s="651"/>
      <c r="G42" s="651"/>
      <c r="H42" s="651"/>
      <c r="I42" s="651"/>
      <c r="J42" s="651"/>
      <c r="K42" s="651"/>
      <c r="L42" s="651"/>
      <c r="M42" s="42">
        <f>+'0 MDS'!J35</f>
        <v>0</v>
      </c>
      <c r="N42" s="651"/>
      <c r="O42" s="651"/>
      <c r="P42" s="651"/>
      <c r="Q42" s="651"/>
      <c r="R42" s="668"/>
      <c r="T42" t="s">
        <v>8454</v>
      </c>
      <c r="U42" s="1586">
        <f>-'SPP ADJ T&amp;D'!$H$16/1000</f>
        <v>-42608.646999999997</v>
      </c>
    </row>
    <row r="43" spans="2:21">
      <c r="B43" s="693">
        <v>31</v>
      </c>
      <c r="C43" s="631" t="s">
        <v>4176</v>
      </c>
      <c r="D43" s="776" t="s">
        <v>4067</v>
      </c>
      <c r="E43" s="819">
        <f>+SUM(F43:R43)</f>
        <v>833929.36636874522</v>
      </c>
      <c r="F43" s="651"/>
      <c r="G43" s="651"/>
      <c r="H43" s="651"/>
      <c r="I43" s="651"/>
      <c r="J43" s="651"/>
      <c r="K43" s="651"/>
      <c r="L43" s="651"/>
      <c r="M43" s="42">
        <f>+'0 MDS'!K34</f>
        <v>833929.36636874522</v>
      </c>
      <c r="N43" s="651"/>
      <c r="O43" s="651"/>
      <c r="P43" s="651"/>
      <c r="Q43" s="651"/>
      <c r="R43" s="668"/>
      <c r="T43" s="297" t="s">
        <v>8439</v>
      </c>
      <c r="U43" s="1639">
        <f>+G43</f>
        <v>0</v>
      </c>
    </row>
    <row r="44" spans="2:21">
      <c r="B44" s="693">
        <v>32</v>
      </c>
      <c r="C44" s="631" t="s">
        <v>4177</v>
      </c>
      <c r="D44" s="776" t="s">
        <v>4071</v>
      </c>
      <c r="E44" s="731">
        <f>+SUM(F44:R44)</f>
        <v>0</v>
      </c>
      <c r="F44" s="651"/>
      <c r="G44" s="651"/>
      <c r="H44" s="651"/>
      <c r="I44" s="651"/>
      <c r="J44" s="651"/>
      <c r="K44" s="651"/>
      <c r="L44" s="651"/>
      <c r="M44" s="439">
        <f>+'0 MDS'!J34</f>
        <v>0</v>
      </c>
      <c r="N44" s="651"/>
      <c r="O44" s="651"/>
      <c r="P44" s="651"/>
      <c r="Q44" s="651"/>
      <c r="R44" s="668"/>
      <c r="U44" s="1640">
        <f>+SUM(U41:U43)</f>
        <v>-3.2013049349188805E-6</v>
      </c>
    </row>
    <row r="45" spans="2:21">
      <c r="B45" s="693">
        <v>33</v>
      </c>
      <c r="C45" s="534" t="s">
        <v>4090</v>
      </c>
      <c r="D45" s="783" t="s">
        <v>115</v>
      </c>
      <c r="E45" s="820">
        <f>+SUM(E40:E44)</f>
        <v>998079.55104320124</v>
      </c>
      <c r="F45" s="651"/>
      <c r="G45" s="651"/>
      <c r="H45" s="651"/>
      <c r="I45" s="651"/>
      <c r="J45" s="651"/>
      <c r="K45" s="651"/>
      <c r="L45" s="651"/>
      <c r="M45" s="651">
        <f>+SUM(M40:M44)</f>
        <v>998079.55104320124</v>
      </c>
      <c r="N45" s="651"/>
      <c r="O45" s="651"/>
      <c r="P45" s="651"/>
      <c r="Q45" s="651"/>
      <c r="R45" s="668"/>
    </row>
    <row r="46" spans="2:21">
      <c r="B46" s="693">
        <v>34</v>
      </c>
      <c r="C46" s="534"/>
      <c r="D46" s="783"/>
      <c r="E46" s="818"/>
      <c r="F46" s="651"/>
      <c r="G46" s="651"/>
      <c r="H46" s="651"/>
      <c r="I46" s="651"/>
      <c r="J46" s="651"/>
      <c r="K46" s="651"/>
      <c r="L46" s="651"/>
      <c r="M46" s="651"/>
      <c r="N46" s="651"/>
      <c r="O46" s="651"/>
      <c r="P46" s="651"/>
      <c r="Q46" s="651"/>
      <c r="R46" s="668"/>
      <c r="T46" t="s">
        <v>8465</v>
      </c>
      <c r="U46" s="1586">
        <f>+SUM('Accounting Schedule B-7'!R423:R429)</f>
        <v>805490.96192999999</v>
      </c>
    </row>
    <row r="47" spans="2:21">
      <c r="B47" s="693">
        <v>35</v>
      </c>
      <c r="C47" s="534" t="s">
        <v>4091</v>
      </c>
      <c r="D47" s="783" t="s">
        <v>4071</v>
      </c>
      <c r="E47" s="819">
        <f>+SUM(F47:R47)</f>
        <v>228413.06716999999</v>
      </c>
      <c r="F47" s="651"/>
      <c r="G47" s="651"/>
      <c r="H47" s="651"/>
      <c r="I47" s="651"/>
      <c r="J47" s="651"/>
      <c r="K47" s="651"/>
      <c r="L47" s="651"/>
      <c r="M47" s="651"/>
      <c r="N47" s="651">
        <f>(+SUMIFS('300s - 5 Digit FERC Accounts'!D:D,'300s - 5 Digit FERC Accounts'!B:B,36900)/1000)-('SPP ADJ T&amp;D'!H17/1000)</f>
        <v>74342.805049999995</v>
      </c>
      <c r="O47" s="651">
        <f>(+SUMIFS('300s - 5 Digit FERC Accounts'!D:D,'300s - 5 Digit FERC Accounts'!B:B,36902)/1000)-('SPP ADJ T&amp;D'!H18/1000)</f>
        <v>154070.26212</v>
      </c>
      <c r="P47" s="651"/>
      <c r="Q47" s="651"/>
      <c r="R47" s="668"/>
      <c r="T47" t="s">
        <v>8466</v>
      </c>
      <c r="U47" s="1639">
        <f>+SUM(E47:E50)</f>
        <v>793243.60492999991</v>
      </c>
    </row>
    <row r="48" spans="2:21">
      <c r="B48" s="693">
        <v>36</v>
      </c>
      <c r="C48" s="534" t="s">
        <v>4092</v>
      </c>
      <c r="D48" s="783" t="s">
        <v>4071</v>
      </c>
      <c r="E48" s="819">
        <f>+SUM(F48:R48)</f>
        <v>149851.91621000002</v>
      </c>
      <c r="F48" s="651"/>
      <c r="G48" s="651"/>
      <c r="H48" s="651"/>
      <c r="I48" s="651"/>
      <c r="J48" s="651"/>
      <c r="K48" s="651"/>
      <c r="L48" s="651"/>
      <c r="M48" s="651"/>
      <c r="N48" s="651"/>
      <c r="O48" s="651"/>
      <c r="P48" s="651">
        <f>(+SUMIFS('300s - 5 Digit FERC Accounts'!D:D,'300s - 5 Digit FERC Accounts'!B:B,37000)/1000)+(+SUMIFS('300s - 5 Digit FERC Accounts'!D:D,'300s - 5 Digit FERC Accounts'!B:B,37001)/1000)+(+SUMIFS('300s - 5 Digit FERC Accounts'!D:D,'300s - 5 Digit FERC Accounts'!B:B,37010)/1000)-('SPP ADJ T&amp;D'!H19/1000)</f>
        <v>149851.91621000002</v>
      </c>
      <c r="Q48" s="651"/>
      <c r="R48" s="668"/>
      <c r="U48" s="516">
        <f>+U46-U47</f>
        <v>12247.357000000076</v>
      </c>
    </row>
    <row r="49" spans="2:21">
      <c r="B49" s="693">
        <v>37</v>
      </c>
      <c r="C49" s="534" t="s">
        <v>9138</v>
      </c>
      <c r="D49" s="1726" t="s">
        <v>4071</v>
      </c>
      <c r="E49" s="1727">
        <f>+SUM(F49:R49)</f>
        <v>0</v>
      </c>
      <c r="F49" s="651"/>
      <c r="G49" s="651"/>
      <c r="H49" s="651"/>
      <c r="I49" s="651"/>
      <c r="J49" s="651"/>
      <c r="K49" s="651"/>
      <c r="L49" s="651"/>
      <c r="M49" s="651"/>
      <c r="N49" s="651"/>
      <c r="O49" s="651"/>
      <c r="P49" s="651"/>
      <c r="Q49" s="651">
        <f>(+SUMIFS('300s - 5 Digit FERC Accounts'!D:D,'300s - 5 Digit FERC Accounts'!B:B,37100)/1000)</f>
        <v>0</v>
      </c>
      <c r="R49" s="668"/>
      <c r="T49" t="s">
        <v>8454</v>
      </c>
      <c r="U49" s="1586">
        <f>-SUM('SPP ADJ T&amp;D'!$H$17:H21)/1000</f>
        <v>-12247.357</v>
      </c>
    </row>
    <row r="50" spans="2:21">
      <c r="B50" s="693">
        <v>38</v>
      </c>
      <c r="C50" s="785" t="s">
        <v>4093</v>
      </c>
      <c r="D50" s="783" t="s">
        <v>4071</v>
      </c>
      <c r="E50" s="731">
        <f>+SUM(F50:R50)</f>
        <v>414978.62154999998</v>
      </c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670">
        <f>(+SUMIFS('300s - 5 Digit FERC Accounts'!D:D,'300s - 5 Digit FERC Accounts'!B:B,37300)/1000)+(+SUMIFS('300s - 5 Digit FERC Accounts'!D:D,'300s - 5 Digit FERC Accounts'!B:B,37302)/1000)-('SPP ADJ T&amp;D'!H21/1000)</f>
        <v>414978.62154999998</v>
      </c>
      <c r="T50" s="297" t="s">
        <v>8439</v>
      </c>
      <c r="U50" s="1639">
        <f>+G50</f>
        <v>0</v>
      </c>
    </row>
    <row r="51" spans="2:21">
      <c r="B51" s="693">
        <v>39</v>
      </c>
      <c r="C51" s="540"/>
      <c r="D51" s="786"/>
      <c r="E51" s="821"/>
      <c r="F51" s="651"/>
      <c r="G51" s="651"/>
      <c r="H51" s="651"/>
      <c r="I51" s="651"/>
      <c r="J51" s="651"/>
      <c r="K51" s="651"/>
      <c r="L51" s="651"/>
      <c r="M51" s="651"/>
      <c r="N51" s="651"/>
      <c r="O51" s="651"/>
      <c r="P51" s="651"/>
      <c r="Q51" s="651"/>
      <c r="R51" s="668"/>
      <c r="U51" s="1640">
        <f>+SUM(U48:U50)</f>
        <v>7.6397554948925972E-11</v>
      </c>
    </row>
    <row r="52" spans="2:21">
      <c r="B52" s="693">
        <v>40</v>
      </c>
      <c r="C52" s="534" t="s">
        <v>4094</v>
      </c>
      <c r="D52" s="783" t="s">
        <v>4067</v>
      </c>
      <c r="E52" s="818">
        <f>+SUMIFS(E14:E50,D14:D50,D52)</f>
        <v>2858628.3006293303</v>
      </c>
      <c r="F52" s="651">
        <f>+SUMIFS(F$14:F$50,$D$14:$D$50,$D$52)</f>
        <v>0</v>
      </c>
      <c r="G52" s="651">
        <f>+SUMIFS(G$14:G$50,$D$14:$D$50,$D$52)</f>
        <v>10119.782539999998</v>
      </c>
      <c r="H52" s="651">
        <f t="shared" ref="H52:R52" si="0">+SUMIFS(H$14:H$50,$D$14:$D$50,$D$52)</f>
        <v>33935.685829999995</v>
      </c>
      <c r="I52" s="651">
        <f t="shared" si="0"/>
        <v>324383.01922000002</v>
      </c>
      <c r="J52" s="651">
        <f t="shared" si="0"/>
        <v>391386.91439457599</v>
      </c>
      <c r="K52" s="651">
        <f t="shared" si="0"/>
        <v>290044.51803155302</v>
      </c>
      <c r="L52" s="651">
        <f t="shared" si="0"/>
        <v>810678.82957000006</v>
      </c>
      <c r="M52" s="651">
        <f t="shared" si="0"/>
        <v>998079.55104320124</v>
      </c>
      <c r="N52" s="651">
        <f t="shared" si="0"/>
        <v>0</v>
      </c>
      <c r="O52" s="651">
        <f t="shared" si="0"/>
        <v>0</v>
      </c>
      <c r="P52" s="651">
        <f t="shared" si="0"/>
        <v>0</v>
      </c>
      <c r="Q52" s="651">
        <f t="shared" si="0"/>
        <v>0</v>
      </c>
      <c r="R52" s="668">
        <f t="shared" si="0"/>
        <v>0</v>
      </c>
    </row>
    <row r="53" spans="2:21">
      <c r="B53" s="693">
        <v>41</v>
      </c>
      <c r="C53" s="785" t="s">
        <v>4094</v>
      </c>
      <c r="D53" s="787" t="s">
        <v>4071</v>
      </c>
      <c r="E53" s="573">
        <f>+SUMIFS(E14:E50,D14:D50,D53)</f>
        <v>830246.67682678136</v>
      </c>
      <c r="F53" s="822">
        <f>+SUMIFS(F$14:F$50,$D$14:$D$50,$D$53)</f>
        <v>0</v>
      </c>
      <c r="G53" s="537">
        <f>+SUMIFS(G$14:G$50,$D$14:$D$50,$D$53)</f>
        <v>0</v>
      </c>
      <c r="H53" s="537">
        <f t="shared" ref="H53:R53" si="1">+SUMIFS(H$14:H$50,$D$14:$D$50,$D$53)</f>
        <v>0</v>
      </c>
      <c r="I53" s="537">
        <f t="shared" si="1"/>
        <v>0</v>
      </c>
      <c r="J53" s="537">
        <f t="shared" si="1"/>
        <v>32074.434089827188</v>
      </c>
      <c r="K53" s="537">
        <f t="shared" si="1"/>
        <v>4542.9060069542402</v>
      </c>
      <c r="L53" s="537">
        <f t="shared" si="1"/>
        <v>385.73180000000002</v>
      </c>
      <c r="M53" s="537">
        <f t="shared" si="1"/>
        <v>0</v>
      </c>
      <c r="N53" s="537">
        <f t="shared" si="1"/>
        <v>74342.805049999995</v>
      </c>
      <c r="O53" s="537">
        <f t="shared" si="1"/>
        <v>154070.26212</v>
      </c>
      <c r="P53" s="537">
        <f t="shared" si="1"/>
        <v>149851.91621000002</v>
      </c>
      <c r="Q53" s="537">
        <f t="shared" si="1"/>
        <v>0</v>
      </c>
      <c r="R53" s="670">
        <f t="shared" si="1"/>
        <v>414978.62154999998</v>
      </c>
      <c r="T53" t="s">
        <v>8427</v>
      </c>
      <c r="U53" s="1586">
        <f>+SUM(U11,U18,U25,U32,U39,U46)-U4</f>
        <v>0</v>
      </c>
    </row>
    <row r="54" spans="2:21">
      <c r="B54" s="693">
        <v>42</v>
      </c>
      <c r="C54" s="328"/>
      <c r="D54" s="328"/>
      <c r="E54" s="570"/>
      <c r="F54" s="651"/>
      <c r="G54" s="651"/>
      <c r="H54" s="651"/>
      <c r="I54" s="651"/>
      <c r="J54" s="651"/>
      <c r="K54" s="651"/>
      <c r="L54" s="651"/>
      <c r="M54" s="651"/>
      <c r="N54" s="651"/>
      <c r="O54" s="651"/>
      <c r="P54" s="651"/>
      <c r="Q54" s="651"/>
      <c r="R54" s="668"/>
      <c r="T54" t="s">
        <v>8426</v>
      </c>
      <c r="U54" s="1639">
        <f>+SUM(U12,U19,U26,U33,U40,U47)-U5</f>
        <v>0</v>
      </c>
    </row>
    <row r="55" spans="2:21" ht="15" thickBot="1">
      <c r="B55" s="693">
        <v>43</v>
      </c>
      <c r="C55" s="328" t="s">
        <v>2543</v>
      </c>
      <c r="D55" s="548" t="s">
        <v>115</v>
      </c>
      <c r="E55" s="576">
        <f>+SUM(E52:E53)</f>
        <v>3688874.9774561115</v>
      </c>
      <c r="F55" s="788">
        <f>+SUM(F52:F53)</f>
        <v>0</v>
      </c>
      <c r="G55" s="788">
        <f t="shared" ref="G55:R55" si="2">+SUM(G52:G53)</f>
        <v>10119.782539999998</v>
      </c>
      <c r="H55" s="788">
        <f t="shared" si="2"/>
        <v>33935.685829999995</v>
      </c>
      <c r="I55" s="788">
        <f t="shared" si="2"/>
        <v>324383.01922000002</v>
      </c>
      <c r="J55" s="788">
        <f t="shared" si="2"/>
        <v>423461.34848440316</v>
      </c>
      <c r="K55" s="788">
        <f t="shared" si="2"/>
        <v>294587.42403850728</v>
      </c>
      <c r="L55" s="788">
        <f t="shared" si="2"/>
        <v>811064.56137000001</v>
      </c>
      <c r="M55" s="788">
        <f t="shared" si="2"/>
        <v>998079.55104320124</v>
      </c>
      <c r="N55" s="788">
        <f t="shared" si="2"/>
        <v>74342.805049999995</v>
      </c>
      <c r="O55" s="788">
        <f t="shared" si="2"/>
        <v>154070.26212</v>
      </c>
      <c r="P55" s="788">
        <f t="shared" si="2"/>
        <v>149851.91621000002</v>
      </c>
      <c r="Q55" s="788">
        <f t="shared" si="2"/>
        <v>0</v>
      </c>
      <c r="R55" s="789">
        <f t="shared" si="2"/>
        <v>414978.62154999998</v>
      </c>
      <c r="U55" s="516">
        <f>+U53-U54</f>
        <v>0</v>
      </c>
    </row>
    <row r="56" spans="2:21" ht="15" thickTop="1">
      <c r="B56" s="693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536"/>
      <c r="T56" t="s">
        <v>8454</v>
      </c>
      <c r="U56" s="1586">
        <f>+SUM(U14,U21,U28,U35,U42,U49)-U7</f>
        <v>0</v>
      </c>
    </row>
    <row r="57" spans="2:21">
      <c r="B57" s="639"/>
      <c r="C57" s="546"/>
      <c r="D57" s="546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7"/>
      <c r="T57" s="297" t="s">
        <v>8439</v>
      </c>
      <c r="U57" s="1639">
        <f>+SUM(U15,U22,U29,U36,U43,U50)-U8</f>
        <v>0</v>
      </c>
    </row>
    <row r="58" spans="2:21" ht="15" thickBot="1">
      <c r="B58" s="328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U58" s="1640">
        <f>+SUM(U55:U57)</f>
        <v>0</v>
      </c>
    </row>
    <row r="59" spans="2:21">
      <c r="B59" s="699"/>
      <c r="C59" s="633"/>
      <c r="D59" s="633"/>
      <c r="E59" s="633"/>
      <c r="F59" s="633"/>
      <c r="G59" s="633"/>
      <c r="H59" s="633"/>
      <c r="I59" s="701"/>
      <c r="J59" s="633"/>
      <c r="K59" s="633"/>
      <c r="L59" s="633"/>
      <c r="M59" s="633"/>
      <c r="N59" s="633"/>
      <c r="O59" s="633"/>
      <c r="P59" s="633"/>
      <c r="Q59" s="633"/>
      <c r="R59" s="634"/>
    </row>
    <row r="60" spans="2:21">
      <c r="B60" s="778" t="s">
        <v>4095</v>
      </c>
      <c r="C60" s="413"/>
      <c r="D60" s="638"/>
      <c r="E60" s="328"/>
      <c r="F60" s="328"/>
      <c r="G60" s="328"/>
      <c r="H60" s="328"/>
      <c r="I60" s="467"/>
      <c r="J60" s="328"/>
      <c r="K60" s="328"/>
      <c r="L60" s="328"/>
      <c r="M60" s="328"/>
      <c r="N60" s="328"/>
      <c r="O60" s="328"/>
      <c r="P60" s="328"/>
      <c r="Q60" s="328"/>
      <c r="R60" s="635"/>
    </row>
    <row r="61" spans="2:21">
      <c r="B61" s="642"/>
      <c r="C61" s="328"/>
      <c r="D61" s="328"/>
      <c r="E61" s="3134" t="s">
        <v>4096</v>
      </c>
      <c r="F61" s="3135"/>
      <c r="G61" s="3136"/>
      <c r="H61" s="328"/>
      <c r="I61" s="3134" t="s">
        <v>4097</v>
      </c>
      <c r="J61" s="3135"/>
      <c r="K61" s="3136"/>
      <c r="L61" s="328"/>
      <c r="M61" s="328"/>
      <c r="N61" s="328"/>
      <c r="O61" s="328"/>
      <c r="P61" s="328"/>
      <c r="Q61" s="328"/>
      <c r="R61" s="635"/>
    </row>
    <row r="62" spans="2:21" ht="27">
      <c r="B62" s="779" t="s">
        <v>4098</v>
      </c>
      <c r="C62" s="62" t="s">
        <v>4099</v>
      </c>
      <c r="D62" s="328"/>
      <c r="E62" s="627" t="s">
        <v>4100</v>
      </c>
      <c r="F62" s="627" t="s">
        <v>4101</v>
      </c>
      <c r="G62" s="627" t="s">
        <v>4102</v>
      </c>
      <c r="H62" s="328"/>
      <c r="I62" s="627" t="s">
        <v>4100</v>
      </c>
      <c r="J62" s="627" t="s">
        <v>4103</v>
      </c>
      <c r="K62" s="627" t="s">
        <v>4104</v>
      </c>
      <c r="L62" s="328"/>
      <c r="M62" s="328"/>
      <c r="N62" s="328"/>
      <c r="O62" s="328"/>
      <c r="P62" s="328"/>
      <c r="Q62" s="328"/>
      <c r="R62" s="635"/>
    </row>
    <row r="63" spans="2:21">
      <c r="B63" s="642"/>
      <c r="C63" s="62"/>
      <c r="D63" s="96" t="s">
        <v>4050</v>
      </c>
      <c r="E63" s="651">
        <f>+E24</f>
        <v>423461.34848440316</v>
      </c>
      <c r="F63" s="467">
        <f>+E63</f>
        <v>423461.34848440316</v>
      </c>
      <c r="G63" s="29">
        <v>0</v>
      </c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635"/>
    </row>
    <row r="64" spans="2:21">
      <c r="B64" s="642"/>
      <c r="C64" s="62"/>
      <c r="D64" s="96" t="s">
        <v>4105</v>
      </c>
      <c r="E64" s="651">
        <f>+E31</f>
        <v>294587.42403850728</v>
      </c>
      <c r="F64" s="467">
        <f>+E64</f>
        <v>294587.42403850728</v>
      </c>
      <c r="G64" s="29">
        <v>0</v>
      </c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635"/>
    </row>
    <row r="65" spans="2:18">
      <c r="B65" s="642"/>
      <c r="C65" s="62"/>
      <c r="D65" s="96" t="s">
        <v>4106</v>
      </c>
      <c r="E65" s="537">
        <f>+E38</f>
        <v>811064.56137000001</v>
      </c>
      <c r="F65" s="823">
        <v>0</v>
      </c>
      <c r="G65" s="790">
        <f>+E65</f>
        <v>811064.56137000001</v>
      </c>
      <c r="H65" s="328"/>
      <c r="I65" s="546"/>
      <c r="J65" s="546"/>
      <c r="K65" s="546"/>
      <c r="L65" s="328"/>
      <c r="M65" s="328"/>
      <c r="N65" s="328"/>
      <c r="O65" s="328"/>
      <c r="P65" s="328"/>
      <c r="Q65" s="328"/>
      <c r="R65" s="635"/>
    </row>
    <row r="66" spans="2:18">
      <c r="B66" s="642"/>
      <c r="C66" s="62"/>
      <c r="D66" s="328"/>
      <c r="E66" s="467">
        <f>+SUM(E63:E65)</f>
        <v>1529113.3338929105</v>
      </c>
      <c r="F66" s="467">
        <f>+SUM(F63:F65)</f>
        <v>718048.7725229105</v>
      </c>
      <c r="G66" s="467">
        <f>+SUM(G63:G65)</f>
        <v>811064.56137000001</v>
      </c>
      <c r="H66" s="328"/>
      <c r="I66" s="791">
        <f>+E47</f>
        <v>228413.06716999999</v>
      </c>
      <c r="J66" s="467">
        <f>+I66*F67</f>
        <v>107259.36323637994</v>
      </c>
      <c r="K66" s="467">
        <f>+I66*G67</f>
        <v>121153.70393362005</v>
      </c>
      <c r="L66" s="328"/>
      <c r="M66" s="328"/>
      <c r="N66" s="328"/>
      <c r="O66" s="328"/>
      <c r="P66" s="328"/>
      <c r="Q66" s="328"/>
      <c r="R66" s="635"/>
    </row>
    <row r="67" spans="2:18">
      <c r="B67" s="642"/>
      <c r="C67" s="62" t="s">
        <v>4107</v>
      </c>
      <c r="D67" s="328"/>
      <c r="E67" s="328"/>
      <c r="F67" s="792">
        <f>+F66/E66</f>
        <v>0.46958505730563338</v>
      </c>
      <c r="G67" s="792">
        <f>+G66/E66</f>
        <v>0.53041494269436662</v>
      </c>
      <c r="H67" s="328"/>
      <c r="I67" s="548" t="s">
        <v>4108</v>
      </c>
      <c r="J67" s="792">
        <f>+J66/I66</f>
        <v>0.46958505730563344</v>
      </c>
      <c r="K67" s="792">
        <f>+K66/I66</f>
        <v>0.53041494269436662</v>
      </c>
      <c r="L67" s="328"/>
      <c r="M67" s="328"/>
      <c r="N67" s="328"/>
      <c r="O67" s="328"/>
      <c r="P67" s="328"/>
      <c r="Q67" s="328"/>
      <c r="R67" s="635"/>
    </row>
    <row r="68" spans="2:18">
      <c r="B68" s="793"/>
      <c r="C68" s="514"/>
      <c r="D68" s="546"/>
      <c r="E68" s="546"/>
      <c r="F68" s="546"/>
      <c r="G68" s="546"/>
      <c r="H68" s="546"/>
      <c r="I68" s="546"/>
      <c r="J68" s="546"/>
      <c r="K68" s="546"/>
      <c r="L68" s="546"/>
      <c r="M68" s="546"/>
      <c r="N68" s="546"/>
      <c r="O68" s="546"/>
      <c r="P68" s="546"/>
      <c r="Q68" s="546"/>
      <c r="R68" s="794"/>
    </row>
    <row r="69" spans="2:18">
      <c r="B69" s="642"/>
      <c r="C69" s="62"/>
      <c r="D69" s="328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635"/>
    </row>
    <row r="70" spans="2:18">
      <c r="B70" s="642"/>
      <c r="C70" s="62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635"/>
    </row>
    <row r="71" spans="2:18" ht="40.200000000000003">
      <c r="B71" s="779" t="s">
        <v>4109</v>
      </c>
      <c r="C71" s="62" t="s">
        <v>4110</v>
      </c>
      <c r="D71" s="328"/>
      <c r="E71" s="627" t="s">
        <v>4100</v>
      </c>
      <c r="F71" s="627" t="s">
        <v>4111</v>
      </c>
      <c r="G71" s="627" t="s">
        <v>4112</v>
      </c>
      <c r="H71" s="627" t="s">
        <v>4113</v>
      </c>
      <c r="I71" s="627" t="s">
        <v>4114</v>
      </c>
      <c r="J71" s="780" t="s">
        <v>4115</v>
      </c>
      <c r="K71" s="627" t="s">
        <v>4116</v>
      </c>
      <c r="L71" s="627" t="s">
        <v>4679</v>
      </c>
      <c r="M71" s="328"/>
      <c r="N71" s="328"/>
      <c r="O71" s="328"/>
      <c r="P71" s="328"/>
      <c r="Q71" s="328"/>
      <c r="R71" s="635"/>
    </row>
    <row r="72" spans="2:18">
      <c r="B72" s="642"/>
      <c r="C72" s="62"/>
      <c r="D72" s="96" t="s">
        <v>4050</v>
      </c>
      <c r="E72" s="824">
        <f>+SUM(F72:L72)</f>
        <v>423461.34848440316</v>
      </c>
      <c r="F72" s="825">
        <f>+E19</f>
        <v>32074.434089827188</v>
      </c>
      <c r="G72" s="824">
        <f>+E20</f>
        <v>300991.26661087415</v>
      </c>
      <c r="H72" s="824">
        <f>+E21</f>
        <v>0</v>
      </c>
      <c r="I72" s="824">
        <f>+E22</f>
        <v>90395.647783701817</v>
      </c>
      <c r="J72" s="824">
        <f>+E23</f>
        <v>0</v>
      </c>
      <c r="K72" s="824"/>
      <c r="L72" s="29">
        <v>0</v>
      </c>
      <c r="M72" s="328"/>
      <c r="N72" s="328"/>
      <c r="O72" s="328"/>
      <c r="P72" s="328"/>
      <c r="Q72" s="328"/>
      <c r="R72" s="635"/>
    </row>
    <row r="73" spans="2:18">
      <c r="B73" s="642"/>
      <c r="C73" s="62"/>
      <c r="D73" s="96" t="s">
        <v>4117</v>
      </c>
      <c r="E73" s="824">
        <f>+SUM(F73:L73)</f>
        <v>294587.42403850728</v>
      </c>
      <c r="F73" s="824">
        <f>+E26</f>
        <v>4542.9060069542402</v>
      </c>
      <c r="G73" s="824">
        <f>+E27</f>
        <v>251746.69790571451</v>
      </c>
      <c r="H73" s="824">
        <f>+E28</f>
        <v>0</v>
      </c>
      <c r="I73" s="824">
        <f>+E29</f>
        <v>38297.820125838523</v>
      </c>
      <c r="J73" s="824">
        <f>+E30</f>
        <v>0</v>
      </c>
      <c r="K73" s="824"/>
      <c r="L73" s="29">
        <v>0</v>
      </c>
      <c r="M73" s="328"/>
      <c r="N73" s="328"/>
      <c r="O73" s="328"/>
      <c r="P73" s="328"/>
      <c r="Q73" s="328"/>
      <c r="R73" s="635"/>
    </row>
    <row r="74" spans="2:18">
      <c r="B74" s="642"/>
      <c r="C74" s="62"/>
      <c r="D74" s="96" t="s">
        <v>4118</v>
      </c>
      <c r="E74" s="826">
        <f>+SUM(F74:L74)</f>
        <v>107259.36323637994</v>
      </c>
      <c r="F74" s="826"/>
      <c r="G74" s="826"/>
      <c r="H74" s="826"/>
      <c r="I74" s="826"/>
      <c r="J74" s="826"/>
      <c r="K74" s="826">
        <f>+J66</f>
        <v>107259.36323637994</v>
      </c>
      <c r="L74" s="826"/>
      <c r="M74" s="328"/>
      <c r="N74" s="328"/>
      <c r="O74" s="328"/>
      <c r="P74" s="328"/>
      <c r="Q74" s="328"/>
      <c r="R74" s="635"/>
    </row>
    <row r="75" spans="2:18">
      <c r="B75" s="642"/>
      <c r="C75" s="62"/>
      <c r="D75" s="96" t="s">
        <v>4119</v>
      </c>
      <c r="E75" s="824">
        <f>+SUM(F75:L75)</f>
        <v>825308.13575929042</v>
      </c>
      <c r="F75" s="824">
        <f t="shared" ref="F75:L75" si="3">+SUM(F72:F74)</f>
        <v>36617.34009678143</v>
      </c>
      <c r="G75" s="824">
        <f t="shared" si="3"/>
        <v>552737.96451658872</v>
      </c>
      <c r="H75" s="824">
        <f t="shared" si="3"/>
        <v>0</v>
      </c>
      <c r="I75" s="824">
        <f t="shared" si="3"/>
        <v>128693.46790954034</v>
      </c>
      <c r="J75" s="824">
        <f t="shared" si="3"/>
        <v>0</v>
      </c>
      <c r="K75" s="824">
        <f t="shared" si="3"/>
        <v>107259.36323637994</v>
      </c>
      <c r="L75" s="824">
        <f t="shared" si="3"/>
        <v>0</v>
      </c>
      <c r="M75" s="328"/>
      <c r="N75" s="328"/>
      <c r="O75" s="328"/>
      <c r="P75" s="328"/>
      <c r="Q75" s="328"/>
      <c r="R75" s="635"/>
    </row>
    <row r="76" spans="2:18">
      <c r="B76" s="642"/>
      <c r="C76" s="62"/>
      <c r="D76" s="293" t="s">
        <v>3160</v>
      </c>
      <c r="E76" s="796">
        <f>+SUM(F76:L76)</f>
        <v>1</v>
      </c>
      <c r="F76" s="781">
        <f t="shared" ref="F76:L76" si="4">+F75/$E$75</f>
        <v>4.4368083277275788E-2</v>
      </c>
      <c r="G76" s="781">
        <f t="shared" si="4"/>
        <v>0.6697352668262081</v>
      </c>
      <c r="H76" s="781">
        <f t="shared" si="4"/>
        <v>0</v>
      </c>
      <c r="I76" s="781">
        <f t="shared" si="4"/>
        <v>0.15593384135386146</v>
      </c>
      <c r="J76" s="781">
        <f t="shared" si="4"/>
        <v>0</v>
      </c>
      <c r="K76" s="781">
        <f t="shared" si="4"/>
        <v>0.12996280854265471</v>
      </c>
      <c r="L76" s="781">
        <f t="shared" si="4"/>
        <v>0</v>
      </c>
      <c r="M76" s="328"/>
      <c r="N76" s="328"/>
      <c r="O76" s="328"/>
      <c r="P76" s="328"/>
      <c r="Q76" s="328"/>
      <c r="R76" s="635"/>
    </row>
    <row r="77" spans="2:18">
      <c r="B77" s="642"/>
      <c r="C77" s="62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635"/>
    </row>
    <row r="78" spans="2:18">
      <c r="B78" s="793"/>
      <c r="C78" s="514"/>
      <c r="D78" s="546"/>
      <c r="E78" s="546"/>
      <c r="F78" s="546"/>
      <c r="G78" s="546"/>
      <c r="H78" s="546"/>
      <c r="I78" s="546"/>
      <c r="J78" s="546"/>
      <c r="K78" s="546"/>
      <c r="L78" s="546"/>
      <c r="M78" s="545"/>
      <c r="N78" s="545"/>
      <c r="O78" s="546"/>
      <c r="P78" s="546"/>
      <c r="Q78" s="546"/>
      <c r="R78" s="794"/>
    </row>
    <row r="79" spans="2:18">
      <c r="B79" s="642"/>
      <c r="C79" s="62"/>
      <c r="D79" s="328"/>
      <c r="E79" s="328"/>
      <c r="F79" s="328"/>
      <c r="G79" s="328"/>
      <c r="H79" s="328"/>
      <c r="I79" s="328"/>
      <c r="J79" s="328"/>
      <c r="K79" s="328"/>
      <c r="L79" s="328"/>
      <c r="M79" s="96"/>
      <c r="N79" s="96"/>
      <c r="O79" s="328"/>
      <c r="P79" s="328"/>
      <c r="Q79" s="328"/>
      <c r="R79" s="635"/>
    </row>
    <row r="80" spans="2:18" ht="40.200000000000003">
      <c r="B80" s="779" t="s">
        <v>4120</v>
      </c>
      <c r="C80" s="62" t="s">
        <v>4121</v>
      </c>
      <c r="D80" s="328"/>
      <c r="E80" s="627" t="s">
        <v>4100</v>
      </c>
      <c r="F80" s="627" t="s">
        <v>4111</v>
      </c>
      <c r="G80" s="627" t="s">
        <v>4112</v>
      </c>
      <c r="H80" s="627" t="s">
        <v>4113</v>
      </c>
      <c r="I80" s="627" t="s">
        <v>4114</v>
      </c>
      <c r="J80" s="780" t="s">
        <v>4115</v>
      </c>
      <c r="K80" s="627" t="s">
        <v>4116</v>
      </c>
      <c r="L80" s="290"/>
      <c r="M80" s="328"/>
      <c r="N80" s="42"/>
      <c r="O80" s="797"/>
      <c r="P80" s="548"/>
      <c r="Q80" s="548"/>
      <c r="R80" s="635"/>
    </row>
    <row r="81" spans="2:21">
      <c r="B81" s="642"/>
      <c r="C81" s="62"/>
      <c r="D81" s="96" t="s">
        <v>4058</v>
      </c>
      <c r="E81" s="824">
        <f>+SUM(F81:K81)</f>
        <v>811064.56137000001</v>
      </c>
      <c r="F81" s="824">
        <f>+L33</f>
        <v>385.73180000000002</v>
      </c>
      <c r="G81" s="824">
        <f>+L34</f>
        <v>753246.56163162598</v>
      </c>
      <c r="H81" s="824">
        <f>+L35</f>
        <v>0</v>
      </c>
      <c r="I81" s="824">
        <f>+L36</f>
        <v>57432.267938374134</v>
      </c>
      <c r="J81" s="824">
        <f>+L37</f>
        <v>0</v>
      </c>
      <c r="K81" s="824"/>
      <c r="L81" s="548"/>
      <c r="M81" s="328"/>
      <c r="N81" s="42"/>
      <c r="O81" s="797"/>
      <c r="P81" s="548"/>
      <c r="Q81" s="548"/>
      <c r="R81" s="635"/>
    </row>
    <row r="82" spans="2:21">
      <c r="B82" s="642"/>
      <c r="C82" s="62"/>
      <c r="D82" s="96" t="s">
        <v>4122</v>
      </c>
      <c r="E82" s="826"/>
      <c r="F82" s="826"/>
      <c r="G82" s="826"/>
      <c r="H82" s="826"/>
      <c r="I82" s="826"/>
      <c r="J82" s="826"/>
      <c r="K82" s="826">
        <f>+K66</f>
        <v>121153.70393362005</v>
      </c>
      <c r="L82" s="548"/>
      <c r="M82" s="328"/>
      <c r="N82" s="42"/>
      <c r="O82" s="797"/>
      <c r="P82" s="548"/>
      <c r="Q82" s="548"/>
      <c r="R82" s="635"/>
    </row>
    <row r="83" spans="2:21">
      <c r="B83" s="642"/>
      <c r="C83" s="62"/>
      <c r="D83" s="96" t="s">
        <v>3166</v>
      </c>
      <c r="E83" s="824">
        <f>+SUM(F83:K83)</f>
        <v>932218.26530362002</v>
      </c>
      <c r="F83" s="824">
        <f t="shared" ref="F83:K83" si="5">+SUM(F81:F82)</f>
        <v>385.73180000000002</v>
      </c>
      <c r="G83" s="824">
        <f t="shared" si="5"/>
        <v>753246.56163162598</v>
      </c>
      <c r="H83" s="824">
        <f t="shared" si="5"/>
        <v>0</v>
      </c>
      <c r="I83" s="824">
        <f t="shared" si="5"/>
        <v>57432.267938374134</v>
      </c>
      <c r="J83" s="824">
        <f t="shared" si="5"/>
        <v>0</v>
      </c>
      <c r="K83" s="824">
        <f t="shared" si="5"/>
        <v>121153.70393362005</v>
      </c>
      <c r="L83" s="548"/>
      <c r="M83" s="328"/>
      <c r="N83" s="42"/>
      <c r="O83" s="797"/>
      <c r="P83" s="548"/>
      <c r="Q83" s="548"/>
      <c r="R83" s="635"/>
    </row>
    <row r="84" spans="2:21">
      <c r="B84" s="642"/>
      <c r="C84" s="62"/>
      <c r="D84" s="96" t="s">
        <v>3160</v>
      </c>
      <c r="E84" s="824"/>
      <c r="F84" s="827"/>
      <c r="G84" s="827"/>
      <c r="H84" s="827"/>
      <c r="I84" s="827"/>
      <c r="J84" s="827"/>
      <c r="K84" s="827"/>
      <c r="L84" s="548"/>
      <c r="M84" s="328"/>
      <c r="N84" s="42"/>
      <c r="O84" s="797"/>
      <c r="P84" s="548"/>
      <c r="Q84" s="548"/>
      <c r="R84" s="635"/>
    </row>
    <row r="85" spans="2:21">
      <c r="B85" s="642"/>
      <c r="C85" s="62"/>
      <c r="D85" s="328"/>
      <c r="E85" s="328"/>
      <c r="F85" s="328"/>
      <c r="G85" s="328"/>
      <c r="H85" s="328"/>
      <c r="I85" s="328"/>
      <c r="J85" s="328"/>
      <c r="K85" s="328"/>
      <c r="L85" s="548"/>
      <c r="M85" s="328"/>
      <c r="N85" s="42"/>
      <c r="O85" s="797"/>
      <c r="P85" s="548"/>
      <c r="Q85" s="548"/>
      <c r="R85" s="635"/>
    </row>
    <row r="86" spans="2:21">
      <c r="B86" s="793"/>
      <c r="C86" s="514"/>
      <c r="D86" s="546"/>
      <c r="E86" s="546"/>
      <c r="F86" s="546"/>
      <c r="G86" s="546"/>
      <c r="H86" s="546"/>
      <c r="I86" s="546"/>
      <c r="J86" s="546"/>
      <c r="K86" s="546"/>
      <c r="L86" s="770"/>
      <c r="M86" s="546"/>
      <c r="N86" s="439"/>
      <c r="O86" s="798"/>
      <c r="P86" s="770"/>
      <c r="Q86" s="770"/>
      <c r="R86" s="794"/>
    </row>
    <row r="87" spans="2:21">
      <c r="B87" s="642"/>
      <c r="C87" s="62"/>
      <c r="D87" s="328"/>
      <c r="E87" s="328"/>
      <c r="F87" s="328"/>
      <c r="G87" s="328"/>
      <c r="H87" s="328"/>
      <c r="I87" s="328"/>
      <c r="J87" s="328"/>
      <c r="K87" s="328"/>
      <c r="L87" s="548"/>
      <c r="M87" s="328"/>
      <c r="N87" s="42"/>
      <c r="O87" s="797"/>
      <c r="P87" s="548"/>
      <c r="Q87" s="548"/>
      <c r="R87" s="635"/>
    </row>
    <row r="88" spans="2:21" ht="27">
      <c r="B88" s="779" t="s">
        <v>4123</v>
      </c>
      <c r="C88" s="62" t="s">
        <v>3136</v>
      </c>
      <c r="D88" s="328"/>
      <c r="E88" s="627" t="s">
        <v>4100</v>
      </c>
      <c r="F88" s="627" t="s">
        <v>4124</v>
      </c>
      <c r="G88" s="627" t="s">
        <v>4125</v>
      </c>
      <c r="H88" s="328"/>
      <c r="I88" s="328"/>
      <c r="J88" s="328"/>
      <c r="K88" s="328"/>
      <c r="L88" s="548"/>
      <c r="M88" s="328"/>
      <c r="N88" s="42"/>
      <c r="O88" s="797"/>
      <c r="P88" s="548"/>
      <c r="Q88" s="548"/>
      <c r="R88" s="635"/>
    </row>
    <row r="89" spans="2:21">
      <c r="B89" s="642"/>
      <c r="C89" s="328"/>
      <c r="D89" s="96" t="s">
        <v>4119</v>
      </c>
      <c r="E89" s="795">
        <f>+E16</f>
        <v>368438.48759000003</v>
      </c>
      <c r="F89" s="795">
        <f>+I49</f>
        <v>0</v>
      </c>
      <c r="G89" s="795">
        <f>+E89-F89</f>
        <v>368438.48759000003</v>
      </c>
      <c r="H89" s="328"/>
      <c r="I89" s="328"/>
      <c r="J89" s="328"/>
      <c r="K89" s="328"/>
      <c r="L89" s="548"/>
      <c r="M89" s="328"/>
      <c r="N89" s="42"/>
      <c r="O89" s="797"/>
      <c r="P89" s="548"/>
      <c r="Q89" s="548"/>
      <c r="R89" s="635"/>
    </row>
    <row r="90" spans="2:21">
      <c r="B90" s="642"/>
      <c r="C90" s="328"/>
      <c r="D90" s="96" t="s">
        <v>3160</v>
      </c>
      <c r="E90" s="328"/>
      <c r="F90" s="792">
        <f>+F89/G89</f>
        <v>0</v>
      </c>
      <c r="G90" s="792">
        <f>+G89/E89</f>
        <v>1</v>
      </c>
      <c r="H90" s="328"/>
      <c r="I90" s="328"/>
      <c r="J90" s="328"/>
      <c r="K90" s="328"/>
      <c r="L90" s="548"/>
      <c r="M90" s="328"/>
      <c r="N90" s="42"/>
      <c r="O90" s="797"/>
      <c r="P90" s="548"/>
      <c r="Q90" s="548"/>
      <c r="R90" s="635"/>
    </row>
    <row r="91" spans="2:21">
      <c r="B91" s="793"/>
      <c r="C91" s="546"/>
      <c r="D91" s="546"/>
      <c r="E91" s="546"/>
      <c r="F91" s="546"/>
      <c r="G91" s="546"/>
      <c r="H91" s="546"/>
      <c r="I91" s="546"/>
      <c r="J91" s="546"/>
      <c r="K91" s="770"/>
      <c r="L91" s="546"/>
      <c r="M91" s="546"/>
      <c r="N91" s="439"/>
      <c r="O91" s="798"/>
      <c r="P91" s="770"/>
      <c r="Q91" s="770"/>
      <c r="R91" s="794"/>
    </row>
    <row r="92" spans="2:21" ht="15" thickBot="1">
      <c r="B92" s="643"/>
      <c r="C92" s="636"/>
      <c r="D92" s="636"/>
      <c r="E92" s="636"/>
      <c r="F92" s="636"/>
      <c r="G92" s="636"/>
      <c r="H92" s="636"/>
      <c r="I92" s="636"/>
      <c r="J92" s="636"/>
      <c r="K92" s="58"/>
      <c r="L92" s="636"/>
      <c r="M92" s="636"/>
      <c r="N92" s="646"/>
      <c r="O92" s="799"/>
      <c r="P92" s="58"/>
      <c r="Q92" s="58"/>
      <c r="R92" s="800"/>
    </row>
    <row r="93" spans="2:21">
      <c r="B93" s="328"/>
      <c r="C93" s="328"/>
      <c r="D93" s="328"/>
      <c r="E93" s="328"/>
      <c r="F93" s="328"/>
      <c r="G93" s="328"/>
      <c r="H93" s="328"/>
      <c r="I93" s="328"/>
      <c r="J93" s="328"/>
      <c r="K93" s="548"/>
      <c r="L93" s="328"/>
      <c r="M93" s="328"/>
      <c r="N93" s="801"/>
      <c r="O93" s="797"/>
      <c r="P93" s="548"/>
      <c r="Q93" s="548"/>
      <c r="R93" s="328"/>
    </row>
    <row r="94" spans="2:21">
      <c r="B94" s="802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</row>
    <row r="95" spans="2:21">
      <c r="B95" s="352" t="s">
        <v>2173</v>
      </c>
      <c r="C95" s="549"/>
      <c r="D95" s="549"/>
      <c r="E95" s="549"/>
      <c r="F95" s="549"/>
      <c r="G95" s="549"/>
      <c r="H95" s="549"/>
      <c r="I95" s="549"/>
      <c r="J95" s="549"/>
      <c r="K95" s="549"/>
      <c r="L95" s="549"/>
      <c r="M95" s="549"/>
      <c r="N95" s="549"/>
      <c r="O95" s="549"/>
      <c r="P95" s="549"/>
      <c r="Q95" s="549"/>
      <c r="R95" s="550"/>
      <c r="T95" t="s">
        <v>8474</v>
      </c>
      <c r="U95" s="1586">
        <f>+'Accounting Schedule B-9'!T536</f>
        <v>1283180.1421700001</v>
      </c>
    </row>
    <row r="96" spans="2:21">
      <c r="B96" s="353" t="s">
        <v>4126</v>
      </c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536"/>
      <c r="T96" t="s">
        <v>8453</v>
      </c>
      <c r="U96" s="1639">
        <f>+E147</f>
        <v>1265764.4421699999</v>
      </c>
    </row>
    <row r="97" spans="2:21">
      <c r="B97" s="615" t="s">
        <v>9264</v>
      </c>
      <c r="C97" s="29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536"/>
      <c r="U97" s="516">
        <f>+U95-U96</f>
        <v>17415.700000000186</v>
      </c>
    </row>
    <row r="98" spans="2:21">
      <c r="B98" s="639"/>
      <c r="C98" s="546"/>
      <c r="D98" s="546"/>
      <c r="E98" s="546"/>
      <c r="F98" s="546"/>
      <c r="G98" s="546"/>
      <c r="H98" s="546"/>
      <c r="I98" s="546"/>
      <c r="J98" s="546"/>
      <c r="K98" s="546"/>
      <c r="L98" s="546"/>
      <c r="M98" s="546"/>
      <c r="N98" s="546"/>
      <c r="O98" s="546"/>
      <c r="P98" s="546"/>
      <c r="Q98" s="546"/>
      <c r="R98" s="547"/>
      <c r="T98" t="s">
        <v>8454</v>
      </c>
      <c r="U98" s="1586">
        <f>-SUM('SPP ADJ T&amp;D'!$I$23/1000)</f>
        <v>-17415.7</v>
      </c>
    </row>
    <row r="99" spans="2:21">
      <c r="B99" s="352"/>
      <c r="C99" s="521"/>
      <c r="D99" s="521"/>
      <c r="E99" s="521"/>
      <c r="F99" s="753" t="s">
        <v>3197</v>
      </c>
      <c r="G99" s="753" t="s">
        <v>3197</v>
      </c>
      <c r="H99" s="753" t="s">
        <v>3197</v>
      </c>
      <c r="I99" s="753" t="s">
        <v>3197</v>
      </c>
      <c r="J99" s="753" t="s">
        <v>3197</v>
      </c>
      <c r="K99" s="753" t="s">
        <v>3197</v>
      </c>
      <c r="L99" s="753" t="s">
        <v>3197</v>
      </c>
      <c r="M99" s="753" t="s">
        <v>3197</v>
      </c>
      <c r="N99" s="753" t="s">
        <v>3197</v>
      </c>
      <c r="O99" s="753" t="s">
        <v>3197</v>
      </c>
      <c r="P99" s="753" t="s">
        <v>3197</v>
      </c>
      <c r="Q99" s="1771" t="s">
        <v>3197</v>
      </c>
      <c r="R99" s="754" t="s">
        <v>3197</v>
      </c>
      <c r="T99" s="297" t="s">
        <v>8439</v>
      </c>
      <c r="U99" s="1639">
        <f>+G106</f>
        <v>0</v>
      </c>
    </row>
    <row r="100" spans="2:21">
      <c r="B100" s="769"/>
      <c r="C100" s="523"/>
      <c r="D100" s="523"/>
      <c r="E100" s="523"/>
      <c r="F100" s="77" t="s">
        <v>1761</v>
      </c>
      <c r="G100" s="77" t="s">
        <v>1761</v>
      </c>
      <c r="H100" s="77" t="s">
        <v>1763</v>
      </c>
      <c r="I100" s="77" t="s">
        <v>1764</v>
      </c>
      <c r="J100" s="77" t="s">
        <v>1765</v>
      </c>
      <c r="K100" s="77" t="s">
        <v>1766</v>
      </c>
      <c r="L100" s="77" t="s">
        <v>1767</v>
      </c>
      <c r="M100" s="77" t="s">
        <v>1769</v>
      </c>
      <c r="N100" s="77">
        <v>369.01</v>
      </c>
      <c r="O100" s="77">
        <v>369.02</v>
      </c>
      <c r="P100" s="77" t="s">
        <v>1770</v>
      </c>
      <c r="Q100" s="77">
        <v>371</v>
      </c>
      <c r="R100" s="364" t="s">
        <v>1771</v>
      </c>
      <c r="U100" s="1640">
        <f>+SUM(U97:U99)</f>
        <v>1.8553691916167736E-10</v>
      </c>
    </row>
    <row r="101" spans="2:21">
      <c r="B101" s="353"/>
      <c r="C101" s="280"/>
      <c r="D101" s="280"/>
      <c r="E101" s="280"/>
      <c r="F101" s="60" t="s">
        <v>2430</v>
      </c>
      <c r="G101" s="60" t="s">
        <v>4048</v>
      </c>
      <c r="H101" s="60" t="s">
        <v>4049</v>
      </c>
      <c r="I101" s="60" t="s">
        <v>3453</v>
      </c>
      <c r="J101" s="60" t="s">
        <v>4050</v>
      </c>
      <c r="K101" s="60" t="s">
        <v>4051</v>
      </c>
      <c r="L101" s="60" t="s">
        <v>1768</v>
      </c>
      <c r="M101" s="60" t="s">
        <v>2430</v>
      </c>
      <c r="N101" s="60" t="s">
        <v>4051</v>
      </c>
      <c r="O101" s="60" t="s">
        <v>4052</v>
      </c>
      <c r="P101" s="60" t="s">
        <v>4053</v>
      </c>
      <c r="Q101" s="60" t="s">
        <v>9136</v>
      </c>
      <c r="R101" s="767" t="s">
        <v>4054</v>
      </c>
    </row>
    <row r="102" spans="2:21">
      <c r="B102" s="522" t="s">
        <v>2182</v>
      </c>
      <c r="C102" s="523" t="s">
        <v>1918</v>
      </c>
      <c r="D102" s="523" t="s">
        <v>4055</v>
      </c>
      <c r="E102" s="523" t="s">
        <v>115</v>
      </c>
      <c r="F102" s="77" t="s">
        <v>3451</v>
      </c>
      <c r="G102" s="77" t="s">
        <v>3451</v>
      </c>
      <c r="H102" s="77"/>
      <c r="I102" s="77" t="s">
        <v>4056</v>
      </c>
      <c r="J102" s="77"/>
      <c r="K102" s="77" t="s">
        <v>4057</v>
      </c>
      <c r="L102" s="77" t="s">
        <v>4052</v>
      </c>
      <c r="M102" s="77" t="s">
        <v>4059</v>
      </c>
      <c r="N102" s="77" t="s">
        <v>4060</v>
      </c>
      <c r="O102" s="77" t="s">
        <v>4060</v>
      </c>
      <c r="P102" s="77"/>
      <c r="Q102" s="60" t="s">
        <v>9137</v>
      </c>
      <c r="R102" s="364" t="s">
        <v>1954</v>
      </c>
      <c r="T102" t="s">
        <v>8467</v>
      </c>
      <c r="U102" s="1586">
        <f>+'Accounting Schedule B-9'!T415+'Accounting Schedule B-9'!T416</f>
        <v>92974.253449999989</v>
      </c>
    </row>
    <row r="103" spans="2:21">
      <c r="B103" s="641" t="s">
        <v>2175</v>
      </c>
      <c r="C103" s="641" t="s">
        <v>2176</v>
      </c>
      <c r="D103" s="641" t="s">
        <v>2177</v>
      </c>
      <c r="E103" s="641" t="s">
        <v>2178</v>
      </c>
      <c r="F103" s="632" t="s">
        <v>2179</v>
      </c>
      <c r="G103" s="632" t="s">
        <v>2625</v>
      </c>
      <c r="H103" s="632" t="s">
        <v>2626</v>
      </c>
      <c r="I103" s="632" t="s">
        <v>2627</v>
      </c>
      <c r="J103" s="661" t="s">
        <v>2628</v>
      </c>
      <c r="K103" s="661" t="s">
        <v>2629</v>
      </c>
      <c r="L103" s="661" t="s">
        <v>2630</v>
      </c>
      <c r="M103" s="661" t="s">
        <v>4061</v>
      </c>
      <c r="N103" s="661" t="s">
        <v>4062</v>
      </c>
      <c r="O103" s="661" t="s">
        <v>4063</v>
      </c>
      <c r="P103" s="661" t="s">
        <v>4064</v>
      </c>
      <c r="Q103" s="1772" t="s">
        <v>4065</v>
      </c>
      <c r="R103" s="662" t="s">
        <v>4178</v>
      </c>
      <c r="T103" t="s">
        <v>8456</v>
      </c>
      <c r="U103" s="1639">
        <f>+E107</f>
        <v>92545.866450000001</v>
      </c>
    </row>
    <row r="104" spans="2:21">
      <c r="B104" s="771"/>
      <c r="C104" s="540"/>
      <c r="D104" s="540"/>
      <c r="E104" s="540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50"/>
      <c r="U104" s="516">
        <f>+U102-U103</f>
        <v>428.38699999998789</v>
      </c>
    </row>
    <row r="105" spans="2:21">
      <c r="B105" s="604">
        <v>1</v>
      </c>
      <c r="C105" s="775" t="s">
        <v>4127</v>
      </c>
      <c r="D105" s="775"/>
      <c r="E105" s="534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536"/>
      <c r="T105" t="s">
        <v>8454</v>
      </c>
      <c r="U105" s="1586">
        <f>-SUM('SPP ADJ T&amp;D'!$I$10:$I$11)/1000</f>
        <v>-428.387</v>
      </c>
    </row>
    <row r="106" spans="2:21">
      <c r="B106" s="693">
        <v>2</v>
      </c>
      <c r="C106" s="534" t="s">
        <v>4066</v>
      </c>
      <c r="D106" s="783" t="s">
        <v>4067</v>
      </c>
      <c r="E106" s="817">
        <v>0</v>
      </c>
      <c r="F106" s="42"/>
      <c r="G106" s="42">
        <f>+IF($E106=0,0,((G107/$E107)*$E106))</f>
        <v>0</v>
      </c>
      <c r="H106" s="42">
        <f>+IF($E106=0,0,((H107/$E107)*$E106))</f>
        <v>0</v>
      </c>
      <c r="I106" s="42">
        <f>+IF($E106=0,0,((I107/$E107)*$E106))</f>
        <v>0</v>
      </c>
      <c r="J106" s="651"/>
      <c r="K106" s="651"/>
      <c r="L106" s="651"/>
      <c r="M106" s="651"/>
      <c r="N106" s="651"/>
      <c r="O106" s="651"/>
      <c r="P106" s="651"/>
      <c r="Q106" s="651"/>
      <c r="R106" s="668"/>
      <c r="T106" s="297" t="s">
        <v>8439</v>
      </c>
      <c r="U106" s="1639">
        <f>+G106</f>
        <v>0</v>
      </c>
    </row>
    <row r="107" spans="2:21">
      <c r="B107" s="693">
        <v>3</v>
      </c>
      <c r="C107" s="534" t="s">
        <v>4068</v>
      </c>
      <c r="D107" s="783" t="s">
        <v>4067</v>
      </c>
      <c r="E107" s="828">
        <f>+SUM(F107:R107)</f>
        <v>92545.866450000001</v>
      </c>
      <c r="F107" s="42"/>
      <c r="G107" s="439">
        <f>(+SUMIFS('300s - 5 Digit FERC Accounts'!$E:$E,'300s - 5 Digit FERC Accounts'!$B:$B,36000)/1000)</f>
        <v>0</v>
      </c>
      <c r="H107" s="439">
        <f>(+SUMIFS('300s - 5 Digit FERC Accounts'!$E:$E,'300s - 5 Digit FERC Accounts'!$B:$B,36100)/1000)-('SPP ADJ T&amp;D'!I10/1000)</f>
        <v>10286.785960000001</v>
      </c>
      <c r="I107" s="439">
        <f>(+SUMIFS('300s - 5 Digit FERC Accounts'!$E:$E,'300s - 5 Digit FERC Accounts'!$B:$B,36200)/1000)-('SPP ADJ T&amp;D'!I11/1000)</f>
        <v>82259.080489999993</v>
      </c>
      <c r="J107" s="651"/>
      <c r="K107" s="651"/>
      <c r="L107" s="651"/>
      <c r="M107" s="651"/>
      <c r="N107" s="651"/>
      <c r="O107" s="651"/>
      <c r="P107" s="651"/>
      <c r="Q107" s="651"/>
      <c r="R107" s="668"/>
      <c r="U107" s="1640">
        <f>+SUM(U104:U106)</f>
        <v>-1.2107648217352107E-11</v>
      </c>
    </row>
    <row r="108" spans="2:21">
      <c r="B108" s="693">
        <v>4</v>
      </c>
      <c r="C108" s="534" t="s">
        <v>4069</v>
      </c>
      <c r="D108" s="783" t="s">
        <v>115</v>
      </c>
      <c r="E108" s="820">
        <f>+SUM(E106:E107)</f>
        <v>92545.866450000001</v>
      </c>
      <c r="F108" s="42"/>
      <c r="G108" s="774">
        <f>+SUM(G106:G107)</f>
        <v>0</v>
      </c>
      <c r="H108" s="774">
        <f>+SUM(H106:H107)</f>
        <v>10286.785960000001</v>
      </c>
      <c r="I108" s="774">
        <f>+SUM(I106:I107)</f>
        <v>82259.080489999993</v>
      </c>
      <c r="J108" s="651"/>
      <c r="K108" s="651"/>
      <c r="L108" s="651"/>
      <c r="M108" s="651"/>
      <c r="N108" s="651"/>
      <c r="O108" s="651"/>
      <c r="P108" s="651"/>
      <c r="Q108" s="651"/>
      <c r="R108" s="668"/>
    </row>
    <row r="109" spans="2:21">
      <c r="B109" s="693">
        <v>5</v>
      </c>
      <c r="C109" s="534"/>
      <c r="D109" s="783"/>
      <c r="E109" s="820"/>
      <c r="F109" s="328"/>
      <c r="G109" s="328"/>
      <c r="H109" s="328"/>
      <c r="I109" s="328"/>
      <c r="J109" s="651"/>
      <c r="K109" s="651"/>
      <c r="L109" s="651"/>
      <c r="M109" s="651"/>
      <c r="N109" s="651"/>
      <c r="O109" s="651"/>
      <c r="P109" s="651"/>
      <c r="Q109" s="651"/>
      <c r="R109" s="668"/>
      <c r="T109" t="s">
        <v>8468</v>
      </c>
      <c r="U109" s="1586">
        <f>+'Accounting Schedule B-9'!T418</f>
        <v>192985.64118999999</v>
      </c>
    </row>
    <row r="110" spans="2:21">
      <c r="B110" s="693">
        <v>6</v>
      </c>
      <c r="C110" s="534"/>
      <c r="D110" s="783"/>
      <c r="E110" s="818"/>
      <c r="F110" s="651"/>
      <c r="G110" s="651"/>
      <c r="H110" s="651"/>
      <c r="I110" s="651"/>
      <c r="J110" s="651"/>
      <c r="K110" s="651"/>
      <c r="L110" s="651"/>
      <c r="M110" s="651"/>
      <c r="N110" s="651"/>
      <c r="O110" s="651"/>
      <c r="P110" s="651"/>
      <c r="Q110" s="651"/>
      <c r="R110" s="668"/>
      <c r="T110" t="s">
        <v>8457</v>
      </c>
      <c r="U110" s="1639">
        <f>+E116</f>
        <v>193173.97918999998</v>
      </c>
    </row>
    <row r="111" spans="2:21">
      <c r="B111" s="693">
        <v>7</v>
      </c>
      <c r="C111" s="534" t="s">
        <v>4128</v>
      </c>
      <c r="D111" s="783" t="s">
        <v>4071</v>
      </c>
      <c r="E111" s="819">
        <f>+SUM(F111:R111)</f>
        <v>14631.668475942406</v>
      </c>
      <c r="F111" s="651"/>
      <c r="G111" s="651"/>
      <c r="H111" s="651"/>
      <c r="I111" s="651"/>
      <c r="J111" s="42">
        <f>+IF($J$116=0,0,$J$116*(J19/$J$24))</f>
        <v>14631.668475942406</v>
      </c>
      <c r="K111" s="651"/>
      <c r="L111" s="651"/>
      <c r="M111" s="651"/>
      <c r="N111" s="651"/>
      <c r="O111" s="651"/>
      <c r="P111" s="651"/>
      <c r="Q111" s="651"/>
      <c r="R111" s="668"/>
      <c r="U111" s="516">
        <f>+U109-U110</f>
        <v>-188.33799999998882</v>
      </c>
    </row>
    <row r="112" spans="2:21">
      <c r="B112" s="693">
        <v>8</v>
      </c>
      <c r="C112" s="534" t="s">
        <v>4072</v>
      </c>
      <c r="D112" s="783" t="s">
        <v>4067</v>
      </c>
      <c r="E112" s="819">
        <f>+SUM(F112:R112)</f>
        <v>137305.75619418611</v>
      </c>
      <c r="F112" s="651"/>
      <c r="G112" s="651"/>
      <c r="H112" s="651"/>
      <c r="I112" s="651"/>
      <c r="J112" s="42">
        <f>+IF($J$116=0,0,$J$116*(J20/$J$24))</f>
        <v>137305.75619418611</v>
      </c>
      <c r="K112" s="651"/>
      <c r="L112" s="651"/>
      <c r="M112" s="651"/>
      <c r="N112" s="651"/>
      <c r="O112" s="651"/>
      <c r="P112" s="651"/>
      <c r="Q112" s="651"/>
      <c r="R112" s="668"/>
      <c r="T112" t="s">
        <v>8454</v>
      </c>
      <c r="U112" s="1586">
        <f>-'SPP ADJ T&amp;D'!$I$12/1000</f>
        <v>188.33799999999999</v>
      </c>
    </row>
    <row r="113" spans="2:21">
      <c r="B113" s="693">
        <v>9</v>
      </c>
      <c r="C113" s="631" t="s">
        <v>4073</v>
      </c>
      <c r="D113" s="783" t="s">
        <v>4071</v>
      </c>
      <c r="E113" s="819">
        <f>+SUM(F113:R113)</f>
        <v>0</v>
      </c>
      <c r="F113" s="651"/>
      <c r="G113" s="651"/>
      <c r="H113" s="651"/>
      <c r="I113" s="651"/>
      <c r="J113" s="42">
        <f>+IF($J$116=0,0,$J$116*(J21/$J$24))</f>
        <v>0</v>
      </c>
      <c r="K113" s="651"/>
      <c r="L113" s="651"/>
      <c r="M113" s="651"/>
      <c r="N113" s="651"/>
      <c r="O113" s="651"/>
      <c r="P113" s="651"/>
      <c r="Q113" s="651"/>
      <c r="R113" s="668"/>
      <c r="T113" s="297" t="s">
        <v>8439</v>
      </c>
      <c r="U113" s="1639">
        <f>+G113</f>
        <v>0</v>
      </c>
    </row>
    <row r="114" spans="2:21">
      <c r="B114" s="693">
        <v>10</v>
      </c>
      <c r="C114" s="534" t="s">
        <v>4074</v>
      </c>
      <c r="D114" s="783" t="s">
        <v>4067</v>
      </c>
      <c r="E114" s="819">
        <f>+SUM(F114:R114)</f>
        <v>41236.554519871468</v>
      </c>
      <c r="F114" s="651"/>
      <c r="G114" s="651"/>
      <c r="H114" s="651"/>
      <c r="I114" s="651"/>
      <c r="J114" s="42">
        <f>+IF($J$116=0,0,$J$116*(J22/$J$24))</f>
        <v>41236.554519871468</v>
      </c>
      <c r="K114" s="651"/>
      <c r="L114" s="651"/>
      <c r="M114" s="651"/>
      <c r="N114" s="651"/>
      <c r="O114" s="651"/>
      <c r="P114" s="651"/>
      <c r="Q114" s="651"/>
      <c r="R114" s="668"/>
      <c r="U114" s="1640">
        <f>+SUM(U111:U113)</f>
        <v>1.1169731806148775E-11</v>
      </c>
    </row>
    <row r="115" spans="2:21">
      <c r="B115" s="693">
        <v>11</v>
      </c>
      <c r="C115" s="631" t="s">
        <v>4075</v>
      </c>
      <c r="D115" s="783" t="s">
        <v>4071</v>
      </c>
      <c r="E115" s="828">
        <f>+SUM(F115:R115)</f>
        <v>0</v>
      </c>
      <c r="F115" s="651"/>
      <c r="G115" s="651"/>
      <c r="H115" s="651"/>
      <c r="I115" s="651"/>
      <c r="J115" s="439">
        <f>+IF($J$116=0,0,$J$116*(J23/$J$24))</f>
        <v>0</v>
      </c>
      <c r="K115" s="651"/>
      <c r="L115" s="651"/>
      <c r="M115" s="651"/>
      <c r="N115" s="651"/>
      <c r="O115" s="651"/>
      <c r="P115" s="651"/>
      <c r="Q115" s="651"/>
      <c r="R115" s="668"/>
    </row>
    <row r="116" spans="2:21">
      <c r="B116" s="693">
        <v>12</v>
      </c>
      <c r="C116" s="534" t="s">
        <v>4076</v>
      </c>
      <c r="D116" s="783" t="s">
        <v>115</v>
      </c>
      <c r="E116" s="820">
        <f>+SUM(E111:E115)</f>
        <v>193173.97918999998</v>
      </c>
      <c r="F116" s="651"/>
      <c r="G116" s="651"/>
      <c r="H116" s="651"/>
      <c r="I116" s="651"/>
      <c r="J116" s="777">
        <f>(+SUMIFS('300s - 3 Digit FERC Accounts'!E:E,'300s - 3 Digit FERC Accounts'!B:B,364)/1000)-('SPP ADJ T&amp;D'!I12/1000)</f>
        <v>193173.97918999998</v>
      </c>
      <c r="K116" s="651"/>
      <c r="L116" s="651"/>
      <c r="M116" s="651"/>
      <c r="N116" s="651"/>
      <c r="O116" s="651"/>
      <c r="P116" s="651"/>
      <c r="Q116" s="651"/>
      <c r="R116" s="668"/>
      <c r="T116" t="s">
        <v>8469</v>
      </c>
      <c r="U116" s="1586">
        <f>+'Accounting Schedule B-9'!T419</f>
        <v>151439.20053999999</v>
      </c>
    </row>
    <row r="117" spans="2:21">
      <c r="B117" s="693">
        <v>13</v>
      </c>
      <c r="C117" s="534"/>
      <c r="D117" s="783"/>
      <c r="E117" s="818"/>
      <c r="F117" s="651"/>
      <c r="G117" s="651"/>
      <c r="H117" s="651"/>
      <c r="I117" s="651"/>
      <c r="J117" s="651"/>
      <c r="K117" s="651"/>
      <c r="L117" s="651"/>
      <c r="M117" s="651"/>
      <c r="N117" s="651"/>
      <c r="O117" s="651"/>
      <c r="P117" s="651"/>
      <c r="Q117" s="651"/>
      <c r="R117" s="668"/>
      <c r="T117" t="s">
        <v>8460</v>
      </c>
      <c r="U117" s="1639">
        <f>+E123</f>
        <v>151221.13954</v>
      </c>
    </row>
    <row r="118" spans="2:21">
      <c r="B118" s="693">
        <v>14</v>
      </c>
      <c r="C118" s="534" t="s">
        <v>4129</v>
      </c>
      <c r="D118" s="783" t="s">
        <v>4071</v>
      </c>
      <c r="E118" s="819">
        <f>+SUM(F118:R118)</f>
        <v>2332.0188410518558</v>
      </c>
      <c r="F118" s="42"/>
      <c r="G118" s="651"/>
      <c r="H118" s="651"/>
      <c r="I118" s="651"/>
      <c r="J118" s="651"/>
      <c r="K118" s="42">
        <f>+IF($K$123=0,0,$K$123*(K26/$K$31))</f>
        <v>2332.0188410518558</v>
      </c>
      <c r="L118" s="784"/>
      <c r="M118" s="651"/>
      <c r="N118" s="651"/>
      <c r="O118" s="651"/>
      <c r="P118" s="651"/>
      <c r="Q118" s="651"/>
      <c r="R118" s="668"/>
      <c r="U118" s="516">
        <f>+U116-U117</f>
        <v>218.06099999998696</v>
      </c>
    </row>
    <row r="119" spans="2:21">
      <c r="B119" s="693">
        <v>15</v>
      </c>
      <c r="C119" s="534" t="s">
        <v>4078</v>
      </c>
      <c r="D119" s="783" t="s">
        <v>4067</v>
      </c>
      <c r="E119" s="819">
        <f>+SUM(F119:R119)</f>
        <v>129229.6256603201</v>
      </c>
      <c r="F119" s="42"/>
      <c r="G119" s="651"/>
      <c r="H119" s="651"/>
      <c r="I119" s="651"/>
      <c r="J119" s="651"/>
      <c r="K119" s="42">
        <f>+IF($K$123=0,0,$K$123*(K27/$K$31))</f>
        <v>129229.6256603201</v>
      </c>
      <c r="L119" s="784"/>
      <c r="M119" s="651"/>
      <c r="N119" s="651"/>
      <c r="O119" s="651"/>
      <c r="P119" s="651"/>
      <c r="Q119" s="651"/>
      <c r="R119" s="668"/>
      <c r="T119" t="s">
        <v>8454</v>
      </c>
      <c r="U119" s="1586">
        <f>-'SPP ADJ T&amp;D'!$I$13/1000</f>
        <v>-218.06100000000001</v>
      </c>
    </row>
    <row r="120" spans="2:21">
      <c r="B120" s="693">
        <v>16</v>
      </c>
      <c r="C120" s="631" t="s">
        <v>4079</v>
      </c>
      <c r="D120" s="783" t="s">
        <v>4071</v>
      </c>
      <c r="E120" s="819">
        <f>+SUM(F120:R120)</f>
        <v>0</v>
      </c>
      <c r="F120" s="42"/>
      <c r="G120" s="651"/>
      <c r="H120" s="651"/>
      <c r="I120" s="651"/>
      <c r="J120" s="651"/>
      <c r="K120" s="42">
        <f>+IF($K$123=0,0,$K$123*(K28/$K$31))</f>
        <v>0</v>
      </c>
      <c r="L120" s="784"/>
      <c r="M120" s="651"/>
      <c r="N120" s="651"/>
      <c r="O120" s="651"/>
      <c r="P120" s="651"/>
      <c r="Q120" s="651"/>
      <c r="R120" s="668"/>
      <c r="T120" s="297" t="s">
        <v>8439</v>
      </c>
      <c r="U120" s="1639">
        <f>+G120</f>
        <v>0</v>
      </c>
    </row>
    <row r="121" spans="2:21">
      <c r="B121" s="693">
        <v>17</v>
      </c>
      <c r="C121" s="534" t="s">
        <v>4080</v>
      </c>
      <c r="D121" s="783" t="s">
        <v>4067</v>
      </c>
      <c r="E121" s="819">
        <f>+SUM(F121:R121)</f>
        <v>19659.49503862804</v>
      </c>
      <c r="F121" s="42"/>
      <c r="G121" s="328"/>
      <c r="H121" s="328"/>
      <c r="I121" s="651"/>
      <c r="J121" s="651"/>
      <c r="K121" s="42">
        <f>+IF($K$123=0,0,$K$123*(K29/$K$31))</f>
        <v>19659.49503862804</v>
      </c>
      <c r="L121" s="784"/>
      <c r="M121" s="651"/>
      <c r="N121" s="651"/>
      <c r="O121" s="651"/>
      <c r="P121" s="651"/>
      <c r="Q121" s="651"/>
      <c r="R121" s="668"/>
      <c r="U121" s="1640">
        <f>+SUM(U118:U120)</f>
        <v>-1.3045564628555439E-11</v>
      </c>
    </row>
    <row r="122" spans="2:21">
      <c r="B122" s="693">
        <v>18</v>
      </c>
      <c r="C122" s="631" t="s">
        <v>4081</v>
      </c>
      <c r="D122" s="783" t="s">
        <v>4071</v>
      </c>
      <c r="E122" s="828">
        <f>+SUM(F122:R122)</f>
        <v>0</v>
      </c>
      <c r="F122" s="42"/>
      <c r="G122" s="328"/>
      <c r="H122" s="328"/>
      <c r="I122" s="651"/>
      <c r="J122" s="651"/>
      <c r="K122" s="439">
        <f>+IF($K$123=0,0,$K$123*(K30/$K$31))</f>
        <v>0</v>
      </c>
      <c r="L122" s="784"/>
      <c r="M122" s="651"/>
      <c r="N122" s="651"/>
      <c r="O122" s="651"/>
      <c r="P122" s="651"/>
      <c r="Q122" s="651"/>
      <c r="R122" s="668"/>
    </row>
    <row r="123" spans="2:21">
      <c r="B123" s="693">
        <v>19</v>
      </c>
      <c r="C123" s="534" t="s">
        <v>4082</v>
      </c>
      <c r="D123" s="783" t="s">
        <v>115</v>
      </c>
      <c r="E123" s="820">
        <f>+SUM(E118:E122)</f>
        <v>151221.13954</v>
      </c>
      <c r="F123" s="651"/>
      <c r="G123" s="328"/>
      <c r="H123" s="328"/>
      <c r="I123" s="651"/>
      <c r="J123" s="651"/>
      <c r="K123" s="777">
        <f>(+SUMIFS('300s - 3 Digit FERC Accounts'!E:E,'300s - 3 Digit FERC Accounts'!B:B,365)/1000)-('SPP ADJ T&amp;D'!I13/1000)</f>
        <v>151221.13954</v>
      </c>
      <c r="L123" s="651"/>
      <c r="M123" s="651"/>
      <c r="N123" s="651"/>
      <c r="O123" s="651"/>
      <c r="P123" s="651"/>
      <c r="Q123" s="651"/>
      <c r="R123" s="668"/>
      <c r="T123" t="s">
        <v>8470</v>
      </c>
      <c r="U123" s="1586">
        <f>+'Accounting Schedule B-9'!T420+'Accounting Schedule B-9'!T421</f>
        <v>164836.85764</v>
      </c>
    </row>
    <row r="124" spans="2:21">
      <c r="B124" s="693">
        <v>20</v>
      </c>
      <c r="C124" s="534"/>
      <c r="D124" s="783"/>
      <c r="E124" s="818"/>
      <c r="F124" s="651"/>
      <c r="G124" s="328"/>
      <c r="H124" s="328"/>
      <c r="I124" s="651"/>
      <c r="J124" s="651"/>
      <c r="K124" s="651"/>
      <c r="L124" s="651"/>
      <c r="M124" s="651"/>
      <c r="N124" s="651"/>
      <c r="O124" s="651"/>
      <c r="P124" s="651"/>
      <c r="Q124" s="651"/>
      <c r="R124" s="668"/>
      <c r="T124" t="s">
        <v>8461</v>
      </c>
      <c r="U124" s="1639">
        <f>+E130</f>
        <v>151928.61264000004</v>
      </c>
    </row>
    <row r="125" spans="2:21">
      <c r="B125" s="693">
        <v>21</v>
      </c>
      <c r="C125" s="534" t="s">
        <v>4083</v>
      </c>
      <c r="D125" s="783" t="s">
        <v>4071</v>
      </c>
      <c r="E125" s="819">
        <f>+SUM(F125:R125)</f>
        <v>72.255280302396912</v>
      </c>
      <c r="F125" s="651"/>
      <c r="G125" s="328"/>
      <c r="H125" s="328"/>
      <c r="I125" s="651"/>
      <c r="J125" s="651"/>
      <c r="K125" s="651"/>
      <c r="L125" s="42">
        <f>+IF($L$130=0,0,$L$130*(L33/$L$38))</f>
        <v>72.255280302396912</v>
      </c>
      <c r="M125" s="651"/>
      <c r="N125" s="651"/>
      <c r="O125" s="651"/>
      <c r="P125" s="651"/>
      <c r="Q125" s="651"/>
      <c r="R125" s="668"/>
      <c r="U125" s="516">
        <f>+U123-U124</f>
        <v>12908.244999999966</v>
      </c>
    </row>
    <row r="126" spans="2:21">
      <c r="B126" s="693">
        <v>22</v>
      </c>
      <c r="C126" s="534" t="s">
        <v>4084</v>
      </c>
      <c r="D126" s="783" t="s">
        <v>4067</v>
      </c>
      <c r="E126" s="819">
        <f>+SUM(F126:R126)</f>
        <v>141098.14499999696</v>
      </c>
      <c r="F126" s="651"/>
      <c r="G126" s="328"/>
      <c r="H126" s="328"/>
      <c r="I126" s="651"/>
      <c r="J126" s="651"/>
      <c r="K126" s="651"/>
      <c r="L126" s="42">
        <f>+IF($L$130=0,0,$L$130*(L34/$L$38))</f>
        <v>141098.14499999696</v>
      </c>
      <c r="M126" s="651"/>
      <c r="N126" s="651"/>
      <c r="O126" s="651"/>
      <c r="P126" s="651"/>
      <c r="Q126" s="651"/>
      <c r="R126" s="668"/>
      <c r="T126" t="s">
        <v>8454</v>
      </c>
      <c r="U126" s="1586">
        <f>-SUM('SPP ADJ T&amp;D'!$I$14:$I$15)/1000</f>
        <v>-12908.245000000001</v>
      </c>
    </row>
    <row r="127" spans="2:21">
      <c r="B127" s="693">
        <v>23</v>
      </c>
      <c r="C127" s="631" t="s">
        <v>4085</v>
      </c>
      <c r="D127" s="783" t="s">
        <v>4071</v>
      </c>
      <c r="E127" s="819">
        <f>+SUM(F127:R127)</f>
        <v>0</v>
      </c>
      <c r="F127" s="651"/>
      <c r="G127" s="328"/>
      <c r="H127" s="328"/>
      <c r="I127" s="651"/>
      <c r="J127" s="651"/>
      <c r="K127" s="651"/>
      <c r="L127" s="42">
        <f>+IF($L$130=0,0,$L$130*(L35/$L$38))</f>
        <v>0</v>
      </c>
      <c r="M127" s="651"/>
      <c r="N127" s="651"/>
      <c r="O127" s="651"/>
      <c r="P127" s="651"/>
      <c r="Q127" s="651"/>
      <c r="R127" s="668"/>
      <c r="T127" s="297" t="s">
        <v>8439</v>
      </c>
      <c r="U127" s="1639">
        <f>+G127</f>
        <v>0</v>
      </c>
    </row>
    <row r="128" spans="2:21">
      <c r="B128" s="693">
        <v>24</v>
      </c>
      <c r="C128" s="534" t="s">
        <v>4086</v>
      </c>
      <c r="D128" s="783" t="s">
        <v>4067</v>
      </c>
      <c r="E128" s="819">
        <f>+SUM(F128:R128)</f>
        <v>10758.21235970067</v>
      </c>
      <c r="F128" s="651"/>
      <c r="G128" s="328"/>
      <c r="H128" s="328"/>
      <c r="I128" s="651"/>
      <c r="J128" s="651"/>
      <c r="K128" s="651"/>
      <c r="L128" s="42">
        <f>+IF($L$130=0,0,$L$130*(L36/$L$38))</f>
        <v>10758.21235970067</v>
      </c>
      <c r="M128" s="651"/>
      <c r="N128" s="651"/>
      <c r="O128" s="651"/>
      <c r="P128" s="651"/>
      <c r="Q128" s="651"/>
      <c r="R128" s="668"/>
      <c r="U128" s="1640">
        <f>+SUM(U125:U127)</f>
        <v>-3.4560798667371273E-11</v>
      </c>
    </row>
    <row r="129" spans="2:21">
      <c r="B129" s="693">
        <v>25</v>
      </c>
      <c r="C129" s="631" t="s">
        <v>4087</v>
      </c>
      <c r="D129" s="783" t="s">
        <v>4071</v>
      </c>
      <c r="E129" s="828">
        <f>+SUM(F129:R129)</f>
        <v>0</v>
      </c>
      <c r="F129" s="651"/>
      <c r="G129" s="328"/>
      <c r="H129" s="328"/>
      <c r="I129" s="651"/>
      <c r="J129" s="651"/>
      <c r="K129" s="651"/>
      <c r="L129" s="439">
        <f>+IF($L$130=0,0,$L$130*(L37/$L$38))</f>
        <v>0</v>
      </c>
      <c r="M129" s="651"/>
      <c r="N129" s="651"/>
      <c r="O129" s="651"/>
      <c r="P129" s="651"/>
      <c r="Q129" s="651"/>
      <c r="R129" s="668"/>
    </row>
    <row r="130" spans="2:21">
      <c r="B130" s="693">
        <v>26</v>
      </c>
      <c r="C130" s="534" t="s">
        <v>4088</v>
      </c>
      <c r="D130" s="783" t="s">
        <v>115</v>
      </c>
      <c r="E130" s="820">
        <f>+SUM(E125:E129)</f>
        <v>151928.61264000004</v>
      </c>
      <c r="F130" s="651"/>
      <c r="G130" s="328"/>
      <c r="H130" s="328"/>
      <c r="I130" s="651"/>
      <c r="J130" s="651"/>
      <c r="K130" s="651"/>
      <c r="L130" s="777">
        <f>(+SUMIFS('300s - 3 Digit FERC Accounts'!E:E,'300s - 3 Digit FERC Accounts'!B:B,366)/1000)-('SPP ADJ T&amp;D'!I14/1000)+(+SUMIFS('300s - 3 Digit FERC Accounts'!E:E,'300s - 3 Digit FERC Accounts'!B:B,367)/1000)-('SPP ADJ T&amp;D'!I15/1000)</f>
        <v>151928.61264000001</v>
      </c>
      <c r="M130" s="651"/>
      <c r="N130" s="651"/>
      <c r="O130" s="651"/>
      <c r="P130" s="651"/>
      <c r="Q130" s="651"/>
      <c r="R130" s="668"/>
      <c r="T130" t="s">
        <v>8471</v>
      </c>
      <c r="U130" s="1586">
        <f>+'Accounting Schedule B-9'!T422</f>
        <v>379252.06789999997</v>
      </c>
    </row>
    <row r="131" spans="2:21">
      <c r="B131" s="693">
        <v>27</v>
      </c>
      <c r="C131" s="534"/>
      <c r="D131" s="783"/>
      <c r="E131" s="818"/>
      <c r="F131" s="651"/>
      <c r="G131" s="651"/>
      <c r="H131" s="651"/>
      <c r="I131" s="651"/>
      <c r="J131" s="651"/>
      <c r="K131" s="651"/>
      <c r="L131" s="651"/>
      <c r="M131" s="651"/>
      <c r="N131" s="651"/>
      <c r="O131" s="651"/>
      <c r="P131" s="651"/>
      <c r="Q131" s="651"/>
      <c r="R131" s="668"/>
      <c r="T131" t="s">
        <v>8464</v>
      </c>
      <c r="U131" s="1639">
        <f>+E137</f>
        <v>375805.82389999996</v>
      </c>
    </row>
    <row r="132" spans="2:21">
      <c r="B132" s="693">
        <v>28</v>
      </c>
      <c r="C132" s="534" t="s">
        <v>4089</v>
      </c>
      <c r="D132" s="783" t="s">
        <v>4071</v>
      </c>
      <c r="E132" s="819">
        <f>+SUM(F132:R132)</f>
        <v>0</v>
      </c>
      <c r="F132" s="651"/>
      <c r="G132" s="651"/>
      <c r="H132" s="651"/>
      <c r="I132" s="651"/>
      <c r="J132" s="651"/>
      <c r="K132" s="651"/>
      <c r="L132" s="651"/>
      <c r="M132" s="42">
        <f>+IF($M$137=0,0,$M$137*(M40/$M$45))</f>
        <v>0</v>
      </c>
      <c r="N132" s="651"/>
      <c r="O132" s="651"/>
      <c r="P132" s="651"/>
      <c r="Q132" s="651"/>
      <c r="R132" s="668"/>
      <c r="U132" s="516">
        <f>+U130-U131</f>
        <v>3446.2440000000061</v>
      </c>
    </row>
    <row r="133" spans="2:21">
      <c r="B133" s="693">
        <v>29</v>
      </c>
      <c r="C133" s="534" t="s">
        <v>4174</v>
      </c>
      <c r="D133" s="783" t="s">
        <v>4067</v>
      </c>
      <c r="E133" s="819">
        <f>+SUM(F133:R133)</f>
        <v>61807.293146566983</v>
      </c>
      <c r="F133" s="651"/>
      <c r="G133" s="651"/>
      <c r="H133" s="651"/>
      <c r="I133" s="651"/>
      <c r="J133" s="651"/>
      <c r="K133" s="651"/>
      <c r="L133" s="651"/>
      <c r="M133" s="42">
        <f>+IF($M$137=0,0,$M$137*(M41/$M$45))</f>
        <v>61807.293146566983</v>
      </c>
      <c r="N133" s="651"/>
      <c r="O133" s="651"/>
      <c r="P133" s="651"/>
      <c r="Q133" s="651"/>
      <c r="R133" s="668"/>
      <c r="T133" t="s">
        <v>8454</v>
      </c>
      <c r="U133" s="1586">
        <f>-'SPP ADJ T&amp;D'!$I$16/1000</f>
        <v>-3446.2440000000001</v>
      </c>
    </row>
    <row r="134" spans="2:21">
      <c r="B134" s="693">
        <v>30</v>
      </c>
      <c r="C134" s="534" t="s">
        <v>4175</v>
      </c>
      <c r="D134" s="783" t="s">
        <v>4071</v>
      </c>
      <c r="E134" s="819">
        <f>+SUM(F134:R134)</f>
        <v>0</v>
      </c>
      <c r="F134" s="651"/>
      <c r="G134" s="651"/>
      <c r="H134" s="651"/>
      <c r="I134" s="651"/>
      <c r="J134" s="651"/>
      <c r="K134" s="651"/>
      <c r="L134" s="651"/>
      <c r="M134" s="42">
        <f>+IF($M$137=0,0,$M$137*(M42/$M$45))</f>
        <v>0</v>
      </c>
      <c r="N134" s="651"/>
      <c r="O134" s="651"/>
      <c r="P134" s="651"/>
      <c r="Q134" s="651"/>
      <c r="R134" s="668"/>
      <c r="T134" s="297" t="s">
        <v>8439</v>
      </c>
      <c r="U134" s="1639">
        <f>+G134</f>
        <v>0</v>
      </c>
    </row>
    <row r="135" spans="2:21">
      <c r="B135" s="693">
        <v>31</v>
      </c>
      <c r="C135" s="631" t="s">
        <v>4176</v>
      </c>
      <c r="D135" s="783" t="s">
        <v>4067</v>
      </c>
      <c r="E135" s="819">
        <f>+SUM(F135:R135)</f>
        <v>313998.53075343295</v>
      </c>
      <c r="F135" s="651"/>
      <c r="G135" s="651"/>
      <c r="H135" s="651"/>
      <c r="I135" s="651"/>
      <c r="J135" s="651"/>
      <c r="K135" s="651"/>
      <c r="L135" s="651"/>
      <c r="M135" s="42">
        <f>+IF($M$137=0,0,$M$137*(M43/$M$45))</f>
        <v>313998.53075343295</v>
      </c>
      <c r="N135" s="651"/>
      <c r="O135" s="651"/>
      <c r="P135" s="651"/>
      <c r="Q135" s="651"/>
      <c r="R135" s="668"/>
      <c r="U135" s="1640">
        <f>+SUM(U132:U134)</f>
        <v>5.9117155615240335E-12</v>
      </c>
    </row>
    <row r="136" spans="2:21">
      <c r="B136" s="693">
        <v>32</v>
      </c>
      <c r="C136" s="631" t="s">
        <v>4177</v>
      </c>
      <c r="D136" s="783" t="s">
        <v>4071</v>
      </c>
      <c r="E136" s="828">
        <f>+SUM(F136:R136)</f>
        <v>0</v>
      </c>
      <c r="F136" s="651"/>
      <c r="G136" s="651"/>
      <c r="H136" s="651"/>
      <c r="I136" s="651"/>
      <c r="J136" s="651"/>
      <c r="K136" s="651"/>
      <c r="L136" s="651"/>
      <c r="M136" s="439">
        <f>+IF($M$137=0,0,$M$137*(M44/$M$45))</f>
        <v>0</v>
      </c>
      <c r="N136" s="651"/>
      <c r="O136" s="651"/>
      <c r="P136" s="651"/>
      <c r="Q136" s="651"/>
      <c r="R136" s="668"/>
    </row>
    <row r="137" spans="2:21">
      <c r="B137" s="693">
        <v>33</v>
      </c>
      <c r="C137" s="534" t="s">
        <v>4090</v>
      </c>
      <c r="D137" s="783" t="s">
        <v>115</v>
      </c>
      <c r="E137" s="820">
        <f>+SUM(E132:E136)</f>
        <v>375805.82389999996</v>
      </c>
      <c r="F137" s="651"/>
      <c r="G137" s="651"/>
      <c r="H137" s="651"/>
      <c r="I137" s="651"/>
      <c r="J137" s="651"/>
      <c r="K137" s="651"/>
      <c r="L137" s="651"/>
      <c r="M137" s="777">
        <f>(+SUMIFS('300s - 3 Digit FERC Accounts'!E:E,'300s - 3 Digit FERC Accounts'!B:B,368)/1000)-('SPP ADJ T&amp;D'!I16/1000)</f>
        <v>375805.82389999996</v>
      </c>
      <c r="N137" s="651"/>
      <c r="O137" s="651"/>
      <c r="P137" s="651"/>
      <c r="Q137" s="651"/>
      <c r="R137" s="668"/>
      <c r="T137" t="s">
        <v>8472</v>
      </c>
      <c r="U137" s="1586">
        <f>+SUM('Accounting Schedule B-9'!T423:T429)</f>
        <v>301692.12144999998</v>
      </c>
    </row>
    <row r="138" spans="2:21">
      <c r="B138" s="693">
        <v>34</v>
      </c>
      <c r="C138" s="534"/>
      <c r="D138" s="783"/>
      <c r="E138" s="818"/>
      <c r="F138" s="651"/>
      <c r="G138" s="651"/>
      <c r="H138" s="651"/>
      <c r="I138" s="651"/>
      <c r="J138" s="651"/>
      <c r="K138" s="651"/>
      <c r="L138" s="651"/>
      <c r="M138" s="651"/>
      <c r="N138" s="651"/>
      <c r="O138" s="651"/>
      <c r="P138" s="651"/>
      <c r="Q138" s="651"/>
      <c r="R138" s="668"/>
      <c r="T138" t="s">
        <v>8466</v>
      </c>
      <c r="U138" s="1639">
        <f>+SUM(E139:E142)</f>
        <v>301089.02045000001</v>
      </c>
    </row>
    <row r="139" spans="2:21">
      <c r="B139" s="693">
        <v>35</v>
      </c>
      <c r="C139" s="534" t="s">
        <v>4091</v>
      </c>
      <c r="D139" s="783" t="s">
        <v>4071</v>
      </c>
      <c r="E139" s="819">
        <f>+SUM(F139:R139)</f>
        <v>143574.07361000002</v>
      </c>
      <c r="F139" s="651"/>
      <c r="G139" s="651"/>
      <c r="H139" s="651"/>
      <c r="I139" s="651"/>
      <c r="J139" s="651"/>
      <c r="K139" s="651"/>
      <c r="L139" s="651"/>
      <c r="M139" s="651"/>
      <c r="N139" s="651">
        <f>(+SUMIFS('300s - 5 Digit FERC Accounts'!E:E,'300s - 5 Digit FERC Accounts'!B:B,36900)/1000)-('SPP ADJ T&amp;D'!I17/1000)</f>
        <v>66934.435900000011</v>
      </c>
      <c r="O139" s="651">
        <f>(+SUMIFS('300s - 5 Digit FERC Accounts'!E:E,'300s - 5 Digit FERC Accounts'!B:B,36902)/1000)-('SPP ADJ T&amp;D'!I18/1000)</f>
        <v>76639.637709999995</v>
      </c>
      <c r="P139" s="651"/>
      <c r="Q139" s="651"/>
      <c r="R139" s="668"/>
      <c r="U139" s="516">
        <f>+U137-U138</f>
        <v>603.10099999996601</v>
      </c>
    </row>
    <row r="140" spans="2:21">
      <c r="B140" s="693">
        <v>36</v>
      </c>
      <c r="C140" s="534" t="s">
        <v>4092</v>
      </c>
      <c r="D140" s="783" t="s">
        <v>4071</v>
      </c>
      <c r="E140" s="819">
        <f>+SUM(F140:R140)</f>
        <v>25380.59634</v>
      </c>
      <c r="F140" s="651"/>
      <c r="G140" s="651"/>
      <c r="H140" s="651"/>
      <c r="I140" s="651"/>
      <c r="J140" s="651"/>
      <c r="K140" s="651"/>
      <c r="L140" s="651"/>
      <c r="M140" s="651"/>
      <c r="N140" s="651"/>
      <c r="O140" s="651"/>
      <c r="P140" s="651">
        <f>(+SUMIFS('300s - 5 Digit FERC Accounts'!E:E,'300s - 5 Digit FERC Accounts'!B:B,37000)/1000)+(+SUMIFS('300s - 5 Digit FERC Accounts'!E:E,'300s - 5 Digit FERC Accounts'!B:B,37001)/1000)+(+SUMIFS('300s - 5 Digit FERC Accounts'!E:E,'300s - 5 Digit FERC Accounts'!B:B,37010)/1000)-('SPP ADJ T&amp;D'!I19/1000)</f>
        <v>25380.59634</v>
      </c>
      <c r="Q140" s="651"/>
      <c r="R140" s="668"/>
      <c r="T140" t="s">
        <v>8454</v>
      </c>
      <c r="U140" s="1586">
        <f>-SUM('SPP ADJ T&amp;D'!$I$17:$I$21)/1000</f>
        <v>-603.101</v>
      </c>
    </row>
    <row r="141" spans="2:21">
      <c r="B141" s="693">
        <v>37</v>
      </c>
      <c r="C141" s="534" t="s">
        <v>9138</v>
      </c>
      <c r="D141" s="1726" t="s">
        <v>4071</v>
      </c>
      <c r="E141" s="1727">
        <f>+SUM(F141:R141)</f>
        <v>0</v>
      </c>
      <c r="F141" s="651"/>
      <c r="G141" s="651"/>
      <c r="H141" s="651"/>
      <c r="I141" s="777"/>
      <c r="J141" s="651"/>
      <c r="K141" s="42"/>
      <c r="L141" s="651"/>
      <c r="M141" s="651"/>
      <c r="N141" s="651"/>
      <c r="O141" s="651"/>
      <c r="P141" s="651"/>
      <c r="Q141" s="651">
        <f>+SUMIFS('300s - 5 Digit FERC Accounts'!E:E,'300s - 5 Digit FERC Accounts'!B:B,37100)/1000</f>
        <v>0</v>
      </c>
      <c r="R141" s="668"/>
      <c r="T141" s="297" t="s">
        <v>8439</v>
      </c>
      <c r="U141" s="1639">
        <f>+G141</f>
        <v>0</v>
      </c>
    </row>
    <row r="142" spans="2:21">
      <c r="B142" s="693">
        <v>38</v>
      </c>
      <c r="C142" s="785" t="s">
        <v>4093</v>
      </c>
      <c r="D142" s="783" t="s">
        <v>4071</v>
      </c>
      <c r="E142" s="819">
        <f>+SUM(F142:R142)</f>
        <v>132134.3505</v>
      </c>
      <c r="F142" s="537"/>
      <c r="G142" s="537"/>
      <c r="H142" s="537"/>
      <c r="I142" s="537"/>
      <c r="J142" s="537"/>
      <c r="K142" s="537"/>
      <c r="L142" s="537"/>
      <c r="M142" s="537"/>
      <c r="N142" s="537"/>
      <c r="O142" s="537"/>
      <c r="P142" s="537"/>
      <c r="Q142" s="537"/>
      <c r="R142" s="670">
        <f>(+SUMIFS('300s - 3 Digit FERC Accounts'!E:E,'300s - 3 Digit FERC Accounts'!B:B,373)/1000)-('SPP ADJ T&amp;D'!I21/1000)</f>
        <v>132134.3505</v>
      </c>
      <c r="U142" s="1640">
        <f>+SUM(U139:U141)</f>
        <v>-3.3992364478763193E-11</v>
      </c>
    </row>
    <row r="143" spans="2:21">
      <c r="B143" s="693">
        <v>39</v>
      </c>
      <c r="C143" s="540"/>
      <c r="D143" s="786"/>
      <c r="E143" s="821"/>
      <c r="F143" s="651"/>
      <c r="G143" s="651"/>
      <c r="H143" s="651"/>
      <c r="I143" s="651"/>
      <c r="J143" s="651"/>
      <c r="K143" s="651"/>
      <c r="L143" s="651"/>
      <c r="M143" s="651"/>
      <c r="N143" s="651"/>
      <c r="O143" s="651"/>
      <c r="P143" s="651"/>
      <c r="Q143" s="651"/>
      <c r="R143" s="668"/>
    </row>
    <row r="144" spans="2:21">
      <c r="B144" s="693">
        <v>40</v>
      </c>
      <c r="C144" s="534" t="s">
        <v>4130</v>
      </c>
      <c r="D144" s="783" t="s">
        <v>4067</v>
      </c>
      <c r="E144" s="818">
        <f>+SUMIFS(E$106:E$142,$D$106:$D$142,$D$144)</f>
        <v>947639.4791227032</v>
      </c>
      <c r="F144" s="829">
        <f>+SUMIFS(F$106:F$142,$D$106:$D$142,$D$144)</f>
        <v>0</v>
      </c>
      <c r="G144" s="570">
        <f>+SUMIFS(G$106:G$142,$D$106:$D$142,$D$144)</f>
        <v>0</v>
      </c>
      <c r="H144" s="570">
        <f t="shared" ref="H144:R144" si="6">+SUMIFS(H$106:H$142,$D$106:$D$142,$D$144)</f>
        <v>10286.785960000001</v>
      </c>
      <c r="I144" s="570">
        <f t="shared" si="6"/>
        <v>82259.080489999993</v>
      </c>
      <c r="J144" s="570">
        <f t="shared" si="6"/>
        <v>178542.31071405759</v>
      </c>
      <c r="K144" s="570">
        <f t="shared" si="6"/>
        <v>148889.12069894816</v>
      </c>
      <c r="L144" s="570">
        <f t="shared" si="6"/>
        <v>151856.35735969763</v>
      </c>
      <c r="M144" s="570">
        <f t="shared" si="6"/>
        <v>375805.82389999996</v>
      </c>
      <c r="N144" s="570">
        <f t="shared" si="6"/>
        <v>0</v>
      </c>
      <c r="O144" s="570">
        <f t="shared" si="6"/>
        <v>0</v>
      </c>
      <c r="P144" s="570">
        <f t="shared" si="6"/>
        <v>0</v>
      </c>
      <c r="Q144" s="570">
        <f t="shared" si="6"/>
        <v>0</v>
      </c>
      <c r="R144" s="830">
        <f t="shared" si="6"/>
        <v>0</v>
      </c>
      <c r="T144" t="s">
        <v>8473</v>
      </c>
      <c r="U144" s="1586">
        <f>+SUM(U102,U109,U116,U123,U130,U137)-U95</f>
        <v>0</v>
      </c>
    </row>
    <row r="145" spans="2:21">
      <c r="B145" s="693">
        <v>41</v>
      </c>
      <c r="C145" s="785" t="s">
        <v>4130</v>
      </c>
      <c r="D145" s="787" t="s">
        <v>4071</v>
      </c>
      <c r="E145" s="573">
        <f>+SUMIFS(E106:E142,D106:D142,D145)</f>
        <v>318124.96304729668</v>
      </c>
      <c r="F145" s="831">
        <f>+SUMIFS(F$106:F$142,$D$106:$D$142,$D$145)</f>
        <v>0</v>
      </c>
      <c r="G145" s="571">
        <f>+SUMIFS(G$106:G$142,$D$106:$D$142,$D$145)</f>
        <v>0</v>
      </c>
      <c r="H145" s="571">
        <f>+SUMIFS(H$106:H$142,$D$106:$D$142,$D$145)</f>
        <v>0</v>
      </c>
      <c r="I145" s="571">
        <f t="shared" ref="I145:R145" si="7">+SUMIFS(I$106:I$142,$D$106:$D$142,$D$145)</f>
        <v>0</v>
      </c>
      <c r="J145" s="571">
        <f t="shared" si="7"/>
        <v>14631.668475942406</v>
      </c>
      <c r="K145" s="571">
        <f t="shared" si="7"/>
        <v>2332.0188410518558</v>
      </c>
      <c r="L145" s="571">
        <f t="shared" si="7"/>
        <v>72.255280302396912</v>
      </c>
      <c r="M145" s="571">
        <f t="shared" si="7"/>
        <v>0</v>
      </c>
      <c r="N145" s="571">
        <f t="shared" si="7"/>
        <v>66934.435900000011</v>
      </c>
      <c r="O145" s="571">
        <f t="shared" si="7"/>
        <v>76639.637709999995</v>
      </c>
      <c r="P145" s="571">
        <f t="shared" si="7"/>
        <v>25380.59634</v>
      </c>
      <c r="Q145" s="571">
        <f t="shared" si="7"/>
        <v>0</v>
      </c>
      <c r="R145" s="832">
        <f t="shared" si="7"/>
        <v>132134.3505</v>
      </c>
      <c r="T145" t="s">
        <v>8426</v>
      </c>
      <c r="U145" s="1639">
        <f>+SUM(U103,U110,U117,U124,U131,U138)-U96</f>
        <v>0</v>
      </c>
    </row>
    <row r="146" spans="2:21">
      <c r="B146" s="693">
        <v>42</v>
      </c>
      <c r="C146" s="328"/>
      <c r="D146" s="328"/>
      <c r="E146" s="570"/>
      <c r="F146" s="651"/>
      <c r="G146" s="651"/>
      <c r="H146" s="651"/>
      <c r="I146" s="651"/>
      <c r="J146" s="651"/>
      <c r="K146" s="651"/>
      <c r="L146" s="651"/>
      <c r="M146" s="651"/>
      <c r="N146" s="651"/>
      <c r="O146" s="651"/>
      <c r="P146" s="651"/>
      <c r="Q146" s="651"/>
      <c r="R146" s="668"/>
      <c r="U146" s="516">
        <f>+U144-U145</f>
        <v>0</v>
      </c>
    </row>
    <row r="147" spans="2:21" ht="15" thickBot="1">
      <c r="B147" s="693">
        <v>43</v>
      </c>
      <c r="C147" s="328" t="s">
        <v>4127</v>
      </c>
      <c r="D147" s="328" t="s">
        <v>115</v>
      </c>
      <c r="E147" s="576">
        <f>+SUM(E144:E145)</f>
        <v>1265764.4421699999</v>
      </c>
      <c r="F147" s="597">
        <f>+SUM(F144:F145)</f>
        <v>0</v>
      </c>
      <c r="G147" s="597">
        <f t="shared" ref="G147:R147" si="8">+SUM(G144:G145)</f>
        <v>0</v>
      </c>
      <c r="H147" s="597">
        <f t="shared" si="8"/>
        <v>10286.785960000001</v>
      </c>
      <c r="I147" s="597">
        <f t="shared" si="8"/>
        <v>82259.080489999993</v>
      </c>
      <c r="J147" s="597">
        <f t="shared" si="8"/>
        <v>193173.97918999998</v>
      </c>
      <c r="K147" s="597">
        <f t="shared" si="8"/>
        <v>151221.13954</v>
      </c>
      <c r="L147" s="597">
        <f t="shared" si="8"/>
        <v>151928.61264000004</v>
      </c>
      <c r="M147" s="597">
        <f t="shared" si="8"/>
        <v>375805.82389999996</v>
      </c>
      <c r="N147" s="597">
        <f t="shared" si="8"/>
        <v>66934.435900000011</v>
      </c>
      <c r="O147" s="597">
        <f t="shared" si="8"/>
        <v>76639.637709999995</v>
      </c>
      <c r="P147" s="597">
        <f t="shared" si="8"/>
        <v>25380.59634</v>
      </c>
      <c r="Q147" s="597">
        <f t="shared" si="8"/>
        <v>0</v>
      </c>
      <c r="R147" s="600">
        <f t="shared" si="8"/>
        <v>132134.3505</v>
      </c>
      <c r="T147" t="s">
        <v>8454</v>
      </c>
      <c r="U147" s="1586">
        <f>+SUM(U105,U112,U119,U126,U133,U140)-U98</f>
        <v>0</v>
      </c>
    </row>
    <row r="148" spans="2:21" ht="15" thickTop="1">
      <c r="B148" s="535"/>
      <c r="C148" s="467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536"/>
      <c r="T148" s="297" t="s">
        <v>8439</v>
      </c>
      <c r="U148" s="1639">
        <f>+SUM(U106,U113,U120,U127,U134,U141)-U99</f>
        <v>0</v>
      </c>
    </row>
    <row r="149" spans="2:21">
      <c r="B149" s="639"/>
      <c r="C149" s="546"/>
      <c r="D149" s="546"/>
      <c r="E149" s="546"/>
      <c r="F149" s="546"/>
      <c r="G149" s="546"/>
      <c r="H149" s="546"/>
      <c r="I149" s="546"/>
      <c r="J149" s="546"/>
      <c r="K149" s="546"/>
      <c r="L149" s="546"/>
      <c r="M149" s="546"/>
      <c r="N149" s="546"/>
      <c r="O149" s="546"/>
      <c r="P149" s="546"/>
      <c r="Q149" s="546"/>
      <c r="R149" s="547"/>
      <c r="U149" s="1640">
        <f>+SUM(U146:U148)</f>
        <v>0</v>
      </c>
    </row>
    <row r="150" spans="2:21">
      <c r="B150" s="328"/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</row>
    <row r="151" spans="2:21">
      <c r="B151" s="328"/>
      <c r="C151" s="797"/>
      <c r="D151" s="797"/>
      <c r="E151" s="467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</row>
    <row r="152" spans="2:21">
      <c r="B152" s="352" t="s">
        <v>2173</v>
      </c>
      <c r="C152" s="549"/>
      <c r="D152" s="549"/>
      <c r="E152" s="549"/>
      <c r="F152" s="549"/>
      <c r="G152" s="549"/>
      <c r="H152" s="549"/>
      <c r="I152" s="549"/>
      <c r="J152" s="549"/>
      <c r="K152" s="549"/>
      <c r="L152" s="549"/>
      <c r="M152" s="549"/>
      <c r="N152" s="549"/>
      <c r="O152" s="549"/>
      <c r="P152" s="549"/>
      <c r="Q152" s="549"/>
      <c r="R152" s="550"/>
      <c r="T152" t="s">
        <v>8474</v>
      </c>
      <c r="U152" s="1586">
        <f>+'Accounting Schedule B-9'!H536</f>
        <v>156846.65659</v>
      </c>
    </row>
    <row r="153" spans="2:21">
      <c r="B153" s="353" t="s">
        <v>4131</v>
      </c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536"/>
      <c r="T153" t="s">
        <v>8453</v>
      </c>
      <c r="U153" s="1639">
        <f>+E204</f>
        <v>140699.70399000001</v>
      </c>
    </row>
    <row r="154" spans="2:21">
      <c r="B154" s="615" t="s">
        <v>9264</v>
      </c>
      <c r="C154" s="29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536"/>
      <c r="U154" s="516">
        <f>+U152-U153</f>
        <v>16146.95259999999</v>
      </c>
    </row>
    <row r="155" spans="2:21">
      <c r="B155" s="639"/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546"/>
      <c r="P155" s="546"/>
      <c r="Q155" s="546"/>
      <c r="R155" s="547"/>
      <c r="T155" t="s">
        <v>8454</v>
      </c>
      <c r="U155" s="1586">
        <f>-SUM('SPP ADJ T&amp;D'!$J$23/1000)</f>
        <v>-16146.952600000001</v>
      </c>
    </row>
    <row r="156" spans="2:21">
      <c r="B156" s="352"/>
      <c r="C156" s="521"/>
      <c r="D156" s="521"/>
      <c r="E156" s="521"/>
      <c r="F156" s="753" t="s">
        <v>3197</v>
      </c>
      <c r="G156" s="753" t="s">
        <v>3197</v>
      </c>
      <c r="H156" s="753" t="s">
        <v>3197</v>
      </c>
      <c r="I156" s="753" t="s">
        <v>3197</v>
      </c>
      <c r="J156" s="753" t="s">
        <v>3197</v>
      </c>
      <c r="K156" s="753" t="s">
        <v>3197</v>
      </c>
      <c r="L156" s="753" t="s">
        <v>3197</v>
      </c>
      <c r="M156" s="753" t="s">
        <v>3197</v>
      </c>
      <c r="N156" s="753" t="s">
        <v>3197</v>
      </c>
      <c r="O156" s="753" t="s">
        <v>3197</v>
      </c>
      <c r="P156" s="753" t="s">
        <v>3197</v>
      </c>
      <c r="Q156" s="1771" t="s">
        <v>3197</v>
      </c>
      <c r="R156" s="754" t="s">
        <v>3197</v>
      </c>
      <c r="T156" s="297" t="s">
        <v>8439</v>
      </c>
      <c r="U156" s="1639">
        <f>+G163</f>
        <v>0</v>
      </c>
    </row>
    <row r="157" spans="2:21">
      <c r="B157" s="769"/>
      <c r="C157" s="523"/>
      <c r="D157" s="523"/>
      <c r="E157" s="523"/>
      <c r="F157" s="77" t="s">
        <v>1761</v>
      </c>
      <c r="G157" s="77" t="s">
        <v>1761</v>
      </c>
      <c r="H157" s="77" t="s">
        <v>1763</v>
      </c>
      <c r="I157" s="77" t="s">
        <v>1764</v>
      </c>
      <c r="J157" s="77" t="s">
        <v>1765</v>
      </c>
      <c r="K157" s="77" t="s">
        <v>1766</v>
      </c>
      <c r="L157" s="77" t="s">
        <v>1767</v>
      </c>
      <c r="M157" s="77" t="s">
        <v>1769</v>
      </c>
      <c r="N157" s="77">
        <v>369.01</v>
      </c>
      <c r="O157" s="77">
        <v>369.02</v>
      </c>
      <c r="P157" s="77" t="s">
        <v>1770</v>
      </c>
      <c r="Q157" s="77">
        <v>371</v>
      </c>
      <c r="R157" s="364" t="s">
        <v>1771</v>
      </c>
      <c r="U157" s="1640">
        <f>+SUM(U154:U156)</f>
        <v>-1.0913936421275139E-11</v>
      </c>
    </row>
    <row r="158" spans="2:21">
      <c r="B158" s="353"/>
      <c r="C158" s="280"/>
      <c r="D158" s="280"/>
      <c r="E158" s="280"/>
      <c r="F158" s="60" t="s">
        <v>2430</v>
      </c>
      <c r="G158" s="60" t="s">
        <v>4048</v>
      </c>
      <c r="H158" s="60" t="s">
        <v>4049</v>
      </c>
      <c r="I158" s="60" t="s">
        <v>3453</v>
      </c>
      <c r="J158" s="60" t="s">
        <v>4050</v>
      </c>
      <c r="K158" s="60" t="s">
        <v>4051</v>
      </c>
      <c r="L158" s="60" t="s">
        <v>1768</v>
      </c>
      <c r="M158" s="60" t="s">
        <v>2430</v>
      </c>
      <c r="N158" s="60" t="s">
        <v>4051</v>
      </c>
      <c r="O158" s="60" t="s">
        <v>4052</v>
      </c>
      <c r="P158" s="60" t="s">
        <v>4053</v>
      </c>
      <c r="Q158" s="60" t="s">
        <v>9136</v>
      </c>
      <c r="R158" s="767" t="s">
        <v>4054</v>
      </c>
    </row>
    <row r="159" spans="2:21">
      <c r="B159" s="522" t="s">
        <v>2182</v>
      </c>
      <c r="C159" s="523" t="s">
        <v>1918</v>
      </c>
      <c r="D159" s="523" t="s">
        <v>4055</v>
      </c>
      <c r="E159" s="523" t="s">
        <v>115</v>
      </c>
      <c r="F159" s="77" t="s">
        <v>3451</v>
      </c>
      <c r="G159" s="77" t="s">
        <v>3451</v>
      </c>
      <c r="H159" s="77"/>
      <c r="I159" s="77" t="s">
        <v>4056</v>
      </c>
      <c r="J159" s="77"/>
      <c r="K159" s="77" t="s">
        <v>4057</v>
      </c>
      <c r="L159" s="77" t="s">
        <v>4052</v>
      </c>
      <c r="M159" s="77" t="s">
        <v>4059</v>
      </c>
      <c r="N159" s="77" t="s">
        <v>4060</v>
      </c>
      <c r="O159" s="77" t="s">
        <v>4060</v>
      </c>
      <c r="P159" s="77"/>
      <c r="Q159" s="60" t="s">
        <v>9137</v>
      </c>
      <c r="R159" s="364" t="s">
        <v>1954</v>
      </c>
      <c r="T159" t="s">
        <v>8467</v>
      </c>
      <c r="U159" s="1586">
        <f>+'Accounting Schedule B-9'!H415+'Accounting Schedule B-9'!H416</f>
        <v>9995.034450000001</v>
      </c>
    </row>
    <row r="160" spans="2:21">
      <c r="B160" s="641" t="s">
        <v>2175</v>
      </c>
      <c r="C160" s="641" t="s">
        <v>2176</v>
      </c>
      <c r="D160" s="641" t="s">
        <v>2177</v>
      </c>
      <c r="E160" s="641" t="s">
        <v>2178</v>
      </c>
      <c r="F160" s="632" t="s">
        <v>2179</v>
      </c>
      <c r="G160" s="632" t="s">
        <v>2625</v>
      </c>
      <c r="H160" s="632" t="s">
        <v>2626</v>
      </c>
      <c r="I160" s="632" t="s">
        <v>2627</v>
      </c>
      <c r="J160" s="661" t="s">
        <v>2628</v>
      </c>
      <c r="K160" s="661" t="s">
        <v>2629</v>
      </c>
      <c r="L160" s="661" t="s">
        <v>2630</v>
      </c>
      <c r="M160" s="661" t="s">
        <v>4061</v>
      </c>
      <c r="N160" s="661" t="s">
        <v>4062</v>
      </c>
      <c r="O160" s="661" t="s">
        <v>4063</v>
      </c>
      <c r="P160" s="661" t="s">
        <v>4064</v>
      </c>
      <c r="Q160" s="1772" t="s">
        <v>4065</v>
      </c>
      <c r="R160" s="662" t="s">
        <v>4178</v>
      </c>
      <c r="T160" t="s">
        <v>8456</v>
      </c>
      <c r="U160" s="1639">
        <f>+E164</f>
        <v>9806.7207300000009</v>
      </c>
    </row>
    <row r="161" spans="2:21">
      <c r="B161" s="771"/>
      <c r="C161" s="540"/>
      <c r="D161" s="540"/>
      <c r="E161" s="540"/>
      <c r="F161" s="549"/>
      <c r="G161" s="549"/>
      <c r="H161" s="549"/>
      <c r="I161" s="549"/>
      <c r="J161" s="549"/>
      <c r="K161" s="549"/>
      <c r="L161" s="549"/>
      <c r="M161" s="549"/>
      <c r="N161" s="549"/>
      <c r="O161" s="549"/>
      <c r="P161" s="549"/>
      <c r="Q161" s="549"/>
      <c r="R161" s="550"/>
      <c r="U161" s="516">
        <f>+U159-U160</f>
        <v>188.3137200000001</v>
      </c>
    </row>
    <row r="162" spans="2:21">
      <c r="B162" s="604">
        <v>1</v>
      </c>
      <c r="C162" s="775" t="s">
        <v>4132</v>
      </c>
      <c r="D162" s="775"/>
      <c r="E162" s="534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536"/>
      <c r="T162" t="s">
        <v>8454</v>
      </c>
      <c r="U162" s="1586">
        <f>-SUM('SPP ADJ T&amp;D'!$J$10:$J$11)/1000</f>
        <v>-188.31371999999999</v>
      </c>
    </row>
    <row r="163" spans="2:21">
      <c r="B163" s="693">
        <v>2</v>
      </c>
      <c r="C163" s="534" t="s">
        <v>4066</v>
      </c>
      <c r="D163" s="783" t="s">
        <v>4067</v>
      </c>
      <c r="E163" s="817">
        <v>0</v>
      </c>
      <c r="F163" s="42"/>
      <c r="G163" s="42"/>
      <c r="H163" s="42">
        <f>+IF($E163=0,0,((H164/$E164)*$E163))</f>
        <v>0</v>
      </c>
      <c r="I163" s="42">
        <f>+IF($E163=0,0,((I164/$E164)*$E163))</f>
        <v>0</v>
      </c>
      <c r="J163" s="651"/>
      <c r="K163" s="651"/>
      <c r="L163" s="651"/>
      <c r="M163" s="651"/>
      <c r="N163" s="651"/>
      <c r="O163" s="651"/>
      <c r="P163" s="651"/>
      <c r="Q163" s="651"/>
      <c r="R163" s="668"/>
      <c r="T163" s="297" t="s">
        <v>8439</v>
      </c>
      <c r="U163" s="1639">
        <f>+G163</f>
        <v>0</v>
      </c>
    </row>
    <row r="164" spans="2:21">
      <c r="B164" s="693">
        <v>3</v>
      </c>
      <c r="C164" s="534" t="s">
        <v>4068</v>
      </c>
      <c r="D164" s="783" t="s">
        <v>4067</v>
      </c>
      <c r="E164" s="828">
        <f>+SUM(F164:R164)</f>
        <v>9806.7207300000009</v>
      </c>
      <c r="F164" s="42"/>
      <c r="G164" s="42"/>
      <c r="H164" s="439">
        <f>(+SUMIFS('300s - 5 Digit FERC Accounts'!$F:$F,'300s - 5 Digit FERC Accounts'!$B:$B,36100)/1000)-('SPP ADJ T&amp;D'!J10/1000)</f>
        <v>875.54075999999998</v>
      </c>
      <c r="I164" s="439">
        <f>(+SUMIFS('300s - 5 Digit FERC Accounts'!$F:$F,'300s - 5 Digit FERC Accounts'!$B:$B,36200)/1000)-('SPP ADJ T&amp;D'!J11/1000)</f>
        <v>8931.179970000001</v>
      </c>
      <c r="J164" s="651"/>
      <c r="K164" s="651"/>
      <c r="L164" s="651"/>
      <c r="M164" s="651"/>
      <c r="N164" s="651"/>
      <c r="O164" s="651"/>
      <c r="P164" s="651"/>
      <c r="Q164" s="651"/>
      <c r="R164" s="668"/>
      <c r="U164" s="1640">
        <f>+SUM(U161:U163)</f>
        <v>1.1368683772161603E-13</v>
      </c>
    </row>
    <row r="165" spans="2:21">
      <c r="B165" s="693">
        <v>4</v>
      </c>
      <c r="C165" s="534" t="s">
        <v>4069</v>
      </c>
      <c r="D165" s="783" t="s">
        <v>115</v>
      </c>
      <c r="E165" s="820">
        <f>+SUM(E163:E164)</f>
        <v>9806.7207300000009</v>
      </c>
      <c r="F165" s="42"/>
      <c r="G165" s="42"/>
      <c r="H165" s="774">
        <f>+SUM(H163:H164)</f>
        <v>875.54075999999998</v>
      </c>
      <c r="I165" s="774">
        <f>+SUM(I163:I164)</f>
        <v>8931.179970000001</v>
      </c>
      <c r="J165" s="651"/>
      <c r="K165" s="651"/>
      <c r="L165" s="651"/>
      <c r="M165" s="651"/>
      <c r="N165" s="651"/>
      <c r="O165" s="651"/>
      <c r="P165" s="651"/>
      <c r="Q165" s="651"/>
      <c r="R165" s="668"/>
    </row>
    <row r="166" spans="2:21">
      <c r="B166" s="693">
        <v>5</v>
      </c>
      <c r="C166" s="534"/>
      <c r="D166" s="783"/>
      <c r="E166" s="820"/>
      <c r="F166" s="328"/>
      <c r="G166" s="328"/>
      <c r="H166" s="328"/>
      <c r="I166" s="328"/>
      <c r="J166" s="651"/>
      <c r="K166" s="651"/>
      <c r="L166" s="651"/>
      <c r="M166" s="651"/>
      <c r="N166" s="651"/>
      <c r="O166" s="651"/>
      <c r="P166" s="651"/>
      <c r="Q166" s="651"/>
      <c r="R166" s="668"/>
      <c r="T166" t="s">
        <v>8468</v>
      </c>
      <c r="U166" s="1586">
        <f>+'Accounting Schedule B-9'!H418</f>
        <v>26341.50128</v>
      </c>
    </row>
    <row r="167" spans="2:21">
      <c r="B167" s="693">
        <v>6</v>
      </c>
      <c r="C167" s="534"/>
      <c r="D167" s="783"/>
      <c r="E167" s="818"/>
      <c r="F167" s="651"/>
      <c r="G167" s="651"/>
      <c r="H167" s="651"/>
      <c r="I167" s="651"/>
      <c r="J167" s="651"/>
      <c r="K167" s="651"/>
      <c r="L167" s="651"/>
      <c r="M167" s="651"/>
      <c r="N167" s="651"/>
      <c r="O167" s="651"/>
      <c r="P167" s="651"/>
      <c r="Q167" s="651"/>
      <c r="R167" s="668"/>
      <c r="T167" t="s">
        <v>8457</v>
      </c>
      <c r="U167" s="1639">
        <f>+E173</f>
        <v>26994.533890000006</v>
      </c>
    </row>
    <row r="168" spans="2:21">
      <c r="B168" s="693">
        <v>7</v>
      </c>
      <c r="C168" s="534" t="s">
        <v>4128</v>
      </c>
      <c r="D168" s="783" t="s">
        <v>4071</v>
      </c>
      <c r="E168" s="819">
        <f>+SUM(F168:R168)</f>
        <v>2044.6598045826174</v>
      </c>
      <c r="F168" s="651"/>
      <c r="G168" s="651"/>
      <c r="H168" s="651"/>
      <c r="I168" s="651"/>
      <c r="J168" s="42">
        <f>+IF($J$173=0,0,$J$173*(J19/$J$24))</f>
        <v>2044.6598045826174</v>
      </c>
      <c r="K168" s="651"/>
      <c r="L168" s="651"/>
      <c r="M168" s="651"/>
      <c r="N168" s="651"/>
      <c r="O168" s="651"/>
      <c r="P168" s="651"/>
      <c r="Q168" s="651"/>
      <c r="R168" s="668"/>
      <c r="U168" s="516">
        <f>+U166-U167</f>
        <v>-653.03261000000566</v>
      </c>
    </row>
    <row r="169" spans="2:21">
      <c r="B169" s="693">
        <v>8</v>
      </c>
      <c r="C169" s="534" t="s">
        <v>4072</v>
      </c>
      <c r="D169" s="783" t="s">
        <v>4067</v>
      </c>
      <c r="E169" s="819">
        <f>+SUM(F169:R169)</f>
        <v>19187.392134374531</v>
      </c>
      <c r="F169" s="651"/>
      <c r="G169" s="651"/>
      <c r="H169" s="651"/>
      <c r="I169" s="651"/>
      <c r="J169" s="42">
        <f>+IF($J$173=0,0,$J$173*(J20/$J$24))</f>
        <v>19187.392134374531</v>
      </c>
      <c r="K169" s="651"/>
      <c r="L169" s="651"/>
      <c r="M169" s="651"/>
      <c r="N169" s="651"/>
      <c r="O169" s="651"/>
      <c r="P169" s="651"/>
      <c r="Q169" s="651"/>
      <c r="R169" s="668"/>
      <c r="T169" t="s">
        <v>8454</v>
      </c>
      <c r="U169" s="1586">
        <f>-'SPP ADJ T&amp;D'!$J$12/1000</f>
        <v>653.03261000000032</v>
      </c>
    </row>
    <row r="170" spans="2:21">
      <c r="B170" s="693">
        <v>9</v>
      </c>
      <c r="C170" s="631" t="s">
        <v>4073</v>
      </c>
      <c r="D170" s="783" t="s">
        <v>4071</v>
      </c>
      <c r="E170" s="819">
        <f>+SUM(F170:R170)</f>
        <v>0</v>
      </c>
      <c r="F170" s="651"/>
      <c r="G170" s="651"/>
      <c r="H170" s="651"/>
      <c r="I170" s="651"/>
      <c r="J170" s="42">
        <f>+IF($J$173=0,0,$J$173*(J21/$J$24))</f>
        <v>0</v>
      </c>
      <c r="K170" s="651"/>
      <c r="L170" s="651"/>
      <c r="M170" s="651"/>
      <c r="N170" s="651"/>
      <c r="O170" s="651"/>
      <c r="P170" s="651"/>
      <c r="Q170" s="651"/>
      <c r="R170" s="668"/>
      <c r="T170" s="297" t="s">
        <v>8439</v>
      </c>
      <c r="U170" s="1639">
        <f>+G170</f>
        <v>0</v>
      </c>
    </row>
    <row r="171" spans="2:21">
      <c r="B171" s="693">
        <v>10</v>
      </c>
      <c r="C171" s="534" t="s">
        <v>4074</v>
      </c>
      <c r="D171" s="783" t="s">
        <v>4067</v>
      </c>
      <c r="E171" s="819">
        <f>+SUM(F171:R171)</f>
        <v>5762.4819510428561</v>
      </c>
      <c r="F171" s="651"/>
      <c r="G171" s="651"/>
      <c r="H171" s="651"/>
      <c r="I171" s="651"/>
      <c r="J171" s="42">
        <f>+IF($J$173=0,0,$J$173*(J22/$J$24))</f>
        <v>5762.4819510428561</v>
      </c>
      <c r="K171" s="651"/>
      <c r="L171" s="651"/>
      <c r="M171" s="651"/>
      <c r="N171" s="651"/>
      <c r="O171" s="651"/>
      <c r="P171" s="651"/>
      <c r="Q171" s="651"/>
      <c r="R171" s="668"/>
      <c r="U171" s="1640">
        <f>+SUM(U168:U170)</f>
        <v>-5.3432813729159534E-12</v>
      </c>
    </row>
    <row r="172" spans="2:21">
      <c r="B172" s="693">
        <v>11</v>
      </c>
      <c r="C172" s="631" t="s">
        <v>4075</v>
      </c>
      <c r="D172" s="783" t="s">
        <v>4071</v>
      </c>
      <c r="E172" s="828">
        <f>+SUM(F172:R172)</f>
        <v>0</v>
      </c>
      <c r="F172" s="651"/>
      <c r="G172" s="651"/>
      <c r="H172" s="651"/>
      <c r="I172" s="651"/>
      <c r="J172" s="439">
        <f>+IF($J$173=0,0,$J$173*(J23/$J$24))</f>
        <v>0</v>
      </c>
      <c r="K172" s="651"/>
      <c r="L172" s="651"/>
      <c r="M172" s="651"/>
      <c r="N172" s="651"/>
      <c r="O172" s="651"/>
      <c r="P172" s="651"/>
      <c r="Q172" s="651"/>
      <c r="R172" s="668"/>
    </row>
    <row r="173" spans="2:21">
      <c r="B173" s="693">
        <v>12</v>
      </c>
      <c r="C173" s="534" t="s">
        <v>4076</v>
      </c>
      <c r="D173" s="783" t="s">
        <v>115</v>
      </c>
      <c r="E173" s="820">
        <f>+SUM(E168:E172)</f>
        <v>26994.533890000006</v>
      </c>
      <c r="F173" s="651"/>
      <c r="G173" s="651"/>
      <c r="H173" s="651"/>
      <c r="I173" s="651"/>
      <c r="J173" s="774">
        <f>(+SUMIFS('300s - 3 Digit FERC Accounts'!F:F,'300s - 3 Digit FERC Accounts'!B:B,364)/1000)-('SPP ADJ T&amp;D'!J12/1000)</f>
        <v>26994.533890000002</v>
      </c>
      <c r="K173" s="651"/>
      <c r="L173" s="651"/>
      <c r="M173" s="651"/>
      <c r="N173" s="651"/>
      <c r="O173" s="651"/>
      <c r="P173" s="651"/>
      <c r="Q173" s="651"/>
      <c r="R173" s="668"/>
      <c r="T173" t="s">
        <v>8469</v>
      </c>
      <c r="U173" s="1586">
        <f>+'Accounting Schedule B-9'!H419</f>
        <v>7051.0570399999997</v>
      </c>
    </row>
    <row r="174" spans="2:21">
      <c r="B174" s="693">
        <v>13</v>
      </c>
      <c r="C174" s="534"/>
      <c r="D174" s="783"/>
      <c r="E174" s="818"/>
      <c r="F174" s="651"/>
      <c r="G174" s="651"/>
      <c r="H174" s="651"/>
      <c r="I174" s="651"/>
      <c r="J174" s="651"/>
      <c r="K174" s="651"/>
      <c r="L174" s="651"/>
      <c r="M174" s="651"/>
      <c r="N174" s="651"/>
      <c r="O174" s="651"/>
      <c r="P174" s="651"/>
      <c r="Q174" s="651"/>
      <c r="R174" s="668"/>
      <c r="T174" t="s">
        <v>8460</v>
      </c>
      <c r="U174" s="1639">
        <f>+E180</f>
        <v>6939.2229200000002</v>
      </c>
    </row>
    <row r="175" spans="2:21">
      <c r="B175" s="693">
        <v>14</v>
      </c>
      <c r="C175" s="534" t="s">
        <v>4129</v>
      </c>
      <c r="D175" s="783" t="s">
        <v>4071</v>
      </c>
      <c r="E175" s="819">
        <f>+SUM(F175:R175)</f>
        <v>107.01148424700513</v>
      </c>
      <c r="F175" s="42"/>
      <c r="G175" s="651"/>
      <c r="H175" s="651"/>
      <c r="I175" s="651"/>
      <c r="J175" s="651"/>
      <c r="K175" s="42">
        <f>+IF($K$180=0,0,$K$180*(K26/$K$31))</f>
        <v>107.01148424700513</v>
      </c>
      <c r="L175" s="651"/>
      <c r="M175" s="651"/>
      <c r="N175" s="651"/>
      <c r="O175" s="651"/>
      <c r="P175" s="651"/>
      <c r="Q175" s="651"/>
      <c r="R175" s="668"/>
      <c r="U175" s="516">
        <f>+U173-U174</f>
        <v>111.83411999999953</v>
      </c>
    </row>
    <row r="176" spans="2:21">
      <c r="B176" s="693">
        <v>15</v>
      </c>
      <c r="C176" s="534" t="s">
        <v>4078</v>
      </c>
      <c r="D176" s="783" t="s">
        <v>4067</v>
      </c>
      <c r="E176" s="819">
        <f>+SUM(F176:R176)</f>
        <v>5930.0781825408103</v>
      </c>
      <c r="F176" s="42"/>
      <c r="G176" s="651"/>
      <c r="H176" s="651"/>
      <c r="I176" s="651"/>
      <c r="J176" s="651"/>
      <c r="K176" s="42">
        <f>+IF($K$180=0,0,$K$180*(K27/$K$31))</f>
        <v>5930.0781825408103</v>
      </c>
      <c r="L176" s="651"/>
      <c r="M176" s="651"/>
      <c r="N176" s="651"/>
      <c r="O176" s="651"/>
      <c r="P176" s="651"/>
      <c r="Q176" s="651"/>
      <c r="R176" s="668"/>
      <c r="T176" t="s">
        <v>8454</v>
      </c>
      <c r="U176" s="1586">
        <f>-'SPP ADJ T&amp;D'!$J$13/1000</f>
        <v>-111.83411999999997</v>
      </c>
    </row>
    <row r="177" spans="2:21">
      <c r="B177" s="693">
        <v>16</v>
      </c>
      <c r="C177" s="631" t="s">
        <v>4079</v>
      </c>
      <c r="D177" s="783" t="s">
        <v>4071</v>
      </c>
      <c r="E177" s="819">
        <f>+SUM(F177:R177)</f>
        <v>0</v>
      </c>
      <c r="F177" s="42"/>
      <c r="G177" s="651"/>
      <c r="H177" s="651"/>
      <c r="I177" s="651"/>
      <c r="J177" s="651"/>
      <c r="K177" s="42">
        <f>+IF($K$180=0,0,$K$180*(K28/$K$31))</f>
        <v>0</v>
      </c>
      <c r="L177" s="651"/>
      <c r="M177" s="651"/>
      <c r="N177" s="651"/>
      <c r="O177" s="651"/>
      <c r="P177" s="651"/>
      <c r="Q177" s="651"/>
      <c r="R177" s="668"/>
      <c r="T177" s="297" t="s">
        <v>8439</v>
      </c>
      <c r="U177" s="1639">
        <f>+G177</f>
        <v>0</v>
      </c>
    </row>
    <row r="178" spans="2:21">
      <c r="B178" s="693">
        <v>17</v>
      </c>
      <c r="C178" s="534" t="s">
        <v>4080</v>
      </c>
      <c r="D178" s="783" t="s">
        <v>4067</v>
      </c>
      <c r="E178" s="819">
        <f>+SUM(F178:R178)</f>
        <v>902.13325321218497</v>
      </c>
      <c r="F178" s="42"/>
      <c r="G178" s="801"/>
      <c r="H178" s="801"/>
      <c r="I178" s="651"/>
      <c r="J178" s="651"/>
      <c r="K178" s="42">
        <f>+IF($K$180=0,0,$K$180*(K29/$K$31))</f>
        <v>902.13325321218497</v>
      </c>
      <c r="L178" s="651"/>
      <c r="M178" s="651"/>
      <c r="N178" s="651"/>
      <c r="O178" s="651"/>
      <c r="P178" s="651"/>
      <c r="Q178" s="651"/>
      <c r="R178" s="668"/>
      <c r="U178" s="1640">
        <f>+SUM(U175:U177)</f>
        <v>-4.4053649617126212E-13</v>
      </c>
    </row>
    <row r="179" spans="2:21">
      <c r="B179" s="693">
        <v>18</v>
      </c>
      <c r="C179" s="631" t="s">
        <v>4081</v>
      </c>
      <c r="D179" s="783" t="s">
        <v>4071</v>
      </c>
      <c r="E179" s="828">
        <f>+SUM(F179:R179)</f>
        <v>0</v>
      </c>
      <c r="F179" s="42"/>
      <c r="G179" s="801"/>
      <c r="H179" s="801"/>
      <c r="I179" s="651"/>
      <c r="J179" s="651"/>
      <c r="K179" s="439">
        <f>+IF($K$180=0,0,$K$180*(K30/$K$31))</f>
        <v>0</v>
      </c>
      <c r="L179" s="651"/>
      <c r="M179" s="651"/>
      <c r="N179" s="651"/>
      <c r="O179" s="651"/>
      <c r="P179" s="651"/>
      <c r="Q179" s="651"/>
      <c r="R179" s="668"/>
    </row>
    <row r="180" spans="2:21">
      <c r="B180" s="693">
        <v>19</v>
      </c>
      <c r="C180" s="534" t="s">
        <v>4082</v>
      </c>
      <c r="D180" s="783" t="s">
        <v>115</v>
      </c>
      <c r="E180" s="820">
        <f>+SUM(E175:E179)</f>
        <v>6939.2229200000002</v>
      </c>
      <c r="F180" s="651"/>
      <c r="G180" s="801"/>
      <c r="H180" s="801"/>
      <c r="I180" s="651"/>
      <c r="J180" s="651"/>
      <c r="K180" s="774">
        <f>(+SUMIFS('300s - 3 Digit FERC Accounts'!F:F,'300s - 3 Digit FERC Accounts'!B:B,365)/1000)-('SPP ADJ T&amp;D'!J13/1000)</f>
        <v>6939.2229200000002</v>
      </c>
      <c r="L180" s="651"/>
      <c r="M180" s="651"/>
      <c r="N180" s="651"/>
      <c r="O180" s="651"/>
      <c r="P180" s="651"/>
      <c r="Q180" s="651"/>
      <c r="R180" s="668"/>
      <c r="T180" t="s">
        <v>8470</v>
      </c>
      <c r="U180" s="1586">
        <f>+'Accounting Schedule B-9'!H420+'Accounting Schedule B-9'!H421</f>
        <v>36033.862289999997</v>
      </c>
    </row>
    <row r="181" spans="2:21">
      <c r="B181" s="693">
        <v>20</v>
      </c>
      <c r="C181" s="534"/>
      <c r="D181" s="783"/>
      <c r="E181" s="818"/>
      <c r="F181" s="651"/>
      <c r="G181" s="801"/>
      <c r="H181" s="801"/>
      <c r="I181" s="651"/>
      <c r="J181" s="651"/>
      <c r="K181" s="651"/>
      <c r="L181" s="651"/>
      <c r="M181" s="651"/>
      <c r="N181" s="651"/>
      <c r="O181" s="651"/>
      <c r="P181" s="651"/>
      <c r="Q181" s="651"/>
      <c r="R181" s="668"/>
      <c r="T181" t="s">
        <v>8461</v>
      </c>
      <c r="U181" s="1639">
        <f>+E187</f>
        <v>21346.182480000007</v>
      </c>
    </row>
    <row r="182" spans="2:21">
      <c r="B182" s="693">
        <v>21</v>
      </c>
      <c r="C182" s="534" t="s">
        <v>4083</v>
      </c>
      <c r="D182" s="783" t="s">
        <v>4071</v>
      </c>
      <c r="E182" s="819">
        <f>+SUM(F182:R182)</f>
        <v>10.151967899116032</v>
      </c>
      <c r="F182" s="651"/>
      <c r="G182" s="801"/>
      <c r="H182" s="801"/>
      <c r="I182" s="651"/>
      <c r="J182" s="651"/>
      <c r="K182" s="651"/>
      <c r="L182" s="42">
        <f>+IF($L$187=0,0,$L$187*(L33/$L$38))</f>
        <v>10.151967899116032</v>
      </c>
      <c r="M182" s="651"/>
      <c r="N182" s="651"/>
      <c r="O182" s="651"/>
      <c r="P182" s="651"/>
      <c r="Q182" s="651"/>
      <c r="R182" s="668"/>
      <c r="U182" s="516">
        <f>+U180-U181</f>
        <v>14687.679809999991</v>
      </c>
    </row>
    <row r="183" spans="2:21">
      <c r="B183" s="693">
        <v>22</v>
      </c>
      <c r="C183" s="534" t="s">
        <v>4084</v>
      </c>
      <c r="D183" s="783" t="s">
        <v>4067</v>
      </c>
      <c r="E183" s="819">
        <f>+SUM(F183:R183)</f>
        <v>19824.48663502411</v>
      </c>
      <c r="F183" s="651"/>
      <c r="G183" s="801"/>
      <c r="H183" s="801"/>
      <c r="I183" s="651"/>
      <c r="J183" s="651"/>
      <c r="K183" s="651"/>
      <c r="L183" s="42">
        <f>+IF($L$187=0,0,$L$187*(L34/$L$38))</f>
        <v>19824.48663502411</v>
      </c>
      <c r="M183" s="651"/>
      <c r="N183" s="651"/>
      <c r="O183" s="651"/>
      <c r="P183" s="651"/>
      <c r="Q183" s="651"/>
      <c r="R183" s="668"/>
      <c r="T183" t="s">
        <v>8454</v>
      </c>
      <c r="U183" s="1586">
        <f>-SUM('SPP ADJ T&amp;D'!$J$14:$J$15)/1000</f>
        <v>-14687.679809999998</v>
      </c>
    </row>
    <row r="184" spans="2:21">
      <c r="B184" s="693">
        <v>23</v>
      </c>
      <c r="C184" s="631" t="s">
        <v>4085</v>
      </c>
      <c r="D184" s="783" t="s">
        <v>4071</v>
      </c>
      <c r="E184" s="819">
        <f>+SUM(F184:R184)</f>
        <v>0</v>
      </c>
      <c r="F184" s="651"/>
      <c r="G184" s="801"/>
      <c r="H184" s="801"/>
      <c r="I184" s="651"/>
      <c r="J184" s="651"/>
      <c r="K184" s="651"/>
      <c r="L184" s="42">
        <f>+IF($L$187=0,0,$L$187*(L35/$L$38))</f>
        <v>0</v>
      </c>
      <c r="M184" s="651"/>
      <c r="N184" s="651"/>
      <c r="O184" s="651"/>
      <c r="P184" s="651"/>
      <c r="Q184" s="651"/>
      <c r="R184" s="668"/>
      <c r="T184" s="297" t="s">
        <v>8439</v>
      </c>
      <c r="U184" s="1639">
        <f>+G184</f>
        <v>0</v>
      </c>
    </row>
    <row r="185" spans="2:21">
      <c r="B185" s="693">
        <v>24</v>
      </c>
      <c r="C185" s="534" t="s">
        <v>4086</v>
      </c>
      <c r="D185" s="783" t="s">
        <v>4067</v>
      </c>
      <c r="E185" s="819">
        <f>+SUM(F185:R185)</f>
        <v>1511.5438770767803</v>
      </c>
      <c r="F185" s="651"/>
      <c r="G185" s="801"/>
      <c r="H185" s="801"/>
      <c r="I185" s="651"/>
      <c r="J185" s="651"/>
      <c r="K185" s="651"/>
      <c r="L185" s="42">
        <f>+IF($L$187=0,0,$L$187*(L36/$L$38))</f>
        <v>1511.5438770767803</v>
      </c>
      <c r="M185" s="651"/>
      <c r="N185" s="651"/>
      <c r="O185" s="651"/>
      <c r="P185" s="651"/>
      <c r="Q185" s="651"/>
      <c r="R185" s="668"/>
      <c r="U185" s="1640">
        <f>+SUM(U182:U184)</f>
        <v>-7.2759576141834259E-12</v>
      </c>
    </row>
    <row r="186" spans="2:21">
      <c r="B186" s="693">
        <v>25</v>
      </c>
      <c r="C186" s="631" t="s">
        <v>4087</v>
      </c>
      <c r="D186" s="783" t="s">
        <v>4071</v>
      </c>
      <c r="E186" s="828">
        <f>+SUM(F186:R186)</f>
        <v>0</v>
      </c>
      <c r="F186" s="651"/>
      <c r="G186" s="801"/>
      <c r="H186" s="801"/>
      <c r="I186" s="651"/>
      <c r="J186" s="651"/>
      <c r="K186" s="651"/>
      <c r="L186" s="439">
        <f>+IF($L$187=0,0,$L$187*(L37/$L$38))</f>
        <v>0</v>
      </c>
      <c r="M186" s="651"/>
      <c r="N186" s="651"/>
      <c r="O186" s="651"/>
      <c r="P186" s="651"/>
      <c r="Q186" s="651"/>
      <c r="R186" s="668"/>
    </row>
    <row r="187" spans="2:21">
      <c r="B187" s="693">
        <v>26</v>
      </c>
      <c r="C187" s="534" t="s">
        <v>4088</v>
      </c>
      <c r="D187" s="783" t="s">
        <v>115</v>
      </c>
      <c r="E187" s="820">
        <f>+SUM(E182:E186)</f>
        <v>21346.182480000007</v>
      </c>
      <c r="F187" s="651"/>
      <c r="G187" s="801"/>
      <c r="H187" s="801"/>
      <c r="I187" s="651"/>
      <c r="J187" s="651"/>
      <c r="K187" s="651"/>
      <c r="L187" s="774">
        <f>(+SUMIFS('300s - 3 Digit FERC Accounts'!F:F,'300s - 3 Digit FERC Accounts'!B:B,366)/1000)-('SPP ADJ T&amp;D'!J14/1000)+(+SUMIFS('300s - 3 Digit FERC Accounts'!F:F,'300s - 3 Digit FERC Accounts'!B:B,367)/1000)-('SPP ADJ T&amp;D'!J15/1000)</f>
        <v>21346.182480000003</v>
      </c>
      <c r="M187" s="651"/>
      <c r="N187" s="651"/>
      <c r="O187" s="651"/>
      <c r="P187" s="651"/>
      <c r="Q187" s="651"/>
      <c r="R187" s="668"/>
      <c r="T187" t="s">
        <v>8471</v>
      </c>
      <c r="U187" s="1586">
        <f>+'Accounting Schedule B-9'!H422</f>
        <v>40688.717689999998</v>
      </c>
    </row>
    <row r="188" spans="2:21">
      <c r="B188" s="693">
        <v>27</v>
      </c>
      <c r="C188" s="534"/>
      <c r="D188" s="783"/>
      <c r="E188" s="818"/>
      <c r="F188" s="651"/>
      <c r="G188" s="651"/>
      <c r="H188" s="651"/>
      <c r="I188" s="651"/>
      <c r="J188" s="651"/>
      <c r="K188" s="651"/>
      <c r="L188" s="651"/>
      <c r="M188" s="651"/>
      <c r="N188" s="651"/>
      <c r="O188" s="651"/>
      <c r="P188" s="651"/>
      <c r="Q188" s="651"/>
      <c r="R188" s="668"/>
      <c r="T188" t="s">
        <v>8464</v>
      </c>
      <c r="U188" s="1639">
        <f>+E194</f>
        <v>39194.892769999999</v>
      </c>
    </row>
    <row r="189" spans="2:21">
      <c r="B189" s="693">
        <v>28</v>
      </c>
      <c r="C189" s="534" t="s">
        <v>4089</v>
      </c>
      <c r="D189" s="783" t="s">
        <v>4071</v>
      </c>
      <c r="E189" s="819">
        <f>+SUM(F189:R189)</f>
        <v>0</v>
      </c>
      <c r="F189" s="651"/>
      <c r="G189" s="651"/>
      <c r="H189" s="651"/>
      <c r="I189" s="651"/>
      <c r="J189" s="651"/>
      <c r="K189" s="651"/>
      <c r="L189" s="651"/>
      <c r="M189" s="42">
        <f>+IF($M$194=0,0,$M$194*(M40/$M$45))</f>
        <v>0</v>
      </c>
      <c r="N189" s="651"/>
      <c r="O189" s="651"/>
      <c r="P189" s="651"/>
      <c r="Q189" s="651"/>
      <c r="R189" s="668"/>
      <c r="U189" s="516">
        <f>+U187-U188</f>
        <v>1493.8249199999991</v>
      </c>
    </row>
    <row r="190" spans="2:21">
      <c r="B190" s="693">
        <v>29</v>
      </c>
      <c r="C190" s="534" t="s">
        <v>4174</v>
      </c>
      <c r="D190" s="783" t="s">
        <v>4067</v>
      </c>
      <c r="E190" s="819">
        <f>+SUM(F190:R190)</f>
        <v>6446.2285393647117</v>
      </c>
      <c r="F190" s="651"/>
      <c r="G190" s="651"/>
      <c r="H190" s="651"/>
      <c r="I190" s="651"/>
      <c r="J190" s="651"/>
      <c r="K190" s="651"/>
      <c r="L190" s="651"/>
      <c r="M190" s="42">
        <f>+IF($M$194=0,0,$M$194*(M41/$M$45))</f>
        <v>6446.2285393647117</v>
      </c>
      <c r="N190" s="651"/>
      <c r="O190" s="651"/>
      <c r="P190" s="651"/>
      <c r="Q190" s="651"/>
      <c r="R190" s="668"/>
      <c r="T190" t="s">
        <v>8454</v>
      </c>
      <c r="U190" s="1586">
        <f>-'SPP ADJ T&amp;D'!$J$16/1000</f>
        <v>-1493.8249200000005</v>
      </c>
    </row>
    <row r="191" spans="2:21">
      <c r="B191" s="693">
        <v>30</v>
      </c>
      <c r="C191" s="534" t="s">
        <v>4175</v>
      </c>
      <c r="D191" s="783" t="s">
        <v>4071</v>
      </c>
      <c r="E191" s="819">
        <f>+SUM(F191:R191)</f>
        <v>0</v>
      </c>
      <c r="F191" s="651"/>
      <c r="G191" s="651"/>
      <c r="H191" s="651"/>
      <c r="I191" s="651"/>
      <c r="J191" s="651"/>
      <c r="K191" s="651"/>
      <c r="L191" s="651"/>
      <c r="M191" s="42">
        <f>+IF($M$194=0,0,$M$194*(M42/$M$45))</f>
        <v>0</v>
      </c>
      <c r="N191" s="651"/>
      <c r="O191" s="651"/>
      <c r="P191" s="651"/>
      <c r="Q191" s="651"/>
      <c r="R191" s="668"/>
      <c r="T191" s="297" t="s">
        <v>8439</v>
      </c>
      <c r="U191" s="1639">
        <f>+G191</f>
        <v>0</v>
      </c>
    </row>
    <row r="192" spans="2:21">
      <c r="B192" s="693">
        <v>31</v>
      </c>
      <c r="C192" s="631" t="s">
        <v>4176</v>
      </c>
      <c r="D192" s="783" t="s">
        <v>4067</v>
      </c>
      <c r="E192" s="819">
        <f>+SUM(F192:R192)</f>
        <v>32748.664230635288</v>
      </c>
      <c r="F192" s="651"/>
      <c r="G192" s="651"/>
      <c r="H192" s="651"/>
      <c r="I192" s="651"/>
      <c r="J192" s="651"/>
      <c r="K192" s="651"/>
      <c r="L192" s="651"/>
      <c r="M192" s="42">
        <f>+IF($M$194=0,0,$M$194*(M43/$M$45))</f>
        <v>32748.664230635288</v>
      </c>
      <c r="N192" s="651"/>
      <c r="O192" s="651"/>
      <c r="P192" s="651"/>
      <c r="Q192" s="651"/>
      <c r="R192" s="668"/>
      <c r="U192" s="1640">
        <f>+SUM(U189:U191)</f>
        <v>-1.3642420526593924E-12</v>
      </c>
    </row>
    <row r="193" spans="2:21">
      <c r="B193" s="693">
        <v>32</v>
      </c>
      <c r="C193" s="631" t="s">
        <v>4177</v>
      </c>
      <c r="D193" s="783" t="s">
        <v>4071</v>
      </c>
      <c r="E193" s="828">
        <f>+SUM(F193:R193)</f>
        <v>0</v>
      </c>
      <c r="F193" s="651"/>
      <c r="G193" s="651"/>
      <c r="H193" s="651"/>
      <c r="I193" s="651"/>
      <c r="J193" s="651"/>
      <c r="K193" s="651"/>
      <c r="L193" s="651"/>
      <c r="M193" s="439">
        <f>+IF($M$194=0,0,$M$194*(M44/$M$45))</f>
        <v>0</v>
      </c>
      <c r="N193" s="651"/>
      <c r="O193" s="651"/>
      <c r="P193" s="651"/>
      <c r="Q193" s="651"/>
      <c r="R193" s="668"/>
    </row>
    <row r="194" spans="2:21">
      <c r="B194" s="693">
        <v>33</v>
      </c>
      <c r="C194" s="534" t="s">
        <v>4090</v>
      </c>
      <c r="D194" s="783" t="s">
        <v>115</v>
      </c>
      <c r="E194" s="820">
        <f>+SUM(E189:E193)</f>
        <v>39194.892769999999</v>
      </c>
      <c r="F194" s="651"/>
      <c r="G194" s="651"/>
      <c r="H194" s="651"/>
      <c r="I194" s="651"/>
      <c r="J194" s="651"/>
      <c r="K194" s="651"/>
      <c r="L194" s="651"/>
      <c r="M194" s="774">
        <f>(+SUMIFS('300s - 3 Digit FERC Accounts'!F:F,'300s - 3 Digit FERC Accounts'!B:B,368)/1000)-('SPP ADJ T&amp;D'!J16/1000)</f>
        <v>39194.892769999999</v>
      </c>
      <c r="N194" s="651"/>
      <c r="O194" s="651"/>
      <c r="P194" s="651"/>
      <c r="Q194" s="651"/>
      <c r="R194" s="668"/>
      <c r="T194" t="s">
        <v>8472</v>
      </c>
      <c r="U194" s="1586">
        <f>+SUM('Accounting Schedule B-9'!H423:H429)</f>
        <v>36736.483840000001</v>
      </c>
    </row>
    <row r="195" spans="2:21">
      <c r="B195" s="693">
        <v>32</v>
      </c>
      <c r="C195" s="534"/>
      <c r="D195" s="783"/>
      <c r="E195" s="818"/>
      <c r="F195" s="651"/>
      <c r="G195" s="651"/>
      <c r="H195" s="651"/>
      <c r="I195" s="651"/>
      <c r="J195" s="651"/>
      <c r="K195" s="651"/>
      <c r="L195" s="651"/>
      <c r="M195" s="651"/>
      <c r="N195" s="651"/>
      <c r="O195" s="651"/>
      <c r="P195" s="651"/>
      <c r="Q195" s="651"/>
      <c r="R195" s="668"/>
      <c r="T195" t="s">
        <v>8466</v>
      </c>
      <c r="U195" s="1639">
        <f>+SUM(E196:E199)</f>
        <v>36418.1512</v>
      </c>
    </row>
    <row r="196" spans="2:21">
      <c r="B196" s="693">
        <v>33</v>
      </c>
      <c r="C196" s="534" t="s">
        <v>4091</v>
      </c>
      <c r="D196" s="783" t="s">
        <v>4071</v>
      </c>
      <c r="E196" s="819">
        <f>+SUM(F196:R196)</f>
        <v>5782.6588400000001</v>
      </c>
      <c r="F196" s="651"/>
      <c r="G196" s="651"/>
      <c r="H196" s="651"/>
      <c r="I196" s="651"/>
      <c r="J196" s="651"/>
      <c r="K196" s="651"/>
      <c r="L196" s="651"/>
      <c r="M196" s="651"/>
      <c r="N196" s="651">
        <f>(+SUMIFS('300s - 5 Digit FERC Accounts'!F:F,'300s - 5 Digit FERC Accounts'!B:B,36900)/1000)-('SPP ADJ T&amp;D'!J17/1000)</f>
        <v>1719.3555799999999</v>
      </c>
      <c r="O196" s="651">
        <f>(+SUMIFS('300s - 5 Digit FERC Accounts'!F:F,'300s - 5 Digit FERC Accounts'!B:B,36902)/1000)-('SPP ADJ T&amp;D'!J18/1000)</f>
        <v>4063.3032599999997</v>
      </c>
      <c r="P196" s="651"/>
      <c r="Q196" s="651"/>
      <c r="R196" s="668"/>
      <c r="U196" s="516">
        <f>+U194-U195</f>
        <v>318.33264000000054</v>
      </c>
    </row>
    <row r="197" spans="2:21">
      <c r="B197" s="693">
        <v>34</v>
      </c>
      <c r="C197" s="534" t="s">
        <v>4092</v>
      </c>
      <c r="D197" s="783" t="s">
        <v>4071</v>
      </c>
      <c r="E197" s="819">
        <f>+SUM(F197:R197)</f>
        <v>15403.828909999998</v>
      </c>
      <c r="F197" s="651"/>
      <c r="G197" s="651"/>
      <c r="H197" s="651"/>
      <c r="I197" s="651"/>
      <c r="J197" s="651"/>
      <c r="K197" s="651"/>
      <c r="L197" s="651"/>
      <c r="M197" s="651"/>
      <c r="N197" s="651"/>
      <c r="O197" s="651"/>
      <c r="P197" s="651">
        <f>(+SUMIFS('300s - 5 Digit FERC Accounts'!F:F,'300s - 5 Digit FERC Accounts'!B:B,37000)/1000)+(+SUMIFS('300s - 5 Digit FERC Accounts'!F:F,'300s - 5 Digit FERC Accounts'!B:B,37001)/1000)+(+SUMIFS('300s - 5 Digit FERC Accounts'!F:F,'300s - 5 Digit FERC Accounts'!B:B,37010)/1000)-('SPP ADJ T&amp;D'!J19/1000)</f>
        <v>15403.828909999998</v>
      </c>
      <c r="Q197" s="651"/>
      <c r="R197" s="668"/>
      <c r="T197" t="s">
        <v>8454</v>
      </c>
      <c r="U197" s="1586">
        <f>-SUM('SPP ADJ T&amp;D'!$J$17:$J$21)/1000</f>
        <v>-318.33263999999991</v>
      </c>
    </row>
    <row r="198" spans="2:21">
      <c r="B198" s="693">
        <v>35</v>
      </c>
      <c r="C198" s="534" t="s">
        <v>9138</v>
      </c>
      <c r="D198" s="1726" t="s">
        <v>4071</v>
      </c>
      <c r="E198" s="1727">
        <f>+SUM(F198:R198)</f>
        <v>0</v>
      </c>
      <c r="F198" s="651"/>
      <c r="G198" s="651"/>
      <c r="H198" s="651"/>
      <c r="I198" s="777"/>
      <c r="J198" s="651"/>
      <c r="K198" s="42"/>
      <c r="L198" s="651"/>
      <c r="M198" s="651"/>
      <c r="N198" s="651"/>
      <c r="O198" s="651"/>
      <c r="P198" s="651"/>
      <c r="Q198" s="651">
        <f>+SUMIFS('300s - 5 Digit FERC Accounts'!F:F,'300s - 5 Digit FERC Accounts'!B:B,37100)/1000</f>
        <v>0</v>
      </c>
      <c r="R198" s="668"/>
      <c r="T198" s="297" t="s">
        <v>8439</v>
      </c>
      <c r="U198" s="1639">
        <f>+G198</f>
        <v>0</v>
      </c>
    </row>
    <row r="199" spans="2:21">
      <c r="B199" s="693">
        <v>36</v>
      </c>
      <c r="C199" s="785" t="s">
        <v>4093</v>
      </c>
      <c r="D199" s="783" t="s">
        <v>4071</v>
      </c>
      <c r="E199" s="819">
        <f>+SUM(F199:R199)</f>
        <v>15231.66345</v>
      </c>
      <c r="F199" s="537"/>
      <c r="G199" s="537"/>
      <c r="H199" s="537"/>
      <c r="I199" s="537"/>
      <c r="J199" s="537"/>
      <c r="K199" s="537"/>
      <c r="L199" s="537"/>
      <c r="M199" s="537"/>
      <c r="N199" s="537"/>
      <c r="O199" s="537"/>
      <c r="P199" s="537"/>
      <c r="Q199" s="537"/>
      <c r="R199" s="670">
        <f>(+SUMIFS('300s - 3 Digit FERC Accounts'!F:F,'300s - 3 Digit FERC Accounts'!B:B,373)/1000)-('SPP ADJ T&amp;D'!J21/1000)</f>
        <v>15231.66345</v>
      </c>
      <c r="U199" s="1640">
        <f>+SUM(U196:U198)</f>
        <v>6.2527760746888816E-13</v>
      </c>
    </row>
    <row r="200" spans="2:21">
      <c r="B200" s="693">
        <v>37</v>
      </c>
      <c r="C200" s="540"/>
      <c r="D200" s="786"/>
      <c r="E200" s="821"/>
      <c r="F200" s="651"/>
      <c r="G200" s="651"/>
      <c r="H200" s="651"/>
      <c r="I200" s="651"/>
      <c r="J200" s="651"/>
      <c r="K200" s="651"/>
      <c r="L200" s="651"/>
      <c r="M200" s="651"/>
      <c r="N200" s="651"/>
      <c r="O200" s="651"/>
      <c r="P200" s="651"/>
      <c r="Q200" s="651"/>
      <c r="R200" s="668"/>
    </row>
    <row r="201" spans="2:21">
      <c r="B201" s="693">
        <v>38</v>
      </c>
      <c r="C201" s="534" t="s">
        <v>4133</v>
      </c>
      <c r="D201" s="783" t="s">
        <v>4067</v>
      </c>
      <c r="E201" s="818">
        <f>+SUMIFS(E$163:E$199,$D$163:$D$199,$D$201)</f>
        <v>102119.72953327128</v>
      </c>
      <c r="F201" s="829">
        <f t="shared" ref="F201:R201" si="9">+SUMIFS(F$163:F$199,$D$163:$D$199,$D$201)</f>
        <v>0</v>
      </c>
      <c r="G201" s="570">
        <f t="shared" si="9"/>
        <v>0</v>
      </c>
      <c r="H201" s="570">
        <f t="shared" si="9"/>
        <v>875.54075999999998</v>
      </c>
      <c r="I201" s="570">
        <f t="shared" si="9"/>
        <v>8931.179970000001</v>
      </c>
      <c r="J201" s="570">
        <f t="shared" si="9"/>
        <v>24949.874085417388</v>
      </c>
      <c r="K201" s="570">
        <f t="shared" si="9"/>
        <v>6832.2114357529954</v>
      </c>
      <c r="L201" s="570">
        <f t="shared" si="9"/>
        <v>21336.03051210089</v>
      </c>
      <c r="M201" s="570">
        <f t="shared" si="9"/>
        <v>39194.892769999999</v>
      </c>
      <c r="N201" s="570">
        <f t="shared" si="9"/>
        <v>0</v>
      </c>
      <c r="O201" s="570">
        <f t="shared" si="9"/>
        <v>0</v>
      </c>
      <c r="P201" s="570">
        <f t="shared" si="9"/>
        <v>0</v>
      </c>
      <c r="Q201" s="570">
        <f t="shared" si="9"/>
        <v>0</v>
      </c>
      <c r="R201" s="830">
        <f t="shared" si="9"/>
        <v>0</v>
      </c>
      <c r="T201" t="s">
        <v>8473</v>
      </c>
      <c r="U201" s="1586">
        <f>+SUM(U159,U166,U173,U180,U187,U194)-U152</f>
        <v>0</v>
      </c>
    </row>
    <row r="202" spans="2:21">
      <c r="B202" s="693">
        <v>39</v>
      </c>
      <c r="C202" s="785" t="s">
        <v>4133</v>
      </c>
      <c r="D202" s="787" t="s">
        <v>4071</v>
      </c>
      <c r="E202" s="573">
        <f>+SUMIFS(E$163:E$199,$D$163:$D$199,$D$202)</f>
        <v>38579.974456728742</v>
      </c>
      <c r="F202" s="831">
        <f t="shared" ref="F202:R202" si="10">+SUMIFS(F$163:F$199,$D$163:$D$199,$D$202)</f>
        <v>0</v>
      </c>
      <c r="G202" s="571">
        <f t="shared" si="10"/>
        <v>0</v>
      </c>
      <c r="H202" s="571">
        <f t="shared" si="10"/>
        <v>0</v>
      </c>
      <c r="I202" s="571">
        <f t="shared" si="10"/>
        <v>0</v>
      </c>
      <c r="J202" s="571">
        <f t="shared" si="10"/>
        <v>2044.6598045826174</v>
      </c>
      <c r="K202" s="571">
        <f t="shared" si="10"/>
        <v>107.01148424700513</v>
      </c>
      <c r="L202" s="571">
        <f t="shared" si="10"/>
        <v>10.151967899116032</v>
      </c>
      <c r="M202" s="571">
        <f t="shared" si="10"/>
        <v>0</v>
      </c>
      <c r="N202" s="571">
        <f t="shared" si="10"/>
        <v>1719.3555799999999</v>
      </c>
      <c r="O202" s="571">
        <f t="shared" si="10"/>
        <v>4063.3032599999997</v>
      </c>
      <c r="P202" s="571">
        <f t="shared" si="10"/>
        <v>15403.828909999998</v>
      </c>
      <c r="Q202" s="571">
        <f t="shared" si="10"/>
        <v>0</v>
      </c>
      <c r="R202" s="832">
        <f t="shared" si="10"/>
        <v>15231.66345</v>
      </c>
      <c r="T202" t="s">
        <v>8426</v>
      </c>
      <c r="U202" s="1639">
        <f>+SUM(U160,U167,U174,U181,U188,U195)-U153</f>
        <v>0</v>
      </c>
    </row>
    <row r="203" spans="2:21">
      <c r="B203" s="693">
        <v>40</v>
      </c>
      <c r="C203" s="328"/>
      <c r="D203" s="328"/>
      <c r="E203" s="570"/>
      <c r="F203" s="570"/>
      <c r="G203" s="570"/>
      <c r="H203" s="570"/>
      <c r="I203" s="570"/>
      <c r="J203" s="570"/>
      <c r="K203" s="570"/>
      <c r="L203" s="570"/>
      <c r="M203" s="570"/>
      <c r="N203" s="570"/>
      <c r="O203" s="570"/>
      <c r="P203" s="570"/>
      <c r="Q203" s="570"/>
      <c r="R203" s="830"/>
      <c r="U203" s="516">
        <f>+U201-U202</f>
        <v>0</v>
      </c>
    </row>
    <row r="204" spans="2:21" ht="15" thickBot="1">
      <c r="B204" s="693">
        <v>41</v>
      </c>
      <c r="C204" s="328" t="s">
        <v>4132</v>
      </c>
      <c r="D204" s="328" t="s">
        <v>115</v>
      </c>
      <c r="E204" s="576">
        <f>+SUM(E201:E202)</f>
        <v>140699.70399000001</v>
      </c>
      <c r="F204" s="576">
        <f>+SUM(F201:F202)</f>
        <v>0</v>
      </c>
      <c r="G204" s="576">
        <f>+SUM(G201:G202)</f>
        <v>0</v>
      </c>
      <c r="H204" s="576">
        <f>+SUM(H201:H202)</f>
        <v>875.54075999999998</v>
      </c>
      <c r="I204" s="576">
        <f t="shared" ref="I204:R204" si="11">+SUM(I201:I202)</f>
        <v>8931.179970000001</v>
      </c>
      <c r="J204" s="576">
        <f t="shared" si="11"/>
        <v>26994.533890000006</v>
      </c>
      <c r="K204" s="576">
        <f t="shared" si="11"/>
        <v>6939.2229200000002</v>
      </c>
      <c r="L204" s="576">
        <f t="shared" si="11"/>
        <v>21346.182480000007</v>
      </c>
      <c r="M204" s="576">
        <f t="shared" si="11"/>
        <v>39194.892769999999</v>
      </c>
      <c r="N204" s="576">
        <f t="shared" si="11"/>
        <v>1719.3555799999999</v>
      </c>
      <c r="O204" s="576">
        <f t="shared" si="11"/>
        <v>4063.3032599999997</v>
      </c>
      <c r="P204" s="576">
        <f t="shared" si="11"/>
        <v>15403.828909999998</v>
      </c>
      <c r="Q204" s="576">
        <f t="shared" si="11"/>
        <v>0</v>
      </c>
      <c r="R204" s="833">
        <f t="shared" si="11"/>
        <v>15231.66345</v>
      </c>
      <c r="T204" t="s">
        <v>8454</v>
      </c>
      <c r="U204" s="1586">
        <f>+SUM(U162,U169,U176,U183,U190,U197)-U155</f>
        <v>0</v>
      </c>
    </row>
    <row r="205" spans="2:21" ht="15" thickTop="1">
      <c r="B205" s="535"/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536"/>
      <c r="T205" s="297" t="s">
        <v>8439</v>
      </c>
      <c r="U205" s="1639">
        <f>+SUM(U163,U170,U177,U184,U191,U198)-U156</f>
        <v>0</v>
      </c>
    </row>
    <row r="206" spans="2:21">
      <c r="B206" s="639"/>
      <c r="C206" s="546"/>
      <c r="D206" s="546"/>
      <c r="E206" s="546"/>
      <c r="F206" s="546"/>
      <c r="G206" s="546"/>
      <c r="H206" s="546"/>
      <c r="I206" s="546"/>
      <c r="J206" s="546"/>
      <c r="K206" s="546"/>
      <c r="L206" s="546"/>
      <c r="M206" s="546"/>
      <c r="N206" s="546"/>
      <c r="O206" s="546"/>
      <c r="P206" s="546"/>
      <c r="Q206" s="546"/>
      <c r="R206" s="547"/>
      <c r="U206" s="1640">
        <f>+SUM(U203:U205)</f>
        <v>0</v>
      </c>
    </row>
  </sheetData>
  <mergeCells count="2">
    <mergeCell ref="E61:G61"/>
    <mergeCell ref="I61:K61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K88"/>
  <sheetViews>
    <sheetView tabSelected="1" showOutlineSymbols="0" topLeftCell="C6" workbookViewId="0"/>
  </sheetViews>
  <sheetFormatPr defaultColWidth="9.109375" defaultRowHeight="14.4"/>
  <cols>
    <col min="1" max="1" width="21.44140625" customWidth="1"/>
    <col min="2" max="2" width="5.109375" customWidth="1"/>
    <col min="3" max="3" width="24" customWidth="1"/>
    <col min="4" max="4" width="23.88671875" customWidth="1"/>
    <col min="5" max="5" width="21.88671875" customWidth="1"/>
    <col min="6" max="6" width="7.5546875" customWidth="1"/>
    <col min="7" max="7" width="32.109375" customWidth="1"/>
    <col min="8" max="8" width="26.109375" customWidth="1"/>
    <col min="9" max="9" width="14.5546875" customWidth="1"/>
    <col min="10" max="10" width="17.44140625" customWidth="1"/>
    <col min="11" max="11" width="3.88671875" customWidth="1"/>
    <col min="12" max="12" width="16.44140625" customWidth="1"/>
    <col min="13" max="13" width="15.109375" customWidth="1"/>
    <col min="14" max="14" width="17.44140625" customWidth="1"/>
    <col min="15" max="19" width="15.109375" customWidth="1"/>
    <col min="20" max="20" width="3.88671875" customWidth="1"/>
    <col min="22" max="22" width="16.109375" bestFit="1" customWidth="1"/>
    <col min="23" max="23" width="14.44140625" customWidth="1"/>
    <col min="24" max="24" width="16.5546875" customWidth="1"/>
    <col min="25" max="25" width="15.88671875" customWidth="1"/>
    <col min="26" max="28" width="12.109375" customWidth="1"/>
    <col min="29" max="29" width="3.88671875" customWidth="1"/>
    <col min="30" max="30" width="14.88671875" bestFit="1" customWidth="1"/>
    <col min="31" max="32" width="13.88671875" bestFit="1" customWidth="1"/>
    <col min="33" max="33" width="12.109375" bestFit="1" customWidth="1"/>
    <col min="34" max="34" width="11.109375" bestFit="1" customWidth="1"/>
    <col min="35" max="36" width="11.109375" customWidth="1"/>
    <col min="37" max="37" width="8.88671875" bestFit="1" customWidth="1"/>
  </cols>
  <sheetData>
    <row r="1" spans="1:17" ht="15.6">
      <c r="A1" s="650" t="s">
        <v>9263</v>
      </c>
    </row>
    <row r="2" spans="1:17">
      <c r="A2" s="851"/>
      <c r="E2" t="s">
        <v>4942</v>
      </c>
    </row>
    <row r="4" spans="1:17">
      <c r="A4" s="765"/>
    </row>
    <row r="5" spans="1:17">
      <c r="A5" s="765"/>
    </row>
    <row r="7" spans="1:17" ht="17.399999999999999">
      <c r="A7" s="889" t="s">
        <v>4943</v>
      </c>
      <c r="B7" s="889"/>
      <c r="C7" s="1060" t="s">
        <v>4944</v>
      </c>
      <c r="D7" s="889"/>
      <c r="E7" s="889"/>
      <c r="G7" s="762"/>
    </row>
    <row r="8" spans="1:17">
      <c r="B8" s="1061"/>
      <c r="C8" s="1062"/>
      <c r="E8" s="871"/>
      <c r="O8" s="834"/>
      <c r="P8" s="834"/>
      <c r="Q8" s="834"/>
    </row>
    <row r="9" spans="1:17">
      <c r="C9" s="1063"/>
      <c r="E9" s="871"/>
      <c r="O9" s="834"/>
      <c r="P9" s="834"/>
      <c r="Q9" s="834"/>
    </row>
    <row r="10" spans="1:17">
      <c r="C10" s="511"/>
      <c r="E10" s="871"/>
      <c r="O10" s="834"/>
      <c r="P10" s="834"/>
      <c r="Q10" s="834"/>
    </row>
    <row r="11" spans="1:17" ht="22.5" customHeight="1">
      <c r="A11" s="889"/>
      <c r="C11" s="1062"/>
      <c r="O11" s="834"/>
      <c r="P11" s="834"/>
      <c r="Q11" s="834"/>
    </row>
    <row r="12" spans="1:17" ht="14.1" customHeight="1">
      <c r="A12" s="889"/>
      <c r="C12" s="1062"/>
      <c r="O12" s="834"/>
      <c r="P12" s="834"/>
      <c r="Q12" s="834"/>
    </row>
    <row r="13" spans="1:17" ht="14.1" customHeight="1">
      <c r="A13" s="889"/>
      <c r="C13" s="1062"/>
      <c r="O13" s="834"/>
      <c r="P13" s="834"/>
      <c r="Q13" s="834"/>
    </row>
    <row r="14" spans="1:17" ht="20.25" customHeight="1">
      <c r="A14" s="889"/>
      <c r="C14" s="1062"/>
      <c r="F14" s="507" t="s">
        <v>2173</v>
      </c>
      <c r="I14" s="3145" t="s">
        <v>9323</v>
      </c>
      <c r="J14" s="3145"/>
      <c r="M14" s="762"/>
      <c r="N14" s="762"/>
      <c r="O14" s="1064"/>
      <c r="P14" s="1064"/>
      <c r="Q14" s="834"/>
    </row>
    <row r="15" spans="1:17" ht="23.25" customHeight="1">
      <c r="C15" s="1062"/>
      <c r="F15" s="507" t="s">
        <v>4945</v>
      </c>
    </row>
    <row r="16" spans="1:17" ht="14.1" customHeight="1">
      <c r="C16" s="1062"/>
      <c r="F16" s="1065" t="s">
        <v>9263</v>
      </c>
      <c r="G16" s="1066"/>
      <c r="H16" s="1066"/>
      <c r="M16" s="3146"/>
      <c r="N16" s="3146"/>
      <c r="O16" s="3146"/>
      <c r="P16" s="3146"/>
      <c r="Q16" s="3146"/>
    </row>
    <row r="17" spans="3:37" ht="14.1" customHeight="1">
      <c r="C17" s="1062"/>
      <c r="G17" s="1067" t="s">
        <v>4946</v>
      </c>
    </row>
    <row r="18" spans="3:37" ht="14.1" customHeight="1" thickBot="1">
      <c r="C18" s="1062"/>
      <c r="G18" s="1068" t="s">
        <v>9324</v>
      </c>
    </row>
    <row r="19" spans="3:37" ht="17.25" customHeight="1" thickBot="1">
      <c r="C19" s="1062"/>
      <c r="F19" s="1069"/>
      <c r="G19" s="38"/>
      <c r="H19" s="38"/>
      <c r="I19" s="1070" t="s">
        <v>1919</v>
      </c>
      <c r="J19" s="1070" t="s">
        <v>1919</v>
      </c>
      <c r="K19" s="1071"/>
      <c r="L19" s="38"/>
      <c r="M19" s="38"/>
      <c r="N19" s="1072"/>
      <c r="O19" s="1073"/>
      <c r="P19" s="1073"/>
      <c r="Q19" s="1073"/>
      <c r="R19" s="1073"/>
      <c r="S19" s="1074"/>
      <c r="T19" s="1071"/>
      <c r="U19" s="38"/>
      <c r="V19" s="38"/>
      <c r="W19" s="1072"/>
      <c r="X19" s="1073"/>
      <c r="Y19" s="1073"/>
      <c r="Z19" s="1073"/>
      <c r="AA19" s="1073"/>
      <c r="AB19" s="1074"/>
      <c r="AC19" s="1071"/>
      <c r="AD19" s="38"/>
      <c r="AE19" s="38"/>
      <c r="AF19" s="1072"/>
      <c r="AG19" s="1073"/>
      <c r="AH19" s="1073"/>
      <c r="AI19" s="1073"/>
      <c r="AJ19" s="1073"/>
      <c r="AK19" s="34"/>
    </row>
    <row r="20" spans="3:37" ht="15.75" customHeight="1" thickBot="1">
      <c r="C20" s="1062"/>
      <c r="F20" s="1075"/>
      <c r="G20" s="33"/>
      <c r="H20" s="33"/>
      <c r="I20" s="280" t="s">
        <v>4947</v>
      </c>
      <c r="J20" s="280" t="s">
        <v>4948</v>
      </c>
      <c r="K20" s="1076"/>
      <c r="L20" s="3147" t="s">
        <v>4949</v>
      </c>
      <c r="M20" s="3148"/>
      <c r="N20" s="3148"/>
      <c r="O20" s="3148"/>
      <c r="P20" s="3148"/>
      <c r="Q20" s="3148"/>
      <c r="R20" s="3148"/>
      <c r="S20" s="3148"/>
      <c r="T20" s="1076"/>
      <c r="U20" s="3148" t="s">
        <v>4950</v>
      </c>
      <c r="V20" s="3148"/>
      <c r="W20" s="3148"/>
      <c r="X20" s="3148"/>
      <c r="Y20" s="3148"/>
      <c r="Z20" s="3148"/>
      <c r="AA20" s="3148"/>
      <c r="AB20" s="3149"/>
      <c r="AC20" s="1076"/>
      <c r="AD20" s="3137" t="s">
        <v>4951</v>
      </c>
      <c r="AE20" s="3138"/>
      <c r="AF20" s="3139" t="s">
        <v>4952</v>
      </c>
      <c r="AG20" s="3139"/>
      <c r="AH20" s="3139"/>
      <c r="AI20" s="3139"/>
      <c r="AJ20" s="3139"/>
      <c r="AK20" s="3140"/>
    </row>
    <row r="21" spans="3:37" ht="30" customHeight="1">
      <c r="C21" s="1062"/>
      <c r="F21" s="1077" t="s">
        <v>2182</v>
      </c>
      <c r="G21" s="1078" t="s">
        <v>4953</v>
      </c>
      <c r="H21" s="1078" t="s">
        <v>4954</v>
      </c>
      <c r="I21" s="523" t="s">
        <v>4955</v>
      </c>
      <c r="J21" s="523" t="s">
        <v>4955</v>
      </c>
      <c r="K21" s="1076"/>
      <c r="L21" s="1079" t="s">
        <v>4956</v>
      </c>
      <c r="M21" s="1080" t="s">
        <v>4957</v>
      </c>
      <c r="N21" s="1081" t="s">
        <v>1949</v>
      </c>
      <c r="O21" s="1081" t="s">
        <v>1950</v>
      </c>
      <c r="P21" s="1081" t="s">
        <v>1934</v>
      </c>
      <c r="Q21" s="1081" t="s">
        <v>1971</v>
      </c>
      <c r="R21" s="1081" t="s">
        <v>1972</v>
      </c>
      <c r="S21" s="1082" t="s">
        <v>1973</v>
      </c>
      <c r="T21" s="1076"/>
      <c r="U21" s="515" t="s">
        <v>4956</v>
      </c>
      <c r="V21" s="1080" t="s">
        <v>4957</v>
      </c>
      <c r="W21" s="1083" t="s">
        <v>1949</v>
      </c>
      <c r="X21" s="1083" t="s">
        <v>1950</v>
      </c>
      <c r="Y21" s="1083" t="s">
        <v>1934</v>
      </c>
      <c r="Z21" s="1083" t="s">
        <v>1971</v>
      </c>
      <c r="AA21" s="1083" t="s">
        <v>1972</v>
      </c>
      <c r="AB21" s="1825" t="s">
        <v>1973</v>
      </c>
      <c r="AC21" s="1076"/>
      <c r="AD21" s="1084" t="s">
        <v>4956</v>
      </c>
      <c r="AE21" s="1080" t="s">
        <v>4957</v>
      </c>
      <c r="AF21" s="1085" t="s">
        <v>1949</v>
      </c>
      <c r="AG21" s="1085" t="s">
        <v>1950</v>
      </c>
      <c r="AH21" s="1085" t="s">
        <v>1934</v>
      </c>
      <c r="AI21" s="1085" t="s">
        <v>1971</v>
      </c>
      <c r="AJ21" s="1085" t="s">
        <v>1972</v>
      </c>
      <c r="AK21" s="1825" t="s">
        <v>1973</v>
      </c>
    </row>
    <row r="22" spans="3:37" ht="15.75" customHeight="1" thickBot="1">
      <c r="C22" s="1062"/>
      <c r="F22" s="1087" t="s">
        <v>2175</v>
      </c>
      <c r="G22" s="1088" t="s">
        <v>2176</v>
      </c>
      <c r="H22" s="1088" t="s">
        <v>2177</v>
      </c>
      <c r="I22" s="1088" t="s">
        <v>2178</v>
      </c>
      <c r="J22" s="1826" t="s">
        <v>2179</v>
      </c>
      <c r="K22" s="1076"/>
      <c r="L22" s="1089" t="s">
        <v>2625</v>
      </c>
      <c r="M22" s="1090" t="s">
        <v>2626</v>
      </c>
      <c r="N22" s="1091" t="s">
        <v>2627</v>
      </c>
      <c r="O22" s="1088" t="s">
        <v>2628</v>
      </c>
      <c r="P22" s="1088" t="s">
        <v>2629</v>
      </c>
      <c r="Q22" s="1088" t="s">
        <v>2630</v>
      </c>
      <c r="R22" s="1091" t="s">
        <v>4061</v>
      </c>
      <c r="S22" s="1091" t="s">
        <v>4062</v>
      </c>
      <c r="T22" s="1076"/>
      <c r="U22" s="1089" t="s">
        <v>2625</v>
      </c>
      <c r="V22" s="1090" t="s">
        <v>2626</v>
      </c>
      <c r="W22" s="1091" t="s">
        <v>2627</v>
      </c>
      <c r="X22" s="1088" t="s">
        <v>2628</v>
      </c>
      <c r="Y22" s="1088" t="s">
        <v>2629</v>
      </c>
      <c r="Z22" s="1088" t="s">
        <v>2630</v>
      </c>
      <c r="AA22" s="1091" t="s">
        <v>4061</v>
      </c>
      <c r="AB22" s="1091" t="s">
        <v>4062</v>
      </c>
      <c r="AC22" s="1076"/>
      <c r="AD22" s="1089" t="s">
        <v>2625</v>
      </c>
      <c r="AE22" s="1090" t="s">
        <v>2626</v>
      </c>
      <c r="AF22" s="1091" t="s">
        <v>2627</v>
      </c>
      <c r="AG22" s="1088" t="s">
        <v>2628</v>
      </c>
      <c r="AH22" s="1088" t="s">
        <v>2629</v>
      </c>
      <c r="AI22" s="1088" t="s">
        <v>2630</v>
      </c>
      <c r="AJ22" s="1091" t="s">
        <v>4061</v>
      </c>
      <c r="AK22" s="1091" t="s">
        <v>4062</v>
      </c>
    </row>
    <row r="23" spans="3:37" s="763" customFormat="1" ht="16.5" customHeight="1" thickBot="1">
      <c r="C23" s="1093"/>
      <c r="E23" s="1094"/>
      <c r="F23" s="1075"/>
      <c r="G23" s="1095" t="s">
        <v>122</v>
      </c>
      <c r="H23" s="1096"/>
      <c r="I23" s="1097"/>
      <c r="J23" s="1097"/>
      <c r="K23" s="1092"/>
      <c r="L23" s="1098">
        <v>0</v>
      </c>
      <c r="M23" s="1099">
        <v>862780</v>
      </c>
      <c r="N23" s="1100">
        <v>769107</v>
      </c>
      <c r="O23" s="1100">
        <v>74654</v>
      </c>
      <c r="P23" s="1100">
        <v>18656</v>
      </c>
      <c r="Q23" s="1100">
        <v>92</v>
      </c>
      <c r="R23" s="1100">
        <v>33</v>
      </c>
      <c r="S23" s="1100">
        <v>238</v>
      </c>
      <c r="T23" s="1092"/>
      <c r="U23" s="1101">
        <v>0</v>
      </c>
      <c r="V23" s="1102">
        <v>255853086.6769709</v>
      </c>
      <c r="W23" s="1103">
        <v>174663821.41775307</v>
      </c>
      <c r="X23" s="1103">
        <v>45550089.690557122</v>
      </c>
      <c r="Y23" s="1103">
        <v>29969441.063496064</v>
      </c>
      <c r="Z23" s="1103">
        <v>2463581.8057832038</v>
      </c>
      <c r="AA23" s="1103">
        <v>2687871.1666514659</v>
      </c>
      <c r="AB23" s="1103">
        <v>518281.53272996878</v>
      </c>
      <c r="AC23" s="1092"/>
      <c r="AD23" s="1101">
        <v>0</v>
      </c>
      <c r="AE23" s="1102">
        <v>5022119.5191678675</v>
      </c>
      <c r="AF23" s="1103">
        <v>4453122.9282540651</v>
      </c>
      <c r="AG23" s="1103">
        <v>436015.49044197617</v>
      </c>
      <c r="AH23" s="1103">
        <v>126440.14214625172</v>
      </c>
      <c r="AI23" s="1103">
        <v>1898.8799999999999</v>
      </c>
      <c r="AJ23" s="1103">
        <v>681.12</v>
      </c>
      <c r="AK23" s="1103">
        <v>3960.9583255739849</v>
      </c>
    </row>
    <row r="24" spans="3:37" s="763" customFormat="1" ht="26.4" customHeight="1" thickBot="1">
      <c r="C24" s="1093"/>
      <c r="E24" s="1094"/>
      <c r="F24" s="1075"/>
      <c r="G24" s="1105" t="s">
        <v>4962</v>
      </c>
      <c r="H24" s="1106"/>
      <c r="I24" s="1107"/>
      <c r="J24" s="1107"/>
      <c r="K24" s="1092"/>
      <c r="L24" s="1108" t="s">
        <v>4956</v>
      </c>
      <c r="M24" s="1109" t="s">
        <v>4957</v>
      </c>
      <c r="N24" s="1110" t="s">
        <v>1949</v>
      </c>
      <c r="O24" s="1110" t="s">
        <v>1950</v>
      </c>
      <c r="P24" s="1110" t="s">
        <v>1934</v>
      </c>
      <c r="Q24" s="1110" t="s">
        <v>1971</v>
      </c>
      <c r="R24" s="1110" t="s">
        <v>1972</v>
      </c>
      <c r="S24" s="1110" t="s">
        <v>1973</v>
      </c>
      <c r="T24" s="1092"/>
      <c r="U24" s="1827" t="s">
        <v>4956</v>
      </c>
      <c r="V24" s="1828" t="s">
        <v>4957</v>
      </c>
      <c r="W24" s="1829" t="s">
        <v>1949</v>
      </c>
      <c r="X24" s="1830" t="s">
        <v>1950</v>
      </c>
      <c r="Y24" s="1830" t="s">
        <v>1934</v>
      </c>
      <c r="Z24" s="1830" t="s">
        <v>1971</v>
      </c>
      <c r="AA24" s="1830" t="s">
        <v>1972</v>
      </c>
      <c r="AB24" s="1831" t="s">
        <v>1973</v>
      </c>
      <c r="AC24" s="1092"/>
      <c r="AD24" s="1827" t="s">
        <v>4956</v>
      </c>
      <c r="AE24" s="1828" t="s">
        <v>4957</v>
      </c>
      <c r="AF24" s="1829" t="s">
        <v>1949</v>
      </c>
      <c r="AG24" s="1830" t="s">
        <v>1950</v>
      </c>
      <c r="AH24" s="1830" t="s">
        <v>1934</v>
      </c>
      <c r="AI24" s="1830" t="s">
        <v>1971</v>
      </c>
      <c r="AJ24" s="1830" t="s">
        <v>1972</v>
      </c>
      <c r="AK24" s="1831" t="s">
        <v>1973</v>
      </c>
    </row>
    <row r="25" spans="3:37" ht="16.5" customHeight="1">
      <c r="C25" s="1062"/>
      <c r="F25" s="1075"/>
      <c r="G25" s="1111" t="s">
        <v>4963</v>
      </c>
      <c r="H25" s="1832">
        <v>1</v>
      </c>
      <c r="I25" s="1113"/>
      <c r="J25" s="1113"/>
      <c r="K25" s="1076"/>
      <c r="L25" s="863">
        <v>0</v>
      </c>
      <c r="M25" s="1833">
        <v>860028</v>
      </c>
      <c r="N25" s="1834">
        <v>768330</v>
      </c>
      <c r="O25" s="1834">
        <v>74325</v>
      </c>
      <c r="P25" s="1834">
        <v>17309</v>
      </c>
      <c r="Q25" s="1834">
        <v>0</v>
      </c>
      <c r="R25" s="1834">
        <v>0</v>
      </c>
      <c r="S25" s="1834">
        <v>64</v>
      </c>
      <c r="T25" s="1076"/>
      <c r="U25" s="1835">
        <v>0</v>
      </c>
      <c r="V25" s="1836">
        <v>244507278.79873523</v>
      </c>
      <c r="W25" s="1837">
        <v>174553419.64415872</v>
      </c>
      <c r="X25" s="1837">
        <v>44959603.379619174</v>
      </c>
      <c r="Y25" s="1837">
        <v>24963096.396474537</v>
      </c>
      <c r="Z25" s="1837">
        <v>0</v>
      </c>
      <c r="AA25" s="1837">
        <v>0</v>
      </c>
      <c r="AB25" s="1837">
        <v>31159.378482774213</v>
      </c>
      <c r="AC25" s="1076"/>
      <c r="AD25" s="1835">
        <v>0</v>
      </c>
      <c r="AE25" s="1836">
        <v>4966639.1991678672</v>
      </c>
      <c r="AF25" s="1837">
        <v>4437085.6482540658</v>
      </c>
      <c r="AG25" s="1837">
        <v>429224.930441976</v>
      </c>
      <c r="AH25" s="1837">
        <v>99959.022146251751</v>
      </c>
      <c r="AI25" s="1837">
        <v>0</v>
      </c>
      <c r="AJ25" s="1837">
        <v>0</v>
      </c>
      <c r="AK25" s="1837">
        <v>369.59832557398533</v>
      </c>
    </row>
    <row r="26" spans="3:37" ht="16.5" customHeight="1">
      <c r="C26" s="1062"/>
      <c r="F26" s="1075"/>
      <c r="G26" s="1111" t="s">
        <v>4964</v>
      </c>
      <c r="H26" s="1838">
        <v>2</v>
      </c>
      <c r="I26" s="1113"/>
      <c r="J26" s="1113"/>
      <c r="K26" s="1076"/>
      <c r="L26" s="863">
        <v>0</v>
      </c>
      <c r="M26" s="1833">
        <v>64</v>
      </c>
      <c r="N26" s="1834">
        <v>0</v>
      </c>
      <c r="O26" s="1834">
        <v>0</v>
      </c>
      <c r="P26" s="1834">
        <v>64</v>
      </c>
      <c r="Q26" s="1834">
        <v>0</v>
      </c>
      <c r="R26" s="1834">
        <v>0</v>
      </c>
      <c r="S26" s="1834">
        <v>0</v>
      </c>
      <c r="T26" s="1076"/>
      <c r="U26" s="1835">
        <v>0</v>
      </c>
      <c r="V26" s="1836">
        <v>27090.46389422625</v>
      </c>
      <c r="W26" s="1837">
        <v>0</v>
      </c>
      <c r="X26" s="1837">
        <v>0</v>
      </c>
      <c r="Y26" s="1837">
        <v>27090.46389422625</v>
      </c>
      <c r="Z26" s="1837">
        <v>0</v>
      </c>
      <c r="AA26" s="1837">
        <v>0</v>
      </c>
      <c r="AB26" s="1837">
        <v>0</v>
      </c>
      <c r="AC26" s="1076"/>
      <c r="AD26" s="1835">
        <v>0</v>
      </c>
      <c r="AE26" s="1836">
        <v>0</v>
      </c>
      <c r="AF26" s="1837">
        <v>0</v>
      </c>
      <c r="AG26" s="1837">
        <v>0</v>
      </c>
      <c r="AH26" s="1837">
        <v>0</v>
      </c>
      <c r="AI26" s="1837">
        <v>0</v>
      </c>
      <c r="AJ26" s="1837">
        <v>0</v>
      </c>
      <c r="AK26" s="1837">
        <v>0</v>
      </c>
    </row>
    <row r="27" spans="3:37" ht="16.5" customHeight="1" thickBot="1">
      <c r="C27" s="1062"/>
      <c r="F27" s="1075"/>
      <c r="G27" s="1111" t="s">
        <v>4965</v>
      </c>
      <c r="H27" s="1839">
        <v>3</v>
      </c>
      <c r="I27" s="1113"/>
      <c r="J27" s="1113"/>
      <c r="K27" s="1076"/>
      <c r="L27" s="863">
        <v>0</v>
      </c>
      <c r="M27" s="1833">
        <v>2688</v>
      </c>
      <c r="N27" s="1834">
        <v>777</v>
      </c>
      <c r="O27" s="1834">
        <v>329</v>
      </c>
      <c r="P27" s="1834">
        <v>1283</v>
      </c>
      <c r="Q27" s="1834">
        <v>92</v>
      </c>
      <c r="R27" s="1834">
        <v>33</v>
      </c>
      <c r="S27" s="1834">
        <v>174</v>
      </c>
      <c r="T27" s="1076"/>
      <c r="U27" s="1835">
        <v>0</v>
      </c>
      <c r="V27" s="1836">
        <v>11318717.414341463</v>
      </c>
      <c r="W27" s="1837">
        <v>110401.7735943405</v>
      </c>
      <c r="X27" s="1837">
        <v>590486.31093795004</v>
      </c>
      <c r="Y27" s="1837">
        <v>4979254.2031273078</v>
      </c>
      <c r="Z27" s="1837">
        <v>2463581.8057832038</v>
      </c>
      <c r="AA27" s="1837">
        <v>2687871.1666514659</v>
      </c>
      <c r="AB27" s="1837">
        <v>487122.15424719464</v>
      </c>
      <c r="AC27" s="1076"/>
      <c r="AD27" s="1835">
        <v>0</v>
      </c>
      <c r="AE27" s="1836">
        <v>55480.32</v>
      </c>
      <c r="AF27" s="1837">
        <v>16037.279999999999</v>
      </c>
      <c r="AG27" s="1837">
        <v>6790.56</v>
      </c>
      <c r="AH27" s="1837">
        <v>26481.119999999999</v>
      </c>
      <c r="AI27" s="1837">
        <v>1898.8799999999999</v>
      </c>
      <c r="AJ27" s="1837">
        <v>681.12</v>
      </c>
      <c r="AK27" s="1837">
        <v>3591.36</v>
      </c>
    </row>
    <row r="28" spans="3:37" s="763" customFormat="1" ht="16.5" customHeight="1" thickBot="1">
      <c r="C28" s="1093"/>
      <c r="E28" s="1094"/>
      <c r="F28" s="1075"/>
      <c r="G28" s="1095" t="s">
        <v>115</v>
      </c>
      <c r="H28" s="1096"/>
      <c r="I28" s="1097"/>
      <c r="J28" s="1097"/>
      <c r="K28" s="1840"/>
      <c r="L28" s="1098">
        <v>0</v>
      </c>
      <c r="M28" s="1099">
        <v>862780</v>
      </c>
      <c r="N28" s="1100">
        <v>769107</v>
      </c>
      <c r="O28" s="1100">
        <v>74654</v>
      </c>
      <c r="P28" s="1100">
        <v>18656</v>
      </c>
      <c r="Q28" s="1100">
        <v>92</v>
      </c>
      <c r="R28" s="1100">
        <v>33</v>
      </c>
      <c r="S28" s="1100">
        <v>238</v>
      </c>
      <c r="T28" s="1840"/>
      <c r="U28" s="1101">
        <v>0</v>
      </c>
      <c r="V28" s="1102">
        <v>255853086.6769709</v>
      </c>
      <c r="W28" s="1104">
        <v>174663821.41775307</v>
      </c>
      <c r="X28" s="1104">
        <v>45550089.690557122</v>
      </c>
      <c r="Y28" s="1104">
        <v>29969441.063496068</v>
      </c>
      <c r="Z28" s="1104">
        <v>2463581.8057832038</v>
      </c>
      <c r="AA28" s="1104">
        <v>2687871.1666514659</v>
      </c>
      <c r="AB28" s="1104">
        <v>518281.53272996884</v>
      </c>
      <c r="AC28" s="1840"/>
      <c r="AD28" s="1101">
        <v>0</v>
      </c>
      <c r="AE28" s="1102">
        <v>5022119.5191678675</v>
      </c>
      <c r="AF28" s="1104">
        <v>4453122.928254066</v>
      </c>
      <c r="AG28" s="1104">
        <v>436015.490441976</v>
      </c>
      <c r="AH28" s="1104">
        <v>126440.14214625175</v>
      </c>
      <c r="AI28" s="1104">
        <v>1898.8799999999999</v>
      </c>
      <c r="AJ28" s="1104">
        <v>681.12</v>
      </c>
      <c r="AK28" s="1104">
        <v>3960.9583255739853</v>
      </c>
    </row>
    <row r="29" spans="3:37" ht="16.5" customHeight="1" thickBot="1">
      <c r="C29" s="1062"/>
      <c r="F29" s="1075"/>
      <c r="G29" s="1112"/>
      <c r="H29" s="470"/>
      <c r="I29" s="1113"/>
      <c r="J29" s="1113"/>
      <c r="K29" s="1840"/>
      <c r="L29" s="1114"/>
      <c r="M29" s="1115"/>
      <c r="N29" s="1116"/>
      <c r="O29" s="1116"/>
      <c r="P29" s="1116"/>
      <c r="Q29" s="1116"/>
      <c r="R29" s="1116"/>
      <c r="S29" s="1116"/>
      <c r="T29" s="1840"/>
      <c r="U29" s="1117"/>
      <c r="V29" s="1117"/>
      <c r="W29" s="1118"/>
      <c r="X29" s="1118"/>
      <c r="Y29" s="1118"/>
      <c r="Z29" s="1118"/>
      <c r="AA29" s="1118"/>
      <c r="AB29" s="1118"/>
      <c r="AC29" s="1840"/>
      <c r="AD29" s="1117"/>
      <c r="AE29" s="1117"/>
      <c r="AF29" s="1118"/>
      <c r="AG29" s="1118"/>
      <c r="AH29" s="1118"/>
      <c r="AI29" s="1118"/>
      <c r="AJ29" s="1118"/>
      <c r="AK29" s="1118"/>
    </row>
    <row r="30" spans="3:37" s="763" customFormat="1" ht="26.4" customHeight="1" thickBot="1">
      <c r="C30" s="1093"/>
      <c r="E30" s="1094"/>
      <c r="F30" s="1075"/>
      <c r="G30" s="1105" t="s">
        <v>4966</v>
      </c>
      <c r="H30" s="1106"/>
      <c r="I30" s="1107"/>
      <c r="J30" s="1107"/>
      <c r="K30" s="1840"/>
      <c r="L30" s="1108" t="s">
        <v>4956</v>
      </c>
      <c r="M30" s="1109" t="s">
        <v>4957</v>
      </c>
      <c r="N30" s="1110" t="s">
        <v>1949</v>
      </c>
      <c r="O30" s="1110" t="s">
        <v>1950</v>
      </c>
      <c r="P30" s="1110" t="s">
        <v>1934</v>
      </c>
      <c r="Q30" s="1110" t="s">
        <v>1971</v>
      </c>
      <c r="R30" s="1110" t="s">
        <v>1972</v>
      </c>
      <c r="S30" s="1119" t="s">
        <v>1973</v>
      </c>
      <c r="T30" s="1840"/>
      <c r="U30" s="1827" t="s">
        <v>4956</v>
      </c>
      <c r="V30" s="1828" t="s">
        <v>4957</v>
      </c>
      <c r="W30" s="1829" t="s">
        <v>1949</v>
      </c>
      <c r="X30" s="1830" t="s">
        <v>1950</v>
      </c>
      <c r="Y30" s="1830" t="s">
        <v>1934</v>
      </c>
      <c r="Z30" s="1830" t="s">
        <v>1971</v>
      </c>
      <c r="AA30" s="1830" t="s">
        <v>1972</v>
      </c>
      <c r="AB30" s="1830" t="s">
        <v>1973</v>
      </c>
      <c r="AC30" s="1840"/>
      <c r="AD30" s="1827" t="s">
        <v>4956</v>
      </c>
      <c r="AE30" s="1828" t="s">
        <v>4957</v>
      </c>
      <c r="AF30" s="1829" t="s">
        <v>1949</v>
      </c>
      <c r="AG30" s="1830" t="s">
        <v>1950</v>
      </c>
      <c r="AH30" s="1830" t="s">
        <v>1934</v>
      </c>
      <c r="AI30" s="1830" t="s">
        <v>1971</v>
      </c>
      <c r="AJ30" s="1830" t="s">
        <v>1972</v>
      </c>
      <c r="AK30" s="1830" t="s">
        <v>1973</v>
      </c>
    </row>
    <row r="31" spans="3:37" ht="16.5" customHeight="1">
      <c r="C31" s="1062"/>
      <c r="F31" s="1075"/>
      <c r="G31" s="1111" t="s">
        <v>4963</v>
      </c>
      <c r="H31" s="1832">
        <v>1</v>
      </c>
      <c r="I31" s="1113"/>
      <c r="J31" s="1113"/>
      <c r="K31" s="1076"/>
      <c r="L31" s="863">
        <v>0</v>
      </c>
      <c r="M31" s="1841">
        <v>0.99681031085560634</v>
      </c>
      <c r="N31" s="1842">
        <v>0.99898973744875552</v>
      </c>
      <c r="O31" s="1842">
        <v>0.99559300238433301</v>
      </c>
      <c r="P31" s="1842">
        <v>0.92779802744425388</v>
      </c>
      <c r="Q31" s="1842">
        <v>0</v>
      </c>
      <c r="R31" s="1842">
        <v>0</v>
      </c>
      <c r="S31" s="1843">
        <v>0.26890756302521007</v>
      </c>
      <c r="T31" s="1076"/>
      <c r="U31" s="1844">
        <v>2.5605240595455354E-3</v>
      </c>
      <c r="V31" s="1845">
        <v>0.95565498925342107</v>
      </c>
      <c r="W31" s="1842">
        <v>0.99936791848078088</v>
      </c>
      <c r="X31" s="1842">
        <v>0.98703654998377843</v>
      </c>
      <c r="Y31" s="1842">
        <v>0.83295168380302387</v>
      </c>
      <c r="Z31" s="1842">
        <v>0</v>
      </c>
      <c r="AA31" s="1116">
        <v>0</v>
      </c>
      <c r="AB31" s="1843">
        <v>6.0120564818597615E-2</v>
      </c>
      <c r="AC31" s="1076"/>
      <c r="AD31" s="1844">
        <v>2.5605240595455354E-3</v>
      </c>
      <c r="AE31" s="1845">
        <v>0.98895280771629401</v>
      </c>
      <c r="AF31" s="1842">
        <v>0.99639864421926305</v>
      </c>
      <c r="AG31" s="1842">
        <v>0.98442587442680851</v>
      </c>
      <c r="AH31" s="1842">
        <v>0.79056398110206483</v>
      </c>
      <c r="AI31" s="1842">
        <v>0</v>
      </c>
      <c r="AJ31" s="1116">
        <v>0</v>
      </c>
      <c r="AK31" s="1843">
        <v>9.3310329267457415E-2</v>
      </c>
    </row>
    <row r="32" spans="3:37" s="763" customFormat="1" ht="16.5" customHeight="1">
      <c r="C32" s="1093"/>
      <c r="E32" s="1094"/>
      <c r="F32" s="1075"/>
      <c r="G32" s="1111" t="s">
        <v>4964</v>
      </c>
      <c r="H32" s="1838">
        <v>2</v>
      </c>
      <c r="I32" s="1846"/>
      <c r="J32" s="1846"/>
      <c r="K32" s="1847"/>
      <c r="L32" s="1848">
        <v>0</v>
      </c>
      <c r="M32" s="1841">
        <v>7.4178817311481494E-5</v>
      </c>
      <c r="N32" s="1849">
        <v>0</v>
      </c>
      <c r="O32" s="1849">
        <v>0</v>
      </c>
      <c r="P32" s="1849">
        <v>3.4305317324185248E-3</v>
      </c>
      <c r="Q32" s="1849">
        <v>0</v>
      </c>
      <c r="R32" s="1850">
        <v>0</v>
      </c>
      <c r="S32" s="1851">
        <v>0</v>
      </c>
      <c r="T32" s="1847"/>
      <c r="U32" s="1852">
        <v>2.5605240595455354E-3</v>
      </c>
      <c r="V32" s="1853">
        <v>1.0588288867677217E-4</v>
      </c>
      <c r="W32" s="1849">
        <v>0</v>
      </c>
      <c r="X32" s="1849">
        <v>0</v>
      </c>
      <c r="Y32" s="1849">
        <v>9.0393624081376263E-4</v>
      </c>
      <c r="Z32" s="1850">
        <v>0</v>
      </c>
      <c r="AA32" s="1854">
        <v>0</v>
      </c>
      <c r="AB32" s="1855">
        <v>0</v>
      </c>
      <c r="AC32" s="1847"/>
      <c r="AD32" s="1852">
        <v>2.5605240595455354E-3</v>
      </c>
      <c r="AE32" s="1853">
        <v>0</v>
      </c>
      <c r="AF32" s="1849">
        <v>0</v>
      </c>
      <c r="AG32" s="1849">
        <v>0</v>
      </c>
      <c r="AH32" s="1849">
        <v>0</v>
      </c>
      <c r="AI32" s="1850">
        <v>0</v>
      </c>
      <c r="AJ32" s="1854">
        <v>0</v>
      </c>
      <c r="AK32" s="1855">
        <v>0</v>
      </c>
    </row>
    <row r="33" spans="3:37" s="763" customFormat="1" ht="16.5" customHeight="1" thickBot="1">
      <c r="C33" s="1093"/>
      <c r="E33" s="1094"/>
      <c r="F33" s="1075"/>
      <c r="G33" s="1111" t="s">
        <v>4965</v>
      </c>
      <c r="H33" s="1839">
        <v>3</v>
      </c>
      <c r="I33" s="1846"/>
      <c r="J33" s="1846"/>
      <c r="K33" s="1847"/>
      <c r="L33" s="1848">
        <v>0</v>
      </c>
      <c r="M33" s="1841">
        <v>3.1155103270822226E-3</v>
      </c>
      <c r="N33" s="1849">
        <v>1.0102625512444952E-3</v>
      </c>
      <c r="O33" s="1849">
        <v>4.4069976156669438E-3</v>
      </c>
      <c r="P33" s="1849">
        <v>6.8771440823327618E-2</v>
      </c>
      <c r="Q33" s="1849">
        <v>1</v>
      </c>
      <c r="R33" s="1850">
        <v>1</v>
      </c>
      <c r="S33" s="1856">
        <v>0.73109243697478987</v>
      </c>
      <c r="T33" s="1847"/>
      <c r="U33" s="1852">
        <v>2.5605240595455354E-3</v>
      </c>
      <c r="V33" s="1853">
        <v>4.4239127857902252E-2</v>
      </c>
      <c r="W33" s="1849">
        <v>6.3208151921906308E-4</v>
      </c>
      <c r="X33" s="1849">
        <v>1.2963450016221643E-2</v>
      </c>
      <c r="Y33" s="1849">
        <v>0.16614437995616244</v>
      </c>
      <c r="Z33" s="1850">
        <v>1</v>
      </c>
      <c r="AA33" s="1857">
        <v>1</v>
      </c>
      <c r="AB33" s="1858">
        <v>0.93987943518140238</v>
      </c>
      <c r="AC33" s="1847"/>
      <c r="AD33" s="1852">
        <v>2.5605240595455354E-3</v>
      </c>
      <c r="AE33" s="1853">
        <v>1.1047192283705889E-2</v>
      </c>
      <c r="AF33" s="1849">
        <v>3.6013557807369418E-3</v>
      </c>
      <c r="AG33" s="1849">
        <v>1.5574125573191473E-2</v>
      </c>
      <c r="AH33" s="1849">
        <v>0.20943601889793523</v>
      </c>
      <c r="AI33" s="1850">
        <v>1</v>
      </c>
      <c r="AJ33" s="1857">
        <v>1</v>
      </c>
      <c r="AK33" s="1858">
        <v>0.90668967073254259</v>
      </c>
    </row>
    <row r="34" spans="3:37" s="763" customFormat="1" ht="16.5" customHeight="1" thickBot="1">
      <c r="C34" s="1093"/>
      <c r="E34" s="1094"/>
      <c r="F34" s="1075"/>
      <c r="G34" s="1095" t="s">
        <v>115</v>
      </c>
      <c r="H34" s="1096"/>
      <c r="I34" s="1097"/>
      <c r="J34" s="1097"/>
      <c r="K34" s="1840"/>
      <c r="L34" s="1098">
        <v>0</v>
      </c>
      <c r="M34" s="1120">
        <v>1</v>
      </c>
      <c r="N34" s="1121">
        <v>1</v>
      </c>
      <c r="O34" s="1121">
        <v>1</v>
      </c>
      <c r="P34" s="1121">
        <v>1</v>
      </c>
      <c r="Q34" s="1121">
        <v>1</v>
      </c>
      <c r="R34" s="1121">
        <v>1</v>
      </c>
      <c r="S34" s="1121">
        <v>1</v>
      </c>
      <c r="T34" s="1840"/>
      <c r="U34" s="1120">
        <v>0</v>
      </c>
      <c r="V34" s="1120">
        <v>1</v>
      </c>
      <c r="W34" s="1121">
        <v>0.99999999999999989</v>
      </c>
      <c r="X34" s="1121">
        <v>1</v>
      </c>
      <c r="Y34" s="1121">
        <v>1</v>
      </c>
      <c r="Z34" s="1121">
        <v>1</v>
      </c>
      <c r="AA34" s="1121">
        <v>1</v>
      </c>
      <c r="AB34" s="1121">
        <v>1</v>
      </c>
      <c r="AC34" s="1840"/>
      <c r="AD34" s="1120">
        <v>0</v>
      </c>
      <c r="AE34" s="1120">
        <v>0.99999999999999989</v>
      </c>
      <c r="AF34" s="1121">
        <v>1</v>
      </c>
      <c r="AG34" s="1121">
        <v>1</v>
      </c>
      <c r="AH34" s="1121">
        <v>1</v>
      </c>
      <c r="AI34" s="1121">
        <v>1</v>
      </c>
      <c r="AJ34" s="1121">
        <v>1</v>
      </c>
      <c r="AK34" s="1121">
        <v>1</v>
      </c>
    </row>
    <row r="35" spans="3:37" ht="16.5" customHeight="1" thickBot="1">
      <c r="C35" s="1062"/>
      <c r="F35" s="1075"/>
      <c r="G35" s="1112"/>
      <c r="H35" s="470"/>
      <c r="I35" s="1113"/>
      <c r="J35" s="1113"/>
      <c r="K35" s="1840"/>
      <c r="L35" s="1114"/>
      <c r="M35" s="1115"/>
      <c r="N35" s="1116"/>
      <c r="O35" s="1116"/>
      <c r="P35" s="1116"/>
      <c r="Q35" s="1116"/>
      <c r="R35" s="1116"/>
      <c r="S35" s="1116"/>
      <c r="T35" s="1840"/>
      <c r="U35" s="1117"/>
      <c r="V35" s="1117"/>
      <c r="W35" s="1118"/>
      <c r="X35" s="1118"/>
      <c r="Y35" s="1118"/>
      <c r="Z35" s="1118"/>
      <c r="AA35" s="1118"/>
      <c r="AB35" s="1118"/>
      <c r="AC35" s="1840"/>
      <c r="AD35" s="1117"/>
      <c r="AE35" s="1117"/>
      <c r="AF35" s="1118"/>
      <c r="AG35" s="1118"/>
      <c r="AH35" s="1118"/>
      <c r="AI35" s="1118"/>
      <c r="AJ35" s="1118"/>
      <c r="AK35" s="1118"/>
    </row>
    <row r="36" spans="3:37" s="763" customFormat="1" ht="26.4" customHeight="1" thickBot="1">
      <c r="C36" s="1093"/>
      <c r="E36" s="1094"/>
      <c r="F36" s="1075"/>
      <c r="G36" s="1105" t="s">
        <v>4967</v>
      </c>
      <c r="H36" s="1106"/>
      <c r="I36" s="1107"/>
      <c r="J36" s="1107"/>
      <c r="K36" s="1840"/>
      <c r="L36" s="1108" t="s">
        <v>4956</v>
      </c>
      <c r="M36" s="1109" t="s">
        <v>4957</v>
      </c>
      <c r="N36" s="1110" t="s">
        <v>1949</v>
      </c>
      <c r="O36" s="1110" t="s">
        <v>1950</v>
      </c>
      <c r="P36" s="1110" t="s">
        <v>1934</v>
      </c>
      <c r="Q36" s="1110" t="s">
        <v>1971</v>
      </c>
      <c r="R36" s="1110" t="s">
        <v>1972</v>
      </c>
      <c r="S36" s="1110" t="s">
        <v>1973</v>
      </c>
      <c r="T36" s="1840"/>
      <c r="U36" s="1827" t="s">
        <v>4956</v>
      </c>
      <c r="V36" s="1828" t="s">
        <v>4957</v>
      </c>
      <c r="W36" s="1829" t="s">
        <v>1949</v>
      </c>
      <c r="X36" s="1830" t="s">
        <v>1950</v>
      </c>
      <c r="Y36" s="1830" t="s">
        <v>1934</v>
      </c>
      <c r="Z36" s="1830" t="s">
        <v>1971</v>
      </c>
      <c r="AA36" s="1830" t="s">
        <v>1972</v>
      </c>
      <c r="AB36" s="1830" t="s">
        <v>1973</v>
      </c>
      <c r="AC36" s="1840"/>
      <c r="AD36" s="1827" t="s">
        <v>4956</v>
      </c>
      <c r="AE36" s="1828" t="s">
        <v>4957</v>
      </c>
      <c r="AF36" s="1829" t="s">
        <v>1949</v>
      </c>
      <c r="AG36" s="1830" t="s">
        <v>1950</v>
      </c>
      <c r="AH36" s="1830" t="s">
        <v>1934</v>
      </c>
      <c r="AI36" s="1830" t="s">
        <v>1971</v>
      </c>
      <c r="AJ36" s="1830" t="s">
        <v>1972</v>
      </c>
      <c r="AK36" s="1830" t="s">
        <v>1973</v>
      </c>
    </row>
    <row r="37" spans="3:37" s="763" customFormat="1" ht="16.5" customHeight="1">
      <c r="C37" s="1093"/>
      <c r="E37" s="1094"/>
      <c r="F37" s="1075"/>
      <c r="G37" s="1111" t="s">
        <v>1951</v>
      </c>
      <c r="H37" s="1859"/>
      <c r="I37" s="1846"/>
      <c r="J37" s="1846"/>
      <c r="K37" s="1847"/>
      <c r="L37" s="1848">
        <v>0</v>
      </c>
      <c r="M37" s="1860">
        <v>862484</v>
      </c>
      <c r="N37" s="1861">
        <v>769107</v>
      </c>
      <c r="O37" s="1861">
        <v>74635</v>
      </c>
      <c r="P37" s="1861">
        <v>18522</v>
      </c>
      <c r="Q37" s="1861">
        <v>0</v>
      </c>
      <c r="R37" s="1861">
        <v>0</v>
      </c>
      <c r="S37" s="1861">
        <v>220</v>
      </c>
      <c r="T37" s="1847"/>
      <c r="U37" s="1862">
        <v>0</v>
      </c>
      <c r="V37" s="1863">
        <v>246170998.88911736</v>
      </c>
      <c r="W37" s="1864">
        <v>174663821.41775307</v>
      </c>
      <c r="X37" s="1865">
        <v>45068076.411305547</v>
      </c>
      <c r="Y37" s="1865">
        <v>26365322.801087808</v>
      </c>
      <c r="Z37" s="1865">
        <v>0</v>
      </c>
      <c r="AA37" s="1865">
        <v>0</v>
      </c>
      <c r="AB37" s="1865">
        <v>73778.258970950672</v>
      </c>
      <c r="AC37" s="1847"/>
      <c r="AD37" s="1862">
        <v>0</v>
      </c>
      <c r="AE37" s="1863">
        <v>5016010.0791678661</v>
      </c>
      <c r="AF37" s="1864">
        <v>4453122.9282540651</v>
      </c>
      <c r="AG37" s="1865">
        <v>435623.33044197608</v>
      </c>
      <c r="AH37" s="1865">
        <v>123674.38214625175</v>
      </c>
      <c r="AI37" s="1865">
        <v>0</v>
      </c>
      <c r="AJ37" s="1865">
        <v>0</v>
      </c>
      <c r="AK37" s="1865">
        <v>3589.4383255739854</v>
      </c>
    </row>
    <row r="38" spans="3:37" s="763" customFormat="1" ht="16.5" customHeight="1">
      <c r="C38" s="1093"/>
      <c r="E38" s="1094"/>
      <c r="F38" s="1075"/>
      <c r="G38" s="1111" t="s">
        <v>1952</v>
      </c>
      <c r="H38" s="1859"/>
      <c r="I38" s="1846"/>
      <c r="J38" s="1846"/>
      <c r="K38" s="1847"/>
      <c r="L38" s="1848">
        <v>0</v>
      </c>
      <c r="M38" s="1860">
        <v>259</v>
      </c>
      <c r="N38" s="1861">
        <v>0</v>
      </c>
      <c r="O38" s="1861">
        <v>19</v>
      </c>
      <c r="P38" s="1861">
        <v>130</v>
      </c>
      <c r="Q38" s="1861">
        <v>92</v>
      </c>
      <c r="R38" s="1866">
        <v>0</v>
      </c>
      <c r="S38" s="1866">
        <v>18</v>
      </c>
      <c r="T38" s="1847"/>
      <c r="U38" s="1862">
        <v>0</v>
      </c>
      <c r="V38" s="1863">
        <v>6680897.0641701501</v>
      </c>
      <c r="W38" s="1864">
        <v>0</v>
      </c>
      <c r="X38" s="1865">
        <v>482013.27925157471</v>
      </c>
      <c r="Y38" s="1865">
        <v>3290798.705376354</v>
      </c>
      <c r="Z38" s="1865">
        <v>2463581.8057832038</v>
      </c>
      <c r="AA38" s="1865">
        <v>0</v>
      </c>
      <c r="AB38" s="1865">
        <v>444503.27375901816</v>
      </c>
      <c r="AC38" s="1847"/>
      <c r="AD38" s="1862">
        <v>0</v>
      </c>
      <c r="AE38" s="1863">
        <v>5345.76</v>
      </c>
      <c r="AF38" s="1864">
        <v>0</v>
      </c>
      <c r="AG38" s="1865">
        <v>392.15999999999997</v>
      </c>
      <c r="AH38" s="1865">
        <v>2683.2</v>
      </c>
      <c r="AI38" s="1865">
        <v>1898.8799999999999</v>
      </c>
      <c r="AJ38" s="1865">
        <v>0</v>
      </c>
      <c r="AK38" s="1865">
        <v>371.52</v>
      </c>
    </row>
    <row r="39" spans="3:37" s="763" customFormat="1" ht="16.5" customHeight="1" thickBot="1">
      <c r="C39" s="1093"/>
      <c r="E39" s="1094"/>
      <c r="F39" s="1075"/>
      <c r="G39" s="1111" t="s">
        <v>1953</v>
      </c>
      <c r="H39" s="1859"/>
      <c r="I39" s="1846"/>
      <c r="J39" s="1846"/>
      <c r="K39" s="1847"/>
      <c r="L39" s="1848">
        <v>0</v>
      </c>
      <c r="M39" s="1860">
        <v>37</v>
      </c>
      <c r="N39" s="1861">
        <v>0</v>
      </c>
      <c r="O39" s="1861">
        <v>0</v>
      </c>
      <c r="P39" s="1861">
        <v>4</v>
      </c>
      <c r="Q39" s="1861">
        <v>0</v>
      </c>
      <c r="R39" s="1866">
        <v>33</v>
      </c>
      <c r="S39" s="1866">
        <v>0</v>
      </c>
      <c r="T39" s="1847"/>
      <c r="U39" s="1862">
        <v>0</v>
      </c>
      <c r="V39" s="1863">
        <v>3001190.7236833707</v>
      </c>
      <c r="W39" s="1864">
        <v>0</v>
      </c>
      <c r="X39" s="1865">
        <v>0</v>
      </c>
      <c r="Y39" s="1865">
        <v>313319.55703190493</v>
      </c>
      <c r="Z39" s="1865">
        <v>0</v>
      </c>
      <c r="AA39" s="1865">
        <v>2687871.1666514659</v>
      </c>
      <c r="AB39" s="1865">
        <v>0</v>
      </c>
      <c r="AC39" s="1847"/>
      <c r="AD39" s="1862">
        <v>0</v>
      </c>
      <c r="AE39" s="1863">
        <v>763.68000000000006</v>
      </c>
      <c r="AF39" s="1864">
        <v>0</v>
      </c>
      <c r="AG39" s="1865">
        <v>0</v>
      </c>
      <c r="AH39" s="1865">
        <v>82.56</v>
      </c>
      <c r="AI39" s="1865">
        <v>0</v>
      </c>
      <c r="AJ39" s="1865">
        <v>681.12</v>
      </c>
      <c r="AK39" s="1865">
        <v>0</v>
      </c>
    </row>
    <row r="40" spans="3:37" s="763" customFormat="1" ht="16.5" customHeight="1" thickBot="1">
      <c r="C40" s="1093"/>
      <c r="E40" s="1094"/>
      <c r="F40" s="1075"/>
      <c r="G40" s="1095" t="s">
        <v>115</v>
      </c>
      <c r="H40" s="1096"/>
      <c r="I40" s="1097"/>
      <c r="J40" s="1097"/>
      <c r="K40" s="1092"/>
      <c r="L40" s="1098">
        <v>0</v>
      </c>
      <c r="M40" s="1099">
        <v>862780</v>
      </c>
      <c r="N40" s="1100">
        <v>769107</v>
      </c>
      <c r="O40" s="1100">
        <v>74654</v>
      </c>
      <c r="P40" s="1100">
        <v>18656</v>
      </c>
      <c r="Q40" s="1100">
        <v>92</v>
      </c>
      <c r="R40" s="1100">
        <v>33</v>
      </c>
      <c r="S40" s="1100">
        <v>238</v>
      </c>
      <c r="T40" s="1092"/>
      <c r="U40" s="1101">
        <v>0</v>
      </c>
      <c r="V40" s="1102">
        <v>255853086.6769709</v>
      </c>
      <c r="W40" s="1103">
        <v>174663821.41775307</v>
      </c>
      <c r="X40" s="1104">
        <v>45550089.690557122</v>
      </c>
      <c r="Y40" s="1104">
        <v>29969441.063496064</v>
      </c>
      <c r="Z40" s="1104">
        <v>2463581.8057832038</v>
      </c>
      <c r="AA40" s="1104">
        <v>2687871.1666514659</v>
      </c>
      <c r="AB40" s="1104">
        <v>518281.53272996884</v>
      </c>
      <c r="AC40" s="1092"/>
      <c r="AD40" s="1101">
        <v>0</v>
      </c>
      <c r="AE40" s="1102">
        <v>5022119.5191678675</v>
      </c>
      <c r="AF40" s="1103">
        <v>4453122.9282540651</v>
      </c>
      <c r="AG40" s="1104">
        <v>436015.49044197606</v>
      </c>
      <c r="AH40" s="1104">
        <v>126440.14214625175</v>
      </c>
      <c r="AI40" s="1104">
        <v>1898.8799999999999</v>
      </c>
      <c r="AJ40" s="1104">
        <v>681.12</v>
      </c>
      <c r="AK40" s="1104">
        <v>3960.9583255739853</v>
      </c>
    </row>
    <row r="41" spans="3:37" ht="14.1" customHeight="1">
      <c r="C41" s="1062"/>
      <c r="F41" s="33"/>
      <c r="G41" s="1112"/>
      <c r="H41" s="275"/>
      <c r="I41" s="275"/>
      <c r="J41" s="275"/>
      <c r="L41" s="52"/>
      <c r="M41" s="52"/>
      <c r="N41" s="52"/>
      <c r="O41" s="52"/>
      <c r="P41" s="52"/>
      <c r="Q41" s="52"/>
      <c r="R41" s="52"/>
      <c r="S41" s="52"/>
      <c r="U41" s="1122"/>
      <c r="V41" s="1122"/>
      <c r="W41" s="1122"/>
      <c r="X41" s="1122"/>
      <c r="Y41" s="1122"/>
      <c r="Z41" s="1122"/>
      <c r="AA41" s="1122"/>
      <c r="AB41" s="1122"/>
      <c r="AD41" s="1122"/>
      <c r="AE41" s="1122"/>
      <c r="AF41" s="1122"/>
      <c r="AG41" s="1122"/>
      <c r="AH41" s="1122"/>
      <c r="AI41" s="1122"/>
      <c r="AJ41" s="1122"/>
      <c r="AK41" s="1122"/>
    </row>
    <row r="42" spans="3:37" ht="14.1" customHeight="1">
      <c r="C42" s="1062"/>
      <c r="F42" s="60"/>
      <c r="G42" s="62"/>
      <c r="H42" s="62"/>
      <c r="I42" s="62"/>
      <c r="J42" s="62"/>
      <c r="L42" s="850"/>
      <c r="M42" s="850"/>
      <c r="N42" s="850"/>
      <c r="O42" s="850"/>
      <c r="P42" s="513"/>
      <c r="Q42" s="513"/>
      <c r="R42" s="850"/>
      <c r="S42" s="850"/>
      <c r="U42" s="850"/>
      <c r="V42" s="850"/>
      <c r="W42" s="850"/>
      <c r="X42" s="850"/>
      <c r="Y42" s="850"/>
      <c r="Z42" s="850"/>
      <c r="AA42" s="850"/>
      <c r="AB42" s="850"/>
    </row>
    <row r="43" spans="3:37" ht="18" customHeight="1">
      <c r="C43" s="1062"/>
      <c r="F43" s="507" t="s">
        <v>2173</v>
      </c>
      <c r="G43" s="62"/>
      <c r="H43" s="62"/>
      <c r="I43" s="62"/>
      <c r="J43" s="62"/>
      <c r="L43" s="1123"/>
      <c r="M43" s="1124"/>
      <c r="N43" s="513"/>
      <c r="O43" s="513"/>
      <c r="P43" s="513"/>
      <c r="Q43" s="513"/>
      <c r="R43" s="513"/>
      <c r="S43" s="513"/>
      <c r="U43" s="513"/>
      <c r="V43" s="513"/>
      <c r="W43" s="850"/>
      <c r="X43" s="850"/>
      <c r="Y43" s="850"/>
      <c r="Z43" s="850"/>
      <c r="AA43" s="850"/>
      <c r="AB43" s="850"/>
    </row>
    <row r="44" spans="3:37" ht="18" customHeight="1">
      <c r="C44" s="1062"/>
      <c r="F44" s="507" t="s">
        <v>4968</v>
      </c>
      <c r="G44" s="62"/>
      <c r="H44" s="62"/>
      <c r="J44" s="1125"/>
      <c r="L44" s="1125"/>
      <c r="M44" s="1126"/>
      <c r="N44" s="1127"/>
      <c r="O44" s="1126"/>
      <c r="P44" s="1126"/>
      <c r="Q44" s="1126"/>
      <c r="R44" s="513"/>
      <c r="S44" s="513"/>
      <c r="U44" s="513"/>
      <c r="V44" s="513"/>
      <c r="W44" s="850"/>
      <c r="X44" s="850"/>
      <c r="Y44" s="850"/>
      <c r="Z44" s="850"/>
      <c r="AA44" s="850"/>
      <c r="AB44" s="850"/>
    </row>
    <row r="45" spans="3:37" ht="18" customHeight="1">
      <c r="C45" s="1062"/>
      <c r="F45" s="507" t="s">
        <v>4969</v>
      </c>
      <c r="G45" s="62"/>
      <c r="H45" s="62"/>
      <c r="I45" s="62"/>
      <c r="J45" s="62"/>
      <c r="L45" s="513"/>
      <c r="M45" s="513"/>
      <c r="N45" s="513"/>
      <c r="O45" s="513"/>
      <c r="P45" s="513"/>
      <c r="Q45" s="513"/>
      <c r="R45" s="513"/>
      <c r="S45" s="513"/>
      <c r="U45" s="513"/>
      <c r="V45" s="513"/>
      <c r="W45" s="850"/>
      <c r="X45" s="850"/>
      <c r="Y45" s="850"/>
      <c r="Z45" s="850"/>
      <c r="AA45" s="850"/>
      <c r="AB45" s="850"/>
    </row>
    <row r="46" spans="3:37" ht="18" customHeight="1">
      <c r="C46" s="1062"/>
      <c r="F46" s="1128" t="s">
        <v>9263</v>
      </c>
      <c r="G46" s="62"/>
      <c r="H46" s="62"/>
      <c r="I46" s="62"/>
      <c r="J46" s="62"/>
      <c r="U46" s="850"/>
      <c r="V46" s="850"/>
      <c r="W46" s="850"/>
      <c r="X46" s="850"/>
      <c r="Y46" s="850"/>
      <c r="Z46" s="850"/>
      <c r="AA46" s="850"/>
      <c r="AB46" s="850"/>
    </row>
    <row r="47" spans="3:37" ht="15.9" customHeight="1" thickBot="1">
      <c r="C47" s="1062"/>
      <c r="F47" s="60"/>
      <c r="G47" s="62"/>
      <c r="H47" s="62"/>
      <c r="I47" s="62"/>
      <c r="J47" s="62"/>
      <c r="L47" s="1267"/>
      <c r="M47" s="1267"/>
      <c r="N47" s="1267"/>
      <c r="O47" s="1267"/>
      <c r="P47" s="1267"/>
      <c r="Q47" s="1267"/>
      <c r="R47" s="1267"/>
      <c r="S47" s="1268"/>
      <c r="U47" s="850"/>
      <c r="V47" s="850"/>
      <c r="W47" s="850"/>
      <c r="X47" s="850"/>
      <c r="Y47" s="850"/>
      <c r="Z47" s="850"/>
      <c r="AA47" s="850"/>
      <c r="AB47" s="850"/>
    </row>
    <row r="48" spans="3:37" ht="16.5" customHeight="1" thickBot="1">
      <c r="C48" s="1062"/>
      <c r="F48" s="1129" t="s">
        <v>4970</v>
      </c>
      <c r="G48" s="1130"/>
      <c r="H48" s="1130"/>
      <c r="I48" s="1131"/>
      <c r="J48" s="1131"/>
      <c r="L48" s="1132"/>
      <c r="M48" s="1132"/>
      <c r="N48" s="1133"/>
      <c r="O48" s="1133"/>
      <c r="P48" s="1133"/>
      <c r="Q48" s="1133"/>
      <c r="R48" s="1133"/>
      <c r="S48" s="1134"/>
      <c r="U48" s="850"/>
      <c r="V48" s="850"/>
      <c r="W48" s="850"/>
      <c r="X48" s="850"/>
      <c r="Y48" s="850"/>
      <c r="Z48" s="850"/>
      <c r="AA48" s="850"/>
      <c r="AB48" s="850"/>
    </row>
    <row r="49" spans="3:28" ht="28.5" customHeight="1" thickBot="1">
      <c r="C49" s="1062"/>
      <c r="F49" s="3141"/>
      <c r="G49" s="3142"/>
      <c r="H49" s="3142"/>
      <c r="I49" s="361"/>
      <c r="J49" s="361"/>
      <c r="L49" s="1080" t="s">
        <v>4956</v>
      </c>
      <c r="M49" s="1080" t="s">
        <v>4957</v>
      </c>
      <c r="N49" s="1135" t="s">
        <v>1949</v>
      </c>
      <c r="O49" s="1136" t="s">
        <v>1950</v>
      </c>
      <c r="P49" s="1136" t="s">
        <v>1934</v>
      </c>
      <c r="Q49" s="1137" t="s">
        <v>1971</v>
      </c>
      <c r="R49" s="1137" t="s">
        <v>1972</v>
      </c>
      <c r="S49" s="1138" t="s">
        <v>1973</v>
      </c>
      <c r="U49" s="850"/>
      <c r="V49" s="850"/>
      <c r="W49" s="850"/>
      <c r="X49" s="850"/>
      <c r="Y49" s="850"/>
      <c r="Z49" s="850"/>
      <c r="AA49" s="850"/>
      <c r="AB49" s="850"/>
    </row>
    <row r="50" spans="3:28" ht="15" customHeight="1" thickBot="1">
      <c r="C50" s="1062"/>
      <c r="E50" s="1139"/>
      <c r="F50" s="1140" t="s">
        <v>4971</v>
      </c>
      <c r="G50" s="1141"/>
      <c r="H50" s="1142"/>
      <c r="I50" s="1143"/>
      <c r="J50" s="1143"/>
      <c r="K50" s="1143"/>
      <c r="L50" s="1144"/>
      <c r="M50" s="1144"/>
      <c r="N50" s="1144"/>
      <c r="O50" s="1144"/>
      <c r="P50" s="1144"/>
      <c r="Q50" s="1144"/>
      <c r="R50" s="1144"/>
      <c r="S50" s="1145"/>
      <c r="U50" s="850"/>
      <c r="V50" s="850"/>
      <c r="W50" s="850"/>
      <c r="X50" s="850"/>
      <c r="Y50" s="850"/>
      <c r="Z50" s="850"/>
      <c r="AA50" s="850"/>
      <c r="AB50" s="850"/>
    </row>
    <row r="51" spans="3:28" ht="15" customHeight="1" thickBot="1">
      <c r="C51" s="1062"/>
      <c r="E51" s="1139"/>
      <c r="F51" s="1146" t="s">
        <v>4972</v>
      </c>
      <c r="G51" s="1147"/>
      <c r="H51" s="1147"/>
      <c r="I51" s="361"/>
      <c r="J51" s="1148" t="s">
        <v>4973</v>
      </c>
      <c r="L51" s="1149">
        <v>0</v>
      </c>
      <c r="M51" s="1150">
        <v>862433</v>
      </c>
      <c r="N51" s="1151">
        <v>769107</v>
      </c>
      <c r="O51" s="1152">
        <v>74654</v>
      </c>
      <c r="P51" s="1152">
        <v>18363</v>
      </c>
      <c r="Q51" s="1153">
        <v>62</v>
      </c>
      <c r="R51" s="1153">
        <v>11</v>
      </c>
      <c r="S51" s="1154">
        <v>236</v>
      </c>
      <c r="U51" s="850"/>
      <c r="V51" s="850"/>
      <c r="W51" s="850"/>
      <c r="X51" s="850"/>
      <c r="Y51" s="850"/>
      <c r="Z51" s="850"/>
      <c r="AA51" s="850"/>
      <c r="AB51" s="850"/>
    </row>
    <row r="52" spans="3:28" ht="15" customHeight="1" thickBot="1">
      <c r="C52" s="1062"/>
      <c r="F52" s="1155"/>
      <c r="G52" s="1156"/>
      <c r="H52" s="1157" t="s">
        <v>4837</v>
      </c>
      <c r="I52" s="1158"/>
      <c r="J52" s="1159" t="s">
        <v>4974</v>
      </c>
      <c r="K52" s="1143"/>
      <c r="L52" s="1160">
        <v>0</v>
      </c>
      <c r="M52" s="1160">
        <v>255853086.6769709</v>
      </c>
      <c r="N52" s="1161">
        <v>174663821.41775307</v>
      </c>
      <c r="O52" s="1162">
        <v>45550089.690557122</v>
      </c>
      <c r="P52" s="1162">
        <v>29969441.063496064</v>
      </c>
      <c r="Q52" s="1162">
        <v>2463581.8057832038</v>
      </c>
      <c r="R52" s="1162">
        <v>2687871.1666514659</v>
      </c>
      <c r="S52" s="1163">
        <v>518281.53272996884</v>
      </c>
      <c r="U52" s="850"/>
      <c r="V52" s="850"/>
      <c r="W52" s="850"/>
      <c r="X52" s="850"/>
      <c r="Y52" s="850"/>
      <c r="Z52" s="850"/>
      <c r="AA52" s="850"/>
      <c r="AB52" s="850"/>
    </row>
    <row r="53" spans="3:28" ht="15" customHeight="1">
      <c r="C53" s="1062"/>
      <c r="F53" s="30"/>
      <c r="G53" s="907"/>
      <c r="H53" s="288"/>
      <c r="I53" s="361"/>
      <c r="J53" s="361"/>
      <c r="L53" s="1164"/>
      <c r="M53" s="1164"/>
      <c r="N53" s="1165"/>
      <c r="O53" s="1166"/>
      <c r="P53" s="1166"/>
      <c r="Q53" s="1166"/>
      <c r="R53" s="1166"/>
      <c r="S53" s="1167"/>
      <c r="U53" s="850"/>
      <c r="V53" s="850"/>
      <c r="W53" s="850"/>
      <c r="X53" s="850"/>
      <c r="Y53" s="850"/>
      <c r="Z53" s="850"/>
      <c r="AA53" s="850"/>
      <c r="AB53" s="850"/>
    </row>
    <row r="54" spans="3:28" ht="14.1" customHeight="1" thickBot="1">
      <c r="C54" s="1062"/>
      <c r="F54" s="1168"/>
      <c r="G54" s="123"/>
      <c r="H54" s="123"/>
      <c r="I54" s="175"/>
      <c r="J54" s="175"/>
      <c r="L54" s="1169"/>
      <c r="M54" s="1169"/>
      <c r="N54" s="1170"/>
      <c r="O54" s="1171"/>
      <c r="P54" s="1172"/>
      <c r="Q54" s="1172"/>
      <c r="R54" s="1171"/>
      <c r="S54" s="1173"/>
      <c r="U54" s="850"/>
    </row>
    <row r="55" spans="3:28" ht="15" customHeight="1" thickBot="1">
      <c r="C55" s="1062"/>
      <c r="E55" s="1139"/>
      <c r="F55" s="1140" t="s">
        <v>4975</v>
      </c>
      <c r="G55" s="1141"/>
      <c r="H55" s="1142"/>
      <c r="I55" s="1143"/>
      <c r="J55" s="1143"/>
      <c r="K55" s="1143"/>
      <c r="L55" s="1144"/>
      <c r="M55" s="1144"/>
      <c r="N55" s="1144"/>
      <c r="O55" s="1144"/>
      <c r="P55" s="1144"/>
      <c r="Q55" s="1144"/>
      <c r="R55" s="1144"/>
      <c r="S55" s="1145"/>
      <c r="U55" s="850"/>
      <c r="V55" s="850"/>
      <c r="W55" s="850"/>
      <c r="X55" s="850"/>
      <c r="Y55" s="850"/>
      <c r="Z55" s="850"/>
      <c r="AA55" s="850"/>
      <c r="AB55" s="850"/>
    </row>
    <row r="56" spans="3:28" ht="15" customHeight="1">
      <c r="C56" s="1062"/>
      <c r="F56" s="1146" t="s">
        <v>4976</v>
      </c>
      <c r="G56" s="1174"/>
      <c r="H56" s="1174"/>
      <c r="I56" s="361"/>
      <c r="J56" s="1175" t="s">
        <v>4977</v>
      </c>
      <c r="L56" s="1176">
        <v>0</v>
      </c>
      <c r="M56" s="1778">
        <v>862433</v>
      </c>
      <c r="N56" s="1778">
        <v>769107</v>
      </c>
      <c r="O56" s="1779">
        <v>74654</v>
      </c>
      <c r="P56" s="1779">
        <v>18363</v>
      </c>
      <c r="Q56" s="1779">
        <v>62</v>
      </c>
      <c r="R56" s="1779">
        <v>11</v>
      </c>
      <c r="S56" s="1780">
        <v>236</v>
      </c>
      <c r="U56" s="850"/>
      <c r="V56" s="850"/>
      <c r="W56" s="850"/>
      <c r="X56" s="850"/>
      <c r="Y56" s="850"/>
      <c r="Z56" s="850"/>
      <c r="AA56" s="850"/>
      <c r="AB56" s="850"/>
    </row>
    <row r="57" spans="3:28" ht="15" customHeight="1">
      <c r="C57" s="1062"/>
      <c r="F57" s="1168"/>
      <c r="H57" s="907"/>
      <c r="J57" s="1175" t="s">
        <v>4978</v>
      </c>
      <c r="L57" s="1177">
        <v>0</v>
      </c>
      <c r="M57" s="1178">
        <v>5.82319962149856</v>
      </c>
      <c r="N57" s="1179">
        <v>5.7899914163491752</v>
      </c>
      <c r="O57" s="1180">
        <v>5.8404839719502775</v>
      </c>
      <c r="P57" s="1180">
        <v>6.8855928849453649</v>
      </c>
      <c r="Q57" s="1180">
        <v>30.627096774193546</v>
      </c>
      <c r="R57" s="1180">
        <v>61.920000000000009</v>
      </c>
      <c r="S57" s="1181">
        <v>16.783721718533837</v>
      </c>
      <c r="U57" s="850"/>
      <c r="V57" s="850"/>
      <c r="W57" s="850"/>
      <c r="X57" s="850"/>
      <c r="Y57" s="850"/>
      <c r="Z57" s="850"/>
      <c r="AA57" s="850"/>
      <c r="AB57" s="850"/>
    </row>
    <row r="58" spans="3:28" ht="15" customHeight="1" thickBot="1">
      <c r="C58" s="1062"/>
      <c r="F58" s="1146" t="s">
        <v>4976</v>
      </c>
      <c r="G58" s="1174"/>
      <c r="H58" s="1174"/>
      <c r="I58" s="907"/>
      <c r="J58" s="1175" t="s">
        <v>4979</v>
      </c>
      <c r="L58" s="1177">
        <v>12</v>
      </c>
      <c r="M58" s="1177">
        <v>12</v>
      </c>
      <c r="N58" s="1182">
        <v>12</v>
      </c>
      <c r="O58" s="1183">
        <v>12</v>
      </c>
      <c r="P58" s="1183">
        <v>12</v>
      </c>
      <c r="Q58" s="1183">
        <v>12</v>
      </c>
      <c r="R58" s="1183">
        <v>12</v>
      </c>
      <c r="S58" s="1184">
        <v>12</v>
      </c>
      <c r="U58" s="850"/>
      <c r="V58" s="850"/>
      <c r="W58" s="850"/>
      <c r="X58" s="850"/>
      <c r="Y58" s="850"/>
      <c r="Z58" s="850"/>
      <c r="AA58" s="850"/>
      <c r="AB58" s="850"/>
    </row>
    <row r="59" spans="3:28" ht="15" customHeight="1" thickBot="1">
      <c r="C59" s="1062"/>
      <c r="F59" s="1140"/>
      <c r="G59" s="1156"/>
      <c r="H59" s="1157" t="s">
        <v>4980</v>
      </c>
      <c r="I59" s="1156"/>
      <c r="J59" s="1185" t="s">
        <v>4981</v>
      </c>
      <c r="K59" s="1143"/>
      <c r="L59" s="1186">
        <v>0</v>
      </c>
      <c r="M59" s="1187">
        <v>60265434.230014414</v>
      </c>
      <c r="N59" s="1188">
        <v>53437475.139048785</v>
      </c>
      <c r="O59" s="1188">
        <v>5232185.8853037124</v>
      </c>
      <c r="P59" s="1188">
        <v>1517281.705755021</v>
      </c>
      <c r="Q59" s="1188">
        <v>22786.559999999998</v>
      </c>
      <c r="R59" s="1189">
        <v>8173.4400000000005</v>
      </c>
      <c r="S59" s="1190">
        <v>47531.499906887824</v>
      </c>
      <c r="U59" s="850"/>
      <c r="V59" s="850"/>
      <c r="W59" s="850"/>
      <c r="X59" s="850"/>
      <c r="Y59" s="850"/>
      <c r="Z59" s="850"/>
      <c r="AA59" s="850"/>
      <c r="AB59" s="850"/>
    </row>
    <row r="60" spans="3:28" ht="15" customHeight="1">
      <c r="C60" s="1062"/>
      <c r="F60" s="875"/>
      <c r="L60" s="1191" t="s">
        <v>4982</v>
      </c>
      <c r="M60" s="1192">
        <v>0</v>
      </c>
      <c r="N60" s="1193">
        <v>0</v>
      </c>
      <c r="O60" s="1194">
        <v>0</v>
      </c>
      <c r="P60" s="1194">
        <v>0</v>
      </c>
      <c r="Q60" s="1194">
        <v>0</v>
      </c>
      <c r="R60" s="1194">
        <v>0</v>
      </c>
      <c r="S60" s="1195">
        <v>0</v>
      </c>
      <c r="U60" s="850"/>
      <c r="V60" s="850"/>
      <c r="W60" s="850"/>
      <c r="X60" s="850"/>
      <c r="Y60" s="850"/>
      <c r="Z60" s="850"/>
      <c r="AA60" s="850"/>
      <c r="AB60" s="850"/>
    </row>
    <row r="61" spans="3:28" ht="15" customHeight="1">
      <c r="C61" s="1062"/>
      <c r="F61" s="875"/>
      <c r="L61" s="1191"/>
      <c r="M61" s="1196">
        <v>1</v>
      </c>
      <c r="N61" s="1197">
        <v>0.88670190170860741</v>
      </c>
      <c r="O61" s="1198">
        <v>8.6819019096984959E-2</v>
      </c>
      <c r="P61" s="1198">
        <v>2.5176649353658164E-2</v>
      </c>
      <c r="Q61" s="1198">
        <v>3.7810330732921939E-4</v>
      </c>
      <c r="R61" s="1198">
        <v>1.3562401241156785E-4</v>
      </c>
      <c r="S61" s="1199">
        <v>7.8870252100855819E-4</v>
      </c>
      <c r="U61" s="850"/>
      <c r="V61" s="850"/>
      <c r="W61" s="850"/>
      <c r="X61" s="850"/>
      <c r="Y61" s="850"/>
      <c r="Z61" s="850"/>
      <c r="AA61" s="850"/>
      <c r="AB61" s="850"/>
    </row>
    <row r="62" spans="3:28" ht="15" customHeight="1">
      <c r="C62" s="1062"/>
      <c r="F62" s="59"/>
      <c r="I62" s="61" t="s">
        <v>4983</v>
      </c>
      <c r="J62" s="1200">
        <v>2624611.9799199994</v>
      </c>
      <c r="L62" s="1201">
        <v>0</v>
      </c>
      <c r="M62" s="1202">
        <v>2624611.9799199994</v>
      </c>
      <c r="N62" s="1203">
        <v>2327248.4338422567</v>
      </c>
      <c r="O62" s="1204">
        <v>227866.23760684993</v>
      </c>
      <c r="P62" s="1204">
        <v>66078.935507856324</v>
      </c>
      <c r="Q62" s="1204">
        <v>992.37447006364255</v>
      </c>
      <c r="R62" s="1204">
        <v>355.96040774021969</v>
      </c>
      <c r="S62" s="1205">
        <v>2070.0380852321668</v>
      </c>
      <c r="U62" s="850"/>
      <c r="V62" s="850"/>
      <c r="W62" s="850"/>
      <c r="X62" s="850"/>
      <c r="Y62" s="850"/>
      <c r="Z62" s="850"/>
      <c r="AA62" s="850"/>
      <c r="AB62" s="850"/>
    </row>
    <row r="63" spans="3:28" ht="15" customHeight="1">
      <c r="C63" s="1062"/>
      <c r="F63" s="59"/>
      <c r="I63" s="61" t="s">
        <v>4984</v>
      </c>
      <c r="J63" s="1200">
        <v>57640822.250094414</v>
      </c>
      <c r="L63" s="1206">
        <v>0</v>
      </c>
      <c r="M63" s="1207">
        <v>57640822.250094414</v>
      </c>
      <c r="N63" s="1208">
        <v>51110226.705206528</v>
      </c>
      <c r="O63" s="1209">
        <v>5004319.6476968629</v>
      </c>
      <c r="P63" s="1209">
        <v>1451202.7702471646</v>
      </c>
      <c r="Q63" s="1209">
        <v>21794.185529936356</v>
      </c>
      <c r="R63" s="1209">
        <v>7817.4795922597805</v>
      </c>
      <c r="S63" s="1210">
        <v>45461.461821655656</v>
      </c>
      <c r="U63" s="850"/>
      <c r="V63" s="850"/>
      <c r="W63" s="850"/>
      <c r="X63" s="850"/>
      <c r="Y63" s="850"/>
      <c r="Z63" s="850"/>
      <c r="AA63" s="850"/>
      <c r="AB63" s="850"/>
    </row>
    <row r="64" spans="3:28" ht="14.1" customHeight="1" thickBot="1">
      <c r="C64" s="1062"/>
      <c r="F64" s="1211"/>
      <c r="G64" s="946"/>
      <c r="H64" s="946"/>
      <c r="I64" s="946"/>
      <c r="J64" s="946"/>
      <c r="L64" s="1212"/>
      <c r="M64" s="1213">
        <v>4.3550868146119581E-2</v>
      </c>
      <c r="N64" s="1214">
        <v>4.3550868146119581E-2</v>
      </c>
      <c r="O64" s="1215">
        <v>4.3550868146119581E-2</v>
      </c>
      <c r="P64" s="1216">
        <v>4.3550868146119581E-2</v>
      </c>
      <c r="Q64" s="1216">
        <v>4.3550868146119581E-2</v>
      </c>
      <c r="R64" s="1215">
        <v>4.3550868146119588E-2</v>
      </c>
      <c r="S64" s="1217">
        <v>4.3550868146119581E-2</v>
      </c>
      <c r="U64" s="850"/>
      <c r="V64" s="850"/>
      <c r="W64" s="850"/>
      <c r="X64" s="850"/>
      <c r="Y64" s="850"/>
      <c r="Z64" s="850"/>
      <c r="AA64" s="850"/>
      <c r="AB64" s="850"/>
    </row>
    <row r="65" spans="3:28" ht="29.85" customHeight="1" thickBot="1">
      <c r="C65" s="1062"/>
      <c r="F65" s="1218" t="s">
        <v>4985</v>
      </c>
      <c r="G65" s="1219"/>
      <c r="H65" s="1219"/>
      <c r="I65" s="1220"/>
      <c r="J65" s="1220"/>
      <c r="K65" s="1221"/>
      <c r="L65" s="1222"/>
      <c r="M65" s="1222"/>
      <c r="N65" s="1223"/>
      <c r="O65" s="1224"/>
      <c r="P65" s="1224"/>
      <c r="Q65" s="1224"/>
      <c r="R65" s="1224"/>
      <c r="S65" s="1134"/>
      <c r="U65" s="850"/>
      <c r="V65" s="850"/>
      <c r="W65" s="850"/>
      <c r="X65" s="850"/>
      <c r="Y65" s="850"/>
      <c r="Z65" s="850"/>
      <c r="AA65" s="850"/>
      <c r="AB65" s="850"/>
    </row>
    <row r="66" spans="3:28" ht="32.1" customHeight="1" thickBot="1">
      <c r="C66" s="1062"/>
      <c r="F66" s="3143"/>
      <c r="G66" s="3144"/>
      <c r="H66" s="3144"/>
      <c r="L66" s="1080" t="s">
        <v>4956</v>
      </c>
      <c r="M66" s="1080" t="s">
        <v>4957</v>
      </c>
      <c r="N66" s="1135" t="s">
        <v>1949</v>
      </c>
      <c r="O66" s="1136" t="s">
        <v>1950</v>
      </c>
      <c r="P66" s="1136" t="s">
        <v>1934</v>
      </c>
      <c r="Q66" s="1137" t="s">
        <v>1971</v>
      </c>
      <c r="R66" s="1137" t="s">
        <v>1972</v>
      </c>
      <c r="S66" s="1086" t="s">
        <v>1973</v>
      </c>
      <c r="U66" s="850"/>
      <c r="V66" s="850"/>
      <c r="W66" s="850"/>
      <c r="X66" s="850"/>
      <c r="Y66" s="850"/>
      <c r="Z66" s="850"/>
      <c r="AA66" s="850"/>
      <c r="AB66" s="850"/>
    </row>
    <row r="67" spans="3:28" ht="15" thickBot="1">
      <c r="C67" s="1062"/>
      <c r="F67" s="1140" t="s">
        <v>4986</v>
      </c>
      <c r="G67" s="1141"/>
      <c r="H67" s="1142"/>
      <c r="I67" s="1143"/>
      <c r="J67" s="1143"/>
      <c r="K67" s="1143"/>
      <c r="L67" s="1144"/>
      <c r="M67" s="1144"/>
      <c r="N67" s="1144"/>
      <c r="O67" s="1144"/>
      <c r="P67" s="1144"/>
      <c r="Q67" s="1144"/>
      <c r="R67" s="1144"/>
      <c r="S67" s="1225"/>
      <c r="U67" s="850"/>
      <c r="V67" s="850"/>
      <c r="W67" s="850"/>
      <c r="X67" s="850"/>
      <c r="Y67" s="850"/>
      <c r="Z67" s="850"/>
      <c r="AA67" s="850"/>
      <c r="AB67" s="850"/>
    </row>
    <row r="68" spans="3:28" ht="15" customHeight="1">
      <c r="C68" s="1062"/>
      <c r="F68" s="1226" t="s">
        <v>4987</v>
      </c>
      <c r="G68" s="1227"/>
      <c r="H68" s="907"/>
      <c r="I68" s="907"/>
      <c r="J68" s="1175" t="s">
        <v>4977</v>
      </c>
      <c r="L68" s="1228">
        <v>0</v>
      </c>
      <c r="M68" s="1229">
        <v>862337</v>
      </c>
      <c r="N68" s="1230">
        <v>769107</v>
      </c>
      <c r="O68" s="1231">
        <v>74558</v>
      </c>
      <c r="P68" s="1231">
        <v>18363</v>
      </c>
      <c r="Q68" s="1231">
        <v>62</v>
      </c>
      <c r="R68" s="1231">
        <v>11</v>
      </c>
      <c r="S68" s="1232">
        <v>236</v>
      </c>
      <c r="U68" s="850"/>
      <c r="V68" s="850"/>
      <c r="W68" s="850"/>
      <c r="X68" s="850"/>
      <c r="Y68" s="850"/>
      <c r="Z68" s="850"/>
      <c r="AA68" s="850"/>
      <c r="AB68" s="850"/>
    </row>
    <row r="69" spans="3:28" ht="15" customHeight="1">
      <c r="C69" s="1062"/>
      <c r="F69" s="1233"/>
      <c r="G69" s="907" t="s">
        <v>4988</v>
      </c>
      <c r="H69" s="907"/>
      <c r="I69" s="907"/>
      <c r="J69" s="907"/>
      <c r="L69" s="1228">
        <v>12</v>
      </c>
      <c r="M69" s="1229">
        <v>12</v>
      </c>
      <c r="N69" s="1234">
        <v>12</v>
      </c>
      <c r="O69" s="1235">
        <v>12</v>
      </c>
      <c r="P69" s="1235">
        <v>12</v>
      </c>
      <c r="Q69" s="1235">
        <v>12</v>
      </c>
      <c r="R69" s="1235">
        <v>12</v>
      </c>
      <c r="S69" s="1154">
        <v>12</v>
      </c>
      <c r="U69" s="850"/>
      <c r="V69" s="850"/>
      <c r="W69" s="850"/>
      <c r="X69" s="850"/>
      <c r="Y69" s="850"/>
      <c r="Z69" s="850"/>
      <c r="AA69" s="850"/>
      <c r="AB69" s="850"/>
    </row>
    <row r="70" spans="3:28" ht="15" customHeight="1">
      <c r="C70" s="1062"/>
      <c r="E70" s="1139"/>
      <c r="F70" s="1236"/>
      <c r="G70" s="1237" t="s">
        <v>4795</v>
      </c>
      <c r="H70" s="1237"/>
      <c r="I70" s="1238" t="s">
        <v>4989</v>
      </c>
      <c r="J70" s="1238"/>
      <c r="K70" s="1239"/>
      <c r="L70" s="1240">
        <v>0</v>
      </c>
      <c r="M70" s="1241">
        <v>10348044</v>
      </c>
      <c r="N70" s="1242">
        <v>9229284</v>
      </c>
      <c r="O70" s="1243">
        <v>894696</v>
      </c>
      <c r="P70" s="1243">
        <v>220356</v>
      </c>
      <c r="Q70" s="1243">
        <v>744</v>
      </c>
      <c r="R70" s="1243">
        <v>132</v>
      </c>
      <c r="S70" s="1244">
        <v>2832</v>
      </c>
      <c r="U70" s="850"/>
      <c r="V70" s="850"/>
      <c r="W70" s="850"/>
      <c r="X70" s="850"/>
      <c r="Y70" s="850"/>
      <c r="Z70" s="850"/>
      <c r="AA70" s="850"/>
      <c r="AB70" s="850"/>
    </row>
    <row r="71" spans="3:28" ht="14.1" customHeight="1" thickBot="1">
      <c r="C71" s="1062"/>
      <c r="F71" s="1233"/>
      <c r="G71" s="907"/>
      <c r="H71" s="907"/>
      <c r="I71" s="907"/>
      <c r="J71" s="907"/>
      <c r="L71" s="1228"/>
      <c r="M71" s="1245"/>
      <c r="N71" s="1246"/>
      <c r="O71" s="1247"/>
      <c r="P71" s="1247"/>
      <c r="Q71" s="1247"/>
      <c r="R71" s="1247"/>
      <c r="S71" s="287"/>
      <c r="U71" s="850"/>
      <c r="V71" s="850"/>
      <c r="W71" s="850"/>
      <c r="X71" s="850"/>
      <c r="Y71" s="850"/>
      <c r="Z71" s="850"/>
      <c r="AA71" s="850"/>
      <c r="AB71" s="850"/>
    </row>
    <row r="72" spans="3:28" ht="15" customHeight="1" thickBot="1">
      <c r="C72" s="1062"/>
      <c r="F72" s="1140" t="s">
        <v>4990</v>
      </c>
      <c r="G72" s="1141"/>
      <c r="H72" s="1142"/>
      <c r="I72" s="1143"/>
      <c r="J72" s="1143"/>
      <c r="K72" s="1143"/>
      <c r="L72" s="1144"/>
      <c r="M72" s="1144"/>
      <c r="N72" s="1144"/>
      <c r="O72" s="1144"/>
      <c r="P72" s="1144"/>
      <c r="Q72" s="1144"/>
      <c r="R72" s="1248"/>
      <c r="S72" s="1225"/>
      <c r="U72" s="850"/>
      <c r="V72" s="850"/>
      <c r="W72" s="850"/>
      <c r="X72" s="850"/>
      <c r="Y72" s="850"/>
      <c r="Z72" s="850"/>
      <c r="AA72" s="850"/>
      <c r="AB72" s="850"/>
    </row>
    <row r="73" spans="3:28" ht="15" customHeight="1">
      <c r="C73" s="1062"/>
      <c r="F73" s="1226" t="s">
        <v>4987</v>
      </c>
      <c r="G73" s="1227"/>
      <c r="H73" s="907"/>
      <c r="I73" s="907"/>
      <c r="J73" s="1175" t="s">
        <v>4977</v>
      </c>
      <c r="L73" s="1228">
        <v>0</v>
      </c>
      <c r="M73" s="1229">
        <v>862337</v>
      </c>
      <c r="N73" s="1230">
        <v>769107</v>
      </c>
      <c r="O73" s="1231">
        <v>74558</v>
      </c>
      <c r="P73" s="1231">
        <v>18363</v>
      </c>
      <c r="Q73" s="1231">
        <v>62</v>
      </c>
      <c r="R73" s="1231">
        <v>11</v>
      </c>
      <c r="S73" s="1249">
        <v>236</v>
      </c>
      <c r="U73" s="850"/>
      <c r="V73" s="850"/>
      <c r="W73" s="850"/>
      <c r="X73" s="850"/>
      <c r="Y73" s="850"/>
      <c r="Z73" s="850"/>
      <c r="AA73" s="850"/>
      <c r="AB73" s="850"/>
    </row>
    <row r="74" spans="3:28" ht="15" customHeight="1" thickBot="1">
      <c r="C74" s="1062"/>
      <c r="F74" s="1233"/>
      <c r="G74" s="1250" t="s">
        <v>4991</v>
      </c>
      <c r="H74" s="1250"/>
      <c r="I74" s="1251" t="s">
        <v>4992</v>
      </c>
      <c r="J74" s="1250"/>
      <c r="K74" s="1252"/>
      <c r="L74" s="1253">
        <v>0</v>
      </c>
      <c r="M74" s="1254">
        <v>15</v>
      </c>
      <c r="N74" s="1234">
        <v>0</v>
      </c>
      <c r="O74" s="1235">
        <v>0</v>
      </c>
      <c r="P74" s="1235">
        <v>4</v>
      </c>
      <c r="Q74" s="891">
        <v>0</v>
      </c>
      <c r="R74" s="891">
        <v>11</v>
      </c>
      <c r="S74" s="1255">
        <v>0</v>
      </c>
      <c r="U74" s="850"/>
      <c r="V74" s="850"/>
      <c r="W74" s="850"/>
      <c r="X74" s="850"/>
      <c r="Y74" s="850"/>
      <c r="Z74" s="850"/>
      <c r="AA74" s="850"/>
      <c r="AB74" s="850"/>
    </row>
    <row r="75" spans="3:28" ht="15" customHeight="1" thickBot="1">
      <c r="C75" s="1062"/>
      <c r="E75" s="1139"/>
      <c r="F75" s="1236"/>
      <c r="G75" s="1237" t="s">
        <v>4824</v>
      </c>
      <c r="H75" s="1237"/>
      <c r="I75" s="1238" t="s">
        <v>4993</v>
      </c>
      <c r="J75" s="1238"/>
      <c r="K75" s="1239"/>
      <c r="L75" s="1256">
        <v>0</v>
      </c>
      <c r="M75" s="1241">
        <v>862322</v>
      </c>
      <c r="N75" s="1242">
        <v>769107</v>
      </c>
      <c r="O75" s="1243">
        <v>74558</v>
      </c>
      <c r="P75" s="1243">
        <v>18359</v>
      </c>
      <c r="Q75" s="1243">
        <v>62</v>
      </c>
      <c r="R75" s="1243">
        <v>0</v>
      </c>
      <c r="S75" s="1257">
        <v>236</v>
      </c>
      <c r="U75" s="850"/>
      <c r="V75" s="850"/>
      <c r="W75" s="850"/>
      <c r="X75" s="850"/>
      <c r="Y75" s="850"/>
      <c r="Z75" s="850"/>
      <c r="AA75" s="850"/>
      <c r="AB75" s="850"/>
    </row>
    <row r="76" spans="3:28" ht="14.1" customHeight="1" thickBot="1">
      <c r="C76" s="1062"/>
      <c r="F76" s="1233"/>
      <c r="G76" s="907"/>
      <c r="H76" s="907"/>
      <c r="I76" s="907"/>
      <c r="J76" s="907"/>
      <c r="L76" s="1228"/>
      <c r="M76" s="1229"/>
      <c r="N76" s="1230"/>
      <c r="O76" s="1231"/>
      <c r="P76" s="1235"/>
      <c r="Q76" s="1235"/>
      <c r="R76" s="1231"/>
      <c r="S76" s="1258"/>
      <c r="U76" s="850"/>
      <c r="V76" s="850"/>
      <c r="W76" s="850"/>
      <c r="X76" s="850"/>
      <c r="Y76" s="850"/>
      <c r="Z76" s="850"/>
      <c r="AA76" s="850"/>
      <c r="AB76" s="850"/>
    </row>
    <row r="77" spans="3:28" ht="15" customHeight="1" thickBot="1">
      <c r="C77" s="1062"/>
      <c r="F77" s="1140" t="s">
        <v>4994</v>
      </c>
      <c r="G77" s="1141"/>
      <c r="H77" s="1142"/>
      <c r="I77" s="1143"/>
      <c r="J77" s="1143"/>
      <c r="K77" s="1143"/>
      <c r="L77" s="1144"/>
      <c r="M77" s="1144"/>
      <c r="N77" s="1144"/>
      <c r="O77" s="1144"/>
      <c r="P77" s="1144"/>
      <c r="Q77" s="1144"/>
      <c r="R77" s="1248"/>
      <c r="S77" s="1225"/>
      <c r="U77" s="850"/>
      <c r="V77" s="850"/>
      <c r="W77" s="850"/>
      <c r="X77" s="850"/>
      <c r="Y77" s="850"/>
      <c r="Z77" s="850"/>
      <c r="AA77" s="850"/>
      <c r="AB77" s="850"/>
    </row>
    <row r="78" spans="3:28" ht="15" customHeight="1">
      <c r="C78" s="1062"/>
      <c r="F78" s="1233" t="s">
        <v>4995</v>
      </c>
      <c r="G78" s="907"/>
      <c r="H78" s="907"/>
      <c r="I78" s="907"/>
      <c r="J78" s="907"/>
      <c r="L78" s="1228">
        <v>0</v>
      </c>
      <c r="M78" s="1229">
        <v>862322</v>
      </c>
      <c r="N78" s="1230">
        <v>769107</v>
      </c>
      <c r="O78" s="1231">
        <v>74558</v>
      </c>
      <c r="P78" s="1231">
        <v>18359</v>
      </c>
      <c r="Q78" s="1231">
        <v>62</v>
      </c>
      <c r="R78" s="1231">
        <v>0</v>
      </c>
      <c r="S78" s="1232">
        <v>236</v>
      </c>
      <c r="U78" s="850"/>
      <c r="V78" s="850"/>
      <c r="W78" s="850"/>
      <c r="X78" s="850"/>
      <c r="Y78" s="850"/>
      <c r="Z78" s="850"/>
      <c r="AA78" s="850"/>
      <c r="AB78" s="850"/>
    </row>
    <row r="79" spans="3:28" ht="15" customHeight="1">
      <c r="C79" s="1062"/>
      <c r="F79" s="1233"/>
      <c r="G79" s="1259" t="s">
        <v>4996</v>
      </c>
      <c r="H79" s="1259"/>
      <c r="I79" s="907"/>
      <c r="J79" s="907"/>
      <c r="L79" s="1228">
        <v>0</v>
      </c>
      <c r="M79" s="1154">
        <v>229</v>
      </c>
      <c r="N79" s="1260">
        <v>0</v>
      </c>
      <c r="O79" s="1261">
        <v>19</v>
      </c>
      <c r="P79" s="1261">
        <v>130</v>
      </c>
      <c r="Q79" s="892">
        <v>62</v>
      </c>
      <c r="R79" s="1235">
        <v>0</v>
      </c>
      <c r="S79" s="1154">
        <v>18</v>
      </c>
      <c r="U79" s="850"/>
      <c r="V79" s="850"/>
      <c r="W79" s="850"/>
      <c r="X79" s="850"/>
      <c r="Y79" s="850"/>
      <c r="Z79" s="850"/>
      <c r="AA79" s="850"/>
      <c r="AB79" s="850"/>
    </row>
    <row r="80" spans="3:28" ht="15" customHeight="1" thickBot="1">
      <c r="C80" s="1062"/>
      <c r="E80" s="1139"/>
      <c r="F80" s="1236"/>
      <c r="G80" s="1237" t="s">
        <v>4997</v>
      </c>
      <c r="H80" s="1237"/>
      <c r="I80" s="1238" t="s">
        <v>4998</v>
      </c>
      <c r="J80" s="1238"/>
      <c r="K80" s="1239"/>
      <c r="L80" s="1262">
        <v>0</v>
      </c>
      <c r="M80" s="1263">
        <v>862093</v>
      </c>
      <c r="N80" s="1264">
        <v>769107</v>
      </c>
      <c r="O80" s="1265">
        <v>74539</v>
      </c>
      <c r="P80" s="1265">
        <v>18229</v>
      </c>
      <c r="Q80" s="1265">
        <v>0</v>
      </c>
      <c r="R80" s="1265">
        <v>0</v>
      </c>
      <c r="S80" s="1266">
        <v>218</v>
      </c>
      <c r="U80" s="850"/>
      <c r="V80" s="850"/>
      <c r="W80" s="850"/>
      <c r="X80" s="850"/>
      <c r="Y80" s="850"/>
      <c r="Z80" s="850"/>
      <c r="AA80" s="850"/>
      <c r="AB80" s="850"/>
    </row>
    <row r="81" spans="3:28" ht="14.1" customHeight="1">
      <c r="C81" s="1062"/>
      <c r="F81" s="258"/>
      <c r="U81" s="850"/>
      <c r="V81" s="850"/>
      <c r="W81" s="850"/>
      <c r="X81" s="850"/>
      <c r="Y81" s="850"/>
      <c r="Z81" s="850"/>
      <c r="AA81" s="850"/>
      <c r="AB81" s="850"/>
    </row>
    <row r="82" spans="3:28" ht="14.1" customHeight="1">
      <c r="C82" s="1062"/>
    </row>
    <row r="83" spans="3:28" ht="14.1" customHeight="1">
      <c r="C83" s="1062"/>
    </row>
    <row r="84" spans="3:28" ht="14.1" customHeight="1">
      <c r="C84" s="1062"/>
    </row>
    <row r="85" spans="3:28" ht="14.1" customHeight="1">
      <c r="C85" s="1062"/>
    </row>
    <row r="86" spans="3:28" ht="14.1" customHeight="1">
      <c r="C86" s="1062"/>
    </row>
    <row r="87" spans="3:28" ht="14.1" customHeight="1">
      <c r="C87" s="1062"/>
    </row>
    <row r="88" spans="3:28" ht="14.1" customHeight="1">
      <c r="C88" s="1062"/>
    </row>
  </sheetData>
  <mergeCells count="7">
    <mergeCell ref="AD20:AK20"/>
    <mergeCell ref="F49:H49"/>
    <mergeCell ref="F66:H66"/>
    <mergeCell ref="I14:J14"/>
    <mergeCell ref="M16:Q16"/>
    <mergeCell ref="L20:S20"/>
    <mergeCell ref="U20:AB20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D1:L62"/>
  <sheetViews>
    <sheetView tabSelected="1" showOutlineSymbols="0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84" t="s">
        <v>116</v>
      </c>
    </row>
    <row r="2" spans="4:12" ht="15" thickBot="1"/>
    <row r="3" spans="4:12" ht="15" thickBot="1">
      <c r="D3" s="1001" t="s">
        <v>4908</v>
      </c>
      <c r="E3" s="1004" t="s">
        <v>9483</v>
      </c>
    </row>
    <row r="4" spans="4:12">
      <c r="D4" s="118" t="s">
        <v>4909</v>
      </c>
      <c r="E4" s="1002">
        <v>1.6199999999999999E-2</v>
      </c>
    </row>
    <row r="5" spans="4:12">
      <c r="D5" s="118" t="s">
        <v>4910</v>
      </c>
      <c r="E5" s="1002">
        <v>4.0899999999999999E-2</v>
      </c>
    </row>
    <row r="6" spans="4:12">
      <c r="D6" s="118" t="s">
        <v>4911</v>
      </c>
      <c r="E6" s="1002">
        <v>1.09E-2</v>
      </c>
    </row>
    <row r="7" spans="4:12" ht="15" thickBot="1">
      <c r="D7" s="914" t="s">
        <v>4912</v>
      </c>
      <c r="E7" s="1003">
        <v>0.15629999999999999</v>
      </c>
    </row>
    <row r="10" spans="4:12">
      <c r="D10" s="962" t="s">
        <v>2173</v>
      </c>
      <c r="E10" s="957"/>
      <c r="F10" s="957"/>
      <c r="G10" s="957"/>
      <c r="H10" s="957"/>
      <c r="I10" s="963"/>
      <c r="K10" t="s">
        <v>8413</v>
      </c>
    </row>
    <row r="11" spans="4:12">
      <c r="D11" s="353" t="s">
        <v>4750</v>
      </c>
      <c r="I11" s="296"/>
      <c r="K11" t="s">
        <v>8475</v>
      </c>
      <c r="L11" s="1586">
        <f>+SUM('Accounting Schedule B-7'!R449:R450)</f>
        <v>110001.01982</v>
      </c>
    </row>
    <row r="12" spans="4:12">
      <c r="D12" s="615" t="s">
        <v>9263</v>
      </c>
      <c r="E12" s="29"/>
      <c r="F12" s="29"/>
      <c r="G12" s="834"/>
      <c r="H12" s="62"/>
      <c r="I12" s="622"/>
      <c r="K12" t="s">
        <v>8476</v>
      </c>
      <c r="L12" s="1639">
        <f>+G17</f>
        <v>109213.72581999999</v>
      </c>
    </row>
    <row r="13" spans="4:12">
      <c r="D13" s="357"/>
      <c r="I13" s="296"/>
      <c r="L13" s="516">
        <f>+L11-L12</f>
        <v>787.29400000000896</v>
      </c>
    </row>
    <row r="14" spans="4:12">
      <c r="D14" s="1005" t="s">
        <v>4751</v>
      </c>
      <c r="E14" s="981"/>
      <c r="F14" s="981"/>
      <c r="G14" s="981"/>
      <c r="H14" s="981"/>
      <c r="I14" s="1006"/>
      <c r="K14" t="s">
        <v>8477</v>
      </c>
      <c r="L14" s="1586">
        <f>-'SPP ADJ T&amp;D'!$C$31/1000</f>
        <v>-787.29399999999998</v>
      </c>
    </row>
    <row r="15" spans="4:12">
      <c r="D15" s="1007" t="s">
        <v>2182</v>
      </c>
      <c r="E15" s="1008" t="s">
        <v>1918</v>
      </c>
      <c r="F15" s="1008" t="s">
        <v>4190</v>
      </c>
      <c r="G15" s="1009" t="s">
        <v>3480</v>
      </c>
      <c r="H15" s="1008" t="s">
        <v>4752</v>
      </c>
      <c r="I15" s="1010" t="s">
        <v>4753</v>
      </c>
      <c r="K15" s="297" t="s">
        <v>8439</v>
      </c>
      <c r="L15" s="1639">
        <v>0</v>
      </c>
    </row>
    <row r="16" spans="4:12">
      <c r="D16" s="835" t="s">
        <v>2175</v>
      </c>
      <c r="E16" s="524" t="s">
        <v>2176</v>
      </c>
      <c r="F16" s="524" t="s">
        <v>2177</v>
      </c>
      <c r="G16" s="524" t="s">
        <v>2178</v>
      </c>
      <c r="H16" s="524" t="s">
        <v>2179</v>
      </c>
      <c r="I16" s="836" t="s">
        <v>2625</v>
      </c>
      <c r="L16" s="1640">
        <f>+SUM(L13:L15)</f>
        <v>8.9812601800076663E-12</v>
      </c>
    </row>
    <row r="17" spans="4:12">
      <c r="D17" s="365">
        <v>1</v>
      </c>
      <c r="E17" t="s">
        <v>4754</v>
      </c>
      <c r="G17" s="1011">
        <f>+SUMIFS('300s - 3 Digit FERC Accounts'!D:D,'300s - 3 Digit FERC Accounts'!B:B,397)/1000-'SPP ADJ T&amp;D'!C31/1000</f>
        <v>109213.72581999999</v>
      </c>
      <c r="H17" s="328"/>
      <c r="I17" s="1012"/>
    </row>
    <row r="18" spans="4:12">
      <c r="D18" s="365">
        <v>2</v>
      </c>
      <c r="E18" t="s">
        <v>4755</v>
      </c>
      <c r="G18" s="837"/>
      <c r="H18" s="1011">
        <f>+SUMIFS('300s - 3 Digit FERC Accounts'!F:F,'300s - 3 Digit FERC Accounts'!B:B,397)/1000-'SPP ADJ T&amp;D'!E31/1000</f>
        <v>8247.7372099999993</v>
      </c>
      <c r="I18" s="838"/>
      <c r="K18" t="s">
        <v>8478</v>
      </c>
      <c r="L18" s="1586">
        <f>+SUM('Accounting Schedule B-9'!T449:T450)</f>
        <v>50483.86621</v>
      </c>
    </row>
    <row r="19" spans="4:12">
      <c r="D19" s="365">
        <v>3</v>
      </c>
      <c r="E19" s="297" t="s">
        <v>4756</v>
      </c>
      <c r="F19" s="297"/>
      <c r="G19" s="839"/>
      <c r="H19" s="839"/>
      <c r="I19" s="1013">
        <f>+SUMIFS('300s - 3 Digit FERC Accounts'!E:E,'300s - 3 Digit FERC Accounts'!B:B,397)/1000-'SPP ADJ T&amp;D'!D31/1000</f>
        <v>50195.397210000003</v>
      </c>
      <c r="K19" t="s">
        <v>8476</v>
      </c>
      <c r="L19" s="1639">
        <f>+I19</f>
        <v>50195.397210000003</v>
      </c>
    </row>
    <row r="20" spans="4:12">
      <c r="D20" s="365">
        <v>4</v>
      </c>
      <c r="G20" s="1014"/>
      <c r="H20" s="1014"/>
      <c r="I20" s="1015"/>
      <c r="L20" s="516">
        <f>+L18-L19</f>
        <v>288.46899999999732</v>
      </c>
    </row>
    <row r="21" spans="4:12">
      <c r="D21" s="365">
        <v>5</v>
      </c>
      <c r="E21" s="96" t="s">
        <v>4372</v>
      </c>
      <c r="G21" s="1014"/>
      <c r="H21" s="1014"/>
      <c r="I21" s="1015"/>
      <c r="K21" t="s">
        <v>8477</v>
      </c>
      <c r="L21" s="1586">
        <f>-'SPP ADJ T&amp;D'!$D$31/1000</f>
        <v>-288.46899999999999</v>
      </c>
    </row>
    <row r="22" spans="4:12">
      <c r="D22" s="365">
        <v>6</v>
      </c>
      <c r="E22" s="61" t="s">
        <v>2623</v>
      </c>
      <c r="F22" s="781">
        <f>+E4</f>
        <v>1.6199999999999999E-2</v>
      </c>
      <c r="G22" s="791">
        <f>+G17*F22</f>
        <v>1769.2623582839997</v>
      </c>
      <c r="H22" s="791">
        <f>+H18*F22</f>
        <v>133.61334280199998</v>
      </c>
      <c r="I22" s="1016">
        <f>+I19*F22</f>
        <v>813.16543480200005</v>
      </c>
      <c r="K22" s="297" t="s">
        <v>8439</v>
      </c>
      <c r="L22" s="1639">
        <v>0</v>
      </c>
    </row>
    <row r="23" spans="4:12">
      <c r="D23" s="365">
        <v>7</v>
      </c>
      <c r="E23" s="61"/>
      <c r="F23" s="781"/>
      <c r="G23" s="791"/>
      <c r="H23" s="791"/>
      <c r="I23" s="1016"/>
      <c r="L23" s="1640">
        <f>+SUM(L20:L22)</f>
        <v>-2.6716406864579767E-12</v>
      </c>
    </row>
    <row r="24" spans="4:12">
      <c r="D24" s="365">
        <v>8</v>
      </c>
      <c r="E24" s="293" t="s">
        <v>4184</v>
      </c>
      <c r="F24" s="781"/>
      <c r="G24" s="791"/>
      <c r="H24" s="791"/>
      <c r="I24" s="1016"/>
    </row>
    <row r="25" spans="4:12">
      <c r="D25" s="365">
        <v>9</v>
      </c>
      <c r="E25" s="61" t="s">
        <v>1529</v>
      </c>
      <c r="F25" s="781">
        <f>+E5</f>
        <v>4.0899999999999999E-2</v>
      </c>
      <c r="G25" s="791">
        <f>+G17*F25</f>
        <v>4466.8413860379997</v>
      </c>
      <c r="H25" s="791">
        <f>+H18*F25</f>
        <v>337.33245188899997</v>
      </c>
      <c r="I25" s="1016">
        <f>+I19*F25</f>
        <v>2052.991745889</v>
      </c>
      <c r="K25" t="s">
        <v>8478</v>
      </c>
      <c r="L25" s="1586">
        <f>+SUM('Accounting Schedule B-9'!H449:H450)</f>
        <v>8349.8192899999995</v>
      </c>
    </row>
    <row r="26" spans="4:12">
      <c r="D26" s="365">
        <v>10</v>
      </c>
      <c r="E26" s="61" t="s">
        <v>4757</v>
      </c>
      <c r="F26" s="781">
        <f>+E6</f>
        <v>1.09E-2</v>
      </c>
      <c r="G26" s="791">
        <f>+G17*F26</f>
        <v>1190.4296114379999</v>
      </c>
      <c r="H26" s="791">
        <f>+H18*F26</f>
        <v>89.900335588999994</v>
      </c>
      <c r="I26" s="1016">
        <f>+I19*F26</f>
        <v>547.129829589</v>
      </c>
      <c r="K26" t="s">
        <v>8476</v>
      </c>
      <c r="L26" s="1639">
        <f>+H18</f>
        <v>8247.7372099999993</v>
      </c>
    </row>
    <row r="27" spans="4:12">
      <c r="D27" s="365">
        <v>11</v>
      </c>
      <c r="E27" s="61"/>
      <c r="F27" s="781"/>
      <c r="G27" s="791"/>
      <c r="H27" s="791"/>
      <c r="I27" s="1016"/>
      <c r="L27" s="516">
        <f>+L25-L26</f>
        <v>102.08208000000013</v>
      </c>
    </row>
    <row r="28" spans="4:12">
      <c r="D28" s="365">
        <v>12</v>
      </c>
      <c r="E28" s="293" t="s">
        <v>4758</v>
      </c>
      <c r="F28" s="328"/>
      <c r="G28" s="328"/>
      <c r="H28" s="328"/>
      <c r="I28" s="536"/>
      <c r="K28" t="s">
        <v>8477</v>
      </c>
      <c r="L28" s="1586">
        <f>-'SPP ADJ T&amp;D'!$E$31/1000</f>
        <v>-102.08208000000002</v>
      </c>
    </row>
    <row r="29" spans="4:12">
      <c r="D29" s="365">
        <v>13</v>
      </c>
      <c r="E29" s="1017" t="s">
        <v>1952</v>
      </c>
      <c r="F29" s="781">
        <f>+F31*(REPORTS!F947/(REPORTS!F947+REPORTS!F948))</f>
        <v>0.10052688236824486</v>
      </c>
      <c r="G29" s="791">
        <f>+G17*F29</f>
        <v>10978.915368504886</v>
      </c>
      <c r="H29" s="791">
        <f>+H18*F29</f>
        <v>829.11930831386599</v>
      </c>
      <c r="I29" s="1016">
        <f>+I19*F29</f>
        <v>5045.9867907569969</v>
      </c>
      <c r="K29" s="297" t="s">
        <v>8439</v>
      </c>
      <c r="L29" s="1639">
        <v>0</v>
      </c>
    </row>
    <row r="30" spans="4:12">
      <c r="D30" s="365">
        <v>14</v>
      </c>
      <c r="E30" s="1017" t="s">
        <v>1951</v>
      </c>
      <c r="F30" s="1555">
        <f>+F31*(REPORTS!F948/(REPORTS!F947+REPORTS!F948))</f>
        <v>5.5773117631755124E-2</v>
      </c>
      <c r="G30" s="1018">
        <f>+G17*F30</f>
        <v>6091.1899771611115</v>
      </c>
      <c r="H30" s="1018">
        <f>+H18*F30</f>
        <v>460.00201760913376</v>
      </c>
      <c r="I30" s="1019">
        <f>+I19*F30</f>
        <v>2799.5537931660033</v>
      </c>
      <c r="L30" s="1640">
        <f>+SUM(L27:L29)</f>
        <v>1.1368683772161603E-13</v>
      </c>
    </row>
    <row r="31" spans="4:12">
      <c r="D31" s="365">
        <v>15</v>
      </c>
      <c r="E31" s="418" t="s">
        <v>4759</v>
      </c>
      <c r="F31" s="781">
        <f>+E7</f>
        <v>0.15629999999999999</v>
      </c>
      <c r="G31" s="791">
        <f>+SUM(G29:G30)</f>
        <v>17070.105345665997</v>
      </c>
      <c r="H31" s="791">
        <f>+SUM(H29:H30)</f>
        <v>1289.1213259229999</v>
      </c>
      <c r="I31" s="1016">
        <f>+SUM(I29:I30)</f>
        <v>7845.5405839230007</v>
      </c>
    </row>
    <row r="32" spans="4:12">
      <c r="D32" s="365">
        <v>16</v>
      </c>
      <c r="E32" s="1017"/>
      <c r="F32" s="781"/>
      <c r="G32" s="791"/>
      <c r="H32" s="791"/>
      <c r="I32" s="1016"/>
    </row>
    <row r="33" spans="4:9">
      <c r="D33" s="365">
        <v>17</v>
      </c>
      <c r="E33" s="418" t="s">
        <v>4760</v>
      </c>
      <c r="F33" s="877">
        <f>+SUM(F22,F25,F26,F31)</f>
        <v>0.2243</v>
      </c>
      <c r="G33" s="795">
        <f>+SUM(G22:G30)</f>
        <v>24496.638701425996</v>
      </c>
      <c r="H33" s="795">
        <f>+SUM(H22:H30)</f>
        <v>1849.9674562029995</v>
      </c>
      <c r="I33" s="1020">
        <f>+SUM(I22:I30)</f>
        <v>11258.827594203001</v>
      </c>
    </row>
    <row r="34" spans="4:9">
      <c r="D34" s="357"/>
      <c r="E34" s="297"/>
      <c r="F34" s="546"/>
      <c r="G34" s="546"/>
      <c r="H34" s="546"/>
      <c r="I34" s="547"/>
    </row>
    <row r="35" spans="4:9">
      <c r="D35" s="1005" t="s">
        <v>4761</v>
      </c>
      <c r="E35" s="981"/>
      <c r="F35" s="1021"/>
      <c r="G35" s="1021"/>
      <c r="H35" s="1021"/>
      <c r="I35" s="1022"/>
    </row>
    <row r="36" spans="4:9">
      <c r="D36" s="637" t="s">
        <v>2182</v>
      </c>
      <c r="E36" s="1023" t="s">
        <v>1918</v>
      </c>
      <c r="F36" s="1023" t="s">
        <v>4762</v>
      </c>
      <c r="G36" s="1023" t="s">
        <v>1532</v>
      </c>
      <c r="H36" s="77" t="s">
        <v>4752</v>
      </c>
      <c r="I36" s="364" t="s">
        <v>4753</v>
      </c>
    </row>
    <row r="37" spans="4:9">
      <c r="D37" s="365">
        <v>18</v>
      </c>
      <c r="E37" s="96" t="s">
        <v>4763</v>
      </c>
      <c r="F37" s="328"/>
      <c r="G37" s="837">
        <f>+G17-G33</f>
        <v>84717.087118573996</v>
      </c>
      <c r="H37" s="837">
        <f>+H18-H33</f>
        <v>6397.7697537969998</v>
      </c>
      <c r="I37" s="838">
        <f>+I19-I33</f>
        <v>38936.569615797001</v>
      </c>
    </row>
    <row r="38" spans="4:9">
      <c r="D38" s="365">
        <v>19</v>
      </c>
      <c r="E38" s="96"/>
      <c r="F38" s="328"/>
      <c r="G38" s="1014"/>
      <c r="H38" s="1014"/>
      <c r="I38" s="1015"/>
    </row>
    <row r="39" spans="4:9">
      <c r="D39" s="365">
        <v>20</v>
      </c>
      <c r="E39" s="418" t="s">
        <v>4764</v>
      </c>
      <c r="F39" s="877">
        <f>+'Labor O&amp;M'!E22</f>
        <v>0.33393991748117813</v>
      </c>
      <c r="G39" s="837">
        <f>+G37*F39</f>
        <v>28290.417081622378</v>
      </c>
      <c r="H39" s="837">
        <f>+H37*F39</f>
        <v>2136.4707036465475</v>
      </c>
      <c r="I39" s="838">
        <f>+I37*F39</f>
        <v>13002.474844499398</v>
      </c>
    </row>
    <row r="40" spans="4:9">
      <c r="D40" s="365">
        <v>21</v>
      </c>
      <c r="E40" s="418" t="s">
        <v>4765</v>
      </c>
      <c r="F40" s="877">
        <f>+'Labor O&amp;M'!E23</f>
        <v>8.8162159058473452E-2</v>
      </c>
      <c r="G40" s="837">
        <f>+G37*F40</f>
        <v>7468.8413095182732</v>
      </c>
      <c r="H40" s="837">
        <f>+H37*F40</f>
        <v>564.04119465374163</v>
      </c>
      <c r="I40" s="838">
        <f>+I37*F40</f>
        <v>3432.7320436592199</v>
      </c>
    </row>
    <row r="41" spans="4:9">
      <c r="D41" s="365">
        <v>22</v>
      </c>
      <c r="E41" s="418"/>
      <c r="F41" s="877"/>
      <c r="G41" s="837"/>
      <c r="H41" s="837"/>
      <c r="I41" s="838"/>
    </row>
    <row r="42" spans="4:9">
      <c r="D42" s="365">
        <v>23</v>
      </c>
      <c r="E42" s="418" t="s">
        <v>4200</v>
      </c>
      <c r="F42" s="877">
        <f>+'Labor O&amp;M'!E24</f>
        <v>1.4150352999629922E-2</v>
      </c>
      <c r="G42" s="837">
        <f>+G37*F42</f>
        <v>1198.776687828223</v>
      </c>
      <c r="H42" s="837">
        <f>+H37*F42</f>
        <v>90.530700426582968</v>
      </c>
      <c r="I42" s="838">
        <f>+I37*F42</f>
        <v>550.9662046581924</v>
      </c>
    </row>
    <row r="43" spans="4:9">
      <c r="D43" s="365">
        <v>24</v>
      </c>
      <c r="E43" s="418" t="s">
        <v>4201</v>
      </c>
      <c r="F43" s="877">
        <f>+'Labor O&amp;M'!E25</f>
        <v>3.9784185105714888E-2</v>
      </c>
      <c r="G43" s="837">
        <f>+G37*F43</f>
        <v>3370.4002755423221</v>
      </c>
      <c r="H43" s="837">
        <f>+H37*F43</f>
        <v>254.53005614880379</v>
      </c>
      <c r="I43" s="838">
        <f>+I37*F43</f>
        <v>1549.059692976422</v>
      </c>
    </row>
    <row r="44" spans="4:9">
      <c r="D44" s="365">
        <v>25</v>
      </c>
      <c r="E44" s="418"/>
      <c r="F44" s="877"/>
      <c r="G44" s="837"/>
      <c r="H44" s="837"/>
      <c r="I44" s="838"/>
    </row>
    <row r="45" spans="4:9">
      <c r="D45" s="365">
        <v>26</v>
      </c>
      <c r="E45" s="418" t="s">
        <v>4202</v>
      </c>
      <c r="F45" s="877">
        <f>+'Labor O&amp;M'!E26</f>
        <v>0.19537877491559733</v>
      </c>
      <c r="G45" s="837">
        <f>+G37*F45</f>
        <v>16551.92069564492</v>
      </c>
      <c r="H45" s="837">
        <f>+H37*F45</f>
        <v>1249.9884166889206</v>
      </c>
      <c r="I45" s="838">
        <f>+I37*F45</f>
        <v>7607.3792709502877</v>
      </c>
    </row>
    <row r="46" spans="4:9">
      <c r="D46" s="365">
        <v>27</v>
      </c>
      <c r="E46" s="418" t="s">
        <v>4203</v>
      </c>
      <c r="F46" s="877">
        <f>+'Labor O&amp;M'!E27</f>
        <v>3.3704278630357951E-2</v>
      </c>
      <c r="G46" s="837">
        <f>+G37*F46</f>
        <v>2855.3283089967263</v>
      </c>
      <c r="H46" s="837">
        <f>+H37*F46</f>
        <v>215.63221439485068</v>
      </c>
      <c r="I46" s="838">
        <f>+I37*F46</f>
        <v>1312.3289912411515</v>
      </c>
    </row>
    <row r="47" spans="4:9">
      <c r="D47" s="365">
        <v>28</v>
      </c>
      <c r="E47" s="418" t="s">
        <v>4204</v>
      </c>
      <c r="F47" s="877">
        <f>+'Labor O&amp;M'!E28</f>
        <v>0.12523992625698077</v>
      </c>
      <c r="G47" s="837">
        <f>+G37*F47</f>
        <v>10609.961743436423</v>
      </c>
      <c r="H47" s="837">
        <f>+H37*F47</f>
        <v>801.25621217467824</v>
      </c>
      <c r="I47" s="838">
        <f>+I37*F47</f>
        <v>4876.4131073822145</v>
      </c>
    </row>
    <row r="48" spans="4:9" ht="15.6">
      <c r="D48" s="365">
        <v>29</v>
      </c>
      <c r="E48" s="418" t="s">
        <v>4205</v>
      </c>
      <c r="F48" s="877">
        <f>+'Labor O&amp;M'!E29</f>
        <v>0.1696404055520675</v>
      </c>
      <c r="G48" s="1024">
        <f>+G37*F48</f>
        <v>14371.441015984727</v>
      </c>
      <c r="H48" s="1024">
        <f>+H37*F48</f>
        <v>1085.3202556628742</v>
      </c>
      <c r="I48" s="1025">
        <f>+I37*F48</f>
        <v>6605.2154604301122</v>
      </c>
    </row>
    <row r="49" spans="4:9">
      <c r="D49" s="365">
        <v>30</v>
      </c>
      <c r="E49" s="418" t="s">
        <v>115</v>
      </c>
      <c r="F49" s="877">
        <f>+SUM(F39:F48)</f>
        <v>1</v>
      </c>
      <c r="G49" s="795">
        <f>+SUM(G39:G48)</f>
        <v>84717.087118573996</v>
      </c>
      <c r="H49" s="795">
        <f>+SUM(H39:H48)</f>
        <v>6397.7697537969989</v>
      </c>
      <c r="I49" s="1020">
        <f>+SUM(I39:I48)</f>
        <v>38936.569615796994</v>
      </c>
    </row>
    <row r="50" spans="4:9">
      <c r="D50" s="357"/>
      <c r="E50" s="418"/>
      <c r="F50" s="933"/>
      <c r="G50" s="795"/>
      <c r="H50" s="795"/>
      <c r="I50" s="1020"/>
    </row>
    <row r="51" spans="4:9">
      <c r="D51" s="1005" t="s">
        <v>4766</v>
      </c>
      <c r="E51" s="1005"/>
      <c r="F51" s="981"/>
      <c r="G51" s="1021"/>
      <c r="H51" s="1021"/>
      <c r="I51" s="1022"/>
    </row>
    <row r="52" spans="4:9">
      <c r="D52" s="637" t="s">
        <v>2182</v>
      </c>
      <c r="E52" s="1023" t="s">
        <v>1918</v>
      </c>
      <c r="F52" s="981"/>
      <c r="G52" s="1026" t="s">
        <v>3480</v>
      </c>
      <c r="H52" s="77" t="s">
        <v>4752</v>
      </c>
      <c r="I52" s="364" t="s">
        <v>4753</v>
      </c>
    </row>
    <row r="53" spans="4:9">
      <c r="D53" s="365">
        <v>31</v>
      </c>
      <c r="E53" s="418" t="s">
        <v>2254</v>
      </c>
      <c r="F53" s="842"/>
      <c r="G53" s="837">
        <f>+G22+G39</f>
        <v>30059.679439906377</v>
      </c>
      <c r="H53" s="837">
        <f>+H22+H39</f>
        <v>2270.0840464485473</v>
      </c>
      <c r="I53" s="846">
        <f>+I22+I39</f>
        <v>13815.640279301399</v>
      </c>
    </row>
    <row r="54" spans="4:9">
      <c r="D54" s="365">
        <v>32</v>
      </c>
      <c r="E54" s="418" t="s">
        <v>2255</v>
      </c>
      <c r="F54" s="842"/>
      <c r="G54" s="837">
        <f>+G40</f>
        <v>7468.8413095182732</v>
      </c>
      <c r="H54" s="837">
        <f>+H40</f>
        <v>564.04119465374163</v>
      </c>
      <c r="I54" s="838">
        <f>+I40</f>
        <v>3432.7320436592199</v>
      </c>
    </row>
    <row r="55" spans="4:9">
      <c r="D55" s="365">
        <v>33</v>
      </c>
      <c r="E55" s="418" t="s">
        <v>2246</v>
      </c>
      <c r="F55" s="837"/>
      <c r="G55" s="837">
        <f t="shared" ref="G55:I56" si="0">+G25+G42</f>
        <v>5665.6180738662224</v>
      </c>
      <c r="H55" s="837">
        <f t="shared" si="0"/>
        <v>427.86315231558297</v>
      </c>
      <c r="I55" s="838">
        <f t="shared" si="0"/>
        <v>2603.9579505471925</v>
      </c>
    </row>
    <row r="56" spans="4:9">
      <c r="D56" s="365">
        <v>34</v>
      </c>
      <c r="E56" s="418" t="s">
        <v>2247</v>
      </c>
      <c r="F56" s="842"/>
      <c r="G56" s="837">
        <f t="shared" si="0"/>
        <v>4560.829886980322</v>
      </c>
      <c r="H56" s="837">
        <f t="shared" si="0"/>
        <v>344.4303917378038</v>
      </c>
      <c r="I56" s="838">
        <f t="shared" si="0"/>
        <v>2096.1895225654221</v>
      </c>
    </row>
    <row r="57" spans="4:9">
      <c r="D57" s="365">
        <v>35</v>
      </c>
      <c r="E57" s="418" t="s">
        <v>2249</v>
      </c>
      <c r="F57" s="842"/>
      <c r="G57" s="837">
        <f t="shared" ref="G57:I58" si="1">+G29+G45</f>
        <v>27530.836064149807</v>
      </c>
      <c r="H57" s="837">
        <f t="shared" si="1"/>
        <v>2079.1077250027865</v>
      </c>
      <c r="I57" s="838">
        <f t="shared" si="1"/>
        <v>12653.366061707286</v>
      </c>
    </row>
    <row r="58" spans="4:9">
      <c r="D58" s="365">
        <v>36</v>
      </c>
      <c r="E58" s="418" t="s">
        <v>2250</v>
      </c>
      <c r="F58" s="842"/>
      <c r="G58" s="837">
        <f t="shared" si="1"/>
        <v>8946.5182861578378</v>
      </c>
      <c r="H58" s="837">
        <f t="shared" si="1"/>
        <v>675.63423200398438</v>
      </c>
      <c r="I58" s="838">
        <f t="shared" si="1"/>
        <v>4111.8827844071548</v>
      </c>
    </row>
    <row r="59" spans="4:9">
      <c r="D59" s="365">
        <v>37</v>
      </c>
      <c r="E59" s="418" t="s">
        <v>2256</v>
      </c>
      <c r="F59" s="842"/>
      <c r="G59" s="837">
        <f t="shared" ref="G59:I60" si="2">+G47</f>
        <v>10609.961743436423</v>
      </c>
      <c r="H59" s="837">
        <f t="shared" si="2"/>
        <v>801.25621217467824</v>
      </c>
      <c r="I59" s="838">
        <f t="shared" si="2"/>
        <v>4876.4131073822145</v>
      </c>
    </row>
    <row r="60" spans="4:9">
      <c r="D60" s="365">
        <v>38</v>
      </c>
      <c r="E60" s="418" t="s">
        <v>2257</v>
      </c>
      <c r="F60" s="842"/>
      <c r="G60" s="837">
        <f t="shared" si="2"/>
        <v>14371.441015984727</v>
      </c>
      <c r="H60" s="837">
        <f t="shared" si="2"/>
        <v>1085.3202556628742</v>
      </c>
      <c r="I60" s="838">
        <f t="shared" si="2"/>
        <v>6605.2154604301122</v>
      </c>
    </row>
    <row r="61" spans="4:9" ht="15" thickBot="1">
      <c r="D61" s="365">
        <v>39</v>
      </c>
      <c r="E61" s="1027" t="s">
        <v>115</v>
      </c>
      <c r="F61" s="964"/>
      <c r="G61" s="1028">
        <f>+SUM(G53:G60)</f>
        <v>109213.72581999999</v>
      </c>
      <c r="H61" s="1028">
        <f>+SUM(H53:H60)</f>
        <v>8247.7372099999993</v>
      </c>
      <c r="I61" s="1029">
        <f>+SUM(I53:I60)</f>
        <v>50195.397210000003</v>
      </c>
    </row>
    <row r="62" spans="4:9" ht="15" thickTop="1">
      <c r="D62" s="616"/>
      <c r="E62" s="297"/>
      <c r="F62" s="845"/>
      <c r="G62" s="546"/>
      <c r="H62" s="546"/>
      <c r="I62" s="5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theme="2" tint="-0.499984740745262"/>
  </sheetPr>
  <dimension ref="D1:L62"/>
  <sheetViews>
    <sheetView tabSelected="1" showOutlineSymbols="0" workbookViewId="0"/>
  </sheetViews>
  <sheetFormatPr defaultRowHeight="14.4"/>
  <cols>
    <col min="4" max="4" width="27.44140625" customWidth="1"/>
    <col min="5" max="5" width="25.6640625" customWidth="1"/>
    <col min="6" max="6" width="10.33203125" bestFit="1" customWidth="1"/>
    <col min="7" max="9" width="17.88671875" bestFit="1" customWidth="1"/>
    <col min="11" max="11" width="19" bestFit="1" customWidth="1"/>
    <col min="12" max="12" width="13.33203125" bestFit="1" customWidth="1"/>
  </cols>
  <sheetData>
    <row r="1" spans="4:12">
      <c r="D1" s="84" t="s">
        <v>116</v>
      </c>
    </row>
    <row r="2" spans="4:12" ht="15" thickBot="1"/>
    <row r="3" spans="4:12" ht="15" thickBot="1">
      <c r="D3" s="1001" t="s">
        <v>4908</v>
      </c>
      <c r="E3" s="1004" t="s">
        <v>9483</v>
      </c>
    </row>
    <row r="4" spans="4:12">
      <c r="D4" s="118" t="s">
        <v>4909</v>
      </c>
      <c r="E4" s="1002">
        <v>1.6199999999999999E-2</v>
      </c>
    </row>
    <row r="5" spans="4:12">
      <c r="D5" s="118" t="s">
        <v>4910</v>
      </c>
      <c r="E5" s="1002">
        <v>4.0899999999999999E-2</v>
      </c>
    </row>
    <row r="6" spans="4:12">
      <c r="D6" s="118" t="s">
        <v>4911</v>
      </c>
      <c r="E6" s="1002">
        <v>1.09E-2</v>
      </c>
    </row>
    <row r="7" spans="4:12" ht="15" thickBot="1">
      <c r="D7" s="914" t="s">
        <v>4912</v>
      </c>
      <c r="E7" s="1003">
        <v>0.15629999999999999</v>
      </c>
    </row>
    <row r="10" spans="4:12">
      <c r="D10" s="962" t="s">
        <v>2173</v>
      </c>
      <c r="E10" s="957"/>
      <c r="F10" s="957"/>
      <c r="G10" s="957"/>
      <c r="H10" s="957"/>
      <c r="I10" s="963"/>
      <c r="K10" t="s">
        <v>8413</v>
      </c>
    </row>
    <row r="11" spans="4:12">
      <c r="D11" s="353" t="s">
        <v>4750</v>
      </c>
      <c r="I11" s="296"/>
      <c r="K11" t="s">
        <v>8475</v>
      </c>
      <c r="L11" s="1586">
        <f>+SUM('Accounting Schedule B-7'!R449:R450)</f>
        <v>110001.01982</v>
      </c>
    </row>
    <row r="12" spans="4:12">
      <c r="D12" s="615" t="s">
        <v>9263</v>
      </c>
      <c r="E12" s="29"/>
      <c r="F12" s="29"/>
      <c r="G12" s="834"/>
      <c r="H12" s="62"/>
      <c r="I12" s="622"/>
      <c r="K12" t="s">
        <v>8476</v>
      </c>
      <c r="L12" s="1639">
        <f>+G17</f>
        <v>109213.72581999999</v>
      </c>
    </row>
    <row r="13" spans="4:12">
      <c r="D13" s="357"/>
      <c r="I13" s="296"/>
      <c r="L13" s="516">
        <f>+L11-L12</f>
        <v>787.29400000000896</v>
      </c>
    </row>
    <row r="14" spans="4:12">
      <c r="D14" s="1005" t="s">
        <v>4751</v>
      </c>
      <c r="E14" s="981"/>
      <c r="F14" s="981"/>
      <c r="G14" s="981"/>
      <c r="H14" s="981"/>
      <c r="I14" s="1006"/>
      <c r="K14" t="s">
        <v>8477</v>
      </c>
      <c r="L14" s="1586">
        <f>-'SPP ADJ T&amp;D'!$C$31/1000</f>
        <v>-787.29399999999998</v>
      </c>
    </row>
    <row r="15" spans="4:12">
      <c r="D15" s="1007" t="s">
        <v>2182</v>
      </c>
      <c r="E15" s="1008" t="s">
        <v>1918</v>
      </c>
      <c r="F15" s="1008" t="s">
        <v>4190</v>
      </c>
      <c r="G15" s="1009" t="s">
        <v>3480</v>
      </c>
      <c r="H15" s="1008" t="s">
        <v>4752</v>
      </c>
      <c r="I15" s="1010" t="s">
        <v>4753</v>
      </c>
      <c r="K15" s="297" t="s">
        <v>8439</v>
      </c>
      <c r="L15" s="1639">
        <v>0</v>
      </c>
    </row>
    <row r="16" spans="4:12">
      <c r="D16" s="835" t="s">
        <v>2175</v>
      </c>
      <c r="E16" s="524" t="s">
        <v>2176</v>
      </c>
      <c r="F16" s="524" t="s">
        <v>2177</v>
      </c>
      <c r="G16" s="524" t="s">
        <v>2178</v>
      </c>
      <c r="H16" s="524" t="s">
        <v>2179</v>
      </c>
      <c r="I16" s="836" t="s">
        <v>2625</v>
      </c>
      <c r="L16" s="1640">
        <f>+SUM(L13:L15)</f>
        <v>8.9812601800076663E-12</v>
      </c>
    </row>
    <row r="17" spans="4:12">
      <c r="D17" s="365">
        <v>1</v>
      </c>
      <c r="E17" t="s">
        <v>4754</v>
      </c>
      <c r="G17" s="1011">
        <f>+SUMIFS('300s - 3 Digit FERC Accounts'!D:D,'300s - 3 Digit FERC Accounts'!B:B,397)/1000-'SPP ADJ T&amp;D'!C31/1000</f>
        <v>109213.72581999999</v>
      </c>
      <c r="H17" s="328"/>
      <c r="I17" s="1012"/>
    </row>
    <row r="18" spans="4:12">
      <c r="D18" s="365">
        <v>2</v>
      </c>
      <c r="E18" t="s">
        <v>4755</v>
      </c>
      <c r="G18" s="837"/>
      <c r="H18" s="1011">
        <f>+SUMIFS('300s - 3 Digit FERC Accounts'!F:F,'300s - 3 Digit FERC Accounts'!B:B,397)/1000-'SPP ADJ T&amp;D'!E31/1000</f>
        <v>8247.7372099999993</v>
      </c>
      <c r="I18" s="838"/>
      <c r="K18" t="s">
        <v>8478</v>
      </c>
      <c r="L18" s="1586">
        <f>+SUM('Accounting Schedule B-9'!T449:T450)</f>
        <v>50483.86621</v>
      </c>
    </row>
    <row r="19" spans="4:12">
      <c r="D19" s="365">
        <v>3</v>
      </c>
      <c r="E19" s="297" t="s">
        <v>4756</v>
      </c>
      <c r="F19" s="297"/>
      <c r="G19" s="839"/>
      <c r="H19" s="839"/>
      <c r="I19" s="1013">
        <f>+SUMIFS('300s - 3 Digit FERC Accounts'!E:E,'300s - 3 Digit FERC Accounts'!B:B,397)/1000-'SPP ADJ T&amp;D'!D31/1000</f>
        <v>50195.397210000003</v>
      </c>
      <c r="K19" t="s">
        <v>8476</v>
      </c>
      <c r="L19" s="1639">
        <f>+I19</f>
        <v>50195.397210000003</v>
      </c>
    </row>
    <row r="20" spans="4:12">
      <c r="D20" s="365">
        <v>4</v>
      </c>
      <c r="G20" s="1014"/>
      <c r="H20" s="1014"/>
      <c r="I20" s="1015"/>
      <c r="L20" s="516">
        <f>+L18-L19</f>
        <v>288.46899999999732</v>
      </c>
    </row>
    <row r="21" spans="4:12">
      <c r="D21" s="365">
        <v>5</v>
      </c>
      <c r="E21" s="96" t="s">
        <v>4372</v>
      </c>
      <c r="G21" s="1014"/>
      <c r="H21" s="1014"/>
      <c r="I21" s="1015"/>
      <c r="K21" t="s">
        <v>8477</v>
      </c>
      <c r="L21" s="1586">
        <f>-'SPP ADJ T&amp;D'!$D$31/1000</f>
        <v>-288.46899999999999</v>
      </c>
    </row>
    <row r="22" spans="4:12">
      <c r="D22" s="365">
        <v>6</v>
      </c>
      <c r="E22" s="61" t="s">
        <v>2623</v>
      </c>
      <c r="F22" s="781">
        <f>+E4</f>
        <v>1.6199999999999999E-2</v>
      </c>
      <c r="G22" s="791">
        <f>+G17*F22</f>
        <v>1769.2623582839997</v>
      </c>
      <c r="H22" s="791">
        <f>+H18*F22</f>
        <v>133.61334280199998</v>
      </c>
      <c r="I22" s="1016">
        <f>+I19*F22</f>
        <v>813.16543480200005</v>
      </c>
      <c r="K22" s="297" t="s">
        <v>8439</v>
      </c>
      <c r="L22" s="1639">
        <v>0</v>
      </c>
    </row>
    <row r="23" spans="4:12">
      <c r="D23" s="365">
        <v>7</v>
      </c>
      <c r="E23" s="61"/>
      <c r="F23" s="781"/>
      <c r="G23" s="791"/>
      <c r="H23" s="791"/>
      <c r="I23" s="1016"/>
      <c r="L23" s="1640">
        <f>+SUM(L20:L22)</f>
        <v>-2.6716406864579767E-12</v>
      </c>
    </row>
    <row r="24" spans="4:12">
      <c r="D24" s="365">
        <v>8</v>
      </c>
      <c r="E24" s="293" t="s">
        <v>4184</v>
      </c>
      <c r="F24" s="781"/>
      <c r="G24" s="791"/>
      <c r="H24" s="791"/>
      <c r="I24" s="1016"/>
    </row>
    <row r="25" spans="4:12">
      <c r="D25" s="365">
        <v>9</v>
      </c>
      <c r="E25" s="61" t="s">
        <v>1529</v>
      </c>
      <c r="F25" s="781">
        <f>+E5</f>
        <v>4.0899999999999999E-2</v>
      </c>
      <c r="G25" s="791">
        <f>+G17*F25</f>
        <v>4466.8413860379997</v>
      </c>
      <c r="H25" s="791">
        <f>+H18*F25</f>
        <v>337.33245188899997</v>
      </c>
      <c r="I25" s="1016">
        <f>+I19*F25</f>
        <v>2052.991745889</v>
      </c>
      <c r="K25" t="s">
        <v>8478</v>
      </c>
      <c r="L25" s="1586">
        <f>+SUM('Accounting Schedule B-9'!H449:H450)</f>
        <v>8349.8192899999995</v>
      </c>
    </row>
    <row r="26" spans="4:12">
      <c r="D26" s="365">
        <v>10</v>
      </c>
      <c r="E26" s="61" t="s">
        <v>4757</v>
      </c>
      <c r="F26" s="781">
        <f>+E6</f>
        <v>1.09E-2</v>
      </c>
      <c r="G26" s="791">
        <f>+G17*F26</f>
        <v>1190.4296114379999</v>
      </c>
      <c r="H26" s="791">
        <f>+H18*F26</f>
        <v>89.900335588999994</v>
      </c>
      <c r="I26" s="1016">
        <f>+I19*F26</f>
        <v>547.129829589</v>
      </c>
      <c r="K26" t="s">
        <v>8476</v>
      </c>
      <c r="L26" s="1639">
        <f>+H18</f>
        <v>8247.7372099999993</v>
      </c>
    </row>
    <row r="27" spans="4:12">
      <c r="D27" s="365">
        <v>11</v>
      </c>
      <c r="E27" s="61"/>
      <c r="F27" s="781"/>
      <c r="G27" s="791"/>
      <c r="H27" s="791"/>
      <c r="I27" s="1016"/>
      <c r="L27" s="516">
        <f>+L25-L26</f>
        <v>102.08208000000013</v>
      </c>
    </row>
    <row r="28" spans="4:12">
      <c r="D28" s="365">
        <v>12</v>
      </c>
      <c r="E28" s="293" t="s">
        <v>4758</v>
      </c>
      <c r="F28" s="328"/>
      <c r="G28" s="328"/>
      <c r="H28" s="328"/>
      <c r="I28" s="536"/>
      <c r="K28" t="s">
        <v>8477</v>
      </c>
      <c r="L28" s="1586">
        <f>-'SPP ADJ T&amp;D'!$E$31/1000</f>
        <v>-102.08208000000002</v>
      </c>
    </row>
    <row r="29" spans="4:12">
      <c r="D29" s="365">
        <v>13</v>
      </c>
      <c r="E29" s="1017" t="s">
        <v>1952</v>
      </c>
      <c r="F29" s="781">
        <f>+F31*('0 MDS REPORTS'!F947/('0 MDS REPORTS'!F947+'0 MDS REPORTS'!F948))</f>
        <v>0.10052688236824486</v>
      </c>
      <c r="G29" s="791">
        <f>+G17*F29</f>
        <v>10978.915368504886</v>
      </c>
      <c r="H29" s="791">
        <f>+H18*F29</f>
        <v>829.11930831386599</v>
      </c>
      <c r="I29" s="1016">
        <f>+I19*F29</f>
        <v>5045.9867907569969</v>
      </c>
      <c r="K29" s="297" t="s">
        <v>8439</v>
      </c>
      <c r="L29" s="1639">
        <v>0</v>
      </c>
    </row>
    <row r="30" spans="4:12">
      <c r="D30" s="365">
        <v>14</v>
      </c>
      <c r="E30" s="1017" t="s">
        <v>1951</v>
      </c>
      <c r="F30" s="1555">
        <f>+F31*('0 MDS REPORTS'!F948/('0 MDS REPORTS'!F947+'0 MDS REPORTS'!F948))</f>
        <v>5.5773117631755124E-2</v>
      </c>
      <c r="G30" s="1018">
        <f>+G17*F30</f>
        <v>6091.1899771611115</v>
      </c>
      <c r="H30" s="1018">
        <f>+H18*F30</f>
        <v>460.00201760913376</v>
      </c>
      <c r="I30" s="1019">
        <f>+I19*F30</f>
        <v>2799.5537931660033</v>
      </c>
      <c r="L30" s="1640">
        <f>+SUM(L27:L29)</f>
        <v>1.1368683772161603E-13</v>
      </c>
    </row>
    <row r="31" spans="4:12">
      <c r="D31" s="365">
        <v>15</v>
      </c>
      <c r="E31" s="418" t="s">
        <v>4759</v>
      </c>
      <c r="F31" s="781">
        <f>+E7</f>
        <v>0.15629999999999999</v>
      </c>
      <c r="G31" s="791">
        <f>+SUM(G29:G30)</f>
        <v>17070.105345665997</v>
      </c>
      <c r="H31" s="791">
        <f>+SUM(H29:H30)</f>
        <v>1289.1213259229999</v>
      </c>
      <c r="I31" s="1016">
        <f>+SUM(I29:I30)</f>
        <v>7845.5405839230007</v>
      </c>
    </row>
    <row r="32" spans="4:12">
      <c r="D32" s="365">
        <v>16</v>
      </c>
      <c r="E32" s="1017"/>
      <c r="F32" s="781"/>
      <c r="G32" s="791"/>
      <c r="H32" s="791"/>
      <c r="I32" s="1016"/>
    </row>
    <row r="33" spans="4:9">
      <c r="D33" s="365">
        <v>17</v>
      </c>
      <c r="E33" s="418" t="s">
        <v>4760</v>
      </c>
      <c r="F33" s="877">
        <f>+SUM(F22,F25,F26,F31)</f>
        <v>0.2243</v>
      </c>
      <c r="G33" s="795">
        <f>+SUM(G22:G30)</f>
        <v>24496.638701425996</v>
      </c>
      <c r="H33" s="795">
        <f>+SUM(H22:H30)</f>
        <v>1849.9674562029995</v>
      </c>
      <c r="I33" s="1020">
        <f>+SUM(I22:I30)</f>
        <v>11258.827594203001</v>
      </c>
    </row>
    <row r="34" spans="4:9">
      <c r="D34" s="357"/>
      <c r="E34" s="297"/>
      <c r="F34" s="546"/>
      <c r="G34" s="546"/>
      <c r="H34" s="546"/>
      <c r="I34" s="547"/>
    </row>
    <row r="35" spans="4:9">
      <c r="D35" s="1005" t="s">
        <v>4761</v>
      </c>
      <c r="E35" s="981"/>
      <c r="F35" s="1021"/>
      <c r="G35" s="1021"/>
      <c r="H35" s="1021"/>
      <c r="I35" s="1022"/>
    </row>
    <row r="36" spans="4:9">
      <c r="D36" s="637" t="s">
        <v>2182</v>
      </c>
      <c r="E36" s="1023" t="s">
        <v>1918</v>
      </c>
      <c r="F36" s="1023" t="s">
        <v>4762</v>
      </c>
      <c r="G36" s="1023" t="s">
        <v>1532</v>
      </c>
      <c r="H36" s="77" t="s">
        <v>4752</v>
      </c>
      <c r="I36" s="364" t="s">
        <v>4753</v>
      </c>
    </row>
    <row r="37" spans="4:9">
      <c r="D37" s="365">
        <v>18</v>
      </c>
      <c r="E37" s="96" t="s">
        <v>4763</v>
      </c>
      <c r="F37" s="328"/>
      <c r="G37" s="837">
        <f>+G17-G33</f>
        <v>84717.087118573996</v>
      </c>
      <c r="H37" s="837">
        <f>+H18-H33</f>
        <v>6397.7697537969998</v>
      </c>
      <c r="I37" s="838">
        <f>+I19-I33</f>
        <v>38936.569615797001</v>
      </c>
    </row>
    <row r="38" spans="4:9">
      <c r="D38" s="365">
        <v>19</v>
      </c>
      <c r="E38" s="96"/>
      <c r="F38" s="328"/>
      <c r="G38" s="1014"/>
      <c r="H38" s="1014"/>
      <c r="I38" s="1015"/>
    </row>
    <row r="39" spans="4:9">
      <c r="D39" s="365">
        <v>20</v>
      </c>
      <c r="E39" s="418" t="s">
        <v>4764</v>
      </c>
      <c r="F39" s="877">
        <f>+'0 MDS Labor O&amp;M'!E22</f>
        <v>0.33393991748117813</v>
      </c>
      <c r="G39" s="837">
        <f>+G37*F39</f>
        <v>28290.417081622378</v>
      </c>
      <c r="H39" s="837">
        <f>+H37*F39</f>
        <v>2136.4707036465475</v>
      </c>
      <c r="I39" s="838">
        <f>+I37*F39</f>
        <v>13002.474844499398</v>
      </c>
    </row>
    <row r="40" spans="4:9">
      <c r="D40" s="365">
        <v>21</v>
      </c>
      <c r="E40" s="418" t="s">
        <v>4765</v>
      </c>
      <c r="F40" s="877">
        <f>+'0 MDS Labor O&amp;M'!E23</f>
        <v>8.8162159058473452E-2</v>
      </c>
      <c r="G40" s="837">
        <f>+G37*F40</f>
        <v>7468.8413095182732</v>
      </c>
      <c r="H40" s="837">
        <f>+H37*F40</f>
        <v>564.04119465374163</v>
      </c>
      <c r="I40" s="838">
        <f>+I37*F40</f>
        <v>3432.7320436592199</v>
      </c>
    </row>
    <row r="41" spans="4:9">
      <c r="D41" s="365">
        <v>22</v>
      </c>
      <c r="E41" s="418"/>
      <c r="F41" s="877"/>
      <c r="G41" s="837"/>
      <c r="H41" s="837"/>
      <c r="I41" s="838"/>
    </row>
    <row r="42" spans="4:9">
      <c r="D42" s="365">
        <v>23</v>
      </c>
      <c r="E42" s="418" t="s">
        <v>4200</v>
      </c>
      <c r="F42" s="877">
        <f>+'0 MDS Labor O&amp;M'!E24</f>
        <v>1.4150352999629922E-2</v>
      </c>
      <c r="G42" s="837">
        <f>+G37*F42</f>
        <v>1198.776687828223</v>
      </c>
      <c r="H42" s="837">
        <f>+H37*F42</f>
        <v>90.530700426582968</v>
      </c>
      <c r="I42" s="838">
        <f>+I37*F42</f>
        <v>550.9662046581924</v>
      </c>
    </row>
    <row r="43" spans="4:9">
      <c r="D43" s="365">
        <v>24</v>
      </c>
      <c r="E43" s="418" t="s">
        <v>4201</v>
      </c>
      <c r="F43" s="877">
        <f>+'0 MDS Labor O&amp;M'!E25</f>
        <v>3.9784185105714888E-2</v>
      </c>
      <c r="G43" s="837">
        <f>+G37*F43</f>
        <v>3370.4002755423221</v>
      </c>
      <c r="H43" s="837">
        <f>+H37*F43</f>
        <v>254.53005614880379</v>
      </c>
      <c r="I43" s="838">
        <f>+I37*F43</f>
        <v>1549.059692976422</v>
      </c>
    </row>
    <row r="44" spans="4:9">
      <c r="D44" s="365">
        <v>25</v>
      </c>
      <c r="E44" s="418"/>
      <c r="F44" s="877"/>
      <c r="G44" s="837"/>
      <c r="H44" s="837"/>
      <c r="I44" s="838"/>
    </row>
    <row r="45" spans="4:9">
      <c r="D45" s="365">
        <v>26</v>
      </c>
      <c r="E45" s="418" t="s">
        <v>4202</v>
      </c>
      <c r="F45" s="877">
        <f>+'0 MDS Labor O&amp;M'!E26</f>
        <v>0.1953787750112897</v>
      </c>
      <c r="G45" s="837">
        <f>+G37*F45</f>
        <v>16551.920703751697</v>
      </c>
      <c r="H45" s="837">
        <f>+H37*F45</f>
        <v>1249.9884173011383</v>
      </c>
      <c r="I45" s="838">
        <f>+I37*F45</f>
        <v>7607.379274676221</v>
      </c>
    </row>
    <row r="46" spans="4:9">
      <c r="D46" s="365">
        <v>27</v>
      </c>
      <c r="E46" s="418" t="s">
        <v>4203</v>
      </c>
      <c r="F46" s="877">
        <f>+'0 MDS Labor O&amp;M'!E27</f>
        <v>3.3704278685172187E-2</v>
      </c>
      <c r="G46" s="837">
        <f>+G37*F46</f>
        <v>2855.3283136404289</v>
      </c>
      <c r="H46" s="837">
        <f>+H37*F46</f>
        <v>215.63221474553953</v>
      </c>
      <c r="I46" s="838">
        <f>+I37*F46</f>
        <v>1312.3289933754299</v>
      </c>
    </row>
    <row r="47" spans="4:9">
      <c r="D47" s="365">
        <v>28</v>
      </c>
      <c r="E47" s="418" t="s">
        <v>4204</v>
      </c>
      <c r="F47" s="877">
        <f>+'0 MDS Labor O&amp;M'!E28</f>
        <v>0.12523992610647422</v>
      </c>
      <c r="G47" s="837">
        <f>+G37*F47</f>
        <v>10609.961730685945</v>
      </c>
      <c r="H47" s="837">
        <f>+H37*F47</f>
        <v>801.25621121177198</v>
      </c>
      <c r="I47" s="838">
        <f>+I37*F47</f>
        <v>4876.4131015220055</v>
      </c>
    </row>
    <row r="48" spans="4:9" ht="15.6">
      <c r="D48" s="365">
        <v>29</v>
      </c>
      <c r="E48" s="418" t="s">
        <v>4205</v>
      </c>
      <c r="F48" s="877">
        <f>+'0 MDS Labor O&amp;M'!E29</f>
        <v>0.1696404055520675</v>
      </c>
      <c r="G48" s="1024">
        <f>+G37*F48</f>
        <v>14371.441015984727</v>
      </c>
      <c r="H48" s="1024">
        <f>+H37*F48</f>
        <v>1085.3202556628742</v>
      </c>
      <c r="I48" s="1025">
        <f>+I37*F48</f>
        <v>6605.2154604301122</v>
      </c>
    </row>
    <row r="49" spans="4:9">
      <c r="D49" s="365">
        <v>30</v>
      </c>
      <c r="E49" s="418" t="s">
        <v>115</v>
      </c>
      <c r="F49" s="877">
        <f>+SUM(F39:F48)</f>
        <v>1</v>
      </c>
      <c r="G49" s="795">
        <f>+SUM(G39:G48)</f>
        <v>84717.087118573996</v>
      </c>
      <c r="H49" s="795">
        <f>+SUM(H39:H48)</f>
        <v>6397.7697537969989</v>
      </c>
      <c r="I49" s="1020">
        <f>+SUM(I39:I48)</f>
        <v>38936.569615797001</v>
      </c>
    </row>
    <row r="50" spans="4:9">
      <c r="D50" s="357"/>
      <c r="E50" s="418"/>
      <c r="F50" s="933"/>
      <c r="G50" s="795"/>
      <c r="H50" s="795"/>
      <c r="I50" s="1020"/>
    </row>
    <row r="51" spans="4:9">
      <c r="D51" s="1005" t="s">
        <v>4766</v>
      </c>
      <c r="E51" s="1005"/>
      <c r="F51" s="981"/>
      <c r="G51" s="1021"/>
      <c r="H51" s="1021"/>
      <c r="I51" s="1022"/>
    </row>
    <row r="52" spans="4:9">
      <c r="D52" s="637" t="s">
        <v>2182</v>
      </c>
      <c r="E52" s="1023" t="s">
        <v>1918</v>
      </c>
      <c r="F52" s="981"/>
      <c r="G52" s="1026" t="s">
        <v>3480</v>
      </c>
      <c r="H52" s="77" t="s">
        <v>4752</v>
      </c>
      <c r="I52" s="364" t="s">
        <v>4753</v>
      </c>
    </row>
    <row r="53" spans="4:9">
      <c r="D53" s="365">
        <v>31</v>
      </c>
      <c r="E53" s="418" t="s">
        <v>2254</v>
      </c>
      <c r="F53" s="842"/>
      <c r="G53" s="837">
        <f>+G22+G39</f>
        <v>30059.679439906377</v>
      </c>
      <c r="H53" s="837">
        <f>+H22+H39</f>
        <v>2270.0840464485473</v>
      </c>
      <c r="I53" s="846">
        <f>+I22+I39</f>
        <v>13815.640279301399</v>
      </c>
    </row>
    <row r="54" spans="4:9">
      <c r="D54" s="365">
        <v>32</v>
      </c>
      <c r="E54" s="418" t="s">
        <v>2255</v>
      </c>
      <c r="F54" s="842"/>
      <c r="G54" s="837">
        <f>+G40</f>
        <v>7468.8413095182732</v>
      </c>
      <c r="H54" s="837">
        <f>+H40</f>
        <v>564.04119465374163</v>
      </c>
      <c r="I54" s="838">
        <f>+I40</f>
        <v>3432.7320436592199</v>
      </c>
    </row>
    <row r="55" spans="4:9">
      <c r="D55" s="365">
        <v>33</v>
      </c>
      <c r="E55" s="418" t="s">
        <v>2246</v>
      </c>
      <c r="F55" s="837"/>
      <c r="G55" s="837">
        <f t="shared" ref="G55:I56" si="0">+G25+G42</f>
        <v>5665.6180738662224</v>
      </c>
      <c r="H55" s="837">
        <f t="shared" si="0"/>
        <v>427.86315231558297</v>
      </c>
      <c r="I55" s="838">
        <f t="shared" si="0"/>
        <v>2603.9579505471925</v>
      </c>
    </row>
    <row r="56" spans="4:9">
      <c r="D56" s="365">
        <v>34</v>
      </c>
      <c r="E56" s="418" t="s">
        <v>2247</v>
      </c>
      <c r="F56" s="842"/>
      <c r="G56" s="837">
        <f t="shared" si="0"/>
        <v>4560.829886980322</v>
      </c>
      <c r="H56" s="837">
        <f t="shared" si="0"/>
        <v>344.4303917378038</v>
      </c>
      <c r="I56" s="838">
        <f t="shared" si="0"/>
        <v>2096.1895225654221</v>
      </c>
    </row>
    <row r="57" spans="4:9">
      <c r="D57" s="365">
        <v>35</v>
      </c>
      <c r="E57" s="418" t="s">
        <v>2249</v>
      </c>
      <c r="F57" s="842"/>
      <c r="G57" s="837">
        <f t="shared" ref="G57:I58" si="1">+G29+G45</f>
        <v>27530.836072256585</v>
      </c>
      <c r="H57" s="837">
        <f t="shared" si="1"/>
        <v>2079.1077256150043</v>
      </c>
      <c r="I57" s="838">
        <f t="shared" si="1"/>
        <v>12653.366065433218</v>
      </c>
    </row>
    <row r="58" spans="4:9">
      <c r="D58" s="365">
        <v>36</v>
      </c>
      <c r="E58" s="418" t="s">
        <v>2250</v>
      </c>
      <c r="F58" s="842"/>
      <c r="G58" s="837">
        <f t="shared" si="1"/>
        <v>8946.5182908015413</v>
      </c>
      <c r="H58" s="837">
        <f t="shared" si="1"/>
        <v>675.63423235467326</v>
      </c>
      <c r="I58" s="838">
        <f t="shared" si="1"/>
        <v>4111.8827865414332</v>
      </c>
    </row>
    <row r="59" spans="4:9">
      <c r="D59" s="365">
        <v>37</v>
      </c>
      <c r="E59" s="418" t="s">
        <v>2256</v>
      </c>
      <c r="F59" s="842"/>
      <c r="G59" s="837">
        <f t="shared" ref="G59:I60" si="2">+G47</f>
        <v>10609.961730685945</v>
      </c>
      <c r="H59" s="837">
        <f t="shared" si="2"/>
        <v>801.25621121177198</v>
      </c>
      <c r="I59" s="838">
        <f t="shared" si="2"/>
        <v>4876.4131015220055</v>
      </c>
    </row>
    <row r="60" spans="4:9">
      <c r="D60" s="365">
        <v>38</v>
      </c>
      <c r="E60" s="418" t="s">
        <v>2257</v>
      </c>
      <c r="F60" s="842"/>
      <c r="G60" s="837">
        <f t="shared" si="2"/>
        <v>14371.441015984727</v>
      </c>
      <c r="H60" s="837">
        <f t="shared" si="2"/>
        <v>1085.3202556628742</v>
      </c>
      <c r="I60" s="838">
        <f t="shared" si="2"/>
        <v>6605.2154604301122</v>
      </c>
    </row>
    <row r="61" spans="4:9" ht="15" thickBot="1">
      <c r="D61" s="365">
        <v>39</v>
      </c>
      <c r="E61" s="1027" t="s">
        <v>115</v>
      </c>
      <c r="F61" s="964"/>
      <c r="G61" s="1028">
        <f>+SUM(G53:G60)</f>
        <v>109213.72581999999</v>
      </c>
      <c r="H61" s="1028">
        <f>+SUM(H53:H60)</f>
        <v>8247.7372099999993</v>
      </c>
      <c r="I61" s="1029">
        <f>+SUM(I53:I60)</f>
        <v>50195.397210000003</v>
      </c>
    </row>
    <row r="62" spans="4:9" ht="15" thickTop="1">
      <c r="D62" s="616"/>
      <c r="E62" s="297"/>
      <c r="F62" s="845"/>
      <c r="G62" s="546"/>
      <c r="H62" s="546"/>
      <c r="I62" s="5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</sheetPr>
  <dimension ref="B2:U750"/>
  <sheetViews>
    <sheetView tabSelected="1" showOutlineSymbols="0" workbookViewId="0"/>
  </sheetViews>
  <sheetFormatPr defaultRowHeight="14.4"/>
  <cols>
    <col min="1" max="1" width="4.44140625" customWidth="1"/>
    <col min="2" max="2" width="20" customWidth="1"/>
    <col min="3" max="3" width="14.6640625" customWidth="1"/>
    <col min="4" max="4" width="26.33203125" customWidth="1"/>
    <col min="5" max="5" width="55" customWidth="1"/>
    <col min="6" max="17" width="12.5546875" customWidth="1"/>
    <col min="18" max="18" width="9.88671875" customWidth="1"/>
    <col min="19" max="19" width="4.109375" customWidth="1"/>
    <col min="20" max="20" width="12.109375" bestFit="1" customWidth="1"/>
    <col min="21" max="21" width="4.33203125" customWidth="1"/>
  </cols>
  <sheetData>
    <row r="2" spans="2:21">
      <c r="D2" s="1962"/>
      <c r="E2" s="1962"/>
      <c r="F2" s="1975" t="s">
        <v>8699</v>
      </c>
      <c r="G2" s="1975" t="s">
        <v>8699</v>
      </c>
      <c r="H2" s="1975" t="s">
        <v>8699</v>
      </c>
      <c r="I2" s="1975" t="s">
        <v>8699</v>
      </c>
      <c r="J2" s="1975" t="s">
        <v>8699</v>
      </c>
      <c r="K2" s="1975" t="s">
        <v>8699</v>
      </c>
      <c r="L2" s="1975" t="s">
        <v>8699</v>
      </c>
      <c r="M2" s="1975" t="s">
        <v>8699</v>
      </c>
      <c r="N2" s="1975" t="s">
        <v>8699</v>
      </c>
      <c r="O2" s="1975" t="s">
        <v>8699</v>
      </c>
      <c r="P2" s="1975" t="s">
        <v>8699</v>
      </c>
      <c r="Q2" s="1975" t="s">
        <v>8699</v>
      </c>
      <c r="R2" s="1985" t="s">
        <v>122</v>
      </c>
    </row>
    <row r="3" spans="2:21" s="49" customFormat="1" ht="15" thickBot="1">
      <c r="B3" s="49" t="s">
        <v>609</v>
      </c>
      <c r="C3" s="49" t="s">
        <v>8701</v>
      </c>
      <c r="D3" s="1985" t="s">
        <v>1354</v>
      </c>
      <c r="E3" s="1985" t="s">
        <v>35</v>
      </c>
      <c r="F3" s="1975" t="s">
        <v>9149</v>
      </c>
      <c r="G3" s="1975" t="s">
        <v>9150</v>
      </c>
      <c r="H3" s="1975" t="s">
        <v>9151</v>
      </c>
      <c r="I3" s="1975" t="s">
        <v>9152</v>
      </c>
      <c r="J3" s="1975" t="s">
        <v>9153</v>
      </c>
      <c r="K3" s="1975" t="s">
        <v>9154</v>
      </c>
      <c r="L3" s="1975" t="s">
        <v>9155</v>
      </c>
      <c r="M3" s="1975" t="s">
        <v>9156</v>
      </c>
      <c r="N3" s="1975" t="s">
        <v>9157</v>
      </c>
      <c r="O3" s="1975" t="s">
        <v>9158</v>
      </c>
      <c r="P3" s="1975" t="s">
        <v>9159</v>
      </c>
      <c r="Q3" s="1975" t="s">
        <v>9160</v>
      </c>
      <c r="R3" s="1980">
        <v>2025</v>
      </c>
      <c r="T3" s="1986" t="s">
        <v>610</v>
      </c>
      <c r="U3" s="1986"/>
    </row>
    <row r="4" spans="2:21">
      <c r="B4" s="33" t="s">
        <v>7188</v>
      </c>
      <c r="C4" t="s">
        <v>8496</v>
      </c>
      <c r="D4" s="1962" t="s">
        <v>612</v>
      </c>
      <c r="E4" s="1962" t="s">
        <v>613</v>
      </c>
      <c r="F4" s="1981">
        <v>1821.52862</v>
      </c>
      <c r="G4" s="1981">
        <v>1821.52862</v>
      </c>
      <c r="H4" s="1981">
        <v>1821.52862</v>
      </c>
      <c r="I4" s="1981">
        <v>1821.52862</v>
      </c>
      <c r="J4" s="1981">
        <v>1821.52862</v>
      </c>
      <c r="K4" s="1981">
        <v>1821.52862</v>
      </c>
      <c r="L4" s="1981">
        <v>1821.52862</v>
      </c>
      <c r="M4" s="1981">
        <v>1821.52862</v>
      </c>
      <c r="N4" s="1981">
        <v>1821.52862</v>
      </c>
      <c r="O4" s="1981">
        <v>1821.52862</v>
      </c>
      <c r="P4" s="1981">
        <v>1821.52862</v>
      </c>
      <c r="Q4" s="1981">
        <v>1821.52853</v>
      </c>
      <c r="R4" s="1981">
        <v>21858.343350000006</v>
      </c>
      <c r="T4" s="48">
        <f>IF(R4="","",+R4-SUM(F4:Q4))</f>
        <v>0</v>
      </c>
      <c r="U4" s="48"/>
    </row>
    <row r="5" spans="2:21">
      <c r="B5" s="33" t="s">
        <v>8663</v>
      </c>
      <c r="C5" t="s">
        <v>8702</v>
      </c>
      <c r="D5" s="1962" t="s">
        <v>8703</v>
      </c>
      <c r="E5" s="1962" t="s">
        <v>8664</v>
      </c>
      <c r="F5" s="1981">
        <v>0</v>
      </c>
      <c r="G5" s="1981">
        <v>0</v>
      </c>
      <c r="H5" s="1981">
        <v>0</v>
      </c>
      <c r="I5" s="1981">
        <v>0</v>
      </c>
      <c r="J5" s="1981">
        <v>-228.48707380020002</v>
      </c>
      <c r="K5" s="1981">
        <v>-4025.5790150425</v>
      </c>
      <c r="L5" s="1981">
        <v>-2335.8483278573003</v>
      </c>
      <c r="M5" s="1981">
        <v>-1062.2211052176001</v>
      </c>
      <c r="N5" s="1981">
        <v>-8341.6886457084001</v>
      </c>
      <c r="O5" s="1981">
        <v>-2841.2944927785002</v>
      </c>
      <c r="P5" s="1981">
        <v>-2767.9171515042999</v>
      </c>
      <c r="Q5" s="1981">
        <v>0</v>
      </c>
      <c r="R5" s="1981">
        <v>-21603.035811908798</v>
      </c>
      <c r="T5" s="48">
        <f t="shared" ref="T5:T68" si="0">IF(R5="","",+R5-SUM(F5:Q5))</f>
        <v>0</v>
      </c>
      <c r="U5" s="48"/>
    </row>
    <row r="6" spans="2:21">
      <c r="B6" s="33" t="s">
        <v>7189</v>
      </c>
      <c r="C6" t="s">
        <v>8496</v>
      </c>
      <c r="D6" s="1962" t="s">
        <v>616</v>
      </c>
      <c r="E6" s="1962" t="s">
        <v>7190</v>
      </c>
      <c r="F6" s="1981">
        <v>260.98316666670001</v>
      </c>
      <c r="G6" s="1981">
        <v>260.98316666670001</v>
      </c>
      <c r="H6" s="1981">
        <v>260.98316666670001</v>
      </c>
      <c r="I6" s="1981">
        <v>260.98316666670001</v>
      </c>
      <c r="J6" s="1981">
        <v>260.98316666670001</v>
      </c>
      <c r="K6" s="1981">
        <v>260.98316666670001</v>
      </c>
      <c r="L6" s="1981">
        <v>260.98316666670001</v>
      </c>
      <c r="M6" s="1981">
        <v>260.98316666670001</v>
      </c>
      <c r="N6" s="1981">
        <v>260.98316666670001</v>
      </c>
      <c r="O6" s="1981">
        <v>260.98316666670001</v>
      </c>
      <c r="P6" s="1981">
        <v>260.98316666670001</v>
      </c>
      <c r="Q6" s="1981">
        <v>260.98316666670001</v>
      </c>
      <c r="R6" s="1981">
        <v>3131.7980000004004</v>
      </c>
      <c r="T6" s="48">
        <f t="shared" si="0"/>
        <v>0</v>
      </c>
      <c r="U6" s="48"/>
    </row>
    <row r="7" spans="2:21">
      <c r="B7" s="33" t="s">
        <v>7191</v>
      </c>
      <c r="C7" t="s">
        <v>2360</v>
      </c>
      <c r="D7" s="1962" t="s">
        <v>614</v>
      </c>
      <c r="E7" s="1962" t="s">
        <v>615</v>
      </c>
      <c r="F7" s="1981">
        <v>0</v>
      </c>
      <c r="G7" s="1981">
        <v>0</v>
      </c>
      <c r="H7" s="1981">
        <v>0</v>
      </c>
      <c r="I7" s="1981">
        <v>0</v>
      </c>
      <c r="J7" s="1981">
        <v>0</v>
      </c>
      <c r="K7" s="1981">
        <v>0</v>
      </c>
      <c r="L7" s="1981">
        <v>0</v>
      </c>
      <c r="M7" s="1981">
        <v>0</v>
      </c>
      <c r="N7" s="1981">
        <v>0</v>
      </c>
      <c r="O7" s="1981">
        <v>0</v>
      </c>
      <c r="P7" s="1981">
        <v>0</v>
      </c>
      <c r="Q7" s="1981">
        <v>0</v>
      </c>
      <c r="R7" s="1981">
        <v>0</v>
      </c>
      <c r="T7" s="48">
        <f t="shared" si="0"/>
        <v>0</v>
      </c>
      <c r="U7" s="48"/>
    </row>
    <row r="8" spans="2:21">
      <c r="B8" s="33" t="s">
        <v>7192</v>
      </c>
      <c r="C8" t="s">
        <v>8702</v>
      </c>
      <c r="D8" s="1962" t="s">
        <v>617</v>
      </c>
      <c r="E8" s="1962" t="s">
        <v>7193</v>
      </c>
      <c r="F8" s="1981">
        <v>0</v>
      </c>
      <c r="G8" s="1981">
        <v>0</v>
      </c>
      <c r="H8" s="1981">
        <v>-283.30404480109996</v>
      </c>
      <c r="I8" s="1981">
        <v>0</v>
      </c>
      <c r="J8" s="1981">
        <v>-325.1047982586</v>
      </c>
      <c r="K8" s="1981">
        <v>-372.81073998049999</v>
      </c>
      <c r="L8" s="1981">
        <v>-390.58820020919995</v>
      </c>
      <c r="M8" s="1981">
        <v>-389.0329200109</v>
      </c>
      <c r="N8" s="1981">
        <v>-394.53927543500004</v>
      </c>
      <c r="O8" s="1981">
        <v>-359.69610251950002</v>
      </c>
      <c r="P8" s="1981">
        <v>-310.16125760790004</v>
      </c>
      <c r="Q8" s="1981">
        <v>-294.73262694189998</v>
      </c>
      <c r="R8" s="1981">
        <v>-3119.9699657646001</v>
      </c>
      <c r="T8" s="48">
        <f t="shared" si="0"/>
        <v>0</v>
      </c>
      <c r="U8" s="48"/>
    </row>
    <row r="9" spans="2:21">
      <c r="B9" s="33" t="s">
        <v>7194</v>
      </c>
      <c r="C9" t="s">
        <v>8496</v>
      </c>
      <c r="D9" s="1962" t="s">
        <v>618</v>
      </c>
      <c r="E9" s="1962" t="s">
        <v>7195</v>
      </c>
      <c r="F9" s="1981">
        <v>19.569916666699999</v>
      </c>
      <c r="G9" s="1981">
        <v>19.569916666699999</v>
      </c>
      <c r="H9" s="1981">
        <v>19.569916666699999</v>
      </c>
      <c r="I9" s="1981">
        <v>19.569916666699999</v>
      </c>
      <c r="J9" s="1981">
        <v>19.569916666699999</v>
      </c>
      <c r="K9" s="1981">
        <v>19.569916666699999</v>
      </c>
      <c r="L9" s="1981">
        <v>19.569916666699999</v>
      </c>
      <c r="M9" s="1981">
        <v>19.569916666699999</v>
      </c>
      <c r="N9" s="1981">
        <v>19.569916666699999</v>
      </c>
      <c r="O9" s="1981">
        <v>19.569916666699999</v>
      </c>
      <c r="P9" s="1981">
        <v>19.569916666699999</v>
      </c>
      <c r="Q9" s="1981">
        <v>19.569916666699999</v>
      </c>
      <c r="R9" s="1981">
        <v>234.83900000040003</v>
      </c>
      <c r="T9" s="48">
        <f t="shared" si="0"/>
        <v>0</v>
      </c>
      <c r="U9" s="48"/>
    </row>
    <row r="10" spans="2:21">
      <c r="B10" s="33" t="s">
        <v>7196</v>
      </c>
      <c r="C10" t="s">
        <v>8702</v>
      </c>
      <c r="D10" s="1962" t="s">
        <v>619</v>
      </c>
      <c r="E10" s="1962" t="s">
        <v>7197</v>
      </c>
      <c r="F10" s="1981">
        <v>-6.6650960000000001E-4</v>
      </c>
      <c r="G10" s="1981">
        <v>0</v>
      </c>
      <c r="H10" s="1981">
        <v>-1.2860000000000001E-5</v>
      </c>
      <c r="I10" s="1981">
        <v>-1.872024E-4</v>
      </c>
      <c r="J10" s="1981">
        <v>-2.6716E-5</v>
      </c>
      <c r="K10" s="1981">
        <v>-1.0554472E-3</v>
      </c>
      <c r="L10" s="1981">
        <v>0</v>
      </c>
      <c r="M10" s="1981">
        <v>0</v>
      </c>
      <c r="N10" s="1981">
        <v>-5.1394240000000001E-4</v>
      </c>
      <c r="O10" s="1981">
        <v>-2.05768E-4</v>
      </c>
      <c r="P10" s="1981">
        <v>0</v>
      </c>
      <c r="Q10" s="1981">
        <v>0</v>
      </c>
      <c r="R10" s="1981">
        <v>-2.6684456E-3</v>
      </c>
      <c r="T10" s="48">
        <f t="shared" si="0"/>
        <v>0</v>
      </c>
      <c r="U10" s="48"/>
    </row>
    <row r="11" spans="2:21">
      <c r="B11" s="33" t="s">
        <v>7198</v>
      </c>
      <c r="C11" t="s">
        <v>8702</v>
      </c>
      <c r="D11" s="1962" t="s">
        <v>620</v>
      </c>
      <c r="E11" s="1962" t="s">
        <v>7199</v>
      </c>
      <c r="F11" s="1981">
        <v>-42.058</v>
      </c>
      <c r="G11" s="1981">
        <v>0</v>
      </c>
      <c r="H11" s="1981">
        <v>0</v>
      </c>
      <c r="I11" s="1981">
        <v>-25.212</v>
      </c>
      <c r="J11" s="1981">
        <v>-187.04300000000001</v>
      </c>
      <c r="K11" s="1981">
        <v>-420.95600000000002</v>
      </c>
      <c r="L11" s="1981">
        <v>-522.38099999999997</v>
      </c>
      <c r="M11" s="1981">
        <v>-532.27800000000002</v>
      </c>
      <c r="N11" s="1981">
        <v>-567.13</v>
      </c>
      <c r="O11" s="1981">
        <v>-387.815</v>
      </c>
      <c r="P11" s="1981">
        <v>-163.49799999999999</v>
      </c>
      <c r="Q11" s="1981">
        <v>-98.284000000000006</v>
      </c>
      <c r="R11" s="1981">
        <v>-2946.6550000000002</v>
      </c>
      <c r="T11" s="48">
        <f t="shared" si="0"/>
        <v>0</v>
      </c>
      <c r="U11" s="48"/>
    </row>
    <row r="12" spans="2:21">
      <c r="B12" s="33" t="s">
        <v>1493</v>
      </c>
      <c r="C12" t="s">
        <v>2360</v>
      </c>
      <c r="D12" s="1962" t="s">
        <v>621</v>
      </c>
      <c r="E12" s="1962" t="s">
        <v>1494</v>
      </c>
      <c r="F12" s="1981">
        <v>0</v>
      </c>
      <c r="G12" s="1981">
        <v>0</v>
      </c>
      <c r="H12" s="1981">
        <v>0</v>
      </c>
      <c r="I12" s="1981">
        <v>0</v>
      </c>
      <c r="J12" s="1981">
        <v>0</v>
      </c>
      <c r="K12" s="1981">
        <v>0</v>
      </c>
      <c r="L12" s="1981">
        <v>0</v>
      </c>
      <c r="M12" s="1981">
        <v>0</v>
      </c>
      <c r="N12" s="1981">
        <v>0</v>
      </c>
      <c r="O12" s="1981">
        <v>0</v>
      </c>
      <c r="P12" s="1981">
        <v>0</v>
      </c>
      <c r="Q12" s="1981">
        <v>0</v>
      </c>
      <c r="R12" s="1981">
        <v>0</v>
      </c>
      <c r="T12" s="48">
        <f t="shared" si="0"/>
        <v>0</v>
      </c>
      <c r="U12" s="48"/>
    </row>
    <row r="13" spans="2:21">
      <c r="B13" s="33" t="s">
        <v>7200</v>
      </c>
      <c r="C13" t="s">
        <v>8702</v>
      </c>
      <c r="D13" s="1962" t="s">
        <v>622</v>
      </c>
      <c r="E13" s="1962" t="s">
        <v>2300</v>
      </c>
      <c r="F13" s="1981">
        <v>0</v>
      </c>
      <c r="G13" s="1981">
        <v>0</v>
      </c>
      <c r="H13" s="1981">
        <v>0</v>
      </c>
      <c r="I13" s="1981">
        <v>0</v>
      </c>
      <c r="J13" s="1981">
        <v>0</v>
      </c>
      <c r="K13" s="1981">
        <v>-596.86900000000003</v>
      </c>
      <c r="L13" s="1981">
        <v>-1064.155</v>
      </c>
      <c r="M13" s="1981">
        <v>-881.13300000000004</v>
      </c>
      <c r="N13" s="1981">
        <v>-992.22500000000002</v>
      </c>
      <c r="O13" s="1981">
        <v>0</v>
      </c>
      <c r="P13" s="1981">
        <v>0</v>
      </c>
      <c r="Q13" s="1981">
        <v>0</v>
      </c>
      <c r="R13" s="1981">
        <v>-3534.3820000000001</v>
      </c>
      <c r="T13" s="48">
        <f t="shared" si="0"/>
        <v>0</v>
      </c>
      <c r="U13" s="48"/>
    </row>
    <row r="14" spans="2:21">
      <c r="B14" s="33" t="s">
        <v>7201</v>
      </c>
      <c r="C14" t="s">
        <v>8496</v>
      </c>
      <c r="D14" s="1962" t="s">
        <v>630</v>
      </c>
      <c r="E14" s="1962" t="s">
        <v>631</v>
      </c>
      <c r="F14" s="1981">
        <v>0</v>
      </c>
      <c r="G14" s="1981">
        <v>0</v>
      </c>
      <c r="H14" s="1981">
        <v>4.8928886595000005</v>
      </c>
      <c r="I14" s="1981">
        <v>0</v>
      </c>
      <c r="J14" s="1981">
        <v>0</v>
      </c>
      <c r="K14" s="1981">
        <v>4.8928886595000005</v>
      </c>
      <c r="L14" s="1981">
        <v>0</v>
      </c>
      <c r="M14" s="1981">
        <v>0</v>
      </c>
      <c r="N14" s="1981">
        <v>4.8928886595000005</v>
      </c>
      <c r="O14" s="1981">
        <v>0</v>
      </c>
      <c r="P14" s="1981">
        <v>0</v>
      </c>
      <c r="Q14" s="1981">
        <v>4.8928886595000005</v>
      </c>
      <c r="R14" s="1981">
        <v>19.571554638000002</v>
      </c>
      <c r="T14" s="48">
        <f t="shared" si="0"/>
        <v>0</v>
      </c>
      <c r="U14" s="48"/>
    </row>
    <row r="15" spans="2:21">
      <c r="B15" s="33" t="s">
        <v>7202</v>
      </c>
      <c r="C15" t="s">
        <v>8496</v>
      </c>
      <c r="D15" s="1962" t="s">
        <v>633</v>
      </c>
      <c r="E15" s="1962" t="s">
        <v>7203</v>
      </c>
      <c r="F15" s="1981">
        <v>-460.22572309980001</v>
      </c>
      <c r="G15" s="1981">
        <v>-460.22572309980001</v>
      </c>
      <c r="H15" s="1981">
        <v>-460.22572309980001</v>
      </c>
      <c r="I15" s="1981">
        <v>-460.22572309980001</v>
      </c>
      <c r="J15" s="1981">
        <v>-460.22572309980001</v>
      </c>
      <c r="K15" s="1981">
        <v>-460.22572309980001</v>
      </c>
      <c r="L15" s="1981">
        <v>-460.22572309980001</v>
      </c>
      <c r="M15" s="1981">
        <v>-460.22572309980001</v>
      </c>
      <c r="N15" s="1981">
        <v>-460.22572309980001</v>
      </c>
      <c r="O15" s="1981">
        <v>-460.22572309980001</v>
      </c>
      <c r="P15" s="1981">
        <v>-460.22572309980001</v>
      </c>
      <c r="Q15" s="1981">
        <v>-460.22572309980001</v>
      </c>
      <c r="R15" s="1981">
        <v>-5522.7086771976019</v>
      </c>
      <c r="T15" s="48">
        <f t="shared" si="0"/>
        <v>0</v>
      </c>
      <c r="U15" s="48"/>
    </row>
    <row r="16" spans="2:21">
      <c r="B16" s="33" t="s">
        <v>7204</v>
      </c>
      <c r="C16" t="s">
        <v>8702</v>
      </c>
      <c r="D16" s="1962" t="s">
        <v>7205</v>
      </c>
      <c r="E16" s="1962" t="s">
        <v>632</v>
      </c>
      <c r="F16" s="1981">
        <v>-129.839</v>
      </c>
      <c r="G16" s="1981">
        <v>-129.82400000000001</v>
      </c>
      <c r="H16" s="1981">
        <v>-129.81200000000001</v>
      </c>
      <c r="I16" s="1981">
        <v>-129.82400000000001</v>
      </c>
      <c r="J16" s="1981">
        <v>-129.85499999999999</v>
      </c>
      <c r="K16" s="1981">
        <v>-129.90100000000001</v>
      </c>
      <c r="L16" s="1981">
        <v>-129.91999999999999</v>
      </c>
      <c r="M16" s="1981">
        <v>-129.91900000000001</v>
      </c>
      <c r="N16" s="1981">
        <v>-129.92400000000001</v>
      </c>
      <c r="O16" s="1981">
        <v>-129.88900000000001</v>
      </c>
      <c r="P16" s="1981">
        <v>-129.84</v>
      </c>
      <c r="Q16" s="1981">
        <v>-129.81899999999999</v>
      </c>
      <c r="R16" s="1981">
        <v>-1558.3659999999998</v>
      </c>
      <c r="T16" s="48">
        <f t="shared" si="0"/>
        <v>0</v>
      </c>
      <c r="U16" s="48"/>
    </row>
    <row r="17" spans="2:21">
      <c r="B17" s="33" t="s">
        <v>9362</v>
      </c>
      <c r="C17" t="s">
        <v>8702</v>
      </c>
      <c r="D17" s="1962" t="s">
        <v>9363</v>
      </c>
      <c r="E17" s="1962" t="s">
        <v>9364</v>
      </c>
      <c r="F17" s="1981">
        <v>129.56</v>
      </c>
      <c r="G17" s="1981">
        <v>129.56</v>
      </c>
      <c r="H17" s="1981">
        <v>129.56</v>
      </c>
      <c r="I17" s="1981">
        <v>129.56</v>
      </c>
      <c r="J17" s="1981">
        <v>129.56</v>
      </c>
      <c r="K17" s="1981">
        <v>129.56</v>
      </c>
      <c r="L17" s="1981">
        <v>129.56</v>
      </c>
      <c r="M17" s="1981">
        <v>129.56</v>
      </c>
      <c r="N17" s="1981">
        <v>129.56</v>
      </c>
      <c r="O17" s="1981">
        <v>129.56</v>
      </c>
      <c r="P17" s="1981">
        <v>129.56</v>
      </c>
      <c r="Q17" s="1981">
        <v>129.55536333329999</v>
      </c>
      <c r="R17" s="1981">
        <v>1554.7153633332996</v>
      </c>
      <c r="T17" s="48">
        <f t="shared" si="0"/>
        <v>0</v>
      </c>
      <c r="U17" s="48"/>
    </row>
    <row r="18" spans="2:21">
      <c r="B18" s="33" t="s">
        <v>7206</v>
      </c>
      <c r="C18" t="s">
        <v>8496</v>
      </c>
      <c r="D18" s="1962" t="s">
        <v>623</v>
      </c>
      <c r="E18" s="1962" t="s">
        <v>7207</v>
      </c>
      <c r="F18" s="1981">
        <v>-4873.1297902177002</v>
      </c>
      <c r="G18" s="1981">
        <v>-2035.2817586405001</v>
      </c>
      <c r="H18" s="1981">
        <v>-3362.7707233059</v>
      </c>
      <c r="I18" s="1981">
        <v>-1778.9742883391</v>
      </c>
      <c r="J18" s="1981">
        <v>0</v>
      </c>
      <c r="K18" s="1981">
        <v>0</v>
      </c>
      <c r="L18" s="1981">
        <v>0</v>
      </c>
      <c r="M18" s="1981">
        <v>0</v>
      </c>
      <c r="N18" s="1981">
        <v>0</v>
      </c>
      <c r="O18" s="1981">
        <v>0</v>
      </c>
      <c r="P18" s="1981">
        <v>0</v>
      </c>
      <c r="Q18" s="1981">
        <v>-7038.8500507501003</v>
      </c>
      <c r="R18" s="1981">
        <v>-19089.006611253302</v>
      </c>
      <c r="T18" s="48">
        <f t="shared" si="0"/>
        <v>0</v>
      </c>
      <c r="U18" s="48"/>
    </row>
    <row r="19" spans="2:21">
      <c r="B19" s="33" t="s">
        <v>7208</v>
      </c>
      <c r="C19" t="s">
        <v>8496</v>
      </c>
      <c r="D19" s="1962" t="s">
        <v>624</v>
      </c>
      <c r="E19" s="1962" t="s">
        <v>7209</v>
      </c>
      <c r="F19" s="1981">
        <v>-1755.0418780545001</v>
      </c>
      <c r="G19" s="1981">
        <v>-1570.4358117022</v>
      </c>
      <c r="H19" s="1981">
        <v>0</v>
      </c>
      <c r="I19" s="1981">
        <v>-1171.4814675571999</v>
      </c>
      <c r="J19" s="1981">
        <v>0</v>
      </c>
      <c r="K19" s="1981">
        <v>0</v>
      </c>
      <c r="L19" s="1981">
        <v>0</v>
      </c>
      <c r="M19" s="1981">
        <v>0</v>
      </c>
      <c r="N19" s="1981">
        <v>0</v>
      </c>
      <c r="O19" s="1981">
        <v>0</v>
      </c>
      <c r="P19" s="1981">
        <v>0</v>
      </c>
      <c r="Q19" s="1981">
        <v>0</v>
      </c>
      <c r="R19" s="1981">
        <v>-4496.9591573138996</v>
      </c>
      <c r="T19" s="48">
        <f t="shared" si="0"/>
        <v>0</v>
      </c>
      <c r="U19" s="48"/>
    </row>
    <row r="20" spans="2:21">
      <c r="B20" s="33" t="s">
        <v>8665</v>
      </c>
      <c r="C20" t="s">
        <v>2360</v>
      </c>
      <c r="D20" s="1962" t="s">
        <v>8704</v>
      </c>
      <c r="E20" s="1962" t="s">
        <v>8666</v>
      </c>
      <c r="F20" s="1981">
        <v>0</v>
      </c>
      <c r="G20" s="1981">
        <v>0</v>
      </c>
      <c r="H20" s="1981">
        <v>0</v>
      </c>
      <c r="I20" s="1981">
        <v>0</v>
      </c>
      <c r="J20" s="1981">
        <v>0</v>
      </c>
      <c r="K20" s="1981">
        <v>0</v>
      </c>
      <c r="L20" s="1981">
        <v>0</v>
      </c>
      <c r="M20" s="1981">
        <v>0</v>
      </c>
      <c r="N20" s="1981">
        <v>0</v>
      </c>
      <c r="O20" s="1981">
        <v>0</v>
      </c>
      <c r="P20" s="1981">
        <v>0</v>
      </c>
      <c r="Q20" s="1981">
        <v>0</v>
      </c>
      <c r="R20" s="1981">
        <v>0</v>
      </c>
      <c r="T20" s="48">
        <f t="shared" si="0"/>
        <v>0</v>
      </c>
      <c r="U20" s="48"/>
    </row>
    <row r="21" spans="2:21">
      <c r="B21" s="33" t="s">
        <v>1497</v>
      </c>
      <c r="C21" t="s">
        <v>8496</v>
      </c>
      <c r="D21" s="1962" t="s">
        <v>625</v>
      </c>
      <c r="E21" s="1962" t="s">
        <v>1498</v>
      </c>
      <c r="F21" s="1981">
        <v>0</v>
      </c>
      <c r="G21" s="1981">
        <v>-9.0973680000000002E-4</v>
      </c>
      <c r="H21" s="1981">
        <v>0</v>
      </c>
      <c r="I21" s="1981">
        <v>0</v>
      </c>
      <c r="J21" s="1981">
        <v>0</v>
      </c>
      <c r="K21" s="1981">
        <v>0</v>
      </c>
      <c r="L21" s="1981">
        <v>-4.8228159999999997E-4</v>
      </c>
      <c r="M21" s="1981">
        <v>-6.8557280000000002E-4</v>
      </c>
      <c r="N21" s="1981">
        <v>0</v>
      </c>
      <c r="O21" s="1981">
        <v>0</v>
      </c>
      <c r="P21" s="1981">
        <v>-2.5517679999999997E-4</v>
      </c>
      <c r="Q21" s="1981">
        <v>-3.053272E-4</v>
      </c>
      <c r="R21" s="1981">
        <v>-2.6380952000000001E-3</v>
      </c>
      <c r="T21" s="48">
        <f t="shared" si="0"/>
        <v>0</v>
      </c>
      <c r="U21" s="48"/>
    </row>
    <row r="22" spans="2:21">
      <c r="B22" s="33" t="s">
        <v>7210</v>
      </c>
      <c r="C22" t="s">
        <v>8702</v>
      </c>
      <c r="D22" s="1962" t="s">
        <v>626</v>
      </c>
      <c r="E22" s="1962" t="s">
        <v>7211</v>
      </c>
      <c r="F22" s="1981">
        <v>84.492000000000004</v>
      </c>
      <c r="G22" s="1981">
        <v>84.492000000000004</v>
      </c>
      <c r="H22" s="1981">
        <v>84.492000000000004</v>
      </c>
      <c r="I22" s="1981">
        <v>84.492000000000004</v>
      </c>
      <c r="J22" s="1981">
        <v>84.492000000000004</v>
      </c>
      <c r="K22" s="1981">
        <v>84.492000000000004</v>
      </c>
      <c r="L22" s="1981">
        <v>84.492000000000004</v>
      </c>
      <c r="M22" s="1981">
        <v>84.492000000000004</v>
      </c>
      <c r="N22" s="1981">
        <v>84.492000000000004</v>
      </c>
      <c r="O22" s="1981">
        <v>84.492000000000004</v>
      </c>
      <c r="P22" s="1981">
        <v>84.492000000000004</v>
      </c>
      <c r="Q22" s="1981">
        <v>84.492999999999995</v>
      </c>
      <c r="R22" s="1981">
        <v>1013.905</v>
      </c>
      <c r="T22" s="48">
        <f t="shared" si="0"/>
        <v>0</v>
      </c>
      <c r="U22" s="48"/>
    </row>
    <row r="23" spans="2:21">
      <c r="B23" s="33" t="s">
        <v>1495</v>
      </c>
      <c r="C23" t="s">
        <v>8496</v>
      </c>
      <c r="D23" s="1962" t="s">
        <v>627</v>
      </c>
      <c r="E23" s="1962" t="s">
        <v>1496</v>
      </c>
      <c r="F23" s="1981">
        <v>0</v>
      </c>
      <c r="G23" s="1981">
        <v>-22.266999999999999</v>
      </c>
      <c r="H23" s="1981">
        <v>-26.591999999999999</v>
      </c>
      <c r="I23" s="1981">
        <v>0</v>
      </c>
      <c r="J23" s="1981">
        <v>0</v>
      </c>
      <c r="K23" s="1981">
        <v>0</v>
      </c>
      <c r="L23" s="1981">
        <v>0</v>
      </c>
      <c r="M23" s="1981">
        <v>0</v>
      </c>
      <c r="N23" s="1981">
        <v>0</v>
      </c>
      <c r="O23" s="1981">
        <v>0</v>
      </c>
      <c r="P23" s="1981">
        <v>0</v>
      </c>
      <c r="Q23" s="1981">
        <v>0</v>
      </c>
      <c r="R23" s="1981">
        <v>-48.858999999999995</v>
      </c>
      <c r="T23" s="48">
        <f t="shared" si="0"/>
        <v>0</v>
      </c>
      <c r="U23" s="48"/>
    </row>
    <row r="24" spans="2:21">
      <c r="B24" s="33" t="s">
        <v>8667</v>
      </c>
      <c r="C24" t="s">
        <v>8702</v>
      </c>
      <c r="D24" s="1962" t="s">
        <v>8705</v>
      </c>
      <c r="E24" s="1962" t="s">
        <v>8668</v>
      </c>
      <c r="F24" s="1981">
        <v>663.75099999999998</v>
      </c>
      <c r="G24" s="1981">
        <v>663.75099999999998</v>
      </c>
      <c r="H24" s="1981">
        <v>663.75099999999998</v>
      </c>
      <c r="I24" s="1981">
        <v>663.75099999999998</v>
      </c>
      <c r="J24" s="1981">
        <v>663.75099999999998</v>
      </c>
      <c r="K24" s="1981">
        <v>663.75099999999998</v>
      </c>
      <c r="L24" s="1981">
        <v>663.75099999999998</v>
      </c>
      <c r="M24" s="1981">
        <v>663.75099999999998</v>
      </c>
      <c r="N24" s="1981">
        <v>663.75099999999998</v>
      </c>
      <c r="O24" s="1981">
        <v>663.75099999999998</v>
      </c>
      <c r="P24" s="1981">
        <v>663.75099999999998</v>
      </c>
      <c r="Q24" s="1981">
        <v>663.75300000000004</v>
      </c>
      <c r="R24" s="1981">
        <v>7965.014000000001</v>
      </c>
      <c r="T24" s="48">
        <f t="shared" si="0"/>
        <v>0</v>
      </c>
      <c r="U24" s="48"/>
    </row>
    <row r="25" spans="2:21">
      <c r="B25" s="33" t="s">
        <v>1499</v>
      </c>
      <c r="C25" t="s">
        <v>8496</v>
      </c>
      <c r="D25" s="1962" t="s">
        <v>628</v>
      </c>
      <c r="E25" s="1962" t="s">
        <v>1500</v>
      </c>
      <c r="F25" s="1981">
        <v>-701.80799999999999</v>
      </c>
      <c r="G25" s="1981">
        <v>-1405.652</v>
      </c>
      <c r="H25" s="1981">
        <v>-1908.027</v>
      </c>
      <c r="I25" s="1981">
        <v>-1701.1769999999999</v>
      </c>
      <c r="J25" s="1981">
        <v>-849.06200000000001</v>
      </c>
      <c r="K25" s="1981">
        <v>0</v>
      </c>
      <c r="L25" s="1981">
        <v>0</v>
      </c>
      <c r="M25" s="1981">
        <v>0</v>
      </c>
      <c r="N25" s="1981">
        <v>0</v>
      </c>
      <c r="O25" s="1981">
        <v>-381.11700000000002</v>
      </c>
      <c r="P25" s="1981">
        <v>-2072.1750000000002</v>
      </c>
      <c r="Q25" s="1981">
        <v>-2679.5010000000002</v>
      </c>
      <c r="R25" s="1981">
        <v>-11698.519</v>
      </c>
      <c r="T25" s="48">
        <f t="shared" si="0"/>
        <v>0</v>
      </c>
      <c r="U25" s="48"/>
    </row>
    <row r="26" spans="2:21">
      <c r="B26" s="33" t="s">
        <v>7212</v>
      </c>
      <c r="C26" t="s">
        <v>8702</v>
      </c>
      <c r="D26" s="1962" t="s">
        <v>629</v>
      </c>
      <c r="E26" s="1962" t="s">
        <v>7213</v>
      </c>
      <c r="F26" s="1981">
        <v>140.70099999999999</v>
      </c>
      <c r="G26" s="1981">
        <v>140.70099999999999</v>
      </c>
      <c r="H26" s="1981">
        <v>140.70099999999999</v>
      </c>
      <c r="I26" s="1981">
        <v>140.70099999999999</v>
      </c>
      <c r="J26" s="1981">
        <v>140.70099999999999</v>
      </c>
      <c r="K26" s="1981">
        <v>140.70099999999999</v>
      </c>
      <c r="L26" s="1981">
        <v>140.70099999999999</v>
      </c>
      <c r="M26" s="1981">
        <v>140.70099999999999</v>
      </c>
      <c r="N26" s="1981">
        <v>140.70099999999999</v>
      </c>
      <c r="O26" s="1981">
        <v>140.70099999999999</v>
      </c>
      <c r="P26" s="1981">
        <v>140.70099999999999</v>
      </c>
      <c r="Q26" s="1981">
        <v>140.703</v>
      </c>
      <c r="R26" s="1981">
        <v>1688.414</v>
      </c>
      <c r="T26" s="48">
        <f t="shared" si="0"/>
        <v>0</v>
      </c>
      <c r="U26" s="48"/>
    </row>
    <row r="27" spans="2:21">
      <c r="B27" s="33" t="s">
        <v>7214</v>
      </c>
      <c r="C27" t="s">
        <v>8496</v>
      </c>
      <c r="D27" s="1962" t="s">
        <v>634</v>
      </c>
      <c r="E27" s="1962" t="s">
        <v>635</v>
      </c>
      <c r="F27" s="1981">
        <v>-0.19800000000000001</v>
      </c>
      <c r="G27" s="1981">
        <v>-0.19800000000000001</v>
      </c>
      <c r="H27" s="1981">
        <v>-0.19800000000000001</v>
      </c>
      <c r="I27" s="1981">
        <v>-0.19800000000000001</v>
      </c>
      <c r="J27" s="1981">
        <v>-0.19800000000000001</v>
      </c>
      <c r="K27" s="1981">
        <v>-0.19800000000000001</v>
      </c>
      <c r="L27" s="1981">
        <v>-0.19800000000000001</v>
      </c>
      <c r="M27" s="1981">
        <v>-0.19800000000000001</v>
      </c>
      <c r="N27" s="1981">
        <v>-0.19800000000000001</v>
      </c>
      <c r="O27" s="1981">
        <v>-0.19800000000000001</v>
      </c>
      <c r="P27" s="1981">
        <v>-0.19800000000000001</v>
      </c>
      <c r="Q27" s="1981">
        <v>-0.19800000000000001</v>
      </c>
      <c r="R27" s="1981">
        <v>-2.3759999999999999</v>
      </c>
      <c r="T27" s="48">
        <f t="shared" si="0"/>
        <v>0</v>
      </c>
      <c r="U27" s="48"/>
    </row>
    <row r="28" spans="2:21">
      <c r="B28" s="33" t="s">
        <v>7215</v>
      </c>
      <c r="C28" t="s">
        <v>8702</v>
      </c>
      <c r="D28" s="1962" t="s">
        <v>636</v>
      </c>
      <c r="E28" s="1962" t="s">
        <v>637</v>
      </c>
      <c r="F28" s="1981">
        <v>71587.23</v>
      </c>
      <c r="G28" s="1981">
        <v>65234.419000000002</v>
      </c>
      <c r="H28" s="1981">
        <v>61476.65</v>
      </c>
      <c r="I28" s="1981">
        <v>64799.481</v>
      </c>
      <c r="J28" s="1981">
        <v>73528.377999999997</v>
      </c>
      <c r="K28" s="1981">
        <v>88199.8</v>
      </c>
      <c r="L28" s="1981">
        <v>93817.365999999995</v>
      </c>
      <c r="M28" s="1981">
        <v>92601.01</v>
      </c>
      <c r="N28" s="1981">
        <v>96103.58</v>
      </c>
      <c r="O28" s="1981">
        <v>83382.127999999997</v>
      </c>
      <c r="P28" s="1981">
        <v>68929.709000000003</v>
      </c>
      <c r="Q28" s="1981">
        <v>66203.171000000002</v>
      </c>
      <c r="R28" s="1981">
        <v>925862.92200000002</v>
      </c>
      <c r="T28" s="48">
        <f t="shared" si="0"/>
        <v>0</v>
      </c>
      <c r="U28" s="48"/>
    </row>
    <row r="29" spans="2:21">
      <c r="B29" s="33" t="s">
        <v>7216</v>
      </c>
      <c r="C29" t="s">
        <v>8702</v>
      </c>
      <c r="D29" s="1962" t="s">
        <v>638</v>
      </c>
      <c r="E29" s="1962" t="s">
        <v>639</v>
      </c>
      <c r="F29" s="1981">
        <v>26257.164000000001</v>
      </c>
      <c r="G29" s="1981">
        <v>23562.772000000001</v>
      </c>
      <c r="H29" s="1981">
        <v>21762.286</v>
      </c>
      <c r="I29" s="1981">
        <v>23233.102999999999</v>
      </c>
      <c r="J29" s="1981">
        <v>27777.691999999999</v>
      </c>
      <c r="K29" s="1981">
        <v>35157.449000000001</v>
      </c>
      <c r="L29" s="1981">
        <v>37986.455999999998</v>
      </c>
      <c r="M29" s="1981">
        <v>37632.497000000003</v>
      </c>
      <c r="N29" s="1981">
        <v>38941.957000000002</v>
      </c>
      <c r="O29" s="1981">
        <v>32740.202000000001</v>
      </c>
      <c r="P29" s="1981">
        <v>25479.360000000001</v>
      </c>
      <c r="Q29" s="1981">
        <v>23410.600999999999</v>
      </c>
      <c r="R29" s="1981">
        <v>353941.53900000005</v>
      </c>
      <c r="T29" s="48">
        <f t="shared" si="0"/>
        <v>0</v>
      </c>
      <c r="U29" s="48"/>
    </row>
    <row r="30" spans="2:21">
      <c r="B30" s="33" t="s">
        <v>7217</v>
      </c>
      <c r="C30" t="s">
        <v>8702</v>
      </c>
      <c r="D30" s="1962" t="s">
        <v>640</v>
      </c>
      <c r="E30" s="1962" t="s">
        <v>641</v>
      </c>
      <c r="F30" s="1981">
        <v>162.97200000000001</v>
      </c>
      <c r="G30" s="1981">
        <v>148.11099999999999</v>
      </c>
      <c r="H30" s="1981">
        <v>137.714</v>
      </c>
      <c r="I30" s="1981">
        <v>145.53</v>
      </c>
      <c r="J30" s="1981">
        <v>170.554</v>
      </c>
      <c r="K30" s="1981">
        <v>210.80500000000001</v>
      </c>
      <c r="L30" s="1981">
        <v>226.10900000000001</v>
      </c>
      <c r="M30" s="1981">
        <v>224.51400000000001</v>
      </c>
      <c r="N30" s="1981">
        <v>230.96299999999999</v>
      </c>
      <c r="O30" s="1981">
        <v>198.28800000000001</v>
      </c>
      <c r="P30" s="1981">
        <v>158.631</v>
      </c>
      <c r="Q30" s="1981">
        <v>147.41</v>
      </c>
      <c r="R30" s="1981">
        <v>2161.6009999999997</v>
      </c>
      <c r="T30" s="48">
        <f t="shared" si="0"/>
        <v>0</v>
      </c>
      <c r="U30" s="48"/>
    </row>
    <row r="31" spans="2:21">
      <c r="B31" s="33" t="s">
        <v>7218</v>
      </c>
      <c r="C31" t="s">
        <v>8702</v>
      </c>
      <c r="D31" s="1962" t="s">
        <v>642</v>
      </c>
      <c r="E31" s="1962" t="s">
        <v>643</v>
      </c>
      <c r="F31" s="1981">
        <v>2803.1680000000001</v>
      </c>
      <c r="G31" s="1981">
        <v>2547.692</v>
      </c>
      <c r="H31" s="1981">
        <v>2368.973</v>
      </c>
      <c r="I31" s="1981">
        <v>2503.3029999999999</v>
      </c>
      <c r="J31" s="1981">
        <v>2933.4450000000002</v>
      </c>
      <c r="K31" s="1981">
        <v>3625.3710000000001</v>
      </c>
      <c r="L31" s="1981">
        <v>3888.4609999999998</v>
      </c>
      <c r="M31" s="1981">
        <v>3861.0340000000001</v>
      </c>
      <c r="N31" s="1981">
        <v>3971.9180000000001</v>
      </c>
      <c r="O31" s="1981">
        <v>3410.2150000000001</v>
      </c>
      <c r="P31" s="1981">
        <v>2728.53</v>
      </c>
      <c r="Q31" s="1981">
        <v>2535.6759999999999</v>
      </c>
      <c r="R31" s="1981">
        <v>37177.786</v>
      </c>
      <c r="T31" s="48">
        <f t="shared" si="0"/>
        <v>0</v>
      </c>
      <c r="U31" s="48"/>
    </row>
    <row r="32" spans="2:21">
      <c r="B32" s="33" t="s">
        <v>7219</v>
      </c>
      <c r="C32" t="s">
        <v>8702</v>
      </c>
      <c r="D32" s="1962" t="s">
        <v>644</v>
      </c>
      <c r="E32" s="1962" t="s">
        <v>645</v>
      </c>
      <c r="F32" s="1981">
        <v>690.93</v>
      </c>
      <c r="G32" s="1981">
        <v>627.91499999999996</v>
      </c>
      <c r="H32" s="1981">
        <v>583.88400000000001</v>
      </c>
      <c r="I32" s="1981">
        <v>617.00400000000002</v>
      </c>
      <c r="J32" s="1981">
        <v>723.04</v>
      </c>
      <c r="K32" s="1981">
        <v>893.64499999999998</v>
      </c>
      <c r="L32" s="1981">
        <v>958.51300000000003</v>
      </c>
      <c r="M32" s="1981">
        <v>951.76300000000003</v>
      </c>
      <c r="N32" s="1981">
        <v>979.09799999999996</v>
      </c>
      <c r="O32" s="1981">
        <v>840.60299999999995</v>
      </c>
      <c r="P32" s="1981">
        <v>672.53300000000002</v>
      </c>
      <c r="Q32" s="1981">
        <v>624.96699999999998</v>
      </c>
      <c r="R32" s="1981">
        <v>9163.8950000000004</v>
      </c>
      <c r="T32" s="48">
        <f t="shared" si="0"/>
        <v>0</v>
      </c>
      <c r="U32" s="48"/>
    </row>
    <row r="33" spans="2:21">
      <c r="B33" s="33" t="s">
        <v>7220</v>
      </c>
      <c r="C33" t="s">
        <v>8702</v>
      </c>
      <c r="D33" s="1962" t="s">
        <v>646</v>
      </c>
      <c r="E33" s="1962" t="s">
        <v>647</v>
      </c>
      <c r="F33" s="1981">
        <v>2278.1537799999996</v>
      </c>
      <c r="G33" s="1981">
        <v>2070.7591899999998</v>
      </c>
      <c r="H33" s="1981">
        <v>1935.29829</v>
      </c>
      <c r="I33" s="1981">
        <v>2043.8131100000001</v>
      </c>
      <c r="J33" s="1981">
        <v>2365.29763</v>
      </c>
      <c r="K33" s="1981">
        <v>2899.5618899999999</v>
      </c>
      <c r="L33" s="1981">
        <v>3100.25731</v>
      </c>
      <c r="M33" s="1981">
        <v>3067.1460499999998</v>
      </c>
      <c r="N33" s="1981">
        <v>3176.9948899999999</v>
      </c>
      <c r="O33" s="1981">
        <v>2732.43219</v>
      </c>
      <c r="P33" s="1981">
        <v>2211.5403900000001</v>
      </c>
      <c r="Q33" s="1981">
        <v>2084.13994</v>
      </c>
      <c r="R33" s="1981">
        <v>29965.394660000005</v>
      </c>
      <c r="T33" s="48">
        <f t="shared" si="0"/>
        <v>0</v>
      </c>
      <c r="U33" s="48"/>
    </row>
    <row r="34" spans="2:21">
      <c r="B34" s="33" t="s">
        <v>7221</v>
      </c>
      <c r="C34" t="s">
        <v>8702</v>
      </c>
      <c r="D34" s="1962" t="s">
        <v>648</v>
      </c>
      <c r="E34" s="1962" t="s">
        <v>649</v>
      </c>
      <c r="F34" s="1981">
        <v>2780.2788999999998</v>
      </c>
      <c r="G34" s="1981">
        <v>2518.5900899999997</v>
      </c>
      <c r="H34" s="1981">
        <v>2355.29448</v>
      </c>
      <c r="I34" s="1981">
        <v>2493.8196000000003</v>
      </c>
      <c r="J34" s="1981">
        <v>2884.1685299999999</v>
      </c>
      <c r="K34" s="1981">
        <v>3530.03278</v>
      </c>
      <c r="L34" s="1981">
        <v>3777.2004900000002</v>
      </c>
      <c r="M34" s="1981">
        <v>3733.7500499999996</v>
      </c>
      <c r="N34" s="1981">
        <v>3870.0320899999997</v>
      </c>
      <c r="O34" s="1981">
        <v>3319.5094700000004</v>
      </c>
      <c r="P34" s="1981">
        <v>2683.5096400000002</v>
      </c>
      <c r="Q34" s="1981">
        <v>2538.1425600000002</v>
      </c>
      <c r="R34" s="1981">
        <v>36484.328679999999</v>
      </c>
      <c r="T34" s="48">
        <f t="shared" si="0"/>
        <v>0</v>
      </c>
      <c r="U34" s="48"/>
    </row>
    <row r="35" spans="2:21">
      <c r="B35" s="33" t="s">
        <v>7222</v>
      </c>
      <c r="C35" t="s">
        <v>8702</v>
      </c>
      <c r="D35" s="1962" t="s">
        <v>650</v>
      </c>
      <c r="E35" s="1962" t="s">
        <v>651</v>
      </c>
      <c r="F35" s="1981">
        <v>5831.2006200000005</v>
      </c>
      <c r="G35" s="1981">
        <v>5301.7503299999998</v>
      </c>
      <c r="H35" s="1981">
        <v>4931.5630599999995</v>
      </c>
      <c r="I35" s="1981">
        <v>5209.5498899999993</v>
      </c>
      <c r="J35" s="1981">
        <v>6100.3524100000004</v>
      </c>
      <c r="K35" s="1981">
        <v>7533.8378400000001</v>
      </c>
      <c r="L35" s="1981">
        <v>8078.8819100000001</v>
      </c>
      <c r="M35" s="1981">
        <v>8022.1654000000008</v>
      </c>
      <c r="N35" s="1981">
        <v>8252.0858700000008</v>
      </c>
      <c r="O35" s="1981">
        <v>7088.2385700000004</v>
      </c>
      <c r="P35" s="1981">
        <v>5676.3533699999998</v>
      </c>
      <c r="Q35" s="1981">
        <v>5277.3696200000004</v>
      </c>
      <c r="R35" s="1981">
        <v>77303.348889999979</v>
      </c>
      <c r="T35" s="48">
        <f t="shared" si="0"/>
        <v>0</v>
      </c>
      <c r="U35" s="48"/>
    </row>
    <row r="36" spans="2:21">
      <c r="B36" s="33" t="s">
        <v>7223</v>
      </c>
      <c r="C36" t="s">
        <v>8702</v>
      </c>
      <c r="D36" s="1962" t="s">
        <v>652</v>
      </c>
      <c r="E36" s="1962" t="s">
        <v>653</v>
      </c>
      <c r="F36" s="1981">
        <v>3244.0329999999999</v>
      </c>
      <c r="G36" s="1981">
        <v>2948.1689999999999</v>
      </c>
      <c r="H36" s="1981">
        <v>2741.2280000000001</v>
      </c>
      <c r="I36" s="1981">
        <v>2896.8159999999998</v>
      </c>
      <c r="J36" s="1981">
        <v>3394.9540000000002</v>
      </c>
      <c r="K36" s="1981">
        <v>4196.2439999999997</v>
      </c>
      <c r="L36" s="1981">
        <v>4500.9179999999997</v>
      </c>
      <c r="M36" s="1981">
        <v>4469.1580000000004</v>
      </c>
      <c r="N36" s="1981">
        <v>4597.5479999999998</v>
      </c>
      <c r="O36" s="1981">
        <v>3947.076</v>
      </c>
      <c r="P36" s="1981">
        <v>3157.6210000000001</v>
      </c>
      <c r="Q36" s="1981">
        <v>2934.2249999999999</v>
      </c>
      <c r="R36" s="1981">
        <v>43027.99</v>
      </c>
      <c r="T36" s="48">
        <f t="shared" si="0"/>
        <v>0</v>
      </c>
      <c r="U36" s="48"/>
    </row>
    <row r="37" spans="2:21">
      <c r="B37" s="33" t="s">
        <v>7224</v>
      </c>
      <c r="C37" t="s">
        <v>2360</v>
      </c>
      <c r="D37" s="1962" t="s">
        <v>654</v>
      </c>
      <c r="E37" s="1962" t="s">
        <v>655</v>
      </c>
      <c r="F37" s="1981">
        <v>0</v>
      </c>
      <c r="G37" s="1981">
        <v>0</v>
      </c>
      <c r="H37" s="1981">
        <v>0</v>
      </c>
      <c r="I37" s="1981">
        <v>0</v>
      </c>
      <c r="J37" s="1981">
        <v>0</v>
      </c>
      <c r="K37" s="1981">
        <v>0</v>
      </c>
      <c r="L37" s="1981">
        <v>0</v>
      </c>
      <c r="M37" s="1981">
        <v>0</v>
      </c>
      <c r="N37" s="1981">
        <v>0</v>
      </c>
      <c r="O37" s="1981">
        <v>0</v>
      </c>
      <c r="P37" s="1981">
        <v>0</v>
      </c>
      <c r="Q37" s="1981">
        <v>0</v>
      </c>
      <c r="R37" s="1981">
        <v>0</v>
      </c>
      <c r="T37" s="48">
        <f t="shared" si="0"/>
        <v>0</v>
      </c>
      <c r="U37" s="48"/>
    </row>
    <row r="38" spans="2:21">
      <c r="B38" s="33" t="s">
        <v>7225</v>
      </c>
      <c r="C38" t="s">
        <v>2360</v>
      </c>
      <c r="D38" s="1962" t="s">
        <v>656</v>
      </c>
      <c r="E38" s="1962" t="s">
        <v>657</v>
      </c>
      <c r="F38" s="1981">
        <v>0</v>
      </c>
      <c r="G38" s="1981">
        <v>0</v>
      </c>
      <c r="H38" s="1981">
        <v>0</v>
      </c>
      <c r="I38" s="1981">
        <v>0</v>
      </c>
      <c r="J38" s="1981">
        <v>0</v>
      </c>
      <c r="K38" s="1981">
        <v>0</v>
      </c>
      <c r="L38" s="1981">
        <v>0</v>
      </c>
      <c r="M38" s="1981">
        <v>0</v>
      </c>
      <c r="N38" s="1981">
        <v>0</v>
      </c>
      <c r="O38" s="1981">
        <v>0</v>
      </c>
      <c r="P38" s="1981">
        <v>0</v>
      </c>
      <c r="Q38" s="1981">
        <v>0</v>
      </c>
      <c r="R38" s="1981">
        <v>0</v>
      </c>
      <c r="T38" s="48">
        <f t="shared" si="0"/>
        <v>0</v>
      </c>
      <c r="U38" s="48"/>
    </row>
    <row r="39" spans="2:21">
      <c r="B39" s="33" t="s">
        <v>7226</v>
      </c>
      <c r="C39" t="s">
        <v>2360</v>
      </c>
      <c r="D39" s="1962" t="s">
        <v>658</v>
      </c>
      <c r="E39" s="1962" t="s">
        <v>659</v>
      </c>
      <c r="F39" s="1981">
        <v>0</v>
      </c>
      <c r="G39" s="1981">
        <v>0</v>
      </c>
      <c r="H39" s="1981">
        <v>0</v>
      </c>
      <c r="I39" s="1981">
        <v>0</v>
      </c>
      <c r="J39" s="1981">
        <v>0</v>
      </c>
      <c r="K39" s="1981">
        <v>0</v>
      </c>
      <c r="L39" s="1981">
        <v>0</v>
      </c>
      <c r="M39" s="1981">
        <v>0</v>
      </c>
      <c r="N39" s="1981">
        <v>0</v>
      </c>
      <c r="O39" s="1981">
        <v>0</v>
      </c>
      <c r="P39" s="1981">
        <v>0</v>
      </c>
      <c r="Q39" s="1981">
        <v>0</v>
      </c>
      <c r="R39" s="1981">
        <v>0</v>
      </c>
      <c r="T39" s="48">
        <f t="shared" si="0"/>
        <v>0</v>
      </c>
      <c r="U39" s="48"/>
    </row>
    <row r="40" spans="2:21">
      <c r="B40" s="33" t="s">
        <v>7227</v>
      </c>
      <c r="C40" t="s">
        <v>2360</v>
      </c>
      <c r="D40" s="1962" t="s">
        <v>660</v>
      </c>
      <c r="E40" s="1962" t="s">
        <v>661</v>
      </c>
      <c r="F40" s="1981">
        <v>0</v>
      </c>
      <c r="G40" s="1981">
        <v>0</v>
      </c>
      <c r="H40" s="1981">
        <v>0</v>
      </c>
      <c r="I40" s="1981">
        <v>0</v>
      </c>
      <c r="J40" s="1981">
        <v>0</v>
      </c>
      <c r="K40" s="1981">
        <v>0</v>
      </c>
      <c r="L40" s="1981">
        <v>0</v>
      </c>
      <c r="M40" s="1981">
        <v>0</v>
      </c>
      <c r="N40" s="1981">
        <v>0</v>
      </c>
      <c r="O40" s="1981">
        <v>0</v>
      </c>
      <c r="P40" s="1981">
        <v>0</v>
      </c>
      <c r="Q40" s="1981">
        <v>0</v>
      </c>
      <c r="R40" s="1981">
        <v>0</v>
      </c>
      <c r="T40" s="48">
        <f t="shared" si="0"/>
        <v>0</v>
      </c>
      <c r="U40" s="48"/>
    </row>
    <row r="41" spans="2:21">
      <c r="B41" s="33" t="s">
        <v>7228</v>
      </c>
      <c r="C41" t="s">
        <v>2360</v>
      </c>
      <c r="D41" s="1962" t="s">
        <v>662</v>
      </c>
      <c r="E41" s="1962" t="s">
        <v>663</v>
      </c>
      <c r="F41" s="1981">
        <v>0</v>
      </c>
      <c r="G41" s="1981">
        <v>0</v>
      </c>
      <c r="H41" s="1981">
        <v>0</v>
      </c>
      <c r="I41" s="1981">
        <v>0</v>
      </c>
      <c r="J41" s="1981">
        <v>0</v>
      </c>
      <c r="K41" s="1981">
        <v>0</v>
      </c>
      <c r="L41" s="1981">
        <v>0</v>
      </c>
      <c r="M41" s="1981">
        <v>0</v>
      </c>
      <c r="N41" s="1981">
        <v>0</v>
      </c>
      <c r="O41" s="1981">
        <v>0</v>
      </c>
      <c r="P41" s="1981">
        <v>0</v>
      </c>
      <c r="Q41" s="1981">
        <v>0</v>
      </c>
      <c r="R41" s="1981">
        <v>0</v>
      </c>
      <c r="T41" s="48">
        <f t="shared" si="0"/>
        <v>0</v>
      </c>
      <c r="U41" s="48"/>
    </row>
    <row r="42" spans="2:21">
      <c r="B42" s="33" t="s">
        <v>7229</v>
      </c>
      <c r="C42" t="s">
        <v>2360</v>
      </c>
      <c r="D42" s="1962" t="s">
        <v>664</v>
      </c>
      <c r="E42" s="1962" t="s">
        <v>665</v>
      </c>
      <c r="F42" s="1981">
        <v>0</v>
      </c>
      <c r="G42" s="1981">
        <v>0</v>
      </c>
      <c r="H42" s="1981">
        <v>0</v>
      </c>
      <c r="I42" s="1981">
        <v>0</v>
      </c>
      <c r="J42" s="1981">
        <v>0</v>
      </c>
      <c r="K42" s="1981">
        <v>0</v>
      </c>
      <c r="L42" s="1981">
        <v>0</v>
      </c>
      <c r="M42" s="1981">
        <v>0</v>
      </c>
      <c r="N42" s="1981">
        <v>0</v>
      </c>
      <c r="O42" s="1981">
        <v>0</v>
      </c>
      <c r="P42" s="1981">
        <v>0</v>
      </c>
      <c r="Q42" s="1981">
        <v>0</v>
      </c>
      <c r="R42" s="1981">
        <v>0</v>
      </c>
      <c r="T42" s="48">
        <f t="shared" si="0"/>
        <v>0</v>
      </c>
      <c r="U42" s="48"/>
    </row>
    <row r="43" spans="2:21">
      <c r="B43" s="33" t="s">
        <v>7230</v>
      </c>
      <c r="C43" t="s">
        <v>2360</v>
      </c>
      <c r="D43" s="1962" t="s">
        <v>666</v>
      </c>
      <c r="E43" s="1962" t="s">
        <v>667</v>
      </c>
      <c r="F43" s="1981">
        <v>0</v>
      </c>
      <c r="G43" s="1981">
        <v>0</v>
      </c>
      <c r="H43" s="1981">
        <v>0</v>
      </c>
      <c r="I43" s="1981">
        <v>0</v>
      </c>
      <c r="J43" s="1981">
        <v>0</v>
      </c>
      <c r="K43" s="1981">
        <v>0</v>
      </c>
      <c r="L43" s="1981">
        <v>0</v>
      </c>
      <c r="M43" s="1981">
        <v>0</v>
      </c>
      <c r="N43" s="1981">
        <v>0</v>
      </c>
      <c r="O43" s="1981">
        <v>0</v>
      </c>
      <c r="P43" s="1981">
        <v>0</v>
      </c>
      <c r="Q43" s="1981">
        <v>0</v>
      </c>
      <c r="R43" s="1981">
        <v>0</v>
      </c>
      <c r="T43" s="48">
        <f t="shared" si="0"/>
        <v>0</v>
      </c>
      <c r="U43" s="48"/>
    </row>
    <row r="44" spans="2:21">
      <c r="B44" s="33" t="s">
        <v>7231</v>
      </c>
      <c r="C44" t="s">
        <v>2360</v>
      </c>
      <c r="D44" s="1962" t="s">
        <v>668</v>
      </c>
      <c r="E44" s="1962" t="s">
        <v>669</v>
      </c>
      <c r="F44" s="1981">
        <v>0</v>
      </c>
      <c r="G44" s="1981">
        <v>0</v>
      </c>
      <c r="H44" s="1981">
        <v>0</v>
      </c>
      <c r="I44" s="1981">
        <v>0</v>
      </c>
      <c r="J44" s="1981">
        <v>0</v>
      </c>
      <c r="K44" s="1981">
        <v>0</v>
      </c>
      <c r="L44" s="1981">
        <v>0</v>
      </c>
      <c r="M44" s="1981">
        <v>0</v>
      </c>
      <c r="N44" s="1981">
        <v>0</v>
      </c>
      <c r="O44" s="1981">
        <v>0</v>
      </c>
      <c r="P44" s="1981">
        <v>0</v>
      </c>
      <c r="Q44" s="1981">
        <v>0</v>
      </c>
      <c r="R44" s="1981">
        <v>0</v>
      </c>
      <c r="T44" s="48">
        <f t="shared" si="0"/>
        <v>0</v>
      </c>
      <c r="U44" s="48"/>
    </row>
    <row r="45" spans="2:21">
      <c r="B45" s="33" t="s">
        <v>7232</v>
      </c>
      <c r="C45" t="s">
        <v>2360</v>
      </c>
      <c r="D45" s="1962" t="s">
        <v>670</v>
      </c>
      <c r="E45" s="1962" t="s">
        <v>671</v>
      </c>
      <c r="F45" s="1981">
        <v>0</v>
      </c>
      <c r="G45" s="1981">
        <v>0</v>
      </c>
      <c r="H45" s="1981">
        <v>0</v>
      </c>
      <c r="I45" s="1981">
        <v>0</v>
      </c>
      <c r="J45" s="1981">
        <v>0</v>
      </c>
      <c r="K45" s="1981">
        <v>0</v>
      </c>
      <c r="L45" s="1981">
        <v>0</v>
      </c>
      <c r="M45" s="1981">
        <v>0</v>
      </c>
      <c r="N45" s="1981">
        <v>0</v>
      </c>
      <c r="O45" s="1981">
        <v>0</v>
      </c>
      <c r="P45" s="1981">
        <v>0</v>
      </c>
      <c r="Q45" s="1981">
        <v>0</v>
      </c>
      <c r="R45" s="1981">
        <v>0</v>
      </c>
      <c r="T45" s="48">
        <f t="shared" si="0"/>
        <v>0</v>
      </c>
      <c r="U45" s="48"/>
    </row>
    <row r="46" spans="2:21">
      <c r="B46" s="33" t="s">
        <v>7233</v>
      </c>
      <c r="C46" t="s">
        <v>8702</v>
      </c>
      <c r="D46" s="1962" t="s">
        <v>672</v>
      </c>
      <c r="E46" s="1962" t="s">
        <v>673</v>
      </c>
      <c r="F46" s="1981">
        <v>28422.258000000002</v>
      </c>
      <c r="G46" s="1981">
        <v>27446.197</v>
      </c>
      <c r="H46" s="1981">
        <v>27567.302</v>
      </c>
      <c r="I46" s="1981">
        <v>28703.151000000002</v>
      </c>
      <c r="J46" s="1981">
        <v>29889.952000000001</v>
      </c>
      <c r="K46" s="1981">
        <v>31978.172999999999</v>
      </c>
      <c r="L46" s="1981">
        <v>32880.713000000003</v>
      </c>
      <c r="M46" s="1981">
        <v>32783.059000000001</v>
      </c>
      <c r="N46" s="1981">
        <v>32966.714</v>
      </c>
      <c r="O46" s="1981">
        <v>31675.15</v>
      </c>
      <c r="P46" s="1981">
        <v>29465.788</v>
      </c>
      <c r="Q46" s="1981">
        <v>28430.008999999998</v>
      </c>
      <c r="R46" s="1981">
        <v>362208.46600000001</v>
      </c>
      <c r="T46" s="48">
        <f t="shared" si="0"/>
        <v>0</v>
      </c>
      <c r="U46" s="48"/>
    </row>
    <row r="47" spans="2:21">
      <c r="B47" s="33" t="s">
        <v>7234</v>
      </c>
      <c r="C47" t="s">
        <v>8702</v>
      </c>
      <c r="D47" s="1962" t="s">
        <v>674</v>
      </c>
      <c r="E47" s="1962" t="s">
        <v>675</v>
      </c>
      <c r="F47" s="1981">
        <v>16590.292000000001</v>
      </c>
      <c r="G47" s="1981">
        <v>15261.014999999999</v>
      </c>
      <c r="H47" s="1981">
        <v>15551.083000000001</v>
      </c>
      <c r="I47" s="1981">
        <v>16560.777999999998</v>
      </c>
      <c r="J47" s="1981">
        <v>17675.219000000001</v>
      </c>
      <c r="K47" s="1981">
        <v>19683.653999999999</v>
      </c>
      <c r="L47" s="1981">
        <v>20570.092000000001</v>
      </c>
      <c r="M47" s="1981">
        <v>20613.032999999999</v>
      </c>
      <c r="N47" s="1981">
        <v>21150.146000000001</v>
      </c>
      <c r="O47" s="1981">
        <v>19337.886999999999</v>
      </c>
      <c r="P47" s="1981">
        <v>17628.345000000001</v>
      </c>
      <c r="Q47" s="1981">
        <v>16448.455999999998</v>
      </c>
      <c r="R47" s="1981">
        <v>217070</v>
      </c>
      <c r="T47" s="48">
        <f t="shared" si="0"/>
        <v>0</v>
      </c>
      <c r="U47" s="48"/>
    </row>
    <row r="48" spans="2:21">
      <c r="B48" s="33" t="s">
        <v>7235</v>
      </c>
      <c r="C48" t="s">
        <v>8702</v>
      </c>
      <c r="D48" s="1962" t="s">
        <v>676</v>
      </c>
      <c r="E48" s="1962" t="s">
        <v>677</v>
      </c>
      <c r="F48" s="1981">
        <v>81.168999999999997</v>
      </c>
      <c r="G48" s="1981">
        <v>79.882999999999996</v>
      </c>
      <c r="H48" s="1981">
        <v>80.055000000000007</v>
      </c>
      <c r="I48" s="1981">
        <v>83.182000000000002</v>
      </c>
      <c r="J48" s="1981">
        <v>86.867000000000004</v>
      </c>
      <c r="K48" s="1981">
        <v>92.759</v>
      </c>
      <c r="L48" s="1981">
        <v>95.394000000000005</v>
      </c>
      <c r="M48" s="1981">
        <v>94.988</v>
      </c>
      <c r="N48" s="1981">
        <v>94.155000000000001</v>
      </c>
      <c r="O48" s="1981">
        <v>91.914000000000001</v>
      </c>
      <c r="P48" s="1981">
        <v>84.793999999999997</v>
      </c>
      <c r="Q48" s="1981">
        <v>81.501999999999995</v>
      </c>
      <c r="R48" s="1981">
        <v>1046.662</v>
      </c>
      <c r="T48" s="48">
        <f t="shared" si="0"/>
        <v>0</v>
      </c>
      <c r="U48" s="48"/>
    </row>
    <row r="49" spans="2:21">
      <c r="B49" s="33" t="s">
        <v>7236</v>
      </c>
      <c r="C49" t="s">
        <v>8702</v>
      </c>
      <c r="D49" s="1962" t="s">
        <v>678</v>
      </c>
      <c r="E49" s="1962" t="s">
        <v>679</v>
      </c>
      <c r="F49" s="1981">
        <v>1370.8</v>
      </c>
      <c r="G49" s="1981">
        <v>1346.63</v>
      </c>
      <c r="H49" s="1981">
        <v>1350.1980000000001</v>
      </c>
      <c r="I49" s="1981">
        <v>1403.2660000000001</v>
      </c>
      <c r="J49" s="1981">
        <v>1465.9380000000001</v>
      </c>
      <c r="K49" s="1981">
        <v>1567.2750000000001</v>
      </c>
      <c r="L49" s="1981">
        <v>1612.0250000000001</v>
      </c>
      <c r="M49" s="1981">
        <v>1605.462</v>
      </c>
      <c r="N49" s="1981">
        <v>1593.5060000000001</v>
      </c>
      <c r="O49" s="1981">
        <v>1552.529</v>
      </c>
      <c r="P49" s="1981">
        <v>1432.6369999999999</v>
      </c>
      <c r="Q49" s="1981">
        <v>1376.1089999999999</v>
      </c>
      <c r="R49" s="1981">
        <v>17676.375</v>
      </c>
      <c r="T49" s="48">
        <f t="shared" si="0"/>
        <v>0</v>
      </c>
      <c r="U49" s="48"/>
    </row>
    <row r="50" spans="2:21">
      <c r="B50" s="33" t="s">
        <v>7237</v>
      </c>
      <c r="C50" t="s">
        <v>8702</v>
      </c>
      <c r="D50" s="1962" t="s">
        <v>680</v>
      </c>
      <c r="E50" s="1962" t="s">
        <v>681</v>
      </c>
      <c r="F50" s="1981">
        <v>390.44900000000001</v>
      </c>
      <c r="G50" s="1981">
        <v>359.17500000000001</v>
      </c>
      <c r="H50" s="1981">
        <v>365.99799999999999</v>
      </c>
      <c r="I50" s="1981">
        <v>389.76799999999997</v>
      </c>
      <c r="J50" s="1981">
        <v>415.99</v>
      </c>
      <c r="K50" s="1981">
        <v>463.23700000000002</v>
      </c>
      <c r="L50" s="1981">
        <v>484.09300000000002</v>
      </c>
      <c r="M50" s="1981">
        <v>485.10300000000001</v>
      </c>
      <c r="N50" s="1981">
        <v>497.73200000000003</v>
      </c>
      <c r="O50" s="1981">
        <v>455.10300000000001</v>
      </c>
      <c r="P50" s="1981">
        <v>414.875</v>
      </c>
      <c r="Q50" s="1981">
        <v>387.09899999999999</v>
      </c>
      <c r="R50" s="1981">
        <v>5108.6220000000003</v>
      </c>
      <c r="T50" s="48">
        <f t="shared" si="0"/>
        <v>0</v>
      </c>
      <c r="U50" s="48"/>
    </row>
    <row r="51" spans="2:21">
      <c r="B51" s="33" t="s">
        <v>7238</v>
      </c>
      <c r="C51" t="s">
        <v>8702</v>
      </c>
      <c r="D51" s="1962" t="s">
        <v>682</v>
      </c>
      <c r="E51" s="1962" t="s">
        <v>683</v>
      </c>
      <c r="F51" s="1981">
        <v>1558.4027699999999</v>
      </c>
      <c r="G51" s="1981">
        <v>1481.7675099999999</v>
      </c>
      <c r="H51" s="1981">
        <v>1495.43923</v>
      </c>
      <c r="I51" s="1981">
        <v>1569.1140399999999</v>
      </c>
      <c r="J51" s="1981">
        <v>1648.6841399999998</v>
      </c>
      <c r="K51" s="1981">
        <v>1789.50548</v>
      </c>
      <c r="L51" s="1981">
        <v>1851.11454</v>
      </c>
      <c r="M51" s="1981">
        <v>1848.90137</v>
      </c>
      <c r="N51" s="1981">
        <v>1871.3812600000001</v>
      </c>
      <c r="O51" s="1981">
        <v>1767.3082199999999</v>
      </c>
      <c r="P51" s="1981">
        <v>1630.9258300000001</v>
      </c>
      <c r="Q51" s="1981">
        <v>1554.5852299999999</v>
      </c>
      <c r="R51" s="1981">
        <v>20067.12962</v>
      </c>
      <c r="T51" s="48">
        <f t="shared" si="0"/>
        <v>0</v>
      </c>
      <c r="U51" s="48"/>
    </row>
    <row r="52" spans="2:21">
      <c r="B52" s="33" t="s">
        <v>7239</v>
      </c>
      <c r="C52" t="s">
        <v>8702</v>
      </c>
      <c r="D52" s="1962" t="s">
        <v>684</v>
      </c>
      <c r="E52" s="1962" t="s">
        <v>685</v>
      </c>
      <c r="F52" s="1981">
        <v>1271.6372900000001</v>
      </c>
      <c r="G52" s="1981">
        <v>1209.1062899999999</v>
      </c>
      <c r="H52" s="1981">
        <v>1220.26079</v>
      </c>
      <c r="I52" s="1981">
        <v>1280.3780300000001</v>
      </c>
      <c r="J52" s="1981">
        <v>1345.3053799999998</v>
      </c>
      <c r="K52" s="1981">
        <v>1460.21155</v>
      </c>
      <c r="L52" s="1981">
        <v>1510.4858999999999</v>
      </c>
      <c r="M52" s="1981">
        <v>1508.6804999999999</v>
      </c>
      <c r="N52" s="1981">
        <v>1527.02358</v>
      </c>
      <c r="O52" s="1981">
        <v>1442.1019699999999</v>
      </c>
      <c r="P52" s="1981">
        <v>1330.8185000000001</v>
      </c>
      <c r="Q52" s="1981">
        <v>1268.52277</v>
      </c>
      <c r="R52" s="1981">
        <v>16374.532549999998</v>
      </c>
      <c r="T52" s="48">
        <f t="shared" si="0"/>
        <v>0</v>
      </c>
      <c r="U52" s="48"/>
    </row>
    <row r="53" spans="2:21">
      <c r="B53" s="33" t="s">
        <v>7240</v>
      </c>
      <c r="C53" t="s">
        <v>2360</v>
      </c>
      <c r="D53" s="1962" t="s">
        <v>686</v>
      </c>
      <c r="E53" s="1962" t="s">
        <v>7241</v>
      </c>
      <c r="F53" s="1981">
        <v>0</v>
      </c>
      <c r="G53" s="1981">
        <v>0</v>
      </c>
      <c r="H53" s="1981">
        <v>0</v>
      </c>
      <c r="I53" s="1981">
        <v>0</v>
      </c>
      <c r="J53" s="1981">
        <v>0</v>
      </c>
      <c r="K53" s="1981">
        <v>0</v>
      </c>
      <c r="L53" s="1981">
        <v>0</v>
      </c>
      <c r="M53" s="1981">
        <v>0</v>
      </c>
      <c r="N53" s="1981">
        <v>0</v>
      </c>
      <c r="O53" s="1981">
        <v>0</v>
      </c>
      <c r="P53" s="1981">
        <v>0</v>
      </c>
      <c r="Q53" s="1981">
        <v>0</v>
      </c>
      <c r="R53" s="1981">
        <v>0</v>
      </c>
      <c r="T53" s="48">
        <f t="shared" si="0"/>
        <v>0</v>
      </c>
      <c r="U53" s="48"/>
    </row>
    <row r="54" spans="2:21">
      <c r="B54" s="33" t="s">
        <v>7242</v>
      </c>
      <c r="C54" t="s">
        <v>8702</v>
      </c>
      <c r="D54" s="1962" t="s">
        <v>687</v>
      </c>
      <c r="E54" s="1962" t="s">
        <v>688</v>
      </c>
      <c r="F54" s="1981">
        <v>1565.8304599999999</v>
      </c>
      <c r="G54" s="1981">
        <v>1517.7128899999998</v>
      </c>
      <c r="H54" s="1981">
        <v>1526.7337299999999</v>
      </c>
      <c r="I54" s="1981">
        <v>1588.0121200000001</v>
      </c>
      <c r="J54" s="1981">
        <v>1658.9896000000001</v>
      </c>
      <c r="K54" s="1981">
        <v>1780.85474</v>
      </c>
      <c r="L54" s="1981">
        <v>1835.1829700000001</v>
      </c>
      <c r="M54" s="1981">
        <v>1831.8757700000001</v>
      </c>
      <c r="N54" s="1981">
        <v>1837.9595200000001</v>
      </c>
      <c r="O54" s="1981">
        <v>1762.6875500000001</v>
      </c>
      <c r="P54" s="1981">
        <v>1636.70497</v>
      </c>
      <c r="Q54" s="1981">
        <v>1571.4395099999999</v>
      </c>
      <c r="R54" s="1981">
        <v>20113.983830000001</v>
      </c>
      <c r="T54" s="48">
        <f t="shared" si="0"/>
        <v>0</v>
      </c>
      <c r="U54" s="48"/>
    </row>
    <row r="55" spans="2:21">
      <c r="B55" s="33" t="s">
        <v>7243</v>
      </c>
      <c r="C55" t="s">
        <v>8702</v>
      </c>
      <c r="D55" s="1962" t="s">
        <v>689</v>
      </c>
      <c r="E55" s="1962" t="s">
        <v>690</v>
      </c>
      <c r="F55" s="1981">
        <v>1443.547</v>
      </c>
      <c r="G55" s="1981">
        <v>1415.0139999999999</v>
      </c>
      <c r="H55" s="1981">
        <v>1419.28</v>
      </c>
      <c r="I55" s="1981">
        <v>1477.0630000000001</v>
      </c>
      <c r="J55" s="1981">
        <v>1544.4290000000001</v>
      </c>
      <c r="K55" s="1981">
        <v>1652.7729999999999</v>
      </c>
      <c r="L55" s="1981">
        <v>1701.921</v>
      </c>
      <c r="M55" s="1981">
        <v>1695.4870000000001</v>
      </c>
      <c r="N55" s="1981">
        <v>1684.172</v>
      </c>
      <c r="O55" s="1981">
        <v>1637.162</v>
      </c>
      <c r="P55" s="1981">
        <v>1509.2239999999999</v>
      </c>
      <c r="Q55" s="1981">
        <v>1448.213</v>
      </c>
      <c r="R55" s="1981">
        <v>18628.285</v>
      </c>
      <c r="T55" s="48">
        <f t="shared" si="0"/>
        <v>0</v>
      </c>
      <c r="U55" s="48"/>
    </row>
    <row r="56" spans="2:21">
      <c r="B56" s="33" t="s">
        <v>7244</v>
      </c>
      <c r="C56" t="s">
        <v>2360</v>
      </c>
      <c r="D56" s="1962" t="s">
        <v>691</v>
      </c>
      <c r="E56" s="1962" t="s">
        <v>692</v>
      </c>
      <c r="F56" s="1981">
        <v>0</v>
      </c>
      <c r="G56" s="1981">
        <v>0</v>
      </c>
      <c r="H56" s="1981">
        <v>0</v>
      </c>
      <c r="I56" s="1981">
        <v>0</v>
      </c>
      <c r="J56" s="1981">
        <v>0</v>
      </c>
      <c r="K56" s="1981">
        <v>0</v>
      </c>
      <c r="L56" s="1981">
        <v>0</v>
      </c>
      <c r="M56" s="1981">
        <v>0</v>
      </c>
      <c r="N56" s="1981">
        <v>0</v>
      </c>
      <c r="O56" s="1981">
        <v>0</v>
      </c>
      <c r="P56" s="1981">
        <v>0</v>
      </c>
      <c r="Q56" s="1981">
        <v>0</v>
      </c>
      <c r="R56" s="1981">
        <v>0</v>
      </c>
      <c r="T56" s="48">
        <f t="shared" si="0"/>
        <v>0</v>
      </c>
      <c r="U56" s="48"/>
    </row>
    <row r="57" spans="2:21">
      <c r="B57" s="33" t="s">
        <v>7244</v>
      </c>
      <c r="C57" t="s">
        <v>2360</v>
      </c>
      <c r="D57" s="1962" t="s">
        <v>691</v>
      </c>
      <c r="E57" s="1962" t="s">
        <v>693</v>
      </c>
      <c r="F57" s="1981">
        <v>0</v>
      </c>
      <c r="G57" s="1981">
        <v>0</v>
      </c>
      <c r="H57" s="1981">
        <v>0</v>
      </c>
      <c r="I57" s="1981">
        <v>0</v>
      </c>
      <c r="J57" s="1981">
        <v>0</v>
      </c>
      <c r="K57" s="1981">
        <v>0</v>
      </c>
      <c r="L57" s="1981">
        <v>0</v>
      </c>
      <c r="M57" s="1981">
        <v>0</v>
      </c>
      <c r="N57" s="1981">
        <v>0</v>
      </c>
      <c r="O57" s="1981">
        <v>0</v>
      </c>
      <c r="P57" s="1981">
        <v>0</v>
      </c>
      <c r="Q57" s="1981">
        <v>0</v>
      </c>
      <c r="R57" s="1981">
        <v>0</v>
      </c>
      <c r="T57" s="48">
        <f t="shared" si="0"/>
        <v>0</v>
      </c>
      <c r="U57" s="48"/>
    </row>
    <row r="58" spans="2:21">
      <c r="B58" s="33" t="s">
        <v>7245</v>
      </c>
      <c r="C58" t="s">
        <v>2360</v>
      </c>
      <c r="D58" s="1962" t="s">
        <v>694</v>
      </c>
      <c r="E58" s="1962" t="s">
        <v>695</v>
      </c>
      <c r="F58" s="1981">
        <v>0</v>
      </c>
      <c r="G58" s="1981">
        <v>0</v>
      </c>
      <c r="H58" s="1981">
        <v>0</v>
      </c>
      <c r="I58" s="1981">
        <v>0</v>
      </c>
      <c r="J58" s="1981">
        <v>0</v>
      </c>
      <c r="K58" s="1981">
        <v>0</v>
      </c>
      <c r="L58" s="1981">
        <v>0</v>
      </c>
      <c r="M58" s="1981">
        <v>0</v>
      </c>
      <c r="N58" s="1981">
        <v>0</v>
      </c>
      <c r="O58" s="1981">
        <v>0</v>
      </c>
      <c r="P58" s="1981">
        <v>0</v>
      </c>
      <c r="Q58" s="1981">
        <v>0</v>
      </c>
      <c r="R58" s="1981">
        <v>0</v>
      </c>
      <c r="T58" s="48">
        <f t="shared" si="0"/>
        <v>0</v>
      </c>
      <c r="U58" s="48"/>
    </row>
    <row r="59" spans="2:21">
      <c r="B59" s="33" t="s">
        <v>7246</v>
      </c>
      <c r="C59" t="s">
        <v>2360</v>
      </c>
      <c r="D59" s="1962" t="s">
        <v>696</v>
      </c>
      <c r="E59" s="1962" t="s">
        <v>697</v>
      </c>
      <c r="F59" s="1981">
        <v>0</v>
      </c>
      <c r="G59" s="1981">
        <v>0</v>
      </c>
      <c r="H59" s="1981">
        <v>0</v>
      </c>
      <c r="I59" s="1981">
        <v>0</v>
      </c>
      <c r="J59" s="1981">
        <v>0</v>
      </c>
      <c r="K59" s="1981">
        <v>0</v>
      </c>
      <c r="L59" s="1981">
        <v>0</v>
      </c>
      <c r="M59" s="1981">
        <v>0</v>
      </c>
      <c r="N59" s="1981">
        <v>0</v>
      </c>
      <c r="O59" s="1981">
        <v>0</v>
      </c>
      <c r="P59" s="1981">
        <v>0</v>
      </c>
      <c r="Q59" s="1981">
        <v>0</v>
      </c>
      <c r="R59" s="1981">
        <v>0</v>
      </c>
      <c r="T59" s="48">
        <f t="shared" si="0"/>
        <v>0</v>
      </c>
      <c r="U59" s="48"/>
    </row>
    <row r="60" spans="2:21">
      <c r="B60" s="33" t="s">
        <v>7247</v>
      </c>
      <c r="C60" t="s">
        <v>2360</v>
      </c>
      <c r="D60" s="1962" t="s">
        <v>698</v>
      </c>
      <c r="E60" s="1962" t="s">
        <v>699</v>
      </c>
      <c r="F60" s="1981">
        <v>0</v>
      </c>
      <c r="G60" s="1981">
        <v>0</v>
      </c>
      <c r="H60" s="1981">
        <v>0</v>
      </c>
      <c r="I60" s="1981">
        <v>0</v>
      </c>
      <c r="J60" s="1981">
        <v>0</v>
      </c>
      <c r="K60" s="1981">
        <v>0</v>
      </c>
      <c r="L60" s="1981">
        <v>0</v>
      </c>
      <c r="M60" s="1981">
        <v>0</v>
      </c>
      <c r="N60" s="1981">
        <v>0</v>
      </c>
      <c r="O60" s="1981">
        <v>0</v>
      </c>
      <c r="P60" s="1981">
        <v>0</v>
      </c>
      <c r="Q60" s="1981">
        <v>0</v>
      </c>
      <c r="R60" s="1981">
        <v>0</v>
      </c>
      <c r="T60" s="48">
        <f t="shared" si="0"/>
        <v>0</v>
      </c>
      <c r="U60" s="48"/>
    </row>
    <row r="61" spans="2:21">
      <c r="B61" s="33" t="s">
        <v>7248</v>
      </c>
      <c r="C61" t="s">
        <v>2360</v>
      </c>
      <c r="D61" s="1962" t="s">
        <v>700</v>
      </c>
      <c r="E61" s="1962" t="s">
        <v>701</v>
      </c>
      <c r="F61" s="1981">
        <v>0</v>
      </c>
      <c r="G61" s="1981">
        <v>0</v>
      </c>
      <c r="H61" s="1981">
        <v>0</v>
      </c>
      <c r="I61" s="1981">
        <v>0</v>
      </c>
      <c r="J61" s="1981">
        <v>0</v>
      </c>
      <c r="K61" s="1981">
        <v>0</v>
      </c>
      <c r="L61" s="1981">
        <v>0</v>
      </c>
      <c r="M61" s="1981">
        <v>0</v>
      </c>
      <c r="N61" s="1981">
        <v>0</v>
      </c>
      <c r="O61" s="1981">
        <v>0</v>
      </c>
      <c r="P61" s="1981">
        <v>0</v>
      </c>
      <c r="Q61" s="1981">
        <v>0</v>
      </c>
      <c r="R61" s="1981">
        <v>0</v>
      </c>
      <c r="T61" s="48">
        <f t="shared" si="0"/>
        <v>0</v>
      </c>
      <c r="U61" s="48"/>
    </row>
    <row r="62" spans="2:21">
      <c r="B62" s="33" t="s">
        <v>7249</v>
      </c>
      <c r="C62" t="s">
        <v>2360</v>
      </c>
      <c r="D62" s="1962" t="s">
        <v>702</v>
      </c>
      <c r="E62" s="1962" t="s">
        <v>703</v>
      </c>
      <c r="F62" s="1981">
        <v>0</v>
      </c>
      <c r="G62" s="1981">
        <v>0</v>
      </c>
      <c r="H62" s="1981">
        <v>0</v>
      </c>
      <c r="I62" s="1981">
        <v>0</v>
      </c>
      <c r="J62" s="1981">
        <v>0</v>
      </c>
      <c r="K62" s="1981">
        <v>0</v>
      </c>
      <c r="L62" s="1981">
        <v>0</v>
      </c>
      <c r="M62" s="1981">
        <v>0</v>
      </c>
      <c r="N62" s="1981">
        <v>0</v>
      </c>
      <c r="O62" s="1981">
        <v>0</v>
      </c>
      <c r="P62" s="1981">
        <v>0</v>
      </c>
      <c r="Q62" s="1981">
        <v>0</v>
      </c>
      <c r="R62" s="1981">
        <v>0</v>
      </c>
      <c r="T62" s="48">
        <f t="shared" si="0"/>
        <v>0</v>
      </c>
      <c r="U62" s="48"/>
    </row>
    <row r="63" spans="2:21">
      <c r="B63" s="33" t="s">
        <v>7250</v>
      </c>
      <c r="C63" t="s">
        <v>2360</v>
      </c>
      <c r="D63" s="1962" t="s">
        <v>704</v>
      </c>
      <c r="E63" s="1962" t="s">
        <v>2298</v>
      </c>
      <c r="F63" s="1981">
        <v>0</v>
      </c>
      <c r="G63" s="1981">
        <v>0</v>
      </c>
      <c r="H63" s="1981">
        <v>0</v>
      </c>
      <c r="I63" s="1981">
        <v>0</v>
      </c>
      <c r="J63" s="1981">
        <v>0</v>
      </c>
      <c r="K63" s="1981">
        <v>0</v>
      </c>
      <c r="L63" s="1981">
        <v>0</v>
      </c>
      <c r="M63" s="1981">
        <v>0</v>
      </c>
      <c r="N63" s="1981">
        <v>0</v>
      </c>
      <c r="O63" s="1981">
        <v>0</v>
      </c>
      <c r="P63" s="1981">
        <v>0</v>
      </c>
      <c r="Q63" s="1981">
        <v>0</v>
      </c>
      <c r="R63" s="1981">
        <v>0</v>
      </c>
      <c r="T63" s="48">
        <f t="shared" si="0"/>
        <v>0</v>
      </c>
      <c r="U63" s="48"/>
    </row>
    <row r="64" spans="2:21">
      <c r="B64" s="33" t="s">
        <v>7251</v>
      </c>
      <c r="C64" t="s">
        <v>8702</v>
      </c>
      <c r="D64" s="1962" t="s">
        <v>705</v>
      </c>
      <c r="E64" s="1962" t="s">
        <v>706</v>
      </c>
      <c r="F64" s="1981">
        <v>1732.134</v>
      </c>
      <c r="G64" s="1981">
        <v>1755.9169999999999</v>
      </c>
      <c r="H64" s="1981">
        <v>1804.6890000000001</v>
      </c>
      <c r="I64" s="1981">
        <v>1763.3240000000001</v>
      </c>
      <c r="J64" s="1981">
        <v>1709.703</v>
      </c>
      <c r="K64" s="1981">
        <v>1658.8979999999999</v>
      </c>
      <c r="L64" s="1981">
        <v>1764.953</v>
      </c>
      <c r="M64" s="1981">
        <v>1752.17</v>
      </c>
      <c r="N64" s="1981">
        <v>1684.5119999999999</v>
      </c>
      <c r="O64" s="1981">
        <v>1740.848</v>
      </c>
      <c r="P64" s="1981">
        <v>1775.338</v>
      </c>
      <c r="Q64" s="1981">
        <v>1747.27</v>
      </c>
      <c r="R64" s="1981">
        <v>20889.756000000001</v>
      </c>
      <c r="T64" s="48">
        <f t="shared" si="0"/>
        <v>0</v>
      </c>
      <c r="U64" s="48"/>
    </row>
    <row r="65" spans="2:21">
      <c r="B65" s="33" t="s">
        <v>7252</v>
      </c>
      <c r="C65" t="s">
        <v>8702</v>
      </c>
      <c r="D65" s="1962" t="s">
        <v>707</v>
      </c>
      <c r="E65" s="1962" t="s">
        <v>708</v>
      </c>
      <c r="F65" s="1981">
        <v>1852.136</v>
      </c>
      <c r="G65" s="1981">
        <v>1673.058</v>
      </c>
      <c r="H65" s="1981">
        <v>1852.4459999999999</v>
      </c>
      <c r="I65" s="1981">
        <v>1793.104</v>
      </c>
      <c r="J65" s="1981">
        <v>1852.558</v>
      </c>
      <c r="K65" s="1981">
        <v>1793.258</v>
      </c>
      <c r="L65" s="1981">
        <v>1852.9369999999999</v>
      </c>
      <c r="M65" s="1981">
        <v>1852.9010000000001</v>
      </c>
      <c r="N65" s="1981">
        <v>1792.7829999999999</v>
      </c>
      <c r="O65" s="1981">
        <v>1852.789</v>
      </c>
      <c r="P65" s="1981">
        <v>1792.444</v>
      </c>
      <c r="Q65" s="1981">
        <v>1852.4559999999999</v>
      </c>
      <c r="R65" s="1981">
        <v>21812.869999999995</v>
      </c>
      <c r="T65" s="48">
        <f t="shared" si="0"/>
        <v>0</v>
      </c>
      <c r="U65" s="48"/>
    </row>
    <row r="66" spans="2:21">
      <c r="B66" s="33" t="s">
        <v>7253</v>
      </c>
      <c r="C66" t="s">
        <v>8702</v>
      </c>
      <c r="D66" s="1962" t="s">
        <v>709</v>
      </c>
      <c r="E66" s="1962" t="s">
        <v>710</v>
      </c>
      <c r="F66" s="1981">
        <v>6.9119999999999999</v>
      </c>
      <c r="G66" s="1981">
        <v>7.2489999999999997</v>
      </c>
      <c r="H66" s="1981">
        <v>7.1719999999999997</v>
      </c>
      <c r="I66" s="1981">
        <v>7.14</v>
      </c>
      <c r="J66" s="1981">
        <v>6.6749999999999998</v>
      </c>
      <c r="K66" s="1981">
        <v>6.7380000000000004</v>
      </c>
      <c r="L66" s="1981">
        <v>7.0419999999999998</v>
      </c>
      <c r="M66" s="1981">
        <v>6.9080000000000004</v>
      </c>
      <c r="N66" s="1981">
        <v>6.7969999999999997</v>
      </c>
      <c r="O66" s="1981">
        <v>6.83</v>
      </c>
      <c r="P66" s="1981">
        <v>7.1139999999999999</v>
      </c>
      <c r="Q66" s="1981">
        <v>7.016</v>
      </c>
      <c r="R66" s="1981">
        <v>83.593000000000004</v>
      </c>
      <c r="T66" s="48">
        <f t="shared" si="0"/>
        <v>0</v>
      </c>
      <c r="U66" s="48"/>
    </row>
    <row r="67" spans="2:21">
      <c r="B67" s="33" t="s">
        <v>7254</v>
      </c>
      <c r="C67" t="s">
        <v>8702</v>
      </c>
      <c r="D67" s="1962" t="s">
        <v>711</v>
      </c>
      <c r="E67" s="1962" t="s">
        <v>712</v>
      </c>
      <c r="F67" s="1981">
        <v>109.617</v>
      </c>
      <c r="G67" s="1981">
        <v>114.962</v>
      </c>
      <c r="H67" s="1981">
        <v>113.733</v>
      </c>
      <c r="I67" s="1981">
        <v>113.229</v>
      </c>
      <c r="J67" s="1981">
        <v>105.872</v>
      </c>
      <c r="K67" s="1981">
        <v>106.861</v>
      </c>
      <c r="L67" s="1981">
        <v>111.68300000000001</v>
      </c>
      <c r="M67" s="1981">
        <v>109.562</v>
      </c>
      <c r="N67" s="1981">
        <v>107.797</v>
      </c>
      <c r="O67" s="1981">
        <v>108.321</v>
      </c>
      <c r="P67" s="1981">
        <v>112.81</v>
      </c>
      <c r="Q67" s="1981">
        <v>111.259</v>
      </c>
      <c r="R67" s="1981">
        <v>1325.7059999999999</v>
      </c>
      <c r="T67" s="48">
        <f t="shared" si="0"/>
        <v>0</v>
      </c>
      <c r="U67" s="48"/>
    </row>
    <row r="68" spans="2:21">
      <c r="B68" s="33" t="s">
        <v>7255</v>
      </c>
      <c r="C68" t="s">
        <v>8702</v>
      </c>
      <c r="D68" s="1962" t="s">
        <v>713</v>
      </c>
      <c r="E68" s="1962" t="s">
        <v>714</v>
      </c>
      <c r="F68" s="1981">
        <v>40.868000000000002</v>
      </c>
      <c r="G68" s="1981">
        <v>36.912999999999997</v>
      </c>
      <c r="H68" s="1981">
        <v>40.868000000000002</v>
      </c>
      <c r="I68" s="1981">
        <v>39.549999999999997</v>
      </c>
      <c r="J68" s="1981">
        <v>40.868000000000002</v>
      </c>
      <c r="K68" s="1981">
        <v>39.549999999999997</v>
      </c>
      <c r="L68" s="1981">
        <v>40.868000000000002</v>
      </c>
      <c r="M68" s="1981">
        <v>40.868000000000002</v>
      </c>
      <c r="N68" s="1981">
        <v>39.549999999999997</v>
      </c>
      <c r="O68" s="1981">
        <v>40.868000000000002</v>
      </c>
      <c r="P68" s="1981">
        <v>39.549999999999997</v>
      </c>
      <c r="Q68" s="1981">
        <v>40.868000000000002</v>
      </c>
      <c r="R68" s="1981">
        <v>481.18900000000002</v>
      </c>
      <c r="T68" s="48">
        <f t="shared" si="0"/>
        <v>0</v>
      </c>
      <c r="U68" s="48"/>
    </row>
    <row r="69" spans="2:21">
      <c r="B69" s="33" t="s">
        <v>7256</v>
      </c>
      <c r="C69" t="s">
        <v>8702</v>
      </c>
      <c r="D69" s="1962" t="s">
        <v>715</v>
      </c>
      <c r="E69" s="1962" t="s">
        <v>716</v>
      </c>
      <c r="F69" s="1981">
        <v>100.16678</v>
      </c>
      <c r="G69" s="1981">
        <v>96.904160000000005</v>
      </c>
      <c r="H69" s="1981">
        <v>102.49485</v>
      </c>
      <c r="I69" s="1981">
        <v>99.709740000000011</v>
      </c>
      <c r="J69" s="1981">
        <v>99.441999999999993</v>
      </c>
      <c r="K69" s="1981">
        <v>95.840869999999995</v>
      </c>
      <c r="L69" s="1981">
        <v>101.01709</v>
      </c>
      <c r="M69" s="1981">
        <v>100.69746000000001</v>
      </c>
      <c r="N69" s="1981">
        <v>97.003100000000003</v>
      </c>
      <c r="O69" s="1981">
        <v>100.37147999999999</v>
      </c>
      <c r="P69" s="1981">
        <v>100.34423</v>
      </c>
      <c r="Q69" s="1981">
        <v>100.43583</v>
      </c>
      <c r="R69" s="1981">
        <v>1194.4275899999998</v>
      </c>
      <c r="T69" s="48">
        <f t="shared" ref="T69:T132" si="1">IF(R69="","",+R69-SUM(F69:Q69))</f>
        <v>0</v>
      </c>
      <c r="U69" s="48"/>
    </row>
    <row r="70" spans="2:21">
      <c r="B70" s="33" t="s">
        <v>7257</v>
      </c>
      <c r="C70" t="s">
        <v>2360</v>
      </c>
      <c r="D70" s="1962" t="s">
        <v>717</v>
      </c>
      <c r="E70" s="1962" t="s">
        <v>718</v>
      </c>
      <c r="F70" s="1981">
        <v>0</v>
      </c>
      <c r="G70" s="1981">
        <v>0</v>
      </c>
      <c r="H70" s="1981">
        <v>0</v>
      </c>
      <c r="I70" s="1981">
        <v>0</v>
      </c>
      <c r="J70" s="1981">
        <v>0</v>
      </c>
      <c r="K70" s="1981">
        <v>0</v>
      </c>
      <c r="L70" s="1981">
        <v>0</v>
      </c>
      <c r="M70" s="1981">
        <v>0</v>
      </c>
      <c r="N70" s="1981">
        <v>0</v>
      </c>
      <c r="O70" s="1981">
        <v>0</v>
      </c>
      <c r="P70" s="1981">
        <v>0</v>
      </c>
      <c r="Q70" s="1981">
        <v>0</v>
      </c>
      <c r="R70" s="1981">
        <v>0</v>
      </c>
      <c r="T70" s="48">
        <f t="shared" si="1"/>
        <v>0</v>
      </c>
      <c r="U70" s="48"/>
    </row>
    <row r="71" spans="2:21">
      <c r="B71" s="33" t="s">
        <v>7258</v>
      </c>
      <c r="C71" t="s">
        <v>8702</v>
      </c>
      <c r="D71" s="1962" t="s">
        <v>719</v>
      </c>
      <c r="E71" s="1962" t="s">
        <v>720</v>
      </c>
      <c r="F71" s="1981">
        <v>31.27525</v>
      </c>
      <c r="G71" s="1981">
        <v>36.403309999999998</v>
      </c>
      <c r="H71" s="1981">
        <v>33.793730000000004</v>
      </c>
      <c r="I71" s="1981">
        <v>32.733290000000004</v>
      </c>
      <c r="J71" s="1981">
        <v>31.09648</v>
      </c>
      <c r="K71" s="1981">
        <v>24.91459</v>
      </c>
      <c r="L71" s="1981">
        <v>30.615669999999998</v>
      </c>
      <c r="M71" s="1981">
        <v>31.200209999999998</v>
      </c>
      <c r="N71" s="1981">
        <v>28.87228</v>
      </c>
      <c r="O71" s="1981">
        <v>31.307700000000001</v>
      </c>
      <c r="P71" s="1981">
        <v>35.450129999999994</v>
      </c>
      <c r="Q71" s="1981">
        <v>29.809470000000001</v>
      </c>
      <c r="R71" s="1981">
        <v>377.47211000000004</v>
      </c>
      <c r="T71" s="48">
        <f t="shared" si="1"/>
        <v>0</v>
      </c>
      <c r="U71" s="48"/>
    </row>
    <row r="72" spans="2:21">
      <c r="B72" s="33" t="s">
        <v>7259</v>
      </c>
      <c r="C72" t="s">
        <v>8702</v>
      </c>
      <c r="D72" s="1962" t="s">
        <v>721</v>
      </c>
      <c r="E72" s="1962" t="s">
        <v>722</v>
      </c>
      <c r="F72" s="1981">
        <v>133.566</v>
      </c>
      <c r="G72" s="1981">
        <v>154.76300000000001</v>
      </c>
      <c r="H72" s="1981">
        <v>144.601</v>
      </c>
      <c r="I72" s="1981">
        <v>139.60400000000001</v>
      </c>
      <c r="J72" s="1981">
        <v>131.46899999999999</v>
      </c>
      <c r="K72" s="1981">
        <v>107.578</v>
      </c>
      <c r="L72" s="1981">
        <v>131.572</v>
      </c>
      <c r="M72" s="1981">
        <v>133.596</v>
      </c>
      <c r="N72" s="1981">
        <v>122.81399999999999</v>
      </c>
      <c r="O72" s="1981">
        <v>133.52799999999999</v>
      </c>
      <c r="P72" s="1981">
        <v>150.72399999999999</v>
      </c>
      <c r="Q72" s="1981">
        <v>128.32300000000001</v>
      </c>
      <c r="R72" s="1981">
        <v>1612.1379999999999</v>
      </c>
      <c r="T72" s="48">
        <f t="shared" si="1"/>
        <v>0</v>
      </c>
      <c r="U72" s="48"/>
    </row>
    <row r="73" spans="2:21">
      <c r="B73" s="33" t="s">
        <v>7260</v>
      </c>
      <c r="C73" t="s">
        <v>2360</v>
      </c>
      <c r="D73" s="1962" t="s">
        <v>723</v>
      </c>
      <c r="E73" s="1962" t="s">
        <v>724</v>
      </c>
      <c r="F73" s="1981">
        <v>0</v>
      </c>
      <c r="G73" s="1981">
        <v>0</v>
      </c>
      <c r="H73" s="1981">
        <v>0</v>
      </c>
      <c r="I73" s="1981">
        <v>0</v>
      </c>
      <c r="J73" s="1981">
        <v>0</v>
      </c>
      <c r="K73" s="1981">
        <v>0</v>
      </c>
      <c r="L73" s="1981">
        <v>0</v>
      </c>
      <c r="M73" s="1981">
        <v>0</v>
      </c>
      <c r="N73" s="1981">
        <v>0</v>
      </c>
      <c r="O73" s="1981">
        <v>0</v>
      </c>
      <c r="P73" s="1981">
        <v>0</v>
      </c>
      <c r="Q73" s="1981">
        <v>0</v>
      </c>
      <c r="R73" s="1981">
        <v>0</v>
      </c>
      <c r="T73" s="48">
        <f t="shared" si="1"/>
        <v>0</v>
      </c>
      <c r="U73" s="48"/>
    </row>
    <row r="74" spans="2:21">
      <c r="B74" s="33" t="s">
        <v>7261</v>
      </c>
      <c r="C74" t="s">
        <v>2360</v>
      </c>
      <c r="D74" s="1962" t="s">
        <v>725</v>
      </c>
      <c r="E74" s="1962" t="s">
        <v>726</v>
      </c>
      <c r="F74" s="1981">
        <v>0</v>
      </c>
      <c r="G74" s="1981">
        <v>0</v>
      </c>
      <c r="H74" s="1981">
        <v>0</v>
      </c>
      <c r="I74" s="1981">
        <v>0</v>
      </c>
      <c r="J74" s="1981">
        <v>0</v>
      </c>
      <c r="K74" s="1981">
        <v>0</v>
      </c>
      <c r="L74" s="1981">
        <v>0</v>
      </c>
      <c r="M74" s="1981">
        <v>0</v>
      </c>
      <c r="N74" s="1981">
        <v>0</v>
      </c>
      <c r="O74" s="1981">
        <v>0</v>
      </c>
      <c r="P74" s="1981">
        <v>0</v>
      </c>
      <c r="Q74" s="1981">
        <v>0</v>
      </c>
      <c r="R74" s="1981">
        <v>0</v>
      </c>
      <c r="T74" s="48">
        <f t="shared" si="1"/>
        <v>0</v>
      </c>
      <c r="U74" s="48"/>
    </row>
    <row r="75" spans="2:21">
      <c r="B75" s="33" t="s">
        <v>7262</v>
      </c>
      <c r="C75" t="s">
        <v>2360</v>
      </c>
      <c r="D75" s="1962" t="s">
        <v>727</v>
      </c>
      <c r="E75" s="1962" t="s">
        <v>728</v>
      </c>
      <c r="F75" s="1981">
        <v>0</v>
      </c>
      <c r="G75" s="1981">
        <v>0</v>
      </c>
      <c r="H75" s="1981">
        <v>0</v>
      </c>
      <c r="I75" s="1981">
        <v>0</v>
      </c>
      <c r="J75" s="1981">
        <v>0</v>
      </c>
      <c r="K75" s="1981">
        <v>0</v>
      </c>
      <c r="L75" s="1981">
        <v>0</v>
      </c>
      <c r="M75" s="1981">
        <v>0</v>
      </c>
      <c r="N75" s="1981">
        <v>0</v>
      </c>
      <c r="O75" s="1981">
        <v>0</v>
      </c>
      <c r="P75" s="1981">
        <v>0</v>
      </c>
      <c r="Q75" s="1981">
        <v>0</v>
      </c>
      <c r="R75" s="1981">
        <v>0</v>
      </c>
      <c r="T75" s="48">
        <f t="shared" si="1"/>
        <v>0</v>
      </c>
      <c r="U75" s="48"/>
    </row>
    <row r="76" spans="2:21">
      <c r="B76" s="33" t="s">
        <v>7263</v>
      </c>
      <c r="C76" t="s">
        <v>2360</v>
      </c>
      <c r="D76" s="1962" t="s">
        <v>729</v>
      </c>
      <c r="E76" s="1962" t="s">
        <v>730</v>
      </c>
      <c r="F76" s="1981">
        <v>0</v>
      </c>
      <c r="G76" s="1981">
        <v>0</v>
      </c>
      <c r="H76" s="1981">
        <v>0</v>
      </c>
      <c r="I76" s="1981">
        <v>0</v>
      </c>
      <c r="J76" s="1981">
        <v>0</v>
      </c>
      <c r="K76" s="1981">
        <v>0</v>
      </c>
      <c r="L76" s="1981">
        <v>0</v>
      </c>
      <c r="M76" s="1981">
        <v>0</v>
      </c>
      <c r="N76" s="1981">
        <v>0</v>
      </c>
      <c r="O76" s="1981">
        <v>0</v>
      </c>
      <c r="P76" s="1981">
        <v>0</v>
      </c>
      <c r="Q76" s="1981">
        <v>0</v>
      </c>
      <c r="R76" s="1981">
        <v>0</v>
      </c>
      <c r="T76" s="48">
        <f t="shared" si="1"/>
        <v>0</v>
      </c>
      <c r="U76" s="48"/>
    </row>
    <row r="77" spans="2:21">
      <c r="B77" s="33" t="s">
        <v>7264</v>
      </c>
      <c r="C77" t="s">
        <v>2360</v>
      </c>
      <c r="D77" s="1962" t="s">
        <v>731</v>
      </c>
      <c r="E77" s="1962" t="s">
        <v>732</v>
      </c>
      <c r="F77" s="1981">
        <v>0</v>
      </c>
      <c r="G77" s="1981">
        <v>0</v>
      </c>
      <c r="H77" s="1981">
        <v>0</v>
      </c>
      <c r="I77" s="1981">
        <v>0</v>
      </c>
      <c r="J77" s="1981">
        <v>0</v>
      </c>
      <c r="K77" s="1981">
        <v>0</v>
      </c>
      <c r="L77" s="1981">
        <v>0</v>
      </c>
      <c r="M77" s="1981">
        <v>0</v>
      </c>
      <c r="N77" s="1981">
        <v>0</v>
      </c>
      <c r="O77" s="1981">
        <v>0</v>
      </c>
      <c r="P77" s="1981">
        <v>0</v>
      </c>
      <c r="Q77" s="1981">
        <v>0</v>
      </c>
      <c r="R77" s="1981">
        <v>0</v>
      </c>
      <c r="T77" s="48">
        <f t="shared" si="1"/>
        <v>0</v>
      </c>
      <c r="U77" s="48"/>
    </row>
    <row r="78" spans="2:21">
      <c r="B78" s="33" t="s">
        <v>7265</v>
      </c>
      <c r="C78" t="s">
        <v>2360</v>
      </c>
      <c r="D78" s="1962" t="s">
        <v>733</v>
      </c>
      <c r="E78" s="1962" t="s">
        <v>734</v>
      </c>
      <c r="F78" s="1981">
        <v>0</v>
      </c>
      <c r="G78" s="1981">
        <v>0</v>
      </c>
      <c r="H78" s="1981">
        <v>0</v>
      </c>
      <c r="I78" s="1981">
        <v>0</v>
      </c>
      <c r="J78" s="1981">
        <v>0</v>
      </c>
      <c r="K78" s="1981">
        <v>0</v>
      </c>
      <c r="L78" s="1981">
        <v>0</v>
      </c>
      <c r="M78" s="1981">
        <v>0</v>
      </c>
      <c r="N78" s="1981">
        <v>0</v>
      </c>
      <c r="O78" s="1981">
        <v>0</v>
      </c>
      <c r="P78" s="1981">
        <v>0</v>
      </c>
      <c r="Q78" s="1981">
        <v>0</v>
      </c>
      <c r="R78" s="1981">
        <v>0</v>
      </c>
      <c r="T78" s="48">
        <f t="shared" si="1"/>
        <v>0</v>
      </c>
      <c r="U78" s="48"/>
    </row>
    <row r="79" spans="2:21">
      <c r="B79" s="33" t="s">
        <v>7266</v>
      </c>
      <c r="C79" t="s">
        <v>2360</v>
      </c>
      <c r="D79" s="1962" t="s">
        <v>735</v>
      </c>
      <c r="E79" s="1962" t="s">
        <v>736</v>
      </c>
      <c r="F79" s="1981">
        <v>0</v>
      </c>
      <c r="G79" s="1981">
        <v>0</v>
      </c>
      <c r="H79" s="1981">
        <v>0</v>
      </c>
      <c r="I79" s="1981">
        <v>0</v>
      </c>
      <c r="J79" s="1981">
        <v>0</v>
      </c>
      <c r="K79" s="1981">
        <v>0</v>
      </c>
      <c r="L79" s="1981">
        <v>0</v>
      </c>
      <c r="M79" s="1981">
        <v>0</v>
      </c>
      <c r="N79" s="1981">
        <v>0</v>
      </c>
      <c r="O79" s="1981">
        <v>0</v>
      </c>
      <c r="P79" s="1981">
        <v>0</v>
      </c>
      <c r="Q79" s="1981">
        <v>0</v>
      </c>
      <c r="R79" s="1981">
        <v>0</v>
      </c>
      <c r="T79" s="48">
        <f t="shared" si="1"/>
        <v>0</v>
      </c>
      <c r="U79" s="48"/>
    </row>
    <row r="80" spans="2:21">
      <c r="B80" s="33" t="s">
        <v>7267</v>
      </c>
      <c r="C80" t="s">
        <v>2360</v>
      </c>
      <c r="D80" s="1962" t="s">
        <v>737</v>
      </c>
      <c r="E80" s="1962" t="s">
        <v>738</v>
      </c>
      <c r="F80" s="1981">
        <v>0</v>
      </c>
      <c r="G80" s="1981">
        <v>0</v>
      </c>
      <c r="H80" s="1981">
        <v>0</v>
      </c>
      <c r="I80" s="1981">
        <v>0</v>
      </c>
      <c r="J80" s="1981">
        <v>0</v>
      </c>
      <c r="K80" s="1981">
        <v>0</v>
      </c>
      <c r="L80" s="1981">
        <v>0</v>
      </c>
      <c r="M80" s="1981">
        <v>0</v>
      </c>
      <c r="N80" s="1981">
        <v>0</v>
      </c>
      <c r="O80" s="1981">
        <v>0</v>
      </c>
      <c r="P80" s="1981">
        <v>0</v>
      </c>
      <c r="Q80" s="1981">
        <v>0</v>
      </c>
      <c r="R80" s="1981">
        <v>0</v>
      </c>
      <c r="T80" s="48">
        <f t="shared" si="1"/>
        <v>0</v>
      </c>
      <c r="U80" s="48"/>
    </row>
    <row r="81" spans="2:21">
      <c r="B81" s="33" t="s">
        <v>7268</v>
      </c>
      <c r="C81" t="s">
        <v>2360</v>
      </c>
      <c r="D81" s="1962" t="s">
        <v>739</v>
      </c>
      <c r="E81" s="1962" t="s">
        <v>740</v>
      </c>
      <c r="F81" s="1981">
        <v>0</v>
      </c>
      <c r="G81" s="1981">
        <v>0</v>
      </c>
      <c r="H81" s="1981">
        <v>0</v>
      </c>
      <c r="I81" s="1981">
        <v>0</v>
      </c>
      <c r="J81" s="1981">
        <v>0</v>
      </c>
      <c r="K81" s="1981">
        <v>0</v>
      </c>
      <c r="L81" s="1981">
        <v>0</v>
      </c>
      <c r="M81" s="1981">
        <v>0</v>
      </c>
      <c r="N81" s="1981">
        <v>0</v>
      </c>
      <c r="O81" s="1981">
        <v>0</v>
      </c>
      <c r="P81" s="1981">
        <v>0</v>
      </c>
      <c r="Q81" s="1981">
        <v>0</v>
      </c>
      <c r="R81" s="1981">
        <v>0</v>
      </c>
      <c r="T81" s="48">
        <f t="shared" si="1"/>
        <v>0</v>
      </c>
      <c r="U81" s="48"/>
    </row>
    <row r="82" spans="2:21">
      <c r="B82" s="33" t="s">
        <v>7269</v>
      </c>
      <c r="C82" t="s">
        <v>8702</v>
      </c>
      <c r="D82" s="1962" t="s">
        <v>741</v>
      </c>
      <c r="E82" s="1962" t="s">
        <v>742</v>
      </c>
      <c r="F82" s="1981">
        <v>3769.5770000000002</v>
      </c>
      <c r="G82" s="1981">
        <v>3762.172</v>
      </c>
      <c r="H82" s="1981">
        <v>3864.5740000000001</v>
      </c>
      <c r="I82" s="1981">
        <v>4080.2930000000001</v>
      </c>
      <c r="J82" s="1981">
        <v>4195.6750000000002</v>
      </c>
      <c r="K82" s="1981">
        <v>4179.7240000000002</v>
      </c>
      <c r="L82" s="1981">
        <v>4207.1030000000001</v>
      </c>
      <c r="M82" s="1981">
        <v>4182.3980000000001</v>
      </c>
      <c r="N82" s="1981">
        <v>4113.0119999999997</v>
      </c>
      <c r="O82" s="1981">
        <v>4100.125</v>
      </c>
      <c r="P82" s="1981">
        <v>3879.692</v>
      </c>
      <c r="Q82" s="1981">
        <v>3833.047</v>
      </c>
      <c r="R82" s="1981">
        <v>48167.392</v>
      </c>
      <c r="T82" s="48">
        <f t="shared" si="1"/>
        <v>0</v>
      </c>
      <c r="U82" s="48"/>
    </row>
    <row r="83" spans="2:21">
      <c r="B83" s="33" t="s">
        <v>7270</v>
      </c>
      <c r="C83" t="s">
        <v>8702</v>
      </c>
      <c r="D83" s="1962" t="s">
        <v>743</v>
      </c>
      <c r="E83" s="1962" t="s">
        <v>744</v>
      </c>
      <c r="F83" s="1981">
        <v>3209.634</v>
      </c>
      <c r="G83" s="1981">
        <v>3081.82</v>
      </c>
      <c r="H83" s="1981">
        <v>3243.1619999999998</v>
      </c>
      <c r="I83" s="1981">
        <v>3431.0230000000001</v>
      </c>
      <c r="J83" s="1981">
        <v>3519.1260000000002</v>
      </c>
      <c r="K83" s="1981">
        <v>3532.3989999999999</v>
      </c>
      <c r="L83" s="1981">
        <v>3581.4229999999998</v>
      </c>
      <c r="M83" s="1981">
        <v>3534.9119999999998</v>
      </c>
      <c r="N83" s="1981">
        <v>3554.777</v>
      </c>
      <c r="O83" s="1981">
        <v>3402.7629999999999</v>
      </c>
      <c r="P83" s="1981">
        <v>3243.09</v>
      </c>
      <c r="Q83" s="1981">
        <v>3240.5509999999999</v>
      </c>
      <c r="R83" s="1981">
        <v>40574.68</v>
      </c>
      <c r="T83" s="48">
        <f t="shared" si="1"/>
        <v>0</v>
      </c>
      <c r="U83" s="48"/>
    </row>
    <row r="84" spans="2:21">
      <c r="B84" s="33" t="s">
        <v>7271</v>
      </c>
      <c r="C84" t="s">
        <v>8702</v>
      </c>
      <c r="D84" s="1962" t="s">
        <v>745</v>
      </c>
      <c r="E84" s="1962" t="s">
        <v>746</v>
      </c>
      <c r="F84" s="1981">
        <v>13.68</v>
      </c>
      <c r="G84" s="1981">
        <v>13.948</v>
      </c>
      <c r="H84" s="1981">
        <v>14.234</v>
      </c>
      <c r="I84" s="1981">
        <v>14.420999999999999</v>
      </c>
      <c r="J84" s="1981">
        <v>15.257</v>
      </c>
      <c r="K84" s="1981">
        <v>15.314</v>
      </c>
      <c r="L84" s="1981">
        <v>15.504</v>
      </c>
      <c r="M84" s="1981">
        <v>15.586</v>
      </c>
      <c r="N84" s="1981">
        <v>15.084</v>
      </c>
      <c r="O84" s="1981">
        <v>15.266</v>
      </c>
      <c r="P84" s="1981">
        <v>14.43</v>
      </c>
      <c r="Q84" s="1981">
        <v>14.134</v>
      </c>
      <c r="R84" s="1981">
        <v>176.858</v>
      </c>
      <c r="T84" s="48">
        <f t="shared" si="1"/>
        <v>0</v>
      </c>
      <c r="U84" s="48"/>
    </row>
    <row r="85" spans="2:21">
      <c r="B85" s="33" t="s">
        <v>7272</v>
      </c>
      <c r="C85" t="s">
        <v>8702</v>
      </c>
      <c r="D85" s="1962" t="s">
        <v>747</v>
      </c>
      <c r="E85" s="1962" t="s">
        <v>748</v>
      </c>
      <c r="F85" s="1981">
        <v>226.65799999999999</v>
      </c>
      <c r="G85" s="1981">
        <v>231.161</v>
      </c>
      <c r="H85" s="1981">
        <v>235.898</v>
      </c>
      <c r="I85" s="1981">
        <v>239.06399999999999</v>
      </c>
      <c r="J85" s="1981">
        <v>252.93</v>
      </c>
      <c r="K85" s="1981">
        <v>253.70099999999999</v>
      </c>
      <c r="L85" s="1981">
        <v>256.69900000000001</v>
      </c>
      <c r="M85" s="1981">
        <v>258.00400000000002</v>
      </c>
      <c r="N85" s="1981">
        <v>249.92699999999999</v>
      </c>
      <c r="O85" s="1981">
        <v>252.755</v>
      </c>
      <c r="P85" s="1981">
        <v>239.05</v>
      </c>
      <c r="Q85" s="1981">
        <v>234.3</v>
      </c>
      <c r="R85" s="1981">
        <v>2930.1470000000008</v>
      </c>
      <c r="T85" s="48">
        <f t="shared" si="1"/>
        <v>0</v>
      </c>
      <c r="U85" s="48"/>
    </row>
    <row r="86" spans="2:21">
      <c r="B86" s="33" t="s">
        <v>7273</v>
      </c>
      <c r="C86" t="s">
        <v>8702</v>
      </c>
      <c r="D86" s="1962" t="s">
        <v>749</v>
      </c>
      <c r="E86" s="1962" t="s">
        <v>750</v>
      </c>
      <c r="F86" s="1981">
        <v>73.492999999999995</v>
      </c>
      <c r="G86" s="1981">
        <v>70.680999999999997</v>
      </c>
      <c r="H86" s="1981">
        <v>74.19</v>
      </c>
      <c r="I86" s="1981">
        <v>78.554000000000002</v>
      </c>
      <c r="J86" s="1981">
        <v>80.611999999999995</v>
      </c>
      <c r="K86" s="1981">
        <v>81.09</v>
      </c>
      <c r="L86" s="1981">
        <v>82.212999999999994</v>
      </c>
      <c r="M86" s="1981">
        <v>81.143000000000001</v>
      </c>
      <c r="N86" s="1981">
        <v>81.712999999999994</v>
      </c>
      <c r="O86" s="1981">
        <v>78.061999999999998</v>
      </c>
      <c r="P86" s="1981">
        <v>74.466999999999999</v>
      </c>
      <c r="Q86" s="1981">
        <v>74.263999999999996</v>
      </c>
      <c r="R86" s="1981">
        <v>930.48199999999997</v>
      </c>
      <c r="T86" s="48">
        <f t="shared" si="1"/>
        <v>0</v>
      </c>
      <c r="U86" s="48"/>
    </row>
    <row r="87" spans="2:21">
      <c r="B87" s="33" t="s">
        <v>7274</v>
      </c>
      <c r="C87" t="s">
        <v>8702</v>
      </c>
      <c r="D87" s="1962" t="s">
        <v>751</v>
      </c>
      <c r="E87" s="1962" t="s">
        <v>752</v>
      </c>
      <c r="F87" s="1981">
        <v>321.09290999999996</v>
      </c>
      <c r="G87" s="1981">
        <v>315.65030999999999</v>
      </c>
      <c r="H87" s="1981">
        <v>327.26835999999997</v>
      </c>
      <c r="I87" s="1981">
        <v>345.03121000000004</v>
      </c>
      <c r="J87" s="1981">
        <v>355.49283000000003</v>
      </c>
      <c r="K87" s="1981">
        <v>355.55128999999999</v>
      </c>
      <c r="L87" s="1981">
        <v>359.12521999999996</v>
      </c>
      <c r="M87" s="1981">
        <v>356.19380000000001</v>
      </c>
      <c r="N87" s="1981">
        <v>353.33696000000003</v>
      </c>
      <c r="O87" s="1981">
        <v>346.37784000000005</v>
      </c>
      <c r="P87" s="1981">
        <v>328.77386000000001</v>
      </c>
      <c r="Q87" s="1981">
        <v>326.05721999999997</v>
      </c>
      <c r="R87" s="1981">
        <v>4089.95181</v>
      </c>
      <c r="T87" s="48">
        <f t="shared" si="1"/>
        <v>0</v>
      </c>
      <c r="U87" s="48"/>
    </row>
    <row r="88" spans="2:21">
      <c r="B88" s="33" t="s">
        <v>7275</v>
      </c>
      <c r="C88" t="s">
        <v>8702</v>
      </c>
      <c r="D88" s="1962" t="s">
        <v>753</v>
      </c>
      <c r="E88" s="1962" t="s">
        <v>754</v>
      </c>
      <c r="F88" s="1981">
        <v>195.42573999999999</v>
      </c>
      <c r="G88" s="1981">
        <v>192.01515000000001</v>
      </c>
      <c r="H88" s="1981">
        <v>199.09133</v>
      </c>
      <c r="I88" s="1981">
        <v>209.95948000000001</v>
      </c>
      <c r="J88" s="1981">
        <v>216.56551999999999</v>
      </c>
      <c r="K88" s="1981">
        <v>216.49273000000002</v>
      </c>
      <c r="L88" s="1981">
        <v>218.64365000000001</v>
      </c>
      <c r="M88" s="1981">
        <v>216.85960999999998</v>
      </c>
      <c r="N88" s="1981">
        <v>215.1251</v>
      </c>
      <c r="O88" s="1981">
        <v>210.89049</v>
      </c>
      <c r="P88" s="1981">
        <v>200.28729000000001</v>
      </c>
      <c r="Q88" s="1981">
        <v>198.56760999999997</v>
      </c>
      <c r="R88" s="1981">
        <v>2489.9237000000003</v>
      </c>
      <c r="T88" s="48">
        <f t="shared" si="1"/>
        <v>0</v>
      </c>
      <c r="U88" s="48"/>
    </row>
    <row r="89" spans="2:21">
      <c r="B89" s="33" t="s">
        <v>7276</v>
      </c>
      <c r="C89" t="s">
        <v>2360</v>
      </c>
      <c r="D89" s="1962" t="s">
        <v>755</v>
      </c>
      <c r="E89" s="1962" t="s">
        <v>756</v>
      </c>
      <c r="F89" s="1981">
        <v>0</v>
      </c>
      <c r="G89" s="1981">
        <v>0</v>
      </c>
      <c r="H89" s="1981">
        <v>0</v>
      </c>
      <c r="I89" s="1981">
        <v>0</v>
      </c>
      <c r="J89" s="1981">
        <v>0</v>
      </c>
      <c r="K89" s="1981">
        <v>0</v>
      </c>
      <c r="L89" s="1981">
        <v>0</v>
      </c>
      <c r="M89" s="1981">
        <v>0</v>
      </c>
      <c r="N89" s="1981">
        <v>0</v>
      </c>
      <c r="O89" s="1981">
        <v>0</v>
      </c>
      <c r="P89" s="1981">
        <v>0</v>
      </c>
      <c r="Q89" s="1981">
        <v>0</v>
      </c>
      <c r="R89" s="1981">
        <v>0</v>
      </c>
      <c r="T89" s="48">
        <f t="shared" si="1"/>
        <v>0</v>
      </c>
      <c r="U89" s="48"/>
    </row>
    <row r="90" spans="2:21">
      <c r="B90" s="33" t="s">
        <v>7277</v>
      </c>
      <c r="C90" t="s">
        <v>8702</v>
      </c>
      <c r="D90" s="1962" t="s">
        <v>757</v>
      </c>
      <c r="E90" s="1962" t="s">
        <v>758</v>
      </c>
      <c r="F90" s="1981">
        <v>166.77327</v>
      </c>
      <c r="G90" s="1981">
        <v>166.94344000000001</v>
      </c>
      <c r="H90" s="1981">
        <v>167.81712999999999</v>
      </c>
      <c r="I90" s="1981">
        <v>173.50285</v>
      </c>
      <c r="J90" s="1981">
        <v>188.86445999999998</v>
      </c>
      <c r="K90" s="1981">
        <v>188.87248000000002</v>
      </c>
      <c r="L90" s="1981">
        <v>190.19961999999998</v>
      </c>
      <c r="M90" s="1981">
        <v>190.63574</v>
      </c>
      <c r="N90" s="1981">
        <v>187.13285000000002</v>
      </c>
      <c r="O90" s="1981">
        <v>186.36339000000001</v>
      </c>
      <c r="P90" s="1981">
        <v>179.94560000000001</v>
      </c>
      <c r="Q90" s="1981">
        <v>174.68104</v>
      </c>
      <c r="R90" s="1981">
        <v>2161.7318700000001</v>
      </c>
      <c r="T90" s="48">
        <f t="shared" si="1"/>
        <v>0</v>
      </c>
      <c r="U90" s="48"/>
    </row>
    <row r="91" spans="2:21">
      <c r="B91" s="33" t="s">
        <v>7278</v>
      </c>
      <c r="C91" t="s">
        <v>8702</v>
      </c>
      <c r="D91" s="1962" t="s">
        <v>759</v>
      </c>
      <c r="E91" s="1962" t="s">
        <v>760</v>
      </c>
      <c r="F91" s="1981">
        <v>224.54300000000001</v>
      </c>
      <c r="G91" s="1981">
        <v>224.62</v>
      </c>
      <c r="H91" s="1981">
        <v>227.441</v>
      </c>
      <c r="I91" s="1981">
        <v>234.316</v>
      </c>
      <c r="J91" s="1981">
        <v>256.346</v>
      </c>
      <c r="K91" s="1981">
        <v>254.87100000000001</v>
      </c>
      <c r="L91" s="1981">
        <v>256.71800000000002</v>
      </c>
      <c r="M91" s="1981">
        <v>257.601</v>
      </c>
      <c r="N91" s="1981">
        <v>250.988</v>
      </c>
      <c r="O91" s="1981">
        <v>252.15100000000001</v>
      </c>
      <c r="P91" s="1981">
        <v>243.28399999999999</v>
      </c>
      <c r="Q91" s="1981">
        <v>235.91499999999999</v>
      </c>
      <c r="R91" s="1981">
        <v>2918.7939999999999</v>
      </c>
      <c r="T91" s="48">
        <f t="shared" si="1"/>
        <v>0</v>
      </c>
      <c r="U91" s="48"/>
    </row>
    <row r="92" spans="2:21">
      <c r="B92" s="33" t="s">
        <v>7279</v>
      </c>
      <c r="C92" t="s">
        <v>2360</v>
      </c>
      <c r="D92" s="1962" t="s">
        <v>761</v>
      </c>
      <c r="E92" s="1962" t="s">
        <v>762</v>
      </c>
      <c r="F92" s="1981">
        <v>0</v>
      </c>
      <c r="G92" s="1981">
        <v>0</v>
      </c>
      <c r="H92" s="1981">
        <v>0</v>
      </c>
      <c r="I92" s="1981">
        <v>0</v>
      </c>
      <c r="J92" s="1981">
        <v>0</v>
      </c>
      <c r="K92" s="1981">
        <v>0</v>
      </c>
      <c r="L92" s="1981">
        <v>0</v>
      </c>
      <c r="M92" s="1981">
        <v>0</v>
      </c>
      <c r="N92" s="1981">
        <v>0</v>
      </c>
      <c r="O92" s="1981">
        <v>0</v>
      </c>
      <c r="P92" s="1981">
        <v>0</v>
      </c>
      <c r="Q92" s="1981">
        <v>0</v>
      </c>
      <c r="R92" s="1981">
        <v>0</v>
      </c>
      <c r="T92" s="48">
        <f t="shared" si="1"/>
        <v>0</v>
      </c>
      <c r="U92" s="48"/>
    </row>
    <row r="93" spans="2:21">
      <c r="B93" s="33" t="s">
        <v>7280</v>
      </c>
      <c r="C93" t="s">
        <v>2360</v>
      </c>
      <c r="D93" s="1962" t="s">
        <v>763</v>
      </c>
      <c r="E93" s="1962" t="s">
        <v>764</v>
      </c>
      <c r="F93" s="1981">
        <v>0</v>
      </c>
      <c r="G93" s="1981">
        <v>0</v>
      </c>
      <c r="H93" s="1981">
        <v>0</v>
      </c>
      <c r="I93" s="1981">
        <v>0</v>
      </c>
      <c r="J93" s="1981">
        <v>0</v>
      </c>
      <c r="K93" s="1981">
        <v>0</v>
      </c>
      <c r="L93" s="1981">
        <v>0</v>
      </c>
      <c r="M93" s="1981">
        <v>0</v>
      </c>
      <c r="N93" s="1981">
        <v>0</v>
      </c>
      <c r="O93" s="1981">
        <v>0</v>
      </c>
      <c r="P93" s="1981">
        <v>0</v>
      </c>
      <c r="Q93" s="1981">
        <v>0</v>
      </c>
      <c r="R93" s="1981">
        <v>0</v>
      </c>
      <c r="T93" s="48">
        <f t="shared" si="1"/>
        <v>0</v>
      </c>
      <c r="U93" s="48"/>
    </row>
    <row r="94" spans="2:21">
      <c r="B94" s="33" t="s">
        <v>7281</v>
      </c>
      <c r="C94" t="s">
        <v>2360</v>
      </c>
      <c r="D94" s="1962" t="s">
        <v>765</v>
      </c>
      <c r="E94" s="1962" t="s">
        <v>766</v>
      </c>
      <c r="F94" s="1981">
        <v>0</v>
      </c>
      <c r="G94" s="1981">
        <v>0</v>
      </c>
      <c r="H94" s="1981">
        <v>0</v>
      </c>
      <c r="I94" s="1981">
        <v>0</v>
      </c>
      <c r="J94" s="1981">
        <v>0</v>
      </c>
      <c r="K94" s="1981">
        <v>0</v>
      </c>
      <c r="L94" s="1981">
        <v>0</v>
      </c>
      <c r="M94" s="1981">
        <v>0</v>
      </c>
      <c r="N94" s="1981">
        <v>0</v>
      </c>
      <c r="O94" s="1981">
        <v>0</v>
      </c>
      <c r="P94" s="1981">
        <v>0</v>
      </c>
      <c r="Q94" s="1981">
        <v>0</v>
      </c>
      <c r="R94" s="1981">
        <v>0</v>
      </c>
      <c r="T94" s="48">
        <f t="shared" si="1"/>
        <v>0</v>
      </c>
      <c r="U94" s="48"/>
    </row>
    <row r="95" spans="2:21">
      <c r="B95" s="33" t="s">
        <v>7282</v>
      </c>
      <c r="C95" t="s">
        <v>2360</v>
      </c>
      <c r="D95" s="1962" t="s">
        <v>767</v>
      </c>
      <c r="E95" s="1962" t="s">
        <v>768</v>
      </c>
      <c r="F95" s="1981">
        <v>0</v>
      </c>
      <c r="G95" s="1981">
        <v>0</v>
      </c>
      <c r="H95" s="1981">
        <v>0</v>
      </c>
      <c r="I95" s="1981">
        <v>0</v>
      </c>
      <c r="J95" s="1981">
        <v>0</v>
      </c>
      <c r="K95" s="1981">
        <v>0</v>
      </c>
      <c r="L95" s="1981">
        <v>0</v>
      </c>
      <c r="M95" s="1981">
        <v>0</v>
      </c>
      <c r="N95" s="1981">
        <v>0</v>
      </c>
      <c r="O95" s="1981">
        <v>0</v>
      </c>
      <c r="P95" s="1981">
        <v>0</v>
      </c>
      <c r="Q95" s="1981">
        <v>0</v>
      </c>
      <c r="R95" s="1981">
        <v>0</v>
      </c>
      <c r="T95" s="48">
        <f t="shared" si="1"/>
        <v>0</v>
      </c>
      <c r="U95" s="48"/>
    </row>
    <row r="96" spans="2:21">
      <c r="B96" s="33" t="s">
        <v>7283</v>
      </c>
      <c r="C96" t="s">
        <v>2360</v>
      </c>
      <c r="D96" s="1962" t="s">
        <v>769</v>
      </c>
      <c r="E96" s="1962" t="s">
        <v>770</v>
      </c>
      <c r="F96" s="1981">
        <v>0</v>
      </c>
      <c r="G96" s="1981">
        <v>0</v>
      </c>
      <c r="H96" s="1981">
        <v>0</v>
      </c>
      <c r="I96" s="1981">
        <v>0</v>
      </c>
      <c r="J96" s="1981">
        <v>0</v>
      </c>
      <c r="K96" s="1981">
        <v>0</v>
      </c>
      <c r="L96" s="1981">
        <v>0</v>
      </c>
      <c r="M96" s="1981">
        <v>0</v>
      </c>
      <c r="N96" s="1981">
        <v>0</v>
      </c>
      <c r="O96" s="1981">
        <v>0</v>
      </c>
      <c r="P96" s="1981">
        <v>0</v>
      </c>
      <c r="Q96" s="1981">
        <v>0</v>
      </c>
      <c r="R96" s="1981">
        <v>0</v>
      </c>
      <c r="T96" s="48">
        <f t="shared" si="1"/>
        <v>0</v>
      </c>
      <c r="U96" s="48"/>
    </row>
    <row r="97" spans="2:21">
      <c r="B97" s="33" t="s">
        <v>7284</v>
      </c>
      <c r="C97" t="s">
        <v>2360</v>
      </c>
      <c r="D97" s="1962" t="s">
        <v>771</v>
      </c>
      <c r="E97" s="1962" t="s">
        <v>772</v>
      </c>
      <c r="F97" s="1981">
        <v>0</v>
      </c>
      <c r="G97" s="1981">
        <v>0</v>
      </c>
      <c r="H97" s="1981">
        <v>0</v>
      </c>
      <c r="I97" s="1981">
        <v>0</v>
      </c>
      <c r="J97" s="1981">
        <v>0</v>
      </c>
      <c r="K97" s="1981">
        <v>0</v>
      </c>
      <c r="L97" s="1981">
        <v>0</v>
      </c>
      <c r="M97" s="1981">
        <v>0</v>
      </c>
      <c r="N97" s="1981">
        <v>0</v>
      </c>
      <c r="O97" s="1981">
        <v>0</v>
      </c>
      <c r="P97" s="1981">
        <v>0</v>
      </c>
      <c r="Q97" s="1981">
        <v>0</v>
      </c>
      <c r="R97" s="1981">
        <v>0</v>
      </c>
      <c r="T97" s="48">
        <f t="shared" si="1"/>
        <v>0</v>
      </c>
      <c r="U97" s="48"/>
    </row>
    <row r="98" spans="2:21">
      <c r="B98" s="33" t="s">
        <v>7285</v>
      </c>
      <c r="C98" t="s">
        <v>2360</v>
      </c>
      <c r="D98" s="1962" t="s">
        <v>773</v>
      </c>
      <c r="E98" s="1962" t="s">
        <v>774</v>
      </c>
      <c r="F98" s="1981">
        <v>0</v>
      </c>
      <c r="G98" s="1981">
        <v>0</v>
      </c>
      <c r="H98" s="1981">
        <v>0</v>
      </c>
      <c r="I98" s="1981">
        <v>0</v>
      </c>
      <c r="J98" s="1981">
        <v>0</v>
      </c>
      <c r="K98" s="1981">
        <v>0</v>
      </c>
      <c r="L98" s="1981">
        <v>0</v>
      </c>
      <c r="M98" s="1981">
        <v>0</v>
      </c>
      <c r="N98" s="1981">
        <v>0</v>
      </c>
      <c r="O98" s="1981">
        <v>0</v>
      </c>
      <c r="P98" s="1981">
        <v>0</v>
      </c>
      <c r="Q98" s="1981">
        <v>0</v>
      </c>
      <c r="R98" s="1981">
        <v>0</v>
      </c>
      <c r="T98" s="48">
        <f t="shared" si="1"/>
        <v>0</v>
      </c>
      <c r="U98" s="48"/>
    </row>
    <row r="99" spans="2:21">
      <c r="B99" s="33" t="s">
        <v>7286</v>
      </c>
      <c r="C99" t="s">
        <v>2360</v>
      </c>
      <c r="D99" s="1962" t="s">
        <v>775</v>
      </c>
      <c r="E99" s="1962" t="s">
        <v>2297</v>
      </c>
      <c r="F99" s="1981">
        <v>0</v>
      </c>
      <c r="G99" s="1981">
        <v>0</v>
      </c>
      <c r="H99" s="1981">
        <v>0</v>
      </c>
      <c r="I99" s="1981">
        <v>0</v>
      </c>
      <c r="J99" s="1981">
        <v>0</v>
      </c>
      <c r="K99" s="1981">
        <v>0</v>
      </c>
      <c r="L99" s="1981">
        <v>0</v>
      </c>
      <c r="M99" s="1981">
        <v>0</v>
      </c>
      <c r="N99" s="1981">
        <v>0</v>
      </c>
      <c r="O99" s="1981">
        <v>0</v>
      </c>
      <c r="P99" s="1981">
        <v>0</v>
      </c>
      <c r="Q99" s="1981">
        <v>0</v>
      </c>
      <c r="R99" s="1981">
        <v>0</v>
      </c>
      <c r="T99" s="48">
        <f t="shared" si="1"/>
        <v>0</v>
      </c>
      <c r="U99" s="48"/>
    </row>
    <row r="100" spans="2:21">
      <c r="B100" s="33" t="s">
        <v>7287</v>
      </c>
      <c r="C100" t="s">
        <v>2360</v>
      </c>
      <c r="D100" s="1962" t="s">
        <v>776</v>
      </c>
      <c r="E100" s="1962" t="s">
        <v>2299</v>
      </c>
      <c r="F100" s="1981">
        <v>0</v>
      </c>
      <c r="G100" s="1981">
        <v>0</v>
      </c>
      <c r="H100" s="1981">
        <v>0</v>
      </c>
      <c r="I100" s="1981">
        <v>0</v>
      </c>
      <c r="J100" s="1981">
        <v>0</v>
      </c>
      <c r="K100" s="1981">
        <v>0</v>
      </c>
      <c r="L100" s="1981">
        <v>0</v>
      </c>
      <c r="M100" s="1981">
        <v>0</v>
      </c>
      <c r="N100" s="1981">
        <v>0</v>
      </c>
      <c r="O100" s="1981">
        <v>0</v>
      </c>
      <c r="P100" s="1981">
        <v>0</v>
      </c>
      <c r="Q100" s="1981">
        <v>0</v>
      </c>
      <c r="R100" s="1981">
        <v>0</v>
      </c>
      <c r="T100" s="48">
        <f t="shared" si="1"/>
        <v>0</v>
      </c>
      <c r="U100" s="48"/>
    </row>
    <row r="101" spans="2:21">
      <c r="B101" s="33" t="s">
        <v>7288</v>
      </c>
      <c r="C101" t="s">
        <v>8702</v>
      </c>
      <c r="D101" s="1962" t="s">
        <v>777</v>
      </c>
      <c r="E101" s="1962" t="s">
        <v>778</v>
      </c>
      <c r="F101" s="1981">
        <v>9780.4570000000003</v>
      </c>
      <c r="G101" s="1981">
        <v>9847.3780000000006</v>
      </c>
      <c r="H101" s="1981">
        <v>9788.3719999999994</v>
      </c>
      <c r="I101" s="1981">
        <v>9954.9639999999999</v>
      </c>
      <c r="J101" s="1981">
        <v>10264.794</v>
      </c>
      <c r="K101" s="1981">
        <v>10710.913</v>
      </c>
      <c r="L101" s="1981">
        <v>10667.334000000001</v>
      </c>
      <c r="M101" s="1981">
        <v>10783.096</v>
      </c>
      <c r="N101" s="1981">
        <v>10958.951999999999</v>
      </c>
      <c r="O101" s="1981">
        <v>10810.181</v>
      </c>
      <c r="P101" s="1981">
        <v>10123.754000000001</v>
      </c>
      <c r="Q101" s="1981">
        <v>9906.7649999999994</v>
      </c>
      <c r="R101" s="1981">
        <v>123596.96</v>
      </c>
      <c r="T101" s="48">
        <f t="shared" si="1"/>
        <v>0</v>
      </c>
      <c r="U101" s="48"/>
    </row>
    <row r="102" spans="2:21">
      <c r="B102" s="33" t="s">
        <v>7289</v>
      </c>
      <c r="C102" t="s">
        <v>8702</v>
      </c>
      <c r="D102" s="1962" t="s">
        <v>779</v>
      </c>
      <c r="E102" s="1962" t="s">
        <v>780</v>
      </c>
      <c r="F102" s="1981">
        <v>5144.2690000000002</v>
      </c>
      <c r="G102" s="1981">
        <v>5027.9750000000004</v>
      </c>
      <c r="H102" s="1981">
        <v>5111.1949999999997</v>
      </c>
      <c r="I102" s="1981">
        <v>5311.8850000000002</v>
      </c>
      <c r="J102" s="1981">
        <v>5660.683</v>
      </c>
      <c r="K102" s="1981">
        <v>6104.8509999999997</v>
      </c>
      <c r="L102" s="1981">
        <v>6309.0690000000004</v>
      </c>
      <c r="M102" s="1981">
        <v>6321.5</v>
      </c>
      <c r="N102" s="1981">
        <v>6364.732</v>
      </c>
      <c r="O102" s="1981">
        <v>6071.9930000000004</v>
      </c>
      <c r="P102" s="1981">
        <v>5531.7839999999997</v>
      </c>
      <c r="Q102" s="1981">
        <v>5209.3519999999999</v>
      </c>
      <c r="R102" s="1981">
        <v>68169.288</v>
      </c>
      <c r="T102" s="48">
        <f t="shared" si="1"/>
        <v>0</v>
      </c>
      <c r="U102" s="48"/>
    </row>
    <row r="103" spans="2:21">
      <c r="B103" s="33" t="s">
        <v>7290</v>
      </c>
      <c r="C103" t="s">
        <v>8702</v>
      </c>
      <c r="D103" s="1962" t="s">
        <v>781</v>
      </c>
      <c r="E103" s="1962" t="s">
        <v>782</v>
      </c>
      <c r="F103" s="1981">
        <v>23.588000000000001</v>
      </c>
      <c r="G103" s="1981">
        <v>23.998000000000001</v>
      </c>
      <c r="H103" s="1981">
        <v>23.635999999999999</v>
      </c>
      <c r="I103" s="1981">
        <v>24.148</v>
      </c>
      <c r="J103" s="1981">
        <v>25.291</v>
      </c>
      <c r="K103" s="1981">
        <v>26.766999999999999</v>
      </c>
      <c r="L103" s="1981">
        <v>26.123999999999999</v>
      </c>
      <c r="M103" s="1981">
        <v>26.620999999999999</v>
      </c>
      <c r="N103" s="1981">
        <v>27.128</v>
      </c>
      <c r="O103" s="1981">
        <v>26.960999999999999</v>
      </c>
      <c r="P103" s="1981">
        <v>24.719000000000001</v>
      </c>
      <c r="Q103" s="1981">
        <v>24.187000000000001</v>
      </c>
      <c r="R103" s="1981">
        <v>303.16800000000001</v>
      </c>
      <c r="T103" s="48">
        <f t="shared" si="1"/>
        <v>0</v>
      </c>
      <c r="U103" s="48"/>
    </row>
    <row r="104" spans="2:21">
      <c r="B104" s="33" t="s">
        <v>7291</v>
      </c>
      <c r="C104" t="s">
        <v>8702</v>
      </c>
      <c r="D104" s="1962" t="s">
        <v>783</v>
      </c>
      <c r="E104" s="1962" t="s">
        <v>784</v>
      </c>
      <c r="F104" s="1981">
        <v>406.98500000000001</v>
      </c>
      <c r="G104" s="1981">
        <v>413.86</v>
      </c>
      <c r="H104" s="1981">
        <v>407.916</v>
      </c>
      <c r="I104" s="1981">
        <v>416.33699999999999</v>
      </c>
      <c r="J104" s="1981">
        <v>435.45800000000003</v>
      </c>
      <c r="K104" s="1981">
        <v>460.589</v>
      </c>
      <c r="L104" s="1981">
        <v>450.24700000000001</v>
      </c>
      <c r="M104" s="1981">
        <v>458.19600000000003</v>
      </c>
      <c r="N104" s="1981">
        <v>466.52600000000001</v>
      </c>
      <c r="O104" s="1981">
        <v>463.53300000000002</v>
      </c>
      <c r="P104" s="1981">
        <v>426.47899999999998</v>
      </c>
      <c r="Q104" s="1981">
        <v>417.399</v>
      </c>
      <c r="R104" s="1981">
        <v>5223.5250000000005</v>
      </c>
      <c r="T104" s="48">
        <f t="shared" si="1"/>
        <v>0</v>
      </c>
      <c r="U104" s="48"/>
    </row>
    <row r="105" spans="2:21">
      <c r="B105" s="33" t="s">
        <v>7292</v>
      </c>
      <c r="C105" t="s">
        <v>8702</v>
      </c>
      <c r="D105" s="1962" t="s">
        <v>785</v>
      </c>
      <c r="E105" s="1962" t="s">
        <v>786</v>
      </c>
      <c r="F105" s="1981">
        <v>115.839</v>
      </c>
      <c r="G105" s="1981">
        <v>113.13800000000001</v>
      </c>
      <c r="H105" s="1981">
        <v>115.02800000000001</v>
      </c>
      <c r="I105" s="1981">
        <v>119.67100000000001</v>
      </c>
      <c r="J105" s="1981">
        <v>127.76</v>
      </c>
      <c r="K105" s="1981">
        <v>138.08099999999999</v>
      </c>
      <c r="L105" s="1981">
        <v>142.82400000000001</v>
      </c>
      <c r="M105" s="1981">
        <v>143.10400000000001</v>
      </c>
      <c r="N105" s="1981">
        <v>144.11500000000001</v>
      </c>
      <c r="O105" s="1981">
        <v>137.31100000000001</v>
      </c>
      <c r="P105" s="1981">
        <v>124.76600000000001</v>
      </c>
      <c r="Q105" s="1981">
        <v>117.30500000000001</v>
      </c>
      <c r="R105" s="1981">
        <v>1538.9420000000002</v>
      </c>
      <c r="T105" s="48">
        <f t="shared" si="1"/>
        <v>0</v>
      </c>
      <c r="U105" s="48"/>
    </row>
    <row r="106" spans="2:21">
      <c r="B106" s="33" t="s">
        <v>7293</v>
      </c>
      <c r="C106" t="s">
        <v>8702</v>
      </c>
      <c r="D106" s="1962" t="s">
        <v>787</v>
      </c>
      <c r="E106" s="1962" t="s">
        <v>788</v>
      </c>
      <c r="F106" s="1981">
        <v>442.04611999999997</v>
      </c>
      <c r="G106" s="1981">
        <v>441.02871000000005</v>
      </c>
      <c r="H106" s="1981">
        <v>441.24880999999999</v>
      </c>
      <c r="I106" s="1981">
        <v>451.98869999999999</v>
      </c>
      <c r="J106" s="1981">
        <v>471.54640999999998</v>
      </c>
      <c r="K106" s="1981">
        <v>497.98102</v>
      </c>
      <c r="L106" s="1981">
        <v>501.74516</v>
      </c>
      <c r="M106" s="1981">
        <v>505.82625000000002</v>
      </c>
      <c r="N106" s="1981">
        <v>512.56061</v>
      </c>
      <c r="O106" s="1981">
        <v>500.00642999999997</v>
      </c>
      <c r="P106" s="1981">
        <v>463.47771999999998</v>
      </c>
      <c r="Q106" s="1981">
        <v>448.10702000000003</v>
      </c>
      <c r="R106" s="1981">
        <v>5677.5629600000002</v>
      </c>
      <c r="T106" s="48">
        <f t="shared" si="1"/>
        <v>0</v>
      </c>
      <c r="U106" s="48"/>
    </row>
    <row r="107" spans="2:21">
      <c r="B107" s="33" t="s">
        <v>7294</v>
      </c>
      <c r="C107" t="s">
        <v>8702</v>
      </c>
      <c r="D107" s="1962" t="s">
        <v>789</v>
      </c>
      <c r="E107" s="1962" t="s">
        <v>790</v>
      </c>
      <c r="F107" s="1981">
        <v>248.79867999999999</v>
      </c>
      <c r="G107" s="1981">
        <v>247.54451999999998</v>
      </c>
      <c r="H107" s="1981">
        <v>247.47038000000001</v>
      </c>
      <c r="I107" s="1981">
        <v>257.32490999999999</v>
      </c>
      <c r="J107" s="1981">
        <v>275.50412</v>
      </c>
      <c r="K107" s="1981">
        <v>300.16800999999998</v>
      </c>
      <c r="L107" s="1981">
        <v>303.43710999999996</v>
      </c>
      <c r="M107" s="1981">
        <v>307.00506000000001</v>
      </c>
      <c r="N107" s="1981">
        <v>313.07096999999999</v>
      </c>
      <c r="O107" s="1981">
        <v>300.93666999999999</v>
      </c>
      <c r="P107" s="1981">
        <v>266.16559999999998</v>
      </c>
      <c r="Q107" s="1981">
        <v>251.37432000000001</v>
      </c>
      <c r="R107" s="1981">
        <v>3318.80035</v>
      </c>
      <c r="T107" s="48">
        <f t="shared" si="1"/>
        <v>0</v>
      </c>
      <c r="U107" s="48"/>
    </row>
    <row r="108" spans="2:21">
      <c r="B108" s="33" t="s">
        <v>7295</v>
      </c>
      <c r="C108" t="s">
        <v>2360</v>
      </c>
      <c r="D108" s="1962" t="s">
        <v>791</v>
      </c>
      <c r="E108" s="1962" t="s">
        <v>7296</v>
      </c>
      <c r="F108" s="1981">
        <v>0</v>
      </c>
      <c r="G108" s="1981">
        <v>0</v>
      </c>
      <c r="H108" s="1981">
        <v>0</v>
      </c>
      <c r="I108" s="1981">
        <v>0</v>
      </c>
      <c r="J108" s="1981">
        <v>0</v>
      </c>
      <c r="K108" s="1981">
        <v>0</v>
      </c>
      <c r="L108" s="1981">
        <v>0</v>
      </c>
      <c r="M108" s="1981">
        <v>0</v>
      </c>
      <c r="N108" s="1981">
        <v>0</v>
      </c>
      <c r="O108" s="1981">
        <v>0</v>
      </c>
      <c r="P108" s="1981">
        <v>0</v>
      </c>
      <c r="Q108" s="1981">
        <v>0</v>
      </c>
      <c r="R108" s="1981">
        <v>0</v>
      </c>
      <c r="T108" s="48">
        <f t="shared" si="1"/>
        <v>0</v>
      </c>
      <c r="U108" s="48"/>
    </row>
    <row r="109" spans="2:21">
      <c r="B109" s="33" t="s">
        <v>7297</v>
      </c>
      <c r="C109" t="s">
        <v>8702</v>
      </c>
      <c r="D109" s="1962" t="s">
        <v>792</v>
      </c>
      <c r="E109" s="1962" t="s">
        <v>793</v>
      </c>
      <c r="F109" s="1981">
        <v>502.53737000000001</v>
      </c>
      <c r="G109" s="1981">
        <v>504.04320000000001</v>
      </c>
      <c r="H109" s="1981">
        <v>498.53015000000005</v>
      </c>
      <c r="I109" s="1981">
        <v>504.13047999999998</v>
      </c>
      <c r="J109" s="1981">
        <v>517.96209999999996</v>
      </c>
      <c r="K109" s="1981">
        <v>539.01058999999998</v>
      </c>
      <c r="L109" s="1981">
        <v>533.41303000000005</v>
      </c>
      <c r="M109" s="1981">
        <v>538.58884999999998</v>
      </c>
      <c r="N109" s="1981">
        <v>548.36446999999998</v>
      </c>
      <c r="O109" s="1981">
        <v>541.58829000000003</v>
      </c>
      <c r="P109" s="1981">
        <v>513.43520999999998</v>
      </c>
      <c r="Q109" s="1981">
        <v>512.29435999999998</v>
      </c>
      <c r="R109" s="1981">
        <v>6253.8980999999985</v>
      </c>
      <c r="T109" s="48">
        <f t="shared" si="1"/>
        <v>0</v>
      </c>
      <c r="U109" s="48"/>
    </row>
    <row r="110" spans="2:21">
      <c r="B110" s="33" t="s">
        <v>7298</v>
      </c>
      <c r="C110" t="s">
        <v>8702</v>
      </c>
      <c r="D110" s="1962" t="s">
        <v>794</v>
      </c>
      <c r="E110" s="1962" t="s">
        <v>795</v>
      </c>
      <c r="F110" s="1981">
        <v>394.19200000000001</v>
      </c>
      <c r="G110" s="1981">
        <v>399.59300000000002</v>
      </c>
      <c r="H110" s="1981">
        <v>393.47899999999998</v>
      </c>
      <c r="I110" s="1981">
        <v>402.43099999999998</v>
      </c>
      <c r="J110" s="1981">
        <v>421.71899999999999</v>
      </c>
      <c r="K110" s="1981">
        <v>446.48599999999999</v>
      </c>
      <c r="L110" s="1981">
        <v>436.35199999999998</v>
      </c>
      <c r="M110" s="1981">
        <v>444.60300000000001</v>
      </c>
      <c r="N110" s="1981">
        <v>453.68900000000002</v>
      </c>
      <c r="O110" s="1981">
        <v>449.95699999999999</v>
      </c>
      <c r="P110" s="1981">
        <v>411.52699999999999</v>
      </c>
      <c r="Q110" s="1981">
        <v>403.34800000000001</v>
      </c>
      <c r="R110" s="1981">
        <v>5057.3760000000002</v>
      </c>
      <c r="T110" s="48">
        <f t="shared" si="1"/>
        <v>0</v>
      </c>
      <c r="U110" s="48"/>
    </row>
    <row r="111" spans="2:21">
      <c r="B111" s="33" t="s">
        <v>7299</v>
      </c>
      <c r="C111" t="s">
        <v>8702</v>
      </c>
      <c r="D111" s="1962" t="s">
        <v>796</v>
      </c>
      <c r="E111" s="1962" t="s">
        <v>797</v>
      </c>
      <c r="F111" s="1981">
        <v>200.97899999960001</v>
      </c>
      <c r="G111" s="1981">
        <v>213.79579999999999</v>
      </c>
      <c r="H111" s="1981">
        <v>182.8194</v>
      </c>
      <c r="I111" s="1981">
        <v>131.64099999999999</v>
      </c>
      <c r="J111" s="1981">
        <v>155.75759999959999</v>
      </c>
      <c r="K111" s="1981">
        <v>126.387</v>
      </c>
      <c r="L111" s="1981">
        <v>139.9512</v>
      </c>
      <c r="M111" s="1981">
        <v>144.4726</v>
      </c>
      <c r="N111" s="1981">
        <v>183.68520000000001</v>
      </c>
      <c r="O111" s="1981">
        <v>151.05120000000002</v>
      </c>
      <c r="P111" s="1981">
        <v>190.32300000000001</v>
      </c>
      <c r="Q111" s="1981">
        <v>161.24199999999999</v>
      </c>
      <c r="R111" s="1981">
        <v>1982.1049999991999</v>
      </c>
      <c r="T111" s="48">
        <f t="shared" si="1"/>
        <v>0</v>
      </c>
      <c r="U111" s="48"/>
    </row>
    <row r="112" spans="2:21">
      <c r="B112" s="33" t="s">
        <v>7300</v>
      </c>
      <c r="C112" t="s">
        <v>2360</v>
      </c>
      <c r="D112" s="1962" t="s">
        <v>798</v>
      </c>
      <c r="E112" s="1962" t="s">
        <v>799</v>
      </c>
      <c r="F112" s="1981">
        <v>0</v>
      </c>
      <c r="G112" s="1981">
        <v>0</v>
      </c>
      <c r="H112" s="1981">
        <v>0</v>
      </c>
      <c r="I112" s="1981">
        <v>0</v>
      </c>
      <c r="J112" s="1981">
        <v>0</v>
      </c>
      <c r="K112" s="1981">
        <v>0</v>
      </c>
      <c r="L112" s="1981">
        <v>0</v>
      </c>
      <c r="M112" s="1981">
        <v>0</v>
      </c>
      <c r="N112" s="1981">
        <v>0</v>
      </c>
      <c r="O112" s="1981">
        <v>0</v>
      </c>
      <c r="P112" s="1981">
        <v>0</v>
      </c>
      <c r="Q112" s="1981">
        <v>0</v>
      </c>
      <c r="R112" s="1981">
        <v>0</v>
      </c>
      <c r="T112" s="48">
        <f t="shared" si="1"/>
        <v>0</v>
      </c>
      <c r="U112" s="48"/>
    </row>
    <row r="113" spans="2:21">
      <c r="B113" s="33" t="s">
        <v>7301</v>
      </c>
      <c r="C113" t="s">
        <v>8702</v>
      </c>
      <c r="D113" s="1962" t="s">
        <v>800</v>
      </c>
      <c r="E113" s="1962" t="s">
        <v>801</v>
      </c>
      <c r="F113" s="1981">
        <v>4.6820000000000004</v>
      </c>
      <c r="G113" s="1981">
        <v>5.056</v>
      </c>
      <c r="H113" s="1981">
        <v>4.1529999999999996</v>
      </c>
      <c r="I113" s="1981">
        <v>2.6619999999999999</v>
      </c>
      <c r="J113" s="1981">
        <v>3.3650000000000002</v>
      </c>
      <c r="K113" s="1981">
        <v>2.5089999999999999</v>
      </c>
      <c r="L113" s="1981">
        <v>2.9039999999999999</v>
      </c>
      <c r="M113" s="1981">
        <v>3.036</v>
      </c>
      <c r="N113" s="1981">
        <v>4.1779999999999999</v>
      </c>
      <c r="O113" s="1981">
        <v>3.2280000000000002</v>
      </c>
      <c r="P113" s="1981">
        <v>4.3719999999999999</v>
      </c>
      <c r="Q113" s="1981">
        <v>3.5249999999999999</v>
      </c>
      <c r="R113" s="1981">
        <v>43.67</v>
      </c>
      <c r="T113" s="48">
        <f t="shared" si="1"/>
        <v>0</v>
      </c>
      <c r="U113" s="48"/>
    </row>
    <row r="114" spans="2:21">
      <c r="B114" s="33" t="s">
        <v>7302</v>
      </c>
      <c r="C114" t="s">
        <v>2360</v>
      </c>
      <c r="D114" s="1962" t="s">
        <v>802</v>
      </c>
      <c r="E114" s="1962" t="s">
        <v>803</v>
      </c>
      <c r="F114" s="1981">
        <v>0</v>
      </c>
      <c r="G114" s="1981">
        <v>0</v>
      </c>
      <c r="H114" s="1981">
        <v>0</v>
      </c>
      <c r="I114" s="1981">
        <v>0</v>
      </c>
      <c r="J114" s="1981">
        <v>0</v>
      </c>
      <c r="K114" s="1981">
        <v>0</v>
      </c>
      <c r="L114" s="1981">
        <v>0</v>
      </c>
      <c r="M114" s="1981">
        <v>0</v>
      </c>
      <c r="N114" s="1981">
        <v>0</v>
      </c>
      <c r="O114" s="1981">
        <v>0</v>
      </c>
      <c r="P114" s="1981">
        <v>0</v>
      </c>
      <c r="Q114" s="1981">
        <v>0</v>
      </c>
      <c r="R114" s="1981">
        <v>0</v>
      </c>
      <c r="T114" s="48">
        <f t="shared" si="1"/>
        <v>0</v>
      </c>
      <c r="U114" s="48"/>
    </row>
    <row r="115" spans="2:21">
      <c r="B115" s="33" t="s">
        <v>7303</v>
      </c>
      <c r="C115" t="s">
        <v>2360</v>
      </c>
      <c r="D115" s="1962" t="s">
        <v>804</v>
      </c>
      <c r="E115" s="1962" t="s">
        <v>805</v>
      </c>
      <c r="F115" s="1981">
        <v>0</v>
      </c>
      <c r="G115" s="1981">
        <v>0</v>
      </c>
      <c r="H115" s="1981">
        <v>0</v>
      </c>
      <c r="I115" s="1981">
        <v>0</v>
      </c>
      <c r="J115" s="1981">
        <v>0</v>
      </c>
      <c r="K115" s="1981">
        <v>0</v>
      </c>
      <c r="L115" s="1981">
        <v>0</v>
      </c>
      <c r="M115" s="1981">
        <v>0</v>
      </c>
      <c r="N115" s="1981">
        <v>0</v>
      </c>
      <c r="O115" s="1981">
        <v>0</v>
      </c>
      <c r="P115" s="1981">
        <v>0</v>
      </c>
      <c r="Q115" s="1981">
        <v>0</v>
      </c>
      <c r="R115" s="1981">
        <v>0</v>
      </c>
      <c r="T115" s="48">
        <f t="shared" si="1"/>
        <v>0</v>
      </c>
      <c r="U115" s="48"/>
    </row>
    <row r="116" spans="2:21">
      <c r="B116" s="33" t="s">
        <v>7304</v>
      </c>
      <c r="C116" t="s">
        <v>8702</v>
      </c>
      <c r="D116" s="1962" t="s">
        <v>806</v>
      </c>
      <c r="E116" s="1962" t="s">
        <v>807</v>
      </c>
      <c r="F116" s="1981">
        <v>0.58333333330000003</v>
      </c>
      <c r="G116" s="1981">
        <v>0.58333333330000003</v>
      </c>
      <c r="H116" s="1981">
        <v>0.58333333330000003</v>
      </c>
      <c r="I116" s="1981">
        <v>0.58333333330000003</v>
      </c>
      <c r="J116" s="1981">
        <v>0.58333333330000003</v>
      </c>
      <c r="K116" s="1981">
        <v>0.58333333330000003</v>
      </c>
      <c r="L116" s="1981">
        <v>0.58333333330000003</v>
      </c>
      <c r="M116" s="1981">
        <v>0.58333333330000003</v>
      </c>
      <c r="N116" s="1981">
        <v>0.58333333330000003</v>
      </c>
      <c r="O116" s="1981">
        <v>0.58333333330000003</v>
      </c>
      <c r="P116" s="1981">
        <v>0.58333333330000003</v>
      </c>
      <c r="Q116" s="1981">
        <v>0.58333333330000003</v>
      </c>
      <c r="R116" s="1981">
        <v>6.9999999995999991</v>
      </c>
      <c r="T116" s="48">
        <f t="shared" si="1"/>
        <v>0</v>
      </c>
      <c r="U116" s="48"/>
    </row>
    <row r="117" spans="2:21">
      <c r="B117" s="33" t="s">
        <v>7305</v>
      </c>
      <c r="C117" t="s">
        <v>8702</v>
      </c>
      <c r="D117" s="1962" t="s">
        <v>808</v>
      </c>
      <c r="E117" s="1962" t="s">
        <v>809</v>
      </c>
      <c r="F117" s="1981">
        <v>244.1666666667</v>
      </c>
      <c r="G117" s="1981">
        <v>244.1666666667</v>
      </c>
      <c r="H117" s="1981">
        <v>244.1666666667</v>
      </c>
      <c r="I117" s="1981">
        <v>244.1666666667</v>
      </c>
      <c r="J117" s="1981">
        <v>244.1666666667</v>
      </c>
      <c r="K117" s="1981">
        <v>244.1666666667</v>
      </c>
      <c r="L117" s="1981">
        <v>244.1666666667</v>
      </c>
      <c r="M117" s="1981">
        <v>244.1666666667</v>
      </c>
      <c r="N117" s="1981">
        <v>244.1666666667</v>
      </c>
      <c r="O117" s="1981">
        <v>244.1666666667</v>
      </c>
      <c r="P117" s="1981">
        <v>244.1666666667</v>
      </c>
      <c r="Q117" s="1981">
        <v>244.1666666667</v>
      </c>
      <c r="R117" s="1981">
        <v>2930.0000000004002</v>
      </c>
      <c r="T117" s="48">
        <f t="shared" si="1"/>
        <v>0</v>
      </c>
      <c r="U117" s="48"/>
    </row>
    <row r="118" spans="2:21">
      <c r="B118" s="33" t="s">
        <v>7306</v>
      </c>
      <c r="C118" t="s">
        <v>8702</v>
      </c>
      <c r="D118" s="1962" t="s">
        <v>810</v>
      </c>
      <c r="E118" s="1962" t="s">
        <v>811</v>
      </c>
      <c r="F118" s="1981">
        <v>202.5833333333</v>
      </c>
      <c r="G118" s="1981">
        <v>202.5833333333</v>
      </c>
      <c r="H118" s="1981">
        <v>202.5833333333</v>
      </c>
      <c r="I118" s="1981">
        <v>202.5833333333</v>
      </c>
      <c r="J118" s="1981">
        <v>202.5833333333</v>
      </c>
      <c r="K118" s="1981">
        <v>202.5833333333</v>
      </c>
      <c r="L118" s="1981">
        <v>202.5833333333</v>
      </c>
      <c r="M118" s="1981">
        <v>202.5833333333</v>
      </c>
      <c r="N118" s="1981">
        <v>202.5833333333</v>
      </c>
      <c r="O118" s="1981">
        <v>202.5833333333</v>
      </c>
      <c r="P118" s="1981">
        <v>202.5833333333</v>
      </c>
      <c r="Q118" s="1981">
        <v>202.5833333333</v>
      </c>
      <c r="R118" s="1981">
        <v>2430.9999999996003</v>
      </c>
      <c r="T118" s="48">
        <f t="shared" si="1"/>
        <v>0</v>
      </c>
      <c r="U118" s="48"/>
    </row>
    <row r="119" spans="2:21">
      <c r="B119" s="33" t="s">
        <v>7307</v>
      </c>
      <c r="C119" t="s">
        <v>8702</v>
      </c>
      <c r="D119" s="1962" t="s">
        <v>812</v>
      </c>
      <c r="E119" s="1962" t="s">
        <v>813</v>
      </c>
      <c r="F119" s="1981">
        <v>910.24482999999998</v>
      </c>
      <c r="G119" s="1981">
        <v>910.24482999999998</v>
      </c>
      <c r="H119" s="1981">
        <v>910.24482999999998</v>
      </c>
      <c r="I119" s="1981">
        <v>910.24482999999998</v>
      </c>
      <c r="J119" s="1981">
        <v>910.24482999999998</v>
      </c>
      <c r="K119" s="1981">
        <v>910.24482999999998</v>
      </c>
      <c r="L119" s="1981">
        <v>910.24482999999998</v>
      </c>
      <c r="M119" s="1981">
        <v>910.24482999999998</v>
      </c>
      <c r="N119" s="1981">
        <v>910.24482999999998</v>
      </c>
      <c r="O119" s="1981">
        <v>910.24482999999998</v>
      </c>
      <c r="P119" s="1981">
        <v>910.24482999999998</v>
      </c>
      <c r="Q119" s="1981">
        <v>910.24482999999998</v>
      </c>
      <c r="R119" s="1981">
        <v>10922.937959999997</v>
      </c>
      <c r="T119" s="48">
        <f t="shared" si="1"/>
        <v>0</v>
      </c>
      <c r="U119" s="48"/>
    </row>
    <row r="120" spans="2:21">
      <c r="B120" s="33" t="s">
        <v>7308</v>
      </c>
      <c r="C120" t="s">
        <v>8702</v>
      </c>
      <c r="D120" s="1962" t="s">
        <v>814</v>
      </c>
      <c r="E120" s="1962" t="s">
        <v>815</v>
      </c>
      <c r="F120" s="1981">
        <v>253.9166666667</v>
      </c>
      <c r="G120" s="1981">
        <v>253.9166666667</v>
      </c>
      <c r="H120" s="1981">
        <v>253.9166666667</v>
      </c>
      <c r="I120" s="1981">
        <v>253.9166666667</v>
      </c>
      <c r="J120" s="1981">
        <v>253.9166666667</v>
      </c>
      <c r="K120" s="1981">
        <v>253.9166666667</v>
      </c>
      <c r="L120" s="1981">
        <v>253.9166666667</v>
      </c>
      <c r="M120" s="1981">
        <v>253.9166666667</v>
      </c>
      <c r="N120" s="1981">
        <v>253.9166666667</v>
      </c>
      <c r="O120" s="1981">
        <v>253.9166666667</v>
      </c>
      <c r="P120" s="1981">
        <v>253.9166666667</v>
      </c>
      <c r="Q120" s="1981">
        <v>253.9166666667</v>
      </c>
      <c r="R120" s="1981">
        <v>3047.0000000004002</v>
      </c>
      <c r="T120" s="48">
        <f t="shared" si="1"/>
        <v>0</v>
      </c>
      <c r="U120" s="48"/>
    </row>
    <row r="121" spans="2:21">
      <c r="B121" s="33" t="s">
        <v>7309</v>
      </c>
      <c r="C121" t="s">
        <v>8702</v>
      </c>
      <c r="D121" s="1962" t="s">
        <v>816</v>
      </c>
      <c r="E121" s="1962" t="s">
        <v>817</v>
      </c>
      <c r="F121" s="1981">
        <v>37.583333333299997</v>
      </c>
      <c r="G121" s="1981">
        <v>37.583333333299997</v>
      </c>
      <c r="H121" s="1981">
        <v>37.583333333299997</v>
      </c>
      <c r="I121" s="1981">
        <v>37.583333333299997</v>
      </c>
      <c r="J121" s="1981">
        <v>37.583333333299997</v>
      </c>
      <c r="K121" s="1981">
        <v>37.583333333299997</v>
      </c>
      <c r="L121" s="1981">
        <v>37.583333333299997</v>
      </c>
      <c r="M121" s="1981">
        <v>37.583333333299997</v>
      </c>
      <c r="N121" s="1981">
        <v>37.583333333299997</v>
      </c>
      <c r="O121" s="1981">
        <v>37.583333333299997</v>
      </c>
      <c r="P121" s="1981">
        <v>37.583333333299997</v>
      </c>
      <c r="Q121" s="1981">
        <v>37.583333333299997</v>
      </c>
      <c r="R121" s="1981">
        <v>450.99999999959999</v>
      </c>
      <c r="T121" s="48">
        <f t="shared" si="1"/>
        <v>0</v>
      </c>
      <c r="U121" s="48"/>
    </row>
    <row r="122" spans="2:21">
      <c r="B122" s="33" t="s">
        <v>7310</v>
      </c>
      <c r="C122" t="s">
        <v>8702</v>
      </c>
      <c r="D122" s="1962" t="s">
        <v>818</v>
      </c>
      <c r="E122" s="1962" t="s">
        <v>819</v>
      </c>
      <c r="F122" s="1981">
        <v>1.5</v>
      </c>
      <c r="G122" s="1981">
        <v>1.5</v>
      </c>
      <c r="H122" s="1981">
        <v>1.5</v>
      </c>
      <c r="I122" s="1981">
        <v>1.5</v>
      </c>
      <c r="J122" s="1981">
        <v>1.5</v>
      </c>
      <c r="K122" s="1981">
        <v>1.5</v>
      </c>
      <c r="L122" s="1981">
        <v>1.5</v>
      </c>
      <c r="M122" s="1981">
        <v>1.5</v>
      </c>
      <c r="N122" s="1981">
        <v>1.5</v>
      </c>
      <c r="O122" s="1981">
        <v>1.5</v>
      </c>
      <c r="P122" s="1981">
        <v>1.5</v>
      </c>
      <c r="Q122" s="1981">
        <v>1.5</v>
      </c>
      <c r="R122" s="1981">
        <v>18</v>
      </c>
      <c r="T122" s="48">
        <f t="shared" si="1"/>
        <v>0</v>
      </c>
      <c r="U122" s="48"/>
    </row>
    <row r="123" spans="2:21">
      <c r="B123" s="33" t="s">
        <v>7311</v>
      </c>
      <c r="C123" t="s">
        <v>8702</v>
      </c>
      <c r="D123" s="1962" t="s">
        <v>820</v>
      </c>
      <c r="E123" s="1962" t="s">
        <v>821</v>
      </c>
      <c r="F123" s="1981">
        <v>123.358</v>
      </c>
      <c r="G123" s="1981">
        <v>123.358</v>
      </c>
      <c r="H123" s="1981">
        <v>123.358</v>
      </c>
      <c r="I123" s="1981">
        <v>123.358</v>
      </c>
      <c r="J123" s="1981">
        <v>123.358</v>
      </c>
      <c r="K123" s="1981">
        <v>123.358</v>
      </c>
      <c r="L123" s="1981">
        <v>123.358</v>
      </c>
      <c r="M123" s="1981">
        <v>123.358</v>
      </c>
      <c r="N123" s="1981">
        <v>123.358</v>
      </c>
      <c r="O123" s="1981">
        <v>123.358</v>
      </c>
      <c r="P123" s="1981">
        <v>123.358</v>
      </c>
      <c r="Q123" s="1981">
        <v>123.358</v>
      </c>
      <c r="R123" s="1981">
        <v>1480.2959999999996</v>
      </c>
      <c r="T123" s="48">
        <f t="shared" si="1"/>
        <v>0</v>
      </c>
      <c r="U123" s="48"/>
    </row>
    <row r="124" spans="2:21">
      <c r="B124" s="33" t="s">
        <v>7312</v>
      </c>
      <c r="C124" t="s">
        <v>8702</v>
      </c>
      <c r="D124" s="1962" t="s">
        <v>822</v>
      </c>
      <c r="E124" s="1962" t="s">
        <v>823</v>
      </c>
      <c r="F124" s="1981">
        <v>4.5</v>
      </c>
      <c r="G124" s="1981">
        <v>4.5</v>
      </c>
      <c r="H124" s="1981">
        <v>4.5</v>
      </c>
      <c r="I124" s="1981">
        <v>4.5</v>
      </c>
      <c r="J124" s="1981">
        <v>4.5</v>
      </c>
      <c r="K124" s="1981">
        <v>4.5</v>
      </c>
      <c r="L124" s="1981">
        <v>4.5</v>
      </c>
      <c r="M124" s="1981">
        <v>4.5</v>
      </c>
      <c r="N124" s="1981">
        <v>4.5</v>
      </c>
      <c r="O124" s="1981">
        <v>4.5</v>
      </c>
      <c r="P124" s="1981">
        <v>4.5</v>
      </c>
      <c r="Q124" s="1981">
        <v>4.5</v>
      </c>
      <c r="R124" s="1981">
        <v>54</v>
      </c>
      <c r="T124" s="48">
        <f t="shared" si="1"/>
        <v>0</v>
      </c>
      <c r="U124" s="48"/>
    </row>
    <row r="125" spans="2:21">
      <c r="B125" s="33" t="s">
        <v>7313</v>
      </c>
      <c r="C125" t="s">
        <v>2360</v>
      </c>
      <c r="D125" s="1962" t="s">
        <v>824</v>
      </c>
      <c r="E125" s="1962" t="s">
        <v>7314</v>
      </c>
      <c r="F125" s="1981">
        <v>0</v>
      </c>
      <c r="G125" s="1981">
        <v>0</v>
      </c>
      <c r="H125" s="1981">
        <v>0</v>
      </c>
      <c r="I125" s="1981">
        <v>0</v>
      </c>
      <c r="J125" s="1981">
        <v>0</v>
      </c>
      <c r="K125" s="1981">
        <v>0</v>
      </c>
      <c r="L125" s="1981">
        <v>0</v>
      </c>
      <c r="M125" s="1981">
        <v>0</v>
      </c>
      <c r="N125" s="1981">
        <v>0</v>
      </c>
      <c r="O125" s="1981">
        <v>0</v>
      </c>
      <c r="P125" s="1981">
        <v>0</v>
      </c>
      <c r="Q125" s="1981">
        <v>0</v>
      </c>
      <c r="R125" s="1981">
        <v>0</v>
      </c>
      <c r="T125" s="48">
        <f t="shared" si="1"/>
        <v>0</v>
      </c>
      <c r="U125" s="48"/>
    </row>
    <row r="126" spans="2:21">
      <c r="B126" s="33" t="s">
        <v>7315</v>
      </c>
      <c r="C126" t="s">
        <v>8702</v>
      </c>
      <c r="D126" s="1962" t="s">
        <v>825</v>
      </c>
      <c r="E126" s="1962" t="s">
        <v>826</v>
      </c>
      <c r="F126" s="1981">
        <v>8.5085147499999998</v>
      </c>
      <c r="G126" s="1981">
        <v>7.3163167500000004</v>
      </c>
      <c r="H126" s="1981">
        <v>8.8478512499999997</v>
      </c>
      <c r="I126" s="1981">
        <v>8.6228534999999997</v>
      </c>
      <c r="J126" s="1981">
        <v>8.7959247499999993</v>
      </c>
      <c r="K126" s="1981">
        <v>8.0021339999999999</v>
      </c>
      <c r="L126" s="1981">
        <v>8.7887189999999986</v>
      </c>
      <c r="M126" s="1981">
        <v>8.7914249999999985</v>
      </c>
      <c r="N126" s="1981">
        <v>8.8806000000000012</v>
      </c>
      <c r="O126" s="1981">
        <v>8.96875</v>
      </c>
      <c r="P126" s="1981">
        <v>9.0579249999999991</v>
      </c>
      <c r="Q126" s="1981">
        <v>9.1491499999999988</v>
      </c>
      <c r="R126" s="1981">
        <v>103.730164</v>
      </c>
      <c r="T126" s="48">
        <f t="shared" si="1"/>
        <v>0</v>
      </c>
      <c r="U126" s="48"/>
    </row>
    <row r="127" spans="2:21">
      <c r="B127" s="33" t="s">
        <v>7316</v>
      </c>
      <c r="C127" t="s">
        <v>8702</v>
      </c>
      <c r="D127" s="1962" t="s">
        <v>827</v>
      </c>
      <c r="E127" s="1962" t="s">
        <v>828</v>
      </c>
      <c r="F127" s="1981">
        <v>27.939</v>
      </c>
      <c r="G127" s="1981">
        <v>440.24200000000002</v>
      </c>
      <c r="H127" s="1981">
        <v>20.417000000000002</v>
      </c>
      <c r="I127" s="1981">
        <v>33.945</v>
      </c>
      <c r="J127" s="1981">
        <v>0.248</v>
      </c>
      <c r="K127" s="1981">
        <v>3.6360000000000001</v>
      </c>
      <c r="L127" s="1981">
        <v>8.4559999999999995</v>
      </c>
      <c r="M127" s="1981">
        <v>85.863</v>
      </c>
      <c r="N127" s="1981">
        <v>19.148</v>
      </c>
      <c r="O127" s="1981">
        <v>32.749000000000002</v>
      </c>
      <c r="P127" s="1981">
        <v>24.510999999999999</v>
      </c>
      <c r="Q127" s="1981">
        <v>31.119</v>
      </c>
      <c r="R127" s="1981">
        <v>728.27300000000014</v>
      </c>
      <c r="T127" s="48">
        <f t="shared" si="1"/>
        <v>0</v>
      </c>
      <c r="U127" s="48"/>
    </row>
    <row r="128" spans="2:21">
      <c r="B128" s="33" t="s">
        <v>7317</v>
      </c>
      <c r="C128" t="s">
        <v>8702</v>
      </c>
      <c r="D128" s="1962" t="s">
        <v>829</v>
      </c>
      <c r="E128" s="1962" t="s">
        <v>830</v>
      </c>
      <c r="F128" s="1981">
        <v>4.0209999999999999</v>
      </c>
      <c r="G128" s="1981">
        <v>0.36899999999999999</v>
      </c>
      <c r="H128" s="1981">
        <v>0.377</v>
      </c>
      <c r="I128" s="1981">
        <v>6.6849999999999996</v>
      </c>
      <c r="J128" s="1981">
        <v>2.1779999999999999</v>
      </c>
      <c r="K128" s="1981">
        <v>0</v>
      </c>
      <c r="L128" s="1981">
        <v>0</v>
      </c>
      <c r="M128" s="1981">
        <v>4.6239999999999997</v>
      </c>
      <c r="N128" s="1981">
        <v>2.2349999999999999</v>
      </c>
      <c r="O128" s="1981">
        <v>6.3239999999999998</v>
      </c>
      <c r="P128" s="1981">
        <v>0.54300000000000004</v>
      </c>
      <c r="Q128" s="1981">
        <v>0.10199999999999999</v>
      </c>
      <c r="R128" s="1981">
        <v>27.457999999999995</v>
      </c>
      <c r="T128" s="48">
        <f t="shared" si="1"/>
        <v>0</v>
      </c>
      <c r="U128" s="48"/>
    </row>
    <row r="129" spans="2:21">
      <c r="B129" s="33" t="s">
        <v>7318</v>
      </c>
      <c r="C129" t="s">
        <v>8702</v>
      </c>
      <c r="D129" s="1962" t="s">
        <v>831</v>
      </c>
      <c r="E129" s="1962" t="s">
        <v>832</v>
      </c>
      <c r="F129" s="1981">
        <v>9.9138300000000008</v>
      </c>
      <c r="G129" s="1981">
        <v>9.9138300000000008</v>
      </c>
      <c r="H129" s="1981">
        <v>9.9138300000000008</v>
      </c>
      <c r="I129" s="1981">
        <v>9.9138300000000008</v>
      </c>
      <c r="J129" s="1981">
        <v>9.9138300000000008</v>
      </c>
      <c r="K129" s="1981">
        <v>9.9138300000000008</v>
      </c>
      <c r="L129" s="1981">
        <v>9.9138300000000008</v>
      </c>
      <c r="M129" s="1981">
        <v>9.9138300000000008</v>
      </c>
      <c r="N129" s="1981">
        <v>9.9138300000000008</v>
      </c>
      <c r="O129" s="1981">
        <v>9.9138300000000008</v>
      </c>
      <c r="P129" s="1981">
        <v>9.9138300000000008</v>
      </c>
      <c r="Q129" s="1981">
        <v>9.9138300000000008</v>
      </c>
      <c r="R129" s="1981">
        <v>118.96596000000004</v>
      </c>
      <c r="T129" s="48">
        <f t="shared" si="1"/>
        <v>0</v>
      </c>
      <c r="U129" s="48"/>
    </row>
    <row r="130" spans="2:21">
      <c r="B130" s="33" t="s">
        <v>7319</v>
      </c>
      <c r="C130" t="s">
        <v>8702</v>
      </c>
      <c r="D130" s="1962" t="s">
        <v>833</v>
      </c>
      <c r="E130" s="1962" t="s">
        <v>834</v>
      </c>
      <c r="F130" s="1981">
        <v>26.01733333333333</v>
      </c>
      <c r="G130" s="1981">
        <v>26.01733333333333</v>
      </c>
      <c r="H130" s="1981">
        <v>26.01733333333333</v>
      </c>
      <c r="I130" s="1981">
        <v>26.01733333333333</v>
      </c>
      <c r="J130" s="1981">
        <v>26.01733333333333</v>
      </c>
      <c r="K130" s="1981">
        <v>26.01733333333333</v>
      </c>
      <c r="L130" s="1981">
        <v>26.01733333333333</v>
      </c>
      <c r="M130" s="1981">
        <v>26.01733333333333</v>
      </c>
      <c r="N130" s="1981">
        <v>26.01733333333333</v>
      </c>
      <c r="O130" s="1981">
        <v>26.01733333333333</v>
      </c>
      <c r="P130" s="1981">
        <v>26.01733333333333</v>
      </c>
      <c r="Q130" s="1981">
        <v>26.01733333333333</v>
      </c>
      <c r="R130" s="1981">
        <f>+SUM(F130:Q130)</f>
        <v>312.20800000000003</v>
      </c>
      <c r="T130" s="48">
        <f t="shared" si="1"/>
        <v>0</v>
      </c>
      <c r="U130" s="48"/>
    </row>
    <row r="131" spans="2:21">
      <c r="B131" s="33" t="s">
        <v>7320</v>
      </c>
      <c r="C131" t="s">
        <v>8702</v>
      </c>
      <c r="D131" s="1962" t="s">
        <v>836</v>
      </c>
      <c r="E131" s="1962" t="s">
        <v>837</v>
      </c>
      <c r="F131" s="1981">
        <v>398.37716625000002</v>
      </c>
      <c r="G131" s="1981">
        <v>398.37717650000002</v>
      </c>
      <c r="H131" s="1981">
        <v>402.926311</v>
      </c>
      <c r="I131" s="1981">
        <v>402.926311</v>
      </c>
      <c r="J131" s="1981">
        <v>402.92630075</v>
      </c>
      <c r="K131" s="1981">
        <v>402.926311</v>
      </c>
      <c r="L131" s="1981">
        <v>402.91249399999998</v>
      </c>
      <c r="M131" s="1981">
        <v>402.992075</v>
      </c>
      <c r="N131" s="1981">
        <v>402.992075</v>
      </c>
      <c r="O131" s="1981">
        <v>402.992075</v>
      </c>
      <c r="P131" s="1981">
        <v>402.992075</v>
      </c>
      <c r="Q131" s="1981">
        <v>402.992075</v>
      </c>
      <c r="R131" s="1981">
        <v>4826.3324455000002</v>
      </c>
      <c r="T131" s="48">
        <f t="shared" si="1"/>
        <v>0</v>
      </c>
      <c r="U131" s="48"/>
    </row>
    <row r="132" spans="2:21">
      <c r="B132" s="33" t="s">
        <v>7321</v>
      </c>
      <c r="C132" t="s">
        <v>8702</v>
      </c>
      <c r="D132" s="1962" t="s">
        <v>838</v>
      </c>
      <c r="E132" s="1962" t="s">
        <v>839</v>
      </c>
      <c r="F132" s="1981">
        <v>57.739139166699999</v>
      </c>
      <c r="G132" s="1981">
        <v>57.739139166699999</v>
      </c>
      <c r="H132" s="1981">
        <v>57.739139166699999</v>
      </c>
      <c r="I132" s="1981">
        <v>57.739139166699999</v>
      </c>
      <c r="J132" s="1981">
        <v>57.739139166699999</v>
      </c>
      <c r="K132" s="1981">
        <v>57.739139166699999</v>
      </c>
      <c r="L132" s="1981">
        <v>57.739139166699999</v>
      </c>
      <c r="M132" s="1981">
        <v>57.739139166699999</v>
      </c>
      <c r="N132" s="1981">
        <v>57.739139166699999</v>
      </c>
      <c r="O132" s="1981">
        <v>57.739139166699999</v>
      </c>
      <c r="P132" s="1981">
        <v>57.739139166699999</v>
      </c>
      <c r="Q132" s="1981">
        <v>57.739139166699999</v>
      </c>
      <c r="R132" s="1981">
        <v>692.86967000039976</v>
      </c>
      <c r="T132" s="48">
        <f t="shared" si="1"/>
        <v>0</v>
      </c>
      <c r="U132" s="48"/>
    </row>
    <row r="133" spans="2:21">
      <c r="B133" s="33" t="s">
        <v>7322</v>
      </c>
      <c r="C133" t="s">
        <v>8702</v>
      </c>
      <c r="D133" s="1962" t="s">
        <v>840</v>
      </c>
      <c r="E133" s="1962" t="s">
        <v>841</v>
      </c>
      <c r="F133" s="1981">
        <v>475.32628387879998</v>
      </c>
      <c r="G133" s="1981">
        <v>471.81636935950002</v>
      </c>
      <c r="H133" s="1981">
        <v>471.18867020290003</v>
      </c>
      <c r="I133" s="1981">
        <v>470.72162863160003</v>
      </c>
      <c r="J133" s="1981">
        <v>470.82650004710001</v>
      </c>
      <c r="K133" s="1981">
        <v>471.538563517</v>
      </c>
      <c r="L133" s="1981">
        <v>470.4319357521</v>
      </c>
      <c r="M133" s="1981">
        <v>467.4074423998</v>
      </c>
      <c r="N133" s="1981">
        <v>466.81535742160003</v>
      </c>
      <c r="O133" s="1981">
        <v>467.92606866759996</v>
      </c>
      <c r="P133" s="1981">
        <v>466.78260341679999</v>
      </c>
      <c r="Q133" s="1981">
        <v>470.56948109199999</v>
      </c>
      <c r="R133" s="1981">
        <v>5641.3509043868007</v>
      </c>
      <c r="T133" s="48">
        <f t="shared" ref="T133:T196" si="2">IF(R133="","",+R133-SUM(F133:Q133))</f>
        <v>0</v>
      </c>
      <c r="U133" s="48"/>
    </row>
    <row r="134" spans="2:21">
      <c r="B134" s="33" t="s">
        <v>7323</v>
      </c>
      <c r="C134" t="s">
        <v>8702</v>
      </c>
      <c r="D134" s="1962" t="s">
        <v>842</v>
      </c>
      <c r="E134" s="1962" t="s">
        <v>843</v>
      </c>
      <c r="F134" s="1981">
        <v>226.8333333333</v>
      </c>
      <c r="G134" s="1981">
        <v>226.8333333333</v>
      </c>
      <c r="H134" s="1981">
        <v>226.8333333333</v>
      </c>
      <c r="I134" s="1981">
        <v>226.8333333333</v>
      </c>
      <c r="J134" s="1981">
        <v>226.8333333333</v>
      </c>
      <c r="K134" s="1981">
        <v>226.8333333333</v>
      </c>
      <c r="L134" s="1981">
        <v>226.8333333333</v>
      </c>
      <c r="M134" s="1981">
        <v>226.8333333333</v>
      </c>
      <c r="N134" s="1981">
        <v>226.8333333333</v>
      </c>
      <c r="O134" s="1981">
        <v>226.8333333333</v>
      </c>
      <c r="P134" s="1981">
        <v>226.8333333333</v>
      </c>
      <c r="Q134" s="1981">
        <v>226.8333333333</v>
      </c>
      <c r="R134" s="1981">
        <v>2721.9999999995998</v>
      </c>
      <c r="T134" s="48">
        <f t="shared" si="2"/>
        <v>0</v>
      </c>
      <c r="U134" s="48"/>
    </row>
    <row r="135" spans="2:21">
      <c r="B135" s="33" t="s">
        <v>7324</v>
      </c>
      <c r="C135" t="s">
        <v>2360</v>
      </c>
      <c r="D135" s="1962" t="s">
        <v>844</v>
      </c>
      <c r="E135" s="1962" t="s">
        <v>845</v>
      </c>
      <c r="F135" s="1981">
        <v>0</v>
      </c>
      <c r="G135" s="1981">
        <v>0</v>
      </c>
      <c r="H135" s="1981">
        <v>0</v>
      </c>
      <c r="I135" s="1981">
        <v>0</v>
      </c>
      <c r="J135" s="1981">
        <v>0</v>
      </c>
      <c r="K135" s="1981">
        <v>0</v>
      </c>
      <c r="L135" s="1981">
        <v>0</v>
      </c>
      <c r="M135" s="1981">
        <v>0</v>
      </c>
      <c r="N135" s="1981">
        <v>0</v>
      </c>
      <c r="O135" s="1981">
        <v>0</v>
      </c>
      <c r="P135" s="1981">
        <v>0</v>
      </c>
      <c r="Q135" s="1981">
        <v>0</v>
      </c>
      <c r="R135" s="1981">
        <v>0</v>
      </c>
      <c r="T135" s="48">
        <f t="shared" si="2"/>
        <v>0</v>
      </c>
      <c r="U135" s="48"/>
    </row>
    <row r="136" spans="2:21">
      <c r="B136" s="33" t="s">
        <v>7325</v>
      </c>
      <c r="C136" t="s">
        <v>2360</v>
      </c>
      <c r="D136" s="1962" t="s">
        <v>846</v>
      </c>
      <c r="E136" s="1962" t="s">
        <v>847</v>
      </c>
      <c r="F136" s="1981">
        <v>0</v>
      </c>
      <c r="G136" s="1981">
        <v>0</v>
      </c>
      <c r="H136" s="1981">
        <v>0</v>
      </c>
      <c r="I136" s="1981">
        <v>0</v>
      </c>
      <c r="J136" s="1981">
        <v>0</v>
      </c>
      <c r="K136" s="1981">
        <v>0</v>
      </c>
      <c r="L136" s="1981">
        <v>0</v>
      </c>
      <c r="M136" s="1981">
        <v>0</v>
      </c>
      <c r="N136" s="1981">
        <v>0</v>
      </c>
      <c r="O136" s="1981">
        <v>0</v>
      </c>
      <c r="P136" s="1981">
        <v>0</v>
      </c>
      <c r="Q136" s="1981">
        <v>0</v>
      </c>
      <c r="R136" s="1981">
        <v>0</v>
      </c>
      <c r="T136" s="48">
        <f t="shared" si="2"/>
        <v>0</v>
      </c>
      <c r="U136" s="48"/>
    </row>
    <row r="137" spans="2:21">
      <c r="B137" s="33" t="s">
        <v>7326</v>
      </c>
      <c r="C137" t="s">
        <v>8702</v>
      </c>
      <c r="D137" s="1962" t="s">
        <v>848</v>
      </c>
      <c r="E137" s="1962" t="s">
        <v>849</v>
      </c>
      <c r="F137" s="1981">
        <v>167</v>
      </c>
      <c r="G137" s="1981">
        <v>267</v>
      </c>
      <c r="H137" s="1981">
        <v>167</v>
      </c>
      <c r="I137" s="1981">
        <v>266</v>
      </c>
      <c r="J137" s="1981">
        <v>167</v>
      </c>
      <c r="K137" s="1981">
        <v>267</v>
      </c>
      <c r="L137" s="1981">
        <v>166</v>
      </c>
      <c r="M137" s="1981">
        <v>267</v>
      </c>
      <c r="N137" s="1981">
        <v>166</v>
      </c>
      <c r="O137" s="1981">
        <v>267</v>
      </c>
      <c r="P137" s="1981">
        <v>167</v>
      </c>
      <c r="Q137" s="1981">
        <v>266</v>
      </c>
      <c r="R137" s="1981">
        <v>2600</v>
      </c>
      <c r="T137" s="48">
        <f t="shared" si="2"/>
        <v>0</v>
      </c>
      <c r="U137" s="48"/>
    </row>
    <row r="138" spans="2:21">
      <c r="B138" s="33" t="s">
        <v>7327</v>
      </c>
      <c r="C138" t="s">
        <v>8702</v>
      </c>
      <c r="D138" s="1962" t="s">
        <v>850</v>
      </c>
      <c r="E138" s="1962" t="s">
        <v>851</v>
      </c>
      <c r="F138" s="1981">
        <v>8</v>
      </c>
      <c r="G138" s="1981">
        <v>8</v>
      </c>
      <c r="H138" s="1981">
        <v>8</v>
      </c>
      <c r="I138" s="1981">
        <v>8</v>
      </c>
      <c r="J138" s="1981">
        <v>8</v>
      </c>
      <c r="K138" s="1981">
        <v>9</v>
      </c>
      <c r="L138" s="1981">
        <v>10</v>
      </c>
      <c r="M138" s="1981">
        <v>11</v>
      </c>
      <c r="N138" s="1981">
        <v>11</v>
      </c>
      <c r="O138" s="1981">
        <v>10</v>
      </c>
      <c r="P138" s="1981">
        <v>8</v>
      </c>
      <c r="Q138" s="1981">
        <v>8</v>
      </c>
      <c r="R138" s="1981">
        <v>107</v>
      </c>
      <c r="T138" s="48">
        <f t="shared" si="2"/>
        <v>0</v>
      </c>
      <c r="U138" s="48"/>
    </row>
    <row r="139" spans="2:21">
      <c r="B139" s="33" t="s">
        <v>7328</v>
      </c>
      <c r="C139" t="s">
        <v>8702</v>
      </c>
      <c r="D139" s="1962" t="s">
        <v>852</v>
      </c>
      <c r="E139" s="1962" t="s">
        <v>853</v>
      </c>
      <c r="F139" s="1981">
        <v>10.1</v>
      </c>
      <c r="G139" s="1981">
        <v>10.1</v>
      </c>
      <c r="H139" s="1981">
        <v>10.1</v>
      </c>
      <c r="I139" s="1981">
        <v>10.1</v>
      </c>
      <c r="J139" s="1981">
        <v>10.1</v>
      </c>
      <c r="K139" s="1981">
        <v>10.1</v>
      </c>
      <c r="L139" s="1981">
        <v>10.1</v>
      </c>
      <c r="M139" s="1981">
        <v>10.1</v>
      </c>
      <c r="N139" s="1981">
        <v>10.1</v>
      </c>
      <c r="O139" s="1981">
        <v>10.1</v>
      </c>
      <c r="P139" s="1981">
        <v>10.1</v>
      </c>
      <c r="Q139" s="1981">
        <v>10.1</v>
      </c>
      <c r="R139" s="1981">
        <v>121.19999999999997</v>
      </c>
      <c r="T139" s="48">
        <f t="shared" si="2"/>
        <v>0</v>
      </c>
      <c r="U139" s="48"/>
    </row>
    <row r="140" spans="2:21">
      <c r="B140" s="33" t="s">
        <v>7329</v>
      </c>
      <c r="C140" t="s">
        <v>2360</v>
      </c>
      <c r="D140" s="1962" t="s">
        <v>854</v>
      </c>
      <c r="E140" s="1962" t="s">
        <v>855</v>
      </c>
      <c r="F140" s="1981">
        <v>0</v>
      </c>
      <c r="G140" s="1981">
        <v>0</v>
      </c>
      <c r="H140" s="1981">
        <v>0</v>
      </c>
      <c r="I140" s="1981">
        <v>0</v>
      </c>
      <c r="J140" s="1981">
        <v>0</v>
      </c>
      <c r="K140" s="1981">
        <v>0</v>
      </c>
      <c r="L140" s="1981">
        <v>0</v>
      </c>
      <c r="M140" s="1981">
        <v>0</v>
      </c>
      <c r="N140" s="1981">
        <v>0</v>
      </c>
      <c r="O140" s="1981">
        <v>0</v>
      </c>
      <c r="P140" s="1981">
        <v>0</v>
      </c>
      <c r="Q140" s="1981">
        <v>0</v>
      </c>
      <c r="R140" s="1981">
        <v>0</v>
      </c>
      <c r="T140" s="48">
        <f t="shared" si="2"/>
        <v>0</v>
      </c>
      <c r="U140" s="48"/>
    </row>
    <row r="141" spans="2:21">
      <c r="B141" s="33" t="s">
        <v>7330</v>
      </c>
      <c r="C141" t="s">
        <v>8702</v>
      </c>
      <c r="D141" s="1962" t="s">
        <v>856</v>
      </c>
      <c r="E141" s="1962" t="s">
        <v>857</v>
      </c>
      <c r="F141" s="1981">
        <v>1.7660738475</v>
      </c>
      <c r="G141" s="1981">
        <v>1.4736392409000001</v>
      </c>
      <c r="H141" s="1981">
        <v>1.4675290948999999</v>
      </c>
      <c r="I141" s="1981">
        <v>76.5429255783</v>
      </c>
      <c r="J141" s="1981">
        <v>1.7270580834</v>
      </c>
      <c r="K141" s="1981">
        <v>1.4049950633999999</v>
      </c>
      <c r="L141" s="1981">
        <v>11.610488113300001</v>
      </c>
      <c r="M141" s="1981">
        <v>6.5366670395000002</v>
      </c>
      <c r="N141" s="1981">
        <v>76.496024606899994</v>
      </c>
      <c r="O141" s="1981">
        <v>1.7032747554000001</v>
      </c>
      <c r="P141" s="1981">
        <v>1.4823164294</v>
      </c>
      <c r="Q141" s="1981">
        <v>1.5595342539000001</v>
      </c>
      <c r="R141" s="1981">
        <v>183.77052610679999</v>
      </c>
      <c r="T141" s="48">
        <f t="shared" si="2"/>
        <v>0</v>
      </c>
      <c r="U141" s="48"/>
    </row>
    <row r="142" spans="2:21">
      <c r="B142" s="33" t="s">
        <v>7331</v>
      </c>
      <c r="C142" t="s">
        <v>2360</v>
      </c>
      <c r="D142" s="1962" t="s">
        <v>858</v>
      </c>
      <c r="E142" s="1962" t="s">
        <v>7332</v>
      </c>
      <c r="F142" s="1981">
        <v>0</v>
      </c>
      <c r="G142" s="1981">
        <v>0</v>
      </c>
      <c r="H142" s="1981">
        <v>0</v>
      </c>
      <c r="I142" s="1981">
        <v>0</v>
      </c>
      <c r="J142" s="1981">
        <v>0</v>
      </c>
      <c r="K142" s="1981">
        <v>0</v>
      </c>
      <c r="L142" s="1981">
        <v>0</v>
      </c>
      <c r="M142" s="1981">
        <v>0</v>
      </c>
      <c r="N142" s="1981">
        <v>0</v>
      </c>
      <c r="O142" s="1981">
        <v>0</v>
      </c>
      <c r="P142" s="1981">
        <v>0</v>
      </c>
      <c r="Q142" s="1981">
        <v>0</v>
      </c>
      <c r="R142" s="1981">
        <v>0</v>
      </c>
      <c r="T142" s="48">
        <f t="shared" si="2"/>
        <v>0</v>
      </c>
      <c r="U142" s="48"/>
    </row>
    <row r="143" spans="2:21">
      <c r="B143" s="33" t="s">
        <v>7333</v>
      </c>
      <c r="C143" t="s">
        <v>8702</v>
      </c>
      <c r="D143" s="1962" t="s">
        <v>7334</v>
      </c>
      <c r="E143" s="1962" t="s">
        <v>7335</v>
      </c>
      <c r="F143" s="1981">
        <v>8.3333399999999997</v>
      </c>
      <c r="G143" s="1981">
        <v>8.3333399999999997</v>
      </c>
      <c r="H143" s="1981">
        <v>8.3333399999999997</v>
      </c>
      <c r="I143" s="1981">
        <v>8.3333399999999997</v>
      </c>
      <c r="J143" s="1981">
        <v>8.3333300000000001</v>
      </c>
      <c r="K143" s="1981">
        <v>8.3333300000000001</v>
      </c>
      <c r="L143" s="1981">
        <v>8.3333300000000001</v>
      </c>
      <c r="M143" s="1981">
        <v>8.3333300000000001</v>
      </c>
      <c r="N143" s="1981">
        <v>8.3333300000000001</v>
      </c>
      <c r="O143" s="1981">
        <v>8.3333300000000001</v>
      </c>
      <c r="P143" s="1981">
        <v>8.3333300000000001</v>
      </c>
      <c r="Q143" s="1981">
        <v>8.3333300000000001</v>
      </c>
      <c r="R143" s="1981">
        <v>100.00000000000003</v>
      </c>
      <c r="T143" s="48">
        <f t="shared" si="2"/>
        <v>0</v>
      </c>
      <c r="U143" s="48"/>
    </row>
    <row r="144" spans="2:21">
      <c r="B144" s="33" t="s">
        <v>7336</v>
      </c>
      <c r="C144" t="s">
        <v>8702</v>
      </c>
      <c r="D144" s="1962" t="s">
        <v>859</v>
      </c>
      <c r="E144" s="1962" t="s">
        <v>860</v>
      </c>
      <c r="F144" s="1981">
        <v>697.99655769229992</v>
      </c>
      <c r="G144" s="1981">
        <v>697.99655769229992</v>
      </c>
      <c r="H144" s="1981">
        <f>97.9965576923+86</f>
        <v>183.9965576923</v>
      </c>
      <c r="I144" s="1981">
        <v>697.99655769229992</v>
      </c>
      <c r="J144" s="1981">
        <v>697.99655769229992</v>
      </c>
      <c r="K144" s="1981">
        <v>662.42925000000002</v>
      </c>
      <c r="L144" s="1981">
        <v>662.42925000000002</v>
      </c>
      <c r="M144" s="1981">
        <v>662.42925000000002</v>
      </c>
      <c r="N144" s="1981">
        <v>662.42925000000002</v>
      </c>
      <c r="O144" s="1981">
        <v>697.99655769229992</v>
      </c>
      <c r="P144" s="1981">
        <v>697.99655769229992</v>
      </c>
      <c r="Q144" s="1981">
        <v>697.99655769229992</v>
      </c>
      <c r="R144" s="1981">
        <f>+SUM(F144:Q144)</f>
        <v>7719.689461538399</v>
      </c>
      <c r="T144" s="48">
        <f t="shared" si="2"/>
        <v>0</v>
      </c>
      <c r="U144" s="48"/>
    </row>
    <row r="145" spans="2:21">
      <c r="B145" s="33" t="s">
        <v>7337</v>
      </c>
      <c r="C145" t="s">
        <v>8702</v>
      </c>
      <c r="D145" s="1962" t="s">
        <v>861</v>
      </c>
      <c r="E145" s="1962" t="s">
        <v>862</v>
      </c>
      <c r="F145" s="1981">
        <v>17.648390109899999</v>
      </c>
      <c r="G145" s="1981">
        <v>17.648390109899999</v>
      </c>
      <c r="H145" s="1981">
        <v>17.648390109899999</v>
      </c>
      <c r="I145" s="1981">
        <v>17.648390109899999</v>
      </c>
      <c r="J145" s="1981">
        <v>17.648390109899999</v>
      </c>
      <c r="K145" s="1981">
        <v>17.038499999999999</v>
      </c>
      <c r="L145" s="1981">
        <v>17.038499999999999</v>
      </c>
      <c r="M145" s="1981">
        <v>17.038499999999999</v>
      </c>
      <c r="N145" s="1981">
        <v>17.038499999999999</v>
      </c>
      <c r="O145" s="1981">
        <v>17.648390109899999</v>
      </c>
      <c r="P145" s="1981">
        <v>17.648390109899999</v>
      </c>
      <c r="Q145" s="1981">
        <v>17.648390109899999</v>
      </c>
      <c r="R145" s="1981">
        <v>209.34112087919996</v>
      </c>
      <c r="T145" s="48">
        <f t="shared" si="2"/>
        <v>0</v>
      </c>
      <c r="U145" s="48"/>
    </row>
    <row r="146" spans="2:21">
      <c r="B146" s="33" t="s">
        <v>7338</v>
      </c>
      <c r="C146" t="s">
        <v>2360</v>
      </c>
      <c r="D146" s="1962" t="s">
        <v>863</v>
      </c>
      <c r="E146" s="1962" t="s">
        <v>864</v>
      </c>
      <c r="F146" s="1981">
        <v>0</v>
      </c>
      <c r="G146" s="1981">
        <v>0</v>
      </c>
      <c r="H146" s="1981">
        <v>0</v>
      </c>
      <c r="I146" s="1981">
        <v>0</v>
      </c>
      <c r="J146" s="1981">
        <v>0</v>
      </c>
      <c r="K146" s="1981">
        <v>0</v>
      </c>
      <c r="L146" s="1981">
        <v>0</v>
      </c>
      <c r="M146" s="1981">
        <v>0</v>
      </c>
      <c r="N146" s="1981">
        <v>0</v>
      </c>
      <c r="O146" s="1981">
        <v>0</v>
      </c>
      <c r="P146" s="1981">
        <v>0</v>
      </c>
      <c r="Q146" s="1981">
        <v>0</v>
      </c>
      <c r="R146" s="1981">
        <v>0</v>
      </c>
      <c r="T146" s="48">
        <f t="shared" si="2"/>
        <v>0</v>
      </c>
      <c r="U146" s="48"/>
    </row>
    <row r="147" spans="2:21">
      <c r="B147" s="33" t="s">
        <v>7339</v>
      </c>
      <c r="C147" t="s">
        <v>2360</v>
      </c>
      <c r="D147" s="1962" t="s">
        <v>865</v>
      </c>
      <c r="E147" s="1962" t="s">
        <v>866</v>
      </c>
      <c r="F147" s="1981">
        <v>0</v>
      </c>
      <c r="G147" s="1981">
        <v>0</v>
      </c>
      <c r="H147" s="1981">
        <v>0</v>
      </c>
      <c r="I147" s="1981">
        <v>0</v>
      </c>
      <c r="J147" s="1981">
        <v>0</v>
      </c>
      <c r="K147" s="1981">
        <v>0</v>
      </c>
      <c r="L147" s="1981">
        <v>0</v>
      </c>
      <c r="M147" s="1981">
        <v>0</v>
      </c>
      <c r="N147" s="1981">
        <v>0</v>
      </c>
      <c r="O147" s="1981">
        <v>0</v>
      </c>
      <c r="P147" s="1981">
        <v>0</v>
      </c>
      <c r="Q147" s="1981">
        <v>0</v>
      </c>
      <c r="R147" s="1981">
        <v>0</v>
      </c>
      <c r="T147" s="48">
        <f t="shared" si="2"/>
        <v>0</v>
      </c>
      <c r="U147" s="48"/>
    </row>
    <row r="148" spans="2:21">
      <c r="B148" s="33" t="s">
        <v>7340</v>
      </c>
      <c r="C148" t="s">
        <v>2360</v>
      </c>
      <c r="D148" s="1962" t="s">
        <v>867</v>
      </c>
      <c r="E148" s="1962" t="s">
        <v>868</v>
      </c>
      <c r="F148" s="1981">
        <v>0</v>
      </c>
      <c r="G148" s="1981">
        <v>0</v>
      </c>
      <c r="H148" s="1981">
        <v>0</v>
      </c>
      <c r="I148" s="1981">
        <v>0</v>
      </c>
      <c r="J148" s="1981">
        <v>0</v>
      </c>
      <c r="K148" s="1981">
        <v>0</v>
      </c>
      <c r="L148" s="1981">
        <v>0</v>
      </c>
      <c r="M148" s="1981">
        <v>0</v>
      </c>
      <c r="N148" s="1981">
        <v>0</v>
      </c>
      <c r="O148" s="1981">
        <v>0</v>
      </c>
      <c r="P148" s="1981">
        <v>0</v>
      </c>
      <c r="Q148" s="1981">
        <v>0</v>
      </c>
      <c r="R148" s="1981">
        <v>0</v>
      </c>
      <c r="T148" s="48">
        <f t="shared" si="2"/>
        <v>0</v>
      </c>
      <c r="U148" s="48"/>
    </row>
    <row r="149" spans="2:21">
      <c r="B149" s="33" t="s">
        <v>7341</v>
      </c>
      <c r="C149" t="s">
        <v>2360</v>
      </c>
      <c r="D149" s="1962" t="s">
        <v>869</v>
      </c>
      <c r="E149" s="1962" t="s">
        <v>870</v>
      </c>
      <c r="F149" s="1981">
        <v>0</v>
      </c>
      <c r="G149" s="1981">
        <v>0</v>
      </c>
      <c r="H149" s="1981">
        <v>0</v>
      </c>
      <c r="I149" s="1981">
        <v>0</v>
      </c>
      <c r="J149" s="1981">
        <v>0</v>
      </c>
      <c r="K149" s="1981">
        <v>0</v>
      </c>
      <c r="L149" s="1981">
        <v>0</v>
      </c>
      <c r="M149" s="1981">
        <v>0</v>
      </c>
      <c r="N149" s="1981">
        <v>0</v>
      </c>
      <c r="O149" s="1981">
        <v>0</v>
      </c>
      <c r="P149" s="1981">
        <v>0</v>
      </c>
      <c r="Q149" s="1981">
        <v>0</v>
      </c>
      <c r="R149" s="1981">
        <v>0</v>
      </c>
      <c r="T149" s="48">
        <f t="shared" si="2"/>
        <v>0</v>
      </c>
      <c r="U149" s="48"/>
    </row>
    <row r="150" spans="2:21">
      <c r="B150" s="33" t="s">
        <v>7342</v>
      </c>
      <c r="C150" t="s">
        <v>8702</v>
      </c>
      <c r="D150" s="1962" t="s">
        <v>871</v>
      </c>
      <c r="E150" s="1962" t="s">
        <v>872</v>
      </c>
      <c r="F150" s="1981">
        <v>38.542507000000001</v>
      </c>
      <c r="G150" s="1981">
        <v>28.976334999999999</v>
      </c>
      <c r="H150" s="1981">
        <v>30.265414</v>
      </c>
      <c r="I150" s="1981">
        <v>25</v>
      </c>
      <c r="J150" s="1981">
        <v>33.326857000000004</v>
      </c>
      <c r="K150" s="1981">
        <v>30.571653999999999</v>
      </c>
      <c r="L150" s="1981">
        <v>26.630727999999998</v>
      </c>
      <c r="M150" s="1981">
        <v>30.545814999999997</v>
      </c>
      <c r="N150" s="1981">
        <v>28.843312000000001</v>
      </c>
      <c r="O150" s="1981">
        <v>33.238813</v>
      </c>
      <c r="P150" s="1981">
        <v>60.5047</v>
      </c>
      <c r="Q150" s="1981">
        <v>120.427255</v>
      </c>
      <c r="R150" s="1981">
        <v>486.87339000000003</v>
      </c>
      <c r="T150" s="48">
        <f t="shared" si="2"/>
        <v>0</v>
      </c>
      <c r="U150" s="48"/>
    </row>
    <row r="151" spans="2:21">
      <c r="B151" s="33" t="s">
        <v>7343</v>
      </c>
      <c r="C151" t="s">
        <v>8702</v>
      </c>
      <c r="D151" s="1962" t="s">
        <v>874</v>
      </c>
      <c r="E151" s="1962" t="s">
        <v>875</v>
      </c>
      <c r="F151" s="1981">
        <v>0.5</v>
      </c>
      <c r="G151" s="1981">
        <v>0</v>
      </c>
      <c r="H151" s="1981">
        <v>1.25</v>
      </c>
      <c r="I151" s="1981">
        <v>0.5</v>
      </c>
      <c r="J151" s="1981">
        <v>0</v>
      </c>
      <c r="K151" s="1981">
        <v>0</v>
      </c>
      <c r="L151" s="1981">
        <v>1</v>
      </c>
      <c r="M151" s="1981">
        <v>0.75</v>
      </c>
      <c r="N151" s="1981">
        <v>0.75</v>
      </c>
      <c r="O151" s="1981">
        <v>0.75</v>
      </c>
      <c r="P151" s="1981">
        <v>0.75</v>
      </c>
      <c r="Q151" s="1981">
        <v>0.75</v>
      </c>
      <c r="R151" s="1981">
        <v>7</v>
      </c>
      <c r="T151" s="48">
        <f t="shared" si="2"/>
        <v>0</v>
      </c>
      <c r="U151" s="48"/>
    </row>
    <row r="152" spans="2:21">
      <c r="B152" s="33" t="s">
        <v>7344</v>
      </c>
      <c r="C152" t="s">
        <v>8702</v>
      </c>
      <c r="D152" s="1962" t="s">
        <v>876</v>
      </c>
      <c r="E152" s="1962" t="s">
        <v>877</v>
      </c>
      <c r="F152" s="1981">
        <v>-2324.6419999999998</v>
      </c>
      <c r="G152" s="1981">
        <v>-5082.4780000000001</v>
      </c>
      <c r="H152" s="1981">
        <v>4704.0129999999999</v>
      </c>
      <c r="I152" s="1981">
        <v>4425.3320000000003</v>
      </c>
      <c r="J152" s="1981">
        <v>10321.116</v>
      </c>
      <c r="K152" s="1981">
        <v>3589.4589999999998</v>
      </c>
      <c r="L152" s="1981">
        <v>2466.4059999999999</v>
      </c>
      <c r="M152" s="1981">
        <v>4637.7209999999995</v>
      </c>
      <c r="N152" s="1981">
        <v>-9078.5560000000005</v>
      </c>
      <c r="O152" s="1981">
        <v>-4989.5680000000002</v>
      </c>
      <c r="P152" s="1981">
        <v>-9193.2150000000001</v>
      </c>
      <c r="Q152" s="1981">
        <v>454.31200000000001</v>
      </c>
      <c r="R152" s="1981">
        <v>-70.100000000003888</v>
      </c>
      <c r="T152" s="48">
        <f t="shared" si="2"/>
        <v>0</v>
      </c>
      <c r="U152" s="48"/>
    </row>
    <row r="153" spans="2:21">
      <c r="B153" s="33" t="s">
        <v>7345</v>
      </c>
      <c r="C153" t="s">
        <v>8496</v>
      </c>
      <c r="D153" s="1962" t="s">
        <v>878</v>
      </c>
      <c r="E153" s="1962" t="s">
        <v>879</v>
      </c>
      <c r="F153" s="1981">
        <v>0</v>
      </c>
      <c r="G153" s="1981">
        <v>0</v>
      </c>
      <c r="H153" s="1981">
        <v>0</v>
      </c>
      <c r="I153" s="1981">
        <v>0</v>
      </c>
      <c r="J153" s="1981">
        <v>0</v>
      </c>
      <c r="K153" s="1981">
        <v>0</v>
      </c>
      <c r="L153" s="1981">
        <v>0</v>
      </c>
      <c r="M153" s="1981">
        <v>0</v>
      </c>
      <c r="N153" s="1981">
        <v>0</v>
      </c>
      <c r="O153" s="1981">
        <v>0</v>
      </c>
      <c r="P153" s="1981">
        <v>0</v>
      </c>
      <c r="Q153" s="1981">
        <v>0</v>
      </c>
      <c r="R153" s="1981">
        <v>0</v>
      </c>
      <c r="T153" s="48">
        <f t="shared" si="2"/>
        <v>0</v>
      </c>
      <c r="U153" s="48"/>
    </row>
    <row r="154" spans="2:21">
      <c r="B154" s="33" t="s">
        <v>7346</v>
      </c>
      <c r="C154" t="s">
        <v>8496</v>
      </c>
      <c r="D154" s="1962" t="s">
        <v>880</v>
      </c>
      <c r="E154" s="1962" t="s">
        <v>881</v>
      </c>
      <c r="F154" s="1981">
        <v>0</v>
      </c>
      <c r="G154" s="1981">
        <v>0</v>
      </c>
      <c r="H154" s="1981">
        <v>0</v>
      </c>
      <c r="I154" s="1981">
        <v>0</v>
      </c>
      <c r="J154" s="1981">
        <v>0</v>
      </c>
      <c r="K154" s="1981">
        <v>0</v>
      </c>
      <c r="L154" s="1981">
        <v>0</v>
      </c>
      <c r="M154" s="1981">
        <v>0</v>
      </c>
      <c r="N154" s="1981">
        <v>0</v>
      </c>
      <c r="O154" s="1981">
        <v>0</v>
      </c>
      <c r="P154" s="1981">
        <v>0</v>
      </c>
      <c r="Q154" s="1981">
        <v>0</v>
      </c>
      <c r="R154" s="1981">
        <v>0</v>
      </c>
      <c r="T154" s="48">
        <f t="shared" si="2"/>
        <v>0</v>
      </c>
      <c r="U154" s="48"/>
    </row>
    <row r="155" spans="2:21">
      <c r="B155" s="33" t="s">
        <v>7347</v>
      </c>
      <c r="C155" t="s">
        <v>8496</v>
      </c>
      <c r="D155" s="1962" t="s">
        <v>882</v>
      </c>
      <c r="E155" s="1962" t="s">
        <v>883</v>
      </c>
      <c r="F155" s="1981">
        <v>-47.614611432400004</v>
      </c>
      <c r="G155" s="1981">
        <v>-43.474212796799996</v>
      </c>
      <c r="H155" s="1981">
        <v>-43.474212796799996</v>
      </c>
      <c r="I155" s="1981">
        <v>-45.544412114799997</v>
      </c>
      <c r="J155" s="1981">
        <v>-47.614611432400004</v>
      </c>
      <c r="K155" s="1981">
        <v>-41.404008958799999</v>
      </c>
      <c r="L155" s="1981">
        <v>-47.614611432400004</v>
      </c>
      <c r="M155" s="1981">
        <v>-45.544412114799997</v>
      </c>
      <c r="N155" s="1981">
        <v>-43.474212796799996</v>
      </c>
      <c r="O155" s="1981">
        <v>-47.614611432400004</v>
      </c>
      <c r="P155" s="1981">
        <v>-43.474212796799996</v>
      </c>
      <c r="Q155" s="1981">
        <v>-45.544412114799997</v>
      </c>
      <c r="R155" s="1981">
        <v>-542.39254222</v>
      </c>
      <c r="T155" s="48">
        <f t="shared" si="2"/>
        <v>0</v>
      </c>
      <c r="U155" s="48"/>
    </row>
    <row r="156" spans="2:21">
      <c r="B156" s="33" t="s">
        <v>7348</v>
      </c>
      <c r="C156" t="s">
        <v>8496</v>
      </c>
      <c r="D156" s="1962" t="s">
        <v>884</v>
      </c>
      <c r="E156" s="1962" t="s">
        <v>885</v>
      </c>
      <c r="F156" s="1981">
        <v>0</v>
      </c>
      <c r="G156" s="1981">
        <v>0</v>
      </c>
      <c r="H156" s="1981">
        <v>0</v>
      </c>
      <c r="I156" s="1981">
        <v>0</v>
      </c>
      <c r="J156" s="1981">
        <v>0</v>
      </c>
      <c r="K156" s="1981">
        <v>0</v>
      </c>
      <c r="L156" s="1981">
        <v>0</v>
      </c>
      <c r="M156" s="1981">
        <v>0</v>
      </c>
      <c r="N156" s="1981">
        <v>0</v>
      </c>
      <c r="O156" s="1981">
        <v>0</v>
      </c>
      <c r="P156" s="1981">
        <v>0</v>
      </c>
      <c r="Q156" s="1981">
        <v>0</v>
      </c>
      <c r="R156" s="1981">
        <v>0</v>
      </c>
      <c r="T156" s="48">
        <f t="shared" si="2"/>
        <v>0</v>
      </c>
      <c r="U156" s="48"/>
    </row>
    <row r="157" spans="2:21">
      <c r="B157" s="33" t="s">
        <v>7349</v>
      </c>
      <c r="C157" t="s">
        <v>8496</v>
      </c>
      <c r="D157" s="1962" t="s">
        <v>886</v>
      </c>
      <c r="E157" s="1962" t="s">
        <v>887</v>
      </c>
      <c r="F157" s="1981">
        <v>0</v>
      </c>
      <c r="G157" s="1981">
        <v>0</v>
      </c>
      <c r="H157" s="1981">
        <v>0</v>
      </c>
      <c r="I157" s="1981">
        <v>0</v>
      </c>
      <c r="J157" s="1981">
        <v>0</v>
      </c>
      <c r="K157" s="1981">
        <v>0</v>
      </c>
      <c r="L157" s="1981">
        <v>0</v>
      </c>
      <c r="M157" s="1981">
        <v>0</v>
      </c>
      <c r="N157" s="1981">
        <v>0</v>
      </c>
      <c r="O157" s="1981">
        <v>0</v>
      </c>
      <c r="P157" s="1981">
        <v>0</v>
      </c>
      <c r="Q157" s="1981">
        <v>0</v>
      </c>
      <c r="R157" s="1981">
        <v>0</v>
      </c>
      <c r="T157" s="48">
        <f t="shared" si="2"/>
        <v>0</v>
      </c>
      <c r="U157" s="48"/>
    </row>
    <row r="158" spans="2:21">
      <c r="B158" s="33" t="s">
        <v>7350</v>
      </c>
      <c r="C158" t="s">
        <v>8496</v>
      </c>
      <c r="D158" s="1962" t="s">
        <v>888</v>
      </c>
      <c r="E158" s="1962" t="s">
        <v>889</v>
      </c>
      <c r="F158" s="1981">
        <v>0</v>
      </c>
      <c r="G158" s="1981">
        <v>0</v>
      </c>
      <c r="H158" s="1981">
        <v>0</v>
      </c>
      <c r="I158" s="1981">
        <v>0</v>
      </c>
      <c r="J158" s="1981">
        <v>0</v>
      </c>
      <c r="K158" s="1981">
        <v>0</v>
      </c>
      <c r="L158" s="1981">
        <v>0</v>
      </c>
      <c r="M158" s="1981">
        <v>0</v>
      </c>
      <c r="N158" s="1981">
        <v>0</v>
      </c>
      <c r="O158" s="1981">
        <v>0</v>
      </c>
      <c r="P158" s="1981">
        <v>0</v>
      </c>
      <c r="Q158" s="1981">
        <v>0</v>
      </c>
      <c r="R158" s="1981">
        <v>0</v>
      </c>
      <c r="T158" s="48">
        <f t="shared" si="2"/>
        <v>0</v>
      </c>
      <c r="U158" s="48"/>
    </row>
    <row r="159" spans="2:21">
      <c r="B159" s="33" t="s">
        <v>7351</v>
      </c>
      <c r="C159" t="s">
        <v>8496</v>
      </c>
      <c r="D159" s="1962" t="s">
        <v>890</v>
      </c>
      <c r="E159" s="1962" t="s">
        <v>891</v>
      </c>
      <c r="F159" s="1981">
        <v>0</v>
      </c>
      <c r="G159" s="1981">
        <v>0</v>
      </c>
      <c r="H159" s="1981">
        <v>0</v>
      </c>
      <c r="I159" s="1981">
        <v>0</v>
      </c>
      <c r="J159" s="1981">
        <v>0</v>
      </c>
      <c r="K159" s="1981">
        <v>0</v>
      </c>
      <c r="L159" s="1981">
        <v>0</v>
      </c>
      <c r="M159" s="1981">
        <v>0</v>
      </c>
      <c r="N159" s="1981">
        <v>0</v>
      </c>
      <c r="O159" s="1981">
        <v>0</v>
      </c>
      <c r="P159" s="1981">
        <v>0</v>
      </c>
      <c r="Q159" s="1981">
        <v>0</v>
      </c>
      <c r="R159" s="1981">
        <v>0</v>
      </c>
      <c r="T159" s="48">
        <f t="shared" si="2"/>
        <v>0</v>
      </c>
      <c r="U159" s="48"/>
    </row>
    <row r="160" spans="2:21">
      <c r="B160" s="33" t="s">
        <v>7352</v>
      </c>
      <c r="C160" t="s">
        <v>8496</v>
      </c>
      <c r="D160" s="1962" t="s">
        <v>892</v>
      </c>
      <c r="E160" s="1962" t="s">
        <v>893</v>
      </c>
      <c r="F160" s="1981">
        <v>0</v>
      </c>
      <c r="G160" s="1981">
        <v>0</v>
      </c>
      <c r="H160" s="1981">
        <v>0</v>
      </c>
      <c r="I160" s="1981">
        <v>0</v>
      </c>
      <c r="J160" s="1981">
        <v>0</v>
      </c>
      <c r="K160" s="1981">
        <v>0</v>
      </c>
      <c r="L160" s="1981">
        <v>0</v>
      </c>
      <c r="M160" s="1981">
        <v>0</v>
      </c>
      <c r="N160" s="1981">
        <v>0</v>
      </c>
      <c r="O160" s="1981">
        <v>0</v>
      </c>
      <c r="P160" s="1981">
        <v>0</v>
      </c>
      <c r="Q160" s="1981">
        <v>0</v>
      </c>
      <c r="R160" s="1981">
        <v>0</v>
      </c>
      <c r="T160" s="48">
        <f t="shared" si="2"/>
        <v>0</v>
      </c>
      <c r="U160" s="48"/>
    </row>
    <row r="161" spans="2:21">
      <c r="B161" s="33" t="s">
        <v>7353</v>
      </c>
      <c r="C161" t="s">
        <v>8496</v>
      </c>
      <c r="D161" s="1962" t="s">
        <v>894</v>
      </c>
      <c r="E161" s="1962" t="s">
        <v>895</v>
      </c>
      <c r="F161" s="1981">
        <v>0</v>
      </c>
      <c r="G161" s="1981">
        <v>0</v>
      </c>
      <c r="H161" s="1981">
        <v>0</v>
      </c>
      <c r="I161" s="1981">
        <v>0</v>
      </c>
      <c r="J161" s="1981">
        <v>0</v>
      </c>
      <c r="K161" s="1981">
        <v>0</v>
      </c>
      <c r="L161" s="1981">
        <v>0</v>
      </c>
      <c r="M161" s="1981">
        <v>0</v>
      </c>
      <c r="N161" s="1981">
        <v>0</v>
      </c>
      <c r="O161" s="1981">
        <v>0</v>
      </c>
      <c r="P161" s="1981">
        <v>0</v>
      </c>
      <c r="Q161" s="1981">
        <v>0</v>
      </c>
      <c r="R161" s="1981">
        <v>0</v>
      </c>
      <c r="T161" s="48">
        <f t="shared" si="2"/>
        <v>0</v>
      </c>
      <c r="U161" s="48"/>
    </row>
    <row r="162" spans="2:21">
      <c r="B162" s="33" t="s">
        <v>7354</v>
      </c>
      <c r="C162" t="s">
        <v>8496</v>
      </c>
      <c r="D162" s="1962" t="s">
        <v>896</v>
      </c>
      <c r="E162" s="1962" t="s">
        <v>7355</v>
      </c>
      <c r="F162" s="1981">
        <v>0</v>
      </c>
      <c r="G162" s="1981">
        <v>0</v>
      </c>
      <c r="H162" s="1981">
        <v>0</v>
      </c>
      <c r="I162" s="1981">
        <v>0</v>
      </c>
      <c r="J162" s="1981">
        <v>0</v>
      </c>
      <c r="K162" s="1981">
        <v>0</v>
      </c>
      <c r="L162" s="1981">
        <v>0</v>
      </c>
      <c r="M162" s="1981">
        <v>0</v>
      </c>
      <c r="N162" s="1981">
        <v>0</v>
      </c>
      <c r="O162" s="1981">
        <v>0</v>
      </c>
      <c r="P162" s="1981">
        <v>0</v>
      </c>
      <c r="Q162" s="1981">
        <v>0</v>
      </c>
      <c r="R162" s="1981">
        <v>0</v>
      </c>
      <c r="T162" s="48">
        <f t="shared" si="2"/>
        <v>0</v>
      </c>
      <c r="U162" s="48"/>
    </row>
    <row r="163" spans="2:21">
      <c r="B163" s="33" t="s">
        <v>7356</v>
      </c>
      <c r="C163" t="s">
        <v>8496</v>
      </c>
      <c r="D163" s="1962" t="s">
        <v>897</v>
      </c>
      <c r="E163" s="1962" t="s">
        <v>898</v>
      </c>
      <c r="F163" s="1981">
        <v>0</v>
      </c>
      <c r="G163" s="1981">
        <v>0</v>
      </c>
      <c r="H163" s="1981">
        <v>0</v>
      </c>
      <c r="I163" s="1981">
        <v>0</v>
      </c>
      <c r="J163" s="1981">
        <v>0</v>
      </c>
      <c r="K163" s="1981">
        <v>0</v>
      </c>
      <c r="L163" s="1981">
        <v>0</v>
      </c>
      <c r="M163" s="1981">
        <v>0</v>
      </c>
      <c r="N163" s="1981">
        <v>0</v>
      </c>
      <c r="O163" s="1981">
        <v>0</v>
      </c>
      <c r="P163" s="1981">
        <v>0</v>
      </c>
      <c r="Q163" s="1981">
        <v>0</v>
      </c>
      <c r="R163" s="1981">
        <v>0</v>
      </c>
      <c r="T163" s="48">
        <f t="shared" si="2"/>
        <v>0</v>
      </c>
      <c r="U163" s="48"/>
    </row>
    <row r="164" spans="2:21">
      <c r="B164" s="33" t="s">
        <v>7357</v>
      </c>
      <c r="C164" t="s">
        <v>8496</v>
      </c>
      <c r="D164" s="1962" t="s">
        <v>899</v>
      </c>
      <c r="E164" s="1962" t="s">
        <v>900</v>
      </c>
      <c r="F164" s="1981">
        <v>9.8562499999999993</v>
      </c>
      <c r="G164" s="1981">
        <v>9.8562499999999993</v>
      </c>
      <c r="H164" s="1981">
        <v>9.8562499999999993</v>
      </c>
      <c r="I164" s="1981">
        <v>9.8562499999999993</v>
      </c>
      <c r="J164" s="1981">
        <v>9.8562499999999993</v>
      </c>
      <c r="K164" s="1981">
        <v>9.8562499999999993</v>
      </c>
      <c r="L164" s="1981">
        <v>9.8562499999999993</v>
      </c>
      <c r="M164" s="1981">
        <v>9.8562499999999993</v>
      </c>
      <c r="N164" s="1981">
        <v>9.8562499999999993</v>
      </c>
      <c r="O164" s="1981">
        <v>9.8562499999999993</v>
      </c>
      <c r="P164" s="1981">
        <v>9.8562499999999993</v>
      </c>
      <c r="Q164" s="1981">
        <v>9.8562499999999993</v>
      </c>
      <c r="R164" s="1981">
        <v>118.27500000000002</v>
      </c>
      <c r="T164" s="48">
        <f t="shared" si="2"/>
        <v>0</v>
      </c>
      <c r="U164" s="48"/>
    </row>
    <row r="165" spans="2:21">
      <c r="B165" s="33" t="s">
        <v>7358</v>
      </c>
      <c r="C165" t="s">
        <v>8496</v>
      </c>
      <c r="D165" s="1962" t="s">
        <v>901</v>
      </c>
      <c r="E165" s="1962" t="s">
        <v>902</v>
      </c>
      <c r="F165" s="1981">
        <v>133.20694625430002</v>
      </c>
      <c r="G165" s="1981">
        <v>170.7318881315</v>
      </c>
      <c r="H165" s="1981">
        <v>133.20694625430002</v>
      </c>
      <c r="I165" s="1981">
        <v>133.20694625430002</v>
      </c>
      <c r="J165" s="1981">
        <v>142.28507125430002</v>
      </c>
      <c r="K165" s="1981">
        <v>133.20694625430002</v>
      </c>
      <c r="L165" s="1981">
        <v>133.20694625430002</v>
      </c>
      <c r="M165" s="1981">
        <v>170.7318881315</v>
      </c>
      <c r="N165" s="1981">
        <v>142.28507125430002</v>
      </c>
      <c r="O165" s="1981">
        <v>133.20694625430002</v>
      </c>
      <c r="P165" s="1981">
        <v>133.20694625430002</v>
      </c>
      <c r="Q165" s="1981">
        <v>133.20694625430002</v>
      </c>
      <c r="R165" s="1981">
        <v>1691.6894888059999</v>
      </c>
      <c r="T165" s="48">
        <f t="shared" si="2"/>
        <v>0</v>
      </c>
      <c r="U165" s="48"/>
    </row>
    <row r="166" spans="2:21">
      <c r="B166" s="33" t="s">
        <v>7359</v>
      </c>
      <c r="C166" t="s">
        <v>8496</v>
      </c>
      <c r="D166" s="1962" t="s">
        <v>903</v>
      </c>
      <c r="E166" s="1962" t="s">
        <v>904</v>
      </c>
      <c r="F166" s="1981">
        <v>-1564.7042499290999</v>
      </c>
      <c r="G166" s="1981">
        <v>-1520.0449841462</v>
      </c>
      <c r="H166" s="1981">
        <v>-1536.6414988390002</v>
      </c>
      <c r="I166" s="1981">
        <v>-1567.6727798203001</v>
      </c>
      <c r="J166" s="1981">
        <v>-1574.4482208045001</v>
      </c>
      <c r="K166" s="1981">
        <v>-1501.3623553155001</v>
      </c>
      <c r="L166" s="1981">
        <v>-1566.0906533511002</v>
      </c>
      <c r="M166" s="1981">
        <v>-1542.6798416565</v>
      </c>
      <c r="N166" s="1981">
        <v>-1519.801284915</v>
      </c>
      <c r="O166" s="1981">
        <v>-1573.7190757551998</v>
      </c>
      <c r="P166" s="1981">
        <v>-1535.7682727760998</v>
      </c>
      <c r="Q166" s="1981">
        <v>-1534.8211070909001</v>
      </c>
      <c r="R166" s="1981">
        <v>-18537.754324399401</v>
      </c>
      <c r="T166" s="48">
        <f t="shared" si="2"/>
        <v>0</v>
      </c>
      <c r="U166" s="48"/>
    </row>
    <row r="167" spans="2:21">
      <c r="B167" s="33" t="s">
        <v>7360</v>
      </c>
      <c r="C167" t="s">
        <v>8496</v>
      </c>
      <c r="D167" s="1962" t="s">
        <v>905</v>
      </c>
      <c r="E167" s="1962" t="s">
        <v>906</v>
      </c>
      <c r="F167" s="1981">
        <v>0</v>
      </c>
      <c r="G167" s="1981">
        <v>0</v>
      </c>
      <c r="H167" s="1981">
        <v>0</v>
      </c>
      <c r="I167" s="1981">
        <v>0</v>
      </c>
      <c r="J167" s="1981">
        <v>0</v>
      </c>
      <c r="K167" s="1981">
        <v>0</v>
      </c>
      <c r="L167" s="1981">
        <v>0</v>
      </c>
      <c r="M167" s="1981">
        <v>0</v>
      </c>
      <c r="N167" s="1981">
        <v>0</v>
      </c>
      <c r="O167" s="1981">
        <v>0</v>
      </c>
      <c r="P167" s="1981">
        <v>0</v>
      </c>
      <c r="Q167" s="1981">
        <v>0</v>
      </c>
      <c r="R167" s="1981">
        <v>0</v>
      </c>
      <c r="T167" s="48">
        <f t="shared" si="2"/>
        <v>0</v>
      </c>
      <c r="U167" s="48"/>
    </row>
    <row r="168" spans="2:21">
      <c r="B168" s="33" t="s">
        <v>7361</v>
      </c>
      <c r="C168" t="s">
        <v>8496</v>
      </c>
      <c r="D168" s="1962" t="s">
        <v>907</v>
      </c>
      <c r="E168" s="1962" t="s">
        <v>908</v>
      </c>
      <c r="F168" s="1981">
        <v>0</v>
      </c>
      <c r="G168" s="1981">
        <v>0</v>
      </c>
      <c r="H168" s="1981">
        <v>0</v>
      </c>
      <c r="I168" s="1981">
        <v>0</v>
      </c>
      <c r="J168" s="1981">
        <v>0</v>
      </c>
      <c r="K168" s="1981">
        <v>0</v>
      </c>
      <c r="L168" s="1981">
        <v>0</v>
      </c>
      <c r="M168" s="1981">
        <v>0</v>
      </c>
      <c r="N168" s="1981">
        <v>0</v>
      </c>
      <c r="O168" s="1981">
        <v>0</v>
      </c>
      <c r="P168" s="1981">
        <v>0</v>
      </c>
      <c r="Q168" s="1981">
        <v>0</v>
      </c>
      <c r="R168" s="1981">
        <v>0</v>
      </c>
      <c r="T168" s="48">
        <f t="shared" si="2"/>
        <v>0</v>
      </c>
      <c r="U168" s="48"/>
    </row>
    <row r="169" spans="2:21">
      <c r="B169" s="33" t="s">
        <v>7362</v>
      </c>
      <c r="C169" t="s">
        <v>8496</v>
      </c>
      <c r="D169" s="1962" t="s">
        <v>909</v>
      </c>
      <c r="E169" s="1962" t="s">
        <v>910</v>
      </c>
      <c r="F169" s="1981">
        <v>0</v>
      </c>
      <c r="G169" s="1981">
        <v>0</v>
      </c>
      <c r="H169" s="1981">
        <v>0</v>
      </c>
      <c r="I169" s="1981">
        <v>0</v>
      </c>
      <c r="J169" s="1981">
        <v>0</v>
      </c>
      <c r="K169" s="1981">
        <v>0</v>
      </c>
      <c r="L169" s="1981">
        <v>0</v>
      </c>
      <c r="M169" s="1981">
        <v>0</v>
      </c>
      <c r="N169" s="1981">
        <v>0</v>
      </c>
      <c r="O169" s="1981">
        <v>0</v>
      </c>
      <c r="P169" s="1981">
        <v>0</v>
      </c>
      <c r="Q169" s="1981">
        <v>0</v>
      </c>
      <c r="R169" s="1981">
        <v>0</v>
      </c>
      <c r="T169" s="48">
        <f t="shared" si="2"/>
        <v>0</v>
      </c>
      <c r="U169" s="48"/>
    </row>
    <row r="170" spans="2:21">
      <c r="B170" s="33" t="s">
        <v>7363</v>
      </c>
      <c r="C170" t="s">
        <v>8496</v>
      </c>
      <c r="D170" s="1962" t="s">
        <v>911</v>
      </c>
      <c r="E170" s="1962" t="s">
        <v>912</v>
      </c>
      <c r="F170" s="1981">
        <v>26.456</v>
      </c>
      <c r="G170" s="1981">
        <v>26.456</v>
      </c>
      <c r="H170" s="1981">
        <v>26.456</v>
      </c>
      <c r="I170" s="1981">
        <v>26.456</v>
      </c>
      <c r="J170" s="1981">
        <v>26.456</v>
      </c>
      <c r="K170" s="1981">
        <v>26.456</v>
      </c>
      <c r="L170" s="1981">
        <v>26.456</v>
      </c>
      <c r="M170" s="1981">
        <v>26.456</v>
      </c>
      <c r="N170" s="1981">
        <v>26.456</v>
      </c>
      <c r="O170" s="1981">
        <v>26.456</v>
      </c>
      <c r="P170" s="1981">
        <v>26.456</v>
      </c>
      <c r="Q170" s="1981">
        <v>26.456</v>
      </c>
      <c r="R170" s="1981">
        <v>317.47199999999998</v>
      </c>
      <c r="T170" s="48">
        <f t="shared" si="2"/>
        <v>0</v>
      </c>
      <c r="U170" s="48"/>
    </row>
    <row r="171" spans="2:21">
      <c r="B171" s="33" t="s">
        <v>7364</v>
      </c>
      <c r="C171" t="s">
        <v>8496</v>
      </c>
      <c r="D171" s="1962" t="s">
        <v>913</v>
      </c>
      <c r="E171" s="1962" t="s">
        <v>914</v>
      </c>
      <c r="F171" s="1981">
        <v>18.588999999999999</v>
      </c>
      <c r="G171" s="1981">
        <v>18.588999999999999</v>
      </c>
      <c r="H171" s="1981">
        <v>18.588999999999999</v>
      </c>
      <c r="I171" s="1981">
        <v>18.588999999999999</v>
      </c>
      <c r="J171" s="1981">
        <v>18.588999999999999</v>
      </c>
      <c r="K171" s="1981">
        <v>18.588999999999999</v>
      </c>
      <c r="L171" s="1981">
        <v>18.588999999999999</v>
      </c>
      <c r="M171" s="1981">
        <v>18.588999999999999</v>
      </c>
      <c r="N171" s="1981">
        <v>18.588999999999999</v>
      </c>
      <c r="O171" s="1981">
        <v>18.588999999999999</v>
      </c>
      <c r="P171" s="1981">
        <v>18.588999999999999</v>
      </c>
      <c r="Q171" s="1981">
        <v>18.588999999999999</v>
      </c>
      <c r="R171" s="1981">
        <v>223.06799999999998</v>
      </c>
      <c r="T171" s="48">
        <f t="shared" si="2"/>
        <v>0</v>
      </c>
      <c r="U171" s="48"/>
    </row>
    <row r="172" spans="2:21">
      <c r="B172" s="33" t="s">
        <v>7365</v>
      </c>
      <c r="C172" t="s">
        <v>8496</v>
      </c>
      <c r="D172" s="1962" t="s">
        <v>915</v>
      </c>
      <c r="E172" s="1962" t="s">
        <v>916</v>
      </c>
      <c r="F172" s="1981">
        <v>30.779</v>
      </c>
      <c r="G172" s="1981">
        <v>30.779</v>
      </c>
      <c r="H172" s="1981">
        <v>30.779</v>
      </c>
      <c r="I172" s="1981">
        <v>30.779</v>
      </c>
      <c r="J172" s="1981">
        <v>30.779</v>
      </c>
      <c r="K172" s="1981">
        <v>30.779</v>
      </c>
      <c r="L172" s="1981">
        <v>30.779</v>
      </c>
      <c r="M172" s="1981">
        <v>30.779</v>
      </c>
      <c r="N172" s="1981">
        <v>30.779</v>
      </c>
      <c r="O172" s="1981">
        <v>30.779</v>
      </c>
      <c r="P172" s="1981">
        <v>30.779</v>
      </c>
      <c r="Q172" s="1981">
        <v>30.779</v>
      </c>
      <c r="R172" s="1981">
        <v>369.34800000000001</v>
      </c>
      <c r="T172" s="48">
        <f t="shared" si="2"/>
        <v>0</v>
      </c>
      <c r="U172" s="48"/>
    </row>
    <row r="173" spans="2:21">
      <c r="B173" s="33" t="s">
        <v>7366</v>
      </c>
      <c r="C173" t="s">
        <v>8496</v>
      </c>
      <c r="D173" s="1962" t="s">
        <v>917</v>
      </c>
      <c r="E173" s="1962" t="s">
        <v>918</v>
      </c>
      <c r="F173" s="1981">
        <v>12.45</v>
      </c>
      <c r="G173" s="1981">
        <v>12.45</v>
      </c>
      <c r="H173" s="1981">
        <v>12.45</v>
      </c>
      <c r="I173" s="1981">
        <v>12.45</v>
      </c>
      <c r="J173" s="1981">
        <v>12.45</v>
      </c>
      <c r="K173" s="1981">
        <v>12.45</v>
      </c>
      <c r="L173" s="1981">
        <v>12.45</v>
      </c>
      <c r="M173" s="1981">
        <v>12.45</v>
      </c>
      <c r="N173" s="1981">
        <v>12.45</v>
      </c>
      <c r="O173" s="1981">
        <v>12.45</v>
      </c>
      <c r="P173" s="1981">
        <v>12.45</v>
      </c>
      <c r="Q173" s="1981">
        <v>12.45</v>
      </c>
      <c r="R173" s="1981">
        <v>149.4</v>
      </c>
      <c r="T173" s="48">
        <f t="shared" si="2"/>
        <v>0</v>
      </c>
      <c r="U173" s="48"/>
    </row>
    <row r="174" spans="2:21">
      <c r="B174" s="33" t="s">
        <v>7367</v>
      </c>
      <c r="C174" t="s">
        <v>8496</v>
      </c>
      <c r="D174" s="1962" t="s">
        <v>919</v>
      </c>
      <c r="E174" s="1962" t="s">
        <v>920</v>
      </c>
      <c r="F174" s="1981">
        <v>2809.8960000000002</v>
      </c>
      <c r="G174" s="1981">
        <v>2809.8960000000002</v>
      </c>
      <c r="H174" s="1981">
        <v>2809.8960000000002</v>
      </c>
      <c r="I174" s="1981">
        <v>2809.8960000000002</v>
      </c>
      <c r="J174" s="1981">
        <v>2809.8960000000002</v>
      </c>
      <c r="K174" s="1981">
        <v>2809.8960000000002</v>
      </c>
      <c r="L174" s="1981">
        <v>2809.8960000000002</v>
      </c>
      <c r="M174" s="1981">
        <v>2809.8960000000002</v>
      </c>
      <c r="N174" s="1981">
        <v>2809.8960000000002</v>
      </c>
      <c r="O174" s="1981">
        <v>2809.8960000000002</v>
      </c>
      <c r="P174" s="1981">
        <v>2809.8960000000002</v>
      </c>
      <c r="Q174" s="1981">
        <v>2809.8960000000002</v>
      </c>
      <c r="R174" s="1981">
        <v>33718.752</v>
      </c>
      <c r="T174" s="48">
        <f t="shared" si="2"/>
        <v>0</v>
      </c>
      <c r="U174" s="48"/>
    </row>
    <row r="175" spans="2:21">
      <c r="B175" s="33" t="s">
        <v>7368</v>
      </c>
      <c r="C175" t="s">
        <v>8496</v>
      </c>
      <c r="D175" s="1962" t="s">
        <v>921</v>
      </c>
      <c r="E175" s="1962" t="s">
        <v>922</v>
      </c>
      <c r="F175" s="1981">
        <v>0</v>
      </c>
      <c r="G175" s="1981">
        <v>0</v>
      </c>
      <c r="H175" s="1981">
        <v>304.34699999999998</v>
      </c>
      <c r="I175" s="1981">
        <v>0</v>
      </c>
      <c r="J175" s="1981">
        <v>0</v>
      </c>
      <c r="K175" s="1981">
        <v>304.34699999999998</v>
      </c>
      <c r="L175" s="1981">
        <v>0</v>
      </c>
      <c r="M175" s="1981">
        <v>0</v>
      </c>
      <c r="N175" s="1981">
        <v>304.34699999999998</v>
      </c>
      <c r="O175" s="1981">
        <v>0</v>
      </c>
      <c r="P175" s="1981">
        <v>0</v>
      </c>
      <c r="Q175" s="1981">
        <v>304.34699999999998</v>
      </c>
      <c r="R175" s="1981">
        <v>1217.3879999999999</v>
      </c>
      <c r="T175" s="48">
        <f t="shared" si="2"/>
        <v>0</v>
      </c>
      <c r="U175" s="48"/>
    </row>
    <row r="176" spans="2:21">
      <c r="B176" s="33" t="s">
        <v>7369</v>
      </c>
      <c r="C176" t="s">
        <v>8496</v>
      </c>
      <c r="D176" s="1962" t="s">
        <v>923</v>
      </c>
      <c r="E176" s="1962" t="s">
        <v>924</v>
      </c>
      <c r="F176" s="1981">
        <v>0</v>
      </c>
      <c r="G176" s="1981">
        <v>0</v>
      </c>
      <c r="H176" s="1981">
        <v>500.97500000000002</v>
      </c>
      <c r="I176" s="1981">
        <v>0</v>
      </c>
      <c r="J176" s="1981">
        <v>0</v>
      </c>
      <c r="K176" s="1981">
        <v>500.97500000000002</v>
      </c>
      <c r="L176" s="1981">
        <v>0</v>
      </c>
      <c r="M176" s="1981">
        <v>0</v>
      </c>
      <c r="N176" s="1981">
        <v>500.97500000000002</v>
      </c>
      <c r="O176" s="1981">
        <v>0</v>
      </c>
      <c r="P176" s="1981">
        <v>0</v>
      </c>
      <c r="Q176" s="1981">
        <v>500.97500000000002</v>
      </c>
      <c r="R176" s="1981">
        <v>2003.9</v>
      </c>
      <c r="T176" s="48">
        <f t="shared" si="2"/>
        <v>0</v>
      </c>
      <c r="U176" s="48"/>
    </row>
    <row r="177" spans="2:21">
      <c r="B177" s="33" t="s">
        <v>7370</v>
      </c>
      <c r="C177" t="s">
        <v>8496</v>
      </c>
      <c r="D177" s="1962" t="s">
        <v>925</v>
      </c>
      <c r="E177" s="1962" t="s">
        <v>926</v>
      </c>
      <c r="F177" s="1981">
        <v>0</v>
      </c>
      <c r="G177" s="1981">
        <v>0</v>
      </c>
      <c r="H177" s="1981">
        <v>847.12300000000005</v>
      </c>
      <c r="I177" s="1981">
        <v>0</v>
      </c>
      <c r="J177" s="1981">
        <v>0</v>
      </c>
      <c r="K177" s="1981">
        <v>847.12300000000005</v>
      </c>
      <c r="L177" s="1981">
        <v>0</v>
      </c>
      <c r="M177" s="1981">
        <v>0</v>
      </c>
      <c r="N177" s="1981">
        <v>847.12300000000005</v>
      </c>
      <c r="O177" s="1981">
        <v>0</v>
      </c>
      <c r="P177" s="1981">
        <v>0</v>
      </c>
      <c r="Q177" s="1981">
        <v>847.12300000000005</v>
      </c>
      <c r="R177" s="1981">
        <v>3388.4920000000002</v>
      </c>
      <c r="T177" s="48">
        <f t="shared" si="2"/>
        <v>0</v>
      </c>
      <c r="U177" s="48"/>
    </row>
    <row r="178" spans="2:21">
      <c r="B178" s="33" t="s">
        <v>7371</v>
      </c>
      <c r="C178" t="s">
        <v>8496</v>
      </c>
      <c r="D178" s="1962" t="s">
        <v>927</v>
      </c>
      <c r="E178" s="1962" t="s">
        <v>7372</v>
      </c>
      <c r="F178" s="1981">
        <v>0</v>
      </c>
      <c r="G178" s="1981">
        <v>0</v>
      </c>
      <c r="H178" s="1981">
        <v>1706.346</v>
      </c>
      <c r="I178" s="1981">
        <v>0</v>
      </c>
      <c r="J178" s="1981">
        <v>0</v>
      </c>
      <c r="K178" s="1981">
        <v>1706.346</v>
      </c>
      <c r="L178" s="1981">
        <v>0</v>
      </c>
      <c r="M178" s="1981">
        <v>0</v>
      </c>
      <c r="N178" s="1981">
        <v>1706.346</v>
      </c>
      <c r="O178" s="1981">
        <v>0</v>
      </c>
      <c r="P178" s="1981">
        <v>0</v>
      </c>
      <c r="Q178" s="1981">
        <v>1706.346</v>
      </c>
      <c r="R178" s="1981">
        <v>6825.384</v>
      </c>
      <c r="T178" s="48">
        <f t="shared" si="2"/>
        <v>0</v>
      </c>
      <c r="U178" s="48"/>
    </row>
    <row r="179" spans="2:21">
      <c r="B179" s="33" t="s">
        <v>7373</v>
      </c>
      <c r="C179" t="s">
        <v>8496</v>
      </c>
      <c r="D179" s="1962" t="s">
        <v>928</v>
      </c>
      <c r="E179" s="1962" t="s">
        <v>929</v>
      </c>
      <c r="F179" s="1981">
        <v>0</v>
      </c>
      <c r="G179" s="1981">
        <v>0</v>
      </c>
      <c r="H179" s="1981">
        <v>0</v>
      </c>
      <c r="I179" s="1981">
        <v>0</v>
      </c>
      <c r="J179" s="1981">
        <v>0</v>
      </c>
      <c r="K179" s="1981">
        <v>0</v>
      </c>
      <c r="L179" s="1981">
        <v>0</v>
      </c>
      <c r="M179" s="1981">
        <v>0</v>
      </c>
      <c r="N179" s="1981">
        <v>0</v>
      </c>
      <c r="O179" s="1981">
        <v>0</v>
      </c>
      <c r="P179" s="1981">
        <v>0</v>
      </c>
      <c r="Q179" s="1981">
        <v>0</v>
      </c>
      <c r="R179" s="1981">
        <v>0</v>
      </c>
      <c r="T179" s="48">
        <f t="shared" si="2"/>
        <v>0</v>
      </c>
      <c r="U179" s="48"/>
    </row>
    <row r="180" spans="2:21">
      <c r="B180" s="33" t="s">
        <v>7374</v>
      </c>
      <c r="C180" t="s">
        <v>8496</v>
      </c>
      <c r="D180" s="1962" t="s">
        <v>930</v>
      </c>
      <c r="E180" s="1962" t="s">
        <v>931</v>
      </c>
      <c r="F180" s="1981">
        <v>12.968999999999999</v>
      </c>
      <c r="G180" s="1981">
        <v>12.968999999999999</v>
      </c>
      <c r="H180" s="1981">
        <v>12.968999999999999</v>
      </c>
      <c r="I180" s="1981">
        <v>12.968999999999999</v>
      </c>
      <c r="J180" s="1981">
        <v>12.968999999999999</v>
      </c>
      <c r="K180" s="1981">
        <v>12.968999999999999</v>
      </c>
      <c r="L180" s="1981">
        <v>12.968999999999999</v>
      </c>
      <c r="M180" s="1981">
        <v>12.968999999999999</v>
      </c>
      <c r="N180" s="1981">
        <v>12.968999999999999</v>
      </c>
      <c r="O180" s="1981">
        <v>12.968999999999999</v>
      </c>
      <c r="P180" s="1981">
        <v>12.968999999999999</v>
      </c>
      <c r="Q180" s="1981">
        <v>12.968999999999999</v>
      </c>
      <c r="R180" s="1981">
        <v>155.62799999999996</v>
      </c>
      <c r="T180" s="48">
        <f t="shared" si="2"/>
        <v>0</v>
      </c>
      <c r="U180" s="48"/>
    </row>
    <row r="181" spans="2:21">
      <c r="B181" s="33" t="s">
        <v>7375</v>
      </c>
      <c r="C181" t="s">
        <v>8496</v>
      </c>
      <c r="D181" s="1962" t="s">
        <v>932</v>
      </c>
      <c r="E181" s="1962" t="s">
        <v>933</v>
      </c>
      <c r="F181" s="1981">
        <v>711.15700000000004</v>
      </c>
      <c r="G181" s="1981">
        <v>711.15700000000004</v>
      </c>
      <c r="H181" s="1981">
        <v>711.15700000000004</v>
      </c>
      <c r="I181" s="1981">
        <v>711.15700000000004</v>
      </c>
      <c r="J181" s="1981">
        <v>711.15700000000004</v>
      </c>
      <c r="K181" s="1981">
        <v>711.15700000000004</v>
      </c>
      <c r="L181" s="1981">
        <v>711.15700000000004</v>
      </c>
      <c r="M181" s="1981">
        <v>711.15700000000004</v>
      </c>
      <c r="N181" s="1981">
        <v>711.15700000000004</v>
      </c>
      <c r="O181" s="1981">
        <v>711.15700000000004</v>
      </c>
      <c r="P181" s="1981">
        <v>711.15700000000004</v>
      </c>
      <c r="Q181" s="1981">
        <v>711.15700000000004</v>
      </c>
      <c r="R181" s="1981">
        <v>8533.884</v>
      </c>
      <c r="T181" s="48">
        <f t="shared" si="2"/>
        <v>0</v>
      </c>
      <c r="U181" s="48"/>
    </row>
    <row r="182" spans="2:21">
      <c r="B182" s="33" t="s">
        <v>7376</v>
      </c>
      <c r="C182" t="s">
        <v>8496</v>
      </c>
      <c r="D182" s="1962" t="s">
        <v>934</v>
      </c>
      <c r="E182" s="1962" t="s">
        <v>935</v>
      </c>
      <c r="F182" s="1981">
        <v>854.54499999999996</v>
      </c>
      <c r="G182" s="1981">
        <v>854.54499999999996</v>
      </c>
      <c r="H182" s="1981">
        <v>854.54499999999996</v>
      </c>
      <c r="I182" s="1981">
        <v>854.54499999999996</v>
      </c>
      <c r="J182" s="1981">
        <v>854.54499999999996</v>
      </c>
      <c r="K182" s="1981">
        <v>854.54499999999996</v>
      </c>
      <c r="L182" s="1981">
        <v>854.54499999999996</v>
      </c>
      <c r="M182" s="1981">
        <v>854.54499999999996</v>
      </c>
      <c r="N182" s="1981">
        <v>854.54499999999996</v>
      </c>
      <c r="O182" s="1981">
        <v>854.54499999999996</v>
      </c>
      <c r="P182" s="1981">
        <v>854.54499999999996</v>
      </c>
      <c r="Q182" s="1981">
        <v>854.54499999999996</v>
      </c>
      <c r="R182" s="1981">
        <v>10254.539999999999</v>
      </c>
      <c r="T182" s="48">
        <f t="shared" si="2"/>
        <v>0</v>
      </c>
      <c r="U182" s="48"/>
    </row>
    <row r="183" spans="2:21">
      <c r="B183" s="33" t="s">
        <v>7377</v>
      </c>
      <c r="C183" t="s">
        <v>8496</v>
      </c>
      <c r="D183" s="1962" t="s">
        <v>936</v>
      </c>
      <c r="E183" s="1962" t="s">
        <v>937</v>
      </c>
      <c r="F183" s="1981">
        <v>0</v>
      </c>
      <c r="G183" s="1981">
        <v>0</v>
      </c>
      <c r="H183" s="1981">
        <v>0</v>
      </c>
      <c r="I183" s="1981">
        <v>0</v>
      </c>
      <c r="J183" s="1981">
        <v>0</v>
      </c>
      <c r="K183" s="1981">
        <v>0</v>
      </c>
      <c r="L183" s="1981">
        <v>0</v>
      </c>
      <c r="M183" s="1981">
        <v>0</v>
      </c>
      <c r="N183" s="1981">
        <v>0</v>
      </c>
      <c r="O183" s="1981">
        <v>0</v>
      </c>
      <c r="P183" s="1981">
        <v>0</v>
      </c>
      <c r="Q183" s="1981">
        <v>0</v>
      </c>
      <c r="R183" s="1981">
        <v>0</v>
      </c>
      <c r="T183" s="48">
        <f t="shared" si="2"/>
        <v>0</v>
      </c>
      <c r="U183" s="48"/>
    </row>
    <row r="184" spans="2:21">
      <c r="B184" s="33" t="s">
        <v>7378</v>
      </c>
      <c r="C184" t="s">
        <v>8496</v>
      </c>
      <c r="D184" s="1962" t="s">
        <v>938</v>
      </c>
      <c r="E184" s="1962" t="s">
        <v>939</v>
      </c>
      <c r="F184" s="1981">
        <v>0</v>
      </c>
      <c r="G184" s="1981">
        <v>0</v>
      </c>
      <c r="H184" s="1981">
        <v>26.704000000000001</v>
      </c>
      <c r="I184" s="1981">
        <v>0</v>
      </c>
      <c r="J184" s="1981">
        <v>0</v>
      </c>
      <c r="K184" s="1981">
        <v>26.704000000000001</v>
      </c>
      <c r="L184" s="1981">
        <v>0</v>
      </c>
      <c r="M184" s="1981">
        <v>0</v>
      </c>
      <c r="N184" s="1981">
        <v>26.704000000000001</v>
      </c>
      <c r="O184" s="1981">
        <v>0</v>
      </c>
      <c r="P184" s="1981">
        <v>0</v>
      </c>
      <c r="Q184" s="1981">
        <v>26.704000000000001</v>
      </c>
      <c r="R184" s="1981">
        <v>106.816</v>
      </c>
      <c r="T184" s="48">
        <f t="shared" si="2"/>
        <v>0</v>
      </c>
      <c r="U184" s="48"/>
    </row>
    <row r="185" spans="2:21">
      <c r="B185" s="33" t="s">
        <v>7379</v>
      </c>
      <c r="C185" t="s">
        <v>8496</v>
      </c>
      <c r="D185" s="1962" t="s">
        <v>940</v>
      </c>
      <c r="E185" s="1962" t="s">
        <v>941</v>
      </c>
      <c r="F185" s="1981">
        <v>155.625</v>
      </c>
      <c r="G185" s="1981">
        <v>155.625</v>
      </c>
      <c r="H185" s="1981">
        <v>155.625</v>
      </c>
      <c r="I185" s="1981">
        <v>155.625</v>
      </c>
      <c r="J185" s="1981">
        <v>155.625</v>
      </c>
      <c r="K185" s="1981">
        <v>155.625</v>
      </c>
      <c r="L185" s="1981">
        <v>155.625</v>
      </c>
      <c r="M185" s="1981">
        <v>155.625</v>
      </c>
      <c r="N185" s="1981">
        <v>155.625</v>
      </c>
      <c r="O185" s="1981">
        <v>155.625</v>
      </c>
      <c r="P185" s="1981">
        <v>155.625</v>
      </c>
      <c r="Q185" s="1981">
        <v>155.625</v>
      </c>
      <c r="R185" s="1981">
        <v>1867.5</v>
      </c>
      <c r="T185" s="48">
        <f t="shared" si="2"/>
        <v>0</v>
      </c>
      <c r="U185" s="48"/>
    </row>
    <row r="186" spans="2:21">
      <c r="B186" s="33" t="s">
        <v>7380</v>
      </c>
      <c r="C186" t="s">
        <v>8496</v>
      </c>
      <c r="D186" s="1962" t="s">
        <v>942</v>
      </c>
      <c r="E186" s="1962" t="s">
        <v>943</v>
      </c>
      <c r="F186" s="1981">
        <v>103.75</v>
      </c>
      <c r="G186" s="1981">
        <v>103.75</v>
      </c>
      <c r="H186" s="1981">
        <v>103.75</v>
      </c>
      <c r="I186" s="1981">
        <v>103.75</v>
      </c>
      <c r="J186" s="1981">
        <v>103.75</v>
      </c>
      <c r="K186" s="1981">
        <v>103.75</v>
      </c>
      <c r="L186" s="1981">
        <v>103.75</v>
      </c>
      <c r="M186" s="1981">
        <v>103.75</v>
      </c>
      <c r="N186" s="1981">
        <v>103.75</v>
      </c>
      <c r="O186" s="1981">
        <v>103.75</v>
      </c>
      <c r="P186" s="1981">
        <v>103.75</v>
      </c>
      <c r="Q186" s="1981">
        <v>103.75</v>
      </c>
      <c r="R186" s="1981">
        <v>1245</v>
      </c>
      <c r="T186" s="48">
        <f t="shared" si="2"/>
        <v>0</v>
      </c>
      <c r="U186" s="48"/>
    </row>
    <row r="187" spans="2:21">
      <c r="B187" s="33" t="s">
        <v>8706</v>
      </c>
      <c r="C187" t="s">
        <v>8496</v>
      </c>
      <c r="D187" s="1962" t="s">
        <v>8707</v>
      </c>
      <c r="E187" s="1962" t="s">
        <v>944</v>
      </c>
      <c r="F187" s="1981">
        <v>0</v>
      </c>
      <c r="G187" s="1981">
        <v>0</v>
      </c>
      <c r="H187" s="1981">
        <v>0</v>
      </c>
      <c r="I187" s="1981">
        <v>0</v>
      </c>
      <c r="J187" s="1981">
        <v>0</v>
      </c>
      <c r="K187" s="1981">
        <v>0</v>
      </c>
      <c r="L187" s="1981">
        <v>0</v>
      </c>
      <c r="M187" s="1981">
        <v>0</v>
      </c>
      <c r="N187" s="1981">
        <v>0</v>
      </c>
      <c r="O187" s="1981">
        <v>0</v>
      </c>
      <c r="P187" s="1981">
        <v>0</v>
      </c>
      <c r="Q187" s="1981">
        <v>0</v>
      </c>
      <c r="R187" s="1981">
        <v>0</v>
      </c>
      <c r="T187" s="48">
        <f t="shared" si="2"/>
        <v>0</v>
      </c>
      <c r="U187" s="48"/>
    </row>
    <row r="188" spans="2:21">
      <c r="B188" s="33" t="s">
        <v>7382</v>
      </c>
      <c r="C188" t="s">
        <v>8496</v>
      </c>
      <c r="D188" s="1962" t="s">
        <v>945</v>
      </c>
      <c r="E188" s="1962" t="s">
        <v>946</v>
      </c>
      <c r="F188" s="1981">
        <v>0</v>
      </c>
      <c r="G188" s="1981">
        <v>0</v>
      </c>
      <c r="H188" s="1981">
        <v>32.411999999999999</v>
      </c>
      <c r="I188" s="1981">
        <v>0</v>
      </c>
      <c r="J188" s="1981">
        <v>0</v>
      </c>
      <c r="K188" s="1981">
        <v>32.411999999999999</v>
      </c>
      <c r="L188" s="1981">
        <v>0</v>
      </c>
      <c r="M188" s="1981">
        <v>0</v>
      </c>
      <c r="N188" s="1981">
        <v>32.411999999999999</v>
      </c>
      <c r="O188" s="1981">
        <v>0</v>
      </c>
      <c r="P188" s="1981">
        <v>0</v>
      </c>
      <c r="Q188" s="1981">
        <v>32.411999999999999</v>
      </c>
      <c r="R188" s="1981">
        <v>129.648</v>
      </c>
      <c r="T188" s="48">
        <f t="shared" si="2"/>
        <v>0</v>
      </c>
      <c r="U188" s="48"/>
    </row>
    <row r="189" spans="2:21">
      <c r="B189" s="33" t="s">
        <v>7383</v>
      </c>
      <c r="C189" t="s">
        <v>8496</v>
      </c>
      <c r="D189" s="1962" t="s">
        <v>947</v>
      </c>
      <c r="E189" s="1962" t="s">
        <v>948</v>
      </c>
      <c r="F189" s="1981">
        <v>41.848999999999997</v>
      </c>
      <c r="G189" s="1981">
        <v>41.85</v>
      </c>
      <c r="H189" s="1981">
        <v>41.850999999999999</v>
      </c>
      <c r="I189" s="1981">
        <v>41.848999999999997</v>
      </c>
      <c r="J189" s="1981">
        <v>41.85</v>
      </c>
      <c r="K189" s="1981">
        <v>41.850999999999999</v>
      </c>
      <c r="L189" s="1981">
        <v>41.848999999999997</v>
      </c>
      <c r="M189" s="1981">
        <v>41.85</v>
      </c>
      <c r="N189" s="1981">
        <v>41.850999999999999</v>
      </c>
      <c r="O189" s="1981">
        <v>41.848999999999997</v>
      </c>
      <c r="P189" s="1981">
        <v>41.85</v>
      </c>
      <c r="Q189" s="1981">
        <v>41.850999999999999</v>
      </c>
      <c r="R189" s="1981">
        <v>502.20000000000005</v>
      </c>
      <c r="T189" s="48">
        <f t="shared" si="2"/>
        <v>0</v>
      </c>
      <c r="U189" s="48"/>
    </row>
    <row r="190" spans="2:21">
      <c r="B190" s="33" t="s">
        <v>7384</v>
      </c>
      <c r="C190" t="s">
        <v>8496</v>
      </c>
      <c r="D190" s="1962" t="s">
        <v>949</v>
      </c>
      <c r="E190" s="1962" t="s">
        <v>950</v>
      </c>
      <c r="F190" s="1981">
        <v>-143.2427282964</v>
      </c>
      <c r="G190" s="1981">
        <v>-130.08738669670001</v>
      </c>
      <c r="H190" s="1981">
        <v>-121.78738669670001</v>
      </c>
      <c r="I190" s="1981">
        <v>-139.79335105520002</v>
      </c>
      <c r="J190" s="1981">
        <v>-146.51321694479998</v>
      </c>
      <c r="K190" s="1981">
        <v>-118.053607352</v>
      </c>
      <c r="L190" s="1981">
        <v>-146.51321694479998</v>
      </c>
      <c r="M190" s="1981">
        <v>-139.79335105520002</v>
      </c>
      <c r="N190" s="1981">
        <v>-124.77348516529999</v>
      </c>
      <c r="O190" s="1981">
        <v>-146.51321694479998</v>
      </c>
      <c r="P190" s="1981">
        <v>-133.07348516529999</v>
      </c>
      <c r="Q190" s="1981">
        <v>-131.98642826899999</v>
      </c>
      <c r="R190" s="1981">
        <v>-1622.1308605862</v>
      </c>
      <c r="T190" s="48">
        <f t="shared" si="2"/>
        <v>0</v>
      </c>
      <c r="U190" s="48"/>
    </row>
    <row r="191" spans="2:21">
      <c r="B191" s="33" t="s">
        <v>7385</v>
      </c>
      <c r="C191" t="s">
        <v>8496</v>
      </c>
      <c r="D191" s="1962" t="s">
        <v>951</v>
      </c>
      <c r="E191" s="1962" t="s">
        <v>952</v>
      </c>
      <c r="F191" s="1981">
        <v>2350.5300000000002</v>
      </c>
      <c r="G191" s="1981">
        <v>2350.5300000000002</v>
      </c>
      <c r="H191" s="1981">
        <v>2350.5300000000002</v>
      </c>
      <c r="I191" s="1981">
        <v>2350.5300000000002</v>
      </c>
      <c r="J191" s="1981">
        <v>2350.5300000000002</v>
      </c>
      <c r="K191" s="1981">
        <v>2350.5300000000002</v>
      </c>
      <c r="L191" s="1981">
        <v>2350.5300000000002</v>
      </c>
      <c r="M191" s="1981">
        <v>2350.5300000000002</v>
      </c>
      <c r="N191" s="1981">
        <v>2350.5300000000002</v>
      </c>
      <c r="O191" s="1981">
        <v>2350.5300000000002</v>
      </c>
      <c r="P191" s="1981">
        <v>2350.5300000000002</v>
      </c>
      <c r="Q191" s="1981">
        <v>2350.5300000000002</v>
      </c>
      <c r="R191" s="1981">
        <v>28206.359999999997</v>
      </c>
      <c r="T191" s="48">
        <f t="shared" si="2"/>
        <v>0</v>
      </c>
      <c r="U191" s="48"/>
    </row>
    <row r="192" spans="2:21">
      <c r="B192" s="33" t="s">
        <v>7386</v>
      </c>
      <c r="C192" t="s">
        <v>8496</v>
      </c>
      <c r="D192" s="1962" t="s">
        <v>7387</v>
      </c>
      <c r="E192" s="1962" t="s">
        <v>7388</v>
      </c>
      <c r="F192" s="1981">
        <v>111.83575018609999</v>
      </c>
      <c r="G192" s="1981">
        <v>112.4138408765</v>
      </c>
      <c r="H192" s="1981">
        <v>112.93622425410003</v>
      </c>
      <c r="I192" s="1981">
        <v>113.87982230999999</v>
      </c>
      <c r="J192" s="1981">
        <v>118.49775255850001</v>
      </c>
      <c r="K192" s="1981">
        <v>119.9442147826</v>
      </c>
      <c r="L192" s="1981">
        <v>120.92144712</v>
      </c>
      <c r="M192" s="1981">
        <v>121.12777437760001</v>
      </c>
      <c r="N192" s="1981">
        <v>121.17974769800001</v>
      </c>
      <c r="O192" s="1981">
        <v>112.8657015813</v>
      </c>
      <c r="P192" s="1981">
        <v>116.54932121830002</v>
      </c>
      <c r="Q192" s="1981">
        <v>118.30999677540001</v>
      </c>
      <c r="R192" s="1981">
        <v>1400.4615937384001</v>
      </c>
      <c r="T192" s="48">
        <f t="shared" si="2"/>
        <v>0</v>
      </c>
      <c r="U192" s="48"/>
    </row>
    <row r="193" spans="2:21">
      <c r="B193" s="33" t="s">
        <v>7389</v>
      </c>
      <c r="C193" t="s">
        <v>8496</v>
      </c>
      <c r="D193" s="1962" t="s">
        <v>953</v>
      </c>
      <c r="E193" s="1962" t="s">
        <v>7390</v>
      </c>
      <c r="F193" s="1981">
        <v>0</v>
      </c>
      <c r="G193" s="1981">
        <v>0</v>
      </c>
      <c r="H193" s="1981">
        <v>0</v>
      </c>
      <c r="I193" s="1981">
        <v>0</v>
      </c>
      <c r="J193" s="1981">
        <v>0</v>
      </c>
      <c r="K193" s="1981">
        <v>0</v>
      </c>
      <c r="L193" s="1981">
        <v>0</v>
      </c>
      <c r="M193" s="1981">
        <v>0</v>
      </c>
      <c r="N193" s="1981">
        <v>0</v>
      </c>
      <c r="O193" s="1981">
        <v>0</v>
      </c>
      <c r="P193" s="1981">
        <v>0</v>
      </c>
      <c r="Q193" s="1981">
        <v>0</v>
      </c>
      <c r="R193" s="1981">
        <v>0</v>
      </c>
      <c r="T193" s="48">
        <f t="shared" si="2"/>
        <v>0</v>
      </c>
      <c r="U193" s="48"/>
    </row>
    <row r="194" spans="2:21">
      <c r="B194" s="33" t="s">
        <v>7391</v>
      </c>
      <c r="C194" t="s">
        <v>8496</v>
      </c>
      <c r="D194" s="1962" t="s">
        <v>954</v>
      </c>
      <c r="E194" s="1962" t="s">
        <v>7392</v>
      </c>
      <c r="F194" s="1981">
        <v>50.088408415700002</v>
      </c>
      <c r="G194" s="1981">
        <v>38.738374247700001</v>
      </c>
      <c r="H194" s="1981">
        <v>33.307490497699995</v>
      </c>
      <c r="I194" s="1981">
        <v>25.704006759299997</v>
      </c>
      <c r="J194" s="1981">
        <v>24.292991759299998</v>
      </c>
      <c r="K194" s="1981">
        <v>31.453054009300001</v>
      </c>
      <c r="L194" s="1981">
        <v>26.4986715151</v>
      </c>
      <c r="M194" s="1981">
        <v>26.128289515100001</v>
      </c>
      <c r="N194" s="1981">
        <v>26.951931765099999</v>
      </c>
      <c r="O194" s="1981">
        <v>25.9879392709</v>
      </c>
      <c r="P194" s="1981">
        <v>27.820939270899999</v>
      </c>
      <c r="Q194" s="1981">
        <v>38.929616799800002</v>
      </c>
      <c r="R194" s="1981">
        <v>375.90171382590006</v>
      </c>
      <c r="T194" s="48">
        <f t="shared" si="2"/>
        <v>0</v>
      </c>
      <c r="U194" s="48"/>
    </row>
    <row r="195" spans="2:21">
      <c r="B195" s="33" t="s">
        <v>7393</v>
      </c>
      <c r="C195" t="s">
        <v>8496</v>
      </c>
      <c r="D195" s="1962" t="s">
        <v>955</v>
      </c>
      <c r="E195" s="1962" t="s">
        <v>956</v>
      </c>
      <c r="F195" s="1981">
        <v>0</v>
      </c>
      <c r="G195" s="1981">
        <v>0.1</v>
      </c>
      <c r="H195" s="1981">
        <v>0.5</v>
      </c>
      <c r="I195" s="1981">
        <v>0</v>
      </c>
      <c r="J195" s="1981">
        <v>0.1</v>
      </c>
      <c r="K195" s="1981">
        <v>0</v>
      </c>
      <c r="L195" s="1981">
        <v>0.1</v>
      </c>
      <c r="M195" s="1981">
        <v>0</v>
      </c>
      <c r="N195" s="1981">
        <v>0.1</v>
      </c>
      <c r="O195" s="1981">
        <v>0</v>
      </c>
      <c r="P195" s="1981">
        <v>0.1</v>
      </c>
      <c r="Q195" s="1981">
        <v>0</v>
      </c>
      <c r="R195" s="1981">
        <v>0.99999999999999989</v>
      </c>
      <c r="T195" s="48">
        <f t="shared" si="2"/>
        <v>0</v>
      </c>
      <c r="U195" s="48"/>
    </row>
    <row r="196" spans="2:21">
      <c r="B196" s="33" t="s">
        <v>7394</v>
      </c>
      <c r="C196" t="s">
        <v>8496</v>
      </c>
      <c r="D196" s="1962" t="s">
        <v>957</v>
      </c>
      <c r="E196" s="1962" t="s">
        <v>7395</v>
      </c>
      <c r="F196" s="1981">
        <v>6</v>
      </c>
      <c r="G196" s="1981">
        <v>6</v>
      </c>
      <c r="H196" s="1981">
        <v>6</v>
      </c>
      <c r="I196" s="1981">
        <v>6</v>
      </c>
      <c r="J196" s="1981">
        <v>6</v>
      </c>
      <c r="K196" s="1981">
        <v>6</v>
      </c>
      <c r="L196" s="1981">
        <v>6</v>
      </c>
      <c r="M196" s="1981">
        <v>6</v>
      </c>
      <c r="N196" s="1981">
        <v>6</v>
      </c>
      <c r="O196" s="1981">
        <v>6</v>
      </c>
      <c r="P196" s="1981">
        <v>6</v>
      </c>
      <c r="Q196" s="1981">
        <v>6</v>
      </c>
      <c r="R196" s="1981">
        <v>72</v>
      </c>
      <c r="T196" s="48">
        <f t="shared" si="2"/>
        <v>0</v>
      </c>
      <c r="U196" s="48"/>
    </row>
    <row r="197" spans="2:21">
      <c r="B197" s="33" t="s">
        <v>7396</v>
      </c>
      <c r="C197" t="s">
        <v>8496</v>
      </c>
      <c r="D197" s="1962" t="s">
        <v>958</v>
      </c>
      <c r="E197" s="1962" t="s">
        <v>959</v>
      </c>
      <c r="F197" s="1981">
        <v>96.970952605600004</v>
      </c>
      <c r="G197" s="1981">
        <v>94.985899705599991</v>
      </c>
      <c r="H197" s="1981">
        <v>103.6799631056</v>
      </c>
      <c r="I197" s="1981">
        <v>105.1174421349</v>
      </c>
      <c r="J197" s="1981">
        <v>103.5996916349</v>
      </c>
      <c r="K197" s="1981">
        <v>112.7253403349</v>
      </c>
      <c r="L197" s="1981">
        <v>106.8955589497</v>
      </c>
      <c r="M197" s="1981">
        <v>108.46179994970001</v>
      </c>
      <c r="N197" s="1981">
        <v>109.1864964497</v>
      </c>
      <c r="O197" s="1981">
        <v>106.70066506430001</v>
      </c>
      <c r="P197" s="1981">
        <v>111.4112400643</v>
      </c>
      <c r="Q197" s="1981">
        <v>133.7405741378</v>
      </c>
      <c r="R197" s="1981">
        <v>1293.4756241370001</v>
      </c>
      <c r="T197" s="48">
        <f t="shared" ref="T197:T260" si="3">IF(R197="","",+R197-SUM(F197:Q197))</f>
        <v>0</v>
      </c>
      <c r="U197" s="48"/>
    </row>
    <row r="198" spans="2:21">
      <c r="B198" s="33" t="s">
        <v>7397</v>
      </c>
      <c r="C198" t="s">
        <v>8496</v>
      </c>
      <c r="D198" s="1962" t="s">
        <v>960</v>
      </c>
      <c r="E198" s="1962" t="s">
        <v>961</v>
      </c>
      <c r="F198" s="1981">
        <v>14.380452563299999</v>
      </c>
      <c r="G198" s="1981">
        <v>14.921452563299999</v>
      </c>
      <c r="H198" s="1981">
        <v>14.829952563299999</v>
      </c>
      <c r="I198" s="1981">
        <v>14.4507199104</v>
      </c>
      <c r="J198" s="1981">
        <v>14.968719910399999</v>
      </c>
      <c r="K198" s="1981">
        <v>16.437094910399999</v>
      </c>
      <c r="L198" s="1981">
        <v>13.786353584</v>
      </c>
      <c r="M198" s="1981">
        <v>14.613353584</v>
      </c>
      <c r="N198" s="1981">
        <v>15.055119584</v>
      </c>
      <c r="O198" s="1981">
        <v>14.2859872575</v>
      </c>
      <c r="P198" s="1981">
        <v>15.4727372575</v>
      </c>
      <c r="Q198" s="1981">
        <v>17.246204625400004</v>
      </c>
      <c r="R198" s="1981">
        <v>180.44814831350001</v>
      </c>
      <c r="T198" s="48">
        <f t="shared" si="3"/>
        <v>0</v>
      </c>
      <c r="U198" s="48"/>
    </row>
    <row r="199" spans="2:21">
      <c r="B199" s="33" t="s">
        <v>7398</v>
      </c>
      <c r="C199" t="s">
        <v>8496</v>
      </c>
      <c r="D199" s="1962" t="s">
        <v>962</v>
      </c>
      <c r="E199" s="1962" t="s">
        <v>963</v>
      </c>
      <c r="F199" s="1981">
        <v>5.4897266632999999</v>
      </c>
      <c r="G199" s="1981">
        <v>5.4897266632999999</v>
      </c>
      <c r="H199" s="1981">
        <v>5.4897266632999999</v>
      </c>
      <c r="I199" s="1981">
        <v>6.0239733294999995</v>
      </c>
      <c r="J199" s="1981">
        <v>6.0239733294999995</v>
      </c>
      <c r="K199" s="1981">
        <v>6.0239733294999995</v>
      </c>
      <c r="L199" s="1981">
        <v>6.2910966626000002</v>
      </c>
      <c r="M199" s="1981">
        <v>6.2910966626000002</v>
      </c>
      <c r="N199" s="1981">
        <v>6.2910966626000002</v>
      </c>
      <c r="O199" s="1981">
        <v>6.5582199956</v>
      </c>
      <c r="P199" s="1981">
        <v>6.5582199956</v>
      </c>
      <c r="Q199" s="1981">
        <v>7.8938366610999999</v>
      </c>
      <c r="R199" s="1981">
        <v>74.424666618499984</v>
      </c>
      <c r="T199" s="48">
        <f t="shared" si="3"/>
        <v>0</v>
      </c>
      <c r="U199" s="48"/>
    </row>
    <row r="200" spans="2:21">
      <c r="B200" s="33" t="s">
        <v>7399</v>
      </c>
      <c r="C200" t="s">
        <v>8496</v>
      </c>
      <c r="D200" s="1962" t="s">
        <v>964</v>
      </c>
      <c r="E200" s="1962" t="s">
        <v>965</v>
      </c>
      <c r="F200" s="1981">
        <v>42.968941544100005</v>
      </c>
      <c r="G200" s="1981">
        <v>43.481941544100003</v>
      </c>
      <c r="H200" s="1981">
        <v>63.803441544100004</v>
      </c>
      <c r="I200" s="1981">
        <v>47.555407479000003</v>
      </c>
      <c r="J200" s="1981">
        <v>62.156477479000003</v>
      </c>
      <c r="K200" s="1981">
        <v>78.425407479</v>
      </c>
      <c r="L200" s="1981">
        <v>49.274140446400004</v>
      </c>
      <c r="M200" s="1981">
        <v>51.511938446400002</v>
      </c>
      <c r="N200" s="1981">
        <v>59.3016404464</v>
      </c>
      <c r="O200" s="1981">
        <v>49.646873413900003</v>
      </c>
      <c r="P200" s="1981">
        <v>44.280873413900004</v>
      </c>
      <c r="Q200" s="1981">
        <v>61.284338251000001</v>
      </c>
      <c r="R200" s="1981">
        <v>653.69142148730009</v>
      </c>
      <c r="T200" s="48">
        <f t="shared" si="3"/>
        <v>0</v>
      </c>
      <c r="U200" s="48"/>
    </row>
    <row r="201" spans="2:21">
      <c r="B201" s="33" t="s">
        <v>7400</v>
      </c>
      <c r="C201" t="s">
        <v>8496</v>
      </c>
      <c r="D201" s="1962" t="s">
        <v>966</v>
      </c>
      <c r="E201" s="1962" t="s">
        <v>967</v>
      </c>
      <c r="F201" s="1981">
        <v>89.758944248200009</v>
      </c>
      <c r="G201" s="1981">
        <v>95.216230498200005</v>
      </c>
      <c r="H201" s="1981">
        <v>103.90611362319999</v>
      </c>
      <c r="I201" s="1981">
        <v>113.4269568492</v>
      </c>
      <c r="J201" s="1981">
        <v>96.709906224199997</v>
      </c>
      <c r="K201" s="1981">
        <v>138.93212559919999</v>
      </c>
      <c r="L201" s="1981">
        <v>100.1600347121</v>
      </c>
      <c r="M201" s="1981">
        <v>90.839640087100008</v>
      </c>
      <c r="N201" s="1981">
        <v>118.3033784621</v>
      </c>
      <c r="O201" s="1981">
        <v>106.1378625751</v>
      </c>
      <c r="P201" s="1981">
        <v>103.8069354501</v>
      </c>
      <c r="Q201" s="1981">
        <v>123.2446008899</v>
      </c>
      <c r="R201" s="1981">
        <v>1280.4427292185999</v>
      </c>
      <c r="T201" s="48">
        <f t="shared" si="3"/>
        <v>0</v>
      </c>
      <c r="U201" s="48"/>
    </row>
    <row r="202" spans="2:21">
      <c r="B202" s="33" t="s">
        <v>7401</v>
      </c>
      <c r="C202" t="s">
        <v>8496</v>
      </c>
      <c r="D202" s="1962" t="s">
        <v>968</v>
      </c>
      <c r="E202" s="1962" t="s">
        <v>969</v>
      </c>
      <c r="F202" s="1981">
        <v>22.860306421699999</v>
      </c>
      <c r="G202" s="1981">
        <v>16.014306421699999</v>
      </c>
      <c r="H202" s="1981">
        <v>11.761306421700001</v>
      </c>
      <c r="I202" s="1981">
        <v>11.57184722</v>
      </c>
      <c r="J202" s="1981">
        <v>11.909797220000002</v>
      </c>
      <c r="K202" s="1981">
        <v>12.16484722</v>
      </c>
      <c r="L202" s="1981">
        <v>11.779117619200001</v>
      </c>
      <c r="M202" s="1981">
        <v>11.8541176192</v>
      </c>
      <c r="N202" s="1981">
        <v>12.211117619200001</v>
      </c>
      <c r="O202" s="1981">
        <v>12.882388018400002</v>
      </c>
      <c r="P202" s="1981">
        <v>13.992388018400002</v>
      </c>
      <c r="Q202" s="1981">
        <v>19.751740014200003</v>
      </c>
      <c r="R202" s="1981">
        <v>168.75327983369999</v>
      </c>
      <c r="T202" s="48">
        <f t="shared" si="3"/>
        <v>0</v>
      </c>
      <c r="U202" s="48"/>
    </row>
    <row r="203" spans="2:21">
      <c r="B203" s="33" t="s">
        <v>7402</v>
      </c>
      <c r="C203" t="s">
        <v>8496</v>
      </c>
      <c r="D203" s="1962" t="s">
        <v>970</v>
      </c>
      <c r="E203" s="1962" t="s">
        <v>971</v>
      </c>
      <c r="F203" s="1981">
        <v>146.66380007730001</v>
      </c>
      <c r="G203" s="1981">
        <v>145.39458485079999</v>
      </c>
      <c r="H203" s="1981">
        <v>155.0288098508</v>
      </c>
      <c r="I203" s="1981">
        <v>191.9130522056</v>
      </c>
      <c r="J203" s="1981">
        <v>142.5399389097</v>
      </c>
      <c r="K203" s="1981">
        <v>188.47865252139997</v>
      </c>
      <c r="L203" s="1981">
        <v>143.96217949199999</v>
      </c>
      <c r="M203" s="1981">
        <v>145.1107285224</v>
      </c>
      <c r="N203" s="1981">
        <v>176.65174255280002</v>
      </c>
      <c r="O203" s="1981">
        <v>185.93388686280002</v>
      </c>
      <c r="P203" s="1981">
        <v>158.31144992360001</v>
      </c>
      <c r="Q203" s="1981">
        <v>253.09064274669998</v>
      </c>
      <c r="R203" s="1981">
        <v>2033.0794685158999</v>
      </c>
      <c r="T203" s="48">
        <f t="shared" si="3"/>
        <v>0</v>
      </c>
      <c r="U203" s="48"/>
    </row>
    <row r="204" spans="2:21">
      <c r="B204" s="33" t="s">
        <v>7403</v>
      </c>
      <c r="C204" t="s">
        <v>8496</v>
      </c>
      <c r="D204" s="1962" t="s">
        <v>972</v>
      </c>
      <c r="E204" s="1962" t="s">
        <v>973</v>
      </c>
      <c r="F204" s="1981">
        <v>0</v>
      </c>
      <c r="G204" s="1981">
        <v>0</v>
      </c>
      <c r="H204" s="1981">
        <v>0</v>
      </c>
      <c r="I204" s="1981">
        <v>0</v>
      </c>
      <c r="J204" s="1981">
        <v>0</v>
      </c>
      <c r="K204" s="1981">
        <v>0</v>
      </c>
      <c r="L204" s="1981">
        <v>0</v>
      </c>
      <c r="M204" s="1981">
        <v>0</v>
      </c>
      <c r="N204" s="1981">
        <v>0</v>
      </c>
      <c r="O204" s="1981">
        <v>0</v>
      </c>
      <c r="P204" s="1981">
        <v>0</v>
      </c>
      <c r="Q204" s="1981">
        <v>0</v>
      </c>
      <c r="R204" s="1981">
        <v>0</v>
      </c>
      <c r="T204" s="48">
        <f t="shared" si="3"/>
        <v>0</v>
      </c>
      <c r="U204" s="48"/>
    </row>
    <row r="205" spans="2:21">
      <c r="B205" s="33" t="s">
        <v>7404</v>
      </c>
      <c r="C205" t="s">
        <v>8496</v>
      </c>
      <c r="D205" s="1962" t="s">
        <v>974</v>
      </c>
      <c r="E205" s="1962" t="s">
        <v>975</v>
      </c>
      <c r="F205" s="1981">
        <v>51.368288040899998</v>
      </c>
      <c r="G205" s="1981">
        <v>182.13678627909999</v>
      </c>
      <c r="H205" s="1981">
        <v>254.32209918220002</v>
      </c>
      <c r="I205" s="1981">
        <v>136.07209512590001</v>
      </c>
      <c r="J205" s="1981">
        <v>148.38365559499999</v>
      </c>
      <c r="K205" s="1981">
        <v>163.44082912040002</v>
      </c>
      <c r="L205" s="1981">
        <v>185.55048851410001</v>
      </c>
      <c r="M205" s="1981">
        <v>340.567578422</v>
      </c>
      <c r="N205" s="1981">
        <v>270.19194162010001</v>
      </c>
      <c r="O205" s="1981">
        <v>167.22743425429999</v>
      </c>
      <c r="P205" s="1981">
        <v>144.27197790880001</v>
      </c>
      <c r="Q205" s="1981">
        <v>87.906215595799992</v>
      </c>
      <c r="R205" s="1981">
        <v>2131.4393896586002</v>
      </c>
      <c r="T205" s="48">
        <f t="shared" si="3"/>
        <v>0</v>
      </c>
      <c r="U205" s="48"/>
    </row>
    <row r="206" spans="2:21">
      <c r="B206" s="33" t="s">
        <v>7405</v>
      </c>
      <c r="C206" t="s">
        <v>8496</v>
      </c>
      <c r="D206" s="1962" t="s">
        <v>976</v>
      </c>
      <c r="E206" s="1962" t="s">
        <v>977</v>
      </c>
      <c r="F206" s="1981">
        <v>172.28571428570001</v>
      </c>
      <c r="G206" s="1981">
        <v>0</v>
      </c>
      <c r="H206" s="1981">
        <v>77</v>
      </c>
      <c r="I206" s="1981">
        <v>0</v>
      </c>
      <c r="J206" s="1981">
        <v>172.28571428570001</v>
      </c>
      <c r="K206" s="1981">
        <v>95.285714285699996</v>
      </c>
      <c r="L206" s="1981">
        <v>77</v>
      </c>
      <c r="M206" s="1981">
        <v>95.285714285699996</v>
      </c>
      <c r="N206" s="1981">
        <v>171.28571428570001</v>
      </c>
      <c r="O206" s="1981">
        <v>0</v>
      </c>
      <c r="P206" s="1981">
        <v>170.28571428570001</v>
      </c>
      <c r="Q206" s="1981">
        <v>95.285714285699996</v>
      </c>
      <c r="R206" s="1981">
        <v>1125.9999999999</v>
      </c>
      <c r="T206" s="48">
        <f t="shared" si="3"/>
        <v>0</v>
      </c>
      <c r="U206" s="48"/>
    </row>
    <row r="207" spans="2:21">
      <c r="B207" s="33" t="s">
        <v>7406</v>
      </c>
      <c r="C207" t="s">
        <v>8496</v>
      </c>
      <c r="D207" s="1962" t="s">
        <v>978</v>
      </c>
      <c r="E207" s="1962" t="s">
        <v>979</v>
      </c>
      <c r="F207" s="1981">
        <v>6.9332502891000001</v>
      </c>
      <c r="G207" s="1981">
        <v>6.9332502891000001</v>
      </c>
      <c r="H207" s="1981">
        <v>7.0286560859999998</v>
      </c>
      <c r="I207" s="1981">
        <v>7.0763589845000006</v>
      </c>
      <c r="J207" s="1981">
        <v>6.9809531875999999</v>
      </c>
      <c r="K207" s="1981">
        <v>6.9571017384000005</v>
      </c>
      <c r="L207" s="1981">
        <v>6.9571017384000005</v>
      </c>
      <c r="M207" s="1981">
        <v>6.9571017384000005</v>
      </c>
      <c r="N207" s="1981">
        <v>6.9571017384000005</v>
      </c>
      <c r="O207" s="1981">
        <v>7.0286560859999998</v>
      </c>
      <c r="P207" s="1981">
        <v>7.0763589845000006</v>
      </c>
      <c r="Q207" s="1981">
        <v>7.0763589845000006</v>
      </c>
      <c r="R207" s="1981">
        <v>83.962249844900001</v>
      </c>
      <c r="T207" s="48">
        <f t="shared" si="3"/>
        <v>0</v>
      </c>
      <c r="U207" s="48"/>
    </row>
    <row r="208" spans="2:21">
      <c r="B208" s="33" t="s">
        <v>7407</v>
      </c>
      <c r="C208" t="s">
        <v>8496</v>
      </c>
      <c r="D208" s="1962" t="s">
        <v>980</v>
      </c>
      <c r="E208" s="1962" t="s">
        <v>981</v>
      </c>
      <c r="F208" s="1981">
        <v>16.956250000000001</v>
      </c>
      <c r="G208" s="1981">
        <v>16.956250000000001</v>
      </c>
      <c r="H208" s="1981">
        <v>16.956250000000001</v>
      </c>
      <c r="I208" s="1981">
        <v>17.256250000000001</v>
      </c>
      <c r="J208" s="1981">
        <v>17.256250000000001</v>
      </c>
      <c r="K208" s="1981">
        <v>53.848610000000001</v>
      </c>
      <c r="L208" s="1981">
        <v>17.40625</v>
      </c>
      <c r="M208" s="1981">
        <v>17.40625</v>
      </c>
      <c r="N208" s="1981">
        <v>17.40625</v>
      </c>
      <c r="O208" s="1981">
        <v>17.556249999999999</v>
      </c>
      <c r="P208" s="1981">
        <v>17.556249999999999</v>
      </c>
      <c r="Q208" s="1981">
        <v>18.306249999999999</v>
      </c>
      <c r="R208" s="1981">
        <v>244.86736000000002</v>
      </c>
      <c r="T208" s="48">
        <f t="shared" si="3"/>
        <v>0</v>
      </c>
      <c r="U208" s="48"/>
    </row>
    <row r="209" spans="2:21">
      <c r="B209" s="33" t="s">
        <v>7408</v>
      </c>
      <c r="C209" t="s">
        <v>8496</v>
      </c>
      <c r="D209" s="1962" t="s">
        <v>982</v>
      </c>
      <c r="E209" s="1962" t="s">
        <v>983</v>
      </c>
      <c r="F209" s="1981">
        <v>106.6893158333</v>
      </c>
      <c r="G209" s="1981">
        <v>104.7440033333</v>
      </c>
      <c r="H209" s="1981">
        <v>208.11900333330001</v>
      </c>
      <c r="I209" s="1981">
        <v>106.6893158333</v>
      </c>
      <c r="J209" s="1981">
        <v>104.7440033333</v>
      </c>
      <c r="K209" s="1981">
        <v>205.61900333330001</v>
      </c>
      <c r="L209" s="1981">
        <v>109.6893158333</v>
      </c>
      <c r="M209" s="1981">
        <v>104.7440033333</v>
      </c>
      <c r="N209" s="1981">
        <v>208.11900333330001</v>
      </c>
      <c r="O209" s="1981">
        <v>106.6893158333</v>
      </c>
      <c r="P209" s="1981">
        <v>104.7440033333</v>
      </c>
      <c r="Q209" s="1981">
        <v>213.8590033333</v>
      </c>
      <c r="R209" s="1981">
        <v>1684.4492899996003</v>
      </c>
      <c r="T209" s="48">
        <f t="shared" si="3"/>
        <v>0</v>
      </c>
      <c r="U209" s="48"/>
    </row>
    <row r="210" spans="2:21">
      <c r="B210" s="33" t="s">
        <v>7409</v>
      </c>
      <c r="C210" t="s">
        <v>8496</v>
      </c>
      <c r="D210" s="1962" t="s">
        <v>984</v>
      </c>
      <c r="E210" s="1962" t="s">
        <v>985</v>
      </c>
      <c r="F210" s="1981">
        <v>188.2562086792</v>
      </c>
      <c r="G210" s="1981">
        <v>203.25720833369999</v>
      </c>
      <c r="H210" s="1981">
        <v>223.2562086792</v>
      </c>
      <c r="I210" s="1981">
        <v>213.25720867920001</v>
      </c>
      <c r="J210" s="1981">
        <v>257.86871179170004</v>
      </c>
      <c r="K210" s="1981">
        <v>213.25720867920001</v>
      </c>
      <c r="L210" s="1981">
        <v>213.2562086792</v>
      </c>
      <c r="M210" s="1981">
        <v>233.25720867920001</v>
      </c>
      <c r="N210" s="1981">
        <v>218.25720867920001</v>
      </c>
      <c r="O210" s="1981">
        <v>226.5902086792</v>
      </c>
      <c r="P210" s="1981">
        <v>230.75720867920001</v>
      </c>
      <c r="Q210" s="1981">
        <v>201.86020867920001</v>
      </c>
      <c r="R210" s="1981">
        <v>2623.1310069173996</v>
      </c>
      <c r="T210" s="48">
        <f t="shared" si="3"/>
        <v>0</v>
      </c>
      <c r="U210" s="48"/>
    </row>
    <row r="211" spans="2:21">
      <c r="B211" s="33" t="s">
        <v>7410</v>
      </c>
      <c r="C211" t="s">
        <v>8496</v>
      </c>
      <c r="D211" s="1962" t="s">
        <v>986</v>
      </c>
      <c r="E211" s="1962" t="s">
        <v>987</v>
      </c>
      <c r="F211" s="1981">
        <v>682.90491540509993</v>
      </c>
      <c r="G211" s="1981">
        <v>257.96821847059999</v>
      </c>
      <c r="H211" s="1981">
        <v>274.83241289720002</v>
      </c>
      <c r="I211" s="1981">
        <v>518.46774362760004</v>
      </c>
      <c r="J211" s="1981">
        <v>308.01249796770003</v>
      </c>
      <c r="K211" s="1981">
        <v>305.09857272030001</v>
      </c>
      <c r="L211" s="1981">
        <v>410.34010848079998</v>
      </c>
      <c r="M211" s="1981">
        <v>367.9558030412</v>
      </c>
      <c r="N211" s="1981">
        <v>422.31678067349998</v>
      </c>
      <c r="O211" s="1981">
        <v>357.1434012181</v>
      </c>
      <c r="P211" s="1981">
        <v>281.99449263740001</v>
      </c>
      <c r="Q211" s="1981">
        <v>247.20610029830002</v>
      </c>
      <c r="R211" s="1981">
        <v>4434.2410474378003</v>
      </c>
      <c r="T211" s="48">
        <f t="shared" si="3"/>
        <v>0</v>
      </c>
      <c r="U211" s="48"/>
    </row>
    <row r="212" spans="2:21">
      <c r="B212" s="33" t="s">
        <v>7411</v>
      </c>
      <c r="C212" t="s">
        <v>8496</v>
      </c>
      <c r="D212" s="1962" t="s">
        <v>988</v>
      </c>
      <c r="E212" s="1962" t="s">
        <v>989</v>
      </c>
      <c r="F212" s="1981">
        <v>0</v>
      </c>
      <c r="G212" s="1981">
        <v>0</v>
      </c>
      <c r="H212" s="1981">
        <v>55</v>
      </c>
      <c r="I212" s="1981">
        <v>0</v>
      </c>
      <c r="J212" s="1981">
        <v>55</v>
      </c>
      <c r="K212" s="1981">
        <v>20</v>
      </c>
      <c r="L212" s="1981">
        <v>55</v>
      </c>
      <c r="M212" s="1981">
        <v>0</v>
      </c>
      <c r="N212" s="1981">
        <v>75</v>
      </c>
      <c r="O212" s="1981">
        <v>0</v>
      </c>
      <c r="P212" s="1981">
        <v>20</v>
      </c>
      <c r="Q212" s="1981">
        <v>0</v>
      </c>
      <c r="R212" s="1981">
        <v>280</v>
      </c>
      <c r="T212" s="48">
        <f t="shared" si="3"/>
        <v>0</v>
      </c>
      <c r="U212" s="48"/>
    </row>
    <row r="213" spans="2:21">
      <c r="B213" s="33" t="s">
        <v>7412</v>
      </c>
      <c r="C213" t="s">
        <v>8496</v>
      </c>
      <c r="D213" s="1962" t="s">
        <v>990</v>
      </c>
      <c r="E213" s="1962" t="s">
        <v>991</v>
      </c>
      <c r="F213" s="1981">
        <v>6535.1659712131996</v>
      </c>
      <c r="G213" s="1981">
        <v>6241.7191766612004</v>
      </c>
      <c r="H213" s="1981">
        <v>6872.3368696833995</v>
      </c>
      <c r="I213" s="1981">
        <v>8511.8300288484988</v>
      </c>
      <c r="J213" s="1981">
        <v>6730.3327430763002</v>
      </c>
      <c r="K213" s="1981">
        <v>6783.7833346436</v>
      </c>
      <c r="L213" s="1981">
        <v>7395.8329332490994</v>
      </c>
      <c r="M213" s="1981">
        <v>7125.704987047</v>
      </c>
      <c r="N213" s="1981">
        <v>9203.7882433593004</v>
      </c>
      <c r="O213" s="1981">
        <v>10649.6057982763</v>
      </c>
      <c r="P213" s="1981">
        <v>8739.0387528470001</v>
      </c>
      <c r="Q213" s="1981">
        <v>7449.5234718531001</v>
      </c>
      <c r="R213" s="1981">
        <v>92238.662310758009</v>
      </c>
      <c r="T213" s="48">
        <f t="shared" si="3"/>
        <v>0</v>
      </c>
      <c r="U213" s="48"/>
    </row>
    <row r="214" spans="2:21">
      <c r="B214" s="33" t="s">
        <v>7413</v>
      </c>
      <c r="C214" t="s">
        <v>8496</v>
      </c>
      <c r="D214" s="1962" t="s">
        <v>992</v>
      </c>
      <c r="E214" s="1962" t="s">
        <v>993</v>
      </c>
      <c r="F214" s="1981">
        <v>0</v>
      </c>
      <c r="G214" s="1981">
        <v>0</v>
      </c>
      <c r="H214" s="1981">
        <v>0</v>
      </c>
      <c r="I214" s="1981">
        <v>0</v>
      </c>
      <c r="J214" s="1981">
        <v>0</v>
      </c>
      <c r="K214" s="1981">
        <v>0</v>
      </c>
      <c r="L214" s="1981">
        <v>0</v>
      </c>
      <c r="M214" s="1981">
        <v>0</v>
      </c>
      <c r="N214" s="1981">
        <v>0</v>
      </c>
      <c r="O214" s="1981">
        <v>0</v>
      </c>
      <c r="P214" s="1981">
        <v>0</v>
      </c>
      <c r="Q214" s="1981">
        <v>0</v>
      </c>
      <c r="R214" s="1981">
        <v>0</v>
      </c>
      <c r="T214" s="48">
        <f t="shared" si="3"/>
        <v>0</v>
      </c>
      <c r="U214" s="48"/>
    </row>
    <row r="215" spans="2:21">
      <c r="B215" s="33" t="s">
        <v>7414</v>
      </c>
      <c r="C215" t="s">
        <v>8496</v>
      </c>
      <c r="D215" s="1962" t="s">
        <v>994</v>
      </c>
      <c r="E215" s="1962" t="s">
        <v>995</v>
      </c>
      <c r="F215" s="1981">
        <v>0.106</v>
      </c>
      <c r="G215" s="1981">
        <v>0</v>
      </c>
      <c r="H215" s="1981">
        <v>0.79500000000000004</v>
      </c>
      <c r="I215" s="1981">
        <v>2.2229999999999999</v>
      </c>
      <c r="J215" s="1981">
        <v>0.622</v>
      </c>
      <c r="K215" s="1981">
        <v>2.1259999999999999</v>
      </c>
      <c r="L215" s="1981">
        <v>1.534</v>
      </c>
      <c r="M215" s="1981">
        <v>0</v>
      </c>
      <c r="N215" s="1981">
        <v>0.26500000000000001</v>
      </c>
      <c r="O215" s="1981">
        <v>2.4E-2</v>
      </c>
      <c r="P215" s="1981">
        <v>0.16200000000000001</v>
      </c>
      <c r="Q215" s="1981">
        <v>0.28999999999999998</v>
      </c>
      <c r="R215" s="1981">
        <v>8.1469999999999985</v>
      </c>
      <c r="T215" s="48">
        <f t="shared" si="3"/>
        <v>0</v>
      </c>
      <c r="U215" s="48"/>
    </row>
    <row r="216" spans="2:21">
      <c r="B216" s="33" t="s">
        <v>7415</v>
      </c>
      <c r="C216" t="s">
        <v>8496</v>
      </c>
      <c r="D216" s="1962" t="s">
        <v>996</v>
      </c>
      <c r="E216" s="1962" t="s">
        <v>997</v>
      </c>
      <c r="F216" s="1981">
        <v>2387.1244849999998</v>
      </c>
      <c r="G216" s="1981">
        <v>2387.1414849999996</v>
      </c>
      <c r="H216" s="1981">
        <v>2387.1414849999996</v>
      </c>
      <c r="I216" s="1981">
        <v>2387.9894850000001</v>
      </c>
      <c r="J216" s="1981">
        <v>2387.1414849999996</v>
      </c>
      <c r="K216" s="1981">
        <v>2387.1914849999998</v>
      </c>
      <c r="L216" s="1981">
        <v>2387.2244849999997</v>
      </c>
      <c r="M216" s="1981">
        <v>2387.1414849999996</v>
      </c>
      <c r="N216" s="1981">
        <v>2387.194485</v>
      </c>
      <c r="O216" s="1981">
        <v>2387.1414849999996</v>
      </c>
      <c r="P216" s="1981">
        <v>2387.1414849999996</v>
      </c>
      <c r="Q216" s="1981">
        <v>2392.655143</v>
      </c>
      <c r="R216" s="1981">
        <v>28652.228477999997</v>
      </c>
      <c r="T216" s="48">
        <f t="shared" si="3"/>
        <v>0</v>
      </c>
      <c r="U216" s="48"/>
    </row>
    <row r="217" spans="2:21">
      <c r="B217" s="33" t="s">
        <v>7416</v>
      </c>
      <c r="C217" t="s">
        <v>8496</v>
      </c>
      <c r="D217" s="1962" t="s">
        <v>998</v>
      </c>
      <c r="E217" s="1962" t="s">
        <v>999</v>
      </c>
      <c r="F217" s="1981">
        <v>0.41760075890000004</v>
      </c>
      <c r="G217" s="1981">
        <v>0.41660075890000003</v>
      </c>
      <c r="H217" s="1981">
        <v>4.03048669</v>
      </c>
      <c r="I217" s="1981">
        <v>0.42242965560000001</v>
      </c>
      <c r="J217" s="1981">
        <v>0.5261937243999999</v>
      </c>
      <c r="K217" s="1981">
        <v>4.0075722417000001</v>
      </c>
      <c r="L217" s="1981">
        <v>0.41757224170000001</v>
      </c>
      <c r="M217" s="1981">
        <v>0.42757224170000002</v>
      </c>
      <c r="N217" s="1981">
        <v>1.4175722416999998</v>
      </c>
      <c r="O217" s="1981">
        <v>0.72048668999999999</v>
      </c>
      <c r="P217" s="1981">
        <v>2.9254296555999999</v>
      </c>
      <c r="Q217" s="1981">
        <v>1.4224296556</v>
      </c>
      <c r="R217" s="1981">
        <v>17.151946555800002</v>
      </c>
      <c r="T217" s="48">
        <f t="shared" si="3"/>
        <v>0</v>
      </c>
      <c r="U217" s="48"/>
    </row>
    <row r="218" spans="2:21">
      <c r="B218" s="33" t="s">
        <v>7417</v>
      </c>
      <c r="C218" t="s">
        <v>8496</v>
      </c>
      <c r="D218" s="1962" t="s">
        <v>1000</v>
      </c>
      <c r="E218" s="1962" t="s">
        <v>1001</v>
      </c>
      <c r="F218" s="1981">
        <v>350</v>
      </c>
      <c r="G218" s="1981">
        <v>350</v>
      </c>
      <c r="H218" s="1981">
        <v>350</v>
      </c>
      <c r="I218" s="1981">
        <v>350</v>
      </c>
      <c r="J218" s="1981">
        <v>350</v>
      </c>
      <c r="K218" s="1981">
        <v>350</v>
      </c>
      <c r="L218" s="1981">
        <v>350</v>
      </c>
      <c r="M218" s="1981">
        <v>350</v>
      </c>
      <c r="N218" s="1981">
        <v>350</v>
      </c>
      <c r="O218" s="1981">
        <v>350</v>
      </c>
      <c r="P218" s="1981">
        <v>350</v>
      </c>
      <c r="Q218" s="1981">
        <v>350</v>
      </c>
      <c r="R218" s="1981">
        <v>4200</v>
      </c>
      <c r="T218" s="48">
        <f t="shared" si="3"/>
        <v>0</v>
      </c>
      <c r="U218" s="48"/>
    </row>
    <row r="219" spans="2:21">
      <c r="B219" s="33" t="s">
        <v>7418</v>
      </c>
      <c r="C219" t="s">
        <v>8496</v>
      </c>
      <c r="D219" s="1962" t="s">
        <v>1002</v>
      </c>
      <c r="E219" s="1962" t="s">
        <v>1003</v>
      </c>
      <c r="F219" s="1981">
        <v>0.25</v>
      </c>
      <c r="G219" s="1981">
        <v>0.25</v>
      </c>
      <c r="H219" s="1981">
        <v>0.25</v>
      </c>
      <c r="I219" s="1981">
        <v>0.25</v>
      </c>
      <c r="J219" s="1981">
        <v>0.25</v>
      </c>
      <c r="K219" s="1981">
        <v>0.25</v>
      </c>
      <c r="L219" s="1981">
        <v>0.25</v>
      </c>
      <c r="M219" s="1981">
        <v>4.0779999999999994</v>
      </c>
      <c r="N219" s="1981">
        <v>0.25</v>
      </c>
      <c r="O219" s="1981">
        <v>0.25</v>
      </c>
      <c r="P219" s="1981">
        <v>0.25</v>
      </c>
      <c r="Q219" s="1981">
        <v>249.602</v>
      </c>
      <c r="R219" s="1981">
        <v>256.18</v>
      </c>
      <c r="T219" s="48">
        <f t="shared" si="3"/>
        <v>0</v>
      </c>
      <c r="U219" s="48"/>
    </row>
    <row r="220" spans="2:21">
      <c r="B220" s="33" t="s">
        <v>7419</v>
      </c>
      <c r="C220" t="s">
        <v>8496</v>
      </c>
      <c r="D220" s="1962" t="s">
        <v>1004</v>
      </c>
      <c r="E220" s="1962" t="s">
        <v>1005</v>
      </c>
      <c r="F220" s="1981">
        <v>12.764207844000001</v>
      </c>
      <c r="G220" s="1981">
        <v>12.764207844000001</v>
      </c>
      <c r="H220" s="1981">
        <v>12.764207844000001</v>
      </c>
      <c r="I220" s="1981">
        <v>14.5876661074</v>
      </c>
      <c r="J220" s="1981">
        <v>14.5876661074</v>
      </c>
      <c r="K220" s="1981">
        <v>14.5876661074</v>
      </c>
      <c r="L220" s="1981">
        <v>15.4993952391</v>
      </c>
      <c r="M220" s="1981">
        <v>15.4993952391</v>
      </c>
      <c r="N220" s="1981">
        <v>15.4993952391</v>
      </c>
      <c r="O220" s="1981">
        <v>16.411124370900001</v>
      </c>
      <c r="P220" s="1981">
        <v>16.411124370900001</v>
      </c>
      <c r="Q220" s="1981">
        <v>20.969770029399999</v>
      </c>
      <c r="R220" s="1981">
        <v>182.34582634270001</v>
      </c>
      <c r="T220" s="48">
        <f t="shared" si="3"/>
        <v>0</v>
      </c>
      <c r="U220" s="48"/>
    </row>
    <row r="221" spans="2:21">
      <c r="B221" s="33" t="s">
        <v>7420</v>
      </c>
      <c r="C221" t="s">
        <v>8496</v>
      </c>
      <c r="D221" s="1962" t="s">
        <v>1006</v>
      </c>
      <c r="E221" s="1962" t="s">
        <v>1007</v>
      </c>
      <c r="F221" s="1981">
        <v>2300.7365439151999</v>
      </c>
      <c r="G221" s="1981">
        <v>1863.0281055792002</v>
      </c>
      <c r="H221" s="1981">
        <v>1891.2927529991</v>
      </c>
      <c r="I221" s="1981">
        <v>2356.8838717539998</v>
      </c>
      <c r="J221" s="1981">
        <v>2040.5269894377</v>
      </c>
      <c r="K221" s="1981">
        <v>2040.3495304917999</v>
      </c>
      <c r="L221" s="1981">
        <v>2425.9815487918004</v>
      </c>
      <c r="M221" s="1981">
        <v>2117.1484882585</v>
      </c>
      <c r="N221" s="1981">
        <v>2116.9445221250999</v>
      </c>
      <c r="O221" s="1981">
        <v>2101.6341552958002</v>
      </c>
      <c r="P221" s="1981">
        <v>2081.8947541873999</v>
      </c>
      <c r="Q221" s="1981">
        <v>2316.5976935873</v>
      </c>
      <c r="R221" s="1981">
        <v>25653.0189564229</v>
      </c>
      <c r="T221" s="48">
        <f t="shared" si="3"/>
        <v>0</v>
      </c>
      <c r="U221" s="48"/>
    </row>
    <row r="222" spans="2:21">
      <c r="B222" s="33" t="s">
        <v>7421</v>
      </c>
      <c r="C222" t="s">
        <v>8496</v>
      </c>
      <c r="D222" s="1962" t="s">
        <v>1008</v>
      </c>
      <c r="E222" s="1962" t="s">
        <v>1009</v>
      </c>
      <c r="F222" s="1981">
        <v>0</v>
      </c>
      <c r="G222" s="1981">
        <v>0</v>
      </c>
      <c r="H222" s="1981">
        <v>8.4</v>
      </c>
      <c r="I222" s="1981">
        <v>0</v>
      </c>
      <c r="J222" s="1981">
        <v>8.4</v>
      </c>
      <c r="K222" s="1981">
        <v>12.6</v>
      </c>
      <c r="L222" s="1981">
        <v>8.4</v>
      </c>
      <c r="M222" s="1981">
        <v>0</v>
      </c>
      <c r="N222" s="1981">
        <v>4.2</v>
      </c>
      <c r="O222" s="1981">
        <v>12.6</v>
      </c>
      <c r="P222" s="1981">
        <v>0</v>
      </c>
      <c r="Q222" s="1981">
        <v>0</v>
      </c>
      <c r="R222" s="1981">
        <v>54.6</v>
      </c>
      <c r="T222" s="48">
        <f t="shared" si="3"/>
        <v>0</v>
      </c>
      <c r="U222" s="48"/>
    </row>
    <row r="223" spans="2:21">
      <c r="B223" s="33" t="s">
        <v>7422</v>
      </c>
      <c r="C223" t="s">
        <v>8496</v>
      </c>
      <c r="D223" s="1962" t="s">
        <v>1010</v>
      </c>
      <c r="E223" s="1962" t="s">
        <v>1011</v>
      </c>
      <c r="F223" s="1981">
        <v>192.835162024</v>
      </c>
      <c r="G223" s="1981">
        <v>192.835162024</v>
      </c>
      <c r="H223" s="1981">
        <v>192.835162024</v>
      </c>
      <c r="I223" s="1981">
        <v>192.835162024</v>
      </c>
      <c r="J223" s="1981">
        <v>192.835162024</v>
      </c>
      <c r="K223" s="1981">
        <v>192.835162024</v>
      </c>
      <c r="L223" s="1981">
        <v>192.835162024</v>
      </c>
      <c r="M223" s="1981">
        <v>192.835162024</v>
      </c>
      <c r="N223" s="1981">
        <v>192.835162024</v>
      </c>
      <c r="O223" s="1981">
        <v>192.835162024</v>
      </c>
      <c r="P223" s="1981">
        <v>192.835162024</v>
      </c>
      <c r="Q223" s="1981">
        <v>192.835162024</v>
      </c>
      <c r="R223" s="1981">
        <v>2314.0219442880002</v>
      </c>
      <c r="T223" s="48">
        <f t="shared" si="3"/>
        <v>0</v>
      </c>
      <c r="U223" s="48"/>
    </row>
    <row r="224" spans="2:21">
      <c r="B224" s="33" t="s">
        <v>7423</v>
      </c>
      <c r="C224" t="s">
        <v>8496</v>
      </c>
      <c r="D224" s="1962" t="s">
        <v>1012</v>
      </c>
      <c r="E224" s="1962" t="s">
        <v>1013</v>
      </c>
      <c r="F224" s="1981">
        <v>0</v>
      </c>
      <c r="G224" s="1981">
        <v>0</v>
      </c>
      <c r="H224" s="1981">
        <v>0</v>
      </c>
      <c r="I224" s="1981">
        <v>0</v>
      </c>
      <c r="J224" s="1981">
        <v>0</v>
      </c>
      <c r="K224" s="1981">
        <v>0</v>
      </c>
      <c r="L224" s="1981">
        <v>0</v>
      </c>
      <c r="M224" s="1981">
        <v>0</v>
      </c>
      <c r="N224" s="1981">
        <v>0</v>
      </c>
      <c r="O224" s="1981">
        <v>0</v>
      </c>
      <c r="P224" s="1981">
        <v>0</v>
      </c>
      <c r="Q224" s="1981">
        <v>0</v>
      </c>
      <c r="R224" s="1981">
        <v>0</v>
      </c>
      <c r="T224" s="48">
        <f t="shared" si="3"/>
        <v>0</v>
      </c>
      <c r="U224" s="48"/>
    </row>
    <row r="225" spans="2:21">
      <c r="B225" s="33" t="s">
        <v>7424</v>
      </c>
      <c r="C225" t="s">
        <v>8496</v>
      </c>
      <c r="D225" s="1962" t="s">
        <v>1014</v>
      </c>
      <c r="E225" s="1962" t="s">
        <v>1015</v>
      </c>
      <c r="F225" s="1981">
        <v>4063.1289999999999</v>
      </c>
      <c r="G225" s="1981">
        <v>2430.4540000000002</v>
      </c>
      <c r="H225" s="1981">
        <v>1727.1020000000001</v>
      </c>
      <c r="I225" s="1981">
        <v>1291.047</v>
      </c>
      <c r="J225" s="1981">
        <v>0</v>
      </c>
      <c r="K225" s="1981">
        <v>0</v>
      </c>
      <c r="L225" s="1981">
        <v>1410.539</v>
      </c>
      <c r="M225" s="1981">
        <v>0</v>
      </c>
      <c r="N225" s="1981">
        <v>0</v>
      </c>
      <c r="O225" s="1981">
        <v>0</v>
      </c>
      <c r="P225" s="1981">
        <v>0</v>
      </c>
      <c r="Q225" s="1981">
        <v>4004.6570000000002</v>
      </c>
      <c r="R225" s="1981">
        <v>14926.928000000004</v>
      </c>
      <c r="T225" s="48">
        <f t="shared" si="3"/>
        <v>0</v>
      </c>
      <c r="U225" s="48"/>
    </row>
    <row r="226" spans="2:21">
      <c r="B226" s="33" t="s">
        <v>7425</v>
      </c>
      <c r="C226" t="s">
        <v>8496</v>
      </c>
      <c r="D226" s="1962" t="s">
        <v>1016</v>
      </c>
      <c r="E226" s="1962" t="s">
        <v>1017</v>
      </c>
      <c r="F226" s="1981">
        <v>51851.076000000001</v>
      </c>
      <c r="G226" s="1981">
        <v>45887.724000000002</v>
      </c>
      <c r="H226" s="1981">
        <v>46938.186999999998</v>
      </c>
      <c r="I226" s="1981">
        <v>47795.285000000003</v>
      </c>
      <c r="J226" s="1981">
        <v>55389.377</v>
      </c>
      <c r="K226" s="1981">
        <v>61695.569000000003</v>
      </c>
      <c r="L226" s="1981">
        <v>66201.281000000003</v>
      </c>
      <c r="M226" s="1981">
        <v>68559.02</v>
      </c>
      <c r="N226" s="1981">
        <v>62981.722000000002</v>
      </c>
      <c r="O226" s="1981">
        <v>59338.517</v>
      </c>
      <c r="P226" s="1981">
        <v>50511.699000000001</v>
      </c>
      <c r="Q226" s="1981">
        <v>52669.665000000001</v>
      </c>
      <c r="R226" s="1981">
        <v>669819.12200000009</v>
      </c>
      <c r="T226" s="48">
        <f t="shared" si="3"/>
        <v>0</v>
      </c>
      <c r="U226" s="48"/>
    </row>
    <row r="227" spans="2:21">
      <c r="B227" s="33" t="s">
        <v>7426</v>
      </c>
      <c r="C227" t="s">
        <v>8496</v>
      </c>
      <c r="D227" s="1962" t="s">
        <v>1018</v>
      </c>
      <c r="E227" s="1962" t="s">
        <v>1019</v>
      </c>
      <c r="F227" s="1981">
        <v>67.058333333299998</v>
      </c>
      <c r="G227" s="1981">
        <v>67.058333333299998</v>
      </c>
      <c r="H227" s="1981">
        <v>65.616333333300005</v>
      </c>
      <c r="I227" s="1981">
        <v>0</v>
      </c>
      <c r="J227" s="1981">
        <v>65.616333333300005</v>
      </c>
      <c r="K227" s="1981">
        <v>65.616333333300005</v>
      </c>
      <c r="L227" s="1981">
        <v>65.616333333300005</v>
      </c>
      <c r="M227" s="1981">
        <v>65.616333333300005</v>
      </c>
      <c r="N227" s="1981">
        <v>64.971333333299995</v>
      </c>
      <c r="O227" s="1981">
        <v>64.971333333299995</v>
      </c>
      <c r="P227" s="1981">
        <v>64.971333333299995</v>
      </c>
      <c r="Q227" s="1981">
        <v>64.971333333299995</v>
      </c>
      <c r="R227" s="1981">
        <v>722.08366666630002</v>
      </c>
      <c r="T227" s="48">
        <f t="shared" si="3"/>
        <v>0</v>
      </c>
      <c r="U227" s="48"/>
    </row>
    <row r="228" spans="2:21">
      <c r="B228" s="33" t="s">
        <v>7427</v>
      </c>
      <c r="C228" t="s">
        <v>8496</v>
      </c>
      <c r="D228" s="1962" t="s">
        <v>1020</v>
      </c>
      <c r="E228" s="1962" t="s">
        <v>7428</v>
      </c>
      <c r="F228" s="1981">
        <v>-5.0000000000000001E-3</v>
      </c>
      <c r="G228" s="1981">
        <v>0</v>
      </c>
      <c r="H228" s="1981">
        <v>0</v>
      </c>
      <c r="I228" s="1981">
        <v>-5.0000000000000001E-3</v>
      </c>
      <c r="J228" s="1981">
        <v>0</v>
      </c>
      <c r="K228" s="1981">
        <v>0</v>
      </c>
      <c r="L228" s="1981">
        <v>-5.0000000000000001E-3</v>
      </c>
      <c r="M228" s="1981">
        <v>0</v>
      </c>
      <c r="N228" s="1981">
        <v>0</v>
      </c>
      <c r="O228" s="1981">
        <v>-5.0000000000000001E-3</v>
      </c>
      <c r="P228" s="1981">
        <v>0</v>
      </c>
      <c r="Q228" s="1981">
        <v>0</v>
      </c>
      <c r="R228" s="1981">
        <v>-0.02</v>
      </c>
      <c r="T228" s="48">
        <f t="shared" si="3"/>
        <v>0</v>
      </c>
      <c r="U228" s="48"/>
    </row>
    <row r="229" spans="2:21">
      <c r="B229" s="33" t="s">
        <v>7429</v>
      </c>
      <c r="C229" t="s">
        <v>8496</v>
      </c>
      <c r="D229" s="1962" t="s">
        <v>1021</v>
      </c>
      <c r="E229" s="1962" t="s">
        <v>1022</v>
      </c>
      <c r="F229" s="1981">
        <v>3864.376636425</v>
      </c>
      <c r="G229" s="1981">
        <v>3983.1686522620998</v>
      </c>
      <c r="H229" s="1981">
        <v>1989.2396562014001</v>
      </c>
      <c r="I229" s="1981">
        <v>4272.1801007372005</v>
      </c>
      <c r="J229" s="1981">
        <v>622.03757177720001</v>
      </c>
      <c r="K229" s="1981">
        <v>267.66828000000004</v>
      </c>
      <c r="L229" s="1981">
        <v>63.859319890899997</v>
      </c>
      <c r="M229" s="1981">
        <v>66.494354080899996</v>
      </c>
      <c r="N229" s="1981">
        <v>253.41823410219999</v>
      </c>
      <c r="O229" s="1981">
        <v>970.59140394149995</v>
      </c>
      <c r="P229" s="1981">
        <v>187.47606071280001</v>
      </c>
      <c r="Q229" s="1981">
        <v>242.74475343360001</v>
      </c>
      <c r="R229" s="1981">
        <v>16783.255023564801</v>
      </c>
      <c r="T229" s="48">
        <f t="shared" si="3"/>
        <v>0</v>
      </c>
      <c r="U229" s="48"/>
    </row>
    <row r="230" spans="2:21">
      <c r="B230" s="33" t="s">
        <v>7430</v>
      </c>
      <c r="C230" t="s">
        <v>8496</v>
      </c>
      <c r="D230" s="1962" t="s">
        <v>1023</v>
      </c>
      <c r="E230" s="1962" t="s">
        <v>1024</v>
      </c>
      <c r="F230" s="1981">
        <v>20.868518019499998</v>
      </c>
      <c r="G230" s="1981">
        <v>21.737058019499997</v>
      </c>
      <c r="H230" s="1981">
        <v>28.442820786999999</v>
      </c>
      <c r="I230" s="1981">
        <v>25.426347170699998</v>
      </c>
      <c r="J230" s="1981">
        <v>22.035014403199998</v>
      </c>
      <c r="K230" s="1981">
        <v>24.2665312114</v>
      </c>
      <c r="L230" s="1981">
        <v>28.889531211400001</v>
      </c>
      <c r="M230" s="1981">
        <v>21.898531211399998</v>
      </c>
      <c r="N230" s="1981">
        <v>22.697531211399998</v>
      </c>
      <c r="O230" s="1981">
        <v>21.442820786999999</v>
      </c>
      <c r="P230" s="1981">
        <v>26.604347170699999</v>
      </c>
      <c r="Q230" s="1981">
        <v>24.972347170699997</v>
      </c>
      <c r="R230" s="1981">
        <v>289.2813983739</v>
      </c>
      <c r="T230" s="48">
        <f t="shared" si="3"/>
        <v>0</v>
      </c>
      <c r="U230" s="48"/>
    </row>
    <row r="231" spans="2:21">
      <c r="B231" s="33" t="s">
        <v>7431</v>
      </c>
      <c r="C231" t="s">
        <v>8496</v>
      </c>
      <c r="D231" s="1962" t="s">
        <v>1025</v>
      </c>
      <c r="E231" s="1962" t="s">
        <v>1026</v>
      </c>
      <c r="F231" s="1981">
        <v>80.537755423800007</v>
      </c>
      <c r="G231" s="1981">
        <v>82.066615423800002</v>
      </c>
      <c r="H231" s="1981">
        <v>84.899387898400008</v>
      </c>
      <c r="I231" s="1981">
        <v>82.212914135800006</v>
      </c>
      <c r="J231" s="1981">
        <v>84.157361661100012</v>
      </c>
      <c r="K231" s="1981">
        <v>82.672418542500012</v>
      </c>
      <c r="L231" s="1981">
        <v>81.963418542500008</v>
      </c>
      <c r="M231" s="1981">
        <v>83.536418542500002</v>
      </c>
      <c r="N231" s="1981">
        <v>82.461418542499999</v>
      </c>
      <c r="O231" s="1981">
        <v>79.605407898399989</v>
      </c>
      <c r="P231" s="1981">
        <v>86.231734135799996</v>
      </c>
      <c r="Q231" s="1981">
        <v>86.201734135799995</v>
      </c>
      <c r="R231" s="1981">
        <v>996.54658488290011</v>
      </c>
      <c r="T231" s="48">
        <f t="shared" si="3"/>
        <v>0</v>
      </c>
      <c r="U231" s="48"/>
    </row>
    <row r="232" spans="2:21">
      <c r="B232" s="33" t="s">
        <v>7432</v>
      </c>
      <c r="C232" t="s">
        <v>8496</v>
      </c>
      <c r="D232" s="1962" t="s">
        <v>1027</v>
      </c>
      <c r="E232" s="1962" t="s">
        <v>1028</v>
      </c>
      <c r="F232" s="1981">
        <v>440.34244831730001</v>
      </c>
      <c r="G232" s="1981">
        <v>410.34244831730001</v>
      </c>
      <c r="H232" s="1981">
        <v>495.84244831730001</v>
      </c>
      <c r="I232" s="1981">
        <v>441.776219599</v>
      </c>
      <c r="J232" s="1981">
        <v>441.776219599</v>
      </c>
      <c r="K232" s="1981">
        <v>441.776219599</v>
      </c>
      <c r="L232" s="1981">
        <v>457.4931052398</v>
      </c>
      <c r="M232" s="1981">
        <v>457.4931052398</v>
      </c>
      <c r="N232" s="1981">
        <v>457.4931052398</v>
      </c>
      <c r="O232" s="1981">
        <v>473.20999088079998</v>
      </c>
      <c r="P232" s="1981">
        <v>473.20999088079998</v>
      </c>
      <c r="Q232" s="1981">
        <v>466.29441908500002</v>
      </c>
      <c r="R232" s="1981">
        <v>5457.0497203148998</v>
      </c>
      <c r="T232" s="48">
        <f t="shared" si="3"/>
        <v>0</v>
      </c>
      <c r="U232" s="48"/>
    </row>
    <row r="233" spans="2:21">
      <c r="B233" s="33" t="s">
        <v>7433</v>
      </c>
      <c r="C233" t="s">
        <v>8496</v>
      </c>
      <c r="D233" s="1962" t="s">
        <v>1029</v>
      </c>
      <c r="E233" s="1962" t="s">
        <v>1030</v>
      </c>
      <c r="F233" s="1981">
        <v>41.851352708</v>
      </c>
      <c r="G233" s="1981">
        <v>22.112500000000001</v>
      </c>
      <c r="H233" s="1981">
        <v>22.112500000000001</v>
      </c>
      <c r="I233" s="1981">
        <v>22.377357142899999</v>
      </c>
      <c r="J233" s="1981">
        <v>22.377357142899999</v>
      </c>
      <c r="K233" s="1981">
        <v>22.377357142899999</v>
      </c>
      <c r="L233" s="1981">
        <v>22.509785714300001</v>
      </c>
      <c r="M233" s="1981">
        <v>22.509785714300001</v>
      </c>
      <c r="N233" s="1981">
        <v>22.509785714300001</v>
      </c>
      <c r="O233" s="1981">
        <v>22.6422142857</v>
      </c>
      <c r="P233" s="1981">
        <v>22.6422142857</v>
      </c>
      <c r="Q233" s="1981">
        <v>23.304357142899999</v>
      </c>
      <c r="R233" s="1981">
        <v>289.32656699389997</v>
      </c>
      <c r="T233" s="48">
        <f t="shared" si="3"/>
        <v>0</v>
      </c>
      <c r="U233" s="48"/>
    </row>
    <row r="234" spans="2:21">
      <c r="B234" s="33" t="s">
        <v>7434</v>
      </c>
      <c r="C234" t="s">
        <v>8496</v>
      </c>
      <c r="D234" s="1962" t="s">
        <v>1031</v>
      </c>
      <c r="E234" s="1962" t="s">
        <v>1032</v>
      </c>
      <c r="F234" s="1981">
        <v>2</v>
      </c>
      <c r="G234" s="1981">
        <v>2</v>
      </c>
      <c r="H234" s="1981">
        <v>2</v>
      </c>
      <c r="I234" s="1981">
        <v>2</v>
      </c>
      <c r="J234" s="1981">
        <v>2</v>
      </c>
      <c r="K234" s="1981">
        <v>2</v>
      </c>
      <c r="L234" s="1981">
        <v>2</v>
      </c>
      <c r="M234" s="1981">
        <v>2</v>
      </c>
      <c r="N234" s="1981">
        <v>2</v>
      </c>
      <c r="O234" s="1981">
        <v>2</v>
      </c>
      <c r="P234" s="1981">
        <v>2</v>
      </c>
      <c r="Q234" s="1981">
        <v>2</v>
      </c>
      <c r="R234" s="1981">
        <v>24</v>
      </c>
      <c r="T234" s="48">
        <f t="shared" si="3"/>
        <v>0</v>
      </c>
      <c r="U234" s="48"/>
    </row>
    <row r="235" spans="2:21">
      <c r="B235" s="33" t="s">
        <v>7435</v>
      </c>
      <c r="C235" t="s">
        <v>8496</v>
      </c>
      <c r="D235" s="1962" t="s">
        <v>1033</v>
      </c>
      <c r="E235" s="1962" t="s">
        <v>1034</v>
      </c>
      <c r="F235" s="1981">
        <v>57.932717939299998</v>
      </c>
      <c r="G235" s="1981">
        <v>52.1568303313</v>
      </c>
      <c r="H235" s="1981">
        <v>57.932717939299998</v>
      </c>
      <c r="I235" s="1981">
        <v>61.614987597599999</v>
      </c>
      <c r="J235" s="1981">
        <v>61.614987597599999</v>
      </c>
      <c r="K235" s="1981">
        <v>61.614987597599999</v>
      </c>
      <c r="L235" s="1981">
        <v>63.456122426699999</v>
      </c>
      <c r="M235" s="1981">
        <v>63.456122426699999</v>
      </c>
      <c r="N235" s="1981">
        <v>63.456122426699999</v>
      </c>
      <c r="O235" s="1981">
        <v>65.297257255899993</v>
      </c>
      <c r="P235" s="1981">
        <v>65.297257255899993</v>
      </c>
      <c r="Q235" s="1981">
        <v>74.502931401599994</v>
      </c>
      <c r="R235" s="1981">
        <v>748.33304219620004</v>
      </c>
      <c r="T235" s="48">
        <f t="shared" si="3"/>
        <v>0</v>
      </c>
      <c r="U235" s="48"/>
    </row>
    <row r="236" spans="2:21">
      <c r="B236" s="33" t="s">
        <v>7436</v>
      </c>
      <c r="C236" t="s">
        <v>8496</v>
      </c>
      <c r="D236" s="1962" t="s">
        <v>1035</v>
      </c>
      <c r="E236" s="1962" t="s">
        <v>1036</v>
      </c>
      <c r="F236" s="1981">
        <v>7.4826022497000002</v>
      </c>
      <c r="G236" s="1981">
        <v>7.4826022497000002</v>
      </c>
      <c r="H236" s="1981">
        <v>7.4904886066999996</v>
      </c>
      <c r="I236" s="1981">
        <v>7.6444317853000001</v>
      </c>
      <c r="J236" s="1981">
        <v>7.9365454281999996</v>
      </c>
      <c r="K236" s="1981">
        <v>7.6345738388999997</v>
      </c>
      <c r="L236" s="1981">
        <v>7.7095738388999999</v>
      </c>
      <c r="M236" s="1981">
        <v>7.7095738388999999</v>
      </c>
      <c r="N236" s="1981">
        <v>7.7095738388999999</v>
      </c>
      <c r="O236" s="1981">
        <v>7.7904886066999994</v>
      </c>
      <c r="P236" s="1981">
        <v>7.7944317853000005</v>
      </c>
      <c r="Q236" s="1981">
        <v>8.1694317853000005</v>
      </c>
      <c r="R236" s="1981">
        <v>92.554317852500006</v>
      </c>
      <c r="T236" s="48">
        <f t="shared" si="3"/>
        <v>0</v>
      </c>
      <c r="U236" s="48"/>
    </row>
    <row r="237" spans="2:21">
      <c r="B237" s="33" t="s">
        <v>7437</v>
      </c>
      <c r="C237" t="s">
        <v>8496</v>
      </c>
      <c r="D237" s="1962" t="s">
        <v>1037</v>
      </c>
      <c r="E237" s="1962" t="s">
        <v>1038</v>
      </c>
      <c r="F237" s="1981">
        <v>4.2700755999999999E-2</v>
      </c>
      <c r="G237" s="1981">
        <v>1.7700755999999998E-2</v>
      </c>
      <c r="H237" s="1981">
        <v>0.18870075600000003</v>
      </c>
      <c r="I237" s="1981">
        <v>2.0229435399999999E-2</v>
      </c>
      <c r="J237" s="1981">
        <v>2.0229435399999999E-2</v>
      </c>
      <c r="K237" s="1981">
        <v>3.8229435399999998E-2</v>
      </c>
      <c r="L237" s="1981">
        <v>2.1493775100000001E-2</v>
      </c>
      <c r="M237" s="1981">
        <v>3.4493775099999999E-2</v>
      </c>
      <c r="N237" s="1981">
        <v>5.0493775099999999E-2</v>
      </c>
      <c r="O237" s="1981">
        <v>2.2758114899999998E-2</v>
      </c>
      <c r="P237" s="1981">
        <v>2.2758114899999998E-2</v>
      </c>
      <c r="Q237" s="1981">
        <v>2.9079813399999998E-2</v>
      </c>
      <c r="R237" s="1981">
        <v>0.50886794270000002</v>
      </c>
      <c r="T237" s="48">
        <f t="shared" si="3"/>
        <v>0</v>
      </c>
      <c r="U237" s="48"/>
    </row>
    <row r="238" spans="2:21">
      <c r="B238" s="33" t="s">
        <v>7438</v>
      </c>
      <c r="C238" t="s">
        <v>8496</v>
      </c>
      <c r="D238" s="1962" t="s">
        <v>1039</v>
      </c>
      <c r="E238" s="1962" t="s">
        <v>1040</v>
      </c>
      <c r="F238" s="1981">
        <v>681.84341537379998</v>
      </c>
      <c r="G238" s="1981">
        <v>526.85269537379997</v>
      </c>
      <c r="H238" s="1981">
        <v>1057.1641696961999</v>
      </c>
      <c r="I238" s="1981">
        <v>1179.4823519024999</v>
      </c>
      <c r="J238" s="1981">
        <v>982.66172205969997</v>
      </c>
      <c r="K238" s="1981">
        <v>902.33119275390004</v>
      </c>
      <c r="L238" s="1981">
        <v>749.62057771360003</v>
      </c>
      <c r="M238" s="1981">
        <v>765.92357771360003</v>
      </c>
      <c r="N238" s="1981">
        <v>902.70810219320003</v>
      </c>
      <c r="O238" s="1981">
        <v>1478.3947095351</v>
      </c>
      <c r="P238" s="1981">
        <v>1459.7245994564998</v>
      </c>
      <c r="Q238" s="1981">
        <v>1177.9169997754</v>
      </c>
      <c r="R238" s="1981">
        <v>11864.624113547299</v>
      </c>
      <c r="T238" s="48">
        <f t="shared" si="3"/>
        <v>0</v>
      </c>
      <c r="U238" s="48"/>
    </row>
    <row r="239" spans="2:21">
      <c r="B239" s="33" t="s">
        <v>7439</v>
      </c>
      <c r="C239" t="s">
        <v>8496</v>
      </c>
      <c r="D239" s="1962" t="s">
        <v>1041</v>
      </c>
      <c r="E239" s="1962" t="s">
        <v>1042</v>
      </c>
      <c r="F239" s="1981">
        <v>3.7080000000000002</v>
      </c>
      <c r="G239" s="1981">
        <v>3.7080000000000002</v>
      </c>
      <c r="H239" s="1981">
        <v>3.7080000000000002</v>
      </c>
      <c r="I239" s="1981">
        <v>3.7080000000000002</v>
      </c>
      <c r="J239" s="1981">
        <v>3.7080000000000002</v>
      </c>
      <c r="K239" s="1981">
        <v>3.7080000000000002</v>
      </c>
      <c r="L239" s="1981">
        <v>3.7080000000000002</v>
      </c>
      <c r="M239" s="1981">
        <v>3.7080000000000002</v>
      </c>
      <c r="N239" s="1981">
        <v>3.7080000000000002</v>
      </c>
      <c r="O239" s="1981">
        <v>3.7080000000000002</v>
      </c>
      <c r="P239" s="1981">
        <v>3.7080000000000002</v>
      </c>
      <c r="Q239" s="1981">
        <v>3.7080000000000002</v>
      </c>
      <c r="R239" s="1981">
        <v>44.495999999999988</v>
      </c>
      <c r="T239" s="48">
        <f t="shared" si="3"/>
        <v>0</v>
      </c>
      <c r="U239" s="48"/>
    </row>
    <row r="240" spans="2:21">
      <c r="B240" s="33" t="s">
        <v>7440</v>
      </c>
      <c r="C240" t="s">
        <v>8496</v>
      </c>
      <c r="D240" s="1962" t="s">
        <v>1043</v>
      </c>
      <c r="E240" s="1962" t="s">
        <v>1044</v>
      </c>
      <c r="F240" s="1981">
        <v>18.037565999999998</v>
      </c>
      <c r="G240" s="1981">
        <v>18.037565999999998</v>
      </c>
      <c r="H240" s="1981">
        <v>18.037565999999998</v>
      </c>
      <c r="I240" s="1981">
        <v>20.614361142900002</v>
      </c>
      <c r="J240" s="1981">
        <v>20.614361142900002</v>
      </c>
      <c r="K240" s="1981">
        <v>20.614361142900002</v>
      </c>
      <c r="L240" s="1981">
        <v>21.902758714299999</v>
      </c>
      <c r="M240" s="1981">
        <v>21.902758714299999</v>
      </c>
      <c r="N240" s="1981">
        <v>21.902758714299999</v>
      </c>
      <c r="O240" s="1981">
        <v>23.1911562857</v>
      </c>
      <c r="P240" s="1981">
        <v>23.1911562857</v>
      </c>
      <c r="Q240" s="1981">
        <v>29.633144142900001</v>
      </c>
      <c r="R240" s="1981">
        <v>257.67951428590004</v>
      </c>
      <c r="T240" s="48">
        <f t="shared" si="3"/>
        <v>0</v>
      </c>
      <c r="U240" s="48"/>
    </row>
    <row r="241" spans="2:21">
      <c r="B241" s="33" t="s">
        <v>7441</v>
      </c>
      <c r="C241" t="s">
        <v>8496</v>
      </c>
      <c r="D241" s="1962" t="s">
        <v>1045</v>
      </c>
      <c r="E241" s="1962" t="s">
        <v>1046</v>
      </c>
      <c r="F241" s="1981">
        <v>14.3710433864</v>
      </c>
      <c r="G241" s="1981">
        <v>13.174043386400001</v>
      </c>
      <c r="H241" s="1981">
        <v>13.482043386400001</v>
      </c>
      <c r="I241" s="1981">
        <v>13.7620433864</v>
      </c>
      <c r="J241" s="1981">
        <v>13.948043386400002</v>
      </c>
      <c r="K241" s="1981">
        <v>12.774043386400001</v>
      </c>
      <c r="L241" s="1981">
        <v>14.1920433864</v>
      </c>
      <c r="M241" s="1981">
        <v>15.084043386399999</v>
      </c>
      <c r="N241" s="1981">
        <v>13.9710433864</v>
      </c>
      <c r="O241" s="1981">
        <v>14.800043386400002</v>
      </c>
      <c r="P241" s="1981">
        <v>14.681043386400001</v>
      </c>
      <c r="Q241" s="1981">
        <v>16.491043386399998</v>
      </c>
      <c r="R241" s="1981">
        <v>170.73052063680001</v>
      </c>
      <c r="T241" s="48">
        <f t="shared" si="3"/>
        <v>0</v>
      </c>
      <c r="U241" s="48"/>
    </row>
    <row r="242" spans="2:21">
      <c r="B242" s="33" t="s">
        <v>7442</v>
      </c>
      <c r="C242" t="s">
        <v>8496</v>
      </c>
      <c r="D242" s="1962" t="s">
        <v>1047</v>
      </c>
      <c r="E242" s="1962" t="s">
        <v>1048</v>
      </c>
      <c r="F242" s="1981">
        <v>0</v>
      </c>
      <c r="G242" s="1981">
        <v>0</v>
      </c>
      <c r="H242" s="1981">
        <v>0</v>
      </c>
      <c r="I242" s="1981">
        <v>0</v>
      </c>
      <c r="J242" s="1981">
        <v>0</v>
      </c>
      <c r="K242" s="1981">
        <v>0</v>
      </c>
      <c r="L242" s="1981">
        <v>0</v>
      </c>
      <c r="M242" s="1981">
        <v>0</v>
      </c>
      <c r="N242" s="1981">
        <v>0</v>
      </c>
      <c r="O242" s="1981">
        <v>0</v>
      </c>
      <c r="P242" s="1981">
        <v>0</v>
      </c>
      <c r="Q242" s="1981">
        <v>0</v>
      </c>
      <c r="R242" s="1981">
        <v>0</v>
      </c>
      <c r="T242" s="48">
        <f t="shared" si="3"/>
        <v>0</v>
      </c>
      <c r="U242" s="48"/>
    </row>
    <row r="243" spans="2:21">
      <c r="B243" s="33" t="s">
        <v>7443</v>
      </c>
      <c r="C243" t="s">
        <v>8496</v>
      </c>
      <c r="D243" s="1962" t="s">
        <v>1049</v>
      </c>
      <c r="E243" s="1962" t="s">
        <v>1050</v>
      </c>
      <c r="F243" s="1981">
        <v>-30.219943339299999</v>
      </c>
      <c r="G243" s="1981">
        <v>-39.844071460899997</v>
      </c>
      <c r="H243" s="1981">
        <v>-40.157159083400003</v>
      </c>
      <c r="I243" s="1981">
        <v>-1.0453038899</v>
      </c>
      <c r="J243" s="1981">
        <v>-35.682926110400004</v>
      </c>
      <c r="K243" s="1981">
        <v>-5.7437696740000002</v>
      </c>
      <c r="L243" s="1981">
        <v>-32.446660654799999</v>
      </c>
      <c r="M243" s="1981">
        <v>26.977605917600002</v>
      </c>
      <c r="N243" s="1981">
        <v>-24.4172193062</v>
      </c>
      <c r="O243" s="1981">
        <v>-29.943776946000003</v>
      </c>
      <c r="P243" s="1981">
        <v>-27.604798259100001</v>
      </c>
      <c r="Q243" s="1981">
        <v>4.2829126439000005</v>
      </c>
      <c r="R243" s="1981">
        <v>-235.84511016250002</v>
      </c>
      <c r="T243" s="48">
        <f t="shared" si="3"/>
        <v>0</v>
      </c>
      <c r="U243" s="48"/>
    </row>
    <row r="244" spans="2:21">
      <c r="B244" s="33" t="s">
        <v>7444</v>
      </c>
      <c r="C244" t="s">
        <v>8496</v>
      </c>
      <c r="D244" s="1962" t="s">
        <v>1051</v>
      </c>
      <c r="E244" s="1962" t="s">
        <v>1052</v>
      </c>
      <c r="F244" s="1981">
        <v>267.00633671370002</v>
      </c>
      <c r="G244" s="1981">
        <v>268.81933671370001</v>
      </c>
      <c r="H244" s="1981">
        <v>483.13578193850003</v>
      </c>
      <c r="I244" s="1981">
        <v>443.38007513180003</v>
      </c>
      <c r="J244" s="1981">
        <v>418.35148772000002</v>
      </c>
      <c r="K244" s="1981">
        <v>284.28843526750001</v>
      </c>
      <c r="L244" s="1981">
        <v>292.24038722460006</v>
      </c>
      <c r="M244" s="1981">
        <v>297.12538722460005</v>
      </c>
      <c r="N244" s="1981">
        <v>320.6443872246</v>
      </c>
      <c r="O244" s="1981">
        <v>331.53392310040005</v>
      </c>
      <c r="P244" s="1981">
        <v>327.83831237940007</v>
      </c>
      <c r="Q244" s="1981">
        <v>367.57007216510004</v>
      </c>
      <c r="R244" s="1981">
        <v>4101.9339228039007</v>
      </c>
      <c r="T244" s="48">
        <f t="shared" si="3"/>
        <v>0</v>
      </c>
      <c r="U244" s="48"/>
    </row>
    <row r="245" spans="2:21">
      <c r="B245" s="33" t="s">
        <v>7445</v>
      </c>
      <c r="C245" t="s">
        <v>8496</v>
      </c>
      <c r="D245" s="1962" t="s">
        <v>1053</v>
      </c>
      <c r="E245" s="1962" t="s">
        <v>1054</v>
      </c>
      <c r="F245" s="1981">
        <v>0</v>
      </c>
      <c r="G245" s="1981">
        <v>0</v>
      </c>
      <c r="H245" s="1981">
        <v>0</v>
      </c>
      <c r="I245" s="1981">
        <v>0</v>
      </c>
      <c r="J245" s="1981">
        <v>0</v>
      </c>
      <c r="K245" s="1981">
        <v>0</v>
      </c>
      <c r="L245" s="1981">
        <v>0</v>
      </c>
      <c r="M245" s="1981">
        <v>0</v>
      </c>
      <c r="N245" s="1981">
        <v>0</v>
      </c>
      <c r="O245" s="1981">
        <v>0</v>
      </c>
      <c r="P245" s="1981">
        <v>0</v>
      </c>
      <c r="Q245" s="1981">
        <v>0</v>
      </c>
      <c r="R245" s="1981">
        <v>0</v>
      </c>
      <c r="T245" s="48">
        <f t="shared" si="3"/>
        <v>0</v>
      </c>
      <c r="U245" s="48"/>
    </row>
    <row r="246" spans="2:21">
      <c r="B246" s="33" t="s">
        <v>7446</v>
      </c>
      <c r="C246" t="s">
        <v>8496</v>
      </c>
      <c r="D246" s="1962" t="s">
        <v>1055</v>
      </c>
      <c r="E246" s="1962" t="s">
        <v>1056</v>
      </c>
      <c r="F246" s="1981">
        <v>0</v>
      </c>
      <c r="G246" s="1981">
        <v>0</v>
      </c>
      <c r="H246" s="1981">
        <v>0</v>
      </c>
      <c r="I246" s="1981">
        <v>0</v>
      </c>
      <c r="J246" s="1981">
        <v>0</v>
      </c>
      <c r="K246" s="1981">
        <v>0</v>
      </c>
      <c r="L246" s="1981">
        <v>0</v>
      </c>
      <c r="M246" s="1981">
        <v>0</v>
      </c>
      <c r="N246" s="1981">
        <v>0</v>
      </c>
      <c r="O246" s="1981">
        <v>0</v>
      </c>
      <c r="P246" s="1981">
        <v>0</v>
      </c>
      <c r="Q246" s="1981">
        <v>0</v>
      </c>
      <c r="R246" s="1981">
        <v>0</v>
      </c>
      <c r="T246" s="48">
        <f t="shared" si="3"/>
        <v>0</v>
      </c>
      <c r="U246" s="48"/>
    </row>
    <row r="247" spans="2:21">
      <c r="B247" s="33" t="s">
        <v>7447</v>
      </c>
      <c r="C247" t="s">
        <v>8496</v>
      </c>
      <c r="D247" s="1962" t="s">
        <v>1057</v>
      </c>
      <c r="E247" s="1962" t="s">
        <v>7448</v>
      </c>
      <c r="F247" s="1981">
        <v>0</v>
      </c>
      <c r="G247" s="1981">
        <v>0</v>
      </c>
      <c r="H247" s="1981">
        <v>0</v>
      </c>
      <c r="I247" s="1981">
        <v>0</v>
      </c>
      <c r="J247" s="1981">
        <v>0</v>
      </c>
      <c r="K247" s="1981">
        <v>0</v>
      </c>
      <c r="L247" s="1981">
        <v>0</v>
      </c>
      <c r="M247" s="1981">
        <v>0</v>
      </c>
      <c r="N247" s="1981">
        <v>0</v>
      </c>
      <c r="O247" s="1981">
        <v>0</v>
      </c>
      <c r="P247" s="1981">
        <v>0</v>
      </c>
      <c r="Q247" s="1981">
        <v>0</v>
      </c>
      <c r="R247" s="1981">
        <v>0</v>
      </c>
      <c r="T247" s="48">
        <f t="shared" si="3"/>
        <v>0</v>
      </c>
      <c r="U247" s="48"/>
    </row>
    <row r="248" spans="2:21">
      <c r="B248" s="33" t="s">
        <v>7449</v>
      </c>
      <c r="C248" t="s">
        <v>8496</v>
      </c>
      <c r="D248" s="1962" t="s">
        <v>1058</v>
      </c>
      <c r="E248" s="1962" t="s">
        <v>1059</v>
      </c>
      <c r="F248" s="1981">
        <v>59.166669999999996</v>
      </c>
      <c r="G248" s="1981">
        <v>59.166669999999996</v>
      </c>
      <c r="H248" s="1981">
        <v>59.166669999999996</v>
      </c>
      <c r="I248" s="1981">
        <v>59.166669999999996</v>
      </c>
      <c r="J248" s="1981">
        <v>39.166669999999996</v>
      </c>
      <c r="K248" s="1981">
        <v>-0.83333000000000002</v>
      </c>
      <c r="L248" s="1981">
        <v>-0.83333000000000002</v>
      </c>
      <c r="M248" s="1981">
        <v>-0.83333000000000002</v>
      </c>
      <c r="N248" s="1981">
        <v>-0.83333000000000002</v>
      </c>
      <c r="O248" s="1981">
        <v>-0.83333000000000002</v>
      </c>
      <c r="P248" s="1981">
        <v>-0.83333000000000002</v>
      </c>
      <c r="Q248" s="1981">
        <v>-0.83333000000000002</v>
      </c>
      <c r="R248" s="1981">
        <v>270.00004000000007</v>
      </c>
      <c r="T248" s="48">
        <f t="shared" si="3"/>
        <v>0</v>
      </c>
      <c r="U248" s="48"/>
    </row>
    <row r="249" spans="2:21">
      <c r="B249" s="33" t="s">
        <v>7450</v>
      </c>
      <c r="C249" t="s">
        <v>8496</v>
      </c>
      <c r="D249" s="1962" t="s">
        <v>1060</v>
      </c>
      <c r="E249" s="1962" t="s">
        <v>1061</v>
      </c>
      <c r="F249" s="1981">
        <v>0</v>
      </c>
      <c r="G249" s="1981">
        <v>0</v>
      </c>
      <c r="H249" s="1981">
        <v>0</v>
      </c>
      <c r="I249" s="1981">
        <v>0</v>
      </c>
      <c r="J249" s="1981">
        <v>0</v>
      </c>
      <c r="K249" s="1981">
        <v>0</v>
      </c>
      <c r="L249" s="1981">
        <v>0</v>
      </c>
      <c r="M249" s="1981">
        <v>0</v>
      </c>
      <c r="N249" s="1981">
        <v>0</v>
      </c>
      <c r="O249" s="1981">
        <v>0</v>
      </c>
      <c r="P249" s="1981">
        <v>0</v>
      </c>
      <c r="Q249" s="1981">
        <v>0</v>
      </c>
      <c r="R249" s="1981">
        <v>0</v>
      </c>
      <c r="T249" s="48">
        <f t="shared" si="3"/>
        <v>0</v>
      </c>
      <c r="U249" s="48"/>
    </row>
    <row r="250" spans="2:21">
      <c r="B250" s="33" t="s">
        <v>7451</v>
      </c>
      <c r="C250" t="s">
        <v>8496</v>
      </c>
      <c r="D250" s="1962" t="s">
        <v>1062</v>
      </c>
      <c r="E250" s="1962" t="s">
        <v>1063</v>
      </c>
      <c r="F250" s="1981">
        <v>-1725.0657784523999</v>
      </c>
      <c r="G250" s="1981">
        <v>-1727.6147172747001</v>
      </c>
      <c r="H250" s="1981">
        <v>-1729.7208993408001</v>
      </c>
      <c r="I250" s="1981">
        <v>-1729.2775543643002</v>
      </c>
      <c r="J250" s="1981">
        <v>-1726.0663547281999</v>
      </c>
      <c r="K250" s="1981">
        <v>-1741.1537410638</v>
      </c>
      <c r="L250" s="1981">
        <v>-1805.9802710186</v>
      </c>
      <c r="M250" s="1981">
        <v>-1741.4633943357001</v>
      </c>
      <c r="N250" s="1981">
        <v>-1741.6837347176001</v>
      </c>
      <c r="O250" s="1981">
        <v>-1742.5073504818999</v>
      </c>
      <c r="P250" s="1981">
        <v>-1745.6099023996001</v>
      </c>
      <c r="Q250" s="1981">
        <v>-1764.6595982856002</v>
      </c>
      <c r="R250" s="1981">
        <v>-20920.8032964632</v>
      </c>
      <c r="T250" s="48">
        <f t="shared" si="3"/>
        <v>0</v>
      </c>
      <c r="U250" s="48"/>
    </row>
    <row r="251" spans="2:21">
      <c r="B251" s="33" t="s">
        <v>7452</v>
      </c>
      <c r="C251" t="s">
        <v>8496</v>
      </c>
      <c r="D251" s="1962" t="s">
        <v>7453</v>
      </c>
      <c r="E251" s="1962" t="s">
        <v>7454</v>
      </c>
      <c r="F251" s="1981">
        <v>0</v>
      </c>
      <c r="G251" s="1981">
        <v>0</v>
      </c>
      <c r="H251" s="1981">
        <v>0</v>
      </c>
      <c r="I251" s="1981">
        <v>0</v>
      </c>
      <c r="J251" s="1981">
        <v>0</v>
      </c>
      <c r="K251" s="1981">
        <v>0</v>
      </c>
      <c r="L251" s="1981">
        <v>0</v>
      </c>
      <c r="M251" s="1981">
        <v>0</v>
      </c>
      <c r="N251" s="1981">
        <v>0</v>
      </c>
      <c r="O251" s="1981">
        <v>0</v>
      </c>
      <c r="P251" s="1981">
        <v>0</v>
      </c>
      <c r="Q251" s="1981">
        <v>0</v>
      </c>
      <c r="R251" s="1981">
        <v>0</v>
      </c>
      <c r="T251" s="48">
        <f t="shared" si="3"/>
        <v>0</v>
      </c>
      <c r="U251" s="48"/>
    </row>
    <row r="252" spans="2:21">
      <c r="B252" s="33" t="s">
        <v>7455</v>
      </c>
      <c r="C252" t="s">
        <v>8496</v>
      </c>
      <c r="D252" s="1962" t="s">
        <v>1064</v>
      </c>
      <c r="E252" s="1962" t="s">
        <v>7456</v>
      </c>
      <c r="F252" s="1981">
        <v>0</v>
      </c>
      <c r="G252" s="1981">
        <v>0</v>
      </c>
      <c r="H252" s="1981">
        <v>0</v>
      </c>
      <c r="I252" s="1981">
        <v>0</v>
      </c>
      <c r="J252" s="1981">
        <v>0</v>
      </c>
      <c r="K252" s="1981">
        <v>0</v>
      </c>
      <c r="L252" s="1981">
        <v>0</v>
      </c>
      <c r="M252" s="1981">
        <v>0</v>
      </c>
      <c r="N252" s="1981">
        <v>0</v>
      </c>
      <c r="O252" s="1981">
        <v>0</v>
      </c>
      <c r="P252" s="1981">
        <v>0</v>
      </c>
      <c r="Q252" s="1981">
        <v>0</v>
      </c>
      <c r="R252" s="1981">
        <v>0</v>
      </c>
      <c r="T252" s="48">
        <f t="shared" si="3"/>
        <v>0</v>
      </c>
      <c r="U252" s="48"/>
    </row>
    <row r="253" spans="2:21">
      <c r="B253" s="33" t="s">
        <v>7457</v>
      </c>
      <c r="C253" t="s">
        <v>8496</v>
      </c>
      <c r="D253" s="1962" t="s">
        <v>1065</v>
      </c>
      <c r="E253" s="1962" t="s">
        <v>1066</v>
      </c>
      <c r="F253" s="1981">
        <v>0</v>
      </c>
      <c r="G253" s="1981">
        <v>0</v>
      </c>
      <c r="H253" s="1981">
        <v>0</v>
      </c>
      <c r="I253" s="1981">
        <v>0</v>
      </c>
      <c r="J253" s="1981">
        <v>0</v>
      </c>
      <c r="K253" s="1981">
        <v>0</v>
      </c>
      <c r="L253" s="1981">
        <v>0</v>
      </c>
      <c r="M253" s="1981">
        <v>0</v>
      </c>
      <c r="N253" s="1981">
        <v>0</v>
      </c>
      <c r="O253" s="1981">
        <v>0</v>
      </c>
      <c r="P253" s="1981">
        <v>0</v>
      </c>
      <c r="Q253" s="1981">
        <v>0</v>
      </c>
      <c r="R253" s="1981">
        <v>0</v>
      </c>
      <c r="T253" s="48">
        <f t="shared" si="3"/>
        <v>0</v>
      </c>
      <c r="U253" s="48"/>
    </row>
    <row r="254" spans="2:21">
      <c r="B254" s="33" t="s">
        <v>7458</v>
      </c>
      <c r="C254" t="s">
        <v>8496</v>
      </c>
      <c r="D254" s="1962" t="s">
        <v>1067</v>
      </c>
      <c r="E254" s="1962" t="s">
        <v>1068</v>
      </c>
      <c r="F254" s="1981">
        <v>0</v>
      </c>
      <c r="G254" s="1981">
        <v>0</v>
      </c>
      <c r="H254" s="1981">
        <v>0</v>
      </c>
      <c r="I254" s="1981">
        <v>0</v>
      </c>
      <c r="J254" s="1981">
        <v>0</v>
      </c>
      <c r="K254" s="1981">
        <v>0</v>
      </c>
      <c r="L254" s="1981">
        <v>0</v>
      </c>
      <c r="M254" s="1981">
        <v>0</v>
      </c>
      <c r="N254" s="1981">
        <v>0</v>
      </c>
      <c r="O254" s="1981">
        <v>0</v>
      </c>
      <c r="P254" s="1981">
        <v>0</v>
      </c>
      <c r="Q254" s="1981">
        <v>626.92164185039996</v>
      </c>
      <c r="R254" s="1981">
        <v>626.92164185039996</v>
      </c>
      <c r="T254" s="48">
        <f t="shared" si="3"/>
        <v>0</v>
      </c>
      <c r="U254" s="48"/>
    </row>
    <row r="255" spans="2:21">
      <c r="B255" s="33" t="s">
        <v>7459</v>
      </c>
      <c r="C255" t="s">
        <v>8496</v>
      </c>
      <c r="D255" s="1962" t="s">
        <v>1069</v>
      </c>
      <c r="E255" s="1962" t="s">
        <v>1070</v>
      </c>
      <c r="F255" s="1981">
        <v>3.8330832961999999</v>
      </c>
      <c r="G255" s="1981">
        <v>3.8330300000000004</v>
      </c>
      <c r="H255" s="1981">
        <v>3.8330300000000004</v>
      </c>
      <c r="I255" s="1981">
        <v>3.8330300000000004</v>
      </c>
      <c r="J255" s="1981">
        <v>3.8330300000000004</v>
      </c>
      <c r="K255" s="1981">
        <v>3.8330300000000004</v>
      </c>
      <c r="L255" s="1981">
        <v>3.8330300000000004</v>
      </c>
      <c r="M255" s="1981">
        <v>3.8330300000000004</v>
      </c>
      <c r="N255" s="1981">
        <v>3.8330300000000004</v>
      </c>
      <c r="O255" s="1981">
        <v>3.8330300000000004</v>
      </c>
      <c r="P255" s="1981">
        <v>3.8330300000000004</v>
      </c>
      <c r="Q255" s="1981">
        <v>3.8330300000000004</v>
      </c>
      <c r="R255" s="1981">
        <v>45.996413296200004</v>
      </c>
      <c r="T255" s="48">
        <f t="shared" si="3"/>
        <v>0</v>
      </c>
      <c r="U255" s="48"/>
    </row>
    <row r="256" spans="2:21">
      <c r="B256" s="33" t="s">
        <v>7460</v>
      </c>
      <c r="C256" t="s">
        <v>8496</v>
      </c>
      <c r="D256" s="1962" t="s">
        <v>1071</v>
      </c>
      <c r="E256" s="1962" t="s">
        <v>1072</v>
      </c>
      <c r="F256" s="1981">
        <v>25.220077641500001</v>
      </c>
      <c r="G256" s="1981">
        <v>25.220020000000002</v>
      </c>
      <c r="H256" s="1981">
        <v>25.220020000000002</v>
      </c>
      <c r="I256" s="1981">
        <v>25.220020000000002</v>
      </c>
      <c r="J256" s="1981">
        <v>25.220020000000002</v>
      </c>
      <c r="K256" s="1981">
        <v>25.220020000000002</v>
      </c>
      <c r="L256" s="1981">
        <v>25.220020000000002</v>
      </c>
      <c r="M256" s="1981">
        <v>25.220020000000002</v>
      </c>
      <c r="N256" s="1981">
        <v>25.220020000000002</v>
      </c>
      <c r="O256" s="1981">
        <v>25.220020000000002</v>
      </c>
      <c r="P256" s="1981">
        <v>25.220020000000002</v>
      </c>
      <c r="Q256" s="1981">
        <v>25.220020000000002</v>
      </c>
      <c r="R256" s="1981">
        <v>302.64029764150001</v>
      </c>
      <c r="T256" s="48">
        <f t="shared" si="3"/>
        <v>0</v>
      </c>
      <c r="U256" s="48"/>
    </row>
    <row r="257" spans="2:21">
      <c r="B257" s="33" t="s">
        <v>7461</v>
      </c>
      <c r="C257" t="s">
        <v>8496</v>
      </c>
      <c r="D257" s="1962" t="s">
        <v>1073</v>
      </c>
      <c r="E257" s="1962" t="s">
        <v>1074</v>
      </c>
      <c r="F257" s="1981">
        <v>4.7701499999999992</v>
      </c>
      <c r="G257" s="1981">
        <v>4.7701499999999992</v>
      </c>
      <c r="H257" s="1981">
        <v>4.7701499999999992</v>
      </c>
      <c r="I257" s="1981">
        <v>4.7701499999999992</v>
      </c>
      <c r="J257" s="1981">
        <v>4.7701499999999992</v>
      </c>
      <c r="K257" s="1981">
        <v>5.2471099999999993</v>
      </c>
      <c r="L257" s="1981">
        <v>5.2471699999999997</v>
      </c>
      <c r="M257" s="1981">
        <v>5.2471699999999997</v>
      </c>
      <c r="N257" s="1981">
        <v>5.2471699999999997</v>
      </c>
      <c r="O257" s="1981">
        <v>5.2471699999999997</v>
      </c>
      <c r="P257" s="1981">
        <v>5.2471699999999997</v>
      </c>
      <c r="Q257" s="1981">
        <v>5.2471699999999997</v>
      </c>
      <c r="R257" s="1981">
        <v>60.580879999999979</v>
      </c>
      <c r="T257" s="48">
        <f t="shared" si="3"/>
        <v>0</v>
      </c>
      <c r="U257" s="48"/>
    </row>
    <row r="258" spans="2:21">
      <c r="B258" s="33" t="s">
        <v>7462</v>
      </c>
      <c r="C258" t="s">
        <v>8496</v>
      </c>
      <c r="D258" s="1962" t="s">
        <v>1075</v>
      </c>
      <c r="E258" s="1962" t="s">
        <v>7463</v>
      </c>
      <c r="F258" s="1981">
        <v>0</v>
      </c>
      <c r="G258" s="1981">
        <v>0</v>
      </c>
      <c r="H258" s="1981">
        <v>0</v>
      </c>
      <c r="I258" s="1981">
        <v>0</v>
      </c>
      <c r="J258" s="1981">
        <v>0</v>
      </c>
      <c r="K258" s="1981">
        <v>0</v>
      </c>
      <c r="L258" s="1981">
        <v>0</v>
      </c>
      <c r="M258" s="1981">
        <v>0</v>
      </c>
      <c r="N258" s="1981">
        <v>0</v>
      </c>
      <c r="O258" s="1981">
        <v>0</v>
      </c>
      <c r="P258" s="1981">
        <v>0</v>
      </c>
      <c r="Q258" s="1981">
        <v>0</v>
      </c>
      <c r="R258" s="1981">
        <v>0</v>
      </c>
      <c r="T258" s="48">
        <f t="shared" si="3"/>
        <v>0</v>
      </c>
      <c r="U258" s="48"/>
    </row>
    <row r="259" spans="2:21">
      <c r="B259" s="33" t="s">
        <v>7464</v>
      </c>
      <c r="C259" t="s">
        <v>8496</v>
      </c>
      <c r="D259" s="1962" t="s">
        <v>1076</v>
      </c>
      <c r="E259" s="1962" t="s">
        <v>1077</v>
      </c>
      <c r="F259" s="1981">
        <v>1361.53478</v>
      </c>
      <c r="G259" s="1981">
        <v>1361.53478</v>
      </c>
      <c r="H259" s="1981">
        <v>1361.53478</v>
      </c>
      <c r="I259" s="1981">
        <v>1361.53478</v>
      </c>
      <c r="J259" s="1981">
        <v>1361.53478</v>
      </c>
      <c r="K259" s="1981">
        <v>1497.2961153561</v>
      </c>
      <c r="L259" s="1981">
        <v>1497.2961799999998</v>
      </c>
      <c r="M259" s="1981">
        <v>1497.2961799999998</v>
      </c>
      <c r="N259" s="1981">
        <v>1497.2961799999998</v>
      </c>
      <c r="O259" s="1981">
        <v>1497.2961799999998</v>
      </c>
      <c r="P259" s="1981">
        <v>1497.2961799999998</v>
      </c>
      <c r="Q259" s="1981">
        <v>1497.2961799999998</v>
      </c>
      <c r="R259" s="1981">
        <v>17288.747095356095</v>
      </c>
      <c r="T259" s="48">
        <f t="shared" si="3"/>
        <v>0</v>
      </c>
      <c r="U259" s="48"/>
    </row>
    <row r="260" spans="2:21">
      <c r="B260" s="33" t="s">
        <v>7465</v>
      </c>
      <c r="C260" t="s">
        <v>8496</v>
      </c>
      <c r="D260" s="1962" t="s">
        <v>1078</v>
      </c>
      <c r="E260" s="1962" t="s">
        <v>1079</v>
      </c>
      <c r="F260" s="1981">
        <v>6.2022823920999999</v>
      </c>
      <c r="G260" s="1981">
        <v>6.2023100000000007</v>
      </c>
      <c r="H260" s="1981">
        <v>6.2023100000000007</v>
      </c>
      <c r="I260" s="1981">
        <v>6.2023100000000007</v>
      </c>
      <c r="J260" s="1981">
        <v>6.2023100000000007</v>
      </c>
      <c r="K260" s="1981">
        <v>6.2023100000000007</v>
      </c>
      <c r="L260" s="1981">
        <v>6.2023100000000007</v>
      </c>
      <c r="M260" s="1981">
        <v>6.2023100000000007</v>
      </c>
      <c r="N260" s="1981">
        <v>6.2023100000000007</v>
      </c>
      <c r="O260" s="1981">
        <v>6.2023100000000007</v>
      </c>
      <c r="P260" s="1981">
        <v>6.2023100000000007</v>
      </c>
      <c r="Q260" s="1981">
        <v>6.2023100000000007</v>
      </c>
      <c r="R260" s="1981">
        <v>74.427692392099985</v>
      </c>
      <c r="T260" s="48">
        <f t="shared" si="3"/>
        <v>0</v>
      </c>
      <c r="U260" s="48"/>
    </row>
    <row r="261" spans="2:21">
      <c r="B261" s="33" t="s">
        <v>7466</v>
      </c>
      <c r="C261" t="s">
        <v>8496</v>
      </c>
      <c r="D261" s="1962" t="s">
        <v>1080</v>
      </c>
      <c r="E261" s="1962" t="s">
        <v>1081</v>
      </c>
      <c r="F261" s="1981">
        <v>311.5669881421</v>
      </c>
      <c r="G261" s="1981">
        <v>311.5669881421</v>
      </c>
      <c r="H261" s="1981">
        <v>311.5669881421</v>
      </c>
      <c r="I261" s="1981">
        <v>311.5669881421</v>
      </c>
      <c r="J261" s="1981">
        <v>311.5669881421</v>
      </c>
      <c r="K261" s="1981">
        <v>311.5669881421</v>
      </c>
      <c r="L261" s="1981">
        <v>311.5669881421</v>
      </c>
      <c r="M261" s="1981">
        <v>311.5669881421</v>
      </c>
      <c r="N261" s="1981">
        <v>311.5669881421</v>
      </c>
      <c r="O261" s="1981">
        <v>311.5669881421</v>
      </c>
      <c r="P261" s="1981">
        <v>311.5669881421</v>
      </c>
      <c r="Q261" s="1981">
        <v>311.5669881421</v>
      </c>
      <c r="R261" s="1981">
        <v>3738.8038577051998</v>
      </c>
      <c r="T261" s="48">
        <f t="shared" ref="T261:T324" si="4">IF(R261="","",+R261-SUM(F261:Q261))</f>
        <v>0</v>
      </c>
      <c r="U261" s="48"/>
    </row>
    <row r="262" spans="2:21">
      <c r="B262" s="33" t="s">
        <v>7467</v>
      </c>
      <c r="C262" t="s">
        <v>8496</v>
      </c>
      <c r="D262" s="1962" t="s">
        <v>1082</v>
      </c>
      <c r="E262" s="1962" t="s">
        <v>1083</v>
      </c>
      <c r="F262" s="1981">
        <v>5.9390000000000001</v>
      </c>
      <c r="G262" s="1981">
        <v>5.9390000000000001</v>
      </c>
      <c r="H262" s="1981">
        <v>5.9390000000000001</v>
      </c>
      <c r="I262" s="1981">
        <v>5.9390000000000001</v>
      </c>
      <c r="J262" s="1981">
        <v>5.9390000000000001</v>
      </c>
      <c r="K262" s="1981">
        <v>5.9390000000000001</v>
      </c>
      <c r="L262" s="1981">
        <v>5.9390000000000001</v>
      </c>
      <c r="M262" s="1981">
        <v>5.9390000000000001</v>
      </c>
      <c r="N262" s="1981">
        <v>5.9390000000000001</v>
      </c>
      <c r="O262" s="1981">
        <v>5.9390000000000001</v>
      </c>
      <c r="P262" s="1981">
        <v>5.9390000000000001</v>
      </c>
      <c r="Q262" s="1981">
        <v>5.9390000000000001</v>
      </c>
      <c r="R262" s="1981">
        <v>71.268000000000001</v>
      </c>
      <c r="T262" s="48">
        <f t="shared" si="4"/>
        <v>0</v>
      </c>
      <c r="U262" s="48"/>
    </row>
    <row r="263" spans="2:21">
      <c r="B263" s="33" t="s">
        <v>7468</v>
      </c>
      <c r="C263" t="s">
        <v>8496</v>
      </c>
      <c r="D263" s="1962" t="s">
        <v>1084</v>
      </c>
      <c r="E263" s="1962" t="s">
        <v>1085</v>
      </c>
      <c r="F263" s="1981">
        <v>1115.4348300000001</v>
      </c>
      <c r="G263" s="1981">
        <v>1115.4348300000001</v>
      </c>
      <c r="H263" s="1981">
        <v>1285.42597</v>
      </c>
      <c r="I263" s="1981">
        <v>1285.4259500000001</v>
      </c>
      <c r="J263" s="1981">
        <v>1285.4259500000001</v>
      </c>
      <c r="K263" s="1981">
        <v>1285.4259500000001</v>
      </c>
      <c r="L263" s="1981">
        <v>1285.4259500000001</v>
      </c>
      <c r="M263" s="1981">
        <v>1285.4259500000001</v>
      </c>
      <c r="N263" s="1981">
        <v>1285.4259500000001</v>
      </c>
      <c r="O263" s="1981">
        <v>1285.4259500000001</v>
      </c>
      <c r="P263" s="1981">
        <v>1285.4259500000001</v>
      </c>
      <c r="Q263" s="1981">
        <v>1285.4259500000001</v>
      </c>
      <c r="R263" s="1981">
        <v>15085.129180000004</v>
      </c>
      <c r="T263" s="48">
        <f t="shared" si="4"/>
        <v>0</v>
      </c>
      <c r="U263" s="48"/>
    </row>
    <row r="264" spans="2:21">
      <c r="B264" s="33" t="s">
        <v>7469</v>
      </c>
      <c r="C264" t="s">
        <v>8496</v>
      </c>
      <c r="D264" s="1962" t="s">
        <v>1086</v>
      </c>
      <c r="E264" s="1962" t="s">
        <v>1087</v>
      </c>
      <c r="F264" s="1981">
        <v>16.478279999999998</v>
      </c>
      <c r="G264" s="1981">
        <v>16.478279999999998</v>
      </c>
      <c r="H264" s="1981">
        <v>16.478279999999998</v>
      </c>
      <c r="I264" s="1981">
        <v>16.478279999999998</v>
      </c>
      <c r="J264" s="1981">
        <v>16.478279999999998</v>
      </c>
      <c r="K264" s="1981">
        <v>18.124727707199998</v>
      </c>
      <c r="L264" s="1981">
        <v>18.124740000000003</v>
      </c>
      <c r="M264" s="1981">
        <v>18.124740000000003</v>
      </c>
      <c r="N264" s="1981">
        <v>18.124740000000003</v>
      </c>
      <c r="O264" s="1981">
        <v>18.124740000000003</v>
      </c>
      <c r="P264" s="1981">
        <v>18.124740000000003</v>
      </c>
      <c r="Q264" s="1981">
        <v>18.124740000000003</v>
      </c>
      <c r="R264" s="1981">
        <v>209.2645677072</v>
      </c>
      <c r="T264" s="48">
        <f t="shared" si="4"/>
        <v>0</v>
      </c>
      <c r="U264" s="48"/>
    </row>
    <row r="265" spans="2:21">
      <c r="B265" s="33" t="s">
        <v>7470</v>
      </c>
      <c r="C265" t="s">
        <v>8496</v>
      </c>
      <c r="D265" s="1962" t="s">
        <v>1088</v>
      </c>
      <c r="E265" s="1962" t="s">
        <v>1089</v>
      </c>
      <c r="F265" s="1981">
        <v>0.41283415380000005</v>
      </c>
      <c r="G265" s="1981">
        <v>0.41282000000000002</v>
      </c>
      <c r="H265" s="1981">
        <v>0.41282000000000002</v>
      </c>
      <c r="I265" s="1981">
        <v>0.41282000000000002</v>
      </c>
      <c r="J265" s="1981">
        <v>0.41282000000000002</v>
      </c>
      <c r="K265" s="1981">
        <v>0.41282000000000002</v>
      </c>
      <c r="L265" s="1981">
        <v>0.41282000000000002</v>
      </c>
      <c r="M265" s="1981">
        <v>0.41282000000000002</v>
      </c>
      <c r="N265" s="1981">
        <v>0.41282000000000002</v>
      </c>
      <c r="O265" s="1981">
        <v>0.41282000000000002</v>
      </c>
      <c r="P265" s="1981">
        <v>0.41282000000000002</v>
      </c>
      <c r="Q265" s="1981">
        <v>0.41282000000000002</v>
      </c>
      <c r="R265" s="1981">
        <v>4.9538541538</v>
      </c>
      <c r="T265" s="48">
        <f t="shared" si="4"/>
        <v>0</v>
      </c>
      <c r="U265" s="48"/>
    </row>
    <row r="266" spans="2:21">
      <c r="B266" s="33" t="s">
        <v>7471</v>
      </c>
      <c r="C266" t="s">
        <v>8496</v>
      </c>
      <c r="D266" s="1962" t="s">
        <v>1090</v>
      </c>
      <c r="E266" s="1962" t="s">
        <v>1091</v>
      </c>
      <c r="F266" s="1981">
        <v>0.10672</v>
      </c>
      <c r="G266" s="1981">
        <v>0.10672</v>
      </c>
      <c r="H266" s="1981">
        <v>0.10672</v>
      </c>
      <c r="I266" s="1981">
        <v>0.10672</v>
      </c>
      <c r="J266" s="1981">
        <v>0.10672</v>
      </c>
      <c r="K266" s="1981">
        <v>0.10672</v>
      </c>
      <c r="L266" s="1981">
        <v>0.10672</v>
      </c>
      <c r="M266" s="1981">
        <v>0.10672</v>
      </c>
      <c r="N266" s="1981">
        <v>0.10672</v>
      </c>
      <c r="O266" s="1981">
        <v>0.10672</v>
      </c>
      <c r="P266" s="1981">
        <v>0.10672</v>
      </c>
      <c r="Q266" s="1981">
        <v>0.10672</v>
      </c>
      <c r="R266" s="1981">
        <v>1.28064</v>
      </c>
      <c r="T266" s="48">
        <f t="shared" si="4"/>
        <v>0</v>
      </c>
      <c r="U266" s="48"/>
    </row>
    <row r="267" spans="2:21">
      <c r="B267" s="33" t="s">
        <v>7472</v>
      </c>
      <c r="C267" t="s">
        <v>8496</v>
      </c>
      <c r="D267" s="1962" t="s">
        <v>1092</v>
      </c>
      <c r="E267" s="1962" t="s">
        <v>1093</v>
      </c>
      <c r="F267" s="1981">
        <v>46.378</v>
      </c>
      <c r="G267" s="1981">
        <v>46.378</v>
      </c>
      <c r="H267" s="1981">
        <v>49.82</v>
      </c>
      <c r="I267" s="1981">
        <v>46.378</v>
      </c>
      <c r="J267" s="1981">
        <v>46.378</v>
      </c>
      <c r="K267" s="1981">
        <v>51.442999999999998</v>
      </c>
      <c r="L267" s="1981">
        <v>48.000999999999998</v>
      </c>
      <c r="M267" s="1981">
        <v>48.000999999999998</v>
      </c>
      <c r="N267" s="1981">
        <v>51.442999999999998</v>
      </c>
      <c r="O267" s="1981">
        <v>48.000999999999998</v>
      </c>
      <c r="P267" s="1981">
        <v>48.000999999999998</v>
      </c>
      <c r="Q267" s="1981">
        <v>51.442999999999998</v>
      </c>
      <c r="R267" s="1981">
        <v>581.66499999999985</v>
      </c>
      <c r="T267" s="48">
        <f t="shared" si="4"/>
        <v>0</v>
      </c>
      <c r="U267" s="48"/>
    </row>
    <row r="268" spans="2:21">
      <c r="B268" s="33" t="s">
        <v>7473</v>
      </c>
      <c r="C268" t="s">
        <v>8496</v>
      </c>
      <c r="D268" s="1962" t="s">
        <v>1094</v>
      </c>
      <c r="E268" s="1962" t="s">
        <v>1095</v>
      </c>
      <c r="F268" s="1981">
        <v>323.87934000000001</v>
      </c>
      <c r="G268" s="1981">
        <v>323.87934000000001</v>
      </c>
      <c r="H268" s="1981">
        <v>383.26863000000003</v>
      </c>
      <c r="I268" s="1981">
        <v>383.26866999999999</v>
      </c>
      <c r="J268" s="1981">
        <v>383.26866999999999</v>
      </c>
      <c r="K268" s="1981">
        <v>383.26866999999999</v>
      </c>
      <c r="L268" s="1981">
        <v>383.26866999999999</v>
      </c>
      <c r="M268" s="1981">
        <v>383.26866999999999</v>
      </c>
      <c r="N268" s="1981">
        <v>383.26866999999999</v>
      </c>
      <c r="O268" s="1981">
        <v>383.26866999999999</v>
      </c>
      <c r="P268" s="1981">
        <v>383.26866999999999</v>
      </c>
      <c r="Q268" s="1981">
        <v>383.26866999999999</v>
      </c>
      <c r="R268" s="1981">
        <v>4480.4453400000002</v>
      </c>
      <c r="T268" s="48">
        <f t="shared" si="4"/>
        <v>0</v>
      </c>
      <c r="U268" s="48"/>
    </row>
    <row r="269" spans="2:21">
      <c r="B269" s="33" t="s">
        <v>7474</v>
      </c>
      <c r="C269" t="s">
        <v>8496</v>
      </c>
      <c r="D269" s="1962" t="s">
        <v>1096</v>
      </c>
      <c r="E269" s="1962" t="s">
        <v>1097</v>
      </c>
      <c r="F269" s="1981">
        <v>58.495101560000002</v>
      </c>
      <c r="G269" s="1981">
        <v>58.495069999999998</v>
      </c>
      <c r="H269" s="1981">
        <v>58.495069999999998</v>
      </c>
      <c r="I269" s="1981">
        <v>58.495069999999998</v>
      </c>
      <c r="J269" s="1981">
        <v>58.537615623299999</v>
      </c>
      <c r="K269" s="1981">
        <v>58.537660000000002</v>
      </c>
      <c r="L269" s="1981">
        <v>58.537660000000002</v>
      </c>
      <c r="M269" s="1981">
        <v>64.723905000000002</v>
      </c>
      <c r="N269" s="1981">
        <v>64.724000000000004</v>
      </c>
      <c r="O269" s="1981">
        <v>64.724000000000004</v>
      </c>
      <c r="P269" s="1981">
        <v>64.724000000000004</v>
      </c>
      <c r="Q269" s="1981">
        <v>64.739087975000004</v>
      </c>
      <c r="R269" s="1981">
        <v>733.22824015830008</v>
      </c>
      <c r="T269" s="48">
        <f t="shared" si="4"/>
        <v>0</v>
      </c>
      <c r="U269" s="48"/>
    </row>
    <row r="270" spans="2:21">
      <c r="B270" s="33" t="s">
        <v>7475</v>
      </c>
      <c r="C270" t="s">
        <v>8496</v>
      </c>
      <c r="D270" s="1962" t="s">
        <v>1098</v>
      </c>
      <c r="E270" s="1962" t="s">
        <v>7476</v>
      </c>
      <c r="F270" s="1981">
        <v>3.1848333332999998</v>
      </c>
      <c r="G270" s="1981">
        <v>3.1848333332999998</v>
      </c>
      <c r="H270" s="1981">
        <v>3.1848333332999998</v>
      </c>
      <c r="I270" s="1981">
        <v>4.7008333333000003</v>
      </c>
      <c r="J270" s="1981">
        <v>3.1848333332999998</v>
      </c>
      <c r="K270" s="1981">
        <v>3.1848333332999998</v>
      </c>
      <c r="L270" s="1981">
        <v>3.1848333332999998</v>
      </c>
      <c r="M270" s="1981">
        <v>3.1848333332999998</v>
      </c>
      <c r="N270" s="1981">
        <v>3.1848333332999998</v>
      </c>
      <c r="O270" s="1981">
        <v>3.1848333332999998</v>
      </c>
      <c r="P270" s="1981">
        <v>3.1848333332999998</v>
      </c>
      <c r="Q270" s="1981">
        <v>3.1848333332999998</v>
      </c>
      <c r="R270" s="1981">
        <v>39.733999999599988</v>
      </c>
      <c r="T270" s="48">
        <f t="shared" si="4"/>
        <v>0</v>
      </c>
      <c r="U270" s="48"/>
    </row>
    <row r="271" spans="2:21">
      <c r="B271" s="33" t="s">
        <v>7477</v>
      </c>
      <c r="C271" t="s">
        <v>8496</v>
      </c>
      <c r="D271" s="1962" t="s">
        <v>1099</v>
      </c>
      <c r="E271" s="1962" t="s">
        <v>7478</v>
      </c>
      <c r="F271" s="1981">
        <v>6.4279066249999994</v>
      </c>
      <c r="G271" s="1981">
        <v>6.4279066249999994</v>
      </c>
      <c r="H271" s="1981">
        <v>6.4279066249999994</v>
      </c>
      <c r="I271" s="1981">
        <v>6.4279066249999994</v>
      </c>
      <c r="J271" s="1981">
        <v>6.4279066249999994</v>
      </c>
      <c r="K271" s="1981">
        <v>6.4279066249999994</v>
      </c>
      <c r="L271" s="1981">
        <v>6.4279066249999994</v>
      </c>
      <c r="M271" s="1981">
        <v>6.4279066249999994</v>
      </c>
      <c r="N271" s="1981">
        <v>6.4279066249999994</v>
      </c>
      <c r="O271" s="1981">
        <v>6.4279066249999994</v>
      </c>
      <c r="P271" s="1981">
        <v>6.4279066249999994</v>
      </c>
      <c r="Q271" s="1981">
        <v>6.4279066249999994</v>
      </c>
      <c r="R271" s="1981">
        <v>77.134879500000011</v>
      </c>
      <c r="T271" s="48">
        <f t="shared" si="4"/>
        <v>0</v>
      </c>
      <c r="U271" s="48"/>
    </row>
    <row r="272" spans="2:21">
      <c r="B272" s="33" t="s">
        <v>7479</v>
      </c>
      <c r="C272" t="s">
        <v>8496</v>
      </c>
      <c r="D272" s="1962" t="s">
        <v>1100</v>
      </c>
      <c r="E272" s="1962" t="s">
        <v>7480</v>
      </c>
      <c r="F272" s="1981">
        <v>0</v>
      </c>
      <c r="G272" s="1981">
        <v>0</v>
      </c>
      <c r="H272" s="1981">
        <v>0</v>
      </c>
      <c r="I272" s="1981">
        <v>0</v>
      </c>
      <c r="J272" s="1981">
        <v>0</v>
      </c>
      <c r="K272" s="1981">
        <v>0</v>
      </c>
      <c r="L272" s="1981">
        <v>0</v>
      </c>
      <c r="M272" s="1981">
        <v>0</v>
      </c>
      <c r="N272" s="1981">
        <v>0</v>
      </c>
      <c r="O272" s="1981">
        <v>0</v>
      </c>
      <c r="P272" s="1981">
        <v>0</v>
      </c>
      <c r="Q272" s="1981">
        <v>0</v>
      </c>
      <c r="R272" s="1981">
        <v>0</v>
      </c>
      <c r="T272" s="48">
        <f t="shared" si="4"/>
        <v>0</v>
      </c>
      <c r="U272" s="48"/>
    </row>
    <row r="273" spans="2:21">
      <c r="B273" s="33" t="s">
        <v>7481</v>
      </c>
      <c r="C273" t="s">
        <v>8496</v>
      </c>
      <c r="D273" s="1962" t="s">
        <v>1101</v>
      </c>
      <c r="E273" s="1962" t="s">
        <v>7482</v>
      </c>
      <c r="F273" s="1981">
        <v>5.1999999999999998E-2</v>
      </c>
      <c r="G273" s="1981">
        <v>0.16</v>
      </c>
      <c r="H273" s="1981">
        <v>2E-3</v>
      </c>
      <c r="I273" s="1981">
        <v>1.5680000000000001</v>
      </c>
      <c r="J273" s="1981">
        <v>2.1000000000000001E-2</v>
      </c>
      <c r="K273" s="1981">
        <v>0</v>
      </c>
      <c r="L273" s="1981">
        <v>0</v>
      </c>
      <c r="M273" s="1981">
        <v>0</v>
      </c>
      <c r="N273" s="1981">
        <v>0</v>
      </c>
      <c r="O273" s="1981">
        <v>0</v>
      </c>
      <c r="P273" s="1981">
        <v>0</v>
      </c>
      <c r="Q273" s="1981">
        <v>4.6509999999999998</v>
      </c>
      <c r="R273" s="1981">
        <v>6.4539999999999997</v>
      </c>
      <c r="T273" s="48">
        <f t="shared" si="4"/>
        <v>0</v>
      </c>
      <c r="U273" s="48"/>
    </row>
    <row r="274" spans="2:21">
      <c r="B274" s="33" t="s">
        <v>7483</v>
      </c>
      <c r="C274" t="s">
        <v>8496</v>
      </c>
      <c r="D274" s="1962" t="s">
        <v>1102</v>
      </c>
      <c r="E274" s="1962" t="s">
        <v>7484</v>
      </c>
      <c r="F274" s="1981">
        <v>0</v>
      </c>
      <c r="G274" s="1981">
        <v>0</v>
      </c>
      <c r="H274" s="1981">
        <v>0</v>
      </c>
      <c r="I274" s="1981">
        <v>0</v>
      </c>
      <c r="J274" s="1981">
        <v>0</v>
      </c>
      <c r="K274" s="1981">
        <v>0</v>
      </c>
      <c r="L274" s="1981">
        <v>0</v>
      </c>
      <c r="M274" s="1981">
        <v>0</v>
      </c>
      <c r="N274" s="1981">
        <v>0</v>
      </c>
      <c r="O274" s="1981">
        <v>0</v>
      </c>
      <c r="P274" s="1981">
        <v>0</v>
      </c>
      <c r="Q274" s="1981">
        <v>0</v>
      </c>
      <c r="R274" s="1981">
        <v>0</v>
      </c>
      <c r="T274" s="48">
        <f t="shared" si="4"/>
        <v>0</v>
      </c>
      <c r="U274" s="48"/>
    </row>
    <row r="275" spans="2:21">
      <c r="B275" s="33" t="s">
        <v>7485</v>
      </c>
      <c r="C275" t="s">
        <v>8496</v>
      </c>
      <c r="D275" s="1962" t="s">
        <v>1103</v>
      </c>
      <c r="E275" s="1962" t="s">
        <v>7486</v>
      </c>
      <c r="F275" s="1981">
        <v>33.084000000000003</v>
      </c>
      <c r="G275" s="1981">
        <v>33.084000000000003</v>
      </c>
      <c r="H275" s="1981">
        <v>33.084000000000003</v>
      </c>
      <c r="I275" s="1981">
        <v>34.771999999999998</v>
      </c>
      <c r="J275" s="1981">
        <v>33.084000000000003</v>
      </c>
      <c r="K275" s="1981">
        <v>33.084000000000003</v>
      </c>
      <c r="L275" s="1981">
        <v>33.084000000000003</v>
      </c>
      <c r="M275" s="1981">
        <v>33.084000000000003</v>
      </c>
      <c r="N275" s="1981">
        <v>33.084000000000003</v>
      </c>
      <c r="O275" s="1981">
        <v>33.084000000000003</v>
      </c>
      <c r="P275" s="1981">
        <v>33.084000000000003</v>
      </c>
      <c r="Q275" s="1981">
        <v>33.084000000000003</v>
      </c>
      <c r="R275" s="1981">
        <v>398.69600000000003</v>
      </c>
      <c r="T275" s="48">
        <f t="shared" si="4"/>
        <v>0</v>
      </c>
      <c r="U275" s="48"/>
    </row>
    <row r="276" spans="2:21">
      <c r="B276" s="33" t="s">
        <v>7487</v>
      </c>
      <c r="C276" t="s">
        <v>8496</v>
      </c>
      <c r="D276" s="1962" t="s">
        <v>1104</v>
      </c>
      <c r="E276" s="1962" t="s">
        <v>7488</v>
      </c>
      <c r="F276" s="1981">
        <v>0</v>
      </c>
      <c r="G276" s="1981">
        <v>0</v>
      </c>
      <c r="H276" s="1981">
        <v>0</v>
      </c>
      <c r="I276" s="1981">
        <v>0</v>
      </c>
      <c r="J276" s="1981">
        <v>0</v>
      </c>
      <c r="K276" s="1981">
        <v>0</v>
      </c>
      <c r="L276" s="1981">
        <v>0</v>
      </c>
      <c r="M276" s="1981">
        <v>0</v>
      </c>
      <c r="N276" s="1981">
        <v>0</v>
      </c>
      <c r="O276" s="1981">
        <v>0</v>
      </c>
      <c r="P276" s="1981">
        <v>0</v>
      </c>
      <c r="Q276" s="1981">
        <v>0</v>
      </c>
      <c r="R276" s="1981">
        <v>0</v>
      </c>
      <c r="T276" s="48">
        <f t="shared" si="4"/>
        <v>0</v>
      </c>
      <c r="U276" s="48"/>
    </row>
    <row r="277" spans="2:21">
      <c r="B277" s="33" t="s">
        <v>7489</v>
      </c>
      <c r="C277" t="s">
        <v>8496</v>
      </c>
      <c r="D277" s="1962" t="s">
        <v>1105</v>
      </c>
      <c r="E277" s="1962" t="s">
        <v>7490</v>
      </c>
      <c r="F277" s="1981">
        <v>122.850254875</v>
      </c>
      <c r="G277" s="1981">
        <v>122.850254875</v>
      </c>
      <c r="H277" s="1981">
        <v>122.850254875</v>
      </c>
      <c r="I277" s="1981">
        <v>122.850254875</v>
      </c>
      <c r="J277" s="1981">
        <v>122.850254875</v>
      </c>
      <c r="K277" s="1981">
        <v>122.850254875</v>
      </c>
      <c r="L277" s="1981">
        <v>122.850254875</v>
      </c>
      <c r="M277" s="1981">
        <v>122.850254875</v>
      </c>
      <c r="N277" s="1981">
        <v>122.850254875</v>
      </c>
      <c r="O277" s="1981">
        <v>122.850254875</v>
      </c>
      <c r="P277" s="1981">
        <v>122.850254875</v>
      </c>
      <c r="Q277" s="1981">
        <v>122.850254875</v>
      </c>
      <c r="R277" s="1981">
        <v>1474.2030585</v>
      </c>
      <c r="T277" s="48">
        <f t="shared" si="4"/>
        <v>0</v>
      </c>
      <c r="U277" s="48"/>
    </row>
    <row r="278" spans="2:21">
      <c r="B278" s="33" t="s">
        <v>7491</v>
      </c>
      <c r="C278" t="s">
        <v>8496</v>
      </c>
      <c r="D278" s="1962" t="s">
        <v>1106</v>
      </c>
      <c r="E278" s="1962" t="s">
        <v>7492</v>
      </c>
      <c r="F278" s="1981">
        <v>0</v>
      </c>
      <c r="G278" s="1981">
        <v>0</v>
      </c>
      <c r="H278" s="1981">
        <v>0</v>
      </c>
      <c r="I278" s="1981">
        <v>0</v>
      </c>
      <c r="J278" s="1981">
        <v>0</v>
      </c>
      <c r="K278" s="1981">
        <v>0</v>
      </c>
      <c r="L278" s="1981">
        <v>0</v>
      </c>
      <c r="M278" s="1981">
        <v>0</v>
      </c>
      <c r="N278" s="1981">
        <v>0</v>
      </c>
      <c r="O278" s="1981">
        <v>0</v>
      </c>
      <c r="P278" s="1981">
        <v>0</v>
      </c>
      <c r="Q278" s="1981">
        <v>0</v>
      </c>
      <c r="R278" s="1981">
        <v>0</v>
      </c>
      <c r="T278" s="48">
        <f t="shared" si="4"/>
        <v>0</v>
      </c>
      <c r="U278" s="48"/>
    </row>
    <row r="279" spans="2:21">
      <c r="B279" s="33" t="s">
        <v>7493</v>
      </c>
      <c r="C279" t="s">
        <v>8496</v>
      </c>
      <c r="D279" s="1962" t="s">
        <v>1107</v>
      </c>
      <c r="E279" s="1962" t="s">
        <v>1108</v>
      </c>
      <c r="F279" s="1981">
        <v>14.089880624999999</v>
      </c>
      <c r="G279" s="1981">
        <v>14.138480625</v>
      </c>
      <c r="H279" s="1981">
        <v>14.138480625</v>
      </c>
      <c r="I279" s="1981">
        <v>14.138480625</v>
      </c>
      <c r="J279" s="1981">
        <v>14.175620624999999</v>
      </c>
      <c r="K279" s="1981">
        <v>14.175620624999999</v>
      </c>
      <c r="L279" s="1981">
        <v>14.175620624999999</v>
      </c>
      <c r="M279" s="1981">
        <v>14.175620624999999</v>
      </c>
      <c r="N279" s="1981">
        <v>14.175620624999999</v>
      </c>
      <c r="O279" s="1981">
        <v>14.175620624999999</v>
      </c>
      <c r="P279" s="1981">
        <v>14.175620624999999</v>
      </c>
      <c r="Q279" s="1981">
        <v>14.175620624999999</v>
      </c>
      <c r="R279" s="1981">
        <v>169.91028749999995</v>
      </c>
      <c r="T279" s="48">
        <f t="shared" si="4"/>
        <v>0</v>
      </c>
      <c r="U279" s="48"/>
    </row>
    <row r="280" spans="2:21">
      <c r="B280" s="33" t="s">
        <v>7494</v>
      </c>
      <c r="C280" t="s">
        <v>8496</v>
      </c>
      <c r="D280" s="1962" t="s">
        <v>1109</v>
      </c>
      <c r="E280" s="1962" t="s">
        <v>7495</v>
      </c>
      <c r="F280" s="1981">
        <v>57.804699999999997</v>
      </c>
      <c r="G280" s="1981">
        <v>14.646000000000001</v>
      </c>
      <c r="H280" s="1981">
        <v>14.646000000000001</v>
      </c>
      <c r="I280" s="1981">
        <v>14.646000000000001</v>
      </c>
      <c r="J280" s="1981">
        <v>14.646000000000001</v>
      </c>
      <c r="K280" s="1981">
        <v>14.646000000000001</v>
      </c>
      <c r="L280" s="1981">
        <v>14.646000000000001</v>
      </c>
      <c r="M280" s="1981">
        <v>14.646000000000001</v>
      </c>
      <c r="N280" s="1981">
        <v>14.646000000000001</v>
      </c>
      <c r="O280" s="1981">
        <v>14.646000000000001</v>
      </c>
      <c r="P280" s="1981">
        <v>14.646000000000001</v>
      </c>
      <c r="Q280" s="1981">
        <v>14.646000000000001</v>
      </c>
      <c r="R280" s="1981">
        <v>218.91070000000008</v>
      </c>
      <c r="T280" s="48">
        <f t="shared" si="4"/>
        <v>0</v>
      </c>
      <c r="U280" s="48"/>
    </row>
    <row r="281" spans="2:21">
      <c r="B281" s="33" t="s">
        <v>7496</v>
      </c>
      <c r="C281" t="s">
        <v>8496</v>
      </c>
      <c r="D281" s="1962" t="s">
        <v>1110</v>
      </c>
      <c r="E281" s="1962" t="s">
        <v>7497</v>
      </c>
      <c r="F281" s="1981">
        <v>0</v>
      </c>
      <c r="G281" s="1981">
        <v>0</v>
      </c>
      <c r="H281" s="1981">
        <v>0</v>
      </c>
      <c r="I281" s="1981">
        <v>0</v>
      </c>
      <c r="J281" s="1981">
        <v>0</v>
      </c>
      <c r="K281" s="1981">
        <v>0</v>
      </c>
      <c r="L281" s="1981">
        <v>0</v>
      </c>
      <c r="M281" s="1981">
        <v>0</v>
      </c>
      <c r="N281" s="1981">
        <v>0</v>
      </c>
      <c r="O281" s="1981">
        <v>0</v>
      </c>
      <c r="P281" s="1981">
        <v>0</v>
      </c>
      <c r="Q281" s="1981">
        <v>0</v>
      </c>
      <c r="R281" s="1981">
        <v>0</v>
      </c>
      <c r="T281" s="48">
        <f t="shared" si="4"/>
        <v>0</v>
      </c>
      <c r="U281" s="48"/>
    </row>
    <row r="282" spans="2:21">
      <c r="B282" s="33" t="s">
        <v>7498</v>
      </c>
      <c r="C282" t="s">
        <v>8496</v>
      </c>
      <c r="D282" s="1962" t="s">
        <v>1111</v>
      </c>
      <c r="E282" s="1962" t="s">
        <v>1112</v>
      </c>
      <c r="F282" s="1981">
        <v>0</v>
      </c>
      <c r="G282" s="1981">
        <v>0</v>
      </c>
      <c r="H282" s="1981">
        <v>0</v>
      </c>
      <c r="I282" s="1981">
        <v>0</v>
      </c>
      <c r="J282" s="1981">
        <v>0</v>
      </c>
      <c r="K282" s="1981">
        <v>0</v>
      </c>
      <c r="L282" s="1981">
        <v>0</v>
      </c>
      <c r="M282" s="1981">
        <v>0</v>
      </c>
      <c r="N282" s="1981">
        <v>0</v>
      </c>
      <c r="O282" s="1981">
        <v>0</v>
      </c>
      <c r="P282" s="1981">
        <v>0</v>
      </c>
      <c r="Q282" s="1981">
        <v>0</v>
      </c>
      <c r="R282" s="1981">
        <v>0</v>
      </c>
      <c r="T282" s="48">
        <f t="shared" si="4"/>
        <v>0</v>
      </c>
      <c r="U282" s="48"/>
    </row>
    <row r="283" spans="2:21">
      <c r="B283" s="33" t="s">
        <v>7499</v>
      </c>
      <c r="C283" t="s">
        <v>8496</v>
      </c>
      <c r="D283" s="1962" t="s">
        <v>1113</v>
      </c>
      <c r="E283" s="1962" t="s">
        <v>1114</v>
      </c>
      <c r="F283" s="1981">
        <v>265.5565240473</v>
      </c>
      <c r="G283" s="1981">
        <v>265.68885404729997</v>
      </c>
      <c r="H283" s="1981">
        <v>267.50782404730001</v>
      </c>
      <c r="I283" s="1981">
        <v>270.33018404730001</v>
      </c>
      <c r="J283" s="1981">
        <v>267.80593404729996</v>
      </c>
      <c r="K283" s="1981">
        <v>266.90419738059995</v>
      </c>
      <c r="L283" s="1981">
        <v>266.95319738059999</v>
      </c>
      <c r="M283" s="1981">
        <v>266.80819738059995</v>
      </c>
      <c r="N283" s="1981">
        <v>266.57219738059996</v>
      </c>
      <c r="O283" s="1981">
        <v>273.75919738060003</v>
      </c>
      <c r="P283" s="1981">
        <v>271.7676973806</v>
      </c>
      <c r="Q283" s="1981">
        <v>269.81549738059994</v>
      </c>
      <c r="R283" s="1981">
        <v>3219.4695019007004</v>
      </c>
      <c r="T283" s="48">
        <f t="shared" si="4"/>
        <v>0</v>
      </c>
      <c r="U283" s="48"/>
    </row>
    <row r="284" spans="2:21">
      <c r="B284" s="33" t="s">
        <v>7500</v>
      </c>
      <c r="C284" t="s">
        <v>8496</v>
      </c>
      <c r="D284" s="1962" t="s">
        <v>1115</v>
      </c>
      <c r="E284" s="1962" t="s">
        <v>1116</v>
      </c>
      <c r="F284" s="1981">
        <v>7.5</v>
      </c>
      <c r="G284" s="1981">
        <v>7.5</v>
      </c>
      <c r="H284" s="1981">
        <v>7.5</v>
      </c>
      <c r="I284" s="1981">
        <v>7.5</v>
      </c>
      <c r="J284" s="1981">
        <v>7.5</v>
      </c>
      <c r="K284" s="1981">
        <v>7.5</v>
      </c>
      <c r="L284" s="1981">
        <v>7.5</v>
      </c>
      <c r="M284" s="1981">
        <v>7.5</v>
      </c>
      <c r="N284" s="1981">
        <v>7.5</v>
      </c>
      <c r="O284" s="1981">
        <v>7.5</v>
      </c>
      <c r="P284" s="1981">
        <v>7.5</v>
      </c>
      <c r="Q284" s="1981">
        <v>7.5</v>
      </c>
      <c r="R284" s="1981">
        <v>90</v>
      </c>
      <c r="T284" s="48">
        <f t="shared" si="4"/>
        <v>0</v>
      </c>
      <c r="U284" s="48"/>
    </row>
    <row r="285" spans="2:21">
      <c r="B285" s="33" t="s">
        <v>7501</v>
      </c>
      <c r="C285" t="s">
        <v>8496</v>
      </c>
      <c r="D285" s="1962" t="s">
        <v>1117</v>
      </c>
      <c r="E285" s="1962" t="s">
        <v>1118</v>
      </c>
      <c r="F285" s="1981">
        <v>143.17785887600002</v>
      </c>
      <c r="G285" s="1981">
        <v>143.17785887600002</v>
      </c>
      <c r="H285" s="1981">
        <v>148.17785887600002</v>
      </c>
      <c r="I285" s="1981">
        <v>155.6384330011</v>
      </c>
      <c r="J285" s="1981">
        <v>160.4175530011</v>
      </c>
      <c r="K285" s="1981">
        <v>170.4175530011</v>
      </c>
      <c r="L285" s="1981">
        <v>174.03740006370001</v>
      </c>
      <c r="M285" s="1981">
        <v>174.03740006370001</v>
      </c>
      <c r="N285" s="1981">
        <v>154.03740006370001</v>
      </c>
      <c r="O285" s="1981">
        <v>157.65724712630001</v>
      </c>
      <c r="P285" s="1981">
        <v>217.65724712630001</v>
      </c>
      <c r="Q285" s="1981">
        <v>235.75648243909998</v>
      </c>
      <c r="R285" s="1981">
        <v>2034.1902925141003</v>
      </c>
      <c r="T285" s="48">
        <f t="shared" si="4"/>
        <v>0</v>
      </c>
      <c r="U285" s="48"/>
    </row>
    <row r="286" spans="2:21">
      <c r="B286" s="33" t="s">
        <v>7502</v>
      </c>
      <c r="C286" t="s">
        <v>8496</v>
      </c>
      <c r="D286" s="1962" t="s">
        <v>1119</v>
      </c>
      <c r="E286" s="1962" t="s">
        <v>1120</v>
      </c>
      <c r="F286" s="1981">
        <v>8.9402666666999995</v>
      </c>
      <c r="G286" s="1981">
        <v>8.9402666666999995</v>
      </c>
      <c r="H286" s="1981">
        <v>8.9402666666999995</v>
      </c>
      <c r="I286" s="1981">
        <v>8.9402666666999995</v>
      </c>
      <c r="J286" s="1981">
        <v>8.9402666666999995</v>
      </c>
      <c r="K286" s="1981">
        <v>8.9402666666999995</v>
      </c>
      <c r="L286" s="1981">
        <v>8.9402666666999995</v>
      </c>
      <c r="M286" s="1981">
        <v>8.9402666666999995</v>
      </c>
      <c r="N286" s="1981">
        <v>8.9402666666999995</v>
      </c>
      <c r="O286" s="1981">
        <v>8.9402666666999995</v>
      </c>
      <c r="P286" s="1981">
        <v>8.9402666666999995</v>
      </c>
      <c r="Q286" s="1981">
        <v>8.9485666666999997</v>
      </c>
      <c r="R286" s="1981">
        <v>107.29150000039999</v>
      </c>
      <c r="T286" s="48">
        <f t="shared" si="4"/>
        <v>0</v>
      </c>
      <c r="U286" s="48"/>
    </row>
    <row r="287" spans="2:21">
      <c r="B287" s="33" t="s">
        <v>7503</v>
      </c>
      <c r="C287" t="s">
        <v>8496</v>
      </c>
      <c r="D287" s="1962" t="s">
        <v>1121</v>
      </c>
      <c r="E287" s="1962" t="s">
        <v>1122</v>
      </c>
      <c r="F287" s="1981">
        <v>0</v>
      </c>
      <c r="G287" s="1981">
        <v>0</v>
      </c>
      <c r="H287" s="1981">
        <v>0</v>
      </c>
      <c r="I287" s="1981">
        <v>0</v>
      </c>
      <c r="J287" s="1981">
        <v>0</v>
      </c>
      <c r="K287" s="1981">
        <v>0</v>
      </c>
      <c r="L287" s="1981">
        <v>0</v>
      </c>
      <c r="M287" s="1981">
        <v>0</v>
      </c>
      <c r="N287" s="1981">
        <v>0</v>
      </c>
      <c r="O287" s="1981">
        <v>0</v>
      </c>
      <c r="P287" s="1981">
        <v>0</v>
      </c>
      <c r="Q287" s="1981">
        <v>0</v>
      </c>
      <c r="R287" s="1981">
        <v>0</v>
      </c>
      <c r="T287" s="48">
        <f t="shared" si="4"/>
        <v>0</v>
      </c>
      <c r="U287" s="48"/>
    </row>
    <row r="288" spans="2:21">
      <c r="B288" s="33" t="s">
        <v>7504</v>
      </c>
      <c r="C288" t="s">
        <v>8496</v>
      </c>
      <c r="D288" s="1962" t="s">
        <v>1123</v>
      </c>
      <c r="E288" s="1962" t="s">
        <v>1124</v>
      </c>
      <c r="F288" s="1981">
        <v>0</v>
      </c>
      <c r="G288" s="1981">
        <v>0</v>
      </c>
      <c r="H288" s="1981">
        <v>0</v>
      </c>
      <c r="I288" s="1981">
        <v>0</v>
      </c>
      <c r="J288" s="1981">
        <v>0</v>
      </c>
      <c r="K288" s="1981">
        <v>0</v>
      </c>
      <c r="L288" s="1981">
        <v>0</v>
      </c>
      <c r="M288" s="1981">
        <v>0</v>
      </c>
      <c r="N288" s="1981">
        <v>0</v>
      </c>
      <c r="O288" s="1981">
        <v>0</v>
      </c>
      <c r="P288" s="1981">
        <v>0</v>
      </c>
      <c r="Q288" s="1981">
        <v>0</v>
      </c>
      <c r="R288" s="1981">
        <v>0</v>
      </c>
      <c r="T288" s="48">
        <f t="shared" si="4"/>
        <v>0</v>
      </c>
      <c r="U288" s="48"/>
    </row>
    <row r="289" spans="2:21">
      <c r="B289" s="33" t="s">
        <v>7505</v>
      </c>
      <c r="C289" t="s">
        <v>8496</v>
      </c>
      <c r="D289" s="1962" t="s">
        <v>1125</v>
      </c>
      <c r="E289" s="1962" t="s">
        <v>1126</v>
      </c>
      <c r="F289" s="1981">
        <v>-32.719000000000001</v>
      </c>
      <c r="G289" s="1981">
        <v>-32.719000000000001</v>
      </c>
      <c r="H289" s="1981">
        <v>-32.719000000000001</v>
      </c>
      <c r="I289" s="1981">
        <v>-32.719000000000001</v>
      </c>
      <c r="J289" s="1981">
        <v>-32.719000000000001</v>
      </c>
      <c r="K289" s="1981">
        <v>-32.719000000000001</v>
      </c>
      <c r="L289" s="1981">
        <v>-32.719000000000001</v>
      </c>
      <c r="M289" s="1981">
        <v>-32.719000000000001</v>
      </c>
      <c r="N289" s="1981">
        <v>-32.719000000000001</v>
      </c>
      <c r="O289" s="1981">
        <v>-32.719000000000001</v>
      </c>
      <c r="P289" s="1981">
        <v>-32.719000000000001</v>
      </c>
      <c r="Q289" s="1981">
        <v>-32.719000000000001</v>
      </c>
      <c r="R289" s="1981">
        <v>-392.62799999999999</v>
      </c>
      <c r="T289" s="48">
        <f t="shared" si="4"/>
        <v>0</v>
      </c>
      <c r="U289" s="48"/>
    </row>
    <row r="290" spans="2:21">
      <c r="B290" s="33" t="s">
        <v>7506</v>
      </c>
      <c r="C290" t="s">
        <v>8496</v>
      </c>
      <c r="D290" s="1962" t="s">
        <v>1127</v>
      </c>
      <c r="E290" s="1962" t="s">
        <v>1128</v>
      </c>
      <c r="F290" s="1981">
        <v>0</v>
      </c>
      <c r="G290" s="1981">
        <v>0</v>
      </c>
      <c r="H290" s="1981">
        <v>2.7222596087000004</v>
      </c>
      <c r="I290" s="1981">
        <v>2.7222596087000004</v>
      </c>
      <c r="J290" s="1981">
        <v>2.7222596087000004</v>
      </c>
      <c r="K290" s="1981">
        <v>2.7222596087000004</v>
      </c>
      <c r="L290" s="1981">
        <v>2.7222596087000004</v>
      </c>
      <c r="M290" s="1981">
        <v>2.7222596087000004</v>
      </c>
      <c r="N290" s="1981">
        <v>2.7222596087000004</v>
      </c>
      <c r="O290" s="1981">
        <v>2.7222596087000004</v>
      </c>
      <c r="P290" s="1981">
        <v>2.7222596087000004</v>
      </c>
      <c r="Q290" s="1981">
        <v>2.7222596087000004</v>
      </c>
      <c r="R290" s="1981">
        <v>27.222596087000003</v>
      </c>
      <c r="T290" s="48">
        <f t="shared" si="4"/>
        <v>0</v>
      </c>
      <c r="U290" s="48"/>
    </row>
    <row r="291" spans="2:21">
      <c r="B291" s="33" t="s">
        <v>7507</v>
      </c>
      <c r="C291" t="s">
        <v>8496</v>
      </c>
      <c r="D291" s="1962" t="s">
        <v>1129</v>
      </c>
      <c r="E291" s="1962" t="s">
        <v>1130</v>
      </c>
      <c r="F291" s="1981">
        <v>-54.396999999999998</v>
      </c>
      <c r="G291" s="1981">
        <v>-54.396999999999998</v>
      </c>
      <c r="H291" s="1981">
        <v>-116.462</v>
      </c>
      <c r="I291" s="1981">
        <v>-116.462</v>
      </c>
      <c r="J291" s="1981">
        <v>-116.462</v>
      </c>
      <c r="K291" s="1981">
        <v>-116.462</v>
      </c>
      <c r="L291" s="1981">
        <v>-116.462</v>
      </c>
      <c r="M291" s="1981">
        <v>-116.462</v>
      </c>
      <c r="N291" s="1981">
        <v>-116.462</v>
      </c>
      <c r="O291" s="1981">
        <v>-116.462</v>
      </c>
      <c r="P291" s="1981">
        <v>-116.462</v>
      </c>
      <c r="Q291" s="1981">
        <v>-116.49700000000001</v>
      </c>
      <c r="R291" s="1981">
        <v>-1273.4490000000001</v>
      </c>
      <c r="T291" s="48">
        <f t="shared" si="4"/>
        <v>0</v>
      </c>
      <c r="U291" s="48"/>
    </row>
    <row r="292" spans="2:21">
      <c r="B292" s="33" t="s">
        <v>7508</v>
      </c>
      <c r="C292" t="s">
        <v>8496</v>
      </c>
      <c r="D292" s="1962" t="s">
        <v>1131</v>
      </c>
      <c r="E292" s="1962" t="s">
        <v>1132</v>
      </c>
      <c r="F292" s="1981">
        <v>-26</v>
      </c>
      <c r="G292" s="1981">
        <v>-26</v>
      </c>
      <c r="H292" s="1981">
        <v>-26</v>
      </c>
      <c r="I292" s="1981">
        <v>-26</v>
      </c>
      <c r="J292" s="1981">
        <v>-26</v>
      </c>
      <c r="K292" s="1981">
        <v>-26</v>
      </c>
      <c r="L292" s="1981">
        <v>-26</v>
      </c>
      <c r="M292" s="1981">
        <v>-26</v>
      </c>
      <c r="N292" s="1981">
        <v>-26</v>
      </c>
      <c r="O292" s="1981">
        <v>-26</v>
      </c>
      <c r="P292" s="1981">
        <v>-26</v>
      </c>
      <c r="Q292" s="1981">
        <v>-26</v>
      </c>
      <c r="R292" s="1981">
        <v>-312</v>
      </c>
      <c r="T292" s="48">
        <f t="shared" si="4"/>
        <v>0</v>
      </c>
      <c r="U292" s="48"/>
    </row>
    <row r="293" spans="2:21">
      <c r="B293" s="33" t="s">
        <v>7509</v>
      </c>
      <c r="C293" t="s">
        <v>8496</v>
      </c>
      <c r="D293" s="1962" t="s">
        <v>1133</v>
      </c>
      <c r="E293" s="1962" t="s">
        <v>1134</v>
      </c>
      <c r="F293" s="1981">
        <v>535.00408548150006</v>
      </c>
      <c r="G293" s="1981">
        <v>416.85443843610005</v>
      </c>
      <c r="H293" s="1981">
        <v>394.595267025</v>
      </c>
      <c r="I293" s="1981">
        <v>496.2597092684</v>
      </c>
      <c r="J293" s="1981">
        <v>476.10671931050001</v>
      </c>
      <c r="K293" s="1981">
        <v>475.20916333120005</v>
      </c>
      <c r="L293" s="1981">
        <v>481.73064659289997</v>
      </c>
      <c r="M293" s="1981">
        <v>442.11222286059996</v>
      </c>
      <c r="N293" s="1981">
        <v>556.66811251939998</v>
      </c>
      <c r="O293" s="1981">
        <v>492.22362028539999</v>
      </c>
      <c r="P293" s="1981">
        <v>482.05876406670001</v>
      </c>
      <c r="Q293" s="1981">
        <v>547.9576769137999</v>
      </c>
      <c r="R293" s="1981">
        <v>5796.7804260915</v>
      </c>
      <c r="T293" s="48">
        <f t="shared" si="4"/>
        <v>0</v>
      </c>
      <c r="U293" s="48"/>
    </row>
    <row r="294" spans="2:21">
      <c r="B294" s="33" t="s">
        <v>7510</v>
      </c>
      <c r="C294" t="s">
        <v>8496</v>
      </c>
      <c r="D294" s="1962" t="s">
        <v>1135</v>
      </c>
      <c r="E294" s="1962" t="s">
        <v>1136</v>
      </c>
      <c r="F294" s="1981">
        <v>0</v>
      </c>
      <c r="G294" s="1981">
        <v>0</v>
      </c>
      <c r="H294" s="1981">
        <v>0</v>
      </c>
      <c r="I294" s="1981">
        <v>0</v>
      </c>
      <c r="J294" s="1981">
        <v>0</v>
      </c>
      <c r="K294" s="1981">
        <v>0</v>
      </c>
      <c r="L294" s="1981">
        <v>0</v>
      </c>
      <c r="M294" s="1981">
        <v>0</v>
      </c>
      <c r="N294" s="1981">
        <v>0</v>
      </c>
      <c r="O294" s="1981">
        <v>0</v>
      </c>
      <c r="P294" s="1981">
        <v>0</v>
      </c>
      <c r="Q294" s="1981">
        <v>0</v>
      </c>
      <c r="R294" s="1981">
        <v>0</v>
      </c>
      <c r="T294" s="48">
        <f t="shared" si="4"/>
        <v>0</v>
      </c>
      <c r="U294" s="48"/>
    </row>
    <row r="295" spans="2:21">
      <c r="B295" s="33" t="s">
        <v>7511</v>
      </c>
      <c r="C295" t="s">
        <v>8496</v>
      </c>
      <c r="D295" s="1962" t="s">
        <v>1137</v>
      </c>
      <c r="E295" s="1962" t="s">
        <v>1138</v>
      </c>
      <c r="F295" s="1981">
        <v>0</v>
      </c>
      <c r="G295" s="1981">
        <v>0</v>
      </c>
      <c r="H295" s="1981">
        <v>175</v>
      </c>
      <c r="I295" s="1981">
        <v>0</v>
      </c>
      <c r="J295" s="1981">
        <v>0</v>
      </c>
      <c r="K295" s="1981">
        <v>175</v>
      </c>
      <c r="L295" s="1981">
        <v>0</v>
      </c>
      <c r="M295" s="1981">
        <v>0</v>
      </c>
      <c r="N295" s="1981">
        <v>175</v>
      </c>
      <c r="O295" s="1981">
        <v>0</v>
      </c>
      <c r="P295" s="1981">
        <v>0</v>
      </c>
      <c r="Q295" s="1981">
        <v>175</v>
      </c>
      <c r="R295" s="1981">
        <v>700</v>
      </c>
      <c r="T295" s="48">
        <f t="shared" si="4"/>
        <v>0</v>
      </c>
      <c r="U295" s="48"/>
    </row>
    <row r="296" spans="2:21">
      <c r="B296" s="33" t="s">
        <v>7512</v>
      </c>
      <c r="C296" t="s">
        <v>8496</v>
      </c>
      <c r="D296" s="1962" t="s">
        <v>1139</v>
      </c>
      <c r="E296" s="1962" t="s">
        <v>1140</v>
      </c>
      <c r="F296" s="1981">
        <v>0</v>
      </c>
      <c r="G296" s="1981">
        <v>0</v>
      </c>
      <c r="H296" s="1981">
        <v>100.3520522388</v>
      </c>
      <c r="I296" s="1981">
        <v>0</v>
      </c>
      <c r="J296" s="1981">
        <v>0</v>
      </c>
      <c r="K296" s="1981">
        <v>100.3520522388</v>
      </c>
      <c r="L296" s="1981">
        <v>0</v>
      </c>
      <c r="M296" s="1981">
        <v>0</v>
      </c>
      <c r="N296" s="1981">
        <v>100.3520522388</v>
      </c>
      <c r="O296" s="1981">
        <v>0</v>
      </c>
      <c r="P296" s="1981">
        <v>0</v>
      </c>
      <c r="Q296" s="1981">
        <v>100.3520522388</v>
      </c>
      <c r="R296" s="1981">
        <v>401.4082089552</v>
      </c>
      <c r="T296" s="48">
        <f t="shared" si="4"/>
        <v>0</v>
      </c>
      <c r="U296" s="48"/>
    </row>
    <row r="297" spans="2:21">
      <c r="B297" s="33" t="s">
        <v>7513</v>
      </c>
      <c r="C297" t="s">
        <v>8496</v>
      </c>
      <c r="D297" s="1962" t="s">
        <v>1141</v>
      </c>
      <c r="E297" s="1962" t="s">
        <v>1142</v>
      </c>
      <c r="F297" s="1981">
        <v>97.997</v>
      </c>
      <c r="G297" s="1981">
        <v>10</v>
      </c>
      <c r="H297" s="1981">
        <v>16.47</v>
      </c>
      <c r="I297" s="1981">
        <v>26.646999999999998</v>
      </c>
      <c r="J297" s="1981">
        <v>11.29</v>
      </c>
      <c r="K297" s="1981">
        <v>13.385</v>
      </c>
      <c r="L297" s="1981">
        <v>24.196999999999999</v>
      </c>
      <c r="M297" s="1981">
        <v>11.5</v>
      </c>
      <c r="N297" s="1981">
        <v>26.5</v>
      </c>
      <c r="O297" s="1981">
        <v>54.515999999999998</v>
      </c>
      <c r="P297" s="1981">
        <v>29.5</v>
      </c>
      <c r="Q297" s="1981">
        <v>13</v>
      </c>
      <c r="R297" s="1981">
        <v>335.00200000000001</v>
      </c>
      <c r="T297" s="48">
        <f t="shared" si="4"/>
        <v>0</v>
      </c>
      <c r="U297" s="48"/>
    </row>
    <row r="298" spans="2:21">
      <c r="B298" s="33" t="s">
        <v>7514</v>
      </c>
      <c r="C298" t="s">
        <v>8496</v>
      </c>
      <c r="D298" s="1962" t="s">
        <v>1143</v>
      </c>
      <c r="E298" s="1962" t="s">
        <v>1144</v>
      </c>
      <c r="F298" s="1981">
        <v>644.23260549999998</v>
      </c>
      <c r="G298" s="1981">
        <v>20</v>
      </c>
      <c r="H298" s="1981">
        <v>815.43863715869998</v>
      </c>
      <c r="I298" s="1981">
        <v>43.4</v>
      </c>
      <c r="J298" s="1981">
        <v>15</v>
      </c>
      <c r="K298" s="1981">
        <v>761.43863715869998</v>
      </c>
      <c r="L298" s="1981">
        <v>50</v>
      </c>
      <c r="M298" s="1981">
        <v>39.4</v>
      </c>
      <c r="N298" s="1981">
        <v>765.55863715869998</v>
      </c>
      <c r="O298" s="1981">
        <v>17.318999999999999</v>
      </c>
      <c r="P298" s="1981">
        <v>40.000010000000003</v>
      </c>
      <c r="Q298" s="1981">
        <v>251.99604165869999</v>
      </c>
      <c r="R298" s="1981">
        <v>3463.7835686348008</v>
      </c>
      <c r="T298" s="48">
        <f t="shared" si="4"/>
        <v>0</v>
      </c>
      <c r="U298" s="48"/>
    </row>
    <row r="299" spans="2:21">
      <c r="B299" s="33" t="s">
        <v>7515</v>
      </c>
      <c r="C299" t="s">
        <v>8496</v>
      </c>
      <c r="D299" s="1962" t="s">
        <v>1145</v>
      </c>
      <c r="E299" s="1962" t="s">
        <v>1146</v>
      </c>
      <c r="F299" s="1981">
        <v>375.25</v>
      </c>
      <c r="G299" s="1981">
        <v>173.5</v>
      </c>
      <c r="H299" s="1981">
        <v>144.584</v>
      </c>
      <c r="I299" s="1981">
        <v>248.1</v>
      </c>
      <c r="J299" s="1981">
        <v>157.75</v>
      </c>
      <c r="K299" s="1981">
        <v>228.35</v>
      </c>
      <c r="L299" s="1981">
        <v>134.75</v>
      </c>
      <c r="M299" s="1981">
        <v>553.4</v>
      </c>
      <c r="N299" s="1981">
        <v>126.75</v>
      </c>
      <c r="O299" s="1981">
        <v>148.94999999999999</v>
      </c>
      <c r="P299" s="1981">
        <v>65.900000000000006</v>
      </c>
      <c r="Q299" s="1981">
        <v>255.75</v>
      </c>
      <c r="R299" s="1981">
        <v>2613.0340000000001</v>
      </c>
      <c r="T299" s="48">
        <f t="shared" si="4"/>
        <v>0</v>
      </c>
      <c r="U299" s="48"/>
    </row>
    <row r="300" spans="2:21">
      <c r="B300" s="33" t="s">
        <v>7516</v>
      </c>
      <c r="C300" t="s">
        <v>8496</v>
      </c>
      <c r="D300" s="1962" t="s">
        <v>1147</v>
      </c>
      <c r="E300" s="1962" t="s">
        <v>1148</v>
      </c>
      <c r="F300" s="1981">
        <v>30.832999999999998</v>
      </c>
      <c r="G300" s="1981">
        <v>30.832999999999998</v>
      </c>
      <c r="H300" s="1981">
        <v>30.832999999999998</v>
      </c>
      <c r="I300" s="1981">
        <v>30.832999999999998</v>
      </c>
      <c r="J300" s="1981">
        <v>30.832999999999998</v>
      </c>
      <c r="K300" s="1981">
        <v>30.832999999999998</v>
      </c>
      <c r="L300" s="1981">
        <v>30.832999999999998</v>
      </c>
      <c r="M300" s="1981">
        <v>30.832999999999998</v>
      </c>
      <c r="N300" s="1981">
        <v>30.832999999999998</v>
      </c>
      <c r="O300" s="1981">
        <v>30.832999999999998</v>
      </c>
      <c r="P300" s="1981">
        <v>30.832999999999998</v>
      </c>
      <c r="Q300" s="1981">
        <v>30.832999999999998</v>
      </c>
      <c r="R300" s="1981">
        <v>369.99599999999987</v>
      </c>
      <c r="T300" s="48">
        <f t="shared" si="4"/>
        <v>0</v>
      </c>
      <c r="U300" s="48"/>
    </row>
    <row r="301" spans="2:21">
      <c r="B301" s="33" t="s">
        <v>7517</v>
      </c>
      <c r="C301" t="s">
        <v>8496</v>
      </c>
      <c r="D301" s="1962" t="s">
        <v>1149</v>
      </c>
      <c r="E301" s="1962" t="s">
        <v>1150</v>
      </c>
      <c r="F301" s="1981">
        <v>5</v>
      </c>
      <c r="G301" s="1981">
        <v>5</v>
      </c>
      <c r="H301" s="1981">
        <v>5</v>
      </c>
      <c r="I301" s="1981">
        <v>5</v>
      </c>
      <c r="J301" s="1981">
        <v>5</v>
      </c>
      <c r="K301" s="1981">
        <v>5</v>
      </c>
      <c r="L301" s="1981">
        <v>11</v>
      </c>
      <c r="M301" s="1981">
        <v>5</v>
      </c>
      <c r="N301" s="1981">
        <v>5</v>
      </c>
      <c r="O301" s="1981">
        <v>5</v>
      </c>
      <c r="P301" s="1981">
        <v>5</v>
      </c>
      <c r="Q301" s="1981">
        <v>11</v>
      </c>
      <c r="R301" s="1981">
        <v>72</v>
      </c>
      <c r="T301" s="48">
        <f t="shared" si="4"/>
        <v>0</v>
      </c>
      <c r="U301" s="48"/>
    </row>
    <row r="302" spans="2:21">
      <c r="B302" s="33" t="s">
        <v>7518</v>
      </c>
      <c r="C302" t="s">
        <v>8496</v>
      </c>
      <c r="D302" s="1962" t="s">
        <v>1151</v>
      </c>
      <c r="E302" s="1962" t="s">
        <v>1152</v>
      </c>
      <c r="F302" s="1981">
        <v>242.67095999999998</v>
      </c>
      <c r="G302" s="1981">
        <v>49.478999999999999</v>
      </c>
      <c r="H302" s="1981">
        <v>49.478999999999999</v>
      </c>
      <c r="I302" s="1981">
        <v>242.67095999999998</v>
      </c>
      <c r="J302" s="1981">
        <v>49.478999999999999</v>
      </c>
      <c r="K302" s="1981">
        <v>49.478999999999999</v>
      </c>
      <c r="L302" s="1981">
        <v>242.67095999999998</v>
      </c>
      <c r="M302" s="1981">
        <v>49.478999999999999</v>
      </c>
      <c r="N302" s="1981">
        <v>49.478999999999999</v>
      </c>
      <c r="O302" s="1981">
        <v>242.67095999999998</v>
      </c>
      <c r="P302" s="1981">
        <v>49.478999999999999</v>
      </c>
      <c r="Q302" s="1981">
        <v>49.478999999999999</v>
      </c>
      <c r="R302" s="1981">
        <v>1366.51584</v>
      </c>
      <c r="T302" s="48">
        <f t="shared" si="4"/>
        <v>0</v>
      </c>
      <c r="U302" s="48"/>
    </row>
    <row r="303" spans="2:21">
      <c r="B303" s="33" t="s">
        <v>7519</v>
      </c>
      <c r="C303" t="s">
        <v>8496</v>
      </c>
      <c r="D303" s="1962" t="s">
        <v>1153</v>
      </c>
      <c r="E303" s="1962" t="s">
        <v>7520</v>
      </c>
      <c r="F303" s="1981">
        <v>0.35</v>
      </c>
      <c r="G303" s="1981">
        <v>0</v>
      </c>
      <c r="H303" s="1981">
        <v>0</v>
      </c>
      <c r="I303" s="1981">
        <v>0</v>
      </c>
      <c r="J303" s="1981">
        <v>0.88749999999999996</v>
      </c>
      <c r="K303" s="1981">
        <v>0</v>
      </c>
      <c r="L303" s="1981">
        <v>0</v>
      </c>
      <c r="M303" s="1981">
        <v>0</v>
      </c>
      <c r="N303" s="1981">
        <v>15</v>
      </c>
      <c r="O303" s="1981">
        <v>1</v>
      </c>
      <c r="P303" s="1981">
        <v>0</v>
      </c>
      <c r="Q303" s="1981">
        <v>0</v>
      </c>
      <c r="R303" s="1981">
        <v>17.237500000000001</v>
      </c>
      <c r="T303" s="48">
        <f t="shared" si="4"/>
        <v>0</v>
      </c>
      <c r="U303" s="48"/>
    </row>
    <row r="304" spans="2:21">
      <c r="B304" s="33" t="s">
        <v>7521</v>
      </c>
      <c r="C304" t="s">
        <v>8496</v>
      </c>
      <c r="D304" s="1962" t="s">
        <v>1154</v>
      </c>
      <c r="E304" s="1962" t="s">
        <v>1155</v>
      </c>
      <c r="F304" s="1981">
        <v>11.93125</v>
      </c>
      <c r="G304" s="1981">
        <v>0</v>
      </c>
      <c r="H304" s="1981">
        <v>0</v>
      </c>
      <c r="I304" s="1981">
        <v>0</v>
      </c>
      <c r="J304" s="1981">
        <v>0</v>
      </c>
      <c r="K304" s="1981">
        <v>0</v>
      </c>
      <c r="L304" s="1981">
        <v>0</v>
      </c>
      <c r="M304" s="1981">
        <v>0</v>
      </c>
      <c r="N304" s="1981">
        <v>0</v>
      </c>
      <c r="O304" s="1981">
        <v>0</v>
      </c>
      <c r="P304" s="1981">
        <v>0</v>
      </c>
      <c r="Q304" s="1981">
        <v>0</v>
      </c>
      <c r="R304" s="1981">
        <v>11.93125</v>
      </c>
      <c r="T304" s="48">
        <f t="shared" si="4"/>
        <v>0</v>
      </c>
      <c r="U304" s="48"/>
    </row>
    <row r="305" spans="2:21">
      <c r="B305" s="33" t="s">
        <v>7522</v>
      </c>
      <c r="C305" t="s">
        <v>8496</v>
      </c>
      <c r="D305" s="1962" t="s">
        <v>1156</v>
      </c>
      <c r="E305" s="1962" t="s">
        <v>1157</v>
      </c>
      <c r="F305" s="1981">
        <v>-19.05</v>
      </c>
      <c r="G305" s="1981">
        <v>-19.05</v>
      </c>
      <c r="H305" s="1981">
        <v>-18.45</v>
      </c>
      <c r="I305" s="1981">
        <v>-18.149999999999999</v>
      </c>
      <c r="J305" s="1981">
        <v>-18.75</v>
      </c>
      <c r="K305" s="1981">
        <v>-18.899999999999999</v>
      </c>
      <c r="L305" s="1981">
        <v>-18.899999999999999</v>
      </c>
      <c r="M305" s="1981">
        <v>-18.899999999999999</v>
      </c>
      <c r="N305" s="1981">
        <v>113.40049</v>
      </c>
      <c r="O305" s="1981">
        <v>113.85049000000001</v>
      </c>
      <c r="P305" s="1981">
        <v>114.15049</v>
      </c>
      <c r="Q305" s="1981">
        <v>114.15049999999999</v>
      </c>
      <c r="R305" s="1981">
        <v>305.40197000000001</v>
      </c>
      <c r="T305" s="48">
        <f t="shared" si="4"/>
        <v>0</v>
      </c>
      <c r="U305" s="48"/>
    </row>
    <row r="306" spans="2:21">
      <c r="B306" s="33" t="s">
        <v>7523</v>
      </c>
      <c r="C306" t="s">
        <v>8496</v>
      </c>
      <c r="D306" s="1962" t="s">
        <v>1158</v>
      </c>
      <c r="E306" s="1962" t="s">
        <v>1159</v>
      </c>
      <c r="F306" s="1981">
        <v>0</v>
      </c>
      <c r="G306" s="1981">
        <v>75</v>
      </c>
      <c r="H306" s="1981">
        <v>0</v>
      </c>
      <c r="I306" s="1981">
        <v>0</v>
      </c>
      <c r="J306" s="1981">
        <v>0</v>
      </c>
      <c r="K306" s="1981">
        <v>0</v>
      </c>
      <c r="L306" s="1981">
        <v>0</v>
      </c>
      <c r="M306" s="1981">
        <v>0</v>
      </c>
      <c r="N306" s="1981">
        <v>0</v>
      </c>
      <c r="O306" s="1981">
        <v>0</v>
      </c>
      <c r="P306" s="1981">
        <v>0</v>
      </c>
      <c r="Q306" s="1981">
        <v>0</v>
      </c>
      <c r="R306" s="1981">
        <v>75</v>
      </c>
      <c r="T306" s="48">
        <f t="shared" si="4"/>
        <v>0</v>
      </c>
      <c r="U306" s="48"/>
    </row>
    <row r="307" spans="2:21">
      <c r="B307" s="33" t="s">
        <v>7524</v>
      </c>
      <c r="C307" t="s">
        <v>8496</v>
      </c>
      <c r="D307" s="1962" t="s">
        <v>1160</v>
      </c>
      <c r="E307" s="1962" t="s">
        <v>1161</v>
      </c>
      <c r="F307" s="1981">
        <v>19.983000000000001</v>
      </c>
      <c r="G307" s="1981">
        <v>6.61</v>
      </c>
      <c r="H307" s="1981">
        <v>82.767719999999997</v>
      </c>
      <c r="I307" s="1981">
        <v>11.057</v>
      </c>
      <c r="J307" s="1981">
        <v>8.0329999999999995</v>
      </c>
      <c r="K307" s="1981">
        <v>8.0039999999999996</v>
      </c>
      <c r="L307" s="1981">
        <v>13.917</v>
      </c>
      <c r="M307" s="1981">
        <v>7.55</v>
      </c>
      <c r="N307" s="1981">
        <v>10.75</v>
      </c>
      <c r="O307" s="1981">
        <v>7.55</v>
      </c>
      <c r="P307" s="1981">
        <v>7.55</v>
      </c>
      <c r="Q307" s="1981">
        <v>10.231999999999999</v>
      </c>
      <c r="R307" s="1981">
        <v>194.00372000000002</v>
      </c>
      <c r="T307" s="48">
        <f t="shared" si="4"/>
        <v>0</v>
      </c>
      <c r="U307" s="48"/>
    </row>
    <row r="308" spans="2:21">
      <c r="B308" s="33" t="s">
        <v>7525</v>
      </c>
      <c r="C308" t="s">
        <v>8496</v>
      </c>
      <c r="D308" s="1962" t="s">
        <v>1162</v>
      </c>
      <c r="E308" s="1962" t="s">
        <v>7526</v>
      </c>
      <c r="F308" s="1981">
        <v>131.73055650820001</v>
      </c>
      <c r="G308" s="1981">
        <v>131.56055650820002</v>
      </c>
      <c r="H308" s="1981">
        <v>137.45199900819998</v>
      </c>
      <c r="I308" s="1981">
        <v>137.50961900820002</v>
      </c>
      <c r="J308" s="1981">
        <v>137.50555650820002</v>
      </c>
      <c r="K308" s="1981">
        <v>139.83199900819997</v>
      </c>
      <c r="L308" s="1981">
        <v>137.50555650820002</v>
      </c>
      <c r="M308" s="1981">
        <v>137.53555650820002</v>
      </c>
      <c r="N308" s="1981">
        <v>139.8019990082</v>
      </c>
      <c r="O308" s="1981">
        <v>137.50961900820002</v>
      </c>
      <c r="P308" s="1981">
        <v>137.53149400820001</v>
      </c>
      <c r="Q308" s="1981">
        <v>139.83199900819997</v>
      </c>
      <c r="R308" s="1981">
        <v>1645.3065105984001</v>
      </c>
      <c r="T308" s="48">
        <f t="shared" si="4"/>
        <v>0</v>
      </c>
      <c r="U308" s="48"/>
    </row>
    <row r="309" spans="2:21">
      <c r="B309" s="33" t="s">
        <v>7527</v>
      </c>
      <c r="C309" t="s">
        <v>8496</v>
      </c>
      <c r="D309" s="1962" t="s">
        <v>1163</v>
      </c>
      <c r="E309" s="1962" t="s">
        <v>1164</v>
      </c>
      <c r="F309" s="1981">
        <v>4037.3748501594996</v>
      </c>
      <c r="G309" s="1981">
        <v>3720.0820670616999</v>
      </c>
      <c r="H309" s="1981">
        <v>3439.4810530312002</v>
      </c>
      <c r="I309" s="1981">
        <v>3571.0066774676002</v>
      </c>
      <c r="J309" s="1981">
        <v>4209.0307708675009</v>
      </c>
      <c r="K309" s="1981">
        <v>5082.4398394774007</v>
      </c>
      <c r="L309" s="1981">
        <v>4528.8336338497002</v>
      </c>
      <c r="M309" s="1981">
        <v>5010.2828574468003</v>
      </c>
      <c r="N309" s="1981">
        <v>5246.6778534394998</v>
      </c>
      <c r="O309" s="1981">
        <v>4751.7963215822992</v>
      </c>
      <c r="P309" s="1981">
        <v>3986.0076441111996</v>
      </c>
      <c r="Q309" s="1981">
        <v>3763.7296651086003</v>
      </c>
      <c r="R309" s="1981">
        <v>51346.743233602996</v>
      </c>
      <c r="T309" s="48">
        <f t="shared" si="4"/>
        <v>0</v>
      </c>
      <c r="U309" s="48"/>
    </row>
    <row r="310" spans="2:21">
      <c r="B310" s="33" t="s">
        <v>7528</v>
      </c>
      <c r="C310" t="s">
        <v>8496</v>
      </c>
      <c r="D310" s="1962" t="s">
        <v>1165</v>
      </c>
      <c r="E310" s="1962" t="s">
        <v>1166</v>
      </c>
      <c r="F310" s="1981">
        <v>0</v>
      </c>
      <c r="G310" s="1981">
        <v>0</v>
      </c>
      <c r="H310" s="1981">
        <v>0</v>
      </c>
      <c r="I310" s="1981">
        <v>0</v>
      </c>
      <c r="J310" s="1981">
        <v>0</v>
      </c>
      <c r="K310" s="1981">
        <v>0</v>
      </c>
      <c r="L310" s="1981">
        <v>0</v>
      </c>
      <c r="M310" s="1981">
        <v>0</v>
      </c>
      <c r="N310" s="1981">
        <v>0</v>
      </c>
      <c r="O310" s="1981">
        <v>0</v>
      </c>
      <c r="P310" s="1981">
        <v>0</v>
      </c>
      <c r="Q310" s="1981">
        <v>0</v>
      </c>
      <c r="R310" s="1981">
        <v>0</v>
      </c>
      <c r="T310" s="48">
        <f t="shared" si="4"/>
        <v>0</v>
      </c>
      <c r="U310" s="48"/>
    </row>
    <row r="311" spans="2:21">
      <c r="B311" s="33" t="s">
        <v>7529</v>
      </c>
      <c r="C311" t="s">
        <v>8496</v>
      </c>
      <c r="D311" s="1962" t="s">
        <v>1167</v>
      </c>
      <c r="E311" s="1962" t="s">
        <v>1168</v>
      </c>
      <c r="F311" s="1981">
        <v>0</v>
      </c>
      <c r="G311" s="1981">
        <v>0</v>
      </c>
      <c r="H311" s="1981">
        <v>0</v>
      </c>
      <c r="I311" s="1981">
        <v>0</v>
      </c>
      <c r="J311" s="1981">
        <v>0</v>
      </c>
      <c r="K311" s="1981">
        <v>0</v>
      </c>
      <c r="L311" s="1981">
        <v>0</v>
      </c>
      <c r="M311" s="1981">
        <v>0</v>
      </c>
      <c r="N311" s="1981">
        <v>0</v>
      </c>
      <c r="O311" s="1981">
        <v>0</v>
      </c>
      <c r="P311" s="1981">
        <v>0</v>
      </c>
      <c r="Q311" s="1981">
        <v>0</v>
      </c>
      <c r="R311" s="1981">
        <v>0</v>
      </c>
      <c r="T311" s="48">
        <f t="shared" si="4"/>
        <v>0</v>
      </c>
      <c r="U311" s="48"/>
    </row>
    <row r="312" spans="2:21">
      <c r="B312" s="33" t="s">
        <v>7530</v>
      </c>
      <c r="C312" t="s">
        <v>8496</v>
      </c>
      <c r="D312" s="1962" t="s">
        <v>1169</v>
      </c>
      <c r="E312" s="1962" t="s">
        <v>1170</v>
      </c>
      <c r="F312" s="1981">
        <v>0</v>
      </c>
      <c r="G312" s="1981">
        <v>0</v>
      </c>
      <c r="H312" s="1981">
        <v>0</v>
      </c>
      <c r="I312" s="1981">
        <v>0</v>
      </c>
      <c r="J312" s="1981">
        <v>0</v>
      </c>
      <c r="K312" s="1981">
        <v>0</v>
      </c>
      <c r="L312" s="1981">
        <v>0</v>
      </c>
      <c r="M312" s="1981">
        <v>0</v>
      </c>
      <c r="N312" s="1981">
        <v>0</v>
      </c>
      <c r="O312" s="1981">
        <v>0</v>
      </c>
      <c r="P312" s="1981">
        <v>0</v>
      </c>
      <c r="Q312" s="1981">
        <v>0</v>
      </c>
      <c r="R312" s="1981">
        <v>0</v>
      </c>
      <c r="T312" s="48">
        <f t="shared" si="4"/>
        <v>0</v>
      </c>
      <c r="U312" s="48"/>
    </row>
    <row r="313" spans="2:21">
      <c r="B313" s="33" t="s">
        <v>7531</v>
      </c>
      <c r="C313" t="s">
        <v>8496</v>
      </c>
      <c r="D313" s="1962" t="s">
        <v>1171</v>
      </c>
      <c r="E313" s="1962" t="s">
        <v>1172</v>
      </c>
      <c r="F313" s="1981">
        <v>0</v>
      </c>
      <c r="G313" s="1981">
        <v>0</v>
      </c>
      <c r="H313" s="1981">
        <v>0</v>
      </c>
      <c r="I313" s="1981">
        <v>0</v>
      </c>
      <c r="J313" s="1981">
        <v>0</v>
      </c>
      <c r="K313" s="1981">
        <v>0</v>
      </c>
      <c r="L313" s="1981">
        <v>0</v>
      </c>
      <c r="M313" s="1981">
        <v>0</v>
      </c>
      <c r="N313" s="1981">
        <v>0</v>
      </c>
      <c r="O313" s="1981">
        <v>0</v>
      </c>
      <c r="P313" s="1981">
        <v>0</v>
      </c>
      <c r="Q313" s="1981">
        <v>0</v>
      </c>
      <c r="R313" s="1981">
        <v>0</v>
      </c>
      <c r="T313" s="48">
        <f t="shared" si="4"/>
        <v>0</v>
      </c>
      <c r="U313" s="48"/>
    </row>
    <row r="314" spans="2:21">
      <c r="B314" s="33" t="s">
        <v>7532</v>
      </c>
      <c r="C314" t="s">
        <v>8496</v>
      </c>
      <c r="D314" s="1962" t="s">
        <v>1173</v>
      </c>
      <c r="E314" s="1962" t="s">
        <v>1174</v>
      </c>
      <c r="F314" s="1981">
        <v>-2916.6666666667002</v>
      </c>
      <c r="G314" s="1981">
        <v>-2916.6666666667002</v>
      </c>
      <c r="H314" s="1981">
        <v>-2916.6666666667002</v>
      </c>
      <c r="I314" s="1981">
        <v>-2916.6666666667002</v>
      </c>
      <c r="J314" s="1981">
        <v>-2916.6666666667002</v>
      </c>
      <c r="K314" s="1981">
        <v>-2916.6666666667002</v>
      </c>
      <c r="L314" s="1981">
        <v>-2916.6666666667002</v>
      </c>
      <c r="M314" s="1981">
        <v>-2916.6666666667002</v>
      </c>
      <c r="N314" s="1981">
        <v>-2916.6666666667002</v>
      </c>
      <c r="O314" s="1981">
        <v>-2916.6666666667002</v>
      </c>
      <c r="P314" s="1981">
        <v>-2916.6666666667002</v>
      </c>
      <c r="Q314" s="1981">
        <v>-2916.6666666667002</v>
      </c>
      <c r="R314" s="1981">
        <v>-35000.0000000004</v>
      </c>
      <c r="T314" s="48">
        <f t="shared" si="4"/>
        <v>0</v>
      </c>
      <c r="U314" s="48"/>
    </row>
    <row r="315" spans="2:21">
      <c r="B315" s="33" t="s">
        <v>7533</v>
      </c>
      <c r="C315" t="s">
        <v>8496</v>
      </c>
      <c r="D315" s="1962" t="s">
        <v>1175</v>
      </c>
      <c r="E315" s="1962" t="s">
        <v>1176</v>
      </c>
      <c r="F315" s="1981">
        <v>72.229074248000003</v>
      </c>
      <c r="G315" s="1981">
        <v>72.229074248000003</v>
      </c>
      <c r="H315" s="1981">
        <v>72.314074248000011</v>
      </c>
      <c r="I315" s="1981">
        <v>82.33322771200001</v>
      </c>
      <c r="J315" s="1981">
        <v>82.33322771200001</v>
      </c>
      <c r="K315" s="1981">
        <v>82.33322771200001</v>
      </c>
      <c r="L315" s="1981">
        <v>87.385304443999999</v>
      </c>
      <c r="M315" s="1981">
        <v>87.385304443999999</v>
      </c>
      <c r="N315" s="1981">
        <v>87.385304443999999</v>
      </c>
      <c r="O315" s="1981">
        <v>92.437381176000002</v>
      </c>
      <c r="P315" s="1981">
        <v>92.437381176000002</v>
      </c>
      <c r="Q315" s="1981">
        <v>117.697764836</v>
      </c>
      <c r="R315" s="1981">
        <v>1028.5003464000001</v>
      </c>
      <c r="T315" s="48">
        <f t="shared" si="4"/>
        <v>0</v>
      </c>
      <c r="U315" s="48"/>
    </row>
    <row r="316" spans="2:21">
      <c r="B316" s="33" t="s">
        <v>7534</v>
      </c>
      <c r="C316" t="s">
        <v>8496</v>
      </c>
      <c r="D316" s="1962" t="s">
        <v>1177</v>
      </c>
      <c r="E316" s="1962" t="s">
        <v>1178</v>
      </c>
      <c r="F316" s="1981">
        <v>89.261816545599999</v>
      </c>
      <c r="G316" s="1981">
        <v>200.26181654560003</v>
      </c>
      <c r="H316" s="1981">
        <v>224.26181654560003</v>
      </c>
      <c r="I316" s="1981">
        <v>93.217265087299992</v>
      </c>
      <c r="J316" s="1981">
        <v>93.217265087299992</v>
      </c>
      <c r="K316" s="1981">
        <v>93.217265087299992</v>
      </c>
      <c r="L316" s="1981">
        <v>95.19498935819999</v>
      </c>
      <c r="M316" s="1981">
        <v>95.19498935819999</v>
      </c>
      <c r="N316" s="1981">
        <v>163.19498935819999</v>
      </c>
      <c r="O316" s="1981">
        <v>165.17271362900001</v>
      </c>
      <c r="P316" s="1981">
        <v>177.17271362900001</v>
      </c>
      <c r="Q316" s="1981">
        <v>119.0613349833</v>
      </c>
      <c r="R316" s="1981">
        <v>1608.4289752146003</v>
      </c>
      <c r="T316" s="48">
        <f t="shared" si="4"/>
        <v>0</v>
      </c>
      <c r="U316" s="48"/>
    </row>
    <row r="317" spans="2:21">
      <c r="B317" s="33" t="s">
        <v>7535</v>
      </c>
      <c r="C317" t="s">
        <v>8496</v>
      </c>
      <c r="D317" s="1962" t="s">
        <v>1179</v>
      </c>
      <c r="E317" s="1962" t="s">
        <v>1180</v>
      </c>
      <c r="F317" s="1981">
        <v>11.134577999999999</v>
      </c>
      <c r="G317" s="1981">
        <v>11.134577999999999</v>
      </c>
      <c r="H317" s="1981">
        <v>11.134577999999999</v>
      </c>
      <c r="I317" s="1981">
        <v>11.134577999999999</v>
      </c>
      <c r="J317" s="1981">
        <v>11.134577999999999</v>
      </c>
      <c r="K317" s="1981">
        <v>11.134577999999999</v>
      </c>
      <c r="L317" s="1981">
        <v>11.134577999999999</v>
      </c>
      <c r="M317" s="1981">
        <v>11.134577999999999</v>
      </c>
      <c r="N317" s="1981">
        <v>11.134577999999999</v>
      </c>
      <c r="O317" s="1981">
        <v>11.134577999999999</v>
      </c>
      <c r="P317" s="1981">
        <v>11.134577999999999</v>
      </c>
      <c r="Q317" s="1981">
        <v>11.134577999999999</v>
      </c>
      <c r="R317" s="1981">
        <v>133.61493600000003</v>
      </c>
      <c r="T317" s="48">
        <f t="shared" si="4"/>
        <v>0</v>
      </c>
      <c r="U317" s="48"/>
    </row>
    <row r="318" spans="2:21">
      <c r="B318" s="33" t="s">
        <v>7536</v>
      </c>
      <c r="C318" t="s">
        <v>8496</v>
      </c>
      <c r="D318" s="1962" t="s">
        <v>1181</v>
      </c>
      <c r="E318" s="1962" t="s">
        <v>1182</v>
      </c>
      <c r="F318" s="1981">
        <v>0</v>
      </c>
      <c r="G318" s="1981">
        <v>0</v>
      </c>
      <c r="H318" s="1981">
        <v>0</v>
      </c>
      <c r="I318" s="1981">
        <v>0</v>
      </c>
      <c r="J318" s="1981">
        <v>0</v>
      </c>
      <c r="K318" s="1981">
        <v>0</v>
      </c>
      <c r="L318" s="1981">
        <v>0</v>
      </c>
      <c r="M318" s="1981">
        <v>0</v>
      </c>
      <c r="N318" s="1981">
        <v>0</v>
      </c>
      <c r="O318" s="1981">
        <v>0</v>
      </c>
      <c r="P318" s="1981">
        <v>0</v>
      </c>
      <c r="Q318" s="1981">
        <v>0</v>
      </c>
      <c r="R318" s="1981">
        <v>0</v>
      </c>
      <c r="T318" s="48">
        <f t="shared" si="4"/>
        <v>0</v>
      </c>
      <c r="U318" s="48"/>
    </row>
    <row r="319" spans="2:21">
      <c r="B319" s="33" t="s">
        <v>7537</v>
      </c>
      <c r="C319" t="s">
        <v>8496</v>
      </c>
      <c r="D319" s="1962" t="s">
        <v>1183</v>
      </c>
      <c r="E319" s="1962" t="s">
        <v>1184</v>
      </c>
      <c r="F319" s="1981">
        <v>863.28477520439992</v>
      </c>
      <c r="G319" s="1981">
        <v>863.28477520439992</v>
      </c>
      <c r="H319" s="1981">
        <v>1212.8398554282001</v>
      </c>
      <c r="I319" s="1981">
        <v>863.28477520439992</v>
      </c>
      <c r="J319" s="1981">
        <v>863.28477520439992</v>
      </c>
      <c r="K319" s="1981">
        <v>1212.8398554282001</v>
      </c>
      <c r="L319" s="1981">
        <v>863.28477520439992</v>
      </c>
      <c r="M319" s="1981">
        <v>863.28477520439992</v>
      </c>
      <c r="N319" s="1981">
        <v>1212.8398554282001</v>
      </c>
      <c r="O319" s="1981">
        <v>863.28477520439992</v>
      </c>
      <c r="P319" s="1981">
        <v>863.28477520439992</v>
      </c>
      <c r="Q319" s="1981">
        <v>1212.8398554282001</v>
      </c>
      <c r="R319" s="1981">
        <v>11757.637623347999</v>
      </c>
      <c r="T319" s="48">
        <f t="shared" si="4"/>
        <v>0</v>
      </c>
      <c r="U319" s="48"/>
    </row>
    <row r="320" spans="2:21">
      <c r="B320" s="33" t="s">
        <v>8708</v>
      </c>
      <c r="C320" t="s">
        <v>8496</v>
      </c>
      <c r="D320" s="1962" t="s">
        <v>8709</v>
      </c>
      <c r="E320" s="1962" t="s">
        <v>8710</v>
      </c>
      <c r="F320" s="1981">
        <v>0</v>
      </c>
      <c r="G320" s="1981">
        <v>0</v>
      </c>
      <c r="H320" s="1981">
        <v>0</v>
      </c>
      <c r="I320" s="1981">
        <v>0</v>
      </c>
      <c r="J320" s="1981">
        <v>0</v>
      </c>
      <c r="K320" s="1981">
        <v>5.1874999999999998E-2</v>
      </c>
      <c r="L320" s="1981">
        <v>0</v>
      </c>
      <c r="M320" s="1981">
        <v>0</v>
      </c>
      <c r="N320" s="1981">
        <v>0</v>
      </c>
      <c r="O320" s="1981">
        <v>0</v>
      </c>
      <c r="P320" s="1981">
        <v>0</v>
      </c>
      <c r="Q320" s="1981">
        <v>5.1874999999999998E-2</v>
      </c>
      <c r="R320" s="1981">
        <v>0.10375</v>
      </c>
      <c r="T320" s="48">
        <f t="shared" si="4"/>
        <v>0</v>
      </c>
      <c r="U320" s="48"/>
    </row>
    <row r="321" spans="2:21">
      <c r="B321" s="33" t="s">
        <v>7538</v>
      </c>
      <c r="C321" t="s">
        <v>8496</v>
      </c>
      <c r="D321" s="1962" t="s">
        <v>1185</v>
      </c>
      <c r="E321" s="1962" t="s">
        <v>1186</v>
      </c>
      <c r="F321" s="1981">
        <v>149.8178289615</v>
      </c>
      <c r="G321" s="1981">
        <v>161.20916371369998</v>
      </c>
      <c r="H321" s="1981">
        <v>175.74073770820002</v>
      </c>
      <c r="I321" s="1981">
        <v>187.41816781400001</v>
      </c>
      <c r="J321" s="1981">
        <v>165.2420452499</v>
      </c>
      <c r="K321" s="1981">
        <v>179.98363933600001</v>
      </c>
      <c r="L321" s="1981">
        <v>835.16763231530001</v>
      </c>
      <c r="M321" s="1981">
        <v>172.72773252780001</v>
      </c>
      <c r="N321" s="1981">
        <v>182.5823998809</v>
      </c>
      <c r="O321" s="1981">
        <v>182.55773446249998</v>
      </c>
      <c r="P321" s="1981">
        <v>175.49239506179998</v>
      </c>
      <c r="Q321" s="1981">
        <v>170.393186026</v>
      </c>
      <c r="R321" s="1981">
        <v>2738.3326630575998</v>
      </c>
      <c r="T321" s="48">
        <f t="shared" si="4"/>
        <v>0</v>
      </c>
      <c r="U321" s="48"/>
    </row>
    <row r="322" spans="2:21">
      <c r="B322" s="33" t="s">
        <v>7539</v>
      </c>
      <c r="C322" t="s">
        <v>8496</v>
      </c>
      <c r="D322" s="1962" t="s">
        <v>1187</v>
      </c>
      <c r="E322" s="1962" t="s">
        <v>1188</v>
      </c>
      <c r="F322" s="1981">
        <v>95.221055555600003</v>
      </c>
      <c r="G322" s="1981">
        <v>95.221055555600003</v>
      </c>
      <c r="H322" s="1981">
        <v>95.221055555600003</v>
      </c>
      <c r="I322" s="1981">
        <v>95.221055555600003</v>
      </c>
      <c r="J322" s="1981">
        <v>95.221055555600003</v>
      </c>
      <c r="K322" s="1981">
        <v>95.221055555600003</v>
      </c>
      <c r="L322" s="1981">
        <v>95.221055555600003</v>
      </c>
      <c r="M322" s="1981">
        <v>95.221055555600003</v>
      </c>
      <c r="N322" s="1981">
        <v>95.221055555600003</v>
      </c>
      <c r="O322" s="1981">
        <v>95.221055555600003</v>
      </c>
      <c r="P322" s="1981">
        <v>95.221055555600003</v>
      </c>
      <c r="Q322" s="1981">
        <v>95.221055555600003</v>
      </c>
      <c r="R322" s="1981">
        <v>1142.6526666672003</v>
      </c>
      <c r="T322" s="48">
        <f t="shared" si="4"/>
        <v>0</v>
      </c>
      <c r="U322" s="48"/>
    </row>
    <row r="323" spans="2:21">
      <c r="B323" s="33" t="s">
        <v>7540</v>
      </c>
      <c r="C323" t="s">
        <v>8496</v>
      </c>
      <c r="D323" s="1962" t="s">
        <v>1189</v>
      </c>
      <c r="E323" s="1962" t="s">
        <v>1190</v>
      </c>
      <c r="F323" s="1981">
        <v>-575.28355366660003</v>
      </c>
      <c r="G323" s="1981">
        <v>-575.28353366659996</v>
      </c>
      <c r="H323" s="1981">
        <v>-575.28353366659996</v>
      </c>
      <c r="I323" s="1981">
        <v>-575.28353366659996</v>
      </c>
      <c r="J323" s="1981">
        <v>-575.28353366659996</v>
      </c>
      <c r="K323" s="1981">
        <v>-575.28353366659996</v>
      </c>
      <c r="L323" s="1981">
        <v>-575.28353366659996</v>
      </c>
      <c r="M323" s="1981">
        <v>-575.28353366659996</v>
      </c>
      <c r="N323" s="1981">
        <v>-575.28353366659996</v>
      </c>
      <c r="O323" s="1981">
        <v>-575.28353366659996</v>
      </c>
      <c r="P323" s="1981">
        <v>-562.28353366660008</v>
      </c>
      <c r="Q323" s="1981">
        <v>-575.28353366659996</v>
      </c>
      <c r="R323" s="1981">
        <v>-6890.4024239992004</v>
      </c>
      <c r="T323" s="48">
        <f t="shared" si="4"/>
        <v>0</v>
      </c>
      <c r="U323" s="48"/>
    </row>
    <row r="324" spans="2:21">
      <c r="B324" s="33" t="s">
        <v>7541</v>
      </c>
      <c r="C324" t="s">
        <v>8496</v>
      </c>
      <c r="D324" s="1962" t="s">
        <v>1191</v>
      </c>
      <c r="E324" s="1962" t="s">
        <v>1192</v>
      </c>
      <c r="F324" s="1981">
        <v>0</v>
      </c>
      <c r="G324" s="1981">
        <v>0</v>
      </c>
      <c r="H324" s="1981">
        <v>0</v>
      </c>
      <c r="I324" s="1981">
        <v>0</v>
      </c>
      <c r="J324" s="1981">
        <v>0</v>
      </c>
      <c r="K324" s="1981">
        <v>0</v>
      </c>
      <c r="L324" s="1981">
        <v>0</v>
      </c>
      <c r="M324" s="1981">
        <v>0</v>
      </c>
      <c r="N324" s="1981">
        <v>0</v>
      </c>
      <c r="O324" s="1981">
        <v>0</v>
      </c>
      <c r="P324" s="1981">
        <v>0</v>
      </c>
      <c r="Q324" s="1981">
        <v>0</v>
      </c>
      <c r="R324" s="1981">
        <v>0</v>
      </c>
      <c r="T324" s="48">
        <f t="shared" si="4"/>
        <v>0</v>
      </c>
      <c r="U324" s="48"/>
    </row>
    <row r="325" spans="2:21">
      <c r="B325" s="33" t="s">
        <v>7542</v>
      </c>
      <c r="C325" t="s">
        <v>8496</v>
      </c>
      <c r="D325" s="1962" t="s">
        <v>1193</v>
      </c>
      <c r="E325" s="1962" t="s">
        <v>1194</v>
      </c>
      <c r="F325" s="1981">
        <v>0</v>
      </c>
      <c r="G325" s="1981">
        <v>0</v>
      </c>
      <c r="H325" s="1981">
        <v>0</v>
      </c>
      <c r="I325" s="1981">
        <v>0</v>
      </c>
      <c r="J325" s="1981">
        <v>0</v>
      </c>
      <c r="K325" s="1981">
        <v>0</v>
      </c>
      <c r="L325" s="1981">
        <v>0</v>
      </c>
      <c r="M325" s="1981">
        <v>0</v>
      </c>
      <c r="N325" s="1981">
        <v>0</v>
      </c>
      <c r="O325" s="1981">
        <v>0</v>
      </c>
      <c r="P325" s="1981">
        <v>0</v>
      </c>
      <c r="Q325" s="1981">
        <v>0</v>
      </c>
      <c r="R325" s="1981">
        <v>0</v>
      </c>
      <c r="T325" s="48">
        <f t="shared" ref="T325:T388" si="5">IF(R325="","",+R325-SUM(F325:Q325))</f>
        <v>0</v>
      </c>
      <c r="U325" s="48"/>
    </row>
    <row r="326" spans="2:21">
      <c r="B326" s="33" t="s">
        <v>7543</v>
      </c>
      <c r="C326" t="s">
        <v>8496</v>
      </c>
      <c r="D326" s="1962" t="s">
        <v>1195</v>
      </c>
      <c r="E326" s="1962" t="s">
        <v>1196</v>
      </c>
      <c r="F326" s="1981">
        <v>0</v>
      </c>
      <c r="G326" s="1981">
        <v>0</v>
      </c>
      <c r="H326" s="1981">
        <v>0</v>
      </c>
      <c r="I326" s="1981">
        <v>0</v>
      </c>
      <c r="J326" s="1981">
        <v>0</v>
      </c>
      <c r="K326" s="1981">
        <v>0</v>
      </c>
      <c r="L326" s="1981">
        <v>0</v>
      </c>
      <c r="M326" s="1981">
        <v>0</v>
      </c>
      <c r="N326" s="1981">
        <v>0</v>
      </c>
      <c r="O326" s="1981">
        <v>0</v>
      </c>
      <c r="P326" s="1981">
        <v>0</v>
      </c>
      <c r="Q326" s="1981">
        <v>0</v>
      </c>
      <c r="R326" s="1981">
        <v>0</v>
      </c>
      <c r="T326" s="48">
        <f t="shared" si="5"/>
        <v>0</v>
      </c>
      <c r="U326" s="48"/>
    </row>
    <row r="327" spans="2:21">
      <c r="B327" s="33" t="s">
        <v>7544</v>
      </c>
      <c r="C327" t="s">
        <v>8496</v>
      </c>
      <c r="D327" s="1962" t="s">
        <v>1197</v>
      </c>
      <c r="E327" s="1962" t="s">
        <v>1198</v>
      </c>
      <c r="F327" s="1981">
        <v>0</v>
      </c>
      <c r="G327" s="1981">
        <v>0</v>
      </c>
      <c r="H327" s="1981">
        <v>0</v>
      </c>
      <c r="I327" s="1981">
        <v>0</v>
      </c>
      <c r="J327" s="1981">
        <v>0</v>
      </c>
      <c r="K327" s="1981">
        <v>0</v>
      </c>
      <c r="L327" s="1981">
        <v>0</v>
      </c>
      <c r="M327" s="1981">
        <v>0</v>
      </c>
      <c r="N327" s="1981">
        <v>0</v>
      </c>
      <c r="O327" s="1981">
        <v>0</v>
      </c>
      <c r="P327" s="1981">
        <v>0</v>
      </c>
      <c r="Q327" s="1981">
        <v>0</v>
      </c>
      <c r="R327" s="1981">
        <v>0</v>
      </c>
      <c r="T327" s="48">
        <f t="shared" si="5"/>
        <v>0</v>
      </c>
      <c r="U327" s="48"/>
    </row>
    <row r="328" spans="2:21">
      <c r="B328" s="33" t="s">
        <v>7545</v>
      </c>
      <c r="C328" t="s">
        <v>8496</v>
      </c>
      <c r="D328" s="1962" t="s">
        <v>1199</v>
      </c>
      <c r="E328" s="1962" t="s">
        <v>1200</v>
      </c>
      <c r="F328" s="1981">
        <v>0</v>
      </c>
      <c r="G328" s="1981">
        <v>0</v>
      </c>
      <c r="H328" s="1981">
        <v>0</v>
      </c>
      <c r="I328" s="1981">
        <v>0</v>
      </c>
      <c r="J328" s="1981">
        <v>0</v>
      </c>
      <c r="K328" s="1981">
        <v>0</v>
      </c>
      <c r="L328" s="1981">
        <v>0</v>
      </c>
      <c r="M328" s="1981">
        <v>0</v>
      </c>
      <c r="N328" s="1981">
        <v>0</v>
      </c>
      <c r="O328" s="1981">
        <v>0</v>
      </c>
      <c r="P328" s="1981">
        <v>0</v>
      </c>
      <c r="Q328" s="1981">
        <v>0</v>
      </c>
      <c r="R328" s="1981">
        <v>0</v>
      </c>
      <c r="T328" s="48">
        <f t="shared" si="5"/>
        <v>0</v>
      </c>
      <c r="U328" s="48"/>
    </row>
    <row r="329" spans="2:21">
      <c r="B329" s="33" t="s">
        <v>7546</v>
      </c>
      <c r="C329" t="s">
        <v>8496</v>
      </c>
      <c r="D329" s="1962" t="s">
        <v>1201</v>
      </c>
      <c r="E329" s="1962" t="s">
        <v>1202</v>
      </c>
      <c r="F329" s="1981">
        <v>0</v>
      </c>
      <c r="G329" s="1981">
        <v>0</v>
      </c>
      <c r="H329" s="1981">
        <v>0</v>
      </c>
      <c r="I329" s="1981">
        <v>0</v>
      </c>
      <c r="J329" s="1981">
        <v>0</v>
      </c>
      <c r="K329" s="1981">
        <v>0</v>
      </c>
      <c r="L329" s="1981">
        <v>0</v>
      </c>
      <c r="M329" s="1981">
        <v>0</v>
      </c>
      <c r="N329" s="1981">
        <v>0</v>
      </c>
      <c r="O329" s="1981">
        <v>0</v>
      </c>
      <c r="P329" s="1981">
        <v>0</v>
      </c>
      <c r="Q329" s="1981">
        <v>0</v>
      </c>
      <c r="R329" s="1981">
        <v>0</v>
      </c>
      <c r="T329" s="48">
        <f t="shared" si="5"/>
        <v>0</v>
      </c>
      <c r="U329" s="48"/>
    </row>
    <row r="330" spans="2:21">
      <c r="B330" s="33" t="s">
        <v>7547</v>
      </c>
      <c r="C330" t="s">
        <v>8496</v>
      </c>
      <c r="D330" s="1962" t="s">
        <v>1203</v>
      </c>
      <c r="E330" s="1962" t="s">
        <v>1204</v>
      </c>
      <c r="F330" s="1981">
        <v>0</v>
      </c>
      <c r="G330" s="1981">
        <v>0</v>
      </c>
      <c r="H330" s="1981">
        <v>0</v>
      </c>
      <c r="I330" s="1981">
        <v>0</v>
      </c>
      <c r="J330" s="1981">
        <v>0</v>
      </c>
      <c r="K330" s="1981">
        <v>0</v>
      </c>
      <c r="L330" s="1981">
        <v>0</v>
      </c>
      <c r="M330" s="1981">
        <v>0</v>
      </c>
      <c r="N330" s="1981">
        <v>0</v>
      </c>
      <c r="O330" s="1981">
        <v>0</v>
      </c>
      <c r="P330" s="1981">
        <v>0</v>
      </c>
      <c r="Q330" s="1981">
        <v>0</v>
      </c>
      <c r="R330" s="1981">
        <v>0</v>
      </c>
      <c r="T330" s="48">
        <f t="shared" si="5"/>
        <v>0</v>
      </c>
      <c r="U330" s="48"/>
    </row>
    <row r="331" spans="2:21">
      <c r="B331" s="33" t="s">
        <v>7548</v>
      </c>
      <c r="C331" t="s">
        <v>8496</v>
      </c>
      <c r="D331" s="1962" t="s">
        <v>1205</v>
      </c>
      <c r="E331" s="1962" t="s">
        <v>1206</v>
      </c>
      <c r="F331" s="1981">
        <v>3237.6124300000001</v>
      </c>
      <c r="G331" s="1981">
        <v>3236.9219600000001</v>
      </c>
      <c r="H331" s="1981">
        <v>3239.2346499999999</v>
      </c>
      <c r="I331" s="1981">
        <v>3252.1556800000003</v>
      </c>
      <c r="J331" s="1981">
        <v>3254.7925099999998</v>
      </c>
      <c r="K331" s="1981">
        <v>3255.8511800000001</v>
      </c>
      <c r="L331" s="1981">
        <v>3257.2317499999999</v>
      </c>
      <c r="M331" s="1981">
        <v>3257.1072799999997</v>
      </c>
      <c r="N331" s="1981">
        <v>3256.19175</v>
      </c>
      <c r="O331" s="1981">
        <v>3392.1799100000003</v>
      </c>
      <c r="P331" s="1981">
        <v>3568.9795600000002</v>
      </c>
      <c r="Q331" s="1981">
        <v>3583.2738100000001</v>
      </c>
      <c r="R331" s="1981">
        <v>39791.532469999998</v>
      </c>
      <c r="T331" s="48">
        <f t="shared" si="5"/>
        <v>0</v>
      </c>
      <c r="U331" s="48"/>
    </row>
    <row r="332" spans="2:21">
      <c r="B332" s="33" t="s">
        <v>7549</v>
      </c>
      <c r="C332" t="s">
        <v>8496</v>
      </c>
      <c r="D332" s="1962" t="s">
        <v>1207</v>
      </c>
      <c r="E332" s="1962" t="s">
        <v>1208</v>
      </c>
      <c r="F332" s="1981">
        <v>15.47911</v>
      </c>
      <c r="G332" s="1981">
        <v>15.47911</v>
      </c>
      <c r="H332" s="1981">
        <v>15.47911</v>
      </c>
      <c r="I332" s="1981">
        <v>15.47911</v>
      </c>
      <c r="J332" s="1981">
        <v>15.47911</v>
      </c>
      <c r="K332" s="1981">
        <v>15.47911</v>
      </c>
      <c r="L332" s="1981">
        <v>15.47911</v>
      </c>
      <c r="M332" s="1981">
        <v>15.47911</v>
      </c>
      <c r="N332" s="1981">
        <v>15.47911</v>
      </c>
      <c r="O332" s="1981">
        <v>15.47911</v>
      </c>
      <c r="P332" s="1981">
        <v>15.47911</v>
      </c>
      <c r="Q332" s="1981">
        <v>15.47911</v>
      </c>
      <c r="R332" s="1981">
        <v>185.74931999999998</v>
      </c>
      <c r="T332" s="48">
        <f t="shared" si="5"/>
        <v>0</v>
      </c>
      <c r="U332" s="48"/>
    </row>
    <row r="333" spans="2:21">
      <c r="B333" s="33" t="s">
        <v>7550</v>
      </c>
      <c r="C333" t="s">
        <v>8496</v>
      </c>
      <c r="D333" s="1962" t="s">
        <v>1209</v>
      </c>
      <c r="E333" s="1962" t="s">
        <v>1210</v>
      </c>
      <c r="F333" s="1981">
        <v>4.2466200000000001</v>
      </c>
      <c r="G333" s="1981">
        <v>4.2466200000000001</v>
      </c>
      <c r="H333" s="1981">
        <v>4.2466200000000001</v>
      </c>
      <c r="I333" s="1981">
        <v>4.2466200000000001</v>
      </c>
      <c r="J333" s="1981">
        <v>4.2466200000000001</v>
      </c>
      <c r="K333" s="1981">
        <v>4.2466200000000001</v>
      </c>
      <c r="L333" s="1981">
        <v>4.2466200000000001</v>
      </c>
      <c r="M333" s="1981">
        <v>4.2466200000000001</v>
      </c>
      <c r="N333" s="1981">
        <v>4.2466200000000001</v>
      </c>
      <c r="O333" s="1981">
        <v>4.2466200000000001</v>
      </c>
      <c r="P333" s="1981">
        <v>4.2466200000000001</v>
      </c>
      <c r="Q333" s="1981">
        <v>4.2466200000000001</v>
      </c>
      <c r="R333" s="1981">
        <v>50.959440000000001</v>
      </c>
      <c r="T333" s="48">
        <f t="shared" si="5"/>
        <v>0</v>
      </c>
      <c r="U333" s="48"/>
    </row>
    <row r="334" spans="2:21">
      <c r="B334" s="33" t="s">
        <v>7551</v>
      </c>
      <c r="C334" t="s">
        <v>8496</v>
      </c>
      <c r="D334" s="1962" t="s">
        <v>1211</v>
      </c>
      <c r="E334" s="1962" t="s">
        <v>1212</v>
      </c>
      <c r="F334" s="1981">
        <v>37.826326414900002</v>
      </c>
      <c r="G334" s="1981">
        <v>37.826326414900002</v>
      </c>
      <c r="H334" s="1981">
        <v>37.826326414900002</v>
      </c>
      <c r="I334" s="1981">
        <v>37.826326414900002</v>
      </c>
      <c r="J334" s="1981">
        <v>37.826326414900002</v>
      </c>
      <c r="K334" s="1981">
        <v>37.826326414900002</v>
      </c>
      <c r="L334" s="1981">
        <v>37.826326414900002</v>
      </c>
      <c r="M334" s="1981">
        <v>37.826326414900002</v>
      </c>
      <c r="N334" s="1981">
        <v>37.826326414900002</v>
      </c>
      <c r="O334" s="1981">
        <v>37.826326414900002</v>
      </c>
      <c r="P334" s="1981">
        <v>37.826326414900002</v>
      </c>
      <c r="Q334" s="1981">
        <v>37.826326414900002</v>
      </c>
      <c r="R334" s="1981">
        <v>453.9159169788</v>
      </c>
      <c r="T334" s="48">
        <f t="shared" si="5"/>
        <v>0</v>
      </c>
      <c r="U334" s="48"/>
    </row>
    <row r="335" spans="2:21">
      <c r="B335" s="33" t="s">
        <v>7552</v>
      </c>
      <c r="C335" t="s">
        <v>8496</v>
      </c>
      <c r="D335" s="1962" t="s">
        <v>1213</v>
      </c>
      <c r="E335" s="1962" t="s">
        <v>1214</v>
      </c>
      <c r="F335" s="1981">
        <v>37713.725600000005</v>
      </c>
      <c r="G335" s="1981">
        <v>37743.318579999999</v>
      </c>
      <c r="H335" s="1981">
        <v>38176.62846</v>
      </c>
      <c r="I335" s="1981">
        <v>38308.313170000001</v>
      </c>
      <c r="J335" s="1981">
        <v>39282.773939999999</v>
      </c>
      <c r="K335" s="1981">
        <v>39917.359070000006</v>
      </c>
      <c r="L335" s="1981">
        <v>40551.366650000004</v>
      </c>
      <c r="M335" s="1981">
        <v>40747.907720000003</v>
      </c>
      <c r="N335" s="1981">
        <v>40902.442130000003</v>
      </c>
      <c r="O335" s="1981">
        <v>41007.509610000001</v>
      </c>
      <c r="P335" s="1981">
        <v>41100.016049999998</v>
      </c>
      <c r="Q335" s="1981">
        <v>41188.917730000001</v>
      </c>
      <c r="R335" s="1981">
        <v>476640.27870999998</v>
      </c>
      <c r="T335" s="48">
        <f t="shared" si="5"/>
        <v>0</v>
      </c>
      <c r="U335" s="48"/>
    </row>
    <row r="336" spans="2:21">
      <c r="B336" s="33" t="s">
        <v>7553</v>
      </c>
      <c r="C336" t="s">
        <v>8496</v>
      </c>
      <c r="D336" s="1962" t="s">
        <v>1215</v>
      </c>
      <c r="E336" s="1962" t="s">
        <v>1216</v>
      </c>
      <c r="F336" s="1981">
        <v>96.541499999999985</v>
      </c>
      <c r="G336" s="1981">
        <v>97.101689999999991</v>
      </c>
      <c r="H336" s="1981">
        <v>97.695299999999989</v>
      </c>
      <c r="I336" s="1981">
        <v>98.280349999999999</v>
      </c>
      <c r="J336" s="1981">
        <v>98.868469999999988</v>
      </c>
      <c r="K336" s="1981">
        <v>99.372700000000009</v>
      </c>
      <c r="L336" s="1981">
        <v>99.924939999999992</v>
      </c>
      <c r="M336" s="1981">
        <v>99.868369999999999</v>
      </c>
      <c r="N336" s="1981">
        <v>100.08817000000001</v>
      </c>
      <c r="O336" s="1981">
        <v>100.56323999999999</v>
      </c>
      <c r="P336" s="1981">
        <v>100.88815</v>
      </c>
      <c r="Q336" s="1981">
        <v>101.5675</v>
      </c>
      <c r="R336" s="1981">
        <v>1190.7603800000002</v>
      </c>
      <c r="T336" s="48">
        <f t="shared" si="5"/>
        <v>0</v>
      </c>
      <c r="U336" s="48"/>
    </row>
    <row r="337" spans="2:21">
      <c r="B337" s="33" t="s">
        <v>7554</v>
      </c>
      <c r="C337" t="s">
        <v>8496</v>
      </c>
      <c r="D337" s="1962" t="s">
        <v>1217</v>
      </c>
      <c r="E337" s="1962" t="s">
        <v>1218</v>
      </c>
      <c r="F337" s="1981">
        <v>957.03499999999997</v>
      </c>
      <c r="G337" s="1981">
        <v>957.03499999999997</v>
      </c>
      <c r="H337" s="1981">
        <v>957.03499999999997</v>
      </c>
      <c r="I337" s="1981">
        <v>957.03499999999997</v>
      </c>
      <c r="J337" s="1981">
        <v>957.03499999999997</v>
      </c>
      <c r="K337" s="1981">
        <v>957.03499999999997</v>
      </c>
      <c r="L337" s="1981">
        <v>957.03499999999997</v>
      </c>
      <c r="M337" s="1981">
        <v>956.80583000000001</v>
      </c>
      <c r="N337" s="1981">
        <v>956.61800000000005</v>
      </c>
      <c r="O337" s="1981">
        <v>960.11400000000003</v>
      </c>
      <c r="P337" s="1981">
        <v>960.11400000000003</v>
      </c>
      <c r="Q337" s="1981">
        <v>960.11400000000003</v>
      </c>
      <c r="R337" s="1981">
        <v>11493.010829999999</v>
      </c>
      <c r="T337" s="48">
        <f t="shared" si="5"/>
        <v>0</v>
      </c>
      <c r="U337" s="48"/>
    </row>
    <row r="338" spans="2:21">
      <c r="B338" s="33" t="s">
        <v>7555</v>
      </c>
      <c r="C338" t="s">
        <v>8496</v>
      </c>
      <c r="D338" s="1962" t="s">
        <v>1219</v>
      </c>
      <c r="E338" s="1962" t="s">
        <v>1220</v>
      </c>
      <c r="F338" s="1981">
        <v>1453.5326699999998</v>
      </c>
      <c r="G338" s="1981">
        <v>1453.5326699999998</v>
      </c>
      <c r="H338" s="1981">
        <v>1453.5326699999998</v>
      </c>
      <c r="I338" s="1981">
        <v>1453.5326699999998</v>
      </c>
      <c r="J338" s="1981">
        <v>1453.5326699999998</v>
      </c>
      <c r="K338" s="1981">
        <v>1453.5326699999998</v>
      </c>
      <c r="L338" s="1981">
        <v>1453.5326699999998</v>
      </c>
      <c r="M338" s="1981">
        <v>1453.5326699999998</v>
      </c>
      <c r="N338" s="1981">
        <v>1453.5326699999998</v>
      </c>
      <c r="O338" s="1981">
        <v>1453.5326699999998</v>
      </c>
      <c r="P338" s="1981">
        <v>1453.5326699999998</v>
      </c>
      <c r="Q338" s="1981">
        <v>1453.5326699999998</v>
      </c>
      <c r="R338" s="1981">
        <v>17442.392040000002</v>
      </c>
      <c r="T338" s="48">
        <f t="shared" si="5"/>
        <v>0</v>
      </c>
      <c r="U338" s="48"/>
    </row>
    <row r="339" spans="2:21">
      <c r="B339" s="33" t="s">
        <v>7556</v>
      </c>
      <c r="C339" t="s">
        <v>8496</v>
      </c>
      <c r="D339" s="1962" t="s">
        <v>1221</v>
      </c>
      <c r="E339" s="1962" t="s">
        <v>7557</v>
      </c>
      <c r="F339" s="1981">
        <v>1294.7454240786001</v>
      </c>
      <c r="G339" s="1981">
        <v>1339.1371729093</v>
      </c>
      <c r="H339" s="1981">
        <v>1384.6236603232001</v>
      </c>
      <c r="I339" s="1981">
        <v>1438.6213583996</v>
      </c>
      <c r="J339" s="1981">
        <v>1487.8945003622</v>
      </c>
      <c r="K339" s="1981">
        <v>1525.0009171136001</v>
      </c>
      <c r="L339" s="1981">
        <v>1572.3184901098</v>
      </c>
      <c r="M339" s="1981">
        <v>1616.101516036</v>
      </c>
      <c r="N339" s="1981">
        <v>1659.6354105457001</v>
      </c>
      <c r="O339" s="1981">
        <v>1704.7988179596</v>
      </c>
      <c r="P339" s="1981">
        <v>1744.1373853734999</v>
      </c>
      <c r="Q339" s="1981">
        <v>1791.2744634498999</v>
      </c>
      <c r="R339" s="1981">
        <v>18558.289116660999</v>
      </c>
      <c r="T339" s="48">
        <f t="shared" si="5"/>
        <v>0</v>
      </c>
      <c r="U339" s="48"/>
    </row>
    <row r="340" spans="2:21">
      <c r="B340" s="33" t="s">
        <v>7558</v>
      </c>
      <c r="C340" t="s">
        <v>8496</v>
      </c>
      <c r="D340" s="1962" t="s">
        <v>1222</v>
      </c>
      <c r="E340" s="1962" t="s">
        <v>1223</v>
      </c>
      <c r="F340" s="1981">
        <v>69.808999999999997</v>
      </c>
      <c r="G340" s="1981">
        <v>69.808999999999997</v>
      </c>
      <c r="H340" s="1981">
        <v>69.808999999999997</v>
      </c>
      <c r="I340" s="1981">
        <v>69.808999999999997</v>
      </c>
      <c r="J340" s="1981">
        <v>69.808999999999997</v>
      </c>
      <c r="K340" s="1981">
        <v>69.808999999999997</v>
      </c>
      <c r="L340" s="1981">
        <v>69.808999999999997</v>
      </c>
      <c r="M340" s="1981">
        <v>69.808999999999997</v>
      </c>
      <c r="N340" s="1981">
        <v>69.808999999999997</v>
      </c>
      <c r="O340" s="1981">
        <v>69.808999999999997</v>
      </c>
      <c r="P340" s="1981">
        <v>69.808999999999997</v>
      </c>
      <c r="Q340" s="1981">
        <v>69.808999999999997</v>
      </c>
      <c r="R340" s="1981">
        <v>837.70799999999974</v>
      </c>
      <c r="T340" s="48">
        <f t="shared" si="5"/>
        <v>0</v>
      </c>
      <c r="U340" s="48"/>
    </row>
    <row r="341" spans="2:21">
      <c r="B341" s="33" t="s">
        <v>7559</v>
      </c>
      <c r="C341" t="s">
        <v>8496</v>
      </c>
      <c r="D341" s="1962" t="s">
        <v>1224</v>
      </c>
      <c r="E341" s="1962" t="s">
        <v>1225</v>
      </c>
      <c r="F341" s="1981">
        <v>4481.4595605683999</v>
      </c>
      <c r="G341" s="1981">
        <v>4198.4592116328004</v>
      </c>
      <c r="H341" s="1981">
        <v>4091.3259603840002</v>
      </c>
      <c r="I341" s="1981">
        <v>4296.5939251164</v>
      </c>
      <c r="J341" s="1981">
        <v>4716.5765708892004</v>
      </c>
      <c r="K341" s="1981">
        <v>5400.0898853328008</v>
      </c>
      <c r="L341" s="1981">
        <v>5662.819773786</v>
      </c>
      <c r="M341" s="1981">
        <v>5629.5263755992</v>
      </c>
      <c r="N341" s="1981">
        <v>5762.2197652200002</v>
      </c>
      <c r="O341" s="1981">
        <v>5208.6924721619998</v>
      </c>
      <c r="P341" s="1981">
        <v>4515.5968313772</v>
      </c>
      <c r="Q341" s="1981">
        <v>4299.4508745600006</v>
      </c>
      <c r="R341" s="1981">
        <v>58262.811206628001</v>
      </c>
      <c r="T341" s="48">
        <f t="shared" si="5"/>
        <v>0</v>
      </c>
      <c r="U341" s="48"/>
    </row>
    <row r="342" spans="2:21">
      <c r="B342" s="33" t="s">
        <v>7560</v>
      </c>
      <c r="C342" t="s">
        <v>8496</v>
      </c>
      <c r="D342" s="1962" t="s">
        <v>1226</v>
      </c>
      <c r="E342" s="1962" t="s">
        <v>1227</v>
      </c>
      <c r="F342" s="1981">
        <v>4711.3015182499994</v>
      </c>
      <c r="G342" s="1981">
        <v>4371.8925765000004</v>
      </c>
      <c r="H342" s="1981">
        <v>4229.5951500000001</v>
      </c>
      <c r="I342" s="1981">
        <v>4451.4422507499994</v>
      </c>
      <c r="J342" s="1981">
        <v>4942.0127847499998</v>
      </c>
      <c r="K342" s="1981">
        <v>5741.3120990000007</v>
      </c>
      <c r="L342" s="1981">
        <v>6056.0920512499997</v>
      </c>
      <c r="M342" s="1981">
        <v>6011.4461835000002</v>
      </c>
      <c r="N342" s="1981">
        <v>6170.1132525000003</v>
      </c>
      <c r="O342" s="1981">
        <v>5507.4650062499995</v>
      </c>
      <c r="P342" s="1981">
        <v>4696.9953497500001</v>
      </c>
      <c r="Q342" s="1981">
        <v>4467.3669</v>
      </c>
      <c r="R342" s="1981">
        <v>61357.035122500005</v>
      </c>
      <c r="T342" s="48">
        <f t="shared" si="5"/>
        <v>0</v>
      </c>
      <c r="U342" s="48"/>
    </row>
    <row r="343" spans="2:21">
      <c r="B343" s="33" t="s">
        <v>7561</v>
      </c>
      <c r="C343" t="s">
        <v>8496</v>
      </c>
      <c r="D343" s="1962" t="s">
        <v>1228</v>
      </c>
      <c r="E343" s="1962" t="s">
        <v>1229</v>
      </c>
      <c r="F343" s="1981">
        <v>1273.0616519618</v>
      </c>
      <c r="G343" s="1981">
        <v>1163.5823462828</v>
      </c>
      <c r="H343" s="1981">
        <v>1171.9056012357998</v>
      </c>
      <c r="I343" s="1981">
        <v>1243.6550964987</v>
      </c>
      <c r="J343" s="1981">
        <v>1288.3686438116001</v>
      </c>
      <c r="K343" s="1981">
        <v>1123.0904361058999</v>
      </c>
      <c r="L343" s="1981">
        <v>1298.922194988</v>
      </c>
      <c r="M343" s="1981">
        <v>1240.7415587357</v>
      </c>
      <c r="N343" s="1981">
        <v>1182.944256643</v>
      </c>
      <c r="O343" s="1981">
        <v>1309.7299195055998</v>
      </c>
      <c r="P343" s="1981">
        <v>1191.5428282983</v>
      </c>
      <c r="Q343" s="1981">
        <v>1248.4435795175</v>
      </c>
      <c r="R343" s="1981">
        <v>14735.988113584699</v>
      </c>
      <c r="T343" s="48">
        <f t="shared" si="5"/>
        <v>0</v>
      </c>
      <c r="U343" s="48"/>
    </row>
    <row r="344" spans="2:21">
      <c r="B344" s="33" t="s">
        <v>8711</v>
      </c>
      <c r="C344" t="s">
        <v>8496</v>
      </c>
      <c r="D344" s="1962" t="s">
        <v>8712</v>
      </c>
      <c r="E344" s="1962" t="s">
        <v>8713</v>
      </c>
      <c r="F344" s="1981">
        <v>188.042</v>
      </c>
      <c r="G344" s="1981">
        <v>188.042</v>
      </c>
      <c r="H344" s="1981">
        <v>324.55</v>
      </c>
      <c r="I344" s="1981">
        <v>188.042</v>
      </c>
      <c r="J344" s="1981">
        <v>188.042</v>
      </c>
      <c r="K344" s="1981">
        <v>324.55</v>
      </c>
      <c r="L344" s="1981">
        <v>188.042</v>
      </c>
      <c r="M344" s="1981">
        <v>188.042</v>
      </c>
      <c r="N344" s="1981">
        <v>324.55</v>
      </c>
      <c r="O344" s="1981">
        <v>188.042</v>
      </c>
      <c r="P344" s="1981">
        <v>188.042</v>
      </c>
      <c r="Q344" s="1981">
        <v>324.55</v>
      </c>
      <c r="R344" s="1981">
        <v>2802.5360000000001</v>
      </c>
      <c r="T344" s="48">
        <f t="shared" si="5"/>
        <v>0</v>
      </c>
      <c r="U344" s="48"/>
    </row>
    <row r="345" spans="2:21">
      <c r="B345" s="33" t="s">
        <v>7562</v>
      </c>
      <c r="C345" t="s">
        <v>8496</v>
      </c>
      <c r="D345" s="1962" t="s">
        <v>7563</v>
      </c>
      <c r="E345" s="1962" t="s">
        <v>7564</v>
      </c>
      <c r="F345" s="1981">
        <v>473.05564447659992</v>
      </c>
      <c r="G345" s="1981">
        <v>456.90950924110007</v>
      </c>
      <c r="H345" s="1981">
        <v>274.93912618449997</v>
      </c>
      <c r="I345" s="1981">
        <v>408.72190311600002</v>
      </c>
      <c r="J345" s="1981">
        <v>1106.5069155000001</v>
      </c>
      <c r="K345" s="1981">
        <v>275.45091525219999</v>
      </c>
      <c r="L345" s="1981">
        <v>358.95007545329997</v>
      </c>
      <c r="M345" s="1981">
        <v>220.5979341222</v>
      </c>
      <c r="N345" s="1981">
        <v>299.77278976230002</v>
      </c>
      <c r="O345" s="1981">
        <v>1366.8997832144</v>
      </c>
      <c r="P345" s="1981">
        <v>-274.88118705310006</v>
      </c>
      <c r="Q345" s="1981">
        <v>275.99979296229992</v>
      </c>
      <c r="R345" s="1981">
        <v>5242.9232022318001</v>
      </c>
      <c r="T345" s="48">
        <f t="shared" si="5"/>
        <v>0</v>
      </c>
      <c r="U345" s="48"/>
    </row>
    <row r="346" spans="2:21">
      <c r="B346" s="33" t="s">
        <v>7565</v>
      </c>
      <c r="C346" t="s">
        <v>8496</v>
      </c>
      <c r="D346" s="1962" t="s">
        <v>1230</v>
      </c>
      <c r="E346" s="1962" t="s">
        <v>1231</v>
      </c>
      <c r="F346" s="1981">
        <v>7557.2370000000001</v>
      </c>
      <c r="G346" s="1981">
        <v>7557.2370000000001</v>
      </c>
      <c r="H346" s="1981">
        <v>7557.2370000000001</v>
      </c>
      <c r="I346" s="1981">
        <v>7557.2370000000001</v>
      </c>
      <c r="J346" s="1981">
        <v>7557.2370000000001</v>
      </c>
      <c r="K346" s="1981">
        <v>7557.2370000000001</v>
      </c>
      <c r="L346" s="1981">
        <v>7557.2370000000001</v>
      </c>
      <c r="M346" s="1981">
        <v>7557.2370000000001</v>
      </c>
      <c r="N346" s="1981">
        <v>7557.2370000000001</v>
      </c>
      <c r="O346" s="1981">
        <v>7557.2370000000001</v>
      </c>
      <c r="P346" s="1981">
        <v>7557.2370000000001</v>
      </c>
      <c r="Q346" s="1981">
        <v>7557.2370000000001</v>
      </c>
      <c r="R346" s="1981">
        <v>90686.843999999983</v>
      </c>
      <c r="T346" s="48">
        <f t="shared" si="5"/>
        <v>0</v>
      </c>
      <c r="U346" s="48"/>
    </row>
    <row r="347" spans="2:21">
      <c r="B347" s="33" t="s">
        <v>8714</v>
      </c>
      <c r="C347" t="s">
        <v>8496</v>
      </c>
      <c r="D347" s="1962" t="s">
        <v>8715</v>
      </c>
      <c r="E347" s="1962" t="s">
        <v>8716</v>
      </c>
      <c r="F347" s="1981">
        <v>0</v>
      </c>
      <c r="G347" s="1981">
        <v>0</v>
      </c>
      <c r="H347" s="1981">
        <v>0</v>
      </c>
      <c r="I347" s="1981">
        <v>0</v>
      </c>
      <c r="J347" s="1981">
        <v>0</v>
      </c>
      <c r="K347" s="1981">
        <v>0</v>
      </c>
      <c r="L347" s="1981">
        <v>0</v>
      </c>
      <c r="M347" s="1981">
        <v>0</v>
      </c>
      <c r="N347" s="1981">
        <v>0</v>
      </c>
      <c r="O347" s="1981">
        <v>0</v>
      </c>
      <c r="P347" s="1981">
        <v>0</v>
      </c>
      <c r="Q347" s="1981">
        <v>0</v>
      </c>
      <c r="R347" s="1981">
        <v>0</v>
      </c>
      <c r="T347" s="48">
        <f t="shared" si="5"/>
        <v>0</v>
      </c>
      <c r="U347" s="48"/>
    </row>
    <row r="348" spans="2:21">
      <c r="B348" s="33" t="s">
        <v>7566</v>
      </c>
      <c r="C348" t="s">
        <v>8496</v>
      </c>
      <c r="D348" s="1962" t="s">
        <v>1232</v>
      </c>
      <c r="E348" s="1962" t="s">
        <v>1233</v>
      </c>
      <c r="F348" s="1981">
        <v>10</v>
      </c>
      <c r="G348" s="1981">
        <v>10</v>
      </c>
      <c r="H348" s="1981">
        <v>10</v>
      </c>
      <c r="I348" s="1981">
        <v>10</v>
      </c>
      <c r="J348" s="1981">
        <v>10</v>
      </c>
      <c r="K348" s="1981">
        <v>10</v>
      </c>
      <c r="L348" s="1981">
        <v>10</v>
      </c>
      <c r="M348" s="1981">
        <v>10</v>
      </c>
      <c r="N348" s="1981">
        <v>10</v>
      </c>
      <c r="O348" s="1981">
        <v>10</v>
      </c>
      <c r="P348" s="1981">
        <v>10</v>
      </c>
      <c r="Q348" s="1981">
        <v>10</v>
      </c>
      <c r="R348" s="1981">
        <v>120</v>
      </c>
      <c r="T348" s="48">
        <f t="shared" si="5"/>
        <v>0</v>
      </c>
      <c r="U348" s="48"/>
    </row>
    <row r="349" spans="2:21">
      <c r="B349" s="33" t="s">
        <v>7567</v>
      </c>
      <c r="C349" t="s">
        <v>8496</v>
      </c>
      <c r="D349" s="1962" t="s">
        <v>1234</v>
      </c>
      <c r="E349" s="1962" t="s">
        <v>1235</v>
      </c>
      <c r="F349" s="1981">
        <v>140.48683421039999</v>
      </c>
      <c r="G349" s="1981">
        <v>130.7102930568</v>
      </c>
      <c r="H349" s="1981">
        <v>126.6430396536</v>
      </c>
      <c r="I349" s="1981">
        <v>133.07814374399999</v>
      </c>
      <c r="J349" s="1981">
        <v>147.19671824399998</v>
      </c>
      <c r="K349" s="1981">
        <v>170.2463437872</v>
      </c>
      <c r="L349" s="1981">
        <v>179.31000651119999</v>
      </c>
      <c r="M349" s="1981">
        <v>178.02891473759999</v>
      </c>
      <c r="N349" s="1981">
        <v>182.57755885199998</v>
      </c>
      <c r="O349" s="1981">
        <v>163.52555540400002</v>
      </c>
      <c r="P349" s="1981">
        <v>140.162838048</v>
      </c>
      <c r="Q349" s="1981">
        <v>133.5797528256</v>
      </c>
      <c r="R349" s="1981">
        <v>1825.5459990743998</v>
      </c>
      <c r="T349" s="48">
        <f t="shared" si="5"/>
        <v>0</v>
      </c>
      <c r="U349" s="48"/>
    </row>
    <row r="350" spans="2:21">
      <c r="B350" s="33" t="s">
        <v>7568</v>
      </c>
      <c r="C350" t="s">
        <v>8496</v>
      </c>
      <c r="D350" s="1962" t="s">
        <v>1236</v>
      </c>
      <c r="E350" s="1962" t="s">
        <v>1237</v>
      </c>
      <c r="F350" s="1981">
        <v>17</v>
      </c>
      <c r="G350" s="1981">
        <v>17</v>
      </c>
      <c r="H350" s="1981">
        <v>17</v>
      </c>
      <c r="I350" s="1981">
        <v>17</v>
      </c>
      <c r="J350" s="1981">
        <v>17</v>
      </c>
      <c r="K350" s="1981">
        <v>17</v>
      </c>
      <c r="L350" s="1981">
        <v>17</v>
      </c>
      <c r="M350" s="1981">
        <v>17</v>
      </c>
      <c r="N350" s="1981">
        <v>17</v>
      </c>
      <c r="O350" s="1981">
        <v>17</v>
      </c>
      <c r="P350" s="1981">
        <v>17</v>
      </c>
      <c r="Q350" s="1981">
        <v>17</v>
      </c>
      <c r="R350" s="1981">
        <v>204</v>
      </c>
      <c r="T350" s="48">
        <f t="shared" si="5"/>
        <v>0</v>
      </c>
      <c r="U350" s="48"/>
    </row>
    <row r="351" spans="2:21">
      <c r="B351" s="33" t="s">
        <v>7569</v>
      </c>
      <c r="C351" t="s">
        <v>8496</v>
      </c>
      <c r="D351" s="1962" t="s">
        <v>1238</v>
      </c>
      <c r="E351" s="1962" t="s">
        <v>1239</v>
      </c>
      <c r="F351" s="1981">
        <v>0</v>
      </c>
      <c r="G351" s="1981">
        <v>2</v>
      </c>
      <c r="H351" s="1981">
        <v>0</v>
      </c>
      <c r="I351" s="1981">
        <v>0</v>
      </c>
      <c r="J351" s="1981">
        <v>0</v>
      </c>
      <c r="K351" s="1981">
        <v>0</v>
      </c>
      <c r="L351" s="1981">
        <v>0</v>
      </c>
      <c r="M351" s="1981">
        <v>0</v>
      </c>
      <c r="N351" s="1981">
        <v>0</v>
      </c>
      <c r="O351" s="1981">
        <v>0</v>
      </c>
      <c r="P351" s="1981">
        <v>0</v>
      </c>
      <c r="Q351" s="1981">
        <v>0</v>
      </c>
      <c r="R351" s="1981">
        <v>2</v>
      </c>
      <c r="T351" s="48">
        <f t="shared" si="5"/>
        <v>0</v>
      </c>
      <c r="U351" s="48"/>
    </row>
    <row r="352" spans="2:21">
      <c r="B352" s="33" t="s">
        <v>7570</v>
      </c>
      <c r="C352" t="s">
        <v>8496</v>
      </c>
      <c r="D352" s="1962" t="s">
        <v>1240</v>
      </c>
      <c r="E352" s="1962" t="s">
        <v>1241</v>
      </c>
      <c r="F352" s="1981">
        <v>1</v>
      </c>
      <c r="G352" s="1981">
        <v>0</v>
      </c>
      <c r="H352" s="1981">
        <v>0</v>
      </c>
      <c r="I352" s="1981">
        <v>0</v>
      </c>
      <c r="J352" s="1981">
        <v>0</v>
      </c>
      <c r="K352" s="1981">
        <v>0</v>
      </c>
      <c r="L352" s="1981">
        <v>36</v>
      </c>
      <c r="M352" s="1981">
        <v>13</v>
      </c>
      <c r="N352" s="1981">
        <v>0</v>
      </c>
      <c r="O352" s="1981">
        <v>0</v>
      </c>
      <c r="P352" s="1981">
        <v>1</v>
      </c>
      <c r="Q352" s="1981">
        <v>0</v>
      </c>
      <c r="R352" s="1981">
        <v>51</v>
      </c>
      <c r="T352" s="48">
        <f t="shared" si="5"/>
        <v>0</v>
      </c>
      <c r="U352" s="48"/>
    </row>
    <row r="353" spans="2:21">
      <c r="B353" s="33" t="s">
        <v>7571</v>
      </c>
      <c r="C353" t="s">
        <v>8496</v>
      </c>
      <c r="D353" s="1962" t="s">
        <v>1242</v>
      </c>
      <c r="E353" s="1962" t="s">
        <v>1243</v>
      </c>
      <c r="F353" s="1981">
        <v>0</v>
      </c>
      <c r="G353" s="1981">
        <v>0</v>
      </c>
      <c r="H353" s="1981">
        <v>0</v>
      </c>
      <c r="I353" s="1981">
        <v>0</v>
      </c>
      <c r="J353" s="1981">
        <v>0</v>
      </c>
      <c r="K353" s="1981">
        <v>0</v>
      </c>
      <c r="L353" s="1981">
        <v>0</v>
      </c>
      <c r="M353" s="1981">
        <v>0</v>
      </c>
      <c r="N353" s="1981">
        <v>12</v>
      </c>
      <c r="O353" s="1981">
        <v>0</v>
      </c>
      <c r="P353" s="1981">
        <v>0</v>
      </c>
      <c r="Q353" s="1981">
        <v>0</v>
      </c>
      <c r="R353" s="1981">
        <v>12</v>
      </c>
      <c r="T353" s="48">
        <f t="shared" si="5"/>
        <v>0</v>
      </c>
      <c r="U353" s="48"/>
    </row>
    <row r="354" spans="2:21">
      <c r="B354" s="33" t="s">
        <v>7572</v>
      </c>
      <c r="C354" t="s">
        <v>8496</v>
      </c>
      <c r="D354" s="1962" t="s">
        <v>1244</v>
      </c>
      <c r="E354" s="1962" t="s">
        <v>1245</v>
      </c>
      <c r="F354" s="1981">
        <v>-557.88969095850007</v>
      </c>
      <c r="G354" s="1981">
        <v>-519.55521273710008</v>
      </c>
      <c r="H354" s="1981">
        <v>-446.13576818600001</v>
      </c>
      <c r="I354" s="1981">
        <v>-529.15954696119991</v>
      </c>
      <c r="J354" s="1981">
        <v>-779.61732015339999</v>
      </c>
      <c r="K354" s="1981">
        <v>-433.68366525299996</v>
      </c>
      <c r="L354" s="1981">
        <v>-533.29938069589991</v>
      </c>
      <c r="M354" s="1981">
        <v>-469.4676038778</v>
      </c>
      <c r="N354" s="1981">
        <v>-481.20256295820002</v>
      </c>
      <c r="O354" s="1981">
        <v>-724.95463605359998</v>
      </c>
      <c r="P354" s="1981">
        <v>-422.03305229850002</v>
      </c>
      <c r="Q354" s="1981">
        <v>-473.29157874189997</v>
      </c>
      <c r="R354" s="1981">
        <v>-6370.2900188751</v>
      </c>
      <c r="T354" s="48">
        <f t="shared" si="5"/>
        <v>0</v>
      </c>
      <c r="U354" s="48"/>
    </row>
    <row r="355" spans="2:21">
      <c r="B355" s="33" t="s">
        <v>7573</v>
      </c>
      <c r="C355" t="s">
        <v>8496</v>
      </c>
      <c r="D355" s="1962" t="s">
        <v>1246</v>
      </c>
      <c r="E355" s="1962" t="s">
        <v>7574</v>
      </c>
      <c r="F355" s="1981">
        <v>-33.7325581395</v>
      </c>
      <c r="G355" s="1981">
        <v>-33.7325581395</v>
      </c>
      <c r="H355" s="1981">
        <v>-33.7325581395</v>
      </c>
      <c r="I355" s="1981">
        <v>-33.7325581395</v>
      </c>
      <c r="J355" s="1981">
        <v>-33.7325581395</v>
      </c>
      <c r="K355" s="1981">
        <v>-33.7325581395</v>
      </c>
      <c r="L355" s="1981">
        <v>-33.7325581395</v>
      </c>
      <c r="M355" s="1981">
        <v>-33.7325581395</v>
      </c>
      <c r="N355" s="1981">
        <v>-33.7325581395</v>
      </c>
      <c r="O355" s="1981">
        <v>-33.7325581395</v>
      </c>
      <c r="P355" s="1981">
        <v>-33.7325581395</v>
      </c>
      <c r="Q355" s="1981">
        <v>-33.7325581395</v>
      </c>
      <c r="R355" s="1981">
        <v>-404.79069767399989</v>
      </c>
      <c r="T355" s="48">
        <f t="shared" si="5"/>
        <v>0</v>
      </c>
      <c r="U355" s="48"/>
    </row>
    <row r="356" spans="2:21">
      <c r="B356" s="33" t="s">
        <v>7575</v>
      </c>
      <c r="C356" t="s">
        <v>8717</v>
      </c>
      <c r="D356" s="1962" t="s">
        <v>1247</v>
      </c>
      <c r="E356" s="1962" t="s">
        <v>1248</v>
      </c>
      <c r="F356" s="1981">
        <v>0</v>
      </c>
      <c r="G356" s="1981">
        <v>0</v>
      </c>
      <c r="H356" s="1981">
        <v>0</v>
      </c>
      <c r="I356" s="1981">
        <v>0</v>
      </c>
      <c r="J356" s="1981">
        <v>0</v>
      </c>
      <c r="K356" s="1981">
        <v>0</v>
      </c>
      <c r="L356" s="1981">
        <v>0</v>
      </c>
      <c r="M356" s="1981">
        <v>0</v>
      </c>
      <c r="N356" s="1981">
        <v>0</v>
      </c>
      <c r="O356" s="1981">
        <v>0</v>
      </c>
      <c r="P356" s="1981">
        <v>0</v>
      </c>
      <c r="Q356" s="1981">
        <v>0</v>
      </c>
      <c r="R356" s="1981">
        <v>0</v>
      </c>
      <c r="T356" s="48">
        <f t="shared" si="5"/>
        <v>0</v>
      </c>
      <c r="U356" s="48"/>
    </row>
    <row r="357" spans="2:21">
      <c r="B357" s="33" t="s">
        <v>7576</v>
      </c>
      <c r="C357" t="s">
        <v>8717</v>
      </c>
      <c r="D357" s="1962" t="s">
        <v>7577</v>
      </c>
      <c r="E357" s="1962" t="s">
        <v>7578</v>
      </c>
      <c r="F357" s="1981">
        <v>477.07817</v>
      </c>
      <c r="G357" s="1981">
        <v>477.07817</v>
      </c>
      <c r="H357" s="1981">
        <v>477.07817</v>
      </c>
      <c r="I357" s="1981">
        <v>477.07817</v>
      </c>
      <c r="J357" s="1981">
        <v>477.07817</v>
      </c>
      <c r="K357" s="1981">
        <v>477.07817</v>
      </c>
      <c r="L357" s="1981">
        <v>477.07817</v>
      </c>
      <c r="M357" s="1981">
        <v>477.07817</v>
      </c>
      <c r="N357" s="1981">
        <v>477.07817</v>
      </c>
      <c r="O357" s="1981">
        <v>477.07817</v>
      </c>
      <c r="P357" s="1981">
        <v>477.07817</v>
      </c>
      <c r="Q357" s="1981">
        <v>477.07812999999999</v>
      </c>
      <c r="R357" s="1981">
        <v>5724.9379999999983</v>
      </c>
      <c r="T357" s="48">
        <f t="shared" si="5"/>
        <v>0</v>
      </c>
      <c r="U357" s="48"/>
    </row>
    <row r="358" spans="2:21">
      <c r="B358" s="33" t="s">
        <v>7579</v>
      </c>
      <c r="C358" t="s">
        <v>8717</v>
      </c>
      <c r="D358" s="1962" t="s">
        <v>1249</v>
      </c>
      <c r="E358" s="1962" t="s">
        <v>1250</v>
      </c>
      <c r="F358" s="1981">
        <v>0</v>
      </c>
      <c r="G358" s="1981">
        <v>0</v>
      </c>
      <c r="H358" s="1981">
        <v>0</v>
      </c>
      <c r="I358" s="1981">
        <v>0</v>
      </c>
      <c r="J358" s="1981">
        <v>0</v>
      </c>
      <c r="K358" s="1981">
        <v>0</v>
      </c>
      <c r="L358" s="1981">
        <v>0</v>
      </c>
      <c r="M358" s="1981">
        <v>0</v>
      </c>
      <c r="N358" s="1981">
        <v>0</v>
      </c>
      <c r="O358" s="1981">
        <v>0</v>
      </c>
      <c r="P358" s="1981">
        <v>0</v>
      </c>
      <c r="Q358" s="1981">
        <v>0</v>
      </c>
      <c r="R358" s="1981">
        <v>0</v>
      </c>
      <c r="T358" s="48">
        <f t="shared" si="5"/>
        <v>0</v>
      </c>
      <c r="U358" s="48"/>
    </row>
    <row r="359" spans="2:21">
      <c r="B359" s="33" t="s">
        <v>7580</v>
      </c>
      <c r="C359" t="s">
        <v>8717</v>
      </c>
      <c r="D359" s="1962" t="s">
        <v>1251</v>
      </c>
      <c r="E359" s="1962" t="s">
        <v>1252</v>
      </c>
      <c r="F359" s="1981">
        <v>3349.5410099999999</v>
      </c>
      <c r="G359" s="1981">
        <v>3658.4996800000004</v>
      </c>
      <c r="H359" s="1981">
        <v>3877.6957299999999</v>
      </c>
      <c r="I359" s="1981">
        <v>3848.2176899999999</v>
      </c>
      <c r="J359" s="1981">
        <v>3298.3576000000003</v>
      </c>
      <c r="K359" s="1981">
        <v>2471.2780299999999</v>
      </c>
      <c r="L359" s="1981">
        <v>2173.6733100000001</v>
      </c>
      <c r="M359" s="1981">
        <v>2411.68316</v>
      </c>
      <c r="N359" s="1981">
        <v>2571.1299300000001</v>
      </c>
      <c r="O359" s="1981">
        <v>2647.9057400000002</v>
      </c>
      <c r="P359" s="1981">
        <v>2706.9931000000001</v>
      </c>
      <c r="Q359" s="1981">
        <v>2339.5461800000003</v>
      </c>
      <c r="R359" s="1981">
        <v>35354.521159999997</v>
      </c>
      <c r="T359" s="48">
        <f t="shared" si="5"/>
        <v>0</v>
      </c>
      <c r="U359" s="48"/>
    </row>
    <row r="360" spans="2:21">
      <c r="B360" s="33" t="s">
        <v>7581</v>
      </c>
      <c r="C360" t="s">
        <v>8717</v>
      </c>
      <c r="D360" s="1962" t="s">
        <v>1253</v>
      </c>
      <c r="E360" s="1962" t="s">
        <v>1254</v>
      </c>
      <c r="F360" s="1981">
        <v>0</v>
      </c>
      <c r="G360" s="1981">
        <v>0</v>
      </c>
      <c r="H360" s="1981">
        <v>0</v>
      </c>
      <c r="I360" s="1981">
        <v>0</v>
      </c>
      <c r="J360" s="1981">
        <v>0</v>
      </c>
      <c r="K360" s="1981">
        <v>0</v>
      </c>
      <c r="L360" s="1981">
        <v>0</v>
      </c>
      <c r="M360" s="1981">
        <v>0</v>
      </c>
      <c r="N360" s="1981">
        <v>0</v>
      </c>
      <c r="O360" s="1981">
        <v>0</v>
      </c>
      <c r="P360" s="1981">
        <v>0</v>
      </c>
      <c r="Q360" s="1981">
        <v>0</v>
      </c>
      <c r="R360" s="1981">
        <v>0</v>
      </c>
      <c r="T360" s="48">
        <f t="shared" si="5"/>
        <v>0</v>
      </c>
      <c r="U360" s="48"/>
    </row>
    <row r="361" spans="2:21">
      <c r="B361" s="33" t="s">
        <v>7582</v>
      </c>
      <c r="C361" t="s">
        <v>8717</v>
      </c>
      <c r="D361" s="1962" t="s">
        <v>1255</v>
      </c>
      <c r="E361" s="1962" t="s">
        <v>1256</v>
      </c>
      <c r="F361" s="1981">
        <v>0</v>
      </c>
      <c r="G361" s="1981">
        <v>0</v>
      </c>
      <c r="H361" s="1981">
        <v>0</v>
      </c>
      <c r="I361" s="1981">
        <v>0</v>
      </c>
      <c r="J361" s="1981">
        <v>0</v>
      </c>
      <c r="K361" s="1981">
        <v>0</v>
      </c>
      <c r="L361" s="1981">
        <v>0</v>
      </c>
      <c r="M361" s="1981">
        <v>0</v>
      </c>
      <c r="N361" s="1981">
        <v>0</v>
      </c>
      <c r="O361" s="1981">
        <v>0</v>
      </c>
      <c r="P361" s="1981">
        <v>0</v>
      </c>
      <c r="Q361" s="1981">
        <v>0</v>
      </c>
      <c r="R361" s="1981">
        <v>0</v>
      </c>
      <c r="T361" s="48">
        <f t="shared" si="5"/>
        <v>0</v>
      </c>
      <c r="U361" s="48"/>
    </row>
    <row r="362" spans="2:21">
      <c r="B362" s="33" t="s">
        <v>7583</v>
      </c>
      <c r="C362" t="s">
        <v>8717</v>
      </c>
      <c r="D362" s="1962" t="s">
        <v>1257</v>
      </c>
      <c r="E362" s="1962" t="s">
        <v>1258</v>
      </c>
      <c r="F362" s="1981">
        <v>0</v>
      </c>
      <c r="G362" s="1981">
        <v>0</v>
      </c>
      <c r="H362" s="1981">
        <v>0</v>
      </c>
      <c r="I362" s="1981">
        <v>0</v>
      </c>
      <c r="J362" s="1981">
        <v>0</v>
      </c>
      <c r="K362" s="1981">
        <v>0</v>
      </c>
      <c r="L362" s="1981">
        <v>0</v>
      </c>
      <c r="M362" s="1981">
        <v>0</v>
      </c>
      <c r="N362" s="1981">
        <v>0</v>
      </c>
      <c r="O362" s="1981">
        <v>0</v>
      </c>
      <c r="P362" s="1981">
        <v>0</v>
      </c>
      <c r="Q362" s="1981">
        <v>0</v>
      </c>
      <c r="R362" s="1981">
        <v>0</v>
      </c>
      <c r="T362" s="48">
        <f t="shared" si="5"/>
        <v>0</v>
      </c>
      <c r="U362" s="48"/>
    </row>
    <row r="363" spans="2:21">
      <c r="B363" s="33" t="s">
        <v>7584</v>
      </c>
      <c r="C363" t="s">
        <v>8717</v>
      </c>
      <c r="D363" s="1962" t="s">
        <v>1259</v>
      </c>
      <c r="E363" s="1962" t="s">
        <v>7585</v>
      </c>
      <c r="F363" s="1981">
        <v>0</v>
      </c>
      <c r="G363" s="1981">
        <v>0</v>
      </c>
      <c r="H363" s="1981">
        <v>0</v>
      </c>
      <c r="I363" s="1981">
        <v>0</v>
      </c>
      <c r="J363" s="1981">
        <v>0</v>
      </c>
      <c r="K363" s="1981">
        <v>0</v>
      </c>
      <c r="L363" s="1981">
        <v>0</v>
      </c>
      <c r="M363" s="1981">
        <v>0</v>
      </c>
      <c r="N363" s="1981">
        <v>0</v>
      </c>
      <c r="O363" s="1981">
        <v>0</v>
      </c>
      <c r="P363" s="1981">
        <v>0</v>
      </c>
      <c r="Q363" s="1981">
        <v>0</v>
      </c>
      <c r="R363" s="1981">
        <v>0</v>
      </c>
      <c r="T363" s="48">
        <f t="shared" si="5"/>
        <v>0</v>
      </c>
      <c r="U363" s="48"/>
    </row>
    <row r="364" spans="2:21">
      <c r="B364" s="33" t="s">
        <v>7586</v>
      </c>
      <c r="C364" t="s">
        <v>8717</v>
      </c>
      <c r="D364" s="1962" t="s">
        <v>1260</v>
      </c>
      <c r="E364" s="1962" t="s">
        <v>7587</v>
      </c>
      <c r="F364" s="1981">
        <v>0</v>
      </c>
      <c r="G364" s="1981">
        <v>0</v>
      </c>
      <c r="H364" s="1981">
        <v>0</v>
      </c>
      <c r="I364" s="1981">
        <v>0</v>
      </c>
      <c r="J364" s="1981">
        <v>0</v>
      </c>
      <c r="K364" s="1981">
        <v>0</v>
      </c>
      <c r="L364" s="1981">
        <v>0</v>
      </c>
      <c r="M364" s="1981">
        <v>0</v>
      </c>
      <c r="N364" s="1981">
        <v>0</v>
      </c>
      <c r="O364" s="1981">
        <v>0</v>
      </c>
      <c r="P364" s="1981">
        <v>0</v>
      </c>
      <c r="Q364" s="1981">
        <v>0</v>
      </c>
      <c r="R364" s="1981">
        <v>0</v>
      </c>
      <c r="T364" s="48">
        <f t="shared" si="5"/>
        <v>0</v>
      </c>
      <c r="U364" s="48"/>
    </row>
    <row r="365" spans="2:21">
      <c r="B365" s="33" t="s">
        <v>7588</v>
      </c>
      <c r="C365" t="s">
        <v>8717</v>
      </c>
      <c r="D365" s="1962" t="s">
        <v>1261</v>
      </c>
      <c r="E365" s="1962" t="s">
        <v>1262</v>
      </c>
      <c r="F365" s="1981">
        <v>60.773734943199997</v>
      </c>
      <c r="G365" s="1981">
        <v>60.836517727299999</v>
      </c>
      <c r="H365" s="1981">
        <v>60.899300511300005</v>
      </c>
      <c r="I365" s="1981">
        <v>59.831993182799998</v>
      </c>
      <c r="J365" s="1981">
        <v>60.020341534899998</v>
      </c>
      <c r="K365" s="1981">
        <v>60.271472671000005</v>
      </c>
      <c r="L365" s="1981">
        <v>60.899300511300005</v>
      </c>
      <c r="M365" s="1981">
        <v>61.527128351599998</v>
      </c>
      <c r="N365" s="1981">
        <v>62.154956192</v>
      </c>
      <c r="O365" s="1981">
        <v>61.527128351599998</v>
      </c>
      <c r="P365" s="1981">
        <v>62.154956192</v>
      </c>
      <c r="Q365" s="1981">
        <v>62.154956192</v>
      </c>
      <c r="R365" s="1981">
        <v>733.05178636100004</v>
      </c>
      <c r="T365" s="48">
        <f t="shared" si="5"/>
        <v>0</v>
      </c>
      <c r="U365" s="48"/>
    </row>
    <row r="366" spans="2:21">
      <c r="B366" s="33" t="s">
        <v>7589</v>
      </c>
      <c r="C366" t="s">
        <v>8717</v>
      </c>
      <c r="D366" s="1962" t="s">
        <v>7590</v>
      </c>
      <c r="E366" s="1962" t="s">
        <v>7591</v>
      </c>
      <c r="F366" s="1981">
        <v>0</v>
      </c>
      <c r="G366" s="1981">
        <v>0</v>
      </c>
      <c r="H366" s="1981">
        <v>0</v>
      </c>
      <c r="I366" s="1981">
        <v>0</v>
      </c>
      <c r="J366" s="1981">
        <v>0</v>
      </c>
      <c r="K366" s="1981">
        <v>0</v>
      </c>
      <c r="L366" s="1981">
        <v>2724.0369999999998</v>
      </c>
      <c r="M366" s="1981">
        <v>1775.963</v>
      </c>
      <c r="N366" s="1981">
        <v>0</v>
      </c>
      <c r="O366" s="1981">
        <v>0</v>
      </c>
      <c r="P366" s="1981">
        <v>0</v>
      </c>
      <c r="Q366" s="1981">
        <v>0</v>
      </c>
      <c r="R366" s="1981">
        <v>4500</v>
      </c>
      <c r="T366" s="48">
        <f t="shared" si="5"/>
        <v>0</v>
      </c>
      <c r="U366" s="48"/>
    </row>
    <row r="367" spans="2:21">
      <c r="B367" s="33" t="s">
        <v>7592</v>
      </c>
      <c r="C367" t="s">
        <v>8717</v>
      </c>
      <c r="D367" s="1962" t="s">
        <v>1263</v>
      </c>
      <c r="E367" s="1962" t="s">
        <v>1264</v>
      </c>
      <c r="F367" s="1981">
        <v>436.2262650568</v>
      </c>
      <c r="G367" s="1981">
        <v>461.7634822727</v>
      </c>
      <c r="H367" s="1981">
        <v>437.30069948869999</v>
      </c>
      <c r="I367" s="1981">
        <v>464.96800681719998</v>
      </c>
      <c r="J367" s="1981">
        <v>431.47965846509999</v>
      </c>
      <c r="K367" s="1981">
        <v>433.328527329</v>
      </c>
      <c r="L367" s="1981">
        <v>497.80069948869999</v>
      </c>
      <c r="M367" s="1981">
        <v>442.27287164839998</v>
      </c>
      <c r="N367" s="1981">
        <v>446.74504380799999</v>
      </c>
      <c r="O367" s="1981">
        <v>497.47287164839997</v>
      </c>
      <c r="P367" s="1981">
        <v>446.94504380799998</v>
      </c>
      <c r="Q367" s="1981">
        <v>482.045043808</v>
      </c>
      <c r="R367" s="1981">
        <v>5478.3482136389994</v>
      </c>
      <c r="T367" s="48">
        <f t="shared" si="5"/>
        <v>0</v>
      </c>
      <c r="U367" s="48"/>
    </row>
    <row r="368" spans="2:21">
      <c r="B368" s="33" t="s">
        <v>7593</v>
      </c>
      <c r="C368" t="s">
        <v>8717</v>
      </c>
      <c r="D368" s="1962" t="s">
        <v>1265</v>
      </c>
      <c r="E368" s="1962" t="s">
        <v>1266</v>
      </c>
      <c r="F368" s="1981">
        <v>0</v>
      </c>
      <c r="G368" s="1981">
        <v>0</v>
      </c>
      <c r="H368" s="1981">
        <v>0</v>
      </c>
      <c r="I368" s="1981">
        <v>0</v>
      </c>
      <c r="J368" s="1981">
        <v>0</v>
      </c>
      <c r="K368" s="1981">
        <v>0</v>
      </c>
      <c r="L368" s="1981">
        <v>0</v>
      </c>
      <c r="M368" s="1981">
        <v>0</v>
      </c>
      <c r="N368" s="1981">
        <v>0</v>
      </c>
      <c r="O368" s="1981">
        <v>0</v>
      </c>
      <c r="P368" s="1981">
        <v>0</v>
      </c>
      <c r="Q368" s="1981">
        <v>0</v>
      </c>
      <c r="R368" s="1981">
        <v>0</v>
      </c>
      <c r="T368" s="48">
        <f t="shared" si="5"/>
        <v>0</v>
      </c>
      <c r="U368" s="48"/>
    </row>
    <row r="369" spans="2:21">
      <c r="B369" s="33" t="s">
        <v>7594</v>
      </c>
      <c r="C369" t="s">
        <v>8717</v>
      </c>
      <c r="D369" s="1962" t="s">
        <v>1267</v>
      </c>
      <c r="E369" s="1962" t="s">
        <v>1268</v>
      </c>
      <c r="F369" s="1981">
        <v>0</v>
      </c>
      <c r="G369" s="1981">
        <v>0</v>
      </c>
      <c r="H369" s="1981">
        <v>0</v>
      </c>
      <c r="I369" s="1981">
        <v>0</v>
      </c>
      <c r="J369" s="1981">
        <v>0</v>
      </c>
      <c r="K369" s="1981">
        <v>0</v>
      </c>
      <c r="L369" s="1981">
        <v>0</v>
      </c>
      <c r="M369" s="1981">
        <v>0</v>
      </c>
      <c r="N369" s="1981">
        <v>0</v>
      </c>
      <c r="O369" s="1981">
        <v>0</v>
      </c>
      <c r="P369" s="1981">
        <v>0</v>
      </c>
      <c r="Q369" s="1981">
        <v>0</v>
      </c>
      <c r="R369" s="1981">
        <v>0</v>
      </c>
      <c r="T369" s="48">
        <f t="shared" si="5"/>
        <v>0</v>
      </c>
      <c r="U369" s="48"/>
    </row>
    <row r="370" spans="2:21">
      <c r="B370" s="33" t="s">
        <v>7595</v>
      </c>
      <c r="C370" t="s">
        <v>8718</v>
      </c>
      <c r="D370" s="1962" t="s">
        <v>1269</v>
      </c>
      <c r="E370" s="1962" t="s">
        <v>7596</v>
      </c>
      <c r="F370" s="1981">
        <v>31.84657</v>
      </c>
      <c r="G370" s="1981">
        <v>31.84657</v>
      </c>
      <c r="H370" s="1981">
        <v>31.84657</v>
      </c>
      <c r="I370" s="1981">
        <v>31.84657</v>
      </c>
      <c r="J370" s="1981">
        <v>31.84657</v>
      </c>
      <c r="K370" s="1981">
        <v>31.84657</v>
      </c>
      <c r="L370" s="1981">
        <v>31.84657</v>
      </c>
      <c r="M370" s="1981">
        <v>31.84657</v>
      </c>
      <c r="N370" s="1981">
        <v>31.84657</v>
      </c>
      <c r="O370" s="1981">
        <v>31.84657</v>
      </c>
      <c r="P370" s="1981">
        <v>31.84657</v>
      </c>
      <c r="Q370" s="1981">
        <v>31.84657</v>
      </c>
      <c r="R370" s="1981">
        <v>382.15883999999988</v>
      </c>
      <c r="T370" s="48">
        <f t="shared" si="5"/>
        <v>0</v>
      </c>
      <c r="U370" s="48"/>
    </row>
    <row r="371" spans="2:21">
      <c r="B371" s="33" t="s">
        <v>7597</v>
      </c>
      <c r="C371" t="s">
        <v>8717</v>
      </c>
      <c r="D371" s="1962" t="s">
        <v>1270</v>
      </c>
      <c r="E371" s="1962" t="s">
        <v>1271</v>
      </c>
      <c r="F371" s="1981">
        <v>0</v>
      </c>
      <c r="G371" s="1981">
        <v>0</v>
      </c>
      <c r="H371" s="1981">
        <v>0</v>
      </c>
      <c r="I371" s="1981">
        <v>0</v>
      </c>
      <c r="J371" s="1981">
        <v>0</v>
      </c>
      <c r="K371" s="1981">
        <v>0</v>
      </c>
      <c r="L371" s="1981">
        <v>0</v>
      </c>
      <c r="M371" s="1981">
        <v>0</v>
      </c>
      <c r="N371" s="1981">
        <v>0</v>
      </c>
      <c r="O371" s="1981">
        <v>0</v>
      </c>
      <c r="P371" s="1981">
        <v>0</v>
      </c>
      <c r="Q371" s="1981">
        <v>0</v>
      </c>
      <c r="R371" s="1981">
        <v>0</v>
      </c>
      <c r="T371" s="48">
        <f t="shared" si="5"/>
        <v>0</v>
      </c>
      <c r="U371" s="48"/>
    </row>
    <row r="372" spans="2:21">
      <c r="B372" s="33" t="s">
        <v>7598</v>
      </c>
      <c r="C372" t="s">
        <v>8717</v>
      </c>
      <c r="D372" s="1962" t="s">
        <v>1272</v>
      </c>
      <c r="E372" s="1962" t="s">
        <v>1273</v>
      </c>
      <c r="F372" s="1981">
        <v>0</v>
      </c>
      <c r="G372" s="1981">
        <v>0</v>
      </c>
      <c r="H372" s="1981">
        <v>0</v>
      </c>
      <c r="I372" s="1981">
        <v>0</v>
      </c>
      <c r="J372" s="1981">
        <v>0</v>
      </c>
      <c r="K372" s="1981">
        <v>0</v>
      </c>
      <c r="L372" s="1981">
        <v>0</v>
      </c>
      <c r="M372" s="1981">
        <v>0</v>
      </c>
      <c r="N372" s="1981">
        <v>0</v>
      </c>
      <c r="O372" s="1981">
        <v>0</v>
      </c>
      <c r="P372" s="1981">
        <v>0</v>
      </c>
      <c r="Q372" s="1981">
        <v>0</v>
      </c>
      <c r="R372" s="1981">
        <v>0</v>
      </c>
      <c r="T372" s="48">
        <f t="shared" si="5"/>
        <v>0</v>
      </c>
      <c r="U372" s="48"/>
    </row>
    <row r="373" spans="2:21">
      <c r="B373" s="33" t="s">
        <v>7599</v>
      </c>
      <c r="C373" t="s">
        <v>8718</v>
      </c>
      <c r="D373" s="1962" t="s">
        <v>1274</v>
      </c>
      <c r="E373" s="1962" t="s">
        <v>1275</v>
      </c>
      <c r="F373" s="1981">
        <v>-1091.5552600000001</v>
      </c>
      <c r="G373" s="1981">
        <v>-1192.2393200000001</v>
      </c>
      <c r="H373" s="1981">
        <v>-1263.6713500000001</v>
      </c>
      <c r="I373" s="1981">
        <v>-1254.0650500000002</v>
      </c>
      <c r="J373" s="1981">
        <v>-1074.8754799999999</v>
      </c>
      <c r="K373" s="1981">
        <v>-805.34507999999994</v>
      </c>
      <c r="L373" s="1981">
        <v>-708.36108999999999</v>
      </c>
      <c r="M373" s="1981">
        <v>-785.92421000000002</v>
      </c>
      <c r="N373" s="1981">
        <v>-837.88506999999993</v>
      </c>
      <c r="O373" s="1981">
        <v>-862.90492000000006</v>
      </c>
      <c r="P373" s="1981">
        <v>-882.16039999999998</v>
      </c>
      <c r="Q373" s="1981">
        <v>-762.41607999999997</v>
      </c>
      <c r="R373" s="1981">
        <v>-11521.403310000002</v>
      </c>
      <c r="T373" s="48">
        <f t="shared" si="5"/>
        <v>0</v>
      </c>
      <c r="U373" s="48"/>
    </row>
    <row r="374" spans="2:21">
      <c r="B374" s="33" t="s">
        <v>7600</v>
      </c>
      <c r="C374" t="s">
        <v>8718</v>
      </c>
      <c r="D374" s="1962" t="s">
        <v>1276</v>
      </c>
      <c r="E374" s="1962" t="s">
        <v>1277</v>
      </c>
      <c r="F374" s="1981">
        <v>0</v>
      </c>
      <c r="G374" s="1981">
        <v>0</v>
      </c>
      <c r="H374" s="1981">
        <v>0</v>
      </c>
      <c r="I374" s="1981">
        <v>0</v>
      </c>
      <c r="J374" s="1981">
        <v>0</v>
      </c>
      <c r="K374" s="1981">
        <v>0</v>
      </c>
      <c r="L374" s="1981">
        <v>0</v>
      </c>
      <c r="M374" s="1981">
        <v>0</v>
      </c>
      <c r="N374" s="1981">
        <v>0</v>
      </c>
      <c r="O374" s="1981">
        <v>0</v>
      </c>
      <c r="P374" s="1981">
        <v>0</v>
      </c>
      <c r="Q374" s="1981">
        <v>0</v>
      </c>
      <c r="R374" s="1981">
        <v>0</v>
      </c>
      <c r="T374" s="48">
        <f t="shared" si="5"/>
        <v>0</v>
      </c>
      <c r="U374" s="48"/>
    </row>
    <row r="375" spans="2:21">
      <c r="B375" s="33" t="s">
        <v>7601</v>
      </c>
      <c r="C375" t="s">
        <v>8718</v>
      </c>
      <c r="D375" s="1962" t="s">
        <v>1278</v>
      </c>
      <c r="E375" s="1962" t="s">
        <v>1279</v>
      </c>
      <c r="F375" s="1981">
        <v>243.5997503294</v>
      </c>
      <c r="G375" s="1981">
        <v>243.70125022529999</v>
      </c>
      <c r="H375" s="1981">
        <v>243.80279241289998</v>
      </c>
      <c r="I375" s="1981">
        <v>243.90437690979999</v>
      </c>
      <c r="J375" s="1981">
        <v>244.00600373349999</v>
      </c>
      <c r="K375" s="1981">
        <v>244.1076729017</v>
      </c>
      <c r="L375" s="1981">
        <v>244.20938443209999</v>
      </c>
      <c r="M375" s="1981">
        <v>244.31113834229998</v>
      </c>
      <c r="N375" s="1981">
        <v>244.41293464990002</v>
      </c>
      <c r="O375" s="1981">
        <v>244.51477337270001</v>
      </c>
      <c r="P375" s="1981">
        <v>244.61665452829999</v>
      </c>
      <c r="Q375" s="1981">
        <v>244.7185781343</v>
      </c>
      <c r="R375" s="1981">
        <v>2929.9053099721996</v>
      </c>
      <c r="T375" s="48">
        <f t="shared" si="5"/>
        <v>0</v>
      </c>
      <c r="U375" s="48"/>
    </row>
    <row r="376" spans="2:21">
      <c r="B376" s="33" t="s">
        <v>7602</v>
      </c>
      <c r="C376" t="s">
        <v>8718</v>
      </c>
      <c r="D376" s="1962" t="s">
        <v>1280</v>
      </c>
      <c r="E376" s="1962" t="s">
        <v>1281</v>
      </c>
      <c r="F376" s="1981">
        <v>5.0711792503999993</v>
      </c>
      <c r="G376" s="1981">
        <v>5.0131647731999998</v>
      </c>
      <c r="H376" s="1981">
        <v>4.9540896332999997</v>
      </c>
      <c r="I376" s="1981">
        <v>4.8949326853000006</v>
      </c>
      <c r="J376" s="1981">
        <v>4.8356924336000002</v>
      </c>
      <c r="K376" s="1981">
        <v>4.7756204543000003</v>
      </c>
      <c r="L376" s="1981">
        <v>4.7154649384000002</v>
      </c>
      <c r="M376" s="1981">
        <v>4.6552247132</v>
      </c>
      <c r="N376" s="1981">
        <v>4.5948996607000003</v>
      </c>
      <c r="O376" s="1981">
        <v>4.5344896615999994</v>
      </c>
      <c r="P376" s="1981">
        <v>4.4739945962999998</v>
      </c>
      <c r="Q376" s="1981">
        <v>4.4134143449000005</v>
      </c>
      <c r="R376" s="1981">
        <v>56.932167145200005</v>
      </c>
      <c r="T376" s="48">
        <f t="shared" si="5"/>
        <v>0</v>
      </c>
      <c r="U376" s="48"/>
    </row>
    <row r="377" spans="2:21">
      <c r="B377" s="33" t="s">
        <v>7603</v>
      </c>
      <c r="C377" t="s">
        <v>8718</v>
      </c>
      <c r="D377" s="1962" t="s">
        <v>1282</v>
      </c>
      <c r="E377" s="1962" t="s">
        <v>1283</v>
      </c>
      <c r="F377" s="1981">
        <v>58.762370000000004</v>
      </c>
      <c r="G377" s="1981">
        <v>58.762370000000004</v>
      </c>
      <c r="H377" s="1981">
        <v>58.762370000000004</v>
      </c>
      <c r="I377" s="1981">
        <v>58.762370000000004</v>
      </c>
      <c r="J377" s="1981">
        <v>58.762370000000004</v>
      </c>
      <c r="K377" s="1981">
        <v>58.762370000000004</v>
      </c>
      <c r="L377" s="1981">
        <v>58.762370000000004</v>
      </c>
      <c r="M377" s="1981">
        <v>58.762370000000004</v>
      </c>
      <c r="N377" s="1981">
        <v>58.762370000000004</v>
      </c>
      <c r="O377" s="1981">
        <v>58.762370000000004</v>
      </c>
      <c r="P377" s="1981">
        <v>58.762370000000004</v>
      </c>
      <c r="Q377" s="1981">
        <v>58.762370000000004</v>
      </c>
      <c r="R377" s="1981">
        <v>705.14844000000028</v>
      </c>
      <c r="T377" s="48">
        <f t="shared" si="5"/>
        <v>0</v>
      </c>
      <c r="U377" s="48"/>
    </row>
    <row r="378" spans="2:21">
      <c r="B378" s="33" t="s">
        <v>7604</v>
      </c>
      <c r="C378" t="s">
        <v>8718</v>
      </c>
      <c r="D378" s="1962" t="s">
        <v>1284</v>
      </c>
      <c r="E378" s="1962" t="s">
        <v>7605</v>
      </c>
      <c r="F378" s="1981">
        <v>2039.3896581007</v>
      </c>
      <c r="G378" s="1981">
        <v>2142.4706863008996</v>
      </c>
      <c r="H378" s="1981">
        <v>1664.7667009981001</v>
      </c>
      <c r="I378" s="1981">
        <v>940.78101555300009</v>
      </c>
      <c r="J378" s="1981">
        <v>1010.2339931639</v>
      </c>
      <c r="K378" s="1981">
        <v>1166.5157405230998</v>
      </c>
      <c r="L378" s="1981">
        <v>1210.2525940704002</v>
      </c>
      <c r="M378" s="1981">
        <v>1341.4920590532001</v>
      </c>
      <c r="N378" s="1981">
        <v>1492.6435267703</v>
      </c>
      <c r="O378" s="1981">
        <v>1280.8375406886</v>
      </c>
      <c r="P378" s="1981">
        <v>1457.7897420598999</v>
      </c>
      <c r="Q378" s="1981">
        <v>1729.5701675246</v>
      </c>
      <c r="R378" s="1981">
        <v>17476.7434248067</v>
      </c>
      <c r="T378" s="48">
        <f t="shared" si="5"/>
        <v>0</v>
      </c>
      <c r="U378" s="48"/>
    </row>
    <row r="379" spans="2:21">
      <c r="B379" s="33" t="s">
        <v>7606</v>
      </c>
      <c r="C379" t="s">
        <v>8718</v>
      </c>
      <c r="D379" s="1962" t="s">
        <v>1285</v>
      </c>
      <c r="E379" s="1962" t="s">
        <v>1286</v>
      </c>
      <c r="F379" s="1981">
        <v>14426.041666666699</v>
      </c>
      <c r="G379" s="1981">
        <v>14426.042666666699</v>
      </c>
      <c r="H379" s="1981">
        <v>14426.043666666699</v>
      </c>
      <c r="I379" s="1981">
        <v>16467.7113333333</v>
      </c>
      <c r="J379" s="1981">
        <v>16467.7123333333</v>
      </c>
      <c r="K379" s="1981">
        <v>16467.7133333333</v>
      </c>
      <c r="L379" s="1981">
        <v>16467.714333333301</v>
      </c>
      <c r="M379" s="1981">
        <v>16467.715333333301</v>
      </c>
      <c r="N379" s="1981">
        <v>16467.716333333301</v>
      </c>
      <c r="O379" s="1981">
        <v>16467.717333333301</v>
      </c>
      <c r="P379" s="1981">
        <v>16467.718333333301</v>
      </c>
      <c r="Q379" s="1981">
        <v>16467.719333333302</v>
      </c>
      <c r="R379" s="1981">
        <v>191487.56599999982</v>
      </c>
      <c r="T379" s="48">
        <f t="shared" si="5"/>
        <v>0</v>
      </c>
      <c r="U379" s="48"/>
    </row>
    <row r="380" spans="2:21">
      <c r="B380" s="33" t="s">
        <v>7607</v>
      </c>
      <c r="C380" t="s">
        <v>8718</v>
      </c>
      <c r="D380" s="1962" t="s">
        <v>1287</v>
      </c>
      <c r="E380" s="1962" t="s">
        <v>7608</v>
      </c>
      <c r="F380" s="1981">
        <v>97.139279999999999</v>
      </c>
      <c r="G380" s="1981">
        <v>97.139279999999999</v>
      </c>
      <c r="H380" s="1981">
        <v>97.139279999999999</v>
      </c>
      <c r="I380" s="1981">
        <v>117.97228</v>
      </c>
      <c r="J380" s="1981">
        <v>117.97228</v>
      </c>
      <c r="K380" s="1981">
        <v>117.97228</v>
      </c>
      <c r="L380" s="1981">
        <v>117.97228</v>
      </c>
      <c r="M380" s="1981">
        <v>117.97228</v>
      </c>
      <c r="N380" s="1981">
        <v>117.97228</v>
      </c>
      <c r="O380" s="1981">
        <v>117.97228</v>
      </c>
      <c r="P380" s="1981">
        <v>117.97228</v>
      </c>
      <c r="Q380" s="1981">
        <v>117.97228</v>
      </c>
      <c r="R380" s="1981">
        <v>1353.1683599999997</v>
      </c>
      <c r="T380" s="48">
        <f t="shared" si="5"/>
        <v>0</v>
      </c>
      <c r="U380" s="48"/>
    </row>
    <row r="381" spans="2:21">
      <c r="B381" s="33" t="s">
        <v>7609</v>
      </c>
      <c r="C381" t="s">
        <v>8718</v>
      </c>
      <c r="D381" s="1962" t="s">
        <v>1288</v>
      </c>
      <c r="E381" s="1962" t="s">
        <v>1289</v>
      </c>
      <c r="F381" s="1981">
        <v>167.82847000000001</v>
      </c>
      <c r="G381" s="1981">
        <v>167.82847000000001</v>
      </c>
      <c r="H381" s="1981">
        <v>167.82847000000001</v>
      </c>
      <c r="I381" s="1981">
        <v>188.66147000000001</v>
      </c>
      <c r="J381" s="1981">
        <v>188.66147000000001</v>
      </c>
      <c r="K381" s="1981">
        <v>188.66147000000001</v>
      </c>
      <c r="L381" s="1981">
        <v>188.66147000000001</v>
      </c>
      <c r="M381" s="1981">
        <v>188.66147000000001</v>
      </c>
      <c r="N381" s="1981">
        <v>188.66147000000001</v>
      </c>
      <c r="O381" s="1981">
        <v>188.66147000000001</v>
      </c>
      <c r="P381" s="1981">
        <v>188.66147000000001</v>
      </c>
      <c r="Q381" s="1981">
        <v>188.66147000000001</v>
      </c>
      <c r="R381" s="1981">
        <v>2201.4386400000003</v>
      </c>
      <c r="T381" s="48">
        <f t="shared" si="5"/>
        <v>0</v>
      </c>
      <c r="U381" s="48"/>
    </row>
    <row r="382" spans="2:21">
      <c r="B382" s="33" t="s">
        <v>8719</v>
      </c>
      <c r="C382" t="s">
        <v>8718</v>
      </c>
      <c r="D382" s="1962" t="s">
        <v>8720</v>
      </c>
      <c r="E382" s="1962" t="s">
        <v>8721</v>
      </c>
      <c r="F382" s="1981">
        <v>91.647999999999996</v>
      </c>
      <c r="G382" s="1981">
        <v>78.472999999999999</v>
      </c>
      <c r="H382" s="1981">
        <v>70.992999999999995</v>
      </c>
      <c r="I382" s="1981">
        <v>61.276000000000003</v>
      </c>
      <c r="J382" s="1981">
        <v>57.533999999999999</v>
      </c>
      <c r="K382" s="1981">
        <v>64.674999999999997</v>
      </c>
      <c r="L382" s="1981">
        <v>72.605000000000004</v>
      </c>
      <c r="M382" s="1981">
        <v>76.141999999999996</v>
      </c>
      <c r="N382" s="1981">
        <v>90</v>
      </c>
      <c r="O382" s="1981">
        <v>103.248</v>
      </c>
      <c r="P382" s="1981">
        <v>107.943</v>
      </c>
      <c r="Q382" s="1981">
        <v>103.38500000000001</v>
      </c>
      <c r="R382" s="1981">
        <v>977.92200000000003</v>
      </c>
      <c r="T382" s="48">
        <f t="shared" si="5"/>
        <v>0</v>
      </c>
      <c r="U382" s="48"/>
    </row>
    <row r="383" spans="2:21">
      <c r="B383" s="33" t="s">
        <v>7610</v>
      </c>
      <c r="C383" t="s">
        <v>8718</v>
      </c>
      <c r="D383" s="1962" t="s">
        <v>1290</v>
      </c>
      <c r="E383" s="1962" t="s">
        <v>1291</v>
      </c>
      <c r="F383" s="1981">
        <v>0</v>
      </c>
      <c r="G383" s="1981">
        <v>0</v>
      </c>
      <c r="H383" s="1981">
        <v>0</v>
      </c>
      <c r="I383" s="1981">
        <v>0</v>
      </c>
      <c r="J383" s="1981">
        <v>0</v>
      </c>
      <c r="K383" s="1981">
        <v>0</v>
      </c>
      <c r="L383" s="1981">
        <v>0</v>
      </c>
      <c r="M383" s="1981">
        <v>0</v>
      </c>
      <c r="N383" s="1981">
        <v>0</v>
      </c>
      <c r="O383" s="1981">
        <v>0</v>
      </c>
      <c r="P383" s="1981">
        <v>0</v>
      </c>
      <c r="Q383" s="1981">
        <v>0</v>
      </c>
      <c r="R383" s="1981">
        <v>0</v>
      </c>
      <c r="T383" s="48">
        <f t="shared" si="5"/>
        <v>0</v>
      </c>
      <c r="U383" s="48"/>
    </row>
    <row r="384" spans="2:21">
      <c r="B384" s="33" t="s">
        <v>7611</v>
      </c>
      <c r="C384" t="s">
        <v>8718</v>
      </c>
      <c r="D384" s="1962" t="s">
        <v>1292</v>
      </c>
      <c r="E384" s="1962" t="s">
        <v>1293</v>
      </c>
      <c r="F384" s="1981">
        <v>7.3659999999999997</v>
      </c>
      <c r="G384" s="1981">
        <v>3.0659999999999998</v>
      </c>
      <c r="H384" s="1981">
        <v>2.5640000000000001</v>
      </c>
      <c r="I384" s="1981">
        <v>2.2090000000000001</v>
      </c>
      <c r="J384" s="1981">
        <v>1.8819999999999999</v>
      </c>
      <c r="K384" s="1981">
        <v>1.641</v>
      </c>
      <c r="L384" s="1981">
        <v>1.3560000000000001</v>
      </c>
      <c r="M384" s="1981">
        <v>1.089</v>
      </c>
      <c r="N384" s="1981">
        <v>0.85899999999999999</v>
      </c>
      <c r="O384" s="1981">
        <v>0.61099999999999999</v>
      </c>
      <c r="P384" s="1981">
        <v>0.374</v>
      </c>
      <c r="Q384" s="1981">
        <v>0.157</v>
      </c>
      <c r="R384" s="1981">
        <v>23.174000000000003</v>
      </c>
      <c r="T384" s="48">
        <f t="shared" si="5"/>
        <v>0</v>
      </c>
      <c r="U384" s="48"/>
    </row>
    <row r="385" spans="2:21">
      <c r="B385" s="33" t="s">
        <v>7612</v>
      </c>
      <c r="C385" t="s">
        <v>8718</v>
      </c>
      <c r="D385" s="1962" t="s">
        <v>1294</v>
      </c>
      <c r="E385" s="1962" t="s">
        <v>1295</v>
      </c>
      <c r="F385" s="1981">
        <v>25.181999999999999</v>
      </c>
      <c r="G385" s="1981">
        <v>22.271000000000001</v>
      </c>
      <c r="H385" s="1981">
        <v>20.16</v>
      </c>
      <c r="I385" s="1981">
        <v>17.375</v>
      </c>
      <c r="J385" s="1981">
        <v>15.111000000000001</v>
      </c>
      <c r="K385" s="1981">
        <v>14.105</v>
      </c>
      <c r="L385" s="1981">
        <v>13.166</v>
      </c>
      <c r="M385" s="1981">
        <v>12.455</v>
      </c>
      <c r="N385" s="1981">
        <v>12.176</v>
      </c>
      <c r="O385" s="1981">
        <v>11.356999999999999</v>
      </c>
      <c r="P385" s="1981">
        <v>10.002000000000001</v>
      </c>
      <c r="Q385" s="1981">
        <v>8.6530000000000005</v>
      </c>
      <c r="R385" s="1981">
        <v>182.01300000000001</v>
      </c>
      <c r="T385" s="48">
        <f t="shared" si="5"/>
        <v>0</v>
      </c>
      <c r="U385" s="48"/>
    </row>
    <row r="386" spans="2:21">
      <c r="B386" s="33" t="s">
        <v>7613</v>
      </c>
      <c r="C386" t="s">
        <v>8718</v>
      </c>
      <c r="D386" s="1962" t="s">
        <v>1296</v>
      </c>
      <c r="E386" s="1962" t="s">
        <v>7614</v>
      </c>
      <c r="F386" s="1981">
        <v>0</v>
      </c>
      <c r="G386" s="1981">
        <v>0</v>
      </c>
      <c r="H386" s="1981">
        <v>0</v>
      </c>
      <c r="I386" s="1981">
        <v>0</v>
      </c>
      <c r="J386" s="1981">
        <v>0</v>
      </c>
      <c r="K386" s="1981">
        <v>0</v>
      </c>
      <c r="L386" s="1981">
        <v>0</v>
      </c>
      <c r="M386" s="1981">
        <v>0</v>
      </c>
      <c r="N386" s="1981">
        <v>0</v>
      </c>
      <c r="O386" s="1981">
        <v>0</v>
      </c>
      <c r="P386" s="1981">
        <v>0</v>
      </c>
      <c r="Q386" s="1981">
        <v>0</v>
      </c>
      <c r="R386" s="1981">
        <v>0</v>
      </c>
      <c r="T386" s="48">
        <f t="shared" si="5"/>
        <v>0</v>
      </c>
      <c r="U386" s="48"/>
    </row>
    <row r="387" spans="2:21">
      <c r="B387" s="33" t="s">
        <v>7615</v>
      </c>
      <c r="C387" t="s">
        <v>8718</v>
      </c>
      <c r="D387" s="1962" t="s">
        <v>7616</v>
      </c>
      <c r="E387" s="1962" t="s">
        <v>7617</v>
      </c>
      <c r="F387" s="1981">
        <v>17.415980000000001</v>
      </c>
      <c r="G387" s="1981">
        <v>16.836819999999999</v>
      </c>
      <c r="H387" s="1981">
        <v>16.891009999999998</v>
      </c>
      <c r="I387" s="1981">
        <v>16.250450000000001</v>
      </c>
      <c r="J387" s="1981">
        <v>15.657249999999999</v>
      </c>
      <c r="K387" s="1981">
        <v>15.703899999999999</v>
      </c>
      <c r="L387" s="1981">
        <v>15.265309999999999</v>
      </c>
      <c r="M387" s="1981">
        <v>14.876749999999999</v>
      </c>
      <c r="N387" s="1981">
        <v>14.918659999999999</v>
      </c>
      <c r="O387" s="1981">
        <v>14.52542</v>
      </c>
      <c r="P387" s="1981">
        <v>14.074059999999999</v>
      </c>
      <c r="Q387" s="1981">
        <v>14.11107</v>
      </c>
      <c r="R387" s="1981">
        <v>186.52668</v>
      </c>
      <c r="T387" s="48">
        <f t="shared" si="5"/>
        <v>0</v>
      </c>
      <c r="U387" s="48"/>
    </row>
    <row r="388" spans="2:21">
      <c r="B388" s="33" t="s">
        <v>7618</v>
      </c>
      <c r="C388" t="s">
        <v>8718</v>
      </c>
      <c r="D388" s="1962" t="s">
        <v>1297</v>
      </c>
      <c r="E388" s="1962" t="s">
        <v>1298</v>
      </c>
      <c r="F388" s="1981">
        <v>0</v>
      </c>
      <c r="G388" s="1981">
        <v>0</v>
      </c>
      <c r="H388" s="1981">
        <v>100</v>
      </c>
      <c r="I388" s="1981">
        <v>0</v>
      </c>
      <c r="J388" s="1981">
        <v>0</v>
      </c>
      <c r="K388" s="1981">
        <v>0</v>
      </c>
      <c r="L388" s="1981">
        <v>0</v>
      </c>
      <c r="M388" s="1981">
        <v>0</v>
      </c>
      <c r="N388" s="1981">
        <v>0</v>
      </c>
      <c r="O388" s="1981">
        <v>0</v>
      </c>
      <c r="P388" s="1981">
        <v>0</v>
      </c>
      <c r="Q388" s="1981">
        <v>0</v>
      </c>
      <c r="R388" s="1981">
        <v>100</v>
      </c>
      <c r="T388" s="48">
        <f t="shared" si="5"/>
        <v>0</v>
      </c>
      <c r="U388" s="48"/>
    </row>
    <row r="389" spans="2:21">
      <c r="B389" s="33" t="s">
        <v>7619</v>
      </c>
      <c r="C389" t="s">
        <v>8718</v>
      </c>
      <c r="D389" s="1962" t="s">
        <v>1299</v>
      </c>
      <c r="E389" s="1962" t="s">
        <v>1300</v>
      </c>
      <c r="F389" s="1981">
        <v>0</v>
      </c>
      <c r="G389" s="1981">
        <v>0</v>
      </c>
      <c r="H389" s="1981">
        <v>0</v>
      </c>
      <c r="I389" s="1981">
        <v>0</v>
      </c>
      <c r="J389" s="1981">
        <v>0</v>
      </c>
      <c r="K389" s="1981">
        <v>0</v>
      </c>
      <c r="L389" s="1981">
        <v>0</v>
      </c>
      <c r="M389" s="1981">
        <v>0</v>
      </c>
      <c r="N389" s="1981">
        <v>0</v>
      </c>
      <c r="O389" s="1981">
        <v>0</v>
      </c>
      <c r="P389" s="1981">
        <v>0</v>
      </c>
      <c r="Q389" s="1981">
        <v>0</v>
      </c>
      <c r="R389" s="1981">
        <v>0</v>
      </c>
      <c r="T389" s="48">
        <f t="shared" ref="T389:T452" si="6">IF(R389="","",+R389-SUM(F389:Q389))</f>
        <v>0</v>
      </c>
      <c r="U389" s="48"/>
    </row>
    <row r="390" spans="2:21">
      <c r="B390" s="33" t="s">
        <v>7620</v>
      </c>
      <c r="C390" t="s">
        <v>2069</v>
      </c>
      <c r="D390" s="1962" t="s">
        <v>1301</v>
      </c>
      <c r="E390" s="1962" t="s">
        <v>1302</v>
      </c>
      <c r="F390" s="1981">
        <v>231.09602999999998</v>
      </c>
      <c r="G390" s="1981">
        <v>263.911</v>
      </c>
      <c r="H390" s="1981">
        <v>278.39863000000003</v>
      </c>
      <c r="I390" s="1981">
        <v>257.23950000000002</v>
      </c>
      <c r="J390" s="1981">
        <v>274.39749999999998</v>
      </c>
      <c r="K390" s="1981">
        <v>262.34753999999998</v>
      </c>
      <c r="L390" s="1981">
        <v>830.62990000000002</v>
      </c>
      <c r="M390" s="1981">
        <v>543.55016000000001</v>
      </c>
      <c r="N390" s="1981">
        <v>282.57914</v>
      </c>
      <c r="O390" s="1981">
        <v>286.49340000000001</v>
      </c>
      <c r="P390" s="1981">
        <v>294.45375999999999</v>
      </c>
      <c r="Q390" s="1981">
        <v>262.03634</v>
      </c>
      <c r="R390" s="1981">
        <v>4067.1329000000001</v>
      </c>
      <c r="T390" s="48">
        <f t="shared" si="6"/>
        <v>0</v>
      </c>
      <c r="U390" s="48"/>
    </row>
    <row r="391" spans="2:21">
      <c r="B391" s="33" t="s">
        <v>7621</v>
      </c>
      <c r="C391" t="s">
        <v>2069</v>
      </c>
      <c r="D391" s="1962" t="s">
        <v>1303</v>
      </c>
      <c r="E391" s="1962" t="s">
        <v>1304</v>
      </c>
      <c r="F391" s="1981">
        <v>884.80396999999994</v>
      </c>
      <c r="G391" s="1981">
        <v>-422.76567999999997</v>
      </c>
      <c r="H391" s="1981">
        <v>-7299.2056900000007</v>
      </c>
      <c r="I391" s="1981">
        <v>211.33493999999999</v>
      </c>
      <c r="J391" s="1981">
        <v>3991.7338599999998</v>
      </c>
      <c r="K391" s="1981">
        <v>5694.6508800000001</v>
      </c>
      <c r="L391" s="1981">
        <v>7203.19632</v>
      </c>
      <c r="M391" s="1981">
        <v>7874.5297499999997</v>
      </c>
      <c r="N391" s="1981">
        <v>4089.9651800000001</v>
      </c>
      <c r="O391" s="1981">
        <v>2467.1107700000002</v>
      </c>
      <c r="P391" s="1981">
        <v>-1631.3554799999999</v>
      </c>
      <c r="Q391" s="1981">
        <v>-1965.9124999999999</v>
      </c>
      <c r="R391" s="1981">
        <v>21098.086320000002</v>
      </c>
      <c r="T391" s="48">
        <f t="shared" si="6"/>
        <v>0</v>
      </c>
      <c r="U391" s="48"/>
    </row>
    <row r="392" spans="2:21">
      <c r="B392" s="33" t="s">
        <v>7622</v>
      </c>
      <c r="C392" t="s">
        <v>2069</v>
      </c>
      <c r="D392" s="1962" t="s">
        <v>1305</v>
      </c>
      <c r="E392" s="1962" t="s">
        <v>1306</v>
      </c>
      <c r="F392" s="1981">
        <v>64.047780000000003</v>
      </c>
      <c r="G392" s="1981">
        <v>73.142380000000003</v>
      </c>
      <c r="H392" s="1981">
        <v>77.157589999999999</v>
      </c>
      <c r="I392" s="1981">
        <v>71.293390000000002</v>
      </c>
      <c r="J392" s="1981">
        <v>76.048690000000008</v>
      </c>
      <c r="K392" s="1981">
        <v>72.709070000000011</v>
      </c>
      <c r="L392" s="1981">
        <v>230.20732000000001</v>
      </c>
      <c r="M392" s="1981">
        <v>150.64379</v>
      </c>
      <c r="N392" s="1981">
        <v>78.316210000000012</v>
      </c>
      <c r="O392" s="1981">
        <v>79.401049999999998</v>
      </c>
      <c r="P392" s="1981">
        <v>81.607240000000004</v>
      </c>
      <c r="Q392" s="1981">
        <v>72.622820000000004</v>
      </c>
      <c r="R392" s="1981">
        <v>1127.19733</v>
      </c>
      <c r="T392" s="48">
        <f t="shared" si="6"/>
        <v>0</v>
      </c>
      <c r="U392" s="48"/>
    </row>
    <row r="393" spans="2:21">
      <c r="B393" s="33" t="s">
        <v>7623</v>
      </c>
      <c r="C393" t="s">
        <v>2069</v>
      </c>
      <c r="D393" s="1962" t="s">
        <v>1307</v>
      </c>
      <c r="E393" s="1962" t="s">
        <v>1308</v>
      </c>
      <c r="F393" s="1981">
        <v>202.49785999999997</v>
      </c>
      <c r="G393" s="1981">
        <v>-159.89232999999999</v>
      </c>
      <c r="H393" s="1981">
        <v>-1812.7751000000001</v>
      </c>
      <c r="I393" s="1981">
        <v>15.847329999999999</v>
      </c>
      <c r="J393" s="1981">
        <v>1063.5769399999999</v>
      </c>
      <c r="K393" s="1981">
        <v>1788.4449</v>
      </c>
      <c r="L393" s="1981">
        <v>1953.627</v>
      </c>
      <c r="M393" s="1981">
        <v>2139.6856499999999</v>
      </c>
      <c r="N393" s="1981">
        <v>1343.7096399999998</v>
      </c>
      <c r="O393" s="1981">
        <v>641.03085999999996</v>
      </c>
      <c r="P393" s="1981">
        <v>-494.85043999999999</v>
      </c>
      <c r="Q393" s="1981">
        <v>-334.66411999999997</v>
      </c>
      <c r="R393" s="1981">
        <v>6346.2381899999991</v>
      </c>
      <c r="T393" s="48">
        <f t="shared" si="6"/>
        <v>0</v>
      </c>
      <c r="U393" s="48"/>
    </row>
    <row r="394" spans="2:21">
      <c r="B394" s="33" t="s">
        <v>7624</v>
      </c>
      <c r="C394" t="s">
        <v>2069</v>
      </c>
      <c r="D394" s="1962" t="s">
        <v>1309</v>
      </c>
      <c r="E394" s="1962" t="s">
        <v>1310</v>
      </c>
      <c r="F394" s="1981">
        <v>6496.0044800000005</v>
      </c>
      <c r="G394" s="1981">
        <v>6543.8164100000004</v>
      </c>
      <c r="H394" s="1981">
        <v>17504.589520000001</v>
      </c>
      <c r="I394" s="1981">
        <v>6831.1847300000009</v>
      </c>
      <c r="J394" s="1981">
        <v>6449.8209500000003</v>
      </c>
      <c r="K394" s="1981">
        <v>6847.2817999999997</v>
      </c>
      <c r="L394" s="1981">
        <v>6264.0393800000002</v>
      </c>
      <c r="M394" s="1981">
        <v>6399.3160199999993</v>
      </c>
      <c r="N394" s="1981">
        <v>6885.8292599999995</v>
      </c>
      <c r="O394" s="1981">
        <v>6374.72217</v>
      </c>
      <c r="P394" s="1981">
        <v>6339.7101299999995</v>
      </c>
      <c r="Q394" s="1981">
        <v>13534.296050000001</v>
      </c>
      <c r="R394" s="1981">
        <v>96470.6109</v>
      </c>
      <c r="T394" s="48">
        <f t="shared" si="6"/>
        <v>0</v>
      </c>
      <c r="U394" s="48"/>
    </row>
    <row r="395" spans="2:21">
      <c r="B395" s="33" t="s">
        <v>7625</v>
      </c>
      <c r="C395" t="s">
        <v>2069</v>
      </c>
      <c r="D395" s="1962" t="s">
        <v>1311</v>
      </c>
      <c r="E395" s="1962" t="s">
        <v>1312</v>
      </c>
      <c r="F395" s="1981">
        <v>0</v>
      </c>
      <c r="G395" s="1981">
        <v>0</v>
      </c>
      <c r="H395" s="1981">
        <v>0</v>
      </c>
      <c r="I395" s="1981">
        <v>0</v>
      </c>
      <c r="J395" s="1981">
        <v>0</v>
      </c>
      <c r="K395" s="1981">
        <v>0</v>
      </c>
      <c r="L395" s="1981">
        <v>0</v>
      </c>
      <c r="M395" s="1981">
        <v>0</v>
      </c>
      <c r="N395" s="1981">
        <v>0</v>
      </c>
      <c r="O395" s="1981">
        <v>0</v>
      </c>
      <c r="P395" s="1981">
        <v>0</v>
      </c>
      <c r="Q395" s="1981">
        <v>0</v>
      </c>
      <c r="R395" s="1981">
        <v>0</v>
      </c>
      <c r="T395" s="48">
        <f t="shared" si="6"/>
        <v>0</v>
      </c>
      <c r="U395" s="48"/>
    </row>
    <row r="396" spans="2:21">
      <c r="B396" s="33" t="s">
        <v>7626</v>
      </c>
      <c r="C396" t="s">
        <v>2069</v>
      </c>
      <c r="D396" s="1962" t="s">
        <v>1313</v>
      </c>
      <c r="E396" s="1962" t="s">
        <v>1314</v>
      </c>
      <c r="F396" s="1981">
        <v>-6252.6745999999994</v>
      </c>
      <c r="G396" s="1981">
        <v>-21762.362379999999</v>
      </c>
      <c r="H396" s="1981">
        <v>-7467.6035599999996</v>
      </c>
      <c r="I396" s="1981">
        <v>-33498.495730000002</v>
      </c>
      <c r="J396" s="1981">
        <v>-8265.3699099999994</v>
      </c>
      <c r="K396" s="1981">
        <v>-8908.6598900000008</v>
      </c>
      <c r="L396" s="1981">
        <v>-7622.6936799999994</v>
      </c>
      <c r="M396" s="1981">
        <v>-7855.3324199999997</v>
      </c>
      <c r="N396" s="1981">
        <v>-18165.74915</v>
      </c>
      <c r="O396" s="1981">
        <v>-7330.0090399999999</v>
      </c>
      <c r="P396" s="1981">
        <v>-6241.9757599999994</v>
      </c>
      <c r="Q396" s="1981">
        <v>-9116.9084600000006</v>
      </c>
      <c r="R396" s="1981">
        <v>-142487.83458</v>
      </c>
      <c r="T396" s="48">
        <f t="shared" si="6"/>
        <v>0</v>
      </c>
      <c r="U396" s="48"/>
    </row>
    <row r="397" spans="2:21">
      <c r="B397" s="33" t="s">
        <v>7627</v>
      </c>
      <c r="C397" t="s">
        <v>2069</v>
      </c>
      <c r="D397" s="1962" t="s">
        <v>1315</v>
      </c>
      <c r="E397" s="1962" t="s">
        <v>1316</v>
      </c>
      <c r="F397" s="1981">
        <v>0</v>
      </c>
      <c r="G397" s="1981">
        <v>0</v>
      </c>
      <c r="H397" s="1981">
        <v>0</v>
      </c>
      <c r="I397" s="1981">
        <v>0</v>
      </c>
      <c r="J397" s="1981">
        <v>0</v>
      </c>
      <c r="K397" s="1981">
        <v>0</v>
      </c>
      <c r="L397" s="1981">
        <v>0</v>
      </c>
      <c r="M397" s="1981">
        <v>0</v>
      </c>
      <c r="N397" s="1981">
        <v>0</v>
      </c>
      <c r="O397" s="1981">
        <v>0</v>
      </c>
      <c r="P397" s="1981">
        <v>0</v>
      </c>
      <c r="Q397" s="1981">
        <v>0</v>
      </c>
      <c r="R397" s="1981">
        <v>0</v>
      </c>
      <c r="T397" s="48">
        <f t="shared" si="6"/>
        <v>0</v>
      </c>
      <c r="U397" s="48"/>
    </row>
    <row r="398" spans="2:21">
      <c r="B398" s="33" t="s">
        <v>7628</v>
      </c>
      <c r="C398" t="s">
        <v>2069</v>
      </c>
      <c r="D398" s="1962" t="s">
        <v>1317</v>
      </c>
      <c r="E398" s="1962" t="s">
        <v>543</v>
      </c>
      <c r="F398" s="1981">
        <v>8.7043099999999995</v>
      </c>
      <c r="G398" s="1981">
        <v>8.7043199999999992</v>
      </c>
      <c r="H398" s="1981">
        <v>8.7043099999999995</v>
      </c>
      <c r="I398" s="1981">
        <v>8.7043199999999992</v>
      </c>
      <c r="J398" s="1981">
        <v>8.7043099999999995</v>
      </c>
      <c r="K398" s="1981">
        <v>8.7043199999999992</v>
      </c>
      <c r="L398" s="1981">
        <v>8.7043099999999995</v>
      </c>
      <c r="M398" s="1981">
        <v>8.7043199999999992</v>
      </c>
      <c r="N398" s="1981">
        <v>8.7043099999999995</v>
      </c>
      <c r="O398" s="1981">
        <v>8.7043199999999992</v>
      </c>
      <c r="P398" s="1981">
        <v>8.7043099999999995</v>
      </c>
      <c r="Q398" s="1981">
        <v>8.7043199999999992</v>
      </c>
      <c r="R398" s="1981">
        <v>104.45177999999999</v>
      </c>
      <c r="T398" s="48">
        <f t="shared" si="6"/>
        <v>0</v>
      </c>
      <c r="U398" s="48"/>
    </row>
    <row r="399" spans="2:21">
      <c r="B399" s="33" t="s">
        <v>7629</v>
      </c>
      <c r="C399" t="s">
        <v>2069</v>
      </c>
      <c r="D399" s="1962" t="s">
        <v>1318</v>
      </c>
      <c r="E399" s="1962" t="s">
        <v>1319</v>
      </c>
      <c r="F399" s="1981">
        <v>-158.26026999999999</v>
      </c>
      <c r="G399" s="1981">
        <v>-158.26026999999999</v>
      </c>
      <c r="H399" s="1981">
        <v>-158.26026999999999</v>
      </c>
      <c r="I399" s="1981">
        <v>-158.26026999999999</v>
      </c>
      <c r="J399" s="1981">
        <v>-158.26026999999999</v>
      </c>
      <c r="K399" s="1981">
        <v>-158.26026999999999</v>
      </c>
      <c r="L399" s="1981">
        <v>-158.26026999999999</v>
      </c>
      <c r="M399" s="1981">
        <v>-158.26026999999999</v>
      </c>
      <c r="N399" s="1981">
        <v>-158.26026999999999</v>
      </c>
      <c r="O399" s="1981">
        <v>-158.26026999999999</v>
      </c>
      <c r="P399" s="1981">
        <v>-158.26026999999999</v>
      </c>
      <c r="Q399" s="1981">
        <v>-158.26026999999999</v>
      </c>
      <c r="R399" s="1981">
        <v>-1899.1232399999999</v>
      </c>
      <c r="T399" s="48">
        <f t="shared" si="6"/>
        <v>0</v>
      </c>
      <c r="U399" s="48"/>
    </row>
    <row r="400" spans="2:21">
      <c r="B400" s="33" t="s">
        <v>7630</v>
      </c>
      <c r="C400" t="s">
        <v>2069</v>
      </c>
      <c r="D400" s="1962" t="s">
        <v>1320</v>
      </c>
      <c r="E400" s="1962" t="s">
        <v>1321</v>
      </c>
      <c r="F400" s="1981">
        <v>2345.43968</v>
      </c>
      <c r="G400" s="1981">
        <v>2360.3926299999998</v>
      </c>
      <c r="H400" s="1981">
        <v>3854.1248999999998</v>
      </c>
      <c r="I400" s="1981">
        <v>2435.3464199999999</v>
      </c>
      <c r="J400" s="1981">
        <v>2332.9484300000004</v>
      </c>
      <c r="K400" s="1981">
        <v>2190.9702400000001</v>
      </c>
      <c r="L400" s="1981">
        <v>2282.9939300000001</v>
      </c>
      <c r="M400" s="1981">
        <v>2315.7542699999999</v>
      </c>
      <c r="N400" s="1981">
        <v>2195.7176600000003</v>
      </c>
      <c r="O400" s="1981">
        <v>2310.17265</v>
      </c>
      <c r="P400" s="1981">
        <v>2305.20597</v>
      </c>
      <c r="Q400" s="1981">
        <v>2392.1371200000003</v>
      </c>
      <c r="R400" s="1981">
        <v>29321.203900000004</v>
      </c>
      <c r="T400" s="48">
        <f t="shared" si="6"/>
        <v>0</v>
      </c>
      <c r="U400" s="48"/>
    </row>
    <row r="401" spans="2:21">
      <c r="B401" s="33" t="s">
        <v>7631</v>
      </c>
      <c r="C401" t="s">
        <v>2069</v>
      </c>
      <c r="D401" s="1962" t="s">
        <v>1322</v>
      </c>
      <c r="E401" s="1962" t="s">
        <v>1323</v>
      </c>
      <c r="F401" s="1981">
        <v>-672.76828</v>
      </c>
      <c r="G401" s="1981">
        <v>-674.12443999999994</v>
      </c>
      <c r="H401" s="1981">
        <v>-611.57131000000004</v>
      </c>
      <c r="I401" s="1981">
        <v>-679.8430699999999</v>
      </c>
      <c r="J401" s="1981">
        <v>-685.52390000000003</v>
      </c>
      <c r="K401" s="1981">
        <v>-854.27552000000003</v>
      </c>
      <c r="L401" s="1981">
        <v>-709.35100999999997</v>
      </c>
      <c r="M401" s="1981">
        <v>-797.6673199999999</v>
      </c>
      <c r="N401" s="1981">
        <v>-836.61243999999999</v>
      </c>
      <c r="O401" s="1981">
        <v>-781.92306999999994</v>
      </c>
      <c r="P401" s="1981">
        <v>-666.03543000000002</v>
      </c>
      <c r="Q401" s="1981">
        <v>-913.08893999999998</v>
      </c>
      <c r="R401" s="1981">
        <v>-8882.7847299999994</v>
      </c>
      <c r="T401" s="48">
        <f t="shared" si="6"/>
        <v>0</v>
      </c>
      <c r="U401" s="48"/>
    </row>
    <row r="402" spans="2:21">
      <c r="B402" s="33" t="s">
        <v>7632</v>
      </c>
      <c r="C402" t="s">
        <v>2069</v>
      </c>
      <c r="D402" s="1962" t="s">
        <v>1324</v>
      </c>
      <c r="E402" s="1962" t="s">
        <v>1325</v>
      </c>
      <c r="F402" s="1981">
        <v>0</v>
      </c>
      <c r="G402" s="1981">
        <v>0</v>
      </c>
      <c r="H402" s="1981">
        <v>0</v>
      </c>
      <c r="I402" s="1981">
        <v>0</v>
      </c>
      <c r="J402" s="1981">
        <v>0</v>
      </c>
      <c r="K402" s="1981">
        <v>0</v>
      </c>
      <c r="L402" s="1981">
        <v>0</v>
      </c>
      <c r="M402" s="1981">
        <v>0</v>
      </c>
      <c r="N402" s="1981">
        <v>0</v>
      </c>
      <c r="O402" s="1981">
        <v>0</v>
      </c>
      <c r="P402" s="1981">
        <v>0</v>
      </c>
      <c r="Q402" s="1981">
        <v>0</v>
      </c>
      <c r="R402" s="1981">
        <v>0</v>
      </c>
      <c r="T402" s="48">
        <f t="shared" si="6"/>
        <v>0</v>
      </c>
      <c r="U402" s="48"/>
    </row>
    <row r="403" spans="2:21">
      <c r="B403" s="33" t="s">
        <v>7633</v>
      </c>
      <c r="C403" t="s">
        <v>2069</v>
      </c>
      <c r="D403" s="1962" t="s">
        <v>1326</v>
      </c>
      <c r="E403" s="1962" t="s">
        <v>545</v>
      </c>
      <c r="F403" s="1981">
        <v>0</v>
      </c>
      <c r="G403" s="1981">
        <v>0</v>
      </c>
      <c r="H403" s="1981">
        <v>0</v>
      </c>
      <c r="I403" s="1981">
        <v>0</v>
      </c>
      <c r="J403" s="1981">
        <v>0</v>
      </c>
      <c r="K403" s="1981">
        <v>0</v>
      </c>
      <c r="L403" s="1981">
        <v>0</v>
      </c>
      <c r="M403" s="1981">
        <v>0</v>
      </c>
      <c r="N403" s="1981">
        <v>0</v>
      </c>
      <c r="O403" s="1981">
        <v>0</v>
      </c>
      <c r="P403" s="1981">
        <v>0</v>
      </c>
      <c r="Q403" s="1981">
        <v>0</v>
      </c>
      <c r="R403" s="1981">
        <v>0</v>
      </c>
      <c r="T403" s="48">
        <f t="shared" si="6"/>
        <v>0</v>
      </c>
      <c r="U403" s="48"/>
    </row>
    <row r="404" spans="2:21">
      <c r="B404" s="33" t="s">
        <v>7634</v>
      </c>
      <c r="C404" t="s">
        <v>2069</v>
      </c>
      <c r="D404" s="1962" t="s">
        <v>1327</v>
      </c>
      <c r="E404" s="1962" t="s">
        <v>1328</v>
      </c>
      <c r="F404" s="1981">
        <v>-55.345199999999998</v>
      </c>
      <c r="G404" s="1981">
        <v>-55.345199999999998</v>
      </c>
      <c r="H404" s="1981">
        <v>-55.345199999999998</v>
      </c>
      <c r="I404" s="1981">
        <v>-55.345190000000002</v>
      </c>
      <c r="J404" s="1981">
        <v>-55.345199999999998</v>
      </c>
      <c r="K404" s="1981">
        <v>-55.345199999999998</v>
      </c>
      <c r="L404" s="1981">
        <v>-55.345199999999998</v>
      </c>
      <c r="M404" s="1981">
        <v>-55.345199999999998</v>
      </c>
      <c r="N404" s="1981">
        <v>-55.345199999999998</v>
      </c>
      <c r="O404" s="1981">
        <v>-55.345190000000002</v>
      </c>
      <c r="P404" s="1981">
        <v>-55.345199999999998</v>
      </c>
      <c r="Q404" s="1981">
        <v>-55.345199999999998</v>
      </c>
      <c r="R404" s="1981">
        <v>-664.14237999999978</v>
      </c>
      <c r="T404" s="48">
        <f t="shared" si="6"/>
        <v>0</v>
      </c>
      <c r="U404" s="48"/>
    </row>
    <row r="405" spans="2:21">
      <c r="B405" s="33" t="s">
        <v>7635</v>
      </c>
      <c r="C405" t="s">
        <v>2069</v>
      </c>
      <c r="D405" s="1962" t="s">
        <v>1329</v>
      </c>
      <c r="E405" s="1962" t="s">
        <v>1330</v>
      </c>
      <c r="F405" s="1981">
        <v>-823.44223999999997</v>
      </c>
      <c r="G405" s="1981">
        <v>14389.257730000001</v>
      </c>
      <c r="H405" s="1981">
        <v>-950.21422999999993</v>
      </c>
      <c r="I405" s="1981">
        <v>24696.854769999998</v>
      </c>
      <c r="J405" s="1981">
        <v>-1163.9409099999998</v>
      </c>
      <c r="K405" s="1981">
        <v>-1163.9408799999999</v>
      </c>
      <c r="L405" s="1981">
        <v>-1163.9408799999999</v>
      </c>
      <c r="M405" s="1981">
        <v>-1163.9409099999998</v>
      </c>
      <c r="N405" s="1981">
        <v>-1163.9408799999999</v>
      </c>
      <c r="O405" s="1981">
        <v>-1163.9408799999999</v>
      </c>
      <c r="P405" s="1981">
        <v>-1163.9409099999998</v>
      </c>
      <c r="Q405" s="1981">
        <v>280.41232000000002</v>
      </c>
      <c r="R405" s="1981">
        <v>29445.2821</v>
      </c>
      <c r="T405" s="48">
        <f t="shared" si="6"/>
        <v>0</v>
      </c>
      <c r="U405" s="48"/>
    </row>
    <row r="406" spans="2:21">
      <c r="B406" s="33" t="s">
        <v>7636</v>
      </c>
      <c r="C406" t="s">
        <v>2069</v>
      </c>
      <c r="D406" s="1962" t="s">
        <v>1331</v>
      </c>
      <c r="E406" s="1962" t="s">
        <v>1332</v>
      </c>
      <c r="F406" s="1981">
        <v>-0.92791999999999997</v>
      </c>
      <c r="G406" s="1981">
        <v>-0.92791000000000001</v>
      </c>
      <c r="H406" s="1981">
        <v>-0.92791999999999997</v>
      </c>
      <c r="I406" s="1981">
        <v>-0.92791999999999997</v>
      </c>
      <c r="J406" s="1981">
        <v>-0.92791000000000001</v>
      </c>
      <c r="K406" s="1981">
        <v>-0.92791999999999997</v>
      </c>
      <c r="L406" s="1981">
        <v>-0.92791999999999997</v>
      </c>
      <c r="M406" s="1981">
        <v>-0.92791000000000001</v>
      </c>
      <c r="N406" s="1981">
        <v>-0.92791999999999997</v>
      </c>
      <c r="O406" s="1981">
        <v>-0.92791999999999997</v>
      </c>
      <c r="P406" s="1981">
        <v>-0.92791000000000001</v>
      </c>
      <c r="Q406" s="1981">
        <v>-0.92791999999999997</v>
      </c>
      <c r="R406" s="1981">
        <v>-11.135000000000002</v>
      </c>
      <c r="T406" s="48">
        <f t="shared" si="6"/>
        <v>0</v>
      </c>
      <c r="U406" s="48"/>
    </row>
    <row r="407" spans="2:21">
      <c r="B407" s="33" t="s">
        <v>7637</v>
      </c>
      <c r="C407" t="s">
        <v>2069</v>
      </c>
      <c r="D407" s="1962" t="s">
        <v>1333</v>
      </c>
      <c r="E407" s="1962" t="s">
        <v>1334</v>
      </c>
      <c r="F407" s="1981">
        <v>0</v>
      </c>
      <c r="G407" s="1981">
        <v>0</v>
      </c>
      <c r="H407" s="1981">
        <v>0</v>
      </c>
      <c r="I407" s="1981">
        <v>0</v>
      </c>
      <c r="J407" s="1981">
        <v>0</v>
      </c>
      <c r="K407" s="1981">
        <v>0</v>
      </c>
      <c r="L407" s="1981">
        <v>0</v>
      </c>
      <c r="M407" s="1981">
        <v>0</v>
      </c>
      <c r="N407" s="1981">
        <v>0</v>
      </c>
      <c r="O407" s="1981">
        <v>0</v>
      </c>
      <c r="P407" s="1981">
        <v>0</v>
      </c>
      <c r="Q407" s="1981">
        <v>0</v>
      </c>
      <c r="R407" s="1981">
        <v>0</v>
      </c>
      <c r="T407" s="48">
        <f t="shared" si="6"/>
        <v>0</v>
      </c>
      <c r="U407" s="48"/>
    </row>
    <row r="408" spans="2:21">
      <c r="B408" s="33" t="s">
        <v>7638</v>
      </c>
      <c r="C408" t="s">
        <v>2069</v>
      </c>
      <c r="D408" s="1962" t="s">
        <v>1335</v>
      </c>
      <c r="E408" s="1962" t="s">
        <v>1336</v>
      </c>
      <c r="F408" s="1981">
        <v>0</v>
      </c>
      <c r="G408" s="1981">
        <v>0</v>
      </c>
      <c r="H408" s="1981">
        <v>0</v>
      </c>
      <c r="I408" s="1981">
        <v>0</v>
      </c>
      <c r="J408" s="1981">
        <v>0</v>
      </c>
      <c r="K408" s="1981">
        <v>0</v>
      </c>
      <c r="L408" s="1981">
        <v>0</v>
      </c>
      <c r="M408" s="1981">
        <v>0</v>
      </c>
      <c r="N408" s="1981">
        <v>0</v>
      </c>
      <c r="O408" s="1981">
        <v>0</v>
      </c>
      <c r="P408" s="1981">
        <v>0</v>
      </c>
      <c r="Q408" s="1981">
        <v>0</v>
      </c>
      <c r="R408" s="1981">
        <v>0</v>
      </c>
      <c r="T408" s="48">
        <f t="shared" si="6"/>
        <v>0</v>
      </c>
      <c r="U408" s="48"/>
    </row>
    <row r="409" spans="2:21">
      <c r="B409" s="33" t="s">
        <v>7639</v>
      </c>
      <c r="C409" t="s">
        <v>2069</v>
      </c>
      <c r="D409" s="1962" t="s">
        <v>1337</v>
      </c>
      <c r="E409" s="1962" t="s">
        <v>1338</v>
      </c>
      <c r="F409" s="1981">
        <v>0</v>
      </c>
      <c r="G409" s="1981">
        <v>0</v>
      </c>
      <c r="H409" s="1981">
        <v>0</v>
      </c>
      <c r="I409" s="1981">
        <v>0</v>
      </c>
      <c r="J409" s="1981">
        <v>0</v>
      </c>
      <c r="K409" s="1981">
        <v>0</v>
      </c>
      <c r="L409" s="1981">
        <v>0</v>
      </c>
      <c r="M409" s="1981">
        <v>0</v>
      </c>
      <c r="N409" s="1981">
        <v>0</v>
      </c>
      <c r="O409" s="1981">
        <v>0</v>
      </c>
      <c r="P409" s="1981">
        <v>0</v>
      </c>
      <c r="Q409" s="1981">
        <v>0</v>
      </c>
      <c r="R409" s="1981">
        <v>0</v>
      </c>
      <c r="T409" s="48">
        <f t="shared" si="6"/>
        <v>0</v>
      </c>
      <c r="U409" s="48"/>
    </row>
    <row r="410" spans="2:21">
      <c r="B410" s="33" t="s">
        <v>7640</v>
      </c>
      <c r="C410" t="s">
        <v>2069</v>
      </c>
      <c r="D410" s="1962" t="s">
        <v>1339</v>
      </c>
      <c r="E410" s="1962" t="s">
        <v>7641</v>
      </c>
      <c r="F410" s="1981">
        <v>0</v>
      </c>
      <c r="G410" s="1981">
        <v>0</v>
      </c>
      <c r="H410" s="1981">
        <v>0</v>
      </c>
      <c r="I410" s="1981">
        <v>0</v>
      </c>
      <c r="J410" s="1981">
        <v>0</v>
      </c>
      <c r="K410" s="1981">
        <v>0</v>
      </c>
      <c r="L410" s="1981">
        <v>0</v>
      </c>
      <c r="M410" s="1981">
        <v>0</v>
      </c>
      <c r="N410" s="1981">
        <v>0</v>
      </c>
      <c r="O410" s="1981">
        <v>0</v>
      </c>
      <c r="P410" s="1981">
        <v>0</v>
      </c>
      <c r="Q410" s="1981">
        <v>0</v>
      </c>
      <c r="R410" s="1981">
        <v>0</v>
      </c>
      <c r="T410" s="48">
        <f t="shared" si="6"/>
        <v>0</v>
      </c>
      <c r="U410" s="48"/>
    </row>
    <row r="411" spans="2:21">
      <c r="B411" s="33" t="s">
        <v>7642</v>
      </c>
      <c r="C411" t="s">
        <v>2069</v>
      </c>
      <c r="D411" s="1962" t="s">
        <v>1340</v>
      </c>
      <c r="E411" s="1962" t="s">
        <v>7643</v>
      </c>
      <c r="F411" s="1981">
        <v>0</v>
      </c>
      <c r="G411" s="1981">
        <v>0</v>
      </c>
      <c r="H411" s="1981">
        <v>0</v>
      </c>
      <c r="I411" s="1981">
        <v>0</v>
      </c>
      <c r="J411" s="1981">
        <v>0</v>
      </c>
      <c r="K411" s="1981">
        <v>0</v>
      </c>
      <c r="L411" s="1981">
        <v>0</v>
      </c>
      <c r="M411" s="1981">
        <v>0</v>
      </c>
      <c r="N411" s="1981">
        <v>0</v>
      </c>
      <c r="O411" s="1981">
        <v>0</v>
      </c>
      <c r="P411" s="1981">
        <v>0</v>
      </c>
      <c r="Q411" s="1981">
        <v>0</v>
      </c>
      <c r="R411" s="1981">
        <v>0</v>
      </c>
      <c r="T411" s="48">
        <f t="shared" si="6"/>
        <v>0</v>
      </c>
      <c r="U411" s="48"/>
    </row>
    <row r="412" spans="2:21">
      <c r="B412" s="33" t="s">
        <v>7644</v>
      </c>
      <c r="C412" t="s">
        <v>2069</v>
      </c>
      <c r="D412" s="1962" t="s">
        <v>1341</v>
      </c>
      <c r="E412" s="1962" t="s">
        <v>7645</v>
      </c>
      <c r="F412" s="1981">
        <v>0</v>
      </c>
      <c r="G412" s="1981">
        <v>0</v>
      </c>
      <c r="H412" s="1981">
        <v>0</v>
      </c>
      <c r="I412" s="1981">
        <v>0</v>
      </c>
      <c r="J412" s="1981">
        <v>0</v>
      </c>
      <c r="K412" s="1981">
        <v>0</v>
      </c>
      <c r="L412" s="1981">
        <v>0</v>
      </c>
      <c r="M412" s="1981">
        <v>0</v>
      </c>
      <c r="N412" s="1981">
        <v>0</v>
      </c>
      <c r="O412" s="1981">
        <v>0</v>
      </c>
      <c r="P412" s="1981">
        <v>0</v>
      </c>
      <c r="Q412" s="1981">
        <v>0</v>
      </c>
      <c r="R412" s="1981">
        <v>0</v>
      </c>
      <c r="T412" s="48">
        <f t="shared" si="6"/>
        <v>0</v>
      </c>
      <c r="U412" s="48"/>
    </row>
    <row r="413" spans="2:21">
      <c r="B413" s="33" t="s">
        <v>7646</v>
      </c>
      <c r="C413" t="s">
        <v>2069</v>
      </c>
      <c r="D413" s="1962" t="s">
        <v>1342</v>
      </c>
      <c r="E413" s="1962" t="s">
        <v>7647</v>
      </c>
      <c r="F413" s="1981">
        <v>0</v>
      </c>
      <c r="G413" s="1981">
        <v>0</v>
      </c>
      <c r="H413" s="1981">
        <v>0</v>
      </c>
      <c r="I413" s="1981">
        <v>0</v>
      </c>
      <c r="J413" s="1981">
        <v>0</v>
      </c>
      <c r="K413" s="1981">
        <v>0</v>
      </c>
      <c r="L413" s="1981">
        <v>0</v>
      </c>
      <c r="M413" s="1981">
        <v>0</v>
      </c>
      <c r="N413" s="1981">
        <v>0</v>
      </c>
      <c r="O413" s="1981">
        <v>0</v>
      </c>
      <c r="P413" s="1981">
        <v>0</v>
      </c>
      <c r="Q413" s="1981">
        <v>0</v>
      </c>
      <c r="R413" s="1981">
        <v>0</v>
      </c>
      <c r="T413" s="48">
        <f t="shared" si="6"/>
        <v>0</v>
      </c>
      <c r="U413" s="48"/>
    </row>
    <row r="414" spans="2:21">
      <c r="B414" s="33" t="s">
        <v>7648</v>
      </c>
      <c r="C414" t="s">
        <v>2069</v>
      </c>
      <c r="D414" s="1962" t="s">
        <v>1343</v>
      </c>
      <c r="E414" s="1962" t="s">
        <v>7649</v>
      </c>
      <c r="F414" s="1981">
        <v>0</v>
      </c>
      <c r="G414" s="1981">
        <v>0</v>
      </c>
      <c r="H414" s="1981">
        <v>0</v>
      </c>
      <c r="I414" s="1981">
        <v>0</v>
      </c>
      <c r="J414" s="1981">
        <v>0</v>
      </c>
      <c r="K414" s="1981">
        <v>0</v>
      </c>
      <c r="L414" s="1981">
        <v>0</v>
      </c>
      <c r="M414" s="1981">
        <v>0</v>
      </c>
      <c r="N414" s="1981">
        <v>0</v>
      </c>
      <c r="O414" s="1981">
        <v>0</v>
      </c>
      <c r="P414" s="1981">
        <v>0</v>
      </c>
      <c r="Q414" s="1981">
        <v>0</v>
      </c>
      <c r="R414" s="1981">
        <v>0</v>
      </c>
      <c r="T414" s="48">
        <f t="shared" si="6"/>
        <v>0</v>
      </c>
      <c r="U414" s="48"/>
    </row>
    <row r="415" spans="2:21">
      <c r="B415" s="33" t="s">
        <v>7650</v>
      </c>
      <c r="C415" t="s">
        <v>2069</v>
      </c>
      <c r="D415" s="1962" t="s">
        <v>1344</v>
      </c>
      <c r="E415" s="1962" t="s">
        <v>7651</v>
      </c>
      <c r="F415" s="1981">
        <v>0</v>
      </c>
      <c r="G415" s="1981">
        <v>0</v>
      </c>
      <c r="H415" s="1981">
        <v>0</v>
      </c>
      <c r="I415" s="1981">
        <v>0</v>
      </c>
      <c r="J415" s="1981">
        <v>0</v>
      </c>
      <c r="K415" s="1981">
        <v>0</v>
      </c>
      <c r="L415" s="1981">
        <v>0</v>
      </c>
      <c r="M415" s="1981">
        <v>0</v>
      </c>
      <c r="N415" s="1981">
        <v>0</v>
      </c>
      <c r="O415" s="1981">
        <v>0</v>
      </c>
      <c r="P415" s="1981">
        <v>0</v>
      </c>
      <c r="Q415" s="1981">
        <v>0</v>
      </c>
      <c r="R415" s="1981">
        <v>0</v>
      </c>
      <c r="T415" s="48">
        <f t="shared" si="6"/>
        <v>0</v>
      </c>
      <c r="U415" s="48"/>
    </row>
    <row r="416" spans="2:21">
      <c r="B416" s="33" t="s">
        <v>7652</v>
      </c>
      <c r="C416" t="s">
        <v>2069</v>
      </c>
      <c r="D416" s="1962" t="s">
        <v>1345</v>
      </c>
      <c r="E416" s="1962" t="s">
        <v>7653</v>
      </c>
      <c r="F416" s="1981">
        <v>0</v>
      </c>
      <c r="G416" s="1981">
        <v>0</v>
      </c>
      <c r="H416" s="1981">
        <v>0</v>
      </c>
      <c r="I416" s="1981">
        <v>0</v>
      </c>
      <c r="J416" s="1981">
        <v>0</v>
      </c>
      <c r="K416" s="1981">
        <v>0</v>
      </c>
      <c r="L416" s="1981">
        <v>0</v>
      </c>
      <c r="M416" s="1981">
        <v>0</v>
      </c>
      <c r="N416" s="1981">
        <v>0</v>
      </c>
      <c r="O416" s="1981">
        <v>0</v>
      </c>
      <c r="P416" s="1981">
        <v>0</v>
      </c>
      <c r="Q416" s="1981">
        <v>0</v>
      </c>
      <c r="R416" s="1981">
        <v>0</v>
      </c>
      <c r="T416" s="48">
        <f t="shared" si="6"/>
        <v>0</v>
      </c>
      <c r="U416" s="48"/>
    </row>
    <row r="417" spans="2:21">
      <c r="B417" s="33" t="s">
        <v>7654</v>
      </c>
      <c r="C417" t="s">
        <v>2069</v>
      </c>
      <c r="D417" s="1962" t="s">
        <v>1346</v>
      </c>
      <c r="E417" s="1962" t="s">
        <v>1347</v>
      </c>
      <c r="F417" s="1981">
        <v>0</v>
      </c>
      <c r="G417" s="1981">
        <v>0</v>
      </c>
      <c r="H417" s="1981">
        <v>0</v>
      </c>
      <c r="I417" s="1981">
        <v>0</v>
      </c>
      <c r="J417" s="1981">
        <v>0</v>
      </c>
      <c r="K417" s="1981">
        <v>0</v>
      </c>
      <c r="L417" s="1981">
        <v>0</v>
      </c>
      <c r="M417" s="1981">
        <v>0</v>
      </c>
      <c r="N417" s="1981">
        <v>0</v>
      </c>
      <c r="O417" s="1981">
        <v>0</v>
      </c>
      <c r="P417" s="1981">
        <v>0</v>
      </c>
      <c r="Q417" s="1981">
        <v>0</v>
      </c>
      <c r="R417" s="1981">
        <v>0</v>
      </c>
      <c r="T417" s="48">
        <f t="shared" si="6"/>
        <v>0</v>
      </c>
      <c r="U417" s="48"/>
    </row>
    <row r="418" spans="2:21">
      <c r="B418" s="33" t="s">
        <v>7655</v>
      </c>
      <c r="C418" t="s">
        <v>2069</v>
      </c>
      <c r="D418" s="1962" t="s">
        <v>1348</v>
      </c>
      <c r="E418" s="1962" t="s">
        <v>1349</v>
      </c>
      <c r="F418" s="1981">
        <v>0</v>
      </c>
      <c r="G418" s="1981">
        <v>0</v>
      </c>
      <c r="H418" s="1981">
        <v>0</v>
      </c>
      <c r="I418" s="1981">
        <v>0</v>
      </c>
      <c r="J418" s="1981">
        <v>0</v>
      </c>
      <c r="K418" s="1981">
        <v>0</v>
      </c>
      <c r="L418" s="1981">
        <v>0</v>
      </c>
      <c r="M418" s="1981">
        <v>0</v>
      </c>
      <c r="N418" s="1981">
        <v>0</v>
      </c>
      <c r="O418" s="1981">
        <v>0</v>
      </c>
      <c r="P418" s="1981">
        <v>0</v>
      </c>
      <c r="Q418" s="1981">
        <v>0</v>
      </c>
      <c r="R418" s="1981">
        <v>0</v>
      </c>
      <c r="T418" s="48">
        <f t="shared" si="6"/>
        <v>0</v>
      </c>
      <c r="U418" s="48"/>
    </row>
    <row r="419" spans="2:21">
      <c r="B419" s="33" t="s">
        <v>7656</v>
      </c>
      <c r="C419" t="s">
        <v>2069</v>
      </c>
      <c r="D419" s="1962" t="s">
        <v>1350</v>
      </c>
      <c r="E419" s="1962" t="s">
        <v>1351</v>
      </c>
      <c r="F419" s="1981">
        <v>0</v>
      </c>
      <c r="G419" s="1981">
        <v>0</v>
      </c>
      <c r="H419" s="1981">
        <v>0</v>
      </c>
      <c r="I419" s="1981">
        <v>0</v>
      </c>
      <c r="J419" s="1981">
        <v>0</v>
      </c>
      <c r="K419" s="1981">
        <v>0</v>
      </c>
      <c r="L419" s="1981">
        <v>0</v>
      </c>
      <c r="M419" s="1981">
        <v>0</v>
      </c>
      <c r="N419" s="1981">
        <v>0</v>
      </c>
      <c r="O419" s="1981">
        <v>0</v>
      </c>
      <c r="P419" s="1981">
        <v>0</v>
      </c>
      <c r="Q419" s="1981">
        <v>0</v>
      </c>
      <c r="R419" s="1981">
        <v>0</v>
      </c>
      <c r="T419" s="48">
        <f t="shared" si="6"/>
        <v>0</v>
      </c>
      <c r="U419" s="48"/>
    </row>
    <row r="420" spans="2:21">
      <c r="B420" s="33" t="s">
        <v>7657</v>
      </c>
      <c r="C420" t="s">
        <v>2069</v>
      </c>
      <c r="D420" s="1962" t="s">
        <v>1352</v>
      </c>
      <c r="E420" s="1962" t="s">
        <v>1353</v>
      </c>
      <c r="F420" s="1981">
        <v>0</v>
      </c>
      <c r="G420" s="1981">
        <v>0</v>
      </c>
      <c r="H420" s="1981">
        <v>0</v>
      </c>
      <c r="I420" s="1981">
        <v>0</v>
      </c>
      <c r="J420" s="1981">
        <v>0</v>
      </c>
      <c r="K420" s="1981">
        <v>0</v>
      </c>
      <c r="L420" s="1981">
        <v>0</v>
      </c>
      <c r="M420" s="1981">
        <v>0</v>
      </c>
      <c r="N420" s="1981">
        <v>0</v>
      </c>
      <c r="O420" s="1981">
        <v>0</v>
      </c>
      <c r="P420" s="1981">
        <v>0</v>
      </c>
      <c r="Q420" s="1981">
        <v>0</v>
      </c>
      <c r="R420" s="1981">
        <v>0</v>
      </c>
      <c r="T420" s="48">
        <f t="shared" si="6"/>
        <v>0</v>
      </c>
      <c r="U420" s="48"/>
    </row>
    <row r="421" spans="2:21">
      <c r="B421" s="33" t="s">
        <v>7658</v>
      </c>
      <c r="C421" t="s">
        <v>8496</v>
      </c>
      <c r="D421" s="1962" t="s">
        <v>7659</v>
      </c>
      <c r="E421" s="1962" t="s">
        <v>7660</v>
      </c>
      <c r="F421" s="1981">
        <v>1.5</v>
      </c>
      <c r="G421" s="1981">
        <v>1.5</v>
      </c>
      <c r="H421" s="1981">
        <v>1.5</v>
      </c>
      <c r="I421" s="1981">
        <v>1.5</v>
      </c>
      <c r="J421" s="1981">
        <v>1.5</v>
      </c>
      <c r="K421" s="1981">
        <v>1.5</v>
      </c>
      <c r="L421" s="1981">
        <v>1.5</v>
      </c>
      <c r="M421" s="1981">
        <v>1.5</v>
      </c>
      <c r="N421" s="1981">
        <v>1.5</v>
      </c>
      <c r="O421" s="1981">
        <v>1.5</v>
      </c>
      <c r="P421" s="1981">
        <v>1.5</v>
      </c>
      <c r="Q421" s="1981">
        <v>1.5</v>
      </c>
      <c r="R421" s="1981">
        <v>18</v>
      </c>
      <c r="T421" s="48">
        <f t="shared" si="6"/>
        <v>0</v>
      </c>
      <c r="U421" s="48"/>
    </row>
    <row r="422" spans="2:21">
      <c r="B422" s="33" t="s">
        <v>7661</v>
      </c>
      <c r="C422" t="s">
        <v>8496</v>
      </c>
      <c r="D422" s="1962" t="s">
        <v>7662</v>
      </c>
      <c r="E422" s="1962" t="s">
        <v>7663</v>
      </c>
      <c r="F422" s="1981">
        <v>14628.9605240167</v>
      </c>
      <c r="G422" s="1981">
        <v>13350.603930174901</v>
      </c>
      <c r="H422" s="1981">
        <v>13376.2654724727</v>
      </c>
      <c r="I422" s="1981">
        <v>14213.291264342201</v>
      </c>
      <c r="J422" s="1981">
        <v>14826.0042860702</v>
      </c>
      <c r="K422" s="1981">
        <v>12877.1957409795</v>
      </c>
      <c r="L422" s="1981">
        <v>14878.0553530732</v>
      </c>
      <c r="M422" s="1981">
        <v>14235.998856293701</v>
      </c>
      <c r="N422" s="1981">
        <v>13558.327551209901</v>
      </c>
      <c r="O422" s="1981">
        <v>14885.426051083301</v>
      </c>
      <c r="P422" s="1981">
        <v>13597.7595038362</v>
      </c>
      <c r="Q422" s="1981">
        <v>14223.7992350721</v>
      </c>
      <c r="R422" s="1981">
        <v>168651.6877686246</v>
      </c>
      <c r="T422" s="48">
        <f t="shared" si="6"/>
        <v>0</v>
      </c>
      <c r="U422" s="48"/>
    </row>
    <row r="423" spans="2:21">
      <c r="B423" s="33" t="s">
        <v>7664</v>
      </c>
      <c r="C423" t="s">
        <v>8496</v>
      </c>
      <c r="D423" s="1962" t="s">
        <v>7665</v>
      </c>
      <c r="E423" s="1962" t="s">
        <v>7666</v>
      </c>
      <c r="F423" s="1981">
        <v>10.375</v>
      </c>
      <c r="G423" s="1981">
        <v>10.375</v>
      </c>
      <c r="H423" s="1981">
        <v>10.375</v>
      </c>
      <c r="I423" s="1981">
        <v>10.375</v>
      </c>
      <c r="J423" s="1981">
        <v>10.375</v>
      </c>
      <c r="K423" s="1981">
        <v>10.375</v>
      </c>
      <c r="L423" s="1981">
        <v>10.375</v>
      </c>
      <c r="M423" s="1981">
        <v>10.375</v>
      </c>
      <c r="N423" s="1981">
        <v>10.375</v>
      </c>
      <c r="O423" s="1981">
        <v>10.375</v>
      </c>
      <c r="P423" s="1981">
        <v>10.375</v>
      </c>
      <c r="Q423" s="1981">
        <v>10.375</v>
      </c>
      <c r="R423" s="1981">
        <v>124.5</v>
      </c>
      <c r="T423" s="48">
        <f t="shared" si="6"/>
        <v>0</v>
      </c>
      <c r="U423" s="48"/>
    </row>
    <row r="424" spans="2:21">
      <c r="B424" s="33" t="s">
        <v>7667</v>
      </c>
      <c r="C424" t="s">
        <v>8496</v>
      </c>
      <c r="D424" s="1962" t="s">
        <v>7668</v>
      </c>
      <c r="E424" s="1962" t="s">
        <v>7669</v>
      </c>
      <c r="F424" s="1981">
        <v>0</v>
      </c>
      <c r="G424" s="1981">
        <v>0</v>
      </c>
      <c r="H424" s="1981">
        <v>0</v>
      </c>
      <c r="I424" s="1981">
        <v>0</v>
      </c>
      <c r="J424" s="1981">
        <v>0</v>
      </c>
      <c r="K424" s="1981">
        <v>0</v>
      </c>
      <c r="L424" s="1981">
        <v>0</v>
      </c>
      <c r="M424" s="1981">
        <v>0</v>
      </c>
      <c r="N424" s="1981">
        <v>0</v>
      </c>
      <c r="O424" s="1981">
        <v>0</v>
      </c>
      <c r="P424" s="1981">
        <v>0</v>
      </c>
      <c r="Q424" s="1981">
        <v>0</v>
      </c>
      <c r="R424" s="1981">
        <v>0</v>
      </c>
      <c r="T424" s="48">
        <f t="shared" si="6"/>
        <v>0</v>
      </c>
      <c r="U424" s="48"/>
    </row>
    <row r="425" spans="2:21">
      <c r="B425" s="33" t="s">
        <v>7670</v>
      </c>
      <c r="C425" t="s">
        <v>8496</v>
      </c>
      <c r="D425" s="1962" t="s">
        <v>7671</v>
      </c>
      <c r="E425" s="1962" t="s">
        <v>7672</v>
      </c>
      <c r="F425" s="1981">
        <v>0</v>
      </c>
      <c r="G425" s="1981">
        <v>0</v>
      </c>
      <c r="H425" s="1981">
        <v>0</v>
      </c>
      <c r="I425" s="1981">
        <v>0</v>
      </c>
      <c r="J425" s="1981">
        <v>0</v>
      </c>
      <c r="K425" s="1981">
        <v>0</v>
      </c>
      <c r="L425" s="1981">
        <v>0</v>
      </c>
      <c r="M425" s="1981">
        <v>0</v>
      </c>
      <c r="N425" s="1981">
        <v>0</v>
      </c>
      <c r="O425" s="1981">
        <v>0</v>
      </c>
      <c r="P425" s="1981">
        <v>0</v>
      </c>
      <c r="Q425" s="1981">
        <v>0</v>
      </c>
      <c r="R425" s="1981">
        <v>0</v>
      </c>
      <c r="T425" s="48">
        <f t="shared" si="6"/>
        <v>0</v>
      </c>
      <c r="U425" s="48"/>
    </row>
    <row r="426" spans="2:21">
      <c r="B426" s="33" t="s">
        <v>7673</v>
      </c>
      <c r="C426" t="s">
        <v>8496</v>
      </c>
      <c r="D426" s="1962" t="s">
        <v>7674</v>
      </c>
      <c r="E426" s="1962" t="s">
        <v>7675</v>
      </c>
      <c r="F426" s="1981">
        <v>0.86423749999999999</v>
      </c>
      <c r="G426" s="1981">
        <v>0.92908124999999997</v>
      </c>
      <c r="H426" s="1981">
        <v>0.86423749999999999</v>
      </c>
      <c r="I426" s="1981">
        <v>0.86423749999999999</v>
      </c>
      <c r="J426" s="1981">
        <v>0.86423749999999999</v>
      </c>
      <c r="K426" s="1981">
        <v>1.8642375</v>
      </c>
      <c r="L426" s="1981">
        <v>1.9290812499999999</v>
      </c>
      <c r="M426" s="1981">
        <v>1.8642375</v>
      </c>
      <c r="N426" s="1981">
        <v>1.8642375</v>
      </c>
      <c r="O426" s="1981">
        <v>1.8642375</v>
      </c>
      <c r="P426" s="1981">
        <v>1.8642375</v>
      </c>
      <c r="Q426" s="1981">
        <v>1.93323125</v>
      </c>
      <c r="R426" s="1981">
        <v>17.569531249999997</v>
      </c>
      <c r="T426" s="48">
        <f t="shared" si="6"/>
        <v>0</v>
      </c>
      <c r="U426" s="48"/>
    </row>
    <row r="427" spans="2:21">
      <c r="B427" s="33" t="s">
        <v>7676</v>
      </c>
      <c r="C427" t="s">
        <v>8496</v>
      </c>
      <c r="D427" s="1962" t="s">
        <v>7677</v>
      </c>
      <c r="E427" s="1962" t="s">
        <v>7678</v>
      </c>
      <c r="F427" s="1981">
        <v>0</v>
      </c>
      <c r="G427" s="1981">
        <v>0</v>
      </c>
      <c r="H427" s="1981">
        <v>0</v>
      </c>
      <c r="I427" s="1981">
        <v>0</v>
      </c>
      <c r="J427" s="1981">
        <v>0</v>
      </c>
      <c r="K427" s="1981">
        <v>0</v>
      </c>
      <c r="L427" s="1981">
        <v>0</v>
      </c>
      <c r="M427" s="1981">
        <v>0</v>
      </c>
      <c r="N427" s="1981">
        <v>0</v>
      </c>
      <c r="O427" s="1981">
        <v>0</v>
      </c>
      <c r="P427" s="1981">
        <v>0</v>
      </c>
      <c r="Q427" s="1981">
        <v>0</v>
      </c>
      <c r="R427" s="1981">
        <v>0</v>
      </c>
      <c r="T427" s="48">
        <f t="shared" si="6"/>
        <v>0</v>
      </c>
      <c r="U427" s="48"/>
    </row>
    <row r="428" spans="2:21">
      <c r="B428" s="33" t="s">
        <v>7679</v>
      </c>
      <c r="C428" t="s">
        <v>8496</v>
      </c>
      <c r="D428" s="1962" t="s">
        <v>7680</v>
      </c>
      <c r="E428" s="1962" t="s">
        <v>7681</v>
      </c>
      <c r="F428" s="1981">
        <v>0.11025</v>
      </c>
      <c r="G428" s="1981">
        <v>0.11025</v>
      </c>
      <c r="H428" s="1981">
        <v>0.11025</v>
      </c>
      <c r="I428" s="1981">
        <v>0.11025</v>
      </c>
      <c r="J428" s="1981">
        <v>0.11025</v>
      </c>
      <c r="K428" s="1981">
        <v>0.11025</v>
      </c>
      <c r="L428" s="1981">
        <v>0.11025</v>
      </c>
      <c r="M428" s="1981">
        <v>0.11025</v>
      </c>
      <c r="N428" s="1981">
        <v>0.11025</v>
      </c>
      <c r="O428" s="1981">
        <v>0.11025</v>
      </c>
      <c r="P428" s="1981">
        <v>0.11025</v>
      </c>
      <c r="Q428" s="1981">
        <v>0.11025</v>
      </c>
      <c r="R428" s="1981">
        <v>1.3229999999999997</v>
      </c>
      <c r="T428" s="48">
        <f t="shared" si="6"/>
        <v>0</v>
      </c>
      <c r="U428" s="48"/>
    </row>
    <row r="429" spans="2:21">
      <c r="B429" s="33" t="s">
        <v>7682</v>
      </c>
      <c r="C429" t="s">
        <v>8496</v>
      </c>
      <c r="D429" s="1962" t="s">
        <v>7683</v>
      </c>
      <c r="E429" s="1962" t="s">
        <v>7684</v>
      </c>
      <c r="F429" s="1981">
        <v>4.5</v>
      </c>
      <c r="G429" s="1981">
        <v>4.5</v>
      </c>
      <c r="H429" s="1981">
        <v>4.5</v>
      </c>
      <c r="I429" s="1981">
        <v>4.5</v>
      </c>
      <c r="J429" s="1981">
        <v>4.5</v>
      </c>
      <c r="K429" s="1981">
        <v>4.5</v>
      </c>
      <c r="L429" s="1981">
        <v>4.5</v>
      </c>
      <c r="M429" s="1981">
        <v>4.5</v>
      </c>
      <c r="N429" s="1981">
        <v>4.5</v>
      </c>
      <c r="O429" s="1981">
        <v>4.5</v>
      </c>
      <c r="P429" s="1981">
        <v>4.5</v>
      </c>
      <c r="Q429" s="1981">
        <v>4.5</v>
      </c>
      <c r="R429" s="1981">
        <v>54</v>
      </c>
      <c r="T429" s="48">
        <f t="shared" si="6"/>
        <v>0</v>
      </c>
      <c r="U429" s="48"/>
    </row>
    <row r="430" spans="2:21">
      <c r="B430" s="33" t="s">
        <v>7685</v>
      </c>
      <c r="C430" t="s">
        <v>8496</v>
      </c>
      <c r="D430" s="1962" t="s">
        <v>7686</v>
      </c>
      <c r="E430" s="1962" t="s">
        <v>7687</v>
      </c>
      <c r="F430" s="1981">
        <v>0.48555000000000004</v>
      </c>
      <c r="G430" s="1981">
        <v>0</v>
      </c>
      <c r="H430" s="1981">
        <v>0</v>
      </c>
      <c r="I430" s="1981">
        <v>0.48555000000000004</v>
      </c>
      <c r="J430" s="1981">
        <v>0</v>
      </c>
      <c r="K430" s="1981">
        <v>0</v>
      </c>
      <c r="L430" s="1981">
        <v>0.48555000000000004</v>
      </c>
      <c r="M430" s="1981">
        <v>0</v>
      </c>
      <c r="N430" s="1981">
        <v>0</v>
      </c>
      <c r="O430" s="1981">
        <v>0.4886625</v>
      </c>
      <c r="P430" s="1981">
        <v>0</v>
      </c>
      <c r="Q430" s="1981">
        <v>0</v>
      </c>
      <c r="R430" s="1981">
        <v>1.9453125000000002</v>
      </c>
      <c r="T430" s="48">
        <f t="shared" si="6"/>
        <v>0</v>
      </c>
      <c r="U430" s="48"/>
    </row>
    <row r="431" spans="2:21">
      <c r="B431" s="33" t="s">
        <v>7688</v>
      </c>
      <c r="C431" t="s">
        <v>8496</v>
      </c>
      <c r="D431" s="1962" t="s">
        <v>7689</v>
      </c>
      <c r="E431" s="1962" t="s">
        <v>7690</v>
      </c>
      <c r="F431" s="1981">
        <v>123.485</v>
      </c>
      <c r="G431" s="1981">
        <v>0</v>
      </c>
      <c r="H431" s="1981">
        <v>0</v>
      </c>
      <c r="I431" s="1981">
        <v>0</v>
      </c>
      <c r="J431" s="1981">
        <v>0</v>
      </c>
      <c r="K431" s="1981">
        <v>0</v>
      </c>
      <c r="L431" s="1981">
        <v>0</v>
      </c>
      <c r="M431" s="1981">
        <v>0</v>
      </c>
      <c r="N431" s="1981">
        <v>0</v>
      </c>
      <c r="O431" s="1981">
        <v>0</v>
      </c>
      <c r="P431" s="1981">
        <v>0</v>
      </c>
      <c r="Q431" s="1981">
        <v>0</v>
      </c>
      <c r="R431" s="1981">
        <v>123.485</v>
      </c>
      <c r="T431" s="48">
        <f t="shared" si="6"/>
        <v>0</v>
      </c>
      <c r="U431" s="48"/>
    </row>
    <row r="432" spans="2:21">
      <c r="B432" s="33" t="s">
        <v>7691</v>
      </c>
      <c r="C432" t="s">
        <v>8496</v>
      </c>
      <c r="D432" s="1962" t="s">
        <v>7692</v>
      </c>
      <c r="E432" s="1962" t="s">
        <v>7693</v>
      </c>
      <c r="F432" s="1981">
        <v>93.911578488000004</v>
      </c>
      <c r="G432" s="1981">
        <v>93.911578488000004</v>
      </c>
      <c r="H432" s="1981">
        <v>93.911578488000004</v>
      </c>
      <c r="I432" s="1981">
        <v>107.2846611292</v>
      </c>
      <c r="J432" s="1981">
        <v>107.2846611292</v>
      </c>
      <c r="K432" s="1981">
        <v>107.2846611292</v>
      </c>
      <c r="L432" s="1981">
        <v>113.9712024497</v>
      </c>
      <c r="M432" s="1981">
        <v>113.9712024497</v>
      </c>
      <c r="N432" s="1981">
        <v>113.9712024497</v>
      </c>
      <c r="O432" s="1981">
        <v>120.6577437703</v>
      </c>
      <c r="P432" s="1981">
        <v>120.6577437703</v>
      </c>
      <c r="Q432" s="1981">
        <v>154.09045037320001</v>
      </c>
      <c r="R432" s="1981">
        <v>1340.9082641144998</v>
      </c>
      <c r="T432" s="48">
        <f t="shared" si="6"/>
        <v>0</v>
      </c>
      <c r="U432" s="48"/>
    </row>
    <row r="433" spans="2:21">
      <c r="B433" s="33" t="s">
        <v>7694</v>
      </c>
      <c r="C433" t="s">
        <v>8496</v>
      </c>
      <c r="D433" s="1962" t="s">
        <v>7695</v>
      </c>
      <c r="E433" s="1962" t="s">
        <v>7696</v>
      </c>
      <c r="F433" s="1981">
        <v>21.95975</v>
      </c>
      <c r="G433" s="1981">
        <v>58.95975</v>
      </c>
      <c r="H433" s="1981">
        <v>66.95975</v>
      </c>
      <c r="I433" s="1981">
        <v>21.95975</v>
      </c>
      <c r="J433" s="1981">
        <v>21.95975</v>
      </c>
      <c r="K433" s="1981">
        <v>21.95975</v>
      </c>
      <c r="L433" s="1981">
        <v>21.95975</v>
      </c>
      <c r="M433" s="1981">
        <v>21.95975</v>
      </c>
      <c r="N433" s="1981">
        <v>44.626416666700003</v>
      </c>
      <c r="O433" s="1981">
        <v>44.626416666700003</v>
      </c>
      <c r="P433" s="1981">
        <v>48.626416666700003</v>
      </c>
      <c r="Q433" s="1981">
        <v>25.95975</v>
      </c>
      <c r="R433" s="1981">
        <v>421.51700000009987</v>
      </c>
      <c r="T433" s="48">
        <f t="shared" si="6"/>
        <v>0</v>
      </c>
      <c r="U433" s="48"/>
    </row>
    <row r="434" spans="2:21">
      <c r="B434" s="33" t="s">
        <v>9163</v>
      </c>
      <c r="C434" t="s">
        <v>8496</v>
      </c>
      <c r="D434" s="1962" t="s">
        <v>9164</v>
      </c>
      <c r="E434" s="1962" t="s">
        <v>9165</v>
      </c>
      <c r="F434" s="1981">
        <v>-19.75</v>
      </c>
      <c r="G434" s="1981">
        <v>-19.75</v>
      </c>
      <c r="H434" s="1981">
        <v>-19.75</v>
      </c>
      <c r="I434" s="1981">
        <v>-19.75</v>
      </c>
      <c r="J434" s="1981">
        <v>-19.75</v>
      </c>
      <c r="K434" s="1981">
        <v>-19.75</v>
      </c>
      <c r="L434" s="1981">
        <v>-19.75</v>
      </c>
      <c r="M434" s="1981">
        <v>-19.75</v>
      </c>
      <c r="N434" s="1981">
        <v>-19.75</v>
      </c>
      <c r="O434" s="1981">
        <v>-19.75</v>
      </c>
      <c r="P434" s="1981">
        <v>-19.75</v>
      </c>
      <c r="Q434" s="1981">
        <v>-19.75</v>
      </c>
      <c r="R434" s="1981">
        <v>-237</v>
      </c>
      <c r="T434" s="48">
        <f t="shared" si="6"/>
        <v>0</v>
      </c>
      <c r="U434" s="48"/>
    </row>
    <row r="435" spans="2:21">
      <c r="B435" s="33" t="s">
        <v>7697</v>
      </c>
      <c r="C435" t="s">
        <v>8717</v>
      </c>
      <c r="D435" s="1962" t="s">
        <v>7698</v>
      </c>
      <c r="E435" s="1962" t="s">
        <v>7699</v>
      </c>
      <c r="F435" s="1981">
        <v>0</v>
      </c>
      <c r="G435" s="1981">
        <v>0</v>
      </c>
      <c r="H435" s="1981">
        <v>0</v>
      </c>
      <c r="I435" s="1981">
        <v>0</v>
      </c>
      <c r="J435" s="1981">
        <v>0</v>
      </c>
      <c r="K435" s="1981">
        <v>0</v>
      </c>
      <c r="L435" s="1981">
        <v>0</v>
      </c>
      <c r="M435" s="1981">
        <v>0</v>
      </c>
      <c r="N435" s="1981">
        <v>0</v>
      </c>
      <c r="O435" s="1981">
        <v>0</v>
      </c>
      <c r="P435" s="1981">
        <v>0</v>
      </c>
      <c r="Q435" s="1981">
        <v>0</v>
      </c>
      <c r="R435" s="1981">
        <v>0</v>
      </c>
      <c r="T435" s="48">
        <f t="shared" si="6"/>
        <v>0</v>
      </c>
      <c r="U435" s="48"/>
    </row>
    <row r="436" spans="2:21">
      <c r="B436" s="33" t="s">
        <v>7700</v>
      </c>
      <c r="C436" t="s">
        <v>8717</v>
      </c>
      <c r="D436" s="1962" t="s">
        <v>7701</v>
      </c>
      <c r="E436" s="1962" t="s">
        <v>7702</v>
      </c>
      <c r="F436" s="1981">
        <v>0</v>
      </c>
      <c r="G436" s="1981">
        <v>0</v>
      </c>
      <c r="H436" s="1981">
        <v>0</v>
      </c>
      <c r="I436" s="1981">
        <v>0</v>
      </c>
      <c r="J436" s="1981">
        <v>0</v>
      </c>
      <c r="K436" s="1981">
        <v>0</v>
      </c>
      <c r="L436" s="1981">
        <v>0</v>
      </c>
      <c r="M436" s="1981">
        <v>0</v>
      </c>
      <c r="N436" s="1981">
        <v>0</v>
      </c>
      <c r="O436" s="1981">
        <v>0</v>
      </c>
      <c r="P436" s="1981">
        <v>0</v>
      </c>
      <c r="Q436" s="1981">
        <v>0</v>
      </c>
      <c r="R436" s="1981">
        <v>0</v>
      </c>
      <c r="T436" s="48">
        <f t="shared" si="6"/>
        <v>0</v>
      </c>
      <c r="U436" s="48"/>
    </row>
    <row r="437" spans="2:21">
      <c r="B437" s="33" t="s">
        <v>8722</v>
      </c>
      <c r="C437" t="s">
        <v>8496</v>
      </c>
      <c r="D437" s="1962" t="s">
        <v>8723</v>
      </c>
      <c r="E437" s="1962" t="s">
        <v>8724</v>
      </c>
      <c r="F437" s="1981">
        <v>1284.3101255081999</v>
      </c>
      <c r="G437" s="1981">
        <v>1194.1753983634001</v>
      </c>
      <c r="H437" s="1981">
        <v>1272.5545429693</v>
      </c>
      <c r="I437" s="1981">
        <v>1332.3974418985001</v>
      </c>
      <c r="J437" s="1981">
        <v>1278.6037615711</v>
      </c>
      <c r="K437" s="1981">
        <v>1161.4347103419</v>
      </c>
      <c r="L437" s="1981">
        <v>1358.4720842704</v>
      </c>
      <c r="M437" s="1981">
        <v>1273.2706279102001</v>
      </c>
      <c r="N437" s="1981">
        <v>1228.4756568237999</v>
      </c>
      <c r="O437" s="1981">
        <v>1486.1979427364001</v>
      </c>
      <c r="P437" s="1981">
        <v>1296.525849888</v>
      </c>
      <c r="Q437" s="1981">
        <v>1381.7455088999</v>
      </c>
      <c r="R437" s="1981">
        <v>15548.163651181098</v>
      </c>
      <c r="T437" s="48">
        <f t="shared" si="6"/>
        <v>0</v>
      </c>
      <c r="U437" s="48"/>
    </row>
    <row r="438" spans="2:21">
      <c r="B438" s="33" t="s">
        <v>8725</v>
      </c>
      <c r="C438" t="s">
        <v>8496</v>
      </c>
      <c r="D438" s="1962" t="s">
        <v>8726</v>
      </c>
      <c r="E438" s="1962" t="s">
        <v>8727</v>
      </c>
      <c r="F438" s="1981">
        <v>4614.8484883623005</v>
      </c>
      <c r="G438" s="1981">
        <v>4217.9860052750992</v>
      </c>
      <c r="H438" s="1981">
        <v>4248.1578044776006</v>
      </c>
      <c r="I438" s="1981">
        <v>4508.2497248098998</v>
      </c>
      <c r="J438" s="1981">
        <v>4670.3363338153995</v>
      </c>
      <c r="K438" s="1981">
        <v>4071.2028308828999</v>
      </c>
      <c r="L438" s="1981">
        <v>4708.5929568295996</v>
      </c>
      <c r="M438" s="1981">
        <v>4497.6881504188996</v>
      </c>
      <c r="N438" s="1981">
        <v>4288.1729303296997</v>
      </c>
      <c r="O438" s="1981">
        <v>4747.7709582078996</v>
      </c>
      <c r="P438" s="1981">
        <v>4319.3427525801999</v>
      </c>
      <c r="Q438" s="1981">
        <v>4525.6079757513999</v>
      </c>
      <c r="R438" s="1981">
        <v>53417.95691174089</v>
      </c>
      <c r="T438" s="48">
        <f t="shared" si="6"/>
        <v>0</v>
      </c>
      <c r="U438" s="48"/>
    </row>
    <row r="439" spans="2:21">
      <c r="B439" s="33" t="s">
        <v>7381</v>
      </c>
      <c r="C439" t="s">
        <v>8496</v>
      </c>
      <c r="D439" s="1962" t="s">
        <v>8728</v>
      </c>
      <c r="E439" s="1962" t="s">
        <v>7812</v>
      </c>
      <c r="F439" s="1981">
        <v>103.75</v>
      </c>
      <c r="G439" s="1981">
        <v>103.75</v>
      </c>
      <c r="H439" s="1981">
        <v>103.75</v>
      </c>
      <c r="I439" s="1981">
        <v>103.75</v>
      </c>
      <c r="J439" s="1981">
        <v>103.75</v>
      </c>
      <c r="K439" s="1981">
        <v>103.75</v>
      </c>
      <c r="L439" s="1981">
        <v>103.75</v>
      </c>
      <c r="M439" s="1981">
        <v>103.75</v>
      </c>
      <c r="N439" s="1981">
        <v>103.75</v>
      </c>
      <c r="O439" s="1981">
        <v>103.75</v>
      </c>
      <c r="P439" s="1981">
        <v>103.75</v>
      </c>
      <c r="Q439" s="1981">
        <v>103.75</v>
      </c>
      <c r="R439" s="1981">
        <v>1245</v>
      </c>
      <c r="T439" s="48">
        <f t="shared" si="6"/>
        <v>0</v>
      </c>
      <c r="U439" s="48"/>
    </row>
    <row r="440" spans="2:21">
      <c r="B440" s="33" t="s">
        <v>8729</v>
      </c>
      <c r="C440" t="s">
        <v>8496</v>
      </c>
      <c r="D440" s="1962" t="s">
        <v>8730</v>
      </c>
      <c r="E440" s="1962" t="s">
        <v>8731</v>
      </c>
      <c r="F440" s="1981">
        <v>0</v>
      </c>
      <c r="G440" s="1981">
        <v>0</v>
      </c>
      <c r="H440" s="1981">
        <v>0</v>
      </c>
      <c r="I440" s="1981">
        <v>0</v>
      </c>
      <c r="J440" s="1981">
        <v>0</v>
      </c>
      <c r="K440" s="1981">
        <v>0</v>
      </c>
      <c r="L440" s="1981">
        <v>0</v>
      </c>
      <c r="M440" s="1981">
        <v>0</v>
      </c>
      <c r="N440" s="1981">
        <v>0</v>
      </c>
      <c r="O440" s="1981">
        <v>0</v>
      </c>
      <c r="P440" s="1981">
        <v>0</v>
      </c>
      <c r="Q440" s="1981">
        <v>0</v>
      </c>
      <c r="R440" s="1981">
        <v>0</v>
      </c>
      <c r="T440" s="48">
        <f t="shared" si="6"/>
        <v>0</v>
      </c>
      <c r="U440" s="48"/>
    </row>
    <row r="441" spans="2:21">
      <c r="B441" s="33" t="s">
        <v>8732</v>
      </c>
      <c r="C441" t="s">
        <v>8496</v>
      </c>
      <c r="D441" s="1962" t="s">
        <v>8733</v>
      </c>
      <c r="E441" s="1962" t="s">
        <v>8734</v>
      </c>
      <c r="F441" s="1981">
        <v>115.833</v>
      </c>
      <c r="G441" s="1981">
        <v>115.833</v>
      </c>
      <c r="H441" s="1981">
        <v>115.833</v>
      </c>
      <c r="I441" s="1981">
        <v>115.833</v>
      </c>
      <c r="J441" s="1981">
        <v>115.833</v>
      </c>
      <c r="K441" s="1981">
        <v>115.833</v>
      </c>
      <c r="L441" s="1981">
        <v>115.833</v>
      </c>
      <c r="M441" s="1981">
        <v>115.833</v>
      </c>
      <c r="N441" s="1981">
        <v>115.833</v>
      </c>
      <c r="O441" s="1981">
        <v>115.833</v>
      </c>
      <c r="P441" s="1981">
        <v>115.833</v>
      </c>
      <c r="Q441" s="1981">
        <v>132.33699999999999</v>
      </c>
      <c r="R441" s="1981">
        <v>1406.5</v>
      </c>
      <c r="T441" s="48">
        <f t="shared" si="6"/>
        <v>0</v>
      </c>
      <c r="U441" s="48"/>
    </row>
    <row r="442" spans="2:21">
      <c r="B442" s="33" t="s">
        <v>8502</v>
      </c>
      <c r="C442" t="s">
        <v>8717</v>
      </c>
      <c r="D442" s="1962" t="s">
        <v>8735</v>
      </c>
      <c r="E442" s="1962" t="s">
        <v>8736</v>
      </c>
      <c r="F442" s="1981">
        <v>10.218999999999999</v>
      </c>
      <c r="G442" s="1981">
        <v>15.087</v>
      </c>
      <c r="H442" s="1981">
        <v>17.113</v>
      </c>
      <c r="I442" s="1981">
        <v>17.754000000000001</v>
      </c>
      <c r="J442" s="1981">
        <v>18.283999999999999</v>
      </c>
      <c r="K442" s="1981">
        <v>17.260999999999999</v>
      </c>
      <c r="L442" s="1981">
        <v>15.641999999999999</v>
      </c>
      <c r="M442" s="1981">
        <v>14.117000000000001</v>
      </c>
      <c r="N442" s="1981">
        <v>13.025</v>
      </c>
      <c r="O442" s="1981">
        <v>11.622</v>
      </c>
      <c r="P442" s="1981">
        <v>10.345000000000001</v>
      </c>
      <c r="Q442" s="1981">
        <v>9.5410000000000004</v>
      </c>
      <c r="R442" s="1981">
        <v>170.00999999999996</v>
      </c>
      <c r="T442" s="48">
        <f t="shared" si="6"/>
        <v>0</v>
      </c>
      <c r="U442" s="48"/>
    </row>
    <row r="443" spans="2:21">
      <c r="B443" s="33" t="s">
        <v>8503</v>
      </c>
      <c r="C443" t="s">
        <v>8717</v>
      </c>
      <c r="D443" s="1962" t="s">
        <v>8737</v>
      </c>
      <c r="E443" s="1962" t="s">
        <v>8738</v>
      </c>
      <c r="F443" s="1981">
        <v>0</v>
      </c>
      <c r="G443" s="1981">
        <v>0</v>
      </c>
      <c r="H443" s="1981">
        <v>5.4539999999999997</v>
      </c>
      <c r="I443" s="1981">
        <v>11.16</v>
      </c>
      <c r="J443" s="1981">
        <v>14.887</v>
      </c>
      <c r="K443" s="1981">
        <v>15.709</v>
      </c>
      <c r="L443" s="1981">
        <v>13.317</v>
      </c>
      <c r="M443" s="1981">
        <v>10.69</v>
      </c>
      <c r="N443" s="1981">
        <v>8.5299999999999994</v>
      </c>
      <c r="O443" s="1981">
        <v>7.8639999999999999</v>
      </c>
      <c r="P443" s="1981">
        <v>11.147</v>
      </c>
      <c r="Q443" s="1981">
        <v>17.669</v>
      </c>
      <c r="R443" s="1981">
        <v>116.42700000000001</v>
      </c>
      <c r="T443" s="48">
        <f t="shared" si="6"/>
        <v>0</v>
      </c>
      <c r="U443" s="48"/>
    </row>
    <row r="444" spans="2:21">
      <c r="B444" s="33" t="s">
        <v>7579</v>
      </c>
      <c r="C444" t="s">
        <v>8717</v>
      </c>
      <c r="D444" s="1962" t="s">
        <v>8739</v>
      </c>
      <c r="E444" s="1962" t="s">
        <v>8740</v>
      </c>
      <c r="F444" s="1981">
        <v>0</v>
      </c>
      <c r="G444" s="1981">
        <v>0</v>
      </c>
      <c r="H444" s="1981">
        <v>0</v>
      </c>
      <c r="I444" s="1981">
        <v>0</v>
      </c>
      <c r="J444" s="1981">
        <v>0</v>
      </c>
      <c r="K444" s="1981">
        <v>0</v>
      </c>
      <c r="L444" s="1981">
        <v>0</v>
      </c>
      <c r="M444" s="1981">
        <v>0</v>
      </c>
      <c r="N444" s="1981">
        <v>0</v>
      </c>
      <c r="O444" s="1981">
        <v>0</v>
      </c>
      <c r="P444" s="1981">
        <v>0</v>
      </c>
      <c r="Q444" s="1981">
        <v>0</v>
      </c>
      <c r="R444" s="1981">
        <v>0</v>
      </c>
      <c r="T444" s="48">
        <f t="shared" si="6"/>
        <v>0</v>
      </c>
      <c r="U444" s="48"/>
    </row>
    <row r="445" spans="2:21">
      <c r="B445" s="33" t="s">
        <v>8497</v>
      </c>
      <c r="C445" t="s">
        <v>2360</v>
      </c>
      <c r="D445" s="1962" t="s">
        <v>8498</v>
      </c>
      <c r="E445" s="1962" t="s">
        <v>8499</v>
      </c>
      <c r="F445" s="1981">
        <v>0</v>
      </c>
      <c r="G445" s="1981">
        <v>0</v>
      </c>
      <c r="H445" s="1981">
        <v>0</v>
      </c>
      <c r="I445" s="1981">
        <v>0</v>
      </c>
      <c r="J445" s="1981">
        <v>0</v>
      </c>
      <c r="K445" s="1981">
        <v>0</v>
      </c>
      <c r="L445" s="1981">
        <v>0</v>
      </c>
      <c r="M445" s="1981">
        <v>0</v>
      </c>
      <c r="N445" s="1981">
        <v>0</v>
      </c>
      <c r="O445" s="1981">
        <v>0</v>
      </c>
      <c r="P445" s="1981">
        <v>0</v>
      </c>
      <c r="Q445" s="1981">
        <v>0</v>
      </c>
      <c r="R445" s="1981">
        <v>0</v>
      </c>
      <c r="T445" s="48">
        <f t="shared" si="6"/>
        <v>0</v>
      </c>
      <c r="U445" s="48"/>
    </row>
    <row r="446" spans="2:21">
      <c r="B446" s="33" t="s">
        <v>8741</v>
      </c>
      <c r="C446" t="s">
        <v>8702</v>
      </c>
      <c r="D446" s="1962" t="s">
        <v>8742</v>
      </c>
      <c r="E446" s="1962" t="s">
        <v>8743</v>
      </c>
      <c r="F446" s="1981">
        <v>303.44</v>
      </c>
      <c r="G446" s="1981">
        <v>283.86399999999998</v>
      </c>
      <c r="H446" s="1981">
        <v>303.44</v>
      </c>
      <c r="I446" s="1981">
        <v>293.65199999999999</v>
      </c>
      <c r="J446" s="1981">
        <v>303.44</v>
      </c>
      <c r="K446" s="1981">
        <v>293.65199999999999</v>
      </c>
      <c r="L446" s="1981">
        <v>303.44</v>
      </c>
      <c r="M446" s="1981">
        <v>303.44</v>
      </c>
      <c r="N446" s="1981">
        <v>293.65199999999999</v>
      </c>
      <c r="O446" s="1981">
        <v>303.44</v>
      </c>
      <c r="P446" s="1981">
        <v>293.65199999999999</v>
      </c>
      <c r="Q446" s="1981">
        <v>303.44200000000001</v>
      </c>
      <c r="R446" s="1981">
        <v>3582.5540000000001</v>
      </c>
      <c r="T446" s="48">
        <f t="shared" si="6"/>
        <v>0</v>
      </c>
      <c r="U446" s="48"/>
    </row>
    <row r="447" spans="2:21">
      <c r="B447" s="33" t="s">
        <v>8744</v>
      </c>
      <c r="C447" t="s">
        <v>2360</v>
      </c>
      <c r="D447" s="1962" t="s">
        <v>8745</v>
      </c>
      <c r="E447" s="1962" t="s">
        <v>8746</v>
      </c>
      <c r="F447" s="1981">
        <v>0</v>
      </c>
      <c r="G447" s="1981">
        <v>0</v>
      </c>
      <c r="H447" s="1981">
        <v>0</v>
      </c>
      <c r="I447" s="1981">
        <v>0</v>
      </c>
      <c r="J447" s="1981">
        <v>0</v>
      </c>
      <c r="K447" s="1981">
        <v>0</v>
      </c>
      <c r="L447" s="1981">
        <v>0</v>
      </c>
      <c r="M447" s="1981">
        <v>0</v>
      </c>
      <c r="N447" s="1981">
        <v>0</v>
      </c>
      <c r="O447" s="1981">
        <v>0</v>
      </c>
      <c r="P447" s="1981">
        <v>0</v>
      </c>
      <c r="Q447" s="1981">
        <v>0</v>
      </c>
      <c r="R447" s="1981">
        <v>0</v>
      </c>
      <c r="T447" s="48">
        <f t="shared" si="6"/>
        <v>0</v>
      </c>
      <c r="U447" s="48"/>
    </row>
    <row r="448" spans="2:21">
      <c r="B448" s="33" t="s">
        <v>8747</v>
      </c>
      <c r="C448" t="s">
        <v>2360</v>
      </c>
      <c r="D448" s="1962" t="s">
        <v>8748</v>
      </c>
      <c r="E448" s="1962" t="s">
        <v>8749</v>
      </c>
      <c r="F448" s="1981">
        <v>0</v>
      </c>
      <c r="G448" s="1981">
        <v>0</v>
      </c>
      <c r="H448" s="1981">
        <v>0</v>
      </c>
      <c r="I448" s="1981">
        <v>0</v>
      </c>
      <c r="J448" s="1981">
        <v>0</v>
      </c>
      <c r="K448" s="1981">
        <v>0</v>
      </c>
      <c r="L448" s="1981">
        <v>0</v>
      </c>
      <c r="M448" s="1981">
        <v>0</v>
      </c>
      <c r="N448" s="1981">
        <v>0</v>
      </c>
      <c r="O448" s="1981">
        <v>0</v>
      </c>
      <c r="P448" s="1981">
        <v>0</v>
      </c>
      <c r="Q448" s="1981">
        <v>0</v>
      </c>
      <c r="R448" s="1981">
        <v>0</v>
      </c>
      <c r="T448" s="48">
        <f t="shared" si="6"/>
        <v>0</v>
      </c>
      <c r="U448" s="48"/>
    </row>
    <row r="449" spans="2:21">
      <c r="B449" s="33" t="s">
        <v>8750</v>
      </c>
      <c r="C449" t="s">
        <v>2360</v>
      </c>
      <c r="D449" s="1962" t="s">
        <v>8751</v>
      </c>
      <c r="E449" s="1962" t="s">
        <v>8752</v>
      </c>
      <c r="F449" s="1981">
        <v>0</v>
      </c>
      <c r="G449" s="1981">
        <v>0</v>
      </c>
      <c r="H449" s="1981">
        <v>0</v>
      </c>
      <c r="I449" s="1981">
        <v>0</v>
      </c>
      <c r="J449" s="1981">
        <v>0</v>
      </c>
      <c r="K449" s="1981">
        <v>0</v>
      </c>
      <c r="L449" s="1981">
        <v>0</v>
      </c>
      <c r="M449" s="1981">
        <v>0</v>
      </c>
      <c r="N449" s="1981">
        <v>0</v>
      </c>
      <c r="O449" s="1981">
        <v>0</v>
      </c>
      <c r="P449" s="1981">
        <v>0</v>
      </c>
      <c r="Q449" s="1981">
        <v>0</v>
      </c>
      <c r="R449" s="1981">
        <v>0</v>
      </c>
      <c r="T449" s="48">
        <f t="shared" si="6"/>
        <v>0</v>
      </c>
      <c r="U449" s="48"/>
    </row>
    <row r="450" spans="2:21">
      <c r="B450" s="33" t="s">
        <v>8753</v>
      </c>
      <c r="C450" t="s">
        <v>2360</v>
      </c>
      <c r="D450" s="1962" t="s">
        <v>8754</v>
      </c>
      <c r="E450" s="1962" t="s">
        <v>8755</v>
      </c>
      <c r="F450" s="1981">
        <v>0</v>
      </c>
      <c r="G450" s="1981">
        <v>0</v>
      </c>
      <c r="H450" s="1981">
        <v>0</v>
      </c>
      <c r="I450" s="1981">
        <v>0</v>
      </c>
      <c r="J450" s="1981">
        <v>0</v>
      </c>
      <c r="K450" s="1981">
        <v>0</v>
      </c>
      <c r="L450" s="1981">
        <v>0</v>
      </c>
      <c r="M450" s="1981">
        <v>0</v>
      </c>
      <c r="N450" s="1981">
        <v>0</v>
      </c>
      <c r="O450" s="1981">
        <v>0</v>
      </c>
      <c r="P450" s="1981">
        <v>0</v>
      </c>
      <c r="Q450" s="1981">
        <v>0</v>
      </c>
      <c r="R450" s="1981">
        <v>0</v>
      </c>
      <c r="T450" s="48">
        <f t="shared" si="6"/>
        <v>0</v>
      </c>
      <c r="U450" s="48"/>
    </row>
    <row r="451" spans="2:21">
      <c r="B451" s="33" t="s">
        <v>8756</v>
      </c>
      <c r="C451" t="s">
        <v>2360</v>
      </c>
      <c r="D451" s="1962" t="s">
        <v>8757</v>
      </c>
      <c r="E451" s="1962" t="s">
        <v>8758</v>
      </c>
      <c r="F451" s="1981">
        <v>0</v>
      </c>
      <c r="G451" s="1981">
        <v>0</v>
      </c>
      <c r="H451" s="1981">
        <v>0</v>
      </c>
      <c r="I451" s="1981">
        <v>0</v>
      </c>
      <c r="J451" s="1981">
        <v>0</v>
      </c>
      <c r="K451" s="1981">
        <v>0</v>
      </c>
      <c r="L451" s="1981">
        <v>0</v>
      </c>
      <c r="M451" s="1981">
        <v>0</v>
      </c>
      <c r="N451" s="1981">
        <v>0</v>
      </c>
      <c r="O451" s="1981">
        <v>0</v>
      </c>
      <c r="P451" s="1981">
        <v>0</v>
      </c>
      <c r="Q451" s="1981">
        <v>0</v>
      </c>
      <c r="R451" s="1981">
        <v>0</v>
      </c>
      <c r="T451" s="48">
        <f t="shared" si="6"/>
        <v>0</v>
      </c>
      <c r="U451" s="48"/>
    </row>
    <row r="452" spans="2:21">
      <c r="B452" s="33" t="s">
        <v>8759</v>
      </c>
      <c r="C452" t="s">
        <v>8496</v>
      </c>
      <c r="D452" s="1962" t="s">
        <v>8760</v>
      </c>
      <c r="E452" s="1962" t="s">
        <v>8761</v>
      </c>
      <c r="F452" s="1981">
        <v>1.4159999999999999</v>
      </c>
      <c r="G452" s="1981">
        <v>1.325</v>
      </c>
      <c r="H452" s="1981">
        <v>1.4159999999999999</v>
      </c>
      <c r="I452" s="1981">
        <v>1.37</v>
      </c>
      <c r="J452" s="1981">
        <v>1.4159999999999999</v>
      </c>
      <c r="K452" s="1981">
        <v>0.75700000000000001</v>
      </c>
      <c r="L452" s="1981">
        <v>0</v>
      </c>
      <c r="M452" s="1981">
        <v>0</v>
      </c>
      <c r="N452" s="1981">
        <v>2.35</v>
      </c>
      <c r="O452" s="1981">
        <v>0</v>
      </c>
      <c r="P452" s="1981">
        <v>0</v>
      </c>
      <c r="Q452" s="1981">
        <v>0</v>
      </c>
      <c r="R452" s="1981">
        <v>10.049999999999999</v>
      </c>
      <c r="T452" s="48">
        <f t="shared" si="6"/>
        <v>0</v>
      </c>
      <c r="U452" s="48"/>
    </row>
    <row r="453" spans="2:21">
      <c r="B453" s="33" t="s">
        <v>2360</v>
      </c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T453" s="48" t="str">
        <f t="shared" ref="T453:T516" si="7">IF(R453="","",+R453-SUM(F453:Q453))</f>
        <v/>
      </c>
      <c r="U453" s="48"/>
    </row>
    <row r="454" spans="2:21">
      <c r="B454" s="33" t="s">
        <v>2360</v>
      </c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T454" s="48" t="str">
        <f t="shared" si="7"/>
        <v/>
      </c>
      <c r="U454" s="48"/>
    </row>
    <row r="455" spans="2:21">
      <c r="B455" s="33" t="s">
        <v>7703</v>
      </c>
      <c r="C455" t="s">
        <v>4898</v>
      </c>
      <c r="D455" s="1962" t="s">
        <v>7704</v>
      </c>
      <c r="E455" s="1962" t="s">
        <v>7705</v>
      </c>
      <c r="F455" s="1981">
        <v>0</v>
      </c>
      <c r="G455" s="1981">
        <v>0</v>
      </c>
      <c r="H455" s="1981">
        <v>0</v>
      </c>
      <c r="I455" s="1981">
        <v>0</v>
      </c>
      <c r="J455" s="1981">
        <v>0</v>
      </c>
      <c r="K455" s="1981">
        <v>0</v>
      </c>
      <c r="L455" s="1981">
        <v>0</v>
      </c>
      <c r="M455" s="1981">
        <v>0</v>
      </c>
      <c r="N455" s="1981">
        <v>0</v>
      </c>
      <c r="O455" s="1981">
        <v>0</v>
      </c>
      <c r="P455" s="1981">
        <v>0</v>
      </c>
      <c r="Q455" s="1981">
        <v>0</v>
      </c>
      <c r="R455" s="1981">
        <v>0</v>
      </c>
      <c r="T455" s="48">
        <f t="shared" si="7"/>
        <v>0</v>
      </c>
      <c r="U455" s="48"/>
    </row>
    <row r="456" spans="2:21">
      <c r="B456" s="33" t="s">
        <v>7706</v>
      </c>
      <c r="C456" t="s">
        <v>4898</v>
      </c>
      <c r="D456" s="1962" t="s">
        <v>7707</v>
      </c>
      <c r="E456" s="1962" t="s">
        <v>7708</v>
      </c>
      <c r="F456" s="1981">
        <v>-7143.8852028679994</v>
      </c>
      <c r="G456" s="1981">
        <v>-6540.6687825562003</v>
      </c>
      <c r="H456" s="1981">
        <v>-6590.6873032569001</v>
      </c>
      <c r="I456" s="1981">
        <v>-6986.5607556013001</v>
      </c>
      <c r="J456" s="1981">
        <v>-7261.1410555531002</v>
      </c>
      <c r="K456" s="1981">
        <v>-6342.4971953764998</v>
      </c>
      <c r="L456" s="1981">
        <v>-7323.9848440709002</v>
      </c>
      <c r="M456" s="1981">
        <v>-7005.7514084135</v>
      </c>
      <c r="N456" s="1981">
        <v>-6702.2664256197004</v>
      </c>
      <c r="O456" s="1981">
        <v>-7382.3492587021001</v>
      </c>
      <c r="P456" s="1981">
        <v>-6714.7847401096997</v>
      </c>
      <c r="Q456" s="1981">
        <v>-7043.0970966027999</v>
      </c>
      <c r="R456" s="1981">
        <v>-83037.674068730688</v>
      </c>
      <c r="T456" s="48">
        <f t="shared" si="7"/>
        <v>0</v>
      </c>
      <c r="U456" s="48"/>
    </row>
    <row r="457" spans="2:21">
      <c r="B457" s="33" t="s">
        <v>7709</v>
      </c>
      <c r="C457" t="s">
        <v>4898</v>
      </c>
      <c r="D457" s="1962" t="s">
        <v>7710</v>
      </c>
      <c r="E457" s="1962" t="s">
        <v>7711</v>
      </c>
      <c r="F457" s="1981">
        <v>-414.68017673539998</v>
      </c>
      <c r="G457" s="1981">
        <v>-355.33816521220001</v>
      </c>
      <c r="H457" s="1981">
        <v>-534.51592324699993</v>
      </c>
      <c r="I457" s="1981">
        <v>-355.46021755790002</v>
      </c>
      <c r="J457" s="1981">
        <v>-384.78303708600004</v>
      </c>
      <c r="K457" s="1981">
        <v>-521.62796763649999</v>
      </c>
      <c r="L457" s="1981">
        <v>-389.02933152600002</v>
      </c>
      <c r="M457" s="1981">
        <v>-355.5694691644</v>
      </c>
      <c r="N457" s="1981">
        <v>-550.77173506539998</v>
      </c>
      <c r="O457" s="1981">
        <v>-362.48219203500003</v>
      </c>
      <c r="P457" s="1981">
        <v>-385.13080626460004</v>
      </c>
      <c r="Q457" s="1981">
        <v>-532.42914371500001</v>
      </c>
      <c r="R457" s="1981">
        <v>-5141.8181652454005</v>
      </c>
      <c r="T457" s="48">
        <f t="shared" si="7"/>
        <v>0</v>
      </c>
      <c r="U457" s="48"/>
    </row>
    <row r="458" spans="2:21">
      <c r="B458" s="33" t="s">
        <v>7712</v>
      </c>
      <c r="C458" t="s">
        <v>4898</v>
      </c>
      <c r="D458" s="1962" t="s">
        <v>7713</v>
      </c>
      <c r="E458" s="1962" t="s">
        <v>7714</v>
      </c>
      <c r="F458" s="1981">
        <v>-1051.0094019303999</v>
      </c>
      <c r="G458" s="1981">
        <v>-990.8129609714</v>
      </c>
      <c r="H458" s="1981">
        <v>-1068.8556296769002</v>
      </c>
      <c r="I458" s="1981">
        <v>-1145.2365087758001</v>
      </c>
      <c r="J458" s="1981">
        <v>-1075.6201235180999</v>
      </c>
      <c r="K458" s="1981">
        <v>-1057.0286935663</v>
      </c>
      <c r="L458" s="1981">
        <v>-1142.1524495922999</v>
      </c>
      <c r="M458" s="1981">
        <v>-1100.5003599167001</v>
      </c>
      <c r="N458" s="1981">
        <v>-1041.3647545060999</v>
      </c>
      <c r="O458" s="1981">
        <v>-1072.1106496549</v>
      </c>
      <c r="P458" s="1981">
        <v>-1042.3973117344999</v>
      </c>
      <c r="Q458" s="1981">
        <v>-1093.2038625641001</v>
      </c>
      <c r="R458" s="1981">
        <v>-12880.292706407497</v>
      </c>
      <c r="T458" s="48">
        <f t="shared" si="7"/>
        <v>0</v>
      </c>
      <c r="U458" s="48"/>
    </row>
    <row r="459" spans="2:21">
      <c r="B459" s="33" t="s">
        <v>7715</v>
      </c>
      <c r="C459" t="s">
        <v>4898</v>
      </c>
      <c r="D459" s="1962" t="s">
        <v>7716</v>
      </c>
      <c r="E459" s="1962" t="s">
        <v>7717</v>
      </c>
      <c r="F459" s="1981">
        <v>721.4635284167</v>
      </c>
      <c r="G459" s="1981">
        <v>680.24943893490001</v>
      </c>
      <c r="H459" s="1981">
        <v>680.24943893490001</v>
      </c>
      <c r="I459" s="1981">
        <v>711.05292094180004</v>
      </c>
      <c r="J459" s="1981">
        <v>732.12343981959998</v>
      </c>
      <c r="K459" s="1981">
        <v>668.91183719670005</v>
      </c>
      <c r="L459" s="1981">
        <v>732.12343981959998</v>
      </c>
      <c r="M459" s="1981">
        <v>711.05292094180004</v>
      </c>
      <c r="N459" s="1981">
        <v>689.98240207480001</v>
      </c>
      <c r="O459" s="1981">
        <v>732.12343981959998</v>
      </c>
      <c r="P459" s="1981">
        <v>689.98240207480001</v>
      </c>
      <c r="Q459" s="1981">
        <v>711.05292094180004</v>
      </c>
      <c r="R459" s="1981">
        <v>8460.3681299170003</v>
      </c>
      <c r="T459" s="48">
        <f t="shared" si="7"/>
        <v>0</v>
      </c>
      <c r="U459" s="48"/>
    </row>
    <row r="460" spans="2:21">
      <c r="B460" s="33" t="s">
        <v>7718</v>
      </c>
      <c r="C460" t="s">
        <v>4898</v>
      </c>
      <c r="D460" s="1962" t="s">
        <v>7719</v>
      </c>
      <c r="E460" s="1962" t="s">
        <v>7720</v>
      </c>
      <c r="F460" s="1981">
        <v>-19</v>
      </c>
      <c r="G460" s="1981">
        <v>-19</v>
      </c>
      <c r="H460" s="1981">
        <v>-19</v>
      </c>
      <c r="I460" s="1981">
        <v>-19</v>
      </c>
      <c r="J460" s="1981">
        <v>-19</v>
      </c>
      <c r="K460" s="1981">
        <v>-19</v>
      </c>
      <c r="L460" s="1981">
        <v>-19</v>
      </c>
      <c r="M460" s="1981">
        <v>-19</v>
      </c>
      <c r="N460" s="1981">
        <v>-19</v>
      </c>
      <c r="O460" s="1981">
        <v>-19</v>
      </c>
      <c r="P460" s="1981">
        <v>-19</v>
      </c>
      <c r="Q460" s="1981">
        <v>-19</v>
      </c>
      <c r="R460" s="1981">
        <v>-228</v>
      </c>
      <c r="T460" s="48">
        <f t="shared" si="7"/>
        <v>0</v>
      </c>
      <c r="U460" s="48"/>
    </row>
    <row r="461" spans="2:21">
      <c r="B461" s="33" t="s">
        <v>7721</v>
      </c>
      <c r="C461" t="s">
        <v>4898</v>
      </c>
      <c r="D461" s="1962" t="s">
        <v>7722</v>
      </c>
      <c r="E461" s="1962" t="s">
        <v>7723</v>
      </c>
      <c r="F461" s="1981">
        <v>-68.385342684999998</v>
      </c>
      <c r="G461" s="1981">
        <v>-41.435916894800002</v>
      </c>
      <c r="H461" s="1981">
        <v>-47.140021894799993</v>
      </c>
      <c r="I461" s="1981">
        <v>-50.152537289999998</v>
      </c>
      <c r="J461" s="1981">
        <v>-49.366987684999998</v>
      </c>
      <c r="K461" s="1981">
        <v>-43.104407890499999</v>
      </c>
      <c r="L461" s="1981">
        <v>-51.861657684999997</v>
      </c>
      <c r="M461" s="1981">
        <v>-48.94724729</v>
      </c>
      <c r="N461" s="1981">
        <v>-51.680881894899997</v>
      </c>
      <c r="O461" s="1981">
        <v>-59.093397685000006</v>
      </c>
      <c r="P461" s="1981">
        <v>-45.584356894899997</v>
      </c>
      <c r="Q461" s="1981">
        <v>-46.018112289999998</v>
      </c>
      <c r="R461" s="1981">
        <v>-602.77086807989997</v>
      </c>
      <c r="T461" s="48">
        <f t="shared" si="7"/>
        <v>0</v>
      </c>
      <c r="U461" s="48"/>
    </row>
    <row r="462" spans="2:21">
      <c r="B462" s="33" t="s">
        <v>7724</v>
      </c>
      <c r="C462" t="s">
        <v>4898</v>
      </c>
      <c r="D462" s="1962" t="s">
        <v>7725</v>
      </c>
      <c r="E462" s="1962" t="s">
        <v>7726</v>
      </c>
      <c r="F462" s="1981">
        <v>-41.455112140099999</v>
      </c>
      <c r="G462" s="1981">
        <v>-41.455112140099999</v>
      </c>
      <c r="H462" s="1981">
        <v>-41.455112140099999</v>
      </c>
      <c r="I462" s="1981">
        <v>-41.455112140099999</v>
      </c>
      <c r="J462" s="1981">
        <v>-41.455112140099999</v>
      </c>
      <c r="K462" s="1981">
        <v>-41.455112140099999</v>
      </c>
      <c r="L462" s="1981">
        <v>-41.455112140099999</v>
      </c>
      <c r="M462" s="1981">
        <v>-41.455112140099999</v>
      </c>
      <c r="N462" s="1981">
        <v>-41.455112140099999</v>
      </c>
      <c r="O462" s="1981">
        <v>-41.455112140099999</v>
      </c>
      <c r="P462" s="1981">
        <v>-41.455112140099999</v>
      </c>
      <c r="Q462" s="1981">
        <v>-41.455112140099999</v>
      </c>
      <c r="R462" s="1981">
        <v>-497.4613456812001</v>
      </c>
      <c r="T462" s="48">
        <f t="shared" si="7"/>
        <v>0</v>
      </c>
      <c r="U462" s="48"/>
    </row>
    <row r="463" spans="2:21">
      <c r="B463" s="33" t="s">
        <v>7727</v>
      </c>
      <c r="C463" t="s">
        <v>4898</v>
      </c>
      <c r="D463" s="1962" t="s">
        <v>7728</v>
      </c>
      <c r="E463" s="1962" t="s">
        <v>7729</v>
      </c>
      <c r="F463" s="1981">
        <v>-32.808174374700002</v>
      </c>
      <c r="G463" s="1981">
        <v>-30.2704617357</v>
      </c>
      <c r="H463" s="1981">
        <v>-30.2704617357</v>
      </c>
      <c r="I463" s="1981">
        <v>-31.539318055200003</v>
      </c>
      <c r="J463" s="1981">
        <v>-32.808174374700002</v>
      </c>
      <c r="K463" s="1981">
        <v>-29.0016026459</v>
      </c>
      <c r="L463" s="1981">
        <v>-32.844970387899998</v>
      </c>
      <c r="M463" s="1981">
        <v>-31.574514242799999</v>
      </c>
      <c r="N463" s="1981">
        <v>-30.304058097599999</v>
      </c>
      <c r="O463" s="1981">
        <v>-32.844970387899998</v>
      </c>
      <c r="P463" s="1981">
        <v>-30.304058097599999</v>
      </c>
      <c r="Q463" s="1981">
        <v>-31.574514242799999</v>
      </c>
      <c r="R463" s="1981">
        <v>-376.14527837849994</v>
      </c>
      <c r="T463" s="48">
        <f t="shared" si="7"/>
        <v>0</v>
      </c>
      <c r="U463" s="48"/>
    </row>
    <row r="464" spans="2:21">
      <c r="B464" s="33" t="s">
        <v>7730</v>
      </c>
      <c r="C464" t="s">
        <v>4898</v>
      </c>
      <c r="D464" s="1962" t="s">
        <v>7731</v>
      </c>
      <c r="E464" s="1962" t="s">
        <v>7732</v>
      </c>
      <c r="F464" s="1981">
        <v>31.873333130899997</v>
      </c>
      <c r="G464" s="1981">
        <v>28.836080143099998</v>
      </c>
      <c r="H464" s="1981">
        <v>29.122167643100003</v>
      </c>
      <c r="I464" s="1981">
        <v>30.400831637</v>
      </c>
      <c r="J464" s="1981">
        <v>31.688833130899997</v>
      </c>
      <c r="K464" s="1981">
        <v>27.437825566499999</v>
      </c>
      <c r="L464" s="1981">
        <v>31.635170630899999</v>
      </c>
      <c r="M464" s="1981">
        <v>30.079081636999998</v>
      </c>
      <c r="N464" s="1981">
        <v>28.849580143099999</v>
      </c>
      <c r="O464" s="1981">
        <v>31.6708331309</v>
      </c>
      <c r="P464" s="1981">
        <v>28.8743301431</v>
      </c>
      <c r="Q464" s="1981">
        <v>30.119581637</v>
      </c>
      <c r="R464" s="1981">
        <v>360.58764857350002</v>
      </c>
      <c r="T464" s="48">
        <f t="shared" si="7"/>
        <v>0</v>
      </c>
      <c r="U464" s="48"/>
    </row>
    <row r="465" spans="2:21">
      <c r="B465" s="33" t="s">
        <v>7733</v>
      </c>
      <c r="C465" t="s">
        <v>4898</v>
      </c>
      <c r="D465" s="1962" t="s">
        <v>7734</v>
      </c>
      <c r="E465" s="1962" t="s">
        <v>7735</v>
      </c>
      <c r="F465" s="1981">
        <v>0</v>
      </c>
      <c r="G465" s="1981">
        <v>0</v>
      </c>
      <c r="H465" s="1981">
        <v>0</v>
      </c>
      <c r="I465" s="1981">
        <v>0</v>
      </c>
      <c r="J465" s="1981">
        <v>0</v>
      </c>
      <c r="K465" s="1981">
        <v>0</v>
      </c>
      <c r="L465" s="1981">
        <v>0</v>
      </c>
      <c r="M465" s="1981">
        <v>0</v>
      </c>
      <c r="N465" s="1981">
        <v>0</v>
      </c>
      <c r="O465" s="1981">
        <v>0</v>
      </c>
      <c r="P465" s="1981">
        <v>0</v>
      </c>
      <c r="Q465" s="1981">
        <v>0</v>
      </c>
      <c r="R465" s="1981">
        <v>0</v>
      </c>
      <c r="T465" s="48">
        <f t="shared" si="7"/>
        <v>0</v>
      </c>
      <c r="U465" s="48"/>
    </row>
    <row r="466" spans="2:21">
      <c r="B466" s="33" t="s">
        <v>7736</v>
      </c>
      <c r="C466" t="s">
        <v>4898</v>
      </c>
      <c r="D466" s="1962" t="s">
        <v>7737</v>
      </c>
      <c r="E466" s="1962" t="s">
        <v>7738</v>
      </c>
      <c r="F466" s="1981">
        <v>-75.791015322299998</v>
      </c>
      <c r="G466" s="1981">
        <v>-69.724351119900007</v>
      </c>
      <c r="H466" s="1981">
        <v>-70.778351119900009</v>
      </c>
      <c r="I466" s="1981">
        <v>-73.126583221099992</v>
      </c>
      <c r="J466" s="1981">
        <v>-75.791015322299998</v>
      </c>
      <c r="K466" s="1981">
        <v>-67.481512396100001</v>
      </c>
      <c r="L466" s="1981">
        <v>-75.791015322299998</v>
      </c>
      <c r="M466" s="1981">
        <v>-73.442783221100001</v>
      </c>
      <c r="N466" s="1981">
        <v>-71.568851119900003</v>
      </c>
      <c r="O466" s="1981">
        <v>-76.054515322299991</v>
      </c>
      <c r="P466" s="1981">
        <v>-69.829751119899996</v>
      </c>
      <c r="Q466" s="1981">
        <v>-74.338683221099998</v>
      </c>
      <c r="R466" s="1981">
        <v>-873.71842782820011</v>
      </c>
      <c r="T466" s="48">
        <f t="shared" si="7"/>
        <v>0</v>
      </c>
      <c r="U466" s="48"/>
    </row>
    <row r="467" spans="2:21">
      <c r="B467" s="33" t="s">
        <v>7739</v>
      </c>
      <c r="C467" t="s">
        <v>4898</v>
      </c>
      <c r="D467" s="1962" t="s">
        <v>7740</v>
      </c>
      <c r="E467" s="1962" t="s">
        <v>7741</v>
      </c>
      <c r="F467" s="1981">
        <v>-59.485202903500003</v>
      </c>
      <c r="G467" s="1981">
        <v>-55.2558917486</v>
      </c>
      <c r="H467" s="1981">
        <v>-55.255892035099997</v>
      </c>
      <c r="I467" s="1981">
        <v>-57.3705474693</v>
      </c>
      <c r="J467" s="1981">
        <v>-96.482351734700003</v>
      </c>
      <c r="K467" s="1981">
        <v>-53.141231983799997</v>
      </c>
      <c r="L467" s="1981">
        <v>-59.485202903500003</v>
      </c>
      <c r="M467" s="1981">
        <v>-57.3705474693</v>
      </c>
      <c r="N467" s="1981">
        <v>-55.255892035099997</v>
      </c>
      <c r="O467" s="1981">
        <v>-59.485202903500003</v>
      </c>
      <c r="P467" s="1981">
        <v>-55.255892035099997</v>
      </c>
      <c r="Q467" s="1981">
        <v>-57.395499033</v>
      </c>
      <c r="R467" s="1981">
        <v>-721.23935425449997</v>
      </c>
      <c r="T467" s="48">
        <f t="shared" si="7"/>
        <v>0</v>
      </c>
      <c r="U467" s="48"/>
    </row>
    <row r="468" spans="2:21">
      <c r="B468" s="33" t="s">
        <v>7742</v>
      </c>
      <c r="C468" t="s">
        <v>4898</v>
      </c>
      <c r="D468" s="1962" t="s">
        <v>7743</v>
      </c>
      <c r="E468" s="1962" t="s">
        <v>7744</v>
      </c>
      <c r="F468" s="1981">
        <v>0</v>
      </c>
      <c r="G468" s="1981">
        <v>0</v>
      </c>
      <c r="H468" s="1981">
        <v>0</v>
      </c>
      <c r="I468" s="1981">
        <v>0</v>
      </c>
      <c r="J468" s="1981">
        <v>0</v>
      </c>
      <c r="K468" s="1981">
        <v>0</v>
      </c>
      <c r="L468" s="1981">
        <v>0</v>
      </c>
      <c r="M468" s="1981">
        <v>0</v>
      </c>
      <c r="N468" s="1981">
        <v>0</v>
      </c>
      <c r="O468" s="1981">
        <v>0</v>
      </c>
      <c r="P468" s="1981">
        <v>0</v>
      </c>
      <c r="Q468" s="1981">
        <v>0</v>
      </c>
      <c r="R468" s="1981">
        <v>0</v>
      </c>
      <c r="T468" s="48">
        <f t="shared" si="7"/>
        <v>0</v>
      </c>
      <c r="U468" s="48"/>
    </row>
    <row r="469" spans="2:21" ht="15" thickBot="1">
      <c r="B469" s="33" t="s">
        <v>7745</v>
      </c>
      <c r="C469" t="s">
        <v>4898</v>
      </c>
      <c r="D469" s="1962" t="s">
        <v>7746</v>
      </c>
      <c r="E469" s="1962" t="s">
        <v>7747</v>
      </c>
      <c r="F469" s="1981">
        <v>0</v>
      </c>
      <c r="G469" s="1981">
        <v>0</v>
      </c>
      <c r="H469" s="1981">
        <v>0</v>
      </c>
      <c r="I469" s="1981">
        <v>0</v>
      </c>
      <c r="J469" s="1981">
        <v>0</v>
      </c>
      <c r="K469" s="1981">
        <v>0</v>
      </c>
      <c r="L469" s="1981">
        <v>0</v>
      </c>
      <c r="M469" s="1981">
        <v>0</v>
      </c>
      <c r="N469" s="1981">
        <v>0</v>
      </c>
      <c r="O469" s="1981">
        <v>0</v>
      </c>
      <c r="P469" s="1981">
        <v>0</v>
      </c>
      <c r="Q469" s="1981">
        <v>0</v>
      </c>
      <c r="R469" s="1981">
        <v>0</v>
      </c>
      <c r="T469" s="48">
        <f t="shared" si="7"/>
        <v>0</v>
      </c>
      <c r="U469" s="48"/>
    </row>
    <row r="470" spans="2:21" ht="15" thickBot="1">
      <c r="B470" s="1069" t="s">
        <v>8762</v>
      </c>
      <c r="C470" t="s">
        <v>4898</v>
      </c>
      <c r="D470" s="1987" t="s">
        <v>8763</v>
      </c>
      <c r="E470" s="1987" t="s">
        <v>8764</v>
      </c>
      <c r="F470" s="1988">
        <v>-986.56821537149995</v>
      </c>
      <c r="G470" s="1988">
        <v>-945.35412588970007</v>
      </c>
      <c r="H470" s="1988">
        <v>-945.35412588970007</v>
      </c>
      <c r="I470" s="1988">
        <v>-976.15760789659998</v>
      </c>
      <c r="J470" s="1988">
        <v>-997.22812677440004</v>
      </c>
      <c r="K470" s="1988">
        <v>-934.01652415149999</v>
      </c>
      <c r="L470" s="1988">
        <v>-997.22812677440004</v>
      </c>
      <c r="M470" s="1988">
        <v>-976.15760789659998</v>
      </c>
      <c r="N470" s="1988">
        <v>-955.08708902960007</v>
      </c>
      <c r="O470" s="1988">
        <v>-997.22812677440004</v>
      </c>
      <c r="P470" s="1988">
        <v>-955.08708902960007</v>
      </c>
      <c r="Q470" s="1988">
        <v>-976.15760789659998</v>
      </c>
      <c r="R470" s="1989">
        <v>-11641.624373374598</v>
      </c>
      <c r="T470" s="48">
        <f t="shared" si="7"/>
        <v>0</v>
      </c>
      <c r="U470" s="48"/>
    </row>
    <row r="471" spans="2:21">
      <c r="B471" s="1075" t="s">
        <v>9166</v>
      </c>
      <c r="C471" t="s">
        <v>4898</v>
      </c>
      <c r="D471" s="1962" t="s">
        <v>9167</v>
      </c>
      <c r="E471" s="1962" t="s">
        <v>9168</v>
      </c>
      <c r="F471" s="1988">
        <v>-29.184999999999999</v>
      </c>
      <c r="G471" s="1988">
        <v>-63.685000000000002</v>
      </c>
      <c r="H471" s="1988">
        <v>-3.6850000000000001</v>
      </c>
      <c r="I471" s="1988">
        <v>-3.6850000000000001</v>
      </c>
      <c r="J471" s="1988">
        <v>-48.685000000000002</v>
      </c>
      <c r="K471" s="1988">
        <v>-3.6850000000000001</v>
      </c>
      <c r="L471" s="1988">
        <v>-3.6850000000000001</v>
      </c>
      <c r="M471" s="1988">
        <v>-3.6850000000000001</v>
      </c>
      <c r="N471" s="1988">
        <v>-3.6850000000000001</v>
      </c>
      <c r="O471" s="1988">
        <v>-3.6850000000000001</v>
      </c>
      <c r="P471" s="1988">
        <v>-3.6850000000000001</v>
      </c>
      <c r="Q471" s="1988">
        <v>-3.6850000000000001</v>
      </c>
      <c r="R471" s="1989">
        <v>-174.72000000000003</v>
      </c>
      <c r="T471" s="48">
        <f t="shared" si="7"/>
        <v>0</v>
      </c>
      <c r="U471" s="48"/>
    </row>
    <row r="472" spans="2:21">
      <c r="B472" s="1075" t="s">
        <v>8765</v>
      </c>
      <c r="C472" t="s">
        <v>4898</v>
      </c>
      <c r="D472" s="1962" t="s">
        <v>8766</v>
      </c>
      <c r="E472" s="1962" t="s">
        <v>8767</v>
      </c>
      <c r="F472" s="1990">
        <v>-131.57775534549998</v>
      </c>
      <c r="G472" s="1990">
        <v>-116.58630727010001</v>
      </c>
      <c r="H472" s="1990">
        <v>-116.58630727010001</v>
      </c>
      <c r="I472" s="1990">
        <v>-126.7182089402</v>
      </c>
      <c r="J472" s="1990">
        <v>-132.47812410750001</v>
      </c>
      <c r="K472" s="1990">
        <v>-115.1983660595</v>
      </c>
      <c r="L472" s="1990">
        <v>-132.47812410750001</v>
      </c>
      <c r="M472" s="1990">
        <v>-126.7182089402</v>
      </c>
      <c r="N472" s="1990">
        <v>-120.95829379349999</v>
      </c>
      <c r="O472" s="1990">
        <v>-132.47812410750001</v>
      </c>
      <c r="P472" s="1990">
        <v>-120.95829379349999</v>
      </c>
      <c r="Q472" s="1990">
        <v>-126.7182089402</v>
      </c>
      <c r="R472" s="1991">
        <v>-1499.4543226752999</v>
      </c>
      <c r="T472" s="48">
        <f t="shared" si="7"/>
        <v>0</v>
      </c>
      <c r="U472" s="48"/>
    </row>
    <row r="473" spans="2:21">
      <c r="B473" s="1075" t="s">
        <v>8768</v>
      </c>
      <c r="C473" t="s">
        <v>4898</v>
      </c>
      <c r="D473" s="1962" t="s">
        <v>8769</v>
      </c>
      <c r="E473" s="1962" t="s">
        <v>8770</v>
      </c>
      <c r="F473" s="1990">
        <v>-25</v>
      </c>
      <c r="G473" s="1990">
        <v>-25</v>
      </c>
      <c r="H473" s="1990">
        <v>-25</v>
      </c>
      <c r="I473" s="1990">
        <v>-25</v>
      </c>
      <c r="J473" s="1990">
        <v>-25</v>
      </c>
      <c r="K473" s="1990">
        <v>-25</v>
      </c>
      <c r="L473" s="1990">
        <v>-25</v>
      </c>
      <c r="M473" s="1990">
        <v>-25</v>
      </c>
      <c r="N473" s="1990">
        <v>-25</v>
      </c>
      <c r="O473" s="1990">
        <v>-25</v>
      </c>
      <c r="P473" s="1990">
        <v>-25</v>
      </c>
      <c r="Q473" s="1990">
        <v>-25</v>
      </c>
      <c r="R473" s="1991">
        <v>-300</v>
      </c>
      <c r="T473" s="48">
        <f t="shared" si="7"/>
        <v>0</v>
      </c>
      <c r="U473" s="48"/>
    </row>
    <row r="474" spans="2:21">
      <c r="B474" s="1075" t="s">
        <v>9169</v>
      </c>
      <c r="C474" t="s">
        <v>4898</v>
      </c>
      <c r="D474" s="1962" t="s">
        <v>9170</v>
      </c>
      <c r="E474" s="1962" t="s">
        <v>9171</v>
      </c>
      <c r="F474" s="1990">
        <v>30.3741606651</v>
      </c>
      <c r="G474" s="1990">
        <v>30.3741606651</v>
      </c>
      <c r="H474" s="1990">
        <v>30.3741606651</v>
      </c>
      <c r="I474" s="1990">
        <v>30.3741606651</v>
      </c>
      <c r="J474" s="1990">
        <v>30.3741606651</v>
      </c>
      <c r="K474" s="1990">
        <v>30.3741606651</v>
      </c>
      <c r="L474" s="1990">
        <v>30.3741606651</v>
      </c>
      <c r="M474" s="1990">
        <v>30.3741606651</v>
      </c>
      <c r="N474" s="1990">
        <v>30.3741606651</v>
      </c>
      <c r="O474" s="1990">
        <v>30.3741606651</v>
      </c>
      <c r="P474" s="1990">
        <v>30.3741606651</v>
      </c>
      <c r="Q474" s="1990">
        <v>30.3741606651</v>
      </c>
      <c r="R474" s="1991">
        <v>364.48992798120003</v>
      </c>
      <c r="T474" s="48">
        <f t="shared" si="7"/>
        <v>0</v>
      </c>
      <c r="U474" s="48"/>
    </row>
    <row r="475" spans="2:21">
      <c r="B475" s="1075" t="s">
        <v>8771</v>
      </c>
      <c r="C475" t="s">
        <v>4898</v>
      </c>
      <c r="D475" s="1962" t="s">
        <v>8772</v>
      </c>
      <c r="E475" s="1962" t="s">
        <v>8773</v>
      </c>
      <c r="F475" s="1990">
        <v>0</v>
      </c>
      <c r="G475" s="1990">
        <v>0</v>
      </c>
      <c r="H475" s="1990">
        <v>0</v>
      </c>
      <c r="I475" s="1990">
        <v>0</v>
      </c>
      <c r="J475" s="1990">
        <v>0</v>
      </c>
      <c r="K475" s="1990">
        <v>0</v>
      </c>
      <c r="L475" s="1990">
        <v>0</v>
      </c>
      <c r="M475" s="1990">
        <v>0</v>
      </c>
      <c r="N475" s="1990">
        <v>0</v>
      </c>
      <c r="O475" s="1990">
        <v>0</v>
      </c>
      <c r="P475" s="1990">
        <v>0</v>
      </c>
      <c r="Q475" s="1990">
        <v>0</v>
      </c>
      <c r="R475" s="1991">
        <v>0</v>
      </c>
      <c r="T475" s="48">
        <f t="shared" si="7"/>
        <v>0</v>
      </c>
      <c r="U475" s="48"/>
    </row>
    <row r="476" spans="2:21">
      <c r="B476" s="1075" t="s">
        <v>8774</v>
      </c>
      <c r="C476" t="s">
        <v>4898</v>
      </c>
      <c r="D476" s="1962" t="s">
        <v>8775</v>
      </c>
      <c r="E476" s="1962" t="s">
        <v>8776</v>
      </c>
      <c r="F476" s="1990">
        <v>0</v>
      </c>
      <c r="G476" s="1990">
        <v>0</v>
      </c>
      <c r="H476" s="1990">
        <v>0</v>
      </c>
      <c r="I476" s="1990">
        <v>0</v>
      </c>
      <c r="J476" s="1990">
        <v>0</v>
      </c>
      <c r="K476" s="1990">
        <v>0</v>
      </c>
      <c r="L476" s="1990">
        <v>0</v>
      </c>
      <c r="M476" s="1990">
        <v>0</v>
      </c>
      <c r="N476" s="1990">
        <v>0</v>
      </c>
      <c r="O476" s="1990">
        <v>0</v>
      </c>
      <c r="P476" s="1990">
        <v>0</v>
      </c>
      <c r="Q476" s="1990">
        <v>0</v>
      </c>
      <c r="R476" s="1991">
        <v>0</v>
      </c>
      <c r="T476" s="48">
        <f t="shared" si="7"/>
        <v>0</v>
      </c>
      <c r="U476" s="48"/>
    </row>
    <row r="477" spans="2:21">
      <c r="B477" s="1075" t="s">
        <v>8777</v>
      </c>
      <c r="C477" t="s">
        <v>4898</v>
      </c>
      <c r="D477" s="1962" t="s">
        <v>8778</v>
      </c>
      <c r="E477" s="1962" t="s">
        <v>8779</v>
      </c>
      <c r="F477" s="1990">
        <v>-14.437358573699999</v>
      </c>
      <c r="G477" s="1990">
        <v>-13.1888471855</v>
      </c>
      <c r="H477" s="1990">
        <v>-13.5897971855</v>
      </c>
      <c r="I477" s="1990">
        <v>-13.813102879599999</v>
      </c>
      <c r="J477" s="1990">
        <v>-14.437358573699999</v>
      </c>
      <c r="K477" s="1990">
        <v>-12.965540128500001</v>
      </c>
      <c r="L477" s="1990">
        <v>-14.437358573699999</v>
      </c>
      <c r="M477" s="1990">
        <v>-13.813102879599999</v>
      </c>
      <c r="N477" s="1990">
        <v>-13.857097185500001</v>
      </c>
      <c r="O477" s="1990">
        <v>-14.437358573699999</v>
      </c>
      <c r="P477" s="1990">
        <v>-13.1888471855</v>
      </c>
      <c r="Q477" s="1990">
        <v>-14.481352879599999</v>
      </c>
      <c r="R477" s="1991">
        <v>-166.64712180409998</v>
      </c>
      <c r="T477" s="48">
        <f t="shared" si="7"/>
        <v>0</v>
      </c>
      <c r="U477" s="48"/>
    </row>
    <row r="478" spans="2:21">
      <c r="B478" s="1075" t="s">
        <v>8780</v>
      </c>
      <c r="C478" t="s">
        <v>4898</v>
      </c>
      <c r="D478" s="1962" t="s">
        <v>8781</v>
      </c>
      <c r="E478" s="1962" t="s">
        <v>8782</v>
      </c>
      <c r="F478" s="1990">
        <v>-38.620764899200005</v>
      </c>
      <c r="G478" s="1990">
        <v>-36.814672781599995</v>
      </c>
      <c r="H478" s="1990">
        <v>-36.124446216900004</v>
      </c>
      <c r="I478" s="1990">
        <v>-36.3575530564</v>
      </c>
      <c r="J478" s="1990">
        <v>-20.185928191399999</v>
      </c>
      <c r="K478" s="1990">
        <v>-18.2135728656</v>
      </c>
      <c r="L478" s="1990">
        <v>-19.633478191400002</v>
      </c>
      <c r="M478" s="1990">
        <v>-19.089585978700001</v>
      </c>
      <c r="N478" s="1990">
        <v>-19.088936266199998</v>
      </c>
      <c r="O478" s="1990">
        <v>-20.429778194400001</v>
      </c>
      <c r="P478" s="1990">
        <v>-18.6930137662</v>
      </c>
      <c r="Q478" s="1990">
        <v>-20.412921762699998</v>
      </c>
      <c r="R478" s="1991">
        <v>-303.66465217069998</v>
      </c>
      <c r="T478" s="48">
        <f t="shared" si="7"/>
        <v>0</v>
      </c>
      <c r="U478" s="48"/>
    </row>
    <row r="479" spans="2:21">
      <c r="B479" s="1075" t="s">
        <v>8783</v>
      </c>
      <c r="C479" t="s">
        <v>4898</v>
      </c>
      <c r="D479" s="1962" t="s">
        <v>8784</v>
      </c>
      <c r="E479" s="1962" t="s">
        <v>8785</v>
      </c>
      <c r="F479" s="1990">
        <v>-251.9002649185</v>
      </c>
      <c r="G479" s="1990">
        <v>-229.1084288623</v>
      </c>
      <c r="H479" s="1990">
        <v>-229.1084288623</v>
      </c>
      <c r="I479" s="1990">
        <v>-249.01903525019998</v>
      </c>
      <c r="J479" s="1990">
        <v>-260.33807557289998</v>
      </c>
      <c r="K479" s="1990">
        <v>-226.38092992309998</v>
      </c>
      <c r="L479" s="1990">
        <v>-260.33807557289998</v>
      </c>
      <c r="M479" s="1990">
        <v>-249.01903525019998</v>
      </c>
      <c r="N479" s="1990">
        <v>-237.6999949552</v>
      </c>
      <c r="O479" s="1990">
        <v>-260.33807557289998</v>
      </c>
      <c r="P479" s="1990">
        <v>-237.6999949552</v>
      </c>
      <c r="Q479" s="1990">
        <v>-249.01903525019998</v>
      </c>
      <c r="R479" s="1991">
        <v>-2939.9693749458997</v>
      </c>
      <c r="T479" s="48">
        <f t="shared" si="7"/>
        <v>0</v>
      </c>
      <c r="U479" s="48"/>
    </row>
    <row r="480" spans="2:21">
      <c r="B480" s="1075" t="s">
        <v>8786</v>
      </c>
      <c r="C480" t="s">
        <v>4898</v>
      </c>
      <c r="D480" s="1962" t="s">
        <v>8787</v>
      </c>
      <c r="E480" s="1962" t="s">
        <v>8788</v>
      </c>
      <c r="F480" s="1990">
        <v>115.4850000001</v>
      </c>
      <c r="G480" s="1990">
        <v>115.4850000001</v>
      </c>
      <c r="H480" s="1990">
        <v>115.4850000001</v>
      </c>
      <c r="I480" s="1990">
        <v>115.4850000001</v>
      </c>
      <c r="J480" s="1990">
        <v>115.4850000001</v>
      </c>
      <c r="K480" s="1990">
        <v>115.4850000001</v>
      </c>
      <c r="L480" s="1990">
        <v>115.4850000001</v>
      </c>
      <c r="M480" s="1990">
        <v>115.4850000001</v>
      </c>
      <c r="N480" s="1990">
        <v>115.4850000001</v>
      </c>
      <c r="O480" s="1990">
        <v>115.4850000001</v>
      </c>
      <c r="P480" s="1990">
        <v>115.4850000001</v>
      </c>
      <c r="Q480" s="1990">
        <v>115.4850000001</v>
      </c>
      <c r="R480" s="1991">
        <v>1385.8200000011996</v>
      </c>
      <c r="T480" s="48">
        <f t="shared" si="7"/>
        <v>0</v>
      </c>
      <c r="U480" s="48"/>
    </row>
    <row r="481" spans="2:21">
      <c r="B481" s="1075" t="s">
        <v>8789</v>
      </c>
      <c r="C481" t="s">
        <v>4898</v>
      </c>
      <c r="D481" s="1962" t="s">
        <v>8790</v>
      </c>
      <c r="E481" s="1962" t="s">
        <v>8791</v>
      </c>
      <c r="F481" s="1990">
        <v>0.16500000000000001</v>
      </c>
      <c r="G481" s="1990">
        <v>0.16500000000000001</v>
      </c>
      <c r="H481" s="1990">
        <v>0.16500000000000001</v>
      </c>
      <c r="I481" s="1990">
        <v>0.16500000000000001</v>
      </c>
      <c r="J481" s="1990">
        <v>0.16500000000000001</v>
      </c>
      <c r="K481" s="1990">
        <v>0.16500000000000001</v>
      </c>
      <c r="L481" s="1990">
        <v>0.16500000000000001</v>
      </c>
      <c r="M481" s="1990">
        <v>0.16500000000000001</v>
      </c>
      <c r="N481" s="1990">
        <v>0.16500000000000001</v>
      </c>
      <c r="O481" s="1990">
        <v>0.16500000000000001</v>
      </c>
      <c r="P481" s="1990">
        <v>0.16500000000000001</v>
      </c>
      <c r="Q481" s="1990">
        <v>0.16500000000000001</v>
      </c>
      <c r="R481" s="1991">
        <v>1.9800000000000002</v>
      </c>
      <c r="T481" s="48">
        <f t="shared" si="7"/>
        <v>0</v>
      </c>
      <c r="U481" s="48"/>
    </row>
    <row r="482" spans="2:21">
      <c r="B482" s="1075" t="s">
        <v>9172</v>
      </c>
      <c r="C482" t="s">
        <v>4898</v>
      </c>
      <c r="D482" s="1962" t="s">
        <v>9173</v>
      </c>
      <c r="E482" s="1962" t="s">
        <v>9174</v>
      </c>
      <c r="F482" s="1990">
        <v>-16.101413620500001</v>
      </c>
      <c r="G482" s="1990">
        <v>-14.249383052200001</v>
      </c>
      <c r="H482" s="1990">
        <v>-14.249383052200001</v>
      </c>
      <c r="I482" s="1990">
        <v>-15.4877218548</v>
      </c>
      <c r="J482" s="1990">
        <v>-16.191708791900002</v>
      </c>
      <c r="K482" s="1990">
        <v>-14.079746441400001</v>
      </c>
      <c r="L482" s="1990">
        <v>-16.191708791900002</v>
      </c>
      <c r="M482" s="1990">
        <v>-15.4877218548</v>
      </c>
      <c r="N482" s="1990">
        <v>-14.7837349176</v>
      </c>
      <c r="O482" s="1990">
        <v>-16.191708791900002</v>
      </c>
      <c r="P482" s="1990">
        <v>-14.7837349176</v>
      </c>
      <c r="Q482" s="1990">
        <v>-15.4877218548</v>
      </c>
      <c r="R482" s="1991">
        <v>-183.28568794159997</v>
      </c>
      <c r="T482" s="48">
        <f t="shared" si="7"/>
        <v>0</v>
      </c>
      <c r="U482" s="48"/>
    </row>
    <row r="483" spans="2:21">
      <c r="B483" s="1075" t="s">
        <v>9365</v>
      </c>
      <c r="C483" t="s">
        <v>4898</v>
      </c>
      <c r="D483" s="1962" t="s">
        <v>9366</v>
      </c>
      <c r="E483" s="1962" t="s">
        <v>8782</v>
      </c>
      <c r="F483" s="1990">
        <v>-10.255527578499999</v>
      </c>
      <c r="G483" s="1990">
        <v>-9.7759299430999995</v>
      </c>
      <c r="H483" s="1990">
        <v>-9.5926441487999998</v>
      </c>
      <c r="I483" s="1990">
        <v>-9.6545443630999994</v>
      </c>
      <c r="J483" s="1990">
        <v>-5.3602600519000001</v>
      </c>
      <c r="K483" s="1990">
        <v>-4.8365121538000002</v>
      </c>
      <c r="L483" s="1990">
        <v>-5.2135600519</v>
      </c>
      <c r="M483" s="1990">
        <v>-5.0691325243999996</v>
      </c>
      <c r="N483" s="1990">
        <v>-5.0689599968000003</v>
      </c>
      <c r="O483" s="1990">
        <v>-5.4250130529999998</v>
      </c>
      <c r="P483" s="1990">
        <v>-4.9638249967999997</v>
      </c>
      <c r="Q483" s="1990">
        <v>-5.4205369220000001</v>
      </c>
      <c r="R483" s="1991">
        <v>-80.63644578409999</v>
      </c>
      <c r="T483" s="48">
        <f t="shared" si="7"/>
        <v>0</v>
      </c>
      <c r="U483" s="48"/>
    </row>
    <row r="484" spans="2:21" ht="15" thickBot="1">
      <c r="B484" s="1992" t="s">
        <v>8792</v>
      </c>
      <c r="C484" t="s">
        <v>4898</v>
      </c>
      <c r="D484" s="1993" t="s">
        <v>8793</v>
      </c>
      <c r="E484" s="1993" t="s">
        <v>8794</v>
      </c>
      <c r="F484" s="1994">
        <v>17.510999999999999</v>
      </c>
      <c r="G484" s="1994">
        <v>38.210999999999999</v>
      </c>
      <c r="H484" s="1994">
        <v>2.2109999999999999</v>
      </c>
      <c r="I484" s="1994">
        <v>2.2109999999999999</v>
      </c>
      <c r="J484" s="1994">
        <v>29.210999999999999</v>
      </c>
      <c r="K484" s="1994">
        <v>2.2109999999999999</v>
      </c>
      <c r="L484" s="1994">
        <v>2.2109999999999999</v>
      </c>
      <c r="M484" s="1994">
        <v>2.2109999999999999</v>
      </c>
      <c r="N484" s="1994">
        <v>2.2109999999999999</v>
      </c>
      <c r="O484" s="1994">
        <v>2.2109999999999999</v>
      </c>
      <c r="P484" s="1994">
        <v>2.2109999999999999</v>
      </c>
      <c r="Q484" s="1994">
        <v>2.2109999999999999</v>
      </c>
      <c r="R484" s="1995">
        <v>104.83199999999998</v>
      </c>
      <c r="T484" s="48">
        <f t="shared" si="7"/>
        <v>0</v>
      </c>
      <c r="U484" s="48"/>
    </row>
    <row r="485" spans="2:21" ht="15" thickBot="1">
      <c r="B485" s="1069" t="s">
        <v>8795</v>
      </c>
      <c r="C485" t="s">
        <v>8722</v>
      </c>
      <c r="D485" s="1987" t="s">
        <v>8723</v>
      </c>
      <c r="E485" s="1987" t="s">
        <v>8724</v>
      </c>
      <c r="F485" s="1988">
        <v>1284.3101255081999</v>
      </c>
      <c r="G485" s="1988">
        <v>1194.1753983634001</v>
      </c>
      <c r="H485" s="1988">
        <v>1272.5545429693</v>
      </c>
      <c r="I485" s="1988">
        <v>1332.3974418985001</v>
      </c>
      <c r="J485" s="1988">
        <v>1278.6037615711</v>
      </c>
      <c r="K485" s="1988">
        <v>1161.4347103419</v>
      </c>
      <c r="L485" s="1988">
        <v>1358.4720842704</v>
      </c>
      <c r="M485" s="1988">
        <v>1273.2706279102001</v>
      </c>
      <c r="N485" s="1988">
        <v>1228.4756568237999</v>
      </c>
      <c r="O485" s="1988">
        <v>1486.1979427364001</v>
      </c>
      <c r="P485" s="1988">
        <v>1296.525849888</v>
      </c>
      <c r="Q485" s="1988">
        <v>1381.7455088999</v>
      </c>
      <c r="R485" s="1989">
        <v>15548.163651181098</v>
      </c>
      <c r="T485" s="48">
        <f t="shared" si="7"/>
        <v>0</v>
      </c>
      <c r="U485" s="48"/>
    </row>
    <row r="486" spans="2:21">
      <c r="B486" s="1075" t="s">
        <v>9175</v>
      </c>
      <c r="C486" t="s">
        <v>7347</v>
      </c>
      <c r="D486" s="1962" t="s">
        <v>9176</v>
      </c>
      <c r="E486" s="1962" t="s">
        <v>9177</v>
      </c>
      <c r="F486" s="1988">
        <v>-47.614611432400004</v>
      </c>
      <c r="G486" s="1988">
        <v>-43.474212796799996</v>
      </c>
      <c r="H486" s="1988">
        <v>-43.474212796799996</v>
      </c>
      <c r="I486" s="1988">
        <v>-45.544412114799997</v>
      </c>
      <c r="J486" s="1988">
        <v>-47.614611432400004</v>
      </c>
      <c r="K486" s="1988">
        <v>-41.404008958799999</v>
      </c>
      <c r="L486" s="1988">
        <v>-47.614611432400004</v>
      </c>
      <c r="M486" s="1988">
        <v>-45.544412114799997</v>
      </c>
      <c r="N486" s="1988">
        <v>-43.474212796799996</v>
      </c>
      <c r="O486" s="1988">
        <v>-47.614611432400004</v>
      </c>
      <c r="P486" s="1988">
        <v>-43.474212796799996</v>
      </c>
      <c r="Q486" s="1988">
        <v>-45.544412114799997</v>
      </c>
      <c r="R486" s="1989">
        <v>-542.39254222</v>
      </c>
      <c r="T486" s="48">
        <f t="shared" si="7"/>
        <v>0</v>
      </c>
      <c r="U486" s="48"/>
    </row>
    <row r="487" spans="2:21">
      <c r="B487" s="1075" t="s">
        <v>8796</v>
      </c>
      <c r="C487" t="s">
        <v>7357</v>
      </c>
      <c r="D487" s="1962" t="s">
        <v>8797</v>
      </c>
      <c r="E487" s="1962" t="s">
        <v>8798</v>
      </c>
      <c r="F487" s="1990">
        <v>9.8562499999999993</v>
      </c>
      <c r="G487" s="1990">
        <v>9.8562499999999993</v>
      </c>
      <c r="H487" s="1990">
        <v>9.8562499999999993</v>
      </c>
      <c r="I487" s="1990">
        <v>9.8562499999999993</v>
      </c>
      <c r="J487" s="1990">
        <v>9.8562499999999993</v>
      </c>
      <c r="K487" s="1990">
        <v>9.8562499999999993</v>
      </c>
      <c r="L487" s="1990">
        <v>9.8562499999999993</v>
      </c>
      <c r="M487" s="1990">
        <v>9.8562499999999993</v>
      </c>
      <c r="N487" s="1990">
        <v>9.8562499999999993</v>
      </c>
      <c r="O487" s="1990">
        <v>9.8562499999999993</v>
      </c>
      <c r="P487" s="1990">
        <v>9.8562499999999993</v>
      </c>
      <c r="Q487" s="1990">
        <v>9.8562499999999993</v>
      </c>
      <c r="R487" s="1991">
        <v>118.27500000000002</v>
      </c>
      <c r="T487" s="48">
        <f t="shared" si="7"/>
        <v>0</v>
      </c>
      <c r="U487" s="48"/>
    </row>
    <row r="488" spans="2:21">
      <c r="B488" s="1075" t="s">
        <v>8799</v>
      </c>
      <c r="C488" t="s">
        <v>8725</v>
      </c>
      <c r="D488" s="1962" t="s">
        <v>8726</v>
      </c>
      <c r="E488" s="1962" t="s">
        <v>8727</v>
      </c>
      <c r="F488" s="1990">
        <v>4614.8484883623005</v>
      </c>
      <c r="G488" s="1990">
        <v>4217.9860052750992</v>
      </c>
      <c r="H488" s="1990">
        <v>4248.1578044776006</v>
      </c>
      <c r="I488" s="1990">
        <v>4508.2497248098998</v>
      </c>
      <c r="J488" s="1990">
        <v>4670.3363338153995</v>
      </c>
      <c r="K488" s="1990">
        <v>4071.2028308828999</v>
      </c>
      <c r="L488" s="1990">
        <v>4708.5929568295996</v>
      </c>
      <c r="M488" s="1990">
        <v>4497.6881504188996</v>
      </c>
      <c r="N488" s="1990">
        <v>4288.1729303296997</v>
      </c>
      <c r="O488" s="1990">
        <v>4747.7709582078996</v>
      </c>
      <c r="P488" s="1990">
        <v>4319.3427525801999</v>
      </c>
      <c r="Q488" s="1990">
        <v>4525.6079757513999</v>
      </c>
      <c r="R488" s="1991">
        <v>53417.95691174089</v>
      </c>
      <c r="T488" s="48">
        <f t="shared" si="7"/>
        <v>0</v>
      </c>
      <c r="U488" s="48"/>
    </row>
    <row r="489" spans="2:21">
      <c r="B489" s="1075" t="s">
        <v>8800</v>
      </c>
      <c r="C489" t="s">
        <v>7381</v>
      </c>
      <c r="D489" s="1962" t="s">
        <v>8728</v>
      </c>
      <c r="E489" s="1962" t="s">
        <v>7812</v>
      </c>
      <c r="F489" s="1990">
        <v>103.75</v>
      </c>
      <c r="G489" s="1990">
        <v>103.75</v>
      </c>
      <c r="H489" s="1990">
        <v>103.75</v>
      </c>
      <c r="I489" s="1990">
        <v>103.75</v>
      </c>
      <c r="J489" s="1990">
        <v>103.75</v>
      </c>
      <c r="K489" s="1990">
        <v>103.75</v>
      </c>
      <c r="L489" s="1990">
        <v>103.75</v>
      </c>
      <c r="M489" s="1990">
        <v>103.75</v>
      </c>
      <c r="N489" s="1990">
        <v>103.75</v>
      </c>
      <c r="O489" s="1990">
        <v>103.75</v>
      </c>
      <c r="P489" s="1990">
        <v>103.75</v>
      </c>
      <c r="Q489" s="1990">
        <v>103.75</v>
      </c>
      <c r="R489" s="1991">
        <v>1245</v>
      </c>
      <c r="T489" s="48">
        <f t="shared" si="7"/>
        <v>0</v>
      </c>
      <c r="U489" s="48"/>
    </row>
    <row r="490" spans="2:21">
      <c r="B490" s="1075" t="s">
        <v>8801</v>
      </c>
      <c r="C490" t="s">
        <v>7383</v>
      </c>
      <c r="D490" s="1962" t="s">
        <v>8802</v>
      </c>
      <c r="E490" s="1962" t="s">
        <v>8803</v>
      </c>
      <c r="F490" s="1990">
        <v>41.848999999999997</v>
      </c>
      <c r="G490" s="1990">
        <v>41.85</v>
      </c>
      <c r="H490" s="1990">
        <v>41.850999999999999</v>
      </c>
      <c r="I490" s="1990">
        <v>41.848999999999997</v>
      </c>
      <c r="J490" s="1990">
        <v>41.85</v>
      </c>
      <c r="K490" s="1990">
        <v>41.850999999999999</v>
      </c>
      <c r="L490" s="1990">
        <v>41.848999999999997</v>
      </c>
      <c r="M490" s="1990">
        <v>41.85</v>
      </c>
      <c r="N490" s="1990">
        <v>41.850999999999999</v>
      </c>
      <c r="O490" s="1990">
        <v>41.848999999999997</v>
      </c>
      <c r="P490" s="1990">
        <v>41.85</v>
      </c>
      <c r="Q490" s="1990">
        <v>41.850999999999999</v>
      </c>
      <c r="R490" s="1991">
        <v>502.20000000000005</v>
      </c>
      <c r="T490" s="48">
        <f t="shared" si="7"/>
        <v>0</v>
      </c>
      <c r="U490" s="48"/>
    </row>
    <row r="491" spans="2:21">
      <c r="B491" s="1075" t="s">
        <v>8804</v>
      </c>
      <c r="C491" t="s">
        <v>7406</v>
      </c>
      <c r="D491" s="1962" t="s">
        <v>8805</v>
      </c>
      <c r="E491" s="1962" t="s">
        <v>8806</v>
      </c>
      <c r="F491" s="1990">
        <v>0.33392028909999999</v>
      </c>
      <c r="G491" s="1990">
        <v>0.33392028909999999</v>
      </c>
      <c r="H491" s="1990">
        <v>0.429326086</v>
      </c>
      <c r="I491" s="1990">
        <v>0.47702898449999998</v>
      </c>
      <c r="J491" s="1990">
        <v>0.38162318759999997</v>
      </c>
      <c r="K491" s="1990">
        <v>0.35777173839999998</v>
      </c>
      <c r="L491" s="1990">
        <v>0.35777173839999998</v>
      </c>
      <c r="M491" s="1990">
        <v>0.35777173839999998</v>
      </c>
      <c r="N491" s="1990">
        <v>0.35777173839999998</v>
      </c>
      <c r="O491" s="1990">
        <v>0.429326086</v>
      </c>
      <c r="P491" s="1990">
        <v>0.47702898449999998</v>
      </c>
      <c r="Q491" s="1990">
        <v>0.47702898449999998</v>
      </c>
      <c r="R491" s="1991">
        <v>4.7702898449000006</v>
      </c>
      <c r="T491" s="48">
        <f t="shared" si="7"/>
        <v>0</v>
      </c>
      <c r="U491" s="48"/>
    </row>
    <row r="492" spans="2:21">
      <c r="B492" s="1075" t="s">
        <v>8807</v>
      </c>
      <c r="C492" t="s">
        <v>7411</v>
      </c>
      <c r="D492" s="1962" t="s">
        <v>8808</v>
      </c>
      <c r="E492" s="1962" t="s">
        <v>8809</v>
      </c>
      <c r="F492" s="1990">
        <v>0</v>
      </c>
      <c r="G492" s="1990">
        <v>0</v>
      </c>
      <c r="H492" s="1990">
        <v>55</v>
      </c>
      <c r="I492" s="1990">
        <v>0</v>
      </c>
      <c r="J492" s="1990">
        <v>55</v>
      </c>
      <c r="K492" s="1990">
        <v>20</v>
      </c>
      <c r="L492" s="1990">
        <v>55</v>
      </c>
      <c r="M492" s="1990">
        <v>0</v>
      </c>
      <c r="N492" s="1990">
        <v>75</v>
      </c>
      <c r="O492" s="1990">
        <v>0</v>
      </c>
      <c r="P492" s="1990">
        <v>20</v>
      </c>
      <c r="Q492" s="1990">
        <v>0</v>
      </c>
      <c r="R492" s="1991">
        <v>280</v>
      </c>
      <c r="T492" s="48">
        <f t="shared" si="7"/>
        <v>0</v>
      </c>
      <c r="U492" s="48"/>
    </row>
    <row r="493" spans="2:21">
      <c r="B493" s="1075" t="s">
        <v>8810</v>
      </c>
      <c r="C493" t="s">
        <v>7414</v>
      </c>
      <c r="D493" s="1962" t="s">
        <v>8811</v>
      </c>
      <c r="E493" s="1962" t="s">
        <v>8812</v>
      </c>
      <c r="F493" s="1990">
        <v>0.106</v>
      </c>
      <c r="G493" s="1990">
        <v>0</v>
      </c>
      <c r="H493" s="1990">
        <v>0.79500000000000004</v>
      </c>
      <c r="I493" s="1990">
        <v>2.2229999999999999</v>
      </c>
      <c r="J493" s="1990">
        <v>0.622</v>
      </c>
      <c r="K493" s="1990">
        <v>2.1259999999999999</v>
      </c>
      <c r="L493" s="1990">
        <v>1.534</v>
      </c>
      <c r="M493" s="1990">
        <v>0</v>
      </c>
      <c r="N493" s="1990">
        <v>0.26500000000000001</v>
      </c>
      <c r="O493" s="1990">
        <v>2.4E-2</v>
      </c>
      <c r="P493" s="1990">
        <v>0.16200000000000001</v>
      </c>
      <c r="Q493" s="1990">
        <v>0.28999999999999998</v>
      </c>
      <c r="R493" s="1991">
        <v>8.1469999999999985</v>
      </c>
      <c r="T493" s="48">
        <f t="shared" si="7"/>
        <v>0</v>
      </c>
      <c r="U493" s="48"/>
    </row>
    <row r="494" spans="2:21">
      <c r="B494" s="1075" t="s">
        <v>8813</v>
      </c>
      <c r="C494" t="s">
        <v>7419</v>
      </c>
      <c r="D494" s="1962" t="s">
        <v>8814</v>
      </c>
      <c r="E494" s="1962" t="s">
        <v>8815</v>
      </c>
      <c r="F494" s="1990">
        <v>12.764207844000001</v>
      </c>
      <c r="G494" s="1990">
        <v>12.764207844000001</v>
      </c>
      <c r="H494" s="1990">
        <v>12.764207844000001</v>
      </c>
      <c r="I494" s="1990">
        <v>14.5876661074</v>
      </c>
      <c r="J494" s="1990">
        <v>14.5876661074</v>
      </c>
      <c r="K494" s="1990">
        <v>14.5876661074</v>
      </c>
      <c r="L494" s="1990">
        <v>15.4993952391</v>
      </c>
      <c r="M494" s="1990">
        <v>15.4993952391</v>
      </c>
      <c r="N494" s="1990">
        <v>15.4993952391</v>
      </c>
      <c r="O494" s="1990">
        <v>16.411124370900001</v>
      </c>
      <c r="P494" s="1990">
        <v>16.411124370900001</v>
      </c>
      <c r="Q494" s="1990">
        <v>20.969770029399999</v>
      </c>
      <c r="R494" s="1991">
        <v>182.34582634270001</v>
      </c>
      <c r="T494" s="48">
        <f t="shared" si="7"/>
        <v>0</v>
      </c>
      <c r="U494" s="48"/>
    </row>
    <row r="495" spans="2:21">
      <c r="B495" s="1075" t="s">
        <v>8816</v>
      </c>
      <c r="C495" t="s">
        <v>7421</v>
      </c>
      <c r="D495" s="1962" t="s">
        <v>8817</v>
      </c>
      <c r="E495" s="1962" t="s">
        <v>8818</v>
      </c>
      <c r="F495" s="1990">
        <v>0</v>
      </c>
      <c r="G495" s="1990">
        <v>0</v>
      </c>
      <c r="H495" s="1990">
        <v>8.4</v>
      </c>
      <c r="I495" s="1990">
        <v>0</v>
      </c>
      <c r="J495" s="1990">
        <v>8.4</v>
      </c>
      <c r="K495" s="1990">
        <v>12.6</v>
      </c>
      <c r="L495" s="1990">
        <v>8.4</v>
      </c>
      <c r="M495" s="1990">
        <v>0</v>
      </c>
      <c r="N495" s="1990">
        <v>4.2</v>
      </c>
      <c r="O495" s="1990">
        <v>12.6</v>
      </c>
      <c r="P495" s="1990">
        <v>0</v>
      </c>
      <c r="Q495" s="1990">
        <v>0</v>
      </c>
      <c r="R495" s="1991">
        <v>54.6</v>
      </c>
      <c r="T495" s="48">
        <f t="shared" si="7"/>
        <v>0</v>
      </c>
      <c r="U495" s="48"/>
    </row>
    <row r="496" spans="2:21">
      <c r="B496" s="1075" t="s">
        <v>9178</v>
      </c>
      <c r="C496" t="s">
        <v>7424</v>
      </c>
      <c r="D496" s="1962" t="s">
        <v>9179</v>
      </c>
      <c r="E496" s="1962" t="s">
        <v>9367</v>
      </c>
      <c r="F496" s="1990">
        <v>4063.1289999999999</v>
      </c>
      <c r="G496" s="1990">
        <v>2430.4540000000002</v>
      </c>
      <c r="H496" s="1990">
        <v>1727.1020000000001</v>
      </c>
      <c r="I496" s="1990">
        <v>1291.047</v>
      </c>
      <c r="J496" s="1990">
        <v>0</v>
      </c>
      <c r="K496" s="1990">
        <v>0</v>
      </c>
      <c r="L496" s="1990">
        <v>1410.539</v>
      </c>
      <c r="M496" s="1990">
        <v>0</v>
      </c>
      <c r="N496" s="1990">
        <v>0</v>
      </c>
      <c r="O496" s="1990">
        <v>0</v>
      </c>
      <c r="P496" s="1990">
        <v>0</v>
      </c>
      <c r="Q496" s="1990">
        <v>4004.6570000000002</v>
      </c>
      <c r="R496" s="1991">
        <v>14926.928000000004</v>
      </c>
      <c r="T496" s="48">
        <f t="shared" si="7"/>
        <v>0</v>
      </c>
      <c r="U496" s="48"/>
    </row>
    <row r="497" spans="2:21">
      <c r="B497" s="1075" t="s">
        <v>8819</v>
      </c>
      <c r="C497" t="s">
        <v>7425</v>
      </c>
      <c r="D497" s="1962" t="s">
        <v>8820</v>
      </c>
      <c r="E497" s="1962" t="s">
        <v>8821</v>
      </c>
      <c r="F497" s="1990">
        <v>51851.076000000001</v>
      </c>
      <c r="G497" s="1990">
        <v>45887.724000000002</v>
      </c>
      <c r="H497" s="1990">
        <v>46938.186999999998</v>
      </c>
      <c r="I497" s="1990">
        <v>47795.285000000003</v>
      </c>
      <c r="J497" s="1990">
        <v>55389.377</v>
      </c>
      <c r="K497" s="1990">
        <v>61695.569000000003</v>
      </c>
      <c r="L497" s="1990">
        <v>66201.281000000003</v>
      </c>
      <c r="M497" s="1990">
        <v>68559.02</v>
      </c>
      <c r="N497" s="1990">
        <v>62981.722000000002</v>
      </c>
      <c r="O497" s="1990">
        <v>59338.517</v>
      </c>
      <c r="P497" s="1990">
        <v>50511.699000000001</v>
      </c>
      <c r="Q497" s="1990">
        <v>52669.665000000001</v>
      </c>
      <c r="R497" s="1991">
        <v>669819.12200000009</v>
      </c>
      <c r="T497" s="48">
        <f t="shared" si="7"/>
        <v>0</v>
      </c>
      <c r="U497" s="48"/>
    </row>
    <row r="498" spans="2:21">
      <c r="B498" s="1075" t="s">
        <v>8822</v>
      </c>
      <c r="C498" t="s">
        <v>7426</v>
      </c>
      <c r="D498" s="1962" t="s">
        <v>8823</v>
      </c>
      <c r="E498" s="1962" t="s">
        <v>8824</v>
      </c>
      <c r="F498" s="1990">
        <v>67.058333333299998</v>
      </c>
      <c r="G498" s="1990">
        <v>67.058333333299998</v>
      </c>
      <c r="H498" s="1990">
        <v>65.616333333300005</v>
      </c>
      <c r="I498" s="1990">
        <v>0</v>
      </c>
      <c r="J498" s="1990">
        <v>65.616333333300005</v>
      </c>
      <c r="K498" s="1990">
        <v>65.616333333300005</v>
      </c>
      <c r="L498" s="1990">
        <v>65.616333333300005</v>
      </c>
      <c r="M498" s="1990">
        <v>65.616333333300005</v>
      </c>
      <c r="N498" s="1990">
        <v>64.971333333299995</v>
      </c>
      <c r="O498" s="1990">
        <v>64.971333333299995</v>
      </c>
      <c r="P498" s="1990">
        <v>64.971333333299995</v>
      </c>
      <c r="Q498" s="1990">
        <v>64.971333333299995</v>
      </c>
      <c r="R498" s="1991">
        <v>722.08366666630002</v>
      </c>
      <c r="T498" s="48">
        <f t="shared" si="7"/>
        <v>0</v>
      </c>
      <c r="U498" s="48"/>
    </row>
    <row r="499" spans="2:21">
      <c r="B499" s="1075" t="s">
        <v>8825</v>
      </c>
      <c r="C499" t="s">
        <v>7427</v>
      </c>
      <c r="D499" s="1962" t="s">
        <v>8826</v>
      </c>
      <c r="E499" s="1962" t="s">
        <v>8827</v>
      </c>
      <c r="F499" s="1990">
        <v>-5.0000000000000001E-3</v>
      </c>
      <c r="G499" s="1990">
        <v>0</v>
      </c>
      <c r="H499" s="1990">
        <v>0</v>
      </c>
      <c r="I499" s="1990">
        <v>-5.0000000000000001E-3</v>
      </c>
      <c r="J499" s="1990">
        <v>0</v>
      </c>
      <c r="K499" s="1990">
        <v>0</v>
      </c>
      <c r="L499" s="1990">
        <v>-5.0000000000000001E-3</v>
      </c>
      <c r="M499" s="1990">
        <v>0</v>
      </c>
      <c r="N499" s="1990">
        <v>0</v>
      </c>
      <c r="O499" s="1990">
        <v>-5.0000000000000001E-3</v>
      </c>
      <c r="P499" s="1990">
        <v>0</v>
      </c>
      <c r="Q499" s="1990">
        <v>0</v>
      </c>
      <c r="R499" s="1991">
        <v>-0.02</v>
      </c>
      <c r="T499" s="48">
        <f t="shared" si="7"/>
        <v>0</v>
      </c>
      <c r="U499" s="48"/>
    </row>
    <row r="500" spans="2:21">
      <c r="B500" s="1075" t="s">
        <v>8828</v>
      </c>
      <c r="C500" t="s">
        <v>7429</v>
      </c>
      <c r="D500" s="1962" t="s">
        <v>8829</v>
      </c>
      <c r="E500" s="1962" t="s">
        <v>8830</v>
      </c>
      <c r="F500" s="1990">
        <v>3864.376636425</v>
      </c>
      <c r="G500" s="1990">
        <v>3983.1686522620998</v>
      </c>
      <c r="H500" s="1990">
        <v>1989.2396562014001</v>
      </c>
      <c r="I500" s="1990">
        <v>4272.1801007372005</v>
      </c>
      <c r="J500" s="1990">
        <v>622.03757177720001</v>
      </c>
      <c r="K500" s="1990">
        <v>267.66828000000004</v>
      </c>
      <c r="L500" s="1990">
        <v>63.859319890899997</v>
      </c>
      <c r="M500" s="1990">
        <v>66.494354080899996</v>
      </c>
      <c r="N500" s="1990">
        <v>253.41823410219999</v>
      </c>
      <c r="O500" s="1990">
        <v>970.59140394149995</v>
      </c>
      <c r="P500" s="1990">
        <v>187.47606071280001</v>
      </c>
      <c r="Q500" s="1990">
        <v>242.74475343360001</v>
      </c>
      <c r="R500" s="1991">
        <v>16783.255023564801</v>
      </c>
      <c r="T500" s="48">
        <f t="shared" si="7"/>
        <v>0</v>
      </c>
      <c r="U500" s="48"/>
    </row>
    <row r="501" spans="2:21">
      <c r="B501" s="1075" t="s">
        <v>8831</v>
      </c>
      <c r="C501" t="s">
        <v>7437</v>
      </c>
      <c r="D501" s="1962" t="s">
        <v>8832</v>
      </c>
      <c r="E501" s="1962" t="s">
        <v>8833</v>
      </c>
      <c r="F501" s="1990">
        <v>4.2700755999999999E-2</v>
      </c>
      <c r="G501" s="1990">
        <v>1.7700755999999998E-2</v>
      </c>
      <c r="H501" s="1990">
        <v>0.18870075600000003</v>
      </c>
      <c r="I501" s="1990">
        <v>2.0229435399999999E-2</v>
      </c>
      <c r="J501" s="1990">
        <v>2.0229435399999999E-2</v>
      </c>
      <c r="K501" s="1990">
        <v>3.8229435399999998E-2</v>
      </c>
      <c r="L501" s="1990">
        <v>2.1493775100000001E-2</v>
      </c>
      <c r="M501" s="1990">
        <v>3.4493775099999999E-2</v>
      </c>
      <c r="N501" s="1990">
        <v>5.0493775099999999E-2</v>
      </c>
      <c r="O501" s="1990">
        <v>2.2758114899999998E-2</v>
      </c>
      <c r="P501" s="1990">
        <v>2.2758114899999998E-2</v>
      </c>
      <c r="Q501" s="1990">
        <v>2.9079813399999998E-2</v>
      </c>
      <c r="R501" s="1991">
        <v>0.50886794270000002</v>
      </c>
      <c r="T501" s="48">
        <f t="shared" si="7"/>
        <v>0</v>
      </c>
      <c r="U501" s="48"/>
    </row>
    <row r="502" spans="2:21">
      <c r="B502" s="1075" t="s">
        <v>8834</v>
      </c>
      <c r="C502" t="s">
        <v>7439</v>
      </c>
      <c r="D502" s="1962" t="s">
        <v>8835</v>
      </c>
      <c r="E502" s="1962" t="s">
        <v>8836</v>
      </c>
      <c r="F502" s="1990">
        <v>3.7080000000000002</v>
      </c>
      <c r="G502" s="1990">
        <v>3.7080000000000002</v>
      </c>
      <c r="H502" s="1990">
        <v>3.7080000000000002</v>
      </c>
      <c r="I502" s="1990">
        <v>3.7080000000000002</v>
      </c>
      <c r="J502" s="1990">
        <v>3.7080000000000002</v>
      </c>
      <c r="K502" s="1990">
        <v>3.7080000000000002</v>
      </c>
      <c r="L502" s="1990">
        <v>3.7080000000000002</v>
      </c>
      <c r="M502" s="1990">
        <v>3.7080000000000002</v>
      </c>
      <c r="N502" s="1990">
        <v>3.7080000000000002</v>
      </c>
      <c r="O502" s="1990">
        <v>3.7080000000000002</v>
      </c>
      <c r="P502" s="1990">
        <v>3.7080000000000002</v>
      </c>
      <c r="Q502" s="1990">
        <v>3.7080000000000002</v>
      </c>
      <c r="R502" s="1991">
        <v>44.495999999999988</v>
      </c>
      <c r="T502" s="48">
        <f t="shared" si="7"/>
        <v>0</v>
      </c>
      <c r="U502" s="48"/>
    </row>
    <row r="503" spans="2:21">
      <c r="B503" s="1075" t="s">
        <v>8837</v>
      </c>
      <c r="C503" t="s">
        <v>7440</v>
      </c>
      <c r="D503" s="1962" t="s">
        <v>8838</v>
      </c>
      <c r="E503" s="1962" t="s">
        <v>8839</v>
      </c>
      <c r="F503" s="1990">
        <v>18.037565999999998</v>
      </c>
      <c r="G503" s="1990">
        <v>18.037565999999998</v>
      </c>
      <c r="H503" s="1990">
        <v>18.037565999999998</v>
      </c>
      <c r="I503" s="1990">
        <v>20.614361142900002</v>
      </c>
      <c r="J503" s="1990">
        <v>20.614361142900002</v>
      </c>
      <c r="K503" s="1990">
        <v>20.614361142900002</v>
      </c>
      <c r="L503" s="1990">
        <v>21.902758714299999</v>
      </c>
      <c r="M503" s="1990">
        <v>21.902758714299999</v>
      </c>
      <c r="N503" s="1990">
        <v>21.902758714299999</v>
      </c>
      <c r="O503" s="1990">
        <v>23.1911562857</v>
      </c>
      <c r="P503" s="1990">
        <v>23.1911562857</v>
      </c>
      <c r="Q503" s="1990">
        <v>29.633144142900001</v>
      </c>
      <c r="R503" s="1991">
        <v>257.67951428590004</v>
      </c>
      <c r="T503" s="48">
        <f t="shared" si="7"/>
        <v>0</v>
      </c>
      <c r="U503" s="48"/>
    </row>
    <row r="504" spans="2:21">
      <c r="B504" s="1075" t="s">
        <v>8840</v>
      </c>
      <c r="C504" t="s">
        <v>7443</v>
      </c>
      <c r="D504" s="1962" t="s">
        <v>8841</v>
      </c>
      <c r="E504" s="1962" t="s">
        <v>8842</v>
      </c>
      <c r="F504" s="1990">
        <v>-30.219943339299999</v>
      </c>
      <c r="G504" s="1990">
        <v>-39.844071460899997</v>
      </c>
      <c r="H504" s="1990">
        <v>-40.157159083400003</v>
      </c>
      <c r="I504" s="1990">
        <v>-1.0453038899</v>
      </c>
      <c r="J504" s="1990">
        <v>-35.682926110400004</v>
      </c>
      <c r="K504" s="1990">
        <v>-5.7437696740000002</v>
      </c>
      <c r="L504" s="1990">
        <v>-32.446660654799999</v>
      </c>
      <c r="M504" s="1990">
        <v>26.977605917600002</v>
      </c>
      <c r="N504" s="1990">
        <v>-24.4172193062</v>
      </c>
      <c r="O504" s="1990">
        <v>-29.943776946000003</v>
      </c>
      <c r="P504" s="1990">
        <v>-27.604798259100001</v>
      </c>
      <c r="Q504" s="1990">
        <v>4.2829126439000005</v>
      </c>
      <c r="R504" s="1991">
        <v>-235.84511016250002</v>
      </c>
      <c r="T504" s="48">
        <f t="shared" si="7"/>
        <v>0</v>
      </c>
      <c r="U504" s="48"/>
    </row>
    <row r="505" spans="2:21">
      <c r="B505" s="1075" t="s">
        <v>8843</v>
      </c>
      <c r="C505" t="s">
        <v>7449</v>
      </c>
      <c r="D505" s="1962" t="s">
        <v>8844</v>
      </c>
      <c r="E505" s="1962" t="s">
        <v>8845</v>
      </c>
      <c r="F505" s="1990">
        <v>59.166669999999996</v>
      </c>
      <c r="G505" s="1990">
        <v>59.166669999999996</v>
      </c>
      <c r="H505" s="1990">
        <v>59.166669999999996</v>
      </c>
      <c r="I505" s="1990">
        <v>59.166669999999996</v>
      </c>
      <c r="J505" s="1990">
        <v>39.166669999999996</v>
      </c>
      <c r="K505" s="1990">
        <v>-0.83333000000000002</v>
      </c>
      <c r="L505" s="1990">
        <v>-0.83333000000000002</v>
      </c>
      <c r="M505" s="1990">
        <v>-0.83333000000000002</v>
      </c>
      <c r="N505" s="1990">
        <v>-0.83333000000000002</v>
      </c>
      <c r="O505" s="1990">
        <v>-0.83333000000000002</v>
      </c>
      <c r="P505" s="1990">
        <v>-0.83333000000000002</v>
      </c>
      <c r="Q505" s="1990">
        <v>-0.83333000000000002</v>
      </c>
      <c r="R505" s="1991">
        <v>270.00004000000007</v>
      </c>
      <c r="T505" s="48">
        <f t="shared" si="7"/>
        <v>0</v>
      </c>
      <c r="U505" s="48"/>
    </row>
    <row r="506" spans="2:21">
      <c r="B506" s="1075" t="s">
        <v>8846</v>
      </c>
      <c r="C506" t="s">
        <v>8729</v>
      </c>
      <c r="D506" s="1962" t="s">
        <v>8730</v>
      </c>
      <c r="E506" s="1962" t="s">
        <v>8731</v>
      </c>
      <c r="F506" s="1990">
        <v>0</v>
      </c>
      <c r="G506" s="1990">
        <v>0</v>
      </c>
      <c r="H506" s="1990">
        <v>0</v>
      </c>
      <c r="I506" s="1990">
        <v>0</v>
      </c>
      <c r="J506" s="1990">
        <v>0</v>
      </c>
      <c r="K506" s="1990">
        <v>0</v>
      </c>
      <c r="L506" s="1990">
        <v>0</v>
      </c>
      <c r="M506" s="1990">
        <v>0</v>
      </c>
      <c r="N506" s="1990">
        <v>0</v>
      </c>
      <c r="O506" s="1990">
        <v>0</v>
      </c>
      <c r="P506" s="1990">
        <v>0</v>
      </c>
      <c r="Q506" s="1990">
        <v>0</v>
      </c>
      <c r="R506" s="1991">
        <v>0</v>
      </c>
      <c r="T506" s="48">
        <f t="shared" si="7"/>
        <v>0</v>
      </c>
      <c r="U506" s="48"/>
    </row>
    <row r="507" spans="2:21">
      <c r="B507" s="1075" t="s">
        <v>8847</v>
      </c>
      <c r="C507" t="s">
        <v>7475</v>
      </c>
      <c r="D507" s="1962" t="s">
        <v>8848</v>
      </c>
      <c r="E507" s="1962" t="s">
        <v>8849</v>
      </c>
      <c r="F507" s="1990">
        <v>3.1848333332999998</v>
      </c>
      <c r="G507" s="1990">
        <v>3.1848333332999998</v>
      </c>
      <c r="H507" s="1990">
        <v>3.1848333332999998</v>
      </c>
      <c r="I507" s="1990">
        <v>4.7008333333000003</v>
      </c>
      <c r="J507" s="1990">
        <v>3.1848333332999998</v>
      </c>
      <c r="K507" s="1990">
        <v>3.1848333332999998</v>
      </c>
      <c r="L507" s="1990">
        <v>3.1848333332999998</v>
      </c>
      <c r="M507" s="1990">
        <v>3.1848333332999998</v>
      </c>
      <c r="N507" s="1990">
        <v>3.1848333332999998</v>
      </c>
      <c r="O507" s="1990">
        <v>3.1848333332999998</v>
      </c>
      <c r="P507" s="1990">
        <v>3.1848333332999998</v>
      </c>
      <c r="Q507" s="1990">
        <v>3.1848333332999998</v>
      </c>
      <c r="R507" s="1991">
        <v>39.733999999599988</v>
      </c>
      <c r="T507" s="48">
        <f t="shared" si="7"/>
        <v>0</v>
      </c>
      <c r="U507" s="48"/>
    </row>
    <row r="508" spans="2:21">
      <c r="B508" s="1075" t="s">
        <v>8850</v>
      </c>
      <c r="C508" t="s">
        <v>7481</v>
      </c>
      <c r="D508" s="1962" t="s">
        <v>8851</v>
      </c>
      <c r="E508" s="1962" t="s">
        <v>8852</v>
      </c>
      <c r="F508" s="1990">
        <v>5.1999999999999998E-2</v>
      </c>
      <c r="G508" s="1990">
        <v>0.16</v>
      </c>
      <c r="H508" s="1990">
        <v>2E-3</v>
      </c>
      <c r="I508" s="1990">
        <v>1.5680000000000001</v>
      </c>
      <c r="J508" s="1990">
        <v>2.1000000000000001E-2</v>
      </c>
      <c r="K508" s="1990">
        <v>0</v>
      </c>
      <c r="L508" s="1990">
        <v>0</v>
      </c>
      <c r="M508" s="1990">
        <v>0</v>
      </c>
      <c r="N508" s="1990">
        <v>0</v>
      </c>
      <c r="O508" s="1990">
        <v>0</v>
      </c>
      <c r="P508" s="1990">
        <v>0</v>
      </c>
      <c r="Q508" s="1990">
        <v>4.6509999999999998</v>
      </c>
      <c r="R508" s="1991">
        <v>6.4539999999999997</v>
      </c>
      <c r="T508" s="48">
        <f t="shared" si="7"/>
        <v>0</v>
      </c>
      <c r="U508" s="48"/>
    </row>
    <row r="509" spans="2:21">
      <c r="B509" s="1075" t="s">
        <v>8853</v>
      </c>
      <c r="C509" t="s">
        <v>8732</v>
      </c>
      <c r="D509" s="1962" t="s">
        <v>8733</v>
      </c>
      <c r="E509" s="1962" t="s">
        <v>8734</v>
      </c>
      <c r="F509" s="1990">
        <v>115.833</v>
      </c>
      <c r="G509" s="1990">
        <v>115.833</v>
      </c>
      <c r="H509" s="1990">
        <v>115.833</v>
      </c>
      <c r="I509" s="1990">
        <v>115.833</v>
      </c>
      <c r="J509" s="1990">
        <v>115.833</v>
      </c>
      <c r="K509" s="1990">
        <v>115.833</v>
      </c>
      <c r="L509" s="1990">
        <v>115.833</v>
      </c>
      <c r="M509" s="1990">
        <v>115.833</v>
      </c>
      <c r="N509" s="1990">
        <v>115.833</v>
      </c>
      <c r="O509" s="1990">
        <v>115.833</v>
      </c>
      <c r="P509" s="1990">
        <v>115.833</v>
      </c>
      <c r="Q509" s="1990">
        <v>132.33699999999999</v>
      </c>
      <c r="R509" s="1991">
        <v>1406.5</v>
      </c>
      <c r="T509" s="48">
        <f t="shared" si="7"/>
        <v>0</v>
      </c>
      <c r="U509" s="48"/>
    </row>
    <row r="510" spans="2:21">
      <c r="B510" s="1075" t="s">
        <v>8854</v>
      </c>
      <c r="C510" t="s">
        <v>7502</v>
      </c>
      <c r="D510" s="1962" t="s">
        <v>8855</v>
      </c>
      <c r="E510" s="1962" t="s">
        <v>8856</v>
      </c>
      <c r="F510" s="1990">
        <v>8.9402666666999995</v>
      </c>
      <c r="G510" s="1990">
        <v>8.9402666666999995</v>
      </c>
      <c r="H510" s="1990">
        <v>8.9402666666999995</v>
      </c>
      <c r="I510" s="1990">
        <v>8.9402666666999995</v>
      </c>
      <c r="J510" s="1990">
        <v>8.9402666666999995</v>
      </c>
      <c r="K510" s="1990">
        <v>8.9402666666999995</v>
      </c>
      <c r="L510" s="1990">
        <v>8.9402666666999995</v>
      </c>
      <c r="M510" s="1990">
        <v>8.9402666666999995</v>
      </c>
      <c r="N510" s="1990">
        <v>8.9402666666999995</v>
      </c>
      <c r="O510" s="1990">
        <v>8.9402666666999995</v>
      </c>
      <c r="P510" s="1990">
        <v>8.9402666666999995</v>
      </c>
      <c r="Q510" s="1990">
        <v>8.9485666666999997</v>
      </c>
      <c r="R510" s="1991">
        <v>107.29150000039999</v>
      </c>
      <c r="T510" s="48">
        <f t="shared" si="7"/>
        <v>0</v>
      </c>
      <c r="U510" s="48"/>
    </row>
    <row r="511" spans="2:21">
      <c r="B511" s="1075" t="s">
        <v>9180</v>
      </c>
      <c r="C511" t="s">
        <v>9163</v>
      </c>
      <c r="D511" s="1962" t="s">
        <v>9164</v>
      </c>
      <c r="E511" s="1962" t="s">
        <v>9165</v>
      </c>
      <c r="F511" s="1990">
        <v>-19.75</v>
      </c>
      <c r="G511" s="1990">
        <v>-19.75</v>
      </c>
      <c r="H511" s="1990">
        <v>-19.75</v>
      </c>
      <c r="I511" s="1990">
        <v>-19.75</v>
      </c>
      <c r="J511" s="1990">
        <v>-19.75</v>
      </c>
      <c r="K511" s="1990">
        <v>-19.75</v>
      </c>
      <c r="L511" s="1990">
        <v>-19.75</v>
      </c>
      <c r="M511" s="1990">
        <v>-19.75</v>
      </c>
      <c r="N511" s="1990">
        <v>-19.75</v>
      </c>
      <c r="O511" s="1990">
        <v>-19.75</v>
      </c>
      <c r="P511" s="1990">
        <v>-19.75</v>
      </c>
      <c r="Q511" s="1990">
        <v>-19.75</v>
      </c>
      <c r="R511" s="1991">
        <v>-237</v>
      </c>
      <c r="T511" s="48">
        <f t="shared" si="7"/>
        <v>0</v>
      </c>
      <c r="U511" s="48"/>
    </row>
    <row r="512" spans="2:21">
      <c r="B512" s="1075" t="s">
        <v>8857</v>
      </c>
      <c r="C512" t="s">
        <v>7513</v>
      </c>
      <c r="D512" s="1962" t="s">
        <v>8858</v>
      </c>
      <c r="E512" s="1962" t="s">
        <v>8859</v>
      </c>
      <c r="F512" s="1990">
        <v>97.997</v>
      </c>
      <c r="G512" s="1990">
        <v>10</v>
      </c>
      <c r="H512" s="1990">
        <v>16.47</v>
      </c>
      <c r="I512" s="1990">
        <v>26.646999999999998</v>
      </c>
      <c r="J512" s="1990">
        <v>11.29</v>
      </c>
      <c r="K512" s="1990">
        <v>13.385</v>
      </c>
      <c r="L512" s="1990">
        <v>24.196999999999999</v>
      </c>
      <c r="M512" s="1990">
        <v>11.5</v>
      </c>
      <c r="N512" s="1990">
        <v>26.5</v>
      </c>
      <c r="O512" s="1990">
        <v>54.515999999999998</v>
      </c>
      <c r="P512" s="1990">
        <v>29.5</v>
      </c>
      <c r="Q512" s="1990">
        <v>13</v>
      </c>
      <c r="R512" s="1991">
        <v>335.00200000000001</v>
      </c>
      <c r="T512" s="48">
        <f t="shared" si="7"/>
        <v>0</v>
      </c>
      <c r="U512" s="48"/>
    </row>
    <row r="513" spans="2:21">
      <c r="B513" s="1075" t="s">
        <v>8860</v>
      </c>
      <c r="C513" t="s">
        <v>7517</v>
      </c>
      <c r="D513" s="1962" t="s">
        <v>8861</v>
      </c>
      <c r="E513" s="1962" t="s">
        <v>8862</v>
      </c>
      <c r="F513" s="1990">
        <v>5</v>
      </c>
      <c r="G513" s="1990">
        <v>5</v>
      </c>
      <c r="H513" s="1990">
        <v>5</v>
      </c>
      <c r="I513" s="1990">
        <v>5</v>
      </c>
      <c r="J513" s="1990">
        <v>5</v>
      </c>
      <c r="K513" s="1990">
        <v>5</v>
      </c>
      <c r="L513" s="1990">
        <v>11</v>
      </c>
      <c r="M513" s="1990">
        <v>5</v>
      </c>
      <c r="N513" s="1990">
        <v>5</v>
      </c>
      <c r="O513" s="1990">
        <v>5</v>
      </c>
      <c r="P513" s="1990">
        <v>5</v>
      </c>
      <c r="Q513" s="1990">
        <v>11</v>
      </c>
      <c r="R513" s="1991">
        <v>72</v>
      </c>
      <c r="T513" s="48">
        <f t="shared" si="7"/>
        <v>0</v>
      </c>
      <c r="U513" s="48"/>
    </row>
    <row r="514" spans="2:21">
      <c r="B514" s="1075" t="s">
        <v>8863</v>
      </c>
      <c r="C514" t="s">
        <v>7527</v>
      </c>
      <c r="D514" s="1962" t="s">
        <v>8864</v>
      </c>
      <c r="E514" s="1962" t="s">
        <v>8865</v>
      </c>
      <c r="F514" s="1990">
        <v>4037.3748501594996</v>
      </c>
      <c r="G514" s="1990">
        <v>3720.0820670616999</v>
      </c>
      <c r="H514" s="1990">
        <v>3439.4810530312002</v>
      </c>
      <c r="I514" s="1990">
        <v>3571.0066774676002</v>
      </c>
      <c r="J514" s="1990">
        <v>4209.0307708675009</v>
      </c>
      <c r="K514" s="1990">
        <v>5082.4398394774007</v>
      </c>
      <c r="L514" s="1990">
        <v>4528.8336338497002</v>
      </c>
      <c r="M514" s="1990">
        <v>5010.2828574468003</v>
      </c>
      <c r="N514" s="1990">
        <v>5246.6778534394998</v>
      </c>
      <c r="O514" s="1990">
        <v>4751.7963215822992</v>
      </c>
      <c r="P514" s="1990">
        <v>3986.0076441111996</v>
      </c>
      <c r="Q514" s="1990">
        <v>3763.7296651086003</v>
      </c>
      <c r="R514" s="1991">
        <v>51346.743233602996</v>
      </c>
      <c r="T514" s="48">
        <f t="shared" si="7"/>
        <v>0</v>
      </c>
      <c r="U514" s="48"/>
    </row>
    <row r="515" spans="2:21">
      <c r="B515" s="1075" t="s">
        <v>8866</v>
      </c>
      <c r="C515" t="s">
        <v>7535</v>
      </c>
      <c r="D515" s="1962" t="s">
        <v>8867</v>
      </c>
      <c r="E515" s="1962" t="s">
        <v>8868</v>
      </c>
      <c r="F515" s="1990">
        <v>11.134577999999999</v>
      </c>
      <c r="G515" s="1990">
        <v>11.134577999999999</v>
      </c>
      <c r="H515" s="1990">
        <v>11.134577999999999</v>
      </c>
      <c r="I515" s="1990">
        <v>11.134577999999999</v>
      </c>
      <c r="J515" s="1990">
        <v>11.134577999999999</v>
      </c>
      <c r="K515" s="1990">
        <v>11.134577999999999</v>
      </c>
      <c r="L515" s="1990">
        <v>11.134577999999999</v>
      </c>
      <c r="M515" s="1990">
        <v>11.134577999999999</v>
      </c>
      <c r="N515" s="1990">
        <v>11.134577999999999</v>
      </c>
      <c r="O515" s="1990">
        <v>11.134577999999999</v>
      </c>
      <c r="P515" s="1990">
        <v>11.134577999999999</v>
      </c>
      <c r="Q515" s="1990">
        <v>11.134577999999999</v>
      </c>
      <c r="R515" s="1991">
        <v>133.61493600000003</v>
      </c>
      <c r="T515" s="48">
        <f t="shared" si="7"/>
        <v>0</v>
      </c>
      <c r="U515" s="48"/>
    </row>
    <row r="516" spans="2:21">
      <c r="B516" s="1075" t="s">
        <v>8869</v>
      </c>
      <c r="C516" t="s">
        <v>8708</v>
      </c>
      <c r="D516" s="1962" t="s">
        <v>8870</v>
      </c>
      <c r="E516" s="1962" t="s">
        <v>8871</v>
      </c>
      <c r="F516" s="1990">
        <v>0</v>
      </c>
      <c r="G516" s="1990">
        <v>0</v>
      </c>
      <c r="H516" s="1990">
        <v>0</v>
      </c>
      <c r="I516" s="1990">
        <v>0</v>
      </c>
      <c r="J516" s="1990">
        <v>0</v>
      </c>
      <c r="K516" s="1990">
        <v>5.1874999999999998E-2</v>
      </c>
      <c r="L516" s="1990">
        <v>0</v>
      </c>
      <c r="M516" s="1990">
        <v>0</v>
      </c>
      <c r="N516" s="1990">
        <v>0</v>
      </c>
      <c r="O516" s="1990">
        <v>0</v>
      </c>
      <c r="P516" s="1990">
        <v>0</v>
      </c>
      <c r="Q516" s="1990">
        <v>5.1874999999999998E-2</v>
      </c>
      <c r="R516" s="1991">
        <v>0.10375</v>
      </c>
      <c r="T516" s="48">
        <f t="shared" si="7"/>
        <v>0</v>
      </c>
      <c r="U516" s="48"/>
    </row>
    <row r="517" spans="2:21">
      <c r="B517" s="1075" t="s">
        <v>8872</v>
      </c>
      <c r="C517" t="s">
        <v>7539</v>
      </c>
      <c r="D517" s="1962" t="s">
        <v>8873</v>
      </c>
      <c r="E517" s="1962" t="s">
        <v>8874</v>
      </c>
      <c r="F517" s="1990">
        <v>95.221055555600003</v>
      </c>
      <c r="G517" s="1990">
        <v>95.221055555600003</v>
      </c>
      <c r="H517" s="1990">
        <v>95.221055555600003</v>
      </c>
      <c r="I517" s="1990">
        <v>95.221055555600003</v>
      </c>
      <c r="J517" s="1990">
        <v>95.221055555600003</v>
      </c>
      <c r="K517" s="1990">
        <v>95.221055555600003</v>
      </c>
      <c r="L517" s="1990">
        <v>95.221055555600003</v>
      </c>
      <c r="M517" s="1990">
        <v>95.221055555600003</v>
      </c>
      <c r="N517" s="1990">
        <v>95.221055555600003</v>
      </c>
      <c r="O517" s="1990">
        <v>95.221055555600003</v>
      </c>
      <c r="P517" s="1990">
        <v>95.221055555600003</v>
      </c>
      <c r="Q517" s="1990">
        <v>95.221055555600003</v>
      </c>
      <c r="R517" s="1991">
        <v>1142.6526666672003</v>
      </c>
      <c r="T517" s="48">
        <f t="shared" ref="T517:T580" si="8">IF(R517="","",+R517-SUM(F517:Q517))</f>
        <v>0</v>
      </c>
      <c r="U517" s="48"/>
    </row>
    <row r="518" spans="2:21">
      <c r="B518" s="1075" t="s">
        <v>8875</v>
      </c>
      <c r="C518" t="s">
        <v>7554</v>
      </c>
      <c r="D518" s="1962" t="s">
        <v>8876</v>
      </c>
      <c r="E518" s="1962" t="s">
        <v>8877</v>
      </c>
      <c r="F518" s="1990">
        <v>957.03499999999997</v>
      </c>
      <c r="G518" s="1990">
        <v>957.03499999999997</v>
      </c>
      <c r="H518" s="1990">
        <v>957.03499999999997</v>
      </c>
      <c r="I518" s="1990">
        <v>957.03499999999997</v>
      </c>
      <c r="J518" s="1990">
        <v>957.03499999999997</v>
      </c>
      <c r="K518" s="1990">
        <v>957.03499999999997</v>
      </c>
      <c r="L518" s="1990">
        <v>957.03499999999997</v>
      </c>
      <c r="M518" s="1990">
        <v>956.80583000000001</v>
      </c>
      <c r="N518" s="1990">
        <v>956.61800000000005</v>
      </c>
      <c r="O518" s="1990">
        <v>960.11400000000003</v>
      </c>
      <c r="P518" s="1990">
        <v>960.11400000000003</v>
      </c>
      <c r="Q518" s="1990">
        <v>960.11400000000003</v>
      </c>
      <c r="R518" s="1991">
        <v>11493.010829999999</v>
      </c>
      <c r="T518" s="48">
        <f t="shared" si="8"/>
        <v>0</v>
      </c>
      <c r="U518" s="48"/>
    </row>
    <row r="519" spans="2:21">
      <c r="B519" s="1075" t="s">
        <v>8878</v>
      </c>
      <c r="C519" t="s">
        <v>7552</v>
      </c>
      <c r="D519" s="1962" t="s">
        <v>8879</v>
      </c>
      <c r="E519" s="1962" t="s">
        <v>8880</v>
      </c>
      <c r="F519" s="1990">
        <v>20.350999999999999</v>
      </c>
      <c r="G519" s="1990">
        <v>20.350999999999999</v>
      </c>
      <c r="H519" s="1990">
        <v>20.350999999999999</v>
      </c>
      <c r="I519" s="1990">
        <v>20.350999999999999</v>
      </c>
      <c r="J519" s="1990">
        <v>20.350999999999999</v>
      </c>
      <c r="K519" s="1990">
        <v>20.350999999999999</v>
      </c>
      <c r="L519" s="1990">
        <v>20.350999999999999</v>
      </c>
      <c r="M519" s="1990">
        <v>20.350999999999999</v>
      </c>
      <c r="N519" s="1990">
        <v>20.350999999999999</v>
      </c>
      <c r="O519" s="1990">
        <v>20.350999999999999</v>
      </c>
      <c r="P519" s="1990">
        <v>20.350999999999999</v>
      </c>
      <c r="Q519" s="1990">
        <v>20.350999999999999</v>
      </c>
      <c r="R519" s="1991">
        <v>244.21199999999999</v>
      </c>
      <c r="T519" s="48">
        <f t="shared" si="8"/>
        <v>0</v>
      </c>
      <c r="U519" s="48"/>
    </row>
    <row r="520" spans="2:21">
      <c r="B520" s="1075" t="s">
        <v>8881</v>
      </c>
      <c r="C520" t="s">
        <v>7556</v>
      </c>
      <c r="D520" s="1962" t="s">
        <v>8882</v>
      </c>
      <c r="E520" s="1962" t="s">
        <v>8883</v>
      </c>
      <c r="F520" s="1990">
        <v>1294.7454240786001</v>
      </c>
      <c r="G520" s="1990">
        <v>1339.1371729093</v>
      </c>
      <c r="H520" s="1990">
        <v>1384.6236603232001</v>
      </c>
      <c r="I520" s="1990">
        <v>1438.6213583996</v>
      </c>
      <c r="J520" s="1990">
        <v>1487.8945003622</v>
      </c>
      <c r="K520" s="1990">
        <v>1525.0009171136001</v>
      </c>
      <c r="L520" s="1990">
        <v>1572.3184901098</v>
      </c>
      <c r="M520" s="1990">
        <v>1616.101516036</v>
      </c>
      <c r="N520" s="1990">
        <v>1659.6354105457001</v>
      </c>
      <c r="O520" s="1990">
        <v>1704.7988179596</v>
      </c>
      <c r="P520" s="1990">
        <v>1744.1373853734999</v>
      </c>
      <c r="Q520" s="1990">
        <v>1791.2744634498999</v>
      </c>
      <c r="R520" s="1991">
        <v>18558.289116660999</v>
      </c>
      <c r="T520" s="48">
        <f t="shared" si="8"/>
        <v>0</v>
      </c>
      <c r="U520" s="48"/>
    </row>
    <row r="521" spans="2:21">
      <c r="B521" s="1075" t="s">
        <v>8884</v>
      </c>
      <c r="C521" t="s">
        <v>7558</v>
      </c>
      <c r="D521" s="1962" t="s">
        <v>8885</v>
      </c>
      <c r="E521" s="1962" t="s">
        <v>8886</v>
      </c>
      <c r="F521" s="1990">
        <v>69.808999999999997</v>
      </c>
      <c r="G521" s="1990">
        <v>69.808999999999997</v>
      </c>
      <c r="H521" s="1990">
        <v>69.808999999999997</v>
      </c>
      <c r="I521" s="1990">
        <v>69.808999999999997</v>
      </c>
      <c r="J521" s="1990">
        <v>69.808999999999997</v>
      </c>
      <c r="K521" s="1990">
        <v>69.808999999999997</v>
      </c>
      <c r="L521" s="1990">
        <v>69.808999999999997</v>
      </c>
      <c r="M521" s="1990">
        <v>69.808999999999997</v>
      </c>
      <c r="N521" s="1990">
        <v>69.808999999999997</v>
      </c>
      <c r="O521" s="1990">
        <v>69.808999999999997</v>
      </c>
      <c r="P521" s="1990">
        <v>69.808999999999997</v>
      </c>
      <c r="Q521" s="1990">
        <v>69.808999999999997</v>
      </c>
      <c r="R521" s="1991">
        <v>837.70799999999974</v>
      </c>
      <c r="T521" s="48">
        <f t="shared" si="8"/>
        <v>0</v>
      </c>
      <c r="U521" s="48"/>
    </row>
    <row r="522" spans="2:21">
      <c r="B522" s="1075" t="s">
        <v>8887</v>
      </c>
      <c r="C522" t="s">
        <v>7559</v>
      </c>
      <c r="D522" s="1962" t="s">
        <v>8888</v>
      </c>
      <c r="E522" s="1962" t="s">
        <v>8889</v>
      </c>
      <c r="F522" s="1990">
        <v>4481.4595605683999</v>
      </c>
      <c r="G522" s="1990">
        <v>4198.4592116328004</v>
      </c>
      <c r="H522" s="1990">
        <v>4091.3259603840002</v>
      </c>
      <c r="I522" s="1990">
        <v>4296.5939251164</v>
      </c>
      <c r="J522" s="1990">
        <v>4716.5765708892004</v>
      </c>
      <c r="K522" s="1990">
        <v>5400.0898853328008</v>
      </c>
      <c r="L522" s="1990">
        <v>5662.819773786</v>
      </c>
      <c r="M522" s="1990">
        <v>5629.5263755992</v>
      </c>
      <c r="N522" s="1990">
        <v>5762.2197652200002</v>
      </c>
      <c r="O522" s="1990">
        <v>5208.6924721619998</v>
      </c>
      <c r="P522" s="1990">
        <v>4515.5968313772</v>
      </c>
      <c r="Q522" s="1990">
        <v>4299.4508745600006</v>
      </c>
      <c r="R522" s="1991">
        <v>58262.811206628001</v>
      </c>
      <c r="T522" s="48">
        <f t="shared" si="8"/>
        <v>0</v>
      </c>
      <c r="U522" s="48"/>
    </row>
    <row r="523" spans="2:21">
      <c r="B523" s="1075" t="s">
        <v>8890</v>
      </c>
      <c r="C523" t="s">
        <v>7560</v>
      </c>
      <c r="D523" s="1962" t="s">
        <v>8891</v>
      </c>
      <c r="E523" s="1962" t="s">
        <v>8892</v>
      </c>
      <c r="F523" s="1990">
        <v>4711.3015182499994</v>
      </c>
      <c r="G523" s="1990">
        <v>4371.8925765000004</v>
      </c>
      <c r="H523" s="1990">
        <v>4229.5951500000001</v>
      </c>
      <c r="I523" s="1990">
        <v>4451.4422507499994</v>
      </c>
      <c r="J523" s="1990">
        <v>4942.0127847499998</v>
      </c>
      <c r="K523" s="1990">
        <v>5741.3120990000007</v>
      </c>
      <c r="L523" s="1990">
        <v>6056.0920512499997</v>
      </c>
      <c r="M523" s="1990">
        <v>6011.4461835000002</v>
      </c>
      <c r="N523" s="1990">
        <v>6170.1132525000003</v>
      </c>
      <c r="O523" s="1990">
        <v>5507.4650062499995</v>
      </c>
      <c r="P523" s="1990">
        <v>4696.9953497500001</v>
      </c>
      <c r="Q523" s="1990">
        <v>4467.3669</v>
      </c>
      <c r="R523" s="1991">
        <v>61357.035122500005</v>
      </c>
      <c r="T523" s="48">
        <f t="shared" si="8"/>
        <v>0</v>
      </c>
      <c r="U523" s="48"/>
    </row>
    <row r="524" spans="2:21">
      <c r="B524" s="1075" t="s">
        <v>8893</v>
      </c>
      <c r="C524" t="s">
        <v>7561</v>
      </c>
      <c r="D524" s="1962" t="s">
        <v>8894</v>
      </c>
      <c r="E524" s="1962" t="s">
        <v>8895</v>
      </c>
      <c r="F524" s="1990">
        <v>1273.0616519618</v>
      </c>
      <c r="G524" s="1990">
        <v>1163.5823462828</v>
      </c>
      <c r="H524" s="1990">
        <v>1171.9056012357998</v>
      </c>
      <c r="I524" s="1990">
        <v>1243.6550964987</v>
      </c>
      <c r="J524" s="1990">
        <v>1288.3686438116001</v>
      </c>
      <c r="K524" s="1990">
        <v>1123.0904361058999</v>
      </c>
      <c r="L524" s="1990">
        <v>1298.922194988</v>
      </c>
      <c r="M524" s="1990">
        <v>1240.7415587357</v>
      </c>
      <c r="N524" s="1990">
        <v>1182.944256643</v>
      </c>
      <c r="O524" s="1990">
        <v>1309.7299195055998</v>
      </c>
      <c r="P524" s="1990">
        <v>1191.5428282983</v>
      </c>
      <c r="Q524" s="1990">
        <v>1248.4435795175</v>
      </c>
      <c r="R524" s="1991">
        <v>14735.988113584699</v>
      </c>
      <c r="T524" s="48">
        <f t="shared" si="8"/>
        <v>0</v>
      </c>
      <c r="U524" s="48"/>
    </row>
    <row r="525" spans="2:21">
      <c r="B525" s="1075" t="s">
        <v>8896</v>
      </c>
      <c r="C525" t="s">
        <v>7565</v>
      </c>
      <c r="D525" s="1962" t="s">
        <v>8897</v>
      </c>
      <c r="E525" s="1962" t="s">
        <v>8898</v>
      </c>
      <c r="F525" s="1990">
        <v>7557.2370000000001</v>
      </c>
      <c r="G525" s="1990">
        <v>7557.2370000000001</v>
      </c>
      <c r="H525" s="1990">
        <v>7557.2370000000001</v>
      </c>
      <c r="I525" s="1990">
        <v>7557.2370000000001</v>
      </c>
      <c r="J525" s="1990">
        <v>7557.2370000000001</v>
      </c>
      <c r="K525" s="1990">
        <v>7557.2370000000001</v>
      </c>
      <c r="L525" s="1990">
        <v>7557.2370000000001</v>
      </c>
      <c r="M525" s="1990">
        <v>7557.2370000000001</v>
      </c>
      <c r="N525" s="1990">
        <v>7557.2370000000001</v>
      </c>
      <c r="O525" s="1990">
        <v>7557.2370000000001</v>
      </c>
      <c r="P525" s="1990">
        <v>7557.2370000000001</v>
      </c>
      <c r="Q525" s="1990">
        <v>7557.2370000000001</v>
      </c>
      <c r="R525" s="1991">
        <v>90686.843999999983</v>
      </c>
      <c r="T525" s="48">
        <f t="shared" si="8"/>
        <v>0</v>
      </c>
      <c r="U525" s="48"/>
    </row>
    <row r="526" spans="2:21">
      <c r="B526" s="1075" t="s">
        <v>8899</v>
      </c>
      <c r="C526" t="s">
        <v>7566</v>
      </c>
      <c r="D526" s="1962" t="s">
        <v>8900</v>
      </c>
      <c r="E526" s="1962" t="s">
        <v>8901</v>
      </c>
      <c r="F526" s="1990">
        <v>10</v>
      </c>
      <c r="G526" s="1990">
        <v>10</v>
      </c>
      <c r="H526" s="1990">
        <v>10</v>
      </c>
      <c r="I526" s="1990">
        <v>10</v>
      </c>
      <c r="J526" s="1990">
        <v>10</v>
      </c>
      <c r="K526" s="1990">
        <v>10</v>
      </c>
      <c r="L526" s="1990">
        <v>10</v>
      </c>
      <c r="M526" s="1990">
        <v>10</v>
      </c>
      <c r="N526" s="1990">
        <v>10</v>
      </c>
      <c r="O526" s="1990">
        <v>10</v>
      </c>
      <c r="P526" s="1990">
        <v>10</v>
      </c>
      <c r="Q526" s="1990">
        <v>10</v>
      </c>
      <c r="R526" s="1991">
        <v>120</v>
      </c>
      <c r="T526" s="48">
        <f t="shared" si="8"/>
        <v>0</v>
      </c>
      <c r="U526" s="48"/>
    </row>
    <row r="527" spans="2:21">
      <c r="B527" s="1075" t="s">
        <v>8902</v>
      </c>
      <c r="C527" t="s">
        <v>7567</v>
      </c>
      <c r="D527" s="1962" t="s">
        <v>8903</v>
      </c>
      <c r="E527" s="1962" t="s">
        <v>8904</v>
      </c>
      <c r="F527" s="1990">
        <v>140.48683421039999</v>
      </c>
      <c r="G527" s="1990">
        <v>130.7102930568</v>
      </c>
      <c r="H527" s="1990">
        <v>126.6430396536</v>
      </c>
      <c r="I527" s="1990">
        <v>133.07814374399999</v>
      </c>
      <c r="J527" s="1990">
        <v>147.19671824399998</v>
      </c>
      <c r="K527" s="1990">
        <v>170.2463437872</v>
      </c>
      <c r="L527" s="1990">
        <v>179.31000651119999</v>
      </c>
      <c r="M527" s="1990">
        <v>178.02891473759999</v>
      </c>
      <c r="N527" s="1990">
        <v>182.57755885199998</v>
      </c>
      <c r="O527" s="1990">
        <v>163.52555540400002</v>
      </c>
      <c r="P527" s="1990">
        <v>140.162838048</v>
      </c>
      <c r="Q527" s="1990">
        <v>133.5797528256</v>
      </c>
      <c r="R527" s="1991">
        <v>1825.5459990743998</v>
      </c>
      <c r="T527" s="48">
        <f t="shared" si="8"/>
        <v>0</v>
      </c>
      <c r="U527" s="48"/>
    </row>
    <row r="528" spans="2:21">
      <c r="B528" s="1075" t="s">
        <v>8905</v>
      </c>
      <c r="C528" t="s">
        <v>7568</v>
      </c>
      <c r="D528" s="1962" t="s">
        <v>8906</v>
      </c>
      <c r="E528" s="1962" t="s">
        <v>8907</v>
      </c>
      <c r="F528" s="1990">
        <v>17</v>
      </c>
      <c r="G528" s="1990">
        <v>17</v>
      </c>
      <c r="H528" s="1990">
        <v>17</v>
      </c>
      <c r="I528" s="1990">
        <v>17</v>
      </c>
      <c r="J528" s="1990">
        <v>17</v>
      </c>
      <c r="K528" s="1990">
        <v>17</v>
      </c>
      <c r="L528" s="1990">
        <v>17</v>
      </c>
      <c r="M528" s="1990">
        <v>17</v>
      </c>
      <c r="N528" s="1990">
        <v>17</v>
      </c>
      <c r="O528" s="1990">
        <v>17</v>
      </c>
      <c r="P528" s="1990">
        <v>17</v>
      </c>
      <c r="Q528" s="1990">
        <v>17</v>
      </c>
      <c r="R528" s="1991">
        <v>204</v>
      </c>
      <c r="T528" s="48">
        <f t="shared" si="8"/>
        <v>0</v>
      </c>
      <c r="U528" s="48"/>
    </row>
    <row r="529" spans="2:21">
      <c r="B529" s="1075" t="s">
        <v>8908</v>
      </c>
      <c r="C529" t="s">
        <v>7569</v>
      </c>
      <c r="D529" s="1962" t="s">
        <v>8909</v>
      </c>
      <c r="E529" s="1962" t="s">
        <v>8910</v>
      </c>
      <c r="F529" s="1990">
        <v>0</v>
      </c>
      <c r="G529" s="1990">
        <v>2</v>
      </c>
      <c r="H529" s="1990">
        <v>0</v>
      </c>
      <c r="I529" s="1990">
        <v>0</v>
      </c>
      <c r="J529" s="1990">
        <v>0</v>
      </c>
      <c r="K529" s="1990">
        <v>0</v>
      </c>
      <c r="L529" s="1990">
        <v>0</v>
      </c>
      <c r="M529" s="1990">
        <v>0</v>
      </c>
      <c r="N529" s="1990">
        <v>0</v>
      </c>
      <c r="O529" s="1990">
        <v>0</v>
      </c>
      <c r="P529" s="1990">
        <v>0</v>
      </c>
      <c r="Q529" s="1990">
        <v>0</v>
      </c>
      <c r="R529" s="1991">
        <v>2</v>
      </c>
      <c r="T529" s="48">
        <f t="shared" si="8"/>
        <v>0</v>
      </c>
      <c r="U529" s="48"/>
    </row>
    <row r="530" spans="2:21">
      <c r="B530" s="1075" t="s">
        <v>8911</v>
      </c>
      <c r="C530" t="s">
        <v>7570</v>
      </c>
      <c r="D530" s="1962" t="s">
        <v>8912</v>
      </c>
      <c r="E530" s="1962" t="s">
        <v>8913</v>
      </c>
      <c r="F530" s="1990">
        <v>1</v>
      </c>
      <c r="G530" s="1990">
        <v>0</v>
      </c>
      <c r="H530" s="1990">
        <v>0</v>
      </c>
      <c r="I530" s="1990">
        <v>0</v>
      </c>
      <c r="J530" s="1990">
        <v>0</v>
      </c>
      <c r="K530" s="1990">
        <v>0</v>
      </c>
      <c r="L530" s="1990">
        <v>36</v>
      </c>
      <c r="M530" s="1990">
        <v>13</v>
      </c>
      <c r="N530" s="1990">
        <v>0</v>
      </c>
      <c r="O530" s="1990">
        <v>0</v>
      </c>
      <c r="P530" s="1990">
        <v>1</v>
      </c>
      <c r="Q530" s="1990">
        <v>0</v>
      </c>
      <c r="R530" s="1991">
        <v>51</v>
      </c>
      <c r="T530" s="48">
        <f t="shared" si="8"/>
        <v>0</v>
      </c>
      <c r="U530" s="48"/>
    </row>
    <row r="531" spans="2:21">
      <c r="B531" s="1075" t="s">
        <v>8914</v>
      </c>
      <c r="C531" t="s">
        <v>7571</v>
      </c>
      <c r="D531" s="1962" t="s">
        <v>8915</v>
      </c>
      <c r="E531" s="1962" t="s">
        <v>8916</v>
      </c>
      <c r="F531" s="1990">
        <v>0</v>
      </c>
      <c r="G531" s="1990">
        <v>0</v>
      </c>
      <c r="H531" s="1990">
        <v>0</v>
      </c>
      <c r="I531" s="1990">
        <v>0</v>
      </c>
      <c r="J531" s="1990">
        <v>0</v>
      </c>
      <c r="K531" s="1990">
        <v>0</v>
      </c>
      <c r="L531" s="1990">
        <v>0</v>
      </c>
      <c r="M531" s="1990">
        <v>0</v>
      </c>
      <c r="N531" s="1990">
        <v>12</v>
      </c>
      <c r="O531" s="1990">
        <v>0</v>
      </c>
      <c r="P531" s="1990">
        <v>0</v>
      </c>
      <c r="Q531" s="1990">
        <v>0</v>
      </c>
      <c r="R531" s="1991">
        <v>12</v>
      </c>
      <c r="T531" s="48">
        <f t="shared" si="8"/>
        <v>0</v>
      </c>
      <c r="U531" s="48"/>
    </row>
    <row r="532" spans="2:21">
      <c r="B532" s="1075" t="s">
        <v>8917</v>
      </c>
      <c r="C532" t="s">
        <v>7575</v>
      </c>
      <c r="D532" s="1962" t="s">
        <v>8918</v>
      </c>
      <c r="E532" s="1962" t="s">
        <v>8919</v>
      </c>
      <c r="F532" s="1990">
        <v>0</v>
      </c>
      <c r="G532" s="1990">
        <v>0</v>
      </c>
      <c r="H532" s="1990">
        <v>0</v>
      </c>
      <c r="I532" s="1990">
        <v>0</v>
      </c>
      <c r="J532" s="1990">
        <v>0</v>
      </c>
      <c r="K532" s="1990">
        <v>0</v>
      </c>
      <c r="L532" s="1990">
        <v>0</v>
      </c>
      <c r="M532" s="1990">
        <v>0</v>
      </c>
      <c r="N532" s="1990">
        <v>0</v>
      </c>
      <c r="O532" s="1990">
        <v>0</v>
      </c>
      <c r="P532" s="1990">
        <v>0</v>
      </c>
      <c r="Q532" s="1990">
        <v>0</v>
      </c>
      <c r="R532" s="1991">
        <v>0</v>
      </c>
      <c r="T532" s="48">
        <f t="shared" si="8"/>
        <v>0</v>
      </c>
      <c r="U532" s="48"/>
    </row>
    <row r="533" spans="2:21">
      <c r="B533" s="1075" t="s">
        <v>8920</v>
      </c>
      <c r="C533" t="s">
        <v>8502</v>
      </c>
      <c r="D533" s="1962" t="s">
        <v>8735</v>
      </c>
      <c r="E533" s="1962" t="s">
        <v>8736</v>
      </c>
      <c r="F533" s="1990">
        <v>10.218999999999999</v>
      </c>
      <c r="G533" s="1990">
        <v>15.087</v>
      </c>
      <c r="H533" s="1990">
        <v>17.113</v>
      </c>
      <c r="I533" s="1990">
        <v>17.754000000000001</v>
      </c>
      <c r="J533" s="1990">
        <v>18.283999999999999</v>
      </c>
      <c r="K533" s="1990">
        <v>17.260999999999999</v>
      </c>
      <c r="L533" s="1990">
        <v>15.641999999999999</v>
      </c>
      <c r="M533" s="1990">
        <v>14.117000000000001</v>
      </c>
      <c r="N533" s="1990">
        <v>13.025</v>
      </c>
      <c r="O533" s="1990">
        <v>11.622</v>
      </c>
      <c r="P533" s="1990">
        <v>10.345000000000001</v>
      </c>
      <c r="Q533" s="1990">
        <v>9.5410000000000004</v>
      </c>
      <c r="R533" s="1991">
        <v>170.00999999999996</v>
      </c>
      <c r="T533" s="48">
        <f t="shared" si="8"/>
        <v>0</v>
      </c>
      <c r="U533" s="48"/>
    </row>
    <row r="534" spans="2:21">
      <c r="B534" s="1075" t="s">
        <v>8921</v>
      </c>
      <c r="C534" t="s">
        <v>8503</v>
      </c>
      <c r="D534" s="1962" t="s">
        <v>8737</v>
      </c>
      <c r="E534" s="1962" t="s">
        <v>8738</v>
      </c>
      <c r="F534" s="1990">
        <v>0</v>
      </c>
      <c r="G534" s="1990">
        <v>0</v>
      </c>
      <c r="H534" s="1990">
        <v>5.4539999999999997</v>
      </c>
      <c r="I534" s="1990">
        <v>11.16</v>
      </c>
      <c r="J534" s="1990">
        <v>14.887</v>
      </c>
      <c r="K534" s="1990">
        <v>15.709</v>
      </c>
      <c r="L534" s="1990">
        <v>13.317</v>
      </c>
      <c r="M534" s="1990">
        <v>10.69</v>
      </c>
      <c r="N534" s="1990">
        <v>8.5299999999999994</v>
      </c>
      <c r="O534" s="1990">
        <v>7.8639999999999999</v>
      </c>
      <c r="P534" s="1990">
        <v>11.147</v>
      </c>
      <c r="Q534" s="1990">
        <v>17.669</v>
      </c>
      <c r="R534" s="1991">
        <v>116.42700000000001</v>
      </c>
      <c r="T534" s="48">
        <f t="shared" si="8"/>
        <v>0</v>
      </c>
      <c r="U534" s="48"/>
    </row>
    <row r="535" spans="2:21">
      <c r="B535" s="1075" t="s">
        <v>8922</v>
      </c>
      <c r="C535" t="s">
        <v>7576</v>
      </c>
      <c r="D535" s="1962" t="s">
        <v>8923</v>
      </c>
      <c r="E535" s="1962" t="s">
        <v>8924</v>
      </c>
      <c r="F535" s="1990">
        <v>477.07817</v>
      </c>
      <c r="G535" s="1990">
        <v>477.07817</v>
      </c>
      <c r="H535" s="1990">
        <v>477.07817</v>
      </c>
      <c r="I535" s="1990">
        <v>477.07817</v>
      </c>
      <c r="J535" s="1990">
        <v>477.07817</v>
      </c>
      <c r="K535" s="1990">
        <v>477.07817</v>
      </c>
      <c r="L535" s="1990">
        <v>477.07817</v>
      </c>
      <c r="M535" s="1990">
        <v>477.07817</v>
      </c>
      <c r="N535" s="1990">
        <v>477.07817</v>
      </c>
      <c r="O535" s="1990">
        <v>477.07817</v>
      </c>
      <c r="P535" s="1990">
        <v>477.07817</v>
      </c>
      <c r="Q535" s="1990">
        <v>477.07812999999999</v>
      </c>
      <c r="R535" s="1991">
        <v>5724.9379999999983</v>
      </c>
      <c r="T535" s="48">
        <f t="shared" si="8"/>
        <v>0</v>
      </c>
      <c r="U535" s="48"/>
    </row>
    <row r="536" spans="2:21">
      <c r="B536" s="1075" t="s">
        <v>8925</v>
      </c>
      <c r="C536" t="s">
        <v>7579</v>
      </c>
      <c r="D536" s="1962" t="s">
        <v>8739</v>
      </c>
      <c r="E536" s="1962" t="s">
        <v>8740</v>
      </c>
      <c r="F536" s="1990">
        <v>0</v>
      </c>
      <c r="G536" s="1990">
        <v>0</v>
      </c>
      <c r="H536" s="1990">
        <v>0</v>
      </c>
      <c r="I536" s="1990">
        <v>0</v>
      </c>
      <c r="J536" s="1990">
        <v>0</v>
      </c>
      <c r="K536" s="1990">
        <v>0</v>
      </c>
      <c r="L536" s="1990">
        <v>0</v>
      </c>
      <c r="M536" s="1990">
        <v>0</v>
      </c>
      <c r="N536" s="1990">
        <v>0</v>
      </c>
      <c r="O536" s="1990">
        <v>0</v>
      </c>
      <c r="P536" s="1990">
        <v>0</v>
      </c>
      <c r="Q536" s="1990">
        <v>0</v>
      </c>
      <c r="R536" s="1991">
        <v>0</v>
      </c>
      <c r="T536" s="48">
        <f t="shared" si="8"/>
        <v>0</v>
      </c>
      <c r="U536" s="48"/>
    </row>
    <row r="537" spans="2:21">
      <c r="B537" s="1075" t="s">
        <v>8926</v>
      </c>
      <c r="C537" t="s">
        <v>8719</v>
      </c>
      <c r="D537" s="1962" t="s">
        <v>8927</v>
      </c>
      <c r="E537" s="1962" t="s">
        <v>8928</v>
      </c>
      <c r="F537" s="1990">
        <v>91.647999999999996</v>
      </c>
      <c r="G537" s="1990">
        <v>78.472999999999999</v>
      </c>
      <c r="H537" s="1990">
        <v>70.992999999999995</v>
      </c>
      <c r="I537" s="1990">
        <v>61.276000000000003</v>
      </c>
      <c r="J537" s="1990">
        <v>57.533999999999999</v>
      </c>
      <c r="K537" s="1990">
        <v>64.674999999999997</v>
      </c>
      <c r="L537" s="1990">
        <v>72.605000000000004</v>
      </c>
      <c r="M537" s="1990">
        <v>76.141999999999996</v>
      </c>
      <c r="N537" s="1990">
        <v>90</v>
      </c>
      <c r="O537" s="1990">
        <v>103.248</v>
      </c>
      <c r="P537" s="1990">
        <v>107.943</v>
      </c>
      <c r="Q537" s="1990">
        <v>103.38500000000001</v>
      </c>
      <c r="R537" s="1991">
        <v>977.92200000000003</v>
      </c>
      <c r="T537" s="48">
        <f t="shared" si="8"/>
        <v>0</v>
      </c>
      <c r="U537" s="48"/>
    </row>
    <row r="538" spans="2:21">
      <c r="B538" s="1075" t="s">
        <v>8929</v>
      </c>
      <c r="C538" t="s">
        <v>7611</v>
      </c>
      <c r="D538" s="1962" t="s">
        <v>8930</v>
      </c>
      <c r="E538" s="1962" t="s">
        <v>8931</v>
      </c>
      <c r="F538" s="1990">
        <v>7.3659999999999997</v>
      </c>
      <c r="G538" s="1990">
        <v>3.0659999999999998</v>
      </c>
      <c r="H538" s="1990">
        <v>2.5640000000000001</v>
      </c>
      <c r="I538" s="1990">
        <v>2.2090000000000001</v>
      </c>
      <c r="J538" s="1990">
        <v>1.8819999999999999</v>
      </c>
      <c r="K538" s="1990">
        <v>1.641</v>
      </c>
      <c r="L538" s="1990">
        <v>1.3560000000000001</v>
      </c>
      <c r="M538" s="1990">
        <v>1.089</v>
      </c>
      <c r="N538" s="1990">
        <v>0.85899999999999999</v>
      </c>
      <c r="O538" s="1990">
        <v>0.61099999999999999</v>
      </c>
      <c r="P538" s="1990">
        <v>0.374</v>
      </c>
      <c r="Q538" s="1990">
        <v>0.157</v>
      </c>
      <c r="R538" s="1991">
        <v>23.174000000000003</v>
      </c>
      <c r="T538" s="48">
        <f t="shared" si="8"/>
        <v>0</v>
      </c>
      <c r="U538" s="48"/>
    </row>
    <row r="539" spans="2:21">
      <c r="B539" s="1075" t="s">
        <v>8932</v>
      </c>
      <c r="C539" t="s">
        <v>7612</v>
      </c>
      <c r="D539" s="1962" t="s">
        <v>8933</v>
      </c>
      <c r="E539" s="1962" t="s">
        <v>8934</v>
      </c>
      <c r="F539" s="1990">
        <v>25.181999999999999</v>
      </c>
      <c r="G539" s="1990">
        <v>22.271000000000001</v>
      </c>
      <c r="H539" s="1990">
        <v>20.16</v>
      </c>
      <c r="I539" s="1990">
        <v>17.375</v>
      </c>
      <c r="J539" s="1990">
        <v>15.111000000000001</v>
      </c>
      <c r="K539" s="1990">
        <v>14.105</v>
      </c>
      <c r="L539" s="1990">
        <v>13.166</v>
      </c>
      <c r="M539" s="1990">
        <v>12.455</v>
      </c>
      <c r="N539" s="1990">
        <v>12.176</v>
      </c>
      <c r="O539" s="1990">
        <v>11.356999999999999</v>
      </c>
      <c r="P539" s="1990">
        <v>10.002000000000001</v>
      </c>
      <c r="Q539" s="1990">
        <v>8.6530000000000005</v>
      </c>
      <c r="R539" s="1991">
        <v>182.01300000000001</v>
      </c>
      <c r="T539" s="48">
        <f t="shared" si="8"/>
        <v>0</v>
      </c>
      <c r="U539" s="48"/>
    </row>
    <row r="540" spans="2:21">
      <c r="B540" s="1075" t="s">
        <v>8935</v>
      </c>
      <c r="C540" t="s">
        <v>7613</v>
      </c>
      <c r="D540" s="1962" t="s">
        <v>8936</v>
      </c>
      <c r="E540" s="1962" t="s">
        <v>8937</v>
      </c>
      <c r="F540" s="1990">
        <v>0</v>
      </c>
      <c r="G540" s="1990">
        <v>0</v>
      </c>
      <c r="H540" s="1990">
        <v>0</v>
      </c>
      <c r="I540" s="1990">
        <v>0</v>
      </c>
      <c r="J540" s="1990">
        <v>0</v>
      </c>
      <c r="K540" s="1990">
        <v>0</v>
      </c>
      <c r="L540" s="1990">
        <v>0</v>
      </c>
      <c r="M540" s="1990">
        <v>0</v>
      </c>
      <c r="N540" s="1990">
        <v>0</v>
      </c>
      <c r="O540" s="1990">
        <v>0</v>
      </c>
      <c r="P540" s="1990">
        <v>0</v>
      </c>
      <c r="Q540" s="1990">
        <v>0</v>
      </c>
      <c r="R540" s="1991">
        <v>0</v>
      </c>
      <c r="T540" s="48">
        <f t="shared" si="8"/>
        <v>0</v>
      </c>
      <c r="U540" s="48"/>
    </row>
    <row r="541" spans="2:21">
      <c r="B541" s="1075" t="s">
        <v>9368</v>
      </c>
      <c r="C541" t="s">
        <v>7618</v>
      </c>
      <c r="D541" s="1962" t="s">
        <v>9369</v>
      </c>
      <c r="E541" s="1962" t="s">
        <v>9370</v>
      </c>
      <c r="F541" s="1990">
        <v>0</v>
      </c>
      <c r="G541" s="1990">
        <v>0</v>
      </c>
      <c r="H541" s="1990">
        <v>100</v>
      </c>
      <c r="I541" s="1990">
        <v>0</v>
      </c>
      <c r="J541" s="1990">
        <v>0</v>
      </c>
      <c r="K541" s="1990">
        <v>0</v>
      </c>
      <c r="L541" s="1990">
        <v>0</v>
      </c>
      <c r="M541" s="1990">
        <v>0</v>
      </c>
      <c r="N541" s="1990">
        <v>0</v>
      </c>
      <c r="O541" s="1990">
        <v>0</v>
      </c>
      <c r="P541" s="1990">
        <v>0</v>
      </c>
      <c r="Q541" s="1990">
        <v>0</v>
      </c>
      <c r="R541" s="1991">
        <v>100</v>
      </c>
      <c r="T541" s="48">
        <f t="shared" si="8"/>
        <v>0</v>
      </c>
      <c r="U541" s="48"/>
    </row>
    <row r="542" spans="2:21" ht="15" thickBot="1">
      <c r="B542" s="1992" t="s">
        <v>8938</v>
      </c>
      <c r="C542" t="s">
        <v>7615</v>
      </c>
      <c r="D542" s="1993" t="s">
        <v>8939</v>
      </c>
      <c r="E542" s="1993" t="s">
        <v>8940</v>
      </c>
      <c r="F542" s="1994">
        <v>17.415980000000001</v>
      </c>
      <c r="G542" s="1994">
        <v>16.836819999999999</v>
      </c>
      <c r="H542" s="1994">
        <v>16.891009999999998</v>
      </c>
      <c r="I542" s="1994">
        <v>16.250450000000001</v>
      </c>
      <c r="J542" s="1994">
        <v>15.657249999999999</v>
      </c>
      <c r="K542" s="1994">
        <v>15.703899999999999</v>
      </c>
      <c r="L542" s="1994">
        <v>15.265309999999999</v>
      </c>
      <c r="M542" s="1994">
        <v>14.876749999999999</v>
      </c>
      <c r="N542" s="1994">
        <v>14.918659999999999</v>
      </c>
      <c r="O542" s="1994">
        <v>14.52542</v>
      </c>
      <c r="P542" s="1994">
        <v>14.074059999999999</v>
      </c>
      <c r="Q542" s="1994">
        <v>14.11107</v>
      </c>
      <c r="R542" s="1995">
        <v>186.52668</v>
      </c>
      <c r="T542" s="48">
        <f t="shared" si="8"/>
        <v>0</v>
      </c>
      <c r="U542" s="48"/>
    </row>
    <row r="543" spans="2:21">
      <c r="B543" s="33" t="s">
        <v>7748</v>
      </c>
      <c r="C543" t="s">
        <v>8941</v>
      </c>
      <c r="D543" s="1962" t="s">
        <v>7749</v>
      </c>
      <c r="E543" s="1962" t="s">
        <v>7750</v>
      </c>
      <c r="F543" s="1981">
        <v>0</v>
      </c>
      <c r="G543" s="1981">
        <v>0</v>
      </c>
      <c r="H543" s="1981">
        <v>0</v>
      </c>
      <c r="I543" s="1981">
        <v>0</v>
      </c>
      <c r="J543" s="1981">
        <v>0</v>
      </c>
      <c r="K543" s="1981">
        <v>0</v>
      </c>
      <c r="L543" s="1981">
        <v>0</v>
      </c>
      <c r="M543" s="1981">
        <v>0</v>
      </c>
      <c r="N543" s="1981">
        <v>0</v>
      </c>
      <c r="O543" s="1981">
        <v>0</v>
      </c>
      <c r="P543" s="1981">
        <v>0</v>
      </c>
      <c r="Q543" s="1981">
        <v>0</v>
      </c>
      <c r="R543" s="1981">
        <v>0</v>
      </c>
      <c r="T543" s="48">
        <f t="shared" si="8"/>
        <v>0</v>
      </c>
      <c r="U543" s="48"/>
    </row>
    <row r="544" spans="2:21">
      <c r="B544" s="33" t="s">
        <v>7751</v>
      </c>
      <c r="C544" t="s">
        <v>8942</v>
      </c>
      <c r="D544" s="1962" t="s">
        <v>7752</v>
      </c>
      <c r="E544" s="1962" t="s">
        <v>7753</v>
      </c>
      <c r="F544" s="1981">
        <v>2025.6630666044</v>
      </c>
      <c r="G544" s="1981">
        <v>2027.5895609472</v>
      </c>
      <c r="H544" s="1981">
        <v>2027.6204109471998</v>
      </c>
      <c r="I544" s="1981">
        <v>2027.6512709471999</v>
      </c>
      <c r="J544" s="1981">
        <v>2027.6821309472002</v>
      </c>
      <c r="K544" s="1981">
        <v>2048.5189809471999</v>
      </c>
      <c r="L544" s="1981">
        <v>2121.4295713471997</v>
      </c>
      <c r="M544" s="1981">
        <v>2048.5807009472001</v>
      </c>
      <c r="N544" s="1981">
        <v>2048.8830909471999</v>
      </c>
      <c r="O544" s="1981">
        <v>2048.9139509471997</v>
      </c>
      <c r="P544" s="1981">
        <v>2048.9448109472</v>
      </c>
      <c r="Q544" s="1981">
        <v>2070.2620263471999</v>
      </c>
      <c r="R544" s="1981">
        <v>24571.739572823601</v>
      </c>
      <c r="T544" s="48">
        <f t="shared" si="8"/>
        <v>0</v>
      </c>
      <c r="U544" s="48"/>
    </row>
    <row r="545" spans="2:21">
      <c r="B545" s="33" t="s">
        <v>7754</v>
      </c>
      <c r="C545" t="s">
        <v>7661</v>
      </c>
      <c r="D545" s="1962" t="s">
        <v>7662</v>
      </c>
      <c r="E545" s="1962" t="s">
        <v>7663</v>
      </c>
      <c r="F545" s="1981">
        <v>14628.9605240167</v>
      </c>
      <c r="G545" s="1981">
        <v>13350.603930174901</v>
      </c>
      <c r="H545" s="1981">
        <v>13376.2654724727</v>
      </c>
      <c r="I545" s="1981">
        <v>14213.291264342201</v>
      </c>
      <c r="J545" s="1981">
        <v>14826.0042860702</v>
      </c>
      <c r="K545" s="1981">
        <v>12877.1957409795</v>
      </c>
      <c r="L545" s="1981">
        <v>14878.0553530732</v>
      </c>
      <c r="M545" s="1981">
        <v>14235.998856293701</v>
      </c>
      <c r="N545" s="1981">
        <v>13558.327551209901</v>
      </c>
      <c r="O545" s="1981">
        <v>14885.426051083301</v>
      </c>
      <c r="P545" s="1981">
        <v>13597.7595038362</v>
      </c>
      <c r="Q545" s="1981">
        <v>14223.7992350721</v>
      </c>
      <c r="R545" s="1981">
        <v>168651.6877686246</v>
      </c>
      <c r="T545" s="48">
        <f t="shared" si="8"/>
        <v>0</v>
      </c>
      <c r="U545" s="48"/>
    </row>
    <row r="546" spans="2:21">
      <c r="B546" s="33" t="s">
        <v>7755</v>
      </c>
      <c r="C546" t="s">
        <v>7358</v>
      </c>
      <c r="D546" s="1962" t="s">
        <v>7756</v>
      </c>
      <c r="E546" s="1962" t="s">
        <v>7757</v>
      </c>
      <c r="F546" s="1981">
        <v>133.20694625430002</v>
      </c>
      <c r="G546" s="1981">
        <v>170.7318881315</v>
      </c>
      <c r="H546" s="1981">
        <v>133.20694625430002</v>
      </c>
      <c r="I546" s="1981">
        <v>133.20694625430002</v>
      </c>
      <c r="J546" s="1981">
        <v>142.28507125430002</v>
      </c>
      <c r="K546" s="1981">
        <v>133.20694625430002</v>
      </c>
      <c r="L546" s="1981">
        <v>133.20694625430002</v>
      </c>
      <c r="M546" s="1981">
        <v>170.7318881315</v>
      </c>
      <c r="N546" s="1981">
        <v>142.28507125430002</v>
      </c>
      <c r="O546" s="1981">
        <v>133.20694625430002</v>
      </c>
      <c r="P546" s="1981">
        <v>133.20694625430002</v>
      </c>
      <c r="Q546" s="1981">
        <v>133.20694625430002</v>
      </c>
      <c r="R546" s="1981">
        <v>1691.6894888059999</v>
      </c>
      <c r="T546" s="48">
        <f t="shared" si="8"/>
        <v>0</v>
      </c>
      <c r="U546" s="48"/>
    </row>
    <row r="547" spans="2:21">
      <c r="B547" s="33" t="s">
        <v>7758</v>
      </c>
      <c r="C547" t="s">
        <v>7359</v>
      </c>
      <c r="D547" s="1962" t="s">
        <v>7759</v>
      </c>
      <c r="E547" s="1962" t="s">
        <v>7760</v>
      </c>
      <c r="F547" s="1981">
        <v>-1437.4239088981999</v>
      </c>
      <c r="G547" s="1981">
        <v>-1392.7646431153</v>
      </c>
      <c r="H547" s="1981">
        <v>-1409.3611578081002</v>
      </c>
      <c r="I547" s="1981">
        <v>-1448.9386623446001</v>
      </c>
      <c r="J547" s="1981">
        <v>-1455.7141033288001</v>
      </c>
      <c r="K547" s="1981">
        <v>-1382.6282378398</v>
      </c>
      <c r="L547" s="1981">
        <v>-1451.6296476529001</v>
      </c>
      <c r="M547" s="1981">
        <v>-1428.2188359582999</v>
      </c>
      <c r="N547" s="1981">
        <v>-1405.3402792167999</v>
      </c>
      <c r="O547" s="1981">
        <v>-1463.5311818345999</v>
      </c>
      <c r="P547" s="1981">
        <v>-1425.5803788554999</v>
      </c>
      <c r="Q547" s="1981">
        <v>-1446.0027720583</v>
      </c>
      <c r="R547" s="1981">
        <v>-17147.1338089112</v>
      </c>
      <c r="T547" s="48">
        <f t="shared" si="8"/>
        <v>0</v>
      </c>
      <c r="U547" s="48"/>
    </row>
    <row r="548" spans="2:21">
      <c r="B548" s="33" t="s">
        <v>7761</v>
      </c>
      <c r="C548" t="s">
        <v>7361</v>
      </c>
      <c r="D548" s="1962" t="s">
        <v>7762</v>
      </c>
      <c r="E548" s="1962" t="s">
        <v>7763</v>
      </c>
      <c r="F548" s="1981">
        <v>0</v>
      </c>
      <c r="G548" s="1981">
        <v>0</v>
      </c>
      <c r="H548" s="1981">
        <v>0</v>
      </c>
      <c r="I548" s="1981">
        <v>0</v>
      </c>
      <c r="J548" s="1981">
        <v>0</v>
      </c>
      <c r="K548" s="1981">
        <v>0</v>
      </c>
      <c r="L548" s="1981">
        <v>0</v>
      </c>
      <c r="M548" s="1981">
        <v>0</v>
      </c>
      <c r="N548" s="1981">
        <v>0</v>
      </c>
      <c r="O548" s="1981">
        <v>0</v>
      </c>
      <c r="P548" s="1981">
        <v>0</v>
      </c>
      <c r="Q548" s="1981">
        <v>0</v>
      </c>
      <c r="R548" s="1981">
        <v>0</v>
      </c>
      <c r="T548" s="48">
        <f t="shared" si="8"/>
        <v>0</v>
      </c>
      <c r="U548" s="48"/>
    </row>
    <row r="549" spans="2:21">
      <c r="B549" s="33" t="s">
        <v>7764</v>
      </c>
      <c r="C549" t="s">
        <v>7362</v>
      </c>
      <c r="D549" s="1962" t="s">
        <v>7765</v>
      </c>
      <c r="E549" s="1962" t="s">
        <v>7766</v>
      </c>
      <c r="F549" s="1981">
        <v>0</v>
      </c>
      <c r="G549" s="1981">
        <v>0</v>
      </c>
      <c r="H549" s="1981">
        <v>0</v>
      </c>
      <c r="I549" s="1981">
        <v>0</v>
      </c>
      <c r="J549" s="1981">
        <v>0</v>
      </c>
      <c r="K549" s="1981">
        <v>0</v>
      </c>
      <c r="L549" s="1981">
        <v>0</v>
      </c>
      <c r="M549" s="1981">
        <v>0</v>
      </c>
      <c r="N549" s="1981">
        <v>0</v>
      </c>
      <c r="O549" s="1981">
        <v>0</v>
      </c>
      <c r="P549" s="1981">
        <v>0</v>
      </c>
      <c r="Q549" s="1981">
        <v>0</v>
      </c>
      <c r="R549" s="1981">
        <v>0</v>
      </c>
      <c r="T549" s="48">
        <f t="shared" si="8"/>
        <v>0</v>
      </c>
      <c r="U549" s="48"/>
    </row>
    <row r="550" spans="2:21">
      <c r="B550" s="33" t="s">
        <v>7767</v>
      </c>
      <c r="C550" t="s">
        <v>7363</v>
      </c>
      <c r="D550" s="1962" t="s">
        <v>7768</v>
      </c>
      <c r="E550" s="1962" t="s">
        <v>7769</v>
      </c>
      <c r="F550" s="1981">
        <v>26.456</v>
      </c>
      <c r="G550" s="1981">
        <v>26.456</v>
      </c>
      <c r="H550" s="1981">
        <v>26.456</v>
      </c>
      <c r="I550" s="1981">
        <v>26.456</v>
      </c>
      <c r="J550" s="1981">
        <v>26.456</v>
      </c>
      <c r="K550" s="1981">
        <v>26.456</v>
      </c>
      <c r="L550" s="1981">
        <v>26.456</v>
      </c>
      <c r="M550" s="1981">
        <v>26.456</v>
      </c>
      <c r="N550" s="1981">
        <v>26.456</v>
      </c>
      <c r="O550" s="1981">
        <v>26.456</v>
      </c>
      <c r="P550" s="1981">
        <v>26.456</v>
      </c>
      <c r="Q550" s="1981">
        <v>26.456</v>
      </c>
      <c r="R550" s="1981">
        <v>317.47199999999998</v>
      </c>
      <c r="T550" s="48">
        <f t="shared" si="8"/>
        <v>0</v>
      </c>
      <c r="U550" s="48"/>
    </row>
    <row r="551" spans="2:21">
      <c r="B551" s="33" t="s">
        <v>7770</v>
      </c>
      <c r="C551" t="s">
        <v>7364</v>
      </c>
      <c r="D551" s="1962" t="s">
        <v>7771</v>
      </c>
      <c r="E551" s="1962" t="s">
        <v>7772</v>
      </c>
      <c r="F551" s="1981">
        <v>18.588999999999999</v>
      </c>
      <c r="G551" s="1981">
        <v>18.588999999999999</v>
      </c>
      <c r="H551" s="1981">
        <v>18.588999999999999</v>
      </c>
      <c r="I551" s="1981">
        <v>18.588999999999999</v>
      </c>
      <c r="J551" s="1981">
        <v>18.588999999999999</v>
      </c>
      <c r="K551" s="1981">
        <v>18.588999999999999</v>
      </c>
      <c r="L551" s="1981">
        <v>18.588999999999999</v>
      </c>
      <c r="M551" s="1981">
        <v>18.588999999999999</v>
      </c>
      <c r="N551" s="1981">
        <v>18.588999999999999</v>
      </c>
      <c r="O551" s="1981">
        <v>18.588999999999999</v>
      </c>
      <c r="P551" s="1981">
        <v>18.588999999999999</v>
      </c>
      <c r="Q551" s="1981">
        <v>18.588999999999999</v>
      </c>
      <c r="R551" s="1981">
        <v>223.06799999999998</v>
      </c>
      <c r="T551" s="48">
        <f t="shared" si="8"/>
        <v>0</v>
      </c>
      <c r="U551" s="48"/>
    </row>
    <row r="552" spans="2:21">
      <c r="B552" s="33" t="s">
        <v>7773</v>
      </c>
      <c r="C552" t="s">
        <v>7365</v>
      </c>
      <c r="D552" s="1962" t="s">
        <v>7774</v>
      </c>
      <c r="E552" s="1962" t="s">
        <v>7775</v>
      </c>
      <c r="F552" s="1981">
        <v>30.779</v>
      </c>
      <c r="G552" s="1981">
        <v>30.779</v>
      </c>
      <c r="H552" s="1981">
        <v>30.779</v>
      </c>
      <c r="I552" s="1981">
        <v>30.779</v>
      </c>
      <c r="J552" s="1981">
        <v>30.779</v>
      </c>
      <c r="K552" s="1981">
        <v>30.779</v>
      </c>
      <c r="L552" s="1981">
        <v>30.779</v>
      </c>
      <c r="M552" s="1981">
        <v>30.779</v>
      </c>
      <c r="N552" s="1981">
        <v>30.779</v>
      </c>
      <c r="O552" s="1981">
        <v>30.779</v>
      </c>
      <c r="P552" s="1981">
        <v>30.779</v>
      </c>
      <c r="Q552" s="1981">
        <v>30.779</v>
      </c>
      <c r="R552" s="1981">
        <v>369.34800000000001</v>
      </c>
      <c r="T552" s="48">
        <f t="shared" si="8"/>
        <v>0</v>
      </c>
      <c r="U552" s="48"/>
    </row>
    <row r="553" spans="2:21">
      <c r="B553" s="33" t="s">
        <v>7776</v>
      </c>
      <c r="C553" t="s">
        <v>7366</v>
      </c>
      <c r="D553" s="1962" t="s">
        <v>7777</v>
      </c>
      <c r="E553" s="1962" t="s">
        <v>7778</v>
      </c>
      <c r="F553" s="1981">
        <v>12.45</v>
      </c>
      <c r="G553" s="1981">
        <v>12.45</v>
      </c>
      <c r="H553" s="1981">
        <v>12.45</v>
      </c>
      <c r="I553" s="1981">
        <v>12.45</v>
      </c>
      <c r="J553" s="1981">
        <v>12.45</v>
      </c>
      <c r="K553" s="1981">
        <v>12.45</v>
      </c>
      <c r="L553" s="1981">
        <v>12.45</v>
      </c>
      <c r="M553" s="1981">
        <v>12.45</v>
      </c>
      <c r="N553" s="1981">
        <v>12.45</v>
      </c>
      <c r="O553" s="1981">
        <v>12.45</v>
      </c>
      <c r="P553" s="1981">
        <v>12.45</v>
      </c>
      <c r="Q553" s="1981">
        <v>12.45</v>
      </c>
      <c r="R553" s="1981">
        <v>149.4</v>
      </c>
      <c r="T553" s="48">
        <f t="shared" si="8"/>
        <v>0</v>
      </c>
      <c r="U553" s="48"/>
    </row>
    <row r="554" spans="2:21">
      <c r="B554" s="33" t="s">
        <v>7779</v>
      </c>
      <c r="C554" t="s">
        <v>7367</v>
      </c>
      <c r="D554" s="1962" t="s">
        <v>7780</v>
      </c>
      <c r="E554" s="1962" t="s">
        <v>7781</v>
      </c>
      <c r="F554" s="1981">
        <v>2809.8960000000002</v>
      </c>
      <c r="G554" s="1981">
        <v>2809.8960000000002</v>
      </c>
      <c r="H554" s="1981">
        <v>2809.8960000000002</v>
      </c>
      <c r="I554" s="1981">
        <v>2809.8960000000002</v>
      </c>
      <c r="J554" s="1981">
        <v>2809.8960000000002</v>
      </c>
      <c r="K554" s="1981">
        <v>2809.8960000000002</v>
      </c>
      <c r="L554" s="1981">
        <v>2809.8960000000002</v>
      </c>
      <c r="M554" s="1981">
        <v>2809.8960000000002</v>
      </c>
      <c r="N554" s="1981">
        <v>2809.8960000000002</v>
      </c>
      <c r="O554" s="1981">
        <v>2809.8960000000002</v>
      </c>
      <c r="P554" s="1981">
        <v>2809.8960000000002</v>
      </c>
      <c r="Q554" s="1981">
        <v>2809.8960000000002</v>
      </c>
      <c r="R554" s="1981">
        <v>33718.752</v>
      </c>
      <c r="T554" s="48">
        <f t="shared" si="8"/>
        <v>0</v>
      </c>
      <c r="U554" s="48"/>
    </row>
    <row r="555" spans="2:21">
      <c r="B555" s="33" t="s">
        <v>7782</v>
      </c>
      <c r="C555" t="s">
        <v>7368</v>
      </c>
      <c r="D555" s="1962" t="s">
        <v>7783</v>
      </c>
      <c r="E555" s="1962" t="s">
        <v>7784</v>
      </c>
      <c r="F555" s="1981">
        <v>0</v>
      </c>
      <c r="G555" s="1981">
        <v>0</v>
      </c>
      <c r="H555" s="1981">
        <v>304.34699999999998</v>
      </c>
      <c r="I555" s="1981">
        <v>0</v>
      </c>
      <c r="J555" s="1981">
        <v>0</v>
      </c>
      <c r="K555" s="1981">
        <v>304.34699999999998</v>
      </c>
      <c r="L555" s="1981">
        <v>0</v>
      </c>
      <c r="M555" s="1981">
        <v>0</v>
      </c>
      <c r="N555" s="1981">
        <v>304.34699999999998</v>
      </c>
      <c r="O555" s="1981">
        <v>0</v>
      </c>
      <c r="P555" s="1981">
        <v>0</v>
      </c>
      <c r="Q555" s="1981">
        <v>304.34699999999998</v>
      </c>
      <c r="R555" s="1981">
        <v>1217.3879999999999</v>
      </c>
      <c r="T555" s="48">
        <f t="shared" si="8"/>
        <v>0</v>
      </c>
      <c r="U555" s="48"/>
    </row>
    <row r="556" spans="2:21">
      <c r="B556" s="33" t="s">
        <v>7785</v>
      </c>
      <c r="C556" t="s">
        <v>7369</v>
      </c>
      <c r="D556" s="1962" t="s">
        <v>7786</v>
      </c>
      <c r="E556" s="1962" t="s">
        <v>7787</v>
      </c>
      <c r="F556" s="1981">
        <v>0</v>
      </c>
      <c r="G556" s="1981">
        <v>0</v>
      </c>
      <c r="H556" s="1981">
        <v>500.97500000000002</v>
      </c>
      <c r="I556" s="1981">
        <v>0</v>
      </c>
      <c r="J556" s="1981">
        <v>0</v>
      </c>
      <c r="K556" s="1981">
        <v>500.97500000000002</v>
      </c>
      <c r="L556" s="1981">
        <v>0</v>
      </c>
      <c r="M556" s="1981">
        <v>0</v>
      </c>
      <c r="N556" s="1981">
        <v>500.97500000000002</v>
      </c>
      <c r="O556" s="1981">
        <v>0</v>
      </c>
      <c r="P556" s="1981">
        <v>0</v>
      </c>
      <c r="Q556" s="1981">
        <v>500.97500000000002</v>
      </c>
      <c r="R556" s="1981">
        <v>2003.9</v>
      </c>
      <c r="T556" s="48">
        <f t="shared" si="8"/>
        <v>0</v>
      </c>
      <c r="U556" s="48"/>
    </row>
    <row r="557" spans="2:21">
      <c r="B557" s="33" t="s">
        <v>7788</v>
      </c>
      <c r="C557" t="s">
        <v>7370</v>
      </c>
      <c r="D557" s="1962" t="s">
        <v>7789</v>
      </c>
      <c r="E557" s="1962" t="s">
        <v>7790</v>
      </c>
      <c r="F557" s="1981">
        <v>0</v>
      </c>
      <c r="G557" s="1981">
        <v>0</v>
      </c>
      <c r="H557" s="1981">
        <v>847.12300000000005</v>
      </c>
      <c r="I557" s="1981">
        <v>0</v>
      </c>
      <c r="J557" s="1981">
        <v>0</v>
      </c>
      <c r="K557" s="1981">
        <v>847.12300000000005</v>
      </c>
      <c r="L557" s="1981">
        <v>0</v>
      </c>
      <c r="M557" s="1981">
        <v>0</v>
      </c>
      <c r="N557" s="1981">
        <v>847.12300000000005</v>
      </c>
      <c r="O557" s="1981">
        <v>0</v>
      </c>
      <c r="P557" s="1981">
        <v>0</v>
      </c>
      <c r="Q557" s="1981">
        <v>847.12300000000005</v>
      </c>
      <c r="R557" s="1981">
        <v>3388.4920000000002</v>
      </c>
      <c r="T557" s="48">
        <f t="shared" si="8"/>
        <v>0</v>
      </c>
      <c r="U557" s="48"/>
    </row>
    <row r="558" spans="2:21">
      <c r="B558" s="33" t="s">
        <v>7791</v>
      </c>
      <c r="C558" t="s">
        <v>7371</v>
      </c>
      <c r="D558" s="1962" t="s">
        <v>7792</v>
      </c>
      <c r="E558" s="1962" t="s">
        <v>7793</v>
      </c>
      <c r="F558" s="1981">
        <v>0</v>
      </c>
      <c r="G558" s="1981">
        <v>0</v>
      </c>
      <c r="H558" s="1981">
        <v>1706.346</v>
      </c>
      <c r="I558" s="1981">
        <v>0</v>
      </c>
      <c r="J558" s="1981">
        <v>0</v>
      </c>
      <c r="K558" s="1981">
        <v>1706.346</v>
      </c>
      <c r="L558" s="1981">
        <v>0</v>
      </c>
      <c r="M558" s="1981">
        <v>0</v>
      </c>
      <c r="N558" s="1981">
        <v>1706.346</v>
      </c>
      <c r="O558" s="1981">
        <v>0</v>
      </c>
      <c r="P558" s="1981">
        <v>0</v>
      </c>
      <c r="Q558" s="1981">
        <v>1706.346</v>
      </c>
      <c r="R558" s="1981">
        <v>6825.384</v>
      </c>
      <c r="T558" s="48">
        <f t="shared" si="8"/>
        <v>0</v>
      </c>
      <c r="U558" s="48"/>
    </row>
    <row r="559" spans="2:21">
      <c r="B559" s="33" t="s">
        <v>7794</v>
      </c>
      <c r="C559" t="s">
        <v>7374</v>
      </c>
      <c r="D559" s="1962" t="s">
        <v>7795</v>
      </c>
      <c r="E559" s="1962" t="s">
        <v>7796</v>
      </c>
      <c r="F559" s="1981">
        <v>12.968999999999999</v>
      </c>
      <c r="G559" s="1981">
        <v>12.968999999999999</v>
      </c>
      <c r="H559" s="1981">
        <v>12.968999999999999</v>
      </c>
      <c r="I559" s="1981">
        <v>12.968999999999999</v>
      </c>
      <c r="J559" s="1981">
        <v>12.968999999999999</v>
      </c>
      <c r="K559" s="1981">
        <v>12.968999999999999</v>
      </c>
      <c r="L559" s="1981">
        <v>12.968999999999999</v>
      </c>
      <c r="M559" s="1981">
        <v>12.968999999999999</v>
      </c>
      <c r="N559" s="1981">
        <v>12.968999999999999</v>
      </c>
      <c r="O559" s="1981">
        <v>12.968999999999999</v>
      </c>
      <c r="P559" s="1981">
        <v>12.968999999999999</v>
      </c>
      <c r="Q559" s="1981">
        <v>12.968999999999999</v>
      </c>
      <c r="R559" s="1981">
        <v>155.62799999999996</v>
      </c>
      <c r="T559" s="48">
        <f t="shared" si="8"/>
        <v>0</v>
      </c>
      <c r="U559" s="48"/>
    </row>
    <row r="560" spans="2:21">
      <c r="B560" s="33" t="s">
        <v>7797</v>
      </c>
      <c r="C560" t="s">
        <v>7375</v>
      </c>
      <c r="D560" s="1962" t="s">
        <v>7798</v>
      </c>
      <c r="E560" s="1962" t="s">
        <v>7799</v>
      </c>
      <c r="F560" s="1981">
        <v>711.15700000000004</v>
      </c>
      <c r="G560" s="1981">
        <v>711.15700000000004</v>
      </c>
      <c r="H560" s="1981">
        <v>711.15700000000004</v>
      </c>
      <c r="I560" s="1981">
        <v>711.15700000000004</v>
      </c>
      <c r="J560" s="1981">
        <v>711.15700000000004</v>
      </c>
      <c r="K560" s="1981">
        <v>711.15700000000004</v>
      </c>
      <c r="L560" s="1981">
        <v>711.15700000000004</v>
      </c>
      <c r="M560" s="1981">
        <v>711.15700000000004</v>
      </c>
      <c r="N560" s="1981">
        <v>711.15700000000004</v>
      </c>
      <c r="O560" s="1981">
        <v>711.15700000000004</v>
      </c>
      <c r="P560" s="1981">
        <v>711.15700000000004</v>
      </c>
      <c r="Q560" s="1981">
        <v>711.15700000000004</v>
      </c>
      <c r="R560" s="1981">
        <v>8533.884</v>
      </c>
      <c r="T560" s="48">
        <f t="shared" si="8"/>
        <v>0</v>
      </c>
      <c r="U560" s="48"/>
    </row>
    <row r="561" spans="2:21">
      <c r="B561" s="33" t="s">
        <v>7800</v>
      </c>
      <c r="C561" t="s">
        <v>7376</v>
      </c>
      <c r="D561" s="1962" t="s">
        <v>7801</v>
      </c>
      <c r="E561" s="1962" t="s">
        <v>7802</v>
      </c>
      <c r="F561" s="1981">
        <v>854.54499999999996</v>
      </c>
      <c r="G561" s="1981">
        <v>854.54499999999996</v>
      </c>
      <c r="H561" s="1981">
        <v>854.54499999999996</v>
      </c>
      <c r="I561" s="1981">
        <v>854.54499999999996</v>
      </c>
      <c r="J561" s="1981">
        <v>854.54499999999996</v>
      </c>
      <c r="K561" s="1981">
        <v>854.54499999999996</v>
      </c>
      <c r="L561" s="1981">
        <v>854.54499999999996</v>
      </c>
      <c r="M561" s="1981">
        <v>854.54499999999996</v>
      </c>
      <c r="N561" s="1981">
        <v>854.54499999999996</v>
      </c>
      <c r="O561" s="1981">
        <v>854.54499999999996</v>
      </c>
      <c r="P561" s="1981">
        <v>854.54499999999996</v>
      </c>
      <c r="Q561" s="1981">
        <v>854.54499999999996</v>
      </c>
      <c r="R561" s="1981">
        <v>10254.539999999999</v>
      </c>
      <c r="T561" s="48">
        <f t="shared" si="8"/>
        <v>0</v>
      </c>
      <c r="U561" s="48"/>
    </row>
    <row r="562" spans="2:21">
      <c r="B562" s="33" t="s">
        <v>7803</v>
      </c>
      <c r="C562" t="s">
        <v>7378</v>
      </c>
      <c r="D562" s="1962" t="s">
        <v>7804</v>
      </c>
      <c r="E562" s="1962" t="s">
        <v>7805</v>
      </c>
      <c r="F562" s="1981">
        <v>0</v>
      </c>
      <c r="G562" s="1981">
        <v>0</v>
      </c>
      <c r="H562" s="1981">
        <v>26.704000000000001</v>
      </c>
      <c r="I562" s="1981">
        <v>0</v>
      </c>
      <c r="J562" s="1981">
        <v>0</v>
      </c>
      <c r="K562" s="1981">
        <v>26.704000000000001</v>
      </c>
      <c r="L562" s="1981">
        <v>0</v>
      </c>
      <c r="M562" s="1981">
        <v>0</v>
      </c>
      <c r="N562" s="1981">
        <v>26.704000000000001</v>
      </c>
      <c r="O562" s="1981">
        <v>0</v>
      </c>
      <c r="P562" s="1981">
        <v>0</v>
      </c>
      <c r="Q562" s="1981">
        <v>26.704000000000001</v>
      </c>
      <c r="R562" s="1981">
        <v>106.816</v>
      </c>
      <c r="T562" s="48">
        <f t="shared" si="8"/>
        <v>0</v>
      </c>
      <c r="U562" s="48"/>
    </row>
    <row r="563" spans="2:21">
      <c r="B563" s="33" t="s">
        <v>7806</v>
      </c>
      <c r="C563" t="s">
        <v>7379</v>
      </c>
      <c r="D563" s="1962" t="s">
        <v>7807</v>
      </c>
      <c r="E563" s="1962" t="s">
        <v>7808</v>
      </c>
      <c r="F563" s="1981">
        <v>155.625</v>
      </c>
      <c r="G563" s="1981">
        <v>155.625</v>
      </c>
      <c r="H563" s="1981">
        <v>155.625</v>
      </c>
      <c r="I563" s="1981">
        <v>155.625</v>
      </c>
      <c r="J563" s="1981">
        <v>155.625</v>
      </c>
      <c r="K563" s="1981">
        <v>155.625</v>
      </c>
      <c r="L563" s="1981">
        <v>155.625</v>
      </c>
      <c r="M563" s="1981">
        <v>155.625</v>
      </c>
      <c r="N563" s="1981">
        <v>155.625</v>
      </c>
      <c r="O563" s="1981">
        <v>155.625</v>
      </c>
      <c r="P563" s="1981">
        <v>155.625</v>
      </c>
      <c r="Q563" s="1981">
        <v>155.625</v>
      </c>
      <c r="R563" s="1981">
        <v>1867.5</v>
      </c>
      <c r="T563" s="48">
        <f t="shared" si="8"/>
        <v>0</v>
      </c>
      <c r="U563" s="48"/>
    </row>
    <row r="564" spans="2:21">
      <c r="B564" s="33" t="s">
        <v>7809</v>
      </c>
      <c r="C564" t="s">
        <v>7380</v>
      </c>
      <c r="D564" s="1962" t="s">
        <v>7810</v>
      </c>
      <c r="E564" s="1962" t="s">
        <v>7811</v>
      </c>
      <c r="F564" s="1981">
        <v>103.75</v>
      </c>
      <c r="G564" s="1981">
        <v>103.75</v>
      </c>
      <c r="H564" s="1981">
        <v>103.75</v>
      </c>
      <c r="I564" s="1981">
        <v>103.75</v>
      </c>
      <c r="J564" s="1981">
        <v>103.75</v>
      </c>
      <c r="K564" s="1981">
        <v>103.75</v>
      </c>
      <c r="L564" s="1981">
        <v>103.75</v>
      </c>
      <c r="M564" s="1981">
        <v>103.75</v>
      </c>
      <c r="N564" s="1981">
        <v>103.75</v>
      </c>
      <c r="O564" s="1981">
        <v>103.75</v>
      </c>
      <c r="P564" s="1981">
        <v>103.75</v>
      </c>
      <c r="Q564" s="1981">
        <v>103.75</v>
      </c>
      <c r="R564" s="1981">
        <v>1245</v>
      </c>
      <c r="T564" s="48">
        <f t="shared" si="8"/>
        <v>0</v>
      </c>
      <c r="U564" s="48"/>
    </row>
    <row r="565" spans="2:21">
      <c r="B565" s="33" t="s">
        <v>8504</v>
      </c>
      <c r="C565" t="s">
        <v>8706</v>
      </c>
      <c r="D565" s="1962" t="s">
        <v>8505</v>
      </c>
      <c r="E565" s="1962" t="s">
        <v>7812</v>
      </c>
      <c r="F565" s="1981">
        <v>0</v>
      </c>
      <c r="G565" s="1981">
        <v>0</v>
      </c>
      <c r="H565" s="1981">
        <v>0</v>
      </c>
      <c r="I565" s="1981">
        <v>0</v>
      </c>
      <c r="J565" s="1981">
        <v>0</v>
      </c>
      <c r="K565" s="1981">
        <v>0</v>
      </c>
      <c r="L565" s="1981">
        <v>0</v>
      </c>
      <c r="M565" s="1981">
        <v>0</v>
      </c>
      <c r="N565" s="1981">
        <v>0</v>
      </c>
      <c r="O565" s="1981">
        <v>0</v>
      </c>
      <c r="P565" s="1981">
        <v>0</v>
      </c>
      <c r="Q565" s="1981">
        <v>0</v>
      </c>
      <c r="R565" s="1981">
        <v>0</v>
      </c>
      <c r="T565" s="48">
        <f t="shared" si="8"/>
        <v>0</v>
      </c>
      <c r="U565" s="48"/>
    </row>
    <row r="566" spans="2:21">
      <c r="B566" s="33" t="s">
        <v>7813</v>
      </c>
      <c r="C566" t="s">
        <v>7382</v>
      </c>
      <c r="D566" s="1962" t="s">
        <v>7814</v>
      </c>
      <c r="E566" s="1962" t="s">
        <v>7815</v>
      </c>
      <c r="F566" s="1981">
        <v>0</v>
      </c>
      <c r="G566" s="1981">
        <v>0</v>
      </c>
      <c r="H566" s="1981">
        <v>32.411999999999999</v>
      </c>
      <c r="I566" s="1981">
        <v>0</v>
      </c>
      <c r="J566" s="1981">
        <v>0</v>
      </c>
      <c r="K566" s="1981">
        <v>32.411999999999999</v>
      </c>
      <c r="L566" s="1981">
        <v>0</v>
      </c>
      <c r="M566" s="1981">
        <v>0</v>
      </c>
      <c r="N566" s="1981">
        <v>32.411999999999999</v>
      </c>
      <c r="O566" s="1981">
        <v>0</v>
      </c>
      <c r="P566" s="1981">
        <v>0</v>
      </c>
      <c r="Q566" s="1981">
        <v>32.411999999999999</v>
      </c>
      <c r="R566" s="1981">
        <v>129.648</v>
      </c>
      <c r="T566" s="48">
        <f t="shared" si="8"/>
        <v>0</v>
      </c>
      <c r="U566" s="48"/>
    </row>
    <row r="567" spans="2:21">
      <c r="B567" s="33" t="s">
        <v>7816</v>
      </c>
      <c r="C567" t="s">
        <v>7384</v>
      </c>
      <c r="D567" s="1962" t="s">
        <v>7817</v>
      </c>
      <c r="E567" s="1962" t="s">
        <v>7818</v>
      </c>
      <c r="F567" s="1981">
        <v>-143.2427282964</v>
      </c>
      <c r="G567" s="1981">
        <v>-130.08738669670001</v>
      </c>
      <c r="H567" s="1981">
        <v>-121.78738669670001</v>
      </c>
      <c r="I567" s="1981">
        <v>-139.79335105520002</v>
      </c>
      <c r="J567" s="1981">
        <v>-146.51321694479998</v>
      </c>
      <c r="K567" s="1981">
        <v>-118.053607352</v>
      </c>
      <c r="L567" s="1981">
        <v>-146.51321694479998</v>
      </c>
      <c r="M567" s="1981">
        <v>-139.79335105520002</v>
      </c>
      <c r="N567" s="1981">
        <v>-124.77348516529999</v>
      </c>
      <c r="O567" s="1981">
        <v>-146.51321694479998</v>
      </c>
      <c r="P567" s="1981">
        <v>-133.07348516529999</v>
      </c>
      <c r="Q567" s="1981">
        <v>-131.98642826899999</v>
      </c>
      <c r="R567" s="1981">
        <v>-1622.1308605862</v>
      </c>
      <c r="T567" s="48">
        <f t="shared" si="8"/>
        <v>0</v>
      </c>
      <c r="U567" s="48"/>
    </row>
    <row r="568" spans="2:21">
      <c r="B568" s="33" t="s">
        <v>7819</v>
      </c>
      <c r="C568" t="s">
        <v>7385</v>
      </c>
      <c r="D568" s="1962" t="s">
        <v>7820</v>
      </c>
      <c r="E568" s="1962" t="s">
        <v>7821</v>
      </c>
      <c r="F568" s="1981">
        <v>2350.5300000000002</v>
      </c>
      <c r="G568" s="1981">
        <v>2350.5300000000002</v>
      </c>
      <c r="H568" s="1981">
        <v>2350.5300000000002</v>
      </c>
      <c r="I568" s="1981">
        <v>2350.5300000000002</v>
      </c>
      <c r="J568" s="1981">
        <v>2350.5300000000002</v>
      </c>
      <c r="K568" s="1981">
        <v>2350.5300000000002</v>
      </c>
      <c r="L568" s="1981">
        <v>2350.5300000000002</v>
      </c>
      <c r="M568" s="1981">
        <v>2350.5300000000002</v>
      </c>
      <c r="N568" s="1981">
        <v>2350.5300000000002</v>
      </c>
      <c r="O568" s="1981">
        <v>2350.5300000000002</v>
      </c>
      <c r="P568" s="1981">
        <v>2350.5300000000002</v>
      </c>
      <c r="Q568" s="1981">
        <v>2350.5300000000002</v>
      </c>
      <c r="R568" s="1981">
        <v>28206.359999999997</v>
      </c>
      <c r="T568" s="48">
        <f t="shared" si="8"/>
        <v>0</v>
      </c>
      <c r="U568" s="48"/>
    </row>
    <row r="569" spans="2:21">
      <c r="B569" s="33" t="s">
        <v>7822</v>
      </c>
      <c r="C569" t="s">
        <v>7664</v>
      </c>
      <c r="D569" s="1962" t="s">
        <v>7665</v>
      </c>
      <c r="E569" s="1962" t="s">
        <v>7666</v>
      </c>
      <c r="F569" s="1981">
        <v>10.375</v>
      </c>
      <c r="G569" s="1981">
        <v>10.375</v>
      </c>
      <c r="H569" s="1981">
        <v>10.375</v>
      </c>
      <c r="I569" s="1981">
        <v>10.375</v>
      </c>
      <c r="J569" s="1981">
        <v>10.375</v>
      </c>
      <c r="K569" s="1981">
        <v>10.375</v>
      </c>
      <c r="L569" s="1981">
        <v>10.375</v>
      </c>
      <c r="M569" s="1981">
        <v>10.375</v>
      </c>
      <c r="N569" s="1981">
        <v>10.375</v>
      </c>
      <c r="O569" s="1981">
        <v>10.375</v>
      </c>
      <c r="P569" s="1981">
        <v>10.375</v>
      </c>
      <c r="Q569" s="1981">
        <v>10.375</v>
      </c>
      <c r="R569" s="1981">
        <v>124.5</v>
      </c>
      <c r="T569" s="48">
        <f t="shared" si="8"/>
        <v>0</v>
      </c>
      <c r="U569" s="48"/>
    </row>
    <row r="570" spans="2:21">
      <c r="B570" s="33" t="s">
        <v>7823</v>
      </c>
      <c r="C570" t="s">
        <v>7386</v>
      </c>
      <c r="D570" s="1962" t="s">
        <v>7824</v>
      </c>
      <c r="E570" s="1962" t="s">
        <v>7825</v>
      </c>
      <c r="F570" s="1981">
        <v>182.56024565249999</v>
      </c>
      <c r="G570" s="1981">
        <v>182.23918305309999</v>
      </c>
      <c r="H570" s="1981">
        <v>182.76156643070001</v>
      </c>
      <c r="I570" s="1981">
        <v>184.1547411315</v>
      </c>
      <c r="J570" s="1981">
        <v>189.22224802490001</v>
      </c>
      <c r="K570" s="1981">
        <v>189.31997933279999</v>
      </c>
      <c r="L570" s="1981">
        <v>191.6459425864</v>
      </c>
      <c r="M570" s="1981">
        <v>191.40269319910001</v>
      </c>
      <c r="N570" s="1981">
        <v>191.0050898746</v>
      </c>
      <c r="O570" s="1981">
        <v>183.5901970477</v>
      </c>
      <c r="P570" s="1981">
        <v>186.37466339490001</v>
      </c>
      <c r="Q570" s="1981">
        <v>188.26491559690001</v>
      </c>
      <c r="R570" s="1981">
        <v>2242.5414653251005</v>
      </c>
      <c r="T570" s="48">
        <f t="shared" si="8"/>
        <v>0</v>
      </c>
      <c r="U570" s="48"/>
    </row>
    <row r="571" spans="2:21">
      <c r="B571" s="33" t="s">
        <v>7826</v>
      </c>
      <c r="C571" t="s">
        <v>7667</v>
      </c>
      <c r="D571" s="1962" t="s">
        <v>7668</v>
      </c>
      <c r="E571" s="1962" t="s">
        <v>7669</v>
      </c>
      <c r="F571" s="1981">
        <v>0</v>
      </c>
      <c r="G571" s="1981">
        <v>0</v>
      </c>
      <c r="H571" s="1981">
        <v>0</v>
      </c>
      <c r="I571" s="1981">
        <v>0</v>
      </c>
      <c r="J571" s="1981">
        <v>0</v>
      </c>
      <c r="K571" s="1981">
        <v>0</v>
      </c>
      <c r="L571" s="1981">
        <v>0</v>
      </c>
      <c r="M571" s="1981">
        <v>0</v>
      </c>
      <c r="N571" s="1981">
        <v>0</v>
      </c>
      <c r="O571" s="1981">
        <v>0</v>
      </c>
      <c r="P571" s="1981">
        <v>0</v>
      </c>
      <c r="Q571" s="1981">
        <v>0</v>
      </c>
      <c r="R571" s="1981">
        <v>0</v>
      </c>
      <c r="T571" s="48">
        <f t="shared" si="8"/>
        <v>0</v>
      </c>
      <c r="U571" s="48"/>
    </row>
    <row r="572" spans="2:21">
      <c r="B572" s="33" t="s">
        <v>7827</v>
      </c>
      <c r="C572" t="s">
        <v>7391</v>
      </c>
      <c r="D572" s="1962" t="s">
        <v>7828</v>
      </c>
      <c r="E572" s="1962" t="s">
        <v>7829</v>
      </c>
      <c r="F572" s="1981">
        <v>50.088408415700002</v>
      </c>
      <c r="G572" s="1981">
        <v>38.738374247700001</v>
      </c>
      <c r="H572" s="1981">
        <v>33.307490497699995</v>
      </c>
      <c r="I572" s="1981">
        <v>25.704006759299997</v>
      </c>
      <c r="J572" s="1981">
        <v>24.292991759299998</v>
      </c>
      <c r="K572" s="1981">
        <v>31.453054009300001</v>
      </c>
      <c r="L572" s="1981">
        <v>26.4986715151</v>
      </c>
      <c r="M572" s="1981">
        <v>26.128289515100001</v>
      </c>
      <c r="N572" s="1981">
        <v>26.951931765099999</v>
      </c>
      <c r="O572" s="1981">
        <v>25.9879392709</v>
      </c>
      <c r="P572" s="1981">
        <v>27.820939270899999</v>
      </c>
      <c r="Q572" s="1981">
        <v>38.929616799800002</v>
      </c>
      <c r="R572" s="1981">
        <v>375.90171382590006</v>
      </c>
      <c r="T572" s="48">
        <f t="shared" si="8"/>
        <v>0</v>
      </c>
      <c r="U572" s="48"/>
    </row>
    <row r="573" spans="2:21">
      <c r="B573" s="33" t="s">
        <v>7830</v>
      </c>
      <c r="C573" t="s">
        <v>7393</v>
      </c>
      <c r="D573" s="1962" t="s">
        <v>7831</v>
      </c>
      <c r="E573" s="1962" t="s">
        <v>7832</v>
      </c>
      <c r="F573" s="1981">
        <v>0</v>
      </c>
      <c r="G573" s="1981">
        <v>0.1</v>
      </c>
      <c r="H573" s="1981">
        <v>0.5</v>
      </c>
      <c r="I573" s="1981">
        <v>0</v>
      </c>
      <c r="J573" s="1981">
        <v>0.1</v>
      </c>
      <c r="K573" s="1981">
        <v>0</v>
      </c>
      <c r="L573" s="1981">
        <v>0.1</v>
      </c>
      <c r="M573" s="1981">
        <v>0</v>
      </c>
      <c r="N573" s="1981">
        <v>0.1</v>
      </c>
      <c r="O573" s="1981">
        <v>0</v>
      </c>
      <c r="P573" s="1981">
        <v>0.1</v>
      </c>
      <c r="Q573" s="1981">
        <v>0</v>
      </c>
      <c r="R573" s="1981">
        <v>0.99999999999999989</v>
      </c>
      <c r="T573" s="48">
        <f t="shared" si="8"/>
        <v>0</v>
      </c>
      <c r="U573" s="48"/>
    </row>
    <row r="574" spans="2:21">
      <c r="B574" s="33" t="s">
        <v>7833</v>
      </c>
      <c r="C574" t="s">
        <v>7394</v>
      </c>
      <c r="D574" s="1962" t="s">
        <v>7834</v>
      </c>
      <c r="E574" s="1962" t="s">
        <v>7835</v>
      </c>
      <c r="F574" s="1981">
        <v>6</v>
      </c>
      <c r="G574" s="1981">
        <v>6</v>
      </c>
      <c r="H574" s="1981">
        <v>6</v>
      </c>
      <c r="I574" s="1981">
        <v>6</v>
      </c>
      <c r="J574" s="1981">
        <v>6</v>
      </c>
      <c r="K574" s="1981">
        <v>6</v>
      </c>
      <c r="L574" s="1981">
        <v>6</v>
      </c>
      <c r="M574" s="1981">
        <v>6</v>
      </c>
      <c r="N574" s="1981">
        <v>6</v>
      </c>
      <c r="O574" s="1981">
        <v>6</v>
      </c>
      <c r="P574" s="1981">
        <v>6</v>
      </c>
      <c r="Q574" s="1981">
        <v>6</v>
      </c>
      <c r="R574" s="1981">
        <v>72</v>
      </c>
      <c r="T574" s="48">
        <f t="shared" si="8"/>
        <v>0</v>
      </c>
      <c r="U574" s="48"/>
    </row>
    <row r="575" spans="2:21">
      <c r="B575" s="33" t="s">
        <v>7836</v>
      </c>
      <c r="C575" t="s">
        <v>7396</v>
      </c>
      <c r="D575" s="1962" t="s">
        <v>7837</v>
      </c>
      <c r="E575" s="1962" t="s">
        <v>7838</v>
      </c>
      <c r="F575" s="1981">
        <v>96.4879526056</v>
      </c>
      <c r="G575" s="1981">
        <v>94.502899705599987</v>
      </c>
      <c r="H575" s="1981">
        <v>103.1959631056</v>
      </c>
      <c r="I575" s="1981">
        <v>104.6344421349</v>
      </c>
      <c r="J575" s="1981">
        <v>103.11669163489999</v>
      </c>
      <c r="K575" s="1981">
        <v>112.2413403349</v>
      </c>
      <c r="L575" s="1981">
        <v>106.4125589497</v>
      </c>
      <c r="M575" s="1981">
        <v>107.9787999497</v>
      </c>
      <c r="N575" s="1981">
        <v>108.70249644970001</v>
      </c>
      <c r="O575" s="1981">
        <v>106.21766506430001</v>
      </c>
      <c r="P575" s="1981">
        <v>110.9282400643</v>
      </c>
      <c r="Q575" s="1981">
        <v>133.25657413779999</v>
      </c>
      <c r="R575" s="1981">
        <v>1287.6756241370001</v>
      </c>
      <c r="T575" s="48">
        <f t="shared" si="8"/>
        <v>0</v>
      </c>
      <c r="U575" s="48"/>
    </row>
    <row r="576" spans="2:21">
      <c r="B576" s="33" t="s">
        <v>7839</v>
      </c>
      <c r="C576" t="s">
        <v>7397</v>
      </c>
      <c r="D576" s="1962" t="s">
        <v>7840</v>
      </c>
      <c r="E576" s="1962" t="s">
        <v>7841</v>
      </c>
      <c r="F576" s="1981">
        <v>13.863452563299999</v>
      </c>
      <c r="G576" s="1981">
        <v>14.3724525633</v>
      </c>
      <c r="H576" s="1981">
        <v>14.338952563299999</v>
      </c>
      <c r="I576" s="1981">
        <v>14.0087199104</v>
      </c>
      <c r="J576" s="1981">
        <v>14.067719910399999</v>
      </c>
      <c r="K576" s="1981">
        <v>15.9960949104</v>
      </c>
      <c r="L576" s="1981">
        <v>13.344353584</v>
      </c>
      <c r="M576" s="1981">
        <v>14.158353584</v>
      </c>
      <c r="N576" s="1981">
        <v>14.556119583999999</v>
      </c>
      <c r="O576" s="1981">
        <v>13.7639872575</v>
      </c>
      <c r="P576" s="1981">
        <v>15.0147372575</v>
      </c>
      <c r="Q576" s="1981">
        <v>16.777204625400003</v>
      </c>
      <c r="R576" s="1981">
        <v>174.26214831350001</v>
      </c>
      <c r="T576" s="48">
        <f t="shared" si="8"/>
        <v>0</v>
      </c>
      <c r="U576" s="48"/>
    </row>
    <row r="577" spans="2:21">
      <c r="B577" s="33" t="s">
        <v>7842</v>
      </c>
      <c r="C577" t="s">
        <v>7398</v>
      </c>
      <c r="D577" s="1962" t="s">
        <v>7843</v>
      </c>
      <c r="E577" s="1962" t="s">
        <v>7844</v>
      </c>
      <c r="F577" s="1981">
        <v>5.4897266632999999</v>
      </c>
      <c r="G577" s="1981">
        <v>5.4897266632999999</v>
      </c>
      <c r="H577" s="1981">
        <v>5.4897266632999999</v>
      </c>
      <c r="I577" s="1981">
        <v>6.0239733294999995</v>
      </c>
      <c r="J577" s="1981">
        <v>6.0239733294999995</v>
      </c>
      <c r="K577" s="1981">
        <v>6.0239733294999995</v>
      </c>
      <c r="L577" s="1981">
        <v>6.2910966626000002</v>
      </c>
      <c r="M577" s="1981">
        <v>6.2910966626000002</v>
      </c>
      <c r="N577" s="1981">
        <v>6.2910966626000002</v>
      </c>
      <c r="O577" s="1981">
        <v>6.5582199956</v>
      </c>
      <c r="P577" s="1981">
        <v>6.5582199956</v>
      </c>
      <c r="Q577" s="1981">
        <v>7.8938366610999999</v>
      </c>
      <c r="R577" s="1981">
        <v>74.424666618499984</v>
      </c>
      <c r="T577" s="48">
        <f t="shared" si="8"/>
        <v>0</v>
      </c>
      <c r="U577" s="48"/>
    </row>
    <row r="578" spans="2:21">
      <c r="B578" s="33" t="s">
        <v>7845</v>
      </c>
      <c r="C578" t="s">
        <v>7399</v>
      </c>
      <c r="D578" s="1962" t="s">
        <v>7846</v>
      </c>
      <c r="E578" s="1962" t="s">
        <v>7847</v>
      </c>
      <c r="F578" s="1981">
        <v>41.593941544100005</v>
      </c>
      <c r="G578" s="1981">
        <v>42.106941544100003</v>
      </c>
      <c r="H578" s="1981">
        <v>62.428441544100004</v>
      </c>
      <c r="I578" s="1981">
        <v>46.180407479000003</v>
      </c>
      <c r="J578" s="1981">
        <v>60.781477479000003</v>
      </c>
      <c r="K578" s="1981">
        <v>77.050407479</v>
      </c>
      <c r="L578" s="1981">
        <v>47.899140446400004</v>
      </c>
      <c r="M578" s="1981">
        <v>50.136938446400002</v>
      </c>
      <c r="N578" s="1981">
        <v>57.9266404464</v>
      </c>
      <c r="O578" s="1981">
        <v>48.271873413900003</v>
      </c>
      <c r="P578" s="1981">
        <v>42.905873413900004</v>
      </c>
      <c r="Q578" s="1981">
        <v>59.909338251000001</v>
      </c>
      <c r="R578" s="1981">
        <v>637.19142148730009</v>
      </c>
      <c r="T578" s="48">
        <f t="shared" si="8"/>
        <v>0</v>
      </c>
      <c r="U578" s="48"/>
    </row>
    <row r="579" spans="2:21">
      <c r="B579" s="33" t="s">
        <v>7848</v>
      </c>
      <c r="C579" t="s">
        <v>7400</v>
      </c>
      <c r="D579" s="1962" t="s">
        <v>7849</v>
      </c>
      <c r="E579" s="1962" t="s">
        <v>7850</v>
      </c>
      <c r="F579" s="1981">
        <v>83.393694248200006</v>
      </c>
      <c r="G579" s="1981">
        <v>77.692386748200008</v>
      </c>
      <c r="H579" s="1981">
        <v>88.090019873199992</v>
      </c>
      <c r="I579" s="1981">
        <v>90.899534974199995</v>
      </c>
      <c r="J579" s="1981">
        <v>83.003987474200002</v>
      </c>
      <c r="K579" s="1981">
        <v>104.73400059919999</v>
      </c>
      <c r="L579" s="1981">
        <v>83.639925337099996</v>
      </c>
      <c r="M579" s="1981">
        <v>82.062083837100005</v>
      </c>
      <c r="N579" s="1981">
        <v>107.8886909621</v>
      </c>
      <c r="O579" s="1981">
        <v>84.257315700100008</v>
      </c>
      <c r="P579" s="1981">
        <v>94.339379200099998</v>
      </c>
      <c r="Q579" s="1981">
        <v>100.2093821399</v>
      </c>
      <c r="R579" s="1981">
        <v>1080.2104010935998</v>
      </c>
      <c r="T579" s="48">
        <f t="shared" si="8"/>
        <v>0</v>
      </c>
      <c r="U579" s="48"/>
    </row>
    <row r="580" spans="2:21">
      <c r="B580" s="33" t="s">
        <v>7851</v>
      </c>
      <c r="C580" t="s">
        <v>7401</v>
      </c>
      <c r="D580" s="1962" t="s">
        <v>7852</v>
      </c>
      <c r="E580" s="1962" t="s">
        <v>7853</v>
      </c>
      <c r="F580" s="1981">
        <v>22.1433064217</v>
      </c>
      <c r="G580" s="1981">
        <v>15.297306421699998</v>
      </c>
      <c r="H580" s="1981">
        <v>11.0443064217</v>
      </c>
      <c r="I580" s="1981">
        <v>10.85484722</v>
      </c>
      <c r="J580" s="1981">
        <v>11.192797220000001</v>
      </c>
      <c r="K580" s="1981">
        <v>11.44784722</v>
      </c>
      <c r="L580" s="1981">
        <v>11.0621176192</v>
      </c>
      <c r="M580" s="1981">
        <v>11.1371176192</v>
      </c>
      <c r="N580" s="1981">
        <v>11.494117619200001</v>
      </c>
      <c r="O580" s="1981">
        <v>12.165388018400002</v>
      </c>
      <c r="P580" s="1981">
        <v>13.275388018400001</v>
      </c>
      <c r="Q580" s="1981">
        <v>18.334740014200001</v>
      </c>
      <c r="R580" s="1981">
        <v>159.44927983370002</v>
      </c>
      <c r="T580" s="48">
        <f t="shared" si="8"/>
        <v>0</v>
      </c>
      <c r="U580" s="48"/>
    </row>
    <row r="581" spans="2:21">
      <c r="B581" s="33" t="s">
        <v>7854</v>
      </c>
      <c r="C581" t="s">
        <v>7402</v>
      </c>
      <c r="D581" s="1962" t="s">
        <v>7855</v>
      </c>
      <c r="E581" s="1962" t="s">
        <v>7856</v>
      </c>
      <c r="F581" s="1981">
        <v>125.5091149325</v>
      </c>
      <c r="G581" s="1981">
        <v>125.7729149325</v>
      </c>
      <c r="H581" s="1981">
        <v>135.4071399325</v>
      </c>
      <c r="I581" s="1981">
        <v>171.52487467399999</v>
      </c>
      <c r="J581" s="1981">
        <v>121.3852537649</v>
      </c>
      <c r="K581" s="1981">
        <v>169.46152467399997</v>
      </c>
      <c r="L581" s="1981">
        <v>122.62123204469999</v>
      </c>
      <c r="M581" s="1981">
        <v>124.54438704469999</v>
      </c>
      <c r="N581" s="1981">
        <v>149.86000704470001</v>
      </c>
      <c r="O581" s="1981">
        <v>164.59293941550001</v>
      </c>
      <c r="P581" s="1981">
        <v>138.5197144155</v>
      </c>
      <c r="Q581" s="1981">
        <v>232.52430126899998</v>
      </c>
      <c r="R581" s="1981">
        <v>1781.7234041445001</v>
      </c>
      <c r="T581" s="48">
        <f t="shared" ref="T581:T644" si="9">IF(R581="","",+R581-SUM(F581:Q581))</f>
        <v>0</v>
      </c>
      <c r="U581" s="48"/>
    </row>
    <row r="582" spans="2:21">
      <c r="B582" s="33" t="s">
        <v>7857</v>
      </c>
      <c r="C582" t="s">
        <v>7670</v>
      </c>
      <c r="D582" s="1962" t="s">
        <v>7671</v>
      </c>
      <c r="E582" s="1962" t="s">
        <v>7672</v>
      </c>
      <c r="F582" s="1981">
        <v>0</v>
      </c>
      <c r="G582" s="1981">
        <v>0</v>
      </c>
      <c r="H582" s="1981">
        <v>0</v>
      </c>
      <c r="I582" s="1981">
        <v>0</v>
      </c>
      <c r="J582" s="1981">
        <v>0</v>
      </c>
      <c r="K582" s="1981">
        <v>0</v>
      </c>
      <c r="L582" s="1981">
        <v>0</v>
      </c>
      <c r="M582" s="1981">
        <v>0</v>
      </c>
      <c r="N582" s="1981">
        <v>0</v>
      </c>
      <c r="O582" s="1981">
        <v>0</v>
      </c>
      <c r="P582" s="1981">
        <v>0</v>
      </c>
      <c r="Q582" s="1981">
        <v>0</v>
      </c>
      <c r="R582" s="1981">
        <v>0</v>
      </c>
      <c r="T582" s="48">
        <f t="shared" si="9"/>
        <v>0</v>
      </c>
      <c r="U582" s="48"/>
    </row>
    <row r="583" spans="2:21">
      <c r="B583" s="33" t="s">
        <v>7858</v>
      </c>
      <c r="C583" t="s">
        <v>7658</v>
      </c>
      <c r="D583" s="1962" t="s">
        <v>7659</v>
      </c>
      <c r="E583" s="1962" t="s">
        <v>7660</v>
      </c>
      <c r="F583" s="1981">
        <v>1.5</v>
      </c>
      <c r="G583" s="1981">
        <v>1.5</v>
      </c>
      <c r="H583" s="1981">
        <v>1.5</v>
      </c>
      <c r="I583" s="1981">
        <v>1.5</v>
      </c>
      <c r="J583" s="1981">
        <v>1.5</v>
      </c>
      <c r="K583" s="1981">
        <v>1.5</v>
      </c>
      <c r="L583" s="1981">
        <v>1.5</v>
      </c>
      <c r="M583" s="1981">
        <v>1.5</v>
      </c>
      <c r="N583" s="1981">
        <v>1.5</v>
      </c>
      <c r="O583" s="1981">
        <v>1.5</v>
      </c>
      <c r="P583" s="1981">
        <v>1.5</v>
      </c>
      <c r="Q583" s="1981">
        <v>1.5</v>
      </c>
      <c r="R583" s="1981">
        <v>18</v>
      </c>
      <c r="T583" s="48">
        <f t="shared" si="9"/>
        <v>0</v>
      </c>
      <c r="U583" s="48"/>
    </row>
    <row r="584" spans="2:21">
      <c r="B584" s="33" t="s">
        <v>7859</v>
      </c>
      <c r="C584" t="s">
        <v>7404</v>
      </c>
      <c r="D584" s="1962" t="s">
        <v>7860</v>
      </c>
      <c r="E584" s="1962" t="s">
        <v>7861</v>
      </c>
      <c r="F584" s="1981">
        <v>51.368288040899998</v>
      </c>
      <c r="G584" s="1981">
        <v>182.13678627909999</v>
      </c>
      <c r="H584" s="1981">
        <v>254.32209918220002</v>
      </c>
      <c r="I584" s="1981">
        <v>136.07209512590001</v>
      </c>
      <c r="J584" s="1981">
        <v>148.38365559499999</v>
      </c>
      <c r="K584" s="1981">
        <v>163.44082912040002</v>
      </c>
      <c r="L584" s="1981">
        <v>185.55048851410001</v>
      </c>
      <c r="M584" s="1981">
        <v>340.567578422</v>
      </c>
      <c r="N584" s="1981">
        <v>270.19194162010001</v>
      </c>
      <c r="O584" s="1981">
        <v>167.22743425429999</v>
      </c>
      <c r="P584" s="1981">
        <v>144.27197790880001</v>
      </c>
      <c r="Q584" s="1981">
        <v>87.906215595799992</v>
      </c>
      <c r="R584" s="1981">
        <v>2131.4393896586002</v>
      </c>
      <c r="T584" s="48">
        <f t="shared" si="9"/>
        <v>0</v>
      </c>
      <c r="U584" s="48"/>
    </row>
    <row r="585" spans="2:21">
      <c r="B585" s="33" t="s">
        <v>7862</v>
      </c>
      <c r="C585" t="s">
        <v>7405</v>
      </c>
      <c r="D585" s="1962" t="s">
        <v>7863</v>
      </c>
      <c r="E585" s="1962" t="s">
        <v>7864</v>
      </c>
      <c r="F585" s="1981">
        <v>172.28571428570001</v>
      </c>
      <c r="G585" s="1981">
        <v>0</v>
      </c>
      <c r="H585" s="1981">
        <v>77</v>
      </c>
      <c r="I585" s="1981">
        <v>0</v>
      </c>
      <c r="J585" s="1981">
        <v>172.28571428570001</v>
      </c>
      <c r="K585" s="1981">
        <v>95.285714285699996</v>
      </c>
      <c r="L585" s="1981">
        <v>77</v>
      </c>
      <c r="M585" s="1981">
        <v>95.285714285699996</v>
      </c>
      <c r="N585" s="1981">
        <v>171.28571428570001</v>
      </c>
      <c r="O585" s="1981">
        <v>0</v>
      </c>
      <c r="P585" s="1981">
        <v>170.28571428570001</v>
      </c>
      <c r="Q585" s="1981">
        <v>95.285714285699996</v>
      </c>
      <c r="R585" s="1981">
        <v>1125.9999999999</v>
      </c>
      <c r="T585" s="48">
        <f t="shared" si="9"/>
        <v>0</v>
      </c>
      <c r="U585" s="48"/>
    </row>
    <row r="586" spans="2:21">
      <c r="B586" s="33" t="s">
        <v>7865</v>
      </c>
      <c r="C586" t="s">
        <v>7407</v>
      </c>
      <c r="D586" s="1962" t="s">
        <v>7866</v>
      </c>
      <c r="E586" s="1962" t="s">
        <v>7867</v>
      </c>
      <c r="F586" s="1981">
        <v>16.956250000000001</v>
      </c>
      <c r="G586" s="1981">
        <v>16.956250000000001</v>
      </c>
      <c r="H586" s="1981">
        <v>16.956250000000001</v>
      </c>
      <c r="I586" s="1981">
        <v>17.256250000000001</v>
      </c>
      <c r="J586" s="1981">
        <v>17.256250000000001</v>
      </c>
      <c r="K586" s="1981">
        <v>53.848610000000001</v>
      </c>
      <c r="L586" s="1981">
        <v>17.40625</v>
      </c>
      <c r="M586" s="1981">
        <v>17.40625</v>
      </c>
      <c r="N586" s="1981">
        <v>17.40625</v>
      </c>
      <c r="O586" s="1981">
        <v>17.556249999999999</v>
      </c>
      <c r="P586" s="1981">
        <v>17.556249999999999</v>
      </c>
      <c r="Q586" s="1981">
        <v>18.306249999999999</v>
      </c>
      <c r="R586" s="1981">
        <v>244.86736000000002</v>
      </c>
      <c r="T586" s="48">
        <f t="shared" si="9"/>
        <v>0</v>
      </c>
      <c r="U586" s="48"/>
    </row>
    <row r="587" spans="2:21">
      <c r="B587" s="33" t="s">
        <v>7868</v>
      </c>
      <c r="C587" t="s">
        <v>7408</v>
      </c>
      <c r="D587" s="1962" t="s">
        <v>7869</v>
      </c>
      <c r="E587" s="1962" t="s">
        <v>7870</v>
      </c>
      <c r="F587" s="1981">
        <v>106.6893158333</v>
      </c>
      <c r="G587" s="1981">
        <v>104.7440033333</v>
      </c>
      <c r="H587" s="1981">
        <v>208.11900333330001</v>
      </c>
      <c r="I587" s="1981">
        <v>106.6893158333</v>
      </c>
      <c r="J587" s="1981">
        <v>104.7440033333</v>
      </c>
      <c r="K587" s="1981">
        <v>205.61900333330001</v>
      </c>
      <c r="L587" s="1981">
        <v>109.6893158333</v>
      </c>
      <c r="M587" s="1981">
        <v>104.7440033333</v>
      </c>
      <c r="N587" s="1981">
        <v>208.11900333330001</v>
      </c>
      <c r="O587" s="1981">
        <v>106.6893158333</v>
      </c>
      <c r="P587" s="1981">
        <v>104.7440033333</v>
      </c>
      <c r="Q587" s="1981">
        <v>213.8590033333</v>
      </c>
      <c r="R587" s="1981">
        <v>1684.4492899996003</v>
      </c>
      <c r="T587" s="48">
        <f t="shared" si="9"/>
        <v>0</v>
      </c>
      <c r="U587" s="48"/>
    </row>
    <row r="588" spans="2:21">
      <c r="B588" s="33" t="s">
        <v>7871</v>
      </c>
      <c r="C588" t="s">
        <v>7409</v>
      </c>
      <c r="D588" s="1962" t="s">
        <v>7872</v>
      </c>
      <c r="E588" s="1962" t="s">
        <v>7873</v>
      </c>
      <c r="F588" s="1981">
        <v>188.2562086792</v>
      </c>
      <c r="G588" s="1981">
        <v>203.25720833369999</v>
      </c>
      <c r="H588" s="1981">
        <v>223.2562086792</v>
      </c>
      <c r="I588" s="1981">
        <v>213.25720867920001</v>
      </c>
      <c r="J588" s="1981">
        <v>257.86871179170004</v>
      </c>
      <c r="K588" s="1981">
        <v>213.25720867920001</v>
      </c>
      <c r="L588" s="1981">
        <v>213.2562086792</v>
      </c>
      <c r="M588" s="1981">
        <v>233.25720867920001</v>
      </c>
      <c r="N588" s="1981">
        <v>218.25720867920001</v>
      </c>
      <c r="O588" s="1981">
        <v>226.5902086792</v>
      </c>
      <c r="P588" s="1981">
        <v>230.75720867920001</v>
      </c>
      <c r="Q588" s="1981">
        <v>201.86020867920001</v>
      </c>
      <c r="R588" s="1981">
        <v>2623.1310069173996</v>
      </c>
      <c r="T588" s="48">
        <f t="shared" si="9"/>
        <v>0</v>
      </c>
      <c r="U588" s="48"/>
    </row>
    <row r="589" spans="2:21">
      <c r="B589" s="33" t="s">
        <v>7874</v>
      </c>
      <c r="C589" t="s">
        <v>7410</v>
      </c>
      <c r="D589" s="1962" t="s">
        <v>7875</v>
      </c>
      <c r="E589" s="1962" t="s">
        <v>7876</v>
      </c>
      <c r="F589" s="1981">
        <v>682.90491540509993</v>
      </c>
      <c r="G589" s="1981">
        <v>237.96821847059999</v>
      </c>
      <c r="H589" s="1981">
        <v>254.83241289720002</v>
      </c>
      <c r="I589" s="1981">
        <v>498.46774362760004</v>
      </c>
      <c r="J589" s="1981">
        <v>308.01249796770003</v>
      </c>
      <c r="K589" s="1981">
        <v>305.09857272030001</v>
      </c>
      <c r="L589" s="1981">
        <v>410.34010848079998</v>
      </c>
      <c r="M589" s="1981">
        <v>347.9558030412</v>
      </c>
      <c r="N589" s="1981">
        <v>402.31678067349998</v>
      </c>
      <c r="O589" s="1981">
        <v>337.1434012181</v>
      </c>
      <c r="P589" s="1981">
        <v>281.99449263740001</v>
      </c>
      <c r="Q589" s="1981">
        <v>247.20610029830002</v>
      </c>
      <c r="R589" s="1981">
        <v>4314.2410474378003</v>
      </c>
      <c r="T589" s="48">
        <f t="shared" si="9"/>
        <v>0</v>
      </c>
      <c r="U589" s="48"/>
    </row>
    <row r="590" spans="2:21">
      <c r="B590" s="33" t="s">
        <v>7877</v>
      </c>
      <c r="C590" t="s">
        <v>7412</v>
      </c>
      <c r="D590" s="1962" t="s">
        <v>7878</v>
      </c>
      <c r="E590" s="1962" t="s">
        <v>7879</v>
      </c>
      <c r="F590" s="1981">
        <v>5652.1236378798994</v>
      </c>
      <c r="G590" s="1981">
        <v>8158.6768433279003</v>
      </c>
      <c r="H590" s="1981">
        <v>9232.3445363500996</v>
      </c>
      <c r="I590" s="1981">
        <v>7628.7876955151996</v>
      </c>
      <c r="J590" s="1981">
        <v>5847.2904097430001</v>
      </c>
      <c r="K590" s="1981">
        <v>5853.7910013103001</v>
      </c>
      <c r="L590" s="1981">
        <v>6512.7905999157992</v>
      </c>
      <c r="M590" s="1981">
        <v>6242.6626537136999</v>
      </c>
      <c r="N590" s="1981">
        <v>8261.7959100259995</v>
      </c>
      <c r="O590" s="1981">
        <v>9716.5634649429994</v>
      </c>
      <c r="P590" s="1981">
        <v>7855.9964195136999</v>
      </c>
      <c r="Q590" s="1981">
        <v>6504.5311385198002</v>
      </c>
      <c r="R590" s="1981">
        <v>87467.354310758397</v>
      </c>
      <c r="T590" s="48">
        <f t="shared" si="9"/>
        <v>0</v>
      </c>
      <c r="U590" s="48"/>
    </row>
    <row r="591" spans="2:21">
      <c r="B591" s="33" t="s">
        <v>7880</v>
      </c>
      <c r="C591" t="s">
        <v>7415</v>
      </c>
      <c r="D591" s="1962" t="s">
        <v>7881</v>
      </c>
      <c r="E591" s="1962" t="s">
        <v>7882</v>
      </c>
      <c r="F591" s="1981">
        <v>2387.1244849999998</v>
      </c>
      <c r="G591" s="1981">
        <v>2387.1414849999996</v>
      </c>
      <c r="H591" s="1981">
        <v>2387.1414849999996</v>
      </c>
      <c r="I591" s="1981">
        <v>2387.9894850000001</v>
      </c>
      <c r="J591" s="1981">
        <v>2387.1414849999996</v>
      </c>
      <c r="K591" s="1981">
        <v>2387.1914849999998</v>
      </c>
      <c r="L591" s="1981">
        <v>2387.2244849999997</v>
      </c>
      <c r="M591" s="1981">
        <v>2387.1414849999996</v>
      </c>
      <c r="N591" s="1981">
        <v>2387.194485</v>
      </c>
      <c r="O591" s="1981">
        <v>2387.1414849999996</v>
      </c>
      <c r="P591" s="1981">
        <v>2387.1414849999996</v>
      </c>
      <c r="Q591" s="1981">
        <v>2392.655143</v>
      </c>
      <c r="R591" s="1981">
        <v>28652.228477999997</v>
      </c>
      <c r="T591" s="48">
        <f t="shared" si="9"/>
        <v>0</v>
      </c>
      <c r="U591" s="48"/>
    </row>
    <row r="592" spans="2:21">
      <c r="B592" s="33" t="s">
        <v>7883</v>
      </c>
      <c r="C592" t="s">
        <v>7416</v>
      </c>
      <c r="D592" s="1962" t="s">
        <v>7884</v>
      </c>
      <c r="E592" s="1962" t="s">
        <v>7885</v>
      </c>
      <c r="F592" s="1981">
        <v>0.41760075890000004</v>
      </c>
      <c r="G592" s="1981">
        <v>0.41660075890000003</v>
      </c>
      <c r="H592" s="1981">
        <v>4.03048669</v>
      </c>
      <c r="I592" s="1981">
        <v>0.42242965560000001</v>
      </c>
      <c r="J592" s="1981">
        <v>0.5261937243999999</v>
      </c>
      <c r="K592" s="1981">
        <v>4.0075722417000001</v>
      </c>
      <c r="L592" s="1981">
        <v>0.41757224170000001</v>
      </c>
      <c r="M592" s="1981">
        <v>0.42757224170000002</v>
      </c>
      <c r="N592" s="1981">
        <v>1.4175722416999998</v>
      </c>
      <c r="O592" s="1981">
        <v>0.72048668999999999</v>
      </c>
      <c r="P592" s="1981">
        <v>2.9254296555999999</v>
      </c>
      <c r="Q592" s="1981">
        <v>1.4224296556</v>
      </c>
      <c r="R592" s="1981">
        <v>17.151946555800002</v>
      </c>
      <c r="T592" s="48">
        <f t="shared" si="9"/>
        <v>0</v>
      </c>
      <c r="U592" s="48"/>
    </row>
    <row r="593" spans="2:21">
      <c r="B593" s="33" t="s">
        <v>7886</v>
      </c>
      <c r="C593" t="s">
        <v>7417</v>
      </c>
      <c r="D593" s="1962" t="s">
        <v>7887</v>
      </c>
      <c r="E593" s="1962" t="s">
        <v>7888</v>
      </c>
      <c r="F593" s="1981">
        <v>350</v>
      </c>
      <c r="G593" s="1981">
        <v>350</v>
      </c>
      <c r="H593" s="1981">
        <v>350</v>
      </c>
      <c r="I593" s="1981">
        <v>350</v>
      </c>
      <c r="J593" s="1981">
        <v>350</v>
      </c>
      <c r="K593" s="1981">
        <v>350</v>
      </c>
      <c r="L593" s="1981">
        <v>350</v>
      </c>
      <c r="M593" s="1981">
        <v>350</v>
      </c>
      <c r="N593" s="1981">
        <v>350</v>
      </c>
      <c r="O593" s="1981">
        <v>350</v>
      </c>
      <c r="P593" s="1981">
        <v>350</v>
      </c>
      <c r="Q593" s="1981">
        <v>350</v>
      </c>
      <c r="R593" s="1981">
        <v>4200</v>
      </c>
      <c r="T593" s="48">
        <f t="shared" si="9"/>
        <v>0</v>
      </c>
      <c r="U593" s="48"/>
    </row>
    <row r="594" spans="2:21">
      <c r="B594" s="33" t="s">
        <v>7889</v>
      </c>
      <c r="C594" t="s">
        <v>7418</v>
      </c>
      <c r="D594" s="1962" t="s">
        <v>7890</v>
      </c>
      <c r="E594" s="1962" t="s">
        <v>7891</v>
      </c>
      <c r="F594" s="1981">
        <v>0.25</v>
      </c>
      <c r="G594" s="1981">
        <v>0.25</v>
      </c>
      <c r="H594" s="1981">
        <v>0.25</v>
      </c>
      <c r="I594" s="1981">
        <v>0.25</v>
      </c>
      <c r="J594" s="1981">
        <v>0.25</v>
      </c>
      <c r="K594" s="1981">
        <v>0.25</v>
      </c>
      <c r="L594" s="1981">
        <v>0.25</v>
      </c>
      <c r="M594" s="1981">
        <v>0.25</v>
      </c>
      <c r="N594" s="1981">
        <v>0.25</v>
      </c>
      <c r="O594" s="1981">
        <v>0.25</v>
      </c>
      <c r="P594" s="1981">
        <v>0.25</v>
      </c>
      <c r="Q594" s="1981">
        <v>0.25</v>
      </c>
      <c r="R594" s="1981">
        <v>3</v>
      </c>
      <c r="T594" s="48">
        <f t="shared" si="9"/>
        <v>0</v>
      </c>
      <c r="U594" s="48"/>
    </row>
    <row r="595" spans="2:21">
      <c r="B595" s="33" t="s">
        <v>7892</v>
      </c>
      <c r="C595" t="s">
        <v>7420</v>
      </c>
      <c r="D595" s="1962" t="s">
        <v>7893</v>
      </c>
      <c r="E595" s="1962" t="s">
        <v>7894</v>
      </c>
      <c r="F595" s="1981">
        <v>1615.0025931939001</v>
      </c>
      <c r="G595" s="1981">
        <v>1390.4725052579001</v>
      </c>
      <c r="H595" s="1981">
        <v>1447.4650798778</v>
      </c>
      <c r="I595" s="1981">
        <v>1627.2859210326999</v>
      </c>
      <c r="J595" s="1981">
        <v>1567.4416395163</v>
      </c>
      <c r="K595" s="1981">
        <v>1554.1166086704</v>
      </c>
      <c r="L595" s="1981">
        <v>1675.3693477704001</v>
      </c>
      <c r="M595" s="1981">
        <v>1564.4065299704</v>
      </c>
      <c r="N595" s="1981">
        <v>1603.7225766371</v>
      </c>
      <c r="O595" s="1981">
        <v>1403.3365286077999</v>
      </c>
      <c r="P595" s="1981">
        <v>1469.5946060327001</v>
      </c>
      <c r="Q595" s="1981">
        <v>1772.4921310326999</v>
      </c>
      <c r="R595" s="1981">
        <v>18690.706067600102</v>
      </c>
      <c r="T595" s="48">
        <f t="shared" si="9"/>
        <v>0</v>
      </c>
      <c r="U595" s="48"/>
    </row>
    <row r="596" spans="2:21">
      <c r="B596" s="33" t="s">
        <v>7895</v>
      </c>
      <c r="C596" t="s">
        <v>7422</v>
      </c>
      <c r="D596" s="1962" t="s">
        <v>7896</v>
      </c>
      <c r="E596" s="1962" t="s">
        <v>7897</v>
      </c>
      <c r="F596" s="1981">
        <v>203.30325040779999</v>
      </c>
      <c r="G596" s="1981">
        <v>203.30325040779999</v>
      </c>
      <c r="H596" s="1981">
        <v>203.30325040779999</v>
      </c>
      <c r="I596" s="1981">
        <v>203.30325040779999</v>
      </c>
      <c r="J596" s="1981">
        <v>203.30325040779999</v>
      </c>
      <c r="K596" s="1981">
        <v>203.30325040779999</v>
      </c>
      <c r="L596" s="1981">
        <v>203.30325040779999</v>
      </c>
      <c r="M596" s="1981">
        <v>203.30325040779999</v>
      </c>
      <c r="N596" s="1981">
        <v>203.30325040779999</v>
      </c>
      <c r="O596" s="1981">
        <v>203.30325040779999</v>
      </c>
      <c r="P596" s="1981">
        <v>203.30325040779999</v>
      </c>
      <c r="Q596" s="1981">
        <v>203.30325040779999</v>
      </c>
      <c r="R596" s="1981">
        <v>2439.6390048936005</v>
      </c>
      <c r="T596" s="48">
        <f t="shared" si="9"/>
        <v>0</v>
      </c>
      <c r="U596" s="48"/>
    </row>
    <row r="597" spans="2:21">
      <c r="B597" s="33" t="s">
        <v>7898</v>
      </c>
      <c r="C597" t="s">
        <v>7673</v>
      </c>
      <c r="D597" s="1962" t="s">
        <v>7674</v>
      </c>
      <c r="E597" s="1962" t="s">
        <v>7675</v>
      </c>
      <c r="F597" s="1981">
        <v>0.86423749999999999</v>
      </c>
      <c r="G597" s="1981">
        <v>0.92908124999999997</v>
      </c>
      <c r="H597" s="1981">
        <v>0.86423749999999999</v>
      </c>
      <c r="I597" s="1981">
        <v>0.86423749999999999</v>
      </c>
      <c r="J597" s="1981">
        <v>0.86423749999999999</v>
      </c>
      <c r="K597" s="1981">
        <v>1.8642375</v>
      </c>
      <c r="L597" s="1981">
        <v>1.9290812499999999</v>
      </c>
      <c r="M597" s="1981">
        <v>1.8642375</v>
      </c>
      <c r="N597" s="1981">
        <v>1.8642375</v>
      </c>
      <c r="O597" s="1981">
        <v>1.8642375</v>
      </c>
      <c r="P597" s="1981">
        <v>1.8642375</v>
      </c>
      <c r="Q597" s="1981">
        <v>1.93323125</v>
      </c>
      <c r="R597" s="1981">
        <v>17.569531249999997</v>
      </c>
      <c r="T597" s="48">
        <f t="shared" si="9"/>
        <v>0</v>
      </c>
      <c r="U597" s="48"/>
    </row>
    <row r="598" spans="2:21">
      <c r="B598" s="33" t="s">
        <v>7899</v>
      </c>
      <c r="C598" t="s">
        <v>7430</v>
      </c>
      <c r="D598" s="1962" t="s">
        <v>7900</v>
      </c>
      <c r="E598" s="1962" t="s">
        <v>7901</v>
      </c>
      <c r="F598" s="1981">
        <v>20.7855180195</v>
      </c>
      <c r="G598" s="1981">
        <v>21.654058019499999</v>
      </c>
      <c r="H598" s="1981">
        <v>28.359820787</v>
      </c>
      <c r="I598" s="1981">
        <v>25.3433471707</v>
      </c>
      <c r="J598" s="1981">
        <v>21.9520144032</v>
      </c>
      <c r="K598" s="1981">
        <v>23.968531211400002</v>
      </c>
      <c r="L598" s="1981">
        <v>28.6065312114</v>
      </c>
      <c r="M598" s="1981">
        <v>21.8155312114</v>
      </c>
      <c r="N598" s="1981">
        <v>22.614531211399999</v>
      </c>
      <c r="O598" s="1981">
        <v>21.359820787</v>
      </c>
      <c r="P598" s="1981">
        <v>26.5213471707</v>
      </c>
      <c r="Q598" s="1981">
        <v>24.889347170699999</v>
      </c>
      <c r="R598" s="1981">
        <v>287.87039837389995</v>
      </c>
      <c r="T598" s="48">
        <f t="shared" si="9"/>
        <v>0</v>
      </c>
      <c r="U598" s="48"/>
    </row>
    <row r="599" spans="2:21">
      <c r="B599" s="33" t="s">
        <v>7902</v>
      </c>
      <c r="C599" t="s">
        <v>7431</v>
      </c>
      <c r="D599" s="1962" t="s">
        <v>7903</v>
      </c>
      <c r="E599" s="1962" t="s">
        <v>7904</v>
      </c>
      <c r="F599" s="1981">
        <v>79.870755423800006</v>
      </c>
      <c r="G599" s="1981">
        <v>81.3996154238</v>
      </c>
      <c r="H599" s="1981">
        <v>84.232387898400006</v>
      </c>
      <c r="I599" s="1981">
        <v>81.545914135800004</v>
      </c>
      <c r="J599" s="1981">
        <v>83.49036166110001</v>
      </c>
      <c r="K599" s="1981">
        <v>82.00541854250001</v>
      </c>
      <c r="L599" s="1981">
        <v>81.296418542500007</v>
      </c>
      <c r="M599" s="1981">
        <v>82.8694185425</v>
      </c>
      <c r="N599" s="1981">
        <v>81.794418542499997</v>
      </c>
      <c r="O599" s="1981">
        <v>78.938407898399987</v>
      </c>
      <c r="P599" s="1981">
        <v>85.564734135799995</v>
      </c>
      <c r="Q599" s="1981">
        <v>85.534734135799994</v>
      </c>
      <c r="R599" s="1981">
        <v>988.54258488289997</v>
      </c>
      <c r="T599" s="48">
        <f t="shared" si="9"/>
        <v>0</v>
      </c>
      <c r="U599" s="48"/>
    </row>
    <row r="600" spans="2:21">
      <c r="B600" s="33" t="s">
        <v>7905</v>
      </c>
      <c r="C600" t="s">
        <v>7432</v>
      </c>
      <c r="D600" s="1962" t="s">
        <v>7906</v>
      </c>
      <c r="E600" s="1962" t="s">
        <v>7907</v>
      </c>
      <c r="F600" s="1981">
        <v>440.34244831730001</v>
      </c>
      <c r="G600" s="1981">
        <v>410.34244831730001</v>
      </c>
      <c r="H600" s="1981">
        <v>495.84244831730001</v>
      </c>
      <c r="I600" s="1981">
        <v>441.776219599</v>
      </c>
      <c r="J600" s="1981">
        <v>441.776219599</v>
      </c>
      <c r="K600" s="1981">
        <v>441.776219599</v>
      </c>
      <c r="L600" s="1981">
        <v>457.4931052398</v>
      </c>
      <c r="M600" s="1981">
        <v>457.4931052398</v>
      </c>
      <c r="N600" s="1981">
        <v>457.4931052398</v>
      </c>
      <c r="O600" s="1981">
        <v>473.20999088079998</v>
      </c>
      <c r="P600" s="1981">
        <v>473.20999088079998</v>
      </c>
      <c r="Q600" s="1981">
        <v>466.29441908500002</v>
      </c>
      <c r="R600" s="1981">
        <v>5457.0497203148998</v>
      </c>
      <c r="T600" s="48">
        <f t="shared" si="9"/>
        <v>0</v>
      </c>
      <c r="U600" s="48"/>
    </row>
    <row r="601" spans="2:21">
      <c r="B601" s="33" t="s">
        <v>7908</v>
      </c>
      <c r="C601" t="s">
        <v>7433</v>
      </c>
      <c r="D601" s="1962" t="s">
        <v>7909</v>
      </c>
      <c r="E601" s="1962" t="s">
        <v>7910</v>
      </c>
      <c r="F601" s="1981">
        <v>41.851352708</v>
      </c>
      <c r="G601" s="1981">
        <v>22.112500000000001</v>
      </c>
      <c r="H601" s="1981">
        <v>22.112500000000001</v>
      </c>
      <c r="I601" s="1981">
        <v>22.377357142899999</v>
      </c>
      <c r="J601" s="1981">
        <v>22.377357142899999</v>
      </c>
      <c r="K601" s="1981">
        <v>22.377357142899999</v>
      </c>
      <c r="L601" s="1981">
        <v>22.509785714300001</v>
      </c>
      <c r="M601" s="1981">
        <v>22.509785714300001</v>
      </c>
      <c r="N601" s="1981">
        <v>22.509785714300001</v>
      </c>
      <c r="O601" s="1981">
        <v>22.6422142857</v>
      </c>
      <c r="P601" s="1981">
        <v>22.6422142857</v>
      </c>
      <c r="Q601" s="1981">
        <v>23.304357142899999</v>
      </c>
      <c r="R601" s="1981">
        <v>289.32656699389997</v>
      </c>
      <c r="T601" s="48">
        <f t="shared" si="9"/>
        <v>0</v>
      </c>
      <c r="U601" s="48"/>
    </row>
    <row r="602" spans="2:21">
      <c r="B602" s="33" t="s">
        <v>7911</v>
      </c>
      <c r="C602" t="s">
        <v>7434</v>
      </c>
      <c r="D602" s="1962" t="s">
        <v>7912</v>
      </c>
      <c r="E602" s="1962" t="s">
        <v>7913</v>
      </c>
      <c r="F602" s="1981">
        <v>2</v>
      </c>
      <c r="G602" s="1981">
        <v>2</v>
      </c>
      <c r="H602" s="1981">
        <v>2</v>
      </c>
      <c r="I602" s="1981">
        <v>2</v>
      </c>
      <c r="J602" s="1981">
        <v>2</v>
      </c>
      <c r="K602" s="1981">
        <v>2</v>
      </c>
      <c r="L602" s="1981">
        <v>2</v>
      </c>
      <c r="M602" s="1981">
        <v>2</v>
      </c>
      <c r="N602" s="1981">
        <v>2</v>
      </c>
      <c r="O602" s="1981">
        <v>2</v>
      </c>
      <c r="P602" s="1981">
        <v>2</v>
      </c>
      <c r="Q602" s="1981">
        <v>2</v>
      </c>
      <c r="R602" s="1981">
        <v>24</v>
      </c>
      <c r="T602" s="48">
        <f t="shared" si="9"/>
        <v>0</v>
      </c>
      <c r="U602" s="48"/>
    </row>
    <row r="603" spans="2:21">
      <c r="B603" s="33" t="s">
        <v>7914</v>
      </c>
      <c r="C603" t="s">
        <v>7435</v>
      </c>
      <c r="D603" s="1962" t="s">
        <v>7915</v>
      </c>
      <c r="E603" s="1962" t="s">
        <v>7916</v>
      </c>
      <c r="F603" s="1981">
        <v>57.932717939299998</v>
      </c>
      <c r="G603" s="1981">
        <v>52.1568303313</v>
      </c>
      <c r="H603" s="1981">
        <v>57.932717939299998</v>
      </c>
      <c r="I603" s="1981">
        <v>61.614987597599999</v>
      </c>
      <c r="J603" s="1981">
        <v>61.614987597599999</v>
      </c>
      <c r="K603" s="1981">
        <v>61.614987597599999</v>
      </c>
      <c r="L603" s="1981">
        <v>63.456122426699999</v>
      </c>
      <c r="M603" s="1981">
        <v>63.456122426699999</v>
      </c>
      <c r="N603" s="1981">
        <v>63.456122426699999</v>
      </c>
      <c r="O603" s="1981">
        <v>65.297257255899993</v>
      </c>
      <c r="P603" s="1981">
        <v>65.297257255899993</v>
      </c>
      <c r="Q603" s="1981">
        <v>74.502931401599994</v>
      </c>
      <c r="R603" s="1981">
        <v>748.33304219620004</v>
      </c>
      <c r="T603" s="48">
        <f t="shared" si="9"/>
        <v>0</v>
      </c>
      <c r="U603" s="48"/>
    </row>
    <row r="604" spans="2:21">
      <c r="B604" s="33" t="s">
        <v>7917</v>
      </c>
      <c r="C604" t="s">
        <v>7436</v>
      </c>
      <c r="D604" s="1962" t="s">
        <v>7918</v>
      </c>
      <c r="E604" s="1962" t="s">
        <v>7919</v>
      </c>
      <c r="F604" s="1981">
        <v>7.4826022497000002</v>
      </c>
      <c r="G604" s="1981">
        <v>7.4826022497000002</v>
      </c>
      <c r="H604" s="1981">
        <v>7.4904886066999996</v>
      </c>
      <c r="I604" s="1981">
        <v>7.6444317853000001</v>
      </c>
      <c r="J604" s="1981">
        <v>7.9365454281999996</v>
      </c>
      <c r="K604" s="1981">
        <v>7.6345738388999997</v>
      </c>
      <c r="L604" s="1981">
        <v>7.7095738388999999</v>
      </c>
      <c r="M604" s="1981">
        <v>7.7095738388999999</v>
      </c>
      <c r="N604" s="1981">
        <v>7.7095738388999999</v>
      </c>
      <c r="O604" s="1981">
        <v>7.7904886066999994</v>
      </c>
      <c r="P604" s="1981">
        <v>7.7944317853000005</v>
      </c>
      <c r="Q604" s="1981">
        <v>8.1694317853000005</v>
      </c>
      <c r="R604" s="1981">
        <v>92.554317852500006</v>
      </c>
      <c r="T604" s="48">
        <f t="shared" si="9"/>
        <v>0</v>
      </c>
      <c r="U604" s="48"/>
    </row>
    <row r="605" spans="2:21">
      <c r="B605" s="33" t="s">
        <v>7920</v>
      </c>
      <c r="C605" t="s">
        <v>7438</v>
      </c>
      <c r="D605" s="1962" t="s">
        <v>7921</v>
      </c>
      <c r="E605" s="1962" t="s">
        <v>7922</v>
      </c>
      <c r="F605" s="1981">
        <v>679.05141537379995</v>
      </c>
      <c r="G605" s="1981">
        <v>640.06069537379994</v>
      </c>
      <c r="H605" s="1981">
        <v>1394.3721696962</v>
      </c>
      <c r="I605" s="1981">
        <v>1276.6903519025</v>
      </c>
      <c r="J605" s="1981">
        <v>1279.8697220597001</v>
      </c>
      <c r="K605" s="1981">
        <v>799.53919275390001</v>
      </c>
      <c r="L605" s="1981">
        <v>646.8285777136</v>
      </c>
      <c r="M605" s="1981">
        <v>663.1315777136</v>
      </c>
      <c r="N605" s="1981">
        <v>899.9161021932</v>
      </c>
      <c r="O605" s="1981">
        <v>1475.6027095351001</v>
      </c>
      <c r="P605" s="1981">
        <v>1456.9325994564999</v>
      </c>
      <c r="Q605" s="1981">
        <v>905.12499977540006</v>
      </c>
      <c r="R605" s="1981">
        <v>12117.1201135473</v>
      </c>
      <c r="T605" s="48">
        <f t="shared" si="9"/>
        <v>0</v>
      </c>
      <c r="U605" s="48"/>
    </row>
    <row r="606" spans="2:21">
      <c r="B606" s="33" t="s">
        <v>7923</v>
      </c>
      <c r="C606" t="s">
        <v>7441</v>
      </c>
      <c r="D606" s="1962" t="s">
        <v>7924</v>
      </c>
      <c r="E606" s="1962" t="s">
        <v>7925</v>
      </c>
      <c r="F606" s="1981">
        <v>14.3710433864</v>
      </c>
      <c r="G606" s="1981">
        <v>13.174043386400001</v>
      </c>
      <c r="H606" s="1981">
        <v>13.0630433864</v>
      </c>
      <c r="I606" s="1981">
        <v>13.7360433864</v>
      </c>
      <c r="J606" s="1981">
        <v>13.933043386400001</v>
      </c>
      <c r="K606" s="1981">
        <v>12.713043386400001</v>
      </c>
      <c r="L606" s="1981">
        <v>14.0990433864</v>
      </c>
      <c r="M606" s="1981">
        <v>14.2500433864</v>
      </c>
      <c r="N606" s="1981">
        <v>13.9710433864</v>
      </c>
      <c r="O606" s="1981">
        <v>14.574043386400001</v>
      </c>
      <c r="P606" s="1981">
        <v>14.681043386400001</v>
      </c>
      <c r="Q606" s="1981">
        <v>16.024043386399999</v>
      </c>
      <c r="R606" s="1981">
        <v>168.58952063679999</v>
      </c>
      <c r="T606" s="48">
        <f t="shared" si="9"/>
        <v>0</v>
      </c>
      <c r="U606" s="48"/>
    </row>
    <row r="607" spans="2:21">
      <c r="B607" s="33" t="s">
        <v>7926</v>
      </c>
      <c r="C607" t="s">
        <v>7444</v>
      </c>
      <c r="D607" s="1962" t="s">
        <v>7927</v>
      </c>
      <c r="E607" s="1962" t="s">
        <v>7928</v>
      </c>
      <c r="F607" s="1981">
        <v>261.0483367137</v>
      </c>
      <c r="G607" s="1981">
        <v>262.86133671369998</v>
      </c>
      <c r="H607" s="1981">
        <v>477.17678193850003</v>
      </c>
      <c r="I607" s="1981">
        <v>437.4220751318</v>
      </c>
      <c r="J607" s="1981">
        <v>412.39348772</v>
      </c>
      <c r="K607" s="1981">
        <v>278.3294352675</v>
      </c>
      <c r="L607" s="1981">
        <v>286.28238722460003</v>
      </c>
      <c r="M607" s="1981">
        <v>291.16738722460002</v>
      </c>
      <c r="N607" s="1981">
        <v>314.68538722459999</v>
      </c>
      <c r="O607" s="1981">
        <v>325.57592310040002</v>
      </c>
      <c r="P607" s="1981">
        <v>321.88031237940004</v>
      </c>
      <c r="Q607" s="1981">
        <v>361.61107216510004</v>
      </c>
      <c r="R607" s="1981">
        <v>4030.4339228039007</v>
      </c>
      <c r="T607" s="48">
        <f t="shared" si="9"/>
        <v>0</v>
      </c>
      <c r="U607" s="48"/>
    </row>
    <row r="608" spans="2:21">
      <c r="B608" s="33" t="s">
        <v>7929</v>
      </c>
      <c r="C608" t="s">
        <v>7676</v>
      </c>
      <c r="D608" s="1962" t="s">
        <v>7677</v>
      </c>
      <c r="E608" s="1962" t="s">
        <v>7678</v>
      </c>
      <c r="F608" s="1981">
        <v>0</v>
      </c>
      <c r="G608" s="1981">
        <v>0</v>
      </c>
      <c r="H608" s="1981">
        <v>0</v>
      </c>
      <c r="I608" s="1981">
        <v>0</v>
      </c>
      <c r="J608" s="1981">
        <v>0</v>
      </c>
      <c r="K608" s="1981">
        <v>0</v>
      </c>
      <c r="L608" s="1981">
        <v>0</v>
      </c>
      <c r="M608" s="1981">
        <v>0</v>
      </c>
      <c r="N608" s="1981">
        <v>0</v>
      </c>
      <c r="O608" s="1981">
        <v>0</v>
      </c>
      <c r="P608" s="1981">
        <v>0</v>
      </c>
      <c r="Q608" s="1981">
        <v>0</v>
      </c>
      <c r="R608" s="1981">
        <v>0</v>
      </c>
      <c r="T608" s="48">
        <f t="shared" si="9"/>
        <v>0</v>
      </c>
      <c r="U608" s="48"/>
    </row>
    <row r="609" spans="2:21">
      <c r="B609" s="33" t="s">
        <v>7930</v>
      </c>
      <c r="C609" t="s">
        <v>7451</v>
      </c>
      <c r="D609" s="1962" t="s">
        <v>7931</v>
      </c>
      <c r="E609" s="1962" t="s">
        <v>7932</v>
      </c>
      <c r="F609" s="1981">
        <v>-1725.0657784523999</v>
      </c>
      <c r="G609" s="1981">
        <v>-1727.6147172747001</v>
      </c>
      <c r="H609" s="1981">
        <v>-1729.7208993408001</v>
      </c>
      <c r="I609" s="1981">
        <v>-1729.2775543643002</v>
      </c>
      <c r="J609" s="1981">
        <v>-1726.0663547281999</v>
      </c>
      <c r="K609" s="1981">
        <v>-1741.1537410638</v>
      </c>
      <c r="L609" s="1981">
        <v>-1805.9802710186</v>
      </c>
      <c r="M609" s="1981">
        <v>-1741.4633943357001</v>
      </c>
      <c r="N609" s="1981">
        <v>-1741.6837347176001</v>
      </c>
      <c r="O609" s="1981">
        <v>-1742.5073504818999</v>
      </c>
      <c r="P609" s="1981">
        <v>-1745.6099023996001</v>
      </c>
      <c r="Q609" s="1981">
        <v>-1764.6595982856002</v>
      </c>
      <c r="R609" s="1981">
        <v>-20920.8032964632</v>
      </c>
      <c r="T609" s="48">
        <f t="shared" si="9"/>
        <v>0</v>
      </c>
      <c r="U609" s="48"/>
    </row>
    <row r="610" spans="2:21">
      <c r="B610" s="33" t="s">
        <v>7933</v>
      </c>
      <c r="C610" t="s">
        <v>7458</v>
      </c>
      <c r="D610" s="1962" t="s">
        <v>7934</v>
      </c>
      <c r="E610" s="1962" t="s">
        <v>7935</v>
      </c>
      <c r="F610" s="1981">
        <v>0</v>
      </c>
      <c r="G610" s="1981">
        <v>0</v>
      </c>
      <c r="H610" s="1981">
        <v>0</v>
      </c>
      <c r="I610" s="1981">
        <v>0</v>
      </c>
      <c r="J610" s="1981">
        <v>0</v>
      </c>
      <c r="K610" s="1981">
        <v>0</v>
      </c>
      <c r="L610" s="1981">
        <v>0</v>
      </c>
      <c r="M610" s="1981">
        <v>0</v>
      </c>
      <c r="N610" s="1981">
        <v>0</v>
      </c>
      <c r="O610" s="1981">
        <v>0</v>
      </c>
      <c r="P610" s="1981">
        <v>0</v>
      </c>
      <c r="Q610" s="1981">
        <v>626.92164185039996</v>
      </c>
      <c r="R610" s="1981">
        <v>626.92164185039996</v>
      </c>
      <c r="T610" s="48">
        <f t="shared" si="9"/>
        <v>0</v>
      </c>
      <c r="U610" s="48"/>
    </row>
    <row r="611" spans="2:21">
      <c r="B611" s="33" t="s">
        <v>7936</v>
      </c>
      <c r="C611" t="s">
        <v>7459</v>
      </c>
      <c r="D611" s="1962" t="s">
        <v>7937</v>
      </c>
      <c r="E611" s="1962" t="s">
        <v>7938</v>
      </c>
      <c r="F611" s="1981">
        <v>3.8330832961999999</v>
      </c>
      <c r="G611" s="1981">
        <v>3.8330300000000004</v>
      </c>
      <c r="H611" s="1981">
        <v>3.8330300000000004</v>
      </c>
      <c r="I611" s="1981">
        <v>3.8330300000000004</v>
      </c>
      <c r="J611" s="1981">
        <v>3.8330300000000004</v>
      </c>
      <c r="K611" s="1981">
        <v>3.8330300000000004</v>
      </c>
      <c r="L611" s="1981">
        <v>3.8330300000000004</v>
      </c>
      <c r="M611" s="1981">
        <v>3.8330300000000004</v>
      </c>
      <c r="N611" s="1981">
        <v>3.8330300000000004</v>
      </c>
      <c r="O611" s="1981">
        <v>3.8330300000000004</v>
      </c>
      <c r="P611" s="1981">
        <v>3.8330300000000004</v>
      </c>
      <c r="Q611" s="1981">
        <v>3.8330300000000004</v>
      </c>
      <c r="R611" s="1981">
        <v>45.996413296200004</v>
      </c>
      <c r="T611" s="48">
        <f t="shared" si="9"/>
        <v>0</v>
      </c>
      <c r="U611" s="48"/>
    </row>
    <row r="612" spans="2:21">
      <c r="B612" s="33" t="s">
        <v>7939</v>
      </c>
      <c r="C612" t="s">
        <v>7460</v>
      </c>
      <c r="D612" s="1962" t="s">
        <v>7940</v>
      </c>
      <c r="E612" s="1962" t="s">
        <v>7941</v>
      </c>
      <c r="F612" s="1981">
        <v>25.220077641500001</v>
      </c>
      <c r="G612" s="1981">
        <v>25.220020000000002</v>
      </c>
      <c r="H612" s="1981">
        <v>25.220020000000002</v>
      </c>
      <c r="I612" s="1981">
        <v>25.220020000000002</v>
      </c>
      <c r="J612" s="1981">
        <v>25.220020000000002</v>
      </c>
      <c r="K612" s="1981">
        <v>25.220020000000002</v>
      </c>
      <c r="L612" s="1981">
        <v>25.220020000000002</v>
      </c>
      <c r="M612" s="1981">
        <v>25.220020000000002</v>
      </c>
      <c r="N612" s="1981">
        <v>25.220020000000002</v>
      </c>
      <c r="O612" s="1981">
        <v>25.220020000000002</v>
      </c>
      <c r="P612" s="1981">
        <v>25.220020000000002</v>
      </c>
      <c r="Q612" s="1981">
        <v>25.220020000000002</v>
      </c>
      <c r="R612" s="1981">
        <v>302.64029764150001</v>
      </c>
      <c r="T612" s="48">
        <f t="shared" si="9"/>
        <v>0</v>
      </c>
      <c r="U612" s="48"/>
    </row>
    <row r="613" spans="2:21">
      <c r="B613" s="33" t="s">
        <v>7942</v>
      </c>
      <c r="C613" t="s">
        <v>7461</v>
      </c>
      <c r="D613" s="1962" t="s">
        <v>7943</v>
      </c>
      <c r="E613" s="1962" t="s">
        <v>7944</v>
      </c>
      <c r="F613" s="1981">
        <v>4.7701499999999992</v>
      </c>
      <c r="G613" s="1981">
        <v>4.7701499999999992</v>
      </c>
      <c r="H613" s="1981">
        <v>4.7701499999999992</v>
      </c>
      <c r="I613" s="1981">
        <v>4.7701499999999992</v>
      </c>
      <c r="J613" s="1981">
        <v>4.7701499999999992</v>
      </c>
      <c r="K613" s="1981">
        <v>5.2471099999999993</v>
      </c>
      <c r="L613" s="1981">
        <v>5.2471699999999997</v>
      </c>
      <c r="M613" s="1981">
        <v>5.2471699999999997</v>
      </c>
      <c r="N613" s="1981">
        <v>5.2471699999999997</v>
      </c>
      <c r="O613" s="1981">
        <v>5.2471699999999997</v>
      </c>
      <c r="P613" s="1981">
        <v>5.2471699999999997</v>
      </c>
      <c r="Q613" s="1981">
        <v>5.2471699999999997</v>
      </c>
      <c r="R613" s="1981">
        <v>60.580879999999979</v>
      </c>
      <c r="T613" s="48">
        <f>IF(R613="","",+R613-SUM(F613:Q613))</f>
        <v>0</v>
      </c>
      <c r="U613" s="48"/>
    </row>
    <row r="614" spans="2:21">
      <c r="B614" s="33" t="s">
        <v>7945</v>
      </c>
      <c r="C614" t="s">
        <v>7464</v>
      </c>
      <c r="D614" s="1962" t="s">
        <v>7946</v>
      </c>
      <c r="E614" s="1962" t="s">
        <v>7947</v>
      </c>
      <c r="F614" s="1981">
        <v>1361.53478</v>
      </c>
      <c r="G614" s="1981">
        <v>1361.53478</v>
      </c>
      <c r="H614" s="1981">
        <v>1361.53478</v>
      </c>
      <c r="I614" s="1981">
        <v>1361.53478</v>
      </c>
      <c r="J614" s="1981">
        <v>1361.53478</v>
      </c>
      <c r="K614" s="1981">
        <v>1497.2961153561</v>
      </c>
      <c r="L614" s="1981">
        <v>1497.2961799999998</v>
      </c>
      <c r="M614" s="1981">
        <v>1497.2961799999998</v>
      </c>
      <c r="N614" s="1981">
        <v>1497.2961799999998</v>
      </c>
      <c r="O614" s="1981">
        <v>1497.2961799999998</v>
      </c>
      <c r="P614" s="1981">
        <v>1497.2961799999998</v>
      </c>
      <c r="Q614" s="1981">
        <v>1497.2961799999998</v>
      </c>
      <c r="R614" s="1981">
        <v>17288.747095356095</v>
      </c>
      <c r="T614" s="48">
        <f t="shared" si="9"/>
        <v>0</v>
      </c>
      <c r="U614" s="48"/>
    </row>
    <row r="615" spans="2:21">
      <c r="B615" s="33" t="s">
        <v>7948</v>
      </c>
      <c r="C615" t="s">
        <v>7465</v>
      </c>
      <c r="D615" s="1962" t="s">
        <v>7949</v>
      </c>
      <c r="E615" s="1962" t="s">
        <v>7950</v>
      </c>
      <c r="F615" s="1981">
        <v>6.2022823920999999</v>
      </c>
      <c r="G615" s="1981">
        <v>6.2023100000000007</v>
      </c>
      <c r="H615" s="1981">
        <v>6.2023100000000007</v>
      </c>
      <c r="I615" s="1981">
        <v>6.2023100000000007</v>
      </c>
      <c r="J615" s="1981">
        <v>6.2023100000000007</v>
      </c>
      <c r="K615" s="1981">
        <v>6.2023100000000007</v>
      </c>
      <c r="L615" s="1981">
        <v>6.2023100000000007</v>
      </c>
      <c r="M615" s="1981">
        <v>6.2023100000000007</v>
      </c>
      <c r="N615" s="1981">
        <v>6.2023100000000007</v>
      </c>
      <c r="O615" s="1981">
        <v>6.2023100000000007</v>
      </c>
      <c r="P615" s="1981">
        <v>6.2023100000000007</v>
      </c>
      <c r="Q615" s="1981">
        <v>6.2023100000000007</v>
      </c>
      <c r="R615" s="1981">
        <v>74.427692392099985</v>
      </c>
      <c r="T615" s="48">
        <f t="shared" si="9"/>
        <v>0</v>
      </c>
      <c r="U615" s="48"/>
    </row>
    <row r="616" spans="2:21">
      <c r="B616" s="33" t="s">
        <v>7951</v>
      </c>
      <c r="C616" t="s">
        <v>7466</v>
      </c>
      <c r="D616" s="1962" t="s">
        <v>7952</v>
      </c>
      <c r="E616" s="1962" t="s">
        <v>7953</v>
      </c>
      <c r="F616" s="1981">
        <v>311.5669881421</v>
      </c>
      <c r="G616" s="1981">
        <v>311.5669881421</v>
      </c>
      <c r="H616" s="1981">
        <v>311.5669881421</v>
      </c>
      <c r="I616" s="1981">
        <v>311.5669881421</v>
      </c>
      <c r="J616" s="1981">
        <v>311.5669881421</v>
      </c>
      <c r="K616" s="1981">
        <v>311.5669881421</v>
      </c>
      <c r="L616" s="1981">
        <v>311.5669881421</v>
      </c>
      <c r="M616" s="1981">
        <v>311.5669881421</v>
      </c>
      <c r="N616" s="1981">
        <v>311.5669881421</v>
      </c>
      <c r="O616" s="1981">
        <v>311.5669881421</v>
      </c>
      <c r="P616" s="1981">
        <v>311.5669881421</v>
      </c>
      <c r="Q616" s="1981">
        <v>311.5669881421</v>
      </c>
      <c r="R616" s="1981">
        <v>3738.8038577051998</v>
      </c>
      <c r="T616" s="48">
        <f t="shared" si="9"/>
        <v>0</v>
      </c>
      <c r="U616" s="48"/>
    </row>
    <row r="617" spans="2:21">
      <c r="B617" s="33" t="s">
        <v>7954</v>
      </c>
      <c r="C617" t="s">
        <v>7467</v>
      </c>
      <c r="D617" s="1962" t="s">
        <v>7955</v>
      </c>
      <c r="E617" s="1962" t="s">
        <v>7956</v>
      </c>
      <c r="F617" s="1981">
        <v>5.9390000000000001</v>
      </c>
      <c r="G617" s="1981">
        <v>5.9390000000000001</v>
      </c>
      <c r="H617" s="1981">
        <v>5.9390000000000001</v>
      </c>
      <c r="I617" s="1981">
        <v>5.9390000000000001</v>
      </c>
      <c r="J617" s="1981">
        <v>5.9390000000000001</v>
      </c>
      <c r="K617" s="1981">
        <v>5.9390000000000001</v>
      </c>
      <c r="L617" s="1981">
        <v>5.9390000000000001</v>
      </c>
      <c r="M617" s="1981">
        <v>5.9390000000000001</v>
      </c>
      <c r="N617" s="1981">
        <v>5.9390000000000001</v>
      </c>
      <c r="O617" s="1981">
        <v>5.9390000000000001</v>
      </c>
      <c r="P617" s="1981">
        <v>5.9390000000000001</v>
      </c>
      <c r="Q617" s="1981">
        <v>5.9390000000000001</v>
      </c>
      <c r="R617" s="1981">
        <v>71.268000000000001</v>
      </c>
      <c r="T617" s="48">
        <f t="shared" si="9"/>
        <v>0</v>
      </c>
      <c r="U617" s="48"/>
    </row>
    <row r="618" spans="2:21">
      <c r="B618" s="33" t="s">
        <v>7957</v>
      </c>
      <c r="C618" t="s">
        <v>7468</v>
      </c>
      <c r="D618" s="1962" t="s">
        <v>7958</v>
      </c>
      <c r="E618" s="1962" t="s">
        <v>7959</v>
      </c>
      <c r="F618" s="1981">
        <v>1115.4348300000001</v>
      </c>
      <c r="G618" s="1981">
        <v>1115.4348300000001</v>
      </c>
      <c r="H618" s="1981">
        <v>1285.42597</v>
      </c>
      <c r="I618" s="1981">
        <v>1285.4259500000001</v>
      </c>
      <c r="J618" s="1981">
        <v>1285.4259500000001</v>
      </c>
      <c r="K618" s="1981">
        <v>1285.4259500000001</v>
      </c>
      <c r="L618" s="1981">
        <v>1285.4259500000001</v>
      </c>
      <c r="M618" s="1981">
        <v>1285.4259500000001</v>
      </c>
      <c r="N618" s="1981">
        <v>1285.4259500000001</v>
      </c>
      <c r="O618" s="1981">
        <v>1285.4259500000001</v>
      </c>
      <c r="P618" s="1981">
        <v>1285.4259500000001</v>
      </c>
      <c r="Q618" s="1981">
        <v>1285.4259500000001</v>
      </c>
      <c r="R618" s="1981">
        <v>15085.129180000004</v>
      </c>
      <c r="T618" s="48">
        <f t="shared" si="9"/>
        <v>0</v>
      </c>
      <c r="U618" s="48"/>
    </row>
    <row r="619" spans="2:21">
      <c r="B619" s="33" t="s">
        <v>7960</v>
      </c>
      <c r="C619" t="s">
        <v>7469</v>
      </c>
      <c r="D619" s="1962" t="s">
        <v>7961</v>
      </c>
      <c r="E619" s="1962" t="s">
        <v>7962</v>
      </c>
      <c r="F619" s="1981">
        <v>16.478279999999998</v>
      </c>
      <c r="G619" s="1981">
        <v>16.478279999999998</v>
      </c>
      <c r="H619" s="1981">
        <v>16.478279999999998</v>
      </c>
      <c r="I619" s="1981">
        <v>16.478279999999998</v>
      </c>
      <c r="J619" s="1981">
        <v>16.478279999999998</v>
      </c>
      <c r="K619" s="1981">
        <v>18.124727707199998</v>
      </c>
      <c r="L619" s="1981">
        <v>18.124740000000003</v>
      </c>
      <c r="M619" s="1981">
        <v>18.124740000000003</v>
      </c>
      <c r="N619" s="1981">
        <v>18.124740000000003</v>
      </c>
      <c r="O619" s="1981">
        <v>18.124740000000003</v>
      </c>
      <c r="P619" s="1981">
        <v>18.124740000000003</v>
      </c>
      <c r="Q619" s="1981">
        <v>18.124740000000003</v>
      </c>
      <c r="R619" s="1981">
        <v>209.2645677072</v>
      </c>
      <c r="T619" s="48">
        <f t="shared" si="9"/>
        <v>0</v>
      </c>
      <c r="U619" s="48"/>
    </row>
    <row r="620" spans="2:21">
      <c r="B620" s="33" t="s">
        <v>7963</v>
      </c>
      <c r="C620" t="s">
        <v>7470</v>
      </c>
      <c r="D620" s="1962" t="s">
        <v>7964</v>
      </c>
      <c r="E620" s="1962" t="s">
        <v>7965</v>
      </c>
      <c r="F620" s="1981">
        <v>0.41283415380000005</v>
      </c>
      <c r="G620" s="1981">
        <v>0.41282000000000002</v>
      </c>
      <c r="H620" s="1981">
        <v>0.41282000000000002</v>
      </c>
      <c r="I620" s="1981">
        <v>0.41282000000000002</v>
      </c>
      <c r="J620" s="1981">
        <v>0.41282000000000002</v>
      </c>
      <c r="K620" s="1981">
        <v>0.41282000000000002</v>
      </c>
      <c r="L620" s="1981">
        <v>0.41282000000000002</v>
      </c>
      <c r="M620" s="1981">
        <v>0.41282000000000002</v>
      </c>
      <c r="N620" s="1981">
        <v>0.41282000000000002</v>
      </c>
      <c r="O620" s="1981">
        <v>0.41282000000000002</v>
      </c>
      <c r="P620" s="1981">
        <v>0.41282000000000002</v>
      </c>
      <c r="Q620" s="1981">
        <v>0.41282000000000002</v>
      </c>
      <c r="R620" s="1981">
        <v>4.9538541538</v>
      </c>
      <c r="T620" s="48">
        <f t="shared" si="9"/>
        <v>0</v>
      </c>
      <c r="U620" s="48"/>
    </row>
    <row r="621" spans="2:21">
      <c r="B621" s="33" t="s">
        <v>7966</v>
      </c>
      <c r="C621" t="s">
        <v>7679</v>
      </c>
      <c r="D621" s="1962" t="s">
        <v>7680</v>
      </c>
      <c r="E621" s="1962" t="s">
        <v>7681</v>
      </c>
      <c r="F621" s="1981">
        <v>0.11025</v>
      </c>
      <c r="G621" s="1981">
        <v>0.11025</v>
      </c>
      <c r="H621" s="1981">
        <v>0.11025</v>
      </c>
      <c r="I621" s="1981">
        <v>0.11025</v>
      </c>
      <c r="J621" s="1981">
        <v>0.11025</v>
      </c>
      <c r="K621" s="1981">
        <v>0.11025</v>
      </c>
      <c r="L621" s="1981">
        <v>0.11025</v>
      </c>
      <c r="M621" s="1981">
        <v>0.11025</v>
      </c>
      <c r="N621" s="1981">
        <v>0.11025</v>
      </c>
      <c r="O621" s="1981">
        <v>0.11025</v>
      </c>
      <c r="P621" s="1981">
        <v>0.11025</v>
      </c>
      <c r="Q621" s="1981">
        <v>0.11025</v>
      </c>
      <c r="R621" s="1981">
        <v>1.3229999999999997</v>
      </c>
      <c r="T621" s="48">
        <f t="shared" si="9"/>
        <v>0</v>
      </c>
      <c r="U621" s="48"/>
    </row>
    <row r="622" spans="2:21">
      <c r="B622" s="33" t="s">
        <v>7967</v>
      </c>
      <c r="C622" t="s">
        <v>7471</v>
      </c>
      <c r="D622" s="1962" t="s">
        <v>7968</v>
      </c>
      <c r="E622" s="1962" t="s">
        <v>7969</v>
      </c>
      <c r="F622" s="1981">
        <v>0.10672</v>
      </c>
      <c r="G622" s="1981">
        <v>0.10672</v>
      </c>
      <c r="H622" s="1981">
        <v>0.10672</v>
      </c>
      <c r="I622" s="1981">
        <v>0.10672</v>
      </c>
      <c r="J622" s="1981">
        <v>0.10672</v>
      </c>
      <c r="K622" s="1981">
        <v>0.10672</v>
      </c>
      <c r="L622" s="1981">
        <v>0.10672</v>
      </c>
      <c r="M622" s="1981">
        <v>0.10672</v>
      </c>
      <c r="N622" s="1981">
        <v>0.10672</v>
      </c>
      <c r="O622" s="1981">
        <v>0.10672</v>
      </c>
      <c r="P622" s="1981">
        <v>0.10672</v>
      </c>
      <c r="Q622" s="1981">
        <v>0.10672</v>
      </c>
      <c r="R622" s="1981">
        <v>1.28064</v>
      </c>
      <c r="T622" s="48">
        <f t="shared" si="9"/>
        <v>0</v>
      </c>
      <c r="U622" s="48"/>
    </row>
    <row r="623" spans="2:21">
      <c r="B623" s="33" t="s">
        <v>7970</v>
      </c>
      <c r="C623" t="s">
        <v>7472</v>
      </c>
      <c r="D623" s="1962" t="s">
        <v>7971</v>
      </c>
      <c r="E623" s="1962" t="s">
        <v>7972</v>
      </c>
      <c r="F623" s="1981">
        <v>46.378</v>
      </c>
      <c r="G623" s="1981">
        <v>46.378</v>
      </c>
      <c r="H623" s="1981">
        <v>49.82</v>
      </c>
      <c r="I623" s="1981">
        <v>46.378</v>
      </c>
      <c r="J623" s="1981">
        <v>46.378</v>
      </c>
      <c r="K623" s="1981">
        <v>51.442999999999998</v>
      </c>
      <c r="L623" s="1981">
        <v>48.000999999999998</v>
      </c>
      <c r="M623" s="1981">
        <v>48.000999999999998</v>
      </c>
      <c r="N623" s="1981">
        <v>51.442999999999998</v>
      </c>
      <c r="O623" s="1981">
        <v>48.000999999999998</v>
      </c>
      <c r="P623" s="1981">
        <v>48.000999999999998</v>
      </c>
      <c r="Q623" s="1981">
        <v>51.442999999999998</v>
      </c>
      <c r="R623" s="1981">
        <v>581.66499999999985</v>
      </c>
      <c r="T623" s="48">
        <f t="shared" si="9"/>
        <v>0</v>
      </c>
      <c r="U623" s="48"/>
    </row>
    <row r="624" spans="2:21">
      <c r="B624" s="33" t="s">
        <v>7973</v>
      </c>
      <c r="C624" t="s">
        <v>7473</v>
      </c>
      <c r="D624" s="1962" t="s">
        <v>7974</v>
      </c>
      <c r="E624" s="1962" t="s">
        <v>7975</v>
      </c>
      <c r="F624" s="1981">
        <v>323.87934000000001</v>
      </c>
      <c r="G624" s="1981">
        <v>323.87934000000001</v>
      </c>
      <c r="H624" s="1981">
        <v>383.26863000000003</v>
      </c>
      <c r="I624" s="1981">
        <v>383.26866999999999</v>
      </c>
      <c r="J624" s="1981">
        <v>383.26866999999999</v>
      </c>
      <c r="K624" s="1981">
        <v>383.26866999999999</v>
      </c>
      <c r="L624" s="1981">
        <v>383.26866999999999</v>
      </c>
      <c r="M624" s="1981">
        <v>383.26866999999999</v>
      </c>
      <c r="N624" s="1981">
        <v>383.26866999999999</v>
      </c>
      <c r="O624" s="1981">
        <v>383.26866999999999</v>
      </c>
      <c r="P624" s="1981">
        <v>383.26866999999999</v>
      </c>
      <c r="Q624" s="1981">
        <v>383.26866999999999</v>
      </c>
      <c r="R624" s="1981">
        <v>4480.4453400000002</v>
      </c>
      <c r="T624" s="48">
        <f t="shared" si="9"/>
        <v>0</v>
      </c>
      <c r="U624" s="48"/>
    </row>
    <row r="625" spans="2:21">
      <c r="B625" s="33" t="s">
        <v>7976</v>
      </c>
      <c r="C625" t="s">
        <v>7474</v>
      </c>
      <c r="D625" s="1962" t="s">
        <v>7977</v>
      </c>
      <c r="E625" s="1962" t="s">
        <v>7978</v>
      </c>
      <c r="F625" s="1981">
        <v>58.495101560000002</v>
      </c>
      <c r="G625" s="1981">
        <v>58.495069999999998</v>
      </c>
      <c r="H625" s="1981">
        <v>58.495069999999998</v>
      </c>
      <c r="I625" s="1981">
        <v>58.495069999999998</v>
      </c>
      <c r="J625" s="1981">
        <v>58.537615623299999</v>
      </c>
      <c r="K625" s="1981">
        <v>58.537660000000002</v>
      </c>
      <c r="L625" s="1981">
        <v>58.537660000000002</v>
      </c>
      <c r="M625" s="1981">
        <v>64.723905000000002</v>
      </c>
      <c r="N625" s="1981">
        <v>64.724000000000004</v>
      </c>
      <c r="O625" s="1981">
        <v>64.724000000000004</v>
      </c>
      <c r="P625" s="1981">
        <v>64.724000000000004</v>
      </c>
      <c r="Q625" s="1981">
        <v>64.739087975000004</v>
      </c>
      <c r="R625" s="1981">
        <v>733.22824015830008</v>
      </c>
      <c r="T625" s="48">
        <f t="shared" si="9"/>
        <v>0</v>
      </c>
      <c r="U625" s="48"/>
    </row>
    <row r="626" spans="2:21">
      <c r="B626" s="33" t="s">
        <v>7979</v>
      </c>
      <c r="C626" t="s">
        <v>7477</v>
      </c>
      <c r="D626" s="1962" t="s">
        <v>7980</v>
      </c>
      <c r="E626" s="1962" t="s">
        <v>7981</v>
      </c>
      <c r="F626" s="1981">
        <v>6.4279066249999994</v>
      </c>
      <c r="G626" s="1981">
        <v>6.4279066249999994</v>
      </c>
      <c r="H626" s="1981">
        <v>6.4279066249999994</v>
      </c>
      <c r="I626" s="1981">
        <v>6.4279066249999994</v>
      </c>
      <c r="J626" s="1981">
        <v>6.4279066249999994</v>
      </c>
      <c r="K626" s="1981">
        <v>6.4279066249999994</v>
      </c>
      <c r="L626" s="1981">
        <v>6.4279066249999994</v>
      </c>
      <c r="M626" s="1981">
        <v>6.4279066249999994</v>
      </c>
      <c r="N626" s="1981">
        <v>6.4279066249999994</v>
      </c>
      <c r="O626" s="1981">
        <v>6.4279066249999994</v>
      </c>
      <c r="P626" s="1981">
        <v>6.4279066249999994</v>
      </c>
      <c r="Q626" s="1981">
        <v>6.4279066249999994</v>
      </c>
      <c r="R626" s="1981">
        <v>77.134879500000011</v>
      </c>
      <c r="T626" s="48">
        <f t="shared" si="9"/>
        <v>0</v>
      </c>
      <c r="U626" s="48"/>
    </row>
    <row r="627" spans="2:21">
      <c r="B627" s="33" t="s">
        <v>7982</v>
      </c>
      <c r="C627" t="s">
        <v>7483</v>
      </c>
      <c r="D627" s="1962" t="s">
        <v>7983</v>
      </c>
      <c r="E627" s="1962" t="s">
        <v>7984</v>
      </c>
      <c r="F627" s="1981">
        <v>0</v>
      </c>
      <c r="G627" s="1981">
        <v>0</v>
      </c>
      <c r="H627" s="1981">
        <v>0</v>
      </c>
      <c r="I627" s="1981">
        <v>0</v>
      </c>
      <c r="J627" s="1981">
        <v>0</v>
      </c>
      <c r="K627" s="1981">
        <v>0</v>
      </c>
      <c r="L627" s="1981">
        <v>0</v>
      </c>
      <c r="M627" s="1981">
        <v>0</v>
      </c>
      <c r="N627" s="1981">
        <v>0</v>
      </c>
      <c r="O627" s="1981">
        <v>0</v>
      </c>
      <c r="P627" s="1981">
        <v>0</v>
      </c>
      <c r="Q627" s="1981">
        <v>0</v>
      </c>
      <c r="R627" s="1981">
        <v>0</v>
      </c>
      <c r="T627" s="48">
        <f t="shared" si="9"/>
        <v>0</v>
      </c>
      <c r="U627" s="48"/>
    </row>
    <row r="628" spans="2:21">
      <c r="B628" s="33" t="s">
        <v>7985</v>
      </c>
      <c r="C628" t="s">
        <v>7485</v>
      </c>
      <c r="D628" s="1962" t="s">
        <v>7986</v>
      </c>
      <c r="E628" s="1962" t="s">
        <v>7987</v>
      </c>
      <c r="F628" s="1981">
        <v>33.084000000000003</v>
      </c>
      <c r="G628" s="1981">
        <v>33.084000000000003</v>
      </c>
      <c r="H628" s="1981">
        <v>33.084000000000003</v>
      </c>
      <c r="I628" s="1981">
        <v>34.771999999999998</v>
      </c>
      <c r="J628" s="1981">
        <v>33.084000000000003</v>
      </c>
      <c r="K628" s="1981">
        <v>33.084000000000003</v>
      </c>
      <c r="L628" s="1981">
        <v>33.084000000000003</v>
      </c>
      <c r="M628" s="1981">
        <v>33.084000000000003</v>
      </c>
      <c r="N628" s="1981">
        <v>33.084000000000003</v>
      </c>
      <c r="O628" s="1981">
        <v>33.084000000000003</v>
      </c>
      <c r="P628" s="1981">
        <v>33.084000000000003</v>
      </c>
      <c r="Q628" s="1981">
        <v>33.084000000000003</v>
      </c>
      <c r="R628" s="1981">
        <v>398.69600000000003</v>
      </c>
      <c r="T628" s="48">
        <f t="shared" si="9"/>
        <v>0</v>
      </c>
      <c r="U628" s="48"/>
    </row>
    <row r="629" spans="2:21">
      <c r="B629" s="33" t="s">
        <v>7988</v>
      </c>
      <c r="C629" t="s">
        <v>7489</v>
      </c>
      <c r="D629" s="1962" t="s">
        <v>7989</v>
      </c>
      <c r="E629" s="1962" t="s">
        <v>7990</v>
      </c>
      <c r="F629" s="1981">
        <v>122.850254875</v>
      </c>
      <c r="G629" s="1981">
        <v>122.850254875</v>
      </c>
      <c r="H629" s="1981">
        <v>122.850254875</v>
      </c>
      <c r="I629" s="1981">
        <v>122.850254875</v>
      </c>
      <c r="J629" s="1981">
        <v>122.850254875</v>
      </c>
      <c r="K629" s="1981">
        <v>122.850254875</v>
      </c>
      <c r="L629" s="1981">
        <v>122.850254875</v>
      </c>
      <c r="M629" s="1981">
        <v>122.850254875</v>
      </c>
      <c r="N629" s="1981">
        <v>122.850254875</v>
      </c>
      <c r="O629" s="1981">
        <v>122.850254875</v>
      </c>
      <c r="P629" s="1981">
        <v>122.850254875</v>
      </c>
      <c r="Q629" s="1981">
        <v>122.850254875</v>
      </c>
      <c r="R629" s="1981">
        <v>1474.2030585</v>
      </c>
      <c r="T629" s="48">
        <f t="shared" si="9"/>
        <v>0</v>
      </c>
      <c r="U629" s="48"/>
    </row>
    <row r="630" spans="2:21">
      <c r="B630" s="33" t="s">
        <v>7991</v>
      </c>
      <c r="C630" t="s">
        <v>7493</v>
      </c>
      <c r="D630" s="1962" t="s">
        <v>7992</v>
      </c>
      <c r="E630" s="1962" t="s">
        <v>7993</v>
      </c>
      <c r="F630" s="1981">
        <v>14.089880624999999</v>
      </c>
      <c r="G630" s="1981">
        <v>14.138480625</v>
      </c>
      <c r="H630" s="1981">
        <v>14.138480625</v>
      </c>
      <c r="I630" s="1981">
        <v>14.138480625</v>
      </c>
      <c r="J630" s="1981">
        <v>14.175620624999999</v>
      </c>
      <c r="K630" s="1981">
        <v>14.175620624999999</v>
      </c>
      <c r="L630" s="1981">
        <v>14.175620624999999</v>
      </c>
      <c r="M630" s="1981">
        <v>14.175620624999999</v>
      </c>
      <c r="N630" s="1981">
        <v>14.175620624999999</v>
      </c>
      <c r="O630" s="1981">
        <v>14.175620624999999</v>
      </c>
      <c r="P630" s="1981">
        <v>14.175620624999999</v>
      </c>
      <c r="Q630" s="1981">
        <v>14.175620624999999</v>
      </c>
      <c r="R630" s="1981">
        <v>169.91028749999995</v>
      </c>
      <c r="T630" s="48">
        <f t="shared" si="9"/>
        <v>0</v>
      </c>
      <c r="U630" s="48"/>
    </row>
    <row r="631" spans="2:21">
      <c r="B631" s="33" t="s">
        <v>7994</v>
      </c>
      <c r="C631" t="s">
        <v>7494</v>
      </c>
      <c r="D631" s="1962" t="s">
        <v>7995</v>
      </c>
      <c r="E631" s="1962" t="s">
        <v>7996</v>
      </c>
      <c r="F631" s="1981">
        <v>57.804699999999997</v>
      </c>
      <c r="G631" s="1981">
        <v>14.646000000000001</v>
      </c>
      <c r="H631" s="1981">
        <v>14.646000000000001</v>
      </c>
      <c r="I631" s="1981">
        <v>14.646000000000001</v>
      </c>
      <c r="J631" s="1981">
        <v>14.646000000000001</v>
      </c>
      <c r="K631" s="1981">
        <v>14.646000000000001</v>
      </c>
      <c r="L631" s="1981">
        <v>14.646000000000001</v>
      </c>
      <c r="M631" s="1981">
        <v>14.646000000000001</v>
      </c>
      <c r="N631" s="1981">
        <v>14.646000000000001</v>
      </c>
      <c r="O631" s="1981">
        <v>14.646000000000001</v>
      </c>
      <c r="P631" s="1981">
        <v>14.646000000000001</v>
      </c>
      <c r="Q631" s="1981">
        <v>14.646000000000001</v>
      </c>
      <c r="R631" s="1981">
        <v>218.91070000000008</v>
      </c>
      <c r="T631" s="48">
        <f t="shared" si="9"/>
        <v>0</v>
      </c>
      <c r="U631" s="48"/>
    </row>
    <row r="632" spans="2:21">
      <c r="B632" s="33" t="s">
        <v>7997</v>
      </c>
      <c r="C632" t="s">
        <v>7682</v>
      </c>
      <c r="D632" s="1962" t="s">
        <v>7683</v>
      </c>
      <c r="E632" s="1962" t="s">
        <v>7684</v>
      </c>
      <c r="F632" s="1981">
        <v>4.5</v>
      </c>
      <c r="G632" s="1981">
        <v>4.5</v>
      </c>
      <c r="H632" s="1981">
        <v>4.5</v>
      </c>
      <c r="I632" s="1981">
        <v>4.5</v>
      </c>
      <c r="J632" s="1981">
        <v>4.5</v>
      </c>
      <c r="K632" s="1981">
        <v>4.5</v>
      </c>
      <c r="L632" s="1981">
        <v>4.5</v>
      </c>
      <c r="M632" s="1981">
        <v>4.5</v>
      </c>
      <c r="N632" s="1981">
        <v>4.5</v>
      </c>
      <c r="O632" s="1981">
        <v>4.5</v>
      </c>
      <c r="P632" s="1981">
        <v>4.5</v>
      </c>
      <c r="Q632" s="1981">
        <v>4.5</v>
      </c>
      <c r="R632" s="1981">
        <v>54</v>
      </c>
      <c r="T632" s="48">
        <f t="shared" si="9"/>
        <v>0</v>
      </c>
      <c r="U632" s="48"/>
    </row>
    <row r="633" spans="2:21">
      <c r="B633" s="33" t="s">
        <v>7998</v>
      </c>
      <c r="C633" t="s">
        <v>7499</v>
      </c>
      <c r="D633" s="1962" t="s">
        <v>7999</v>
      </c>
      <c r="E633" s="1962" t="s">
        <v>8000</v>
      </c>
      <c r="F633" s="1981">
        <v>263.04444071400002</v>
      </c>
      <c r="G633" s="1981">
        <v>263.17677071399999</v>
      </c>
      <c r="H633" s="1981">
        <v>264.99574071400002</v>
      </c>
      <c r="I633" s="1981">
        <v>267.81810071400002</v>
      </c>
      <c r="J633" s="1981">
        <v>265.29385071399997</v>
      </c>
      <c r="K633" s="1981">
        <v>264.32753071399998</v>
      </c>
      <c r="L633" s="1981">
        <v>264.37653071400001</v>
      </c>
      <c r="M633" s="1981">
        <v>264.23153071399997</v>
      </c>
      <c r="N633" s="1981">
        <v>263.99553071399998</v>
      </c>
      <c r="O633" s="1981">
        <v>265.49653071400002</v>
      </c>
      <c r="P633" s="1981">
        <v>269.19103071400002</v>
      </c>
      <c r="Q633" s="1981">
        <v>267.23883071399996</v>
      </c>
      <c r="R633" s="1981">
        <v>3183.1864185680001</v>
      </c>
      <c r="T633" s="48">
        <f t="shared" si="9"/>
        <v>0</v>
      </c>
      <c r="U633" s="48"/>
    </row>
    <row r="634" spans="2:21">
      <c r="B634" s="33" t="s">
        <v>8001</v>
      </c>
      <c r="C634" t="s">
        <v>7500</v>
      </c>
      <c r="D634" s="1962" t="s">
        <v>8002</v>
      </c>
      <c r="E634" s="1962" t="s">
        <v>8003</v>
      </c>
      <c r="F634" s="1981">
        <v>7.5</v>
      </c>
      <c r="G634" s="1981">
        <v>7.5</v>
      </c>
      <c r="H634" s="1981">
        <v>7.5</v>
      </c>
      <c r="I634" s="1981">
        <v>7.5</v>
      </c>
      <c r="J634" s="1981">
        <v>7.5</v>
      </c>
      <c r="K634" s="1981">
        <v>7.5</v>
      </c>
      <c r="L634" s="1981">
        <v>7.5</v>
      </c>
      <c r="M634" s="1981">
        <v>7.5</v>
      </c>
      <c r="N634" s="1981">
        <v>7.5</v>
      </c>
      <c r="O634" s="1981">
        <v>7.5</v>
      </c>
      <c r="P634" s="1981">
        <v>7.5</v>
      </c>
      <c r="Q634" s="1981">
        <v>7.5</v>
      </c>
      <c r="R634" s="1981">
        <v>90</v>
      </c>
      <c r="T634" s="48">
        <f t="shared" si="9"/>
        <v>0</v>
      </c>
      <c r="U634" s="48"/>
    </row>
    <row r="635" spans="2:21">
      <c r="B635" s="33" t="s">
        <v>8004</v>
      </c>
      <c r="C635" t="s">
        <v>7501</v>
      </c>
      <c r="D635" s="1962" t="s">
        <v>8005</v>
      </c>
      <c r="E635" s="1962" t="s">
        <v>8006</v>
      </c>
      <c r="F635" s="1981">
        <v>143.17785887600002</v>
      </c>
      <c r="G635" s="1981">
        <v>143.17785887600002</v>
      </c>
      <c r="H635" s="1981">
        <v>148.17785887600002</v>
      </c>
      <c r="I635" s="1981">
        <v>155.6384330011</v>
      </c>
      <c r="J635" s="1981">
        <v>160.4175530011</v>
      </c>
      <c r="K635" s="1981">
        <v>170.4175530011</v>
      </c>
      <c r="L635" s="1981">
        <v>174.03740006370001</v>
      </c>
      <c r="M635" s="1981">
        <v>174.03740006370001</v>
      </c>
      <c r="N635" s="1981">
        <v>154.03740006370001</v>
      </c>
      <c r="O635" s="1981">
        <v>157.65724712630001</v>
      </c>
      <c r="P635" s="1981">
        <v>217.65724712630001</v>
      </c>
      <c r="Q635" s="1981">
        <v>235.75648243909998</v>
      </c>
      <c r="R635" s="1981">
        <v>2034.1902925141003</v>
      </c>
      <c r="T635" s="48">
        <f t="shared" si="9"/>
        <v>0</v>
      </c>
      <c r="U635" s="48"/>
    </row>
    <row r="636" spans="2:21">
      <c r="B636" s="33" t="s">
        <v>8007</v>
      </c>
      <c r="C636" t="s">
        <v>7505</v>
      </c>
      <c r="D636" s="1962" t="s">
        <v>8008</v>
      </c>
      <c r="E636" s="1962" t="s">
        <v>8009</v>
      </c>
      <c r="F636" s="1981">
        <v>-32.719000000000001</v>
      </c>
      <c r="G636" s="1981">
        <v>-32.719000000000001</v>
      </c>
      <c r="H636" s="1981">
        <v>-32.719000000000001</v>
      </c>
      <c r="I636" s="1981">
        <v>-32.719000000000001</v>
      </c>
      <c r="J636" s="1981">
        <v>-32.719000000000001</v>
      </c>
      <c r="K636" s="1981">
        <v>-32.719000000000001</v>
      </c>
      <c r="L636" s="1981">
        <v>-32.719000000000001</v>
      </c>
      <c r="M636" s="1981">
        <v>-32.719000000000001</v>
      </c>
      <c r="N636" s="1981">
        <v>-32.719000000000001</v>
      </c>
      <c r="O636" s="1981">
        <v>-32.719000000000001</v>
      </c>
      <c r="P636" s="1981">
        <v>-32.719000000000001</v>
      </c>
      <c r="Q636" s="1981">
        <v>-32.719000000000001</v>
      </c>
      <c r="R636" s="1981">
        <v>-392.62799999999999</v>
      </c>
      <c r="T636" s="48">
        <f t="shared" si="9"/>
        <v>0</v>
      </c>
      <c r="U636" s="48"/>
    </row>
    <row r="637" spans="2:21">
      <c r="B637" s="33" t="s">
        <v>9371</v>
      </c>
      <c r="C637" t="s">
        <v>7506</v>
      </c>
      <c r="D637" s="1962" t="s">
        <v>9372</v>
      </c>
      <c r="E637" s="1962" t="s">
        <v>9373</v>
      </c>
      <c r="F637" s="1981">
        <v>0</v>
      </c>
      <c r="G637" s="1981">
        <v>0</v>
      </c>
      <c r="H637" s="1981">
        <v>2.7222596087000004</v>
      </c>
      <c r="I637" s="1981">
        <v>2.7222596087000004</v>
      </c>
      <c r="J637" s="1981">
        <v>2.7222596087000004</v>
      </c>
      <c r="K637" s="1981">
        <v>2.7222596087000004</v>
      </c>
      <c r="L637" s="1981">
        <v>2.7222596087000004</v>
      </c>
      <c r="M637" s="1981">
        <v>2.7222596087000004</v>
      </c>
      <c r="N637" s="1981">
        <v>2.7222596087000004</v>
      </c>
      <c r="O637" s="1981">
        <v>2.7222596087000004</v>
      </c>
      <c r="P637" s="1981">
        <v>2.7222596087000004</v>
      </c>
      <c r="Q637" s="1981">
        <v>2.7222596087000004</v>
      </c>
      <c r="R637" s="1981">
        <v>27.222596087000003</v>
      </c>
      <c r="T637" s="48">
        <f t="shared" si="9"/>
        <v>0</v>
      </c>
      <c r="U637" s="48"/>
    </row>
    <row r="638" spans="2:21">
      <c r="B638" s="33" t="s">
        <v>8010</v>
      </c>
      <c r="C638" t="s">
        <v>7507</v>
      </c>
      <c r="D638" s="1962" t="s">
        <v>8011</v>
      </c>
      <c r="E638" s="1962" t="s">
        <v>8012</v>
      </c>
      <c r="F638" s="1981">
        <v>-54.396999999999998</v>
      </c>
      <c r="G638" s="1981">
        <v>-54.396999999999998</v>
      </c>
      <c r="H638" s="1981">
        <v>-83.102000000000004</v>
      </c>
      <c r="I638" s="1981">
        <v>-83.102000000000004</v>
      </c>
      <c r="J638" s="1981">
        <v>-83.102000000000004</v>
      </c>
      <c r="K638" s="1981">
        <v>-83.102000000000004</v>
      </c>
      <c r="L638" s="1981">
        <v>-83.102000000000004</v>
      </c>
      <c r="M638" s="1981">
        <v>-83.102000000000004</v>
      </c>
      <c r="N638" s="1981">
        <v>-83.102000000000004</v>
      </c>
      <c r="O638" s="1981">
        <v>-83.102000000000004</v>
      </c>
      <c r="P638" s="1981">
        <v>-83.102000000000004</v>
      </c>
      <c r="Q638" s="1981">
        <v>-83.102000000000004</v>
      </c>
      <c r="R638" s="1981">
        <v>-939.81399999999985</v>
      </c>
      <c r="T638" s="48">
        <f t="shared" si="9"/>
        <v>0</v>
      </c>
      <c r="U638" s="48"/>
    </row>
    <row r="639" spans="2:21">
      <c r="B639" s="33" t="s">
        <v>8013</v>
      </c>
      <c r="C639" t="s">
        <v>7685</v>
      </c>
      <c r="D639" s="1962" t="s">
        <v>7686</v>
      </c>
      <c r="E639" s="1962" t="s">
        <v>7687</v>
      </c>
      <c r="F639" s="1981">
        <v>0.48555000000000004</v>
      </c>
      <c r="G639" s="1981">
        <v>0</v>
      </c>
      <c r="H639" s="1981">
        <v>0</v>
      </c>
      <c r="I639" s="1981">
        <v>0.48555000000000004</v>
      </c>
      <c r="J639" s="1981">
        <v>0</v>
      </c>
      <c r="K639" s="1981">
        <v>0</v>
      </c>
      <c r="L639" s="1981">
        <v>0.48555000000000004</v>
      </c>
      <c r="M639" s="1981">
        <v>0</v>
      </c>
      <c r="N639" s="1981">
        <v>0</v>
      </c>
      <c r="O639" s="1981">
        <v>0.4886625</v>
      </c>
      <c r="P639" s="1981">
        <v>0</v>
      </c>
      <c r="Q639" s="1981">
        <v>0</v>
      </c>
      <c r="R639" s="1981">
        <v>1.9453125000000002</v>
      </c>
      <c r="T639" s="48">
        <f t="shared" si="9"/>
        <v>0</v>
      </c>
      <c r="U639" s="48"/>
    </row>
    <row r="640" spans="2:21">
      <c r="B640" s="33" t="s">
        <v>8014</v>
      </c>
      <c r="C640" t="s">
        <v>7509</v>
      </c>
      <c r="D640" s="1962" t="s">
        <v>8015</v>
      </c>
      <c r="E640" s="1962" t="s">
        <v>8016</v>
      </c>
      <c r="F640" s="1981">
        <v>535.00408548150006</v>
      </c>
      <c r="G640" s="1981">
        <v>416.85443843610005</v>
      </c>
      <c r="H640" s="1981">
        <v>394.595267025</v>
      </c>
      <c r="I640" s="1981">
        <v>496.2597092684</v>
      </c>
      <c r="J640" s="1981">
        <v>476.10671931050001</v>
      </c>
      <c r="K640" s="1981">
        <v>475.20916333120005</v>
      </c>
      <c r="L640" s="1981">
        <v>481.73064659289997</v>
      </c>
      <c r="M640" s="1981">
        <v>442.11222286059996</v>
      </c>
      <c r="N640" s="1981">
        <v>556.66811251939998</v>
      </c>
      <c r="O640" s="1981">
        <v>492.22362028539999</v>
      </c>
      <c r="P640" s="1981">
        <v>482.05876406670001</v>
      </c>
      <c r="Q640" s="1981">
        <v>547.9576769137999</v>
      </c>
      <c r="R640" s="1981">
        <v>5796.7804260915</v>
      </c>
      <c r="T640" s="48">
        <f t="shared" si="9"/>
        <v>0</v>
      </c>
      <c r="U640" s="48"/>
    </row>
    <row r="641" spans="2:21">
      <c r="B641" s="33" t="s">
        <v>8017</v>
      </c>
      <c r="C641" t="s">
        <v>7511</v>
      </c>
      <c r="D641" s="1962" t="s">
        <v>8018</v>
      </c>
      <c r="E641" s="1962" t="s">
        <v>8019</v>
      </c>
      <c r="F641" s="1981">
        <v>0</v>
      </c>
      <c r="G641" s="1981">
        <v>0</v>
      </c>
      <c r="H641" s="1981">
        <v>175</v>
      </c>
      <c r="I641" s="1981">
        <v>0</v>
      </c>
      <c r="J641" s="1981">
        <v>0</v>
      </c>
      <c r="K641" s="1981">
        <v>175</v>
      </c>
      <c r="L641" s="1981">
        <v>0</v>
      </c>
      <c r="M641" s="1981">
        <v>0</v>
      </c>
      <c r="N641" s="1981">
        <v>175</v>
      </c>
      <c r="O641" s="1981">
        <v>0</v>
      </c>
      <c r="P641" s="1981">
        <v>0</v>
      </c>
      <c r="Q641" s="1981">
        <v>175</v>
      </c>
      <c r="R641" s="1981">
        <v>700</v>
      </c>
      <c r="T641" s="48">
        <f t="shared" si="9"/>
        <v>0</v>
      </c>
      <c r="U641" s="48"/>
    </row>
    <row r="642" spans="2:21">
      <c r="B642" s="33" t="s">
        <v>8020</v>
      </c>
      <c r="C642" t="s">
        <v>7512</v>
      </c>
      <c r="D642" s="1962" t="s">
        <v>8021</v>
      </c>
      <c r="E642" s="1962" t="s">
        <v>8022</v>
      </c>
      <c r="F642" s="1981">
        <v>0</v>
      </c>
      <c r="G642" s="1981">
        <v>0</v>
      </c>
      <c r="H642" s="1981">
        <v>100.3520522388</v>
      </c>
      <c r="I642" s="1981">
        <v>0</v>
      </c>
      <c r="J642" s="1981">
        <v>0</v>
      </c>
      <c r="K642" s="1981">
        <v>100.3520522388</v>
      </c>
      <c r="L642" s="1981">
        <v>0</v>
      </c>
      <c r="M642" s="1981">
        <v>0</v>
      </c>
      <c r="N642" s="1981">
        <v>100.3520522388</v>
      </c>
      <c r="O642" s="1981">
        <v>0</v>
      </c>
      <c r="P642" s="1981">
        <v>0</v>
      </c>
      <c r="Q642" s="1981">
        <v>100.3520522388</v>
      </c>
      <c r="R642" s="1981">
        <v>401.4082089552</v>
      </c>
      <c r="T642" s="48">
        <f t="shared" si="9"/>
        <v>0</v>
      </c>
      <c r="U642" s="48"/>
    </row>
    <row r="643" spans="2:21">
      <c r="B643" s="33" t="s">
        <v>8023</v>
      </c>
      <c r="C643" t="s">
        <v>7514</v>
      </c>
      <c r="D643" s="1962" t="s">
        <v>8024</v>
      </c>
      <c r="E643" s="1962" t="s">
        <v>8025</v>
      </c>
      <c r="F643" s="1981">
        <v>644.23260549999998</v>
      </c>
      <c r="G643" s="1981">
        <v>20</v>
      </c>
      <c r="H643" s="1981">
        <v>815.43863715869998</v>
      </c>
      <c r="I643" s="1981">
        <v>43.4</v>
      </c>
      <c r="J643" s="1981">
        <v>15</v>
      </c>
      <c r="K643" s="1981">
        <v>761.43863715869998</v>
      </c>
      <c r="L643" s="1981">
        <v>50</v>
      </c>
      <c r="M643" s="1981">
        <v>39.4</v>
      </c>
      <c r="N643" s="1981">
        <v>765.55863715869998</v>
      </c>
      <c r="O643" s="1981">
        <v>17.318999999999999</v>
      </c>
      <c r="P643" s="1981">
        <v>40.000010000000003</v>
      </c>
      <c r="Q643" s="1981">
        <v>251.99604165869999</v>
      </c>
      <c r="R643" s="1981">
        <v>3463.7835686348008</v>
      </c>
      <c r="T643" s="48">
        <f t="shared" si="9"/>
        <v>0</v>
      </c>
      <c r="U643" s="48"/>
    </row>
    <row r="644" spans="2:21">
      <c r="B644" s="33" t="s">
        <v>8026</v>
      </c>
      <c r="C644" t="s">
        <v>7515</v>
      </c>
      <c r="D644" s="1962" t="s">
        <v>8027</v>
      </c>
      <c r="E644" s="1962" t="s">
        <v>8028</v>
      </c>
      <c r="F644" s="1981">
        <v>375.25</v>
      </c>
      <c r="G644" s="1981">
        <v>173.5</v>
      </c>
      <c r="H644" s="1981">
        <v>144.584</v>
      </c>
      <c r="I644" s="1981">
        <v>248.1</v>
      </c>
      <c r="J644" s="1981">
        <v>157.75</v>
      </c>
      <c r="K644" s="1981">
        <v>228.35</v>
      </c>
      <c r="L644" s="1981">
        <v>134.75</v>
      </c>
      <c r="M644" s="1981">
        <v>553.4</v>
      </c>
      <c r="N644" s="1981">
        <v>126.75</v>
      </c>
      <c r="O644" s="1981">
        <v>148.94999999999999</v>
      </c>
      <c r="P644" s="1981">
        <v>65.900000000000006</v>
      </c>
      <c r="Q644" s="1981">
        <v>255.75</v>
      </c>
      <c r="R644" s="1981">
        <v>2613.0340000000001</v>
      </c>
      <c r="T644" s="48">
        <f t="shared" si="9"/>
        <v>0</v>
      </c>
      <c r="U644" s="48"/>
    </row>
    <row r="645" spans="2:21">
      <c r="B645" s="33" t="s">
        <v>8029</v>
      </c>
      <c r="C645" t="s">
        <v>7516</v>
      </c>
      <c r="D645" s="1962" t="s">
        <v>8030</v>
      </c>
      <c r="E645" s="1962" t="s">
        <v>8031</v>
      </c>
      <c r="F645" s="1981">
        <v>30.832999999999998</v>
      </c>
      <c r="G645" s="1981">
        <v>30.832999999999998</v>
      </c>
      <c r="H645" s="1981">
        <v>30.832999999999998</v>
      </c>
      <c r="I645" s="1981">
        <v>30.832999999999998</v>
      </c>
      <c r="J645" s="1981">
        <v>30.832999999999998</v>
      </c>
      <c r="K645" s="1981">
        <v>30.832999999999998</v>
      </c>
      <c r="L645" s="1981">
        <v>30.832999999999998</v>
      </c>
      <c r="M645" s="1981">
        <v>30.832999999999998</v>
      </c>
      <c r="N645" s="1981">
        <v>30.832999999999998</v>
      </c>
      <c r="O645" s="1981">
        <v>30.832999999999998</v>
      </c>
      <c r="P645" s="1981">
        <v>30.832999999999998</v>
      </c>
      <c r="Q645" s="1981">
        <v>30.832999999999998</v>
      </c>
      <c r="R645" s="1981">
        <v>369.99599999999987</v>
      </c>
      <c r="T645" s="48">
        <f t="shared" ref="T645:T708" si="10">IF(R645="","",+R645-SUM(F645:Q645))</f>
        <v>0</v>
      </c>
      <c r="U645" s="48"/>
    </row>
    <row r="646" spans="2:21">
      <c r="B646" s="33" t="s">
        <v>8032</v>
      </c>
      <c r="C646" t="s">
        <v>7518</v>
      </c>
      <c r="D646" s="1962" t="s">
        <v>8033</v>
      </c>
      <c r="E646" s="1962" t="s">
        <v>8034</v>
      </c>
      <c r="F646" s="1981">
        <v>242.67095999999998</v>
      </c>
      <c r="G646" s="1981">
        <v>49.478999999999999</v>
      </c>
      <c r="H646" s="1981">
        <v>49.478999999999999</v>
      </c>
      <c r="I646" s="1981">
        <v>242.67095999999998</v>
      </c>
      <c r="J646" s="1981">
        <v>49.478999999999999</v>
      </c>
      <c r="K646" s="1981">
        <v>49.478999999999999</v>
      </c>
      <c r="L646" s="1981">
        <v>242.67095999999998</v>
      </c>
      <c r="M646" s="1981">
        <v>49.478999999999999</v>
      </c>
      <c r="N646" s="1981">
        <v>49.478999999999999</v>
      </c>
      <c r="O646" s="1981">
        <v>242.67095999999998</v>
      </c>
      <c r="P646" s="1981">
        <v>49.478999999999999</v>
      </c>
      <c r="Q646" s="1981">
        <v>49.478999999999999</v>
      </c>
      <c r="R646" s="1981">
        <v>1366.51584</v>
      </c>
      <c r="T646" s="48">
        <f t="shared" si="10"/>
        <v>0</v>
      </c>
      <c r="U646" s="48"/>
    </row>
    <row r="647" spans="2:21">
      <c r="B647" s="33" t="s">
        <v>8035</v>
      </c>
      <c r="C647" t="s">
        <v>7519</v>
      </c>
      <c r="D647" s="1962" t="s">
        <v>8036</v>
      </c>
      <c r="E647" s="1962" t="s">
        <v>8037</v>
      </c>
      <c r="F647" s="1981">
        <v>0.35</v>
      </c>
      <c r="G647" s="1981">
        <v>0</v>
      </c>
      <c r="H647" s="1981">
        <v>0</v>
      </c>
      <c r="I647" s="1981">
        <v>0</v>
      </c>
      <c r="J647" s="1981">
        <v>0.88749999999999996</v>
      </c>
      <c r="K647" s="1981">
        <v>0</v>
      </c>
      <c r="L647" s="1981">
        <v>0</v>
      </c>
      <c r="M647" s="1981">
        <v>0</v>
      </c>
      <c r="N647" s="1981">
        <v>15</v>
      </c>
      <c r="O647" s="1981">
        <v>1</v>
      </c>
      <c r="P647" s="1981">
        <v>0</v>
      </c>
      <c r="Q647" s="1981">
        <v>0</v>
      </c>
      <c r="R647" s="1981">
        <v>17.237500000000001</v>
      </c>
      <c r="T647" s="48">
        <f t="shared" si="10"/>
        <v>0</v>
      </c>
      <c r="U647" s="48"/>
    </row>
    <row r="648" spans="2:21">
      <c r="B648" s="33" t="s">
        <v>8038</v>
      </c>
      <c r="C648" t="s">
        <v>7521</v>
      </c>
      <c r="D648" s="1962" t="s">
        <v>8039</v>
      </c>
      <c r="E648" s="1962" t="s">
        <v>8040</v>
      </c>
      <c r="F648" s="1981">
        <v>11.93125</v>
      </c>
      <c r="G648" s="1981">
        <v>0</v>
      </c>
      <c r="H648" s="1981">
        <v>0</v>
      </c>
      <c r="I648" s="1981">
        <v>0</v>
      </c>
      <c r="J648" s="1981">
        <v>0</v>
      </c>
      <c r="K648" s="1981">
        <v>0</v>
      </c>
      <c r="L648" s="1981">
        <v>0</v>
      </c>
      <c r="M648" s="1981">
        <v>0</v>
      </c>
      <c r="N648" s="1981">
        <v>0</v>
      </c>
      <c r="O648" s="1981">
        <v>0</v>
      </c>
      <c r="P648" s="1981">
        <v>0</v>
      </c>
      <c r="Q648" s="1981">
        <v>0</v>
      </c>
      <c r="R648" s="1981">
        <v>11.93125</v>
      </c>
      <c r="T648" s="48">
        <f t="shared" si="10"/>
        <v>0</v>
      </c>
      <c r="U648" s="48"/>
    </row>
    <row r="649" spans="2:21">
      <c r="B649" s="33" t="s">
        <v>8041</v>
      </c>
      <c r="C649" t="s">
        <v>7522</v>
      </c>
      <c r="D649" s="1962" t="s">
        <v>8042</v>
      </c>
      <c r="E649" s="1962" t="s">
        <v>8043</v>
      </c>
      <c r="F649" s="1981">
        <v>-19.05</v>
      </c>
      <c r="G649" s="1981">
        <v>-19.05</v>
      </c>
      <c r="H649" s="1981">
        <v>-18.45</v>
      </c>
      <c r="I649" s="1981">
        <v>-18.149999999999999</v>
      </c>
      <c r="J649" s="1981">
        <v>-18.75</v>
      </c>
      <c r="K649" s="1981">
        <v>-18.899999999999999</v>
      </c>
      <c r="L649" s="1981">
        <v>-18.899999999999999</v>
      </c>
      <c r="M649" s="1981">
        <v>-18.899999999999999</v>
      </c>
      <c r="N649" s="1981">
        <v>113.40049</v>
      </c>
      <c r="O649" s="1981">
        <v>113.85049000000001</v>
      </c>
      <c r="P649" s="1981">
        <v>114.15049</v>
      </c>
      <c r="Q649" s="1981">
        <v>114.15049999999999</v>
      </c>
      <c r="R649" s="1981">
        <v>305.40197000000001</v>
      </c>
      <c r="T649" s="48">
        <f t="shared" si="10"/>
        <v>0</v>
      </c>
      <c r="U649" s="48"/>
    </row>
    <row r="650" spans="2:21">
      <c r="B650" s="33" t="s">
        <v>8044</v>
      </c>
      <c r="C650" t="s">
        <v>7523</v>
      </c>
      <c r="D650" s="1962" t="s">
        <v>8045</v>
      </c>
      <c r="E650" s="1962" t="s">
        <v>8046</v>
      </c>
      <c r="F650" s="1981">
        <v>0</v>
      </c>
      <c r="G650" s="1981">
        <v>75</v>
      </c>
      <c r="H650" s="1981">
        <v>0</v>
      </c>
      <c r="I650" s="1981">
        <v>0</v>
      </c>
      <c r="J650" s="1981">
        <v>0</v>
      </c>
      <c r="K650" s="1981">
        <v>0</v>
      </c>
      <c r="L650" s="1981">
        <v>0</v>
      </c>
      <c r="M650" s="1981">
        <v>0</v>
      </c>
      <c r="N650" s="1981">
        <v>0</v>
      </c>
      <c r="O650" s="1981">
        <v>0</v>
      </c>
      <c r="P650" s="1981">
        <v>0</v>
      </c>
      <c r="Q650" s="1981">
        <v>0</v>
      </c>
      <c r="R650" s="1981">
        <v>75</v>
      </c>
      <c r="T650" s="48">
        <f t="shared" si="10"/>
        <v>0</v>
      </c>
      <c r="U650" s="48"/>
    </row>
    <row r="651" spans="2:21">
      <c r="B651" s="33" t="s">
        <v>8047</v>
      </c>
      <c r="C651" t="s">
        <v>7524</v>
      </c>
      <c r="D651" s="1962" t="s">
        <v>8048</v>
      </c>
      <c r="E651" s="1962" t="s">
        <v>8049</v>
      </c>
      <c r="F651" s="1981">
        <v>19.983000000000001</v>
      </c>
      <c r="G651" s="1981">
        <v>6.61</v>
      </c>
      <c r="H651" s="1981">
        <v>82.767719999999997</v>
      </c>
      <c r="I651" s="1981">
        <v>11.057</v>
      </c>
      <c r="J651" s="1981">
        <v>8.0329999999999995</v>
      </c>
      <c r="K651" s="1981">
        <v>8.0039999999999996</v>
      </c>
      <c r="L651" s="1981">
        <v>13.917</v>
      </c>
      <c r="M651" s="1981">
        <v>7.55</v>
      </c>
      <c r="N651" s="1981">
        <v>10.75</v>
      </c>
      <c r="O651" s="1981">
        <v>7.55</v>
      </c>
      <c r="P651" s="1981">
        <v>7.55</v>
      </c>
      <c r="Q651" s="1981">
        <v>10.231999999999999</v>
      </c>
      <c r="R651" s="1981">
        <v>194.00372000000002</v>
      </c>
      <c r="T651" s="48">
        <f t="shared" si="10"/>
        <v>0</v>
      </c>
      <c r="U651" s="48"/>
    </row>
    <row r="652" spans="2:21">
      <c r="B652" s="33" t="s">
        <v>8050</v>
      </c>
      <c r="C652" t="s">
        <v>7688</v>
      </c>
      <c r="D652" s="1962" t="s">
        <v>7689</v>
      </c>
      <c r="E652" s="1962" t="s">
        <v>7690</v>
      </c>
      <c r="F652" s="1981">
        <v>123.485</v>
      </c>
      <c r="G652" s="1981">
        <v>0</v>
      </c>
      <c r="H652" s="1981">
        <v>0</v>
      </c>
      <c r="I652" s="1981">
        <v>0</v>
      </c>
      <c r="J652" s="1981">
        <v>0</v>
      </c>
      <c r="K652" s="1981">
        <v>0</v>
      </c>
      <c r="L652" s="1981">
        <v>0</v>
      </c>
      <c r="M652" s="1981">
        <v>0</v>
      </c>
      <c r="N652" s="1981">
        <v>0</v>
      </c>
      <c r="O652" s="1981">
        <v>0</v>
      </c>
      <c r="P652" s="1981">
        <v>0</v>
      </c>
      <c r="Q652" s="1981">
        <v>0</v>
      </c>
      <c r="R652" s="1981">
        <v>123.485</v>
      </c>
      <c r="T652" s="48">
        <f t="shared" si="10"/>
        <v>0</v>
      </c>
      <c r="U652" s="48"/>
    </row>
    <row r="653" spans="2:21">
      <c r="B653" s="33" t="s">
        <v>8051</v>
      </c>
      <c r="C653" t="s">
        <v>7525</v>
      </c>
      <c r="D653" s="1962" t="s">
        <v>8052</v>
      </c>
      <c r="E653" s="1962" t="s">
        <v>8053</v>
      </c>
      <c r="F653" s="1981">
        <v>131.73055650820001</v>
      </c>
      <c r="G653" s="1981">
        <v>131.56055650820002</v>
      </c>
      <c r="H653" s="1981">
        <v>137.45199900819998</v>
      </c>
      <c r="I653" s="1981">
        <v>137.50961900820002</v>
      </c>
      <c r="J653" s="1981">
        <v>137.50555650820002</v>
      </c>
      <c r="K653" s="1981">
        <v>139.83199900819997</v>
      </c>
      <c r="L653" s="1981">
        <v>137.50555650820002</v>
      </c>
      <c r="M653" s="1981">
        <v>137.53555650820002</v>
      </c>
      <c r="N653" s="1981">
        <v>139.8019990082</v>
      </c>
      <c r="O653" s="1981">
        <v>137.50961900820002</v>
      </c>
      <c r="P653" s="1981">
        <v>137.53149400820001</v>
      </c>
      <c r="Q653" s="1981">
        <v>139.83199900819997</v>
      </c>
      <c r="R653" s="1981">
        <v>1645.3065105984001</v>
      </c>
      <c r="T653" s="48">
        <f t="shared" si="10"/>
        <v>0</v>
      </c>
      <c r="U653" s="48"/>
    </row>
    <row r="654" spans="2:21">
      <c r="B654" s="33" t="s">
        <v>8054</v>
      </c>
      <c r="C654" t="s">
        <v>7532</v>
      </c>
      <c r="D654" s="1962" t="s">
        <v>8055</v>
      </c>
      <c r="E654" s="1962" t="s">
        <v>8056</v>
      </c>
      <c r="F654" s="1981">
        <v>-2916.6666666667002</v>
      </c>
      <c r="G654" s="1981">
        <v>-2916.6666666667002</v>
      </c>
      <c r="H654" s="1981">
        <v>-2916.6666666667002</v>
      </c>
      <c r="I654" s="1981">
        <v>-2916.6666666667002</v>
      </c>
      <c r="J654" s="1981">
        <v>-2916.6666666667002</v>
      </c>
      <c r="K654" s="1981">
        <v>-2916.6666666667002</v>
      </c>
      <c r="L654" s="1981">
        <v>-2916.6666666667002</v>
      </c>
      <c r="M654" s="1981">
        <v>-2916.6666666667002</v>
      </c>
      <c r="N654" s="1981">
        <v>-2916.6666666667002</v>
      </c>
      <c r="O654" s="1981">
        <v>-2916.6666666667002</v>
      </c>
      <c r="P654" s="1981">
        <v>-2916.6666666667002</v>
      </c>
      <c r="Q654" s="1981">
        <v>-2916.6666666667002</v>
      </c>
      <c r="R654" s="1981">
        <v>-35000.0000000004</v>
      </c>
      <c r="T654" s="48">
        <f t="shared" si="10"/>
        <v>0</v>
      </c>
      <c r="U654" s="48"/>
    </row>
    <row r="655" spans="2:21">
      <c r="B655" s="33" t="s">
        <v>8057</v>
      </c>
      <c r="C655" t="s">
        <v>7533</v>
      </c>
      <c r="D655" s="1962" t="s">
        <v>8058</v>
      </c>
      <c r="E655" s="1962" t="s">
        <v>8059</v>
      </c>
      <c r="F655" s="1981">
        <v>72.229074248000003</v>
      </c>
      <c r="G655" s="1981">
        <v>72.229074248000003</v>
      </c>
      <c r="H655" s="1981">
        <v>72.314074248000011</v>
      </c>
      <c r="I655" s="1981">
        <v>82.33322771200001</v>
      </c>
      <c r="J655" s="1981">
        <v>82.33322771200001</v>
      </c>
      <c r="K655" s="1981">
        <v>82.33322771200001</v>
      </c>
      <c r="L655" s="1981">
        <v>87.385304443999999</v>
      </c>
      <c r="M655" s="1981">
        <v>87.385304443999999</v>
      </c>
      <c r="N655" s="1981">
        <v>87.385304443999999</v>
      </c>
      <c r="O655" s="1981">
        <v>92.437381176000002</v>
      </c>
      <c r="P655" s="1981">
        <v>92.437381176000002</v>
      </c>
      <c r="Q655" s="1981">
        <v>117.697764836</v>
      </c>
      <c r="R655" s="1981">
        <v>1028.5003464000001</v>
      </c>
      <c r="T655" s="48">
        <f t="shared" si="10"/>
        <v>0</v>
      </c>
      <c r="U655" s="48"/>
    </row>
    <row r="656" spans="2:21">
      <c r="B656" s="33" t="s">
        <v>8060</v>
      </c>
      <c r="C656" t="s">
        <v>7534</v>
      </c>
      <c r="D656" s="1962" t="s">
        <v>8061</v>
      </c>
      <c r="E656" s="1962" t="s">
        <v>8062</v>
      </c>
      <c r="F656" s="1981">
        <v>89.261816545599999</v>
      </c>
      <c r="G656" s="1981">
        <v>200.26181654560003</v>
      </c>
      <c r="H656" s="1981">
        <v>224.26181654560003</v>
      </c>
      <c r="I656" s="1981">
        <v>93.217265087299992</v>
      </c>
      <c r="J656" s="1981">
        <v>93.217265087299992</v>
      </c>
      <c r="K656" s="1981">
        <v>93.217265087299992</v>
      </c>
      <c r="L656" s="1981">
        <v>95.19498935819999</v>
      </c>
      <c r="M656" s="1981">
        <v>95.19498935819999</v>
      </c>
      <c r="N656" s="1981">
        <v>163.19498935819999</v>
      </c>
      <c r="O656" s="1981">
        <v>165.17271362900001</v>
      </c>
      <c r="P656" s="1981">
        <v>177.17271362900001</v>
      </c>
      <c r="Q656" s="1981">
        <v>119.0613349833</v>
      </c>
      <c r="R656" s="1981">
        <v>1608.4289752146003</v>
      </c>
      <c r="T656" s="48">
        <f t="shared" si="10"/>
        <v>0</v>
      </c>
      <c r="U656" s="48"/>
    </row>
    <row r="657" spans="2:21">
      <c r="B657" s="33" t="s">
        <v>8063</v>
      </c>
      <c r="C657" t="s">
        <v>7691</v>
      </c>
      <c r="D657" s="1962" t="s">
        <v>7692</v>
      </c>
      <c r="E657" s="1962" t="s">
        <v>7693</v>
      </c>
      <c r="F657" s="1981">
        <v>93.911578488000004</v>
      </c>
      <c r="G657" s="1981">
        <v>93.911578488000004</v>
      </c>
      <c r="H657" s="1981">
        <v>93.911578488000004</v>
      </c>
      <c r="I657" s="1981">
        <v>107.2846611292</v>
      </c>
      <c r="J657" s="1981">
        <v>107.2846611292</v>
      </c>
      <c r="K657" s="1981">
        <v>107.2846611292</v>
      </c>
      <c r="L657" s="1981">
        <v>113.9712024497</v>
      </c>
      <c r="M657" s="1981">
        <v>113.9712024497</v>
      </c>
      <c r="N657" s="1981">
        <v>113.9712024497</v>
      </c>
      <c r="O657" s="1981">
        <v>120.6577437703</v>
      </c>
      <c r="P657" s="1981">
        <v>120.6577437703</v>
      </c>
      <c r="Q657" s="1981">
        <v>154.09045037320001</v>
      </c>
      <c r="R657" s="1981">
        <v>1340.9082641144998</v>
      </c>
      <c r="T657" s="48">
        <f t="shared" si="10"/>
        <v>0</v>
      </c>
      <c r="U657" s="48"/>
    </row>
    <row r="658" spans="2:21">
      <c r="B658" s="33" t="s">
        <v>8064</v>
      </c>
      <c r="C658" t="s">
        <v>7694</v>
      </c>
      <c r="D658" s="1962" t="s">
        <v>7695</v>
      </c>
      <c r="E658" s="1962" t="s">
        <v>7696</v>
      </c>
      <c r="F658" s="1981">
        <v>21.95975</v>
      </c>
      <c r="G658" s="1981">
        <v>58.95975</v>
      </c>
      <c r="H658" s="1981">
        <v>66.95975</v>
      </c>
      <c r="I658" s="1981">
        <v>21.95975</v>
      </c>
      <c r="J658" s="1981">
        <v>21.95975</v>
      </c>
      <c r="K658" s="1981">
        <v>21.95975</v>
      </c>
      <c r="L658" s="1981">
        <v>21.95975</v>
      </c>
      <c r="M658" s="1981">
        <v>21.95975</v>
      </c>
      <c r="N658" s="1981">
        <v>44.626416666700003</v>
      </c>
      <c r="O658" s="1981">
        <v>44.626416666700003</v>
      </c>
      <c r="P658" s="1981">
        <v>48.626416666700003</v>
      </c>
      <c r="Q658" s="1981">
        <v>25.95975</v>
      </c>
      <c r="R658" s="1981">
        <v>421.51700000009987</v>
      </c>
      <c r="T658" s="48">
        <f t="shared" si="10"/>
        <v>0</v>
      </c>
      <c r="U658" s="48"/>
    </row>
    <row r="659" spans="2:21">
      <c r="B659" s="33" t="s">
        <v>8065</v>
      </c>
      <c r="C659" t="s">
        <v>7537</v>
      </c>
      <c r="D659" s="1962" t="s">
        <v>8066</v>
      </c>
      <c r="E659" s="1962" t="s">
        <v>8067</v>
      </c>
      <c r="F659" s="1981">
        <v>863.28477520439992</v>
      </c>
      <c r="G659" s="1981">
        <v>863.28477520439992</v>
      </c>
      <c r="H659" s="1981">
        <v>1212.8398554282001</v>
      </c>
      <c r="I659" s="1981">
        <v>863.28477520439992</v>
      </c>
      <c r="J659" s="1981">
        <v>863.28477520439992</v>
      </c>
      <c r="K659" s="1981">
        <v>1212.8398554282001</v>
      </c>
      <c r="L659" s="1981">
        <v>863.28477520439992</v>
      </c>
      <c r="M659" s="1981">
        <v>863.28477520439992</v>
      </c>
      <c r="N659" s="1981">
        <v>1212.8398554282001</v>
      </c>
      <c r="O659" s="1981">
        <v>863.28477520439992</v>
      </c>
      <c r="P659" s="1981">
        <v>863.28477520439992</v>
      </c>
      <c r="Q659" s="1981">
        <v>1212.8398554282001</v>
      </c>
      <c r="R659" s="1981">
        <v>11757.637623347999</v>
      </c>
      <c r="T659" s="48">
        <f t="shared" si="10"/>
        <v>0</v>
      </c>
      <c r="U659" s="48"/>
    </row>
    <row r="660" spans="2:21">
      <c r="B660" s="33" t="s">
        <v>8068</v>
      </c>
      <c r="C660" t="s">
        <v>7538</v>
      </c>
      <c r="D660" s="1962" t="s">
        <v>8069</v>
      </c>
      <c r="E660" s="1962" t="s">
        <v>8070</v>
      </c>
      <c r="F660" s="1981">
        <v>89.0678289616</v>
      </c>
      <c r="G660" s="1981">
        <v>100.4591637138</v>
      </c>
      <c r="H660" s="1981">
        <v>114.9907377083</v>
      </c>
      <c r="I660" s="1981">
        <v>126.6681678141</v>
      </c>
      <c r="J660" s="1981">
        <v>104.49204524999999</v>
      </c>
      <c r="K660" s="1981">
        <v>119.2336393361</v>
      </c>
      <c r="L660" s="1981">
        <v>774.41763231540006</v>
      </c>
      <c r="M660" s="1981">
        <v>111.9777325279</v>
      </c>
      <c r="N660" s="1981">
        <v>121.832399881</v>
      </c>
      <c r="O660" s="1981">
        <v>121.8077344626</v>
      </c>
      <c r="P660" s="1981">
        <v>114.7423950619</v>
      </c>
      <c r="Q660" s="1981">
        <v>109.6431860261</v>
      </c>
      <c r="R660" s="1981">
        <v>2009.3326630588001</v>
      </c>
      <c r="T660" s="48">
        <f t="shared" si="10"/>
        <v>0</v>
      </c>
      <c r="U660" s="48"/>
    </row>
    <row r="661" spans="2:21">
      <c r="B661" s="33" t="s">
        <v>8071</v>
      </c>
      <c r="C661" t="s">
        <v>7540</v>
      </c>
      <c r="D661" s="1962" t="s">
        <v>8072</v>
      </c>
      <c r="E661" s="1962" t="s">
        <v>8073</v>
      </c>
      <c r="F661" s="1981">
        <v>-512.03355366660003</v>
      </c>
      <c r="G661" s="1981">
        <v>-512.03353366659996</v>
      </c>
      <c r="H661" s="1981">
        <v>-512.03353366659996</v>
      </c>
      <c r="I661" s="1981">
        <v>-512.03353366659996</v>
      </c>
      <c r="J661" s="1981">
        <v>-512.03353366659996</v>
      </c>
      <c r="K661" s="1981">
        <v>-512.03353366659996</v>
      </c>
      <c r="L661" s="1981">
        <v>-512.03353366659996</v>
      </c>
      <c r="M661" s="1981">
        <v>-512.03353366659996</v>
      </c>
      <c r="N661" s="1981">
        <v>-512.03353366659996</v>
      </c>
      <c r="O661" s="1981">
        <v>-512.03353366659996</v>
      </c>
      <c r="P661" s="1981">
        <v>-499.03353366660002</v>
      </c>
      <c r="Q661" s="1981">
        <v>-512.03353366659996</v>
      </c>
      <c r="R661" s="1981">
        <v>-6131.4024239992004</v>
      </c>
      <c r="T661" s="48">
        <f t="shared" si="10"/>
        <v>0</v>
      </c>
      <c r="U661" s="48"/>
    </row>
    <row r="662" spans="2:21">
      <c r="B662" s="33" t="s">
        <v>8074</v>
      </c>
      <c r="C662" t="s">
        <v>7551</v>
      </c>
      <c r="D662" s="1962" t="s">
        <v>8075</v>
      </c>
      <c r="E662" s="1962" t="s">
        <v>8076</v>
      </c>
      <c r="F662" s="1981">
        <v>37.826326414900002</v>
      </c>
      <c r="G662" s="1981">
        <v>37.826326414900002</v>
      </c>
      <c r="H662" s="1981">
        <v>37.826326414900002</v>
      </c>
      <c r="I662" s="1981">
        <v>37.826326414900002</v>
      </c>
      <c r="J662" s="1981">
        <v>37.826326414900002</v>
      </c>
      <c r="K662" s="1981">
        <v>37.826326414900002</v>
      </c>
      <c r="L662" s="1981">
        <v>37.826326414900002</v>
      </c>
      <c r="M662" s="1981">
        <v>37.826326414900002</v>
      </c>
      <c r="N662" s="1981">
        <v>37.826326414900002</v>
      </c>
      <c r="O662" s="1981">
        <v>37.826326414900002</v>
      </c>
      <c r="P662" s="1981">
        <v>37.826326414900002</v>
      </c>
      <c r="Q662" s="1981">
        <v>37.826326414900002</v>
      </c>
      <c r="R662" s="1981">
        <v>453.9159169788</v>
      </c>
      <c r="T662" s="48">
        <f t="shared" si="10"/>
        <v>0</v>
      </c>
      <c r="U662" s="48"/>
    </row>
    <row r="663" spans="2:21">
      <c r="B663" s="33" t="s">
        <v>8077</v>
      </c>
      <c r="C663" t="s">
        <v>7553</v>
      </c>
      <c r="D663" s="1962" t="s">
        <v>8078</v>
      </c>
      <c r="E663" s="1962" t="s">
        <v>8079</v>
      </c>
      <c r="F663" s="1981">
        <v>88.521899999999988</v>
      </c>
      <c r="G663" s="1981">
        <v>89.082089999999994</v>
      </c>
      <c r="H663" s="1981">
        <v>89.675699999999992</v>
      </c>
      <c r="I663" s="1981">
        <v>90.260750000000002</v>
      </c>
      <c r="J663" s="1981">
        <v>90.848869999999991</v>
      </c>
      <c r="K663" s="1981">
        <v>91.353100000000012</v>
      </c>
      <c r="L663" s="1981">
        <v>91.905339999999995</v>
      </c>
      <c r="M663" s="1981">
        <v>91.848770000000002</v>
      </c>
      <c r="N663" s="1981">
        <v>92.068570000000008</v>
      </c>
      <c r="O663" s="1981">
        <v>92.543639999999996</v>
      </c>
      <c r="P663" s="1981">
        <v>92.868549999999999</v>
      </c>
      <c r="Q663" s="1981">
        <v>93.547899999999998</v>
      </c>
      <c r="R663" s="1981">
        <v>1094.5251799999999</v>
      </c>
      <c r="T663" s="48">
        <f t="shared" si="10"/>
        <v>0</v>
      </c>
      <c r="U663" s="48"/>
    </row>
    <row r="664" spans="2:21">
      <c r="B664" s="33" t="s">
        <v>8080</v>
      </c>
      <c r="C664" t="s">
        <v>8711</v>
      </c>
      <c r="D664" s="1962" t="s">
        <v>8081</v>
      </c>
      <c r="E664" s="1962" t="s">
        <v>8082</v>
      </c>
      <c r="F664" s="1981">
        <v>188.042</v>
      </c>
      <c r="G664" s="1981">
        <v>188.042</v>
      </c>
      <c r="H664" s="1981">
        <v>324.55</v>
      </c>
      <c r="I664" s="1981">
        <v>188.042</v>
      </c>
      <c r="J664" s="1981">
        <v>188.042</v>
      </c>
      <c r="K664" s="1981">
        <v>324.55</v>
      </c>
      <c r="L664" s="1981">
        <v>188.042</v>
      </c>
      <c r="M664" s="1981">
        <v>188.042</v>
      </c>
      <c r="N664" s="1981">
        <v>324.55</v>
      </c>
      <c r="O664" s="1981">
        <v>188.042</v>
      </c>
      <c r="P664" s="1981">
        <v>188.042</v>
      </c>
      <c r="Q664" s="1981">
        <v>324.55</v>
      </c>
      <c r="R664" s="1981">
        <v>2802.5360000000001</v>
      </c>
      <c r="T664" s="48">
        <f t="shared" si="10"/>
        <v>0</v>
      </c>
      <c r="U664" s="48"/>
    </row>
    <row r="665" spans="2:21">
      <c r="B665" s="33" t="s">
        <v>8083</v>
      </c>
      <c r="C665" t="s">
        <v>7562</v>
      </c>
      <c r="D665" s="1962" t="s">
        <v>8084</v>
      </c>
      <c r="E665" s="1962" t="s">
        <v>8085</v>
      </c>
      <c r="F665" s="1981">
        <v>-117.4326164819</v>
      </c>
      <c r="G665" s="1981">
        <v>-95.244273495999991</v>
      </c>
      <c r="H665" s="1981">
        <v>-203.7952120015</v>
      </c>
      <c r="I665" s="1981">
        <v>-153.0362138452</v>
      </c>
      <c r="J665" s="1981">
        <v>294.29102534660001</v>
      </c>
      <c r="K665" s="1981">
        <v>-190.83132000080002</v>
      </c>
      <c r="L665" s="1981">
        <v>-206.94787524260002</v>
      </c>
      <c r="M665" s="1981">
        <v>-281.4682397556</v>
      </c>
      <c r="N665" s="1981">
        <v>-214.02834319589999</v>
      </c>
      <c r="O665" s="1981">
        <v>609.34657716079994</v>
      </c>
      <c r="P665" s="1981">
        <v>-729.51280935160003</v>
      </c>
      <c r="Q665" s="1981">
        <v>-229.89035577960001</v>
      </c>
      <c r="R665" s="1981">
        <v>-1518.5496566433001</v>
      </c>
      <c r="T665" s="48">
        <f t="shared" si="10"/>
        <v>0</v>
      </c>
      <c r="U665" s="48"/>
    </row>
    <row r="666" spans="2:21">
      <c r="B666" s="33" t="s">
        <v>9374</v>
      </c>
      <c r="C666" t="s">
        <v>7573</v>
      </c>
      <c r="D666" s="1962" t="s">
        <v>9375</v>
      </c>
      <c r="E666" s="1962" t="s">
        <v>9376</v>
      </c>
      <c r="F666" s="1981">
        <v>-33.7325581395</v>
      </c>
      <c r="G666" s="1981">
        <v>-33.7325581395</v>
      </c>
      <c r="H666" s="1981">
        <v>-33.7325581395</v>
      </c>
      <c r="I666" s="1981">
        <v>-33.7325581395</v>
      </c>
      <c r="J666" s="1981">
        <v>-33.7325581395</v>
      </c>
      <c r="K666" s="1981">
        <v>-33.7325581395</v>
      </c>
      <c r="L666" s="1981">
        <v>-33.7325581395</v>
      </c>
      <c r="M666" s="1981">
        <v>-33.7325581395</v>
      </c>
      <c r="N666" s="1981">
        <v>-33.7325581395</v>
      </c>
      <c r="O666" s="1981">
        <v>-33.7325581395</v>
      </c>
      <c r="P666" s="1981">
        <v>-33.7325581395</v>
      </c>
      <c r="Q666" s="1981">
        <v>-33.7325581395</v>
      </c>
      <c r="R666" s="1981">
        <v>-404.79069767399989</v>
      </c>
      <c r="T666" s="48">
        <f t="shared" si="10"/>
        <v>0</v>
      </c>
      <c r="U666" s="48"/>
    </row>
    <row r="667" spans="2:21">
      <c r="B667" s="33" t="s">
        <v>8086</v>
      </c>
      <c r="C667" t="s">
        <v>7697</v>
      </c>
      <c r="D667" s="1962" t="s">
        <v>7698</v>
      </c>
      <c r="E667" s="1962" t="s">
        <v>7699</v>
      </c>
      <c r="F667" s="1981">
        <v>0</v>
      </c>
      <c r="G667" s="1981">
        <v>0</v>
      </c>
      <c r="H667" s="1981">
        <v>0</v>
      </c>
      <c r="I667" s="1981">
        <v>0</v>
      </c>
      <c r="J667" s="1981">
        <v>0</v>
      </c>
      <c r="K667" s="1981">
        <v>0</v>
      </c>
      <c r="L667" s="1981">
        <v>0</v>
      </c>
      <c r="M667" s="1981">
        <v>0</v>
      </c>
      <c r="N667" s="1981">
        <v>0</v>
      </c>
      <c r="O667" s="1981">
        <v>0</v>
      </c>
      <c r="P667" s="1981">
        <v>0</v>
      </c>
      <c r="Q667" s="1981">
        <v>0</v>
      </c>
      <c r="R667" s="1981">
        <v>0</v>
      </c>
      <c r="T667" s="48">
        <f t="shared" si="10"/>
        <v>0</v>
      </c>
      <c r="U667" s="48"/>
    </row>
    <row r="668" spans="2:21">
      <c r="B668" s="33" t="s">
        <v>8087</v>
      </c>
      <c r="C668" t="s">
        <v>7582</v>
      </c>
      <c r="D668" s="1962" t="s">
        <v>8088</v>
      </c>
      <c r="E668" s="1962" t="s">
        <v>8089</v>
      </c>
      <c r="F668" s="1981">
        <v>0</v>
      </c>
      <c r="G668" s="1981">
        <v>0</v>
      </c>
      <c r="H668" s="1981">
        <v>0</v>
      </c>
      <c r="I668" s="1981">
        <v>0</v>
      </c>
      <c r="J668" s="1981">
        <v>0</v>
      </c>
      <c r="K668" s="1981">
        <v>0</v>
      </c>
      <c r="L668" s="1981">
        <v>0</v>
      </c>
      <c r="M668" s="1981">
        <v>0</v>
      </c>
      <c r="N668" s="1981">
        <v>0</v>
      </c>
      <c r="O668" s="1981">
        <v>0</v>
      </c>
      <c r="P668" s="1981">
        <v>0</v>
      </c>
      <c r="Q668" s="1981">
        <v>0</v>
      </c>
      <c r="R668" s="1981">
        <v>0</v>
      </c>
      <c r="T668" s="48">
        <f t="shared" si="10"/>
        <v>0</v>
      </c>
      <c r="U668" s="48"/>
    </row>
    <row r="669" spans="2:21">
      <c r="B669" s="33" t="s">
        <v>8090</v>
      </c>
      <c r="C669" t="s">
        <v>7700</v>
      </c>
      <c r="D669" s="1962" t="s">
        <v>7701</v>
      </c>
      <c r="E669" s="1962" t="s">
        <v>7702</v>
      </c>
      <c r="F669" s="1981">
        <v>0</v>
      </c>
      <c r="G669" s="1981">
        <v>0</v>
      </c>
      <c r="H669" s="1981">
        <v>0</v>
      </c>
      <c r="I669" s="1981">
        <v>0</v>
      </c>
      <c r="J669" s="1981">
        <v>0</v>
      </c>
      <c r="K669" s="1981">
        <v>0</v>
      </c>
      <c r="L669" s="1981">
        <v>0</v>
      </c>
      <c r="M669" s="1981">
        <v>0</v>
      </c>
      <c r="N669" s="1981">
        <v>0</v>
      </c>
      <c r="O669" s="1981">
        <v>0</v>
      </c>
      <c r="P669" s="1981">
        <v>0</v>
      </c>
      <c r="Q669" s="1981">
        <v>0</v>
      </c>
      <c r="R669" s="1981">
        <v>0</v>
      </c>
      <c r="T669" s="48">
        <f t="shared" si="10"/>
        <v>0</v>
      </c>
      <c r="U669" s="48"/>
    </row>
    <row r="670" spans="2:21">
      <c r="B670" s="33" t="s">
        <v>8091</v>
      </c>
      <c r="C670" t="s">
        <v>7588</v>
      </c>
      <c r="D670" s="1962" t="s">
        <v>8092</v>
      </c>
      <c r="E670" s="1962" t="s">
        <v>8093</v>
      </c>
      <c r="F670" s="1981">
        <v>60.773734943199997</v>
      </c>
      <c r="G670" s="1981">
        <v>60.836517727299999</v>
      </c>
      <c r="H670" s="1981">
        <v>60.899300511300005</v>
      </c>
      <c r="I670" s="1981">
        <v>59.831993182799998</v>
      </c>
      <c r="J670" s="1981">
        <v>60.020341534899998</v>
      </c>
      <c r="K670" s="1981">
        <v>60.271472671000005</v>
      </c>
      <c r="L670" s="1981">
        <v>60.899300511300005</v>
      </c>
      <c r="M670" s="1981">
        <v>61.527128351599998</v>
      </c>
      <c r="N670" s="1981">
        <v>62.154956192</v>
      </c>
      <c r="O670" s="1981">
        <v>61.527128351599998</v>
      </c>
      <c r="P670" s="1981">
        <v>62.154956192</v>
      </c>
      <c r="Q670" s="1981">
        <v>62.154956192</v>
      </c>
      <c r="R670" s="1981">
        <v>733.05178636100004</v>
      </c>
      <c r="T670" s="48">
        <f t="shared" si="10"/>
        <v>0</v>
      </c>
      <c r="U670" s="48"/>
    </row>
    <row r="671" spans="2:21">
      <c r="B671" s="33" t="s">
        <v>8094</v>
      </c>
      <c r="C671" t="s">
        <v>7589</v>
      </c>
      <c r="D671" s="1962" t="s">
        <v>8095</v>
      </c>
      <c r="E671" s="1962" t="s">
        <v>8096</v>
      </c>
      <c r="F671" s="1981">
        <v>0</v>
      </c>
      <c r="G671" s="1981">
        <v>0</v>
      </c>
      <c r="H671" s="1981">
        <v>0</v>
      </c>
      <c r="I671" s="1981">
        <v>0</v>
      </c>
      <c r="J671" s="1981">
        <v>0</v>
      </c>
      <c r="K671" s="1981">
        <v>0</v>
      </c>
      <c r="L671" s="1981">
        <v>2724.0369999999998</v>
      </c>
      <c r="M671" s="1981">
        <v>1775.963</v>
      </c>
      <c r="N671" s="1981">
        <v>0</v>
      </c>
      <c r="O671" s="1981">
        <v>0</v>
      </c>
      <c r="P671" s="1981">
        <v>0</v>
      </c>
      <c r="Q671" s="1981">
        <v>0</v>
      </c>
      <c r="R671" s="1981">
        <v>4500</v>
      </c>
      <c r="T671" s="48">
        <f t="shared" si="10"/>
        <v>0</v>
      </c>
      <c r="U671" s="48"/>
    </row>
    <row r="672" spans="2:21">
      <c r="B672" s="33" t="s">
        <v>8097</v>
      </c>
      <c r="C672" t="s">
        <v>7592</v>
      </c>
      <c r="D672" s="1962" t="s">
        <v>8098</v>
      </c>
      <c r="E672" s="1962" t="s">
        <v>8099</v>
      </c>
      <c r="F672" s="1981">
        <v>436.2262650568</v>
      </c>
      <c r="G672" s="1981">
        <v>461.7634822727</v>
      </c>
      <c r="H672" s="1981">
        <v>437.30069948869999</v>
      </c>
      <c r="I672" s="1981">
        <v>464.96800681719998</v>
      </c>
      <c r="J672" s="1981">
        <v>431.47965846509999</v>
      </c>
      <c r="K672" s="1981">
        <v>433.328527329</v>
      </c>
      <c r="L672" s="1981">
        <v>497.80069948869999</v>
      </c>
      <c r="M672" s="1981">
        <v>442.27287164839998</v>
      </c>
      <c r="N672" s="1981">
        <v>446.74504380799999</v>
      </c>
      <c r="O672" s="1981">
        <v>497.47287164839997</v>
      </c>
      <c r="P672" s="1981">
        <v>446.94504380799998</v>
      </c>
      <c r="Q672" s="1981">
        <v>482.045043808</v>
      </c>
      <c r="R672" s="1981">
        <v>5478.3482136389994</v>
      </c>
      <c r="T672" s="48">
        <f t="shared" si="10"/>
        <v>0</v>
      </c>
      <c r="U672" s="48"/>
    </row>
    <row r="673" spans="2:21">
      <c r="B673" s="33" t="s">
        <v>8100</v>
      </c>
      <c r="C673" t="s">
        <v>7595</v>
      </c>
      <c r="D673" s="1962" t="s">
        <v>8101</v>
      </c>
      <c r="E673" s="1962" t="s">
        <v>8102</v>
      </c>
      <c r="F673" s="1981">
        <v>31.84657</v>
      </c>
      <c r="G673" s="1981">
        <v>31.84657</v>
      </c>
      <c r="H673" s="1981">
        <v>31.84657</v>
      </c>
      <c r="I673" s="1981">
        <v>31.84657</v>
      </c>
      <c r="J673" s="1981">
        <v>31.84657</v>
      </c>
      <c r="K673" s="1981">
        <v>31.84657</v>
      </c>
      <c r="L673" s="1981">
        <v>31.84657</v>
      </c>
      <c r="M673" s="1981">
        <v>31.84657</v>
      </c>
      <c r="N673" s="1981">
        <v>31.84657</v>
      </c>
      <c r="O673" s="1981">
        <v>31.84657</v>
      </c>
      <c r="P673" s="1981">
        <v>31.84657</v>
      </c>
      <c r="Q673" s="1981">
        <v>31.84657</v>
      </c>
      <c r="R673" s="1981">
        <v>382.15883999999988</v>
      </c>
      <c r="T673" s="48">
        <f t="shared" si="10"/>
        <v>0</v>
      </c>
      <c r="U673" s="48"/>
    </row>
    <row r="674" spans="2:21">
      <c r="B674" s="33" t="s">
        <v>8103</v>
      </c>
      <c r="C674" t="s">
        <v>7601</v>
      </c>
      <c r="D674" s="1962" t="s">
        <v>8104</v>
      </c>
      <c r="E674" s="1962" t="s">
        <v>8105</v>
      </c>
      <c r="F674" s="1981">
        <v>243.5997503294</v>
      </c>
      <c r="G674" s="1981">
        <v>243.70125022529999</v>
      </c>
      <c r="H674" s="1981">
        <v>243.80279241289998</v>
      </c>
      <c r="I674" s="1981">
        <v>243.90437690979999</v>
      </c>
      <c r="J674" s="1981">
        <v>244.00600373349999</v>
      </c>
      <c r="K674" s="1981">
        <v>244.1076729017</v>
      </c>
      <c r="L674" s="1981">
        <v>244.20938443209999</v>
      </c>
      <c r="M674" s="1981">
        <v>244.31113834229998</v>
      </c>
      <c r="N674" s="1981">
        <v>244.41293464990002</v>
      </c>
      <c r="O674" s="1981">
        <v>244.51477337270001</v>
      </c>
      <c r="P674" s="1981">
        <v>244.61665452829999</v>
      </c>
      <c r="Q674" s="1981">
        <v>244.7185781343</v>
      </c>
      <c r="R674" s="1981">
        <v>2929.9053099721996</v>
      </c>
      <c r="T674" s="48">
        <f t="shared" si="10"/>
        <v>0</v>
      </c>
      <c r="U674" s="48"/>
    </row>
    <row r="675" spans="2:21">
      <c r="B675" s="33" t="s">
        <v>8106</v>
      </c>
      <c r="C675" t="s">
        <v>7602</v>
      </c>
      <c r="D675" s="1962" t="s">
        <v>8107</v>
      </c>
      <c r="E675" s="1962" t="s">
        <v>8108</v>
      </c>
      <c r="F675" s="1981">
        <v>5.0711792503999993</v>
      </c>
      <c r="G675" s="1981">
        <v>5.0131647731999998</v>
      </c>
      <c r="H675" s="1981">
        <v>4.9540896332999997</v>
      </c>
      <c r="I675" s="1981">
        <v>4.8949326853000006</v>
      </c>
      <c r="J675" s="1981">
        <v>4.8356924336000002</v>
      </c>
      <c r="K675" s="1981">
        <v>4.7756204543000003</v>
      </c>
      <c r="L675" s="1981">
        <v>4.7154649384000002</v>
      </c>
      <c r="M675" s="1981">
        <v>4.6552247132</v>
      </c>
      <c r="N675" s="1981">
        <v>4.5948996607000003</v>
      </c>
      <c r="O675" s="1981">
        <v>4.5344896615999994</v>
      </c>
      <c r="P675" s="1981">
        <v>4.4739945962999998</v>
      </c>
      <c r="Q675" s="1981">
        <v>4.4134143449000005</v>
      </c>
      <c r="R675" s="1981">
        <v>56.932167145200005</v>
      </c>
      <c r="T675" s="48">
        <f t="shared" si="10"/>
        <v>0</v>
      </c>
      <c r="U675" s="48"/>
    </row>
    <row r="676" spans="2:21">
      <c r="B676" s="33" t="s">
        <v>8109</v>
      </c>
      <c r="C676" t="s">
        <v>7603</v>
      </c>
      <c r="D676" s="1962" t="s">
        <v>8110</v>
      </c>
      <c r="E676" s="1962" t="s">
        <v>8111</v>
      </c>
      <c r="F676" s="1981">
        <v>58.762370000000004</v>
      </c>
      <c r="G676" s="1981">
        <v>58.762370000000004</v>
      </c>
      <c r="H676" s="1981">
        <v>58.762370000000004</v>
      </c>
      <c r="I676" s="1981">
        <v>58.762370000000004</v>
      </c>
      <c r="J676" s="1981">
        <v>58.762370000000004</v>
      </c>
      <c r="K676" s="1981">
        <v>58.762370000000004</v>
      </c>
      <c r="L676" s="1981">
        <v>58.762370000000004</v>
      </c>
      <c r="M676" s="1981">
        <v>58.762370000000004</v>
      </c>
      <c r="N676" s="1981">
        <v>58.762370000000004</v>
      </c>
      <c r="O676" s="1981">
        <v>58.762370000000004</v>
      </c>
      <c r="P676" s="1981">
        <v>58.762370000000004</v>
      </c>
      <c r="Q676" s="1981">
        <v>58.762370000000004</v>
      </c>
      <c r="R676" s="1981">
        <v>705.14844000000028</v>
      </c>
      <c r="T676" s="48">
        <f t="shared" si="10"/>
        <v>0</v>
      </c>
      <c r="U676" s="48"/>
    </row>
    <row r="677" spans="2:21">
      <c r="B677" s="33" t="s">
        <v>8112</v>
      </c>
      <c r="C677" t="s">
        <v>7604</v>
      </c>
      <c r="D677" s="1962" t="s">
        <v>8113</v>
      </c>
      <c r="E677" s="1962" t="s">
        <v>8114</v>
      </c>
      <c r="F677" s="1981">
        <v>46.192879999999995</v>
      </c>
      <c r="G677" s="1981">
        <v>46.192869999999999</v>
      </c>
      <c r="H677" s="1981">
        <v>37.871900000000004</v>
      </c>
      <c r="I677" s="1981">
        <v>0</v>
      </c>
      <c r="J677" s="1981">
        <v>0</v>
      </c>
      <c r="K677" s="1981">
        <v>0</v>
      </c>
      <c r="L677" s="1981">
        <v>0</v>
      </c>
      <c r="M677" s="1981">
        <v>0</v>
      </c>
      <c r="N677" s="1981">
        <v>0</v>
      </c>
      <c r="O677" s="1981">
        <v>0</v>
      </c>
      <c r="P677" s="1981">
        <v>0</v>
      </c>
      <c r="Q677" s="1981">
        <v>0</v>
      </c>
      <c r="R677" s="1981">
        <v>130.25765000000001</v>
      </c>
      <c r="T677" s="48">
        <f t="shared" si="10"/>
        <v>0</v>
      </c>
      <c r="U677" s="48"/>
    </row>
    <row r="678" spans="2:21">
      <c r="B678" s="33" t="s">
        <v>8115</v>
      </c>
      <c r="C678" t="s">
        <v>7606</v>
      </c>
      <c r="D678" s="1962" t="s">
        <v>8116</v>
      </c>
      <c r="E678" s="1962" t="s">
        <v>8117</v>
      </c>
      <c r="F678" s="1981">
        <v>14426.041666666699</v>
      </c>
      <c r="G678" s="1981">
        <v>14426.042666666699</v>
      </c>
      <c r="H678" s="1981">
        <v>14426.043666666699</v>
      </c>
      <c r="I678" s="1981">
        <v>16467.7113333333</v>
      </c>
      <c r="J678" s="1981">
        <v>16467.7123333333</v>
      </c>
      <c r="K678" s="1981">
        <v>16467.7133333333</v>
      </c>
      <c r="L678" s="1981">
        <v>16467.714333333301</v>
      </c>
      <c r="M678" s="1981">
        <v>16467.715333333301</v>
      </c>
      <c r="N678" s="1981">
        <v>16467.716333333301</v>
      </c>
      <c r="O678" s="1981">
        <v>16467.717333333301</v>
      </c>
      <c r="P678" s="1981">
        <v>16467.718333333301</v>
      </c>
      <c r="Q678" s="1981">
        <v>16467.719333333302</v>
      </c>
      <c r="R678" s="1981">
        <v>191487.56599999982</v>
      </c>
      <c r="T678" s="48">
        <f t="shared" si="10"/>
        <v>0</v>
      </c>
      <c r="U678" s="48"/>
    </row>
    <row r="679" spans="2:21">
      <c r="B679" s="33" t="s">
        <v>8118</v>
      </c>
      <c r="C679" t="s">
        <v>7607</v>
      </c>
      <c r="D679" s="1962" t="s">
        <v>8119</v>
      </c>
      <c r="E679" s="1962" t="s">
        <v>8120</v>
      </c>
      <c r="F679" s="1981">
        <v>97.139279999999999</v>
      </c>
      <c r="G679" s="1981">
        <v>97.139279999999999</v>
      </c>
      <c r="H679" s="1981">
        <v>97.139279999999999</v>
      </c>
      <c r="I679" s="1981">
        <v>117.97228</v>
      </c>
      <c r="J679" s="1981">
        <v>117.97228</v>
      </c>
      <c r="K679" s="1981">
        <v>117.97228</v>
      </c>
      <c r="L679" s="1981">
        <v>117.97228</v>
      </c>
      <c r="M679" s="1981">
        <v>117.97228</v>
      </c>
      <c r="N679" s="1981">
        <v>117.97228</v>
      </c>
      <c r="O679" s="1981">
        <v>117.97228</v>
      </c>
      <c r="P679" s="1981">
        <v>117.97228</v>
      </c>
      <c r="Q679" s="1981">
        <v>117.97228</v>
      </c>
      <c r="R679" s="1981">
        <v>1353.1683599999997</v>
      </c>
      <c r="T679" s="48">
        <f t="shared" si="10"/>
        <v>0</v>
      </c>
      <c r="U679" s="48"/>
    </row>
    <row r="680" spans="2:21">
      <c r="B680" s="33" t="s">
        <v>8121</v>
      </c>
      <c r="C680" t="s">
        <v>7609</v>
      </c>
      <c r="D680" s="1962" t="s">
        <v>8122</v>
      </c>
      <c r="E680" s="1962" t="s">
        <v>8123</v>
      </c>
      <c r="F680" s="1981">
        <v>167.82847000000001</v>
      </c>
      <c r="G680" s="1981">
        <v>167.82847000000001</v>
      </c>
      <c r="H680" s="1981">
        <v>167.82847000000001</v>
      </c>
      <c r="I680" s="1981">
        <v>188.66147000000001</v>
      </c>
      <c r="J680" s="1981">
        <v>188.66147000000001</v>
      </c>
      <c r="K680" s="1981">
        <v>188.66147000000001</v>
      </c>
      <c r="L680" s="1981">
        <v>188.66147000000001</v>
      </c>
      <c r="M680" s="1981">
        <v>188.66147000000001</v>
      </c>
      <c r="N680" s="1981">
        <v>188.66147000000001</v>
      </c>
      <c r="O680" s="1981">
        <v>188.66147000000001</v>
      </c>
      <c r="P680" s="1981">
        <v>188.66147000000001</v>
      </c>
      <c r="Q680" s="1981">
        <v>188.66147000000001</v>
      </c>
      <c r="R680" s="1981">
        <v>2201.4386400000003</v>
      </c>
      <c r="T680" s="48">
        <f t="shared" si="10"/>
        <v>0</v>
      </c>
      <c r="U680" s="48"/>
    </row>
    <row r="681" spans="2:21">
      <c r="B681" s="33"/>
      <c r="C681">
        <v>0</v>
      </c>
      <c r="D681" s="1962"/>
      <c r="E681" s="1962"/>
      <c r="F681" s="1981"/>
      <c r="G681" s="1981"/>
      <c r="H681" s="1981"/>
      <c r="I681" s="1981"/>
      <c r="J681" s="1981"/>
      <c r="K681" s="1981"/>
      <c r="L681" s="1981"/>
      <c r="M681" s="1981"/>
      <c r="N681" s="1981"/>
      <c r="O681" s="1981"/>
      <c r="P681" s="1981"/>
      <c r="Q681" s="1981"/>
      <c r="R681" s="1981"/>
      <c r="T681" s="48" t="str">
        <f t="shared" si="10"/>
        <v/>
      </c>
      <c r="U681" s="48"/>
    </row>
    <row r="682" spans="2:21">
      <c r="B682" s="33"/>
      <c r="C682">
        <v>0</v>
      </c>
      <c r="D682" s="1962"/>
      <c r="E682" s="1962"/>
      <c r="F682" s="1981"/>
      <c r="G682" s="1981"/>
      <c r="H682" s="1981"/>
      <c r="I682" s="1981"/>
      <c r="J682" s="1981"/>
      <c r="K682" s="1981"/>
      <c r="L682" s="1981"/>
      <c r="M682" s="1981"/>
      <c r="N682" s="1981"/>
      <c r="O682" s="1981"/>
      <c r="P682" s="1981"/>
      <c r="Q682" s="1981"/>
      <c r="R682" s="1981"/>
      <c r="T682" s="48" t="str">
        <f t="shared" si="10"/>
        <v/>
      </c>
      <c r="U682" s="48"/>
    </row>
    <row r="683" spans="2:21">
      <c r="C683" t="s">
        <v>2360</v>
      </c>
      <c r="D683" s="1983" t="s">
        <v>3148</v>
      </c>
      <c r="E683" s="1984"/>
      <c r="T683" s="48" t="str">
        <f t="shared" si="10"/>
        <v/>
      </c>
      <c r="U683" s="48"/>
    </row>
    <row r="684" spans="2:21">
      <c r="B684" s="33" t="s">
        <v>8124</v>
      </c>
      <c r="C684" t="s">
        <v>2360</v>
      </c>
      <c r="D684" s="1962"/>
      <c r="E684" s="1962"/>
      <c r="F684" s="1981">
        <v>-4841.7153545481997</v>
      </c>
      <c r="G684" s="1981">
        <v>-2503.2994998459003</v>
      </c>
      <c r="H684" s="1981">
        <v>-3045.4509120738999</v>
      </c>
      <c r="I684" s="1981">
        <v>-2146.5069628650995</v>
      </c>
      <c r="J684" s="1981">
        <v>940.61008145879987</v>
      </c>
      <c r="K684" s="1981">
        <v>-2881.0619415771002</v>
      </c>
      <c r="L684" s="1981">
        <v>-1782.7310301145003</v>
      </c>
      <c r="M684" s="1981">
        <v>-334.42273056770011</v>
      </c>
      <c r="N684" s="1981">
        <v>-7760.4525661927028</v>
      </c>
      <c r="O684" s="1981">
        <v>-1439.6498208324001</v>
      </c>
      <c r="P684" s="1981">
        <v>-2783.4296840554002</v>
      </c>
      <c r="Q684" s="1981">
        <v>-7576.1318407928002</v>
      </c>
      <c r="R684" s="1981">
        <v>-36154.242262006905</v>
      </c>
      <c r="T684" s="48">
        <f t="shared" si="10"/>
        <v>0</v>
      </c>
      <c r="U684" s="48"/>
    </row>
    <row r="685" spans="2:21">
      <c r="B685" s="33" t="s">
        <v>8125</v>
      </c>
      <c r="C685" t="s">
        <v>2360</v>
      </c>
      <c r="D685" s="1962"/>
      <c r="E685" s="1962"/>
      <c r="F685" s="1981">
        <v>115635.13029999999</v>
      </c>
      <c r="G685" s="1981">
        <v>104960.17760999998</v>
      </c>
      <c r="H685" s="1981">
        <v>98292.890830000018</v>
      </c>
      <c r="I685" s="1981">
        <v>103942.41960000001</v>
      </c>
      <c r="J685" s="1981">
        <v>119877.88157</v>
      </c>
      <c r="K685" s="1981">
        <v>146246.74651</v>
      </c>
      <c r="L685" s="1981">
        <v>156334.16270999998</v>
      </c>
      <c r="M685" s="1981">
        <v>154563.03750000001</v>
      </c>
      <c r="N685" s="1981">
        <v>160124.17685000002</v>
      </c>
      <c r="O685" s="1981">
        <v>137658.69223000002</v>
      </c>
      <c r="P685" s="1981">
        <v>111697.78739999999</v>
      </c>
      <c r="Q685" s="1981">
        <v>105755.70212000002</v>
      </c>
      <c r="R685" s="1981">
        <v>1515088.8052299998</v>
      </c>
      <c r="T685" s="48">
        <f t="shared" si="10"/>
        <v>0</v>
      </c>
      <c r="U685" s="48"/>
    </row>
    <row r="686" spans="2:21">
      <c r="B686" s="33" t="s">
        <v>8126</v>
      </c>
      <c r="C686" t="s">
        <v>2360</v>
      </c>
      <c r="D686" s="1962"/>
      <c r="E686" s="1962"/>
      <c r="F686" s="1981">
        <v>64901.93746999999</v>
      </c>
      <c r="G686" s="1981">
        <v>62051.681060000003</v>
      </c>
      <c r="H686" s="1981">
        <v>63029.823150000011</v>
      </c>
      <c r="I686" s="1981">
        <v>65849.270759999999</v>
      </c>
      <c r="J686" s="1981">
        <v>68789.92641</v>
      </c>
      <c r="K686" s="1981">
        <v>73380.096730000005</v>
      </c>
      <c r="L686" s="1981">
        <v>75749.337660000005</v>
      </c>
      <c r="M686" s="1981">
        <v>75587.825459999978</v>
      </c>
      <c r="N686" s="1981">
        <v>76124.013650000023</v>
      </c>
      <c r="O686" s="1981">
        <v>72581.45964000003</v>
      </c>
      <c r="P686" s="1981">
        <v>67550.906410000025</v>
      </c>
      <c r="Q686" s="1981">
        <v>64914.88968</v>
      </c>
      <c r="R686" s="1981">
        <v>830511.16808000009</v>
      </c>
      <c r="T686" s="48">
        <f t="shared" si="10"/>
        <v>0</v>
      </c>
      <c r="U686" s="48"/>
    </row>
    <row r="687" spans="2:21">
      <c r="B687" s="33" t="s">
        <v>8127</v>
      </c>
      <c r="C687" t="s">
        <v>2360</v>
      </c>
      <c r="D687" s="1962"/>
      <c r="E687" s="1962"/>
      <c r="F687" s="1981">
        <v>0</v>
      </c>
      <c r="G687" s="1981">
        <v>0</v>
      </c>
      <c r="H687" s="1981">
        <v>0</v>
      </c>
      <c r="I687" s="1981">
        <v>0</v>
      </c>
      <c r="J687" s="1981">
        <v>0</v>
      </c>
      <c r="K687" s="1981">
        <v>0</v>
      </c>
      <c r="L687" s="1981">
        <v>0</v>
      </c>
      <c r="M687" s="1981">
        <v>0</v>
      </c>
      <c r="N687" s="1981">
        <v>0</v>
      </c>
      <c r="O687" s="1981">
        <v>0</v>
      </c>
      <c r="P687" s="1981">
        <v>0</v>
      </c>
      <c r="Q687" s="1981">
        <v>0</v>
      </c>
      <c r="R687" s="1981">
        <v>0</v>
      </c>
      <c r="T687" s="48">
        <f t="shared" si="10"/>
        <v>0</v>
      </c>
      <c r="U687" s="48"/>
    </row>
    <row r="688" spans="2:21">
      <c r="B688" s="33" t="s">
        <v>8128</v>
      </c>
      <c r="C688" t="s">
        <v>2360</v>
      </c>
      <c r="D688" s="1962"/>
      <c r="E688" s="1962"/>
      <c r="F688" s="1981">
        <v>17058.712170000003</v>
      </c>
      <c r="G688" s="1981">
        <v>17018.558430000001</v>
      </c>
      <c r="H688" s="1981">
        <v>17026.875339999999</v>
      </c>
      <c r="I688" s="1981">
        <v>17442.880089999999</v>
      </c>
      <c r="J688" s="1981">
        <v>18200.717629999999</v>
      </c>
      <c r="K688" s="1981">
        <v>19224.84662</v>
      </c>
      <c r="L688" s="1981">
        <v>19370.545299999998</v>
      </c>
      <c r="M688" s="1981">
        <v>19528.540159999993</v>
      </c>
      <c r="N688" s="1981">
        <v>19789.138050000005</v>
      </c>
      <c r="O688" s="1981">
        <v>19302.467389999998</v>
      </c>
      <c r="P688" s="1981">
        <v>17886.107529999997</v>
      </c>
      <c r="Q688" s="1981">
        <v>17290.131700000002</v>
      </c>
      <c r="R688" s="1981">
        <v>219139.52041000003</v>
      </c>
      <c r="T688" s="48">
        <f t="shared" si="10"/>
        <v>0</v>
      </c>
      <c r="U688" s="48"/>
    </row>
    <row r="689" spans="2:21">
      <c r="B689" s="33" t="s">
        <v>8129</v>
      </c>
      <c r="C689">
        <v>0</v>
      </c>
      <c r="D689" s="1962"/>
      <c r="E689" s="1962"/>
      <c r="F689" s="1981">
        <v>205.66099999959999</v>
      </c>
      <c r="G689" s="1981">
        <v>218.8518</v>
      </c>
      <c r="H689" s="1981">
        <v>186.97239999999999</v>
      </c>
      <c r="I689" s="1981">
        <v>134.303</v>
      </c>
      <c r="J689" s="1981">
        <v>159.1225999996</v>
      </c>
      <c r="K689" s="1981">
        <v>128.89599999999999</v>
      </c>
      <c r="L689" s="1981">
        <v>142.8552</v>
      </c>
      <c r="M689" s="1981">
        <v>147.5086</v>
      </c>
      <c r="N689" s="1981">
        <v>187.86320000000001</v>
      </c>
      <c r="O689" s="1981">
        <v>154.27920000000003</v>
      </c>
      <c r="P689" s="1981">
        <v>194.69499999999999</v>
      </c>
      <c r="Q689" s="1981">
        <v>164.767</v>
      </c>
      <c r="R689" s="1981">
        <v>2025.7749999992</v>
      </c>
      <c r="T689" s="48">
        <f t="shared" si="10"/>
        <v>0</v>
      </c>
      <c r="U689" s="48"/>
    </row>
    <row r="690" spans="2:21">
      <c r="B690" s="33" t="s">
        <v>2058</v>
      </c>
      <c r="C690">
        <v>0</v>
      </c>
      <c r="D690" s="1962"/>
      <c r="E690" s="1962"/>
      <c r="F690" s="1981">
        <v>1786.9446780832998</v>
      </c>
      <c r="G690" s="1981">
        <v>1785.7524800832998</v>
      </c>
      <c r="H690" s="1981">
        <v>1787.2840145832999</v>
      </c>
      <c r="I690" s="1981">
        <v>1787.0590168332999</v>
      </c>
      <c r="J690" s="1981">
        <v>1787.2320880832999</v>
      </c>
      <c r="K690" s="1981">
        <v>1786.4382973332999</v>
      </c>
      <c r="L690" s="1981">
        <v>1787.2248823332998</v>
      </c>
      <c r="M690" s="1981">
        <v>1787.2275883332998</v>
      </c>
      <c r="N690" s="1981">
        <v>1787.3167633332998</v>
      </c>
      <c r="O690" s="1981">
        <v>1787.4049133332999</v>
      </c>
      <c r="P690" s="1981">
        <v>1787.4940883332999</v>
      </c>
      <c r="Q690" s="1981">
        <v>1787.5853133332998</v>
      </c>
      <c r="R690" s="1981">
        <v>21444.964123999598</v>
      </c>
      <c r="T690" s="48">
        <f t="shared" si="10"/>
        <v>0</v>
      </c>
      <c r="U690" s="48"/>
    </row>
    <row r="691" spans="2:21">
      <c r="B691" s="33" t="s">
        <v>2060</v>
      </c>
      <c r="C691" t="s">
        <v>2360</v>
      </c>
      <c r="D691" s="1962"/>
      <c r="E691" s="1962"/>
      <c r="F691" s="1981">
        <v>1233.3337526288001</v>
      </c>
      <c r="G691" s="1981">
        <v>1638.4748483595001</v>
      </c>
      <c r="H691" s="1981">
        <v>1222.5792837029001</v>
      </c>
      <c r="I691" s="1981">
        <v>1241.9482421316</v>
      </c>
      <c r="J691" s="1981">
        <v>1203.8491032971001</v>
      </c>
      <c r="K691" s="1981">
        <v>1205.7711770170001</v>
      </c>
      <c r="L691" s="1981">
        <v>1209.4707322520999</v>
      </c>
      <c r="M691" s="1981">
        <v>1288.5568198998001</v>
      </c>
      <c r="N691" s="1981">
        <v>1218.8607349216002</v>
      </c>
      <c r="O691" s="1981">
        <v>1237.6614461676002</v>
      </c>
      <c r="P691" s="1981">
        <v>1222.4989809168001</v>
      </c>
      <c r="Q691" s="1981">
        <v>1232.452858592</v>
      </c>
      <c r="R691" s="1981">
        <v>15155.4579798868</v>
      </c>
      <c r="T691" s="48">
        <f t="shared" si="10"/>
        <v>0</v>
      </c>
      <c r="U691" s="48"/>
    </row>
    <row r="692" spans="2:21">
      <c r="B692" s="33" t="s">
        <v>2063</v>
      </c>
      <c r="C692" t="s">
        <v>2360</v>
      </c>
      <c r="D692" s="1962"/>
      <c r="E692" s="1962"/>
      <c r="F692" s="1981">
        <v>0</v>
      </c>
      <c r="G692" s="1981">
        <v>0</v>
      </c>
      <c r="H692" s="1981">
        <v>0</v>
      </c>
      <c r="I692" s="1981">
        <v>0</v>
      </c>
      <c r="J692" s="1981">
        <v>0</v>
      </c>
      <c r="K692" s="1981">
        <v>0</v>
      </c>
      <c r="L692" s="1981">
        <v>0</v>
      </c>
      <c r="M692" s="1981">
        <v>0</v>
      </c>
      <c r="N692" s="1981">
        <v>0</v>
      </c>
      <c r="O692" s="1981">
        <v>0</v>
      </c>
      <c r="P692" s="1981">
        <v>0</v>
      </c>
      <c r="Q692" s="1981">
        <v>0</v>
      </c>
      <c r="R692" s="1981">
        <v>0</v>
      </c>
      <c r="T692" s="48">
        <f t="shared" si="10"/>
        <v>0</v>
      </c>
      <c r="U692" s="48"/>
    </row>
    <row r="693" spans="2:21">
      <c r="B693" s="33" t="s">
        <v>2065</v>
      </c>
      <c r="C693" t="s">
        <v>2360</v>
      </c>
      <c r="D693" s="1962"/>
      <c r="E693" s="1962"/>
      <c r="F693" s="1981">
        <v>-1374.7551313503</v>
      </c>
      <c r="G693" s="1981">
        <v>-4042.9497379569002</v>
      </c>
      <c r="H693" s="1981">
        <v>5046.0742308971003</v>
      </c>
      <c r="I693" s="1981">
        <v>5535.4532133805005</v>
      </c>
      <c r="J693" s="1981">
        <v>11265.2481928856</v>
      </c>
      <c r="K693" s="1981">
        <v>4595.3367290633996</v>
      </c>
      <c r="L693" s="1981">
        <v>3379.5482961132998</v>
      </c>
      <c r="M693" s="1981">
        <v>5651.4545620394993</v>
      </c>
      <c r="N693" s="1981">
        <v>-8097.5655833931005</v>
      </c>
      <c r="O693" s="1981">
        <v>-3942.7976344424005</v>
      </c>
      <c r="P693" s="1981">
        <v>-8221.399705768401</v>
      </c>
      <c r="Q693" s="1981">
        <v>1585.1270670560998</v>
      </c>
      <c r="R693" s="1981">
        <v>11378.774498524395</v>
      </c>
      <c r="T693" s="48">
        <f t="shared" si="10"/>
        <v>0</v>
      </c>
      <c r="U693" s="48"/>
    </row>
    <row r="694" spans="2:21">
      <c r="B694" s="33" t="s">
        <v>8130</v>
      </c>
      <c r="C694">
        <v>0</v>
      </c>
      <c r="D694" s="1962"/>
      <c r="E694" s="1962"/>
      <c r="F694" s="1981">
        <v>14444.014984417701</v>
      </c>
      <c r="G694" s="1981">
        <v>13161.848269726801</v>
      </c>
      <c r="H694" s="1981">
        <v>13211.7675000605</v>
      </c>
      <c r="I694" s="1981">
        <v>14075.534710559901</v>
      </c>
      <c r="J694" s="1981">
        <v>14634.686536658699</v>
      </c>
      <c r="K694" s="1981">
        <v>12638.9272833014</v>
      </c>
      <c r="L694" s="1981">
        <v>14765.885368814401</v>
      </c>
      <c r="M694" s="1981">
        <v>14101.633368564102</v>
      </c>
      <c r="N694" s="1981">
        <v>13375.669031576203</v>
      </c>
      <c r="O694" s="1981">
        <v>14893.353502886401</v>
      </c>
      <c r="P694" s="1981">
        <v>13458.1060644056</v>
      </c>
      <c r="Q694" s="1981">
        <v>14168.242421020599</v>
      </c>
      <c r="R694" s="1981">
        <v>166929.66904199231</v>
      </c>
      <c r="T694" s="48">
        <f t="shared" si="10"/>
        <v>0</v>
      </c>
      <c r="U694" s="48"/>
    </row>
    <row r="695" spans="2:21">
      <c r="B695" s="33" t="s">
        <v>8131</v>
      </c>
      <c r="C695" t="s">
        <v>2360</v>
      </c>
      <c r="D695" s="1962"/>
      <c r="E695" s="1962"/>
      <c r="F695" s="1981">
        <v>11826.161510252001</v>
      </c>
      <c r="G695" s="1981">
        <v>11443.033459454899</v>
      </c>
      <c r="H695" s="1981">
        <v>14899.935642035001</v>
      </c>
      <c r="I695" s="1981">
        <v>11725.056196064699</v>
      </c>
      <c r="J695" s="1981">
        <v>11885.0418694291</v>
      </c>
      <c r="K695" s="1981">
        <v>14733.7224383135</v>
      </c>
      <c r="L695" s="1981">
        <v>11925.721187004801</v>
      </c>
      <c r="M695" s="1981">
        <v>11721.7435737413</v>
      </c>
      <c r="N695" s="1981">
        <v>14945.208192862399</v>
      </c>
      <c r="O695" s="1981">
        <v>11956.8434428444</v>
      </c>
      <c r="P695" s="1981">
        <v>11545.539588633201</v>
      </c>
      <c r="Q695" s="1981">
        <v>15172.560544257802</v>
      </c>
      <c r="R695" s="1981">
        <v>153780.56764489313</v>
      </c>
      <c r="T695" s="48">
        <f t="shared" si="10"/>
        <v>0</v>
      </c>
      <c r="U695" s="48"/>
    </row>
    <row r="696" spans="2:21">
      <c r="B696" s="33" t="s">
        <v>8132</v>
      </c>
      <c r="C696" t="s">
        <v>2360</v>
      </c>
      <c r="D696" s="1962"/>
      <c r="E696" s="1962"/>
      <c r="F696" s="1981">
        <v>475.18153253920002</v>
      </c>
      <c r="G696" s="1981">
        <v>460.34251649470002</v>
      </c>
      <c r="H696" s="1981">
        <v>498.30680426969991</v>
      </c>
      <c r="I696" s="1981">
        <v>521.76340588790003</v>
      </c>
      <c r="J696" s="1981">
        <v>468.30149646699999</v>
      </c>
      <c r="K696" s="1981">
        <v>590.64049540370002</v>
      </c>
      <c r="L696" s="1981">
        <v>464.74715298110004</v>
      </c>
      <c r="M696" s="1981">
        <v>460.81096438650002</v>
      </c>
      <c r="N696" s="1981">
        <v>530.05252354190009</v>
      </c>
      <c r="O696" s="1981">
        <v>514.13382245850005</v>
      </c>
      <c r="P696" s="1981">
        <v>487.75478339430003</v>
      </c>
      <c r="Q696" s="1981">
        <v>661.18155412589999</v>
      </c>
      <c r="R696" s="1981">
        <v>6133.2170519503998</v>
      </c>
      <c r="T696" s="48">
        <f t="shared" si="10"/>
        <v>0</v>
      </c>
      <c r="U696" s="48"/>
    </row>
    <row r="697" spans="2:21">
      <c r="B697" s="33" t="s">
        <v>8133</v>
      </c>
      <c r="C697">
        <v>0</v>
      </c>
      <c r="D697" s="1962"/>
      <c r="E697" s="1962"/>
      <c r="F697" s="1981">
        <v>13006.293913288599</v>
      </c>
      <c r="G697" s="1981">
        <v>11821.650454573099</v>
      </c>
      <c r="H697" s="1981">
        <v>12837.860594418398</v>
      </c>
      <c r="I697" s="1981">
        <v>14817.340615639998</v>
      </c>
      <c r="J697" s="1981">
        <v>12797.254025530798</v>
      </c>
      <c r="K697" s="1981">
        <v>12852.7377903858</v>
      </c>
      <c r="L697" s="1981">
        <v>13854.674569791499</v>
      </c>
      <c r="M697" s="1981">
        <v>13360.508749310098</v>
      </c>
      <c r="N697" s="1981">
        <v>15663.428380319401</v>
      </c>
      <c r="O697" s="1981">
        <v>16594.957477727898</v>
      </c>
      <c r="P697" s="1981">
        <v>14748.844713913799</v>
      </c>
      <c r="Q697" s="1981">
        <v>13846.895521326202</v>
      </c>
      <c r="R697" s="1981">
        <v>166202.44680622558</v>
      </c>
      <c r="T697" s="48">
        <f t="shared" si="10"/>
        <v>0</v>
      </c>
      <c r="U697" s="48"/>
    </row>
    <row r="698" spans="2:21">
      <c r="B698" s="33" t="s">
        <v>8134</v>
      </c>
      <c r="C698" t="s">
        <v>2360</v>
      </c>
      <c r="D698" s="1962"/>
      <c r="E698" s="1962"/>
      <c r="F698" s="1981">
        <v>55982.6743333333</v>
      </c>
      <c r="G698" s="1981">
        <v>48386.561333333295</v>
      </c>
      <c r="H698" s="1981">
        <v>48732.321333333297</v>
      </c>
      <c r="I698" s="1981">
        <v>49087.697000000007</v>
      </c>
      <c r="J698" s="1981">
        <v>55456.4093333333</v>
      </c>
      <c r="K698" s="1981">
        <v>61761.942333333303</v>
      </c>
      <c r="L698" s="1981">
        <v>67677.431333333298</v>
      </c>
      <c r="M698" s="1981">
        <v>68624.636333333299</v>
      </c>
      <c r="N698" s="1981">
        <v>63049.043333333299</v>
      </c>
      <c r="O698" s="1981">
        <v>59403.483333333301</v>
      </c>
      <c r="P698" s="1981">
        <v>50576.670333333299</v>
      </c>
      <c r="Q698" s="1981">
        <v>56739.293333333299</v>
      </c>
      <c r="R698" s="1981">
        <v>685478.16366666637</v>
      </c>
      <c r="T698" s="48">
        <f t="shared" si="10"/>
        <v>0</v>
      </c>
      <c r="U698" s="48"/>
    </row>
    <row r="699" spans="2:21">
      <c r="B699" s="33" t="s">
        <v>8135</v>
      </c>
      <c r="C699" t="s">
        <v>2360</v>
      </c>
      <c r="D699" s="1962"/>
      <c r="E699" s="1962"/>
      <c r="F699" s="1981">
        <v>3864.376636425</v>
      </c>
      <c r="G699" s="1981">
        <v>3983.1686522620998</v>
      </c>
      <c r="H699" s="1981">
        <v>1989.2396562014001</v>
      </c>
      <c r="I699" s="1981">
        <v>4272.1801007372005</v>
      </c>
      <c r="J699" s="1981">
        <v>622.03757177720001</v>
      </c>
      <c r="K699" s="1981">
        <v>267.66828000000004</v>
      </c>
      <c r="L699" s="1981">
        <v>63.859319890899997</v>
      </c>
      <c r="M699" s="1981">
        <v>66.494354080899996</v>
      </c>
      <c r="N699" s="1981">
        <v>253.41823410219999</v>
      </c>
      <c r="O699" s="1981">
        <v>970.59140394149995</v>
      </c>
      <c r="P699" s="1981">
        <v>187.47606071280001</v>
      </c>
      <c r="Q699" s="1981">
        <v>242.74475343360001</v>
      </c>
      <c r="R699" s="1981">
        <v>16783.255023564801</v>
      </c>
      <c r="T699" s="48">
        <f t="shared" si="10"/>
        <v>0</v>
      </c>
      <c r="U699" s="48"/>
    </row>
    <row r="700" spans="2:21">
      <c r="B700" s="33" t="s">
        <v>8136</v>
      </c>
      <c r="C700" t="s">
        <v>2360</v>
      </c>
      <c r="D700" s="1962"/>
      <c r="E700" s="1962"/>
      <c r="F700" s="1981">
        <v>1665.8354210482003</v>
      </c>
      <c r="G700" s="1981">
        <v>1448.7590763605999</v>
      </c>
      <c r="H700" s="1981">
        <v>2294.3103737423999</v>
      </c>
      <c r="I700" s="1981">
        <v>2363.0049220403998</v>
      </c>
      <c r="J700" s="1981">
        <v>2085.5493109660001</v>
      </c>
      <c r="K700" s="1981">
        <v>1861.3834877444001</v>
      </c>
      <c r="L700" s="1981">
        <v>1714.3558883828002</v>
      </c>
      <c r="M700" s="1981">
        <v>1790.3903112052003</v>
      </c>
      <c r="N700" s="1981">
        <v>1897.926010461</v>
      </c>
      <c r="O700" s="1981">
        <v>2494.7259006909999</v>
      </c>
      <c r="P700" s="1981">
        <v>2486.3719543779998</v>
      </c>
      <c r="Q700" s="1981">
        <v>2286.1763738984005</v>
      </c>
      <c r="R700" s="1981">
        <v>24388.7890309184</v>
      </c>
      <c r="T700" s="48">
        <f t="shared" si="10"/>
        <v>0</v>
      </c>
      <c r="U700" s="48"/>
    </row>
    <row r="701" spans="2:21">
      <c r="B701" s="33" t="s">
        <v>8137</v>
      </c>
      <c r="C701" t="s">
        <v>2360</v>
      </c>
      <c r="D701" s="1962"/>
      <c r="E701" s="1962"/>
      <c r="F701" s="1981">
        <v>-1725.0657784523999</v>
      </c>
      <c r="G701" s="1981">
        <v>-1727.6147172747001</v>
      </c>
      <c r="H701" s="1981">
        <v>-1729.7208993408001</v>
      </c>
      <c r="I701" s="1981">
        <v>-1729.2775543643002</v>
      </c>
      <c r="J701" s="1981">
        <v>-1726.0663547281999</v>
      </c>
      <c r="K701" s="1981">
        <v>-1741.1537410638</v>
      </c>
      <c r="L701" s="1981">
        <v>-1805.9802710186</v>
      </c>
      <c r="M701" s="1981">
        <v>-1741.4633943357001</v>
      </c>
      <c r="N701" s="1981">
        <v>-1741.6837347176001</v>
      </c>
      <c r="O701" s="1981">
        <v>-1742.5073504818999</v>
      </c>
      <c r="P701" s="1981">
        <v>-1745.6099023996001</v>
      </c>
      <c r="Q701" s="1981">
        <v>-1764.6595982856002</v>
      </c>
      <c r="R701" s="1981">
        <v>-20920.8032964632</v>
      </c>
      <c r="T701" s="48">
        <f t="shared" si="10"/>
        <v>0</v>
      </c>
      <c r="U701" s="48"/>
    </row>
    <row r="702" spans="2:21">
      <c r="B702" s="33" t="s">
        <v>8138</v>
      </c>
      <c r="C702" t="s">
        <v>2360</v>
      </c>
      <c r="D702" s="1962"/>
      <c r="E702" s="1962"/>
      <c r="F702" s="1981">
        <v>3280.3617171856999</v>
      </c>
      <c r="G702" s="1981">
        <v>3280.3615881421001</v>
      </c>
      <c r="H702" s="1981">
        <v>3513.1840181421003</v>
      </c>
      <c r="I702" s="1981">
        <v>3509.7420381421002</v>
      </c>
      <c r="J702" s="1981">
        <v>3509.7845837654004</v>
      </c>
      <c r="K702" s="1981">
        <v>3652.7343712054003</v>
      </c>
      <c r="L702" s="1981">
        <v>3649.2925081421008</v>
      </c>
      <c r="M702" s="1981">
        <v>3655.4787531421007</v>
      </c>
      <c r="N702" s="1981">
        <v>3658.920848142101</v>
      </c>
      <c r="O702" s="1981">
        <v>3655.478848142101</v>
      </c>
      <c r="P702" s="1981">
        <v>3655.478848142101</v>
      </c>
      <c r="Q702" s="1981">
        <v>4285.8575779675002</v>
      </c>
      <c r="R702" s="1981">
        <v>43306.675700260799</v>
      </c>
      <c r="T702" s="48">
        <f t="shared" si="10"/>
        <v>0</v>
      </c>
      <c r="U702" s="48"/>
    </row>
    <row r="703" spans="2:21">
      <c r="B703" s="33" t="s">
        <v>8139</v>
      </c>
      <c r="C703" t="s">
        <v>2360</v>
      </c>
      <c r="D703" s="1962"/>
      <c r="E703" s="1962"/>
      <c r="F703" s="1981">
        <v>42.7487399583</v>
      </c>
      <c r="G703" s="1981">
        <v>42.856739958300004</v>
      </c>
      <c r="H703" s="1981">
        <v>42.698739958300003</v>
      </c>
      <c r="I703" s="1981">
        <v>47.468739958299999</v>
      </c>
      <c r="J703" s="1981">
        <v>42.717739958300001</v>
      </c>
      <c r="K703" s="1981">
        <v>42.6967399583</v>
      </c>
      <c r="L703" s="1981">
        <v>42.6967399583</v>
      </c>
      <c r="M703" s="1981">
        <v>42.6967399583</v>
      </c>
      <c r="N703" s="1981">
        <v>42.6967399583</v>
      </c>
      <c r="O703" s="1981">
        <v>42.6967399583</v>
      </c>
      <c r="P703" s="1981">
        <v>42.6967399583</v>
      </c>
      <c r="Q703" s="1981">
        <v>47.347739958300004</v>
      </c>
      <c r="R703" s="1981">
        <v>522.01887949959996</v>
      </c>
      <c r="T703" s="48">
        <f t="shared" si="10"/>
        <v>0</v>
      </c>
      <c r="U703" s="48"/>
    </row>
    <row r="704" spans="2:21">
      <c r="B704" s="33" t="s">
        <v>8140</v>
      </c>
      <c r="C704" t="s">
        <v>2360</v>
      </c>
      <c r="D704" s="1962"/>
      <c r="E704" s="1962"/>
      <c r="F704" s="1981">
        <v>310.57783549999999</v>
      </c>
      <c r="G704" s="1981">
        <v>267.4677355</v>
      </c>
      <c r="H704" s="1981">
        <v>267.4677355</v>
      </c>
      <c r="I704" s="1981">
        <v>267.4677355</v>
      </c>
      <c r="J704" s="1981">
        <v>267.50487550000003</v>
      </c>
      <c r="K704" s="1981">
        <v>267.50487550000003</v>
      </c>
      <c r="L704" s="1981">
        <v>267.50487550000003</v>
      </c>
      <c r="M704" s="1981">
        <v>267.50487550000003</v>
      </c>
      <c r="N704" s="1981">
        <v>267.50487550000003</v>
      </c>
      <c r="O704" s="1981">
        <v>267.50487550000003</v>
      </c>
      <c r="P704" s="1981">
        <v>267.50487550000003</v>
      </c>
      <c r="Q704" s="1981">
        <v>284.00887549999999</v>
      </c>
      <c r="R704" s="1981">
        <v>3269.524046</v>
      </c>
      <c r="T704" s="48">
        <f t="shared" si="10"/>
        <v>0</v>
      </c>
      <c r="U704" s="48"/>
    </row>
    <row r="705" spans="2:21">
      <c r="B705" s="33" t="s">
        <v>8141</v>
      </c>
      <c r="C705">
        <v>0</v>
      </c>
      <c r="D705" s="1962"/>
      <c r="E705" s="1962"/>
      <c r="F705" s="1981">
        <v>429.67464959</v>
      </c>
      <c r="G705" s="1981">
        <v>429.80697958999997</v>
      </c>
      <c r="H705" s="1981">
        <v>436.62594959</v>
      </c>
      <c r="I705" s="1981">
        <v>446.90888371509999</v>
      </c>
      <c r="J705" s="1981">
        <v>449.16375371509997</v>
      </c>
      <c r="K705" s="1981">
        <v>458.26201704839997</v>
      </c>
      <c r="L705" s="1981">
        <v>461.93086411099995</v>
      </c>
      <c r="M705" s="1981">
        <v>461.78586411099997</v>
      </c>
      <c r="N705" s="1981">
        <v>441.54986411099998</v>
      </c>
      <c r="O705" s="1981">
        <v>452.35671117359999</v>
      </c>
      <c r="P705" s="1981">
        <v>510.36521117360002</v>
      </c>
      <c r="Q705" s="1981">
        <v>526.52054648639989</v>
      </c>
      <c r="R705" s="1981">
        <v>5504.9512944152002</v>
      </c>
      <c r="T705" s="48">
        <f t="shared" si="10"/>
        <v>0</v>
      </c>
      <c r="U705" s="48"/>
    </row>
    <row r="706" spans="2:21">
      <c r="B706" s="33" t="s">
        <v>8142</v>
      </c>
      <c r="C706">
        <v>0</v>
      </c>
      <c r="D706" s="1962"/>
      <c r="E706" s="1962"/>
      <c r="F706" s="1981">
        <v>-132.86599999999999</v>
      </c>
      <c r="G706" s="1981">
        <v>-132.86599999999999</v>
      </c>
      <c r="H706" s="1981">
        <v>-192.20874039130001</v>
      </c>
      <c r="I706" s="1981">
        <v>-192.20874039130001</v>
      </c>
      <c r="J706" s="1981">
        <v>-192.20874039130001</v>
      </c>
      <c r="K706" s="1981">
        <v>-192.20874039130001</v>
      </c>
      <c r="L706" s="1981">
        <v>-192.20874039130001</v>
      </c>
      <c r="M706" s="1981">
        <v>-192.20874039130001</v>
      </c>
      <c r="N706" s="1981">
        <v>-192.20874039130001</v>
      </c>
      <c r="O706" s="1981">
        <v>-192.20874039130001</v>
      </c>
      <c r="P706" s="1981">
        <v>-192.20874039130001</v>
      </c>
      <c r="Q706" s="1981">
        <v>-192.24374039130001</v>
      </c>
      <c r="R706" s="1981">
        <v>-2187.8544039130006</v>
      </c>
      <c r="T706" s="48">
        <f t="shared" si="10"/>
        <v>0</v>
      </c>
      <c r="U706" s="48"/>
    </row>
    <row r="707" spans="2:21">
      <c r="B707" s="33" t="s">
        <v>8143</v>
      </c>
      <c r="C707">
        <v>0</v>
      </c>
      <c r="D707" s="1962"/>
      <c r="E707" s="1962"/>
      <c r="F707" s="1981">
        <v>4142.1480943189999</v>
      </c>
      <c r="G707" s="1981">
        <v>2684.1306534280006</v>
      </c>
      <c r="H707" s="1981">
        <v>3833.4359741022008</v>
      </c>
      <c r="I707" s="1981">
        <v>2764.7227959133998</v>
      </c>
      <c r="J707" s="1981">
        <v>3029.892704291301</v>
      </c>
      <c r="K707" s="1981">
        <v>5362.4983981292999</v>
      </c>
      <c r="L707" s="1981">
        <v>4268.3924339447003</v>
      </c>
      <c r="M707" s="1981">
        <v>4237.1218240220005</v>
      </c>
      <c r="N707" s="1981">
        <v>5780.7767458146</v>
      </c>
      <c r="O707" s="1981">
        <v>4086.8498715070991</v>
      </c>
      <c r="P707" s="1981">
        <v>3053.0872609165995</v>
      </c>
      <c r="Q707" s="1981">
        <v>3877.8115847971007</v>
      </c>
      <c r="R707" s="1981">
        <v>47120.868341185298</v>
      </c>
      <c r="T707" s="48">
        <f t="shared" si="10"/>
        <v>0</v>
      </c>
      <c r="U707" s="48"/>
    </row>
    <row r="708" spans="2:21">
      <c r="B708" s="33" t="s">
        <v>8144</v>
      </c>
      <c r="C708" t="s">
        <v>2360</v>
      </c>
      <c r="D708" s="1962"/>
      <c r="E708" s="1962"/>
      <c r="F708" s="1981">
        <v>3295.1644864149002</v>
      </c>
      <c r="G708" s="1981">
        <v>3294.4740164149002</v>
      </c>
      <c r="H708" s="1981">
        <v>3296.7867064149</v>
      </c>
      <c r="I708" s="1981">
        <v>3309.7077364149004</v>
      </c>
      <c r="J708" s="1981">
        <v>3312.3445664148999</v>
      </c>
      <c r="K708" s="1981">
        <v>3313.4032364149002</v>
      </c>
      <c r="L708" s="1981">
        <v>3314.7838064149</v>
      </c>
      <c r="M708" s="1981">
        <v>3314.6593364148998</v>
      </c>
      <c r="N708" s="1981">
        <v>3313.7438064149001</v>
      </c>
      <c r="O708" s="1981">
        <v>3449.7319664149004</v>
      </c>
      <c r="P708" s="1981">
        <v>3626.5316164149003</v>
      </c>
      <c r="Q708" s="1981">
        <v>3640.8258664149002</v>
      </c>
      <c r="R708" s="1981">
        <v>40482.157146978803</v>
      </c>
      <c r="T708" s="48">
        <f t="shared" si="10"/>
        <v>0</v>
      </c>
      <c r="U708" s="48"/>
    </row>
    <row r="709" spans="2:21">
      <c r="B709" s="33" t="s">
        <v>8145</v>
      </c>
      <c r="C709" t="s">
        <v>2360</v>
      </c>
      <c r="D709" s="1962"/>
      <c r="E709" s="1962"/>
      <c r="F709" s="1981">
        <v>41585.389194078612</v>
      </c>
      <c r="G709" s="1981">
        <v>41659.934112909308</v>
      </c>
      <c r="H709" s="1981">
        <v>42139.324090323207</v>
      </c>
      <c r="I709" s="1981">
        <v>42325.591548399607</v>
      </c>
      <c r="J709" s="1981">
        <v>43349.913580362205</v>
      </c>
      <c r="K709" s="1981">
        <v>44022.109357113608</v>
      </c>
      <c r="L709" s="1981">
        <v>44703.986750109805</v>
      </c>
      <c r="M709" s="1981">
        <v>44944.025106035995</v>
      </c>
      <c r="N709" s="1981">
        <v>45142.125380545709</v>
      </c>
      <c r="O709" s="1981">
        <v>45296.327337959607</v>
      </c>
      <c r="P709" s="1981">
        <v>45428.497255373499</v>
      </c>
      <c r="Q709" s="1981">
        <v>45565.215363449905</v>
      </c>
      <c r="R709" s="1981">
        <v>526162.43907666113</v>
      </c>
      <c r="T709" s="48">
        <f t="shared" ref="T709:T750" si="11">IF(R709="","",+R709-SUM(F709:Q709))</f>
        <v>0</v>
      </c>
      <c r="U709" s="48"/>
    </row>
    <row r="710" spans="2:21">
      <c r="B710" s="33" t="s">
        <v>8146</v>
      </c>
      <c r="C710">
        <v>0</v>
      </c>
      <c r="D710" s="1962"/>
      <c r="E710" s="1962"/>
      <c r="F710" s="1981">
        <v>18261.021960369198</v>
      </c>
      <c r="G710" s="1981">
        <v>17542.545165836898</v>
      </c>
      <c r="H710" s="1981">
        <v>17323.327551132399</v>
      </c>
      <c r="I710" s="1981">
        <v>17742.878214124397</v>
      </c>
      <c r="J710" s="1981">
        <v>19159.590754901896</v>
      </c>
      <c r="K710" s="1981">
        <v>20151.560456085601</v>
      </c>
      <c r="L710" s="1981">
        <v>20797.341163153102</v>
      </c>
      <c r="M710" s="1981">
        <v>20562.419804677396</v>
      </c>
      <c r="N710" s="1981">
        <v>21003.479501879603</v>
      </c>
      <c r="O710" s="1981">
        <v>20569.904542342898</v>
      </c>
      <c r="P710" s="1981">
        <v>17586.930049982398</v>
      </c>
      <c r="Q710" s="1981">
        <v>17826.603762983999</v>
      </c>
      <c r="R710" s="1981">
        <v>228527.60292746982</v>
      </c>
      <c r="T710" s="48">
        <f t="shared" si="11"/>
        <v>0</v>
      </c>
      <c r="U710" s="48"/>
    </row>
    <row r="711" spans="2:21">
      <c r="B711" s="33" t="s">
        <v>8147</v>
      </c>
      <c r="C711" t="s">
        <v>2360</v>
      </c>
      <c r="D711" s="1962"/>
      <c r="E711" s="1962"/>
      <c r="F711" s="1981">
        <v>487.29716999999999</v>
      </c>
      <c r="G711" s="1981">
        <v>492.16516999999999</v>
      </c>
      <c r="H711" s="1981">
        <v>499.64517000000001</v>
      </c>
      <c r="I711" s="1981">
        <v>505.99217000000004</v>
      </c>
      <c r="J711" s="1981">
        <v>510.24916999999999</v>
      </c>
      <c r="K711" s="1981">
        <v>510.04817000000003</v>
      </c>
      <c r="L711" s="1981">
        <v>506.03717</v>
      </c>
      <c r="M711" s="1981">
        <v>501.88517000000002</v>
      </c>
      <c r="N711" s="1981">
        <v>498.63316999999995</v>
      </c>
      <c r="O711" s="1981">
        <v>496.56416999999999</v>
      </c>
      <c r="P711" s="1981">
        <v>498.57017000000002</v>
      </c>
      <c r="Q711" s="1981">
        <v>504.28812999999997</v>
      </c>
      <c r="R711" s="1981">
        <v>6011.3749999999991</v>
      </c>
      <c r="T711" s="48">
        <f t="shared" si="11"/>
        <v>0</v>
      </c>
      <c r="U711" s="48"/>
    </row>
    <row r="712" spans="2:21">
      <c r="B712" s="33" t="s">
        <v>8148</v>
      </c>
      <c r="C712" t="s">
        <v>2360</v>
      </c>
      <c r="D712" s="1962"/>
      <c r="E712" s="1962"/>
      <c r="F712" s="1981">
        <v>3846.5410099999999</v>
      </c>
      <c r="G712" s="1981">
        <v>4181.0996800000003</v>
      </c>
      <c r="H712" s="1981">
        <v>4375.8957300000002</v>
      </c>
      <c r="I712" s="1981">
        <v>4373.0176899999997</v>
      </c>
      <c r="J712" s="1981">
        <v>3789.8576000000003</v>
      </c>
      <c r="K712" s="1981">
        <v>2964.8780299999999</v>
      </c>
      <c r="L712" s="1981">
        <v>5456.4103100000002</v>
      </c>
      <c r="M712" s="1981">
        <v>4691.4461599999995</v>
      </c>
      <c r="N712" s="1981">
        <v>3080.0299300000001</v>
      </c>
      <c r="O712" s="1981">
        <v>3206.9057400000002</v>
      </c>
      <c r="P712" s="1981">
        <v>3216.0931</v>
      </c>
      <c r="Q712" s="1981">
        <v>2883.7461800000005</v>
      </c>
      <c r="R712" s="1981">
        <v>46065.921159999998</v>
      </c>
      <c r="T712" s="48">
        <f t="shared" si="11"/>
        <v>0</v>
      </c>
      <c r="U712" s="48"/>
    </row>
    <row r="713" spans="2:21">
      <c r="B713" s="33" t="s">
        <v>8149</v>
      </c>
      <c r="C713">
        <v>0</v>
      </c>
      <c r="D713" s="1962"/>
      <c r="E713" s="1962"/>
      <c r="F713" s="1981">
        <v>31.84657</v>
      </c>
      <c r="G713" s="1981">
        <v>31.84657</v>
      </c>
      <c r="H713" s="1981">
        <v>31.84657</v>
      </c>
      <c r="I713" s="1981">
        <v>31.84657</v>
      </c>
      <c r="J713" s="1981">
        <v>31.84657</v>
      </c>
      <c r="K713" s="1981">
        <v>31.84657</v>
      </c>
      <c r="L713" s="1981">
        <v>31.84657</v>
      </c>
      <c r="M713" s="1981">
        <v>31.84657</v>
      </c>
      <c r="N713" s="1981">
        <v>31.84657</v>
      </c>
      <c r="O713" s="1981">
        <v>31.84657</v>
      </c>
      <c r="P713" s="1981">
        <v>31.84657</v>
      </c>
      <c r="Q713" s="1981">
        <v>31.84657</v>
      </c>
      <c r="R713" s="1981">
        <v>382.15883999999988</v>
      </c>
      <c r="T713" s="48">
        <f t="shared" si="11"/>
        <v>0</v>
      </c>
      <c r="U713" s="48"/>
    </row>
    <row r="714" spans="2:21">
      <c r="B714" s="33" t="s">
        <v>8150</v>
      </c>
      <c r="C714" t="s">
        <v>2360</v>
      </c>
      <c r="D714" s="1962"/>
      <c r="E714" s="1962"/>
      <c r="F714" s="1981">
        <v>16087.889094347198</v>
      </c>
      <c r="G714" s="1981">
        <v>16069.3653879661</v>
      </c>
      <c r="H714" s="1981">
        <v>15610.234029710999</v>
      </c>
      <c r="I714" s="1981">
        <v>16865.733178481401</v>
      </c>
      <c r="J714" s="1981">
        <v>17107.492912664304</v>
      </c>
      <c r="K714" s="1981">
        <v>17539.288307212399</v>
      </c>
      <c r="L714" s="1981">
        <v>17686.319116774201</v>
      </c>
      <c r="M714" s="1981">
        <v>17742.208415442004</v>
      </c>
      <c r="N714" s="1981">
        <v>17854.832404414203</v>
      </c>
      <c r="O714" s="1981">
        <v>17629.836757056204</v>
      </c>
      <c r="P714" s="1981">
        <v>17790.227504517799</v>
      </c>
      <c r="Q714" s="1981">
        <v>18175.707603337098</v>
      </c>
      <c r="R714" s="1981">
        <v>206159.13471192389</v>
      </c>
      <c r="T714" s="48">
        <f t="shared" si="11"/>
        <v>0</v>
      </c>
      <c r="U714" s="48"/>
    </row>
    <row r="715" spans="2:21">
      <c r="B715" s="33" t="s">
        <v>8151</v>
      </c>
      <c r="C715" t="s">
        <v>2360</v>
      </c>
      <c r="D715" s="1962"/>
      <c r="E715" s="1962"/>
      <c r="F715" s="1981">
        <v>1382.4456399999999</v>
      </c>
      <c r="G715" s="1981">
        <v>-245.60462999999996</v>
      </c>
      <c r="H715" s="1981">
        <v>-8756.424570000001</v>
      </c>
      <c r="I715" s="1981">
        <v>555.71515999999997</v>
      </c>
      <c r="J715" s="1981">
        <v>5405.756989999999</v>
      </c>
      <c r="K715" s="1981">
        <v>7818.1523899999993</v>
      </c>
      <c r="L715" s="1981">
        <v>10217.660540000001</v>
      </c>
      <c r="M715" s="1981">
        <v>10708.40935</v>
      </c>
      <c r="N715" s="1981">
        <v>5794.57017</v>
      </c>
      <c r="O715" s="1981">
        <v>3474.0360799999999</v>
      </c>
      <c r="P715" s="1981">
        <v>-1750.1449199999997</v>
      </c>
      <c r="Q715" s="1981">
        <v>-1965.9174599999997</v>
      </c>
      <c r="R715" s="1981">
        <v>32638.654739999994</v>
      </c>
      <c r="T715" s="48">
        <f t="shared" si="11"/>
        <v>0</v>
      </c>
      <c r="U715" s="48"/>
    </row>
    <row r="716" spans="2:21">
      <c r="B716" s="33" t="s">
        <v>8152</v>
      </c>
      <c r="C716" t="s">
        <v>2360</v>
      </c>
      <c r="D716" s="1962"/>
      <c r="E716" s="1962"/>
      <c r="F716" s="1981">
        <v>886.72996000000103</v>
      </c>
      <c r="G716" s="1981">
        <v>651.15089000000296</v>
      </c>
      <c r="H716" s="1981">
        <v>12123.49624</v>
      </c>
      <c r="I716" s="1981">
        <v>-420.78194000000246</v>
      </c>
      <c r="J716" s="1981">
        <v>-1537.8944099999987</v>
      </c>
      <c r="K716" s="1981">
        <v>-2094.453320000001</v>
      </c>
      <c r="L716" s="1981">
        <v>-1154.7813399999991</v>
      </c>
      <c r="M716" s="1981">
        <v>-1307.6994200000004</v>
      </c>
      <c r="N716" s="1981">
        <v>-11290.584630000003</v>
      </c>
      <c r="O716" s="1981">
        <v>-796.80722999999966</v>
      </c>
      <c r="P716" s="1981">
        <v>367.13493000000028</v>
      </c>
      <c r="Q716" s="1981">
        <v>5971.0190200000015</v>
      </c>
      <c r="R716" s="1981">
        <v>1396.5287500000022</v>
      </c>
      <c r="T716" s="48">
        <f t="shared" si="11"/>
        <v>0</v>
      </c>
      <c r="U716" s="48"/>
    </row>
    <row r="717" spans="2:21">
      <c r="B717" s="33" t="s">
        <v>8153</v>
      </c>
      <c r="C717" t="s">
        <v>2360</v>
      </c>
      <c r="D717" s="1962"/>
      <c r="E717" s="1962"/>
      <c r="F717" s="1981">
        <v>0</v>
      </c>
      <c r="G717" s="1981">
        <v>0</v>
      </c>
      <c r="H717" s="1981">
        <v>0</v>
      </c>
      <c r="I717" s="1981">
        <v>0</v>
      </c>
      <c r="J717" s="1981">
        <v>0</v>
      </c>
      <c r="K717" s="1981">
        <v>0</v>
      </c>
      <c r="L717" s="1981">
        <v>0</v>
      </c>
      <c r="M717" s="1981">
        <v>0</v>
      </c>
      <c r="N717" s="1981">
        <v>0</v>
      </c>
      <c r="O717" s="1981">
        <v>0</v>
      </c>
      <c r="P717" s="1981">
        <v>0</v>
      </c>
      <c r="Q717" s="1981">
        <v>0</v>
      </c>
      <c r="R717" s="1981">
        <v>0</v>
      </c>
      <c r="T717" s="48">
        <f t="shared" si="11"/>
        <v>0</v>
      </c>
      <c r="U717" s="48"/>
    </row>
    <row r="718" spans="2:21">
      <c r="C718">
        <v>0</v>
      </c>
      <c r="T718" s="48" t="str">
        <f t="shared" si="11"/>
        <v/>
      </c>
      <c r="U718" s="48"/>
    </row>
    <row r="719" spans="2:21">
      <c r="C719">
        <v>0</v>
      </c>
      <c r="T719" s="48" t="str">
        <f t="shared" si="11"/>
        <v/>
      </c>
      <c r="U719" s="48"/>
    </row>
    <row r="720" spans="2:21">
      <c r="C720" t="s">
        <v>2360</v>
      </c>
      <c r="T720" s="48" t="str">
        <f t="shared" si="11"/>
        <v/>
      </c>
      <c r="U720" s="48"/>
    </row>
    <row r="721" spans="3:21">
      <c r="C721">
        <v>0</v>
      </c>
      <c r="T721" s="48" t="str">
        <f t="shared" si="11"/>
        <v/>
      </c>
      <c r="U721" s="48"/>
    </row>
    <row r="722" spans="3:21">
      <c r="C722">
        <v>0</v>
      </c>
      <c r="T722" s="48" t="str">
        <f t="shared" si="11"/>
        <v/>
      </c>
      <c r="U722" s="48"/>
    </row>
    <row r="723" spans="3:21">
      <c r="C723" t="s">
        <v>2360</v>
      </c>
      <c r="T723" s="48" t="str">
        <f t="shared" si="11"/>
        <v/>
      </c>
      <c r="U723" s="48"/>
    </row>
    <row r="724" spans="3:21">
      <c r="C724">
        <v>0</v>
      </c>
      <c r="T724" s="48" t="str">
        <f t="shared" si="11"/>
        <v/>
      </c>
      <c r="U724" s="48"/>
    </row>
    <row r="725" spans="3:21">
      <c r="C725" t="s">
        <v>2360</v>
      </c>
      <c r="T725" s="48" t="str">
        <f t="shared" si="11"/>
        <v/>
      </c>
      <c r="U725" s="48"/>
    </row>
    <row r="726" spans="3:21">
      <c r="C726">
        <v>0</v>
      </c>
      <c r="T726" s="48" t="str">
        <f t="shared" si="11"/>
        <v/>
      </c>
      <c r="U726" s="48"/>
    </row>
    <row r="727" spans="3:21">
      <c r="C727" t="s">
        <v>2360</v>
      </c>
      <c r="T727" s="48" t="str">
        <f t="shared" si="11"/>
        <v/>
      </c>
      <c r="U727" s="48"/>
    </row>
    <row r="728" spans="3:21">
      <c r="C728" t="s">
        <v>2360</v>
      </c>
      <c r="T728" s="48" t="str">
        <f t="shared" si="11"/>
        <v/>
      </c>
      <c r="U728" s="48"/>
    </row>
    <row r="729" spans="3:21">
      <c r="T729" s="48" t="str">
        <f t="shared" si="11"/>
        <v/>
      </c>
      <c r="U729" s="48"/>
    </row>
    <row r="730" spans="3:21">
      <c r="T730" s="48" t="str">
        <f t="shared" si="11"/>
        <v/>
      </c>
      <c r="U730" s="48"/>
    </row>
    <row r="731" spans="3:21">
      <c r="T731" s="48" t="str">
        <f t="shared" si="11"/>
        <v/>
      </c>
      <c r="U731" s="48"/>
    </row>
    <row r="732" spans="3:21">
      <c r="T732" s="48" t="str">
        <f t="shared" si="11"/>
        <v/>
      </c>
      <c r="U732" s="48"/>
    </row>
    <row r="733" spans="3:21">
      <c r="T733" s="48" t="str">
        <f t="shared" si="11"/>
        <v/>
      </c>
      <c r="U733" s="48"/>
    </row>
    <row r="734" spans="3:21">
      <c r="T734" s="48" t="str">
        <f t="shared" si="11"/>
        <v/>
      </c>
      <c r="U734" s="48"/>
    </row>
    <row r="735" spans="3:21">
      <c r="T735" s="48" t="str">
        <f t="shared" si="11"/>
        <v/>
      </c>
      <c r="U735" s="48"/>
    </row>
    <row r="736" spans="3:21">
      <c r="T736" s="48" t="str">
        <f t="shared" si="11"/>
        <v/>
      </c>
      <c r="U736" s="48"/>
    </row>
    <row r="737" spans="20:21">
      <c r="T737" s="48" t="str">
        <f t="shared" si="11"/>
        <v/>
      </c>
      <c r="U737" s="48"/>
    </row>
    <row r="738" spans="20:21">
      <c r="T738" s="48" t="str">
        <f t="shared" si="11"/>
        <v/>
      </c>
      <c r="U738" s="48"/>
    </row>
    <row r="739" spans="20:21">
      <c r="T739" s="48" t="str">
        <f t="shared" si="11"/>
        <v/>
      </c>
      <c r="U739" s="48"/>
    </row>
    <row r="740" spans="20:21">
      <c r="T740" s="48" t="str">
        <f t="shared" si="11"/>
        <v/>
      </c>
      <c r="U740" s="48"/>
    </row>
    <row r="741" spans="20:21">
      <c r="T741" s="48" t="str">
        <f t="shared" si="11"/>
        <v/>
      </c>
      <c r="U741" s="48"/>
    </row>
    <row r="742" spans="20:21">
      <c r="T742" s="48" t="str">
        <f t="shared" si="11"/>
        <v/>
      </c>
      <c r="U742" s="48"/>
    </row>
    <row r="743" spans="20:21">
      <c r="T743" s="48" t="str">
        <f t="shared" si="11"/>
        <v/>
      </c>
      <c r="U743" s="48"/>
    </row>
    <row r="744" spans="20:21">
      <c r="T744" s="48" t="str">
        <f t="shared" si="11"/>
        <v/>
      </c>
      <c r="U744" s="48"/>
    </row>
    <row r="745" spans="20:21">
      <c r="T745" s="48" t="str">
        <f t="shared" si="11"/>
        <v/>
      </c>
      <c r="U745" s="48"/>
    </row>
    <row r="746" spans="20:21">
      <c r="T746" s="48" t="str">
        <f t="shared" si="11"/>
        <v/>
      </c>
      <c r="U746" s="48"/>
    </row>
    <row r="747" spans="20:21">
      <c r="T747" s="48" t="str">
        <f t="shared" si="11"/>
        <v/>
      </c>
      <c r="U747" s="48"/>
    </row>
    <row r="748" spans="20:21">
      <c r="T748" s="48" t="str">
        <f t="shared" si="11"/>
        <v/>
      </c>
      <c r="U748" s="48"/>
    </row>
    <row r="749" spans="20:21">
      <c r="T749" s="48" t="str">
        <f t="shared" si="11"/>
        <v/>
      </c>
      <c r="U749" s="48"/>
    </row>
    <row r="750" spans="20:21">
      <c r="T750" s="48" t="str">
        <f t="shared" si="11"/>
        <v/>
      </c>
      <c r="U750" s="48"/>
    </row>
  </sheetData>
  <phoneticPr fontId="13" type="noConversion"/>
  <conditionalFormatting sqref="T4:U750">
    <cfRule type="cellIs" dxfId="3" priority="1" operator="notEqual">
      <formula>0</formula>
    </cfRule>
  </conditionalFormatting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B1:L48"/>
  <sheetViews>
    <sheetView tabSelected="1" showOutlineSymbols="0"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84" t="s">
        <v>116</v>
      </c>
    </row>
    <row r="3" spans="2:11">
      <c r="B3" s="962" t="s">
        <v>2173</v>
      </c>
      <c r="C3" s="957"/>
      <c r="D3" s="957"/>
      <c r="E3" s="957"/>
      <c r="F3" s="957"/>
      <c r="G3" s="957"/>
      <c r="H3" s="963"/>
      <c r="J3" t="s">
        <v>8413</v>
      </c>
    </row>
    <row r="4" spans="2:11">
      <c r="B4" s="353" t="s">
        <v>4913</v>
      </c>
      <c r="H4" s="296"/>
      <c r="J4" t="s">
        <v>8481</v>
      </c>
      <c r="K4" s="1586">
        <f>+SUM('Accounting Schedule B-7'!R438:R443)</f>
        <v>119302.26293999999</v>
      </c>
    </row>
    <row r="5" spans="2:11">
      <c r="B5" s="615" t="s">
        <v>9263</v>
      </c>
      <c r="C5" s="29"/>
      <c r="D5" s="29"/>
      <c r="E5" s="834"/>
      <c r="F5" s="62"/>
      <c r="G5" s="62"/>
      <c r="H5" s="1030"/>
      <c r="J5" t="s">
        <v>8479</v>
      </c>
      <c r="K5" s="1639">
        <f>+F24</f>
        <v>119263.13193999999</v>
      </c>
    </row>
    <row r="6" spans="2:11">
      <c r="B6" s="357"/>
      <c r="C6" s="297"/>
      <c r="D6" s="297"/>
      <c r="E6" s="297"/>
      <c r="F6" s="297"/>
      <c r="G6" s="297"/>
      <c r="H6" s="298"/>
      <c r="K6" s="516">
        <f>+K4-K5</f>
        <v>39.130999999993946</v>
      </c>
    </row>
    <row r="7" spans="2:11">
      <c r="B7" s="1005" t="s">
        <v>4914</v>
      </c>
      <c r="C7" s="981"/>
      <c r="D7" s="981"/>
      <c r="E7" s="981"/>
      <c r="F7" s="981"/>
      <c r="G7" s="981"/>
      <c r="H7" s="1006"/>
      <c r="J7" t="s">
        <v>8477</v>
      </c>
      <c r="K7" s="1586">
        <f>-'SPP ADJ T&amp;D'!$C$30/1000</f>
        <v>-39.131</v>
      </c>
    </row>
    <row r="8" spans="2:11">
      <c r="B8" s="1007" t="s">
        <v>2182</v>
      </c>
      <c r="C8" s="63" t="s">
        <v>4915</v>
      </c>
      <c r="D8" s="60" t="s">
        <v>4916</v>
      </c>
      <c r="E8" s="60" t="s">
        <v>4190</v>
      </c>
      <c r="F8" s="1008" t="s">
        <v>3480</v>
      </c>
      <c r="G8" s="1008" t="s">
        <v>1533</v>
      </c>
      <c r="H8" s="1010" t="s">
        <v>4917</v>
      </c>
      <c r="J8" s="297" t="s">
        <v>8439</v>
      </c>
      <c r="K8" s="1639">
        <v>0</v>
      </c>
    </row>
    <row r="9" spans="2:11">
      <c r="B9" s="835" t="s">
        <v>2175</v>
      </c>
      <c r="C9" s="524" t="s">
        <v>2176</v>
      </c>
      <c r="D9" s="524" t="s">
        <v>2177</v>
      </c>
      <c r="E9" s="524" t="s">
        <v>2178</v>
      </c>
      <c r="F9" s="524" t="s">
        <v>2179</v>
      </c>
      <c r="G9" s="524" t="s">
        <v>2625</v>
      </c>
      <c r="H9" s="836" t="s">
        <v>2626</v>
      </c>
      <c r="K9" s="1640">
        <f>+SUM(K6:K8)</f>
        <v>-6.0538241086760536E-12</v>
      </c>
    </row>
    <row r="10" spans="2:11">
      <c r="B10" s="365">
        <v>1</v>
      </c>
      <c r="C10" t="s">
        <v>4918</v>
      </c>
      <c r="D10" s="33">
        <v>39201</v>
      </c>
      <c r="F10" s="1034">
        <f>+SUMIFS('300s - 5 Digit FERC Accounts'!D:D,'300s - 5 Digit FERC Accounts'!B:B,'Transportation Equipment'!D10)/1000</f>
        <v>0</v>
      </c>
      <c r="G10" s="1034">
        <f>+SUMIFS('300s - 5 Digit FERC Accounts'!E:E,'300s - 5 Digit FERC Accounts'!B:B,'Transportation Equipment'!D10)/1000</f>
        <v>0</v>
      </c>
      <c r="H10" s="1035">
        <f>+SUMIFS('300s - 5 Digit FERC Accounts'!F:F,'300s - 5 Digit FERC Accounts'!B:B,'Transportation Equipment'!D10)/1000</f>
        <v>0</v>
      </c>
    </row>
    <row r="11" spans="2:11">
      <c r="B11" s="365">
        <v>2</v>
      </c>
      <c r="D11" s="33">
        <v>39202</v>
      </c>
      <c r="F11" s="1034">
        <f>+SUMIFS('300s - 5 Digit FERC Accounts'!D:D,'300s - 5 Digit FERC Accounts'!B:B,'Transportation Equipment'!D11)/1000-('SPP ADJ T&amp;D'!C30/1000)</f>
        <v>31049.48402</v>
      </c>
      <c r="G11" s="1034">
        <f>+SUMIFS('300s - 5 Digit FERC Accounts'!E:E,'300s - 5 Digit FERC Accounts'!B:B,'Transportation Equipment'!D11)/1000-('SPP ADJ T&amp;D'!D30/1000)</f>
        <v>8680.5326499999992</v>
      </c>
      <c r="H11" s="1036">
        <f>+SUMIFS('300s - 5 Digit FERC Accounts'!F:F,'300s - 5 Digit FERC Accounts'!B:B,'Transportation Equipment'!D11)/1000</f>
        <v>2166.5242200000002</v>
      </c>
      <c r="J11" t="s">
        <v>8480</v>
      </c>
      <c r="K11" s="1586">
        <f>+SUM('Accounting Schedule B-9'!T438:T443)</f>
        <v>41605.728069999997</v>
      </c>
    </row>
    <row r="12" spans="2:11">
      <c r="B12" s="365">
        <v>3</v>
      </c>
      <c r="D12" s="33">
        <v>39203</v>
      </c>
      <c r="F12" s="1034">
        <f>+SUMIFS('300s - 5 Digit FERC Accounts'!D:D,'300s - 5 Digit FERC Accounts'!B:B,'Transportation Equipment'!D12)/1000</f>
        <v>80730.762209999986</v>
      </c>
      <c r="G12" s="1034">
        <f>+SUMIFS('300s - 5 Digit FERC Accounts'!E:E,'300s - 5 Digit FERC Accounts'!B:B,'Transportation Equipment'!D12)/1000</f>
        <v>30234.072179999999</v>
      </c>
      <c r="H12" s="1036">
        <f>+SUMIFS('300s - 5 Digit FERC Accounts'!F:F,'300s - 5 Digit FERC Accounts'!B:B,'Transportation Equipment'!D12)/1000</f>
        <v>3366.4728</v>
      </c>
      <c r="J12" t="s">
        <v>8479</v>
      </c>
      <c r="K12" s="1639">
        <f>+G24</f>
        <v>41595.298069999997</v>
      </c>
    </row>
    <row r="13" spans="2:11">
      <c r="B13" s="365">
        <v>4</v>
      </c>
      <c r="D13" s="529">
        <v>39204</v>
      </c>
      <c r="F13" s="1037">
        <f>+SUMIFS('300s - 5 Digit FERC Accounts'!D:D,'300s - 5 Digit FERC Accounts'!B:B,'Transportation Equipment'!D13)/1000</f>
        <v>0</v>
      </c>
      <c r="G13" s="1037">
        <f>+SUMIFS('300s - 5 Digit FERC Accounts'!E:E,'300s - 5 Digit FERC Accounts'!B:B,'Transportation Equipment'!D13)/1000</f>
        <v>0</v>
      </c>
      <c r="H13" s="1038">
        <f>+SUMIFS('300s - 5 Digit FERC Accounts'!F:F,'300s - 5 Digit FERC Accounts'!B:B,'Transportation Equipment'!D13)/1000</f>
        <v>0</v>
      </c>
      <c r="K13" s="516">
        <f>+K11-K12</f>
        <v>10.430000000000291</v>
      </c>
    </row>
    <row r="14" spans="2:11">
      <c r="B14" s="365">
        <v>5</v>
      </c>
      <c r="D14" s="61" t="s">
        <v>4919</v>
      </c>
      <c r="F14" s="1034">
        <f>+SUM(F10:F13)</f>
        <v>111780.24622999999</v>
      </c>
      <c r="G14" s="1034">
        <f>+SUM(G10:G13)</f>
        <v>38914.604829999997</v>
      </c>
      <c r="H14" s="1036">
        <f>+SUM(H10:H13)</f>
        <v>5532.9970200000007</v>
      </c>
      <c r="J14" t="s">
        <v>8477</v>
      </c>
      <c r="K14" s="1586">
        <f>-'SPP ADJ T&amp;D'!$D$30/1000</f>
        <v>-10.43</v>
      </c>
    </row>
    <row r="15" spans="2:11">
      <c r="B15" s="365">
        <v>6</v>
      </c>
      <c r="D15" s="33"/>
      <c r="F15" s="1034"/>
      <c r="G15" s="1034"/>
      <c r="H15" s="296"/>
      <c r="J15" s="297" t="s">
        <v>8439</v>
      </c>
      <c r="K15" s="1639">
        <v>0</v>
      </c>
    </row>
    <row r="16" spans="2:11">
      <c r="B16" s="365">
        <v>7</v>
      </c>
      <c r="D16" s="33"/>
      <c r="F16" s="1034"/>
      <c r="G16" s="1034"/>
      <c r="H16" s="296"/>
      <c r="K16" s="1640">
        <f>+SUM(K13:K15)</f>
        <v>2.9132252166164108E-13</v>
      </c>
    </row>
    <row r="17" spans="2:12">
      <c r="B17" s="365">
        <v>8</v>
      </c>
      <c r="C17" t="s">
        <v>4920</v>
      </c>
      <c r="D17" s="33">
        <v>39211</v>
      </c>
      <c r="F17" s="1034">
        <f>+SUMIFS('300s - 5 Digit FERC Accounts'!D:D,'300s - 5 Digit FERC Accounts'!B:B,'Transportation Equipment'!D17)/1000</f>
        <v>0</v>
      </c>
      <c r="G17" s="1034">
        <f>+SUMIFS('300s - 5 Digit FERC Accounts'!E:E,'300s - 5 Digit FERC Accounts'!B:B,'Transportation Equipment'!D17)/1000</f>
        <v>0</v>
      </c>
      <c r="H17" s="1036">
        <f>+SUMIFS('300s - 5 Digit FERC Accounts'!F:F,'300s - 5 Digit FERC Accounts'!B:B,'Transportation Equipment'!D17)/1000</f>
        <v>0</v>
      </c>
    </row>
    <row r="18" spans="2:12">
      <c r="B18" s="365">
        <v>9</v>
      </c>
      <c r="D18" s="33">
        <v>39212</v>
      </c>
      <c r="F18" s="1034">
        <f>+SUMIFS('300s - 5 Digit FERC Accounts'!D:D,'300s - 5 Digit FERC Accounts'!B:B,'Transportation Equipment'!D18)/1000</f>
        <v>6411.7383200000004</v>
      </c>
      <c r="G18" s="1034">
        <f>+SUMIFS('300s - 5 Digit FERC Accounts'!E:E,'300s - 5 Digit FERC Accounts'!B:B,'Transportation Equipment'!D18)/1000</f>
        <v>2375.1942300000001</v>
      </c>
      <c r="H18" s="1036">
        <f>+SUMIFS('300s - 5 Digit FERC Accounts'!F:F,'300s - 5 Digit FERC Accounts'!B:B,'Transportation Equipment'!D18)/1000</f>
        <v>363.54552000000001</v>
      </c>
      <c r="J18" t="s">
        <v>8480</v>
      </c>
      <c r="K18" s="1586">
        <f>+SUM('Accounting Schedule B-9'!H438:H443)</f>
        <v>5961.1327799999999</v>
      </c>
    </row>
    <row r="19" spans="2:12">
      <c r="B19" s="365">
        <v>10</v>
      </c>
      <c r="D19" s="33">
        <v>39213</v>
      </c>
      <c r="F19" s="1034">
        <f>+SUMIFS('300s - 5 Digit FERC Accounts'!D:D,'300s - 5 Digit FERC Accounts'!B:B,'Transportation Equipment'!D19)/1000</f>
        <v>1071.1473899999999</v>
      </c>
      <c r="G19" s="1034">
        <f>+SUMIFS('300s - 5 Digit FERC Accounts'!E:E,'300s - 5 Digit FERC Accounts'!B:B,'Transportation Equipment'!D19)/1000</f>
        <v>305.49901</v>
      </c>
      <c r="H19" s="1036">
        <f>+SUMIFS('300s - 5 Digit FERC Accounts'!F:F,'300s - 5 Digit FERC Accounts'!B:B,'Transportation Equipment'!D19)/1000</f>
        <v>64.590239999999994</v>
      </c>
      <c r="J19" t="s">
        <v>8479</v>
      </c>
      <c r="K19" s="1639">
        <f>+H24</f>
        <v>5961.1327800000008</v>
      </c>
    </row>
    <row r="20" spans="2:12">
      <c r="B20" s="365">
        <v>11</v>
      </c>
      <c r="D20" s="529">
        <v>39214</v>
      </c>
      <c r="F20" s="1037">
        <f>+SUMIFS('300s - 5 Digit FERC Accounts'!D:D,'300s - 5 Digit FERC Accounts'!B:B,'Transportation Equipment'!D20)/1000</f>
        <v>0</v>
      </c>
      <c r="G20" s="1037">
        <f>+SUMIFS('300s - 5 Digit FERC Accounts'!E:E,'300s - 5 Digit FERC Accounts'!B:B,'Transportation Equipment'!D20)/1000</f>
        <v>0</v>
      </c>
      <c r="H20" s="1038">
        <f>+SUMIFS('300s - 5 Digit FERC Accounts'!F:F,'300s - 5 Digit FERC Accounts'!B:B,'Transportation Equipment'!D20)/1000</f>
        <v>0</v>
      </c>
      <c r="K20" s="516">
        <f>+K18-K19</f>
        <v>0</v>
      </c>
    </row>
    <row r="21" spans="2:12">
      <c r="B21" s="365">
        <v>12</v>
      </c>
      <c r="D21" s="61" t="s">
        <v>4921</v>
      </c>
      <c r="F21" s="1034">
        <f>+SUM(F17:F20)</f>
        <v>7482.8857100000005</v>
      </c>
      <c r="G21" s="1034">
        <f>+SUM(G17:G20)</f>
        <v>2680.6932400000001</v>
      </c>
      <c r="H21" s="1036">
        <f>+SUM(H17:H20)</f>
        <v>428.13576</v>
      </c>
      <c r="J21" t="s">
        <v>8477</v>
      </c>
      <c r="K21" s="1586">
        <v>0</v>
      </c>
      <c r="L21" t="s">
        <v>9341</v>
      </c>
    </row>
    <row r="22" spans="2:12">
      <c r="B22" s="365">
        <v>13</v>
      </c>
      <c r="H22" s="296"/>
      <c r="J22" s="297" t="s">
        <v>8439</v>
      </c>
      <c r="K22" s="1639">
        <v>0</v>
      </c>
    </row>
    <row r="23" spans="2:12">
      <c r="B23" s="365">
        <v>14</v>
      </c>
      <c r="D23" s="33"/>
      <c r="F23" s="1034"/>
      <c r="G23" s="1034"/>
      <c r="H23" s="1038"/>
      <c r="K23" s="1640">
        <f>+SUM(K20:K22)</f>
        <v>0</v>
      </c>
    </row>
    <row r="24" spans="2:12">
      <c r="B24" s="365">
        <v>15</v>
      </c>
      <c r="C24" s="1039" t="s">
        <v>4922</v>
      </c>
      <c r="D24" s="981"/>
      <c r="E24" s="1040"/>
      <c r="F24" s="1041">
        <f>+F14+F21</f>
        <v>119263.13193999999</v>
      </c>
      <c r="G24" s="1041">
        <f>+G14+G21</f>
        <v>41595.298069999997</v>
      </c>
      <c r="H24" s="1042">
        <f>+H14+H21</f>
        <v>5961.1327800000008</v>
      </c>
    </row>
    <row r="25" spans="2:12">
      <c r="B25" s="357"/>
      <c r="G25" s="981"/>
    </row>
    <row r="26" spans="2:12">
      <c r="B26" s="1005" t="s">
        <v>4923</v>
      </c>
      <c r="C26" s="981"/>
      <c r="D26" s="981"/>
      <c r="E26" s="981"/>
      <c r="F26" s="981"/>
      <c r="G26" s="981"/>
      <c r="H26" s="1006"/>
    </row>
    <row r="27" spans="2:12" ht="53.4">
      <c r="B27" s="683" t="s">
        <v>2182</v>
      </c>
      <c r="C27" s="545" t="s">
        <v>4915</v>
      </c>
      <c r="D27" s="1043" t="s">
        <v>4924</v>
      </c>
      <c r="E27" s="1043" t="s">
        <v>4925</v>
      </c>
      <c r="F27" s="1044" t="s">
        <v>3480</v>
      </c>
      <c r="G27" s="1044" t="s">
        <v>1533</v>
      </c>
      <c r="H27" s="1045" t="s">
        <v>4739</v>
      </c>
    </row>
    <row r="28" spans="2:12">
      <c r="B28" s="365">
        <v>16</v>
      </c>
      <c r="C28" s="418" t="s">
        <v>2254</v>
      </c>
      <c r="D28" s="1031"/>
      <c r="E28" s="1046"/>
      <c r="F28" s="837">
        <f>+F21</f>
        <v>7482.8857100000005</v>
      </c>
      <c r="G28" s="837">
        <f>+G21</f>
        <v>2680.6932400000001</v>
      </c>
      <c r="H28" s="1047">
        <f>+H21</f>
        <v>428.13576</v>
      </c>
    </row>
    <row r="29" spans="2:12">
      <c r="B29" s="365">
        <v>17</v>
      </c>
      <c r="C29" s="436"/>
      <c r="D29" s="444"/>
      <c r="E29" s="1048"/>
      <c r="F29" s="839"/>
      <c r="G29" s="839"/>
      <c r="H29" s="840"/>
    </row>
    <row r="30" spans="2:12">
      <c r="B30" s="365">
        <v>18</v>
      </c>
      <c r="C30" s="1049" t="s">
        <v>4200</v>
      </c>
      <c r="D30" s="1032">
        <f>+'Labor O&amp;M'!K22</f>
        <v>1370.2007609755603</v>
      </c>
      <c r="E30" s="1046">
        <f>+D30/D36</f>
        <v>2.4485903868455117E-2</v>
      </c>
      <c r="F30" s="837">
        <f>+F14*E30</f>
        <v>2737.0403635800221</v>
      </c>
      <c r="G30" s="837">
        <f>+G14*E30</f>
        <v>952.85927294629903</v>
      </c>
      <c r="H30" s="1047">
        <v>0</v>
      </c>
    </row>
    <row r="31" spans="2:12">
      <c r="B31" s="365">
        <v>19</v>
      </c>
      <c r="C31" s="436" t="s">
        <v>4926</v>
      </c>
      <c r="D31" s="839">
        <f>+'Labor O&amp;M'!K23</f>
        <v>3852.3647224962351</v>
      </c>
      <c r="E31" s="1048">
        <f>+D31/D36</f>
        <v>6.8842927947368945E-2</v>
      </c>
      <c r="F31" s="839">
        <f>+F14*E31</f>
        <v>7695.2794371510481</v>
      </c>
      <c r="G31" s="839">
        <f>+G14*E31</f>
        <v>2678.9953364120252</v>
      </c>
      <c r="H31" s="840">
        <v>0</v>
      </c>
    </row>
    <row r="32" spans="2:12">
      <c r="B32" s="365">
        <v>20</v>
      </c>
      <c r="C32" s="418" t="s">
        <v>4202</v>
      </c>
      <c r="D32" s="837">
        <f>+'Labor O&amp;M'!K24</f>
        <v>18918.831641502202</v>
      </c>
      <c r="E32" s="1046">
        <f>+D32/D36</f>
        <v>0.33808526901378105</v>
      </c>
      <c r="F32" s="837">
        <f>+F14*E32</f>
        <v>37791.254617096231</v>
      </c>
      <c r="G32" s="837">
        <f>+G14*E32</f>
        <v>13156.454642515533</v>
      </c>
      <c r="H32" s="838">
        <v>0</v>
      </c>
    </row>
    <row r="33" spans="2:8">
      <c r="B33" s="365">
        <v>21</v>
      </c>
      <c r="C33" s="418" t="s">
        <v>4203</v>
      </c>
      <c r="D33" s="837">
        <f>+'Labor O&amp;M'!K25</f>
        <v>3263.6378914827483</v>
      </c>
      <c r="E33" s="1046">
        <f>+D33/D36</f>
        <v>5.832220062073043E-2</v>
      </c>
      <c r="F33" s="837">
        <f>+F14*E33</f>
        <v>6519.2699460607055</v>
      </c>
      <c r="G33" s="837">
        <f>+G14*E33</f>
        <v>2269.5853899717054</v>
      </c>
      <c r="H33" s="838">
        <v>0</v>
      </c>
    </row>
    <row r="34" spans="2:8">
      <c r="B34" s="365">
        <v>22</v>
      </c>
      <c r="C34" s="436" t="s">
        <v>4204</v>
      </c>
      <c r="D34" s="837">
        <f>+'Labor O&amp;M'!K26</f>
        <v>12127.177482167837</v>
      </c>
      <c r="E34" s="1048">
        <f>+D34/D36</f>
        <v>0.21671634586791164</v>
      </c>
      <c r="F34" s="839">
        <f>+F14*E34</f>
        <v>24224.606503181003</v>
      </c>
      <c r="G34" s="839">
        <f>+G14*E34</f>
        <v>8433.4309596513831</v>
      </c>
      <c r="H34" s="840">
        <v>0</v>
      </c>
    </row>
    <row r="35" spans="2:8">
      <c r="B35" s="365">
        <v>23</v>
      </c>
      <c r="C35" s="418" t="s">
        <v>4205</v>
      </c>
      <c r="D35" s="1032">
        <f>+'Labor O&amp;M'!K27</f>
        <v>16426.545174224604</v>
      </c>
      <c r="E35" s="1046">
        <f>+D35/D36</f>
        <v>0.29354735268175286</v>
      </c>
      <c r="F35" s="837">
        <f>+F14*E35</f>
        <v>32812.795362930985</v>
      </c>
      <c r="G35" s="837">
        <f>+G14*E35</f>
        <v>11423.279228503052</v>
      </c>
      <c r="H35" s="838">
        <v>0</v>
      </c>
    </row>
    <row r="36" spans="2:8">
      <c r="B36" s="365">
        <v>24</v>
      </c>
      <c r="C36" s="1049" t="s">
        <v>115</v>
      </c>
      <c r="D36" s="1032">
        <f>+SUM(D30:D35)</f>
        <v>55958.757672849184</v>
      </c>
      <c r="E36" s="1050">
        <f>+SUM(E30:E35)</f>
        <v>1</v>
      </c>
      <c r="F36" s="1051">
        <f>+SUM(F28:F35)</f>
        <v>119263.13193999999</v>
      </c>
      <c r="G36" s="1051">
        <f>+SUM(G28:G35)</f>
        <v>41595.298069999997</v>
      </c>
      <c r="H36" s="1052">
        <f>+SUM(H28:H35)</f>
        <v>428.13576</v>
      </c>
    </row>
    <row r="37" spans="2:8">
      <c r="B37" s="357"/>
      <c r="C37" s="297"/>
      <c r="D37" s="297"/>
      <c r="E37" s="297"/>
      <c r="F37" s="297"/>
      <c r="G37" s="297"/>
      <c r="H37" s="298"/>
    </row>
    <row r="38" spans="2:8">
      <c r="B38" s="1005" t="s">
        <v>4927</v>
      </c>
      <c r="C38" s="981"/>
      <c r="D38" s="981"/>
      <c r="E38" s="981"/>
      <c r="F38" s="981"/>
      <c r="G38" s="981"/>
      <c r="H38" s="1006"/>
    </row>
    <row r="39" spans="2:8">
      <c r="B39" s="683" t="s">
        <v>2182</v>
      </c>
      <c r="C39" s="545" t="s">
        <v>4915</v>
      </c>
      <c r="D39" s="981"/>
      <c r="E39" s="981"/>
      <c r="F39" s="1044" t="s">
        <v>3480</v>
      </c>
      <c r="G39" s="1044" t="s">
        <v>1533</v>
      </c>
      <c r="H39" s="1045" t="s">
        <v>4739</v>
      </c>
    </row>
    <row r="40" spans="2:8">
      <c r="B40" s="365">
        <v>25</v>
      </c>
      <c r="C40" s="418" t="s">
        <v>2254</v>
      </c>
      <c r="D40" s="842"/>
      <c r="F40" s="837">
        <f>+F28</f>
        <v>7482.8857100000005</v>
      </c>
      <c r="G40" s="837">
        <f>+G28</f>
        <v>2680.6932400000001</v>
      </c>
      <c r="H40" s="838">
        <f>+H28</f>
        <v>428.13576</v>
      </c>
    </row>
    <row r="41" spans="2:8">
      <c r="B41" s="365">
        <v>26</v>
      </c>
      <c r="C41" s="418" t="s">
        <v>2246</v>
      </c>
      <c r="D41" s="842"/>
      <c r="F41" s="837">
        <f>+F30</f>
        <v>2737.0403635800221</v>
      </c>
      <c r="G41" s="837">
        <f>+G30</f>
        <v>952.85927294629903</v>
      </c>
      <c r="H41" s="838">
        <f>+H30</f>
        <v>0</v>
      </c>
    </row>
    <row r="42" spans="2:8">
      <c r="B42" s="365">
        <v>27</v>
      </c>
      <c r="C42" s="418" t="s">
        <v>2247</v>
      </c>
      <c r="D42" s="842"/>
      <c r="F42" s="837">
        <f t="shared" ref="F42:H46" si="0">+F31</f>
        <v>7695.2794371510481</v>
      </c>
      <c r="G42" s="837">
        <f t="shared" si="0"/>
        <v>2678.9953364120252</v>
      </c>
      <c r="H42" s="838">
        <f t="shared" si="0"/>
        <v>0</v>
      </c>
    </row>
    <row r="43" spans="2:8">
      <c r="B43" s="365">
        <v>28</v>
      </c>
      <c r="C43" s="418" t="s">
        <v>2249</v>
      </c>
      <c r="D43" s="842"/>
      <c r="F43" s="837">
        <f t="shared" si="0"/>
        <v>37791.254617096231</v>
      </c>
      <c r="G43" s="837">
        <f t="shared" si="0"/>
        <v>13156.454642515533</v>
      </c>
      <c r="H43" s="838">
        <f t="shared" si="0"/>
        <v>0</v>
      </c>
    </row>
    <row r="44" spans="2:8">
      <c r="B44" s="365">
        <v>29</v>
      </c>
      <c r="C44" s="418" t="s">
        <v>2250</v>
      </c>
      <c r="D44" s="842"/>
      <c r="F44" s="837">
        <f t="shared" si="0"/>
        <v>6519.2699460607055</v>
      </c>
      <c r="G44" s="837">
        <f t="shared" si="0"/>
        <v>2269.5853899717054</v>
      </c>
      <c r="H44" s="838">
        <f t="shared" si="0"/>
        <v>0</v>
      </c>
    </row>
    <row r="45" spans="2:8">
      <c r="B45" s="365">
        <v>30</v>
      </c>
      <c r="C45" s="418" t="s">
        <v>2256</v>
      </c>
      <c r="D45" s="842"/>
      <c r="F45" s="837">
        <f t="shared" si="0"/>
        <v>24224.606503181003</v>
      </c>
      <c r="G45" s="837">
        <f t="shared" si="0"/>
        <v>8433.4309596513831</v>
      </c>
      <c r="H45" s="838">
        <f t="shared" si="0"/>
        <v>0</v>
      </c>
    </row>
    <row r="46" spans="2:8">
      <c r="B46" s="365">
        <v>31</v>
      </c>
      <c r="C46" s="418" t="s">
        <v>2257</v>
      </c>
      <c r="D46" s="842"/>
      <c r="F46" s="837">
        <f t="shared" si="0"/>
        <v>32812.795362930985</v>
      </c>
      <c r="G46" s="837">
        <f t="shared" si="0"/>
        <v>11423.279228503052</v>
      </c>
      <c r="H46" s="838">
        <f t="shared" si="0"/>
        <v>0</v>
      </c>
    </row>
    <row r="47" spans="2:8" ht="15" thickBot="1">
      <c r="B47" s="365">
        <v>32</v>
      </c>
      <c r="C47" s="425" t="s">
        <v>4928</v>
      </c>
      <c r="D47" s="1033"/>
      <c r="E47" s="1033"/>
      <c r="F47" s="426">
        <f>+SUM(F40:F46)</f>
        <v>119263.13193999999</v>
      </c>
      <c r="G47" s="426">
        <f>+SUM(G40:G46)</f>
        <v>41595.298069999997</v>
      </c>
      <c r="H47" s="428">
        <f>+SUM(H40:H46)</f>
        <v>428.13576</v>
      </c>
    </row>
    <row r="48" spans="2:8" ht="15" thickTop="1">
      <c r="B48" s="616"/>
      <c r="C48" s="297"/>
      <c r="D48" s="845"/>
      <c r="E48" s="297"/>
      <c r="F48" s="297"/>
      <c r="G48" s="297"/>
      <c r="H48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theme="2" tint="-0.499984740745262"/>
  </sheetPr>
  <dimension ref="B1:K48"/>
  <sheetViews>
    <sheetView tabSelected="1" showOutlineSymbols="0" workbookViewId="0"/>
  </sheetViews>
  <sheetFormatPr defaultRowHeight="14.4"/>
  <cols>
    <col min="3" max="3" width="27.44140625" bestFit="1" customWidth="1"/>
    <col min="4" max="4" width="25.33203125" bestFit="1" customWidth="1"/>
    <col min="5" max="5" width="10.109375" customWidth="1"/>
    <col min="6" max="7" width="10" bestFit="1" customWidth="1"/>
    <col min="8" max="8" width="11.44140625" bestFit="1" customWidth="1"/>
    <col min="10" max="10" width="20.44140625" bestFit="1" customWidth="1"/>
    <col min="11" max="11" width="16.109375" customWidth="1"/>
  </cols>
  <sheetData>
    <row r="1" spans="2:11">
      <c r="C1" s="84" t="s">
        <v>116</v>
      </c>
    </row>
    <row r="3" spans="2:11">
      <c r="B3" s="962" t="s">
        <v>2173</v>
      </c>
      <c r="C3" s="957"/>
      <c r="D3" s="957"/>
      <c r="E3" s="957"/>
      <c r="F3" s="957"/>
      <c r="G3" s="957"/>
      <c r="H3" s="963"/>
      <c r="J3" t="s">
        <v>8413</v>
      </c>
    </row>
    <row r="4" spans="2:11">
      <c r="B4" s="353" t="s">
        <v>4913</v>
      </c>
      <c r="H4" s="296"/>
      <c r="J4" t="s">
        <v>8481</v>
      </c>
      <c r="K4" s="1586">
        <f>+SUM('Accounting Schedule B-7'!R438:R443)</f>
        <v>119302.26293999999</v>
      </c>
    </row>
    <row r="5" spans="2:11">
      <c r="B5" s="615" t="s">
        <v>9263</v>
      </c>
      <c r="C5" s="29"/>
      <c r="D5" s="29"/>
      <c r="E5" s="834"/>
      <c r="F5" s="62"/>
      <c r="G5" s="62"/>
      <c r="H5" s="1030"/>
      <c r="J5" t="s">
        <v>8479</v>
      </c>
      <c r="K5" s="1639">
        <f>+F24</f>
        <v>119263.13193999999</v>
      </c>
    </row>
    <row r="6" spans="2:11">
      <c r="B6" s="357"/>
      <c r="C6" s="297"/>
      <c r="D6" s="297"/>
      <c r="E6" s="297"/>
      <c r="F6" s="297"/>
      <c r="G6" s="297"/>
      <c r="H6" s="298"/>
      <c r="K6" s="516">
        <f>+K4-K5</f>
        <v>39.130999999993946</v>
      </c>
    </row>
    <row r="7" spans="2:11">
      <c r="B7" s="1005" t="s">
        <v>4914</v>
      </c>
      <c r="C7" s="981"/>
      <c r="D7" s="981"/>
      <c r="E7" s="981"/>
      <c r="F7" s="981"/>
      <c r="G7" s="981"/>
      <c r="H7" s="1006"/>
      <c r="J7" t="s">
        <v>8477</v>
      </c>
      <c r="K7" s="1586">
        <f>-'SPP ADJ T&amp;D'!$C$30/1000</f>
        <v>-39.131</v>
      </c>
    </row>
    <row r="8" spans="2:11">
      <c r="B8" s="1007" t="s">
        <v>2182</v>
      </c>
      <c r="C8" s="63" t="s">
        <v>4915</v>
      </c>
      <c r="D8" s="60" t="s">
        <v>4916</v>
      </c>
      <c r="E8" s="60" t="s">
        <v>4190</v>
      </c>
      <c r="F8" s="1008" t="s">
        <v>3480</v>
      </c>
      <c r="G8" s="1008" t="s">
        <v>1533</v>
      </c>
      <c r="H8" s="1010" t="s">
        <v>4917</v>
      </c>
      <c r="J8" s="297" t="s">
        <v>8439</v>
      </c>
      <c r="K8" s="1639">
        <v>0</v>
      </c>
    </row>
    <row r="9" spans="2:11">
      <c r="B9" s="835" t="s">
        <v>2175</v>
      </c>
      <c r="C9" s="524" t="s">
        <v>2176</v>
      </c>
      <c r="D9" s="524" t="s">
        <v>2177</v>
      </c>
      <c r="E9" s="524" t="s">
        <v>2178</v>
      </c>
      <c r="F9" s="524" t="s">
        <v>2179</v>
      </c>
      <c r="G9" s="524" t="s">
        <v>2625</v>
      </c>
      <c r="H9" s="836" t="s">
        <v>2626</v>
      </c>
      <c r="K9" s="1640">
        <f>+SUM(K6:K8)</f>
        <v>-6.0538241086760536E-12</v>
      </c>
    </row>
    <row r="10" spans="2:11">
      <c r="B10" s="365">
        <v>1</v>
      </c>
      <c r="C10" t="s">
        <v>4918</v>
      </c>
      <c r="D10" s="33">
        <v>39201</v>
      </c>
      <c r="F10" s="1034">
        <f>+SUMIFS('300s - 5 Digit FERC Accounts'!D:D,'300s - 5 Digit FERC Accounts'!B:B,'0 MDS Transportation Equipment'!D10)/1000</f>
        <v>0</v>
      </c>
      <c r="G10" s="1034">
        <f>+SUMIFS('300s - 5 Digit FERC Accounts'!E:E,'300s - 5 Digit FERC Accounts'!B:B,'0 MDS Transportation Equipment'!D10)/1000</f>
        <v>0</v>
      </c>
      <c r="H10" s="1035">
        <f>+SUMIFS('300s - 5 Digit FERC Accounts'!F:F,'300s - 5 Digit FERC Accounts'!B:B,'0 MDS Transportation Equipment'!D10)/1000</f>
        <v>0</v>
      </c>
    </row>
    <row r="11" spans="2:11">
      <c r="B11" s="365">
        <v>2</v>
      </c>
      <c r="D11" s="33">
        <v>39202</v>
      </c>
      <c r="F11" s="1034">
        <f>+SUMIFS('300s - 5 Digit FERC Accounts'!D:D,'300s - 5 Digit FERC Accounts'!B:B,'0 MDS Transportation Equipment'!D11)/1000-('SPP ADJ T&amp;D'!C30/1000)</f>
        <v>31049.48402</v>
      </c>
      <c r="G11" s="1034">
        <f>+SUMIFS('300s - 5 Digit FERC Accounts'!E:E,'300s - 5 Digit FERC Accounts'!B:B,'0 MDS Transportation Equipment'!D11)/1000-('SPP ADJ T&amp;D'!D30/1000)</f>
        <v>8680.5326499999992</v>
      </c>
      <c r="H11" s="1036">
        <f>+SUMIFS('300s - 5 Digit FERC Accounts'!F:F,'300s - 5 Digit FERC Accounts'!B:B,'0 MDS Transportation Equipment'!D11)/1000</f>
        <v>2166.5242200000002</v>
      </c>
      <c r="J11" t="s">
        <v>8480</v>
      </c>
      <c r="K11" s="1586">
        <f>+SUM('Accounting Schedule B-9'!T438:T443)</f>
        <v>41605.728069999997</v>
      </c>
    </row>
    <row r="12" spans="2:11">
      <c r="B12" s="365">
        <v>3</v>
      </c>
      <c r="D12" s="33">
        <v>39203</v>
      </c>
      <c r="F12" s="1034">
        <f>+SUMIFS('300s - 5 Digit FERC Accounts'!D:D,'300s - 5 Digit FERC Accounts'!B:B,'0 MDS Transportation Equipment'!D12)/1000</f>
        <v>80730.762209999986</v>
      </c>
      <c r="G12" s="1034">
        <f>+SUMIFS('300s - 5 Digit FERC Accounts'!E:E,'300s - 5 Digit FERC Accounts'!B:B,'0 MDS Transportation Equipment'!D12)/1000</f>
        <v>30234.072179999999</v>
      </c>
      <c r="H12" s="1036">
        <f>+SUMIFS('300s - 5 Digit FERC Accounts'!F:F,'300s - 5 Digit FERC Accounts'!B:B,'0 MDS Transportation Equipment'!D12)/1000</f>
        <v>3366.4728</v>
      </c>
      <c r="J12" t="s">
        <v>8479</v>
      </c>
      <c r="K12" s="1639">
        <f>+G24</f>
        <v>41595.298069999997</v>
      </c>
    </row>
    <row r="13" spans="2:11">
      <c r="B13" s="365">
        <v>4</v>
      </c>
      <c r="D13" s="529">
        <v>39204</v>
      </c>
      <c r="F13" s="1037">
        <f>+SUMIFS('300s - 5 Digit FERC Accounts'!D:D,'300s - 5 Digit FERC Accounts'!B:B,'0 MDS Transportation Equipment'!D13)/1000</f>
        <v>0</v>
      </c>
      <c r="G13" s="1037">
        <f>+SUMIFS('300s - 5 Digit FERC Accounts'!E:E,'300s - 5 Digit FERC Accounts'!B:B,'0 MDS Transportation Equipment'!D13)/1000</f>
        <v>0</v>
      </c>
      <c r="H13" s="1038">
        <f>+SUMIFS('300s - 5 Digit FERC Accounts'!F:F,'300s - 5 Digit FERC Accounts'!B:B,'0 MDS Transportation Equipment'!D13)/1000</f>
        <v>0</v>
      </c>
      <c r="K13" s="516">
        <f>+K11-K12</f>
        <v>10.430000000000291</v>
      </c>
    </row>
    <row r="14" spans="2:11">
      <c r="B14" s="365">
        <v>5</v>
      </c>
      <c r="D14" s="61" t="s">
        <v>4919</v>
      </c>
      <c r="F14" s="1034">
        <f>+SUM(F10:F13)</f>
        <v>111780.24622999999</v>
      </c>
      <c r="G14" s="1034">
        <f>+SUM(G10:G13)</f>
        <v>38914.604829999997</v>
      </c>
      <c r="H14" s="1036">
        <f>+SUM(H10:H13)</f>
        <v>5532.9970200000007</v>
      </c>
      <c r="J14" t="s">
        <v>8477</v>
      </c>
      <c r="K14" s="1586">
        <f>-'SPP ADJ T&amp;D'!$D$30/1000</f>
        <v>-10.43</v>
      </c>
    </row>
    <row r="15" spans="2:11">
      <c r="B15" s="365">
        <v>6</v>
      </c>
      <c r="D15" s="33"/>
      <c r="F15" s="1034"/>
      <c r="G15" s="1034"/>
      <c r="H15" s="296"/>
      <c r="J15" s="297" t="s">
        <v>8439</v>
      </c>
      <c r="K15" s="1639">
        <v>0</v>
      </c>
    </row>
    <row r="16" spans="2:11">
      <c r="B16" s="365">
        <v>7</v>
      </c>
      <c r="D16" s="33"/>
      <c r="F16" s="1034"/>
      <c r="G16" s="1034"/>
      <c r="H16" s="296"/>
      <c r="K16" s="1640">
        <f>+SUM(K13:K15)</f>
        <v>2.9132252166164108E-13</v>
      </c>
    </row>
    <row r="17" spans="2:11">
      <c r="B17" s="365">
        <v>8</v>
      </c>
      <c r="C17" t="s">
        <v>4920</v>
      </c>
      <c r="D17" s="33">
        <v>39211</v>
      </c>
      <c r="F17" s="1034">
        <f>+SUMIFS('300s - 5 Digit FERC Accounts'!D:D,'300s - 5 Digit FERC Accounts'!B:B,'0 MDS Transportation Equipment'!D17)/1000</f>
        <v>0</v>
      </c>
      <c r="G17" s="1034">
        <f>+SUMIFS('300s - 5 Digit FERC Accounts'!E:E,'300s - 5 Digit FERC Accounts'!B:B,'0 MDS Transportation Equipment'!D17)/1000</f>
        <v>0</v>
      </c>
      <c r="H17" s="1036">
        <f>+SUMIFS('300s - 5 Digit FERC Accounts'!F:F,'300s - 5 Digit FERC Accounts'!B:B,'0 MDS Transportation Equipment'!D17)/1000</f>
        <v>0</v>
      </c>
    </row>
    <row r="18" spans="2:11">
      <c r="B18" s="365">
        <v>9</v>
      </c>
      <c r="D18" s="33">
        <v>39212</v>
      </c>
      <c r="F18" s="1034">
        <f>+SUMIFS('300s - 5 Digit FERC Accounts'!D:D,'300s - 5 Digit FERC Accounts'!B:B,'0 MDS Transportation Equipment'!D18)/1000</f>
        <v>6411.7383200000004</v>
      </c>
      <c r="G18" s="1034">
        <f>+SUMIFS('300s - 5 Digit FERC Accounts'!E:E,'300s - 5 Digit FERC Accounts'!B:B,'0 MDS Transportation Equipment'!D18)/1000</f>
        <v>2375.1942300000001</v>
      </c>
      <c r="H18" s="1036">
        <f>+SUMIFS('300s - 5 Digit FERC Accounts'!F:F,'300s - 5 Digit FERC Accounts'!B:B,'0 MDS Transportation Equipment'!D18)/1000</f>
        <v>363.54552000000001</v>
      </c>
      <c r="J18" t="s">
        <v>8480</v>
      </c>
      <c r="K18" s="1586">
        <f>+SUM('Accounting Schedule B-9'!H438:H443)</f>
        <v>5961.1327799999999</v>
      </c>
    </row>
    <row r="19" spans="2:11">
      <c r="B19" s="365">
        <v>10</v>
      </c>
      <c r="D19" s="33">
        <v>39213</v>
      </c>
      <c r="F19" s="1034">
        <f>+SUMIFS('300s - 5 Digit FERC Accounts'!D:D,'300s - 5 Digit FERC Accounts'!B:B,'0 MDS Transportation Equipment'!D19)/1000</f>
        <v>1071.1473899999999</v>
      </c>
      <c r="G19" s="1034">
        <f>+SUMIFS('300s - 5 Digit FERC Accounts'!E:E,'300s - 5 Digit FERC Accounts'!B:B,'0 MDS Transportation Equipment'!D19)/1000</f>
        <v>305.49901</v>
      </c>
      <c r="H19" s="1036">
        <f>+SUMIFS('300s - 5 Digit FERC Accounts'!F:F,'300s - 5 Digit FERC Accounts'!B:B,'0 MDS Transportation Equipment'!D19)/1000</f>
        <v>64.590239999999994</v>
      </c>
      <c r="J19" t="s">
        <v>8479</v>
      </c>
      <c r="K19" s="1639">
        <f>+H24</f>
        <v>5961.1327800000008</v>
      </c>
    </row>
    <row r="20" spans="2:11">
      <c r="B20" s="365">
        <v>11</v>
      </c>
      <c r="D20" s="529">
        <v>39214</v>
      </c>
      <c r="F20" s="1037">
        <f>+SUMIFS('300s - 5 Digit FERC Accounts'!D:D,'300s - 5 Digit FERC Accounts'!B:B,'0 MDS Transportation Equipment'!D20)/1000</f>
        <v>0</v>
      </c>
      <c r="G20" s="1037">
        <f>+SUMIFS('300s - 5 Digit FERC Accounts'!E:E,'300s - 5 Digit FERC Accounts'!B:B,'0 MDS Transportation Equipment'!D20)/1000</f>
        <v>0</v>
      </c>
      <c r="H20" s="1038">
        <f>+SUMIFS('300s - 5 Digit FERC Accounts'!F:F,'300s - 5 Digit FERC Accounts'!B:B,'0 MDS Transportation Equipment'!D20)/1000</f>
        <v>0</v>
      </c>
      <c r="K20" s="516">
        <f>+K18-K19</f>
        <v>0</v>
      </c>
    </row>
    <row r="21" spans="2:11">
      <c r="B21" s="365">
        <v>12</v>
      </c>
      <c r="D21" s="61" t="s">
        <v>4921</v>
      </c>
      <c r="F21" s="1034">
        <f>+SUM(F17:F20)</f>
        <v>7482.8857100000005</v>
      </c>
      <c r="G21" s="1034">
        <f>+SUM(G17:G20)</f>
        <v>2680.6932400000001</v>
      </c>
      <c r="H21" s="1036">
        <f>+SUM(H17:H20)</f>
        <v>428.13576</v>
      </c>
      <c r="J21" t="s">
        <v>8477</v>
      </c>
      <c r="K21" s="1586">
        <v>0</v>
      </c>
    </row>
    <row r="22" spans="2:11">
      <c r="B22" s="365">
        <v>13</v>
      </c>
      <c r="H22" s="296"/>
      <c r="J22" s="297" t="s">
        <v>8439</v>
      </c>
      <c r="K22" s="1639">
        <v>0</v>
      </c>
    </row>
    <row r="23" spans="2:11">
      <c r="B23" s="365">
        <v>14</v>
      </c>
      <c r="D23" s="33"/>
      <c r="F23" s="1034"/>
      <c r="G23" s="1034"/>
      <c r="H23" s="1038"/>
      <c r="K23" s="1640">
        <f>+SUM(K20:K22)</f>
        <v>0</v>
      </c>
    </row>
    <row r="24" spans="2:11">
      <c r="B24" s="365">
        <v>15</v>
      </c>
      <c r="C24" s="1039" t="s">
        <v>4922</v>
      </c>
      <c r="D24" s="981"/>
      <c r="E24" s="1040"/>
      <c r="F24" s="1041">
        <f>+F14+F21</f>
        <v>119263.13193999999</v>
      </c>
      <c r="G24" s="1041">
        <f>+G14+G21</f>
        <v>41595.298069999997</v>
      </c>
      <c r="H24" s="1042">
        <f>+H14+H21</f>
        <v>5961.1327800000008</v>
      </c>
    </row>
    <row r="25" spans="2:11">
      <c r="B25" s="357"/>
      <c r="G25" s="981"/>
    </row>
    <row r="26" spans="2:11">
      <c r="B26" s="1005" t="s">
        <v>4923</v>
      </c>
      <c r="C26" s="981"/>
      <c r="D26" s="981"/>
      <c r="E26" s="981"/>
      <c r="F26" s="981"/>
      <c r="G26" s="981"/>
      <c r="H26" s="1006"/>
    </row>
    <row r="27" spans="2:11" ht="53.4">
      <c r="B27" s="683" t="s">
        <v>2182</v>
      </c>
      <c r="C27" s="545" t="s">
        <v>4915</v>
      </c>
      <c r="D27" s="1043" t="s">
        <v>4924</v>
      </c>
      <c r="E27" s="1043" t="s">
        <v>4925</v>
      </c>
      <c r="F27" s="1044" t="s">
        <v>3480</v>
      </c>
      <c r="G27" s="1044" t="s">
        <v>1533</v>
      </c>
      <c r="H27" s="1045" t="s">
        <v>4739</v>
      </c>
    </row>
    <row r="28" spans="2:11">
      <c r="B28" s="365">
        <v>16</v>
      </c>
      <c r="C28" s="418" t="s">
        <v>2254</v>
      </c>
      <c r="D28" s="1031"/>
      <c r="E28" s="1046"/>
      <c r="F28" s="837">
        <f>+F21</f>
        <v>7482.8857100000005</v>
      </c>
      <c r="G28" s="837">
        <f>+G21</f>
        <v>2680.6932400000001</v>
      </c>
      <c r="H28" s="1047">
        <f>+H21</f>
        <v>428.13576</v>
      </c>
    </row>
    <row r="29" spans="2:11">
      <c r="B29" s="365">
        <v>17</v>
      </c>
      <c r="C29" s="436"/>
      <c r="D29" s="444"/>
      <c r="E29" s="1048"/>
      <c r="F29" s="839"/>
      <c r="G29" s="839"/>
      <c r="H29" s="840"/>
    </row>
    <row r="30" spans="2:11">
      <c r="B30" s="365">
        <v>18</v>
      </c>
      <c r="C30" s="1049" t="s">
        <v>4200</v>
      </c>
      <c r="D30" s="1032">
        <f>+'0 MDS Labor O&amp;M'!K22</f>
        <v>1370.2007609755603</v>
      </c>
      <c r="E30" s="1046">
        <f>+D30/D36</f>
        <v>2.448590386845511E-2</v>
      </c>
      <c r="F30" s="837">
        <f>+F14*E30</f>
        <v>2737.0403635800212</v>
      </c>
      <c r="G30" s="837">
        <f>+G14*E30</f>
        <v>952.8592729462988</v>
      </c>
      <c r="H30" s="1047">
        <v>0</v>
      </c>
    </row>
    <row r="31" spans="2:11">
      <c r="B31" s="365">
        <v>19</v>
      </c>
      <c r="C31" s="436" t="s">
        <v>4926</v>
      </c>
      <c r="D31" s="839">
        <f>+'0 MDS Labor O&amp;M'!K23</f>
        <v>3852.3647224962351</v>
      </c>
      <c r="E31" s="1048">
        <f>+D31/D36</f>
        <v>6.8842927947368918E-2</v>
      </c>
      <c r="F31" s="839">
        <f>+F14*E31</f>
        <v>7695.2794371510454</v>
      </c>
      <c r="G31" s="839">
        <f>+G14*E31</f>
        <v>2678.9953364120242</v>
      </c>
      <c r="H31" s="840">
        <v>0</v>
      </c>
    </row>
    <row r="32" spans="2:11">
      <c r="B32" s="365">
        <v>20</v>
      </c>
      <c r="C32" s="418" t="s">
        <v>4202</v>
      </c>
      <c r="D32" s="837">
        <f>+'0 MDS Labor O&amp;M'!K24</f>
        <v>18918.831650768243</v>
      </c>
      <c r="E32" s="1046">
        <f>+D32/D36</f>
        <v>0.33808526917936793</v>
      </c>
      <c r="F32" s="837">
        <f>+F14*E32</f>
        <v>37791.254635605575</v>
      </c>
      <c r="G32" s="837">
        <f>+G14*E32</f>
        <v>13156.454648959279</v>
      </c>
      <c r="H32" s="838">
        <v>0</v>
      </c>
    </row>
    <row r="33" spans="2:8">
      <c r="B33" s="365">
        <v>21</v>
      </c>
      <c r="C33" s="418" t="s">
        <v>4203</v>
      </c>
      <c r="D33" s="837">
        <f>+'0 MDS Labor O&amp;M'!K25</f>
        <v>3263.6378967904961</v>
      </c>
      <c r="E33" s="1046">
        <f>+D33/D36</f>
        <v>5.8322200715581481E-2</v>
      </c>
      <c r="F33" s="837">
        <f>+F14*E33</f>
        <v>6519.2699566631791</v>
      </c>
      <c r="G33" s="837">
        <f>+G14*E33</f>
        <v>2269.5853936627964</v>
      </c>
      <c r="H33" s="838">
        <v>0</v>
      </c>
    </row>
    <row r="34" spans="2:8">
      <c r="B34" s="365">
        <v>22</v>
      </c>
      <c r="C34" s="436" t="s">
        <v>4204</v>
      </c>
      <c r="D34" s="837">
        <f>+'0 MDS Labor O&amp;M'!K26</f>
        <v>12127.177467594054</v>
      </c>
      <c r="E34" s="1048">
        <f>+D34/D36</f>
        <v>0.21671634560747363</v>
      </c>
      <c r="F34" s="839">
        <f>+F14*E34</f>
        <v>24224.60647406918</v>
      </c>
      <c r="G34" s="839">
        <f>+G14*E34</f>
        <v>8433.4309495165417</v>
      </c>
      <c r="H34" s="840">
        <v>0</v>
      </c>
    </row>
    <row r="35" spans="2:8">
      <c r="B35" s="365">
        <v>23</v>
      </c>
      <c r="C35" s="418" t="s">
        <v>4205</v>
      </c>
      <c r="D35" s="1032">
        <f>+'0 MDS Labor O&amp;M'!K27</f>
        <v>16426.545174224604</v>
      </c>
      <c r="E35" s="1046">
        <f>+D35/D36</f>
        <v>0.2935473526817528</v>
      </c>
      <c r="F35" s="837">
        <f>+F14*E35</f>
        <v>32812.795362930978</v>
      </c>
      <c r="G35" s="837">
        <f>+G14*E35</f>
        <v>11423.27922850305</v>
      </c>
      <c r="H35" s="838">
        <v>0</v>
      </c>
    </row>
    <row r="36" spans="2:8">
      <c r="B36" s="365">
        <v>24</v>
      </c>
      <c r="C36" s="1049" t="s">
        <v>115</v>
      </c>
      <c r="D36" s="1032">
        <f>+SUM(D30:D35)</f>
        <v>55958.757672849199</v>
      </c>
      <c r="E36" s="1050">
        <f>+SUM(E30:E35)</f>
        <v>0.99999999999999989</v>
      </c>
      <c r="F36" s="1051">
        <f>+SUM(F28:F35)</f>
        <v>119263.13193999998</v>
      </c>
      <c r="G36" s="1051">
        <f>+SUM(G28:G35)</f>
        <v>41595.298069999997</v>
      </c>
      <c r="H36" s="1052">
        <f>+SUM(H28:H35)</f>
        <v>428.13576</v>
      </c>
    </row>
    <row r="37" spans="2:8">
      <c r="B37" s="357"/>
      <c r="C37" s="297"/>
      <c r="D37" s="297"/>
      <c r="E37" s="297"/>
      <c r="F37" s="297"/>
      <c r="G37" s="297"/>
      <c r="H37" s="298"/>
    </row>
    <row r="38" spans="2:8">
      <c r="B38" s="1005" t="s">
        <v>4927</v>
      </c>
      <c r="C38" s="981"/>
      <c r="D38" s="981"/>
      <c r="E38" s="981"/>
      <c r="F38" s="981"/>
      <c r="G38" s="981"/>
      <c r="H38" s="1006"/>
    </row>
    <row r="39" spans="2:8">
      <c r="B39" s="683" t="s">
        <v>2182</v>
      </c>
      <c r="C39" s="545" t="s">
        <v>4915</v>
      </c>
      <c r="D39" s="981"/>
      <c r="E39" s="981"/>
      <c r="F39" s="1044" t="s">
        <v>3480</v>
      </c>
      <c r="G39" s="1044" t="s">
        <v>1533</v>
      </c>
      <c r="H39" s="1045" t="s">
        <v>4739</v>
      </c>
    </row>
    <row r="40" spans="2:8">
      <c r="B40" s="365">
        <v>25</v>
      </c>
      <c r="C40" s="418" t="s">
        <v>2254</v>
      </c>
      <c r="D40" s="842"/>
      <c r="F40" s="837">
        <f>+F28</f>
        <v>7482.8857100000005</v>
      </c>
      <c r="G40" s="837">
        <f>+G28</f>
        <v>2680.6932400000001</v>
      </c>
      <c r="H40" s="838">
        <f>+H28</f>
        <v>428.13576</v>
      </c>
    </row>
    <row r="41" spans="2:8">
      <c r="B41" s="365">
        <v>26</v>
      </c>
      <c r="C41" s="418" t="s">
        <v>2246</v>
      </c>
      <c r="D41" s="842"/>
      <c r="F41" s="837">
        <f>+F30</f>
        <v>2737.0403635800212</v>
      </c>
      <c r="G41" s="837">
        <f>+G30</f>
        <v>952.8592729462988</v>
      </c>
      <c r="H41" s="838">
        <f>+H30</f>
        <v>0</v>
      </c>
    </row>
    <row r="42" spans="2:8">
      <c r="B42" s="365">
        <v>27</v>
      </c>
      <c r="C42" s="418" t="s">
        <v>2247</v>
      </c>
      <c r="D42" s="842"/>
      <c r="F42" s="837">
        <f t="shared" ref="F42:H46" si="0">+F31</f>
        <v>7695.2794371510454</v>
      </c>
      <c r="G42" s="837">
        <f t="shared" si="0"/>
        <v>2678.9953364120242</v>
      </c>
      <c r="H42" s="838">
        <f t="shared" si="0"/>
        <v>0</v>
      </c>
    </row>
    <row r="43" spans="2:8">
      <c r="B43" s="365">
        <v>28</v>
      </c>
      <c r="C43" s="418" t="s">
        <v>2249</v>
      </c>
      <c r="D43" s="842"/>
      <c r="F43" s="837">
        <f t="shared" si="0"/>
        <v>37791.254635605575</v>
      </c>
      <c r="G43" s="837">
        <f t="shared" si="0"/>
        <v>13156.454648959279</v>
      </c>
      <c r="H43" s="838">
        <f t="shared" si="0"/>
        <v>0</v>
      </c>
    </row>
    <row r="44" spans="2:8">
      <c r="B44" s="365">
        <v>29</v>
      </c>
      <c r="C44" s="418" t="s">
        <v>2250</v>
      </c>
      <c r="D44" s="842"/>
      <c r="F44" s="837">
        <f t="shared" si="0"/>
        <v>6519.2699566631791</v>
      </c>
      <c r="G44" s="837">
        <f t="shared" si="0"/>
        <v>2269.5853936627964</v>
      </c>
      <c r="H44" s="838">
        <f t="shared" si="0"/>
        <v>0</v>
      </c>
    </row>
    <row r="45" spans="2:8">
      <c r="B45" s="365">
        <v>30</v>
      </c>
      <c r="C45" s="418" t="s">
        <v>2256</v>
      </c>
      <c r="D45" s="842"/>
      <c r="F45" s="837">
        <f t="shared" si="0"/>
        <v>24224.60647406918</v>
      </c>
      <c r="G45" s="837">
        <f t="shared" si="0"/>
        <v>8433.4309495165417</v>
      </c>
      <c r="H45" s="838">
        <f t="shared" si="0"/>
        <v>0</v>
      </c>
    </row>
    <row r="46" spans="2:8">
      <c r="B46" s="365">
        <v>31</v>
      </c>
      <c r="C46" s="418" t="s">
        <v>2257</v>
      </c>
      <c r="D46" s="842"/>
      <c r="F46" s="837">
        <f t="shared" si="0"/>
        <v>32812.795362930978</v>
      </c>
      <c r="G46" s="837">
        <f t="shared" si="0"/>
        <v>11423.27922850305</v>
      </c>
      <c r="H46" s="838">
        <f t="shared" si="0"/>
        <v>0</v>
      </c>
    </row>
    <row r="47" spans="2:8" ht="15" thickBot="1">
      <c r="B47" s="365">
        <v>32</v>
      </c>
      <c r="C47" s="425" t="s">
        <v>4928</v>
      </c>
      <c r="D47" s="1033"/>
      <c r="E47" s="1033"/>
      <c r="F47" s="426">
        <f>+SUM(F40:F46)</f>
        <v>119263.13193999998</v>
      </c>
      <c r="G47" s="426">
        <f>+SUM(G40:G46)</f>
        <v>41595.298069999997</v>
      </c>
      <c r="H47" s="428">
        <f>+SUM(H40:H46)</f>
        <v>428.13576</v>
      </c>
    </row>
    <row r="48" spans="2:8" ht="15" thickTop="1">
      <c r="B48" s="616"/>
      <c r="C48" s="297"/>
      <c r="D48" s="845"/>
      <c r="E48" s="297"/>
      <c r="F48" s="297"/>
      <c r="G48" s="297"/>
      <c r="H48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B1:F47"/>
  <sheetViews>
    <sheetView tabSelected="1" showOutlineSymbols="0"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2107" t="s">
        <v>116</v>
      </c>
    </row>
    <row r="2" spans="2:6" ht="15" thickBot="1"/>
    <row r="3" spans="2:6" ht="15" thickBot="1">
      <c r="C3" s="113" t="s">
        <v>4941</v>
      </c>
      <c r="D3" s="116" t="s">
        <v>4536</v>
      </c>
    </row>
    <row r="4" spans="2:6">
      <c r="C4" s="118" t="s">
        <v>1529</v>
      </c>
      <c r="D4" s="2255">
        <v>22550611</v>
      </c>
    </row>
    <row r="5" spans="2:6">
      <c r="C5" s="118" t="s">
        <v>1530</v>
      </c>
      <c r="D5" s="2255">
        <v>20590486</v>
      </c>
    </row>
    <row r="6" spans="2:6">
      <c r="C6" s="118" t="s">
        <v>1528</v>
      </c>
      <c r="D6" s="2255">
        <f>12084859+14268587</f>
        <v>26353446</v>
      </c>
    </row>
    <row r="7" spans="2:6">
      <c r="C7" s="118" t="s">
        <v>4906</v>
      </c>
      <c r="D7" s="2255">
        <v>0</v>
      </c>
    </row>
    <row r="8" spans="2:6" ht="15" thickBot="1">
      <c r="C8" s="914" t="s">
        <v>1833</v>
      </c>
      <c r="D8" s="2648">
        <v>0</v>
      </c>
    </row>
    <row r="11" spans="2:6">
      <c r="B11" s="962" t="s">
        <v>2173</v>
      </c>
      <c r="C11" s="957"/>
      <c r="D11" s="957"/>
      <c r="E11" s="957"/>
      <c r="F11" s="963"/>
    </row>
    <row r="12" spans="2:6">
      <c r="B12" s="353" t="s">
        <v>4929</v>
      </c>
      <c r="F12" s="296"/>
    </row>
    <row r="13" spans="2:6">
      <c r="B13" s="2552" t="s">
        <v>9263</v>
      </c>
      <c r="C13" s="1962"/>
      <c r="D13" s="1962"/>
      <c r="E13" s="834"/>
      <c r="F13" s="2649"/>
    </row>
    <row r="14" spans="2:6">
      <c r="B14" s="461"/>
      <c r="C14" s="297"/>
      <c r="D14" s="297"/>
      <c r="E14" s="2650"/>
      <c r="F14" s="2651"/>
    </row>
    <row r="15" spans="2:6">
      <c r="B15" s="2652" t="s">
        <v>2182</v>
      </c>
      <c r="C15" s="2653" t="s">
        <v>1918</v>
      </c>
      <c r="D15" s="2653" t="s">
        <v>4930</v>
      </c>
      <c r="E15" s="2653" t="s">
        <v>4931</v>
      </c>
      <c r="F15" s="2654" t="s">
        <v>4932</v>
      </c>
    </row>
    <row r="16" spans="2:6">
      <c r="B16" s="835" t="s">
        <v>2175</v>
      </c>
      <c r="C16" s="524" t="s">
        <v>2176</v>
      </c>
      <c r="D16" s="524" t="s">
        <v>2177</v>
      </c>
      <c r="E16" s="524" t="s">
        <v>2178</v>
      </c>
      <c r="F16" s="836" t="s">
        <v>2179</v>
      </c>
    </row>
    <row r="17" spans="2:6">
      <c r="B17" s="2655">
        <v>1</v>
      </c>
      <c r="C17" s="2656" t="s">
        <v>4933</v>
      </c>
      <c r="D17" s="981"/>
      <c r="E17" s="981"/>
      <c r="F17" s="1006"/>
    </row>
    <row r="18" spans="2:6">
      <c r="B18" s="604">
        <v>2</v>
      </c>
      <c r="C18" s="1039" t="s">
        <v>1918</v>
      </c>
      <c r="D18" s="2657" t="s">
        <v>4934</v>
      </c>
      <c r="E18" s="2658" t="s">
        <v>4196</v>
      </c>
      <c r="F18" s="684" t="s">
        <v>115</v>
      </c>
    </row>
    <row r="19" spans="2:6">
      <c r="B19" s="604">
        <v>3</v>
      </c>
      <c r="C19" s="96" t="s">
        <v>4372</v>
      </c>
      <c r="D19" s="837">
        <f>+D6/1000</f>
        <v>26353.446</v>
      </c>
      <c r="E19" s="2659">
        <v>0</v>
      </c>
      <c r="F19" s="2595">
        <f>+D19+E19</f>
        <v>26353.446</v>
      </c>
    </row>
    <row r="20" spans="2:6">
      <c r="B20" s="604">
        <v>4</v>
      </c>
      <c r="C20" s="293" t="s">
        <v>4184</v>
      </c>
      <c r="D20" s="837">
        <f>+D4/1000</f>
        <v>22550.611000000001</v>
      </c>
      <c r="E20" s="2587">
        <v>0</v>
      </c>
      <c r="F20" s="2595">
        <f>+D20+E20</f>
        <v>22550.611000000001</v>
      </c>
    </row>
    <row r="21" spans="2:6">
      <c r="B21" s="604">
        <v>5</v>
      </c>
      <c r="C21" s="293" t="s">
        <v>4185</v>
      </c>
      <c r="D21" s="837">
        <f>+D5/1000</f>
        <v>20590.486000000001</v>
      </c>
      <c r="E21" s="2587">
        <v>0</v>
      </c>
      <c r="F21" s="2595">
        <f>+D21+E21</f>
        <v>20590.486000000001</v>
      </c>
    </row>
    <row r="22" spans="2:6">
      <c r="B22" s="604">
        <v>6</v>
      </c>
      <c r="C22" s="293" t="s">
        <v>4210</v>
      </c>
      <c r="D22" s="839">
        <f>+D7/1000</f>
        <v>0</v>
      </c>
      <c r="E22" s="2589">
        <v>0</v>
      </c>
      <c r="F22" s="2595">
        <f>+D22+E22</f>
        <v>0</v>
      </c>
    </row>
    <row r="23" spans="2:6">
      <c r="B23" s="604">
        <v>7</v>
      </c>
      <c r="C23" s="1053" t="s">
        <v>115</v>
      </c>
      <c r="D23" s="1058">
        <f>+SUM(D19:D22)</f>
        <v>69494.543000000005</v>
      </c>
      <c r="E23" s="1054">
        <f>+SUM(E19:E22)</f>
        <v>0</v>
      </c>
      <c r="F23" s="1055">
        <f>+SUM(F19:F22)</f>
        <v>69494.543000000005</v>
      </c>
    </row>
    <row r="24" spans="2:6">
      <c r="B24" s="604">
        <v>8</v>
      </c>
      <c r="C24" s="2656" t="s">
        <v>4761</v>
      </c>
      <c r="D24" s="297"/>
      <c r="E24" s="297"/>
      <c r="F24" s="298"/>
    </row>
    <row r="25" spans="2:6">
      <c r="B25" s="604">
        <v>9</v>
      </c>
      <c r="C25" s="1039" t="s">
        <v>1918</v>
      </c>
      <c r="D25" s="2657" t="s">
        <v>4935</v>
      </c>
      <c r="E25" s="2657" t="s">
        <v>4936</v>
      </c>
      <c r="F25" s="2660" t="s">
        <v>3480</v>
      </c>
    </row>
    <row r="26" spans="2:6" ht="15.6">
      <c r="B26" s="604">
        <v>10</v>
      </c>
      <c r="C26" s="531" t="s">
        <v>4210</v>
      </c>
      <c r="D26" s="328"/>
      <c r="E26" s="328"/>
      <c r="F26" s="2661">
        <f>+F22</f>
        <v>0</v>
      </c>
    </row>
    <row r="27" spans="2:6">
      <c r="B27" s="604">
        <v>11</v>
      </c>
      <c r="C27" s="418" t="s">
        <v>2254</v>
      </c>
      <c r="D27" s="651">
        <f>+'Labor O&amp;M'!D22</f>
        <v>32335.923285079385</v>
      </c>
      <c r="E27" s="877">
        <f>+D27/D32</f>
        <v>0.49736708850198441</v>
      </c>
      <c r="F27" s="838">
        <f>+$F$26*E27</f>
        <v>0</v>
      </c>
    </row>
    <row r="28" spans="2:6">
      <c r="B28" s="604">
        <v>12</v>
      </c>
      <c r="C28" s="418" t="s">
        <v>2255</v>
      </c>
      <c r="D28" s="651">
        <f>+'Labor O&amp;M'!D23</f>
        <v>8536.8794286847842</v>
      </c>
      <c r="E28" s="877">
        <f>+D28/D32</f>
        <v>0.13130792119044365</v>
      </c>
      <c r="F28" s="838">
        <f>+$F$26*E28</f>
        <v>0</v>
      </c>
    </row>
    <row r="29" spans="2:6">
      <c r="B29" s="604">
        <v>13</v>
      </c>
      <c r="C29" s="418" t="s">
        <v>2246</v>
      </c>
      <c r="D29" s="2662">
        <f>+'Labor O&amp;M'!D24</f>
        <v>1370.2007609755603</v>
      </c>
      <c r="E29" s="877">
        <f>+D29/D32</f>
        <v>2.1075407593636766E-2</v>
      </c>
      <c r="F29" s="838">
        <f>+$F$26*E29</f>
        <v>0</v>
      </c>
    </row>
    <row r="30" spans="2:6">
      <c r="B30" s="604">
        <v>14</v>
      </c>
      <c r="C30" s="418" t="s">
        <v>2247</v>
      </c>
      <c r="D30" s="2662">
        <f>+'Labor O&amp;M'!D25</f>
        <v>3852.3647224962351</v>
      </c>
      <c r="E30" s="877">
        <f>+D30/D32</f>
        <v>5.9254204959096279E-2</v>
      </c>
      <c r="F30" s="838">
        <f>+$F$26*E30</f>
        <v>0</v>
      </c>
    </row>
    <row r="31" spans="2:6">
      <c r="B31" s="604">
        <v>15</v>
      </c>
      <c r="C31" s="418" t="s">
        <v>2249</v>
      </c>
      <c r="D31" s="2662">
        <f>+'Labor O&amp;M'!D26</f>
        <v>18918.831641502202</v>
      </c>
      <c r="E31" s="877">
        <f>+D31/D32</f>
        <v>0.29099537775483897</v>
      </c>
      <c r="F31" s="838">
        <f>+$F$26*E31</f>
        <v>0</v>
      </c>
    </row>
    <row r="32" spans="2:6">
      <c r="B32" s="604">
        <v>16</v>
      </c>
      <c r="C32" s="2663" t="s">
        <v>115</v>
      </c>
      <c r="D32" s="2664">
        <f>+SUM(D27:D31)</f>
        <v>65014.199838738161</v>
      </c>
      <c r="E32" s="1059">
        <f>+SUM(E27:E31)</f>
        <v>1</v>
      </c>
      <c r="F32" s="2665">
        <f>+SUM(F27:F31)</f>
        <v>0</v>
      </c>
    </row>
    <row r="33" spans="2:6">
      <c r="B33" s="604">
        <v>17</v>
      </c>
      <c r="C33" s="2656" t="s">
        <v>4937</v>
      </c>
      <c r="D33" s="981"/>
      <c r="E33" s="981"/>
      <c r="F33" s="1006"/>
    </row>
    <row r="34" spans="2:6" ht="27">
      <c r="B34" s="604">
        <v>18</v>
      </c>
      <c r="C34" s="1039" t="s">
        <v>1918</v>
      </c>
      <c r="D34" s="2657" t="s">
        <v>4938</v>
      </c>
      <c r="E34" s="1043" t="s">
        <v>4939</v>
      </c>
      <c r="F34" s="2660" t="s">
        <v>3480</v>
      </c>
    </row>
    <row r="35" spans="2:6">
      <c r="B35" s="604">
        <v>19</v>
      </c>
      <c r="C35" s="418" t="s">
        <v>2254</v>
      </c>
      <c r="D35" s="42">
        <f>+REPORTS!F943+REPORTS!F944</f>
        <v>7324814.6436129035</v>
      </c>
      <c r="E35" s="877">
        <f>+D35/SUM(D35)</f>
        <v>1</v>
      </c>
      <c r="F35" s="838">
        <f>+F19*E35</f>
        <v>26353.446</v>
      </c>
    </row>
    <row r="36" spans="2:6">
      <c r="B36" s="604">
        <v>20</v>
      </c>
      <c r="C36" s="418" t="s">
        <v>2246</v>
      </c>
      <c r="D36" s="42">
        <f>+REPORTS!F945</f>
        <v>534187.1509608163</v>
      </c>
      <c r="E36" s="877">
        <f>+D36/SUM(D36:D37)</f>
        <v>0.50433781794352395</v>
      </c>
      <c r="F36" s="838">
        <f>+E36*F20</f>
        <v>11373.125945033229</v>
      </c>
    </row>
    <row r="37" spans="2:6">
      <c r="B37" s="604">
        <v>21</v>
      </c>
      <c r="C37" s="418" t="s">
        <v>2247</v>
      </c>
      <c r="D37" s="439">
        <f>+REPORTS!F946</f>
        <v>524998.04585628002</v>
      </c>
      <c r="E37" s="1298">
        <f>+D37/SUM(D36:D37)</f>
        <v>0.49566218205647605</v>
      </c>
      <c r="F37" s="840">
        <f>+E37*F20</f>
        <v>11177.485054966772</v>
      </c>
    </row>
    <row r="38" spans="2:6">
      <c r="B38" s="604">
        <v>22</v>
      </c>
      <c r="C38" s="418" t="s">
        <v>2249</v>
      </c>
      <c r="D38" s="42">
        <f>+REPORTS!F947</f>
        <v>1838573.1984126705</v>
      </c>
      <c r="E38" s="933">
        <f>+D38/SUM(D38)</f>
        <v>1</v>
      </c>
      <c r="F38" s="903">
        <f>+F21*E38</f>
        <v>20590.486000000001</v>
      </c>
    </row>
    <row r="39" spans="2:6">
      <c r="B39" s="604">
        <v>23</v>
      </c>
      <c r="C39" s="2663" t="s">
        <v>115</v>
      </c>
      <c r="D39" s="1057">
        <f>+SUM(D35:D38)</f>
        <v>10222573.038842671</v>
      </c>
      <c r="E39" s="1056"/>
      <c r="F39" s="2666">
        <f>+SUM(F35:F38)</f>
        <v>69494.543000000005</v>
      </c>
    </row>
    <row r="40" spans="2:6">
      <c r="B40" s="604">
        <v>24</v>
      </c>
      <c r="C40" s="2656" t="s">
        <v>4940</v>
      </c>
      <c r="D40" s="981"/>
      <c r="E40" s="981"/>
      <c r="F40" s="1006"/>
    </row>
    <row r="41" spans="2:6">
      <c r="B41" s="604">
        <v>25</v>
      </c>
      <c r="C41" s="2656" t="s">
        <v>1918</v>
      </c>
      <c r="D41" s="981"/>
      <c r="E41" s="981"/>
      <c r="F41" s="2667" t="s">
        <v>115</v>
      </c>
    </row>
    <row r="42" spans="2:6">
      <c r="B42" s="604">
        <v>26</v>
      </c>
      <c r="C42" s="418" t="s">
        <v>2254</v>
      </c>
      <c r="D42" s="842"/>
      <c r="F42" s="838">
        <f>+F27+F35</f>
        <v>26353.446</v>
      </c>
    </row>
    <row r="43" spans="2:6">
      <c r="B43" s="604">
        <v>27</v>
      </c>
      <c r="C43" s="418" t="s">
        <v>2246</v>
      </c>
      <c r="D43" s="842"/>
      <c r="F43" s="838">
        <f>+F29+F36</f>
        <v>11373.125945033229</v>
      </c>
    </row>
    <row r="44" spans="2:6">
      <c r="B44" s="604">
        <v>28</v>
      </c>
      <c r="C44" s="418" t="s">
        <v>2247</v>
      </c>
      <c r="D44" s="842"/>
      <c r="F44" s="838">
        <f>+F30+F37</f>
        <v>11177.485054966772</v>
      </c>
    </row>
    <row r="45" spans="2:6">
      <c r="B45" s="604">
        <v>29</v>
      </c>
      <c r="C45" s="418" t="s">
        <v>2249</v>
      </c>
      <c r="D45" s="842"/>
      <c r="F45" s="838">
        <f>+F31+F38</f>
        <v>20590.486000000001</v>
      </c>
    </row>
    <row r="46" spans="2:6" ht="15" thickBot="1">
      <c r="B46" s="604">
        <v>30</v>
      </c>
      <c r="C46" s="1027" t="s">
        <v>115</v>
      </c>
      <c r="D46" s="964"/>
      <c r="E46" s="964"/>
      <c r="F46" s="2668">
        <f>+SUM(F42:F45)</f>
        <v>69494.543000000005</v>
      </c>
    </row>
    <row r="47" spans="2:6" ht="15" thickTop="1">
      <c r="B47" s="616"/>
      <c r="C47" s="297"/>
      <c r="D47" s="845"/>
      <c r="E47" s="297"/>
      <c r="F47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theme="2" tint="-0.499984740745262"/>
  </sheetPr>
  <dimension ref="B1:F47"/>
  <sheetViews>
    <sheetView tabSelected="1" showOutlineSymbols="0" workbookViewId="0"/>
  </sheetViews>
  <sheetFormatPr defaultRowHeight="14.4"/>
  <cols>
    <col min="3" max="3" width="20.88671875" customWidth="1"/>
    <col min="4" max="4" width="16.44140625" customWidth="1"/>
    <col min="5" max="5" width="17.88671875" bestFit="1" customWidth="1"/>
    <col min="6" max="6" width="31.44140625" customWidth="1"/>
  </cols>
  <sheetData>
    <row r="1" spans="2:6">
      <c r="C1" s="2107" t="s">
        <v>116</v>
      </c>
    </row>
    <row r="2" spans="2:6" ht="15" thickBot="1"/>
    <row r="3" spans="2:6" ht="15" thickBot="1">
      <c r="C3" s="113" t="s">
        <v>4941</v>
      </c>
      <c r="D3" s="116" t="s">
        <v>4536</v>
      </c>
    </row>
    <row r="4" spans="2:6">
      <c r="C4" s="118" t="s">
        <v>1529</v>
      </c>
      <c r="D4" s="2255">
        <v>22550611</v>
      </c>
    </row>
    <row r="5" spans="2:6">
      <c r="C5" s="118" t="s">
        <v>1530</v>
      </c>
      <c r="D5" s="2255">
        <v>20590486</v>
      </c>
    </row>
    <row r="6" spans="2:6">
      <c r="C6" s="118" t="s">
        <v>1528</v>
      </c>
      <c r="D6" s="2255">
        <f>12084859+14268587</f>
        <v>26353446</v>
      </c>
    </row>
    <row r="7" spans="2:6">
      <c r="C7" s="118" t="s">
        <v>4906</v>
      </c>
      <c r="D7" s="2255">
        <v>0</v>
      </c>
    </row>
    <row r="8" spans="2:6" ht="15" thickBot="1">
      <c r="C8" s="914" t="s">
        <v>1833</v>
      </c>
      <c r="D8" s="2648">
        <v>0</v>
      </c>
    </row>
    <row r="11" spans="2:6">
      <c r="B11" s="962" t="s">
        <v>2173</v>
      </c>
      <c r="C11" s="957"/>
      <c r="D11" s="957"/>
      <c r="E11" s="957"/>
      <c r="F11" s="963"/>
    </row>
    <row r="12" spans="2:6">
      <c r="B12" s="353" t="s">
        <v>4929</v>
      </c>
      <c r="F12" s="296"/>
    </row>
    <row r="13" spans="2:6">
      <c r="B13" s="2552" t="s">
        <v>9263</v>
      </c>
      <c r="C13" s="1962"/>
      <c r="D13" s="1962"/>
      <c r="E13" s="834"/>
      <c r="F13" s="2649"/>
    </row>
    <row r="14" spans="2:6">
      <c r="B14" s="461"/>
      <c r="C14" s="297"/>
      <c r="D14" s="297"/>
      <c r="E14" s="2650"/>
      <c r="F14" s="2651"/>
    </row>
    <row r="15" spans="2:6">
      <c r="B15" s="2652" t="s">
        <v>2182</v>
      </c>
      <c r="C15" s="2653" t="s">
        <v>1918</v>
      </c>
      <c r="D15" s="2653" t="s">
        <v>4930</v>
      </c>
      <c r="E15" s="2653" t="s">
        <v>4931</v>
      </c>
      <c r="F15" s="2654" t="s">
        <v>4932</v>
      </c>
    </row>
    <row r="16" spans="2:6">
      <c r="B16" s="835" t="s">
        <v>2175</v>
      </c>
      <c r="C16" s="524" t="s">
        <v>2176</v>
      </c>
      <c r="D16" s="524" t="s">
        <v>2177</v>
      </c>
      <c r="E16" s="524" t="s">
        <v>2178</v>
      </c>
      <c r="F16" s="836" t="s">
        <v>2179</v>
      </c>
    </row>
    <row r="17" spans="2:6">
      <c r="B17" s="2655">
        <v>1</v>
      </c>
      <c r="C17" s="2656" t="s">
        <v>4933</v>
      </c>
      <c r="D17" s="981"/>
      <c r="E17" s="981"/>
      <c r="F17" s="1006"/>
    </row>
    <row r="18" spans="2:6">
      <c r="B18" s="604">
        <v>2</v>
      </c>
      <c r="C18" s="1039" t="s">
        <v>1918</v>
      </c>
      <c r="D18" s="2657" t="s">
        <v>4934</v>
      </c>
      <c r="E18" s="2658" t="s">
        <v>4196</v>
      </c>
      <c r="F18" s="684" t="s">
        <v>115</v>
      </c>
    </row>
    <row r="19" spans="2:6">
      <c r="B19" s="604">
        <v>3</v>
      </c>
      <c r="C19" s="96" t="s">
        <v>4372</v>
      </c>
      <c r="D19" s="837">
        <f>+D6/1000</f>
        <v>26353.446</v>
      </c>
      <c r="E19" s="2659">
        <v>0</v>
      </c>
      <c r="F19" s="2595">
        <f>+D19+E19</f>
        <v>26353.446</v>
      </c>
    </row>
    <row r="20" spans="2:6">
      <c r="B20" s="604">
        <v>4</v>
      </c>
      <c r="C20" s="293" t="s">
        <v>4184</v>
      </c>
      <c r="D20" s="837">
        <f>+D4/1000</f>
        <v>22550.611000000001</v>
      </c>
      <c r="E20" s="2587">
        <v>0</v>
      </c>
      <c r="F20" s="2595">
        <f>+D20+E20</f>
        <v>22550.611000000001</v>
      </c>
    </row>
    <row r="21" spans="2:6">
      <c r="B21" s="604">
        <v>5</v>
      </c>
      <c r="C21" s="293" t="s">
        <v>4185</v>
      </c>
      <c r="D21" s="837">
        <f>+D5/1000</f>
        <v>20590.486000000001</v>
      </c>
      <c r="E21" s="2587">
        <v>0</v>
      </c>
      <c r="F21" s="2595">
        <f>+D21+E21</f>
        <v>20590.486000000001</v>
      </c>
    </row>
    <row r="22" spans="2:6">
      <c r="B22" s="604">
        <v>6</v>
      </c>
      <c r="C22" s="293" t="s">
        <v>4210</v>
      </c>
      <c r="D22" s="839">
        <f>+D7/1000</f>
        <v>0</v>
      </c>
      <c r="E22" s="2589">
        <v>0</v>
      </c>
      <c r="F22" s="2595">
        <f>+D22+E22</f>
        <v>0</v>
      </c>
    </row>
    <row r="23" spans="2:6">
      <c r="B23" s="604">
        <v>7</v>
      </c>
      <c r="C23" s="1053" t="s">
        <v>115</v>
      </c>
      <c r="D23" s="1058">
        <f>+SUM(D19:D22)</f>
        <v>69494.543000000005</v>
      </c>
      <c r="E23" s="1054">
        <f>+SUM(E19:E22)</f>
        <v>0</v>
      </c>
      <c r="F23" s="1055">
        <f>+SUM(F19:F22)</f>
        <v>69494.543000000005</v>
      </c>
    </row>
    <row r="24" spans="2:6">
      <c r="B24" s="604">
        <v>8</v>
      </c>
      <c r="C24" s="2656" t="s">
        <v>4761</v>
      </c>
      <c r="D24" s="297"/>
      <c r="E24" s="297"/>
      <c r="F24" s="298"/>
    </row>
    <row r="25" spans="2:6">
      <c r="B25" s="604">
        <v>9</v>
      </c>
      <c r="C25" s="1039" t="s">
        <v>1918</v>
      </c>
      <c r="D25" s="2657" t="s">
        <v>4935</v>
      </c>
      <c r="E25" s="2657" t="s">
        <v>4936</v>
      </c>
      <c r="F25" s="2660" t="s">
        <v>3480</v>
      </c>
    </row>
    <row r="26" spans="2:6" ht="15.6">
      <c r="B26" s="604">
        <v>10</v>
      </c>
      <c r="C26" s="531" t="s">
        <v>4210</v>
      </c>
      <c r="D26" s="328"/>
      <c r="E26" s="328"/>
      <c r="F26" s="2661">
        <f>+F22</f>
        <v>0</v>
      </c>
    </row>
    <row r="27" spans="2:6">
      <c r="B27" s="604">
        <v>11</v>
      </c>
      <c r="C27" s="418" t="s">
        <v>2254</v>
      </c>
      <c r="D27" s="651">
        <f>+'0 MDS Labor O&amp;M'!D22</f>
        <v>32335.923285079385</v>
      </c>
      <c r="E27" s="877">
        <f>+D27/D32</f>
        <v>0.49736708843109795</v>
      </c>
      <c r="F27" s="838">
        <f>+$F$26*E27</f>
        <v>0</v>
      </c>
    </row>
    <row r="28" spans="2:6">
      <c r="B28" s="604">
        <v>12</v>
      </c>
      <c r="C28" s="418" t="s">
        <v>2255</v>
      </c>
      <c r="D28" s="651">
        <f>+'0 MDS Labor O&amp;M'!D23</f>
        <v>8536.8794286847842</v>
      </c>
      <c r="E28" s="877">
        <f>+D28/D32</f>
        <v>0.13130792117172918</v>
      </c>
      <c r="F28" s="838">
        <f>+$F$26*E28</f>
        <v>0</v>
      </c>
    </row>
    <row r="29" spans="2:6">
      <c r="B29" s="604">
        <v>13</v>
      </c>
      <c r="C29" s="418" t="s">
        <v>2246</v>
      </c>
      <c r="D29" s="2662">
        <f>+'0 MDS Labor O&amp;M'!D24</f>
        <v>1370.2007609755603</v>
      </c>
      <c r="E29" s="877">
        <f>+D29/D32</f>
        <v>2.1075407590633026E-2</v>
      </c>
      <c r="F29" s="838">
        <f>+$F$26*E29</f>
        <v>0</v>
      </c>
    </row>
    <row r="30" spans="2:6">
      <c r="B30" s="604">
        <v>14</v>
      </c>
      <c r="C30" s="418" t="s">
        <v>2247</v>
      </c>
      <c r="D30" s="2662">
        <f>+'0 MDS Labor O&amp;M'!D25</f>
        <v>3852.3647224962351</v>
      </c>
      <c r="E30" s="877">
        <f>+D30/D32</f>
        <v>5.925420495065116E-2</v>
      </c>
      <c r="F30" s="838">
        <f>+$F$26*E30</f>
        <v>0</v>
      </c>
    </row>
    <row r="31" spans="2:6">
      <c r="B31" s="604">
        <v>15</v>
      </c>
      <c r="C31" s="418" t="s">
        <v>2249</v>
      </c>
      <c r="D31" s="2662">
        <f>+'0 MDS Labor O&amp;M'!D26</f>
        <v>18918.831650768243</v>
      </c>
      <c r="E31" s="877">
        <f>+D31/D32</f>
        <v>0.29099537785588864</v>
      </c>
      <c r="F31" s="838">
        <f>+$F$26*E31</f>
        <v>0</v>
      </c>
    </row>
    <row r="32" spans="2:6">
      <c r="B32" s="604">
        <v>16</v>
      </c>
      <c r="C32" s="2663" t="s">
        <v>115</v>
      </c>
      <c r="D32" s="2664">
        <f>+SUM(D27:D31)</f>
        <v>65014.199848004209</v>
      </c>
      <c r="E32" s="1059">
        <f>+SUM(E27:E31)</f>
        <v>0.99999999999999978</v>
      </c>
      <c r="F32" s="2665">
        <f>+SUM(F27:F31)</f>
        <v>0</v>
      </c>
    </row>
    <row r="33" spans="2:6">
      <c r="B33" s="604">
        <v>17</v>
      </c>
      <c r="C33" s="2656" t="s">
        <v>4937</v>
      </c>
      <c r="D33" s="981"/>
      <c r="E33" s="981"/>
      <c r="F33" s="1006"/>
    </row>
    <row r="34" spans="2:6" ht="27">
      <c r="B34" s="604">
        <v>18</v>
      </c>
      <c r="C34" s="1039" t="s">
        <v>1918</v>
      </c>
      <c r="D34" s="2657" t="s">
        <v>4938</v>
      </c>
      <c r="E34" s="1043" t="s">
        <v>4939</v>
      </c>
      <c r="F34" s="2660" t="s">
        <v>3480</v>
      </c>
    </row>
    <row r="35" spans="2:6">
      <c r="B35" s="604">
        <v>19</v>
      </c>
      <c r="C35" s="418" t="s">
        <v>2254</v>
      </c>
      <c r="D35" s="42">
        <f>+'0 MDS REPORTS'!F943+'0 MDS REPORTS'!F944</f>
        <v>7324814.6436129035</v>
      </c>
      <c r="E35" s="877">
        <f>+D35/SUM(D35)</f>
        <v>1</v>
      </c>
      <c r="F35" s="838">
        <f>+F19*E35</f>
        <v>26353.446</v>
      </c>
    </row>
    <row r="36" spans="2:6">
      <c r="B36" s="604">
        <v>20</v>
      </c>
      <c r="C36" s="418" t="s">
        <v>2246</v>
      </c>
      <c r="D36" s="42">
        <f>+'0 MDS REPORTS'!F945</f>
        <v>534187.1509608163</v>
      </c>
      <c r="E36" s="877">
        <f>+D36/SUM(D36:D37)</f>
        <v>0.50433781794352395</v>
      </c>
      <c r="F36" s="838">
        <f>+E36*F20</f>
        <v>11373.125945033229</v>
      </c>
    </row>
    <row r="37" spans="2:6">
      <c r="B37" s="604">
        <v>21</v>
      </c>
      <c r="C37" s="418" t="s">
        <v>2247</v>
      </c>
      <c r="D37" s="439">
        <f>+'0 MDS REPORTS'!F946</f>
        <v>524998.04585628002</v>
      </c>
      <c r="E37" s="1298">
        <f>+D37/SUM(D36:D37)</f>
        <v>0.49566218205647605</v>
      </c>
      <c r="F37" s="840">
        <f>+E37*F20</f>
        <v>11177.485054966772</v>
      </c>
    </row>
    <row r="38" spans="2:6">
      <c r="B38" s="604">
        <v>22</v>
      </c>
      <c r="C38" s="418" t="s">
        <v>2249</v>
      </c>
      <c r="D38" s="42">
        <f>+'0 MDS REPORTS'!F947</f>
        <v>1838573.1984126705</v>
      </c>
      <c r="E38" s="933">
        <f>+D38/SUM(D38)</f>
        <v>1</v>
      </c>
      <c r="F38" s="903">
        <f>+F21*E38</f>
        <v>20590.486000000001</v>
      </c>
    </row>
    <row r="39" spans="2:6">
      <c r="B39" s="604">
        <v>23</v>
      </c>
      <c r="C39" s="2663" t="s">
        <v>115</v>
      </c>
      <c r="D39" s="1057">
        <f>+SUM(D35:D38)</f>
        <v>10222573.038842671</v>
      </c>
      <c r="E39" s="1056"/>
      <c r="F39" s="2666">
        <f>+SUM(F35:F38)</f>
        <v>69494.543000000005</v>
      </c>
    </row>
    <row r="40" spans="2:6">
      <c r="B40" s="604">
        <v>24</v>
      </c>
      <c r="C40" s="2656" t="s">
        <v>4940</v>
      </c>
      <c r="D40" s="981"/>
      <c r="E40" s="981"/>
      <c r="F40" s="1006"/>
    </row>
    <row r="41" spans="2:6">
      <c r="B41" s="604">
        <v>25</v>
      </c>
      <c r="C41" s="2656" t="s">
        <v>1918</v>
      </c>
      <c r="D41" s="981"/>
      <c r="E41" s="981"/>
      <c r="F41" s="2667" t="s">
        <v>115</v>
      </c>
    </row>
    <row r="42" spans="2:6">
      <c r="B42" s="604">
        <v>26</v>
      </c>
      <c r="C42" s="418" t="s">
        <v>2254</v>
      </c>
      <c r="D42" s="842"/>
      <c r="F42" s="838">
        <f>+F27+F35</f>
        <v>26353.446</v>
      </c>
    </row>
    <row r="43" spans="2:6">
      <c r="B43" s="604">
        <v>27</v>
      </c>
      <c r="C43" s="418" t="s">
        <v>2246</v>
      </c>
      <c r="D43" s="842"/>
      <c r="F43" s="838">
        <f>+F29+F36</f>
        <v>11373.125945033229</v>
      </c>
    </row>
    <row r="44" spans="2:6">
      <c r="B44" s="604">
        <v>28</v>
      </c>
      <c r="C44" s="418" t="s">
        <v>2247</v>
      </c>
      <c r="D44" s="842"/>
      <c r="F44" s="838">
        <f>+F30+F37</f>
        <v>11177.485054966772</v>
      </c>
    </row>
    <row r="45" spans="2:6">
      <c r="B45" s="604">
        <v>29</v>
      </c>
      <c r="C45" s="418" t="s">
        <v>2249</v>
      </c>
      <c r="D45" s="842"/>
      <c r="F45" s="838">
        <f>+F31+F38</f>
        <v>20590.486000000001</v>
      </c>
    </row>
    <row r="46" spans="2:6" ht="15" thickBot="1">
      <c r="B46" s="604">
        <v>30</v>
      </c>
      <c r="C46" s="1027" t="s">
        <v>115</v>
      </c>
      <c r="D46" s="964"/>
      <c r="E46" s="964"/>
      <c r="F46" s="2668">
        <f>+SUM(F42:F45)</f>
        <v>69494.543000000005</v>
      </c>
    </row>
    <row r="47" spans="2:6" ht="15" thickTop="1">
      <c r="B47" s="616"/>
      <c r="C47" s="297"/>
      <c r="D47" s="845"/>
      <c r="E47" s="297"/>
      <c r="F47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B1:L68"/>
  <sheetViews>
    <sheetView tabSelected="1" showOutlineSymbols="0"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2107" t="s">
        <v>116</v>
      </c>
    </row>
    <row r="2" spans="2:12" ht="15" thickBot="1"/>
    <row r="3" spans="2:12">
      <c r="B3" s="139"/>
      <c r="C3" s="2669"/>
      <c r="D3" s="2669" t="s">
        <v>6161</v>
      </c>
      <c r="E3" s="2514" t="s">
        <v>6162</v>
      </c>
    </row>
    <row r="4" spans="2:12" ht="15" thickBot="1">
      <c r="B4" s="118"/>
      <c r="C4" s="2461" t="s">
        <v>6163</v>
      </c>
      <c r="D4" s="2461" t="s">
        <v>6164</v>
      </c>
      <c r="E4" s="2670" t="s">
        <v>2342</v>
      </c>
    </row>
    <row r="5" spans="2:12" ht="15" thickBot="1">
      <c r="B5" s="2515" t="s">
        <v>35</v>
      </c>
      <c r="C5" s="143" t="s">
        <v>6165</v>
      </c>
      <c r="D5" s="143" t="s">
        <v>6166</v>
      </c>
      <c r="E5" s="2671" t="s">
        <v>6165</v>
      </c>
      <c r="G5" s="517" t="s">
        <v>35</v>
      </c>
      <c r="H5" s="115" t="s">
        <v>6170</v>
      </c>
      <c r="I5" s="116" t="s">
        <v>6171</v>
      </c>
    </row>
    <row r="6" spans="2:12">
      <c r="B6" s="118" t="s">
        <v>4852</v>
      </c>
      <c r="C6" s="2672">
        <v>9881246</v>
      </c>
      <c r="D6" s="1637">
        <f>+IFERROR(E6/$E$11,0)</f>
        <v>6.5916152985449775E-4</v>
      </c>
      <c r="E6" s="2673">
        <v>-539782.81999999518</v>
      </c>
      <c r="G6" s="118" t="s">
        <v>1529</v>
      </c>
      <c r="H6" s="2254">
        <v>0</v>
      </c>
      <c r="I6" s="2255">
        <v>0</v>
      </c>
    </row>
    <row r="7" spans="2:12">
      <c r="B7" s="118" t="s">
        <v>6167</v>
      </c>
      <c r="C7" s="2672">
        <v>532624488</v>
      </c>
      <c r="D7" s="1637">
        <f>+IFERROR(E7/$E$11,0)</f>
        <v>0.52766801808995323</v>
      </c>
      <c r="E7" s="2673">
        <v>-432103692.23348868</v>
      </c>
      <c r="G7" s="118" t="s">
        <v>2642</v>
      </c>
      <c r="H7" s="2254">
        <v>0</v>
      </c>
      <c r="I7" s="69"/>
    </row>
    <row r="8" spans="2:12" ht="15" thickBot="1">
      <c r="B8" s="118" t="s">
        <v>1529</v>
      </c>
      <c r="C8" s="2672">
        <v>62470222</v>
      </c>
      <c r="D8" s="1637">
        <f>+IFERROR(E8/$E$11,0)</f>
        <v>5.8649722214880608E-2</v>
      </c>
      <c r="E8" s="2673">
        <v>-48027852.074972853</v>
      </c>
      <c r="G8" s="914" t="s">
        <v>1530</v>
      </c>
      <c r="H8" s="70"/>
      <c r="I8" s="2648">
        <v>0</v>
      </c>
    </row>
    <row r="9" spans="2:12">
      <c r="B9" s="118" t="s">
        <v>1530</v>
      </c>
      <c r="C9" s="2672">
        <v>97901518</v>
      </c>
      <c r="D9" s="1637">
        <f>+IFERROR(E9/$E$11,0)</f>
        <v>0.16444786074103585</v>
      </c>
      <c r="E9" s="2673">
        <v>-134665216.32923105</v>
      </c>
    </row>
    <row r="10" spans="2:12">
      <c r="B10" s="118" t="s">
        <v>6168</v>
      </c>
      <c r="C10" s="2672">
        <f>290397998+57230363+1178</f>
        <v>347629539</v>
      </c>
      <c r="D10" s="1637">
        <f>+IFERROR(E10/$E$11,0)</f>
        <v>0.24857523742427573</v>
      </c>
      <c r="E10" s="2673">
        <v>-203556543.52076924</v>
      </c>
    </row>
    <row r="11" spans="2:12" ht="15" thickBot="1">
      <c r="B11" s="914" t="s">
        <v>6169</v>
      </c>
      <c r="C11" s="183">
        <f>+SUM(C6:C10)</f>
        <v>1050507013</v>
      </c>
      <c r="D11" s="2674">
        <v>0.99999999999999989</v>
      </c>
      <c r="E11" s="2675">
        <v>-818893086.97846186</v>
      </c>
    </row>
    <row r="12" spans="2:12">
      <c r="B12" s="33" t="s">
        <v>4195</v>
      </c>
    </row>
    <row r="15" spans="2:12">
      <c r="B15" s="352" t="s">
        <v>2173</v>
      </c>
      <c r="C15" s="294"/>
      <c r="D15" s="294"/>
      <c r="E15" s="294"/>
      <c r="F15" s="294"/>
      <c r="G15" s="460"/>
      <c r="I15" t="s">
        <v>1438</v>
      </c>
      <c r="J15" t="s">
        <v>8488</v>
      </c>
      <c r="K15" t="s">
        <v>8489</v>
      </c>
    </row>
    <row r="16" spans="2:12">
      <c r="B16" s="353" t="s">
        <v>6172</v>
      </c>
      <c r="G16" s="296"/>
      <c r="I16" t="s">
        <v>6175</v>
      </c>
      <c r="J16" s="844">
        <f>+G24</f>
        <v>9341.4631802575841</v>
      </c>
      <c r="K16" s="844">
        <f>+G58+G59</f>
        <v>70154.97378632988</v>
      </c>
      <c r="L16" s="844">
        <f>+J16-K16</f>
        <v>-60813.510606072297</v>
      </c>
    </row>
    <row r="17" spans="2:12">
      <c r="B17" s="2552" t="s">
        <v>9263</v>
      </c>
      <c r="C17" s="1962"/>
      <c r="E17" s="834"/>
      <c r="F17" s="2676"/>
      <c r="G17" s="2649"/>
      <c r="I17" t="s">
        <v>6176</v>
      </c>
      <c r="J17" s="844">
        <f>+G25</f>
        <v>100520.79597270797</v>
      </c>
      <c r="K17" s="844">
        <f>+G60</f>
        <v>100520.79597270797</v>
      </c>
      <c r="L17" s="844">
        <f>+J17-K17</f>
        <v>0</v>
      </c>
    </row>
    <row r="18" spans="2:12">
      <c r="B18" s="2677"/>
      <c r="E18" s="834"/>
      <c r="F18" s="2676"/>
      <c r="G18" s="2649"/>
      <c r="I18" t="s">
        <v>4184</v>
      </c>
      <c r="J18" s="844">
        <f>+G26</f>
        <v>14442.369947945677</v>
      </c>
      <c r="K18" s="844">
        <f>+G61+G62</f>
        <v>22212.880417810382</v>
      </c>
      <c r="L18" s="844">
        <f>+J18-K18</f>
        <v>-7770.5104698647046</v>
      </c>
    </row>
    <row r="19" spans="2:12">
      <c r="B19" s="354" t="s">
        <v>2175</v>
      </c>
      <c r="C19" s="355" t="s">
        <v>2176</v>
      </c>
      <c r="D19" s="355" t="s">
        <v>2177</v>
      </c>
      <c r="E19" s="355" t="s">
        <v>2178</v>
      </c>
      <c r="F19" s="355" t="s">
        <v>2179</v>
      </c>
      <c r="G19" s="356" t="s">
        <v>2625</v>
      </c>
      <c r="I19" t="s">
        <v>4185</v>
      </c>
      <c r="J19" s="844">
        <f>+G27</f>
        <v>-36763.698264969818</v>
      </c>
      <c r="K19" s="844">
        <f>+G63+G64+G65</f>
        <v>14284.674836783546</v>
      </c>
      <c r="L19" s="844">
        <f>+J19-K19</f>
        <v>-51048.373101753365</v>
      </c>
    </row>
    <row r="20" spans="2:12">
      <c r="B20" s="2509"/>
      <c r="C20" s="2478" t="s">
        <v>6173</v>
      </c>
      <c r="D20" s="546"/>
      <c r="E20" s="546"/>
      <c r="F20" s="546"/>
      <c r="G20" s="547"/>
      <c r="I20" t="s">
        <v>6177</v>
      </c>
      <c r="J20" s="2678">
        <f>+G28</f>
        <v>144072.9955763664</v>
      </c>
      <c r="K20" s="2678">
        <f>+G66</f>
        <v>24440.601398676023</v>
      </c>
      <c r="L20" s="2678">
        <f>+J20-K20</f>
        <v>119632.39417769038</v>
      </c>
    </row>
    <row r="21" spans="2:12">
      <c r="B21" s="522" t="s">
        <v>2182</v>
      </c>
      <c r="C21" s="2679" t="s">
        <v>1918</v>
      </c>
      <c r="D21" s="414" t="s">
        <v>4190</v>
      </c>
      <c r="E21" s="2680" t="s">
        <v>6174</v>
      </c>
      <c r="F21" s="2680" t="s">
        <v>4196</v>
      </c>
      <c r="G21" s="2681" t="s">
        <v>5058</v>
      </c>
      <c r="J21" s="844">
        <f>+SUM(J16:J20)</f>
        <v>231613.92641230783</v>
      </c>
      <c r="K21" s="844">
        <f>+SUM(K16:K20)</f>
        <v>231613.9264123078</v>
      </c>
      <c r="L21" s="844">
        <f>+SUM(L16:L20)</f>
        <v>0</v>
      </c>
    </row>
    <row r="22" spans="2:12" ht="15.6">
      <c r="B22" s="365">
        <v>1</v>
      </c>
      <c r="C22" s="548">
        <v>107</v>
      </c>
      <c r="D22" s="328"/>
      <c r="E22" s="1558">
        <f>+SUMIFS('100s and 200s FERC Accounts'!E:E,'100s and 200s FERC Accounts'!B:B,CWIP!C22)/1000</f>
        <v>1050507.0124984616</v>
      </c>
      <c r="F22" s="1024">
        <f>+SUMIFS('Surv Report Sched 2 pg 1'!L:L,'Surv Report Sched 2 pg 1'!B:B,"TOTAL FPSC ADJUSTMENTS")/1000</f>
        <v>-818893.08658769226</v>
      </c>
      <c r="G22" s="1025">
        <f>+E22+F22</f>
        <v>231613.92591076938</v>
      </c>
    </row>
    <row r="23" spans="2:12">
      <c r="B23" s="365">
        <v>2</v>
      </c>
      <c r="C23" s="62"/>
      <c r="D23" s="2682"/>
      <c r="E23" s="1014"/>
      <c r="F23" s="837"/>
      <c r="G23" s="1015"/>
    </row>
    <row r="24" spans="2:12">
      <c r="B24" s="365">
        <v>3</v>
      </c>
      <c r="C24" s="96" t="s">
        <v>6175</v>
      </c>
      <c r="D24" s="877">
        <f>+D6</f>
        <v>6.5916152985449775E-4</v>
      </c>
      <c r="E24" s="837">
        <f>+C6/1000</f>
        <v>9881.2459999999992</v>
      </c>
      <c r="F24" s="837">
        <f>+F22*D24</f>
        <v>-539.78281974241497</v>
      </c>
      <c r="G24" s="838">
        <f>+E24+F24</f>
        <v>9341.4631802575841</v>
      </c>
    </row>
    <row r="25" spans="2:12">
      <c r="B25" s="365">
        <v>4</v>
      </c>
      <c r="C25" s="96" t="s">
        <v>6176</v>
      </c>
      <c r="D25" s="877">
        <f>+D7</f>
        <v>0.52766801808995323</v>
      </c>
      <c r="E25" s="837">
        <f>+C7/1000</f>
        <v>532624.48800000001</v>
      </c>
      <c r="F25" s="837">
        <f>+F22*D25</f>
        <v>-432103.69202729204</v>
      </c>
      <c r="G25" s="838">
        <f>+E25+F25</f>
        <v>100520.79597270797</v>
      </c>
    </row>
    <row r="26" spans="2:12">
      <c r="B26" s="365">
        <v>5</v>
      </c>
      <c r="C26" s="293" t="s">
        <v>4184</v>
      </c>
      <c r="D26" s="877">
        <f>+D8</f>
        <v>5.8649722214880608E-2</v>
      </c>
      <c r="E26" s="837">
        <f>+C8/1000</f>
        <v>62470.222000000002</v>
      </c>
      <c r="F26" s="837">
        <f>+F22*D26</f>
        <v>-48027.852052054324</v>
      </c>
      <c r="G26" s="838">
        <f>+E26+F26</f>
        <v>14442.369947945677</v>
      </c>
    </row>
    <row r="27" spans="2:12">
      <c r="B27" s="365">
        <v>6</v>
      </c>
      <c r="C27" s="293" t="s">
        <v>4185</v>
      </c>
      <c r="D27" s="877">
        <f>+D9</f>
        <v>0.16444786074103585</v>
      </c>
      <c r="E27" s="837">
        <f>+C9/1000</f>
        <v>97901.517999999996</v>
      </c>
      <c r="F27" s="837">
        <f>+F22*D27</f>
        <v>-134665.21626496981</v>
      </c>
      <c r="G27" s="838">
        <f>+E27+F27</f>
        <v>-36763.698264969818</v>
      </c>
    </row>
    <row r="28" spans="2:12">
      <c r="B28" s="365">
        <v>7</v>
      </c>
      <c r="C28" s="293" t="s">
        <v>6177</v>
      </c>
      <c r="D28" s="877">
        <f>+D10</f>
        <v>0.24857523742427573</v>
      </c>
      <c r="E28" s="837">
        <f>+C10/1000</f>
        <v>347629.53899999999</v>
      </c>
      <c r="F28" s="839">
        <f>+F22*D28</f>
        <v>-203556.54342363359</v>
      </c>
      <c r="G28" s="840">
        <f>+E28+F28</f>
        <v>144072.9955763664</v>
      </c>
    </row>
    <row r="29" spans="2:12">
      <c r="B29" s="365">
        <v>8</v>
      </c>
      <c r="C29" s="1556" t="s">
        <v>6178</v>
      </c>
      <c r="D29" s="998">
        <f>+SUM(D24:D28)</f>
        <v>1</v>
      </c>
      <c r="E29" s="1559">
        <f>+SUM(E24:E28)</f>
        <v>1050507.013</v>
      </c>
      <c r="F29" s="1559">
        <f>+SUM(F24:F28)</f>
        <v>-818893.08658769215</v>
      </c>
      <c r="G29" s="1560">
        <f>+SUM(G24:G28)</f>
        <v>231613.92641230783</v>
      </c>
    </row>
    <row r="30" spans="2:12">
      <c r="B30" s="365">
        <v>9</v>
      </c>
      <c r="C30" s="2478" t="s">
        <v>6179</v>
      </c>
      <c r="D30" s="546"/>
      <c r="E30" s="546"/>
      <c r="F30" s="546"/>
      <c r="G30" s="547"/>
    </row>
    <row r="31" spans="2:12">
      <c r="B31" s="365">
        <v>10</v>
      </c>
      <c r="C31" s="413" t="s">
        <v>6180</v>
      </c>
      <c r="D31" s="77" t="s">
        <v>5085</v>
      </c>
      <c r="E31" s="77" t="s">
        <v>6181</v>
      </c>
      <c r="F31" s="413"/>
      <c r="G31" s="2683" t="s">
        <v>3480</v>
      </c>
    </row>
    <row r="32" spans="2:12">
      <c r="B32" s="365">
        <v>11</v>
      </c>
      <c r="C32" s="418" t="s">
        <v>6182</v>
      </c>
      <c r="D32" s="777">
        <f>+'Allocation Assignment'!F282+'Allocation Assignment'!F287</f>
        <v>1173909.8391329036</v>
      </c>
      <c r="E32" s="877">
        <f>+D32/SUM(D32:D33)</f>
        <v>0.67301712805587399</v>
      </c>
      <c r="F32" s="2684"/>
      <c r="G32" s="838">
        <f>+G24*E32</f>
        <v>6286.9647214166507</v>
      </c>
    </row>
    <row r="33" spans="2:7">
      <c r="B33" s="365">
        <v>12</v>
      </c>
      <c r="C33" s="436" t="s">
        <v>6183</v>
      </c>
      <c r="D33" s="439">
        <f>+REPORTS!F867</f>
        <v>570339.73520400003</v>
      </c>
      <c r="E33" s="1298">
        <f>+D33/SUM(D32:D33)</f>
        <v>0.32698287194412601</v>
      </c>
      <c r="F33" s="2685"/>
      <c r="G33" s="840">
        <f>+G24*E33</f>
        <v>3054.4984588409338</v>
      </c>
    </row>
    <row r="34" spans="2:7">
      <c r="B34" s="365">
        <v>13</v>
      </c>
      <c r="C34" s="436" t="s">
        <v>6184</v>
      </c>
      <c r="D34" s="782">
        <f>+'Allocation Assignment'!F284+'Allocation Assignment'!F285+'Allocation Assignment'!F288</f>
        <v>5580565.0692759994</v>
      </c>
      <c r="E34" s="1298">
        <f>+SUM(E32:E33)</f>
        <v>1</v>
      </c>
      <c r="F34" s="2685"/>
      <c r="G34" s="840">
        <f>+G25*E34</f>
        <v>100520.79597270797</v>
      </c>
    </row>
    <row r="35" spans="2:7">
      <c r="B35" s="365">
        <v>14</v>
      </c>
      <c r="C35" s="418" t="s">
        <v>2246</v>
      </c>
      <c r="D35" s="644">
        <f>+REPORTS!F945</f>
        <v>534187.1509608163</v>
      </c>
      <c r="E35" s="877">
        <f>+D35/SUM(D35:D36)</f>
        <v>0.50433781794352395</v>
      </c>
      <c r="F35" s="328"/>
      <c r="G35" s="838">
        <f>+G26*E35</f>
        <v>7283.8333454800486</v>
      </c>
    </row>
    <row r="36" spans="2:7">
      <c r="B36" s="365">
        <v>15</v>
      </c>
      <c r="C36" s="436" t="s">
        <v>2247</v>
      </c>
      <c r="D36" s="439">
        <f>+REPORTS!F946</f>
        <v>524998.04585628002</v>
      </c>
      <c r="E36" s="1298">
        <f>+D36/SUM(D35:D36)</f>
        <v>0.49566218205647605</v>
      </c>
      <c r="F36" s="546"/>
      <c r="G36" s="840">
        <f>+G26*E36</f>
        <v>7158.5366024656287</v>
      </c>
    </row>
    <row r="37" spans="2:7">
      <c r="B37" s="365">
        <v>16</v>
      </c>
      <c r="C37" s="418" t="s">
        <v>2249</v>
      </c>
      <c r="D37" s="42">
        <f>+REPORTS!F947</f>
        <v>1838573.1984126705</v>
      </c>
      <c r="E37" s="877">
        <f>+D37/SUM(D37:D39)</f>
        <v>0.49841027675071026</v>
      </c>
      <c r="F37" s="328"/>
      <c r="G37" s="838">
        <f>+G27*E37</f>
        <v>-18323.405026623215</v>
      </c>
    </row>
    <row r="38" spans="2:7">
      <c r="B38" s="365">
        <v>17</v>
      </c>
      <c r="C38" s="418" t="s">
        <v>2250</v>
      </c>
      <c r="D38" s="42">
        <f>+REPORTS!F948</f>
        <v>1020055.1022166597</v>
      </c>
      <c r="E38" s="877">
        <f>+D38/SUM(D37:D39)</f>
        <v>0.27652200425618678</v>
      </c>
      <c r="F38" s="328"/>
      <c r="G38" s="838">
        <f>+G27*E38</f>
        <v>-10165.971528099151</v>
      </c>
    </row>
    <row r="39" spans="2:7">
      <c r="B39" s="365">
        <v>18</v>
      </c>
      <c r="C39" s="436" t="s">
        <v>2256</v>
      </c>
      <c r="D39" s="42">
        <f>+REPORTS!F949</f>
        <v>830246.67682678136</v>
      </c>
      <c r="E39" s="1298">
        <f>+D39/SUM(D37:D39)</f>
        <v>0.22506771899310302</v>
      </c>
      <c r="F39" s="546"/>
      <c r="G39" s="840">
        <f>+G27*E39</f>
        <v>-8274.3217102474555</v>
      </c>
    </row>
    <row r="40" spans="2:7">
      <c r="B40" s="365">
        <v>19</v>
      </c>
      <c r="C40" s="2686" t="s">
        <v>6185</v>
      </c>
      <c r="D40" s="1557">
        <f>+SUM(D32:D39)</f>
        <v>12072874.817886109</v>
      </c>
      <c r="E40" s="2687"/>
      <c r="F40" s="2687"/>
      <c r="G40" s="2688">
        <f>+SUM(G32:G39)</f>
        <v>87540.930835941399</v>
      </c>
    </row>
    <row r="41" spans="2:7">
      <c r="B41" s="365">
        <v>20</v>
      </c>
      <c r="C41" s="418" t="s">
        <v>3137</v>
      </c>
      <c r="D41" s="467"/>
      <c r="E41" s="328"/>
      <c r="F41" s="328"/>
      <c r="G41" s="536"/>
    </row>
    <row r="42" spans="2:7">
      <c r="B42" s="365">
        <v>21</v>
      </c>
      <c r="C42" s="2478" t="s">
        <v>6186</v>
      </c>
      <c r="D42" s="2687"/>
      <c r="E42" s="2687"/>
      <c r="F42" s="2687"/>
      <c r="G42" s="2689"/>
    </row>
    <row r="43" spans="2:7">
      <c r="B43" s="365">
        <v>22</v>
      </c>
      <c r="C43" s="413" t="s">
        <v>6180</v>
      </c>
      <c r="D43" s="414" t="s">
        <v>6187</v>
      </c>
      <c r="E43" s="414" t="s">
        <v>4762</v>
      </c>
      <c r="F43" s="413"/>
      <c r="G43" s="2681" t="s">
        <v>3480</v>
      </c>
    </row>
    <row r="44" spans="2:7" ht="15" thickBot="1">
      <c r="B44" s="365">
        <v>23</v>
      </c>
      <c r="C44" s="531" t="s">
        <v>4210</v>
      </c>
      <c r="D44" s="328"/>
      <c r="E44" s="328"/>
      <c r="F44" s="328"/>
      <c r="G44" s="2690">
        <f>+G28</f>
        <v>144072.9955763664</v>
      </c>
    </row>
    <row r="45" spans="2:7" ht="15" thickTop="1">
      <c r="B45" s="365">
        <v>24</v>
      </c>
      <c r="C45" s="96"/>
      <c r="D45" s="328"/>
      <c r="E45" s="328"/>
      <c r="F45" s="328"/>
      <c r="G45" s="1015"/>
    </row>
    <row r="46" spans="2:7">
      <c r="B46" s="365">
        <v>25</v>
      </c>
      <c r="C46" s="418" t="s">
        <v>6182</v>
      </c>
      <c r="D46" s="651">
        <f>+'Labor O&amp;M'!D22</f>
        <v>32335.923285079385</v>
      </c>
      <c r="E46" s="877">
        <f>+'Labor O&amp;M'!E22</f>
        <v>0.33393991748117813</v>
      </c>
      <c r="F46" s="328"/>
      <c r="G46" s="838">
        <f>+$G$44*E46</f>
        <v>48111.724254037937</v>
      </c>
    </row>
    <row r="47" spans="2:7">
      <c r="B47" s="365">
        <v>26</v>
      </c>
      <c r="C47" s="418" t="s">
        <v>6183</v>
      </c>
      <c r="D47" s="651">
        <f>+'Labor O&amp;M'!D23</f>
        <v>8536.8794286847842</v>
      </c>
      <c r="E47" s="877">
        <f>+'Labor O&amp;M'!E23</f>
        <v>8.8162159058473452E-2</v>
      </c>
      <c r="F47" s="328"/>
      <c r="G47" s="838">
        <f t="shared" ref="G47:G53" si="0">+$G$44*E47</f>
        <v>12701.786352034356</v>
      </c>
    </row>
    <row r="48" spans="2:7">
      <c r="B48" s="365">
        <v>27</v>
      </c>
      <c r="C48" s="418" t="s">
        <v>2246</v>
      </c>
      <c r="D48" s="651">
        <f>+'Labor O&amp;M'!D24</f>
        <v>1370.2007609755603</v>
      </c>
      <c r="E48" s="877">
        <f>+'Labor O&amp;M'!E24</f>
        <v>1.4150352999629922E-2</v>
      </c>
      <c r="F48" s="328"/>
      <c r="G48" s="838">
        <f t="shared" si="0"/>
        <v>2038.6837451197048</v>
      </c>
    </row>
    <row r="49" spans="2:7">
      <c r="B49" s="365">
        <v>28</v>
      </c>
      <c r="C49" s="418" t="s">
        <v>2247</v>
      </c>
      <c r="D49" s="651">
        <f>+'Labor O&amp;M'!D25</f>
        <v>3852.3647224962351</v>
      </c>
      <c r="E49" s="877">
        <f>+'Labor O&amp;M'!E25</f>
        <v>3.9784185105714888E-2</v>
      </c>
      <c r="F49" s="795"/>
      <c r="G49" s="838">
        <f t="shared" si="0"/>
        <v>5731.826724745003</v>
      </c>
    </row>
    <row r="50" spans="2:7">
      <c r="B50" s="365">
        <v>29</v>
      </c>
      <c r="C50" s="418" t="s">
        <v>2249</v>
      </c>
      <c r="D50" s="651">
        <f>+'Labor O&amp;M'!D26</f>
        <v>18918.831641502202</v>
      </c>
      <c r="E50" s="877">
        <f>+'Labor O&amp;M'!E26</f>
        <v>0.19537877491559733</v>
      </c>
      <c r="F50" s="795"/>
      <c r="G50" s="838">
        <f t="shared" si="0"/>
        <v>28148.805374130741</v>
      </c>
    </row>
    <row r="51" spans="2:7">
      <c r="B51" s="365">
        <v>30</v>
      </c>
      <c r="C51" s="418" t="s">
        <v>2250</v>
      </c>
      <c r="D51" s="651">
        <f>+'Labor O&amp;M'!D27</f>
        <v>3263.6378914827483</v>
      </c>
      <c r="E51" s="877">
        <f>+'Labor O&amp;M'!E27</f>
        <v>3.3704278630357951E-2</v>
      </c>
      <c r="F51" s="328"/>
      <c r="G51" s="838">
        <f t="shared" si="0"/>
        <v>4855.8763860161816</v>
      </c>
    </row>
    <row r="52" spans="2:7">
      <c r="B52" s="365">
        <v>31</v>
      </c>
      <c r="C52" s="418" t="s">
        <v>2256</v>
      </c>
      <c r="D52" s="651">
        <f>+'Labor O&amp;M'!D28</f>
        <v>12127.177482167837</v>
      </c>
      <c r="E52" s="877">
        <f>+'Labor O&amp;M'!E28</f>
        <v>0.12523992625698077</v>
      </c>
      <c r="F52" s="328"/>
      <c r="G52" s="838">
        <f t="shared" si="0"/>
        <v>18043.691341606445</v>
      </c>
    </row>
    <row r="53" spans="2:7">
      <c r="B53" s="365">
        <v>32</v>
      </c>
      <c r="C53" s="418" t="s">
        <v>2257</v>
      </c>
      <c r="D53" s="651">
        <f>+'Labor O&amp;M'!D29</f>
        <v>16426.545174224604</v>
      </c>
      <c r="E53" s="877">
        <f>+'Labor O&amp;M'!E29</f>
        <v>0.1696404055520675</v>
      </c>
      <c r="F53" s="328"/>
      <c r="G53" s="838">
        <f t="shared" si="0"/>
        <v>24440.601398676023</v>
      </c>
    </row>
    <row r="54" spans="2:7" ht="15" thickBot="1">
      <c r="B54" s="365">
        <v>33</v>
      </c>
      <c r="C54" s="1027" t="s">
        <v>6188</v>
      </c>
      <c r="D54" s="1561"/>
      <c r="E54" s="841"/>
      <c r="F54" s="328"/>
      <c r="G54" s="1029">
        <f>+SUM(G46:G53)</f>
        <v>144072.99557636637</v>
      </c>
    </row>
    <row r="55" spans="2:7" ht="15" thickTop="1">
      <c r="B55" s="365">
        <v>34</v>
      </c>
      <c r="C55" s="418"/>
      <c r="D55" s="791"/>
      <c r="E55" s="933"/>
      <c r="F55" s="328"/>
      <c r="G55" s="1020"/>
    </row>
    <row r="56" spans="2:7">
      <c r="B56" s="365">
        <v>35</v>
      </c>
      <c r="C56" s="2478" t="s">
        <v>4940</v>
      </c>
      <c r="D56" s="2687"/>
      <c r="E56" s="2687"/>
      <c r="F56" s="2687"/>
      <c r="G56" s="1961"/>
    </row>
    <row r="57" spans="2:7">
      <c r="B57" s="365">
        <v>36</v>
      </c>
      <c r="C57" s="413" t="s">
        <v>6180</v>
      </c>
      <c r="D57" s="414"/>
      <c r="E57" s="414"/>
      <c r="F57" s="413"/>
      <c r="G57" s="2681" t="s">
        <v>115</v>
      </c>
    </row>
    <row r="58" spans="2:7">
      <c r="B58" s="365">
        <v>37</v>
      </c>
      <c r="C58" s="418" t="s">
        <v>6182</v>
      </c>
      <c r="D58" s="791"/>
      <c r="E58" s="933"/>
      <c r="F58" s="328"/>
      <c r="G58" s="1020">
        <f>+G32+G46</f>
        <v>54398.688975454585</v>
      </c>
    </row>
    <row r="59" spans="2:7">
      <c r="B59" s="365">
        <v>38</v>
      </c>
      <c r="C59" s="418" t="s">
        <v>6183</v>
      </c>
      <c r="D59" s="791"/>
      <c r="E59" s="933"/>
      <c r="F59" s="328"/>
      <c r="G59" s="1020">
        <f>+G33+G47</f>
        <v>15756.28481087529</v>
      </c>
    </row>
    <row r="60" spans="2:7">
      <c r="B60" s="365">
        <v>39</v>
      </c>
      <c r="C60" s="418" t="s">
        <v>6184</v>
      </c>
      <c r="D60" s="791"/>
      <c r="E60" s="933"/>
      <c r="F60" s="328"/>
      <c r="G60" s="1020">
        <f>+G34</f>
        <v>100520.79597270797</v>
      </c>
    </row>
    <row r="61" spans="2:7">
      <c r="B61" s="365">
        <v>40</v>
      </c>
      <c r="C61" s="418" t="s">
        <v>2246</v>
      </c>
      <c r="D61" s="791"/>
      <c r="E61" s="933"/>
      <c r="F61" s="328"/>
      <c r="G61" s="1020">
        <f>+G35+G48</f>
        <v>9322.5170905997529</v>
      </c>
    </row>
    <row r="62" spans="2:7">
      <c r="B62" s="365">
        <v>41</v>
      </c>
      <c r="C62" s="418" t="s">
        <v>2247</v>
      </c>
      <c r="D62" s="791"/>
      <c r="E62" s="933"/>
      <c r="F62" s="328"/>
      <c r="G62" s="1020">
        <f>+G36+G49</f>
        <v>12890.363327210631</v>
      </c>
    </row>
    <row r="63" spans="2:7">
      <c r="B63" s="365">
        <v>42</v>
      </c>
      <c r="C63" s="418" t="s">
        <v>2249</v>
      </c>
      <c r="D63" s="791"/>
      <c r="E63" s="933"/>
      <c r="F63" s="328"/>
      <c r="G63" s="1020">
        <f>+G37+G50</f>
        <v>9825.400347507526</v>
      </c>
    </row>
    <row r="64" spans="2:7">
      <c r="B64" s="365">
        <v>43</v>
      </c>
      <c r="C64" s="418" t="s">
        <v>2250</v>
      </c>
      <c r="D64" s="791"/>
      <c r="E64" s="933"/>
      <c r="F64" s="328"/>
      <c r="G64" s="1020">
        <f>+G38+G51</f>
        <v>-5310.0951420829697</v>
      </c>
    </row>
    <row r="65" spans="2:7">
      <c r="B65" s="365">
        <v>44</v>
      </c>
      <c r="C65" s="328" t="s">
        <v>2256</v>
      </c>
      <c r="D65" s="328"/>
      <c r="E65" s="328"/>
      <c r="F65" s="328"/>
      <c r="G65" s="1020">
        <f>+G39+G52</f>
        <v>9769.3696313589899</v>
      </c>
    </row>
    <row r="66" spans="2:7">
      <c r="B66" s="365">
        <v>45</v>
      </c>
      <c r="C66" s="328" t="s">
        <v>2257</v>
      </c>
      <c r="D66" s="328"/>
      <c r="E66" s="328"/>
      <c r="F66" s="328"/>
      <c r="G66" s="1020">
        <f>+G53</f>
        <v>24440.601398676023</v>
      </c>
    </row>
    <row r="67" spans="2:7" ht="15" thickBot="1">
      <c r="B67" s="365">
        <v>46</v>
      </c>
      <c r="C67" s="2691" t="s">
        <v>6178</v>
      </c>
      <c r="D67" s="695"/>
      <c r="E67" s="695"/>
      <c r="F67" s="695"/>
      <c r="G67" s="1029">
        <f>+SUM(G58:G66)</f>
        <v>231613.9264123078</v>
      </c>
    </row>
    <row r="68" spans="2:7" ht="15" thickTop="1">
      <c r="B68" s="616"/>
      <c r="C68" s="2692" t="s">
        <v>3137</v>
      </c>
      <c r="D68" s="546"/>
      <c r="E68" s="546"/>
      <c r="F68" s="546"/>
      <c r="G68" s="5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theme="2" tint="-0.499984740745262"/>
  </sheetPr>
  <dimension ref="B1:L68"/>
  <sheetViews>
    <sheetView tabSelected="1" showOutlineSymbols="0" workbookViewId="0"/>
  </sheetViews>
  <sheetFormatPr defaultRowHeight="14.4"/>
  <cols>
    <col min="2" max="2" width="18" bestFit="1" customWidth="1"/>
    <col min="3" max="3" width="28.6640625" customWidth="1"/>
    <col min="4" max="5" width="22.88671875" customWidth="1"/>
    <col min="6" max="6" width="25.5546875" customWidth="1"/>
    <col min="7" max="7" width="26.5546875" customWidth="1"/>
    <col min="8" max="8" width="23" bestFit="1" customWidth="1"/>
    <col min="9" max="9" width="21.44140625" bestFit="1" customWidth="1"/>
    <col min="10" max="11" width="30" customWidth="1"/>
    <col min="12" max="12" width="10.6640625" bestFit="1" customWidth="1"/>
  </cols>
  <sheetData>
    <row r="1" spans="2:12">
      <c r="C1" s="2107" t="s">
        <v>116</v>
      </c>
    </row>
    <row r="2" spans="2:12" ht="15" thickBot="1"/>
    <row r="3" spans="2:12">
      <c r="B3" s="139"/>
      <c r="C3" s="2669"/>
      <c r="D3" s="2669" t="s">
        <v>6161</v>
      </c>
      <c r="E3" s="2514" t="s">
        <v>6162</v>
      </c>
    </row>
    <row r="4" spans="2:12" ht="15" thickBot="1">
      <c r="B4" s="118"/>
      <c r="C4" s="2461" t="s">
        <v>6163</v>
      </c>
      <c r="D4" s="2461" t="s">
        <v>6164</v>
      </c>
      <c r="E4" s="2670" t="s">
        <v>2342</v>
      </c>
    </row>
    <row r="5" spans="2:12" ht="15" thickBot="1">
      <c r="B5" s="2515" t="s">
        <v>35</v>
      </c>
      <c r="C5" s="143" t="s">
        <v>6165</v>
      </c>
      <c r="D5" s="143" t="s">
        <v>6166</v>
      </c>
      <c r="E5" s="2671" t="s">
        <v>6165</v>
      </c>
      <c r="G5" s="517" t="s">
        <v>35</v>
      </c>
      <c r="H5" s="115" t="s">
        <v>6170</v>
      </c>
      <c r="I5" s="116" t="s">
        <v>6171</v>
      </c>
    </row>
    <row r="6" spans="2:12">
      <c r="B6" s="118" t="s">
        <v>4852</v>
      </c>
      <c r="C6" s="2672">
        <v>9881246</v>
      </c>
      <c r="D6" s="1637">
        <f>+IFERROR(E6/$E$11,0)</f>
        <v>6.5916152985449775E-4</v>
      </c>
      <c r="E6" s="2673">
        <v>-539782.81999999518</v>
      </c>
      <c r="G6" s="118" t="s">
        <v>1529</v>
      </c>
      <c r="H6" s="2254">
        <v>0</v>
      </c>
      <c r="I6" s="2255">
        <v>0</v>
      </c>
    </row>
    <row r="7" spans="2:12">
      <c r="B7" s="118" t="s">
        <v>6167</v>
      </c>
      <c r="C7" s="2672">
        <v>532624488</v>
      </c>
      <c r="D7" s="1637">
        <f>+IFERROR(E7/$E$11,0)</f>
        <v>0.52766801808995323</v>
      </c>
      <c r="E7" s="2673">
        <v>-432103692.23348868</v>
      </c>
      <c r="G7" s="118" t="s">
        <v>2642</v>
      </c>
      <c r="H7" s="2254">
        <v>0</v>
      </c>
      <c r="I7" s="69"/>
    </row>
    <row r="8" spans="2:12" ht="15" thickBot="1">
      <c r="B8" s="118" t="s">
        <v>1529</v>
      </c>
      <c r="C8" s="2672">
        <v>62470222</v>
      </c>
      <c r="D8" s="1637">
        <f>+IFERROR(E8/$E$11,0)</f>
        <v>5.8649722214880608E-2</v>
      </c>
      <c r="E8" s="2673">
        <v>-48027852.074972853</v>
      </c>
      <c r="G8" s="914" t="s">
        <v>1530</v>
      </c>
      <c r="H8" s="70"/>
      <c r="I8" s="2648">
        <v>0</v>
      </c>
    </row>
    <row r="9" spans="2:12">
      <c r="B9" s="118" t="s">
        <v>1530</v>
      </c>
      <c r="C9" s="2672">
        <v>97901518</v>
      </c>
      <c r="D9" s="1637">
        <f>+IFERROR(E9/$E$11,0)</f>
        <v>0.16444786074103585</v>
      </c>
      <c r="E9" s="2673">
        <v>-134665216.32923105</v>
      </c>
    </row>
    <row r="10" spans="2:12">
      <c r="B10" s="118" t="s">
        <v>6168</v>
      </c>
      <c r="C10" s="2672">
        <f>290397998+57230363+1178</f>
        <v>347629539</v>
      </c>
      <c r="D10" s="1637">
        <f>+IFERROR(E10/$E$11,0)</f>
        <v>0.24857523742427573</v>
      </c>
      <c r="E10" s="2673">
        <v>-203556543.52076924</v>
      </c>
    </row>
    <row r="11" spans="2:12" ht="15" thickBot="1">
      <c r="B11" s="914" t="s">
        <v>6169</v>
      </c>
      <c r="C11" s="183">
        <f>+SUM(C6:C10)</f>
        <v>1050507013</v>
      </c>
      <c r="D11" s="2674">
        <v>0.99999999999999989</v>
      </c>
      <c r="E11" s="2675">
        <f>+SUM(E6:E10)</f>
        <v>-818893086.97846186</v>
      </c>
    </row>
    <row r="12" spans="2:12">
      <c r="B12" s="33" t="s">
        <v>4195</v>
      </c>
    </row>
    <row r="15" spans="2:12">
      <c r="B15" s="352" t="s">
        <v>2173</v>
      </c>
      <c r="C15" s="294"/>
      <c r="D15" s="294"/>
      <c r="E15" s="294"/>
      <c r="F15" s="294"/>
      <c r="G15" s="460"/>
      <c r="I15" t="s">
        <v>1438</v>
      </c>
      <c r="J15" t="s">
        <v>8488</v>
      </c>
      <c r="K15" t="s">
        <v>8489</v>
      </c>
    </row>
    <row r="16" spans="2:12">
      <c r="B16" s="353" t="s">
        <v>6172</v>
      </c>
      <c r="G16" s="296"/>
      <c r="I16" t="s">
        <v>6175</v>
      </c>
      <c r="J16" s="844">
        <f>+G24</f>
        <v>9341.4631802575841</v>
      </c>
      <c r="K16" s="844">
        <f>+G58+G59</f>
        <v>70154.97378632988</v>
      </c>
      <c r="L16" s="844">
        <f>+J16-K16</f>
        <v>-60813.510606072297</v>
      </c>
    </row>
    <row r="17" spans="2:12">
      <c r="B17" s="2552" t="s">
        <v>9263</v>
      </c>
      <c r="C17" s="1962"/>
      <c r="E17" s="834"/>
      <c r="F17" s="2676"/>
      <c r="G17" s="2649"/>
      <c r="I17" t="s">
        <v>6176</v>
      </c>
      <c r="J17" s="844">
        <f>+G25</f>
        <v>100520.79597270797</v>
      </c>
      <c r="K17" s="844">
        <f>+G60</f>
        <v>100520.79597270797</v>
      </c>
      <c r="L17" s="844">
        <f>+J17-K17</f>
        <v>0</v>
      </c>
    </row>
    <row r="18" spans="2:12">
      <c r="B18" s="2677"/>
      <c r="E18" s="834"/>
      <c r="F18" s="2676"/>
      <c r="G18" s="2649"/>
      <c r="I18" t="s">
        <v>4184</v>
      </c>
      <c r="J18" s="844">
        <f>+G26</f>
        <v>14442.369947945677</v>
      </c>
      <c r="K18" s="844">
        <f>+G61+G62</f>
        <v>22212.880417810382</v>
      </c>
      <c r="L18" s="844">
        <f>+J18-K18</f>
        <v>-7770.5104698647046</v>
      </c>
    </row>
    <row r="19" spans="2:12">
      <c r="B19" s="354" t="s">
        <v>2175</v>
      </c>
      <c r="C19" s="355" t="s">
        <v>2176</v>
      </c>
      <c r="D19" s="355" t="s">
        <v>2177</v>
      </c>
      <c r="E19" s="355" t="s">
        <v>2178</v>
      </c>
      <c r="F19" s="355" t="s">
        <v>2179</v>
      </c>
      <c r="G19" s="356" t="s">
        <v>2625</v>
      </c>
      <c r="I19" t="s">
        <v>4185</v>
      </c>
      <c r="J19" s="844">
        <f>+G27</f>
        <v>-36763.698264969818</v>
      </c>
      <c r="K19" s="844">
        <f>+G63+G64+G65</f>
        <v>14284.674836783553</v>
      </c>
      <c r="L19" s="844">
        <f>+J19-K19</f>
        <v>-51048.373101753372</v>
      </c>
    </row>
    <row r="20" spans="2:12">
      <c r="B20" s="2509"/>
      <c r="C20" s="2478" t="s">
        <v>6173</v>
      </c>
      <c r="D20" s="546"/>
      <c r="E20" s="546"/>
      <c r="F20" s="546"/>
      <c r="G20" s="547"/>
      <c r="I20" t="s">
        <v>6177</v>
      </c>
      <c r="J20" s="2678">
        <f>+G28</f>
        <v>144072.9955763664</v>
      </c>
      <c r="K20" s="2678">
        <f>+G66</f>
        <v>24440.601398676023</v>
      </c>
      <c r="L20" s="2678">
        <f>+J20-K20</f>
        <v>119632.39417769038</v>
      </c>
    </row>
    <row r="21" spans="2:12">
      <c r="B21" s="522" t="s">
        <v>2182</v>
      </c>
      <c r="C21" s="2679" t="s">
        <v>1918</v>
      </c>
      <c r="D21" s="414" t="s">
        <v>4190</v>
      </c>
      <c r="E21" s="2680" t="s">
        <v>6174</v>
      </c>
      <c r="F21" s="2680" t="s">
        <v>4196</v>
      </c>
      <c r="G21" s="2681" t="s">
        <v>5058</v>
      </c>
      <c r="J21" s="844">
        <f>+SUM(J16:J20)</f>
        <v>231613.92641230783</v>
      </c>
      <c r="K21" s="844">
        <f>+SUM(K16:K20)</f>
        <v>231613.9264123078</v>
      </c>
      <c r="L21" s="844">
        <f>+SUM(L16:L20)</f>
        <v>0</v>
      </c>
    </row>
    <row r="22" spans="2:12" ht="15.6">
      <c r="B22" s="365">
        <v>1</v>
      </c>
      <c r="C22" s="548">
        <v>107</v>
      </c>
      <c r="D22" s="328"/>
      <c r="E22" s="1558">
        <f>+SUMIFS('100s and 200s FERC Accounts'!E:E,'100s and 200s FERC Accounts'!B:B,'0 MDS CWIP'!C22)/1000</f>
        <v>1050507.0124984616</v>
      </c>
      <c r="F22" s="1024">
        <f>+SUMIFS('Surv Report Sched 2 pg 1'!L:L,'Surv Report Sched 2 pg 1'!B:B,"TOTAL FPSC ADJUSTMENTS")/1000</f>
        <v>-818893.08658769226</v>
      </c>
      <c r="G22" s="1025">
        <f>+E22+F22</f>
        <v>231613.92591076938</v>
      </c>
    </row>
    <row r="23" spans="2:12">
      <c r="B23" s="365">
        <v>2</v>
      </c>
      <c r="C23" s="62"/>
      <c r="D23" s="2682"/>
      <c r="E23" s="1014"/>
      <c r="F23" s="837"/>
      <c r="G23" s="1015"/>
    </row>
    <row r="24" spans="2:12">
      <c r="B24" s="365">
        <v>3</v>
      </c>
      <c r="C24" s="96" t="s">
        <v>6175</v>
      </c>
      <c r="D24" s="877">
        <f>+D6</f>
        <v>6.5916152985449775E-4</v>
      </c>
      <c r="E24" s="837">
        <f>+C6/1000</f>
        <v>9881.2459999999992</v>
      </c>
      <c r="F24" s="837">
        <f>+F22*D24</f>
        <v>-539.78281974241497</v>
      </c>
      <c r="G24" s="838">
        <f>+E24+F24</f>
        <v>9341.4631802575841</v>
      </c>
    </row>
    <row r="25" spans="2:12">
      <c r="B25" s="365">
        <v>4</v>
      </c>
      <c r="C25" s="96" t="s">
        <v>6176</v>
      </c>
      <c r="D25" s="877">
        <f>+D7</f>
        <v>0.52766801808995323</v>
      </c>
      <c r="E25" s="837">
        <f>+C7/1000</f>
        <v>532624.48800000001</v>
      </c>
      <c r="F25" s="837">
        <f>+F22*D25</f>
        <v>-432103.69202729204</v>
      </c>
      <c r="G25" s="838">
        <f>+E25+F25</f>
        <v>100520.79597270797</v>
      </c>
    </row>
    <row r="26" spans="2:12">
      <c r="B26" s="365">
        <v>5</v>
      </c>
      <c r="C26" s="293" t="s">
        <v>4184</v>
      </c>
      <c r="D26" s="877">
        <f>+D8</f>
        <v>5.8649722214880608E-2</v>
      </c>
      <c r="E26" s="837">
        <f>+C8/1000</f>
        <v>62470.222000000002</v>
      </c>
      <c r="F26" s="837">
        <f>+F22*D26</f>
        <v>-48027.852052054324</v>
      </c>
      <c r="G26" s="838">
        <f>+E26+F26</f>
        <v>14442.369947945677</v>
      </c>
    </row>
    <row r="27" spans="2:12">
      <c r="B27" s="365">
        <v>6</v>
      </c>
      <c r="C27" s="293" t="s">
        <v>4185</v>
      </c>
      <c r="D27" s="877">
        <f>+D9</f>
        <v>0.16444786074103585</v>
      </c>
      <c r="E27" s="837">
        <f>+C9/1000</f>
        <v>97901.517999999996</v>
      </c>
      <c r="F27" s="837">
        <f>+F22*D27</f>
        <v>-134665.21626496981</v>
      </c>
      <c r="G27" s="838">
        <f>+E27+F27</f>
        <v>-36763.698264969818</v>
      </c>
    </row>
    <row r="28" spans="2:12">
      <c r="B28" s="365">
        <v>7</v>
      </c>
      <c r="C28" s="293" t="s">
        <v>6177</v>
      </c>
      <c r="D28" s="877">
        <f>+D10</f>
        <v>0.24857523742427573</v>
      </c>
      <c r="E28" s="837">
        <f>+C10/1000</f>
        <v>347629.53899999999</v>
      </c>
      <c r="F28" s="839">
        <f>+F22*D28</f>
        <v>-203556.54342363359</v>
      </c>
      <c r="G28" s="840">
        <f>+E28+F28</f>
        <v>144072.9955763664</v>
      </c>
    </row>
    <row r="29" spans="2:12">
      <c r="B29" s="365">
        <v>8</v>
      </c>
      <c r="C29" s="1556" t="s">
        <v>6178</v>
      </c>
      <c r="D29" s="998">
        <f>+SUM(D24:D28)</f>
        <v>1</v>
      </c>
      <c r="E29" s="1559">
        <f>+SUM(E24:E28)</f>
        <v>1050507.013</v>
      </c>
      <c r="F29" s="1559">
        <f>+SUM(F24:F28)</f>
        <v>-818893.08658769215</v>
      </c>
      <c r="G29" s="1560">
        <f>+SUM(G24:G28)</f>
        <v>231613.92641230783</v>
      </c>
    </row>
    <row r="30" spans="2:12">
      <c r="B30" s="365">
        <v>9</v>
      </c>
      <c r="C30" s="2478" t="s">
        <v>6179</v>
      </c>
      <c r="D30" s="546"/>
      <c r="E30" s="546"/>
      <c r="F30" s="546"/>
      <c r="G30" s="547"/>
    </row>
    <row r="31" spans="2:12">
      <c r="B31" s="365">
        <v>10</v>
      </c>
      <c r="C31" s="413" t="s">
        <v>6180</v>
      </c>
      <c r="D31" s="77" t="s">
        <v>5085</v>
      </c>
      <c r="E31" s="77" t="s">
        <v>6181</v>
      </c>
      <c r="F31" s="413"/>
      <c r="G31" s="2683" t="s">
        <v>3480</v>
      </c>
    </row>
    <row r="32" spans="2:12">
      <c r="B32" s="365">
        <v>11</v>
      </c>
      <c r="C32" s="418" t="s">
        <v>6182</v>
      </c>
      <c r="D32" s="777">
        <f>+'Allocation Assignment'!F282+'Allocation Assignment'!F287</f>
        <v>1173909.8391329036</v>
      </c>
      <c r="E32" s="877">
        <f>+D32/SUM(D32:D33)</f>
        <v>0.67301712805587399</v>
      </c>
      <c r="F32" s="2684"/>
      <c r="G32" s="838">
        <f>+G24*E32</f>
        <v>6286.9647214166507</v>
      </c>
    </row>
    <row r="33" spans="2:7">
      <c r="B33" s="365">
        <v>12</v>
      </c>
      <c r="C33" s="436" t="s">
        <v>6183</v>
      </c>
      <c r="D33" s="439">
        <f>+'0 MDS REPORTS'!F867</f>
        <v>570339.73520400003</v>
      </c>
      <c r="E33" s="1298">
        <f>+D33/SUM(D32:D33)</f>
        <v>0.32698287194412601</v>
      </c>
      <c r="F33" s="2685"/>
      <c r="G33" s="840">
        <f>+G24*E33</f>
        <v>3054.4984588409338</v>
      </c>
    </row>
    <row r="34" spans="2:7">
      <c r="B34" s="365">
        <v>13</v>
      </c>
      <c r="C34" s="436" t="s">
        <v>6184</v>
      </c>
      <c r="D34" s="782">
        <f>+'Allocation Assignment'!F284+'Allocation Assignment'!F285+'Allocation Assignment'!F288</f>
        <v>5580565.0692759994</v>
      </c>
      <c r="E34" s="1298">
        <f>+SUM(E32:E33)</f>
        <v>1</v>
      </c>
      <c r="F34" s="2685"/>
      <c r="G34" s="840">
        <f>+G25*E34</f>
        <v>100520.79597270797</v>
      </c>
    </row>
    <row r="35" spans="2:7">
      <c r="B35" s="365">
        <v>14</v>
      </c>
      <c r="C35" s="418" t="s">
        <v>2246</v>
      </c>
      <c r="D35" s="644">
        <f>+'0 MDS REPORTS'!F945</f>
        <v>534187.1509608163</v>
      </c>
      <c r="E35" s="877">
        <f>+D35/SUM(D35:D36)</f>
        <v>0.50433781794352395</v>
      </c>
      <c r="F35" s="328"/>
      <c r="G35" s="838">
        <f>+G26*E35</f>
        <v>7283.8333454800486</v>
      </c>
    </row>
    <row r="36" spans="2:7">
      <c r="B36" s="365">
        <v>15</v>
      </c>
      <c r="C36" s="436" t="s">
        <v>2247</v>
      </c>
      <c r="D36" s="439">
        <f>+'0 MDS REPORTS'!F946</f>
        <v>524998.04585628002</v>
      </c>
      <c r="E36" s="1298">
        <f>+D36/SUM(D35:D36)</f>
        <v>0.49566218205647605</v>
      </c>
      <c r="F36" s="546"/>
      <c r="G36" s="840">
        <f>+G26*E36</f>
        <v>7158.5366024656287</v>
      </c>
    </row>
    <row r="37" spans="2:7">
      <c r="B37" s="365">
        <v>16</v>
      </c>
      <c r="C37" s="418" t="s">
        <v>2249</v>
      </c>
      <c r="D37" s="42">
        <f>+'0 MDS REPORTS'!F947</f>
        <v>1838573.1984126705</v>
      </c>
      <c r="E37" s="877">
        <f>+D37/SUM(D37:D39)</f>
        <v>0.49841027675071026</v>
      </c>
      <c r="F37" s="328"/>
      <c r="G37" s="838">
        <f>+G27*E37</f>
        <v>-18323.405026623215</v>
      </c>
    </row>
    <row r="38" spans="2:7">
      <c r="B38" s="365">
        <v>17</v>
      </c>
      <c r="C38" s="418" t="s">
        <v>2250</v>
      </c>
      <c r="D38" s="42">
        <f>+'0 MDS REPORTS'!F948</f>
        <v>1020055.1022166597</v>
      </c>
      <c r="E38" s="877">
        <f>+D38/SUM(D37:D39)</f>
        <v>0.27652200425618678</v>
      </c>
      <c r="F38" s="328"/>
      <c r="G38" s="838">
        <f>+G27*E38</f>
        <v>-10165.971528099151</v>
      </c>
    </row>
    <row r="39" spans="2:7">
      <c r="B39" s="365">
        <v>18</v>
      </c>
      <c r="C39" s="436" t="s">
        <v>2256</v>
      </c>
      <c r="D39" s="42">
        <f>+'0 MDS REPORTS'!F949</f>
        <v>830246.67682678136</v>
      </c>
      <c r="E39" s="1298">
        <f>+D39/SUM(D37:D39)</f>
        <v>0.22506771899310302</v>
      </c>
      <c r="F39" s="546"/>
      <c r="G39" s="840">
        <f>+G27*E39</f>
        <v>-8274.3217102474555</v>
      </c>
    </row>
    <row r="40" spans="2:7">
      <c r="B40" s="365">
        <v>19</v>
      </c>
      <c r="C40" s="2686" t="s">
        <v>6185</v>
      </c>
      <c r="D40" s="1557">
        <f>+SUM(D32:D39)</f>
        <v>12072874.817886109</v>
      </c>
      <c r="E40" s="2687"/>
      <c r="F40" s="2687"/>
      <c r="G40" s="2688">
        <f>+SUM(G32:G39)</f>
        <v>87540.930835941399</v>
      </c>
    </row>
    <row r="41" spans="2:7">
      <c r="B41" s="365">
        <v>20</v>
      </c>
      <c r="C41" s="418" t="s">
        <v>3137</v>
      </c>
      <c r="D41" s="467"/>
      <c r="E41" s="328"/>
      <c r="F41" s="328"/>
      <c r="G41" s="536"/>
    </row>
    <row r="42" spans="2:7">
      <c r="B42" s="365">
        <v>21</v>
      </c>
      <c r="C42" s="2478" t="s">
        <v>6186</v>
      </c>
      <c r="D42" s="2687"/>
      <c r="E42" s="2687"/>
      <c r="F42" s="2687"/>
      <c r="G42" s="2689"/>
    </row>
    <row r="43" spans="2:7">
      <c r="B43" s="365">
        <v>22</v>
      </c>
      <c r="C43" s="413" t="s">
        <v>6180</v>
      </c>
      <c r="D43" s="414" t="s">
        <v>6187</v>
      </c>
      <c r="E43" s="414" t="s">
        <v>4762</v>
      </c>
      <c r="F43" s="413"/>
      <c r="G43" s="2681" t="s">
        <v>3480</v>
      </c>
    </row>
    <row r="44" spans="2:7" ht="15" thickBot="1">
      <c r="B44" s="365">
        <v>23</v>
      </c>
      <c r="C44" s="531" t="s">
        <v>4210</v>
      </c>
      <c r="D44" s="328"/>
      <c r="E44" s="328"/>
      <c r="F44" s="328"/>
      <c r="G44" s="2690">
        <f>+G28</f>
        <v>144072.9955763664</v>
      </c>
    </row>
    <row r="45" spans="2:7" ht="15" thickTop="1">
      <c r="B45" s="365">
        <v>24</v>
      </c>
      <c r="C45" s="96"/>
      <c r="D45" s="328"/>
      <c r="E45" s="328"/>
      <c r="F45" s="328"/>
      <c r="G45" s="1015"/>
    </row>
    <row r="46" spans="2:7">
      <c r="B46" s="365">
        <v>25</v>
      </c>
      <c r="C46" s="418" t="s">
        <v>6182</v>
      </c>
      <c r="D46" s="651">
        <f>+'0 MDS Labor O&amp;M'!D22</f>
        <v>32335.923285079385</v>
      </c>
      <c r="E46" s="877">
        <f>+'0 MDS Labor O&amp;M'!E22</f>
        <v>0.33393991748117813</v>
      </c>
      <c r="F46" s="328"/>
      <c r="G46" s="838">
        <f>+$G$44*E46</f>
        <v>48111.724254037937</v>
      </c>
    </row>
    <row r="47" spans="2:7">
      <c r="B47" s="365">
        <v>26</v>
      </c>
      <c r="C47" s="418" t="s">
        <v>6183</v>
      </c>
      <c r="D47" s="651">
        <f>+'0 MDS Labor O&amp;M'!D23</f>
        <v>8536.8794286847842</v>
      </c>
      <c r="E47" s="877">
        <f>+'0 MDS Labor O&amp;M'!E23</f>
        <v>8.8162159058473452E-2</v>
      </c>
      <c r="F47" s="328"/>
      <c r="G47" s="838">
        <f t="shared" ref="G47:G53" si="0">+$G$44*E47</f>
        <v>12701.786352034356</v>
      </c>
    </row>
    <row r="48" spans="2:7">
      <c r="B48" s="365">
        <v>27</v>
      </c>
      <c r="C48" s="418" t="s">
        <v>2246</v>
      </c>
      <c r="D48" s="651">
        <f>+'0 MDS Labor O&amp;M'!D24</f>
        <v>1370.2007609755603</v>
      </c>
      <c r="E48" s="877">
        <f>+'0 MDS Labor O&amp;M'!E24</f>
        <v>1.4150352999629922E-2</v>
      </c>
      <c r="F48" s="328"/>
      <c r="G48" s="838">
        <f t="shared" si="0"/>
        <v>2038.6837451197048</v>
      </c>
    </row>
    <row r="49" spans="2:7">
      <c r="B49" s="365">
        <v>28</v>
      </c>
      <c r="C49" s="418" t="s">
        <v>2247</v>
      </c>
      <c r="D49" s="651">
        <f>+'0 MDS Labor O&amp;M'!D25</f>
        <v>3852.3647224962351</v>
      </c>
      <c r="E49" s="877">
        <f>+'0 MDS Labor O&amp;M'!E25</f>
        <v>3.9784185105714888E-2</v>
      </c>
      <c r="F49" s="795"/>
      <c r="G49" s="838">
        <f t="shared" si="0"/>
        <v>5731.826724745003</v>
      </c>
    </row>
    <row r="50" spans="2:7">
      <c r="B50" s="365">
        <v>29</v>
      </c>
      <c r="C50" s="418" t="s">
        <v>2249</v>
      </c>
      <c r="D50" s="651">
        <f>+'0 MDS Labor O&amp;M'!D26</f>
        <v>18918.831650768243</v>
      </c>
      <c r="E50" s="877">
        <f>+'0 MDS Labor O&amp;M'!E26</f>
        <v>0.1953787750112897</v>
      </c>
      <c r="F50" s="795"/>
      <c r="G50" s="838">
        <f t="shared" si="0"/>
        <v>28148.805387917426</v>
      </c>
    </row>
    <row r="51" spans="2:7">
      <c r="B51" s="365">
        <v>30</v>
      </c>
      <c r="C51" s="418" t="s">
        <v>2250</v>
      </c>
      <c r="D51" s="651">
        <f>+'0 MDS Labor O&amp;M'!D27</f>
        <v>3263.6378967904961</v>
      </c>
      <c r="E51" s="877">
        <f>+'0 MDS Labor O&amp;M'!E27</f>
        <v>3.3704278685172187E-2</v>
      </c>
      <c r="F51" s="328"/>
      <c r="G51" s="838">
        <f t="shared" si="0"/>
        <v>4855.8763939134333</v>
      </c>
    </row>
    <row r="52" spans="2:7">
      <c r="B52" s="365">
        <v>31</v>
      </c>
      <c r="C52" s="418" t="s">
        <v>2256</v>
      </c>
      <c r="D52" s="651">
        <f>+'0 MDS Labor O&amp;M'!D28</f>
        <v>12127.177467594054</v>
      </c>
      <c r="E52" s="877">
        <f>+'0 MDS Labor O&amp;M'!E28</f>
        <v>0.12523992610647422</v>
      </c>
      <c r="F52" s="328"/>
      <c r="G52" s="838">
        <f t="shared" si="0"/>
        <v>18043.691319922516</v>
      </c>
    </row>
    <row r="53" spans="2:7">
      <c r="B53" s="365">
        <v>32</v>
      </c>
      <c r="C53" s="418" t="s">
        <v>2257</v>
      </c>
      <c r="D53" s="651">
        <f>+'0 MDS Labor O&amp;M'!D29</f>
        <v>16426.545174224604</v>
      </c>
      <c r="E53" s="877">
        <f>+'0 MDS Labor O&amp;M'!E29</f>
        <v>0.1696404055520675</v>
      </c>
      <c r="F53" s="328"/>
      <c r="G53" s="838">
        <f t="shared" si="0"/>
        <v>24440.601398676023</v>
      </c>
    </row>
    <row r="54" spans="2:7" ht="15" thickBot="1">
      <c r="B54" s="365">
        <v>33</v>
      </c>
      <c r="C54" s="1027" t="s">
        <v>6188</v>
      </c>
      <c r="D54" s="1561"/>
      <c r="E54" s="841"/>
      <c r="F54" s="328"/>
      <c r="G54" s="1029">
        <f>+SUM(G46:G53)</f>
        <v>144072.9955763664</v>
      </c>
    </row>
    <row r="55" spans="2:7" ht="15" thickTop="1">
      <c r="B55" s="365">
        <v>34</v>
      </c>
      <c r="C55" s="418"/>
      <c r="D55" s="791"/>
      <c r="E55" s="933"/>
      <c r="F55" s="328"/>
      <c r="G55" s="1020"/>
    </row>
    <row r="56" spans="2:7">
      <c r="B56" s="365">
        <v>35</v>
      </c>
      <c r="C56" s="2478" t="s">
        <v>4940</v>
      </c>
      <c r="D56" s="2687"/>
      <c r="E56" s="2687"/>
      <c r="F56" s="2687"/>
      <c r="G56" s="1961"/>
    </row>
    <row r="57" spans="2:7">
      <c r="B57" s="365">
        <v>36</v>
      </c>
      <c r="C57" s="413" t="s">
        <v>6180</v>
      </c>
      <c r="D57" s="414"/>
      <c r="E57" s="414"/>
      <c r="F57" s="413"/>
      <c r="G57" s="2681" t="s">
        <v>115</v>
      </c>
    </row>
    <row r="58" spans="2:7">
      <c r="B58" s="365">
        <v>37</v>
      </c>
      <c r="C58" s="418" t="s">
        <v>6182</v>
      </c>
      <c r="D58" s="791"/>
      <c r="E58" s="933"/>
      <c r="F58" s="328"/>
      <c r="G58" s="1020">
        <f>+G32+G46</f>
        <v>54398.688975454585</v>
      </c>
    </row>
    <row r="59" spans="2:7">
      <c r="B59" s="365">
        <v>38</v>
      </c>
      <c r="C59" s="418" t="s">
        <v>6183</v>
      </c>
      <c r="D59" s="791"/>
      <c r="E59" s="933"/>
      <c r="F59" s="328"/>
      <c r="G59" s="1020">
        <f>+G33+G47</f>
        <v>15756.28481087529</v>
      </c>
    </row>
    <row r="60" spans="2:7">
      <c r="B60" s="365">
        <v>39</v>
      </c>
      <c r="C60" s="418" t="s">
        <v>6184</v>
      </c>
      <c r="D60" s="791"/>
      <c r="E60" s="933"/>
      <c r="F60" s="328"/>
      <c r="G60" s="1020">
        <f>+G34</f>
        <v>100520.79597270797</v>
      </c>
    </row>
    <row r="61" spans="2:7">
      <c r="B61" s="365">
        <v>40</v>
      </c>
      <c r="C61" s="418" t="s">
        <v>2246</v>
      </c>
      <c r="D61" s="791"/>
      <c r="E61" s="933"/>
      <c r="F61" s="328"/>
      <c r="G61" s="1020">
        <f>+G35+G48</f>
        <v>9322.5170905997529</v>
      </c>
    </row>
    <row r="62" spans="2:7">
      <c r="B62" s="365">
        <v>41</v>
      </c>
      <c r="C62" s="418" t="s">
        <v>2247</v>
      </c>
      <c r="D62" s="791"/>
      <c r="E62" s="933"/>
      <c r="F62" s="328"/>
      <c r="G62" s="1020">
        <f>+G36+G49</f>
        <v>12890.363327210631</v>
      </c>
    </row>
    <row r="63" spans="2:7">
      <c r="B63" s="365">
        <v>42</v>
      </c>
      <c r="C63" s="418" t="s">
        <v>2249</v>
      </c>
      <c r="D63" s="791"/>
      <c r="E63" s="933"/>
      <c r="F63" s="328"/>
      <c r="G63" s="1020">
        <f>+G37+G50</f>
        <v>9825.4003612942106</v>
      </c>
    </row>
    <row r="64" spans="2:7">
      <c r="B64" s="365">
        <v>43</v>
      </c>
      <c r="C64" s="418" t="s">
        <v>2250</v>
      </c>
      <c r="D64" s="791"/>
      <c r="E64" s="933"/>
      <c r="F64" s="328"/>
      <c r="G64" s="1020">
        <f>+G38+G51</f>
        <v>-5310.0951341857181</v>
      </c>
    </row>
    <row r="65" spans="2:7">
      <c r="B65" s="365">
        <v>44</v>
      </c>
      <c r="C65" s="328" t="s">
        <v>2256</v>
      </c>
      <c r="D65" s="328"/>
      <c r="E65" s="328"/>
      <c r="F65" s="328"/>
      <c r="G65" s="1020">
        <f>+G39+G52</f>
        <v>9769.3696096750609</v>
      </c>
    </row>
    <row r="66" spans="2:7">
      <c r="B66" s="365">
        <v>45</v>
      </c>
      <c r="C66" s="328" t="s">
        <v>2257</v>
      </c>
      <c r="D66" s="328"/>
      <c r="E66" s="328"/>
      <c r="F66" s="328"/>
      <c r="G66" s="1020">
        <f>+G53</f>
        <v>24440.601398676023</v>
      </c>
    </row>
    <row r="67" spans="2:7" ht="15" thickBot="1">
      <c r="B67" s="365">
        <v>46</v>
      </c>
      <c r="C67" s="2691" t="s">
        <v>6178</v>
      </c>
      <c r="D67" s="695"/>
      <c r="E67" s="695"/>
      <c r="F67" s="695"/>
      <c r="G67" s="1029">
        <f>+SUM(G58:G66)</f>
        <v>231613.9264123078</v>
      </c>
    </row>
    <row r="68" spans="2:7" ht="15" thickTop="1">
      <c r="B68" s="616"/>
      <c r="C68" s="2692" t="s">
        <v>3137</v>
      </c>
      <c r="D68" s="546"/>
      <c r="E68" s="546"/>
      <c r="F68" s="546"/>
      <c r="G68" s="547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Y43"/>
  <sheetViews>
    <sheetView tabSelected="1" showOutlineSymbols="0" workbookViewId="0"/>
  </sheetViews>
  <sheetFormatPr defaultRowHeight="14.4"/>
  <cols>
    <col min="1" max="1" width="41.33203125" customWidth="1"/>
    <col min="2" max="2" width="6.33203125" customWidth="1"/>
    <col min="3" max="3" width="20.44140625" customWidth="1"/>
    <col min="4" max="4" width="4.88671875" customWidth="1"/>
    <col min="5" max="5" width="18.109375" bestFit="1" customWidth="1"/>
    <col min="6" max="6" width="3.109375" customWidth="1"/>
    <col min="7" max="7" width="17.44140625" bestFit="1" customWidth="1"/>
    <col min="8" max="8" width="3.44140625" customWidth="1"/>
    <col min="9" max="9" width="23" customWidth="1"/>
    <col min="10" max="10" width="3" customWidth="1"/>
    <col min="11" max="11" width="17" customWidth="1"/>
    <col min="12" max="12" width="3.109375" customWidth="1"/>
    <col min="13" max="13" width="15.5546875" customWidth="1"/>
    <col min="14" max="14" width="3" customWidth="1"/>
    <col min="15" max="15" width="18.109375" customWidth="1"/>
    <col min="16" max="16" width="3.5546875" customWidth="1"/>
    <col min="17" max="17" width="17.5546875" customWidth="1"/>
    <col min="18" max="18" width="3.44140625" customWidth="1"/>
    <col min="19" max="19" width="18.109375" customWidth="1"/>
    <col min="25" max="25" width="12.44140625" bestFit="1" customWidth="1"/>
  </cols>
  <sheetData>
    <row r="1" spans="1:19">
      <c r="E1" s="2107" t="s">
        <v>116</v>
      </c>
    </row>
    <row r="2" spans="1:19" ht="15.6">
      <c r="D2" s="469" t="s">
        <v>6189</v>
      </c>
    </row>
    <row r="3" spans="1:19" ht="20.399999999999999">
      <c r="A3" s="2693" t="s">
        <v>9263</v>
      </c>
      <c r="B3" s="2694"/>
      <c r="C3" s="2694"/>
      <c r="D3" s="2694"/>
      <c r="E3" s="2694"/>
      <c r="F3" s="2694"/>
      <c r="G3" s="2694"/>
      <c r="H3" s="2694"/>
      <c r="I3" s="2694"/>
      <c r="J3" s="2694"/>
      <c r="K3" s="2694"/>
      <c r="L3" s="2694"/>
      <c r="M3" s="2694"/>
      <c r="N3" s="2694"/>
      <c r="O3" s="2694"/>
      <c r="P3" s="2694"/>
      <c r="Q3" s="2694"/>
      <c r="R3" s="2694"/>
      <c r="S3" s="2694"/>
    </row>
    <row r="4" spans="1:19" ht="15.6">
      <c r="A4" s="2695"/>
      <c r="B4" s="2696"/>
      <c r="C4" s="469"/>
      <c r="D4" s="469"/>
      <c r="E4" s="469"/>
      <c r="F4" s="469"/>
      <c r="G4" s="469"/>
      <c r="H4" s="469"/>
      <c r="I4" s="490"/>
      <c r="J4" s="469"/>
      <c r="K4" s="469"/>
      <c r="L4" s="469"/>
      <c r="M4" s="469"/>
      <c r="N4" s="469"/>
      <c r="O4" s="469"/>
      <c r="P4" s="469"/>
      <c r="Q4" s="469"/>
      <c r="R4" s="469"/>
      <c r="S4" s="470"/>
    </row>
    <row r="5" spans="1:19" ht="15.6">
      <c r="A5" s="2697"/>
      <c r="B5" s="2696"/>
      <c r="C5" s="469"/>
      <c r="D5" s="469"/>
      <c r="E5" s="469"/>
      <c r="F5" s="469"/>
      <c r="G5" s="469"/>
      <c r="H5" s="469"/>
      <c r="I5" s="490"/>
      <c r="J5" s="469"/>
      <c r="K5" s="469"/>
      <c r="L5" s="469"/>
      <c r="M5" s="469"/>
      <c r="N5" s="469"/>
      <c r="O5" s="469"/>
      <c r="P5" s="469"/>
      <c r="Q5" s="469"/>
      <c r="R5" s="469"/>
      <c r="S5" s="470"/>
    </row>
    <row r="6" spans="1:19" ht="15.6">
      <c r="A6" s="2695"/>
      <c r="B6" s="2696"/>
      <c r="C6" s="469"/>
      <c r="D6" s="469"/>
      <c r="E6" s="469"/>
      <c r="F6" s="469"/>
      <c r="G6" s="469"/>
      <c r="H6" s="469"/>
      <c r="I6" s="490"/>
      <c r="J6" s="469"/>
      <c r="K6" s="469"/>
      <c r="L6" s="469"/>
      <c r="M6" s="469"/>
      <c r="N6" s="469"/>
      <c r="O6" s="469"/>
      <c r="P6" s="469"/>
      <c r="Q6" s="469"/>
      <c r="R6" s="469"/>
      <c r="S6" s="470"/>
    </row>
    <row r="7" spans="1:19" ht="15.6">
      <c r="B7" s="469"/>
      <c r="C7" s="469"/>
      <c r="D7" s="469"/>
      <c r="E7" s="469"/>
      <c r="F7" s="469"/>
      <c r="G7" s="469"/>
      <c r="H7" s="469"/>
      <c r="I7" s="490"/>
      <c r="J7" s="469"/>
      <c r="K7" s="469"/>
      <c r="L7" s="469"/>
      <c r="M7" s="469"/>
      <c r="N7" s="469"/>
      <c r="O7" s="469"/>
      <c r="P7" s="469"/>
      <c r="Q7" s="469"/>
      <c r="R7" s="469"/>
      <c r="S7" s="470"/>
    </row>
    <row r="8" spans="1:19" ht="15.6">
      <c r="A8" s="469"/>
      <c r="B8" s="469"/>
      <c r="C8" s="469"/>
      <c r="D8" s="3150" t="s">
        <v>2301</v>
      </c>
      <c r="E8" s="3151"/>
      <c r="F8" s="3151"/>
      <c r="G8" s="3151"/>
      <c r="H8" s="3151"/>
      <c r="I8" s="3151"/>
      <c r="J8" s="3151"/>
      <c r="K8" s="3151"/>
      <c r="L8" s="3151"/>
      <c r="M8" s="3151"/>
      <c r="N8" s="3151"/>
      <c r="O8" s="469"/>
      <c r="P8" s="469"/>
      <c r="Q8" s="469"/>
      <c r="R8" s="469"/>
      <c r="S8" s="470" t="s">
        <v>2302</v>
      </c>
    </row>
    <row r="9" spans="1:19" ht="15.6">
      <c r="A9" s="471"/>
      <c r="B9" s="471"/>
      <c r="C9" s="471"/>
      <c r="D9" s="3062" t="s">
        <v>2303</v>
      </c>
      <c r="E9" s="3151"/>
      <c r="F9" s="3151"/>
      <c r="G9" s="3151"/>
      <c r="H9" s="3151"/>
      <c r="I9" s="3151"/>
      <c r="J9" s="3151"/>
      <c r="K9" s="3151"/>
      <c r="L9" s="3151"/>
      <c r="M9" s="3151"/>
      <c r="N9" s="3151"/>
      <c r="O9" s="471"/>
      <c r="P9" s="471"/>
      <c r="Q9" s="471"/>
      <c r="R9" s="471"/>
      <c r="S9" s="471" t="s">
        <v>2304</v>
      </c>
    </row>
    <row r="10" spans="1:19" ht="15.6">
      <c r="A10" s="472"/>
      <c r="B10" s="471"/>
      <c r="C10" s="471"/>
      <c r="D10" s="3062" t="s">
        <v>6190</v>
      </c>
      <c r="E10" s="3152"/>
      <c r="F10" s="3152"/>
      <c r="G10" s="3152"/>
      <c r="H10" s="3152"/>
      <c r="I10" s="3152"/>
      <c r="J10" s="3152"/>
      <c r="K10" s="3152"/>
      <c r="L10" s="3152"/>
      <c r="M10" s="3152"/>
      <c r="N10" s="3152"/>
      <c r="O10" s="471"/>
      <c r="P10" s="471"/>
      <c r="Q10" s="471"/>
      <c r="R10" s="471"/>
      <c r="S10" s="471"/>
    </row>
    <row r="11" spans="1:19" ht="15.6">
      <c r="A11" s="472"/>
      <c r="B11" s="471"/>
      <c r="C11" s="471"/>
      <c r="D11" s="3150" t="s">
        <v>5003</v>
      </c>
      <c r="E11" s="3152"/>
      <c r="F11" s="3152"/>
      <c r="G11" s="3152"/>
      <c r="H11" s="3152"/>
      <c r="I11" s="3152"/>
      <c r="J11" s="3152"/>
      <c r="K11" s="3152"/>
      <c r="L11" s="3152"/>
      <c r="M11" s="3152"/>
      <c r="N11" s="3152"/>
      <c r="O11" s="471"/>
      <c r="P11" s="471"/>
      <c r="Q11" s="471"/>
      <c r="R11" s="471"/>
      <c r="S11" s="471"/>
    </row>
    <row r="12" spans="1:19" ht="15.6">
      <c r="A12" s="474"/>
      <c r="B12" s="474"/>
      <c r="C12" s="474"/>
      <c r="D12" s="474"/>
      <c r="E12" s="474"/>
      <c r="F12" s="474"/>
      <c r="G12" s="474"/>
      <c r="H12" s="470"/>
      <c r="I12" s="470"/>
      <c r="J12" s="474"/>
      <c r="K12" s="474"/>
      <c r="L12" s="474"/>
      <c r="M12" s="474"/>
      <c r="N12" s="474"/>
      <c r="O12" s="474"/>
      <c r="P12" s="474"/>
      <c r="Q12" s="474"/>
      <c r="R12" s="474"/>
      <c r="S12" s="474"/>
    </row>
    <row r="13" spans="1:19" ht="15.6">
      <c r="A13" s="474"/>
      <c r="B13" s="474"/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</row>
    <row r="14" spans="1:19" ht="15.6">
      <c r="A14" s="474"/>
      <c r="B14" s="474"/>
      <c r="C14" s="476" t="s">
        <v>2306</v>
      </c>
      <c r="D14" s="474"/>
      <c r="E14" s="476" t="s">
        <v>2307</v>
      </c>
      <c r="F14" s="474"/>
      <c r="G14" s="476" t="s">
        <v>2308</v>
      </c>
      <c r="H14" s="474"/>
      <c r="I14" s="476" t="s">
        <v>2309</v>
      </c>
      <c r="J14" s="474"/>
      <c r="K14" s="476" t="s">
        <v>2310</v>
      </c>
      <c r="L14" s="474"/>
      <c r="M14" s="476" t="s">
        <v>2311</v>
      </c>
      <c r="N14" s="474"/>
      <c r="O14" s="476" t="s">
        <v>2312</v>
      </c>
      <c r="P14" s="474"/>
      <c r="Q14" s="476" t="s">
        <v>2313</v>
      </c>
      <c r="R14" s="474"/>
      <c r="S14" s="476" t="s">
        <v>2314</v>
      </c>
    </row>
    <row r="15" spans="1:19" ht="15.6">
      <c r="A15" s="474"/>
      <c r="B15" s="474"/>
      <c r="C15" s="476"/>
      <c r="D15" s="476"/>
      <c r="E15" s="476" t="s">
        <v>2315</v>
      </c>
      <c r="F15" s="476"/>
      <c r="G15" s="476" t="s">
        <v>2316</v>
      </c>
      <c r="H15" s="476"/>
      <c r="I15" s="476"/>
      <c r="J15" s="476"/>
      <c r="K15" s="476" t="s">
        <v>2317</v>
      </c>
      <c r="L15" s="476"/>
      <c r="M15" s="476"/>
      <c r="N15" s="474"/>
      <c r="O15" s="474"/>
      <c r="P15" s="474"/>
      <c r="Q15" s="474"/>
      <c r="R15" s="474"/>
      <c r="S15" s="474"/>
    </row>
    <row r="16" spans="1:19" ht="15.6">
      <c r="A16" s="474"/>
      <c r="B16" s="474"/>
      <c r="C16" s="476" t="s">
        <v>2318</v>
      </c>
      <c r="D16" s="476"/>
      <c r="E16" s="476" t="s">
        <v>2319</v>
      </c>
      <c r="F16" s="476"/>
      <c r="G16" s="476" t="s">
        <v>2318</v>
      </c>
      <c r="H16" s="476"/>
      <c r="I16" s="476" t="s">
        <v>2320</v>
      </c>
      <c r="J16" s="476"/>
      <c r="K16" s="476" t="s">
        <v>2321</v>
      </c>
      <c r="L16" s="476"/>
      <c r="M16" s="476" t="s">
        <v>2322</v>
      </c>
      <c r="N16" s="474"/>
      <c r="O16" s="476" t="s">
        <v>2316</v>
      </c>
      <c r="P16" s="474"/>
      <c r="Q16" s="476" t="s">
        <v>2323</v>
      </c>
      <c r="R16" s="474"/>
      <c r="S16" s="476" t="s">
        <v>122</v>
      </c>
    </row>
    <row r="17" spans="1:19" ht="15.6">
      <c r="A17" s="474"/>
      <c r="B17" s="474"/>
      <c r="C17" s="476" t="s">
        <v>2324</v>
      </c>
      <c r="D17" s="476"/>
      <c r="E17" s="476" t="s">
        <v>2325</v>
      </c>
      <c r="F17" s="476"/>
      <c r="G17" s="476" t="s">
        <v>2324</v>
      </c>
      <c r="H17" s="476"/>
      <c r="I17" s="476" t="s">
        <v>2326</v>
      </c>
      <c r="J17" s="476"/>
      <c r="K17" s="476" t="s">
        <v>2327</v>
      </c>
      <c r="L17" s="476"/>
      <c r="M17" s="476" t="s">
        <v>2328</v>
      </c>
      <c r="N17" s="474"/>
      <c r="O17" s="476" t="s">
        <v>2329</v>
      </c>
      <c r="P17" s="474"/>
      <c r="Q17" s="476" t="s">
        <v>2330</v>
      </c>
      <c r="R17" s="474"/>
      <c r="S17" s="476" t="s">
        <v>2331</v>
      </c>
    </row>
    <row r="18" spans="1:19" ht="15.6">
      <c r="A18" s="474"/>
      <c r="B18" s="474"/>
      <c r="C18" s="477" t="s">
        <v>2332</v>
      </c>
      <c r="D18" s="474"/>
      <c r="E18" s="477" t="s">
        <v>2332</v>
      </c>
      <c r="F18" s="474"/>
      <c r="G18" s="477" t="s">
        <v>2332</v>
      </c>
      <c r="H18" s="474"/>
      <c r="I18" s="477" t="s">
        <v>2332</v>
      </c>
      <c r="J18" s="474"/>
      <c r="K18" s="477" t="s">
        <v>2332</v>
      </c>
      <c r="L18" s="474"/>
      <c r="M18" s="477" t="s">
        <v>2332</v>
      </c>
      <c r="N18" s="474"/>
      <c r="O18" s="477" t="s">
        <v>2332</v>
      </c>
      <c r="P18" s="474"/>
      <c r="Q18" s="477" t="s">
        <v>2332</v>
      </c>
      <c r="R18" s="474"/>
      <c r="S18" s="477" t="s">
        <v>2332</v>
      </c>
    </row>
    <row r="19" spans="1:19" ht="15.6">
      <c r="A19" s="474" t="s">
        <v>2333</v>
      </c>
      <c r="B19" s="478" t="s">
        <v>2334</v>
      </c>
      <c r="C19" s="474">
        <f>+SUMIFS('Accounting Schedule B-7'!R:R,'Accounting Schedule B-7'!C:C,10110)*1000+SUMIFS('Accounting Schedule B-7'!R:R,'Accounting Schedule B-7'!C:C,10112)*1000</f>
        <v>31496686.77</v>
      </c>
      <c r="D19" s="478" t="s">
        <v>2334</v>
      </c>
      <c r="E19" s="1965">
        <v>0</v>
      </c>
      <c r="F19" s="478" t="s">
        <v>2334</v>
      </c>
      <c r="G19" s="474">
        <f>+C19+E19</f>
        <v>31496686.77</v>
      </c>
      <c r="H19" s="478" t="s">
        <v>2334</v>
      </c>
      <c r="I19" s="1965">
        <v>0</v>
      </c>
      <c r="J19" s="478" t="s">
        <v>2334</v>
      </c>
      <c r="K19" s="1965">
        <v>0</v>
      </c>
      <c r="L19" s="478" t="s">
        <v>2334</v>
      </c>
      <c r="M19" s="1965">
        <v>0</v>
      </c>
      <c r="N19" s="478" t="s">
        <v>2334</v>
      </c>
      <c r="O19" s="474">
        <f>+SUM(G19:M19)</f>
        <v>31496686.77</v>
      </c>
      <c r="P19" s="478" t="s">
        <v>2334</v>
      </c>
      <c r="Q19" s="474">
        <v>0</v>
      </c>
      <c r="R19" s="478" t="s">
        <v>2334</v>
      </c>
      <c r="S19" s="474">
        <f>+SUM(O19:Q19)</f>
        <v>31496686.77</v>
      </c>
    </row>
    <row r="20" spans="1:19" ht="15.6">
      <c r="A20" s="2694"/>
      <c r="B20" s="2694"/>
      <c r="C20" s="477"/>
      <c r="D20" s="2694"/>
      <c r="E20" s="477"/>
      <c r="F20" s="478"/>
      <c r="G20" s="477"/>
      <c r="H20" s="478"/>
      <c r="I20" s="477"/>
      <c r="J20" s="478"/>
      <c r="K20" s="477"/>
      <c r="L20" s="478"/>
      <c r="M20" s="477"/>
      <c r="N20" s="478"/>
      <c r="O20" s="477"/>
      <c r="P20" s="478"/>
      <c r="Q20" s="477"/>
      <c r="R20" s="478"/>
      <c r="S20" s="477"/>
    </row>
    <row r="21" spans="1:19">
      <c r="A21" s="2694"/>
      <c r="B21" s="2694"/>
      <c r="C21" s="2694"/>
      <c r="D21" s="2694"/>
      <c r="E21" s="2694"/>
      <c r="F21" s="2694"/>
      <c r="G21" s="2694"/>
      <c r="H21" s="2694"/>
      <c r="I21" s="2694"/>
      <c r="J21" s="2694"/>
      <c r="K21" s="2694"/>
      <c r="L21" s="2694"/>
      <c r="M21" s="2694"/>
      <c r="N21" s="2694"/>
      <c r="O21" s="2694"/>
      <c r="P21" s="2694"/>
      <c r="Q21" s="2694"/>
      <c r="R21" s="2694"/>
      <c r="S21" s="2694"/>
    </row>
    <row r="22" spans="1:19" ht="15.6">
      <c r="A22" s="474" t="s">
        <v>2335</v>
      </c>
      <c r="B22" s="2694"/>
      <c r="C22" s="474">
        <f>+C19</f>
        <v>31496686.77</v>
      </c>
      <c r="D22" s="478"/>
      <c r="E22" s="474">
        <f>+E19</f>
        <v>0</v>
      </c>
      <c r="F22" s="478"/>
      <c r="G22" s="474">
        <f>+G19</f>
        <v>31496686.77</v>
      </c>
      <c r="H22" s="478"/>
      <c r="I22" s="474">
        <f>+I19</f>
        <v>0</v>
      </c>
      <c r="J22" s="478"/>
      <c r="K22" s="474">
        <f>+K19</f>
        <v>0</v>
      </c>
      <c r="L22" s="478"/>
      <c r="M22" s="474">
        <f>+M19</f>
        <v>0</v>
      </c>
      <c r="N22" s="478"/>
      <c r="O22" s="474">
        <f>+O19</f>
        <v>31496686.77</v>
      </c>
      <c r="P22" s="478"/>
      <c r="Q22" s="474">
        <f>+Q19</f>
        <v>0</v>
      </c>
      <c r="R22" s="478"/>
      <c r="S22" s="474">
        <f>+S19</f>
        <v>31496686.77</v>
      </c>
    </row>
    <row r="23" spans="1:19" ht="15.6">
      <c r="A23" s="481"/>
      <c r="B23" s="474"/>
      <c r="C23" s="477"/>
      <c r="D23" s="478"/>
      <c r="E23" s="477"/>
      <c r="F23" s="478"/>
      <c r="G23" s="477"/>
      <c r="H23" s="478"/>
      <c r="I23" s="477"/>
      <c r="J23" s="478"/>
      <c r="K23" s="477"/>
      <c r="L23" s="478"/>
      <c r="M23" s="477"/>
      <c r="N23" s="478"/>
      <c r="O23" s="477"/>
      <c r="P23" s="478"/>
      <c r="Q23" s="477"/>
      <c r="R23" s="478"/>
      <c r="S23" s="477"/>
    </row>
    <row r="24" spans="1:19" ht="15.6">
      <c r="A24" s="474"/>
      <c r="B24" s="474"/>
      <c r="C24" s="477"/>
      <c r="D24" s="474"/>
      <c r="E24" s="477"/>
      <c r="F24" s="474"/>
      <c r="G24" s="477"/>
      <c r="H24" s="474"/>
      <c r="I24" s="477"/>
      <c r="J24" s="474"/>
      <c r="K24" s="477"/>
      <c r="L24" s="474"/>
      <c r="M24" s="477"/>
      <c r="N24" s="474"/>
      <c r="O24" s="477"/>
      <c r="P24" s="474"/>
      <c r="Q24" s="477"/>
      <c r="R24" s="474"/>
      <c r="S24" s="477"/>
    </row>
    <row r="25" spans="1:19" ht="15.6">
      <c r="A25" s="474" t="s">
        <v>2337</v>
      </c>
      <c r="B25" s="474"/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4"/>
      <c r="R25" s="474"/>
      <c r="S25" s="474"/>
    </row>
    <row r="26" spans="1:19" ht="15.6">
      <c r="A26" s="477" t="s">
        <v>2332</v>
      </c>
      <c r="B26" s="474"/>
      <c r="C26" s="474"/>
      <c r="D26" s="474"/>
      <c r="E26" s="474"/>
      <c r="F26" s="474"/>
      <c r="G26" s="474"/>
      <c r="H26" s="474"/>
      <c r="I26" s="474"/>
      <c r="J26" s="474"/>
      <c r="K26" s="474"/>
      <c r="L26" s="474"/>
      <c r="M26" s="474"/>
      <c r="N26" s="474"/>
      <c r="O26" s="474"/>
      <c r="P26" s="474"/>
      <c r="Q26" s="474"/>
      <c r="R26" s="474"/>
      <c r="S26" s="474"/>
    </row>
    <row r="27" spans="1:19" ht="15.6">
      <c r="A27" s="474" t="s">
        <v>6191</v>
      </c>
      <c r="B27" s="474"/>
      <c r="C27" s="474"/>
      <c r="D27" s="474"/>
      <c r="E27" s="474"/>
      <c r="F27" s="474"/>
      <c r="G27" s="474"/>
      <c r="H27" s="474"/>
      <c r="I27" s="474"/>
      <c r="J27" s="474"/>
      <c r="K27" s="474"/>
      <c r="L27" s="474"/>
      <c r="M27" s="474"/>
      <c r="N27" s="474"/>
      <c r="O27" s="474"/>
      <c r="P27" s="474"/>
      <c r="Q27" s="474"/>
      <c r="R27" s="474"/>
      <c r="S27" s="474"/>
    </row>
    <row r="28" spans="1:19" ht="15.6">
      <c r="A28" s="480" t="s">
        <v>2338</v>
      </c>
      <c r="B28" s="474"/>
      <c r="C28" s="474"/>
      <c r="D28" s="474"/>
      <c r="E28" s="474"/>
      <c r="F28" s="474"/>
      <c r="G28" s="474"/>
      <c r="H28" s="474"/>
      <c r="I28" s="474"/>
      <c r="J28" s="474"/>
      <c r="K28" s="474"/>
      <c r="L28" s="474"/>
      <c r="M28" s="474"/>
      <c r="N28" s="474"/>
      <c r="O28" s="474"/>
      <c r="P28" s="474"/>
      <c r="Q28" s="474"/>
      <c r="R28" s="474"/>
      <c r="S28" s="474"/>
    </row>
    <row r="29" spans="1:19" ht="15.6">
      <c r="A29" s="481" t="s">
        <v>2339</v>
      </c>
      <c r="B29" s="474"/>
      <c r="C29" s="474"/>
      <c r="D29" s="474"/>
      <c r="E29" s="474"/>
      <c r="F29" s="474"/>
      <c r="G29" s="474"/>
      <c r="H29" s="474"/>
      <c r="I29" s="474"/>
      <c r="J29" s="474"/>
      <c r="K29" s="474"/>
      <c r="L29" s="474"/>
      <c r="M29" s="474"/>
      <c r="N29" s="474"/>
      <c r="O29" s="474"/>
      <c r="P29" s="474"/>
      <c r="Q29" s="474"/>
      <c r="R29" s="474"/>
      <c r="S29" s="474"/>
    </row>
    <row r="30" spans="1:19" ht="15.6">
      <c r="A30" s="2698" t="s">
        <v>2340</v>
      </c>
      <c r="B30" s="474"/>
      <c r="C30" s="474"/>
      <c r="D30" s="474"/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474"/>
      <c r="Q30" s="474"/>
      <c r="R30" s="474"/>
      <c r="S30" s="474"/>
    </row>
    <row r="31" spans="1:19" ht="15.6">
      <c r="A31" s="474" t="s">
        <v>2341</v>
      </c>
      <c r="B31" s="474"/>
      <c r="C31" s="474"/>
      <c r="D31" s="474"/>
      <c r="E31" s="474"/>
      <c r="F31" s="474"/>
      <c r="G31" s="474"/>
      <c r="H31" s="474"/>
      <c r="I31" s="474"/>
      <c r="J31" s="474"/>
      <c r="K31" s="474"/>
      <c r="L31" s="474"/>
      <c r="M31" s="474"/>
      <c r="N31" s="474"/>
      <c r="O31" s="474"/>
      <c r="P31" s="474"/>
      <c r="Q31" s="474"/>
      <c r="R31" s="474"/>
      <c r="S31" s="474"/>
    </row>
    <row r="32" spans="1:19" ht="15.6">
      <c r="A32" s="474" t="s">
        <v>2342</v>
      </c>
      <c r="B32" s="474"/>
      <c r="C32" s="474"/>
      <c r="D32" s="474"/>
      <c r="E32" s="474"/>
      <c r="F32" s="474"/>
      <c r="G32" s="474"/>
      <c r="H32" s="474"/>
      <c r="I32" s="474"/>
      <c r="J32" s="474"/>
      <c r="K32" s="474"/>
      <c r="L32" s="474"/>
      <c r="M32" s="474"/>
      <c r="N32" s="474"/>
      <c r="O32" s="474"/>
      <c r="P32" s="474"/>
      <c r="Q32" s="474"/>
      <c r="R32" s="474"/>
      <c r="S32" s="474"/>
    </row>
    <row r="33" spans="1:25" ht="15.6">
      <c r="A33" s="474" t="s">
        <v>2343</v>
      </c>
      <c r="B33" s="474"/>
      <c r="C33" s="474"/>
      <c r="D33" s="474"/>
      <c r="E33" s="474"/>
      <c r="F33" s="474"/>
      <c r="G33" s="474"/>
      <c r="H33" s="474"/>
      <c r="I33" s="474"/>
      <c r="J33" s="474"/>
      <c r="K33" s="474"/>
      <c r="L33" s="474"/>
      <c r="M33" s="474"/>
      <c r="N33" s="474"/>
      <c r="O33" s="474"/>
      <c r="P33" s="474"/>
      <c r="Q33" s="474"/>
      <c r="R33" s="474"/>
      <c r="S33" s="474"/>
    </row>
    <row r="34" spans="1:25" ht="15.6">
      <c r="A34" s="474" t="s">
        <v>2344</v>
      </c>
      <c r="B34" s="474"/>
      <c r="C34" s="474"/>
      <c r="D34" s="474"/>
      <c r="E34" s="474"/>
      <c r="F34" s="474"/>
      <c r="G34" s="474"/>
      <c r="H34" s="474"/>
      <c r="I34" s="474"/>
      <c r="J34" s="474"/>
      <c r="K34" s="474"/>
      <c r="L34" s="474"/>
      <c r="M34" s="474"/>
      <c r="N34" s="474"/>
      <c r="O34" s="474"/>
      <c r="P34" s="474"/>
      <c r="Q34" s="474"/>
      <c r="R34" s="474"/>
      <c r="S34" s="474"/>
    </row>
    <row r="35" spans="1:25" ht="15.6">
      <c r="A35" s="474" t="s">
        <v>2345</v>
      </c>
      <c r="B35" s="474"/>
      <c r="C35" s="474"/>
      <c r="D35" s="474"/>
      <c r="E35" s="474"/>
      <c r="F35" s="474"/>
      <c r="G35" s="474"/>
      <c r="H35" s="474"/>
      <c r="I35" s="474"/>
      <c r="J35" s="474"/>
      <c r="K35" s="474"/>
      <c r="L35" s="474"/>
      <c r="M35" s="474"/>
      <c r="N35" s="474"/>
      <c r="O35" s="474"/>
      <c r="P35" s="474"/>
      <c r="Q35" s="474"/>
      <c r="R35" s="474"/>
      <c r="S35" s="474"/>
    </row>
    <row r="36" spans="1:25" ht="15.6">
      <c r="A36" s="474" t="s">
        <v>2346</v>
      </c>
      <c r="B36" s="474"/>
      <c r="C36" s="474"/>
      <c r="D36" s="474"/>
      <c r="E36" s="474"/>
      <c r="F36" s="474"/>
      <c r="G36" s="474"/>
      <c r="H36" s="474"/>
      <c r="I36" s="474"/>
      <c r="J36" s="474"/>
      <c r="K36" s="474"/>
      <c r="L36" s="474"/>
      <c r="M36" s="474"/>
      <c r="N36" s="474"/>
      <c r="O36" s="474"/>
      <c r="P36" s="474"/>
      <c r="Q36" s="474"/>
      <c r="R36" s="474"/>
      <c r="S36" s="474"/>
      <c r="Y36" s="46"/>
    </row>
    <row r="37" spans="1:25" ht="15.6">
      <c r="A37" s="2699" t="s">
        <v>2347</v>
      </c>
      <c r="B37" s="474"/>
      <c r="C37" s="474">
        <f>+_xlfn.XLOOKUP(A37,'Surv Report Sched 2 pg 1'!B:B,'Surv Report Sched 2 pg 1'!D:D)</f>
        <v>-31496686.775198422</v>
      </c>
      <c r="D37" s="474"/>
      <c r="E37" s="1965">
        <v>0</v>
      </c>
      <c r="F37" s="474"/>
      <c r="G37" s="474">
        <f>+SUM(C37:E37)</f>
        <v>-31496686.775198422</v>
      </c>
      <c r="H37" s="474"/>
      <c r="I37" s="1965">
        <v>0</v>
      </c>
      <c r="J37" s="474"/>
      <c r="K37" s="1965">
        <v>0</v>
      </c>
      <c r="L37" s="474"/>
      <c r="M37" s="1965">
        <v>0</v>
      </c>
      <c r="N37" s="474"/>
      <c r="O37" s="474">
        <f>+SUM(G37:M37)</f>
        <v>-31496686.775198422</v>
      </c>
      <c r="P37" s="474"/>
      <c r="Q37" s="474">
        <v>0</v>
      </c>
      <c r="R37" s="474"/>
      <c r="S37" s="474">
        <f>+SUM(O37:Q37)</f>
        <v>-31496686.775198422</v>
      </c>
    </row>
    <row r="38" spans="1:25" ht="15.6">
      <c r="A38" s="474"/>
      <c r="B38" s="474"/>
      <c r="C38" s="474"/>
      <c r="D38" s="474"/>
      <c r="E38" s="474"/>
      <c r="F38" s="474"/>
      <c r="G38" s="474"/>
      <c r="H38" s="474"/>
      <c r="I38" s="474"/>
      <c r="J38" s="474"/>
      <c r="K38" s="474"/>
      <c r="L38" s="474"/>
      <c r="M38" s="474"/>
      <c r="N38" s="474"/>
      <c r="O38" s="474"/>
      <c r="P38" s="474"/>
      <c r="Q38" s="474"/>
      <c r="R38" s="474"/>
      <c r="S38" s="474"/>
    </row>
    <row r="39" spans="1:25" ht="15.6">
      <c r="A39" s="474"/>
      <c r="B39" s="474"/>
      <c r="C39" s="477"/>
      <c r="D39" s="474"/>
      <c r="E39" s="477"/>
      <c r="F39" s="474"/>
      <c r="G39" s="477"/>
      <c r="H39" s="474"/>
      <c r="I39" s="477"/>
      <c r="J39" s="474"/>
      <c r="K39" s="477"/>
      <c r="L39" s="474"/>
      <c r="M39" s="477"/>
      <c r="N39" s="474"/>
      <c r="O39" s="477"/>
      <c r="P39" s="474"/>
      <c r="Q39" s="477"/>
      <c r="R39" s="474"/>
      <c r="S39" s="477"/>
    </row>
    <row r="40" spans="1:25" ht="15.6">
      <c r="A40" s="474" t="s">
        <v>2348</v>
      </c>
      <c r="B40" s="474"/>
      <c r="C40" s="474">
        <f>+SUM(C27:C37)</f>
        <v>-31496686.775198422</v>
      </c>
      <c r="D40" s="474"/>
      <c r="E40" s="474">
        <f>+SUM(E27:E37)</f>
        <v>0</v>
      </c>
      <c r="F40" s="474"/>
      <c r="G40" s="474">
        <f>+SUM(G27:G37)</f>
        <v>-31496686.775198422</v>
      </c>
      <c r="H40" s="474"/>
      <c r="I40" s="474">
        <f>+SUM(I27:I37)</f>
        <v>0</v>
      </c>
      <c r="J40" s="474"/>
      <c r="K40" s="474">
        <f>+SUM(K27:K37)</f>
        <v>0</v>
      </c>
      <c r="L40" s="474"/>
      <c r="M40" s="474">
        <f>+SUM(M27:M37)</f>
        <v>0</v>
      </c>
      <c r="N40" s="474"/>
      <c r="O40" s="474">
        <f>+SUM(O27:O37)</f>
        <v>-31496686.775198422</v>
      </c>
      <c r="P40" s="474"/>
      <c r="Q40" s="474">
        <f>+SUM(Q27:Q37)</f>
        <v>0</v>
      </c>
      <c r="R40" s="474"/>
      <c r="S40" s="474">
        <f>+SUM(S27:S37)</f>
        <v>-31496686.775198422</v>
      </c>
    </row>
    <row r="41" spans="1:25" ht="15.6">
      <c r="A41" s="474"/>
      <c r="B41" s="474"/>
      <c r="C41" s="477"/>
      <c r="D41" s="474"/>
      <c r="E41" s="477"/>
      <c r="F41" s="474"/>
      <c r="G41" s="477"/>
      <c r="H41" s="474"/>
      <c r="I41" s="477"/>
      <c r="J41" s="474"/>
      <c r="K41" s="477"/>
      <c r="L41" s="474"/>
      <c r="M41" s="477"/>
      <c r="N41" s="474"/>
      <c r="O41" s="477"/>
      <c r="P41" s="474"/>
      <c r="Q41" s="477"/>
      <c r="R41" s="474"/>
      <c r="S41" s="477"/>
    </row>
    <row r="42" spans="1:25" ht="15.6">
      <c r="A42" s="474" t="s">
        <v>2349</v>
      </c>
      <c r="B42" s="474"/>
      <c r="C42" s="474">
        <f>+C22+C40</f>
        <v>-5.1984228193759918E-3</v>
      </c>
      <c r="D42" s="474"/>
      <c r="E42" s="474">
        <f>+E22+E40</f>
        <v>0</v>
      </c>
      <c r="F42" s="474"/>
      <c r="G42" s="474">
        <f>+G22+G40</f>
        <v>-5.1984228193759918E-3</v>
      </c>
      <c r="H42" s="474"/>
      <c r="I42" s="474">
        <f>+I22+I40</f>
        <v>0</v>
      </c>
      <c r="J42" s="474"/>
      <c r="K42" s="474">
        <f>+K22+K40</f>
        <v>0</v>
      </c>
      <c r="L42" s="474"/>
      <c r="M42" s="474">
        <f>+M22+M40</f>
        <v>0</v>
      </c>
      <c r="N42" s="474"/>
      <c r="O42" s="474">
        <f>+O22+O40</f>
        <v>-5.1984228193759918E-3</v>
      </c>
      <c r="P42" s="474"/>
      <c r="Q42" s="474">
        <f>+Q22+Q40</f>
        <v>0</v>
      </c>
      <c r="R42" s="474"/>
      <c r="S42" s="474">
        <f>+S22+S40</f>
        <v>-5.1984228193759918E-3</v>
      </c>
    </row>
    <row r="43" spans="1:25" ht="15.6">
      <c r="A43" s="474"/>
      <c r="B43" s="474"/>
      <c r="C43" s="477"/>
      <c r="D43" s="474"/>
      <c r="E43" s="477"/>
      <c r="F43" s="474"/>
      <c r="G43" s="477"/>
      <c r="H43" s="474"/>
      <c r="I43" s="477"/>
      <c r="J43" s="474"/>
      <c r="K43" s="477"/>
      <c r="L43" s="474"/>
      <c r="M43" s="477"/>
      <c r="N43" s="474"/>
      <c r="O43" s="477"/>
      <c r="P43" s="474"/>
      <c r="Q43" s="477"/>
      <c r="R43" s="474"/>
      <c r="S43" s="477"/>
    </row>
  </sheetData>
  <mergeCells count="4">
    <mergeCell ref="D8:N8"/>
    <mergeCell ref="D9:N9"/>
    <mergeCell ref="D10:N10"/>
    <mergeCell ref="D11:N11"/>
  </mergeCells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C1:L56"/>
  <sheetViews>
    <sheetView tabSelected="1" showOutlineSymbols="0" workbookViewId="0"/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2107" t="s">
        <v>116</v>
      </c>
    </row>
    <row r="2" spans="3:10" ht="15" thickBot="1"/>
    <row r="3" spans="3:10" ht="15" thickBot="1">
      <c r="C3" s="2700" t="s">
        <v>35</v>
      </c>
      <c r="D3" s="2701" t="s">
        <v>1532</v>
      </c>
      <c r="E3" s="2701" t="s">
        <v>4739</v>
      </c>
      <c r="F3" s="2702" t="s">
        <v>4740</v>
      </c>
      <c r="H3" s="2703"/>
      <c r="I3" s="2669" t="s">
        <v>6158</v>
      </c>
      <c r="J3" s="2514" t="s">
        <v>6158</v>
      </c>
    </row>
    <row r="4" spans="3:10" ht="15" thickBot="1">
      <c r="C4" s="2704" t="s">
        <v>4741</v>
      </c>
      <c r="D4" s="564">
        <f>(+SUMIFS('300s - 5 Digit FERC Accounts'!D:D,'300s - 5 Digit FERC Accounts'!B:B,"&gt;=39000",'300s - 5 Digit FERC Accounts'!B:B,"&lt;39900")/1000)</f>
        <v>786221.12250000006</v>
      </c>
      <c r="E4" s="564">
        <f>(+SUMIFS('300s - 5 Digit FERC Accounts'!F:F,'300s - 5 Digit FERC Accounts'!B:B,"&gt;=39000",'300s - 5 Digit FERC Accounts'!B:B,"&lt;39900")/1000)</f>
        <v>42615.342149999997</v>
      </c>
      <c r="F4" s="2705">
        <f>(+SUMIFS('300s - 5 Digit FERC Accounts'!E:E,'300s - 5 Digit FERC Accounts'!B:B,"&gt;=39000",'300s - 5 Digit FERC Accounts'!B:B,"&lt;39900")/1000)</f>
        <v>192445.31578999999</v>
      </c>
      <c r="H4" s="2706" t="s">
        <v>6159</v>
      </c>
      <c r="I4" s="143" t="s">
        <v>6160</v>
      </c>
      <c r="J4" s="2671" t="s">
        <v>1759</v>
      </c>
    </row>
    <row r="5" spans="3:10">
      <c r="C5" s="137" t="s">
        <v>4742</v>
      </c>
      <c r="D5" s="564">
        <f>(+SUMIFS('300s - 5 Digit FERC Accounts'!D:D,'300s - 5 Digit FERC Accounts'!B:B,"&gt;=39200",'300s - 5 Digit FERC Accounts'!B:B,"&lt;=39214")/1000)</f>
        <v>119302.26293999999</v>
      </c>
      <c r="E5" s="564">
        <f>(+SUMIFS('300s - 5 Digit FERC Accounts'!F:F,'300s - 5 Digit FERC Accounts'!B:B,"&gt;=39200",'300s - 5 Digit FERC Accounts'!B:B,"&lt;=39214")/1000)</f>
        <v>5961.132779999999</v>
      </c>
      <c r="F5" s="2705">
        <f>(+SUMIFS('300s - 5 Digit FERC Accounts'!E:E,'300s - 5 Digit FERC Accounts'!B:B,"&gt;=39200",'300s - 5 Digit FERC Accounts'!B:B,"&lt;=39214")/1000)</f>
        <v>41605.72806999999</v>
      </c>
      <c r="H5" s="118" t="s">
        <v>1823</v>
      </c>
      <c r="I5" s="180">
        <f>+SUMIFS('300s - 5 Digit FERC Accounts'!D:D,'300s - 5 Digit FERC Accounts'!B:B,30399)/1000</f>
        <v>4620.0860300000004</v>
      </c>
      <c r="J5" s="2673"/>
    </row>
    <row r="6" spans="3:10">
      <c r="C6" s="137" t="s">
        <v>4743</v>
      </c>
      <c r="D6" s="564">
        <f>(+SUMIFS('300s - 5 Digit FERC Accounts'!D:D,'300s - 5 Digit FERC Accounts'!B:B,"&gt;=39700",'300s - 5 Digit FERC Accounts'!B:B,"&lt;=39725")/1000)</f>
        <v>110001.01981999999</v>
      </c>
      <c r="E6" s="564">
        <f>(+SUMIFS('300s - 5 Digit FERC Accounts'!F:F,'300s - 5 Digit FERC Accounts'!B:B,"&gt;=39700",'300s - 5 Digit FERC Accounts'!B:B,"&lt;=39725")/1000)</f>
        <v>8349.8192899999995</v>
      </c>
      <c r="F6" s="2705">
        <f>(+SUMIFS('300s - 5 Digit FERC Accounts'!E:E,'300s - 5 Digit FERC Accounts'!B:B,"&gt;=39700",'300s - 5 Digit FERC Accounts'!B:B,"&lt;=39725")/1000)</f>
        <v>50483.86621</v>
      </c>
      <c r="H6" s="118" t="s">
        <v>1824</v>
      </c>
      <c r="I6" s="180">
        <f>+SUMIFS('300s - 5 Digit FERC Accounts'!E:E,'300s - 5 Digit FERC Accounts'!B:B,30399)/1000</f>
        <v>439.12268</v>
      </c>
      <c r="J6" s="2673"/>
    </row>
    <row r="7" spans="3:10" ht="15" thickBot="1">
      <c r="C7" s="2707" t="s">
        <v>4744</v>
      </c>
      <c r="D7" s="2708">
        <f>(+SUMIFS('300s - 5 Digit FERC Accounts'!D:D,'300s - 5 Digit FERC Accounts'!B:B,"=39401")/1000)</f>
        <v>4188.5334300000004</v>
      </c>
      <c r="E7" s="2708">
        <f>(+SUMIFS('300s - 5 Digit FERC Accounts'!F:F,'300s - 5 Digit FERC Accounts'!B:B,"=39401")/1000)</f>
        <v>837.70668000000001</v>
      </c>
      <c r="F7" s="2709">
        <f>(+SUMIFS('300s - 5 Digit FERC Accounts'!E:E,'300s - 5 Digit FERC Accounts'!B:B,"=39401")/1000)</f>
        <v>3412.0870099999997</v>
      </c>
      <c r="G7" s="64"/>
      <c r="H7" s="914" t="s">
        <v>1825</v>
      </c>
      <c r="I7" s="183">
        <f>+SUMIFS('300s - 5 Digit FERC Accounts'!F:F,'300s - 5 Digit FERC Accounts'!B:B,30399)/1000</f>
        <v>152.46288000000001</v>
      </c>
      <c r="J7" s="2675"/>
    </row>
    <row r="8" spans="3:10">
      <c r="C8" s="2707" t="s">
        <v>8671</v>
      </c>
      <c r="D8" s="2708">
        <f>+('SPP ADJ T&amp;D'!C33+'SPP ADJ T&amp;D'!C34+'SPP ADJ T&amp;D'!C35+'SPP ADJ T&amp;D'!C32)/1000</f>
        <v>292.94799999999998</v>
      </c>
      <c r="E8" s="2708">
        <f>+('SPP ADJ T&amp;D'!E33+'SPP ADJ T&amp;D'!E34+'SPP ADJ T&amp;D'!E35+'SPP ADJ T&amp;D'!E32+'SPP ADJ T&amp;D'!E30)/1000</f>
        <v>46.296720000000008</v>
      </c>
      <c r="F8" s="2709">
        <f>+('SPP ADJ T&amp;D'!D33+'SPP ADJ T&amp;D'!D34+'SPP ADJ T&amp;D'!D35+'SPP ADJ T&amp;D'!D32)/1000</f>
        <v>107.06100000000001</v>
      </c>
      <c r="I8" s="64"/>
      <c r="J8" s="64"/>
    </row>
    <row r="9" spans="3:10">
      <c r="C9" s="137" t="s">
        <v>4745</v>
      </c>
      <c r="D9" s="564">
        <f>(+SUMIFS('300s - 5 Digit FERC Accounts'!D:D,'300s - 5 Digit FERC Accounts'!B:B,"&gt;=30300",'300s - 5 Digit FERC Accounts'!B:B,"&lt;=30399")/1000)-('SPP ADJ T&amp;D'!C29/1000)</f>
        <v>596312.7435499999</v>
      </c>
      <c r="E9" s="564">
        <f>(+SUMIFS('300s - 5 Digit FERC Accounts'!F:F,'300s - 5 Digit FERC Accounts'!B:B,"&gt;=30300",'300s - 5 Digit FERC Accounts'!B:B,"&lt;=30399")/1000)-('SPP ADJ T&amp;D'!E29/1000)</f>
        <v>39460.722350000004</v>
      </c>
      <c r="F9" s="2705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37" t="s">
        <v>4746</v>
      </c>
      <c r="D10" s="572">
        <f>(+SUMIFS('300s - 5 Digit FERC Accounts'!D:D,'300s - 5 Digit FERC Accounts'!B:B,"=38900")/1000)</f>
        <v>16600.915820000002</v>
      </c>
      <c r="E10" s="572">
        <f>(+SUMIFS('300s - 5 Digit FERC Accounts'!F:F,'300s - 5 Digit FERC Accounts'!B:B,"=38900")/1000)</f>
        <v>0</v>
      </c>
      <c r="F10" s="2710">
        <f>(+SUMIFS('300s - 5 Digit FERC Accounts'!E:E,'300s - 5 Digit FERC Accounts'!B:B,"=38900")/1000)</f>
        <v>0</v>
      </c>
    </row>
    <row r="11" spans="3:10">
      <c r="C11" s="137" t="s">
        <v>4747</v>
      </c>
      <c r="D11" s="564">
        <f>+D4-D5-D6-D7+D9+D10-D8</f>
        <v>1165350.0176799998</v>
      </c>
      <c r="E11" s="564">
        <f>+E4-E5-E6-E7+E9+E10-E8</f>
        <v>66881.109030000007</v>
      </c>
      <c r="F11" s="564">
        <f>+F4-F5-F6-F7+F9+F10-F8</f>
        <v>288544.18959999998</v>
      </c>
    </row>
    <row r="12" spans="3:10">
      <c r="C12" s="137" t="s">
        <v>4748</v>
      </c>
      <c r="D12" s="572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2711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2710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2712" t="s">
        <v>4749</v>
      </c>
      <c r="D13" s="2713">
        <f>+SUM(D11:D12)</f>
        <v>1190758.5391499999</v>
      </c>
      <c r="E13" s="2713">
        <f>+SUM(E11:E12)</f>
        <v>67570.600350000008</v>
      </c>
      <c r="F13" s="2714">
        <f>+SUM(F11:F12)</f>
        <v>294382.20355999999</v>
      </c>
    </row>
    <row r="16" spans="3:10">
      <c r="C16" s="352" t="s">
        <v>2173</v>
      </c>
      <c r="D16" s="294"/>
      <c r="E16" s="294"/>
      <c r="F16" s="294"/>
      <c r="G16" s="294"/>
      <c r="H16" s="460"/>
      <c r="J16" t="s">
        <v>8413</v>
      </c>
    </row>
    <row r="17" spans="3:12">
      <c r="C17" s="353" t="s">
        <v>4188</v>
      </c>
      <c r="H17" s="296"/>
      <c r="J17" t="s">
        <v>8483</v>
      </c>
      <c r="K17" s="2394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2552" t="s">
        <v>9263</v>
      </c>
      <c r="D18" s="1962"/>
      <c r="E18" s="1962"/>
      <c r="F18" s="834"/>
      <c r="G18" s="62"/>
      <c r="H18" s="622"/>
      <c r="J18" t="s">
        <v>8482</v>
      </c>
      <c r="K18" s="2517">
        <f>+D13</f>
        <v>1190758.5391499999</v>
      </c>
    </row>
    <row r="19" spans="3:12">
      <c r="C19" s="357"/>
      <c r="H19" s="296"/>
      <c r="K19" s="516">
        <f>+K17-K18</f>
        <v>-7181.9703899999149</v>
      </c>
    </row>
    <row r="20" spans="3:12">
      <c r="C20" s="1005" t="s">
        <v>4189</v>
      </c>
      <c r="D20" s="2479"/>
      <c r="E20" s="2479"/>
      <c r="F20" s="2479"/>
      <c r="G20" s="2479"/>
      <c r="H20" s="450"/>
      <c r="J20" t="s">
        <v>8484</v>
      </c>
      <c r="K20" s="2394">
        <f>-D7-'SPP ADJ T&amp;D'!C29/1000-D8</f>
        <v>-9418.9454299999998</v>
      </c>
    </row>
    <row r="21" spans="3:12" ht="27">
      <c r="C21" s="520" t="s">
        <v>2182</v>
      </c>
      <c r="D21" s="753" t="s">
        <v>1918</v>
      </c>
      <c r="E21" s="753" t="s">
        <v>4190</v>
      </c>
      <c r="F21" s="2715" t="s">
        <v>3480</v>
      </c>
      <c r="G21" s="2716" t="s">
        <v>4191</v>
      </c>
      <c r="H21" s="2717" t="s">
        <v>4192</v>
      </c>
      <c r="J21" s="297" t="s">
        <v>8439</v>
      </c>
      <c r="K21" s="2517">
        <f>+D10</f>
        <v>16600.915820000002</v>
      </c>
    </row>
    <row r="22" spans="3:12">
      <c r="C22" s="835" t="s">
        <v>2175</v>
      </c>
      <c r="D22" s="524" t="s">
        <v>2176</v>
      </c>
      <c r="E22" s="524" t="s">
        <v>2177</v>
      </c>
      <c r="F22" s="524" t="s">
        <v>2178</v>
      </c>
      <c r="G22" s="524" t="s">
        <v>2179</v>
      </c>
      <c r="H22" s="836" t="s">
        <v>2625</v>
      </c>
      <c r="K22" s="2521">
        <f>+SUM(K19:K21)</f>
        <v>8.7311491370201111E-11</v>
      </c>
    </row>
    <row r="23" spans="3:12">
      <c r="C23" s="2496">
        <v>1</v>
      </c>
      <c r="D23" s="96" t="s">
        <v>4193</v>
      </c>
      <c r="F23" s="837">
        <f t="shared" ref="F23:H24" si="0">+D11</f>
        <v>1165350.0176799998</v>
      </c>
      <c r="G23" s="837">
        <f t="shared" si="0"/>
        <v>66881.109030000007</v>
      </c>
      <c r="H23" s="846">
        <f t="shared" si="0"/>
        <v>288544.18959999998</v>
      </c>
      <c r="K23" s="64"/>
      <c r="L23" s="64"/>
    </row>
    <row r="24" spans="3:12">
      <c r="C24" s="365">
        <v>2</v>
      </c>
      <c r="D24" t="s">
        <v>4194</v>
      </c>
      <c r="E24" s="33" t="s">
        <v>4195</v>
      </c>
      <c r="F24" s="837">
        <f t="shared" si="0"/>
        <v>25408.521470000003</v>
      </c>
      <c r="G24" s="837">
        <f t="shared" si="0"/>
        <v>689.49131999999997</v>
      </c>
      <c r="H24" s="838">
        <f t="shared" si="0"/>
        <v>5838.0139599999993</v>
      </c>
      <c r="J24" t="s">
        <v>8413</v>
      </c>
      <c r="K24" s="64"/>
      <c r="L24" s="64"/>
    </row>
    <row r="25" spans="3:12">
      <c r="C25" s="365">
        <v>3</v>
      </c>
      <c r="D25" s="96" t="s">
        <v>4196</v>
      </c>
      <c r="E25" s="60"/>
      <c r="F25" s="839"/>
      <c r="G25" s="839"/>
      <c r="H25" s="840"/>
      <c r="J25" t="s">
        <v>8672</v>
      </c>
      <c r="K25" s="64">
        <f>+SUM('Accounting Schedule B-9'!T452,'Accounting Schedule B-9'!T482,'Accounting Schedule B-9'!T489)-'Transportation Equipment'!K11-'Communications Equipment'!L18</f>
        <v>298664.86556999997</v>
      </c>
      <c r="L25" s="64"/>
    </row>
    <row r="26" spans="3:12" ht="15" thickBot="1">
      <c r="C26" s="365">
        <v>4</v>
      </c>
      <c r="D26" s="2691" t="s">
        <v>4197</v>
      </c>
      <c r="E26" s="841"/>
      <c r="F26" s="1562">
        <f>+SUM(F23:F25)</f>
        <v>1190758.5391499999</v>
      </c>
      <c r="G26" s="1562">
        <f>+SUM(G23:G25)</f>
        <v>67570.600350000008</v>
      </c>
      <c r="H26" s="1303">
        <f>+SUM(H23:H25)</f>
        <v>294382.20355999999</v>
      </c>
      <c r="J26" t="s">
        <v>8673</v>
      </c>
      <c r="K26" s="2571">
        <f>+F13</f>
        <v>294382.20355999999</v>
      </c>
      <c r="L26" s="64"/>
    </row>
    <row r="27" spans="3:12" ht="27.6" thickTop="1">
      <c r="C27" s="365">
        <v>5</v>
      </c>
      <c r="D27" s="2497" t="s">
        <v>4193</v>
      </c>
      <c r="E27" s="2718" t="s">
        <v>4198</v>
      </c>
      <c r="F27" s="414" t="s">
        <v>3480</v>
      </c>
      <c r="G27" s="2718" t="s">
        <v>4199</v>
      </c>
      <c r="H27" s="2719" t="s">
        <v>4192</v>
      </c>
      <c r="K27" s="516">
        <f>+K25-K26</f>
        <v>4282.6620099999709</v>
      </c>
      <c r="L27" s="64"/>
    </row>
    <row r="28" spans="3:12">
      <c r="C28" s="365">
        <v>6</v>
      </c>
      <c r="D28" s="418" t="s">
        <v>2254</v>
      </c>
      <c r="E28" s="1000">
        <f>+'Labor O&amp;M'!E22</f>
        <v>0.33393991748117813</v>
      </c>
      <c r="F28" s="837">
        <f>+($F$23+$F$25)*E28</f>
        <v>389156.88874074863</v>
      </c>
      <c r="G28" s="837">
        <f t="shared" ref="G28:G35" si="1">+($G$23+$G$25)*E28</f>
        <v>22334.272030527878</v>
      </c>
      <c r="H28" s="838">
        <f t="shared" ref="H28:H35" si="2">+($H$23+$H$25)*E28</f>
        <v>96356.422864697408</v>
      </c>
      <c r="J28" t="s">
        <v>8484</v>
      </c>
      <c r="K28" s="2394">
        <f>-F7-'SPP ADJ T&amp;D'!D29/1000-F8</f>
        <v>-4282.6620099999991</v>
      </c>
    </row>
    <row r="29" spans="3:12">
      <c r="C29" s="365">
        <v>7</v>
      </c>
      <c r="D29" s="418" t="s">
        <v>2255</v>
      </c>
      <c r="E29" s="1000">
        <f>+'Labor O&amp;M'!E23</f>
        <v>8.8162159058473452E-2</v>
      </c>
      <c r="F29" s="837">
        <f t="shared" ref="F29:F35" si="3">+($F$23+$F$25)*E29</f>
        <v>102739.773617499</v>
      </c>
      <c r="G29" s="837">
        <f t="shared" si="1"/>
        <v>5896.3829723099661</v>
      </c>
      <c r="H29" s="838">
        <f t="shared" si="2"/>
        <v>25438.678738913521</v>
      </c>
      <c r="J29" s="297"/>
      <c r="K29" s="2517"/>
    </row>
    <row r="30" spans="3:12">
      <c r="C30" s="365">
        <v>8</v>
      </c>
      <c r="D30" s="418" t="s">
        <v>4200</v>
      </c>
      <c r="E30" s="1000">
        <f>+'Labor O&amp;M'!E24</f>
        <v>1.4150352999629922E-2</v>
      </c>
      <c r="F30" s="837">
        <f t="shared" si="3"/>
        <v>16490.11411829697</v>
      </c>
      <c r="G30" s="837">
        <f t="shared" si="1"/>
        <v>946.39130178123651</v>
      </c>
      <c r="H30" s="838">
        <f t="shared" si="2"/>
        <v>4083.0021388321447</v>
      </c>
      <c r="K30" s="2521">
        <f>+SUM(K27:K29)</f>
        <v>-2.8194335754960775E-11</v>
      </c>
    </row>
    <row r="31" spans="3:12">
      <c r="C31" s="365">
        <v>9</v>
      </c>
      <c r="D31" s="418" t="s">
        <v>4201</v>
      </c>
      <c r="E31" s="1000">
        <f>+'Labor O&amp;M'!E25</f>
        <v>3.9784185105714888E-2</v>
      </c>
      <c r="F31" s="837">
        <f t="shared" si="3"/>
        <v>46362.50081632923</v>
      </c>
      <c r="G31" s="837">
        <f t="shared" si="1"/>
        <v>2660.8104217250198</v>
      </c>
      <c r="H31" s="838">
        <f t="shared" si="2"/>
        <v>11479.495450224891</v>
      </c>
    </row>
    <row r="32" spans="3:12">
      <c r="C32" s="365">
        <v>10</v>
      </c>
      <c r="D32" s="418" t="s">
        <v>4202</v>
      </c>
      <c r="E32" s="1000">
        <f>+'Labor O&amp;M'!E26</f>
        <v>0.19537877491559733</v>
      </c>
      <c r="F32" s="837">
        <f t="shared" si="3"/>
        <v>227684.65880218806</v>
      </c>
      <c r="G32" s="837">
        <f t="shared" si="1"/>
        <v>13067.149147277894</v>
      </c>
      <c r="H32" s="838">
        <f t="shared" si="2"/>
        <v>56375.410273061832</v>
      </c>
      <c r="J32" t="s">
        <v>8413</v>
      </c>
    </row>
    <row r="33" spans="3:11">
      <c r="C33" s="365">
        <v>11</v>
      </c>
      <c r="D33" s="418" t="s">
        <v>4203</v>
      </c>
      <c r="E33" s="1000">
        <f>+'Labor O&amp;M'!E27</f>
        <v>3.3704278630357951E-2</v>
      </c>
      <c r="F33" s="837">
        <f t="shared" si="3"/>
        <v>39277.281697779275</v>
      </c>
      <c r="G33" s="837">
        <f t="shared" si="1"/>
        <v>2254.1795338544694</v>
      </c>
      <c r="H33" s="838">
        <f t="shared" si="2"/>
        <v>9725.1737634492329</v>
      </c>
      <c r="J33" t="s">
        <v>8672</v>
      </c>
      <c r="K33" s="64">
        <f>+SUM('Accounting Schedule B-9'!H482+'Accounting Schedule B-9'!H489+'Accounting Schedule B-9'!H452)-'Transportation Equipment'!K18-'Communications Equipment'!L25</f>
        <v>68785.413870000004</v>
      </c>
    </row>
    <row r="34" spans="3:11">
      <c r="C34" s="365">
        <v>12</v>
      </c>
      <c r="D34" s="418" t="s">
        <v>4204</v>
      </c>
      <c r="E34" s="1000">
        <f>+'Labor O&amp;M'!E28</f>
        <v>0.12523992625698077</v>
      </c>
      <c r="F34" s="837">
        <f t="shared" si="3"/>
        <v>145948.3502778144</v>
      </c>
      <c r="G34" s="837">
        <f t="shared" si="1"/>
        <v>8376.1851629022913</v>
      </c>
      <c r="H34" s="838">
        <f t="shared" si="2"/>
        <v>36137.253027384279</v>
      </c>
      <c r="J34" t="s">
        <v>8673</v>
      </c>
      <c r="K34" s="2571">
        <f>+G26</f>
        <v>67570.600350000008</v>
      </c>
    </row>
    <row r="35" spans="3:11">
      <c r="C35" s="365">
        <v>13</v>
      </c>
      <c r="D35" s="418" t="s">
        <v>4205</v>
      </c>
      <c r="E35" s="1000">
        <f>+'Labor O&amp;M'!E29</f>
        <v>0.1696404055520675</v>
      </c>
      <c r="F35" s="837">
        <f t="shared" si="3"/>
        <v>197690.44960934418</v>
      </c>
      <c r="G35" s="837">
        <f t="shared" si="1"/>
        <v>11345.738459621245</v>
      </c>
      <c r="H35" s="838">
        <f t="shared" si="2"/>
        <v>48948.753343436656</v>
      </c>
      <c r="K35" s="516">
        <f>+K33-K34</f>
        <v>1214.8135199999961</v>
      </c>
    </row>
    <row r="36" spans="3:11">
      <c r="C36" s="365">
        <v>14</v>
      </c>
      <c r="D36" s="2686" t="s">
        <v>4206</v>
      </c>
      <c r="E36" s="999">
        <f>+SUM(E28:E35)</f>
        <v>1</v>
      </c>
      <c r="F36" s="2720">
        <f>+SUM(F28:F35)</f>
        <v>1165350.0176799998</v>
      </c>
      <c r="G36" s="2720">
        <f>+SUM(G28:G35)</f>
        <v>66881.109030000007</v>
      </c>
      <c r="H36" s="2721">
        <f>+SUM(H28:H35)</f>
        <v>288544.18959999998</v>
      </c>
      <c r="J36" t="s">
        <v>8484</v>
      </c>
      <c r="K36" s="2394">
        <f>+-'SPP ADJ T&amp;D'!E29/1000-E7-E8</f>
        <v>-1214.8135200000002</v>
      </c>
    </row>
    <row r="37" spans="3:11" ht="66.599999999999994">
      <c r="C37" s="365">
        <v>15</v>
      </c>
      <c r="D37" s="2722" t="s">
        <v>4207</v>
      </c>
      <c r="E37" s="2718"/>
      <c r="F37" s="2718" t="s">
        <v>4208</v>
      </c>
      <c r="G37" s="2718" t="s">
        <v>4199</v>
      </c>
      <c r="H37" s="2719" t="s">
        <v>4192</v>
      </c>
      <c r="J37" s="297"/>
      <c r="K37" s="2517"/>
    </row>
    <row r="38" spans="3:11">
      <c r="C38" s="365">
        <v>16</v>
      </c>
      <c r="D38" t="s">
        <v>4209</v>
      </c>
      <c r="E38" s="847" t="s">
        <v>4195</v>
      </c>
      <c r="F38" s="837">
        <f>(+SUMIFS('300s - 5 Digit FERC Accounts'!D:D,'300s - 5 Digit FERC Accounts'!B:B,31700)+SUMIFS('300s - 5 Digit FERC Accounts'!D:D,'300s - 5 Digit FERC Accounts'!B:B,34700))/1000</f>
        <v>17979.151700000002</v>
      </c>
      <c r="G38" s="2587">
        <v>0</v>
      </c>
      <c r="H38" s="838">
        <f>(+SUMIFS('300s - 5 Digit FERC Accounts'!E:E,'300s - 5 Digit FERC Accounts'!B:B,31700)+SUMIFS('300s - 5 Digit FERC Accounts'!E:E,'300s - 5 Digit FERC Accounts'!B:B,34700))/1000</f>
        <v>3773.9577400000003</v>
      </c>
      <c r="K38" s="2521">
        <f>+SUM(K35:K37)</f>
        <v>-4.0927261579781771E-12</v>
      </c>
    </row>
    <row r="39" spans="3:11">
      <c r="C39" s="365">
        <v>17</v>
      </c>
      <c r="D39" t="s">
        <v>2255</v>
      </c>
      <c r="E39" s="842"/>
      <c r="F39" s="2587">
        <v>0</v>
      </c>
      <c r="G39" s="2587">
        <v>0</v>
      </c>
      <c r="H39" s="2588">
        <v>0</v>
      </c>
    </row>
    <row r="40" spans="3:11">
      <c r="C40" s="365">
        <v>18</v>
      </c>
      <c r="D40" t="s">
        <v>4184</v>
      </c>
      <c r="E40" s="842"/>
      <c r="F40" s="2587">
        <v>0</v>
      </c>
      <c r="G40" s="2587">
        <v>0</v>
      </c>
      <c r="H40" s="2588">
        <v>0</v>
      </c>
    </row>
    <row r="41" spans="3:11">
      <c r="C41" s="365">
        <v>19</v>
      </c>
      <c r="D41" t="s">
        <v>4185</v>
      </c>
      <c r="E41" s="842"/>
      <c r="F41" s="837">
        <f>(+SUMIFS('300s - 5 Digit FERC Accounts'!D:D,'300s - 5 Digit FERC Accounts'!B:B,37400))/1000</f>
        <v>7160.1822599999996</v>
      </c>
      <c r="G41" s="2587">
        <v>0</v>
      </c>
      <c r="H41" s="838">
        <f>(+SUMIFS('300s - 5 Digit FERC Accounts'!E:E,'300s - 5 Digit FERC Accounts'!B:B,37400))/1000</f>
        <v>1917.43355</v>
      </c>
    </row>
    <row r="42" spans="3:11">
      <c r="C42" s="365">
        <v>20</v>
      </c>
      <c r="D42" t="s">
        <v>4210</v>
      </c>
      <c r="E42" s="842"/>
      <c r="F42" s="839">
        <f>(+SUMIFS('300s - 5 Digit FERC Accounts'!D:D,'300s - 5 Digit FERC Accounts'!B:B,39910))/1000</f>
        <v>269.18751000000003</v>
      </c>
      <c r="G42" s="2587">
        <v>0</v>
      </c>
      <c r="H42" s="840">
        <f>(+SUMIFS('300s - 5 Digit FERC Accounts'!E:E,'300s - 5 Digit FERC Accounts'!B:B,39910))/1000</f>
        <v>146.62267</v>
      </c>
    </row>
    <row r="43" spans="3:11">
      <c r="C43" s="365">
        <v>21</v>
      </c>
      <c r="D43" s="2527" t="s">
        <v>4211</v>
      </c>
      <c r="E43" s="843"/>
      <c r="F43" s="2720">
        <f>+SUM(F38:F42)</f>
        <v>25408.521470000003</v>
      </c>
      <c r="G43" s="2720">
        <f>+SUM(G38:G42)</f>
        <v>0</v>
      </c>
      <c r="H43" s="2721">
        <f>+SUM(H38:H42)</f>
        <v>5838.0139600000002</v>
      </c>
    </row>
    <row r="44" spans="3:11">
      <c r="C44" s="616"/>
      <c r="F44" s="844"/>
      <c r="G44" s="844"/>
      <c r="H44" s="451"/>
    </row>
    <row r="45" spans="3:11">
      <c r="C45" s="1005" t="s">
        <v>4212</v>
      </c>
      <c r="D45" s="2479"/>
      <c r="E45" s="2479"/>
      <c r="F45" s="2479"/>
      <c r="G45" s="2479"/>
      <c r="H45" s="450"/>
    </row>
    <row r="46" spans="3:11" ht="27">
      <c r="C46" s="637" t="s">
        <v>2182</v>
      </c>
      <c r="D46" s="414" t="s">
        <v>1918</v>
      </c>
      <c r="E46" s="414"/>
      <c r="F46" s="1026" t="s">
        <v>3480</v>
      </c>
      <c r="G46" s="2718" t="s">
        <v>4191</v>
      </c>
      <c r="H46" s="2723" t="s">
        <v>4192</v>
      </c>
    </row>
    <row r="47" spans="3:11">
      <c r="C47" s="365">
        <v>22</v>
      </c>
      <c r="D47" s="418" t="s">
        <v>4209</v>
      </c>
      <c r="E47" s="847" t="s">
        <v>4195</v>
      </c>
      <c r="F47" s="837">
        <f t="shared" ref="F47:H49" si="4">+F28+F38</f>
        <v>407136.04044074862</v>
      </c>
      <c r="G47" s="837">
        <f t="shared" si="4"/>
        <v>22334.272030527878</v>
      </c>
      <c r="H47" s="1047">
        <f t="shared" si="4"/>
        <v>100130.38060469741</v>
      </c>
    </row>
    <row r="48" spans="3:11">
      <c r="C48" s="365">
        <v>23</v>
      </c>
      <c r="D48" s="418" t="s">
        <v>2255</v>
      </c>
      <c r="E48" s="842"/>
      <c r="F48" s="837">
        <f t="shared" si="4"/>
        <v>102739.773617499</v>
      </c>
      <c r="G48" s="837">
        <f t="shared" si="4"/>
        <v>5896.3829723099661</v>
      </c>
      <c r="H48" s="838">
        <f t="shared" si="4"/>
        <v>25438.678738913521</v>
      </c>
    </row>
    <row r="49" spans="3:8">
      <c r="C49" s="365">
        <v>24</v>
      </c>
      <c r="D49" s="418" t="s">
        <v>2246</v>
      </c>
      <c r="E49" s="842"/>
      <c r="F49" s="837">
        <f t="shared" si="4"/>
        <v>16490.11411829697</v>
      </c>
      <c r="G49" s="837">
        <f t="shared" si="4"/>
        <v>946.39130178123651</v>
      </c>
      <c r="H49" s="838">
        <f t="shared" si="4"/>
        <v>4083.0021388321447</v>
      </c>
    </row>
    <row r="50" spans="3:8">
      <c r="C50" s="365">
        <v>25</v>
      </c>
      <c r="D50" s="418" t="s">
        <v>2247</v>
      </c>
      <c r="E50" s="842"/>
      <c r="F50" s="837">
        <f>+F31</f>
        <v>46362.50081632923</v>
      </c>
      <c r="G50" s="837">
        <f>+G31</f>
        <v>2660.8104217250198</v>
      </c>
      <c r="H50" s="838">
        <f>+H31</f>
        <v>11479.495450224891</v>
      </c>
    </row>
    <row r="51" spans="3:8">
      <c r="C51" s="365">
        <v>26</v>
      </c>
      <c r="D51" s="418" t="s">
        <v>2249</v>
      </c>
      <c r="E51" s="842"/>
      <c r="F51" s="837">
        <f>+F32+F41</f>
        <v>234844.84106218806</v>
      </c>
      <c r="G51" s="837">
        <f>+G32+G41</f>
        <v>13067.149147277894</v>
      </c>
      <c r="H51" s="838">
        <f>+H32+H41</f>
        <v>58292.843823061834</v>
      </c>
    </row>
    <row r="52" spans="3:8">
      <c r="C52" s="365">
        <v>27</v>
      </c>
      <c r="D52" s="418" t="s">
        <v>2250</v>
      </c>
      <c r="E52" s="842"/>
      <c r="F52" s="837">
        <f t="shared" ref="F52:H53" si="5">+F33</f>
        <v>39277.281697779275</v>
      </c>
      <c r="G52" s="837">
        <f t="shared" si="5"/>
        <v>2254.1795338544694</v>
      </c>
      <c r="H52" s="838">
        <f t="shared" si="5"/>
        <v>9725.1737634492329</v>
      </c>
    </row>
    <row r="53" spans="3:8">
      <c r="C53" s="365">
        <v>28</v>
      </c>
      <c r="D53" s="418" t="s">
        <v>2256</v>
      </c>
      <c r="E53" s="842"/>
      <c r="F53" s="837">
        <f t="shared" si="5"/>
        <v>145948.3502778144</v>
      </c>
      <c r="G53" s="837">
        <f t="shared" si="5"/>
        <v>8376.1851629022913</v>
      </c>
      <c r="H53" s="838">
        <f t="shared" si="5"/>
        <v>36137.253027384279</v>
      </c>
    </row>
    <row r="54" spans="3:8">
      <c r="C54" s="365">
        <v>29</v>
      </c>
      <c r="D54" s="418" t="s">
        <v>2257</v>
      </c>
      <c r="E54" s="842"/>
      <c r="F54" s="837">
        <f>+F35+F42</f>
        <v>197959.63711934417</v>
      </c>
      <c r="G54" s="837">
        <f>+G35+G42</f>
        <v>11345.738459621245</v>
      </c>
      <c r="H54" s="838">
        <f>+H35+H42</f>
        <v>49095.376013436653</v>
      </c>
    </row>
    <row r="55" spans="3:8" ht="15" thickBot="1">
      <c r="C55" s="365">
        <v>30</v>
      </c>
      <c r="D55" s="1027" t="s">
        <v>4197</v>
      </c>
      <c r="E55" s="841"/>
      <c r="F55" s="2724">
        <f>+SUM(F47:F54)</f>
        <v>1190758.5391499999</v>
      </c>
      <c r="G55" s="2724">
        <f>+SUM(G47:G54)</f>
        <v>66881.109030000007</v>
      </c>
      <c r="H55" s="2668">
        <f>+SUM(H47:H54)</f>
        <v>294382.20355999999</v>
      </c>
    </row>
    <row r="56" spans="3:8" ht="15" thickTop="1">
      <c r="C56" s="616"/>
      <c r="D56" s="297"/>
      <c r="E56" s="845"/>
      <c r="F56" s="297"/>
      <c r="G56" s="297"/>
      <c r="H56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theme="2" tint="-0.499984740745262"/>
  </sheetPr>
  <dimension ref="C1:L56"/>
  <sheetViews>
    <sheetView tabSelected="1" showOutlineSymbols="0" workbookViewId="0"/>
  </sheetViews>
  <sheetFormatPr defaultRowHeight="14.4"/>
  <cols>
    <col min="3" max="3" width="26.109375" customWidth="1"/>
    <col min="4" max="4" width="23.6640625" bestFit="1" customWidth="1"/>
    <col min="5" max="5" width="14.6640625" bestFit="1" customWidth="1"/>
    <col min="6" max="6" width="14.6640625" customWidth="1"/>
    <col min="7" max="7" width="10.44140625" customWidth="1"/>
    <col min="8" max="8" width="20.5546875" bestFit="1" customWidth="1"/>
    <col min="9" max="9" width="15.109375" bestFit="1" customWidth="1"/>
    <col min="10" max="10" width="22.109375" bestFit="1" customWidth="1"/>
    <col min="11" max="11" width="15.33203125" bestFit="1" customWidth="1"/>
  </cols>
  <sheetData>
    <row r="1" spans="3:10">
      <c r="D1" s="2107" t="s">
        <v>116</v>
      </c>
    </row>
    <row r="2" spans="3:10" ht="15" thickBot="1"/>
    <row r="3" spans="3:10" ht="15" thickBot="1">
      <c r="C3" s="2700" t="s">
        <v>35</v>
      </c>
      <c r="D3" s="2701" t="s">
        <v>1532</v>
      </c>
      <c r="E3" s="2701" t="s">
        <v>4739</v>
      </c>
      <c r="F3" s="2702" t="s">
        <v>4740</v>
      </c>
      <c r="H3" s="2703"/>
      <c r="I3" s="2669" t="s">
        <v>6158</v>
      </c>
      <c r="J3" s="2514" t="s">
        <v>6158</v>
      </c>
    </row>
    <row r="4" spans="3:10" ht="15" thickBot="1">
      <c r="C4" s="2704" t="s">
        <v>4741</v>
      </c>
      <c r="D4" s="564">
        <f>(+SUMIFS('300s - 5 Digit FERC Accounts'!D:D,'300s - 5 Digit FERC Accounts'!B:B,"&gt;=39000",'300s - 5 Digit FERC Accounts'!B:B,"&lt;39900")/1000)</f>
        <v>786221.12250000006</v>
      </c>
      <c r="E4" s="564">
        <f>(+SUMIFS('300s - 5 Digit FERC Accounts'!F:F,'300s - 5 Digit FERC Accounts'!B:B,"&gt;=39000",'300s - 5 Digit FERC Accounts'!B:B,"&lt;39900")/1000)</f>
        <v>42615.342149999997</v>
      </c>
      <c r="F4" s="2705">
        <f>(+SUMIFS('300s - 5 Digit FERC Accounts'!E:E,'300s - 5 Digit FERC Accounts'!B:B,"&gt;=39000",'300s - 5 Digit FERC Accounts'!B:B,"&lt;39900")/1000)</f>
        <v>192445.31578999999</v>
      </c>
      <c r="H4" s="2706" t="s">
        <v>6159</v>
      </c>
      <c r="I4" s="143" t="s">
        <v>6160</v>
      </c>
      <c r="J4" s="2671" t="s">
        <v>1759</v>
      </c>
    </row>
    <row r="5" spans="3:10">
      <c r="C5" s="137" t="s">
        <v>4742</v>
      </c>
      <c r="D5" s="564">
        <f>(+SUMIFS('300s - 5 Digit FERC Accounts'!D:D,'300s - 5 Digit FERC Accounts'!B:B,"&gt;=39200",'300s - 5 Digit FERC Accounts'!B:B,"&lt;=39214")/1000)</f>
        <v>119302.26293999999</v>
      </c>
      <c r="E5" s="564">
        <f>(+SUMIFS('300s - 5 Digit FERC Accounts'!F:F,'300s - 5 Digit FERC Accounts'!B:B,"&gt;=39200",'300s - 5 Digit FERC Accounts'!B:B,"&lt;=39214")/1000)</f>
        <v>5961.132779999999</v>
      </c>
      <c r="F5" s="2705">
        <f>(+SUMIFS('300s - 5 Digit FERC Accounts'!E:E,'300s - 5 Digit FERC Accounts'!B:B,"&gt;=39200",'300s - 5 Digit FERC Accounts'!B:B,"&lt;=39214")/1000)</f>
        <v>41605.72806999999</v>
      </c>
      <c r="H5" s="118" t="s">
        <v>1823</v>
      </c>
      <c r="I5" s="180">
        <f>+SUMIFS('300s - 5 Digit FERC Accounts'!D:D,'300s - 5 Digit FERC Accounts'!B:B,30399)/1000</f>
        <v>4620.0860300000004</v>
      </c>
      <c r="J5" s="2673"/>
    </row>
    <row r="6" spans="3:10">
      <c r="C6" s="137" t="s">
        <v>4743</v>
      </c>
      <c r="D6" s="564">
        <f>(+SUMIFS('300s - 5 Digit FERC Accounts'!D:D,'300s - 5 Digit FERC Accounts'!B:B,"&gt;=39700",'300s - 5 Digit FERC Accounts'!B:B,"&lt;=39725")/1000)</f>
        <v>110001.01981999999</v>
      </c>
      <c r="E6" s="564">
        <f>(+SUMIFS('300s - 5 Digit FERC Accounts'!F:F,'300s - 5 Digit FERC Accounts'!B:B,"&gt;=39700",'300s - 5 Digit FERC Accounts'!B:B,"&lt;=39725")/1000)</f>
        <v>8349.8192899999995</v>
      </c>
      <c r="F6" s="2705">
        <f>(+SUMIFS('300s - 5 Digit FERC Accounts'!E:E,'300s - 5 Digit FERC Accounts'!B:B,"&gt;=39700",'300s - 5 Digit FERC Accounts'!B:B,"&lt;=39725")/1000)</f>
        <v>50483.86621</v>
      </c>
      <c r="H6" s="118" t="s">
        <v>1824</v>
      </c>
      <c r="I6" s="180">
        <f>+SUMIFS('300s - 5 Digit FERC Accounts'!E:E,'300s - 5 Digit FERC Accounts'!B:B,30399)/1000</f>
        <v>439.12268</v>
      </c>
      <c r="J6" s="2673"/>
    </row>
    <row r="7" spans="3:10" ht="15" thickBot="1">
      <c r="C7" s="2707" t="s">
        <v>4744</v>
      </c>
      <c r="D7" s="2708">
        <f>(+SUMIFS('300s - 5 Digit FERC Accounts'!D:D,'300s - 5 Digit FERC Accounts'!B:B,"=39401")/1000)</f>
        <v>4188.5334300000004</v>
      </c>
      <c r="E7" s="2708">
        <f>(+SUMIFS('300s - 5 Digit FERC Accounts'!F:F,'300s - 5 Digit FERC Accounts'!B:B,"=39401")/1000)</f>
        <v>837.70668000000001</v>
      </c>
      <c r="F7" s="2709">
        <f>(+SUMIFS('300s - 5 Digit FERC Accounts'!E:E,'300s - 5 Digit FERC Accounts'!B:B,"=39401")/1000)</f>
        <v>3412.0870099999997</v>
      </c>
      <c r="G7" s="64"/>
      <c r="H7" s="914" t="s">
        <v>1825</v>
      </c>
      <c r="I7" s="183">
        <f>+SUMIFS('300s - 5 Digit FERC Accounts'!F:F,'300s - 5 Digit FERC Accounts'!B:B,30399)/1000</f>
        <v>152.46288000000001</v>
      </c>
      <c r="J7" s="2675"/>
    </row>
    <row r="8" spans="3:10">
      <c r="C8" s="2707" t="s">
        <v>8671</v>
      </c>
      <c r="D8" s="2708">
        <f>+('SPP ADJ T&amp;D'!C33+'SPP ADJ T&amp;D'!C34+'SPP ADJ T&amp;D'!C35+'SPP ADJ T&amp;D'!C32)/1000</f>
        <v>292.94799999999998</v>
      </c>
      <c r="E8" s="2708">
        <f>+('SPP ADJ T&amp;D'!E33+'SPP ADJ T&amp;D'!E34+'SPP ADJ T&amp;D'!E35+'SPP ADJ T&amp;D'!E32+'SPP ADJ T&amp;D'!E30)/1000</f>
        <v>46.296720000000008</v>
      </c>
      <c r="F8" s="2709">
        <f>+('SPP ADJ T&amp;D'!D33+'SPP ADJ T&amp;D'!D34+'SPP ADJ T&amp;D'!D35+'SPP ADJ T&amp;D'!D32)/1000</f>
        <v>107.06100000000001</v>
      </c>
      <c r="I8" s="64"/>
      <c r="J8" s="64"/>
    </row>
    <row r="9" spans="3:10">
      <c r="C9" s="137" t="s">
        <v>4745</v>
      </c>
      <c r="D9" s="564">
        <f>(+SUMIFS('300s - 5 Digit FERC Accounts'!D:D,'300s - 5 Digit FERC Accounts'!B:B,"&gt;=30300",'300s - 5 Digit FERC Accounts'!B:B,"&lt;=30399")/1000)-('SPP ADJ T&amp;D'!C29/1000)</f>
        <v>596312.7435499999</v>
      </c>
      <c r="E9" s="564">
        <f>(+SUMIFS('300s - 5 Digit FERC Accounts'!F:F,'300s - 5 Digit FERC Accounts'!B:B,"&gt;=30300",'300s - 5 Digit FERC Accounts'!B:B,"&lt;=30399")/1000)-('SPP ADJ T&amp;D'!E29/1000)</f>
        <v>39460.722350000004</v>
      </c>
      <c r="F9" s="2705">
        <f>(+SUMIFS('300s - 5 Digit FERC Accounts'!E:E,'300s - 5 Digit FERC Accounts'!B:B,"&gt;=30300",'300s - 5 Digit FERC Accounts'!B:B,"&lt;=30399")/1000)-('SPP ADJ T&amp;D'!D29/1000)</f>
        <v>191707.61609999998</v>
      </c>
    </row>
    <row r="10" spans="3:10">
      <c r="C10" s="137" t="s">
        <v>4746</v>
      </c>
      <c r="D10" s="572">
        <f>(+SUMIFS('300s - 5 Digit FERC Accounts'!D:D,'300s - 5 Digit FERC Accounts'!B:B,"=38900")/1000)</f>
        <v>16600.915820000002</v>
      </c>
      <c r="E10" s="572">
        <f>(+SUMIFS('300s - 5 Digit FERC Accounts'!F:F,'300s - 5 Digit FERC Accounts'!B:B,"=38900")/1000)</f>
        <v>0</v>
      </c>
      <c r="F10" s="2710">
        <f>(+SUMIFS('300s - 5 Digit FERC Accounts'!E:E,'300s - 5 Digit FERC Accounts'!B:B,"=38900")/1000)</f>
        <v>0</v>
      </c>
    </row>
    <row r="11" spans="3:10">
      <c r="C11" s="137" t="s">
        <v>4747</v>
      </c>
      <c r="D11" s="564">
        <f>+D4-D5-D6-D7+D9+D10-D8</f>
        <v>1165350.0176799998</v>
      </c>
      <c r="E11" s="564">
        <f>+E4-E5-E6-E7+E9+E10-E8</f>
        <v>66881.109030000007</v>
      </c>
      <c r="F11" s="564">
        <f>+F4-F5-F6-F7+F9+F10-F8</f>
        <v>288544.18959999998</v>
      </c>
    </row>
    <row r="12" spans="3:10">
      <c r="C12" s="137" t="s">
        <v>4748</v>
      </c>
      <c r="D12" s="572">
        <f>(+SUMIFS('300s - 5 Digit FERC Accounts'!D:D,'300s - 5 Digit FERC Accounts'!B:B,"=31700")/1000)+(+SUMIFS('300s - 5 Digit FERC Accounts'!D:D,'300s - 5 Digit FERC Accounts'!B:B,"=34700")/1000)+(+SUMIFS('300s - 5 Digit FERC Accounts'!D:D,'300s - 5 Digit FERC Accounts'!B:B,"=37400")/1000)+(+SUMIFS('300s - 5 Digit FERC Accounts'!D:D,'300s - 5 Digit FERC Accounts'!B:B,"=39910")/1000)</f>
        <v>25408.521470000003</v>
      </c>
      <c r="E12" s="2711">
        <f>(+SUMIFS('300s - 5 Digit FERC Accounts'!F:F,'300s - 5 Digit FERC Accounts'!B:B,"=31700")/1000)+(+SUMIFS('300s - 5 Digit FERC Accounts'!F:F,'300s - 5 Digit FERC Accounts'!B:B,"=34700")/1000)+(+SUMIFS('300s - 5 Digit FERC Accounts'!F:F,'300s - 5 Digit FERC Accounts'!B:B,"=37400")/1000)+(+SUMIFS('300s - 5 Digit FERC Accounts'!F:F,'300s - 5 Digit FERC Accounts'!B:B,"=39910")/1000)</f>
        <v>689.49131999999997</v>
      </c>
      <c r="F12" s="2710">
        <f>(+SUMIFS('300s - 5 Digit FERC Accounts'!E:E,'300s - 5 Digit FERC Accounts'!B:B,"=31700")/1000)+(+SUMIFS('300s - 5 Digit FERC Accounts'!E:E,'300s - 5 Digit FERC Accounts'!B:B,"=34700")/1000)+(+SUMIFS('300s - 5 Digit FERC Accounts'!E:E,'300s - 5 Digit FERC Accounts'!B:B,"=37400")/1000)+(+SUMIFS('300s - 5 Digit FERC Accounts'!E:E,'300s - 5 Digit FERC Accounts'!B:B,"=39910")/1000)</f>
        <v>5838.0139599999993</v>
      </c>
    </row>
    <row r="13" spans="3:10" ht="15" thickBot="1">
      <c r="C13" s="2712" t="s">
        <v>4749</v>
      </c>
      <c r="D13" s="2713">
        <f>+SUM(D11:D12)</f>
        <v>1190758.5391499999</v>
      </c>
      <c r="E13" s="2713">
        <f>+SUM(E11:E12)</f>
        <v>67570.600350000008</v>
      </c>
      <c r="F13" s="2714">
        <f>+SUM(F11:F12)</f>
        <v>294382.20355999999</v>
      </c>
    </row>
    <row r="16" spans="3:10">
      <c r="C16" s="352" t="s">
        <v>2173</v>
      </c>
      <c r="D16" s="294"/>
      <c r="E16" s="294"/>
      <c r="F16" s="294"/>
      <c r="G16" s="294"/>
      <c r="H16" s="460"/>
      <c r="J16" t="s">
        <v>8413</v>
      </c>
    </row>
    <row r="17" spans="3:12">
      <c r="C17" s="353" t="s">
        <v>4188</v>
      </c>
      <c r="H17" s="296"/>
      <c r="J17" t="s">
        <v>8483</v>
      </c>
      <c r="K17" s="2394">
        <f>+SUM('Accounting Schedule B-7'!R452,'Accounting Schedule B-7'!R482,'Accounting Schedule B-7'!R489)-'Communications Equipment'!L11-'Transportation Equipment'!K4</f>
        <v>1183576.5687599999</v>
      </c>
    </row>
    <row r="18" spans="3:12">
      <c r="C18" s="2552" t="s">
        <v>9263</v>
      </c>
      <c r="D18" s="1962"/>
      <c r="E18" s="1962"/>
      <c r="F18" s="834"/>
      <c r="G18" s="62"/>
      <c r="H18" s="622"/>
      <c r="J18" t="s">
        <v>8482</v>
      </c>
      <c r="K18" s="2517">
        <f>+D13</f>
        <v>1190758.5391499999</v>
      </c>
    </row>
    <row r="19" spans="3:12">
      <c r="C19" s="357"/>
      <c r="H19" s="296"/>
      <c r="K19" s="516">
        <f>+K17-K18</f>
        <v>-7181.9703899999149</v>
      </c>
    </row>
    <row r="20" spans="3:12">
      <c r="C20" s="1005" t="s">
        <v>4189</v>
      </c>
      <c r="D20" s="2479"/>
      <c r="E20" s="2479"/>
      <c r="F20" s="2479"/>
      <c r="G20" s="2479"/>
      <c r="H20" s="450"/>
      <c r="J20" t="s">
        <v>8484</v>
      </c>
      <c r="K20" s="2394">
        <f>-D7-'SPP ADJ T&amp;D'!C29/1000-D8</f>
        <v>-9418.9454299999998</v>
      </c>
    </row>
    <row r="21" spans="3:12" ht="27">
      <c r="C21" s="520" t="s">
        <v>2182</v>
      </c>
      <c r="D21" s="753" t="s">
        <v>1918</v>
      </c>
      <c r="E21" s="753" t="s">
        <v>4190</v>
      </c>
      <c r="F21" s="2715" t="s">
        <v>3480</v>
      </c>
      <c r="G21" s="2716" t="s">
        <v>4191</v>
      </c>
      <c r="H21" s="2717" t="s">
        <v>4192</v>
      </c>
      <c r="J21" s="297" t="s">
        <v>8439</v>
      </c>
      <c r="K21" s="2517">
        <f>+D10</f>
        <v>16600.915820000002</v>
      </c>
    </row>
    <row r="22" spans="3:12">
      <c r="C22" s="835" t="s">
        <v>2175</v>
      </c>
      <c r="D22" s="524" t="s">
        <v>2176</v>
      </c>
      <c r="E22" s="524" t="s">
        <v>2177</v>
      </c>
      <c r="F22" s="524" t="s">
        <v>2178</v>
      </c>
      <c r="G22" s="524" t="s">
        <v>2179</v>
      </c>
      <c r="H22" s="836" t="s">
        <v>2625</v>
      </c>
      <c r="K22" s="2521">
        <f>+SUM(K19:K21)</f>
        <v>8.7311491370201111E-11</v>
      </c>
    </row>
    <row r="23" spans="3:12">
      <c r="C23" s="2496">
        <v>1</v>
      </c>
      <c r="D23" s="96" t="s">
        <v>4193</v>
      </c>
      <c r="F23" s="837">
        <f t="shared" ref="F23:H24" si="0">+D11</f>
        <v>1165350.0176799998</v>
      </c>
      <c r="G23" s="837">
        <f t="shared" si="0"/>
        <v>66881.109030000007</v>
      </c>
      <c r="H23" s="846">
        <f t="shared" si="0"/>
        <v>288544.18959999998</v>
      </c>
      <c r="K23" s="64"/>
      <c r="L23" s="64"/>
    </row>
    <row r="24" spans="3:12">
      <c r="C24" s="365">
        <v>2</v>
      </c>
      <c r="D24" t="s">
        <v>4194</v>
      </c>
      <c r="E24" s="33" t="s">
        <v>4195</v>
      </c>
      <c r="F24" s="837">
        <f t="shared" si="0"/>
        <v>25408.521470000003</v>
      </c>
      <c r="G24" s="837">
        <f t="shared" si="0"/>
        <v>689.49131999999997</v>
      </c>
      <c r="H24" s="838">
        <f t="shared" si="0"/>
        <v>5838.0139599999993</v>
      </c>
      <c r="J24" t="s">
        <v>8413</v>
      </c>
      <c r="K24" s="64"/>
      <c r="L24" s="64"/>
    </row>
    <row r="25" spans="3:12">
      <c r="C25" s="365">
        <v>3</v>
      </c>
      <c r="D25" s="96" t="s">
        <v>4196</v>
      </c>
      <c r="E25" s="60"/>
      <c r="F25" s="839"/>
      <c r="G25" s="839"/>
      <c r="H25" s="840"/>
      <c r="J25" t="s">
        <v>8672</v>
      </c>
      <c r="K25" s="64">
        <f>+SUM('Accounting Schedule B-9'!T452,'Accounting Schedule B-9'!T482,'Accounting Schedule B-9'!T489)-'Transportation Equipment'!K11-'Communications Equipment'!L18</f>
        <v>298664.86556999997</v>
      </c>
      <c r="L25" s="64"/>
    </row>
    <row r="26" spans="3:12" ht="15" thickBot="1">
      <c r="C26" s="365">
        <v>4</v>
      </c>
      <c r="D26" s="2691" t="s">
        <v>4197</v>
      </c>
      <c r="E26" s="841"/>
      <c r="F26" s="1562">
        <f>+SUM(F23:F25)</f>
        <v>1190758.5391499999</v>
      </c>
      <c r="G26" s="1562">
        <f>+SUM(G23:G25)</f>
        <v>67570.600350000008</v>
      </c>
      <c r="H26" s="1303">
        <f>+SUM(H23:H25)</f>
        <v>294382.20355999999</v>
      </c>
      <c r="J26" t="s">
        <v>8673</v>
      </c>
      <c r="K26" s="2571">
        <f>+F13</f>
        <v>294382.20355999999</v>
      </c>
      <c r="L26" s="64"/>
    </row>
    <row r="27" spans="3:12" ht="27.6" thickTop="1">
      <c r="C27" s="365">
        <v>5</v>
      </c>
      <c r="D27" s="2497" t="s">
        <v>4193</v>
      </c>
      <c r="E27" s="2718" t="s">
        <v>4198</v>
      </c>
      <c r="F27" s="414" t="s">
        <v>3480</v>
      </c>
      <c r="G27" s="2718" t="s">
        <v>4199</v>
      </c>
      <c r="H27" s="2719" t="s">
        <v>4192</v>
      </c>
      <c r="K27" s="516">
        <f>+K25-K26</f>
        <v>4282.6620099999709</v>
      </c>
      <c r="L27" s="64"/>
    </row>
    <row r="28" spans="3:12">
      <c r="C28" s="365">
        <v>6</v>
      </c>
      <c r="D28" s="418" t="s">
        <v>2254</v>
      </c>
      <c r="E28" s="1000">
        <f>+'0 MDS Labor O&amp;M'!E22</f>
        <v>0.33393991748117813</v>
      </c>
      <c r="F28" s="837">
        <f>+($F$23+$F$25)*E28</f>
        <v>389156.88874074863</v>
      </c>
      <c r="G28" s="837">
        <f t="shared" ref="G28:G35" si="1">+($G$23+$G$25)*E28</f>
        <v>22334.272030527878</v>
      </c>
      <c r="H28" s="838">
        <f t="shared" ref="H28:H35" si="2">+($H$23+$H$25)*E28</f>
        <v>96356.422864697408</v>
      </c>
      <c r="J28" t="s">
        <v>8484</v>
      </c>
      <c r="K28" s="2394">
        <f>-F7-'SPP ADJ T&amp;D'!D29/1000-F8</f>
        <v>-4282.6620099999991</v>
      </c>
    </row>
    <row r="29" spans="3:12">
      <c r="C29" s="365">
        <v>7</v>
      </c>
      <c r="D29" s="418" t="s">
        <v>2255</v>
      </c>
      <c r="E29" s="1000">
        <f>+'0 MDS Labor O&amp;M'!E23</f>
        <v>8.8162159058473452E-2</v>
      </c>
      <c r="F29" s="837">
        <f t="shared" ref="F29:F35" si="3">+($F$23+$F$25)*E29</f>
        <v>102739.773617499</v>
      </c>
      <c r="G29" s="837">
        <f t="shared" si="1"/>
        <v>5896.3829723099661</v>
      </c>
      <c r="H29" s="838">
        <f t="shared" si="2"/>
        <v>25438.678738913521</v>
      </c>
      <c r="J29" s="297"/>
      <c r="K29" s="2517"/>
    </row>
    <row r="30" spans="3:12">
      <c r="C30" s="365">
        <v>8</v>
      </c>
      <c r="D30" s="418" t="s">
        <v>4200</v>
      </c>
      <c r="E30" s="1000">
        <f>+'0 MDS Labor O&amp;M'!E24</f>
        <v>1.4150352999629922E-2</v>
      </c>
      <c r="F30" s="837">
        <f t="shared" si="3"/>
        <v>16490.11411829697</v>
      </c>
      <c r="G30" s="837">
        <f t="shared" si="1"/>
        <v>946.39130178123651</v>
      </c>
      <c r="H30" s="838">
        <f t="shared" si="2"/>
        <v>4083.0021388321447</v>
      </c>
      <c r="K30" s="2521">
        <f>+SUM(K27:K29)</f>
        <v>-2.8194335754960775E-11</v>
      </c>
    </row>
    <row r="31" spans="3:12">
      <c r="C31" s="365">
        <v>9</v>
      </c>
      <c r="D31" s="418" t="s">
        <v>4201</v>
      </c>
      <c r="E31" s="1000">
        <f>+'0 MDS Labor O&amp;M'!E25</f>
        <v>3.9784185105714888E-2</v>
      </c>
      <c r="F31" s="837">
        <f t="shared" si="3"/>
        <v>46362.50081632923</v>
      </c>
      <c r="G31" s="837">
        <f t="shared" si="1"/>
        <v>2660.8104217250198</v>
      </c>
      <c r="H31" s="838">
        <f t="shared" si="2"/>
        <v>11479.495450224891</v>
      </c>
    </row>
    <row r="32" spans="3:12">
      <c r="C32" s="365">
        <v>10</v>
      </c>
      <c r="D32" s="418" t="s">
        <v>4202</v>
      </c>
      <c r="E32" s="1000">
        <f>+'0 MDS Labor O&amp;M'!E26</f>
        <v>0.1953787750112897</v>
      </c>
      <c r="F32" s="837">
        <f t="shared" si="3"/>
        <v>227684.65891370314</v>
      </c>
      <c r="G32" s="837">
        <f t="shared" si="1"/>
        <v>13067.149153677907</v>
      </c>
      <c r="H32" s="838">
        <f t="shared" si="2"/>
        <v>56375.410300673313</v>
      </c>
    </row>
    <row r="33" spans="3:8">
      <c r="C33" s="365">
        <v>11</v>
      </c>
      <c r="D33" s="418" t="s">
        <v>4203</v>
      </c>
      <c r="E33" s="1000">
        <f>+'0 MDS Labor O&amp;M'!E27</f>
        <v>3.3704278685172187E-2</v>
      </c>
      <c r="F33" s="837">
        <f t="shared" si="3"/>
        <v>39277.281761657046</v>
      </c>
      <c r="G33" s="837">
        <f t="shared" si="1"/>
        <v>2254.1795375205065</v>
      </c>
      <c r="H33" s="838">
        <f t="shared" si="2"/>
        <v>9725.1737792655622</v>
      </c>
    </row>
    <row r="34" spans="3:8">
      <c r="C34" s="365">
        <v>12</v>
      </c>
      <c r="D34" s="418" t="s">
        <v>4204</v>
      </c>
      <c r="E34" s="1000">
        <f>+'0 MDS Labor O&amp;M'!E28</f>
        <v>0.12523992610647422</v>
      </c>
      <c r="F34" s="837">
        <f t="shared" si="3"/>
        <v>145948.35010242159</v>
      </c>
      <c r="G34" s="837">
        <f t="shared" si="1"/>
        <v>8376.1851528362458</v>
      </c>
      <c r="H34" s="838">
        <f t="shared" si="2"/>
        <v>36137.252983956481</v>
      </c>
    </row>
    <row r="35" spans="3:8">
      <c r="C35" s="365">
        <v>13</v>
      </c>
      <c r="D35" s="418" t="s">
        <v>4205</v>
      </c>
      <c r="E35" s="1000">
        <f>+'0 MDS Labor O&amp;M'!E29</f>
        <v>0.1696404055520675</v>
      </c>
      <c r="F35" s="837">
        <f t="shared" si="3"/>
        <v>197690.44960934418</v>
      </c>
      <c r="G35" s="837">
        <f t="shared" si="1"/>
        <v>11345.738459621245</v>
      </c>
      <c r="H35" s="838">
        <f t="shared" si="2"/>
        <v>48948.753343436656</v>
      </c>
    </row>
    <row r="36" spans="3:8">
      <c r="C36" s="365">
        <v>14</v>
      </c>
      <c r="D36" s="2686" t="s">
        <v>4206</v>
      </c>
      <c r="E36" s="999">
        <f>+SUM(E28:E35)</f>
        <v>1</v>
      </c>
      <c r="F36" s="2720">
        <f>+SUM(F28:F35)</f>
        <v>1165350.0176799998</v>
      </c>
      <c r="G36" s="2720">
        <f>+SUM(G28:G35)</f>
        <v>66881.109030000007</v>
      </c>
      <c r="H36" s="2721">
        <f>+SUM(H28:H35)</f>
        <v>288544.18959999998</v>
      </c>
    </row>
    <row r="37" spans="3:8" ht="66.599999999999994">
      <c r="C37" s="365">
        <v>15</v>
      </c>
      <c r="D37" s="2722" t="s">
        <v>4207</v>
      </c>
      <c r="E37" s="2718"/>
      <c r="F37" s="2718" t="s">
        <v>4208</v>
      </c>
      <c r="G37" s="2718" t="s">
        <v>4199</v>
      </c>
      <c r="H37" s="2719" t="s">
        <v>4192</v>
      </c>
    </row>
    <row r="38" spans="3:8">
      <c r="C38" s="365">
        <v>16</v>
      </c>
      <c r="D38" t="s">
        <v>4209</v>
      </c>
      <c r="E38" s="847" t="s">
        <v>4195</v>
      </c>
      <c r="F38" s="837">
        <f>(+SUMIFS('300s - 5 Digit FERC Accounts'!D:D,'300s - 5 Digit FERC Accounts'!B:B,31700)+SUMIFS('300s - 5 Digit FERC Accounts'!D:D,'300s - 5 Digit FERC Accounts'!B:B,34700))/1000</f>
        <v>17979.151700000002</v>
      </c>
      <c r="G38" s="2587">
        <v>0</v>
      </c>
      <c r="H38" s="838">
        <f>(+SUMIFS('300s - 5 Digit FERC Accounts'!E:E,'300s - 5 Digit FERC Accounts'!B:B,31700)+SUMIFS('300s - 5 Digit FERC Accounts'!E:E,'300s - 5 Digit FERC Accounts'!B:B,34700))/1000</f>
        <v>3773.9577400000003</v>
      </c>
    </row>
    <row r="39" spans="3:8">
      <c r="C39" s="365">
        <v>17</v>
      </c>
      <c r="D39" t="s">
        <v>2255</v>
      </c>
      <c r="E39" s="842"/>
      <c r="F39" s="2587">
        <v>0</v>
      </c>
      <c r="G39" s="2587">
        <v>0</v>
      </c>
      <c r="H39" s="2588">
        <v>0</v>
      </c>
    </row>
    <row r="40" spans="3:8">
      <c r="C40" s="365">
        <v>18</v>
      </c>
      <c r="D40" t="s">
        <v>4184</v>
      </c>
      <c r="E40" s="842"/>
      <c r="F40" s="2587">
        <v>0</v>
      </c>
      <c r="G40" s="2587">
        <v>0</v>
      </c>
      <c r="H40" s="2588">
        <v>0</v>
      </c>
    </row>
    <row r="41" spans="3:8">
      <c r="C41" s="365">
        <v>19</v>
      </c>
      <c r="D41" t="s">
        <v>4185</v>
      </c>
      <c r="E41" s="842"/>
      <c r="F41" s="837">
        <f>(+SUMIFS('300s - 5 Digit FERC Accounts'!D:D,'300s - 5 Digit FERC Accounts'!B:B,37400))/1000</f>
        <v>7160.1822599999996</v>
      </c>
      <c r="G41" s="2587">
        <v>0</v>
      </c>
      <c r="H41" s="838">
        <f>(+SUMIFS('300s - 5 Digit FERC Accounts'!E:E,'300s - 5 Digit FERC Accounts'!B:B,37400))/1000</f>
        <v>1917.43355</v>
      </c>
    </row>
    <row r="42" spans="3:8">
      <c r="C42" s="365">
        <v>20</v>
      </c>
      <c r="D42" t="s">
        <v>4210</v>
      </c>
      <c r="E42" s="842"/>
      <c r="F42" s="839">
        <f>(+SUMIFS('300s - 5 Digit FERC Accounts'!D:D,'300s - 5 Digit FERC Accounts'!B:B,39910))/1000</f>
        <v>269.18751000000003</v>
      </c>
      <c r="G42" s="2587">
        <v>0</v>
      </c>
      <c r="H42" s="840">
        <f>(+SUMIFS('300s - 5 Digit FERC Accounts'!E:E,'300s - 5 Digit FERC Accounts'!B:B,39910))/1000</f>
        <v>146.62267</v>
      </c>
    </row>
    <row r="43" spans="3:8">
      <c r="C43" s="365">
        <v>21</v>
      </c>
      <c r="D43" s="2527" t="s">
        <v>4211</v>
      </c>
      <c r="E43" s="843"/>
      <c r="F43" s="2720">
        <f>+SUM(F38:F42)</f>
        <v>25408.521470000003</v>
      </c>
      <c r="G43" s="2720">
        <f>+SUM(G38:G42)</f>
        <v>0</v>
      </c>
      <c r="H43" s="2721">
        <f>+SUM(H38:H42)</f>
        <v>5838.0139600000002</v>
      </c>
    </row>
    <row r="44" spans="3:8">
      <c r="C44" s="616"/>
      <c r="F44" s="844"/>
      <c r="G44" s="844"/>
      <c r="H44" s="451"/>
    </row>
    <row r="45" spans="3:8">
      <c r="C45" s="1005" t="s">
        <v>4212</v>
      </c>
      <c r="D45" s="2479"/>
      <c r="E45" s="2479"/>
      <c r="F45" s="2479"/>
      <c r="G45" s="2479"/>
      <c r="H45" s="450"/>
    </row>
    <row r="46" spans="3:8" ht="27">
      <c r="C46" s="637" t="s">
        <v>2182</v>
      </c>
      <c r="D46" s="414" t="s">
        <v>1918</v>
      </c>
      <c r="E46" s="414"/>
      <c r="F46" s="1026" t="s">
        <v>3480</v>
      </c>
      <c r="G46" s="2718" t="s">
        <v>4191</v>
      </c>
      <c r="H46" s="2723" t="s">
        <v>4192</v>
      </c>
    </row>
    <row r="47" spans="3:8">
      <c r="C47" s="365">
        <v>22</v>
      </c>
      <c r="D47" s="418" t="s">
        <v>4209</v>
      </c>
      <c r="E47" s="847" t="s">
        <v>4195</v>
      </c>
      <c r="F47" s="837">
        <f t="shared" ref="F47:H49" si="4">+F28+F38</f>
        <v>407136.04044074862</v>
      </c>
      <c r="G47" s="837">
        <f t="shared" si="4"/>
        <v>22334.272030527878</v>
      </c>
      <c r="H47" s="1047">
        <f t="shared" si="4"/>
        <v>100130.38060469741</v>
      </c>
    </row>
    <row r="48" spans="3:8">
      <c r="C48" s="365">
        <v>23</v>
      </c>
      <c r="D48" s="418" t="s">
        <v>2255</v>
      </c>
      <c r="E48" s="842"/>
      <c r="F48" s="837">
        <f t="shared" si="4"/>
        <v>102739.773617499</v>
      </c>
      <c r="G48" s="837">
        <f t="shared" si="4"/>
        <v>5896.3829723099661</v>
      </c>
      <c r="H48" s="838">
        <f t="shared" si="4"/>
        <v>25438.678738913521</v>
      </c>
    </row>
    <row r="49" spans="3:8">
      <c r="C49" s="365">
        <v>24</v>
      </c>
      <c r="D49" s="418" t="s">
        <v>2246</v>
      </c>
      <c r="E49" s="842"/>
      <c r="F49" s="837">
        <f t="shared" si="4"/>
        <v>16490.11411829697</v>
      </c>
      <c r="G49" s="837">
        <f t="shared" si="4"/>
        <v>946.39130178123651</v>
      </c>
      <c r="H49" s="838">
        <f t="shared" si="4"/>
        <v>4083.0021388321447</v>
      </c>
    </row>
    <row r="50" spans="3:8">
      <c r="C50" s="365">
        <v>25</v>
      </c>
      <c r="D50" s="418" t="s">
        <v>2247</v>
      </c>
      <c r="E50" s="842"/>
      <c r="F50" s="837">
        <f>+F31</f>
        <v>46362.50081632923</v>
      </c>
      <c r="G50" s="837">
        <f>+G31</f>
        <v>2660.8104217250198</v>
      </c>
      <c r="H50" s="838">
        <f>+H31</f>
        <v>11479.495450224891</v>
      </c>
    </row>
    <row r="51" spans="3:8">
      <c r="C51" s="365">
        <v>26</v>
      </c>
      <c r="D51" s="418" t="s">
        <v>2249</v>
      </c>
      <c r="E51" s="842"/>
      <c r="F51" s="837">
        <f>+F32+F41</f>
        <v>234844.84117370314</v>
      </c>
      <c r="G51" s="837">
        <f>+G32+G41</f>
        <v>13067.149153677907</v>
      </c>
      <c r="H51" s="838">
        <f>+H32+H41</f>
        <v>58292.843850673315</v>
      </c>
    </row>
    <row r="52" spans="3:8">
      <c r="C52" s="365">
        <v>27</v>
      </c>
      <c r="D52" s="418" t="s">
        <v>2250</v>
      </c>
      <c r="E52" s="842"/>
      <c r="F52" s="837">
        <f t="shared" ref="F52:H53" si="5">+F33</f>
        <v>39277.281761657046</v>
      </c>
      <c r="G52" s="837">
        <f t="shared" si="5"/>
        <v>2254.1795375205065</v>
      </c>
      <c r="H52" s="838">
        <f t="shared" si="5"/>
        <v>9725.1737792655622</v>
      </c>
    </row>
    <row r="53" spans="3:8">
      <c r="C53" s="365">
        <v>28</v>
      </c>
      <c r="D53" s="418" t="s">
        <v>2256</v>
      </c>
      <c r="E53" s="842"/>
      <c r="F53" s="837">
        <f t="shared" si="5"/>
        <v>145948.35010242159</v>
      </c>
      <c r="G53" s="837">
        <f t="shared" si="5"/>
        <v>8376.1851528362458</v>
      </c>
      <c r="H53" s="838">
        <f t="shared" si="5"/>
        <v>36137.252983956481</v>
      </c>
    </row>
    <row r="54" spans="3:8">
      <c r="C54" s="365">
        <v>29</v>
      </c>
      <c r="D54" s="418" t="s">
        <v>2257</v>
      </c>
      <c r="E54" s="842"/>
      <c r="F54" s="837">
        <f>+F35+F42</f>
        <v>197959.63711934417</v>
      </c>
      <c r="G54" s="837">
        <f>+G35+G42</f>
        <v>11345.738459621245</v>
      </c>
      <c r="H54" s="838">
        <f>+H35+H42</f>
        <v>49095.376013436653</v>
      </c>
    </row>
    <row r="55" spans="3:8" ht="15" thickBot="1">
      <c r="C55" s="365">
        <v>30</v>
      </c>
      <c r="D55" s="1027" t="s">
        <v>4197</v>
      </c>
      <c r="E55" s="841"/>
      <c r="F55" s="2724">
        <f>+SUM(F47:F54)</f>
        <v>1190758.5391499999</v>
      </c>
      <c r="G55" s="2724">
        <f>+SUM(G47:G54)</f>
        <v>66881.109030000007</v>
      </c>
      <c r="H55" s="2668">
        <f>+SUM(H47:H54)</f>
        <v>294382.20355999999</v>
      </c>
    </row>
    <row r="56" spans="3:8" ht="15" thickTop="1">
      <c r="C56" s="616"/>
      <c r="D56" s="297"/>
      <c r="E56" s="845"/>
      <c r="F56" s="297"/>
      <c r="G56" s="297"/>
      <c r="H56" s="298"/>
    </row>
  </sheetData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B1:M102"/>
  <sheetViews>
    <sheetView tabSelected="1" showOutlineSymbols="0" workbookViewId="0"/>
  </sheetViews>
  <sheetFormatPr defaultRowHeight="14.4"/>
  <cols>
    <col min="2" max="2" width="5.109375" bestFit="1" customWidth="1"/>
    <col min="3" max="3" width="51.5546875" bestFit="1" customWidth="1"/>
    <col min="4" max="4" width="18.88671875" bestFit="1" customWidth="1"/>
    <col min="5" max="11" width="20" customWidth="1"/>
    <col min="12" max="12" width="19.5546875" bestFit="1" customWidth="1"/>
    <col min="13" max="13" width="16.88671875" bestFit="1" customWidth="1"/>
  </cols>
  <sheetData>
    <row r="1" spans="2:13">
      <c r="D1" s="2107" t="s">
        <v>116</v>
      </c>
      <c r="E1" s="2107"/>
    </row>
    <row r="3" spans="2:13" ht="15.6">
      <c r="B3" s="2725" t="s">
        <v>2173</v>
      </c>
      <c r="C3" s="2726"/>
      <c r="D3" s="2726"/>
      <c r="E3" s="2726"/>
      <c r="F3" s="2726"/>
      <c r="G3" s="2726"/>
      <c r="H3" s="2726"/>
      <c r="I3" s="2726"/>
      <c r="J3" s="2726"/>
      <c r="K3" s="2726"/>
      <c r="L3" s="2726"/>
      <c r="M3" s="2727"/>
    </row>
    <row r="4" spans="2:13" ht="15.6">
      <c r="B4" s="2725" t="s">
        <v>5096</v>
      </c>
      <c r="C4" s="2726"/>
      <c r="D4" s="2726"/>
      <c r="E4" s="2726"/>
      <c r="F4" s="2726"/>
      <c r="G4" s="2726"/>
      <c r="H4" s="2726"/>
      <c r="I4" s="2726"/>
      <c r="J4" s="2726"/>
      <c r="K4" s="2726"/>
      <c r="L4" s="2726"/>
      <c r="M4" s="2726"/>
    </row>
    <row r="5" spans="2:13" ht="15.6">
      <c r="B5" s="2728" t="s">
        <v>9265</v>
      </c>
      <c r="C5" s="2729"/>
      <c r="D5" s="2729"/>
      <c r="E5" s="2729"/>
      <c r="F5" s="2729"/>
      <c r="G5" s="2729"/>
      <c r="H5" s="2729"/>
      <c r="I5" s="2729"/>
      <c r="J5" s="2729"/>
      <c r="K5" s="2729"/>
      <c r="L5" s="2729"/>
      <c r="M5" s="2729"/>
    </row>
    <row r="6" spans="2:13" ht="15.6">
      <c r="B6" s="275"/>
      <c r="C6" s="2730"/>
      <c r="D6" s="2726"/>
      <c r="E6" s="2726"/>
      <c r="F6" s="2726"/>
      <c r="G6" s="2726"/>
      <c r="H6" s="2726"/>
      <c r="I6" s="2726"/>
      <c r="J6" s="2726"/>
      <c r="K6" s="2726"/>
      <c r="L6" s="2726"/>
      <c r="M6" s="2726"/>
    </row>
    <row r="7" spans="2:13" ht="15.6">
      <c r="B7" s="2731"/>
      <c r="C7" s="2732"/>
      <c r="D7" s="2731"/>
      <c r="E7" s="2731"/>
      <c r="F7" s="2731"/>
      <c r="G7" s="2731"/>
      <c r="H7" s="2731"/>
      <c r="I7" s="2731"/>
      <c r="J7" s="2731"/>
      <c r="K7" s="2731"/>
      <c r="L7" s="2731"/>
      <c r="M7" s="2733" t="s">
        <v>5097</v>
      </c>
    </row>
    <row r="8" spans="2:13" ht="15.6">
      <c r="B8" s="275"/>
      <c r="C8" s="2731"/>
      <c r="D8" s="2726" t="s">
        <v>605</v>
      </c>
      <c r="E8" s="2726" t="s">
        <v>8368</v>
      </c>
      <c r="F8" s="2733" t="s">
        <v>5098</v>
      </c>
      <c r="G8" s="2731"/>
      <c r="H8" s="2731"/>
      <c r="I8" s="2733" t="s">
        <v>5099</v>
      </c>
      <c r="J8" s="2733" t="s">
        <v>8369</v>
      </c>
      <c r="K8" s="2733" t="s">
        <v>8371</v>
      </c>
      <c r="L8" s="2733" t="s">
        <v>122</v>
      </c>
      <c r="M8" s="2733" t="s">
        <v>5100</v>
      </c>
    </row>
    <row r="9" spans="2:13" ht="15.6">
      <c r="B9" s="275"/>
      <c r="C9" s="2734" t="s">
        <v>5101</v>
      </c>
      <c r="D9" s="2735" t="s">
        <v>5102</v>
      </c>
      <c r="E9" s="2735" t="s">
        <v>593</v>
      </c>
      <c r="F9" s="2735" t="s">
        <v>5103</v>
      </c>
      <c r="G9" s="2735" t="s">
        <v>5104</v>
      </c>
      <c r="H9" s="2735" t="s">
        <v>2347</v>
      </c>
      <c r="I9" s="2735" t="s">
        <v>5105</v>
      </c>
      <c r="J9" s="2735" t="s">
        <v>8370</v>
      </c>
      <c r="K9" s="2735" t="s">
        <v>8372</v>
      </c>
      <c r="L9" s="2735" t="s">
        <v>593</v>
      </c>
      <c r="M9" s="2735" t="s">
        <v>2330</v>
      </c>
    </row>
    <row r="10" spans="2:13" ht="15.6">
      <c r="B10" s="275"/>
      <c r="C10" s="2731"/>
      <c r="D10" s="2731"/>
      <c r="E10" s="2731"/>
      <c r="F10" s="2731"/>
      <c r="G10" s="2731"/>
      <c r="H10" s="2731"/>
      <c r="I10" s="2731"/>
      <c r="J10" s="2731"/>
      <c r="K10" s="2731"/>
      <c r="L10" s="2731"/>
      <c r="M10" s="2731"/>
    </row>
    <row r="11" spans="2:13" ht="15.6">
      <c r="B11" s="275">
        <v>121</v>
      </c>
      <c r="C11" s="2731" t="s">
        <v>5106</v>
      </c>
      <c r="D11" s="1316">
        <f>+SUMIFS('Working Captial Input'!E:E,'Working Captial Input'!$B:$B,'Working Capital Transpose'!$B11)</f>
        <v>24533891.339230776</v>
      </c>
      <c r="E11" s="1316">
        <f>+SUMIFS('Working Captial Input'!F:F,'Working Captial Input'!$B:$B,'Working Capital Transpose'!$B11)</f>
        <v>0</v>
      </c>
      <c r="F11" s="1316">
        <f>+SUMIFS('Working Captial Input'!G:G,'Working Captial Input'!$B:$B,'Working Capital Transpose'!$B11)</f>
        <v>0</v>
      </c>
      <c r="G11" s="1316">
        <f>+SUMIFS('Working Captial Input'!H:H,'Working Captial Input'!$B:$B,'Working Capital Transpose'!$B11)</f>
        <v>-24533891.339230776</v>
      </c>
      <c r="H11" s="1316">
        <f>+SUMIFS('Working Captial Input'!I:I,'Working Captial Input'!$B:$B,'Working Capital Transpose'!$B11)</f>
        <v>0</v>
      </c>
      <c r="I11" s="1316">
        <f>+SUMIFS('Working Captial Input'!J:J,'Working Captial Input'!$B:$B,'Working Capital Transpose'!$B11)</f>
        <v>0</v>
      </c>
      <c r="J11" s="1316">
        <f>+SUMIFS('Working Captial Input'!K:K,'Working Captial Input'!$B:$B,'Working Capital Transpose'!$B11)</f>
        <v>0</v>
      </c>
      <c r="K11" s="1316">
        <f>+SUMIFS('Working Captial Input'!L:L,'Working Captial Input'!$B:$B,'Working Capital Transpose'!$B11)</f>
        <v>0</v>
      </c>
      <c r="L11" s="1316">
        <f t="shared" ref="L11:L32" si="0">+SUM(E11:K11)</f>
        <v>-24533891.339230776</v>
      </c>
      <c r="M11" s="1316">
        <f>+SUMIFS('Working Captial Input'!M:M,'Working Captial Input'!$B:$B,'Working Capital Transpose'!$B11)</f>
        <v>0</v>
      </c>
    </row>
    <row r="12" spans="2:13" ht="15.6">
      <c r="B12" s="2736">
        <v>122</v>
      </c>
      <c r="C12" s="2737" t="s">
        <v>157</v>
      </c>
      <c r="D12" s="1316">
        <f>+SUMIFS('Working Captial Input'!E:E,'Working Captial Input'!$B:$B,'Working Capital Transpose'!$B12)</f>
        <v>-8155856.6861538449</v>
      </c>
      <c r="E12" s="1316">
        <f>+SUMIFS('Working Captial Input'!F:F,'Working Captial Input'!$B:$B,'Working Capital Transpose'!$B12)</f>
        <v>0</v>
      </c>
      <c r="F12" s="1316">
        <f>+SUMIFS('Working Captial Input'!G:G,'Working Captial Input'!$B:$B,'Working Capital Transpose'!$B12)</f>
        <v>0</v>
      </c>
      <c r="G12" s="1316">
        <f>+SUMIFS('Working Captial Input'!H:H,'Working Captial Input'!$B:$B,'Working Capital Transpose'!$B12)</f>
        <v>8155856.6861538449</v>
      </c>
      <c r="H12" s="1316">
        <f>+SUMIFS('Working Captial Input'!I:I,'Working Captial Input'!$B:$B,'Working Capital Transpose'!$B12)</f>
        <v>0</v>
      </c>
      <c r="I12" s="1316">
        <f>+SUMIFS('Working Captial Input'!J:J,'Working Captial Input'!$B:$B,'Working Capital Transpose'!$B12)</f>
        <v>0</v>
      </c>
      <c r="J12" s="1316">
        <f>+SUMIFS('Working Captial Input'!K:K,'Working Captial Input'!$B:$B,'Working Capital Transpose'!$B12)</f>
        <v>0</v>
      </c>
      <c r="K12" s="1316">
        <f>+SUMIFS('Working Captial Input'!L:L,'Working Captial Input'!$B:$B,'Working Capital Transpose'!$B12)</f>
        <v>0</v>
      </c>
      <c r="L12" s="1316">
        <f t="shared" si="0"/>
        <v>8155856.6861538449</v>
      </c>
      <c r="M12" s="1316">
        <f>+SUMIFS('Working Captial Input'!M:M,'Working Captial Input'!$B:$B,'Working Capital Transpose'!$B12)</f>
        <v>0</v>
      </c>
    </row>
    <row r="13" spans="2:13" ht="15.6">
      <c r="B13" s="275">
        <v>123</v>
      </c>
      <c r="C13" s="2731" t="s">
        <v>5107</v>
      </c>
      <c r="D13" s="1316">
        <f>+SUMIFS('Working Captial Input'!E:E,'Working Captial Input'!$B:$B,'Working Capital Transpose'!$B13)</f>
        <v>0</v>
      </c>
      <c r="E13" s="1316">
        <f>+SUMIFS('Working Captial Input'!F:F,'Working Captial Input'!$B:$B,'Working Capital Transpose'!$B13)</f>
        <v>0</v>
      </c>
      <c r="F13" s="1316">
        <f>+SUMIFS('Working Captial Input'!G:G,'Working Captial Input'!$B:$B,'Working Capital Transpose'!$B13)</f>
        <v>0</v>
      </c>
      <c r="G13" s="1316">
        <f>+SUMIFS('Working Captial Input'!H:H,'Working Captial Input'!$B:$B,'Working Capital Transpose'!$B13)</f>
        <v>0</v>
      </c>
      <c r="H13" s="1316">
        <f>+SUMIFS('Working Captial Input'!I:I,'Working Captial Input'!$B:$B,'Working Capital Transpose'!$B13)</f>
        <v>0</v>
      </c>
      <c r="I13" s="1316">
        <f>+SUMIFS('Working Captial Input'!J:J,'Working Captial Input'!$B:$B,'Working Capital Transpose'!$B13)</f>
        <v>0</v>
      </c>
      <c r="J13" s="1316">
        <f>+SUMIFS('Working Captial Input'!K:K,'Working Captial Input'!$B:$B,'Working Capital Transpose'!$B13)</f>
        <v>0</v>
      </c>
      <c r="K13" s="1316">
        <f>+SUMIFS('Working Captial Input'!L:L,'Working Captial Input'!$B:$B,'Working Capital Transpose'!$B13)</f>
        <v>0</v>
      </c>
      <c r="L13" s="1316">
        <f t="shared" si="0"/>
        <v>0</v>
      </c>
      <c r="M13" s="1316">
        <f>+SUMIFS('Working Captial Input'!M:M,'Working Captial Input'!$B:$B,'Working Capital Transpose'!$B13)</f>
        <v>0</v>
      </c>
    </row>
    <row r="14" spans="2:13" ht="15.6">
      <c r="B14" s="275">
        <v>124</v>
      </c>
      <c r="C14" s="2731" t="s">
        <v>5108</v>
      </c>
      <c r="D14" s="1316">
        <f>+SUMIFS('Working Captial Input'!E:E,'Working Captial Input'!$B:$B,'Working Capital Transpose'!$B14)</f>
        <v>0</v>
      </c>
      <c r="E14" s="1316">
        <f>+SUMIFS('Working Captial Input'!F:F,'Working Captial Input'!$B:$B,'Working Capital Transpose'!$B14)</f>
        <v>0</v>
      </c>
      <c r="F14" s="1316">
        <f>+SUMIFS('Working Captial Input'!G:G,'Working Captial Input'!$B:$B,'Working Capital Transpose'!$B14)</f>
        <v>0</v>
      </c>
      <c r="G14" s="1316">
        <f>+SUMIFS('Working Captial Input'!H:H,'Working Captial Input'!$B:$B,'Working Capital Transpose'!$B14)</f>
        <v>0</v>
      </c>
      <c r="H14" s="1316">
        <f>+SUMIFS('Working Captial Input'!I:I,'Working Captial Input'!$B:$B,'Working Capital Transpose'!$B14)</f>
        <v>0</v>
      </c>
      <c r="I14" s="1316">
        <f>+SUMIFS('Working Captial Input'!J:J,'Working Captial Input'!$B:$B,'Working Capital Transpose'!$B14)</f>
        <v>0</v>
      </c>
      <c r="J14" s="1316">
        <f>+SUMIFS('Working Captial Input'!K:K,'Working Captial Input'!$B:$B,'Working Capital Transpose'!$B14)</f>
        <v>0</v>
      </c>
      <c r="K14" s="1316">
        <f>+SUMIFS('Working Captial Input'!L:L,'Working Captial Input'!$B:$B,'Working Capital Transpose'!$B14)</f>
        <v>0</v>
      </c>
      <c r="L14" s="1316">
        <f t="shared" si="0"/>
        <v>0</v>
      </c>
      <c r="M14" s="1316">
        <f>+SUMIFS('Working Captial Input'!M:M,'Working Captial Input'!$B:$B,'Working Capital Transpose'!$B14)</f>
        <v>0</v>
      </c>
    </row>
    <row r="15" spans="2:13" ht="15.6">
      <c r="B15" s="275">
        <v>131</v>
      </c>
      <c r="C15" s="2731" t="s">
        <v>1383</v>
      </c>
      <c r="D15" s="1316">
        <f>+SUMIFS('Working Captial Input'!E:E,'Working Captial Input'!$B:$B,'Working Capital Transpose'!$B15)</f>
        <v>1000000</v>
      </c>
      <c r="E15" s="1316">
        <f>+SUMIFS('Working Captial Input'!F:F,'Working Captial Input'!$B:$B,'Working Capital Transpose'!$B15)</f>
        <v>0</v>
      </c>
      <c r="F15" s="1316">
        <f>+SUMIFS('Working Captial Input'!G:G,'Working Captial Input'!$B:$B,'Working Capital Transpose'!$B15)</f>
        <v>-1000000</v>
      </c>
      <c r="G15" s="1316">
        <f>+SUMIFS('Working Captial Input'!H:H,'Working Captial Input'!$B:$B,'Working Capital Transpose'!$B15)</f>
        <v>0</v>
      </c>
      <c r="H15" s="1316">
        <f>+SUMIFS('Working Captial Input'!I:I,'Working Captial Input'!$B:$B,'Working Capital Transpose'!$B15)</f>
        <v>0</v>
      </c>
      <c r="I15" s="1316">
        <f>+SUMIFS('Working Captial Input'!J:J,'Working Captial Input'!$B:$B,'Working Capital Transpose'!$B15)</f>
        <v>0</v>
      </c>
      <c r="J15" s="1316">
        <f>+SUMIFS('Working Captial Input'!K:K,'Working Captial Input'!$B:$B,'Working Capital Transpose'!$B15)</f>
        <v>0</v>
      </c>
      <c r="K15" s="1316">
        <f>+SUMIFS('Working Captial Input'!L:L,'Working Captial Input'!$B:$B,'Working Capital Transpose'!$B15)</f>
        <v>0</v>
      </c>
      <c r="L15" s="1316">
        <f t="shared" si="0"/>
        <v>-1000000</v>
      </c>
      <c r="M15" s="1316">
        <f>+SUMIFS('Working Captial Input'!M:M,'Working Captial Input'!$B:$B,'Working Capital Transpose'!$B15)</f>
        <v>0</v>
      </c>
    </row>
    <row r="16" spans="2:13" ht="15.6">
      <c r="B16" s="275">
        <v>134</v>
      </c>
      <c r="C16" s="2731" t="s">
        <v>168</v>
      </c>
      <c r="D16" s="1316">
        <f>+SUMIFS('Working Captial Input'!E:E,'Working Captial Input'!$B:$B,'Working Capital Transpose'!$B16)</f>
        <v>0</v>
      </c>
      <c r="E16" s="1316">
        <f>+SUMIFS('Working Captial Input'!F:F,'Working Captial Input'!$B:$B,'Working Capital Transpose'!$B16)</f>
        <v>0</v>
      </c>
      <c r="F16" s="1316">
        <f>+SUMIFS('Working Captial Input'!G:G,'Working Captial Input'!$B:$B,'Working Capital Transpose'!$B16)</f>
        <v>0</v>
      </c>
      <c r="G16" s="1316">
        <f>+SUMIFS('Working Captial Input'!H:H,'Working Captial Input'!$B:$B,'Working Capital Transpose'!$B16)</f>
        <v>0</v>
      </c>
      <c r="H16" s="1316">
        <f>+SUMIFS('Working Captial Input'!I:I,'Working Captial Input'!$B:$B,'Working Capital Transpose'!$B16)</f>
        <v>0</v>
      </c>
      <c r="I16" s="1316">
        <f>+SUMIFS('Working Captial Input'!J:J,'Working Captial Input'!$B:$B,'Working Capital Transpose'!$B16)</f>
        <v>0</v>
      </c>
      <c r="J16" s="1316">
        <f>+SUMIFS('Working Captial Input'!K:K,'Working Captial Input'!$B:$B,'Working Capital Transpose'!$B16)</f>
        <v>0</v>
      </c>
      <c r="K16" s="1316">
        <f>+SUMIFS('Working Captial Input'!L:L,'Working Captial Input'!$B:$B,'Working Capital Transpose'!$B16)</f>
        <v>0</v>
      </c>
      <c r="L16" s="1316">
        <f t="shared" si="0"/>
        <v>0</v>
      </c>
      <c r="M16" s="1316">
        <f>+SUMIFS('Working Captial Input'!M:M,'Working Captial Input'!$B:$B,'Working Capital Transpose'!$B16)</f>
        <v>0</v>
      </c>
    </row>
    <row r="17" spans="2:13" ht="15.6">
      <c r="B17" s="275">
        <v>135</v>
      </c>
      <c r="C17" s="2731" t="s">
        <v>5019</v>
      </c>
      <c r="D17" s="1316">
        <f>+SUMIFS('Working Captial Input'!E:E,'Working Captial Input'!$B:$B,'Working Capital Transpose'!$B17)</f>
        <v>52665.390000000007</v>
      </c>
      <c r="E17" s="1316">
        <f>+SUMIFS('Working Captial Input'!F:F,'Working Captial Input'!$B:$B,'Working Capital Transpose'!$B17)</f>
        <v>0</v>
      </c>
      <c r="F17" s="1316">
        <f>+SUMIFS('Working Captial Input'!G:G,'Working Captial Input'!$B:$B,'Working Capital Transpose'!$B17)</f>
        <v>0</v>
      </c>
      <c r="G17" s="1316">
        <f>+SUMIFS('Working Captial Input'!H:H,'Working Captial Input'!$B:$B,'Working Capital Transpose'!$B17)</f>
        <v>0</v>
      </c>
      <c r="H17" s="1316">
        <f>+SUMIFS('Working Captial Input'!I:I,'Working Captial Input'!$B:$B,'Working Capital Transpose'!$B17)</f>
        <v>0</v>
      </c>
      <c r="I17" s="1316">
        <f>+SUMIFS('Working Captial Input'!J:J,'Working Captial Input'!$B:$B,'Working Capital Transpose'!$B17)</f>
        <v>0</v>
      </c>
      <c r="J17" s="1316">
        <f>+SUMIFS('Working Captial Input'!K:K,'Working Captial Input'!$B:$B,'Working Capital Transpose'!$B17)</f>
        <v>0</v>
      </c>
      <c r="K17" s="1316">
        <f>+SUMIFS('Working Captial Input'!L:L,'Working Captial Input'!$B:$B,'Working Capital Transpose'!$B17)</f>
        <v>0</v>
      </c>
      <c r="L17" s="1316">
        <f t="shared" si="0"/>
        <v>0</v>
      </c>
      <c r="M17" s="1316">
        <f>+SUMIFS('Working Captial Input'!M:M,'Working Captial Input'!$B:$B,'Working Capital Transpose'!$B17)</f>
        <v>52665.390000000007</v>
      </c>
    </row>
    <row r="18" spans="2:13" ht="15.6">
      <c r="B18" s="275">
        <v>136</v>
      </c>
      <c r="C18" s="2731" t="s">
        <v>171</v>
      </c>
      <c r="D18" s="1316">
        <f>+SUMIFS('Working Captial Input'!E:E,'Working Captial Input'!$B:$B,'Working Capital Transpose'!$B18)</f>
        <v>0</v>
      </c>
      <c r="E18" s="1316">
        <f>+SUMIFS('Working Captial Input'!F:F,'Working Captial Input'!$B:$B,'Working Capital Transpose'!$B18)</f>
        <v>0</v>
      </c>
      <c r="F18" s="1316">
        <f>+SUMIFS('Working Captial Input'!G:G,'Working Captial Input'!$B:$B,'Working Capital Transpose'!$B18)</f>
        <v>0</v>
      </c>
      <c r="G18" s="1316">
        <f>+SUMIFS('Working Captial Input'!H:H,'Working Captial Input'!$B:$B,'Working Capital Transpose'!$B18)</f>
        <v>0</v>
      </c>
      <c r="H18" s="1316">
        <f>+SUMIFS('Working Captial Input'!I:I,'Working Captial Input'!$B:$B,'Working Capital Transpose'!$B18)</f>
        <v>0</v>
      </c>
      <c r="I18" s="1316">
        <f>+SUMIFS('Working Captial Input'!J:J,'Working Captial Input'!$B:$B,'Working Capital Transpose'!$B18)</f>
        <v>0</v>
      </c>
      <c r="J18" s="1316">
        <f>+SUMIFS('Working Captial Input'!K:K,'Working Captial Input'!$B:$B,'Working Capital Transpose'!$B18)</f>
        <v>0</v>
      </c>
      <c r="K18" s="1316">
        <f>+SUMIFS('Working Captial Input'!L:L,'Working Captial Input'!$B:$B,'Working Capital Transpose'!$B18)</f>
        <v>0</v>
      </c>
      <c r="L18" s="1316">
        <f t="shared" si="0"/>
        <v>0</v>
      </c>
      <c r="M18" s="1316">
        <f>+SUMIFS('Working Captial Input'!M:M,'Working Captial Input'!$B:$B,'Working Capital Transpose'!$B18)</f>
        <v>0</v>
      </c>
    </row>
    <row r="19" spans="2:13" ht="15.6">
      <c r="B19" s="275">
        <v>141</v>
      </c>
      <c r="C19" s="2731" t="s">
        <v>1386</v>
      </c>
      <c r="D19" s="1316">
        <f>+SUMIFS('Working Captial Input'!E:E,'Working Captial Input'!$B:$B,'Working Capital Transpose'!$B19)</f>
        <v>0</v>
      </c>
      <c r="E19" s="1316">
        <f>+SUMIFS('Working Captial Input'!F:F,'Working Captial Input'!$B:$B,'Working Capital Transpose'!$B19)</f>
        <v>0</v>
      </c>
      <c r="F19" s="1316">
        <f>+SUMIFS('Working Captial Input'!G:G,'Working Captial Input'!$B:$B,'Working Capital Transpose'!$B19)</f>
        <v>0</v>
      </c>
      <c r="G19" s="1316">
        <f>+SUMIFS('Working Captial Input'!H:H,'Working Captial Input'!$B:$B,'Working Capital Transpose'!$B19)</f>
        <v>0</v>
      </c>
      <c r="H19" s="1316">
        <f>+SUMIFS('Working Captial Input'!I:I,'Working Captial Input'!$B:$B,'Working Capital Transpose'!$B19)</f>
        <v>0</v>
      </c>
      <c r="I19" s="1316">
        <f>+SUMIFS('Working Captial Input'!J:J,'Working Captial Input'!$B:$B,'Working Capital Transpose'!$B19)</f>
        <v>0</v>
      </c>
      <c r="J19" s="1316">
        <f>+SUMIFS('Working Captial Input'!K:K,'Working Captial Input'!$B:$B,'Working Capital Transpose'!$B19)</f>
        <v>0</v>
      </c>
      <c r="K19" s="1316">
        <f>+SUMIFS('Working Captial Input'!L:L,'Working Captial Input'!$B:$B,'Working Capital Transpose'!$B19)</f>
        <v>0</v>
      </c>
      <c r="L19" s="1316">
        <f t="shared" si="0"/>
        <v>0</v>
      </c>
      <c r="M19" s="1316">
        <f>+SUMIFS('Working Captial Input'!M:M,'Working Captial Input'!$B:$B,'Working Capital Transpose'!$B19)</f>
        <v>0</v>
      </c>
    </row>
    <row r="20" spans="2:13" ht="15.6">
      <c r="B20" s="275">
        <v>142</v>
      </c>
      <c r="C20" s="2731" t="s">
        <v>5020</v>
      </c>
      <c r="D20" s="1316">
        <f>+SUMIFS('Working Captial Input'!E:E,'Working Captial Input'!$B:$B,'Working Capital Transpose'!$B20)</f>
        <v>181510058.24442819</v>
      </c>
      <c r="E20" s="1316">
        <f>+SUMIFS('Working Captial Input'!F:F,'Working Captial Input'!$B:$B,'Working Capital Transpose'!$B20)</f>
        <v>0</v>
      </c>
      <c r="F20" s="1316">
        <f>+SUMIFS('Working Captial Input'!G:G,'Working Captial Input'!$B:$B,'Working Capital Transpose'!$B20)</f>
        <v>0</v>
      </c>
      <c r="G20" s="1316">
        <f>+SUMIFS('Working Captial Input'!H:H,'Working Captial Input'!$B:$B,'Working Capital Transpose'!$B20)</f>
        <v>0</v>
      </c>
      <c r="H20" s="1316">
        <f>+SUMIFS('Working Captial Input'!I:I,'Working Captial Input'!$B:$B,'Working Capital Transpose'!$B20)</f>
        <v>0</v>
      </c>
      <c r="I20" s="1316">
        <f>+SUMIFS('Working Captial Input'!J:J,'Working Captial Input'!$B:$B,'Working Capital Transpose'!$B20)</f>
        <v>0</v>
      </c>
      <c r="J20" s="1316">
        <f>+SUMIFS('Working Captial Input'!K:K,'Working Captial Input'!$B:$B,'Working Capital Transpose'!$B20)</f>
        <v>0</v>
      </c>
      <c r="K20" s="1316">
        <f>+SUMIFS('Working Captial Input'!L:L,'Working Captial Input'!$B:$B,'Working Capital Transpose'!$B20)</f>
        <v>0</v>
      </c>
      <c r="L20" s="1316">
        <f t="shared" si="0"/>
        <v>0</v>
      </c>
      <c r="M20" s="1316">
        <f>+SUMIFS('Working Captial Input'!M:M,'Working Captial Input'!$B:$B,'Working Capital Transpose'!$B20)</f>
        <v>181510058.24442819</v>
      </c>
    </row>
    <row r="21" spans="2:13" ht="15.6">
      <c r="B21" s="275">
        <v>143</v>
      </c>
      <c r="C21" s="2731" t="s">
        <v>5021</v>
      </c>
      <c r="D21" s="1316">
        <f>+SUMIFS('Working Captial Input'!E:E,'Working Captial Input'!$B:$B,'Working Capital Transpose'!$B21)</f>
        <v>7359140.4307692312</v>
      </c>
      <c r="E21" s="1316">
        <f>+SUMIFS('Working Captial Input'!F:F,'Working Captial Input'!$B:$B,'Working Capital Transpose'!$B21)</f>
        <v>0</v>
      </c>
      <c r="F21" s="1316">
        <f>+SUMIFS('Working Captial Input'!G:G,'Working Captial Input'!$B:$B,'Working Capital Transpose'!$B21)</f>
        <v>0</v>
      </c>
      <c r="G21" s="1316">
        <f>+SUMIFS('Working Captial Input'!H:H,'Working Captial Input'!$B:$B,'Working Capital Transpose'!$B21)</f>
        <v>0</v>
      </c>
      <c r="H21" s="1316">
        <f>+SUMIFS('Working Captial Input'!I:I,'Working Captial Input'!$B:$B,'Working Capital Transpose'!$B21)</f>
        <v>0</v>
      </c>
      <c r="I21" s="1316">
        <f>+SUMIFS('Working Captial Input'!J:J,'Working Captial Input'!$B:$B,'Working Capital Transpose'!$B21)</f>
        <v>0</v>
      </c>
      <c r="J21" s="1316">
        <f>+SUMIFS('Working Captial Input'!K:K,'Working Captial Input'!$B:$B,'Working Capital Transpose'!$B21)</f>
        <v>0</v>
      </c>
      <c r="K21" s="1316">
        <f>+SUMIFS('Working Captial Input'!L:L,'Working Captial Input'!$B:$B,'Working Capital Transpose'!$B21)</f>
        <v>0</v>
      </c>
      <c r="L21" s="1316">
        <f t="shared" si="0"/>
        <v>0</v>
      </c>
      <c r="M21" s="1316">
        <f>+SUMIFS('Working Captial Input'!M:M,'Working Captial Input'!$B:$B,'Working Capital Transpose'!$B21)</f>
        <v>7359140.4307692312</v>
      </c>
    </row>
    <row r="22" spans="2:13" ht="15.6">
      <c r="B22" s="275">
        <v>144</v>
      </c>
      <c r="C22" s="2731" t="s">
        <v>5109</v>
      </c>
      <c r="D22" s="1316">
        <f>+SUMIFS('Working Captial Input'!E:E,'Working Captial Input'!$B:$B,'Working Capital Transpose'!$B22)</f>
        <v>-1650981.2270100154</v>
      </c>
      <c r="E22" s="1316">
        <f>+SUMIFS('Working Captial Input'!F:F,'Working Captial Input'!$B:$B,'Working Capital Transpose'!$B22)</f>
        <v>0</v>
      </c>
      <c r="F22" s="1316">
        <f>+SUMIFS('Working Captial Input'!G:G,'Working Captial Input'!$B:$B,'Working Capital Transpose'!$B22)</f>
        <v>0</v>
      </c>
      <c r="G22" s="1316">
        <f>+SUMIFS('Working Captial Input'!H:H,'Working Captial Input'!$B:$B,'Working Capital Transpose'!$B22)</f>
        <v>0</v>
      </c>
      <c r="H22" s="1316">
        <f>+SUMIFS('Working Captial Input'!I:I,'Working Captial Input'!$B:$B,'Working Capital Transpose'!$B22)</f>
        <v>0</v>
      </c>
      <c r="I22" s="1316">
        <f>+SUMIFS('Working Captial Input'!J:J,'Working Captial Input'!$B:$B,'Working Capital Transpose'!$B22)</f>
        <v>0</v>
      </c>
      <c r="J22" s="1316">
        <f>+SUMIFS('Working Captial Input'!K:K,'Working Captial Input'!$B:$B,'Working Capital Transpose'!$B22)</f>
        <v>0</v>
      </c>
      <c r="K22" s="1316">
        <f>+SUMIFS('Working Captial Input'!L:L,'Working Captial Input'!$B:$B,'Working Capital Transpose'!$B22)</f>
        <v>0</v>
      </c>
      <c r="L22" s="1316">
        <f t="shared" si="0"/>
        <v>0</v>
      </c>
      <c r="M22" s="1316">
        <f>+SUMIFS('Working Captial Input'!M:M,'Working Captial Input'!$B:$B,'Working Capital Transpose'!$B22)</f>
        <v>-1650981.2270100154</v>
      </c>
    </row>
    <row r="23" spans="2:13" ht="15.6">
      <c r="B23" s="275">
        <v>145</v>
      </c>
      <c r="C23" s="2731" t="s">
        <v>1386</v>
      </c>
      <c r="D23" s="1316">
        <f>+SUMIFS('Working Captial Input'!E:E,'Working Captial Input'!$B:$B,'Working Capital Transpose'!$B23)</f>
        <v>0</v>
      </c>
      <c r="E23" s="1316">
        <f>+SUMIFS('Working Captial Input'!F:F,'Working Captial Input'!$B:$B,'Working Capital Transpose'!$B23)</f>
        <v>0</v>
      </c>
      <c r="F23" s="1316">
        <f>+SUMIFS('Working Captial Input'!G:G,'Working Captial Input'!$B:$B,'Working Capital Transpose'!$B23)</f>
        <v>0</v>
      </c>
      <c r="G23" s="1316">
        <f>+SUMIFS('Working Captial Input'!H:H,'Working Captial Input'!$B:$B,'Working Capital Transpose'!$B23)</f>
        <v>0</v>
      </c>
      <c r="H23" s="1316">
        <f>+SUMIFS('Working Captial Input'!I:I,'Working Captial Input'!$B:$B,'Working Capital Transpose'!$B23)</f>
        <v>0</v>
      </c>
      <c r="I23" s="1316">
        <f>+SUMIFS('Working Captial Input'!J:J,'Working Captial Input'!$B:$B,'Working Capital Transpose'!$B23)</f>
        <v>0</v>
      </c>
      <c r="J23" s="1316">
        <f>+SUMIFS('Working Captial Input'!K:K,'Working Captial Input'!$B:$B,'Working Capital Transpose'!$B23)</f>
        <v>0</v>
      </c>
      <c r="K23" s="1316">
        <f>+SUMIFS('Working Captial Input'!L:L,'Working Captial Input'!$B:$B,'Working Capital Transpose'!$B23)</f>
        <v>0</v>
      </c>
      <c r="L23" s="1316">
        <f t="shared" si="0"/>
        <v>0</v>
      </c>
      <c r="M23" s="1316">
        <f>+SUMIFS('Working Captial Input'!M:M,'Working Captial Input'!$B:$B,'Working Capital Transpose'!$B23)</f>
        <v>0</v>
      </c>
    </row>
    <row r="24" spans="2:13" ht="15.6">
      <c r="B24" s="275">
        <v>146</v>
      </c>
      <c r="C24" s="2731" t="s">
        <v>5110</v>
      </c>
      <c r="D24" s="1316">
        <f>+SUMIFS('Working Captial Input'!E:E,'Working Captial Input'!$B:$B,'Working Capital Transpose'!$B24)</f>
        <v>13678606.178257801</v>
      </c>
      <c r="E24" s="1316">
        <f>+SUMIFS('Working Captial Input'!F:F,'Working Captial Input'!$B:$B,'Working Capital Transpose'!$B24)</f>
        <v>0</v>
      </c>
      <c r="F24" s="1316">
        <f>+SUMIFS('Working Captial Input'!G:G,'Working Captial Input'!$B:$B,'Working Capital Transpose'!$B24)</f>
        <v>0</v>
      </c>
      <c r="G24" s="1316">
        <f>+SUMIFS('Working Captial Input'!H:H,'Working Captial Input'!$B:$B,'Working Capital Transpose'!$B24)</f>
        <v>0</v>
      </c>
      <c r="H24" s="1316">
        <f>+SUMIFS('Working Captial Input'!I:I,'Working Captial Input'!$B:$B,'Working Capital Transpose'!$B24)</f>
        <v>0</v>
      </c>
      <c r="I24" s="1316">
        <f>+SUMIFS('Working Captial Input'!J:J,'Working Captial Input'!$B:$B,'Working Capital Transpose'!$B24)</f>
        <v>0</v>
      </c>
      <c r="J24" s="1316">
        <f>+SUMIFS('Working Captial Input'!K:K,'Working Captial Input'!$B:$B,'Working Capital Transpose'!$B24)</f>
        <v>0</v>
      </c>
      <c r="K24" s="1316">
        <f>+SUMIFS('Working Captial Input'!L:L,'Working Captial Input'!$B:$B,'Working Capital Transpose'!$B24)</f>
        <v>0</v>
      </c>
      <c r="L24" s="1316">
        <f t="shared" si="0"/>
        <v>0</v>
      </c>
      <c r="M24" s="1316">
        <f>+SUMIFS('Working Captial Input'!M:M,'Working Captial Input'!$B:$B,'Working Capital Transpose'!$B24)</f>
        <v>13678606.178257801</v>
      </c>
    </row>
    <row r="25" spans="2:13" ht="15.6">
      <c r="B25" s="275">
        <v>151</v>
      </c>
      <c r="C25" s="2731" t="s">
        <v>1391</v>
      </c>
      <c r="D25" s="1316">
        <f>+SUMIFS('Working Captial Input'!E:E,'Working Captial Input'!$B:$B,'Working Capital Transpose'!$B25)</f>
        <v>36823692.307692304</v>
      </c>
      <c r="E25" s="1316">
        <f>+SUMIFS('Working Captial Input'!F:F,'Working Captial Input'!$B:$B,'Working Capital Transpose'!$B25)</f>
        <v>0</v>
      </c>
      <c r="F25" s="1316">
        <f>+SUMIFS('Working Captial Input'!G:G,'Working Captial Input'!$B:$B,'Working Capital Transpose'!$B25)</f>
        <v>0</v>
      </c>
      <c r="G25" s="1316">
        <f>+SUMIFS('Working Captial Input'!H:H,'Working Captial Input'!$B:$B,'Working Capital Transpose'!$B25)</f>
        <v>0</v>
      </c>
      <c r="H25" s="1316">
        <f>+SUMIFS('Working Captial Input'!I:I,'Working Captial Input'!$B:$B,'Working Capital Transpose'!$B25)</f>
        <v>0</v>
      </c>
      <c r="I25" s="1316">
        <f>+SUMIFS('Working Captial Input'!J:J,'Working Captial Input'!$B:$B,'Working Capital Transpose'!$B25)</f>
        <v>0</v>
      </c>
      <c r="J25" s="1316">
        <f>+SUMIFS('Working Captial Input'!K:K,'Working Captial Input'!$B:$B,'Working Capital Transpose'!$B25)</f>
        <v>0</v>
      </c>
      <c r="K25" s="1316">
        <f>+SUMIFS('Working Captial Input'!L:L,'Working Captial Input'!$B:$B,'Working Capital Transpose'!$B25)</f>
        <v>0</v>
      </c>
      <c r="L25" s="1316">
        <f t="shared" si="0"/>
        <v>0</v>
      </c>
      <c r="M25" s="1316">
        <f>+SUMIFS('Working Captial Input'!M:M,'Working Captial Input'!$B:$B,'Working Capital Transpose'!$B25)</f>
        <v>36823692.307692304</v>
      </c>
    </row>
    <row r="26" spans="2:13" ht="15.6">
      <c r="B26" s="275">
        <v>152</v>
      </c>
      <c r="C26" s="2731" t="s">
        <v>5025</v>
      </c>
      <c r="D26" s="1316">
        <f>+SUMIFS('Working Captial Input'!E:E,'Working Captial Input'!$B:$B,'Working Capital Transpose'!$B26)</f>
        <v>0</v>
      </c>
      <c r="E26" s="1316">
        <f>+SUMIFS('Working Captial Input'!F:F,'Working Captial Input'!$B:$B,'Working Capital Transpose'!$B26)</f>
        <v>0</v>
      </c>
      <c r="F26" s="1316">
        <f>+SUMIFS('Working Captial Input'!G:G,'Working Captial Input'!$B:$B,'Working Capital Transpose'!$B26)</f>
        <v>0</v>
      </c>
      <c r="G26" s="1316">
        <f>+SUMIFS('Working Captial Input'!H:H,'Working Captial Input'!$B:$B,'Working Capital Transpose'!$B26)</f>
        <v>0</v>
      </c>
      <c r="H26" s="1316">
        <f>+SUMIFS('Working Captial Input'!I:I,'Working Captial Input'!$B:$B,'Working Capital Transpose'!$B26)</f>
        <v>0</v>
      </c>
      <c r="I26" s="1316">
        <f>+SUMIFS('Working Captial Input'!J:J,'Working Captial Input'!$B:$B,'Working Capital Transpose'!$B26)</f>
        <v>0</v>
      </c>
      <c r="J26" s="1316">
        <f>+SUMIFS('Working Captial Input'!K:K,'Working Captial Input'!$B:$B,'Working Capital Transpose'!$B26)</f>
        <v>0</v>
      </c>
      <c r="K26" s="1316">
        <f>+SUMIFS('Working Captial Input'!L:L,'Working Captial Input'!$B:$B,'Working Capital Transpose'!$B26)</f>
        <v>0</v>
      </c>
      <c r="L26" s="1316">
        <f t="shared" si="0"/>
        <v>0</v>
      </c>
      <c r="M26" s="1316">
        <f>+SUMIFS('Working Captial Input'!M:M,'Working Captial Input'!$B:$B,'Working Capital Transpose'!$B26)</f>
        <v>0</v>
      </c>
    </row>
    <row r="27" spans="2:13" ht="15.6">
      <c r="B27" s="275">
        <v>153</v>
      </c>
      <c r="C27" s="2731" t="s">
        <v>1393</v>
      </c>
      <c r="D27" s="1316">
        <f>+SUMIFS('Working Captial Input'!E:E,'Working Captial Input'!$B:$B,'Working Capital Transpose'!$B27)</f>
        <v>0</v>
      </c>
      <c r="E27" s="1316">
        <f>+SUMIFS('Working Captial Input'!F:F,'Working Captial Input'!$B:$B,'Working Capital Transpose'!$B27)</f>
        <v>0</v>
      </c>
      <c r="F27" s="1316">
        <f>+SUMIFS('Working Captial Input'!G:G,'Working Captial Input'!$B:$B,'Working Capital Transpose'!$B27)</f>
        <v>0</v>
      </c>
      <c r="G27" s="1316">
        <f>+SUMIFS('Working Captial Input'!H:H,'Working Captial Input'!$B:$B,'Working Capital Transpose'!$B27)</f>
        <v>0</v>
      </c>
      <c r="H27" s="1316">
        <f>+SUMIFS('Working Captial Input'!I:I,'Working Captial Input'!$B:$B,'Working Capital Transpose'!$B27)</f>
        <v>0</v>
      </c>
      <c r="I27" s="1316">
        <f>+SUMIFS('Working Captial Input'!J:J,'Working Captial Input'!$B:$B,'Working Capital Transpose'!$B27)</f>
        <v>0</v>
      </c>
      <c r="J27" s="1316">
        <f>+SUMIFS('Working Captial Input'!K:K,'Working Captial Input'!$B:$B,'Working Capital Transpose'!$B27)</f>
        <v>0</v>
      </c>
      <c r="K27" s="1316">
        <f>+SUMIFS('Working Captial Input'!L:L,'Working Captial Input'!$B:$B,'Working Capital Transpose'!$B27)</f>
        <v>0</v>
      </c>
      <c r="L27" s="1316">
        <f t="shared" si="0"/>
        <v>0</v>
      </c>
      <c r="M27" s="1316">
        <f>+SUMIFS('Working Captial Input'!M:M,'Working Captial Input'!$B:$B,'Working Capital Transpose'!$B27)</f>
        <v>0</v>
      </c>
    </row>
    <row r="28" spans="2:13" ht="15.6">
      <c r="B28" s="275">
        <v>154</v>
      </c>
      <c r="C28" s="2731" t="s">
        <v>5111</v>
      </c>
      <c r="D28" s="1316">
        <f>+SUMIFS('Working Captial Input'!E:E,'Working Captial Input'!$B:$B,'Working Capital Transpose'!$B28)</f>
        <v>162822150</v>
      </c>
      <c r="E28" s="1316">
        <f>+SUMIFS('Working Captial Input'!F:F,'Working Captial Input'!$B:$B,'Working Capital Transpose'!$B28)</f>
        <v>0</v>
      </c>
      <c r="F28" s="1316">
        <f>+SUMIFS('Working Captial Input'!G:G,'Working Captial Input'!$B:$B,'Working Capital Transpose'!$B28)</f>
        <v>0</v>
      </c>
      <c r="G28" s="1316">
        <f>+SUMIFS('Working Captial Input'!H:H,'Working Captial Input'!$B:$B,'Working Capital Transpose'!$B28)</f>
        <v>0</v>
      </c>
      <c r="H28" s="1316">
        <f>+SUMIFS('Working Captial Input'!I:I,'Working Captial Input'!$B:$B,'Working Capital Transpose'!$B28)</f>
        <v>0</v>
      </c>
      <c r="I28" s="1316">
        <f>+SUMIFS('Working Captial Input'!J:J,'Working Captial Input'!$B:$B,'Working Capital Transpose'!$B28)</f>
        <v>0</v>
      </c>
      <c r="J28" s="1316">
        <f>+SUMIFS('Working Captial Input'!K:K,'Working Captial Input'!$B:$B,'Working Capital Transpose'!$B28)</f>
        <v>0</v>
      </c>
      <c r="K28" s="1316">
        <f>+SUMIFS('Working Captial Input'!L:L,'Working Captial Input'!$B:$B,'Working Capital Transpose'!$B28)</f>
        <v>0</v>
      </c>
      <c r="L28" s="1316">
        <f t="shared" si="0"/>
        <v>0</v>
      </c>
      <c r="M28" s="1316">
        <f>+SUMIFS('Working Captial Input'!M:M,'Working Captial Input'!$B:$B,'Working Capital Transpose'!$B28)</f>
        <v>162822150</v>
      </c>
    </row>
    <row r="29" spans="2:13" ht="15.6">
      <c r="B29" s="275">
        <v>158</v>
      </c>
      <c r="C29" s="2731" t="s">
        <v>5112</v>
      </c>
      <c r="D29" s="1316">
        <f>+SUMIFS('Working Captial Input'!E:E,'Working Captial Input'!$B:$B,'Working Capital Transpose'!$B29)</f>
        <v>0</v>
      </c>
      <c r="E29" s="1316">
        <f>+SUMIFS('Working Captial Input'!F:F,'Working Captial Input'!$B:$B,'Working Capital Transpose'!$B29)</f>
        <v>0</v>
      </c>
      <c r="F29" s="1316">
        <f>+SUMIFS('Working Captial Input'!G:G,'Working Captial Input'!$B:$B,'Working Capital Transpose'!$B29)</f>
        <v>0</v>
      </c>
      <c r="G29" s="1316">
        <f>+SUMIFS('Working Captial Input'!H:H,'Working Captial Input'!$B:$B,'Working Capital Transpose'!$B29)</f>
        <v>0</v>
      </c>
      <c r="H29" s="1316">
        <f>+SUMIFS('Working Captial Input'!I:I,'Working Captial Input'!$B:$B,'Working Capital Transpose'!$B29)</f>
        <v>0</v>
      </c>
      <c r="I29" s="1316">
        <f>+SUMIFS('Working Captial Input'!J:J,'Working Captial Input'!$B:$B,'Working Capital Transpose'!$B29)</f>
        <v>0</v>
      </c>
      <c r="J29" s="1316">
        <f>+SUMIFS('Working Captial Input'!K:K,'Working Captial Input'!$B:$B,'Working Capital Transpose'!$B29)</f>
        <v>0</v>
      </c>
      <c r="K29" s="1316">
        <f>+SUMIFS('Working Captial Input'!L:L,'Working Captial Input'!$B:$B,'Working Capital Transpose'!$B29)</f>
        <v>0</v>
      </c>
      <c r="L29" s="1316">
        <f t="shared" si="0"/>
        <v>0</v>
      </c>
      <c r="M29" s="1316">
        <f>+SUMIFS('Working Captial Input'!M:M,'Working Captial Input'!$B:$B,'Working Capital Transpose'!$B29)</f>
        <v>0</v>
      </c>
    </row>
    <row r="30" spans="2:13" ht="15.6">
      <c r="B30" s="275">
        <v>163</v>
      </c>
      <c r="C30" s="2731" t="s">
        <v>5113</v>
      </c>
      <c r="D30" s="1316">
        <f>+SUMIFS('Working Captial Input'!E:E,'Working Captial Input'!$B:$B,'Working Capital Transpose'!$B30)</f>
        <v>0</v>
      </c>
      <c r="E30" s="1316">
        <f>+SUMIFS('Working Captial Input'!F:F,'Working Captial Input'!$B:$B,'Working Capital Transpose'!$B30)</f>
        <v>0</v>
      </c>
      <c r="F30" s="1316">
        <f>+SUMIFS('Working Captial Input'!G:G,'Working Captial Input'!$B:$B,'Working Capital Transpose'!$B30)</f>
        <v>0</v>
      </c>
      <c r="G30" s="1316">
        <f>+SUMIFS('Working Captial Input'!H:H,'Working Captial Input'!$B:$B,'Working Capital Transpose'!$B30)</f>
        <v>0</v>
      </c>
      <c r="H30" s="1316">
        <f>+SUMIFS('Working Captial Input'!I:I,'Working Captial Input'!$B:$B,'Working Capital Transpose'!$B30)</f>
        <v>0</v>
      </c>
      <c r="I30" s="1316">
        <f>+SUMIFS('Working Captial Input'!J:J,'Working Captial Input'!$B:$B,'Working Capital Transpose'!$B30)</f>
        <v>0</v>
      </c>
      <c r="J30" s="1316">
        <f>+SUMIFS('Working Captial Input'!K:K,'Working Captial Input'!$B:$B,'Working Capital Transpose'!$B30)</f>
        <v>0</v>
      </c>
      <c r="K30" s="1316">
        <f>+SUMIFS('Working Captial Input'!L:L,'Working Captial Input'!$B:$B,'Working Capital Transpose'!$B30)</f>
        <v>0</v>
      </c>
      <c r="L30" s="1316">
        <f t="shared" si="0"/>
        <v>0</v>
      </c>
      <c r="M30" s="1316">
        <f>+SUMIFS('Working Captial Input'!M:M,'Working Captial Input'!$B:$B,'Working Capital Transpose'!$B30)</f>
        <v>0</v>
      </c>
    </row>
    <row r="31" spans="2:13" ht="15.6">
      <c r="B31" s="275">
        <v>165</v>
      </c>
      <c r="C31" s="2731" t="s">
        <v>1397</v>
      </c>
      <c r="D31" s="1316">
        <f>+SUMIFS('Working Captial Input'!E:E,'Working Captial Input'!$B:$B,'Working Capital Transpose'!$B31)</f>
        <v>30636298.079484697</v>
      </c>
      <c r="E31" s="1316">
        <f>+SUMIFS('Working Captial Input'!F:F,'Working Captial Input'!$B:$B,'Working Capital Transpose'!$B31)</f>
        <v>0</v>
      </c>
      <c r="F31" s="1316">
        <f>+SUMIFS('Working Captial Input'!G:G,'Working Captial Input'!$B:$B,'Working Capital Transpose'!$B31)</f>
        <v>0</v>
      </c>
      <c r="G31" s="1316">
        <f>+SUMIFS('Working Captial Input'!H:H,'Working Captial Input'!$B:$B,'Working Capital Transpose'!$B31)</f>
        <v>0</v>
      </c>
      <c r="H31" s="1316">
        <f>+SUMIFS('Working Captial Input'!I:I,'Working Captial Input'!$B:$B,'Working Capital Transpose'!$B31)</f>
        <v>0</v>
      </c>
      <c r="I31" s="1316">
        <f>+SUMIFS('Working Captial Input'!J:J,'Working Captial Input'!$B:$B,'Working Capital Transpose'!$B31)</f>
        <v>0</v>
      </c>
      <c r="J31" s="1316">
        <f>+SUMIFS('Working Captial Input'!K:K,'Working Captial Input'!$B:$B,'Working Capital Transpose'!$B31)</f>
        <v>0</v>
      </c>
      <c r="K31" s="1316">
        <f>+SUMIFS('Working Captial Input'!L:L,'Working Captial Input'!$B:$B,'Working Capital Transpose'!$B31)</f>
        <v>0</v>
      </c>
      <c r="L31" s="1316">
        <f t="shared" si="0"/>
        <v>0</v>
      </c>
      <c r="M31" s="1316">
        <f>+SUMIFS('Working Captial Input'!M:M,'Working Captial Input'!$B:$B,'Working Capital Transpose'!$B31)</f>
        <v>30636298.079484697</v>
      </c>
    </row>
    <row r="32" spans="2:13" ht="15.6">
      <c r="B32" s="275">
        <v>171</v>
      </c>
      <c r="C32" s="2731" t="s">
        <v>5030</v>
      </c>
      <c r="D32" s="1316">
        <f>+SUMIFS('Working Captial Input'!E:E,'Working Captial Input'!$B:$B,'Working Capital Transpose'!$B32)</f>
        <v>0</v>
      </c>
      <c r="E32" s="1316">
        <f>+SUMIFS('Working Captial Input'!F:F,'Working Captial Input'!$B:$B,'Working Capital Transpose'!$B32)</f>
        <v>0</v>
      </c>
      <c r="F32" s="1316">
        <f>+SUMIFS('Working Captial Input'!G:G,'Working Captial Input'!$B:$B,'Working Capital Transpose'!$B32)</f>
        <v>0</v>
      </c>
      <c r="G32" s="1316">
        <f>+SUMIFS('Working Captial Input'!H:H,'Working Captial Input'!$B:$B,'Working Capital Transpose'!$B32)</f>
        <v>0</v>
      </c>
      <c r="H32" s="1316">
        <f>+SUMIFS('Working Captial Input'!I:I,'Working Captial Input'!$B:$B,'Working Capital Transpose'!$B32)</f>
        <v>0</v>
      </c>
      <c r="I32" s="1316">
        <f>+SUMIFS('Working Captial Input'!J:J,'Working Captial Input'!$B:$B,'Working Capital Transpose'!$B32)</f>
        <v>0</v>
      </c>
      <c r="J32" s="1316">
        <f>+SUMIFS('Working Captial Input'!K:K,'Working Captial Input'!$B:$B,'Working Capital Transpose'!$B32)</f>
        <v>0</v>
      </c>
      <c r="K32" s="1316">
        <f>+SUMIFS('Working Captial Input'!L:L,'Working Captial Input'!$B:$B,'Working Capital Transpose'!$B32)</f>
        <v>0</v>
      </c>
      <c r="L32" s="1316">
        <f t="shared" si="0"/>
        <v>0</v>
      </c>
      <c r="M32" s="1316">
        <f>+SUMIFS('Working Captial Input'!M:M,'Working Captial Input'!$B:$B,'Working Capital Transpose'!$B32)</f>
        <v>0</v>
      </c>
    </row>
    <row r="33" spans="2:13" ht="15.6">
      <c r="B33" s="275">
        <v>173</v>
      </c>
      <c r="C33" s="2731" t="s">
        <v>5114</v>
      </c>
      <c r="D33" s="1316">
        <f>+SUMIFS('Working Captial Input'!E:E,'Working Captial Input'!$B:$B,'Working Capital Transpose'!$B33)</f>
        <v>79503511.409999996</v>
      </c>
      <c r="E33" s="1316">
        <f>+SUMIFS('Working Captial Input'!F:F,'Working Captial Input'!$B:$B,'Working Capital Transpose'!$B33)</f>
        <v>0</v>
      </c>
      <c r="F33" s="1316">
        <f>+SUMIFS('Working Captial Input'!G:G,'Working Captial Input'!$B:$B,'Working Capital Transpose'!$B33)</f>
        <v>0</v>
      </c>
      <c r="G33" s="1316">
        <f>+SUMIFS('Working Captial Input'!H:H,'Working Captial Input'!$B:$B,'Working Capital Transpose'!$B33)</f>
        <v>0</v>
      </c>
      <c r="H33" s="1316">
        <f>+SUMIFS('Working Captial Input'!I:I,'Working Captial Input'!$B:$B,'Working Capital Transpose'!$B33)</f>
        <v>0</v>
      </c>
      <c r="I33" s="1316">
        <f>+SUMIFS('Working Captial Input'!J:J,'Working Captial Input'!$B:$B,'Working Capital Transpose'!$B33)</f>
        <v>0</v>
      </c>
      <c r="J33" s="1316">
        <f>+SUMIFS('Working Captial Input'!K:K,'Working Captial Input'!$B:$B,'Working Capital Transpose'!$B33)</f>
        <v>0</v>
      </c>
      <c r="K33" s="1316">
        <f>+SUMIFS('Working Captial Input'!L:L,'Working Captial Input'!$B:$B,'Working Capital Transpose'!$B33)</f>
        <v>0</v>
      </c>
      <c r="L33" s="1316">
        <f>+SUM(E33:K33)</f>
        <v>0</v>
      </c>
      <c r="M33" s="1316">
        <f>+SUMIFS('Working Captial Input'!M:M,'Working Captial Input'!$B:$B,'Working Capital Transpose'!$B33)</f>
        <v>79503511.409999996</v>
      </c>
    </row>
    <row r="34" spans="2:13" ht="15.6">
      <c r="B34" s="275"/>
      <c r="C34" s="2731"/>
      <c r="D34" s="474"/>
      <c r="E34" s="474"/>
      <c r="F34" s="474"/>
      <c r="G34" s="474"/>
      <c r="H34" s="474"/>
      <c r="I34" s="474"/>
      <c r="J34" s="474"/>
      <c r="K34" s="474"/>
      <c r="L34" s="474"/>
      <c r="M34" s="474"/>
    </row>
    <row r="35" spans="2:13" ht="15.6">
      <c r="B35" s="275"/>
      <c r="C35" s="2731"/>
      <c r="D35" s="499" t="s">
        <v>2332</v>
      </c>
      <c r="E35" s="499"/>
      <c r="F35" s="499" t="s">
        <v>2332</v>
      </c>
      <c r="G35" s="499" t="s">
        <v>2332</v>
      </c>
      <c r="H35" s="499"/>
      <c r="I35" s="499" t="s">
        <v>2332</v>
      </c>
      <c r="J35" s="499"/>
      <c r="K35" s="499" t="s">
        <v>2332</v>
      </c>
      <c r="L35" s="499" t="s">
        <v>2332</v>
      </c>
      <c r="M35" s="499" t="s">
        <v>2332</v>
      </c>
    </row>
    <row r="36" spans="2:13" ht="15.6">
      <c r="B36" s="275"/>
      <c r="C36" s="2738" t="s">
        <v>5115</v>
      </c>
      <c r="D36" s="1317">
        <f>+SUM(D11:D33)</f>
        <v>528113175.46669912</v>
      </c>
      <c r="E36" s="1317">
        <f t="shared" ref="E36:M36" si="1">+SUM(E11:E33)</f>
        <v>0</v>
      </c>
      <c r="F36" s="1317">
        <f t="shared" si="1"/>
        <v>-1000000</v>
      </c>
      <c r="G36" s="1317">
        <f t="shared" si="1"/>
        <v>-16378034.653076932</v>
      </c>
      <c r="H36" s="1317">
        <f t="shared" si="1"/>
        <v>0</v>
      </c>
      <c r="I36" s="1317">
        <f t="shared" si="1"/>
        <v>0</v>
      </c>
      <c r="J36" s="1317">
        <f t="shared" si="1"/>
        <v>0</v>
      </c>
      <c r="K36" s="1317">
        <f t="shared" si="1"/>
        <v>0</v>
      </c>
      <c r="L36" s="1317">
        <f t="shared" si="1"/>
        <v>-17378034.653076932</v>
      </c>
      <c r="M36" s="1317">
        <f t="shared" si="1"/>
        <v>510735140.81362224</v>
      </c>
    </row>
    <row r="37" spans="2:13" ht="15.6">
      <c r="B37" s="275"/>
      <c r="C37" s="2738"/>
      <c r="D37" s="2739"/>
      <c r="E37" s="2739"/>
      <c r="F37" s="2739"/>
      <c r="G37" s="2739"/>
      <c r="H37" s="2739"/>
      <c r="I37" s="2739"/>
      <c r="J37" s="2739"/>
      <c r="K37" s="2739"/>
      <c r="L37" s="2739"/>
      <c r="M37" s="2739"/>
    </row>
    <row r="38" spans="2:13" ht="15.6">
      <c r="B38" s="275"/>
      <c r="C38" s="2731"/>
      <c r="D38" s="474"/>
      <c r="E38" s="474"/>
      <c r="F38" s="474"/>
      <c r="G38" s="474"/>
      <c r="H38" s="474"/>
      <c r="I38" s="474"/>
      <c r="J38" s="474"/>
      <c r="K38" s="474"/>
      <c r="L38" s="474"/>
      <c r="M38" s="474"/>
    </row>
    <row r="39" spans="2:13" ht="15.6">
      <c r="B39" s="275"/>
      <c r="C39" s="2734" t="s">
        <v>1405</v>
      </c>
      <c r="D39" s="474"/>
      <c r="E39" s="474"/>
      <c r="F39" s="474"/>
      <c r="G39" s="474"/>
      <c r="H39" s="474"/>
      <c r="I39" s="474"/>
      <c r="J39" s="474"/>
      <c r="K39" s="474"/>
      <c r="L39" s="474"/>
      <c r="M39" s="474"/>
    </row>
    <row r="40" spans="2:13" ht="15.6">
      <c r="B40" s="275"/>
      <c r="C40" s="2740"/>
      <c r="D40" s="474"/>
      <c r="E40" s="474"/>
      <c r="F40" s="474"/>
      <c r="G40" s="474"/>
      <c r="H40" s="474"/>
      <c r="I40" s="474"/>
      <c r="J40" s="474"/>
      <c r="K40" s="474"/>
      <c r="L40" s="474"/>
      <c r="M40" s="474"/>
    </row>
    <row r="41" spans="2:13" ht="15.6">
      <c r="B41" s="275">
        <v>176</v>
      </c>
      <c r="C41" s="2741" t="s">
        <v>5116</v>
      </c>
      <c r="D41" s="1316">
        <f>+SUMIFS('Working Captial Input'!E:E,'Working Captial Input'!$B:$B,'Working Capital Transpose'!$B41)</f>
        <v>528000</v>
      </c>
      <c r="E41" s="1316">
        <f>+SUMIFS('Working Captial Input'!F:F,'Working Captial Input'!$B:$B,'Working Capital Transpose'!$B41)</f>
        <v>0</v>
      </c>
      <c r="F41" s="1316">
        <f>+SUMIFS('Working Captial Input'!G:G,'Working Captial Input'!$B:$B,'Working Capital Transpose'!$B41)</f>
        <v>0</v>
      </c>
      <c r="G41" s="1316">
        <f>+SUMIFS('Working Captial Input'!H:H,'Working Captial Input'!$B:$B,'Working Capital Transpose'!$B41)</f>
        <v>0</v>
      </c>
      <c r="H41" s="1316">
        <f>+SUMIFS('Working Captial Input'!I:I,'Working Captial Input'!$B:$B,'Working Capital Transpose'!$B41)</f>
        <v>0</v>
      </c>
      <c r="I41" s="1316">
        <f>+SUMIFS('Working Captial Input'!J:J,'Working Captial Input'!$B:$B,'Working Capital Transpose'!$B41)</f>
        <v>0</v>
      </c>
      <c r="J41" s="1316">
        <f>+SUMIFS('Working Captial Input'!K:K,'Working Captial Input'!$B:$B,'Working Capital Transpose'!$B41)</f>
        <v>0</v>
      </c>
      <c r="K41" s="1316">
        <f>+SUMIFS('Working Captial Input'!L:L,'Working Captial Input'!$B:$B,'Working Capital Transpose'!$B41)</f>
        <v>0</v>
      </c>
      <c r="L41" s="1316">
        <f t="shared" ref="L41:L46" si="2">+SUM(E41:K41)</f>
        <v>0</v>
      </c>
      <c r="M41" s="1316">
        <f>+SUMIFS('Working Captial Input'!M:M,'Working Captial Input'!$B:$B,'Working Capital Transpose'!$B41)</f>
        <v>528000</v>
      </c>
    </row>
    <row r="42" spans="2:13" ht="15.6">
      <c r="B42" s="275">
        <v>182</v>
      </c>
      <c r="C42" s="2731" t="s">
        <v>5117</v>
      </c>
      <c r="D42" s="1316">
        <f>+SUMIFS('Working Captial Input'!E:E,'Working Captial Input'!$B:$B,'Working Capital Transpose'!$B42)+SUMIFS('Working Captial Input'!E:E,'Working Captial Input'!$C:$C,1823610)</f>
        <v>788092494.24105215</v>
      </c>
      <c r="E42" s="1316">
        <f>+SUMIFS('Working Captial Input'!F:F,'Working Captial Input'!$B:$B,'Working Capital Transpose'!$B42)+SUMIFS('Working Captial Input'!F:F,'Working Captial Input'!$C:$C,1823610)</f>
        <v>-532942281.80900073</v>
      </c>
      <c r="F42" s="1316">
        <f>+SUMIFS('Working Captial Input'!G:G,'Working Captial Input'!$B:$B,'Working Capital Transpose'!$B42)+SUMIFS('Working Captial Input'!G:G,'Working Captial Input'!$C:$C,1823610)</f>
        <v>0</v>
      </c>
      <c r="G42" s="1316">
        <f>+SUMIFS('Working Captial Input'!H:H,'Working Captial Input'!$B:$B,'Working Capital Transpose'!$B42)+SUMIFS('Working Captial Input'!H:H,'Working Captial Input'!$C:$C,1823610)</f>
        <v>0</v>
      </c>
      <c r="H42" s="1316">
        <f>+SUMIFS('Working Captial Input'!I:I,'Working Captial Input'!$B:$B,'Working Capital Transpose'!$B42)+SUMIFS('Working Captial Input'!I:I,'Working Captial Input'!$C:$C,1823610)</f>
        <v>0</v>
      </c>
      <c r="I42" s="1316">
        <f>+SUMIFS('Working Captial Input'!J:J,'Working Captial Input'!$B:$B,'Working Capital Transpose'!$B42)+SUMIFS('Working Captial Input'!J:J,'Working Captial Input'!$C:$C,1823610)</f>
        <v>0</v>
      </c>
      <c r="J42" s="1316">
        <f>+SUMIFS('Working Captial Input'!K:K,'Working Captial Input'!$B:$B,'Working Capital Transpose'!$B42)+SUMIFS('Working Captial Input'!K:K,'Working Captial Input'!$C:$C,1823610)</f>
        <v>-1778891.2051282381</v>
      </c>
      <c r="K42" s="1316">
        <f>+SUMIFS('Working Captial Input'!L:L,'Working Captial Input'!$B:$B,'Working Capital Transpose'!$B42)+SUMIFS('Working Captial Input'!L:L,'Working Captial Input'!$C:$C,1823610)</f>
        <v>0</v>
      </c>
      <c r="L42" s="1316">
        <f t="shared" si="2"/>
        <v>-534721173.01412898</v>
      </c>
      <c r="M42" s="1316">
        <f>+SUMIFS('Working Captial Input'!M:M,'Working Captial Input'!$B:$B,'Working Capital Transpose'!$B42)+SUMIFS('Working Captial Input'!M:M,'Working Captial Input'!$C:$C,1823610)</f>
        <v>253371321.22692311</v>
      </c>
    </row>
    <row r="43" spans="2:13" ht="15.6">
      <c r="B43" s="275">
        <v>183</v>
      </c>
      <c r="C43" s="2731" t="s">
        <v>1403</v>
      </c>
      <c r="D43" s="1316">
        <f>+SUMIFS('Working Captial Input'!E:E,'Working Captial Input'!$B:$B,'Working Capital Transpose'!$B43)</f>
        <v>6566744.6269230749</v>
      </c>
      <c r="E43" s="1316">
        <f>+SUMIFS('Working Captial Input'!F:F,'Working Captial Input'!$B:$B,'Working Capital Transpose'!$B43)</f>
        <v>0</v>
      </c>
      <c r="F43" s="1316">
        <f>+SUMIFS('Working Captial Input'!G:G,'Working Captial Input'!$B:$B,'Working Capital Transpose'!$B43)</f>
        <v>0</v>
      </c>
      <c r="G43" s="1316">
        <f>+SUMIFS('Working Captial Input'!H:H,'Working Captial Input'!$B:$B,'Working Capital Transpose'!$B43)</f>
        <v>0</v>
      </c>
      <c r="H43" s="1316">
        <f>+SUMIFS('Working Captial Input'!I:I,'Working Captial Input'!$B:$B,'Working Capital Transpose'!$B43)</f>
        <v>0</v>
      </c>
      <c r="I43" s="1316">
        <f>+SUMIFS('Working Captial Input'!J:J,'Working Captial Input'!$B:$B,'Working Capital Transpose'!$B43)</f>
        <v>0</v>
      </c>
      <c r="J43" s="1316">
        <f>+SUMIFS('Working Captial Input'!K:K,'Working Captial Input'!$B:$B,'Working Capital Transpose'!$B43)</f>
        <v>0</v>
      </c>
      <c r="K43" s="1316">
        <f>+SUMIFS('Working Captial Input'!L:L,'Working Captial Input'!$B:$B,'Working Capital Transpose'!$B43)</f>
        <v>0</v>
      </c>
      <c r="L43" s="1316">
        <f t="shared" si="2"/>
        <v>0</v>
      </c>
      <c r="M43" s="1316">
        <f>+SUMIFS('Working Captial Input'!M:M,'Working Captial Input'!$B:$B,'Working Capital Transpose'!$B43)</f>
        <v>6566744.6269230749</v>
      </c>
    </row>
    <row r="44" spans="2:13" ht="15.6">
      <c r="B44" s="275">
        <v>184</v>
      </c>
      <c r="C44" s="2731" t="s">
        <v>1404</v>
      </c>
      <c r="D44" s="1316">
        <f>+SUMIFS('Working Captial Input'!E:E,'Working Captial Input'!$B:$B,'Working Capital Transpose'!$B44)</f>
        <v>0</v>
      </c>
      <c r="E44" s="1316">
        <f>+SUMIFS('Working Captial Input'!F:F,'Working Captial Input'!$B:$B,'Working Capital Transpose'!$B44)</f>
        <v>0</v>
      </c>
      <c r="F44" s="1316">
        <f>+SUMIFS('Working Captial Input'!G:G,'Working Captial Input'!$B:$B,'Working Capital Transpose'!$B44)</f>
        <v>0</v>
      </c>
      <c r="G44" s="1316">
        <f>+SUMIFS('Working Captial Input'!H:H,'Working Captial Input'!$B:$B,'Working Capital Transpose'!$B44)</f>
        <v>0</v>
      </c>
      <c r="H44" s="1316">
        <f>+SUMIFS('Working Captial Input'!I:I,'Working Captial Input'!$B:$B,'Working Capital Transpose'!$B44)</f>
        <v>0</v>
      </c>
      <c r="I44" s="1316">
        <f>+SUMIFS('Working Captial Input'!J:J,'Working Captial Input'!$B:$B,'Working Capital Transpose'!$B44)</f>
        <v>0</v>
      </c>
      <c r="J44" s="1316">
        <f>+SUMIFS('Working Captial Input'!K:K,'Working Captial Input'!$B:$B,'Working Capital Transpose'!$B44)</f>
        <v>0</v>
      </c>
      <c r="K44" s="1316">
        <f>+SUMIFS('Working Captial Input'!L:L,'Working Captial Input'!$B:$B,'Working Capital Transpose'!$B44)</f>
        <v>0</v>
      </c>
      <c r="L44" s="1316">
        <f t="shared" si="2"/>
        <v>0</v>
      </c>
      <c r="M44" s="1316">
        <f>+SUMIFS('Working Captial Input'!M:M,'Working Captial Input'!$B:$B,'Working Capital Transpose'!$B44)</f>
        <v>0</v>
      </c>
    </row>
    <row r="45" spans="2:13" ht="15.6">
      <c r="B45" s="275">
        <v>186</v>
      </c>
      <c r="C45" s="2731" t="s">
        <v>5118</v>
      </c>
      <c r="D45" s="1316">
        <f>+SUMIFS('Working Captial Input'!E:E,'Working Captial Input'!$B:$B,'Working Capital Transpose'!$B45)</f>
        <v>4110483.308461539</v>
      </c>
      <c r="E45" s="1316">
        <f>+SUMIFS('Working Captial Input'!F:F,'Working Captial Input'!$B:$B,'Working Capital Transpose'!$B45)</f>
        <v>0</v>
      </c>
      <c r="F45" s="1316">
        <f>+SUMIFS('Working Captial Input'!G:G,'Working Captial Input'!$B:$B,'Working Capital Transpose'!$B45)</f>
        <v>0</v>
      </c>
      <c r="G45" s="1316">
        <f>+SUMIFS('Working Captial Input'!H:H,'Working Captial Input'!$B:$B,'Working Capital Transpose'!$B45)</f>
        <v>0</v>
      </c>
      <c r="H45" s="1316">
        <f>+SUMIFS('Working Captial Input'!I:I,'Working Captial Input'!$B:$B,'Working Capital Transpose'!$B45)</f>
        <v>0</v>
      </c>
      <c r="I45" s="1316">
        <f>+SUMIFS('Working Captial Input'!J:J,'Working Captial Input'!$B:$B,'Working Capital Transpose'!$B45)</f>
        <v>0</v>
      </c>
      <c r="J45" s="1316">
        <f>+SUMIFS('Working Captial Input'!K:K,'Working Captial Input'!$B:$B,'Working Capital Transpose'!$B45)</f>
        <v>0</v>
      </c>
      <c r="K45" s="1316">
        <f>+SUMIFS('Working Captial Input'!L:L,'Working Captial Input'!$B:$B,'Working Capital Transpose'!$B45)</f>
        <v>0</v>
      </c>
      <c r="L45" s="1316">
        <f t="shared" si="2"/>
        <v>0</v>
      </c>
      <c r="M45" s="1316">
        <f>+SUMIFS('Working Captial Input'!M:M,'Working Captial Input'!$B:$B,'Working Capital Transpose'!$B45)</f>
        <v>4110483.308461539</v>
      </c>
    </row>
    <row r="46" spans="2:13" ht="15.6">
      <c r="B46" s="275">
        <v>188</v>
      </c>
      <c r="C46" s="2731" t="s">
        <v>5119</v>
      </c>
      <c r="D46" s="1316">
        <f>+SUMIFS('Working Captial Input'!E:E,'Working Captial Input'!$B:$B,'Working Capital Transpose'!$B46)</f>
        <v>0</v>
      </c>
      <c r="E46" s="1316">
        <f>+SUMIFS('Working Captial Input'!F:F,'Working Captial Input'!$B:$B,'Working Capital Transpose'!$B46)</f>
        <v>0</v>
      </c>
      <c r="F46" s="1316">
        <f>+SUMIFS('Working Captial Input'!G:G,'Working Captial Input'!$B:$B,'Working Capital Transpose'!$B46)</f>
        <v>0</v>
      </c>
      <c r="G46" s="1316">
        <f>+SUMIFS('Working Captial Input'!H:H,'Working Captial Input'!$B:$B,'Working Capital Transpose'!$B46)</f>
        <v>0</v>
      </c>
      <c r="H46" s="1316">
        <f>+SUMIFS('Working Captial Input'!I:I,'Working Captial Input'!$B:$B,'Working Capital Transpose'!$B46)</f>
        <v>0</v>
      </c>
      <c r="I46" s="1316">
        <f>+SUMIFS('Working Captial Input'!J:J,'Working Captial Input'!$B:$B,'Working Capital Transpose'!$B46)</f>
        <v>0</v>
      </c>
      <c r="J46" s="1316">
        <f>+SUMIFS('Working Captial Input'!K:K,'Working Captial Input'!$B:$B,'Working Capital Transpose'!$B46)</f>
        <v>0</v>
      </c>
      <c r="K46" s="1316">
        <f>+SUMIFS('Working Captial Input'!L:L,'Working Captial Input'!$B:$B,'Working Capital Transpose'!$B46)</f>
        <v>0</v>
      </c>
      <c r="L46" s="1316">
        <f t="shared" si="2"/>
        <v>0</v>
      </c>
      <c r="M46" s="1316">
        <f>+SUMIFS('Working Captial Input'!M:M,'Working Captial Input'!$B:$B,'Working Capital Transpose'!$B46)</f>
        <v>0</v>
      </c>
    </row>
    <row r="47" spans="2:13" ht="15.6">
      <c r="B47" s="275"/>
      <c r="C47" s="2731"/>
      <c r="D47" s="474"/>
      <c r="E47" s="474"/>
      <c r="F47" s="474"/>
      <c r="G47" s="474"/>
      <c r="H47" s="474"/>
      <c r="I47" s="474"/>
      <c r="J47" s="474"/>
      <c r="K47" s="474"/>
      <c r="L47" s="474"/>
      <c r="M47" s="474"/>
    </row>
    <row r="48" spans="2:13" ht="15.6">
      <c r="B48" s="275"/>
      <c r="C48" s="2731"/>
      <c r="D48" s="499"/>
      <c r="E48" s="499"/>
      <c r="F48" s="499"/>
      <c r="G48" s="499"/>
      <c r="H48" s="499"/>
      <c r="I48" s="499"/>
      <c r="J48" s="499"/>
      <c r="K48" s="499"/>
      <c r="L48" s="499"/>
      <c r="M48" s="499"/>
    </row>
    <row r="49" spans="2:13" ht="15.6">
      <c r="B49" s="275"/>
      <c r="C49" s="2738" t="s">
        <v>5120</v>
      </c>
      <c r="D49" s="2739">
        <f>+SUM(D41:D46)</f>
        <v>799297722.17643678</v>
      </c>
      <c r="E49" s="2739">
        <f t="shared" ref="E49:J49" si="3">+SUM(E41:E46)</f>
        <v>-532942281.80900073</v>
      </c>
      <c r="F49" s="2739">
        <f t="shared" ref="F49:L49" si="4">+SUM(F41:F46)</f>
        <v>0</v>
      </c>
      <c r="G49" s="2739">
        <f t="shared" si="3"/>
        <v>0</v>
      </c>
      <c r="H49" s="2739">
        <f t="shared" si="3"/>
        <v>0</v>
      </c>
      <c r="I49" s="2739">
        <f t="shared" si="3"/>
        <v>0</v>
      </c>
      <c r="J49" s="2739">
        <f t="shared" si="3"/>
        <v>-1778891.2051282381</v>
      </c>
      <c r="K49" s="2739">
        <f t="shared" si="4"/>
        <v>0</v>
      </c>
      <c r="L49" s="2739">
        <f t="shared" si="4"/>
        <v>-534721173.01412898</v>
      </c>
      <c r="M49" s="2739">
        <f>+SUM(M41:M46)</f>
        <v>264576549.16230774</v>
      </c>
    </row>
    <row r="50" spans="2:13" ht="15.6">
      <c r="B50" s="275"/>
      <c r="C50" s="2738"/>
      <c r="D50" s="2739"/>
      <c r="E50" s="2739"/>
      <c r="F50" s="2739"/>
      <c r="G50" s="2739"/>
      <c r="H50" s="2739"/>
      <c r="I50" s="2739"/>
      <c r="J50" s="2739"/>
      <c r="K50" s="2739"/>
      <c r="L50" s="2739"/>
      <c r="M50" s="2739"/>
    </row>
    <row r="51" spans="2:13" ht="15.6">
      <c r="B51" s="275"/>
      <c r="C51" s="2731"/>
      <c r="D51" s="474"/>
      <c r="E51" s="474"/>
      <c r="F51" s="474"/>
      <c r="G51" s="474"/>
      <c r="H51" s="474"/>
      <c r="I51" s="474"/>
      <c r="J51" s="474"/>
      <c r="K51" s="474"/>
      <c r="L51" s="474"/>
      <c r="M51" s="474"/>
    </row>
    <row r="52" spans="2:13" ht="15.6">
      <c r="B52" s="275"/>
      <c r="C52" s="2738" t="s">
        <v>5121</v>
      </c>
      <c r="D52" s="1317">
        <f>+D36+D49</f>
        <v>1327410897.643136</v>
      </c>
      <c r="E52" s="1317">
        <f t="shared" ref="E52:J52" si="5">+E36+E49</f>
        <v>-532942281.80900073</v>
      </c>
      <c r="F52" s="1317">
        <f t="shared" ref="F52:M52" si="6">+F36+F49</f>
        <v>-1000000</v>
      </c>
      <c r="G52" s="1317">
        <f t="shared" si="5"/>
        <v>-16378034.653076932</v>
      </c>
      <c r="H52" s="1317">
        <f t="shared" si="5"/>
        <v>0</v>
      </c>
      <c r="I52" s="1317">
        <f t="shared" si="5"/>
        <v>0</v>
      </c>
      <c r="J52" s="1317">
        <f t="shared" si="5"/>
        <v>-1778891.2051282381</v>
      </c>
      <c r="K52" s="1317">
        <f t="shared" si="6"/>
        <v>0</v>
      </c>
      <c r="L52" s="1317">
        <f t="shared" si="6"/>
        <v>-552099207.66720593</v>
      </c>
      <c r="M52" s="1317">
        <f t="shared" si="6"/>
        <v>775311689.97592998</v>
      </c>
    </row>
    <row r="53" spans="2:13" ht="15.6">
      <c r="B53" s="275"/>
      <c r="C53" s="2731"/>
      <c r="D53" s="474"/>
      <c r="E53" s="474"/>
      <c r="F53" s="474"/>
      <c r="G53" s="474"/>
      <c r="H53" s="474"/>
      <c r="I53" s="474"/>
      <c r="J53" s="474"/>
      <c r="K53" s="474"/>
      <c r="L53" s="474"/>
      <c r="M53" s="474"/>
    </row>
    <row r="54" spans="2:13" ht="15.6">
      <c r="B54" s="275"/>
      <c r="C54" s="2731"/>
      <c r="D54" s="2731"/>
      <c r="E54" s="2731"/>
      <c r="F54" s="2731"/>
      <c r="G54" s="2731"/>
      <c r="H54" s="2731"/>
      <c r="I54" s="2731"/>
      <c r="J54" s="2731"/>
      <c r="K54" s="2731"/>
      <c r="L54" s="2731"/>
      <c r="M54" s="2731"/>
    </row>
    <row r="55" spans="2:13" ht="15.6">
      <c r="B55" s="275"/>
      <c r="C55" s="2731"/>
      <c r="D55" s="2731"/>
      <c r="E55" s="2731"/>
      <c r="F55" s="2731"/>
      <c r="G55" s="2731"/>
      <c r="H55" s="2731"/>
      <c r="I55" s="2731"/>
      <c r="J55" s="2731"/>
      <c r="K55" s="2731"/>
      <c r="L55" s="2731"/>
      <c r="M55" s="2731"/>
    </row>
    <row r="56" spans="2:13" ht="15.6">
      <c r="B56" s="2725" t="s">
        <v>2173</v>
      </c>
      <c r="C56" s="2726"/>
      <c r="D56" s="2726"/>
      <c r="E56" s="2726"/>
      <c r="F56" s="2726"/>
      <c r="G56" s="2726"/>
      <c r="H56" s="2726"/>
      <c r="I56" s="2726"/>
      <c r="J56" s="2726"/>
      <c r="K56" s="2726"/>
      <c r="L56" s="2726"/>
      <c r="M56" s="2727"/>
    </row>
    <row r="57" spans="2:13" ht="15.6">
      <c r="B57" s="2725" t="s">
        <v>5096</v>
      </c>
      <c r="C57" s="2726"/>
      <c r="D57" s="2726"/>
      <c r="E57" s="2726"/>
      <c r="F57" s="2726"/>
      <c r="G57" s="2726"/>
      <c r="H57" s="2726"/>
      <c r="I57" s="2726"/>
      <c r="J57" s="2726"/>
      <c r="K57" s="2726"/>
      <c r="L57" s="2726"/>
      <c r="M57" s="2726"/>
    </row>
    <row r="58" spans="2:13" ht="15.6">
      <c r="B58" s="2742" t="str">
        <f>+B5</f>
        <v>2025 ACTUAL</v>
      </c>
      <c r="C58" s="2726"/>
      <c r="D58" s="2726"/>
      <c r="E58" s="2726"/>
      <c r="F58" s="2726"/>
      <c r="G58" s="2726"/>
      <c r="H58" s="2726"/>
      <c r="I58" s="2726"/>
      <c r="J58" s="2726"/>
      <c r="K58" s="2726"/>
      <c r="L58" s="2726"/>
      <c r="M58" s="2726"/>
    </row>
    <row r="59" spans="2:13" ht="15.6">
      <c r="B59" s="2725"/>
      <c r="C59" s="2726"/>
      <c r="D59" s="2726"/>
      <c r="E59" s="2726"/>
      <c r="F59" s="2726"/>
      <c r="G59" s="2726"/>
      <c r="H59" s="2726"/>
      <c r="I59" s="2726"/>
      <c r="J59" s="2726"/>
      <c r="K59" s="2726"/>
      <c r="L59" s="2726"/>
      <c r="M59" s="2726"/>
    </row>
    <row r="60" spans="2:13" ht="15.6">
      <c r="B60" s="275"/>
      <c r="C60" s="2731"/>
      <c r="D60" s="2731"/>
      <c r="E60" s="2731"/>
      <c r="F60" s="2731"/>
      <c r="G60" s="2731"/>
      <c r="H60" s="2731"/>
      <c r="I60" s="2731"/>
      <c r="J60" s="2731"/>
      <c r="K60" s="2731"/>
      <c r="L60" s="2731"/>
      <c r="M60" s="2733" t="s">
        <v>5097</v>
      </c>
    </row>
    <row r="61" spans="2:13" ht="15.6">
      <c r="B61" s="275"/>
      <c r="C61" s="2731"/>
      <c r="D61" s="2726" t="s">
        <v>605</v>
      </c>
      <c r="E61" s="2726" t="s">
        <v>8368</v>
      </c>
      <c r="F61" s="2733" t="s">
        <v>5098</v>
      </c>
      <c r="G61" s="2731"/>
      <c r="H61" s="2731"/>
      <c r="I61" s="2733" t="s">
        <v>5099</v>
      </c>
      <c r="J61" s="2733" t="s">
        <v>8369</v>
      </c>
      <c r="K61" s="2733" t="s">
        <v>8371</v>
      </c>
      <c r="L61" s="2733" t="s">
        <v>122</v>
      </c>
      <c r="M61" s="2733" t="s">
        <v>5100</v>
      </c>
    </row>
    <row r="62" spans="2:13" ht="15.6">
      <c r="B62" s="275"/>
      <c r="C62" s="2734" t="s">
        <v>5122</v>
      </c>
      <c r="D62" s="2735" t="s">
        <v>5102</v>
      </c>
      <c r="E62" s="2735" t="s">
        <v>593</v>
      </c>
      <c r="F62" s="2735" t="s">
        <v>5103</v>
      </c>
      <c r="G62" s="2735" t="s">
        <v>5104</v>
      </c>
      <c r="H62" s="2735" t="s">
        <v>2347</v>
      </c>
      <c r="I62" s="2735" t="s">
        <v>5105</v>
      </c>
      <c r="J62" s="2735" t="s">
        <v>8370</v>
      </c>
      <c r="K62" s="2735" t="s">
        <v>8372</v>
      </c>
      <c r="L62" s="2735" t="s">
        <v>593</v>
      </c>
      <c r="M62" s="2735" t="s">
        <v>2330</v>
      </c>
    </row>
    <row r="63" spans="2:13" ht="15.6">
      <c r="B63" s="275"/>
      <c r="C63" s="2731"/>
      <c r="D63" s="2731"/>
      <c r="E63" s="2731"/>
      <c r="F63" s="2731"/>
      <c r="G63" s="2731"/>
      <c r="H63" s="2731"/>
      <c r="I63" s="2731"/>
      <c r="J63" s="2731"/>
      <c r="K63" s="2731"/>
      <c r="L63" s="2731"/>
      <c r="M63" s="2731"/>
    </row>
    <row r="64" spans="2:13" ht="15.6">
      <c r="B64" s="275"/>
      <c r="C64" s="2743"/>
      <c r="D64" s="1315"/>
      <c r="E64" s="1315"/>
      <c r="F64" s="1316"/>
      <c r="G64" s="1316"/>
      <c r="H64" s="1316"/>
      <c r="I64" s="1316"/>
      <c r="J64" s="1316"/>
      <c r="K64" s="1316"/>
      <c r="L64" s="1316"/>
      <c r="M64" s="1315"/>
    </row>
    <row r="65" spans="2:13" ht="15.6">
      <c r="B65" s="275">
        <v>228</v>
      </c>
      <c r="C65" s="2741" t="s">
        <v>5123</v>
      </c>
      <c r="D65" s="1316">
        <f>+SUMIFS('Working Captial Input'!E:E,'Working Captial Input'!$B:$B,'Working Capital Transpose'!$B65)</f>
        <v>102435481.18982379</v>
      </c>
      <c r="E65" s="1316">
        <f>+SUMIFS('Working Captial Input'!F:F,'Working Captial Input'!$B:$B,'Working Capital Transpose'!$B65)</f>
        <v>0</v>
      </c>
      <c r="F65" s="1316">
        <f>+SUMIFS('Working Captial Input'!G:G,'Working Captial Input'!$B:$B,'Working Capital Transpose'!$B65)</f>
        <v>0</v>
      </c>
      <c r="G65" s="1316">
        <f>+SUMIFS('Working Captial Input'!H:H,'Working Captial Input'!$B:$B,'Working Capital Transpose'!$B65)</f>
        <v>0</v>
      </c>
      <c r="H65" s="1316">
        <f>+SUMIFS('Working Captial Input'!I:I,'Working Captial Input'!$B:$B,'Working Capital Transpose'!$B65)</f>
        <v>0</v>
      </c>
      <c r="I65" s="1316">
        <f>+SUMIFS('Working Captial Input'!J:J,'Working Captial Input'!$B:$B,'Working Capital Transpose'!$B65)</f>
        <v>0</v>
      </c>
      <c r="J65" s="1316">
        <f>+SUMIFS('Working Captial Input'!K:K,'Working Captial Input'!$B:$B,'Working Capital Transpose'!$B65)</f>
        <v>0</v>
      </c>
      <c r="K65" s="1316">
        <f>+SUMIFS('Working Captial Input'!L:L,'Working Captial Input'!$B:$B,'Working Capital Transpose'!$B65)</f>
        <v>0</v>
      </c>
      <c r="L65" s="1316">
        <f t="shared" ref="L65:L76" si="7">+SUM(E65:K65)</f>
        <v>0</v>
      </c>
      <c r="M65" s="1316">
        <f>+SUMIFS('Working Captial Input'!M:M,'Working Captial Input'!$B:$B,'Working Capital Transpose'!$B65)</f>
        <v>102435481.18982379</v>
      </c>
    </row>
    <row r="66" spans="2:13" ht="15.6">
      <c r="B66" s="275">
        <v>229</v>
      </c>
      <c r="C66" s="2731" t="s">
        <v>5124</v>
      </c>
      <c r="D66" s="1316">
        <f>+SUMIFS('Working Captial Input'!E:E,'Working Captial Input'!$B:$B,'Working Capital Transpose'!$B66)</f>
        <v>0</v>
      </c>
      <c r="E66" s="1316">
        <f>+SUMIFS('Working Captial Input'!F:F,'Working Captial Input'!$B:$B,'Working Capital Transpose'!$B66)</f>
        <v>0</v>
      </c>
      <c r="F66" s="1316">
        <f>+SUMIFS('Working Captial Input'!G:G,'Working Captial Input'!$B:$B,'Working Capital Transpose'!$B66)</f>
        <v>0</v>
      </c>
      <c r="G66" s="1316">
        <f>+SUMIFS('Working Captial Input'!H:H,'Working Captial Input'!$B:$B,'Working Capital Transpose'!$B66)</f>
        <v>0</v>
      </c>
      <c r="H66" s="1316">
        <f>+SUMIFS('Working Captial Input'!I:I,'Working Captial Input'!$B:$B,'Working Capital Transpose'!$B66)</f>
        <v>0</v>
      </c>
      <c r="I66" s="1316">
        <f>+SUMIFS('Working Captial Input'!J:J,'Working Captial Input'!$B:$B,'Working Capital Transpose'!$B66)</f>
        <v>0</v>
      </c>
      <c r="J66" s="1316">
        <f>+SUMIFS('Working Captial Input'!K:K,'Working Captial Input'!$B:$B,'Working Capital Transpose'!$B66)</f>
        <v>0</v>
      </c>
      <c r="K66" s="1316">
        <f>+SUMIFS('Working Captial Input'!L:L,'Working Captial Input'!$B:$B,'Working Capital Transpose'!$B66)</f>
        <v>0</v>
      </c>
      <c r="L66" s="1316">
        <f t="shared" si="7"/>
        <v>0</v>
      </c>
      <c r="M66" s="1316">
        <f>+SUMIFS('Working Captial Input'!M:M,'Working Captial Input'!$B:$B,'Working Capital Transpose'!$B66)</f>
        <v>0</v>
      </c>
    </row>
    <row r="67" spans="2:13" ht="15.6">
      <c r="B67" s="275">
        <v>230</v>
      </c>
      <c r="C67" s="2731" t="s">
        <v>1415</v>
      </c>
      <c r="D67" s="1316">
        <f>+SUMIFS('Working Captial Input'!E:E,'Working Captial Input'!$B:$B,'Working Capital Transpose'!$B67)</f>
        <v>34647242.676153846</v>
      </c>
      <c r="E67" s="1316">
        <f>+SUMIFS('Working Captial Input'!F:F,'Working Captial Input'!$B:$B,'Working Capital Transpose'!$B67)</f>
        <v>0</v>
      </c>
      <c r="F67" s="1316">
        <f>+SUMIFS('Working Captial Input'!G:G,'Working Captial Input'!$B:$B,'Working Capital Transpose'!$B67)</f>
        <v>0</v>
      </c>
      <c r="G67" s="1316">
        <f>+SUMIFS('Working Captial Input'!H:H,'Working Captial Input'!$B:$B,'Working Capital Transpose'!$B67)</f>
        <v>0</v>
      </c>
      <c r="H67" s="1316">
        <f>+SUMIFS('Working Captial Input'!I:I,'Working Captial Input'!$B:$B,'Working Capital Transpose'!$B67)</f>
        <v>0</v>
      </c>
      <c r="I67" s="1316">
        <f>+SUMIFS('Working Captial Input'!J:J,'Working Captial Input'!$B:$B,'Working Capital Transpose'!$B67)</f>
        <v>0</v>
      </c>
      <c r="J67" s="1316">
        <f>+SUMIFS('Working Captial Input'!K:K,'Working Captial Input'!$B:$B,'Working Capital Transpose'!$B67)</f>
        <v>0</v>
      </c>
      <c r="K67" s="1316">
        <f>+SUMIFS('Working Captial Input'!L:L,'Working Captial Input'!$B:$B,'Working Capital Transpose'!$B67)</f>
        <v>0</v>
      </c>
      <c r="L67" s="1316">
        <f t="shared" si="7"/>
        <v>0</v>
      </c>
      <c r="M67" s="1316">
        <f>+SUMIFS('Working Captial Input'!M:M,'Working Captial Input'!$B:$B,'Working Capital Transpose'!$B67)</f>
        <v>34647242.676153846</v>
      </c>
    </row>
    <row r="68" spans="2:13" ht="15.6">
      <c r="B68" s="275">
        <v>232</v>
      </c>
      <c r="C68" s="2731" t="s">
        <v>1417</v>
      </c>
      <c r="D68" s="1316">
        <f>+SUMIFS('Working Captial Input'!E:E,'Working Captial Input'!$B:$B,'Working Capital Transpose'!$B68)</f>
        <v>262287351.23794481</v>
      </c>
      <c r="E68" s="1316">
        <f>+SUMIFS('Working Captial Input'!F:F,'Working Captial Input'!$B:$B,'Working Capital Transpose'!$B68)</f>
        <v>0</v>
      </c>
      <c r="F68" s="1316">
        <f>+SUMIFS('Working Captial Input'!G:G,'Working Captial Input'!$B:$B,'Working Capital Transpose'!$B68)</f>
        <v>0</v>
      </c>
      <c r="G68" s="1316">
        <f>+SUMIFS('Working Captial Input'!H:H,'Working Captial Input'!$B:$B,'Working Capital Transpose'!$B68)</f>
        <v>0</v>
      </c>
      <c r="H68" s="1316">
        <f>+SUMIFS('Working Captial Input'!I:I,'Working Captial Input'!$B:$B,'Working Capital Transpose'!$B68)</f>
        <v>0</v>
      </c>
      <c r="I68" s="1316">
        <f>+SUMIFS('Working Captial Input'!J:J,'Working Captial Input'!$B:$B,'Working Capital Transpose'!$B68)</f>
        <v>0</v>
      </c>
      <c r="J68" s="1316">
        <f>+SUMIFS('Working Captial Input'!K:K,'Working Captial Input'!$B:$B,'Working Capital Transpose'!$B68)</f>
        <v>0</v>
      </c>
      <c r="K68" s="1316">
        <f>+SUMIFS('Working Captial Input'!L:L,'Working Captial Input'!$B:$B,'Working Capital Transpose'!$B68)</f>
        <v>0</v>
      </c>
      <c r="L68" s="1316">
        <f t="shared" si="7"/>
        <v>0</v>
      </c>
      <c r="M68" s="1316">
        <f>+SUMIFS('Working Captial Input'!M:M,'Working Captial Input'!$B:$B,'Working Capital Transpose'!$B68)</f>
        <v>262287351.23794481</v>
      </c>
    </row>
    <row r="69" spans="2:13" ht="15.6">
      <c r="B69" s="275">
        <v>233</v>
      </c>
      <c r="C69" s="2731" t="s">
        <v>5125</v>
      </c>
      <c r="D69" s="1316">
        <f>+SUMIFS('Working Captial Input'!E:E,'Working Captial Input'!$B:$B,'Working Capital Transpose'!$B69)</f>
        <v>0</v>
      </c>
      <c r="E69" s="1316">
        <f>+SUMIFS('Working Captial Input'!F:F,'Working Captial Input'!$B:$B,'Working Capital Transpose'!$B69)</f>
        <v>0</v>
      </c>
      <c r="F69" s="1316">
        <f>+SUMIFS('Working Captial Input'!G:G,'Working Captial Input'!$B:$B,'Working Capital Transpose'!$B69)</f>
        <v>0</v>
      </c>
      <c r="G69" s="1316">
        <f>+SUMIFS('Working Captial Input'!H:H,'Working Captial Input'!$B:$B,'Working Capital Transpose'!$B69)</f>
        <v>0</v>
      </c>
      <c r="H69" s="1316">
        <f>+SUMIFS('Working Captial Input'!I:I,'Working Captial Input'!$B:$B,'Working Capital Transpose'!$B69)</f>
        <v>0</v>
      </c>
      <c r="I69" s="1316">
        <f>+SUMIFS('Working Captial Input'!J:J,'Working Captial Input'!$B:$B,'Working Capital Transpose'!$B69)</f>
        <v>0</v>
      </c>
      <c r="J69" s="1316">
        <f>+SUMIFS('Working Captial Input'!K:K,'Working Captial Input'!$B:$B,'Working Capital Transpose'!$B69)</f>
        <v>0</v>
      </c>
      <c r="K69" s="1316">
        <f>+SUMIFS('Working Captial Input'!L:L,'Working Captial Input'!$B:$B,'Working Capital Transpose'!$B69)</f>
        <v>0</v>
      </c>
      <c r="L69" s="1316">
        <f t="shared" si="7"/>
        <v>0</v>
      </c>
      <c r="M69" s="1316">
        <f>+SUMIFS('Working Captial Input'!M:M,'Working Captial Input'!$B:$B,'Working Capital Transpose'!$B69)</f>
        <v>0</v>
      </c>
    </row>
    <row r="70" spans="2:13" ht="15.6">
      <c r="B70" s="275">
        <v>234</v>
      </c>
      <c r="C70" s="2731" t="s">
        <v>5126</v>
      </c>
      <c r="D70" s="1316">
        <f>+SUMIFS('Working Captial Input'!E:E,'Working Captial Input'!$B:$B,'Working Capital Transpose'!$B70)</f>
        <v>11430237.184311908</v>
      </c>
      <c r="E70" s="1316">
        <f>+SUMIFS('Working Captial Input'!F:F,'Working Captial Input'!$B:$B,'Working Capital Transpose'!$B70)</f>
        <v>0</v>
      </c>
      <c r="F70" s="1316">
        <f>+SUMIFS('Working Captial Input'!G:G,'Working Captial Input'!$B:$B,'Working Capital Transpose'!$B70)</f>
        <v>0</v>
      </c>
      <c r="G70" s="1316">
        <f>+SUMIFS('Working Captial Input'!H:H,'Working Captial Input'!$B:$B,'Working Capital Transpose'!$B70)</f>
        <v>0</v>
      </c>
      <c r="H70" s="1316">
        <f>+SUMIFS('Working Captial Input'!I:I,'Working Captial Input'!$B:$B,'Working Capital Transpose'!$B70)</f>
        <v>0</v>
      </c>
      <c r="I70" s="1316">
        <f>+SUMIFS('Working Captial Input'!J:J,'Working Captial Input'!$B:$B,'Working Capital Transpose'!$B70)</f>
        <v>0</v>
      </c>
      <c r="J70" s="1316">
        <f>+SUMIFS('Working Captial Input'!K:K,'Working Captial Input'!$B:$B,'Working Capital Transpose'!$B70)</f>
        <v>0</v>
      </c>
      <c r="K70" s="1316">
        <f>+SUMIFS('Working Captial Input'!L:L,'Working Captial Input'!$B:$B,'Working Capital Transpose'!$B70)</f>
        <v>0</v>
      </c>
      <c r="L70" s="1316">
        <f t="shared" si="7"/>
        <v>0</v>
      </c>
      <c r="M70" s="1316">
        <f>+SUMIFS('Working Captial Input'!M:M,'Working Captial Input'!$B:$B,'Working Capital Transpose'!$B70)</f>
        <v>11430237.184311908</v>
      </c>
    </row>
    <row r="71" spans="2:13" ht="15.6">
      <c r="B71" s="275">
        <v>236</v>
      </c>
      <c r="C71" s="2731" t="s">
        <v>5044</v>
      </c>
      <c r="D71" s="1316">
        <f>+SUMIFS('Working Captial Input'!E:E,'Working Captial Input'!$B:$B,'Working Capital Transpose'!$B71)</f>
        <v>44320676.262094036</v>
      </c>
      <c r="E71" s="1316">
        <f>+SUMIFS('Working Captial Input'!F:F,'Working Captial Input'!$B:$B,'Working Capital Transpose'!$B71)</f>
        <v>0</v>
      </c>
      <c r="F71" s="1316">
        <f>+SUMIFS('Working Captial Input'!G:G,'Working Captial Input'!$B:$B,'Working Capital Transpose'!$B71)</f>
        <v>0</v>
      </c>
      <c r="G71" s="1316">
        <f>+SUMIFS('Working Captial Input'!H:H,'Working Captial Input'!$B:$B,'Working Capital Transpose'!$B71)</f>
        <v>894781.09538461443</v>
      </c>
      <c r="H71" s="1316">
        <f>+SUMIFS('Working Captial Input'!I:I,'Working Captial Input'!$B:$B,'Working Capital Transpose'!$B71)</f>
        <v>0</v>
      </c>
      <c r="I71" s="1316">
        <f>+SUMIFS('Working Captial Input'!J:J,'Working Captial Input'!$B:$B,'Working Capital Transpose'!$B71)</f>
        <v>0</v>
      </c>
      <c r="J71" s="1316">
        <f>+SUMIFS('Working Captial Input'!K:K,'Working Captial Input'!$B:$B,'Working Capital Transpose'!$B71)</f>
        <v>0</v>
      </c>
      <c r="K71" s="1316">
        <f>+SUMIFS('Working Captial Input'!L:L,'Working Captial Input'!$B:$B,'Working Capital Transpose'!$B71)</f>
        <v>0</v>
      </c>
      <c r="L71" s="1316">
        <f t="shared" si="7"/>
        <v>894781.09538461443</v>
      </c>
      <c r="M71" s="1316">
        <f>+SUMIFS('Working Captial Input'!M:M,'Working Captial Input'!$B:$B,'Working Capital Transpose'!$B71)</f>
        <v>45215457.357478648</v>
      </c>
    </row>
    <row r="72" spans="2:13" ht="15.6">
      <c r="B72" s="275">
        <v>237</v>
      </c>
      <c r="C72" s="2731" t="s">
        <v>5127</v>
      </c>
      <c r="D72" s="1316">
        <f>+SUMIFS('Working Captial Input'!E:E,'Working Captial Input'!$B:$B,'Working Capital Transpose'!$B72)</f>
        <v>46827295.57038451</v>
      </c>
      <c r="E72" s="1316">
        <f>+SUMIFS('Working Captial Input'!F:F,'Working Captial Input'!$B:$B,'Working Capital Transpose'!$B72)</f>
        <v>0</v>
      </c>
      <c r="F72" s="1316">
        <f>+SUMIFS('Working Captial Input'!G:G,'Working Captial Input'!$B:$B,'Working Capital Transpose'!$B72)</f>
        <v>0</v>
      </c>
      <c r="G72" s="1316">
        <f>+SUMIFS('Working Captial Input'!H:H,'Working Captial Input'!$B:$B,'Working Capital Transpose'!$B72)</f>
        <v>0</v>
      </c>
      <c r="H72" s="1316">
        <f>+SUMIFS('Working Captial Input'!I:I,'Working Captial Input'!$B:$B,'Working Capital Transpose'!$B72)</f>
        <v>0</v>
      </c>
      <c r="I72" s="1316">
        <f>+SUMIFS('Working Captial Input'!J:J,'Working Captial Input'!$B:$B,'Working Capital Transpose'!$B72)</f>
        <v>0</v>
      </c>
      <c r="J72" s="1316">
        <f>+SUMIFS('Working Captial Input'!K:K,'Working Captial Input'!$B:$B,'Working Capital Transpose'!$B72)</f>
        <v>0</v>
      </c>
      <c r="K72" s="1316">
        <f>+SUMIFS('Working Captial Input'!L:L,'Working Captial Input'!$B:$B,'Working Capital Transpose'!$B72)</f>
        <v>0</v>
      </c>
      <c r="L72" s="1316">
        <f t="shared" si="7"/>
        <v>0</v>
      </c>
      <c r="M72" s="1316">
        <f>+SUMIFS('Working Captial Input'!M:M,'Working Captial Input'!$B:$B,'Working Capital Transpose'!$B72)</f>
        <v>46827295.57038451</v>
      </c>
    </row>
    <row r="73" spans="2:13" ht="15.6">
      <c r="B73" s="275">
        <v>238</v>
      </c>
      <c r="C73" s="2731" t="s">
        <v>474</v>
      </c>
      <c r="D73" s="1316">
        <f>+SUMIFS('Working Captial Input'!E:E,'Working Captial Input'!$B:$B,'Working Capital Transpose'!$B73)</f>
        <v>0</v>
      </c>
      <c r="E73" s="1316">
        <f>+SUMIFS('Working Captial Input'!F:F,'Working Captial Input'!$B:$B,'Working Capital Transpose'!$B73)</f>
        <v>0</v>
      </c>
      <c r="F73" s="1316">
        <f>+SUMIFS('Working Captial Input'!G:G,'Working Captial Input'!$B:$B,'Working Capital Transpose'!$B73)</f>
        <v>0</v>
      </c>
      <c r="G73" s="1316">
        <f>+SUMIFS('Working Captial Input'!H:H,'Working Captial Input'!$B:$B,'Working Capital Transpose'!$B73)</f>
        <v>0</v>
      </c>
      <c r="H73" s="1316">
        <f>+SUMIFS('Working Captial Input'!I:I,'Working Captial Input'!$B:$B,'Working Capital Transpose'!$B73)</f>
        <v>0</v>
      </c>
      <c r="I73" s="1316">
        <f>+SUMIFS('Working Captial Input'!J:J,'Working Captial Input'!$B:$B,'Working Capital Transpose'!$B73)</f>
        <v>0</v>
      </c>
      <c r="J73" s="1316">
        <f>+SUMIFS('Working Captial Input'!K:K,'Working Captial Input'!$B:$B,'Working Capital Transpose'!$B73)</f>
        <v>0</v>
      </c>
      <c r="K73" s="1316">
        <f>+SUMIFS('Working Captial Input'!L:L,'Working Captial Input'!$B:$B,'Working Capital Transpose'!$B73)</f>
        <v>0</v>
      </c>
      <c r="L73" s="1316">
        <f t="shared" si="7"/>
        <v>0</v>
      </c>
      <c r="M73" s="1316">
        <f>+SUMIFS('Working Captial Input'!M:M,'Working Captial Input'!$B:$B,'Working Capital Transpose'!$B73)</f>
        <v>0</v>
      </c>
    </row>
    <row r="74" spans="2:13" ht="15.6">
      <c r="B74" s="275">
        <v>241</v>
      </c>
      <c r="C74" s="2731" t="s">
        <v>1423</v>
      </c>
      <c r="D74" s="1316">
        <f>+SUMIFS('Working Captial Input'!E:E,'Working Captial Input'!$B:$B,'Working Capital Transpose'!$B74)</f>
        <v>14207134.949230762</v>
      </c>
      <c r="E74" s="1316">
        <f>+SUMIFS('Working Captial Input'!F:F,'Working Captial Input'!$B:$B,'Working Capital Transpose'!$B74)</f>
        <v>0</v>
      </c>
      <c r="F74" s="1316">
        <f>+SUMIFS('Working Captial Input'!G:G,'Working Captial Input'!$B:$B,'Working Capital Transpose'!$B74)</f>
        <v>0</v>
      </c>
      <c r="G74" s="1316">
        <f>+SUMIFS('Working Captial Input'!H:H,'Working Captial Input'!$B:$B,'Working Capital Transpose'!$B74)</f>
        <v>0</v>
      </c>
      <c r="H74" s="1316">
        <f>+SUMIFS('Working Captial Input'!I:I,'Working Captial Input'!$B:$B,'Working Capital Transpose'!$B74)</f>
        <v>0</v>
      </c>
      <c r="I74" s="1316">
        <f>+SUMIFS('Working Captial Input'!J:J,'Working Captial Input'!$B:$B,'Working Capital Transpose'!$B74)</f>
        <v>0</v>
      </c>
      <c r="J74" s="1316">
        <f>+SUMIFS('Working Captial Input'!K:K,'Working Captial Input'!$B:$B,'Working Capital Transpose'!$B74)</f>
        <v>0</v>
      </c>
      <c r="K74" s="1316">
        <f>+SUMIFS('Working Captial Input'!L:L,'Working Captial Input'!$B:$B,'Working Capital Transpose'!$B74)</f>
        <v>0</v>
      </c>
      <c r="L74" s="1316">
        <f t="shared" si="7"/>
        <v>0</v>
      </c>
      <c r="M74" s="1316">
        <f>+SUMIFS('Working Captial Input'!M:M,'Working Captial Input'!$B:$B,'Working Capital Transpose'!$B74)</f>
        <v>14207134.949230762</v>
      </c>
    </row>
    <row r="75" spans="2:13" ht="15.6">
      <c r="B75" s="275">
        <v>242</v>
      </c>
      <c r="C75" s="2731" t="s">
        <v>5128</v>
      </c>
      <c r="D75" s="1316">
        <f>+SUMIFS('Working Captial Input'!E:E,'Working Captial Input'!$B:$B,'Working Capital Transpose'!$B75)</f>
        <v>41537637.464034952</v>
      </c>
      <c r="E75" s="1316">
        <f>+SUMIFS('Working Captial Input'!F:F,'Working Captial Input'!$B:$B,'Working Capital Transpose'!$B75)</f>
        <v>0</v>
      </c>
      <c r="F75" s="1316">
        <f>+SUMIFS('Working Captial Input'!G:G,'Working Captial Input'!$B:$B,'Working Capital Transpose'!$B75)</f>
        <v>0</v>
      </c>
      <c r="G75" s="1316">
        <f>+SUMIFS('Working Captial Input'!H:H,'Working Captial Input'!$B:$B,'Working Capital Transpose'!$B75)</f>
        <v>0</v>
      </c>
      <c r="H75" s="1316">
        <f>+SUMIFS('Working Captial Input'!I:I,'Working Captial Input'!$B:$B,'Working Capital Transpose'!$B75)</f>
        <v>0</v>
      </c>
      <c r="I75" s="1316">
        <f>+SUMIFS('Working Captial Input'!J:J,'Working Captial Input'!$B:$B,'Working Capital Transpose'!$B75)</f>
        <v>0</v>
      </c>
      <c r="J75" s="1316">
        <f>+SUMIFS('Working Captial Input'!K:K,'Working Captial Input'!$B:$B,'Working Capital Transpose'!$B75)</f>
        <v>0</v>
      </c>
      <c r="K75" s="1316">
        <f>+SUMIFS('Working Captial Input'!L:L,'Working Captial Input'!$B:$B,'Working Capital Transpose'!$B75)</f>
        <v>0</v>
      </c>
      <c r="L75" s="1316">
        <f t="shared" si="7"/>
        <v>0</v>
      </c>
      <c r="M75" s="1316">
        <f>+SUMIFS('Working Captial Input'!M:M,'Working Captial Input'!$B:$B,'Working Capital Transpose'!$B75)</f>
        <v>41537637.464034952</v>
      </c>
    </row>
    <row r="76" spans="2:13" ht="15.6">
      <c r="B76" s="2736">
        <v>243</v>
      </c>
      <c r="C76" s="2737" t="s">
        <v>5129</v>
      </c>
      <c r="D76" s="1316">
        <f>+SUMIFS('Working Captial Input'!E:E,'Working Captial Input'!$B:$B,'Working Capital Transpose'!$B76)</f>
        <v>944404.00110644614</v>
      </c>
      <c r="E76" s="1316">
        <f>+SUMIFS('Working Captial Input'!F:F,'Working Captial Input'!$B:$B,'Working Capital Transpose'!$B76)</f>
        <v>0</v>
      </c>
      <c r="F76" s="1316">
        <f>+SUMIFS('Working Captial Input'!G:G,'Working Captial Input'!$B:$B,'Working Capital Transpose'!$B76)</f>
        <v>0</v>
      </c>
      <c r="G76" s="1316">
        <f>+SUMIFS('Working Captial Input'!H:H,'Working Captial Input'!$B:$B,'Working Capital Transpose'!$B76)</f>
        <v>0</v>
      </c>
      <c r="H76" s="1316">
        <f>+SUMIFS('Working Captial Input'!I:I,'Working Captial Input'!$B:$B,'Working Capital Transpose'!$B76)</f>
        <v>-944404.00110644614</v>
      </c>
      <c r="I76" s="1316">
        <f>+SUMIFS('Working Captial Input'!J:J,'Working Captial Input'!$B:$B,'Working Capital Transpose'!$B76)</f>
        <v>0</v>
      </c>
      <c r="J76" s="1316">
        <f>+SUMIFS('Working Captial Input'!K:K,'Working Captial Input'!$B:$B,'Working Capital Transpose'!$B76)</f>
        <v>0</v>
      </c>
      <c r="K76" s="1316">
        <f>+SUMIFS('Working Captial Input'!L:L,'Working Captial Input'!$B:$B,'Working Capital Transpose'!$B76)</f>
        <v>0</v>
      </c>
      <c r="L76" s="1316">
        <f t="shared" si="7"/>
        <v>-944404.00110644614</v>
      </c>
      <c r="M76" s="1316">
        <f>+SUMIFS('Working Captial Input'!M:M,'Working Captial Input'!$B:$B,'Working Capital Transpose'!$B76)</f>
        <v>0</v>
      </c>
    </row>
    <row r="77" spans="2:13" ht="15.6">
      <c r="B77" s="275"/>
      <c r="C77" s="2731"/>
      <c r="D77" s="2744"/>
      <c r="E77" s="2744"/>
      <c r="F77" s="474"/>
      <c r="G77" s="474"/>
      <c r="H77" s="474"/>
      <c r="I77" s="474"/>
      <c r="J77" s="474"/>
      <c r="K77" s="474"/>
      <c r="L77" s="474"/>
      <c r="M77" s="474"/>
    </row>
    <row r="78" spans="2:13" ht="15.6">
      <c r="B78" s="275"/>
      <c r="C78" s="2731"/>
      <c r="D78" s="499"/>
      <c r="E78" s="499"/>
      <c r="F78" s="499"/>
      <c r="G78" s="499"/>
      <c r="H78" s="499"/>
      <c r="I78" s="499"/>
      <c r="J78" s="499"/>
      <c r="K78" s="499"/>
      <c r="L78" s="499"/>
      <c r="M78" s="499"/>
    </row>
    <row r="79" spans="2:13" ht="15.6">
      <c r="B79" s="275"/>
      <c r="C79" s="2738" t="s">
        <v>5130</v>
      </c>
      <c r="D79" s="1317">
        <f>+SUM(D65:D76)</f>
        <v>558637460.5350852</v>
      </c>
      <c r="E79" s="1317">
        <f t="shared" ref="E79:M79" si="8">+SUM(E65:E76)</f>
        <v>0</v>
      </c>
      <c r="F79" s="1317">
        <f t="shared" si="8"/>
        <v>0</v>
      </c>
      <c r="G79" s="1317">
        <f t="shared" si="8"/>
        <v>894781.09538461443</v>
      </c>
      <c r="H79" s="1317">
        <f t="shared" si="8"/>
        <v>-944404.00110644614</v>
      </c>
      <c r="I79" s="1317">
        <f t="shared" si="8"/>
        <v>0</v>
      </c>
      <c r="J79" s="1317">
        <f t="shared" si="8"/>
        <v>0</v>
      </c>
      <c r="K79" s="1317">
        <f t="shared" si="8"/>
        <v>0</v>
      </c>
      <c r="L79" s="1317">
        <f t="shared" si="8"/>
        <v>-49622.905721831718</v>
      </c>
      <c r="M79" s="1317">
        <f t="shared" si="8"/>
        <v>558587837.6293633</v>
      </c>
    </row>
    <row r="80" spans="2:13" ht="15.6">
      <c r="B80" s="275"/>
      <c r="C80" s="2738"/>
      <c r="D80" s="2739"/>
      <c r="E80" s="2739"/>
      <c r="F80" s="2739"/>
      <c r="G80" s="2739"/>
      <c r="H80" s="2739"/>
      <c r="I80" s="2739"/>
      <c r="J80" s="2739"/>
      <c r="K80" s="1318"/>
      <c r="L80" s="2739"/>
      <c r="M80" s="2739"/>
    </row>
    <row r="81" spans="2:13" ht="15.6">
      <c r="B81" s="275"/>
      <c r="C81" s="2731"/>
      <c r="D81" s="474"/>
      <c r="E81" s="474"/>
      <c r="F81" s="474"/>
      <c r="G81" s="474"/>
      <c r="H81" s="474"/>
      <c r="I81" s="474"/>
      <c r="J81" s="474"/>
      <c r="K81" s="474"/>
      <c r="L81" s="474"/>
      <c r="M81" s="474"/>
    </row>
    <row r="82" spans="2:13" ht="15.6">
      <c r="B82" s="275"/>
      <c r="C82" s="2745" t="s">
        <v>5131</v>
      </c>
      <c r="D82" s="474"/>
      <c r="E82" s="474"/>
      <c r="F82" s="474"/>
      <c r="G82" s="474"/>
      <c r="H82" s="474"/>
      <c r="I82" s="474"/>
      <c r="J82" s="474"/>
      <c r="K82" s="474"/>
      <c r="L82" s="474"/>
      <c r="M82" s="474"/>
    </row>
    <row r="83" spans="2:13" ht="15.6">
      <c r="B83" s="275"/>
      <c r="C83" s="2746"/>
      <c r="D83" s="474"/>
      <c r="E83" s="474"/>
      <c r="F83" s="474"/>
      <c r="G83" s="474"/>
      <c r="H83" s="474"/>
      <c r="I83" s="474"/>
      <c r="J83" s="474"/>
      <c r="K83" s="474"/>
      <c r="L83" s="474"/>
      <c r="M83" s="474"/>
    </row>
    <row r="84" spans="2:13" ht="15.6">
      <c r="B84" s="2736">
        <v>227</v>
      </c>
      <c r="C84" s="2747" t="s">
        <v>5132</v>
      </c>
      <c r="D84" s="1316">
        <f>+SUMIFS('Working Captial Input'!E:E,'Working Captial Input'!$B:$B,'Working Capital Transpose'!$B84)</f>
        <v>32180446.293427486</v>
      </c>
      <c r="E84" s="1316">
        <f>+SUMIFS('Working Captial Input'!F:F,'Working Captial Input'!$B:$B,'Working Capital Transpose'!$B84)</f>
        <v>0</v>
      </c>
      <c r="F84" s="1316">
        <f>+SUMIFS('Working Captial Input'!G:G,'Working Captial Input'!$B:$B,'Working Capital Transpose'!$B84)</f>
        <v>0</v>
      </c>
      <c r="G84" s="1316">
        <f>+SUMIFS('Working Captial Input'!H:H,'Working Captial Input'!$B:$B,'Working Capital Transpose'!$B84)</f>
        <v>0</v>
      </c>
      <c r="H84" s="1316">
        <f>+SUMIFS('Working Captial Input'!I:I,'Working Captial Input'!$B:$B,'Working Capital Transpose'!$B84)</f>
        <v>-32180446.293427486</v>
      </c>
      <c r="I84" s="1316">
        <f>+SUMIFS('Working Captial Input'!J:J,'Working Captial Input'!$B:$B,'Working Capital Transpose'!$B84)</f>
        <v>0</v>
      </c>
      <c r="J84" s="1316">
        <f>+SUMIFS('Working Captial Input'!K:K,'Working Captial Input'!$B:$B,'Working Capital Transpose'!$B84)</f>
        <v>0</v>
      </c>
      <c r="K84" s="1316">
        <f>+SUMIFS('Working Captial Input'!L:L,'Working Captial Input'!$B:$B,'Working Capital Transpose'!$B84)</f>
        <v>0</v>
      </c>
      <c r="L84" s="1316">
        <f t="shared" ref="L84:L89" si="9">+SUM(E84:K84)</f>
        <v>-32180446.293427486</v>
      </c>
      <c r="M84" s="1316">
        <f>+SUMIFS('Working Captial Input'!M:M,'Working Captial Input'!$B:$B,'Working Capital Transpose'!$B84)</f>
        <v>0</v>
      </c>
    </row>
    <row r="85" spans="2:13" ht="15.6">
      <c r="B85" s="2736">
        <v>245</v>
      </c>
      <c r="C85" s="2747" t="s">
        <v>5133</v>
      </c>
      <c r="D85" s="1316">
        <f>+SUMIFS('Working Captial Input'!E:E,'Working Captial Input'!$B:$B,'Working Capital Transpose'!$B85)</f>
        <v>0</v>
      </c>
      <c r="E85" s="1316">
        <f>+SUMIFS('Working Captial Input'!F:F,'Working Captial Input'!$B:$B,'Working Capital Transpose'!$B85)</f>
        <v>0</v>
      </c>
      <c r="F85" s="1316">
        <f>+SUMIFS('Working Captial Input'!G:G,'Working Captial Input'!$B:$B,'Working Capital Transpose'!$B85)</f>
        <v>0</v>
      </c>
      <c r="G85" s="1316">
        <f>+SUMIFS('Working Captial Input'!H:H,'Working Captial Input'!$B:$B,'Working Capital Transpose'!$B85)</f>
        <v>0</v>
      </c>
      <c r="H85" s="1316">
        <f>+SUMIFS('Working Captial Input'!I:I,'Working Captial Input'!$B:$B,'Working Capital Transpose'!$B85)</f>
        <v>0</v>
      </c>
      <c r="I85" s="1316">
        <f>+SUMIFS('Working Captial Input'!J:J,'Working Captial Input'!$B:$B,'Working Capital Transpose'!$B85)</f>
        <v>0</v>
      </c>
      <c r="J85" s="1316">
        <f>+SUMIFS('Working Captial Input'!K:K,'Working Captial Input'!$B:$B,'Working Capital Transpose'!$B85)</f>
        <v>0</v>
      </c>
      <c r="K85" s="1316">
        <f>+SUMIFS('Working Captial Input'!L:L,'Working Captial Input'!$B:$B,'Working Capital Transpose'!$B85)</f>
        <v>0</v>
      </c>
      <c r="L85" s="1316">
        <f t="shared" si="9"/>
        <v>0</v>
      </c>
      <c r="M85" s="1316">
        <f>+SUMIFS('Working Captial Input'!M:M,'Working Captial Input'!$B:$B,'Working Capital Transpose'!$B85)</f>
        <v>0</v>
      </c>
    </row>
    <row r="86" spans="2:13" ht="15.6">
      <c r="B86" s="2736">
        <v>253</v>
      </c>
      <c r="C86" s="2748" t="s">
        <v>5134</v>
      </c>
      <c r="D86" s="1316">
        <f>+SUMIFS('Working Captial Input'!E:E,'Working Captial Input'!$B:$B,'Working Capital Transpose'!$B86)</f>
        <v>36211952.579107612</v>
      </c>
      <c r="E86" s="1316">
        <f>+SUMIFS('Working Captial Input'!F:F,'Working Captial Input'!$B:$B,'Working Capital Transpose'!$B86)</f>
        <v>0</v>
      </c>
      <c r="F86" s="1316">
        <f>+SUMIFS('Working Captial Input'!G:G,'Working Captial Input'!$B:$B,'Working Capital Transpose'!$B86)</f>
        <v>0</v>
      </c>
      <c r="G86" s="1316">
        <f>+SUMIFS('Working Captial Input'!H:H,'Working Captial Input'!$B:$B,'Working Capital Transpose'!$B86)</f>
        <v>0</v>
      </c>
      <c r="H86" s="1316">
        <f>+SUMIFS('Working Captial Input'!I:I,'Working Captial Input'!$B:$B,'Working Capital Transpose'!$B86)</f>
        <v>0</v>
      </c>
      <c r="I86" s="1316">
        <f>+SUMIFS('Working Captial Input'!J:J,'Working Captial Input'!$B:$B,'Working Capital Transpose'!$B86)</f>
        <v>0</v>
      </c>
      <c r="J86" s="1316">
        <f>+SUMIFS('Working Captial Input'!K:K,'Working Captial Input'!$B:$B,'Working Capital Transpose'!$B86)</f>
        <v>0</v>
      </c>
      <c r="K86" s="1316">
        <f>+SUMIFS('Working Captial Input'!L:L,'Working Captial Input'!$B:$B,'Working Capital Transpose'!$B86)</f>
        <v>0</v>
      </c>
      <c r="L86" s="1316">
        <f t="shared" si="9"/>
        <v>0</v>
      </c>
      <c r="M86" s="1316">
        <f>+SUMIFS('Working Captial Input'!M:M,'Working Captial Input'!$B:$B,'Working Capital Transpose'!$B86)</f>
        <v>36211952.579107612</v>
      </c>
    </row>
    <row r="87" spans="2:13" ht="15.6">
      <c r="B87" s="2736">
        <v>254</v>
      </c>
      <c r="C87" s="2748" t="s">
        <v>5135</v>
      </c>
      <c r="D87" s="1316">
        <f>+SUMIFS('Working Captial Input'!E:E,'Working Captial Input'!$B:$B,'Working Capital Transpose'!$B87)+SUMIFS('Working Captial Input'!E:E,'Working Captial Input'!$C:$C,2540610)</f>
        <v>93556356.676485777</v>
      </c>
      <c r="E87" s="1316">
        <f>+SUMIFS('Working Captial Input'!F:F,'Working Captial Input'!$B:$B,'Working Capital Transpose'!$B87)+SUMIFS('Working Captial Input'!F:F,'Working Captial Input'!$C:$C,2540610)</f>
        <v>-195268.30769230769</v>
      </c>
      <c r="F87" s="1316">
        <f>+SUMIFS('Working Captial Input'!G:G,'Working Captial Input'!$B:$B,'Working Capital Transpose'!$B87)+SUMIFS('Working Captial Input'!G:G,'Working Captial Input'!$C:$C,2540610)</f>
        <v>0</v>
      </c>
      <c r="G87" s="1316">
        <f>+SUMIFS('Working Captial Input'!H:H,'Working Captial Input'!$B:$B,'Working Capital Transpose'!$B87)+SUMIFS('Working Captial Input'!H:H,'Working Captial Input'!$C:$C,2540610)</f>
        <v>0</v>
      </c>
      <c r="H87" s="1316">
        <f>+SUMIFS('Working Captial Input'!I:I,'Working Captial Input'!$B:$B,'Working Capital Transpose'!$B87)+SUMIFS('Working Captial Input'!I:I,'Working Captial Input'!$C:$C,2540610)</f>
        <v>0</v>
      </c>
      <c r="I87" s="1316">
        <f>+SUMIFS('Working Captial Input'!J:J,'Working Captial Input'!$B:$B,'Working Capital Transpose'!$B87)+SUMIFS('Working Captial Input'!J:J,'Working Captial Input'!$C:$C,2540610)</f>
        <v>0</v>
      </c>
      <c r="J87" s="1316">
        <f>+SUMIFS('Working Captial Input'!K:K,'Working Captial Input'!$B:$B,'Working Capital Transpose'!$B87)+SUMIFS('Working Captial Input'!K:K,'Working Captial Input'!$C:$C,2540610)</f>
        <v>0</v>
      </c>
      <c r="K87" s="1316">
        <f>+SUMIFS('Working Captial Input'!L:L,'Working Captial Input'!$B:$B,'Working Capital Transpose'!$B87)+SUMIFS('Working Captial Input'!L:L,'Working Captial Input'!$C:$C,2540610)</f>
        <v>0</v>
      </c>
      <c r="L87" s="1316">
        <f t="shared" si="9"/>
        <v>-195268.30769230769</v>
      </c>
      <c r="M87" s="1316">
        <f>+SUMIFS('Working Captial Input'!M:M,'Working Captial Input'!$B:$B,'Working Capital Transpose'!$B87)+SUMIFS('Working Captial Input'!M:M,'Working Captial Input'!$C:$C,2540610)</f>
        <v>93361088.368793488</v>
      </c>
    </row>
    <row r="88" spans="2:13" ht="15.6">
      <c r="B88" s="2736">
        <v>256</v>
      </c>
      <c r="C88" s="2737" t="s">
        <v>5136</v>
      </c>
      <c r="D88" s="1316">
        <f>+SUMIFS('Working Captial Input'!E:E,'Working Captial Input'!$B:$B,'Working Capital Transpose'!$B88)</f>
        <v>-7876.119999999999</v>
      </c>
      <c r="E88" s="1316">
        <f>+SUMIFS('Working Captial Input'!F:F,'Working Captial Input'!$B:$B,'Working Capital Transpose'!$B88)</f>
        <v>0</v>
      </c>
      <c r="F88" s="1316">
        <f>+SUMIFS('Working Captial Input'!G:G,'Working Captial Input'!$B:$B,'Working Capital Transpose'!$B88)</f>
        <v>0</v>
      </c>
      <c r="G88" s="1316">
        <f>+SUMIFS('Working Captial Input'!H:H,'Working Captial Input'!$B:$B,'Working Capital Transpose'!$B88)</f>
        <v>0</v>
      </c>
      <c r="H88" s="1316">
        <f>+SUMIFS('Working Captial Input'!I:I,'Working Captial Input'!$B:$B,'Working Capital Transpose'!$B88)</f>
        <v>0</v>
      </c>
      <c r="I88" s="1316">
        <f>+SUMIFS('Working Captial Input'!J:J,'Working Captial Input'!$B:$B,'Working Capital Transpose'!$B88)</f>
        <v>0</v>
      </c>
      <c r="J88" s="1316">
        <f>+SUMIFS('Working Captial Input'!K:K,'Working Captial Input'!$B:$B,'Working Capital Transpose'!$B88)</f>
        <v>0</v>
      </c>
      <c r="K88" s="1316">
        <f>+SUMIFS('Working Captial Input'!L:L,'Working Captial Input'!$B:$B,'Working Capital Transpose'!$B88)</f>
        <v>0</v>
      </c>
      <c r="L88" s="1316">
        <f t="shared" si="9"/>
        <v>0</v>
      </c>
      <c r="M88" s="1316">
        <f>+SUMIFS('Working Captial Input'!M:M,'Working Captial Input'!$B:$B,'Working Capital Transpose'!$B88)</f>
        <v>-7876.119999999999</v>
      </c>
    </row>
    <row r="89" spans="2:13" ht="15.6">
      <c r="B89" s="2736">
        <v>257</v>
      </c>
      <c r="C89" s="2737" t="s">
        <v>5051</v>
      </c>
      <c r="D89" s="1316">
        <f>+SUMIFS('Working Captial Input'!E:E,'Working Captial Input'!$B:$B,'Working Capital Transpose'!$B89)</f>
        <v>0</v>
      </c>
      <c r="E89" s="1316">
        <f>+SUMIFS('Working Captial Input'!F:F,'Working Captial Input'!$B:$B,'Working Capital Transpose'!$B89)</f>
        <v>0</v>
      </c>
      <c r="F89" s="1316">
        <f>+SUMIFS('Working Captial Input'!G:G,'Working Captial Input'!$B:$B,'Working Capital Transpose'!$B89)</f>
        <v>0</v>
      </c>
      <c r="G89" s="1316">
        <f>+SUMIFS('Working Captial Input'!H:H,'Working Captial Input'!$B:$B,'Working Capital Transpose'!$B89)</f>
        <v>0</v>
      </c>
      <c r="H89" s="1316">
        <f>+SUMIFS('Working Captial Input'!I:I,'Working Captial Input'!$B:$B,'Working Capital Transpose'!$B89)</f>
        <v>0</v>
      </c>
      <c r="I89" s="1316">
        <f>+SUMIFS('Working Captial Input'!J:J,'Working Captial Input'!$B:$B,'Working Capital Transpose'!$B89)</f>
        <v>0</v>
      </c>
      <c r="J89" s="1316">
        <f>+SUMIFS('Working Captial Input'!K:K,'Working Captial Input'!$B:$B,'Working Capital Transpose'!$B89)</f>
        <v>0</v>
      </c>
      <c r="K89" s="1316">
        <f>+SUMIFS('Working Captial Input'!L:L,'Working Captial Input'!$B:$B,'Working Capital Transpose'!$B89)</f>
        <v>0</v>
      </c>
      <c r="L89" s="1316">
        <f t="shared" si="9"/>
        <v>0</v>
      </c>
      <c r="M89" s="1316">
        <f>+SUMIFS('Working Captial Input'!M:M,'Working Captial Input'!$B:$B,'Working Capital Transpose'!$B89)</f>
        <v>0</v>
      </c>
    </row>
    <row r="90" spans="2:13" ht="15.6">
      <c r="B90" s="275"/>
      <c r="C90" s="2731"/>
      <c r="D90" s="474"/>
      <c r="E90" s="474"/>
      <c r="F90" s="474"/>
      <c r="G90" s="474"/>
      <c r="H90" s="474"/>
      <c r="I90" s="474"/>
      <c r="J90" s="474"/>
      <c r="K90" s="474"/>
      <c r="L90" s="474"/>
      <c r="M90" s="474"/>
    </row>
    <row r="91" spans="2:13" ht="15.6">
      <c r="B91" s="275"/>
      <c r="C91" s="2731"/>
      <c r="D91" s="499"/>
      <c r="E91" s="499"/>
      <c r="F91" s="499"/>
      <c r="G91" s="499"/>
      <c r="H91" s="499"/>
      <c r="I91" s="499"/>
      <c r="J91" s="499"/>
      <c r="K91" s="499"/>
      <c r="L91" s="499"/>
      <c r="M91" s="499"/>
    </row>
    <row r="92" spans="2:13" ht="15.6">
      <c r="B92" s="275"/>
      <c r="C92" s="2738" t="s">
        <v>5137</v>
      </c>
      <c r="D92" s="2739">
        <f>+SUM(D84:D89)</f>
        <v>161940879.42902088</v>
      </c>
      <c r="E92" s="2739">
        <f t="shared" ref="E92:J92" si="10">+SUM(E84:E89)</f>
        <v>-195268.30769230769</v>
      </c>
      <c r="F92" s="2739">
        <f t="shared" ref="F92:M92" si="11">+SUM(F84:F89)</f>
        <v>0</v>
      </c>
      <c r="G92" s="2739">
        <f t="shared" si="10"/>
        <v>0</v>
      </c>
      <c r="H92" s="2739">
        <f t="shared" si="10"/>
        <v>-32180446.293427486</v>
      </c>
      <c r="I92" s="2739">
        <f t="shared" si="10"/>
        <v>0</v>
      </c>
      <c r="J92" s="2739">
        <f t="shared" si="10"/>
        <v>0</v>
      </c>
      <c r="K92" s="2739">
        <f t="shared" si="11"/>
        <v>0</v>
      </c>
      <c r="L92" s="2739">
        <f t="shared" si="11"/>
        <v>-32375714.601119794</v>
      </c>
      <c r="M92" s="2739">
        <f t="shared" si="11"/>
        <v>129565164.8279011</v>
      </c>
    </row>
    <row r="93" spans="2:13" ht="15.6">
      <c r="B93" s="275"/>
      <c r="C93" s="2731"/>
      <c r="D93" s="474"/>
      <c r="E93" s="474"/>
      <c r="F93" s="474"/>
      <c r="G93" s="474"/>
      <c r="H93" s="474"/>
      <c r="I93" s="474"/>
      <c r="J93" s="474"/>
      <c r="K93" s="474"/>
      <c r="L93" s="474"/>
      <c r="M93" s="474"/>
    </row>
    <row r="94" spans="2:13" ht="15.6">
      <c r="B94" s="275"/>
      <c r="C94" s="2731"/>
      <c r="D94" s="499"/>
      <c r="E94" s="499"/>
      <c r="F94" s="499"/>
      <c r="G94" s="499"/>
      <c r="H94" s="499"/>
      <c r="I94" s="499"/>
      <c r="J94" s="499"/>
      <c r="K94" s="499"/>
      <c r="L94" s="499"/>
      <c r="M94" s="499"/>
    </row>
    <row r="95" spans="2:13" ht="15.6">
      <c r="B95" s="275"/>
      <c r="C95" s="2738" t="s">
        <v>5138</v>
      </c>
      <c r="D95" s="1315">
        <f>+D79+D92</f>
        <v>720578339.96410608</v>
      </c>
      <c r="E95" s="1315">
        <f t="shared" ref="E95:J95" si="12">+E79+E92</f>
        <v>-195268.30769230769</v>
      </c>
      <c r="F95" s="1315">
        <f t="shared" ref="F95:M95" si="13">+F79+F92</f>
        <v>0</v>
      </c>
      <c r="G95" s="1315">
        <f t="shared" si="12"/>
        <v>894781.09538461443</v>
      </c>
      <c r="H95" s="1315">
        <f t="shared" si="12"/>
        <v>-33124850.294533931</v>
      </c>
      <c r="I95" s="1315">
        <f t="shared" si="12"/>
        <v>0</v>
      </c>
      <c r="J95" s="1315">
        <f t="shared" si="12"/>
        <v>0</v>
      </c>
      <c r="K95" s="1315">
        <f t="shared" si="13"/>
        <v>0</v>
      </c>
      <c r="L95" s="1315">
        <f t="shared" si="13"/>
        <v>-32425337.506841626</v>
      </c>
      <c r="M95" s="1315">
        <f t="shared" si="13"/>
        <v>688153002.45726442</v>
      </c>
    </row>
    <row r="96" spans="2:13" ht="15.6">
      <c r="B96" s="275"/>
      <c r="C96" s="2738"/>
      <c r="D96" s="474"/>
      <c r="E96" s="474"/>
      <c r="F96" s="474"/>
      <c r="G96" s="474"/>
      <c r="H96" s="474"/>
      <c r="I96" s="474"/>
      <c r="J96" s="474"/>
      <c r="K96" s="474"/>
      <c r="L96" s="474"/>
      <c r="M96" s="474"/>
    </row>
    <row r="97" spans="2:13" ht="15.6">
      <c r="B97" s="275"/>
      <c r="C97" s="2731"/>
      <c r="D97" s="474"/>
      <c r="E97" s="474"/>
      <c r="F97" s="474"/>
      <c r="G97" s="474"/>
      <c r="H97" s="474"/>
      <c r="I97" s="474"/>
      <c r="J97" s="474"/>
      <c r="K97" s="474"/>
      <c r="L97" s="474"/>
      <c r="M97" s="474"/>
    </row>
    <row r="98" spans="2:13" ht="15.6">
      <c r="B98" s="275"/>
      <c r="C98" s="2738" t="s">
        <v>5121</v>
      </c>
      <c r="D98" s="1317">
        <f>+D52</f>
        <v>1327410897.643136</v>
      </c>
      <c r="E98" s="1317">
        <f t="shared" ref="E98:J98" si="14">+E52</f>
        <v>-532942281.80900073</v>
      </c>
      <c r="F98" s="1317">
        <f t="shared" ref="F98:M98" si="15">+F52</f>
        <v>-1000000</v>
      </c>
      <c r="G98" s="1317">
        <f t="shared" si="14"/>
        <v>-16378034.653076932</v>
      </c>
      <c r="H98" s="1317">
        <f t="shared" si="14"/>
        <v>0</v>
      </c>
      <c r="I98" s="1317">
        <f t="shared" si="14"/>
        <v>0</v>
      </c>
      <c r="J98" s="1317">
        <f t="shared" si="14"/>
        <v>-1778891.2051282381</v>
      </c>
      <c r="K98" s="1317">
        <f t="shared" si="15"/>
        <v>0</v>
      </c>
      <c r="L98" s="1317">
        <f t="shared" si="15"/>
        <v>-552099207.66720593</v>
      </c>
      <c r="M98" s="1317">
        <f t="shared" si="15"/>
        <v>775311689.97592998</v>
      </c>
    </row>
    <row r="99" spans="2:13" ht="15.6">
      <c r="B99" s="275"/>
      <c r="C99" s="2731"/>
      <c r="D99" s="474"/>
      <c r="E99" s="474"/>
      <c r="F99" s="474"/>
      <c r="G99" s="474"/>
      <c r="H99" s="474"/>
      <c r="I99" s="474"/>
      <c r="J99" s="474"/>
      <c r="K99" s="474"/>
      <c r="L99" s="474"/>
      <c r="M99" s="474"/>
    </row>
    <row r="100" spans="2:13" ht="15.6">
      <c r="B100" s="275"/>
      <c r="C100" s="2731"/>
      <c r="D100" s="499"/>
      <c r="E100" s="499"/>
      <c r="F100" s="499"/>
      <c r="G100" s="499"/>
      <c r="H100" s="499"/>
      <c r="I100" s="499"/>
      <c r="J100" s="499"/>
      <c r="K100" s="499"/>
      <c r="L100" s="499"/>
      <c r="M100" s="499"/>
    </row>
    <row r="101" spans="2:13" ht="15.6">
      <c r="B101" s="275"/>
      <c r="C101" s="2731"/>
      <c r="D101" s="499"/>
      <c r="E101" s="499"/>
      <c r="F101" s="499"/>
      <c r="G101" s="499"/>
      <c r="H101" s="499"/>
      <c r="I101" s="499"/>
      <c r="J101" s="499"/>
      <c r="K101" s="499"/>
      <c r="L101" s="499"/>
      <c r="M101" s="499"/>
    </row>
    <row r="102" spans="2:13" ht="15.6">
      <c r="B102" s="275"/>
      <c r="C102" s="2749" t="s">
        <v>5139</v>
      </c>
      <c r="D102" s="1319">
        <f>+D98-D95</f>
        <v>606832557.67902994</v>
      </c>
      <c r="E102" s="1319">
        <f t="shared" ref="E102:J102" si="16">+E98-E95</f>
        <v>-532747013.50130844</v>
      </c>
      <c r="F102" s="1319">
        <f t="shared" ref="F102:L102" si="17">+F98-F95</f>
        <v>-1000000</v>
      </c>
      <c r="G102" s="1319">
        <f t="shared" si="16"/>
        <v>-17272815.748461545</v>
      </c>
      <c r="H102" s="1319">
        <f t="shared" si="16"/>
        <v>33124850.294533931</v>
      </c>
      <c r="I102" s="1319">
        <f t="shared" si="16"/>
        <v>0</v>
      </c>
      <c r="J102" s="1319">
        <f t="shared" si="16"/>
        <v>-1778891.2051282381</v>
      </c>
      <c r="K102" s="1319">
        <f t="shared" si="17"/>
        <v>0</v>
      </c>
      <c r="L102" s="1319">
        <f t="shared" si="17"/>
        <v>-519673870.16036433</v>
      </c>
      <c r="M102" s="1319">
        <f>+M98-M95</f>
        <v>87158687.518665552</v>
      </c>
    </row>
  </sheetData>
  <conditionalFormatting sqref="D8:E8 D61:E61">
    <cfRule type="cellIs" dxfId="1" priority="1" stopIfTrue="1" operator="equal">
      <formula>"13 MONTH AVERAGE WORKING CAPITAL REPORT SELECTED"</formula>
    </cfRule>
    <cfRule type="cellIs" dxfId="0" priority="2" stopIfTrue="1" operator="equal">
      <formula>"2 MONTH AVERAGE WORKING CAPITAL REPORT SELECTED"</formula>
    </cfRule>
  </conditionalFormatting>
  <printOptions headings="1" gridLines="1"/>
  <pageMargins left="0.7" right="0.7" top="1.25" bottom="0.5" header="1.05" footer="0.3"/>
  <pageSetup scale="75" orientation="landscape" r:id="rId1"/>
  <headerFooter>
    <oddHeader>&amp;A</oddHeader>
  </headerFooter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25C4885EF66B48AAFD9E4A9CC8BF5E" ma:contentTypeVersion="0" ma:contentTypeDescription="Create a new document." ma:contentTypeScope="" ma:versionID="f3467a3060f415fe6e81f988c750fea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63f9ca9ed2b1b526ffdf70859b84e62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4A90F23-3671-4628-9E3B-EEDB12264F8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1758D8-37CA-40CB-8B3C-41924ED852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B0143D5-D144-4882-A376-0E6E4ACFC2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125</vt:i4>
      </vt:variant>
      <vt:variant>
        <vt:lpstr>Named Ranges</vt:lpstr>
      </vt:variant>
      <vt:variant>
        <vt:i4>7</vt:i4>
      </vt:variant>
    </vt:vector>
  </HeadingPairs>
  <TitlesOfParts>
    <vt:vector size="132" baseType="lpstr">
      <vt:lpstr>Tax &amp; Debt Inputs</vt:lpstr>
      <vt:lpstr>Expansion Factor</vt:lpstr>
      <vt:lpstr>Surv Report Sched 2 pg 1</vt:lpstr>
      <vt:lpstr>Surv Report Sched 2 pg 2</vt:lpstr>
      <vt:lpstr>Surv Report Sched 2 pg 3 Net Ut</vt:lpstr>
      <vt:lpstr>Surv Report Sched 2 pg 3</vt:lpstr>
      <vt:lpstr>Working Captial Input</vt:lpstr>
      <vt:lpstr>Balance Sheet Accounts</vt:lpstr>
      <vt:lpstr>Income Statement Accounts</vt:lpstr>
      <vt:lpstr>Accounting Schedule B-7</vt:lpstr>
      <vt:lpstr>Accounting Schedule B-9</vt:lpstr>
      <vt:lpstr>300s Plant Balances Input</vt:lpstr>
      <vt:lpstr>Labor Input</vt:lpstr>
      <vt:lpstr>Juris SEP</vt:lpstr>
      <vt:lpstr>Polk Assets</vt:lpstr>
      <vt:lpstr>ECRC Plant in Service</vt:lpstr>
      <vt:lpstr>ECRC Accumulated Depreciation</vt:lpstr>
      <vt:lpstr>ECRC Depreciation Expense</vt:lpstr>
      <vt:lpstr>ECRC O&amp;M</vt:lpstr>
      <vt:lpstr>SPP Plant in Service</vt:lpstr>
      <vt:lpstr>SPP Accum Depreciation</vt:lpstr>
      <vt:lpstr>SPP Net Depreciation</vt:lpstr>
      <vt:lpstr>Load Research January CPk</vt:lpstr>
      <vt:lpstr>Load Research February CPk</vt:lpstr>
      <vt:lpstr>Load Research March CPk</vt:lpstr>
      <vt:lpstr>Load Research April CPk</vt:lpstr>
      <vt:lpstr>Load Research May CPk</vt:lpstr>
      <vt:lpstr>Load Research June CPk</vt:lpstr>
      <vt:lpstr>Load Research July CPk</vt:lpstr>
      <vt:lpstr>Load Research August CPk</vt:lpstr>
      <vt:lpstr>Load Research September CPk</vt:lpstr>
      <vt:lpstr>Load Research October CPk</vt:lpstr>
      <vt:lpstr>Load Research November CPk</vt:lpstr>
      <vt:lpstr>Load Research December CPk</vt:lpstr>
      <vt:lpstr>Load Research RS NCPk</vt:lpstr>
      <vt:lpstr>Load Research GS NCPk</vt:lpstr>
      <vt:lpstr>Load Research GSD NCPk</vt:lpstr>
      <vt:lpstr>Load Research GSLD NCPk</vt:lpstr>
      <vt:lpstr>Load Research LS NCPk</vt:lpstr>
      <vt:lpstr>Load Research Billing kWh</vt:lpstr>
      <vt:lpstr>Load Research Projected LF</vt:lpstr>
      <vt:lpstr>Tariff Meter Level Discount</vt:lpstr>
      <vt:lpstr>Load Research Service Level</vt:lpstr>
      <vt:lpstr>Wholesale Firm</vt:lpstr>
      <vt:lpstr>Forecasting Base Revenues by RC</vt:lpstr>
      <vt:lpstr>Forecasting Lighting Facilities</vt:lpstr>
      <vt:lpstr>Transmission Pole Attachments</vt:lpstr>
      <vt:lpstr>Non-Firm Transmission</vt:lpstr>
      <vt:lpstr>Net Dependable Capacity</vt:lpstr>
      <vt:lpstr>Transmission Investment</vt:lpstr>
      <vt:lpstr>Transmission Interconnections</vt:lpstr>
      <vt:lpstr>Separation F</vt:lpstr>
      <vt:lpstr>Transmission GSU Investments</vt:lpstr>
      <vt:lpstr>Transmission Substation Invests</vt:lpstr>
      <vt:lpstr>Dist Overhead Conductors</vt:lpstr>
      <vt:lpstr>Distribution Pole Counts</vt:lpstr>
      <vt:lpstr>Distribution Investment</vt:lpstr>
      <vt:lpstr>Distribution Substation Costs</vt:lpstr>
      <vt:lpstr>ARO Functionalized</vt:lpstr>
      <vt:lpstr>Property Insurance Input</vt:lpstr>
      <vt:lpstr>Income Tax Input</vt:lpstr>
      <vt:lpstr>100s and 200s FERC Accounts</vt:lpstr>
      <vt:lpstr>300s - 3 Digit FERC Accounts</vt:lpstr>
      <vt:lpstr>300s - 5 Digit FERC Accounts</vt:lpstr>
      <vt:lpstr>500s FERC Accounts</vt:lpstr>
      <vt:lpstr>900s FERC Accounts</vt:lpstr>
      <vt:lpstr>Other Operating Revenue</vt:lpstr>
      <vt:lpstr>Generation Land</vt:lpstr>
      <vt:lpstr>ECRC Adj Gen</vt:lpstr>
      <vt:lpstr>SPP ADJ T&amp;D</vt:lpstr>
      <vt:lpstr>Coincident Peak Formula</vt:lpstr>
      <vt:lpstr>Load Management Adjustment</vt:lpstr>
      <vt:lpstr>Load Research</vt:lpstr>
      <vt:lpstr>Functionalized Revenues</vt:lpstr>
      <vt:lpstr>0 MDS Functionalized Revenues</vt:lpstr>
      <vt:lpstr>Depr Check</vt:lpstr>
      <vt:lpstr>Generation</vt:lpstr>
      <vt:lpstr>Transmission Voltage Detail</vt:lpstr>
      <vt:lpstr>Tranmission Substation Detail</vt:lpstr>
      <vt:lpstr>Transmission</vt:lpstr>
      <vt:lpstr>Distribution Overhead Conductor</vt:lpstr>
      <vt:lpstr>Distribution Substation Detail</vt:lpstr>
      <vt:lpstr>Minimum Distribution System</vt:lpstr>
      <vt:lpstr>0 MDS</vt:lpstr>
      <vt:lpstr>Distribution</vt:lpstr>
      <vt:lpstr>0 MDS Distribution</vt:lpstr>
      <vt:lpstr>Weighted Meters</vt:lpstr>
      <vt:lpstr>Communications Equipment</vt:lpstr>
      <vt:lpstr>0 MDS Communications Equipment</vt:lpstr>
      <vt:lpstr>Transportation Equipment</vt:lpstr>
      <vt:lpstr>0 MDS Transportation Equipment</vt:lpstr>
      <vt:lpstr>PHFFU</vt:lpstr>
      <vt:lpstr>0 MDS PHFFU</vt:lpstr>
      <vt:lpstr>CWIP</vt:lpstr>
      <vt:lpstr>0 MDS CWIP</vt:lpstr>
      <vt:lpstr>ROU Leases</vt:lpstr>
      <vt:lpstr>General Plant</vt:lpstr>
      <vt:lpstr>0 MDS General Plant</vt:lpstr>
      <vt:lpstr>Working Capital Transpose</vt:lpstr>
      <vt:lpstr>Working Capital</vt:lpstr>
      <vt:lpstr>0 MDS Working Capital</vt:lpstr>
      <vt:lpstr>Prod O&amp;M</vt:lpstr>
      <vt:lpstr>Labor O&amp;M</vt:lpstr>
      <vt:lpstr>0 MDS Labor O&amp;M</vt:lpstr>
      <vt:lpstr>Transmission O&amp;M</vt:lpstr>
      <vt:lpstr>Fuel Interchange</vt:lpstr>
      <vt:lpstr>Distribution O&amp;M</vt:lpstr>
      <vt:lpstr>0 MDS Distribution O&amp;M</vt:lpstr>
      <vt:lpstr>Other and A&amp;G O&amp;M</vt:lpstr>
      <vt:lpstr>0 MDS Other and A&amp;G O&amp;M</vt:lpstr>
      <vt:lpstr>Property Insurance</vt:lpstr>
      <vt:lpstr>Taxes Other</vt:lpstr>
      <vt:lpstr>0 MDS Taxes Other</vt:lpstr>
      <vt:lpstr>Income Taxes</vt:lpstr>
      <vt:lpstr>0 MDS Income Taxes</vt:lpstr>
      <vt:lpstr>MDS AlloCheck</vt:lpstr>
      <vt:lpstr>Allocation Assignment</vt:lpstr>
      <vt:lpstr>0 MDS Allocation Assignment</vt:lpstr>
      <vt:lpstr>REPORTS</vt:lpstr>
      <vt:lpstr>0 MDS REPORTS</vt:lpstr>
      <vt:lpstr>MFR HEADERS</vt:lpstr>
      <vt:lpstr>VOL I</vt:lpstr>
      <vt:lpstr>VOL II</vt:lpstr>
      <vt:lpstr>Surveillance Report Factors</vt:lpstr>
      <vt:lpstr>Synthesized Report</vt:lpstr>
      <vt:lpstr>'Transmission Substation Invests'!Criteria</vt:lpstr>
      <vt:lpstr>'300s - 5 Digit FERC Accounts'!Extract</vt:lpstr>
      <vt:lpstr>'Transmission Substation Invests'!Extract</vt:lpstr>
      <vt:lpstr>'VOL I'!Print_Area</vt:lpstr>
      <vt:lpstr>'VOL II'!Print_Area</vt:lpstr>
      <vt:lpstr>WorkPaper1</vt:lpstr>
      <vt:lpstr>WorkPaper2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Williams, Jordan M.</dc:creator>
  <cp:lastModifiedBy>Nancy Harrison</cp:lastModifiedBy>
  <cp:lastPrinted>2024-08-03T01:47:49Z</cp:lastPrinted>
  <dcterms:created xsi:type="dcterms:W3CDTF">2022-04-25T13:11:31Z</dcterms:created>
  <dcterms:modified xsi:type="dcterms:W3CDTF">2024-08-16T17:28:51Z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2022-04-25T13:11:32Z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60a8e8f6-bf29-40de-8ddf-01fb6a8a613b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0x0101000C25C4885EF66B48AAFD9E4A9CC8BF5E</vt:lpwstr>
  </property>
  <property fmtid="{D5CDD505-2E9C-101B-9397-08002B2CF9AE}" pid="10" name="Order">
    <vt:r8>771100</vt:r8>
  </property>
  <property fmtid="{D5CDD505-2E9C-101B-9397-08002B2CF9AE}" pid="11" name="xd_Signature">
    <vt:bool>false</vt:bool>
  </property>
  <property fmtid="{D5CDD505-2E9C-101B-9397-08002B2CF9AE}" pid="12" name="xd_ProgID">
    <vt:lpwstr/>
  </property>
  <property fmtid="{D5CDD505-2E9C-101B-9397-08002B2CF9AE}" pid="13" name="_SourceUrl">
    <vt:lpwstr/>
  </property>
  <property fmtid="{D5CDD505-2E9C-101B-9397-08002B2CF9AE}" pid="14" name="_SharedFileIndex">
    <vt:lpwstr/>
  </property>
  <property fmtid="{D5CDD505-2E9C-101B-9397-08002B2CF9AE}" pid="15" name="ComplianceAssetId">
    <vt:lpwstr/>
  </property>
  <property fmtid="{D5CDD505-2E9C-101B-9397-08002B2CF9AE}" pid="16" name="TemplateUrl">
    <vt:lpwstr/>
  </property>
  <property fmtid="{D5CDD505-2E9C-101B-9397-08002B2CF9AE}" pid="17" name="_ExtendedDescription">
    <vt:lpwstr/>
  </property>
  <property fmtid="{D5CDD505-2E9C-101B-9397-08002B2CF9AE}" pid="18" name="TriggerFlowInfo">
    <vt:lpwstr/>
  </property>
</Properties>
</file>